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本部部署（重複）" sheetId="1" r:id="rId4"/>
    <sheet state="visible" name="概要" sheetId="2" r:id="rId5"/>
    <sheet state="visible" name="データ仕分け残対応" sheetId="3" r:id="rId6"/>
    <sheet state="hidden" name="（旧）div" sheetId="4" r:id="rId7"/>
    <sheet state="hidden" name="(旧)project" sheetId="5" r:id="rId8"/>
    <sheet state="hidden" name="シート13" sheetId="6" r:id="rId9"/>
    <sheet state="visible" name="成形について" sheetId="7" r:id="rId10"/>
    <sheet state="visible" name="ヒアリング先" sheetId="8" r:id="rId11"/>
    <sheet state="visible" name="div回答シートURL一覧" sheetId="9" r:id="rId12"/>
    <sheet state="visible" name="project回答シートURL一覧" sheetId="10" r:id="rId13"/>
    <sheet state="visible" name="（新）div" sheetId="11" r:id="rId14"/>
    <sheet state="visible" name="（新）div_Hot" sheetId="12" r:id="rId15"/>
    <sheet state="visible" name="（新）div_Cold" sheetId="13" r:id="rId16"/>
    <sheet state="visible" name="（新）div _bk" sheetId="14" r:id="rId17"/>
    <sheet state="visible" name="（新）project-2" sheetId="15" r:id="rId18"/>
    <sheet state="visible" name="divマージ済み回答" sheetId="16" r:id="rId19"/>
    <sheet state="visible" name="（新）project_bk" sheetId="17" r:id="rId20"/>
    <sheet state="visible" name="Q&amp;A" sheetId="18" r:id="rId21"/>
    <sheet state="visible" name="各フォルダ詳細" sheetId="19" r:id="rId22"/>
    <sheet state="visible" name="0file部署遍歴最終更新確認" sheetId="20" r:id="rId23"/>
    <sheet state="visible" name="0file" sheetId="21" r:id="rId24"/>
    <sheet state="visible" name="対応の流れ" sheetId="22" r:id="rId25"/>
    <sheet state="visible" name="移行情報まとめ" sheetId="23" r:id="rId26"/>
    <sheet state="hidden" name="Project（FSデータ）" sheetId="24" r:id="rId27"/>
    <sheet state="hidden" name="テスト" sheetId="25" r:id="rId28"/>
    <sheet state="hidden" name="シート5" sheetId="26" r:id="rId29"/>
    <sheet state="visible" name="従業員情報" sheetId="27" r:id="rId30"/>
    <sheet state="visible" name="部長検索" sheetId="28" r:id="rId31"/>
    <sheet state="hidden" name="重複チェック" sheetId="29" r:id="rId32"/>
    <sheet state="visible" name="本部長検索" sheetId="30" r:id="rId33"/>
    <sheet state="visible" name="本部部署" sheetId="31" r:id="rId34"/>
    <sheet state="visible" name="Yesod" sheetId="32" r:id="rId35"/>
    <sheet state="visible" name="Agentspace" sheetId="33" r:id="rId36"/>
    <sheet state="visible" name="退職者" sheetId="34" r:id="rId37"/>
    <sheet state="visible" name="部署遍歴" sheetId="35" r:id="rId38"/>
    <sheet state="visible" name="source isilon_divまとめ" sheetId="36" r:id="rId39"/>
    <sheet state="visible" name="source isilon_Projectまとめ" sheetId="37" r:id="rId40"/>
    <sheet state="visible" name="source merged_div_data" sheetId="38" r:id="rId41"/>
    <sheet state="visible" name="source NetApp-file-sv01-div" sheetId="39" r:id="rId42"/>
    <sheet state="visible" name="source NetApp-file-sv01～03-Proj" sheetId="40" r:id="rId43"/>
    <sheet state="visible" name="source isilon-Project-du" sheetId="41" r:id="rId44"/>
  </sheets>
  <definedNames>
    <definedName hidden="1" localSheetId="3" name="_xlnm._FilterDatabase">'（旧）div'!$A$1:$G$521</definedName>
    <definedName hidden="1" localSheetId="4" name="_xlnm._FilterDatabase">'(旧)project'!$A$4:$V$273</definedName>
    <definedName hidden="1" localSheetId="13" name="_xlnm._FilterDatabase">'（新）div _bk'!$A$1:$N$685</definedName>
    <definedName hidden="1" localSheetId="14" name="_xlnm._FilterDatabase">'（新）project-2'!$A$4:$L$325</definedName>
    <definedName hidden="1" localSheetId="16" name="_xlnm._FilterDatabase">'（新）project_bk'!$A$4:$W$269</definedName>
    <definedName hidden="1" localSheetId="18" name="_xlnm._FilterDatabase">'各フォルダ詳細'!$A$2:$BZ$489</definedName>
    <definedName hidden="1" localSheetId="19" name="_xlnm._FilterDatabase">'0file部署遍歴最終更新確認'!$A$1:$G$498</definedName>
    <definedName hidden="1" localSheetId="29" name="_xlnm._FilterDatabase">'本部長検索'!$A$1:$Z$2803</definedName>
    <definedName hidden="1" localSheetId="30" name="_xlnm._FilterDatabase">'本部部署'!$A$1:$C$9032</definedName>
    <definedName hidden="1" localSheetId="32" name="_xlnm._FilterDatabase">Agentspace!$A$1:$R$1013</definedName>
    <definedName hidden="1" localSheetId="34" name="_xlnm._FilterDatabase">'部署遍歴'!$A$1:$E$148</definedName>
    <definedName hidden="1" localSheetId="14" name="Z_52298433_EC3F_487F_953D_E02EC2F3755B_.wvu.FilterData">'（新）project-2'!$A$4:$J$325</definedName>
    <definedName hidden="1" localSheetId="16" name="Z_D7392DF2_DED5_43DC_8AED_E1585F47BCF1_.wvu.FilterData">'（新）project_bk'!$A$4:$W$269</definedName>
    <definedName hidden="1" localSheetId="14" name="Z_5FB54E22_F1CB_4257_9B67_803D4ECE88C4_.wvu.FilterData">'（新）project-2'!$A$4:$J$325</definedName>
    <definedName hidden="1" localSheetId="16" name="Z_5FB54E22_F1CB_4257_9B67_803D4ECE88C4_.wvu.FilterData">'（新）project_bk'!$A$4:$T$269</definedName>
    <definedName hidden="1" localSheetId="16" name="Z_4DEA5A17_5CA4_4056_9FEE_56C0E4A7129F_.wvu.FilterData">'（新）project_bk'!$A$4:$T$269</definedName>
    <definedName hidden="1" localSheetId="10" name="Z_83CC0374_9D1B_4FF5_A123_ECF9D65C3BCD_.wvu.FilterData">'（新）div'!$A$1:$P$498</definedName>
    <definedName hidden="1" localSheetId="16" name="Z_83CC0374_9D1B_4FF5_A123_ECF9D65C3BCD_.wvu.FilterData">'（新）project_bk'!$A$4:$W$269</definedName>
    <definedName hidden="1" localSheetId="10" name="Z_F7B26469_9DA0_467D_B3C8_EE61D3009939_.wvu.FilterData">'（新）div'!$A$1:$O$685</definedName>
    <definedName hidden="1" localSheetId="13" name="Z_F7B26469_9DA0_467D_B3C8_EE61D3009939_.wvu.FilterData">'（新）div _bk'!$A$1:$N$685</definedName>
    <definedName hidden="1" localSheetId="19" name="Z_F7B26469_9DA0_467D_B3C8_EE61D3009939_.wvu.FilterData">'0file部署遍歴最終更新確認'!$A$1:$B$498</definedName>
    <definedName hidden="1" localSheetId="14" name="Z_A2DD9A4E_E606_43D6_BD19_E54F611B2CB6_.wvu.FilterData">'（新）project-2'!$A$4:$J$325</definedName>
    <definedName hidden="1" localSheetId="16" name="Z_A2DD9A4E_E606_43D6_BD19_E54F611B2CB6_.wvu.FilterData">'（新）project_bk'!$A$4:$T$269</definedName>
    <definedName hidden="1" localSheetId="14" name="Z_73409713_43FA_4453_9359_3E50EAC9253C_.wvu.FilterData">'（新）project-2'!$A$4:$J$325</definedName>
    <definedName hidden="1" localSheetId="16" name="Z_73409713_43FA_4453_9359_3E50EAC9253C_.wvu.FilterData">'（新）project_bk'!$A$4:$T$269</definedName>
    <definedName hidden="1" localSheetId="10" name="Z_D848EDFF_2B5F_48B8_A8E0_2EFD137DDB06_.wvu.FilterData">'（新）div'!$A$1:$O$685</definedName>
    <definedName hidden="1" localSheetId="13" name="Z_D848EDFF_2B5F_48B8_A8E0_2EFD137DDB06_.wvu.FilterData">'（新）div _bk'!$A$1:$N$685</definedName>
    <definedName hidden="1" localSheetId="19" name="Z_D848EDFF_2B5F_48B8_A8E0_2EFD137DDB06_.wvu.FilterData">'0file部署遍歴最終更新確認'!$A$1:$B$498</definedName>
    <definedName hidden="1" localSheetId="10" name="Z_1EE54929_8933_44E4_85F3_B334003C8BB0_.wvu.FilterData">'（新）div'!$A$1:$O$685</definedName>
    <definedName hidden="1" localSheetId="13" name="Z_1EE54929_8933_44E4_85F3_B334003C8BB0_.wvu.FilterData">'（新）div _bk'!$A$1:$M$685</definedName>
    <definedName hidden="1" localSheetId="19" name="Z_1EE54929_8933_44E4_85F3_B334003C8BB0_.wvu.FilterData">'0file部署遍歴最終更新確認'!$A$1:$B$498</definedName>
    <definedName hidden="1" localSheetId="10" name="Z_5F737215_684E_4514_B2D8_73A887334D90_.wvu.FilterData">'（新）div'!$A$1:$M$498</definedName>
    <definedName hidden="1" localSheetId="14" name="Z_5F737215_684E_4514_B2D8_73A887334D90_.wvu.FilterData">'（新）project-2'!$A$4:$J$325</definedName>
    <definedName hidden="1" localSheetId="10" name="Z_1502D847_3F41_42DB_8C67_07FBA2880948_.wvu.FilterData">'（新）div'!$A$1:$M$498</definedName>
    <definedName hidden="1" localSheetId="10" name="Z_3F512EAA_FF12_4BDE_8DF4_23B9F9EEE442_.wvu.FilterData">'（新）div'!$A$1:$O$685</definedName>
    <definedName hidden="1" localSheetId="13" name="Z_3F512EAA_FF12_4BDE_8DF4_23B9F9EEE442_.wvu.FilterData">'（新）div _bk'!$A$1:$N$685</definedName>
    <definedName hidden="1" localSheetId="19" name="Z_3F512EAA_FF12_4BDE_8DF4_23B9F9EEE442_.wvu.FilterData">'0file部署遍歴最終更新確認'!$A$1:$B$498</definedName>
  </definedNames>
  <calcPr/>
  <customWorkbookViews>
    <customWorkbookView activeSheetId="0" maximized="1" windowHeight="0" windowWidth="0" guid="{83CC0374-9D1B-4FF5-A123-ECF9D65C3BCD}" name="LastEditなし"/>
    <customWorkbookView activeSheetId="0" maximized="1" windowHeight="0" windowWidth="0" guid="{A2DD9A4E-E606-43D6-BD19-E54F611B2CB6}" name="退職（部署不明）"/>
    <customWorkbookView activeSheetId="0" maximized="1" windowHeight="0" windowWidth="0" guid="{F7B26469-9DA0-467D-B3C8-EE61D3009939}" name="合致"/>
    <customWorkbookView activeSheetId="0" maximized="1" windowHeight="0" windowWidth="0" guid="{52298433-EC3F-487F-953D-E02EC2F3755B}" name="退職"/>
    <customWorkbookView activeSheetId="0" maximized="1" windowHeight="0" windowWidth="0" guid="{D7392DF2-DED5-43DC-8AED-E1585F47BCF1}" name="LastEditDate NA &amp; データサイズNA"/>
    <customWorkbookView activeSheetId="0" maximized="1" windowHeight="0" windowWidth="0" guid="{1502D847-3F41-42DB-8C67-07FBA2880948}" name="ファイル有 &amp; 最終更新日なし"/>
    <customWorkbookView activeSheetId="0" maximized="1" windowHeight="0" windowWidth="0" guid="{5F737215-684E-4514-B2D8-73A887334D90}" name="戸谷作業"/>
    <customWorkbookView activeSheetId="0" maximized="1" windowHeight="0" windowWidth="0" guid="{5FB54E22-F1CB-4257-9B67-803D4ECE88C4}" name="管理者不明"/>
    <customWorkbookView activeSheetId="0" maximized="1" windowHeight="0" windowWidth="0" guid="{73409713-43FA-4453-9359-3E50EAC9253C}" name="在籍"/>
    <customWorkbookView activeSheetId="0" maximized="1" windowHeight="0" windowWidth="0" guid="{3F512EAA-FF12-4BDE-8DF4-23B9F9EEE442}" name="仮説"/>
    <customWorkbookView activeSheetId="0" maximized="1" windowHeight="0" windowWidth="0" guid="{1EE54929-8933-44E4-85F3-B334003C8BB0}" name="0file"/>
    <customWorkbookView activeSheetId="0" maximized="1" windowHeight="0" windowWidth="0" guid="{4DEA5A17-5CA4-4056-9FEE-56C0E4A7129F}" name="退職（部署判明）"/>
    <customWorkbookView activeSheetId="0" maximized="1" windowHeight="0" windowWidth="0" guid="{D848EDFF-2B5F-48B8-A8E0-2EFD137DDB06}" name="不明/廃止"/>
  </customWorkbookViews>
</workbook>
</file>

<file path=xl/sharedStrings.xml><?xml version="1.0" encoding="utf-8"?>
<sst xmlns="http://schemas.openxmlformats.org/spreadsheetml/2006/main" count="164317" uniqueCount="35305">
  <si>
    <t>異動先事業本部</t>
  </si>
  <si>
    <t>異動先部</t>
  </si>
  <si>
    <t>異動先G</t>
  </si>
  <si>
    <t>CS本部</t>
  </si>
  <si>
    <t>CS部</t>
  </si>
  <si>
    <t>運用G</t>
  </si>
  <si>
    <t>CS本部(部なし)</t>
  </si>
  <si>
    <t>CS本部(Gなし)</t>
  </si>
  <si>
    <t>CREG</t>
  </si>
  <si>
    <t>CX部</t>
  </si>
  <si>
    <t>CX部(Gなし)</t>
  </si>
  <si>
    <t>EnhancementG</t>
  </si>
  <si>
    <t>CS部(Gなし)</t>
  </si>
  <si>
    <t>健全化G</t>
  </si>
  <si>
    <t>CooperationG</t>
  </si>
  <si>
    <t>DXﾊﾟｰﾄﾅｰ事業本部</t>
  </si>
  <si>
    <t>広告&amp;ｿﾘｭｰｼｮﾝ事業部</t>
  </si>
  <si>
    <t>広告&amp;ｿﾘｭｰｼｮﾝ事業部(Gなし)</t>
  </si>
  <si>
    <t>DXﾊﾟｰﾄﾅｰ事業本部(部なし)</t>
  </si>
  <si>
    <t>DXﾊﾟｰﾄﾅｰ事業本部(Gなし)</t>
  </si>
  <si>
    <t>ﾋﾞｼﾞﾈｽﾌﾟﾛﾃﾞｭｰｽG</t>
  </si>
  <si>
    <t>ｿﾘｭｰｼｮﾝG</t>
  </si>
  <si>
    <t>netkeiba事業本部</t>
  </si>
  <si>
    <t>映像&amp;編集部</t>
  </si>
  <si>
    <t>映像&amp;編集部(Gなし)</t>
  </si>
  <si>
    <t>netkeiba事業本部(部なし)</t>
  </si>
  <si>
    <t>netkeiba事業本部(Gなし)</t>
  </si>
  <si>
    <t>ﾌﾟﾚﾐｱﾑｻｰﾋﾞｽ事業部</t>
  </si>
  <si>
    <t>ﾌﾟﾚﾐｱﾑｻｰﾋﾞｽ事業部(Gなし)</t>
  </si>
  <si>
    <t>予想ｻｰﾋﾞｽ事業部</t>
  </si>
  <si>
    <t>予想ｻｰﾋﾞｽ事業部(Gなし)</t>
  </si>
  <si>
    <t>ｳﾏい馬券G</t>
  </si>
  <si>
    <t>次世代ｻｰﾋﾞｽ事業部</t>
  </si>
  <si>
    <t>次世代ｻｰﾋﾞｽ事業部(Gなし)</t>
  </si>
  <si>
    <t>次世代ｻｰﾋﾞｽG</t>
  </si>
  <si>
    <t>ｺﾏｰｽ事業部</t>
  </si>
  <si>
    <t>ｺﾏｰｽ事業部(Gなし)</t>
  </si>
  <si>
    <t>ｵｰﾅｰｽﾞG</t>
  </si>
  <si>
    <t>Vantageｽﾀｼﾞｵ</t>
  </si>
  <si>
    <t>Romi事業部</t>
  </si>
  <si>
    <t>Romi事業部(Gなし)</t>
  </si>
  <si>
    <t>Vantageｽﾀｼﾞｵ(部なし)</t>
  </si>
  <si>
    <t>Vantageｽﾀｼﾞｵ(Gなし)</t>
  </si>
  <si>
    <t>事業推進室</t>
  </si>
  <si>
    <t>事業推進室(Gなし)</t>
  </si>
  <si>
    <t>mercuryG</t>
  </si>
  <si>
    <t>事業推進G</t>
  </si>
  <si>
    <t>新規事業G</t>
  </si>
  <si>
    <t>mixi事業部</t>
  </si>
  <si>
    <t>ﾊﾟｰﾄﾅｰﾋﾞｼﾞﾈｽG</t>
  </si>
  <si>
    <t>開発2G</t>
  </si>
  <si>
    <t>minimo事業部</t>
  </si>
  <si>
    <t>CSG</t>
  </si>
  <si>
    <t>開発1G</t>
  </si>
  <si>
    <t>mixi事業部(Gなし)</t>
  </si>
  <si>
    <t>UX企画G</t>
  </si>
  <si>
    <t>開発G</t>
  </si>
  <si>
    <t>ｼｽﾃﾑ開発G</t>
  </si>
  <si>
    <t>ﾌﾟﾛﾀﾞｸﾄ開発G</t>
  </si>
  <si>
    <t>BizDevG</t>
  </si>
  <si>
    <t>minimo事業部(Gなし)</t>
  </si>
  <si>
    <t>ﾃﾞｻﾞｲﾝG</t>
  </si>
  <si>
    <t>ﾏｰｹﾃｨﾝｸﾞG</t>
  </si>
  <si>
    <t>choidoraG</t>
  </si>
  <si>
    <t>ﾌﾟﾛﾀﾞｸﾄ推進G</t>
  </si>
  <si>
    <t>ﾛﾎﾞｯﾄ開発G</t>
  </si>
  <si>
    <t>ｴﾝﾀｰﾃｲﾝﾒﾝﾄｸﾘｴｲｼｮﾝ室本部格</t>
  </si>
  <si>
    <t>ｴﾝﾀｰﾃｲﾝﾒﾝﾄｸﾘｴｲｼｮﾝ室</t>
  </si>
  <si>
    <t>ｴﾝﾀｰﾃｲﾝﾒﾝﾄｸﾘｴｲｼｮﾝ室(Gなし)</t>
  </si>
  <si>
    <t>ｴﾝﾀｰﾃｲﾝﾒﾝﾄｸﾘｴｲｼｮﾝ室本部格(部なし)</t>
  </si>
  <si>
    <t>ｴﾝﾀｰﾃｲﾝﾒﾝﾄｸﾘｴｲｼｮﾝ室本部格(Gなし)</t>
  </si>
  <si>
    <t>ｺｰﾎﾟﾚｰﾄﾃﾞﾍﾞﾛｯﾌﾟﾒﾝﾄ本部</t>
  </si>
  <si>
    <t>事業企画推進部</t>
  </si>
  <si>
    <t>PiconｸﾞﾛｰｽG</t>
  </si>
  <si>
    <t>投資事業部</t>
  </si>
  <si>
    <t>投資ｵﾍﾟﾚｰｼｮﾝG</t>
  </si>
  <si>
    <t>ｺｰﾎﾟﾚｰﾄﾃﾞﾍﾞﾛｯﾌﾟﾒﾝﾄ本部(部なし)</t>
  </si>
  <si>
    <t>ｺｰﾎﾟﾚｰﾄﾃﾞﾍﾞﾛｯﾌﾟﾒﾝﾄ本部(Gなし)</t>
  </si>
  <si>
    <t>MGIG</t>
  </si>
  <si>
    <t>国内投資G</t>
  </si>
  <si>
    <t>投資事業部(Gなし)</t>
  </si>
  <si>
    <t>Integration Management部</t>
  </si>
  <si>
    <t>Integration Management部(Gなし)</t>
  </si>
  <si>
    <t>ｺｰﾎﾟﾚｰﾄ支援G</t>
  </si>
  <si>
    <t>BPRG</t>
  </si>
  <si>
    <t>事業企画推進部(Gなし)</t>
  </si>
  <si>
    <t>ﾌﾟﾗﾝﾆﾝｸﾞG</t>
  </si>
  <si>
    <t>投資戦略G</t>
  </si>
  <si>
    <t>海外投資G</t>
  </si>
  <si>
    <t>ｺｰﾎﾟﾚｰﾄﾌｧｲﾅﾝｽ本部</t>
  </si>
  <si>
    <t>経理税務部</t>
  </si>
  <si>
    <t>経理G</t>
  </si>
  <si>
    <t>経理税務部(Gなし)</t>
  </si>
  <si>
    <t>ｺｰﾎﾟﾚｰﾄﾌｧｲﾅﾝｽ本部(部なし)</t>
  </si>
  <si>
    <t>ｺｰﾎﾟﾚｰﾄﾌｧｲﾅﾝｽ本部(Gなし)</t>
  </si>
  <si>
    <t>連結開示G</t>
  </si>
  <si>
    <t>税務・資産管理G</t>
  </si>
  <si>
    <t>財務企画部</t>
  </si>
  <si>
    <t>財務企画部(Gなし)</t>
  </si>
  <si>
    <t>IRG</t>
  </si>
  <si>
    <t>財務G</t>
  </si>
  <si>
    <t>ｺﾝﾌﾟﾗｲｱﾝｽ本部</t>
  </si>
  <si>
    <t>ｺﾝﾌﾟﾗｲｱﾝｽ本部(部なし)</t>
  </si>
  <si>
    <t>ｺﾝﾌﾟﾗｲｱﾝｽ本部(Gなし)</t>
  </si>
  <si>
    <t>法務部</t>
  </si>
  <si>
    <t>法務G</t>
  </si>
  <si>
    <t>知財室</t>
  </si>
  <si>
    <t>商標・著作権G</t>
  </si>
  <si>
    <t>ｵﾍﾟﾚｰｼｮﾝG</t>
  </si>
  <si>
    <t>法務部(Gなし)</t>
  </si>
  <si>
    <t>戦略G</t>
  </si>
  <si>
    <t>ｺﾝﾌﾟﾗｲｱﾝｽG</t>
  </si>
  <si>
    <t>知財室(Gなし)</t>
  </si>
  <si>
    <t>特許G</t>
  </si>
  <si>
    <t>渉外G</t>
  </si>
  <si>
    <t>ｻｰﾋﾞｽ推進開発本部</t>
  </si>
  <si>
    <t>ｻｰﾋﾞｽ推進部</t>
  </si>
  <si>
    <t>品質G</t>
  </si>
  <si>
    <t>開発部</t>
  </si>
  <si>
    <t>ｲﾝﾌﾗG</t>
  </si>
  <si>
    <t>ｻｰﾋﾞｽ推進開発本部(部なし)</t>
  </si>
  <si>
    <t>ｻｰﾋﾞｽ推進開発本部(Gなし)</t>
  </si>
  <si>
    <t>運営G</t>
  </si>
  <si>
    <t>開発第3G</t>
  </si>
  <si>
    <t>制作部</t>
  </si>
  <si>
    <t>制作部(Gなし)</t>
  </si>
  <si>
    <t>ﾏｰｸｱｯﾌﾟG</t>
  </si>
  <si>
    <t>ｻｰﾋﾞｽ推進部(Gなし)</t>
  </si>
  <si>
    <t>ﾋﾞｼﾞﾈｽﾌﾟﾗｯﾄﾌｫｰﾑG</t>
  </si>
  <si>
    <t>開発第2G</t>
  </si>
  <si>
    <t>AI開発G</t>
  </si>
  <si>
    <t>開発部(Gなし)</t>
  </si>
  <si>
    <t>開発第1G</t>
  </si>
  <si>
    <t>ｾｷｭﾘﾃｨ室本部格</t>
  </si>
  <si>
    <t>ｾｷｭﾘﾃｨ室本部格(部なし)</t>
  </si>
  <si>
    <t>ｾｷｭﾘﾃｨ室本部格(Gなし)</t>
  </si>
  <si>
    <t>ｾｷｭﾘﾃｨ室</t>
  </si>
  <si>
    <t>ｾｷｭﾘﾃｨ室(Gなし)</t>
  </si>
  <si>
    <t>ｾｷｭﾘﾃｨ管理推進G</t>
  </si>
  <si>
    <t>ｾｷｭﾘﾃｨ技術G</t>
  </si>
  <si>
    <t>ｿｰｼｬﾙﾍﾞｯﾃｨﾝｸﾞ事業本部</t>
  </si>
  <si>
    <t>価値創造室</t>
  </si>
  <si>
    <t>ｺﾝﾃﾝﾂG</t>
  </si>
  <si>
    <t>TIPSTAR事業部</t>
  </si>
  <si>
    <t>ﾁｬﾘ・ﾛﾄ事業部</t>
  </si>
  <si>
    <t>ﾌﾟﾛﾀﾞｸﾄ戦略G</t>
  </si>
  <si>
    <t>ﾌﾟﾛﾀﾞｸﾄG</t>
  </si>
  <si>
    <t>事業推進1G</t>
  </si>
  <si>
    <t>開発室</t>
  </si>
  <si>
    <t>新規開発G</t>
  </si>
  <si>
    <t>AIｲﾉﾍﾞｰｼｮﾝG</t>
  </si>
  <si>
    <t>ｿｰｼｬﾙﾍﾞｯﾃｨﾝｸﾞ事業本部(部なし)</t>
  </si>
  <si>
    <t>ｿｰｼｬﾙﾍﾞｯﾃｨﾝｸﾞ事業本部(Gなし)</t>
  </si>
  <si>
    <t>開発室(Gなし)</t>
  </si>
  <si>
    <t>価値創造室(Gなし)</t>
  </si>
  <si>
    <t>事業財務戦略室</t>
  </si>
  <si>
    <t>ﾁｬﾘ・ﾛﾄ事業部(Gなし)</t>
  </si>
  <si>
    <t>ﾈｯﾄﾄﾞﾘｰﾏｰｽﾞ事業部</t>
  </si>
  <si>
    <t>QAG</t>
  </si>
  <si>
    <t>TIPSTAR事業部(Gなし)</t>
  </si>
  <si>
    <t>ﾈｯﾄﾄﾞﾘｰﾏｰｽﾞ事業部(Gなし)</t>
  </si>
  <si>
    <t>管理G</t>
  </si>
  <si>
    <t>事業財務戦略室(Gなし)</t>
  </si>
  <si>
    <t>新規ﾌﾟﾛﾀﾞｸﾄ開発室</t>
  </si>
  <si>
    <t>新規ﾌﾟﾛﾀﾞｸﾄ開発室(Gなし)</t>
  </si>
  <si>
    <t>ﾀﾞﾐｰｱｲ・ﾏｰｷｭﾘｰｷｬﾋﾟﾀﾙ株式会社</t>
  </si>
  <si>
    <t>ﾀﾞﾐｰｱｲ・ﾏｰｷｭﾘｰｷｬﾋﾟﾀﾙ株式会社(部なし)</t>
  </si>
  <si>
    <t>ﾀﾞﾐｰｱｲ・ﾏｰｷｭﾘｰｷｬﾋﾟﾀﾙ株式会社(Gなし)</t>
  </si>
  <si>
    <t>ﾀﾞﾐｰ株式会社MIXI EMPOWERMENT</t>
  </si>
  <si>
    <t>業務推進部</t>
  </si>
  <si>
    <t>業務推進G</t>
  </si>
  <si>
    <t>ﾀﾞﾐｰ株式会社MIXI EMPOWERMENT(部なし)</t>
  </si>
  <si>
    <t>ﾀﾞﾐｰ株式会社MIXI EMPOWERMENT(Gなし)</t>
  </si>
  <si>
    <t>企画推進部</t>
  </si>
  <si>
    <t>企画推進G</t>
  </si>
  <si>
    <t>業務推進部(Gなし)</t>
  </si>
  <si>
    <t>企画推進部(Gなし)</t>
  </si>
  <si>
    <t>ﾀﾞﾐｰ株式会社TOKYOBAYｱﾘｰﾅﾏﾈｼﾞﾒﾝﾄ</t>
  </si>
  <si>
    <t>ﾀﾞﾐｰ株式会社TOKYOBAYｱﾘｰﾅﾏﾈｼﾞﾒﾝﾄ(部なし)</t>
  </si>
  <si>
    <t>ﾀﾞﾐｰ株式会社TOKYOBAYｱﾘｰﾅﾏﾈｼﾞﾒﾝﾄ(Gなし)</t>
  </si>
  <si>
    <t>ﾀﾞﾐｰ株式会社ﾁｬﾘ・ﾛﾄ</t>
  </si>
  <si>
    <t>ﾀﾞﾐｰ株式会社ﾁｬﾘ・ﾛﾄ(部なし)</t>
  </si>
  <si>
    <t>ﾀﾞﾐｰ株式会社ﾁｬﾘ・ﾛﾄ(Gなし)</t>
  </si>
  <si>
    <t>ﾀﾞﾐｰ株式会社ﾈｯﾄﾄﾞﾘｰﾏｰｽﾞ</t>
  </si>
  <si>
    <t>ﾀﾞﾐｰ株式会社ﾈｯﾄﾄﾞﾘｰﾏｰｽﾞ(部なし)</t>
  </si>
  <si>
    <t>ﾀﾞﾐｰ株式会社ﾈｯﾄﾄﾞﾘｰﾏｰｽﾞ(Gなし)</t>
  </si>
  <si>
    <t>内部監査室</t>
  </si>
  <si>
    <t>内部監査室(Gなし)</t>
  </si>
  <si>
    <t>社長室</t>
  </si>
  <si>
    <t>社長室(Gなし)</t>
  </si>
  <si>
    <t>ﾋﾞｼﾞﾈｽｸﾞﾛｰｽ室</t>
  </si>
  <si>
    <t>ﾋﾞｼﾞﾈｽｸﾞﾛｰｽ室(Gなし)</t>
  </si>
  <si>
    <t>ﾃﾞｻﾞｲﾝ本部</t>
  </si>
  <si>
    <t>ﾃﾞｻﾞｲﾝ本部(部なし)</t>
  </si>
  <si>
    <t>ﾃﾞｻﾞｲﾝ本部(Gなし)</t>
  </si>
  <si>
    <t>ﾌﾟﾛﾀﾞｸﾄﾃﾞｻﾞｲﾝ室</t>
  </si>
  <si>
    <t>ｴｸｽﾍﾟﾘｴﾝｽﾃﾞｻﾞｲﾝ第2G</t>
  </si>
  <si>
    <t>動画ｸﾘｴｲﾃｨﾌﾞ室</t>
  </si>
  <si>
    <t>ｸﾘｴｲﾃｨﾌﾞｻｳﾝﾄﾞG</t>
  </si>
  <si>
    <t>ｺﾝﾃﾝﾂﾃﾞｨﾚｸｼｮﾝ第1G</t>
  </si>
  <si>
    <t>ﾌﾞﾗﾝﾄﾞﾃﾞｻﾞｲﾝ室</t>
  </si>
  <si>
    <t>ﾏﾈｼﾞﾒﾝﾄG</t>
  </si>
  <si>
    <t>ﾃｸﾆｶﾙﾃﾞｻﾞｲﾝ室</t>
  </si>
  <si>
    <t>ｴﾝｼﾞﾆｱﾘﾝｸﾞG</t>
  </si>
  <si>
    <t>ﾃｸﾆｶﾙﾃﾞｻﾞｲﾝG</t>
  </si>
  <si>
    <t>ﾃｸﾆｶﾙﾃﾞｻﾞｲﾝ室(Gなし)</t>
  </si>
  <si>
    <t>ﾃﾞｼﾞﾀﾙｴﾝﾀｰﾃｲﾝﾒﾝﾄ支援G</t>
  </si>
  <si>
    <t>ﾃﾞｻﾞｲﾅｰﾘﾚｰｼｮﾝG</t>
  </si>
  <si>
    <t>ﾌﾞﾗﾝﾃﾞｨﾝｸﾞG</t>
  </si>
  <si>
    <t>ﾌﾞﾗﾝﾄﾞﾃﾞｻﾞｲﾝ室(Gなし)</t>
  </si>
  <si>
    <t>ｴｸｽﾍﾟﾘｴﾝｽﾃﾞｻﾞｲﾝ第1G</t>
  </si>
  <si>
    <t>ｴｸｽﾍﾟﾘｴﾝｽﾃﾞｻﾞｲﾝ第3G</t>
  </si>
  <si>
    <t>ﾌﾟﾛﾀﾞｸﾄﾃﾞｻﾞｲﾝ室(Gなし)</t>
  </si>
  <si>
    <t>CGﾃﾞｻﾞｲﾝG</t>
  </si>
  <si>
    <t>ｺﾝﾃﾝﾂﾃﾞｨﾚｸｼｮﾝ第2G</t>
  </si>
  <si>
    <t>動画ｸﾘｴｲﾃｨﾌﾞ室(Gなし)</t>
  </si>
  <si>
    <t>ﾃﾞｼﾞﾀﾙｴﾝﾀｰﾃｲﾝﾒﾝﾄｵﾍﾟﾚｰｼｮﾝｽﾞ本部</t>
  </si>
  <si>
    <t>ﾓﾝｽﾄIPｸﾘｴｲｼｮﾝ部</t>
  </si>
  <si>
    <t>ﾓﾝｽﾄIPｸﾘｴｲｼｮﾝ部(Gなし)</t>
  </si>
  <si>
    <t>ﾓﾝｽﾄ運営部</t>
  </si>
  <si>
    <t>ｹﾞｰﾑﾃﾞｻﾞｲﾝG</t>
  </si>
  <si>
    <t>ｺﾄﾀﾞﾏﾝ制作部</t>
  </si>
  <si>
    <t>制作運用G</t>
  </si>
  <si>
    <t>事業戦略部</t>
  </si>
  <si>
    <t>ﾒﾀｽﾄG</t>
  </si>
  <si>
    <t>ﾓﾝｽﾄ開発部</t>
  </si>
  <si>
    <t>ﾓﾝｽﾄｻｰﾊﾞ1G</t>
  </si>
  <si>
    <t>IPﾏｰｹﾃｨﾝｸﾞG</t>
  </si>
  <si>
    <t>ﾓﾝｽﾄｻｰﾊﾞ2G</t>
  </si>
  <si>
    <t>PJ支援G</t>
  </si>
  <si>
    <t>ﾌｧﾝﾏｰｹﾃｨﾝｸﾞ部</t>
  </si>
  <si>
    <t>ﾗｲｾﾝｽG</t>
  </si>
  <si>
    <t>ｷｬﾗﾌﾟﾛG</t>
  </si>
  <si>
    <t>事業戦略部(Gなし)</t>
  </si>
  <si>
    <t>ﾃﾞｼﾞﾀﾙｴﾝﾀｰﾃｲﾝﾒﾝﾄｵﾍﾟﾚｰｼｮﾝｽﾞ本部(部なし)</t>
  </si>
  <si>
    <t>ﾃﾞｼﾞﾀﾙｴﾝﾀｰﾃｲﾝﾒﾝﾄｵﾍﾟﾚｰｼｮﾝｽﾞ本部(Gなし)</t>
  </si>
  <si>
    <t>ﾓﾝｽﾄ運営部(Gなし)</t>
  </si>
  <si>
    <t>ｺﾄﾀﾞﾏﾝ制作部(Gなし)</t>
  </si>
  <si>
    <t>ｺﾄﾀﾞﾏﾝ運営部</t>
  </si>
  <si>
    <t>ｺﾄﾀﾞﾏﾝ運営部(Gなし)</t>
  </si>
  <si>
    <t>ﾌﾟﾗｯﾄﾌｫｰﾑ開発G</t>
  </si>
  <si>
    <t>ﾌﾟﾛｼﾞｪｸﾄ推進G</t>
  </si>
  <si>
    <t>ﾌﾟﾛﾀﾞｸﾄｴﾝｼﾞﾆｱG</t>
  </si>
  <si>
    <t>ﾌﾟﾛﾀﾞｸﾄ開発AG</t>
  </si>
  <si>
    <t>ﾌﾟﾛﾀﾞｸﾄ開発BG</t>
  </si>
  <si>
    <t>運営設計G</t>
  </si>
  <si>
    <t>UIﾃﾞｻﾞｲﾝG</t>
  </si>
  <si>
    <t>ｱｰﾄG</t>
  </si>
  <si>
    <t>ｱﾆﾒｰｼｮﾝG</t>
  </si>
  <si>
    <t>ｺﾝﾃﾝﾂﾌﾟﾗﾝﾆﾝｸﾞG</t>
  </si>
  <si>
    <t>ﾗｲﾂG</t>
  </si>
  <si>
    <t>宣伝部</t>
  </si>
  <si>
    <t>ﾌﾟﾛﾓｰｼｮﾝG</t>
  </si>
  <si>
    <t>ﾌｧﾝﾏｰｹﾃｨﾝｸﾞ部(Gなし)</t>
  </si>
  <si>
    <t>動画G</t>
  </si>
  <si>
    <t>ﾃﾞｨﾚｸﾀｰG</t>
  </si>
  <si>
    <t>ｸﾗｲｱﾝﾄ1G</t>
  </si>
  <si>
    <t>海外ﾌﾟﾛﾓｰｼｮﾝG</t>
  </si>
  <si>
    <t>UI・UXﾃﾞｻﾞｲﾝG</t>
  </si>
  <si>
    <t>ｲﾍﾞﾝﾄ1G</t>
  </si>
  <si>
    <t>MD事業開発G</t>
  </si>
  <si>
    <t>ｺﾗﾎﾞ推進G</t>
  </si>
  <si>
    <t>ｹﾞｰﾑ推進G</t>
  </si>
  <si>
    <t>ﾃﾞｼﾞﾀﾙﾏｰｹﾃｨﾝｸﾞG</t>
  </si>
  <si>
    <t>ｱｰﾄ第1G</t>
  </si>
  <si>
    <t>ｱｰﾄ第2G</t>
  </si>
  <si>
    <t>映像G</t>
  </si>
  <si>
    <t>ﾕｰｻﾞｰｺﾐｭﾆｹｰｼｮﾝG</t>
  </si>
  <si>
    <t>Global DirectionG</t>
  </si>
  <si>
    <t>宣伝部(Gなし)</t>
  </si>
  <si>
    <t>ｸﾗｲｱﾝﾄ2G</t>
  </si>
  <si>
    <t>ｹﾞｰﾑ企画G</t>
  </si>
  <si>
    <t>ｻｳﾝﾄﾞG</t>
  </si>
  <si>
    <t>解析G</t>
  </si>
  <si>
    <t>ｵｳﾝﾄﾞG</t>
  </si>
  <si>
    <t>ｲﾍﾞﾝﾄｼｽﾃﾑG</t>
  </si>
  <si>
    <t>IP戦略G</t>
  </si>
  <si>
    <t>ﾓﾝｽﾄ開発部(Gなし)</t>
  </si>
  <si>
    <t>ITｾｷｭﾘﾃｨ管理G</t>
  </si>
  <si>
    <t>ﾏｰｹﾃｨﾝｸﾞ戦略G</t>
  </si>
  <si>
    <t>ｲﾍﾞﾝﾄ2G</t>
  </si>
  <si>
    <t>ﾃﾞｼﾞﾀﾙｴﾝﾀｰﾃｲﾝﾒﾝﾄﾊﾟﾌﾞﾘｯｼﾝｸﾞ本部</t>
  </si>
  <si>
    <t>ﾃﾞｼﾞﾀﾙｴﾝﾀｰﾃｲﾝﾒﾝﾄﾊﾟﾌﾞﾘｯｼﾝｸﾞ本部(部なし)</t>
  </si>
  <si>
    <t>ﾃﾞｼﾞﾀﾙｴﾝﾀｰﾃｲﾝﾒﾝﾄﾊﾟﾌﾞﾘｯｼﾝｸﾞ本部(Gなし)</t>
  </si>
  <si>
    <t>事業探索室</t>
  </si>
  <si>
    <t>ｸﾘｴｲｼｮﾝG</t>
  </si>
  <si>
    <t>事業戦略室</t>
  </si>
  <si>
    <t>事業戦略室(Gなし)</t>
  </si>
  <si>
    <t>事業探索室(Gなし)</t>
  </si>
  <si>
    <t>ｸﾞﾛｰﾊﾞﾙﾓﾝｽﾄ室</t>
  </si>
  <si>
    <t>ｸﾞﾛｰﾊﾞﾙﾓﾝｽﾄｴﾝｼﾞﾆｱG</t>
  </si>
  <si>
    <t>RajaG</t>
  </si>
  <si>
    <t>事業戦略G</t>
  </si>
  <si>
    <t>事業企画G</t>
  </si>
  <si>
    <t>ｸﾞﾛｰﾊﾞﾙﾓﾝｽﾄ企画G</t>
  </si>
  <si>
    <t>ｸﾞﾛｰﾊﾞﾙﾓﾝｽﾄ室(Gなし)</t>
  </si>
  <si>
    <t>GvGG</t>
  </si>
  <si>
    <t>ｸﾞﾛｰﾊﾞﾙﾓﾝｽﾄﾃﾞｻﾞｲﾝG</t>
  </si>
  <si>
    <t>はたらく環境推進本部</t>
  </si>
  <si>
    <t>ｺｰﾎﾟﾚｰﾄITｻｰﾋﾞｽ部</t>
  </si>
  <si>
    <t>安全保障G</t>
  </si>
  <si>
    <t>環境整備G</t>
  </si>
  <si>
    <t>ｺｰﾎﾟﾚｰﾄｴﾝｼﾞﾆｱﾘﾝｸﾞ部</t>
  </si>
  <si>
    <t>ｺｰﾎﾟﾚｰﾄｴﾝｼﾞﾆｱﾘﾝｸﾞ部(Gなし)</t>
  </si>
  <si>
    <t>せいかつ環境室</t>
  </si>
  <si>
    <t>せいかつ環境BG</t>
  </si>
  <si>
    <t>せいかつ環境室(Gなし)</t>
  </si>
  <si>
    <t>ﾋﾞｼﾞﾈｽｻﾎﾟｰﾄ室</t>
  </si>
  <si>
    <t>ﾐｭｰｼﾞｯｸﾗｲﾂG</t>
  </si>
  <si>
    <t>はたらく環境推進本部(部なし)</t>
  </si>
  <si>
    <t>はたらく環境推進本部(Gなし)</t>
  </si>
  <si>
    <t>XFLAGｻﾎﾟｰﾄG</t>
  </si>
  <si>
    <t>ﾊﾞｯｸｵﾌｨｽG</t>
  </si>
  <si>
    <t>ﾛｰｶﾗｲｽﾞG</t>
  </si>
  <si>
    <t>せいかつ環境AG</t>
  </si>
  <si>
    <t>ﾎﾞｲｽG</t>
  </si>
  <si>
    <t>ｺｰﾎﾟﾚｰﾄITｻｰﾋﾞｽ部(Gなし)</t>
  </si>
  <si>
    <t>ｸﾞﾛｰﾊﾞﾙﾌﾞﾘｯｼﾞG</t>
  </si>
  <si>
    <t>ﾋﾞｼﾞﾈｽｻﾎﾟｰﾄ室(Gなし)</t>
  </si>
  <si>
    <t>ｲﾝﾌｫﾒｰｼｮﾝﾊﾌﾞG</t>
  </si>
  <si>
    <t>ｱﾌﾟﾘｻｰﾋﾞｽ渉外G</t>
  </si>
  <si>
    <t>事業ｻﾎﾟｰﾄG</t>
  </si>
  <si>
    <t>DXG</t>
  </si>
  <si>
    <t>みてね事業本部</t>
  </si>
  <si>
    <t>みてね事業開発部</t>
  </si>
  <si>
    <t>みてね事業開発部(Gなし)</t>
  </si>
  <si>
    <t>みてねﾏｰｹﾃｨﾝｸﾞ部</t>
  </si>
  <si>
    <t>ﾕｰｻﾞｰｸﾞﾛｰｽG</t>
  </si>
  <si>
    <t>みてねﾌﾟﾗｯﾄﾌｫｰﾑ部</t>
  </si>
  <si>
    <t>みてねﾌﾟﾗｯﾄﾌｫｰﾑ部(Gなし)</t>
  </si>
  <si>
    <t>ｾｷｭﾘﾃｨG</t>
  </si>
  <si>
    <t>みてねﾌﾟﾛﾀﾞｸﾄ開発部</t>
  </si>
  <si>
    <t>ﾌﾟﾛﾀﾞｸﾄ開発MG</t>
  </si>
  <si>
    <t>Data EngineeringG</t>
  </si>
  <si>
    <t>SREG</t>
  </si>
  <si>
    <t>みてねﾌﾟﾛﾀﾞｸﾄ開発部(Gなし)</t>
  </si>
  <si>
    <t>ﾃﾞｻﾞｲﾝ1G</t>
  </si>
  <si>
    <t>BizOpsG</t>
  </si>
  <si>
    <t>みてねﾏｰｹﾃｨﾝｸﾞ部(Gなし)</t>
  </si>
  <si>
    <t>業務支援G</t>
  </si>
  <si>
    <t>事業開発2G</t>
  </si>
  <si>
    <t>ﾃﾞｻﾞｲﾝ2G</t>
  </si>
  <si>
    <t>ﾌﾟﾛﾀﾞｸﾄ開発SG</t>
  </si>
  <si>
    <t>ｱｼﾞｬｲﾙ変革G</t>
  </si>
  <si>
    <t>みてね事業本部(部なし)</t>
  </si>
  <si>
    <t>みてね事業本部(Gなし)</t>
  </si>
  <si>
    <t>事業開発1G</t>
  </si>
  <si>
    <t>ﾌﾟﾛﾀﾞｸﾄ開発DAG</t>
  </si>
  <si>
    <t>ﾃﾞｻﾞｲﾝ3G</t>
  </si>
  <si>
    <t>ﾌﾞﾗﾝﾄﾞ企画営業G</t>
  </si>
  <si>
    <t>ﾌﾟﾛﾀﾞｸﾄ開発ﾓﾀﾞﾅｲｽﾞG</t>
  </si>
  <si>
    <t>ﾌﾟﾛﾀﾞｸﾄ開発DBG</t>
  </si>
  <si>
    <t>ﾌﾟﾛﾀﾞｸﾄ開発ｱﾄﾞG</t>
  </si>
  <si>
    <t>ﾒﾃﾞｨｱ&amp;ﾍﾞｯﾃｨﾝｸﾞ事業本部</t>
  </si>
  <si>
    <t>ﾒﾃﾞｨｱ&amp;ﾍﾞｯﾃｨﾝｸﾞ事業本部(部なし)</t>
  </si>
  <si>
    <t>ﾒﾃﾞｨｱ&amp;ﾍﾞｯﾃｨﾝｸﾞ事業本部(Gなし)</t>
  </si>
  <si>
    <t>競輪事業部</t>
  </si>
  <si>
    <t>競輪企画G</t>
  </si>
  <si>
    <t>競輪編集G</t>
  </si>
  <si>
    <t>事業開発室</t>
  </si>
  <si>
    <t>ﾒﾃﾞｨｱ企画G</t>
  </si>
  <si>
    <t>事業開発室(Gなし)</t>
  </si>
  <si>
    <t>競輪事業部(Gなし)</t>
  </si>
  <si>
    <t>ﾗｲﾌﾞｴｸｽﾍﾟﾘｴﾝｽ事業本部</t>
  </si>
  <si>
    <t>ﾗｲﾌﾞｴｸｽﾍﾟﾘｴﾝｽ事業本部(部なし)</t>
  </si>
  <si>
    <t>ﾗｲﾌﾞｴｸｽﾍﾟﾘｴﾝｽ事業本部(Gなし)</t>
  </si>
  <si>
    <t>ﾊﾞｽｹｯﾄﾎﾞｰﾙ事業部</t>
  </si>
  <si>
    <t>ﾊﾞｽｹｯﾄﾎﾞｰﾙ事業部(Gなし)</t>
  </si>
  <si>
    <t>ﾌｯﾄﾎﾞｰﾙ事業部</t>
  </si>
  <si>
    <t>経営企画G</t>
  </si>
  <si>
    <t>ﾌｧﾝｺﾐｭﾆｹｰｼｮﾝ部</t>
  </si>
  <si>
    <t>ﾌｧﾝｺﾐｭﾆｹｰｼｮﾝ部(Gなし)</t>
  </si>
  <si>
    <t>ｽﾎﾟｰﾂﾏｰｹﾃｨﾝｸﾞDXG</t>
  </si>
  <si>
    <t>ｱﾘｰﾅ事業部</t>
  </si>
  <si>
    <t>HRBPG</t>
  </si>
  <si>
    <t>TBAMG</t>
  </si>
  <si>
    <t>ｴﾝｼﾞﾆｱﾘﾝｸﾞ支援G</t>
  </si>
  <si>
    <t>経営管理G</t>
  </si>
  <si>
    <t>Fansta開発G</t>
  </si>
  <si>
    <t>UnlimG</t>
  </si>
  <si>
    <t>FanstaG</t>
  </si>
  <si>
    <t>ﾌｯﾄﾎﾞｰﾙ事業部(Gなし)</t>
  </si>
  <si>
    <t>ｱﾘｰﾅ事業部(Gなし)</t>
  </si>
  <si>
    <t>ﾍﾞｰｽﾎﾞｰﾙG</t>
  </si>
  <si>
    <t>興行G</t>
  </si>
  <si>
    <t>ﾊﾟｰﾄﾅｰﾏｰｹﾃｨﾝｸﾞG</t>
  </si>
  <si>
    <t>営業本部</t>
  </si>
  <si>
    <t>営業部</t>
  </si>
  <si>
    <t>営業部(Gなし)</t>
  </si>
  <si>
    <t>営業本部(部なし)</t>
  </si>
  <si>
    <t>営業本部(Gなし)</t>
  </si>
  <si>
    <t>開発本部</t>
  </si>
  <si>
    <t>たんぽぽ室</t>
  </si>
  <si>
    <t>たんぽぽ室(Gなし)</t>
  </si>
  <si>
    <t>BOG</t>
  </si>
  <si>
    <t>MIXI M 事業部</t>
  </si>
  <si>
    <t>MIXI M 事業部(Gなし)</t>
  </si>
  <si>
    <t>たんぽぽG</t>
  </si>
  <si>
    <t>MIXI2G</t>
  </si>
  <si>
    <t>CTO室</t>
  </si>
  <si>
    <t>CTO室(Gなし)</t>
  </si>
  <si>
    <t>開発本部(部なし)</t>
  </si>
  <si>
    <t>開発本部(Gなし)</t>
  </si>
  <si>
    <t>ｲﾝﾌﾗ室</t>
  </si>
  <si>
    <t>ﾈｯﾄﾜｰｸ開発G</t>
  </si>
  <si>
    <t>映像開発G</t>
  </si>
  <si>
    <t>EnablementG</t>
  </si>
  <si>
    <t>ｲﾝﾌﾗ室(Gなし)</t>
  </si>
  <si>
    <t>ﾃﾞｰﾀG</t>
  </si>
  <si>
    <t>ﾌﾞﾙｰG</t>
  </si>
  <si>
    <t>ｵﾚﾝｼﾞG</t>
  </si>
  <si>
    <t>AIﾓﾃﾞﾘﾝｸﾞG</t>
  </si>
  <si>
    <t>ﾓﾝｽﾄG</t>
  </si>
  <si>
    <t>ｸﾗｲｱﾝﾄG</t>
  </si>
  <si>
    <t>QA2G</t>
  </si>
  <si>
    <t>開発基盤G</t>
  </si>
  <si>
    <t>AI value designG</t>
  </si>
  <si>
    <t>Platform EngineeringG</t>
  </si>
  <si>
    <t>QA1G</t>
  </si>
  <si>
    <t>株式会社MIXI</t>
  </si>
  <si>
    <t>取締役</t>
  </si>
  <si>
    <t>取締役(Gなし)</t>
  </si>
  <si>
    <t>上級執行役員</t>
  </si>
  <si>
    <t>上級執行役員(Gなし)</t>
  </si>
  <si>
    <t>監査役</t>
  </si>
  <si>
    <t>監査役(Gなし)</t>
  </si>
  <si>
    <t>監査役室本部格</t>
  </si>
  <si>
    <t>監査役室</t>
  </si>
  <si>
    <t>監査役室(Gなし)</t>
  </si>
  <si>
    <t>経営管理本部</t>
  </si>
  <si>
    <t>経営管理部</t>
  </si>
  <si>
    <t>経営管理部(Gなし)</t>
  </si>
  <si>
    <t>経営企画室</t>
  </si>
  <si>
    <t>経営企画室(Gなし)</t>
  </si>
  <si>
    <t>経営管理本部(部なし)</t>
  </si>
  <si>
    <t>経営管理本部(Gなし)</t>
  </si>
  <si>
    <t>管理部</t>
  </si>
  <si>
    <t>管理部(Gなし)</t>
  </si>
  <si>
    <t>総務G</t>
  </si>
  <si>
    <t>人事労務G</t>
  </si>
  <si>
    <t>経営推進本部</t>
  </si>
  <si>
    <t>広報部</t>
  </si>
  <si>
    <t>ｻｽﾃﾅﾋﾞﾘﾃｨ推進G</t>
  </si>
  <si>
    <t>経営企画部</t>
  </si>
  <si>
    <t>企画G</t>
  </si>
  <si>
    <t>ｺｰﾎﾟﾚｰﾄPMG</t>
  </si>
  <si>
    <t>経営ｻﾎﾟｰﾄG</t>
  </si>
  <si>
    <t>ｲﾝﾀｰﾅﾙｺﾐｭﾆｹｰｼｮﾝG</t>
  </si>
  <si>
    <t>ﾌﾟﾛﾀﾞｸﾄPRG</t>
  </si>
  <si>
    <t>ｸﾞﾙｰﾌﾟ会社統括支援部</t>
  </si>
  <si>
    <t>主計第2G</t>
  </si>
  <si>
    <t>主計第1G</t>
  </si>
  <si>
    <t>企業広報G</t>
  </si>
  <si>
    <t>広報部(Gなし)</t>
  </si>
  <si>
    <t>FP&amp;Aｲﾝﾃﾘｼﾞｪﾝｽ部</t>
  </si>
  <si>
    <t>ｺｰﾎﾟﾚｰﾄFP&amp;AG</t>
  </si>
  <si>
    <t>ﾃﾞｰﾀｻｲｴﾝｽG</t>
  </si>
  <si>
    <t>ｸﾞﾙｰﾌﾟ会社統括支援部(Gなし)</t>
  </si>
  <si>
    <t>ｸﾞﾙｰﾌﾟ会社管理G</t>
  </si>
  <si>
    <t>経営推進本部(部なし)</t>
  </si>
  <si>
    <t>経営推進本部(Gなし)</t>
  </si>
  <si>
    <t>経営戦略G</t>
  </si>
  <si>
    <t>経営企画部(Gなし)</t>
  </si>
  <si>
    <t>事業FP&amp;AG</t>
  </si>
  <si>
    <t>FP&amp;Aｲﾝﾃﾘｼﾞｪﾝｽ部(Gなし)</t>
  </si>
  <si>
    <t>施設管理本部</t>
  </si>
  <si>
    <t>施設管理部</t>
  </si>
  <si>
    <t>施設管理部(Gなし)</t>
  </si>
  <si>
    <t>施設管理本部(部なし)</t>
  </si>
  <si>
    <t>施設管理本部(Gなし)</t>
  </si>
  <si>
    <t>社長室本部格</t>
  </si>
  <si>
    <t>秘書G</t>
  </si>
  <si>
    <t>ﾒﾃﾞｨｱ渉外G</t>
  </si>
  <si>
    <t>ﾀｽｸﾌｫｰｽG</t>
  </si>
  <si>
    <t>渉外部本部格</t>
  </si>
  <si>
    <t>渉外部</t>
  </si>
  <si>
    <t>渉外部(Gなし)</t>
  </si>
  <si>
    <t>ｸﾞﾛｰﾊﾞﾙﾘﾚｰｼｮﾝG</t>
  </si>
  <si>
    <t>人事本部</t>
  </si>
  <si>
    <t>MCS室</t>
  </si>
  <si>
    <t>MCS推進G</t>
  </si>
  <si>
    <t>MCS室(Gなし)</t>
  </si>
  <si>
    <t>人事戦略部</t>
  </si>
  <si>
    <t>ﾃﾞｰﾀ活用推進G</t>
  </si>
  <si>
    <t>労務部</t>
  </si>
  <si>
    <t>労務部(Gなし)</t>
  </si>
  <si>
    <t>ｴﾝﾊﾟﾜｰﾒﾝﾄ推進室</t>
  </si>
  <si>
    <t>人材開発部</t>
  </si>
  <si>
    <t>人材育成G</t>
  </si>
  <si>
    <t>EX推進G</t>
  </si>
  <si>
    <t>労務管理第1G</t>
  </si>
  <si>
    <t>組織戦略部</t>
  </si>
  <si>
    <t>組織戦略部(Gなし)</t>
  </si>
  <si>
    <t>ｸﾞﾙｰﾌﾟ会社ｻﾎﾟｰﾄ部</t>
  </si>
  <si>
    <t>ｸﾞﾙｰﾌﾟ会社ｻﾎﾟｰﾄ部(Gなし)</t>
  </si>
  <si>
    <t>ｴﾝﾊﾟﾜｰﾒﾝﾄ推進室(Gなし)</t>
  </si>
  <si>
    <t>労務企画G</t>
  </si>
  <si>
    <t>ｸﾞﾛｰﾊﾞﾙ人事G</t>
  </si>
  <si>
    <t>ｺｰﾎﾟﾚｰﾄHRBPG</t>
  </si>
  <si>
    <t>事業HRBPG</t>
  </si>
  <si>
    <t>労務管理第2G</t>
  </si>
  <si>
    <t>組織推進G</t>
  </si>
  <si>
    <t>横断HRBPG</t>
  </si>
  <si>
    <t>ｳｪﾙﾈｽ推進G</t>
  </si>
  <si>
    <t>制度企画G</t>
  </si>
  <si>
    <t>人材開発部(Gなし)</t>
  </si>
  <si>
    <t>人事本部(部なし)</t>
  </si>
  <si>
    <t>人事本部(Gなし)</t>
  </si>
  <si>
    <t>人材開発部付</t>
  </si>
  <si>
    <t>人材開発部付(Gなし)</t>
  </si>
  <si>
    <t>新卒HRG</t>
  </si>
  <si>
    <t>採用ﾌﾞﾗﾝﾃﾞｨﾝｸﾞG</t>
  </si>
  <si>
    <t>企画管理G</t>
  </si>
  <si>
    <t>人事戦略部(Gなし)</t>
  </si>
  <si>
    <t>人的資本G</t>
  </si>
  <si>
    <t>役員支援G</t>
  </si>
  <si>
    <t>内部監査室本部格</t>
  </si>
  <si>
    <t>ｶﾞﾊﾞﾅﾝｽ支援G</t>
  </si>
  <si>
    <t>内部監査G</t>
  </si>
  <si>
    <t>ここからは全角に戻した値</t>
  </si>
  <si>
    <t>ＣＳ本部</t>
  </si>
  <si>
    <t>ＣＳ部</t>
  </si>
  <si>
    <t>運用Ｇ</t>
  </si>
  <si>
    <t>ＣＳ本部（部なし）</t>
  </si>
  <si>
    <t>ＣＳ本部（Ｇなし）</t>
  </si>
  <si>
    <t>ＣＲＥＧ</t>
  </si>
  <si>
    <t>ＣＸ部</t>
  </si>
  <si>
    <t>ＣＸ部（Ｇなし）</t>
  </si>
  <si>
    <t>ＥｎｈａｎｃｅｍｅｎｔＧ</t>
  </si>
  <si>
    <t>ＣＳ部（Ｇなし）</t>
  </si>
  <si>
    <t>健全化Ｇ</t>
  </si>
  <si>
    <t>ＣｏｏｐｅｒａｔｉｏｎＧ</t>
  </si>
  <si>
    <t>ＤＸパートナー事業本部</t>
  </si>
  <si>
    <t>広告＆ソリューション事業部</t>
  </si>
  <si>
    <t>広告＆ソリューション事業部（Ｇなし）</t>
  </si>
  <si>
    <t>ＤＸパートナー事業本部（部なし）</t>
  </si>
  <si>
    <t>ＤＸパートナー事業本部（Ｇなし）</t>
  </si>
  <si>
    <t>ビジネスプロデュースＧ</t>
  </si>
  <si>
    <t>ソリューションＧ</t>
  </si>
  <si>
    <t>ｎｅｔｋｅｉｂａ事業本部</t>
  </si>
  <si>
    <t>映像＆編集部</t>
  </si>
  <si>
    <t>映像＆編集部（Ｇなし）</t>
  </si>
  <si>
    <t>ｎｅｔｋｅｉｂａ事業本部（部なし）</t>
  </si>
  <si>
    <t>ｎｅｔｋｅｉｂａ事業本部（Ｇなし）</t>
  </si>
  <si>
    <t>プレミアムサービス事業部</t>
  </si>
  <si>
    <t>プレミアムサービス事業部（Ｇなし）</t>
  </si>
  <si>
    <t>予想サービス事業部</t>
  </si>
  <si>
    <t>予想サービス事業部（Ｇなし）</t>
  </si>
  <si>
    <t>ウマい馬券Ｇ</t>
  </si>
  <si>
    <t>次世代サービス事業部</t>
  </si>
  <si>
    <t>次世代サービス事業部（Ｇなし）</t>
  </si>
  <si>
    <t>次世代サービスＧ</t>
  </si>
  <si>
    <t>コマース事業部</t>
  </si>
  <si>
    <t>コマース事業部（Ｇなし）</t>
  </si>
  <si>
    <t>オーナーズＧ</t>
  </si>
  <si>
    <t>Ｖａｎｔａｇｅスタジオ</t>
  </si>
  <si>
    <t>Ｒｏｍｉ事業部</t>
  </si>
  <si>
    <t>Ｒｏｍｉ事業部（Ｇなし）</t>
  </si>
  <si>
    <t>Ｖａｎｔａｇｅスタジオ（部なし）</t>
  </si>
  <si>
    <t>Ｖａｎｔａｇｅスタジオ（Ｇなし）</t>
  </si>
  <si>
    <t>事業推進室（Ｇなし）</t>
  </si>
  <si>
    <t>ｍｅｒｃｕｒｙＧ</t>
  </si>
  <si>
    <t>事業推進Ｇ</t>
  </si>
  <si>
    <t>新規事業Ｇ</t>
  </si>
  <si>
    <t>ｍｉｘｉ事業部</t>
  </si>
  <si>
    <t>パートナービジネスＧ</t>
  </si>
  <si>
    <t>開発２Ｇ</t>
  </si>
  <si>
    <t>ｍｉｎｉｍｏ事業部</t>
  </si>
  <si>
    <t>ＣＳＧ</t>
  </si>
  <si>
    <t>開発１Ｇ</t>
  </si>
  <si>
    <t>ｍｉｘｉ事業部（Ｇなし）</t>
  </si>
  <si>
    <t>ＵＸ企画Ｇ</t>
  </si>
  <si>
    <t>開発Ｇ</t>
  </si>
  <si>
    <t>システム開発Ｇ</t>
  </si>
  <si>
    <t>プロダクト開発Ｇ</t>
  </si>
  <si>
    <t>ＢｉｚＤｅｖＧ</t>
  </si>
  <si>
    <t>ｍｉｎｉｍｏ事業部（Ｇなし）</t>
  </si>
  <si>
    <t>デザインＧ</t>
  </si>
  <si>
    <t>マーケティングＧ</t>
  </si>
  <si>
    <t>ｃｈｏｉｄｏｒａＧ</t>
  </si>
  <si>
    <t>プロダクト推進Ｇ</t>
  </si>
  <si>
    <t>ロボット開発Ｇ</t>
  </si>
  <si>
    <t>エンターテインメントクリエイション室本部格</t>
  </si>
  <si>
    <t>エンターテインメントクリエイション室</t>
  </si>
  <si>
    <t>エンターテインメントクリエイション室（Ｇなし）</t>
  </si>
  <si>
    <t>エンターテインメントクリエイション室本部格（部なし）</t>
  </si>
  <si>
    <t>エンターテインメントクリエイション室本部格（Ｇなし）</t>
  </si>
  <si>
    <t>コーポレートデベロップメント本部</t>
  </si>
  <si>
    <t>ＰｉｃｏｎグロースＧ</t>
  </si>
  <si>
    <t>投資オペレーションＧ</t>
  </si>
  <si>
    <t>コーポレートデベロップメント本部（部なし）</t>
  </si>
  <si>
    <t>コーポレートデベロップメント本部（Ｇなし）</t>
  </si>
  <si>
    <t>ＭＧＩＧ</t>
  </si>
  <si>
    <t>国内投資Ｇ</t>
  </si>
  <si>
    <t>投資事業部（Ｇなし）</t>
  </si>
  <si>
    <t>Ｉｎｔｅｇｒａｔｉｏｎ　Ｍａｎａｇｅｍｅｎｔ部</t>
  </si>
  <si>
    <t>Ｉｎｔｅｇｒａｔｉｏｎ　Ｍａｎａｇｅｍｅｎｔ部（Ｇなし）</t>
  </si>
  <si>
    <t>コーポレート支援Ｇ</t>
  </si>
  <si>
    <t>ＢＰＲＧ</t>
  </si>
  <si>
    <t>事業企画推進部（Ｇなし）</t>
  </si>
  <si>
    <t>プランニングＧ</t>
  </si>
  <si>
    <t>投資戦略Ｇ</t>
  </si>
  <si>
    <t>海外投資Ｇ</t>
  </si>
  <si>
    <t>コーポレートファイナンス本部</t>
  </si>
  <si>
    <t>経理Ｇ</t>
  </si>
  <si>
    <t>経理税務部（Ｇなし）</t>
  </si>
  <si>
    <t>コーポレートファイナンス本部（部なし）</t>
  </si>
  <si>
    <t>コーポレートファイナンス本部（Ｇなし）</t>
  </si>
  <si>
    <t>連結開示Ｇ</t>
  </si>
  <si>
    <t>税務・資産管理Ｇ</t>
  </si>
  <si>
    <t>財務企画部（Ｇなし）</t>
  </si>
  <si>
    <t>ＩＲＧ</t>
  </si>
  <si>
    <t>財務Ｇ</t>
  </si>
  <si>
    <t>コンプライアンス本部</t>
  </si>
  <si>
    <t>コンプライアンス本部（部なし）</t>
  </si>
  <si>
    <t>コンプライアンス本部（Ｇなし）</t>
  </si>
  <si>
    <t>法務Ｇ</t>
  </si>
  <si>
    <t>商標・著作権Ｇ</t>
  </si>
  <si>
    <t>オペレーションＧ</t>
  </si>
  <si>
    <t>法務部（Ｇなし）</t>
  </si>
  <si>
    <t>戦略Ｇ</t>
  </si>
  <si>
    <t>コンプライアンスＧ</t>
  </si>
  <si>
    <t>知財室（Ｇなし）</t>
  </si>
  <si>
    <t>特許Ｇ</t>
  </si>
  <si>
    <t>渉外Ｇ</t>
  </si>
  <si>
    <t>サービス推進開発本部</t>
  </si>
  <si>
    <t>サービス推進部</t>
  </si>
  <si>
    <t>品質Ｇ</t>
  </si>
  <si>
    <t>インフラＧ</t>
  </si>
  <si>
    <t>サービス推進開発本部（部なし）</t>
  </si>
  <si>
    <t>サービス推進開発本部（Ｇなし）</t>
  </si>
  <si>
    <t>運営Ｇ</t>
  </si>
  <si>
    <t>開発第３Ｇ</t>
  </si>
  <si>
    <t>制作部（Ｇなし）</t>
  </si>
  <si>
    <t>マークアップＧ</t>
  </si>
  <si>
    <t>サービス推進部（Ｇなし）</t>
  </si>
  <si>
    <t>ビジネスプラットフォームＧ</t>
  </si>
  <si>
    <t>開発第２Ｇ</t>
  </si>
  <si>
    <t>ＡＩ開発Ｇ</t>
  </si>
  <si>
    <t>開発部（Ｇなし）</t>
  </si>
  <si>
    <t>開発第１Ｇ</t>
  </si>
  <si>
    <t>セキュリティ室本部格</t>
  </si>
  <si>
    <t>セキュリティ室本部格（部なし）</t>
  </si>
  <si>
    <t>セキュリティ室本部格（Ｇなし）</t>
  </si>
  <si>
    <t>セキュリティ室</t>
  </si>
  <si>
    <t>セキュリティ室（Ｇなし）</t>
  </si>
  <si>
    <t>セキュリティ管理推進Ｇ</t>
  </si>
  <si>
    <t>セキュリティ技術Ｇ</t>
  </si>
  <si>
    <t>ソーシャルベッティング事業本部</t>
  </si>
  <si>
    <t>コンテンツＧ</t>
  </si>
  <si>
    <t>ＴＩＰＳＴＡＲ事業部</t>
  </si>
  <si>
    <t>チャリ・ロト事業部</t>
  </si>
  <si>
    <t>プロダクト戦略Ｇ</t>
  </si>
  <si>
    <t>プロダクトＧ</t>
  </si>
  <si>
    <t>事業推進１Ｇ</t>
  </si>
  <si>
    <t>新規開発Ｇ</t>
  </si>
  <si>
    <t>ＡＩイノベーションＧ</t>
  </si>
  <si>
    <t>ソーシャルベッティング事業本部（部なし）</t>
  </si>
  <si>
    <t>ソーシャルベッティング事業本部（Ｇなし）</t>
  </si>
  <si>
    <t>開発室（Ｇなし）</t>
  </si>
  <si>
    <t>価値創造室（Ｇなし）</t>
  </si>
  <si>
    <t>チャリ・ロト事業部（Ｇなし）</t>
  </si>
  <si>
    <t>ネットドリーマーズ事業部</t>
  </si>
  <si>
    <t>ＱＡＧ</t>
  </si>
  <si>
    <t>ＴＩＰＳＴＡＲ事業部（Ｇなし）</t>
  </si>
  <si>
    <t>ネットドリーマーズ事業部（Ｇなし）</t>
  </si>
  <si>
    <t>管理Ｇ</t>
  </si>
  <si>
    <t>事業財務戦略室（Ｇなし）</t>
  </si>
  <si>
    <t>新規プロダクト開発室</t>
  </si>
  <si>
    <t>新規プロダクト開発室（Ｇなし）</t>
  </si>
  <si>
    <t>ダミーアイ・マーキュリーキャピタル株式会社</t>
  </si>
  <si>
    <t>ダミーアイ・マーキュリーキャピタル株式会社（部なし）</t>
  </si>
  <si>
    <t>ダミーアイ・マーキュリーキャピタル株式会社（Ｇなし）</t>
  </si>
  <si>
    <t>ダミー株式会社ＭＩＸＩ　ＥＭＰＯＷＥＲＭＥＮＴ</t>
  </si>
  <si>
    <t>業務推進Ｇ</t>
  </si>
  <si>
    <t>ダミー株式会社ＭＩＸＩ　ＥＭＰＯＷＥＲＭＥＮＴ（部なし）</t>
  </si>
  <si>
    <t>ダミー株式会社ＭＩＸＩ　ＥＭＰＯＷＥＲＭＥＮＴ（Ｇなし）</t>
  </si>
  <si>
    <t>企画推進Ｇ</t>
  </si>
  <si>
    <t>業務推進部（Ｇなし）</t>
  </si>
  <si>
    <t>企画推進部（Ｇなし）</t>
  </si>
  <si>
    <t>ダミー株式会社ＴＯＫＹＯＢＡＹアリーナマネジメント</t>
  </si>
  <si>
    <t>ダミー株式会社ＴＯＫＹＯＢＡＹアリーナマネジメント（部なし）</t>
  </si>
  <si>
    <t>ダミー株式会社ＴＯＫＹＯＢＡＹアリーナマネジメント（Ｇなし）</t>
  </si>
  <si>
    <t>ダミー株式会社チャリ・ロト</t>
  </si>
  <si>
    <t>ダミー株式会社チャリ・ロト（部なし）</t>
  </si>
  <si>
    <t>ダミー株式会社チャリ・ロト（Ｇなし）</t>
  </si>
  <si>
    <t>ダミー株式会社ネットドリーマーズ</t>
  </si>
  <si>
    <t>ダミー株式会社ネットドリーマーズ（部なし）</t>
  </si>
  <si>
    <t>ダミー株式会社ネットドリーマーズ（Ｇなし）</t>
  </si>
  <si>
    <t>内部監査室（Ｇなし）</t>
  </si>
  <si>
    <t>社長室（Ｇなし）</t>
  </si>
  <si>
    <t>ビジネスグロース室</t>
  </si>
  <si>
    <t>ビジネスグロース室（Ｇなし）</t>
  </si>
  <si>
    <t>デザイン本部</t>
  </si>
  <si>
    <t>デザイン本部（部なし）</t>
  </si>
  <si>
    <t>デザイン本部（Ｇなし）</t>
  </si>
  <si>
    <t>プロダクトデザイン室</t>
  </si>
  <si>
    <t>エクスペリエンスデザイン第２Ｇ</t>
  </si>
  <si>
    <t>動画クリエイティブ室</t>
  </si>
  <si>
    <t>クリエイティブサウンドＧ</t>
  </si>
  <si>
    <t>コンテンツディレクション第１Ｇ</t>
  </si>
  <si>
    <t>ブランドデザイン室</t>
  </si>
  <si>
    <t>マネジメントＧ</t>
  </si>
  <si>
    <t>テクニカルデザイン室</t>
  </si>
  <si>
    <t>エンジニアリングＧ</t>
  </si>
  <si>
    <t>テクニカルデザインＧ</t>
  </si>
  <si>
    <t>テクニカルデザイン室（Ｇなし）</t>
  </si>
  <si>
    <t>デジタルエンターテインメント支援Ｇ</t>
  </si>
  <si>
    <t>デザイナーリレーションＧ</t>
  </si>
  <si>
    <t>ブランディングＧ</t>
  </si>
  <si>
    <t>ブランドデザイン室（Ｇなし）</t>
  </si>
  <si>
    <t>エクスペリエンスデザイン第１Ｇ</t>
  </si>
  <si>
    <t>エクスペリエンスデザイン第３Ｇ</t>
  </si>
  <si>
    <t>プロダクトデザイン室（Ｇなし）</t>
  </si>
  <si>
    <t>ＣＧデザインＧ</t>
  </si>
  <si>
    <t>コンテンツディレクション第２Ｇ</t>
  </si>
  <si>
    <t>動画クリエイティブ室（Ｇなし）</t>
  </si>
  <si>
    <t>デジタルエンターテインメントオペレーションズ本部</t>
  </si>
  <si>
    <t>モンストＩＰクリエイション部</t>
  </si>
  <si>
    <t>モンストＩＰクリエイション部（Ｇなし）</t>
  </si>
  <si>
    <t>モンスト運営部</t>
  </si>
  <si>
    <t>ゲームデザインＧ</t>
  </si>
  <si>
    <t>コトダマン制作部</t>
  </si>
  <si>
    <t>制作運用Ｇ</t>
  </si>
  <si>
    <t>メタストＧ</t>
  </si>
  <si>
    <t>モンスト開発部</t>
  </si>
  <si>
    <t>モンストサーバ１Ｇ</t>
  </si>
  <si>
    <t>ＩＰマーケティングＧ</t>
  </si>
  <si>
    <t>モンストサーバ２Ｇ</t>
  </si>
  <si>
    <t>ＰＪ支援Ｇ</t>
  </si>
  <si>
    <t>ファンマーケティング部</t>
  </si>
  <si>
    <t>ライセンスＧ</t>
  </si>
  <si>
    <t>キャラプロＧ</t>
  </si>
  <si>
    <t>事業戦略部（Ｇなし）</t>
  </si>
  <si>
    <t>デジタルエンターテインメントオペレーションズ本部（部なし）</t>
  </si>
  <si>
    <t>デジタルエンターテインメントオペレーションズ本部（Ｇなし）</t>
  </si>
  <si>
    <t>モンスト運営部（Ｇなし）</t>
  </si>
  <si>
    <t>コトダマン制作部（Ｇなし）</t>
  </si>
  <si>
    <t>コトダマン運営部</t>
  </si>
  <si>
    <t>コトダマン運営部（Ｇなし）</t>
  </si>
  <si>
    <t>プラットフォーム開発Ｇ</t>
  </si>
  <si>
    <t>プロジェクト推進Ｇ</t>
  </si>
  <si>
    <t>プロダクトエンジニアＧ</t>
  </si>
  <si>
    <t>プロダクト開発ＡＧ</t>
  </si>
  <si>
    <t>プロダクト開発ＢＧ</t>
  </si>
  <si>
    <t>運営設計Ｇ</t>
  </si>
  <si>
    <t>ＵＩデザインＧ</t>
  </si>
  <si>
    <t>アートＧ</t>
  </si>
  <si>
    <t>アニメーションＧ</t>
  </si>
  <si>
    <t>コンテンツプランニングＧ</t>
  </si>
  <si>
    <t>ライツＧ</t>
  </si>
  <si>
    <t>プロモーションＧ</t>
  </si>
  <si>
    <t>ファンマーケティング部（Ｇなし）</t>
  </si>
  <si>
    <t>動画Ｇ</t>
  </si>
  <si>
    <t>ディレクターＧ</t>
  </si>
  <si>
    <t>クライアント１Ｇ</t>
  </si>
  <si>
    <t>海外プロモーションＧ</t>
  </si>
  <si>
    <t>ＵＩ・ＵＸデザインＧ</t>
  </si>
  <si>
    <t>イベント１Ｇ</t>
  </si>
  <si>
    <t>ＭＤ事業開発Ｇ</t>
  </si>
  <si>
    <t>コラボ推進Ｇ</t>
  </si>
  <si>
    <t>ゲーム推進Ｇ</t>
  </si>
  <si>
    <t>デジタルマーケティングＧ</t>
  </si>
  <si>
    <t>アート第１Ｇ</t>
  </si>
  <si>
    <t>アート第２Ｇ</t>
  </si>
  <si>
    <t>映像Ｇ</t>
  </si>
  <si>
    <t>ユーザーコミュニケーションＧ</t>
  </si>
  <si>
    <t>Ｇｌｏｂａｌ　ＤｉｒｅｃｔｉｏｎＧ</t>
  </si>
  <si>
    <t>宣伝部（Ｇなし）</t>
  </si>
  <si>
    <t>クライアント２Ｇ</t>
  </si>
  <si>
    <t>ゲーム企画Ｇ</t>
  </si>
  <si>
    <t>サウンドＧ</t>
  </si>
  <si>
    <t>解析Ｇ</t>
  </si>
  <si>
    <t>オウンドＧ</t>
  </si>
  <si>
    <t>イベントシステムＧ</t>
  </si>
  <si>
    <t>ＩＰ戦略Ｇ</t>
  </si>
  <si>
    <t>モンスト開発部（Ｇなし）</t>
  </si>
  <si>
    <t>ＩＴセキュリティ管理Ｇ</t>
  </si>
  <si>
    <t>マーケティング戦略Ｇ</t>
  </si>
  <si>
    <t>イベント２Ｇ</t>
  </si>
  <si>
    <t>デジタルエンターテインメントパブリッシング本部</t>
  </si>
  <si>
    <t>デジタルエンターテインメントパブリッシング本部（部なし）</t>
  </si>
  <si>
    <t>デジタルエンターテインメントパブリッシング本部（Ｇなし）</t>
  </si>
  <si>
    <t>クリエイションＧ</t>
  </si>
  <si>
    <t>事業戦略室（Ｇなし）</t>
  </si>
  <si>
    <t>事業探索室（Ｇなし）</t>
  </si>
  <si>
    <t>グローバルモンスト室</t>
  </si>
  <si>
    <t>グローバルモンストエンジニアＧ</t>
  </si>
  <si>
    <t>ＲａｊａＧ</t>
  </si>
  <si>
    <t>事業戦略Ｇ</t>
  </si>
  <si>
    <t>事業企画Ｇ</t>
  </si>
  <si>
    <t>グローバルモンスト企画Ｇ</t>
  </si>
  <si>
    <t>グローバルモンスト室（Ｇなし）</t>
  </si>
  <si>
    <t>ＧｖＧＧ</t>
  </si>
  <si>
    <t>グローバルモンストデザインＧ</t>
  </si>
  <si>
    <t>コーポレートＩＴサービス部</t>
  </si>
  <si>
    <t>安全保障Ｇ</t>
  </si>
  <si>
    <t>環境整備Ｇ</t>
  </si>
  <si>
    <t>コーポレートエンジニアリング部</t>
  </si>
  <si>
    <t>コーポレートエンジニアリング部（Ｇなし）</t>
  </si>
  <si>
    <t>せいかつ環境ＢＧ</t>
  </si>
  <si>
    <t>せいかつ環境室（Ｇなし）</t>
  </si>
  <si>
    <t>ビジネスサポート室</t>
  </si>
  <si>
    <t>ミュージックライツＧ</t>
  </si>
  <si>
    <t>はたらく環境推進本部（部なし）</t>
  </si>
  <si>
    <t>はたらく環境推進本部（Ｇなし）</t>
  </si>
  <si>
    <t>ＸＦＬＡＧサポートＧ</t>
  </si>
  <si>
    <t>バックオフィスＧ</t>
  </si>
  <si>
    <t>ローカライズＧ</t>
  </si>
  <si>
    <t>せいかつ環境ＡＧ</t>
  </si>
  <si>
    <t>ボイスＧ</t>
  </si>
  <si>
    <t>コーポレートＩＴサービス部（Ｇなし）</t>
  </si>
  <si>
    <t>グローバルブリッジＧ</t>
  </si>
  <si>
    <t>ビジネスサポート室（Ｇなし）</t>
  </si>
  <si>
    <t>インフォメーションハブＧ</t>
  </si>
  <si>
    <t>アプリサービス渉外Ｇ</t>
  </si>
  <si>
    <t>事業サポートＧ</t>
  </si>
  <si>
    <t>ＤＸＧ</t>
  </si>
  <si>
    <t>みてね事業開発部（Ｇなし）</t>
  </si>
  <si>
    <t>みてねマーケティング部</t>
  </si>
  <si>
    <t>ユーザーグロースＧ</t>
  </si>
  <si>
    <t>みてねプラットフォーム部</t>
  </si>
  <si>
    <t>みてねプラットフォーム部（Ｇなし）</t>
  </si>
  <si>
    <t>セキュリティＧ</t>
  </si>
  <si>
    <t>みてねプロダクト開発部</t>
  </si>
  <si>
    <t>プロダクト開発ＭＧ</t>
  </si>
  <si>
    <t>Ｄａｔａ　ＥｎｇｉｎｅｅｒｉｎｇＧ</t>
  </si>
  <si>
    <t>ＳＲＥＧ</t>
  </si>
  <si>
    <t>みてねプロダクト開発部（Ｇなし）</t>
  </si>
  <si>
    <t>デザイン１Ｇ</t>
  </si>
  <si>
    <t>ＢｉｚＯｐｓＧ</t>
  </si>
  <si>
    <t>みてねマーケティング部（Ｇなし）</t>
  </si>
  <si>
    <t>業務支援Ｇ</t>
  </si>
  <si>
    <t>事業開発２Ｇ</t>
  </si>
  <si>
    <t>デザイン２Ｇ</t>
  </si>
  <si>
    <t>プロダクト開発ＳＧ</t>
  </si>
  <si>
    <t>アジャイル変革Ｇ</t>
  </si>
  <si>
    <t>みてね事業本部（部なし）</t>
  </si>
  <si>
    <t>みてね事業本部（Ｇなし）</t>
  </si>
  <si>
    <t>事業開発１Ｇ</t>
  </si>
  <si>
    <t>プロダクト開発ＤＡＧ</t>
  </si>
  <si>
    <t>デザイン３Ｇ</t>
  </si>
  <si>
    <t>ブランド企画営業Ｇ</t>
  </si>
  <si>
    <t>プロダクト開発モダナイズＧ</t>
  </si>
  <si>
    <t>プロダクト開発ＤＢＧ</t>
  </si>
  <si>
    <t>プロダクト開発アドＧ</t>
  </si>
  <si>
    <t>メディア＆ベッティング事業本部</t>
  </si>
  <si>
    <t>メディア＆ベッティング事業本部（部なし）</t>
  </si>
  <si>
    <t>メディア＆ベッティング事業本部（Ｇなし）</t>
  </si>
  <si>
    <t>競輪企画Ｇ</t>
  </si>
  <si>
    <t>競輪編集Ｇ</t>
  </si>
  <si>
    <t>メディア企画Ｇ</t>
  </si>
  <si>
    <t>事業開発室（Ｇなし）</t>
  </si>
  <si>
    <t>競輪事業部（Ｇなし）</t>
  </si>
  <si>
    <t>ライブエクスペリエンス事業本部</t>
  </si>
  <si>
    <t>ライブエクスペリエンス事業本部（部なし）</t>
  </si>
  <si>
    <t>ライブエクスペリエンス事業本部（Ｇなし）</t>
  </si>
  <si>
    <t>バスケットボール事業部</t>
  </si>
  <si>
    <t>バスケットボール事業部（Ｇなし）</t>
  </si>
  <si>
    <t>フットボール事業部</t>
  </si>
  <si>
    <t>経営企画Ｇ</t>
  </si>
  <si>
    <t>ファンコミュニケーション部</t>
  </si>
  <si>
    <t>ファンコミュニケーション部（Ｇなし）</t>
  </si>
  <si>
    <t>スポーツマーケティングＤＸＧ</t>
  </si>
  <si>
    <t>アリーナ事業部</t>
  </si>
  <si>
    <t>ＨＲＢＰＧ</t>
  </si>
  <si>
    <t>ＴＢＡＭＧ</t>
  </si>
  <si>
    <t>エンジニアリング支援Ｇ</t>
  </si>
  <si>
    <t>経営管理Ｇ</t>
  </si>
  <si>
    <t>Ｆａｎｓｔａ開発Ｇ</t>
  </si>
  <si>
    <t>ＵｎｌｉｍＧ</t>
  </si>
  <si>
    <t>ＦａｎｓｔａＧ</t>
  </si>
  <si>
    <t>フットボール事業部（Ｇなし）</t>
  </si>
  <si>
    <t>アリーナ事業部（Ｇなし）</t>
  </si>
  <si>
    <t>ベースボールＧ</t>
  </si>
  <si>
    <t>興行Ｇ</t>
  </si>
  <si>
    <t>パートナーマーケティングＧ</t>
  </si>
  <si>
    <t>営業部（Ｇなし）</t>
  </si>
  <si>
    <t>営業本部（部なし）</t>
  </si>
  <si>
    <t>営業本部（Ｇなし）</t>
  </si>
  <si>
    <t>たんぽぽ室（Ｇなし）</t>
  </si>
  <si>
    <t>ＢＯＧ</t>
  </si>
  <si>
    <t>ＭＩＸＩ　Ｍ　事業部</t>
  </si>
  <si>
    <t>ＭＩＸＩ　Ｍ　事業部（Ｇなし）</t>
  </si>
  <si>
    <t>たんぽぽＧ</t>
  </si>
  <si>
    <t>ＭＩＸＩ２Ｇ</t>
  </si>
  <si>
    <t>ＣＴＯ室</t>
  </si>
  <si>
    <t>ＣＴＯ室（Ｇなし）</t>
  </si>
  <si>
    <t>開発本部（部なし）</t>
  </si>
  <si>
    <t>開発本部（Ｇなし）</t>
  </si>
  <si>
    <t>インフラ室</t>
  </si>
  <si>
    <t>ネットワーク開発Ｇ</t>
  </si>
  <si>
    <t>映像開発Ｇ</t>
  </si>
  <si>
    <t>ＥｎａｂｌｅｍｅｎｔＧ</t>
  </si>
  <si>
    <t>インフラ室（Ｇなし）</t>
  </si>
  <si>
    <t>データＧ</t>
  </si>
  <si>
    <t>ブルーＧ</t>
  </si>
  <si>
    <t>オレンジＧ</t>
  </si>
  <si>
    <t>ＡＩモデリングＧ</t>
  </si>
  <si>
    <t>モンストＧ</t>
  </si>
  <si>
    <t>クライアントＧ</t>
  </si>
  <si>
    <t>ＱＡ２Ｇ</t>
  </si>
  <si>
    <t>開発基盤Ｇ</t>
  </si>
  <si>
    <t>ＡＩ　ｖａｌｕｅ　ｄｅｓｉｇｎＧ</t>
  </si>
  <si>
    <t>Ｐｌａｔｆｏｒｍ　ＥｎｇｉｎｅｅｒｉｎｇＧ</t>
  </si>
  <si>
    <t>ＱＡ１Ｇ</t>
  </si>
  <si>
    <t>株式会社ＭＩＸＩ</t>
  </si>
  <si>
    <t>取締役（Ｇなし）</t>
  </si>
  <si>
    <t>上級執行役員（Ｇなし）</t>
  </si>
  <si>
    <t>監査役（Ｇなし）</t>
  </si>
  <si>
    <t>監査役室（Ｇなし）</t>
  </si>
  <si>
    <t>経営管理部（Ｇなし）</t>
  </si>
  <si>
    <t>経営企画室（Ｇなし）</t>
  </si>
  <si>
    <t>経営管理本部（部なし）</t>
  </si>
  <si>
    <t>経営管理本部（Ｇなし）</t>
  </si>
  <si>
    <t>管理部（Ｇなし）</t>
  </si>
  <si>
    <t>総務Ｇ</t>
  </si>
  <si>
    <t>人事労務Ｇ</t>
  </si>
  <si>
    <t>サステナビリティ推進Ｇ</t>
  </si>
  <si>
    <t>企画Ｇ</t>
  </si>
  <si>
    <t>コーポレートＰＭＧ</t>
  </si>
  <si>
    <t>経営サポートＧ</t>
  </si>
  <si>
    <t>インターナルコミュニケーションＧ</t>
  </si>
  <si>
    <t>プロダクトＰＲＧ</t>
  </si>
  <si>
    <t>グループ会社統括支援部</t>
  </si>
  <si>
    <t>主計第２Ｇ</t>
  </si>
  <si>
    <t>主計第１Ｇ</t>
  </si>
  <si>
    <t>企業広報Ｇ</t>
  </si>
  <si>
    <t>広報部（Ｇなし）</t>
  </si>
  <si>
    <t>ＦＰ＆Ａインテリジェンス部</t>
  </si>
  <si>
    <t>コーポレートＦＰ＆ＡＧ</t>
  </si>
  <si>
    <t>データサイエンスＧ</t>
  </si>
  <si>
    <t>グループ会社統括支援部（Ｇなし）</t>
  </si>
  <si>
    <t>グループ会社管理Ｇ</t>
  </si>
  <si>
    <t>経営推進本部（部なし）</t>
  </si>
  <si>
    <t>経営推進本部（Ｇなし）</t>
  </si>
  <si>
    <t>経営戦略Ｇ</t>
  </si>
  <si>
    <t>経営企画部（Ｇなし）</t>
  </si>
  <si>
    <t>事業ＦＰ＆ＡＧ</t>
  </si>
  <si>
    <t>ＦＰ＆Ａインテリジェンス部（Ｇなし）</t>
  </si>
  <si>
    <t>施設管理部（Ｇなし）</t>
  </si>
  <si>
    <t>施設管理本部（部なし）</t>
  </si>
  <si>
    <t>施設管理本部（Ｇなし）</t>
  </si>
  <si>
    <t>秘書Ｇ</t>
  </si>
  <si>
    <t>メディア渉外Ｇ</t>
  </si>
  <si>
    <t>タスクフォースＧ</t>
  </si>
  <si>
    <t>渉外部（Ｇなし）</t>
  </si>
  <si>
    <t>グローバルリレーションＧ</t>
  </si>
  <si>
    <t>ＭＣＳ室</t>
  </si>
  <si>
    <t>ＭＣＳ推進Ｇ</t>
  </si>
  <si>
    <t>ＭＣＳ室（Ｇなし）</t>
  </si>
  <si>
    <t>データ活用推進Ｇ</t>
  </si>
  <si>
    <t>労務部（Ｇなし）</t>
  </si>
  <si>
    <t>エンパワーメント推進室</t>
  </si>
  <si>
    <t>人材育成Ｇ</t>
  </si>
  <si>
    <t>ＥＸ推進Ｇ</t>
  </si>
  <si>
    <t>労務管理第１Ｇ</t>
  </si>
  <si>
    <t>組織戦略部（Ｇなし）</t>
  </si>
  <si>
    <t>グループ会社サポート部</t>
  </si>
  <si>
    <t>グループ会社サポート部（Ｇなし）</t>
  </si>
  <si>
    <t>エンパワーメント推進室（Ｇなし）</t>
  </si>
  <si>
    <t>労務企画Ｇ</t>
  </si>
  <si>
    <t>グローバル人事Ｇ</t>
  </si>
  <si>
    <t>コーポレートＨＲＢＰＧ</t>
  </si>
  <si>
    <t>事業ＨＲＢＰＧ</t>
  </si>
  <si>
    <t>労務管理第２Ｇ</t>
  </si>
  <si>
    <t>組織推進Ｇ</t>
  </si>
  <si>
    <t>横断ＨＲＢＰＧ</t>
  </si>
  <si>
    <t>ウェルネス推進Ｇ</t>
  </si>
  <si>
    <t>制度企画Ｇ</t>
  </si>
  <si>
    <t>人材開発部（Ｇなし）</t>
  </si>
  <si>
    <t>人事本部（部なし）</t>
  </si>
  <si>
    <t>人事本部（Ｇなし）</t>
  </si>
  <si>
    <t>人材開発部付（Ｇなし）</t>
  </si>
  <si>
    <t>新卒ＨＲＧ</t>
  </si>
  <si>
    <t>採用ブランディングＧ</t>
  </si>
  <si>
    <t>企画管理Ｇ</t>
  </si>
  <si>
    <t>人事戦略部（Ｇなし）</t>
  </si>
  <si>
    <t>人的資本Ｇ</t>
  </si>
  <si>
    <t>役員支援Ｇ</t>
  </si>
  <si>
    <t>ガバナンス支援Ｇ</t>
  </si>
  <si>
    <t>内部監査Ｇ</t>
  </si>
  <si>
    <t>集計</t>
  </si>
  <si>
    <t>項目（div）</t>
  </si>
  <si>
    <t>総数</t>
  </si>
  <si>
    <t>合致</t>
  </si>
  <si>
    <t>0file</t>
  </si>
  <si>
    <t>仮説</t>
  </si>
  <si>
    <t>不明</t>
  </si>
  <si>
    <t>div</t>
  </si>
  <si>
    <t>項目（project）</t>
  </si>
  <si>
    <t>在籍</t>
  </si>
  <si>
    <t>退職（部署判明）</t>
  </si>
  <si>
    <t>退職（部署不明）</t>
  </si>
  <si>
    <t>管理者不明</t>
  </si>
  <si>
    <t>Project</t>
  </si>
  <si>
    <t>総</t>
  </si>
  <si>
    <t>divフィルター詳細</t>
  </si>
  <si>
    <t>フィルタ名</t>
  </si>
  <si>
    <t>内容</t>
  </si>
  <si>
    <t>今後の動き</t>
  </si>
  <si>
    <t>0fileを除いた、あたりがついているフォルダ</t>
  </si>
  <si>
    <t>佑さんの部署遍歴から、仮説の箇所などを判明していく</t>
  </si>
  <si>
    <t>ファイル数0で利用していないフォルダ</t>
  </si>
  <si>
    <t>各フォルダ詳細から、ホットフォルダとコールドフォルダを分けて分別していく</t>
  </si>
  <si>
    <t>0fileを除いた、仮説で記載した項目の内容
仮説も立てられないものは（不明）でカウント
※E列</t>
  </si>
  <si>
    <t>本部と部室を繋げて本当に相違ないか確認予定</t>
  </si>
  <si>
    <t>0fileを除いた、仮説も立てられないもの</t>
  </si>
  <si>
    <t>仮説での本部長/部室長が不明な箇所にもあたりを付けて確認予定</t>
  </si>
  <si>
    <t>仮説→あたりを付けられないものは、不明にする</t>
  </si>
  <si>
    <t>Projectフィルター詳細</t>
  </si>
  <si>
    <t>管理者が判明している</t>
  </si>
  <si>
    <t>管理者がすでに退職しているが、部署は判明している</t>
  </si>
  <si>
    <t>管理者がすでに退職しており、部署も不明</t>
  </si>
  <si>
    <t>フォルダ管理者が不明のためこれ以上どうしようもない</t>
  </si>
  <si>
    <t>本部長、部室長の今あたっていない人を再度あてる
半角カタカナを書き直して</t>
  </si>
  <si>
    <t>1列でステータスをわかりやすく、フィルターで単発で表示できるように集計は確定するまで各自に任す、だれが見ても一発でわかるステータスなどにする</t>
  </si>
  <si>
    <t>項番</t>
  </si>
  <si>
    <t>フォルダ枠</t>
  </si>
  <si>
    <t>担当者</t>
  </si>
  <si>
    <t>概要</t>
  </si>
  <si>
    <t>ステータス</t>
  </si>
  <si>
    <t>戸谷</t>
  </si>
  <si>
    <t>0fileの管理者を特定。
不明なものは不明に変更</t>
  </si>
  <si>
    <t>済</t>
  </si>
  <si>
    <t>project</t>
  </si>
  <si>
    <t>最終更新日3年までのものを出して、
AWSとGoogleドライブに分ける</t>
  </si>
  <si>
    <t>file数をフォルダごとにあてる
→PF側？の作業待ち</t>
  </si>
  <si>
    <t>作業待ち</t>
  </si>
  <si>
    <t>PF</t>
  </si>
  <si>
    <t>projectフォルダのファイル数を出す</t>
  </si>
  <si>
    <t>管理者不明のところを少し深ぼる</t>
  </si>
  <si>
    <t>那須さん</t>
  </si>
  <si>
    <t>管理者が不明な箇所の確認先の特定</t>
  </si>
  <si>
    <t>管理者ごとにフォルダの行を追加して、全員退職なら退職などにフラグを変更する
関数を使っていない箇所があるので、もう一度さらう
●関数
・在籍：=XLOOKUP(G5,'従業員情報'!$A:$A,'従業員情報'!$N:$N,"×")
・退職：=XLOOKUP(G5,'退職者'!$C:$C,'退職者'!$B:$B,"×")&amp;XLOOKUP(G18,'退職者'!$C:$C,'退職者'!$A:$A,"×")
●ステータス
・在籍にヒット＝在籍
・退職にヒット＝退職
・退職でもヒットしない＝退職（部署不明）
・管理者の記載のない箇所＝管理者不明（那須さんに個別確認を依頼）</t>
  </si>
  <si>
    <t>列ごとの項目をdivに揃える</t>
  </si>
  <si>
    <t>質問</t>
  </si>
  <si>
    <t>回答</t>
  </si>
  <si>
    <t>備考</t>
  </si>
  <si>
    <t>0fileでも無い最終更新日が無いフォルダを出していただきたい</t>
  </si>
  <si>
    <t>データ出力に時間かかるため、一旦はたかん以外はAWSを移行先に指定
守田）11/6時点で一応佐藤さんにデータ出力依頼をしてます。</t>
  </si>
  <si>
    <t>容量と最終更新日のシートに記載のないものがあるので出してほしい。
記載のないものは0file or 0容量であれば教えていただきたい</t>
  </si>
  <si>
    <t>対応中</t>
  </si>
  <si>
    <t>守田）容量はすべて埋めました。2件だけ#N/Aが存在しますが移行不要でOKです。
　　　最終更新日はないものがちらほらあるので佐藤さんに依頼中です。</t>
  </si>
  <si>
    <t>projectフォルダのファイル数を算出していただける流れだったと思いますが、そちらは不要になった状況でしょうか？</t>
  </si>
  <si>
    <t>守田）11/6時点で出力中なので少々お待ちを</t>
  </si>
  <si>
    <t>div topフォルダ</t>
  </si>
  <si>
    <t>本部・本部</t>
  </si>
  <si>
    <t>部室・部室</t>
  </si>
  <si>
    <t>本部・部室</t>
  </si>
  <si>
    <t>部室・本部</t>
  </si>
  <si>
    <t>スタジオフンザ</t>
  </si>
  <si>
    <t>廃止</t>
  </si>
  <si>
    <t>×</t>
  </si>
  <si>
    <t>デジタルエンターテインメント事業本部</t>
  </si>
  <si>
    <t>各事業部 (モンスト事業部など) / 開発本部</t>
  </si>
  <si>
    <t>事業本部制の廃止に伴い、事業や機能ごとに再編されました。</t>
  </si>
  <si>
    <t>ミクシィマーケティング</t>
  </si>
  <si>
    <t>デザイン本部 / 各事業部</t>
  </si>
  <si>
    <t>全社機能は「デザイン本部」へ、プロダクトごとの機能は各事業部へ移管されたと推測されます。</t>
  </si>
  <si>
    <t>事業デザイン本部</t>
  </si>
  <si>
    <t>名称変更、または機能統合された可能性が高いです。</t>
  </si>
  <si>
    <t>コーポレートサポート本部</t>
  </si>
  <si>
    <t>平山 英輝</t>
  </si>
  <si>
    <t>総務や情報システムなどの機能が引き継がれました。</t>
  </si>
  <si>
    <t>人事部</t>
  </si>
  <si>
    <t>杉村 元規</t>
  </si>
  <si>
    <t>名称変更、または機能強化による再編です。</t>
  </si>
  <si>
    <t>XFLAG ENTERTAINMENT</t>
  </si>
  <si>
    <t>開発本部 / デザイン本部 / 各事業部</t>
  </si>
  <si>
    <t>XFLAGブランドのMIXI本体への統合に伴い、機能が分散・再編されました。</t>
  </si>
  <si>
    <t>会長室</t>
  </si>
  <si>
    <t>人事部付</t>
  </si>
  <si>
    <t>特定の役職のため、部署としての再編先はなし</t>
  </si>
  <si>
    <t>部署名ではなく、特定の役職としての位置づけのため、現存する部署への再編はありません。</t>
  </si>
  <si>
    <t>メディアコンテンツ事業本部</t>
  </si>
  <si>
    <t>廃止（一部機能は他部署へ移管）</t>
  </si>
  <si>
    <t>直接の後継部署は見当たらず、個別の事業は終了または他部署へ移管されたようです。</t>
  </si>
  <si>
    <t>経営企画本部</t>
  </si>
  <si>
    <t>経営推進本部 → コーポレートデベロップメント本部 など</t>
  </si>
  <si>
    <t>「経営推進本部」を経て、機能が分散・再編されたと推測されます。</t>
  </si>
  <si>
    <t>XFLAG ARTS</t>
  </si>
  <si>
    <t>スマートヘルス</t>
  </si>
  <si>
    <t>廃止（事業終了または他部署へ移管）</t>
  </si>
  <si>
    <t>現在の組織図には見当たらず、事業としては終了または移管されたようです。</t>
  </si>
  <si>
    <t>ヴァンテージスタジオ</t>
  </si>
  <si>
    <t>現在の組織図には見当たりません。</t>
  </si>
  <si>
    <t>チケットキャンプ事業部</t>
  </si>
  <si>
    <t>廃止（事業終了）</t>
  </si>
  <si>
    <t>事業が終了しました。</t>
  </si>
  <si>
    <t>オレンジスタジオ</t>
  </si>
  <si>
    <t>MIXI M事業部 オレンジグループ</t>
  </si>
  <si>
    <t>「MIXI M事業部」内のグループとして存続している可能性があります。</t>
  </si>
  <si>
    <t>ゲーム事業本部</t>
  </si>
  <si>
    <t>各事業部 (モンスト事業部など)</t>
  </si>
  <si>
    <t>事業本部制の廃止に伴い、事業ごとに再編されました。</t>
  </si>
  <si>
    <t>モンスト事業本部</t>
  </si>
  <si>
    <t>モンスト事業部</t>
  </si>
  <si>
    <t>モンスト関連の部署は、現在の「モンスト事業部」に集約・再編されました。</t>
  </si>
  <si>
    <t>div 1階層目フォルダ</t>
  </si>
  <si>
    <t>アドテクスタジオ</t>
  </si>
  <si>
    <t>アドテクG</t>
  </si>
  <si>
    <t>廃止/再編</t>
  </si>
  <si>
    <t>開発本部 / デザイン本部</t>
  </si>
  <si>
    <t>室共有</t>
  </si>
  <si>
    <t>-</t>
  </si>
  <si>
    <t>メディア事業本部</t>
  </si>
  <si>
    <t>mixiゲーム部</t>
  </si>
  <si>
    <t>ゲーム事業部</t>
  </si>
  <si>
    <t>mixiサービス部</t>
  </si>
  <si>
    <t>MIXI M事業部</t>
  </si>
  <si>
    <t>本部共有</t>
  </si>
  <si>
    <t>mixiコンテンツ部</t>
  </si>
  <si>
    <t>mixiシステム部</t>
  </si>
  <si>
    <t>Diverseスタジオ</t>
  </si>
  <si>
    <t>インドマーケット部</t>
  </si>
  <si>
    <t>廃止/分社化</t>
  </si>
  <si>
    <t>株式会社Diverse</t>
  </si>
  <si>
    <t>かいはつ室</t>
  </si>
  <si>
    <t>ビジネス推進室</t>
  </si>
  <si>
    <t>マーケティング室</t>
  </si>
  <si>
    <t>Poiboy事業部</t>
  </si>
  <si>
    <t>結婚支援事業部</t>
  </si>
  <si>
    <t>新規サービス事業部</t>
  </si>
  <si>
    <t>youbride事業部</t>
  </si>
  <si>
    <t>健全化推進室</t>
  </si>
  <si>
    <t>技術研究所</t>
  </si>
  <si>
    <t>VEAT事業部</t>
  </si>
  <si>
    <t>メディア事業部</t>
  </si>
  <si>
    <t>YYC事業部</t>
  </si>
  <si>
    <t>マッチングサービス事業部</t>
  </si>
  <si>
    <t>モンストスタジオ</t>
  </si>
  <si>
    <t>マーケティングG</t>
  </si>
  <si>
    <t>企画・運用部</t>
  </si>
  <si>
    <t>新規事業推進室</t>
  </si>
  <si>
    <t>システム開発部</t>
  </si>
  <si>
    <t>メディアミックス部</t>
  </si>
  <si>
    <t>マーケティング部</t>
  </si>
  <si>
    <t>ノハナ</t>
  </si>
  <si>
    <t>全社共有</t>
  </si>
  <si>
    <t>存続 (子会社)</t>
  </si>
  <si>
    <t>株式会社ノハナ</t>
  </si>
  <si>
    <t>人事戦略部付</t>
  </si>
  <si>
    <t>人事企画部</t>
  </si>
  <si>
    <t>人事戦略室</t>
  </si>
  <si>
    <t>人事企画部付</t>
  </si>
  <si>
    <t>人材採用部</t>
  </si>
  <si>
    <t>人材採用部付</t>
  </si>
  <si>
    <t>事業開発部</t>
  </si>
  <si>
    <t>マーケティング本部</t>
  </si>
  <si>
    <t>デジタルマーケティング室</t>
  </si>
  <si>
    <t>ブランド戦略室</t>
  </si>
  <si>
    <t>マーケティング推進室</t>
  </si>
  <si>
    <t>PR室</t>
  </si>
  <si>
    <t>マーケティング戦略室</t>
  </si>
  <si>
    <t>クリエイティブ室</t>
  </si>
  <si>
    <t>制作室</t>
  </si>
  <si>
    <t>デザイン戦略室</t>
  </si>
  <si>
    <t>デザイン推進室</t>
  </si>
  <si>
    <t>モンストデザイン室</t>
  </si>
  <si>
    <t>XFLAGデザイン室</t>
  </si>
  <si>
    <t>XFLAG PICTURES</t>
  </si>
  <si>
    <t>コトダマン事業部</t>
  </si>
  <si>
    <t>モンストIPクリエイション部</t>
  </si>
  <si>
    <t>アイ・マーキュリーキャピタル</t>
  </si>
  <si>
    <t>株式会社アイ・マーキュリーキャピタル</t>
  </si>
  <si>
    <t>エックスフラッグスタジオ本部</t>
  </si>
  <si>
    <t>アドテク部</t>
  </si>
  <si>
    <t>海外運用部</t>
  </si>
  <si>
    <t>XFLAG</t>
  </si>
  <si>
    <t>XFLAG MOBILE</t>
  </si>
  <si>
    <t>XFLAG GAMES</t>
  </si>
  <si>
    <t>秘書室</t>
  </si>
  <si>
    <t>エックスフラッグ</t>
  </si>
  <si>
    <t>デザイン室</t>
  </si>
  <si>
    <t>ゲーム開発室</t>
  </si>
  <si>
    <t>デザイン本部 / 事業推進部</t>
  </si>
  <si>
    <t>エックスフラッグ ピクチャーズ</t>
  </si>
  <si>
    <t>MTP推進室</t>
  </si>
  <si>
    <t>社長本部</t>
  </si>
  <si>
    <t>スポーツ事業推進室</t>
  </si>
  <si>
    <t>再編</t>
  </si>
  <si>
    <t>スポーツ事業部</t>
  </si>
  <si>
    <t>スポーツギフティング部</t>
  </si>
  <si>
    <t>コーポレートコミュニケーション部</t>
  </si>
  <si>
    <t>ID・ペイメント事業部</t>
  </si>
  <si>
    <t>スポーツマーケティング室</t>
  </si>
  <si>
    <t>ビジネス開発室</t>
  </si>
  <si>
    <t>事業推進部</t>
  </si>
  <si>
    <t>次世代エンターテインメント室</t>
  </si>
  <si>
    <t>スポーツ事業部など</t>
  </si>
  <si>
    <t>ライブ動画プラットフォーム事業部</t>
  </si>
  <si>
    <t>スポーツ事業部 (TIPSTAR)</t>
  </si>
  <si>
    <t>XFLAG事業推進室</t>
  </si>
  <si>
    <t>クト</t>
  </si>
  <si>
    <t>FindJob事業部</t>
  </si>
  <si>
    <t>移管用</t>
  </si>
  <si>
    <t>廃止 (事業終了)</t>
  </si>
  <si>
    <t>スマートヘルス事業部</t>
  </si>
  <si>
    <t>SalesG</t>
  </si>
  <si>
    <t>技術G</t>
  </si>
  <si>
    <t>ウェルネスデザインG</t>
  </si>
  <si>
    <t>事業開発G</t>
  </si>
  <si>
    <t>サービスデザインG</t>
  </si>
  <si>
    <t>部共有</t>
  </si>
  <si>
    <t>システム本部</t>
  </si>
  <si>
    <t>運用部</t>
  </si>
  <si>
    <t>技術部</t>
  </si>
  <si>
    <t>投資事業推進本部</t>
  </si>
  <si>
    <t>投資事業推進部</t>
  </si>
  <si>
    <t>アライアンス室</t>
  </si>
  <si>
    <t>クロスファンクション本部</t>
  </si>
  <si>
    <t>システム統括室</t>
  </si>
  <si>
    <t>CS推進室</t>
  </si>
  <si>
    <t>イノベーションセンター</t>
  </si>
  <si>
    <t>各事業部</t>
  </si>
  <si>
    <t>MS本部</t>
  </si>
  <si>
    <t>企画開発部</t>
  </si>
  <si>
    <t>CS推進部</t>
  </si>
  <si>
    <t>ミクシィ・リクルートメント</t>
  </si>
  <si>
    <t>人材紹介事業部</t>
  </si>
  <si>
    <t>求人広告事業部</t>
  </si>
  <si>
    <t>ライセンス事業部</t>
  </si>
  <si>
    <t>LX開発室</t>
  </si>
  <si>
    <t>ライブエンターテインメント事業部</t>
  </si>
  <si>
    <t>ビバレッジ事業推進室</t>
  </si>
  <si>
    <t>システム部</t>
  </si>
  <si>
    <t>マーチャンダイジング部</t>
  </si>
  <si>
    <t>事業管理部</t>
  </si>
  <si>
    <t>新規事業開発部</t>
  </si>
  <si>
    <t>人事部付け</t>
  </si>
  <si>
    <t>情報セキュリティ室</t>
  </si>
  <si>
    <t>投資・事業推進部</t>
  </si>
  <si>
    <t>グループ統括室</t>
  </si>
  <si>
    <t>FP＆Aインテリジェンス部</t>
  </si>
  <si>
    <t>総務部</t>
  </si>
  <si>
    <t>経理財務部</t>
  </si>
  <si>
    <t>はたらく環境室</t>
  </si>
  <si>
    <t>グループ会社主計部</t>
  </si>
  <si>
    <t>投資事業推進室</t>
  </si>
  <si>
    <t>経営推進室</t>
  </si>
  <si>
    <t>広報IR室</t>
  </si>
  <si>
    <t>Vantageスタジオ</t>
  </si>
  <si>
    <t>ミクシィ・リクルートメント事業部</t>
  </si>
  <si>
    <t>AI・ロボット事業部</t>
  </si>
  <si>
    <t>新規事業開発室</t>
  </si>
  <si>
    <t>みてね事業部</t>
  </si>
  <si>
    <t>タスクフォースG</t>
  </si>
  <si>
    <t>メディア渉外G</t>
  </si>
  <si>
    <t>アテネG</t>
  </si>
  <si>
    <t>ミクシィ・リサーチG</t>
  </si>
  <si>
    <t>ID・ペイメントG</t>
  </si>
  <si>
    <t>ユーザーサービス本部</t>
  </si>
  <si>
    <t>コマース部</t>
  </si>
  <si>
    <t>プロダクト開発部</t>
  </si>
  <si>
    <t>CS本部 / 開発本部</t>
  </si>
  <si>
    <t>メディア統括部</t>
  </si>
  <si>
    <t>ユーザーサポートG</t>
  </si>
  <si>
    <t>CS本部 (CS部)</t>
  </si>
  <si>
    <t>CS本部 (CX部)</t>
  </si>
  <si>
    <t>健全化推進G</t>
  </si>
  <si>
    <t>CS本部 (トラスト＆セーフティ部)</t>
  </si>
  <si>
    <t>戦略室</t>
  </si>
  <si>
    <t>海外ベッティング事業部</t>
  </si>
  <si>
    <t>XFLAG事業本部</t>
  </si>
  <si>
    <t>フィンテック・エンターテインメント室</t>
  </si>
  <si>
    <t>ファイトリーグ事業部</t>
  </si>
  <si>
    <t>IP開発室</t>
  </si>
  <si>
    <t>アライアンス統括本部</t>
  </si>
  <si>
    <t>セキュリティ管理推進G</t>
  </si>
  <si>
    <t>セキュリティ技術G</t>
  </si>
  <si>
    <t>セキュリティ管理G</t>
  </si>
  <si>
    <t>スポーツ事業本部</t>
  </si>
  <si>
    <t>次世代エンターテインメント事業本部</t>
  </si>
  <si>
    <t>TIPSTAR開発部</t>
  </si>
  <si>
    <t>開発本部 / スポーツ事業部</t>
  </si>
  <si>
    <t>ライブ動画ビジネス推進室</t>
  </si>
  <si>
    <t>ライブ動画プロダクト開発室</t>
  </si>
  <si>
    <t>事業企画部</t>
  </si>
  <si>
    <t>PIST6事業部</t>
  </si>
  <si>
    <t>TIPSTAR事業企画部</t>
  </si>
  <si>
    <t>TIPSTAR企画運営部</t>
  </si>
  <si>
    <t>XFLAG開発本部</t>
  </si>
  <si>
    <t>社内IT室</t>
  </si>
  <si>
    <t>コーポレートITサービス部</t>
  </si>
  <si>
    <t>事業開発本部</t>
  </si>
  <si>
    <t>live4uG</t>
  </si>
  <si>
    <t>イノベーションG</t>
  </si>
  <si>
    <t>muukG</t>
  </si>
  <si>
    <t>みてねG</t>
  </si>
  <si>
    <t>minimoG</t>
  </si>
  <si>
    <t>ミニモ事業部</t>
  </si>
  <si>
    <t>DeployGateG</t>
  </si>
  <si>
    <t>統括管理本部</t>
  </si>
  <si>
    <t>コーポレート・コミュニケーション室</t>
  </si>
  <si>
    <t>_old_data</t>
  </si>
  <si>
    <t>このフォルダは利用不可</t>
  </si>
  <si>
    <t>対象外</t>
  </si>
  <si>
    <t>研究開発部</t>
  </si>
  <si>
    <t>ユーザー管理部</t>
  </si>
  <si>
    <t>開発推進部</t>
  </si>
  <si>
    <t>横断推進部</t>
  </si>
  <si>
    <t>ゲーム開発部</t>
  </si>
  <si>
    <t>モンストゲーム運営部</t>
  </si>
  <si>
    <t>Lily事業部</t>
  </si>
  <si>
    <t>スタースマッシュ事業部</t>
  </si>
  <si>
    <t>ネクストゲーム事業部</t>
  </si>
  <si>
    <t>honey事業部</t>
  </si>
  <si>
    <t>新規開発領域長室</t>
  </si>
  <si>
    <t>モンストマーケティング部</t>
  </si>
  <si>
    <t>HRBP部</t>
  </si>
  <si>
    <t>インキュベーション事業部</t>
  </si>
  <si>
    <t>モンストIPエンハンス部</t>
  </si>
  <si>
    <t>存続</t>
  </si>
  <si>
    <t>MKP事業部</t>
  </si>
  <si>
    <t>モンストシリーズゲーム事業部</t>
  </si>
  <si>
    <t>グローバルリレーションG</t>
  </si>
  <si>
    <t>事業デザイン部</t>
  </si>
  <si>
    <t>労務G</t>
  </si>
  <si>
    <t>採用・育成G</t>
  </si>
  <si>
    <t>はたらく環境G</t>
  </si>
  <si>
    <t>全社人事G</t>
  </si>
  <si>
    <t>企画・労務G</t>
  </si>
  <si>
    <t>人材開発G</t>
  </si>
  <si>
    <t>人材採用G</t>
  </si>
  <si>
    <t>名称未設定フォルダ</t>
  </si>
  <si>
    <t>mixiマーケティング部</t>
  </si>
  <si>
    <t>ビジネス推進部</t>
  </si>
  <si>
    <t>アドテク推進部</t>
  </si>
  <si>
    <t>グループ事業推進部</t>
  </si>
  <si>
    <t>IR室</t>
  </si>
  <si>
    <t>経理財務本部</t>
  </si>
  <si>
    <t>事業統括室</t>
  </si>
  <si>
    <t>グループ経営企画室</t>
  </si>
  <si>
    <t>Find Job ！事業部</t>
  </si>
  <si>
    <t>スタジオ企画室</t>
  </si>
  <si>
    <t>ゲーム部</t>
  </si>
  <si>
    <t>200_テーマ監査</t>
  </si>
  <si>
    <t>関係会社監査G</t>
  </si>
  <si>
    <t>000_内部監査室全般</t>
  </si>
  <si>
    <t>チャリ・ロト監査G</t>
  </si>
  <si>
    <t>800_業務改善</t>
  </si>
  <si>
    <t>400_監査法人対応</t>
  </si>
  <si>
    <t>100_部門監査</t>
  </si>
  <si>
    <t>300_子会社監査</t>
  </si>
  <si>
    <t>999_その他</t>
  </si>
  <si>
    <t>810_過去の監査役監査</t>
  </si>
  <si>
    <t>ガバナンス支援G</t>
  </si>
  <si>
    <t>研究開発G</t>
  </si>
  <si>
    <t>サービスG</t>
  </si>
  <si>
    <t>カスタマーG</t>
  </si>
  <si>
    <t>コンサルティングG</t>
  </si>
  <si>
    <t>ビジネスデベロップメントG</t>
  </si>
  <si>
    <t>カスタマーサポートG</t>
  </si>
  <si>
    <t>各ゲーム事業部</t>
  </si>
  <si>
    <t>データマーケティング室</t>
  </si>
  <si>
    <t>MSスピンオフゲーム事業部</t>
  </si>
  <si>
    <t>ブランドコミュニケーション室</t>
  </si>
  <si>
    <t>ライフコミュニケーション部</t>
  </si>
  <si>
    <t>IP管理室</t>
  </si>
  <si>
    <t>マーケティングコミュニケーション部</t>
  </si>
  <si>
    <t>ゲーム運営部</t>
  </si>
  <si>
    <t>コンテンツクリエイション室</t>
  </si>
  <si>
    <t>事業支援室</t>
  </si>
  <si>
    <t>管理者退職済み（管理者不明）</t>
  </si>
  <si>
    <t>69(10)</t>
  </si>
  <si>
    <t>退職フラグのもので、「無記載/無/無し＝退職Jiraに記載なし」、「×＝退職Jiraが起票されていないor記載ミス」</t>
  </si>
  <si>
    <t>Project topフォルダ</t>
  </si>
  <si>
    <t>フラグ</t>
  </si>
  <si>
    <t>管理者</t>
  </si>
  <si>
    <t>C列部署</t>
  </si>
  <si>
    <t>部署</t>
  </si>
  <si>
    <t>退職者部署</t>
  </si>
  <si>
    <t>PJ_F1</t>
  </si>
  <si>
    <t>島村 恒平</t>
  </si>
  <si>
    <t>島村恒平</t>
  </si>
  <si>
    <t>共有スケジュール</t>
  </si>
  <si>
    <t>長谷川 純子</t>
  </si>
  <si>
    <t>コーポレートファイナンス本部/経理税務部/経理グループ</t>
  </si>
  <si>
    <t>長谷川純子</t>
  </si>
  <si>
    <t>group-ip</t>
  </si>
  <si>
    <t>村津 文武</t>
  </si>
  <si>
    <t>コンプライアンス本部/知財室/商標・著作権グループ</t>
  </si>
  <si>
    <t>村津文武</t>
  </si>
  <si>
    <t>DSP</t>
  </si>
  <si>
    <t>尾関 芳郎</t>
  </si>
  <si>
    <t>みてね事業本部/みてねプラットフォーム部/SREグループ</t>
  </si>
  <si>
    <t>尾関芳郎</t>
  </si>
  <si>
    <t>ミクシィリサーチ経理業務</t>
  </si>
  <si>
    <t>長岡 輝</t>
  </si>
  <si>
    <t>Vantageスタジオ/Romi事業部/UX企画グループ</t>
  </si>
  <si>
    <t>長岡輝</t>
  </si>
  <si>
    <t>UXDワーキンググループ</t>
  </si>
  <si>
    <t>藤崎 宏司</t>
  </si>
  <si>
    <t>Vantageスタジオ/事業推進室/mercuryグループ</t>
  </si>
  <si>
    <t>藤崎宏司</t>
  </si>
  <si>
    <t>ミクシィグループWebクリッピング</t>
  </si>
  <si>
    <t>木下智子、菊池翔平、池谷洋平、寺岡浩史、町井香織、古澤祐幸</t>
  </si>
  <si>
    <t>経営推進本部/広報部/インターナルコミュニケーショングループ/インターナルコミュニケーションチーム</t>
  </si>
  <si>
    <t>木下智子</t>
  </si>
  <si>
    <t>経営推進本部/広報部</t>
  </si>
  <si>
    <t>菊池翔平</t>
  </si>
  <si>
    <t>経営推進本部/広報部/サステナビリティ推進グループ</t>
  </si>
  <si>
    <t>池谷 洋平</t>
  </si>
  <si>
    <t>経営推進本部/広報部/サステナビリティ推進グループ/次世代育成支援チーム</t>
  </si>
  <si>
    <t>寺岡 浩史</t>
  </si>
  <si>
    <t>町井 香織</t>
  </si>
  <si>
    <t>経営推進本部/広報部/企業広報グループ</t>
  </si>
  <si>
    <t>古澤 祐幸</t>
  </si>
  <si>
    <t>キャリア関連</t>
  </si>
  <si>
    <t>大崎 敦士</t>
  </si>
  <si>
    <t>大崎敦士</t>
  </si>
  <si>
    <t>soup_curry</t>
  </si>
  <si>
    <t>楠井 大地、神村 武</t>
  </si>
  <si>
    <t>楠井大地</t>
  </si>
  <si>
    <t>デジタルエンターテインメントオペレーションズ本部/モンスト運営部/ディレクターグループ</t>
  </si>
  <si>
    <t>神村武</t>
  </si>
  <si>
    <t>経営企画・法務共有</t>
  </si>
  <si>
    <t>泉望</t>
  </si>
  <si>
    <t>コンプライアンス本部/法務部/オペレーショングループ</t>
  </si>
  <si>
    <t>影舞</t>
  </si>
  <si>
    <t>渡部 喜正</t>
  </si>
  <si>
    <t>Vantageスタジオ/mixi事業部</t>
  </si>
  <si>
    <t>渡部喜正</t>
  </si>
  <si>
    <t>ノハナ採用</t>
  </si>
  <si>
    <t>退職</t>
  </si>
  <si>
    <t>大森 和悦、高杉 沙耶</t>
  </si>
  <si>
    <t>無</t>
  </si>
  <si>
    <t>大森和悦</t>
  </si>
  <si>
    <t>高杉沙耶</t>
  </si>
  <si>
    <t>ノハナ事業部</t>
  </si>
  <si>
    <t>セキュリティ</t>
  </si>
  <si>
    <t>亀山直生、村瀬龍馬</t>
  </si>
  <si>
    <t>セキュリティ室(本部格)</t>
  </si>
  <si>
    <t>亀山直生</t>
  </si>
  <si>
    <t>村瀬龍馬</t>
  </si>
  <si>
    <t>【機密】登用チャレンジ</t>
  </si>
  <si>
    <t>卯木 源一</t>
  </si>
  <si>
    <t>人事本部/組織戦略部/横断HRBPグループ</t>
  </si>
  <si>
    <t>卯木源一</t>
  </si>
  <si>
    <t>mr-scanner-output</t>
  </si>
  <si>
    <t>Bonfire</t>
  </si>
  <si>
    <t>澤田祐希、 栗丸侑大、 吉田明広</t>
  </si>
  <si>
    <t>開発本部/たんぽぽ室/ブルーグループ</t>
  </si>
  <si>
    <t>澤田祐希</t>
  </si>
  <si>
    <t>栗丸侑大</t>
  </si>
  <si>
    <t xml:space="preserve"> 吉田 明広</t>
  </si>
  <si>
    <t>Enishi</t>
  </si>
  <si>
    <t>mixiモールデータ</t>
  </si>
  <si>
    <t>杉田 絵美</t>
  </si>
  <si>
    <t>開発本部/たんぽぽ室/Enablementグループ</t>
  </si>
  <si>
    <t>杉田絵美</t>
  </si>
  <si>
    <t>契約管理台帳</t>
  </si>
  <si>
    <t>小林 完爾</t>
  </si>
  <si>
    <t>小林完爾</t>
  </si>
  <si>
    <t>XFLAGアシスタント共有</t>
  </si>
  <si>
    <t>齋藤 敦子、宇佐美裕子、村上 由利奈、峯岸保栄</t>
  </si>
  <si>
    <t>デジタルエンターテインメントオペレーションズ本部/モンスト運営部</t>
  </si>
  <si>
    <t>齋藤敦子</t>
  </si>
  <si>
    <t>ノハナサポート</t>
  </si>
  <si>
    <t>牛田美穂</t>
  </si>
  <si>
    <t>CS本部/CX部/Enhancementグループ/組織開発チーム</t>
  </si>
  <si>
    <t>Creative</t>
  </si>
  <si>
    <t>越智 純平</t>
  </si>
  <si>
    <t>デザイン本部/動画クリエイティブ室</t>
  </si>
  <si>
    <t>越智純平</t>
  </si>
  <si>
    <t>mixiカンファレンス</t>
  </si>
  <si>
    <t>岨中 健太</t>
  </si>
  <si>
    <t>Vantageスタジオ/事業推進室</t>
  </si>
  <si>
    <t>岨中健太</t>
  </si>
  <si>
    <t>知財運用支援</t>
  </si>
  <si>
    <t>開発マネージャ共有</t>
  </si>
  <si>
    <t>福森 美貴</t>
  </si>
  <si>
    <t>福森美貴</t>
  </si>
  <si>
    <t>CONNECTIT_SF</t>
  </si>
  <si>
    <t>洪 嘉優</t>
  </si>
  <si>
    <t>洪嘉優</t>
  </si>
  <si>
    <t>LE事業本部AM</t>
  </si>
  <si>
    <t>経理・財務共有</t>
  </si>
  <si>
    <t>望月 大輔</t>
  </si>
  <si>
    <t>コーポレートファイナンス本部/経理税務部</t>
  </si>
  <si>
    <t>望月大輔</t>
  </si>
  <si>
    <t>mb</t>
  </si>
  <si>
    <t>竹田 広平</t>
  </si>
  <si>
    <t>竹田広平</t>
  </si>
  <si>
    <t>MFプロジェクト</t>
  </si>
  <si>
    <t>嵯峨 勇</t>
  </si>
  <si>
    <t>はたらく環境推進本部/せいかつ環境室/せいかつ環境Aグループ</t>
  </si>
  <si>
    <t>嵯峨勇</t>
  </si>
  <si>
    <t>経理・労務共通</t>
  </si>
  <si>
    <t>中川 真紀子、 酒井 優、坂田 信隆a</t>
  </si>
  <si>
    <t>人事本部/グループ会社サポート部</t>
  </si>
  <si>
    <t>中川真紀子</t>
  </si>
  <si>
    <t>SH人事・労務</t>
  </si>
  <si>
    <t>奥田 匡彦</t>
  </si>
  <si>
    <t>無し</t>
  </si>
  <si>
    <t>奥田匡彦</t>
  </si>
  <si>
    <t>mixipark</t>
  </si>
  <si>
    <t>石井 公二</t>
  </si>
  <si>
    <t>石井公二</t>
  </si>
  <si>
    <t>fanfest2020</t>
  </si>
  <si>
    <t>山口 祥子</t>
  </si>
  <si>
    <t>ライブエクスペリエンス事業本部/フットボール事業部/事業推進グループ</t>
  </si>
  <si>
    <t>山口祥子</t>
  </si>
  <si>
    <t>ブラナイ</t>
  </si>
  <si>
    <t>澁谷 高広</t>
  </si>
  <si>
    <t>ソーシャルベッティング事業本部/TIPSTAR事業部/プロダクト戦略グループ/開発チーム</t>
  </si>
  <si>
    <t>澁谷高広</t>
  </si>
  <si>
    <t>tech_data</t>
  </si>
  <si>
    <t>横山 義之、曽我 雄二</t>
  </si>
  <si>
    <t>横山義之</t>
  </si>
  <si>
    <t>財務・労務共通</t>
  </si>
  <si>
    <t>菅原 亜弓、 中川 真紀子</t>
  </si>
  <si>
    <t>菅原亜弓</t>
  </si>
  <si>
    <t>XFLAG人事戦略室</t>
  </si>
  <si>
    <t>諸橋裕 小川大輔 貝島梨紗 山本陽司 柳本修平</t>
  </si>
  <si>
    <t>ソーシャルベッティング事業本部/価値創造室/コンテンツグループ/コンテンツビジネスチーム</t>
  </si>
  <si>
    <t>諸橋裕</t>
  </si>
  <si>
    <t>ライブエクスペリエンス事業本部/企画推進部/HRBPグループ</t>
  </si>
  <si>
    <t>小川大輔</t>
  </si>
  <si>
    <t>人事本部/人事戦略部/データ活用推進グループ</t>
  </si>
  <si>
    <t>貝島 梨紗</t>
  </si>
  <si>
    <t>人事本部/組織戦略部</t>
  </si>
  <si>
    <t>山本 陽司</t>
  </si>
  <si>
    <t>人事本部/MCS室</t>
  </si>
  <si>
    <t>柳本 修平</t>
  </si>
  <si>
    <t>広報IR共有</t>
  </si>
  <si>
    <t>木下智子、菊池翔平、池谷洋平、寺岡浩史、町井香織</t>
  </si>
  <si>
    <t>コンテンツ管理システム</t>
  </si>
  <si>
    <t>monst_コラボ関連資料</t>
  </si>
  <si>
    <t>田所 将</t>
  </si>
  <si>
    <t>デジタルエンターテインメントオペレーションズ本部/モンスト運営部/コラボ推進グループ</t>
  </si>
  <si>
    <t>田所将</t>
  </si>
  <si>
    <t>株式関連</t>
  </si>
  <si>
    <t>営業案件</t>
  </si>
  <si>
    <t>石井 瞬</t>
  </si>
  <si>
    <t/>
  </si>
  <si>
    <t>石井瞬</t>
  </si>
  <si>
    <t>無記載</t>
  </si>
  <si>
    <t>HAMBOURG_PMI</t>
  </si>
  <si>
    <t>寺谷 祐樹</t>
  </si>
  <si>
    <t>寺谷祐樹</t>
  </si>
  <si>
    <t>リサーチ担当者間共有</t>
  </si>
  <si>
    <t>人材開発temp</t>
  </si>
  <si>
    <t>太田 雅登</t>
  </si>
  <si>
    <t>太田雅登</t>
  </si>
  <si>
    <t>sfidante</t>
  </si>
  <si>
    <t>佐藤 僚</t>
  </si>
  <si>
    <t>佐藤僚</t>
  </si>
  <si>
    <t>入稿バナー確認用</t>
  </si>
  <si>
    <t>北 由布子</t>
  </si>
  <si>
    <t>Vantageスタジオ/事業推進室/事業推進グループ/アシスタントチーム</t>
  </si>
  <si>
    <t>北由布子</t>
  </si>
  <si>
    <t>労務・仙台共有</t>
  </si>
  <si>
    <t>モンストアニメ</t>
  </si>
  <si>
    <t>蛭川 幸太郎、山下 春樹、金子 好宏、宇野 博美、安原 英樹</t>
  </si>
  <si>
    <t>はたらく環境推進本部/ビジネスサポート室/インフォメーションハブグループ</t>
  </si>
  <si>
    <t>蛭川幸太郎</t>
  </si>
  <si>
    <t>TED_workspace</t>
  </si>
  <si>
    <t>谷 賢史、野上 祐平、原 由佳理</t>
  </si>
  <si>
    <t>デザイン本部/テクニカルデザイン室</t>
  </si>
  <si>
    <t>谷賢史</t>
  </si>
  <si>
    <t>mixi運用</t>
  </si>
  <si>
    <t>QA_G</t>
  </si>
  <si>
    <t>石井 万祐子</t>
  </si>
  <si>
    <t>デジタルエンターテインメントオペレーションズ本部/モンスト開発部/QAグループ/QA3チーム</t>
  </si>
  <si>
    <t>石井万祐子</t>
  </si>
  <si>
    <t>kizuna</t>
  </si>
  <si>
    <t>楠井 大地</t>
  </si>
  <si>
    <t>広告ダッシュボード</t>
  </si>
  <si>
    <t>安藤 真祐子</t>
  </si>
  <si>
    <t>ﾏｰﾁｬﾝﾀﾞｲｼﾞﾝｸﾞ部</t>
  </si>
  <si>
    <t>安藤真祐子</t>
  </si>
  <si>
    <t>【CS推進部】特別渉外対応</t>
  </si>
  <si>
    <t>疋田 建典</t>
  </si>
  <si>
    <t>疋田建典</t>
  </si>
  <si>
    <t>モンストIPクリエイション部アシスタント共有</t>
  </si>
  <si>
    <t>今野 ひとみ</t>
  </si>
  <si>
    <t>デジタルエンターテインメントオペレーションズ本部/モンストIPクリエイション部/PJ支援グループ</t>
  </si>
  <si>
    <t>今野ひとみ</t>
  </si>
  <si>
    <t>はたらく環境課情報共有</t>
  </si>
  <si>
    <t>加藤 徳英、菅原 亜弓、宮本 憲枝</t>
  </si>
  <si>
    <t>はたらく環境推進本部/コーポレートエンジニアリング部</t>
  </si>
  <si>
    <t>加藤徳英</t>
  </si>
  <si>
    <t>XFLAG_assistant</t>
  </si>
  <si>
    <t>望月美詠、内藤梓、草村衣未、阿部久美</t>
  </si>
  <si>
    <t>デジタルエンターテインメントオペレーションズ本部/コトダマン制作部/制作運用グループ/サービス運用チーム</t>
  </si>
  <si>
    <t>望月美詠</t>
  </si>
  <si>
    <t>はたらく環境推進本部/せいかつ環境室/せいかつ環境Bグループ/せいかつ環境Cチーム</t>
  </si>
  <si>
    <t>内藤梓</t>
  </si>
  <si>
    <t>開発本部/たんぽぽ室/BOグループ</t>
  </si>
  <si>
    <t>草村 衣未</t>
  </si>
  <si>
    <t>はたらく環境推進本部/ビジネスサポート室/ボイスグループ</t>
  </si>
  <si>
    <t>阿部 久美</t>
  </si>
  <si>
    <t>SPgamePF共通化PJ</t>
  </si>
  <si>
    <t>平山英輝</t>
  </si>
  <si>
    <t>【機密】入社者データ共有</t>
  </si>
  <si>
    <t>卯木 源一、佐藤 貴亮、山本 陽司</t>
  </si>
  <si>
    <t>Jets_temp</t>
  </si>
  <si>
    <t>mixiイメージ共有ワークショップ</t>
  </si>
  <si>
    <t>monsoni</t>
  </si>
  <si>
    <t>中村良一</t>
  </si>
  <si>
    <t>ｲﾝｷｭﾍﾞｰｼｮﾝ事業部</t>
  </si>
  <si>
    <t>SAPインフラ支援</t>
  </si>
  <si>
    <t>小林 一希</t>
  </si>
  <si>
    <t>ソーシャルベッティング事業本部/チャリ・ロト事業部/ソリューショングループ/管理チーム</t>
  </si>
  <si>
    <t>小林一希</t>
  </si>
  <si>
    <t>PJ_nd_public</t>
  </si>
  <si>
    <t>デザイン本部アシスタント共有</t>
  </si>
  <si>
    <t>松崎徳子、土田希望</t>
  </si>
  <si>
    <t>デザイン本部/ブランドデザイン室/マネジメントグループ/バックオフィスチーム</t>
  </si>
  <si>
    <t>松崎徳子</t>
  </si>
  <si>
    <t>土田希望</t>
  </si>
  <si>
    <t>プレミアム関連キャンペーン</t>
  </si>
  <si>
    <t>山口 太樹</t>
  </si>
  <si>
    <t>デジタルエンターテインメントオペレーションズ本部/コトダマン制作部</t>
  </si>
  <si>
    <t>山口太樹</t>
  </si>
  <si>
    <t>honey</t>
  </si>
  <si>
    <t>齊藤 優太、桑谷 貴志</t>
  </si>
  <si>
    <t>齊藤優太</t>
  </si>
  <si>
    <t>桑谷貴志</t>
  </si>
  <si>
    <t>音源</t>
  </si>
  <si>
    <t>早坂 匠、笠島 伸吾</t>
  </si>
  <si>
    <t>早坂匠</t>
  </si>
  <si>
    <t>デザイン本部/動画クリエイティブ室/クリエイティブサウンドグループ</t>
  </si>
  <si>
    <t>笠島伸吾</t>
  </si>
  <si>
    <t>部長共有会議</t>
  </si>
  <si>
    <t>木村 弘毅</t>
  </si>
  <si>
    <t>木村弘毅</t>
  </si>
  <si>
    <t>C社調査</t>
  </si>
  <si>
    <t>船隠 大介、小林 完爾</t>
  </si>
  <si>
    <t>内部監査室(本部格)/内部監査室</t>
  </si>
  <si>
    <t>船隠大介</t>
  </si>
  <si>
    <t>ﾕｰｻﾞｰｻﾎﾟｰﾄｸﾞﾙｰﾌﾟ</t>
  </si>
  <si>
    <t>荒川 司</t>
  </si>
  <si>
    <t>みてね事業本部/みてね事業開発部/CSグループ</t>
  </si>
  <si>
    <t>荒川司</t>
  </si>
  <si>
    <t>人材採用</t>
  </si>
  <si>
    <t>杉村 元規、川原 友希</t>
  </si>
  <si>
    <t>杉村元規</t>
  </si>
  <si>
    <t>mixiプレミアムポイントキャンペーン</t>
  </si>
  <si>
    <t>SWEET_PMI</t>
  </si>
  <si>
    <t>玉井 賀子</t>
  </si>
  <si>
    <t>玉井賀子</t>
  </si>
  <si>
    <t>AM管理</t>
  </si>
  <si>
    <t>平岡 晃</t>
  </si>
  <si>
    <t>平岡晃</t>
  </si>
  <si>
    <t>tech</t>
  </si>
  <si>
    <t>株主総会</t>
  </si>
  <si>
    <t>C-039</t>
  </si>
  <si>
    <t>開 光太朗</t>
  </si>
  <si>
    <t>経営推進本部/グループ会社統括支援部</t>
  </si>
  <si>
    <t>開光太朗</t>
  </si>
  <si>
    <t>仮想PL</t>
  </si>
  <si>
    <t>森田潤也</t>
  </si>
  <si>
    <t>坂田 信隆a、 中川 真紀子、酒井 優</t>
  </si>
  <si>
    <t>人事本部/労務部</t>
  </si>
  <si>
    <t>坂田信隆a</t>
  </si>
  <si>
    <t>ＧＫプロジェクト</t>
  </si>
  <si>
    <t>間瀬 琴巳</t>
  </si>
  <si>
    <t>開発本部/インフラ室</t>
  </si>
  <si>
    <t>間瀬琴巳</t>
  </si>
  <si>
    <t>ゲームレポート</t>
  </si>
  <si>
    <t>栢木 英行</t>
  </si>
  <si>
    <t>Vantageスタジオ/mixi事業部/パートナービジネスグループ</t>
  </si>
  <si>
    <t>栢木英行</t>
  </si>
  <si>
    <t>PC版mixiUIガイドライン策定PJ</t>
  </si>
  <si>
    <t>j-sox</t>
  </si>
  <si>
    <t>小林 完爾、望月 大輔</t>
  </si>
  <si>
    <t>macaron_経理関連</t>
  </si>
  <si>
    <t>鈴木 景子</t>
  </si>
  <si>
    <t>デジタルエンターテインメントオペレーションズ本部/モンストIPクリエイション部/キャラプログループ/アート監修チーム</t>
  </si>
  <si>
    <t>鈴木景子</t>
  </si>
  <si>
    <t>soundgroup_databackup</t>
  </si>
  <si>
    <t>安井 聡史</t>
  </si>
  <si>
    <t>デザイン本部/ブランドデザイン室</t>
  </si>
  <si>
    <t>安井聡史</t>
  </si>
  <si>
    <t>システム本部からの共有</t>
  </si>
  <si>
    <t>渡辺 隆志</t>
  </si>
  <si>
    <t>渡辺隆志</t>
  </si>
  <si>
    <t>スマホアプリ数値管理</t>
  </si>
  <si>
    <t>白岩 優子</t>
  </si>
  <si>
    <t>みてね事業本部/みてねマーケティング部/ユーザーコミュニケーショングループ</t>
  </si>
  <si>
    <t>白岩優子</t>
  </si>
  <si>
    <t>99_作業用テスト</t>
  </si>
  <si>
    <t>ミクシィリサーチ総務業務</t>
  </si>
  <si>
    <t>candy</t>
  </si>
  <si>
    <t>【機密】統括管理本部⇔人事部</t>
  </si>
  <si>
    <t>山本陽司</t>
  </si>
  <si>
    <t>健全化推進</t>
  </si>
  <si>
    <t>広告運用</t>
  </si>
  <si>
    <t>マネージャー共有</t>
  </si>
  <si>
    <t>荻野 泰弘</t>
  </si>
  <si>
    <t>荻野泰弘</t>
  </si>
  <si>
    <t>mixiゲーム</t>
  </si>
  <si>
    <t>人事部動画データ</t>
  </si>
  <si>
    <t>森本 淳</t>
  </si>
  <si>
    <t>森本淳</t>
  </si>
  <si>
    <t>D-NAS-backup</t>
  </si>
  <si>
    <t>越智 純平、 山田 涼晴</t>
  </si>
  <si>
    <t>mixi広告媒体資料</t>
  </si>
  <si>
    <t>木下 智子</t>
  </si>
  <si>
    <t>Fight League トップリーガーズアリーナ個人情報保管庫</t>
  </si>
  <si>
    <t>楠井大地、安藤希倫、山口太樹、アコップカンエド、関あずさ、江下 僚、山本 直輝</t>
  </si>
  <si>
    <t>安藤希倫</t>
  </si>
  <si>
    <t>アコップカンエド</t>
  </si>
  <si>
    <t>デジタルエンターテインメントパブリッシング本部/事業戦略室/事業戦略グループ</t>
  </si>
  <si>
    <t>関 あずさ</t>
  </si>
  <si>
    <t>江下 僚</t>
  </si>
  <si>
    <t>デジタルエンターテインメントパブリッシング本部/事業探索室/Rajaグループ</t>
  </si>
  <si>
    <t>山本 直輝</t>
  </si>
  <si>
    <t>marvel-tsumtsum</t>
  </si>
  <si>
    <t>部室長用人事データ</t>
  </si>
  <si>
    <t>j-sox-it</t>
  </si>
  <si>
    <t>グッズ売上</t>
  </si>
  <si>
    <t>中島 清貴</t>
  </si>
  <si>
    <t>デジタルエンターテインメントオペレーションズ本部/ファンマーケティング部/MD事業開発グループ/モンストア運営チーム</t>
  </si>
  <si>
    <t>中島清貴</t>
  </si>
  <si>
    <t>secretary</t>
  </si>
  <si>
    <t>VOLTAGE</t>
  </si>
  <si>
    <t>SocialGiftPlatform</t>
  </si>
  <si>
    <t>内藤 梓</t>
  </si>
  <si>
    <t>経営会議</t>
  </si>
  <si>
    <t>石田 哲久</t>
  </si>
  <si>
    <t>石田哲久</t>
  </si>
  <si>
    <t>【中途採用】ポートフォリオ保管</t>
  </si>
  <si>
    <t>佐藤 貴亮、行徳 彩、卯木 源一</t>
  </si>
  <si>
    <t>人事本部/組織戦略部/事業HRBPグループ</t>
  </si>
  <si>
    <t>佐藤貴亮</t>
  </si>
  <si>
    <t>PCミクコレ</t>
  </si>
  <si>
    <t>【機密】中途採用担当者_共有</t>
  </si>
  <si>
    <t>佐藤 貴亮、卯木 源一、山本 陽司</t>
  </si>
  <si>
    <t>財務・経理・労務共有フォルダ</t>
  </si>
  <si>
    <t>中川 真紀子、酒井 優、坂田 信隆a</t>
  </si>
  <si>
    <t>PJ Star</t>
  </si>
  <si>
    <t>島田茂樹</t>
  </si>
  <si>
    <t>IMC</t>
  </si>
  <si>
    <t>新 和博</t>
  </si>
  <si>
    <t>アイ・マーキュリーキャピタル株式会社/アイ・マーキュリーキャピタル株式会社/アイ・マーキュリーキャピタル株式会社(本部格)</t>
  </si>
  <si>
    <t>新和博</t>
  </si>
  <si>
    <t>CGCTバックアップ</t>
  </si>
  <si>
    <t>原 由佳理</t>
  </si>
  <si>
    <t>デザイン本部/テクニカルデザイン室/テクニカルデザイングループ/R&amp;Dチーム</t>
  </si>
  <si>
    <t>原由佳理</t>
  </si>
  <si>
    <t>財務・イノベーションセンター共有</t>
  </si>
  <si>
    <t>船隠 大介</t>
  </si>
  <si>
    <t>C2C</t>
  </si>
  <si>
    <t>共有写真（全社）</t>
  </si>
  <si>
    <t>取締役会</t>
  </si>
  <si>
    <t>mixiプラットフォームイベント</t>
  </si>
  <si>
    <t>経理・スマートヘルス共有</t>
  </si>
  <si>
    <t>XFLAG_PARK</t>
  </si>
  <si>
    <t>比奈本 真、森本 周平、吉永 英恵、越智純平</t>
  </si>
  <si>
    <t>デジタルエンターテインメントオペレーションズ本部/事業戦略部/IPマーケティンググループ</t>
  </si>
  <si>
    <t>比奈本真</t>
  </si>
  <si>
    <t>cg_ae</t>
  </si>
  <si>
    <t>八木 貴也、守本 舞</t>
  </si>
  <si>
    <t>デザイン本部/動画クリエイティブ室/CGデザイングループ</t>
  </si>
  <si>
    <t>八木貴也</t>
  </si>
  <si>
    <t>PJ：Diamond</t>
  </si>
  <si>
    <t>システム運用G業務委託</t>
  </si>
  <si>
    <t>大阪営業所移転PJ</t>
  </si>
  <si>
    <t>事業推進・イノセン</t>
  </si>
  <si>
    <t>ミクシィリサーチ経営業務</t>
  </si>
  <si>
    <t>montoru</t>
  </si>
  <si>
    <t>COOPE</t>
  </si>
  <si>
    <t>durian</t>
  </si>
  <si>
    <t>譚正文　山本直樹</t>
  </si>
  <si>
    <t>デザイン本部/テクニカルデザイン室/デジタルエンターテインメント支援グループ/2DUI第1チーム</t>
  </si>
  <si>
    <t>譚正文</t>
  </si>
  <si>
    <t>山本直樹</t>
  </si>
  <si>
    <t>法務渉外対応</t>
  </si>
  <si>
    <t>モンストスタジオ・アドテク共有用</t>
  </si>
  <si>
    <t>瀧本晋也</t>
  </si>
  <si>
    <t>App</t>
  </si>
  <si>
    <t>加藤 徳英、朝倉 文彦、佐藤 隆行</t>
  </si>
  <si>
    <t>pj-meme</t>
  </si>
  <si>
    <t>マスプロ効果測定</t>
  </si>
  <si>
    <t>経理・仙台共有</t>
  </si>
  <si>
    <t>FJ販売管理関連・経理部共有</t>
  </si>
  <si>
    <t>飯塚 京</t>
  </si>
  <si>
    <t>飯塚京</t>
  </si>
  <si>
    <t>経営企画G・IMC</t>
  </si>
  <si>
    <t>企画レポート</t>
  </si>
  <si>
    <t>PJ Naples</t>
  </si>
  <si>
    <t>00_共有サーバの使い方</t>
  </si>
  <si>
    <t>DVS</t>
  </si>
  <si>
    <t>奥山 翔、坂本 泉</t>
  </si>
  <si>
    <t>奥山翔</t>
  </si>
  <si>
    <t>資産・購買管理共有</t>
  </si>
  <si>
    <t>宮本 憲枝</t>
  </si>
  <si>
    <t>はたらく環境推進本部/せいかつ環境室</t>
  </si>
  <si>
    <t>宮本憲枝</t>
  </si>
  <si>
    <t>デザインG業務委託</t>
  </si>
  <si>
    <t>向中野 智志</t>
  </si>
  <si>
    <t>Vantageスタジオ/mixi事業部/開発2グループ</t>
  </si>
  <si>
    <t>向中野智志</t>
  </si>
  <si>
    <t>USBメモリ等移動用</t>
  </si>
  <si>
    <t>加藤 徳英</t>
  </si>
  <si>
    <t>ショッパーズアイカンパニー</t>
  </si>
  <si>
    <t>マーケティング部海外宣伝企画</t>
  </si>
  <si>
    <t>河村勇、野口直希</t>
  </si>
  <si>
    <t>デジタルエンターテインメントオペレーションズ本部/宣伝部/海外プロモーショングループ</t>
  </si>
  <si>
    <t>河村勇</t>
  </si>
  <si>
    <t>ソーシャルベッティング事業本部/TIPSTAR事業部/プロダクト戦略グループ/マーケティングチーム</t>
  </si>
  <si>
    <t>野口直希</t>
  </si>
  <si>
    <t>案件管理</t>
  </si>
  <si>
    <t>monst</t>
  </si>
  <si>
    <t>砂村 哲平、成田 悟</t>
  </si>
  <si>
    <t>デジタルエンターテインメントオペレーションズ本部/モンストIPクリエイション部</t>
  </si>
  <si>
    <t>砂村哲平</t>
  </si>
  <si>
    <t>経営企画室／投資・事業推進部</t>
  </si>
  <si>
    <t>島村恒平 奥山翔</t>
  </si>
  <si>
    <t>anime</t>
  </si>
  <si>
    <t>蛭川 幸太郎、金子 好宏、宇野 博美、安原 英樹、櫻井 謙士、越智 正英</t>
  </si>
  <si>
    <t>x-point管理フォルダ</t>
  </si>
  <si>
    <t>上野 桂子、泉 望</t>
  </si>
  <si>
    <t>はたらく環境推進本部/コーポレートITサービス部/バックオフィスグループ</t>
  </si>
  <si>
    <t>上野桂子</t>
  </si>
  <si>
    <t>PJ_nd_unit</t>
  </si>
  <si>
    <t>マーケティング戦略G</t>
  </si>
  <si>
    <t>百瀬絵里香、檜田拓也</t>
  </si>
  <si>
    <t>デジタルエンターテインメントオペレーションズ本部/宣伝部/デジタルマーケティンググループ/離反復帰チーム</t>
  </si>
  <si>
    <t>百瀬絵里香</t>
  </si>
  <si>
    <t>檜田拓也</t>
  </si>
  <si>
    <t>mixi-mobageKPI共有</t>
  </si>
  <si>
    <t>モンストマーケティングからの共有</t>
  </si>
  <si>
    <t>室井かなえ</t>
  </si>
  <si>
    <t>経営推進本部/FP&amp;Aインテリジェンス部/コーポレートFP&amp;Aグループ</t>
  </si>
  <si>
    <t>macaron</t>
  </si>
  <si>
    <t>鈴木 景子、竹之内 亮、野上 潤、中山 浩輔</t>
  </si>
  <si>
    <t>課金対応</t>
  </si>
  <si>
    <t>pj-dog</t>
  </si>
  <si>
    <t>吉村 順也、内田 洋平、岡本 三敬</t>
  </si>
  <si>
    <t>吉村順也</t>
  </si>
  <si>
    <t>デジタルエンターテインメントパブリッシング本部/グローバルモンスト室/事業企画グループ/事業推進チーム</t>
  </si>
  <si>
    <t>内田洋平</t>
  </si>
  <si>
    <t>岡本 三敬</t>
  </si>
  <si>
    <t>運営者からのお知らせ</t>
  </si>
  <si>
    <t>望月 美詠</t>
  </si>
  <si>
    <t>YACHT</t>
  </si>
  <si>
    <t>内部監査</t>
  </si>
  <si>
    <t>船隠大介、津嶌託也</t>
  </si>
  <si>
    <t>津嶌託也</t>
  </si>
  <si>
    <t>ミクシィリサーチカンパニー</t>
  </si>
  <si>
    <t>ノハナ社設立プロジェクト</t>
  </si>
  <si>
    <t>pj_mR</t>
  </si>
  <si>
    <t>総務共有</t>
  </si>
  <si>
    <t>monst_system</t>
  </si>
  <si>
    <t>白川 裕介、銭 宇喆</t>
  </si>
  <si>
    <t>白川裕介</t>
  </si>
  <si>
    <t>PJ YUKAI</t>
  </si>
  <si>
    <t>島田 茂樹</t>
  </si>
  <si>
    <t>社内システム情報共有</t>
  </si>
  <si>
    <t>有名人アカウント</t>
  </si>
  <si>
    <t>PJ-mkp</t>
  </si>
  <si>
    <t>髙橋 勇太・大槻 一彦・山口 太樹</t>
  </si>
  <si>
    <t>髙橋勇太</t>
  </si>
  <si>
    <t>デジタルエンターテインメントオペレーションズ本部/コトダマン運営部</t>
  </si>
  <si>
    <t>大槻一彦</t>
  </si>
  <si>
    <t>PJT：T1</t>
  </si>
  <si>
    <t>確定拠出年金制度</t>
  </si>
  <si>
    <t>大田 由香</t>
  </si>
  <si>
    <t>大田由香</t>
  </si>
  <si>
    <t>mixiモール</t>
  </si>
  <si>
    <t>eclair_art</t>
  </si>
  <si>
    <t>熊本 満里奈</t>
  </si>
  <si>
    <t>デジタルエンターテインメントオペレーションズ本部/モンストIPクリエイション部/キャラプログループ</t>
  </si>
  <si>
    <t>熊本満里奈</t>
  </si>
  <si>
    <t>経企・労務共有</t>
  </si>
  <si>
    <t>マーチャンダイジング部PBNB共有</t>
  </si>
  <si>
    <t>安田 勇大、河野 麻未</t>
  </si>
  <si>
    <t>デジタルエンターテインメントオペレーションズ本部/ファンマーケティング部/MD事業開発グループ</t>
  </si>
  <si>
    <t>安田勇大</t>
  </si>
  <si>
    <t>ピコミク</t>
  </si>
  <si>
    <t>木村 俊也、福森 美貴</t>
  </si>
  <si>
    <t>木村俊也</t>
  </si>
  <si>
    <t>eclair</t>
  </si>
  <si>
    <t>Design</t>
  </si>
  <si>
    <t>グループ会社共有</t>
  </si>
  <si>
    <t>菅原 亜弓、中川 真紀子</t>
  </si>
  <si>
    <t>エンパワーメント共有</t>
  </si>
  <si>
    <t>宇高 邦弘</t>
  </si>
  <si>
    <t>宇高邦弘</t>
  </si>
  <si>
    <t>株式会社ミクシィリサーチ</t>
  </si>
  <si>
    <t>コラボレーション・ツールバー</t>
  </si>
  <si>
    <t>西澤 明日香</t>
  </si>
  <si>
    <t>西澤明日香</t>
  </si>
  <si>
    <t>ミクシィ・リクルートメント経営業務</t>
  </si>
  <si>
    <t>岨中 健太、鈴木 貴史</t>
  </si>
  <si>
    <t>tech_tools</t>
  </si>
  <si>
    <t>sonic</t>
  </si>
  <si>
    <t>早川 泰彦、山口 太樹、東海 貴士、須藤 雄樹</t>
  </si>
  <si>
    <t>早川泰彦</t>
  </si>
  <si>
    <t>コーポレートデベロップメント本部/事業企画推進部/事業推進グループ/ARG企画チーム</t>
  </si>
  <si>
    <t>東海 貴士</t>
  </si>
  <si>
    <t>須藤 雄樹</t>
  </si>
  <si>
    <t>PJ_nd_project</t>
  </si>
  <si>
    <t>CHOIDRA_社内</t>
  </si>
  <si>
    <t>小野里 浩司</t>
  </si>
  <si>
    <t>Vantageスタジオ/事業推進室/choidoraグループ</t>
  </si>
  <si>
    <t>小野里浩司</t>
  </si>
  <si>
    <t>PJ_HAMBOURG</t>
  </si>
  <si>
    <t>MST3</t>
  </si>
  <si>
    <t>櫻井 謙士、安原 英樹、蛭川 幸太郎、 佐藤 浩樹、阿部 久美、山下 春樹</t>
  </si>
  <si>
    <t>デジタルエンターテインメントオペレーションズ本部/モンストIPクリエイション部/映像グループ</t>
  </si>
  <si>
    <t>櫻井謙士</t>
  </si>
  <si>
    <t>sg</t>
  </si>
  <si>
    <t>【機密】中途・エンパ_共有</t>
  </si>
  <si>
    <t>三嶋 佳織、卯木 源一</t>
  </si>
  <si>
    <t>人事本部/組織戦略部/組織推進グループ</t>
  </si>
  <si>
    <t>三嶋佳織</t>
  </si>
  <si>
    <t>投資委員会</t>
  </si>
  <si>
    <t>STORE労務</t>
  </si>
  <si>
    <t>加奈山 怜</t>
  </si>
  <si>
    <t>ライブエクスペリエンス事業本部/バスケットボール事業部/マーケティンググループ</t>
  </si>
  <si>
    <t>加奈山怜</t>
  </si>
  <si>
    <t>支援1G</t>
  </si>
  <si>
    <t>小林 誠</t>
  </si>
  <si>
    <t>ソーシャルベッティング事業本部/TIPSTAR事業部/運営グループ/ミッション運用チーム</t>
  </si>
  <si>
    <t>小林誠</t>
  </si>
  <si>
    <t>BMW共有</t>
  </si>
  <si>
    <t>【会長室⇔MS本部】共有フォルダ</t>
  </si>
  <si>
    <t>加藤 佳代</t>
  </si>
  <si>
    <t>加藤佳代</t>
  </si>
  <si>
    <t>logo</t>
  </si>
  <si>
    <t>塚田 亜希子</t>
  </si>
  <si>
    <t>塚田亜希子</t>
  </si>
  <si>
    <t>ゲーム案件管理</t>
  </si>
  <si>
    <t>木村 真</t>
  </si>
  <si>
    <t>木村真</t>
  </si>
  <si>
    <t>pj_Rabbit</t>
  </si>
  <si>
    <t>リスク管理委員会</t>
  </si>
  <si>
    <t>小林完爾、荒井真人</t>
  </si>
  <si>
    <t>コンプライアンス本部/法務部/コンプライアンスグループ</t>
  </si>
  <si>
    <t>荒井真人</t>
  </si>
  <si>
    <t>投資案件</t>
  </si>
  <si>
    <t>ＦＭプロジェクト</t>
  </si>
  <si>
    <t>取引先一覧(パートナー)</t>
  </si>
  <si>
    <t>社員ID作業用</t>
  </si>
  <si>
    <t>mixiギフト</t>
  </si>
  <si>
    <t>ICHIGO</t>
  </si>
  <si>
    <t>sports</t>
  </si>
  <si>
    <t>譚 正文、大崎 敦士</t>
  </si>
  <si>
    <t>データ保全</t>
  </si>
  <si>
    <t>加藤 徳英、佐藤 隆行、上野 桂子、朝倉 文彦</t>
  </si>
  <si>
    <t>【機密】人事戦略・労務_共有</t>
  </si>
  <si>
    <t>坂田 信隆a</t>
  </si>
  <si>
    <t>【機密】ストレスチェック</t>
  </si>
  <si>
    <t>日下 ななみ、越知 夏子</t>
  </si>
  <si>
    <t>人事本部/労務部/ウェルネス推進グループ/保健衛生チーム</t>
  </si>
  <si>
    <t>日下ななみ</t>
  </si>
  <si>
    <t>社内システム人事関連情報共有</t>
  </si>
  <si>
    <t>品質管理</t>
  </si>
  <si>
    <t>決済センター</t>
  </si>
  <si>
    <t>武本 泰伸、北 由布子</t>
  </si>
  <si>
    <t>武本泰伸</t>
  </si>
  <si>
    <t>PJ_SWEET</t>
  </si>
  <si>
    <t>ディレクター共有</t>
  </si>
  <si>
    <t>mixiアプリ広告検品</t>
  </si>
  <si>
    <t>瀧本 晋也</t>
  </si>
  <si>
    <t>【運用部】【CS推進室】緊急警察照会対応</t>
  </si>
  <si>
    <t>森本 周平</t>
  </si>
  <si>
    <t>デジタルエンターテインメントオペレーションズ本部/事業戦略部/メタストグループ</t>
  </si>
  <si>
    <t>森本周平</t>
  </si>
  <si>
    <t>ブランド戦略Tデータ保管用</t>
  </si>
  <si>
    <t>周 軼駿</t>
  </si>
  <si>
    <t>周軼駿</t>
  </si>
  <si>
    <t>投資事業推進室案件管理</t>
  </si>
  <si>
    <t>【機密】人員データ共有</t>
  </si>
  <si>
    <t>坂田 信隆a、後藤 満喜</t>
  </si>
  <si>
    <t>【機密】LYSITHEAデータ共有</t>
  </si>
  <si>
    <t>酒井 優、西澤 英一</t>
  </si>
  <si>
    <t>人事本部/労務部/労務管理第1グループ</t>
  </si>
  <si>
    <t>酒井優</t>
  </si>
  <si>
    <t>業務改善PJ（タイアップ案件）</t>
  </si>
  <si>
    <t>monst-denki</t>
  </si>
  <si>
    <t>山本 忠智香、 大串 潤介</t>
  </si>
  <si>
    <t>デジタルエンターテインメントオペレーションズ本部/ファンマーケティング部/ライセンスグループ</t>
  </si>
  <si>
    <t>山本忠智香</t>
  </si>
  <si>
    <t>_tmp</t>
  </si>
  <si>
    <t>予算管理</t>
  </si>
  <si>
    <t>マッサージルーム</t>
  </si>
  <si>
    <t>竹井香織、堀江信弘</t>
  </si>
  <si>
    <t>竹井香織</t>
  </si>
  <si>
    <t>人事本部/グループ会社サポート部/人事労務グループ</t>
  </si>
  <si>
    <t>堀江信弘</t>
  </si>
  <si>
    <t>mixiアプリパートナー登録</t>
  </si>
  <si>
    <t>ネイティブアプリ売り上げ報告</t>
  </si>
  <si>
    <t>201311GM</t>
  </si>
  <si>
    <t>柳本修平</t>
  </si>
  <si>
    <t>経理・エンパワーメント共有</t>
  </si>
  <si>
    <t>北村 奈緒美</t>
  </si>
  <si>
    <t>人事本部/エンパワーメント推進室/企画管理グループ</t>
  </si>
  <si>
    <t>北村奈緒美</t>
  </si>
  <si>
    <t>投資案件共有</t>
  </si>
  <si>
    <t>project-monsterstrike</t>
  </si>
  <si>
    <t>根本 悠子</t>
  </si>
  <si>
    <t>根本悠子</t>
  </si>
  <si>
    <t>秘書・アシスタント共有</t>
  </si>
  <si>
    <t>警察照会</t>
  </si>
  <si>
    <t>戸谷 栄一、横井 速人</t>
  </si>
  <si>
    <t>CS本部/CS部/健全化グループ</t>
  </si>
  <si>
    <t>戸谷栄一</t>
  </si>
  <si>
    <t>XFLAG_STORE</t>
  </si>
  <si>
    <t>田村 征也、 西教 慎司、 岡部 有加里、 加奈山 怜、 柳本 修平、 澁谷 高広、 小川 大輔、 山本 陽司</t>
  </si>
  <si>
    <t>田村征也</t>
  </si>
  <si>
    <t>IT部門共有</t>
  </si>
  <si>
    <t>組織変更</t>
  </si>
  <si>
    <t>中川 真紀子、坂田 信隆a</t>
  </si>
  <si>
    <t>US本部案件管理</t>
  </si>
  <si>
    <t>FJ-DC設備</t>
  </si>
  <si>
    <t>pj_Roma</t>
  </si>
  <si>
    <t>Shine</t>
  </si>
  <si>
    <t>長岡輝 、島村 恒平</t>
  </si>
  <si>
    <t>ファイトリーグG管理</t>
  </si>
  <si>
    <t>安藤希倫、佐藤光里</t>
  </si>
  <si>
    <t>デザイン本部/ブランドデザイン室/ブランディンググループ/推進チーム</t>
  </si>
  <si>
    <t>佐藤光里</t>
  </si>
  <si>
    <t>2013MAプロジェクト</t>
  </si>
  <si>
    <t>XFLAG_Station</t>
  </si>
  <si>
    <t>石井 訓象</t>
  </si>
  <si>
    <t>石井訓象</t>
  </si>
  <si>
    <t>msc-kanri</t>
  </si>
  <si>
    <t>佐野 直美</t>
  </si>
  <si>
    <t>佐野直美</t>
  </si>
  <si>
    <t>個人情報開示等請求</t>
  </si>
  <si>
    <t>渡辺 和宏</t>
  </si>
  <si>
    <t>コンプライアンス本部/法務部</t>
  </si>
  <si>
    <t>渡辺和宏</t>
  </si>
  <si>
    <t>PITCREW</t>
  </si>
  <si>
    <t>mixiアプリ</t>
  </si>
  <si>
    <t>mixi有料サービスsec</t>
  </si>
  <si>
    <t>スマートヘルス_採用</t>
  </si>
  <si>
    <t>竹井香織、洪嘉優</t>
  </si>
  <si>
    <t>monst_Characterデータ</t>
  </si>
  <si>
    <t>成田 悟</t>
  </si>
  <si>
    <t>デジタルエンターテインメントオペレーションズ本部/モンストIPクリエイション部/アート第1グループ</t>
  </si>
  <si>
    <t>成田悟</t>
  </si>
  <si>
    <t>xflag_video</t>
  </si>
  <si>
    <t>アライアンス推進本部</t>
  </si>
  <si>
    <t>木村 俊也、 福森 美貴</t>
  </si>
  <si>
    <t>CGdesign</t>
  </si>
  <si>
    <t>core-mg</t>
  </si>
  <si>
    <t>経営企画室共有</t>
  </si>
  <si>
    <t>ミクシィリサーチ人事労務</t>
  </si>
  <si>
    <t>mixiニュース</t>
  </si>
  <si>
    <t>紅露 大輔</t>
  </si>
  <si>
    <t>Vantageスタジオ/mixi事業部/パートナービジネスグループ/ニュースチーム</t>
  </si>
  <si>
    <t>紅露大輔</t>
  </si>
  <si>
    <t>旧本部名</t>
  </si>
  <si>
    <t>旧部署名</t>
  </si>
  <si>
    <t>現在の本部/部署名 (予想)</t>
  </si>
  <si>
    <t>部室長/室長名 (判明分)</t>
  </si>
  <si>
    <t>0File</t>
  </si>
  <si>
    <t>不要そう</t>
  </si>
  <si>
    <t>管理者が判明</t>
  </si>
  <si>
    <t>管理者が不明</t>
  </si>
  <si>
    <t>組織変更により、現状の組織名と一致しないが、組織名より推測している</t>
  </si>
  <si>
    <t>最後</t>
  </si>
  <si>
    <t>フォルダ名</t>
  </si>
  <si>
    <t>使用の有無</t>
  </si>
  <si>
    <t>LastWrightTime</t>
  </si>
  <si>
    <t>300G</t>
  </si>
  <si>
    <t>①</t>
  </si>
  <si>
    <t>②</t>
  </si>
  <si>
    <t>疑問</t>
  </si>
  <si>
    <t>メモ</t>
  </si>
  <si>
    <t>最初にもらったフォルダの数が合わない
→0fileでもなく、最終更新日にも挙がっていないものが対象</t>
  </si>
  <si>
    <t>最終更新日は2020年以前のものをグレーアウト</t>
  </si>
  <si>
    <t>最終更新日のシートにないものは、存在しない？</t>
  </si>
  <si>
    <t>3年　42</t>
  </si>
  <si>
    <t>6年　95　2025～2020</t>
  </si>
  <si>
    <t>データサイズはファイル数なのか？</t>
  </si>
  <si>
    <t>フォルダの容量は欲しい　ｍｇ～のやつを1024で割って出す
logのBytのものにする</t>
  </si>
  <si>
    <t>最終更新日でバツがついているもの＝最初にもらったフォルダ一覧に存在しないフォルダは何？</t>
  </si>
  <si>
    <t>projectの容量を出す</t>
  </si>
  <si>
    <t>・新規カラム（移行先）で1列Hot、coldのものを作成</t>
  </si>
  <si>
    <t>3年以上更新していないもの＝cold</t>
  </si>
  <si>
    <t>Hot＝Googleドライブ</t>
  </si>
  <si>
    <t>cold＝AWS S3</t>
  </si>
  <si>
    <t>不要</t>
  </si>
  <si>
    <t>個人情報＝別テナント</t>
  </si>
  <si>
    <t>・移行可否のカラムを作成</t>
  </si>
  <si>
    <t>不要、自対応、hatakan依頼</t>
  </si>
  <si>
    <t>div 対象者</t>
  </si>
  <si>
    <t>project 対象者</t>
  </si>
  <si>
    <t>確認先氏名</t>
  </si>
  <si>
    <t>SpreadsheetのURL</t>
  </si>
  <si>
    <t>件数</t>
  </si>
  <si>
    <t>松本 太寛</t>
  </si>
  <si>
    <t>https://docs.google.com/spreadsheets/d/1nwdJm_GfdQ1mcJ2ioPHTpKfA3jFL6Blrp61iAHbQq-c/edit</t>
  </si>
  <si>
    <t>薮崎 泰一</t>
  </si>
  <si>
    <t>https://docs.google.com/spreadsheets/d/1UTgk-a5mWckfGHmzn_hf00PInd0E0gt1VwiCmDn6Uuc/edit</t>
  </si>
  <si>
    <t>横山 義之</t>
  </si>
  <si>
    <t>https://docs.google.com/spreadsheets/d/1_3QaojSh1OFHSnWqh0FLKul75t-aTpo21dF3aIh9tY8/edit</t>
  </si>
  <si>
    <t>野原 孝行</t>
  </si>
  <si>
    <t>https://docs.google.com/spreadsheets/d/1gK_f1y2An-sgoKBeFe6btEDLSqxQ_2RZg4KRoRMXbqw/edit</t>
  </si>
  <si>
    <t>div不明</t>
  </si>
  <si>
    <t>https://docs.google.com/spreadsheets/d/1dODR5r7IHQs_bBrnoAAFSNDXLRruZN-RMagTfP3qFLk/edit</t>
  </si>
  <si>
    <t>三島 圭介</t>
  </si>
  <si>
    <t>https://docs.google.com/spreadsheets/d/1cLWKrRc_FAfJGmNFDGTAwVG_SLS1TbFIyBMUouoody0/edit</t>
  </si>
  <si>
    <t>https://docs.google.com/spreadsheets/d/19DE5eeNf5sI0lMc68eIG_RaDD1__D-CDnCY2D-hJQOI/edit</t>
  </si>
  <si>
    <t>https://docs.google.com/spreadsheets/d/1fuiSwtPkqEMOKFjLpSFKPv3fXVsy__MDJUzC_nUk23A/edit</t>
  </si>
  <si>
    <t>加藤 里紗</t>
  </si>
  <si>
    <t>https://docs.google.com/spreadsheets/d/1w8zBslU49e2rqaezMVBA-oZv6Kg9-sw_uL14ui46wck/edit</t>
  </si>
  <si>
    <t>https://docs.google.com/spreadsheets/d/1za6ZHPnww1HLwYW674Eds8fg-tIe40_e4AmQHlL0bus/edit</t>
  </si>
  <si>
    <t>井上 慎也</t>
  </si>
  <si>
    <t>https://docs.google.com/spreadsheets/d/1uxA1q_ItA1ql8CLzdvoi-bSamIO6-cscLDpaMms0Tts/edit</t>
  </si>
  <si>
    <t>志々目 孝広</t>
  </si>
  <si>
    <t>https://docs.google.com/spreadsheets/d/1ACC2Z-s-EYf4tJg_Vwfqmwgu7nypM_daoXlVfG60ybM/edit</t>
  </si>
  <si>
    <t>青山 智史</t>
  </si>
  <si>
    <t>https://docs.google.com/spreadsheets/d/1GbcPJ28RbR1UwM4TkpMvkcIPVEk1iVjjbuzIY02p6pc/edit</t>
  </si>
  <si>
    <t>谷 賢史</t>
  </si>
  <si>
    <t>https://docs.google.com/spreadsheets/d/19WKGOWdJHw34g9GxopHQUa6IU_-p7H4bEdUq1pVSp80/edit</t>
  </si>
  <si>
    <t>https://docs.google.com/spreadsheets/d/1B8b_95oU7lzA80OXy9Cvo-ALlFJzKDXsSkALfLiXa0U/edit</t>
  </si>
  <si>
    <t>吉野 純平</t>
  </si>
  <si>
    <t>https://docs.google.com/spreadsheets/d/1l8TIVbBO1rJwua0j9ooRvYxqlHO7xt_Tp30d56jaTT4/edit</t>
  </si>
  <si>
    <t>https://docs.google.com/spreadsheets/d/1pTd1h3UATJxp4TyWHu6NCrIpg7D-E9SCdwORKoAFLy8/edit</t>
  </si>
  <si>
    <t>菊池 翔平</t>
  </si>
  <si>
    <t>https://docs.google.com/spreadsheets/d/1ILllUei2t_V0XMARIKMsLWLwAnfZGmqanLm3FwHVFLg/edit</t>
  </si>
  <si>
    <t>小池 知裕</t>
  </si>
  <si>
    <t>https://docs.google.com/spreadsheets/d/1E-GCIcvSLoHyA_B8-bnD0IIB9BZrCs_tx9bksd0hdgY/edit</t>
  </si>
  <si>
    <t>https://docs.google.com/spreadsheets/d/1gjGa_29Jt2P0pByW8lBHgulRJ6o_db2aV-uv9RemZgI/edit</t>
  </si>
  <si>
    <t>中野 康太朗</t>
  </si>
  <si>
    <t>https://docs.google.com/spreadsheets/d/1hgohIBDLFaXSr-D2RGfMUbwtdLDbPE94lKSzoAC5fyg/edit</t>
  </si>
  <si>
    <t>横井 速人</t>
  </si>
  <si>
    <t>https://docs.google.com/spreadsheets/d/1rLe6TYkJ83eGAyKL3hPC8X2RD-6NaK0hLetkQe3ziUc/edit</t>
  </si>
  <si>
    <t>https://docs.google.com/spreadsheets/d/1aDvTcYaj4q8wxeQ5aR6x2ur0SCa2x_Ym_u_Dfx3fibk/edit</t>
  </si>
  <si>
    <t>亀山 直生</t>
  </si>
  <si>
    <t>https://docs.google.com/spreadsheets/d/1m0zuru1C4TLPrsZuhvQD6mNkOO1pJ46qqJ4KYxtTGzA/edit</t>
  </si>
  <si>
    <t>https://docs.google.com/spreadsheets/d/19cdxnoo11g0K3uaTHXy0uIcrd0_fqbAgP6Mf5FXXewc/edit</t>
  </si>
  <si>
    <t>長井 一悟</t>
  </si>
  <si>
    <t>https://docs.google.com/spreadsheets/d/1zU9nn-xOm7Fwn5Nu8MrCWAaxntelgyv2KnH2JUSo9t4/edit</t>
  </si>
  <si>
    <t>https://docs.google.com/spreadsheets/d/1tV5rnueEjweo2ECC1GyL-Qe5u8HqycSVa3HX8-eqtzA/edit</t>
  </si>
  <si>
    <t>笠原 健治</t>
  </si>
  <si>
    <t>https://docs.google.com/spreadsheets/d/1uFvKJXE4dSb27DRCiZkX2b0qy94Om1FjNhNQsdsr55Q/edit</t>
  </si>
  <si>
    <t>https://docs.google.com/spreadsheets/d/1E8C6PmTW7KSX0tE7bOuiA8jUYH0wSnbbM4g0RFsSsBY/edit</t>
  </si>
  <si>
    <t>https://docs.google.com/spreadsheets/d/1My9DG1vdK38VYIuCJaM0KnS89z3lQZdquS5XZv1xje4/edit</t>
  </si>
  <si>
    <t>https://docs.google.com/spreadsheets/d/1iVcLSyYYIOiHO7xCnSYD1gpYJf0-2YA-OOYFaD7adHQ/edit</t>
  </si>
  <si>
    <t>https://docs.google.com/spreadsheets/d/1VwFI7BLQbMsNbRZgdII-pNjIpOYAQOyQEfFtrBTCaeQ/edit</t>
  </si>
  <si>
    <t>https://docs.google.com/spreadsheets/d/1W5djJPsT-ZlUYjY3mMuqeIXapXLFxjmpJJuqz395Ojk/edit</t>
  </si>
  <si>
    <t>朝倉 文彦</t>
  </si>
  <si>
    <t>https://docs.google.com/spreadsheets/d/16paDHR4DSh37yV6krw5wXrfO9w4pppeIcsFr3qyLHIU/edit</t>
  </si>
  <si>
    <t>竹内 潤</t>
  </si>
  <si>
    <t>https://docs.google.com/spreadsheets/d/1iuswbOrqhxpYAFkplxdVaf6e8nYYu2u9UlQWFHkSVeA/edit</t>
  </si>
  <si>
    <t>https://docs.google.com/spreadsheets/d/1BbWr-VlWSi1xOZ8xJYtDJGsfc9QDl7iQoDJbsrl02MM/edit</t>
  </si>
  <si>
    <t>吉田 聡史</t>
  </si>
  <si>
    <t>https://docs.google.com/spreadsheets/d/1E80I0sJrBPrncJv0Rfdqb3jFQM-Cu_BLsz-iTD6JFjM/edit</t>
  </si>
  <si>
    <t>栗山 幸介</t>
  </si>
  <si>
    <t>https://docs.google.com/spreadsheets/d/1tjZNuRWJGKR7gwtX0WzFVaG57NBrDjIlU6UOVYCV2ms/edit</t>
  </si>
  <si>
    <t>https://docs.google.com/spreadsheets/d/1tK0PppZIpLLvOKv1ObsD9gFRE_SuFzDb9P3PnDeGpYI/edit</t>
  </si>
  <si>
    <t>小原 蓉童</t>
  </si>
  <si>
    <t>https://docs.google.com/spreadsheets/d/108M2QptLhuXEcn-P6g-rPdSAMZ4vtMPcfeztKqKoOQw/edit</t>
  </si>
  <si>
    <t>吉永 英恵</t>
  </si>
  <si>
    <t>https://docs.google.com/spreadsheets/d/1uI00mh7uL6hWESaNzFKy7ipvWb-3ngnDjnWKg6XnFso/edit</t>
  </si>
  <si>
    <t>川又 義照</t>
  </si>
  <si>
    <t>https://docs.google.com/spreadsheets/d/18rc5q5tbZA8gTaNmbLEpbqrWZ5Qbnbkn58GRihbArIE/edit</t>
  </si>
  <si>
    <t>div確認先を除外</t>
  </si>
  <si>
    <t>https://docs.google.com/spreadsheets/d/1DwpFEZ4f8P6Obxtdd6OB5tjjtth5liWQaXvwvNz6r-8/edit</t>
  </si>
  <si>
    <t>project不明</t>
  </si>
  <si>
    <t>https://docs.google.com/spreadsheets/d/1CcjRFBFG7iOiqTD2fTfX3OMgml3WL0QjCSl6NYf1H7Y/edit</t>
  </si>
  <si>
    <t>div 2階層目フォルダ</t>
  </si>
  <si>
    <t>フォルダ数</t>
  </si>
  <si>
    <t>ファイル数</t>
  </si>
  <si>
    <t>データ容量GB）</t>
  </si>
  <si>
    <t>最終更新日</t>
  </si>
  <si>
    <t>移行先</t>
  </si>
  <si>
    <t>移行方法</t>
  </si>
  <si>
    <t>本部予想</t>
  </si>
  <si>
    <t>部室予想</t>
  </si>
  <si>
    <t>確認先（本部長）</t>
  </si>
  <si>
    <t>確認先（部室長）</t>
  </si>
  <si>
    <t>現状予測</t>
  </si>
  <si>
    <t>LastEditDate</t>
  </si>
  <si>
    <t xml:space="preserve">宣伝部
</t>
  </si>
  <si>
    <t>2016/04/20</t>
  </si>
  <si>
    <t>AWS S3</t>
  </si>
  <si>
    <t>2016/03/04</t>
  </si>
  <si>
    <t>2022/04/16</t>
  </si>
  <si>
    <t>2016/05/19</t>
  </si>
  <si>
    <t>2019/03/12</t>
  </si>
  <si>
    <t>2014/12/16</t>
  </si>
  <si>
    <t>2025/07/07</t>
  </si>
  <si>
    <t>Googleドライブ</t>
  </si>
  <si>
    <t>2015/12/01</t>
  </si>
  <si>
    <t>2017/04/11</t>
  </si>
  <si>
    <t>2016/01/20</t>
  </si>
  <si>
    <t>2022/06/03</t>
  </si>
  <si>
    <t>2018/04/15</t>
  </si>
  <si>
    <t>2019/03/29</t>
  </si>
  <si>
    <t>2021/05/13</t>
  </si>
  <si>
    <t>2025/07/08</t>
  </si>
  <si>
    <t>中川 真紀子</t>
  </si>
  <si>
    <t>2022/09/30</t>
  </si>
  <si>
    <t>2025/06/18</t>
  </si>
  <si>
    <t>2025/07/03</t>
  </si>
  <si>
    <t>2020/03/11</t>
  </si>
  <si>
    <t>荒木 豪司</t>
  </si>
  <si>
    <t>大場 大史</t>
  </si>
  <si>
    <t>宇田川 浩彦</t>
  </si>
  <si>
    <t>2013/09/12</t>
  </si>
  <si>
    <t>2019/03/14</t>
  </si>
  <si>
    <t>2023/11/07</t>
  </si>
  <si>
    <t>2019/03/19</t>
  </si>
  <si>
    <t>2025/05/27</t>
  </si>
  <si>
    <t>2024/06/05</t>
  </si>
  <si>
    <t>2023/05/31</t>
  </si>
  <si>
    <t>2023/01/31</t>
  </si>
  <si>
    <t>2018/12/20</t>
  </si>
  <si>
    <t>2021/01/06</t>
  </si>
  <si>
    <t>大槻 一彦</t>
  </si>
  <si>
    <t>髙橋 勇太</t>
  </si>
  <si>
    <t>岡本 勇太</t>
  </si>
  <si>
    <t>照内 大丈</t>
  </si>
  <si>
    <t>砂村 哲平</t>
  </si>
  <si>
    <t>2016/07/05</t>
  </si>
  <si>
    <t>2020/04/02</t>
  </si>
  <si>
    <t>2017/10/24</t>
  </si>
  <si>
    <t>2022/03/15</t>
  </si>
  <si>
    <t>2017/11/30</t>
  </si>
  <si>
    <t>2017/12/05</t>
  </si>
  <si>
    <t>2018/10/25</t>
  </si>
  <si>
    <t>社長室（秘書グループ）</t>
  </si>
  <si>
    <t>小林 家光</t>
  </si>
  <si>
    <t>2017/07/06</t>
  </si>
  <si>
    <t>2016/09/23</t>
  </si>
  <si>
    <t>2025/06/27</t>
  </si>
  <si>
    <t>2021/05/12</t>
  </si>
  <si>
    <t>2016/09/07</t>
  </si>
  <si>
    <t>2020/10/02</t>
  </si>
  <si>
    <t>2024/10/02</t>
  </si>
  <si>
    <t>川岸 滋也</t>
  </si>
  <si>
    <t>2019/07/11</t>
  </si>
  <si>
    <t>2020/02/25</t>
  </si>
  <si>
    <t>2020/07/29</t>
  </si>
  <si>
    <t>佐藤 太一</t>
  </si>
  <si>
    <t>2017/01/20</t>
  </si>
  <si>
    <t>2025/01/09</t>
  </si>
  <si>
    <t>2016/10/12</t>
  </si>
  <si>
    <t>2017/09/11</t>
  </si>
  <si>
    <t>2014/05/26</t>
  </si>
  <si>
    <t>2013/12/12</t>
  </si>
  <si>
    <t>2025/07/01</t>
  </si>
  <si>
    <t>2025/05/09</t>
  </si>
  <si>
    <t>2025/07/04</t>
  </si>
  <si>
    <t>石原 洋輔</t>
  </si>
  <si>
    <t>2015/04/01</t>
  </si>
  <si>
    <t>2022/04/19</t>
  </si>
  <si>
    <t>2014/06/10</t>
  </si>
  <si>
    <t>2016/02/10</t>
  </si>
  <si>
    <t>2016/01/25</t>
  </si>
  <si>
    <t>2022/11/18</t>
  </si>
  <si>
    <t>2016/12/01</t>
  </si>
  <si>
    <t>2017/04/12</t>
  </si>
  <si>
    <t>2024/03/13</t>
  </si>
  <si>
    <t>2023/06/28</t>
  </si>
  <si>
    <t>2018/11/05</t>
  </si>
  <si>
    <t>2020/01/14</t>
  </si>
  <si>
    <t>加藤 翔石</t>
  </si>
  <si>
    <t>2020/02/05</t>
  </si>
  <si>
    <t>2019/04/15</t>
  </si>
  <si>
    <t>須貝 一貴</t>
  </si>
  <si>
    <t>2019/09/03</t>
  </si>
  <si>
    <t>2017/07/21</t>
  </si>
  <si>
    <t>2023/02/28</t>
  </si>
  <si>
    <t>2015/04/06</t>
  </si>
  <si>
    <t>照井 英人</t>
  </si>
  <si>
    <t>2017/01/23</t>
  </si>
  <si>
    <t>2017/08/31</t>
  </si>
  <si>
    <t>2023/08/18</t>
  </si>
  <si>
    <t>2013/06/06</t>
  </si>
  <si>
    <t>2022/04/06</t>
  </si>
  <si>
    <t>2014/12/25</t>
  </si>
  <si>
    <t>2019/04/08</t>
  </si>
  <si>
    <t>2015/02/03</t>
  </si>
  <si>
    <t>2016/01/19</t>
  </si>
  <si>
    <t>2014/10/22</t>
  </si>
  <si>
    <t>貫井 広幸</t>
  </si>
  <si>
    <t>2020/01/30</t>
  </si>
  <si>
    <t>清水 勲</t>
  </si>
  <si>
    <t>平田 将久a</t>
  </si>
  <si>
    <t>2018/06/13</t>
  </si>
  <si>
    <t>2019/04/18</t>
  </si>
  <si>
    <t>2014/02/12</t>
  </si>
  <si>
    <t>2012/08/06</t>
  </si>
  <si>
    <t>2013/10/10</t>
  </si>
  <si>
    <t>2015/04/30</t>
  </si>
  <si>
    <t>2013/09/04</t>
  </si>
  <si>
    <t>2022/04/18</t>
  </si>
  <si>
    <t xml:space="preserve">CS本部 </t>
  </si>
  <si>
    <t>2014/12/31</t>
  </si>
  <si>
    <t>2018/12/17</t>
  </si>
  <si>
    <t>北村 有吾</t>
  </si>
  <si>
    <t>杉山 潤</t>
  </si>
  <si>
    <t>奥山 翔</t>
  </si>
  <si>
    <t>向江 俊和01</t>
  </si>
  <si>
    <t>馬場 大輝</t>
  </si>
  <si>
    <t>岩佐 知則</t>
  </si>
  <si>
    <t>2021/08/26</t>
  </si>
  <si>
    <t>2017/06/16</t>
  </si>
  <si>
    <t>2018/07/31</t>
  </si>
  <si>
    <t>2020/08/17</t>
  </si>
  <si>
    <t>2018/12/12</t>
  </si>
  <si>
    <t>2020/07/16</t>
  </si>
  <si>
    <t>2022/04/28</t>
  </si>
  <si>
    <t>2024/01/29</t>
  </si>
  <si>
    <t>2020/10/20</t>
  </si>
  <si>
    <t>2022/07/22</t>
  </si>
  <si>
    <t>2023/12/20</t>
  </si>
  <si>
    <t>2025/06/30</t>
  </si>
  <si>
    <t>兼吉 完聡01</t>
  </si>
  <si>
    <t>2013/12/02</t>
  </si>
  <si>
    <t>2013/07/24</t>
  </si>
  <si>
    <t>2024/08/20</t>
  </si>
  <si>
    <t>2021/08/10</t>
  </si>
  <si>
    <t>2018/10/31</t>
  </si>
  <si>
    <t>2020/04/22</t>
  </si>
  <si>
    <t>2019/09/24</t>
  </si>
  <si>
    <t>2020/07/02</t>
  </si>
  <si>
    <t>2025/02/06</t>
  </si>
  <si>
    <t>2019/12/12</t>
  </si>
  <si>
    <t>2019/12/05</t>
  </si>
  <si>
    <t>2020/01/23</t>
  </si>
  <si>
    <t>2020/02/20</t>
  </si>
  <si>
    <t>川﨑 剛</t>
  </si>
  <si>
    <t>2014/02/28</t>
  </si>
  <si>
    <t>2021/10/13</t>
  </si>
  <si>
    <t>2023/05/18</t>
  </si>
  <si>
    <t>2017/01/16</t>
  </si>
  <si>
    <t>2022/08/26</t>
  </si>
  <si>
    <t>2017/06/11</t>
  </si>
  <si>
    <t>2023/06/22</t>
  </si>
  <si>
    <t>2019/04/03</t>
  </si>
  <si>
    <t>2014/10/14</t>
  </si>
  <si>
    <t>2022/06/14</t>
  </si>
  <si>
    <t>2018/05/24</t>
  </si>
  <si>
    <t>2015/02/09</t>
  </si>
  <si>
    <t>2018/01/09</t>
  </si>
  <si>
    <t>2021/07/07</t>
  </si>
  <si>
    <t>2014/07/24</t>
  </si>
  <si>
    <t>2016/06/17</t>
  </si>
  <si>
    <t>2015/09/02</t>
  </si>
  <si>
    <t>2015/06/15</t>
  </si>
  <si>
    <t>2017/03/15</t>
  </si>
  <si>
    <t>梅澤 美帆</t>
  </si>
  <si>
    <t>2015/08/19</t>
  </si>
  <si>
    <t>2021/09/06</t>
  </si>
  <si>
    <t>2015/12/17</t>
  </si>
  <si>
    <t>2019/01/29</t>
  </si>
  <si>
    <t>2020/01/22</t>
  </si>
  <si>
    <t>2022/06/07</t>
  </si>
  <si>
    <t>2025/07/09</t>
  </si>
  <si>
    <t>2018/02/08</t>
  </si>
  <si>
    <t>2017/10/06</t>
  </si>
  <si>
    <t>2018/12/26</t>
  </si>
  <si>
    <t>2025/06/03</t>
  </si>
  <si>
    <t>2018/05/16</t>
  </si>
  <si>
    <t>2020/04/14</t>
  </si>
  <si>
    <t>2019/02/09</t>
  </si>
  <si>
    <t>2018/03/30</t>
  </si>
  <si>
    <t>2024/02/06</t>
  </si>
  <si>
    <t>2017/08/15</t>
  </si>
  <si>
    <t>2025/05/28</t>
  </si>
  <si>
    <t>2022/09/12</t>
  </si>
  <si>
    <t>2022/02/03</t>
  </si>
  <si>
    <t>2025/02/19</t>
  </si>
  <si>
    <t>2021/03/02</t>
  </si>
  <si>
    <t>2020/11/05</t>
  </si>
  <si>
    <t>2010/03/04</t>
  </si>
  <si>
    <t>2018/10/11</t>
  </si>
  <si>
    <t>2016/09/16</t>
  </si>
  <si>
    <t>2014/05/30</t>
  </si>
  <si>
    <t>2021/05/06</t>
  </si>
  <si>
    <t>2019/07/17</t>
  </si>
  <si>
    <t>2020/12/22</t>
  </si>
  <si>
    <t>2020/11/27</t>
  </si>
  <si>
    <t>2020/01/27</t>
  </si>
  <si>
    <t>2024/10/22</t>
  </si>
  <si>
    <t>2020/08/06</t>
  </si>
  <si>
    <t>仮説有無</t>
  </si>
  <si>
    <t>現状</t>
  </si>
  <si>
    <t>部署遍歴</t>
  </si>
  <si>
    <t>0file確認</t>
  </si>
  <si>
    <t>Ｂ列重複チェック</t>
  </si>
  <si>
    <t>管理者不明＝管理者がわからない</t>
  </si>
  <si>
    <t>在籍＝管理者が判明しており、現在も在籍</t>
  </si>
  <si>
    <t>退職（部署判明）＝管理者がすでに退職しており、部署は判明している</t>
  </si>
  <si>
    <t>退職（部署不明）＝管理者がすでに退職しており、部署も不明</t>
  </si>
  <si>
    <t>フォルダ数（佐藤さんデータ待ち）</t>
  </si>
  <si>
    <t>ファイル数（佐藤さんデータ待ち）</t>
  </si>
  <si>
    <t>データサイズ</t>
  </si>
  <si>
    <t>元の管理者</t>
  </si>
  <si>
    <t>確認先（在籍者はそのまま、退職者は現在の部署の管理者を指定予定）</t>
  </si>
  <si>
    <t>在職</t>
  </si>
  <si>
    <t>池谷洋平</t>
  </si>
  <si>
    <t>寺岡浩史</t>
  </si>
  <si>
    <t>町井香織</t>
  </si>
  <si>
    <t>古澤祐幸</t>
  </si>
  <si>
    <t>COLD</t>
  </si>
  <si>
    <t>MPL(安原さん</t>
  </si>
  <si>
    <t>人事</t>
  </si>
  <si>
    <t>村瀨龍馬</t>
  </si>
  <si>
    <t>旧DE（MPL、モンストプロジェクトライブラリー</t>
  </si>
  <si>
    <t>吉田明広</t>
  </si>
  <si>
    <t>純平さん</t>
  </si>
  <si>
    <t>投資</t>
  </si>
  <si>
    <t>人事労務</t>
  </si>
  <si>
    <t>財務労務</t>
  </si>
  <si>
    <t>貝島梨紗</t>
  </si>
  <si>
    <t>岨中さん</t>
  </si>
  <si>
    <t>MPL（安原さん</t>
  </si>
  <si>
    <t>MPL</t>
  </si>
  <si>
    <t>青山さん</t>
  </si>
  <si>
    <t>CS</t>
  </si>
  <si>
    <t>草村衣未</t>
  </si>
  <si>
    <t>阿部久美</t>
  </si>
  <si>
    <t>Archive</t>
  </si>
  <si>
    <t>比奈本真さん</t>
  </si>
  <si>
    <t>ND</t>
  </si>
  <si>
    <t>柳本さん</t>
  </si>
  <si>
    <t>のりさん</t>
  </si>
  <si>
    <t>関あずさ</t>
  </si>
  <si>
    <t>江下僚</t>
  </si>
  <si>
    <t>山本直輝</t>
  </si>
  <si>
    <t>山本直輝さんの書き間違え？</t>
  </si>
  <si>
    <t>石井さん</t>
  </si>
  <si>
    <t>岡本三敬</t>
  </si>
  <si>
    <t>東海貴士</t>
  </si>
  <si>
    <t>須藤雄樹</t>
  </si>
  <si>
    <t>toshihiro.sato@mixi.co.jp</t>
  </si>
  <si>
    <t>確認先</t>
  </si>
  <si>
    <t>divフォルダ_1階層目</t>
  </si>
  <si>
    <t>divフォルダ 2階層目</t>
  </si>
  <si>
    <t>データ容量/GB</t>
  </si>
  <si>
    <t>対象本部 ※推測込</t>
  </si>
  <si>
    <t>対象部室 ※ 推測込</t>
  </si>
  <si>
    <t>回答者メールアドレス</t>
  </si>
  <si>
    <t>共有ドライブ名</t>
  </si>
  <si>
    <t>個人情報有無</t>
  </si>
  <si>
    <t>自動化有無 ※スクリプトやRPAなど</t>
  </si>
  <si>
    <t>その他</t>
  </si>
  <si>
    <t>19.25 MB</t>
  </si>
  <si>
    <t>840.79 GB</t>
  </si>
  <si>
    <t>240.81 MB</t>
  </si>
  <si>
    <t>8.61 MB</t>
  </si>
  <si>
    <t>29.29 MB</t>
  </si>
  <si>
    <t>445.56 MB</t>
  </si>
  <si>
    <t>1.91 GB</t>
  </si>
  <si>
    <t>118.79 GB</t>
  </si>
  <si>
    <t>5.18 GB</t>
  </si>
  <si>
    <t>7.72 GB</t>
  </si>
  <si>
    <t>7.47 MB</t>
  </si>
  <si>
    <t>1549.98 GB</t>
  </si>
  <si>
    <t>13.73 KB</t>
  </si>
  <si>
    <t>1.59 GB</t>
  </si>
  <si>
    <t>32.29 GB</t>
  </si>
  <si>
    <t>95.65 MB</t>
  </si>
  <si>
    <t>58.75 MB</t>
  </si>
  <si>
    <t>5.23 GB</t>
  </si>
  <si>
    <t>21.82 GB</t>
  </si>
  <si>
    <t>2.12 GB</t>
  </si>
  <si>
    <t>356.29 GB</t>
  </si>
  <si>
    <t>24.1 GB</t>
  </si>
  <si>
    <t>6.03 KB</t>
  </si>
  <si>
    <t>499.2 GB</t>
  </si>
  <si>
    <t>735.66 GB</t>
  </si>
  <si>
    <t>1.74 GB</t>
  </si>
  <si>
    <t>60.25 GB</t>
  </si>
  <si>
    <t>4.76 GB</t>
  </si>
  <si>
    <t>310.25 MB</t>
  </si>
  <si>
    <t>10.43 GB</t>
  </si>
  <si>
    <t>741.27 GB</t>
  </si>
  <si>
    <t>623.43 GB</t>
  </si>
  <si>
    <t>5289.45 GB</t>
  </si>
  <si>
    <t>48.42 MB</t>
  </si>
  <si>
    <t>83 GB</t>
  </si>
  <si>
    <t>6.09 KB</t>
  </si>
  <si>
    <t>189.65 MB</t>
  </si>
  <si>
    <t>11.68 GB</t>
  </si>
  <si>
    <t>12.1 GB</t>
  </si>
  <si>
    <t>6.06 KB</t>
  </si>
  <si>
    <t>286.27 GB</t>
  </si>
  <si>
    <t>93.34 GB</t>
  </si>
  <si>
    <t>273.87 MB</t>
  </si>
  <si>
    <t>65.44 GB</t>
  </si>
  <si>
    <t>23.82 KB</t>
  </si>
  <si>
    <t>19.14 KB</t>
  </si>
  <si>
    <t>2.6 GB</t>
  </si>
  <si>
    <t>112.53 MB</t>
  </si>
  <si>
    <t>3.17 GB</t>
  </si>
  <si>
    <t>4.35 MB</t>
  </si>
  <si>
    <t>290.37 GB</t>
  </si>
  <si>
    <t>89.1 MB</t>
  </si>
  <si>
    <t>39.12 MB</t>
  </si>
  <si>
    <t>212.35 MB</t>
  </si>
  <si>
    <t>99.37 GB</t>
  </si>
  <si>
    <t>334.31 MB</t>
  </si>
  <si>
    <t>12.65 GB</t>
  </si>
  <si>
    <t>72.41 MB</t>
  </si>
  <si>
    <t>8.53 GB</t>
  </si>
  <si>
    <t>58.62 MB</t>
  </si>
  <si>
    <t>20.85 GB</t>
  </si>
  <si>
    <t>358.06 GB</t>
  </si>
  <si>
    <t>91.86 MB</t>
  </si>
  <si>
    <t>404.83 MB</t>
  </si>
  <si>
    <t>118.1 GB</t>
  </si>
  <si>
    <t>1479.68 GB</t>
  </si>
  <si>
    <t>27.3 MB</t>
  </si>
  <si>
    <t>714.04 GB</t>
  </si>
  <si>
    <t>1406.78 GB</t>
  </si>
  <si>
    <t>252.11 GB</t>
  </si>
  <si>
    <t>640.95 MB</t>
  </si>
  <si>
    <t>1.43 GB</t>
  </si>
  <si>
    <t>143.32 KB</t>
  </si>
  <si>
    <t>26.41 GB</t>
  </si>
  <si>
    <t>275.58 GB</t>
  </si>
  <si>
    <t>334.05 GB</t>
  </si>
  <si>
    <t>7.79 GB</t>
  </si>
  <si>
    <t>88.75 MB</t>
  </si>
  <si>
    <t>505.14 KB</t>
  </si>
  <si>
    <t>269.98 GB</t>
  </si>
  <si>
    <t>6.92 GB</t>
  </si>
  <si>
    <t>390.86 GB</t>
  </si>
  <si>
    <t>714.18 KB</t>
  </si>
  <si>
    <t>14.36 KB</t>
  </si>
  <si>
    <t>63.44 GB</t>
  </si>
  <si>
    <t>517.56 GB</t>
  </si>
  <si>
    <t>1180.66 GB</t>
  </si>
  <si>
    <t>7.54 KB</t>
  </si>
  <si>
    <t>2.37 MB</t>
  </si>
  <si>
    <t>7.18 GB</t>
  </si>
  <si>
    <t>4.98 MB</t>
  </si>
  <si>
    <t>479.34 MB</t>
  </si>
  <si>
    <t>20.07 GB</t>
  </si>
  <si>
    <t>139.76 GB</t>
  </si>
  <si>
    <t>9.25 GB</t>
  </si>
  <si>
    <t>57.11 GB</t>
  </si>
  <si>
    <t>2.71 MB</t>
  </si>
  <si>
    <t>28.44 GB</t>
  </si>
  <si>
    <t>75.09 GB</t>
  </si>
  <si>
    <t>10.1 KB</t>
  </si>
  <si>
    <t>12.84 GB</t>
  </si>
  <si>
    <t>1.66 GB</t>
  </si>
  <si>
    <t>4.77 MB</t>
  </si>
  <si>
    <t>1.44 GB</t>
  </si>
  <si>
    <t>644.38 MB</t>
  </si>
  <si>
    <t>41.7 GB</t>
  </si>
  <si>
    <t>85.33 KB</t>
  </si>
  <si>
    <t>2.7 GB</t>
  </si>
  <si>
    <t>70.76 GB</t>
  </si>
  <si>
    <t>684.92 GB</t>
  </si>
  <si>
    <t>163.21 GB</t>
  </si>
  <si>
    <t>2.92 MB</t>
  </si>
  <si>
    <t>6.95 GB</t>
  </si>
  <si>
    <t>21.56 KB</t>
  </si>
  <si>
    <t>18.88 GB</t>
  </si>
  <si>
    <t>32.36 GB</t>
  </si>
  <si>
    <t>1.63 GB</t>
  </si>
  <si>
    <t>3810.27 GB</t>
  </si>
  <si>
    <t>54.96 GB</t>
  </si>
  <si>
    <t>82.78 MB</t>
  </si>
  <si>
    <t>92.05 KB</t>
  </si>
  <si>
    <t>56.02 GB</t>
  </si>
  <si>
    <t>35.89 GB</t>
  </si>
  <si>
    <t>49.46 KB</t>
  </si>
  <si>
    <t>190.16 GB</t>
  </si>
  <si>
    <t>1.7 MB</t>
  </si>
  <si>
    <t>1.41 GB</t>
  </si>
  <si>
    <t>1.29 GB</t>
  </si>
  <si>
    <t>532.75 GB</t>
  </si>
  <si>
    <t>122.7 GB</t>
  </si>
  <si>
    <t>13.41 KB</t>
  </si>
  <si>
    <t>867.95 MB</t>
  </si>
  <si>
    <t>4.9 GB</t>
  </si>
  <si>
    <t>254.29 KB</t>
  </si>
  <si>
    <t>10.48 GB</t>
  </si>
  <si>
    <t>438.05 MB</t>
  </si>
  <si>
    <t>811.87 KB</t>
  </si>
  <si>
    <t>23.44 GB</t>
  </si>
  <si>
    <t>5.27 GB</t>
  </si>
  <si>
    <t>64.8 MB</t>
  </si>
  <si>
    <t>162.96 MB</t>
  </si>
  <si>
    <t>87.62 MB</t>
  </si>
  <si>
    <t>220.38 MB</t>
  </si>
  <si>
    <t>137.17 MB</t>
  </si>
  <si>
    <t>88.18 MB</t>
  </si>
  <si>
    <t>4.6 GB</t>
  </si>
  <si>
    <t>3 GB</t>
  </si>
  <si>
    <t>1.23 GB</t>
  </si>
  <si>
    <t>706.24 MB</t>
  </si>
  <si>
    <t>81.14 GB</t>
  </si>
  <si>
    <t>260.35 MB</t>
  </si>
  <si>
    <t>24.09 MB</t>
  </si>
  <si>
    <t>36.8 GB</t>
  </si>
  <si>
    <t>2.83 GB</t>
  </si>
  <si>
    <t>76.53 GB</t>
  </si>
  <si>
    <t>39.39 MB</t>
  </si>
  <si>
    <t>31.17 MB</t>
  </si>
  <si>
    <t>201.98 KB</t>
  </si>
  <si>
    <t>161.6 GB</t>
  </si>
  <si>
    <t>5.41 GB</t>
  </si>
  <si>
    <t>539.71 GB</t>
  </si>
  <si>
    <t>22.95 GB</t>
  </si>
  <si>
    <t>1.21 GB</t>
  </si>
  <si>
    <t>328.83 KB</t>
  </si>
  <si>
    <t>897.36 MB</t>
  </si>
  <si>
    <t>386.6 GB</t>
  </si>
  <si>
    <t>10.31 MB</t>
  </si>
  <si>
    <t>8.37 GB</t>
  </si>
  <si>
    <t>20.44 MB</t>
  </si>
  <si>
    <t>112.41 GB</t>
  </si>
  <si>
    <t>2.52 GB</t>
  </si>
  <si>
    <t>18.48 MB</t>
  </si>
  <si>
    <t>12.66 MB</t>
  </si>
  <si>
    <t>15.05 GB</t>
  </si>
  <si>
    <t>23.38 GB</t>
  </si>
  <si>
    <t>7.06 KB</t>
  </si>
  <si>
    <t>335.59 KB</t>
  </si>
  <si>
    <t>32.85 KB</t>
  </si>
  <si>
    <t>48.15 GB</t>
  </si>
  <si>
    <t>224.33 GB</t>
  </si>
  <si>
    <t>24.68 GB</t>
  </si>
  <si>
    <t>60.39 GB</t>
  </si>
  <si>
    <t>9.14 KB</t>
  </si>
  <si>
    <t>9.01 MB</t>
  </si>
  <si>
    <t>12.39 KB</t>
  </si>
  <si>
    <t>251.76 MB</t>
  </si>
  <si>
    <t>36.68 GB</t>
  </si>
  <si>
    <t>51.15 GB</t>
  </si>
  <si>
    <t>163.42 GB</t>
  </si>
  <si>
    <t>2.14 GB</t>
  </si>
  <si>
    <t>44.76 GB</t>
  </si>
  <si>
    <t>2.39 MB</t>
  </si>
  <si>
    <t>413 GB</t>
  </si>
  <si>
    <t>301.98 GB</t>
  </si>
  <si>
    <t>419.16 KB</t>
  </si>
  <si>
    <t>971.44 MB</t>
  </si>
  <si>
    <t>3204.69 GB</t>
  </si>
  <si>
    <t>45.39 GB</t>
  </si>
  <si>
    <t>50.67 GB</t>
  </si>
  <si>
    <t>27.48 KB</t>
  </si>
  <si>
    <t>13.65 GB</t>
  </si>
  <si>
    <t>12.42 GB</t>
  </si>
  <si>
    <t>119.9 KB</t>
  </si>
  <si>
    <t>538.56 MB</t>
  </si>
  <si>
    <t>13.77 KB</t>
  </si>
  <si>
    <t>1.54 GB</t>
  </si>
  <si>
    <t>86 B</t>
  </si>
  <si>
    <t>61 B</t>
  </si>
  <si>
    <t>39 B</t>
  </si>
  <si>
    <t>868 B</t>
  </si>
  <si>
    <t>106 B</t>
  </si>
  <si>
    <t>27 B</t>
  </si>
  <si>
    <t>288 B</t>
  </si>
  <si>
    <t>88 B</t>
  </si>
  <si>
    <t>372 B</t>
  </si>
  <si>
    <t>148 B</t>
  </si>
  <si>
    <t>90 B</t>
  </si>
  <si>
    <t>128 KB</t>
  </si>
  <si>
    <t>151 B</t>
  </si>
  <si>
    <t>213 B</t>
  </si>
  <si>
    <t>276 B</t>
  </si>
  <si>
    <t>170 B</t>
  </si>
  <si>
    <t>153 B</t>
  </si>
  <si>
    <t>201 B</t>
  </si>
  <si>
    <t>338 B</t>
  </si>
  <si>
    <t>91 B</t>
  </si>
  <si>
    <t>0 B</t>
  </si>
  <si>
    <t>323 B</t>
  </si>
  <si>
    <t>224 B</t>
  </si>
  <si>
    <t>1011 B</t>
  </si>
  <si>
    <t>274 B</t>
  </si>
  <si>
    <t>509 B</t>
  </si>
  <si>
    <t>185 B</t>
  </si>
  <si>
    <t>673 B</t>
  </si>
  <si>
    <t>111 B</t>
  </si>
  <si>
    <t>321 B</t>
  </si>
  <si>
    <t>363 B</t>
  </si>
  <si>
    <t>1.97 KB</t>
  </si>
  <si>
    <t>1.23 KB</t>
  </si>
  <si>
    <t>977 B</t>
  </si>
  <si>
    <t>901 B</t>
  </si>
  <si>
    <t>791 B</t>
  </si>
  <si>
    <t>1.33 KB</t>
  </si>
  <si>
    <t>999 B</t>
  </si>
  <si>
    <t>1.34 KB</t>
  </si>
  <si>
    <t>2.43 KB</t>
  </si>
  <si>
    <t>1.36 KB</t>
  </si>
  <si>
    <t>125 B</t>
  </si>
  <si>
    <t>436 B</t>
  </si>
  <si>
    <t>748 B</t>
  </si>
  <si>
    <t>880 B</t>
  </si>
  <si>
    <t>100 B</t>
  </si>
  <si>
    <t>632 B</t>
  </si>
  <si>
    <t>356 B</t>
  </si>
  <si>
    <t>606 B</t>
  </si>
  <si>
    <t>247 B</t>
  </si>
  <si>
    <t>164 B</t>
  </si>
  <si>
    <t>296 B</t>
  </si>
  <si>
    <t>137 B</t>
  </si>
  <si>
    <t>625 B</t>
  </si>
  <si>
    <t>240 B</t>
  </si>
  <si>
    <t>835 B</t>
  </si>
  <si>
    <t>304 B</t>
  </si>
  <si>
    <t>996 B</t>
  </si>
  <si>
    <t>36 B</t>
  </si>
  <si>
    <t>98 B</t>
  </si>
  <si>
    <t>113 B</t>
  </si>
  <si>
    <t>33 B</t>
  </si>
  <si>
    <t>217 B</t>
  </si>
  <si>
    <t>704 B</t>
  </si>
  <si>
    <t>942 B</t>
  </si>
  <si>
    <t>669 B</t>
  </si>
  <si>
    <t>2.27 KB</t>
  </si>
  <si>
    <t>1.59 KB</t>
  </si>
  <si>
    <t>214 B</t>
  </si>
  <si>
    <t>588 B</t>
  </si>
  <si>
    <t>680 B</t>
  </si>
  <si>
    <t>904 B</t>
  </si>
  <si>
    <t>627 B</t>
  </si>
  <si>
    <t>1.55 KB</t>
  </si>
  <si>
    <t>254 B</t>
  </si>
  <si>
    <t>469 B</t>
  </si>
  <si>
    <t>461 B</t>
  </si>
  <si>
    <t>231 B</t>
  </si>
  <si>
    <t>1 KB</t>
  </si>
  <si>
    <t>899 B</t>
  </si>
  <si>
    <t>941 B</t>
  </si>
  <si>
    <t>423 B</t>
  </si>
  <si>
    <t>334 B</t>
  </si>
  <si>
    <t>325 B</t>
  </si>
  <si>
    <t>341 B</t>
  </si>
  <si>
    <t>326 B</t>
  </si>
  <si>
    <t>648 B</t>
  </si>
  <si>
    <t>310 B</t>
  </si>
  <si>
    <t>77 B</t>
  </si>
  <si>
    <t>216 B</t>
  </si>
  <si>
    <t>1.63 KB</t>
  </si>
  <si>
    <t>584 B</t>
  </si>
  <si>
    <t>2.73 KB</t>
  </si>
  <si>
    <t>475 B</t>
  </si>
  <si>
    <t>586 B</t>
  </si>
  <si>
    <t>94 B</t>
  </si>
  <si>
    <t>1.81 KB</t>
  </si>
  <si>
    <t>158 B</t>
  </si>
  <si>
    <t>313 B</t>
  </si>
  <si>
    <t>222 B</t>
  </si>
  <si>
    <t>1.69 KB</t>
  </si>
  <si>
    <t>684 B</t>
  </si>
  <si>
    <t>353 B</t>
  </si>
  <si>
    <t>484 B</t>
  </si>
  <si>
    <t>433 B</t>
  </si>
  <si>
    <t>178 B</t>
  </si>
  <si>
    <t>761 B</t>
  </si>
  <si>
    <t>396 B</t>
  </si>
  <si>
    <t>285 B</t>
  </si>
  <si>
    <t>173 B</t>
  </si>
  <si>
    <t>109 B</t>
  </si>
  <si>
    <t>286 B</t>
  </si>
  <si>
    <t>368 B</t>
  </si>
  <si>
    <t>997 B</t>
  </si>
  <si>
    <t>640 B</t>
  </si>
  <si>
    <t>887 B</t>
  </si>
  <si>
    <t>406 B</t>
  </si>
  <si>
    <t>235 B</t>
  </si>
  <si>
    <t>830 B</t>
  </si>
  <si>
    <t>103 B</t>
  </si>
  <si>
    <t>1.1 KB</t>
  </si>
  <si>
    <t>259 B</t>
  </si>
  <si>
    <t>513 B</t>
  </si>
  <si>
    <t>813 B</t>
  </si>
  <si>
    <t>149 B</t>
  </si>
  <si>
    <t>1.05 KB</t>
  </si>
  <si>
    <t>339 B</t>
  </si>
  <si>
    <t>289 B</t>
  </si>
  <si>
    <t>444 B</t>
  </si>
  <si>
    <t>765 B</t>
  </si>
  <si>
    <t>129 B</t>
  </si>
  <si>
    <t>377 B</t>
  </si>
  <si>
    <t>71 B</t>
  </si>
  <si>
    <t>70 B</t>
  </si>
  <si>
    <t>295 B</t>
  </si>
  <si>
    <t>322 B</t>
  </si>
  <si>
    <t>179 B</t>
  </si>
  <si>
    <t>183 B</t>
  </si>
  <si>
    <t>168 B</t>
  </si>
  <si>
    <t>145 B</t>
  </si>
  <si>
    <t>1.22 KB</t>
  </si>
  <si>
    <t>1.61 KB</t>
  </si>
  <si>
    <t>1.7 KB</t>
  </si>
  <si>
    <t>359 B</t>
  </si>
  <si>
    <t>290 B</t>
  </si>
  <si>
    <t>435 B</t>
  </si>
  <si>
    <t>1.06 KB</t>
  </si>
  <si>
    <t>658 B</t>
  </si>
  <si>
    <t>279 B</t>
  </si>
  <si>
    <t>1.38 KB</t>
  </si>
  <si>
    <t>1.14 KB</t>
  </si>
  <si>
    <t>1.54 KB</t>
  </si>
  <si>
    <t>983 B</t>
  </si>
  <si>
    <t>50 B</t>
  </si>
  <si>
    <t>116 B</t>
  </si>
  <si>
    <t>84 B</t>
  </si>
  <si>
    <t>307 B</t>
  </si>
  <si>
    <t>97 B</t>
  </si>
  <si>
    <t>264 B</t>
  </si>
  <si>
    <t>385 B</t>
  </si>
  <si>
    <t>432 B</t>
  </si>
  <si>
    <t>299 B</t>
  </si>
  <si>
    <t>167 B</t>
  </si>
  <si>
    <t>67 B</t>
  </si>
  <si>
    <t>79 B</t>
  </si>
  <si>
    <t>82 B</t>
  </si>
  <si>
    <t>324 B</t>
  </si>
  <si>
    <t>207 B</t>
  </si>
  <si>
    <t>603 B</t>
  </si>
  <si>
    <t>1.18 KB</t>
  </si>
  <si>
    <t>1.13 KB</t>
  </si>
  <si>
    <t>248 B</t>
  </si>
  <si>
    <t>Ｅ列部署</t>
  </si>
  <si>
    <t>退職（不明）</t>
  </si>
  <si>
    <t>#</t>
  </si>
  <si>
    <t>カテゴリ</t>
  </si>
  <si>
    <t>Question</t>
  </si>
  <si>
    <t>Answer</t>
  </si>
  <si>
    <t>補足（メンバー向け）</t>
  </si>
  <si>
    <t>制限</t>
  </si>
  <si>
    <r>
      <rPr>
        <rFont val="Arial"/>
        <color theme="1"/>
      </rPr>
      <t xml:space="preserve">Google Drive </t>
    </r>
    <r>
      <rPr>
        <rFont val="Arial"/>
        <b/>
        <color theme="1"/>
      </rPr>
      <t>共有ドライブの制限</t>
    </r>
    <r>
      <rPr>
        <rFont val="Arial"/>
        <color theme="1"/>
      </rPr>
      <t>はありますか？</t>
    </r>
  </si>
  <si>
    <r>
      <rPr>
        <rFont val="Arial"/>
        <color theme="1"/>
      </rPr>
      <t>Google Driveの共有ドライブには以下の制限があります。
・共有ドライブ毎に</t>
    </r>
    <r>
      <rPr>
        <rFont val="Arial"/>
        <b/>
        <color rgb="FFCC0000"/>
      </rPr>
      <t>50万アイテム</t>
    </r>
    <r>
      <rPr>
        <rFont val="Arial"/>
        <color theme="1"/>
      </rPr>
      <t>（フォルダ・ファイル含む）</t>
    </r>
    <r>
      <rPr>
        <rFont val="Arial"/>
        <b/>
        <color rgb="FFCC0000"/>
      </rPr>
      <t>まで保存可能</t>
    </r>
    <r>
      <rPr>
        <rFont val="Arial"/>
        <color theme="1"/>
      </rPr>
      <t xml:space="preserve">
div / project 上で50万アイテムを超えている場合、複数の共有ドライブに分割して保存する必要があります。
業務単位もしくは機械的に分別した上でデータを移行する必要があります。</t>
    </r>
  </si>
  <si>
    <r>
      <rPr>
        <rFont val="Arial"/>
        <b/>
        <color theme="1"/>
      </rPr>
      <t>Google Driveへアップロードする際に制限</t>
    </r>
    <r>
      <rPr>
        <rFont val="Arial"/>
        <color theme="1"/>
      </rPr>
      <t>はありますか？</t>
    </r>
  </si>
  <si>
    <r>
      <rPr>
        <rFont val="Arial"/>
        <b/>
        <color rgb="FFCC0000"/>
      </rPr>
      <t>1ユーザーあたり750GB/日まで</t>
    </r>
    <r>
      <rPr>
        <rFont val="Arial"/>
        <color theme="1"/>
      </rPr>
      <t>アップロードすることが可能です。
制限を超えた場合は24時間アップロードできなくなります。
みなさんの方で移行される場合にはご注意ください。
ご不安な場合は「移行方法」にて「</t>
    </r>
    <r>
      <rPr>
        <rFont val="Arial"/>
        <b/>
        <color theme="1"/>
      </rPr>
      <t>hatakan依頼</t>
    </r>
    <r>
      <rPr>
        <rFont val="Arial"/>
        <color theme="1"/>
      </rPr>
      <t>」を指定してください。</t>
    </r>
  </si>
  <si>
    <t>データ</t>
  </si>
  <si>
    <r>
      <rPr>
        <rFont val="Arial"/>
        <b/>
        <color theme="1"/>
      </rPr>
      <t>特殊なデータ形式</t>
    </r>
    <r>
      <rPr>
        <rFont val="Arial"/>
        <color theme="1"/>
      </rPr>
      <t>を利用しておりGoogle Driveだと難しい場合の案はありますか？</t>
    </r>
  </si>
  <si>
    <r>
      <rPr>
        <rFont val="Arial"/>
        <color theme="1"/>
      </rPr>
      <t xml:space="preserve">基本的にはGoogle Drive, S3 Glacierのみを想定しております。
</t>
    </r>
    <r>
      <rPr>
        <rFont val="Arial"/>
        <b/>
        <color theme="1"/>
      </rPr>
      <t>個別に要件がある場合はSlack チャンネルにてご連絡ください</t>
    </r>
    <r>
      <rPr>
        <rFont val="Arial"/>
        <color theme="1"/>
      </rPr>
      <t>。
別途チャンネルを作成し詳細をヒアリングさせていただけますと幸いです。</t>
    </r>
  </si>
  <si>
    <t>Excelなどの1つのファイルでファイルサイズが大きい場合はGoogle Driveで利用できますか？</t>
  </si>
  <si>
    <r>
      <rPr/>
      <t>まずは動作確認を行なってください。
確認方法として以下3点お試しください。
1. 対象ファイルをGoogle Driveへコピーし、Google Drive上で開いて動作するか。
2. Google Driveのデスクトップアプリ（</t>
    </r>
    <r>
      <rPr>
        <color rgb="FF1155CC"/>
        <u/>
      </rPr>
      <t>参考</t>
    </r>
    <r>
      <rPr/>
      <t>）を利用して対象ファイルを開くと動作するか。
3. ファイルサイズを減らす、分割することは可能か検討する。
1~3の対応で解決しない、そもそも対応が難しい場合はSlackチャンネルにてご連絡ください。
別途チャンネルを作成し詳細をヒアリングさせていただけますと幸いです。</t>
    </r>
  </si>
  <si>
    <t>スクリプトを利用しているが何か影響ありますか？</t>
  </si>
  <si>
    <r>
      <rPr/>
      <t>影響あります。スクリプト内でファイルサーバー内のパスを使用しているようなケースは修正する必要があります。
ちなみに、Google Driveのデスクトップアプリ（</t>
    </r>
    <r>
      <rPr>
        <color rgb="FF1155CC"/>
        <u/>
      </rPr>
      <t>参考</t>
    </r>
    <r>
      <rPr/>
      <t>）を利用した上でExcelを起動するとExcelのVBAは動作しますが、</t>
    </r>
    <r>
      <rPr>
        <b/>
      </rPr>
      <t>必ず動作確認を行っていただきますようお願いします</t>
    </r>
    <r>
      <rPr/>
      <t>。
SpreadsheetにもGoogle Apps ScriptというVBAと同等の機能が存在します。
移行が大変、何をやったらいいか分からないといった理由でサポートして欲しい等、</t>
    </r>
    <r>
      <rPr>
        <b/>
      </rPr>
      <t>個別のご相談があればSlack チャンネルにてご連絡ください</t>
    </r>
    <r>
      <rPr/>
      <t>。
別途チャンネルを作成し詳細をヒアリングさせていただけますと幸いです。</t>
    </r>
  </si>
  <si>
    <r>
      <rPr>
        <rFont val="Arial"/>
        <b/>
        <color theme="1"/>
      </rPr>
      <t>個人情報</t>
    </r>
    <r>
      <rPr>
        <rFont val="Arial"/>
        <color theme="1"/>
      </rPr>
      <t>が含まれている場合、Google Driveで問題ないですか？</t>
    </r>
  </si>
  <si>
    <r>
      <rPr>
        <rFont val="Arial"/>
        <color theme="1"/>
      </rPr>
      <t xml:space="preserve">個人情報については、個人情報保管の要件から「別テナント」のGoogle Driveへ移行していただくことを想定しています。
</t>
    </r>
    <r>
      <rPr>
        <rFont val="Arial"/>
        <b/>
        <color theme="1"/>
      </rPr>
      <t>個人情報が含まれる場合は移行先にて「別テナント」をご指定ください</t>
    </r>
    <r>
      <rPr>
        <rFont val="Arial"/>
        <color theme="1"/>
      </rPr>
      <t>。
ちなみに、既存テナントはGoogle AgentspaceなどのAI関連に取り込まれる可能性があるため、リスクを排除するために「別テナント」へ移行することを想定しております。</t>
    </r>
  </si>
  <si>
    <t>個人情報ドメイン（ai-exclude）でフォルダを作成、本体テナントに共有し、そこに保存してもらう</t>
  </si>
  <si>
    <t>S3のデータには直接アクセスできますか？</t>
  </si>
  <si>
    <r>
      <rPr>
        <rFont val="Arial"/>
        <color theme="1"/>
      </rPr>
      <t>皆さんから</t>
    </r>
    <r>
      <rPr>
        <rFont val="Arial"/>
        <b/>
        <color rgb="FFCC0000"/>
      </rPr>
      <t>直接アクセスすることは出来ません</t>
    </r>
    <r>
      <rPr>
        <rFont val="Arial"/>
        <color theme="1"/>
      </rPr>
      <t>。
はた環で保管いたしますので、必要になった場合はデータ取り出しをはた環へご依頼ください。
詳細については#8 「</t>
    </r>
    <r>
      <rPr>
        <rFont val="Arial"/>
        <b/>
        <color theme="1"/>
      </rPr>
      <t>S3に保管されるデータの取り出し方は？</t>
    </r>
    <r>
      <rPr>
        <rFont val="Arial"/>
        <color theme="1"/>
      </rPr>
      <t>」をご覧ください。</t>
    </r>
  </si>
  <si>
    <t>守田：11/6追加</t>
  </si>
  <si>
    <t>S3に保管されるデータの取り出し方は？</t>
  </si>
  <si>
    <r>
      <rPr>
        <rFont val="Arial"/>
        <b/>
        <color theme="1"/>
      </rPr>
      <t>YY/MMまで</t>
    </r>
    <r>
      <rPr>
        <rFont val="Arial"/>
        <color theme="1"/>
      </rPr>
      <t>：ファイルサーバ猶予期間
・YY/MM~YY/MMまではファイルサーバー全体の権限を読み取り専用とします。
・その間は</t>
    </r>
    <r>
      <rPr>
        <rFont val="Arial"/>
        <b/>
        <color theme="1"/>
      </rPr>
      <t>従来通りファイルサーバーを直接参照していただいて問題ありません</t>
    </r>
    <r>
      <rPr>
        <rFont val="Arial"/>
        <color theme="1"/>
      </rPr>
      <t xml:space="preserve">。
</t>
    </r>
    <r>
      <rPr>
        <rFont val="Arial"/>
        <b/>
        <color theme="1"/>
      </rPr>
      <t>YY/MM以降</t>
    </r>
    <r>
      <rPr>
        <rFont val="Arial"/>
        <color theme="1"/>
      </rPr>
      <t>：ファイルサーバー廃止後
・YY/MM以降はファイルサーバーを廃止し、アクセスできない状態になります。
・ファイルサーバーに保管されていたデータのパス情報を残しておきますので、S3から取り出したいデータのパスをご確認いただいた上で、はた環へご依頼いただければ1週間ほどでご提供します。
・詳細な手続きに関しては後日改めてアナウンスいたします。</t>
    </r>
  </si>
  <si>
    <t>Google Drive の移行時にRead Only 不可なので、移行中は編集しないでねというアナウンスが必要</t>
  </si>
  <si>
    <t>データ移行</t>
  </si>
  <si>
    <t>そもそもデータ移行は自分たちでできますか？</t>
  </si>
  <si>
    <r>
      <rPr>
        <rFont val="Arial"/>
        <color theme="1"/>
      </rPr>
      <t>数GB~数十GBであれば手動での移行も可能と思われます。
手動で行う場合、移行時に何らかの理由によりアップロードに失敗したといったログを取得することが難しいので、ご不安であればシート上の「移行方法」列にて「</t>
    </r>
    <r>
      <rPr>
        <rFont val="Arial"/>
        <b/>
        <color theme="1"/>
      </rPr>
      <t>hatakan依頼</t>
    </r>
    <r>
      <rPr>
        <rFont val="Arial"/>
        <color theme="1"/>
      </rPr>
      <t>」をご指定ください。
はた環で実行する場合は移行ツールを利用します。
失敗等のログをご提供することも可能です。</t>
    </r>
  </si>
  <si>
    <r>
      <rPr>
        <rFont val="Arial"/>
        <color theme="1"/>
      </rPr>
      <t>Google Drive / S3の</t>
    </r>
    <r>
      <rPr>
        <rFont val="Arial"/>
        <b/>
        <color theme="1"/>
      </rPr>
      <t>移行で実際に必要な作業</t>
    </r>
    <r>
      <rPr>
        <rFont val="Arial"/>
        <color theme="1"/>
      </rPr>
      <t>はどのようなことがありますか？</t>
    </r>
  </si>
  <si>
    <t>Google Driveの場合：
・データ移行先とデータ移行方法によって、
・複雑なため別資料にて説明します。
S3の場合：
・皆さんに行っていただくことはありません。</t>
  </si>
  <si>
    <r>
      <rPr>
        <rFont val="Arial"/>
        <color theme="1"/>
      </rPr>
      <t>対象フォルダの</t>
    </r>
    <r>
      <rPr>
        <rFont val="Arial"/>
        <b/>
        <color theme="1"/>
      </rPr>
      <t>アクセス権限</t>
    </r>
    <r>
      <rPr>
        <rFont val="Arial"/>
        <color theme="1"/>
      </rPr>
      <t>を教えてくれますか？</t>
    </r>
  </si>
  <si>
    <t>Jiraにて申請してください。</t>
  </si>
  <si>
    <t>守田：11/6追加
そもそも書いた方がいいか否か確認</t>
  </si>
  <si>
    <t>FAX関連も廃止になりますか？</t>
  </si>
  <si>
    <t>はい、ファイルサーバーにあるフォルダに関してはdiv / projectと同様に廃止予定です。
ただし、具体的な時期や対応方針は検討中です。</t>
  </si>
  <si>
    <r>
      <rPr/>
      <t>杉田さん検討中？
minimo, 本部, サポート, 
参考：</t>
    </r>
    <r>
      <rPr>
        <color rgb="FF1155CC"/>
        <u/>
      </rPr>
      <t xml:space="preserve">MOVFAX
</t>
    </r>
    <r>
      <rPr/>
      <t>インフラチームで対応中のはず？</t>
    </r>
  </si>
  <si>
    <t>RPAを利用しているが影響ありますか？</t>
  </si>
  <si>
    <t>はい、基本的には作り直しになると思いますが、RPAの実行内容に依ります。
作り直しが必要な場合は利用者のみなさんでご対応いただけますと幸いです。
何か懸念点がございましたら、Slack チャンネルにてご連絡ください。</t>
  </si>
  <si>
    <t>merged_div_data から転記</t>
  </si>
  <si>
    <t>path[directory:/ifs/a/file-sv/pub/div/CS推進室/]</t>
  </si>
  <si>
    <t>dir_cnt (count)</t>
  </si>
  <si>
    <t>file_cnt (count)</t>
  </si>
  <si>
    <t>ads_cnt</t>
  </si>
  <si>
    <t>other_cnt (count)</t>
  </si>
  <si>
    <t>log_size_sum (bytes)</t>
  </si>
  <si>
    <t>phys_size_sum (bytes)</t>
  </si>
  <si>
    <t>log_size_sum (GB)</t>
  </si>
  <si>
    <t>phys_size_sum (GB)</t>
  </si>
  <si>
    <t>log_size_sum_overflow</t>
  </si>
  <si>
    <t>report_date: 1761138050</t>
  </si>
  <si>
    <t>/ifs/a/file-sv/pub/div/CS推進室/ユーザーサポートG</t>
  </si>
  <si>
    <t>/ifs/a/file-sv/pub/div/CS推進室/開発G</t>
  </si>
  <si>
    <t>/ifs/a/file-sv/pub/div/CS推進室/企画G</t>
  </si>
  <si>
    <t>/ifs/a/file-sv/pub/div/CS推進室/健全化推進G</t>
  </si>
  <si>
    <t>/ifs/a/file-sv/pub/div/CS推進室/室共有</t>
  </si>
  <si>
    <t>/ifs/a/file-sv/pub/div/CS本部/CS部</t>
  </si>
  <si>
    <t>/ifs/a/file-sv/pub/div/CS本部/CX部</t>
  </si>
  <si>
    <t>/ifs/a/file-sv/pub/div/CS本部/技術部</t>
  </si>
  <si>
    <t>/ifs/a/file-sv/pub/div/CS本部/本部共有</t>
  </si>
  <si>
    <t>/ifs/a/file-sv/pub/div/Diverseスタジオ/Poiboy事業部</t>
  </si>
  <si>
    <t>/ifs/a/file-sv/pub/div/Diverseスタジオ/VEAT事業部</t>
  </si>
  <si>
    <t>/ifs/a/file-sv/pub/div/Diverseスタジオ/youbride事業部</t>
  </si>
  <si>
    <t>/ifs/a/file-sv/pub/div/Diverseスタジオ/YYC事業部</t>
  </si>
  <si>
    <t>/ifs/a/file-sv/pub/div/Diverseスタジオ/インドマーケット部</t>
  </si>
  <si>
    <t>/ifs/a/file-sv/pub/div/Diverseスタジオ/かいはつ室</t>
  </si>
  <si>
    <t>/ifs/a/file-sv/pub/div/Diverseスタジオ/ビジネス推進室</t>
  </si>
  <si>
    <t>/ifs/a/file-sv/pub/div/Diverseスタジオ/マーケティング室</t>
  </si>
  <si>
    <t>/ifs/a/file-sv/pub/div/Diverseスタジオ/マッチングサービス事業部</t>
  </si>
  <si>
    <t>/ifs/a/file-sv/pub/div/Diverseスタジオ/メディア事業部</t>
  </si>
  <si>
    <t>/ifs/a/file-sv/pub/div/Diverseスタジオ/技術研究所</t>
  </si>
  <si>
    <t>/ifs/a/file-sv/pub/div/Diverseスタジオ/経営管理部</t>
  </si>
  <si>
    <t>/ifs/a/file-sv/pub/div/Diverseスタジオ/結婚支援事業部</t>
  </si>
  <si>
    <t>/ifs/a/file-sv/pub/div/Diverseスタジオ/健全化推進室</t>
  </si>
  <si>
    <t>/ifs/a/file-sv/pub/div/Diverseスタジオ/新規サービス事業部</t>
  </si>
  <si>
    <t>/ifs/a/file-sv/pub/div/Diverseスタジオ/本部共有</t>
  </si>
  <si>
    <t>/ifs/a/file-sv/pub/div/FindJob事業部/移管用</t>
  </si>
  <si>
    <t>/ifs/a/file-sv/pub/div/MS本部/CS推進部</t>
  </si>
  <si>
    <t>/ifs/a/file-sv/pub/div/MS本部/セキュリティ室</t>
  </si>
  <si>
    <t>/ifs/a/file-sv/pub/div/MS本部/企画開発部</t>
  </si>
  <si>
    <t>/ifs/a/file-sv/pub/div/MS本部/本部共有</t>
  </si>
  <si>
    <t>/ifs/a/file-sv/pub/div/Vantageスタジオ/AI・ロボット事業部</t>
  </si>
  <si>
    <t>/ifs/a/file-sv/pub/div/Vantageスタジオ/minimo事業部</t>
  </si>
  <si>
    <t>/ifs/a/file-sv/pub/div/Vantageスタジオ/mixi事業部</t>
  </si>
  <si>
    <t>/ifs/a/file-sv/pub/div/Vantageスタジオ/Romi事業部</t>
  </si>
  <si>
    <t>/ifs/a/file-sv/pub/div/Vantageスタジオ/エンパワーメント推進室</t>
  </si>
  <si>
    <t>/ifs/a/file-sv/pub/div/Vantageスタジオ/システム部</t>
  </si>
  <si>
    <t>/ifs/a/file-sv/pub/div/Vantageスタジオ/ミクシィ・リクルートメント事業部</t>
  </si>
  <si>
    <t>/ifs/a/file-sv/pub/div/Vantageスタジオ/みてねプラットフォーム部</t>
  </si>
  <si>
    <t>/ifs/a/file-sv/pub/div/Vantageスタジオ/みてねプロダクト開発部</t>
  </si>
  <si>
    <t>/ifs/a/file-sv/pub/div/Vantageスタジオ/みてねマーケティング部</t>
  </si>
  <si>
    <t>/ifs/a/file-sv/pub/div/Vantageスタジオ/みてね事業開発部</t>
  </si>
  <si>
    <t>/ifs/a/file-sv/pub/div/Vantageスタジオ/みてね事業部</t>
  </si>
  <si>
    <t>/ifs/a/file-sv/pub/div/Vantageスタジオ/事業推進室</t>
  </si>
  <si>
    <t>/ifs/a/file-sv/pub/div/Vantageスタジオ/新規事業開発室</t>
  </si>
  <si>
    <t>/ifs/a/file-sv/pub/div/Vantageスタジオ/本部共有</t>
  </si>
  <si>
    <t>/ifs/a/file-sv/pub/div/XFLAG ARTS/XFLAGデザイン室</t>
  </si>
  <si>
    <t>/ifs/a/file-sv/pub/div/XFLAG ARTS/モンストデザイン室</t>
  </si>
  <si>
    <t>/ifs/a/file-sv/pub/div/XFLAG ARTS/本部共有</t>
  </si>
  <si>
    <t>/ifs/a/file-sv/pub/div/XFLAG ENTERTAINMENT/ビバレッジ事業推進室</t>
  </si>
  <si>
    <t>/ifs/a/file-sv/pub/div/XFLAG ENTERTAINMENT/マーチャンダイジング部</t>
  </si>
  <si>
    <t>/ifs/a/file-sv/pub/div/XFLAG ENTERTAINMENT/新規事業開発部</t>
  </si>
  <si>
    <t>/ifs/a/file-sv/pub/div/XFLAG ENTERTAINMENT/本部共有</t>
  </si>
  <si>
    <t>/ifs/a/file-sv/pub/div/XFLAG開発本部/XFLAG事業推進室</t>
  </si>
  <si>
    <t>/ifs/a/file-sv/pub/div/XFLAG開発本部/本部共有</t>
  </si>
  <si>
    <t>/ifs/a/file-sv/pub/div/XFLAG事業本部/IP開発室</t>
  </si>
  <si>
    <t>/ifs/a/file-sv/pub/div/XFLAG事業本部/XFLAG ARTS</t>
  </si>
  <si>
    <t>/ifs/a/file-sv/pub/div/XFLAG事業本部/XFLAG ENTERTAINMENT</t>
  </si>
  <si>
    <t>/ifs/a/file-sv/pub/div/XFLAG事業本部/XFLAG MOBILE</t>
  </si>
  <si>
    <t>/ifs/a/file-sv/pub/div/XFLAG事業本部/XFLAG PICTURES</t>
  </si>
  <si>
    <t>/ifs/a/file-sv/pub/div/XFLAG事業本部/ゲーム開発室</t>
  </si>
  <si>
    <t>/ifs/a/file-sv/pub/div/XFLAG事業本部/スポーツ事業推進室</t>
  </si>
  <si>
    <t>/ifs/a/file-sv/pub/div/XFLAG事業本部/ビジネス開発室</t>
  </si>
  <si>
    <t>/ifs/a/file-sv/pub/div/XFLAG事業本部/ファイトリーグ事業部</t>
  </si>
  <si>
    <t>/ifs/a/file-sv/pub/div/XFLAG事業本部/フィンテック・エンターテインメント室</t>
  </si>
  <si>
    <t>/ifs/a/file-sv/pub/div/XFLAG事業本部/事業戦略室</t>
  </si>
  <si>
    <t>/ifs/a/file-sv/pub/div/XFLAG事業本部/新規事業推進室</t>
  </si>
  <si>
    <t>/ifs/a/file-sv/pub/div/XFLAG事業本部/人事戦略室</t>
  </si>
  <si>
    <t>/ifs/a/file-sv/pub/div/アイ・マーキュリーキャピタル/全社共有</t>
  </si>
  <si>
    <t>/ifs/a/file-sv/pub/div/アドテクスタジオ/アドテクG</t>
  </si>
  <si>
    <t>/ifs/a/file-sv/pub/div/アドテクスタジオ/開発G</t>
  </si>
  <si>
    <t>/ifs/a/file-sv/pub/div/アドテクスタジオ/企画G</t>
  </si>
  <si>
    <t>/ifs/a/file-sv/pub/div/アドテクスタジオ/室共有</t>
  </si>
  <si>
    <t>/ifs/a/file-sv/pub/div/アライアンス統括本部/アリーナ事業部</t>
  </si>
  <si>
    <t>/ifs/a/file-sv/pub/div/アライアンス統括本部/システム部</t>
  </si>
  <si>
    <t>/ifs/a/file-sv/pub/div/アライアンス統括本部/スポーツギフティング部</t>
  </si>
  <si>
    <t>/ifs/a/file-sv/pub/div/アライアンス統括本部/スポーツ事業部</t>
  </si>
  <si>
    <t>/ifs/a/file-sv/pub/div/アライアンス統括本部/バスケットボール事業部</t>
  </si>
  <si>
    <t>/ifs/a/file-sv/pub/div/アライアンス統括本部/ビバレッジ事業推進室</t>
  </si>
  <si>
    <t>/ifs/a/file-sv/pub/div/アライアンス統括本部/フットボール事業部</t>
  </si>
  <si>
    <t>/ifs/a/file-sv/pub/div/アライアンス統括本部/事業戦略室</t>
  </si>
  <si>
    <t>/ifs/a/file-sv/pub/div/アライアンス統括本部/本部共有</t>
  </si>
  <si>
    <t>/ifs/a/file-sv/pub/div/イノベーションセンター/DeployGateG</t>
  </si>
  <si>
    <t>/ifs/a/file-sv/pub/div/イノベーションセンター/live4uG</t>
  </si>
  <si>
    <t>/ifs/a/file-sv/pub/div/イノベーションセンター/minimoG</t>
  </si>
  <si>
    <t>/ifs/a/file-sv/pub/div/イノベーションセンター/muukG</t>
  </si>
  <si>
    <t>/ifs/a/file-sv/pub/div/イノベーションセンター/イノベーションG</t>
  </si>
  <si>
    <t>/ifs/a/file-sv/pub/div/イノベーションセンター/みてねG</t>
  </si>
  <si>
    <t>/ifs/a/file-sv/pub/div/イノベーションセンター/室共有</t>
  </si>
  <si>
    <t>/ifs/a/file-sv/pub/div/ヴァンテージスタジオ/Find Job ！事業部</t>
  </si>
  <si>
    <t>/ifs/a/file-sv/pub/div/ヴァンテージスタジオ/minimo事業部</t>
  </si>
  <si>
    <t>/ifs/a/file-sv/pub/div/ヴァンテージスタジオ/mixiサービス部</t>
  </si>
  <si>
    <t>/ifs/a/file-sv/pub/div/ヴァンテージスタジオ/mixiシステム部</t>
  </si>
  <si>
    <t>/ifs/a/file-sv/pub/div/ヴァンテージスタジオ/mixi事業部</t>
  </si>
  <si>
    <t>/ifs/a/file-sv/pub/div/ヴァンテージスタジオ/ゲーム部</t>
  </si>
  <si>
    <t>/ifs/a/file-sv/pub/div/ヴァンテージスタジオ/システム部</t>
  </si>
  <si>
    <t>/ifs/a/file-sv/pub/div/ヴァンテージスタジオ/スタジオ企画室</t>
  </si>
  <si>
    <t>/ifs/a/file-sv/pub/div/ヴァンテージスタジオ/ミクシィ・リクルートメント事業部</t>
  </si>
  <si>
    <t>/ifs/a/file-sv/pub/div/ヴァンテージスタジオ/みてね事業部</t>
  </si>
  <si>
    <t>/ifs/a/file-sv/pub/div/ヴァンテージスタジオ/事業推進室</t>
  </si>
  <si>
    <t>/ifs/a/file-sv/pub/div/ヴァンテージスタジオ/新規事業推進室</t>
  </si>
  <si>
    <t>/ifs/a/file-sv/pub/div/ヴァンテージスタジオ/本部共有</t>
  </si>
  <si>
    <t>/ifs/a/file-sv/pub/div/エックスフラッグスタジオ本部/MTP推進室</t>
  </si>
  <si>
    <t>/ifs/a/file-sv/pub/div/エックスフラッグスタジオ本部/XFLAG</t>
  </si>
  <si>
    <t>/ifs/a/file-sv/pub/div/エックスフラッグスタジオ本部/XFLAG ARTS</t>
  </si>
  <si>
    <t>/ifs/a/file-sv/pub/div/エックスフラッグスタジオ本部/XFLAG ENTERTAINMENT</t>
  </si>
  <si>
    <t>/ifs/a/file-sv/pub/div/エックスフラッグスタジオ本部/XFLAG GAMES</t>
  </si>
  <si>
    <t>/ifs/a/file-sv/pub/div/エックスフラッグスタジオ本部/XFLAG MOBILE</t>
  </si>
  <si>
    <t>/ifs/a/file-sv/pub/div/エックスフラッグスタジオ本部/XFLAG PICTURES</t>
  </si>
  <si>
    <t>/ifs/a/file-sv/pub/div/エックスフラッグスタジオ本部/アドテク部</t>
  </si>
  <si>
    <t>/ifs/a/file-sv/pub/div/エックスフラッグスタジオ本部/エックスフラッグ</t>
  </si>
  <si>
    <t>/ifs/a/file-sv/pub/div/エックスフラッグスタジオ本部/エックスフラッグ ピクチャーズ</t>
  </si>
  <si>
    <t>/ifs/a/file-sv/pub/div/エックスフラッグスタジオ本部/ゲーム開発室</t>
  </si>
  <si>
    <t>/ifs/a/file-sv/pub/div/エックスフラッグスタジオ本部/システム開発部</t>
  </si>
  <si>
    <t>/ifs/a/file-sv/pub/div/エックスフラッグスタジオ本部/デザイン室</t>
  </si>
  <si>
    <t>/ifs/a/file-sv/pub/div/エックスフラッグスタジオ本部/マーケティング部</t>
  </si>
  <si>
    <t>/ifs/a/file-sv/pub/div/エックスフラッグスタジオ本部/メディアミックス部</t>
  </si>
  <si>
    <t>/ifs/a/file-sv/pub/div/エックスフラッグスタジオ本部/海外運用部</t>
  </si>
  <si>
    <t>/ifs/a/file-sv/pub/div/エックスフラッグスタジオ本部/企画・運用部</t>
  </si>
  <si>
    <t>/ifs/a/file-sv/pub/div/エックスフラッグスタジオ本部/事業戦略室</t>
  </si>
  <si>
    <t>/ifs/a/file-sv/pub/div/エックスフラッグスタジオ本部/新規事業推進室</t>
  </si>
  <si>
    <t>/ifs/a/file-sv/pub/div/エックスフラッグスタジオ本部/人事戦略室</t>
  </si>
  <si>
    <t>/ifs/a/file-sv/pub/div/エックスフラッグスタジオ本部/秘書室</t>
  </si>
  <si>
    <t>/ifs/a/file-sv/pub/div/エックスフラッグスタジオ本部/本部共有</t>
  </si>
  <si>
    <t>/ifs/a/file-sv/pub/div/エンターテインメントクリエイション室/室共有</t>
  </si>
  <si>
    <t>/ifs/a/file-sv/pub/div/オレンジスタジオ/mixiサービス部</t>
  </si>
  <si>
    <t>/ifs/a/file-sv/pub/div/オレンジスタジオ/mixiシステム部</t>
  </si>
  <si>
    <t>/ifs/a/file-sv/pub/div/オレンジスタジオ/ゲーム部</t>
  </si>
  <si>
    <t>/ifs/a/file-sv/pub/div/オレンジスタジオ/本部共有</t>
  </si>
  <si>
    <t>/ifs/a/file-sv/pub/div/クト/全社共有</t>
  </si>
  <si>
    <t>/ifs/a/file-sv/pub/div/クロスファンクション本部/CS推進室</t>
  </si>
  <si>
    <t>/ifs/a/file-sv/pub/div/クロスファンクション本部/イノベーションセンター</t>
  </si>
  <si>
    <t>/ifs/a/file-sv/pub/div/クロスファンクション本部/システム統括室</t>
  </si>
  <si>
    <t>/ifs/a/file-sv/pub/div/クロスファンクション本部/本部共有</t>
  </si>
  <si>
    <t>/ifs/a/file-sv/pub/div/ゲーム事業本部/ゲーム事業部</t>
  </si>
  <si>
    <t>/ifs/a/file-sv/pub/div/ゲーム事業本部/本部共有</t>
  </si>
  <si>
    <t>/ifs/a/file-sv/pub/div/コーポレートサポート本部/はたらく環境室</t>
  </si>
  <si>
    <t>/ifs/a/file-sv/pub/div/コーポレートサポート本部/ビジネスサポート室</t>
  </si>
  <si>
    <t>/ifs/a/file-sv/pub/div/コーポレートサポート本部/本部共有</t>
  </si>
  <si>
    <t>/ifs/a/file-sv/pub/div/コーポレートデベロップメント本部/Integration Management部</t>
  </si>
  <si>
    <t>/ifs/a/file-sv/pub/div/コーポレートデベロップメント本部/事業開発部</t>
  </si>
  <si>
    <t>/ifs/a/file-sv/pub/div/コーポレートデベロップメント本部/事業企画推進部</t>
  </si>
  <si>
    <t>/ifs/a/file-sv/pub/div/コーポレートデベロップメント本部/投資事業部</t>
  </si>
  <si>
    <t>/ifs/a/file-sv/pub/div/コーポレートデベロップメント本部/本部共有</t>
  </si>
  <si>
    <t>/ifs/a/file-sv/pub/div/コーポレートファイナンス本部/経理税務部</t>
  </si>
  <si>
    <t>/ifs/a/file-sv/pub/div/コーポレートファイナンス本部/財務企画部</t>
  </si>
  <si>
    <t>/ifs/a/file-sv/pub/div/コーポレートファイナンス本部/本部共有</t>
  </si>
  <si>
    <t>/ifs/a/file-sv/pub/div/コンプライアンス本部/知財室</t>
  </si>
  <si>
    <t>/ifs/a/file-sv/pub/div/コンプライアンス本部/法務部</t>
  </si>
  <si>
    <t>/ifs/a/file-sv/pub/div/コンプライアンス本部/本部共有</t>
  </si>
  <si>
    <t>/ifs/a/file-sv/pub/div/システム本部/運用部</t>
  </si>
  <si>
    <t>/ifs/a/file-sv/pub/div/システム本部/技術部</t>
  </si>
  <si>
    <t>/ifs/a/file-sv/pub/div/システム本部/人事部</t>
  </si>
  <si>
    <t>/ifs/a/file-sv/pub/div/システム本部/本部共有</t>
  </si>
  <si>
    <t>/ifs/a/file-sv/pub/div/スタジオフンザ/チケットキャンプ事業部</t>
  </si>
  <si>
    <t>/ifs/a/file-sv/pub/div/スタジオフンザ/ユーザー管理部</t>
  </si>
  <si>
    <t>/ifs/a/file-sv/pub/div/スタジオフンザ/経営企画室</t>
  </si>
  <si>
    <t>/ifs/a/file-sv/pub/div/スタジオフンザ/研究開発部</t>
  </si>
  <si>
    <t>/ifs/a/file-sv/pub/div/スタジオフンザ/新規事業推進室</t>
  </si>
  <si>
    <t>/ifs/a/file-sv/pub/div/スタジオフンザ/本部共有</t>
  </si>
  <si>
    <t>/ifs/a/file-sv/pub/div/スポーツ事業本部/システム部</t>
  </si>
  <si>
    <t>/ifs/a/file-sv/pub/div/スポーツ事業本部/スポーツマーケティング室</t>
  </si>
  <si>
    <t>/ifs/a/file-sv/pub/div/スポーツ事業本部/バスケットボール事業部</t>
  </si>
  <si>
    <t>/ifs/a/file-sv/pub/div/スポーツ事業本部/ビバレッジ事業推進室</t>
  </si>
  <si>
    <t>/ifs/a/file-sv/pub/div/スポーツ事業本部/フットボール事業部</t>
  </si>
  <si>
    <t>/ifs/a/file-sv/pub/div/スポーツ事業本部/事業戦略室</t>
  </si>
  <si>
    <t>/ifs/a/file-sv/pub/div/スポーツ事業本部/本部共有</t>
  </si>
  <si>
    <t>/ifs/a/file-sv/pub/div/スマートヘルス/全社共有</t>
  </si>
  <si>
    <t>/ifs/a/file-sv/pub/div/スマートヘルス事業部/BizDevG</t>
  </si>
  <si>
    <t>/ifs/a/file-sv/pub/div/スマートヘルス事業部/SalesG</t>
  </si>
  <si>
    <t>/ifs/a/file-sv/pub/div/スマートヘルス事業部/ウェルネスデザインG</t>
  </si>
  <si>
    <t>/ifs/a/file-sv/pub/div/スマートヘルス事業部/サービスデザインG</t>
  </si>
  <si>
    <t>/ifs/a/file-sv/pub/div/スマートヘルス事業部/開発G</t>
  </si>
  <si>
    <t>/ifs/a/file-sv/pub/div/スマートヘルス事業部/技術G</t>
  </si>
  <si>
    <t>/ifs/a/file-sv/pub/div/スマートヘルス事業部/事業開発G</t>
  </si>
  <si>
    <t>/ifs/a/file-sv/pub/div/スマートヘルス事業部/事業推進G</t>
  </si>
  <si>
    <t>/ifs/a/file-sv/pub/div/スマートヘルス事業部/事業戦略G</t>
  </si>
  <si>
    <t>/ifs/a/file-sv/pub/div/スマートヘルス事業部/部共有</t>
  </si>
  <si>
    <t>/ifs/a/file-sv/pub/div/セキュリティ室/セキュリティ管理G</t>
  </si>
  <si>
    <t>/ifs/a/file-sv/pub/div/セキュリティ室/セキュリティ管理推進G</t>
  </si>
  <si>
    <t>/ifs/a/file-sv/pub/div/セキュリティ室/セキュリティ技術G</t>
  </si>
  <si>
    <t>/ifs/a/file-sv/pub/div/セキュリティ室/室共有</t>
  </si>
  <si>
    <t>/ifs/a/file-sv/pub/div/ソーシャルベッティング事業本部/TIPSTAR事業部</t>
  </si>
  <si>
    <t>/ifs/a/file-sv/pub/div/ソーシャルベッティング事業本部/チャリ・ロト事業部</t>
  </si>
  <si>
    <t>/ifs/a/file-sv/pub/div/ソーシャルベッティング事業本部/ネットドリーマーズ事業部</t>
  </si>
  <si>
    <t>/ifs/a/file-sv/pub/div/ソーシャルベッティング事業本部/価値創造室</t>
  </si>
  <si>
    <t>/ifs/a/file-sv/pub/div/ソーシャルベッティング事業本部/海外ベッティング事業部</t>
  </si>
  <si>
    <t>/ifs/a/file-sv/pub/div/ソーシャルベッティング事業本部/開発室</t>
  </si>
  <si>
    <t>/ifs/a/file-sv/pub/div/ソーシャルベッティング事業本部/事業財務戦略室</t>
  </si>
  <si>
    <t>/ifs/a/file-sv/pub/div/ソーシャルベッティング事業本部/新規プロダクト開発室</t>
  </si>
  <si>
    <t>/ifs/a/file-sv/pub/div/ソーシャルベッティング事業本部/戦略室</t>
  </si>
  <si>
    <t>/ifs/a/file-sv/pub/div/ソーシャルベッティング事業本部/本部共有</t>
  </si>
  <si>
    <t>/ifs/a/file-sv/pub/div/チケットキャンプ事業部/カスタマーG</t>
  </si>
  <si>
    <t>/ifs/a/file-sv/pub/div/チケットキャンプ事業部/カスタマーサポートG</t>
  </si>
  <si>
    <t>/ifs/a/file-sv/pub/div/チケットキャンプ事業部/コンサルティングG</t>
  </si>
  <si>
    <t>/ifs/a/file-sv/pub/div/チケットキャンプ事業部/サービスG</t>
  </si>
  <si>
    <t>/ifs/a/file-sv/pub/div/チケットキャンプ事業部/ビジネスデベロップメントG</t>
  </si>
  <si>
    <t>/ifs/a/file-sv/pub/div/チケットキャンプ事業部/マーケティングG</t>
  </si>
  <si>
    <t>/ifs/a/file-sv/pub/div/チケットキャンプ事業部/経営企画G</t>
  </si>
  <si>
    <t>/ifs/a/file-sv/pub/div/チケットキャンプ事業部/研究開発G</t>
  </si>
  <si>
    <t>/ifs/a/file-sv/pub/div/チケットキャンプ事業部/部共有</t>
  </si>
  <si>
    <t>/ifs/a/file-sv/pub/div/デザイン本部/XFLAG PICTURES</t>
  </si>
  <si>
    <t>/ifs/a/file-sv/pub/div/デザイン本部/XFLAGデザイン室</t>
  </si>
  <si>
    <t>/ifs/a/file-sv/pub/div/デザイン本部/クリエイティブ室</t>
  </si>
  <si>
    <t>/ifs/a/file-sv/pub/div/デザイン本部/テクニカルデザイン室</t>
  </si>
  <si>
    <t>/ifs/a/file-sv/pub/div/デザイン本部/デザイン推進室</t>
  </si>
  <si>
    <t>/ifs/a/file-sv/pub/div/デザイン本部/デザイン戦略室</t>
  </si>
  <si>
    <t>/ifs/a/file-sv/pub/div/デザイン本部/ブランドデザイン室</t>
  </si>
  <si>
    <t>/ifs/a/file-sv/pub/div/デザイン本部/プロダクトデザイン室</t>
  </si>
  <si>
    <t>/ifs/a/file-sv/pub/div/デザイン本部/モンストデザイン室</t>
  </si>
  <si>
    <t>/ifs/a/file-sv/pub/div/デザイン本部/制作室</t>
  </si>
  <si>
    <t>/ifs/a/file-sv/pub/div/デザイン本部/動画クリエイティブ室</t>
  </si>
  <si>
    <t>/ifs/a/file-sv/pub/div/デザイン本部/本部共有</t>
  </si>
  <si>
    <t>/ifs/a/file-sv/pub/div/デジタルエンターテインメントオペレーションズ本部/コトダマン運営部</t>
  </si>
  <si>
    <t>/ifs/a/file-sv/pub/div/デジタルエンターテインメントオペレーションズ本部/コトダマン事業部</t>
  </si>
  <si>
    <t>/ifs/a/file-sv/pub/div/デジタルエンターテインメントオペレーションズ本部/コトダマン制作部</t>
  </si>
  <si>
    <t>/ifs/a/file-sv/pub/div/デジタルエンターテインメントオペレーションズ本部/ファンマーケティング部</t>
  </si>
  <si>
    <t>/ifs/a/file-sv/pub/div/デジタルエンターテインメントオペレーションズ本部/モンストIPクリエイション部</t>
  </si>
  <si>
    <t>/ifs/a/file-sv/pub/div/デジタルエンターテインメントオペレーションズ本部/モンスト運営部</t>
  </si>
  <si>
    <t>/ifs/a/file-sv/pub/div/デジタルエンターテインメントオペレーションズ本部/モンスト開発部</t>
  </si>
  <si>
    <t>/ifs/a/file-sv/pub/div/デジタルエンターテインメントオペレーションズ本部/事業戦略部</t>
  </si>
  <si>
    <t>/ifs/a/file-sv/pub/div/デジタルエンターテインメントオペレーションズ本部/宣伝部</t>
  </si>
  <si>
    <t>/ifs/a/file-sv/pub/div/デジタルエンターテインメントオペレーションズ本部/本部共有</t>
  </si>
  <si>
    <t>/ifs/a/file-sv/pub/div/デジタルエンターテインメントパブリッシング本部/グローバルモンスト室</t>
  </si>
  <si>
    <t>/ifs/a/file-sv/pub/div/デジタルエンターテインメントパブリッシング本部/事業戦略室</t>
  </si>
  <si>
    <t>/ifs/a/file-sv/pub/div/デジタルエンターテインメントパブリッシング本部/事業探索室</t>
  </si>
  <si>
    <t>/ifs/a/file-sv/pub/div/デジタルエンターテインメントパブリッシング本部/本部共有</t>
  </si>
  <si>
    <t>/ifs/a/file-sv/pub/div/デジタルエンターテインメント事業本部/honey事業部</t>
  </si>
  <si>
    <t>/ifs/a/file-sv/pub/div/デジタルエンターテインメント事業本部/HRBP部</t>
  </si>
  <si>
    <t>/ifs/a/file-sv/pub/div/デジタルエンターテインメント事業本部/IP開発室</t>
  </si>
  <si>
    <t>/ifs/a/file-sv/pub/div/デジタルエンターテインメント事業本部/Lily事業部</t>
  </si>
  <si>
    <t>/ifs/a/file-sv/pub/div/デジタルエンターテインメント事業本部/MKP事業部</t>
  </si>
  <si>
    <t>/ifs/a/file-sv/pub/div/デジタルエンターテインメント事業本部/XFLAG PICTURES</t>
  </si>
  <si>
    <t>/ifs/a/file-sv/pub/div/デジタルエンターテインメント事業本部/インキュベーション事業部</t>
  </si>
  <si>
    <t>/ifs/a/file-sv/pub/div/デジタルエンターテインメント事業本部/ゲーム開発部</t>
  </si>
  <si>
    <t>/ifs/a/file-sv/pub/div/デジタルエンターテインメント事業本部/コトダマン事業部</t>
  </si>
  <si>
    <t>/ifs/a/file-sv/pub/div/デジタルエンターテインメント事業本部/スタースマッシュ事業部</t>
  </si>
  <si>
    <t>/ifs/a/file-sv/pub/div/デジタルエンターテインメント事業本部/ネクストゲーム事業部</t>
  </si>
  <si>
    <t>/ifs/a/file-sv/pub/div/デジタルエンターテインメント事業本部/ビジネス開発室</t>
  </si>
  <si>
    <t>/ifs/a/file-sv/pub/div/デジタルエンターテインメント事業本部/ファイトリーグ事業部</t>
  </si>
  <si>
    <t>/ifs/a/file-sv/pub/div/デジタルエンターテインメント事業本部/マーケティング部</t>
  </si>
  <si>
    <t>/ifs/a/file-sv/pub/div/デジタルエンターテインメント事業本部/モンストIPエンハンス部</t>
  </si>
  <si>
    <t>/ifs/a/file-sv/pub/div/デジタルエンターテインメント事業本部/モンストIPクリエイション部</t>
  </si>
  <si>
    <t>/ifs/a/file-sv/pub/div/デジタルエンターテインメント事業本部/モンストゲーム運営部</t>
  </si>
  <si>
    <t>/ifs/a/file-sv/pub/div/デジタルエンターテインメント事業本部/モンストシリーズゲーム事業部</t>
  </si>
  <si>
    <t>/ifs/a/file-sv/pub/div/デジタルエンターテインメント事業本部/モンストマーケティング部</t>
  </si>
  <si>
    <t>/ifs/a/file-sv/pub/div/デジタルエンターテインメント事業本部/横断推進部</t>
  </si>
  <si>
    <t>/ifs/a/file-sv/pub/div/デジタルエンターテインメント事業本部/開発推進部</t>
  </si>
  <si>
    <t>/ifs/a/file-sv/pub/div/デジタルエンターテインメント事業本部/事業開発室</t>
  </si>
  <si>
    <t>/ifs/a/file-sv/pub/div/デジタルエンターテインメント事業本部/事業管理部</t>
  </si>
  <si>
    <t>/ifs/a/file-sv/pub/div/デジタルエンターテインメント事業本部/事業企画部</t>
  </si>
  <si>
    <t>/ifs/a/file-sv/pub/div/デジタルエンターテインメント事業本部/事業推進室</t>
  </si>
  <si>
    <t>/ifs/a/file-sv/pub/div/デジタルエンターテインメント事業本部/新規開発領域長室</t>
  </si>
  <si>
    <t>/ifs/a/file-sv/pub/div/デジタルエンターテインメント事業本部/本部共有</t>
  </si>
  <si>
    <t>/ifs/a/file-sv/pub/div/ノハナ/全社共有</t>
  </si>
  <si>
    <t>/ifs/a/file-sv/pub/div/はたらく環境推進本部/コーポレートITサービス部</t>
  </si>
  <si>
    <t>/ifs/a/file-sv/pub/div/はたらく環境推進本部/コーポレートエンジニアリング部</t>
  </si>
  <si>
    <t>/ifs/a/file-sv/pub/div/はたらく環境推進本部/せいかつ環境室</t>
  </si>
  <si>
    <t>/ifs/a/file-sv/pub/div/はたらく環境推進本部/ビジネスサポート室</t>
  </si>
  <si>
    <t>/ifs/a/file-sv/pub/div/はたらく環境推進本部/社内IT室</t>
  </si>
  <si>
    <t>/ifs/a/file-sv/pub/div/はたらく環境推進本部/本部共有</t>
  </si>
  <si>
    <t>/ifs/a/file-sv/pub/div/マーケティング本部/PR室</t>
  </si>
  <si>
    <t>/ifs/a/file-sv/pub/div/マーケティング本部/デジタルマーケティング室</t>
  </si>
  <si>
    <t>/ifs/a/file-sv/pub/div/マーケティング本部/ブランド戦略室</t>
  </si>
  <si>
    <t>/ifs/a/file-sv/pub/div/マーケティング本部/マーケティング推進室</t>
  </si>
  <si>
    <t>/ifs/a/file-sv/pub/div/マーケティング本部/マーケティング戦略室</t>
  </si>
  <si>
    <t>/ifs/a/file-sv/pub/div/マーケティング本部/本部共有</t>
  </si>
  <si>
    <t>/ifs/a/file-sv/pub/div/ミクシィ・リクルートメント/求人広告事業部</t>
  </si>
  <si>
    <t>/ifs/a/file-sv/pub/div/ミクシィ・リクルートメント/経営企画室</t>
  </si>
  <si>
    <t>/ifs/a/file-sv/pub/div/ミクシィ・リクルートメント/人材紹介事業部</t>
  </si>
  <si>
    <t>/ifs/a/file-sv/pub/div/ミクシィ・リクルートメント/全社共有</t>
  </si>
  <si>
    <t>/ifs/a/file-sv/pub/div/ミクシィマーケティング/全社共有</t>
  </si>
  <si>
    <t>/ifs/a/file-sv/pub/div/みてね事業本部/みてねプラットフォーム部</t>
  </si>
  <si>
    <t>/ifs/a/file-sv/pub/div/みてね事業本部/みてねプロダクト開発部</t>
  </si>
  <si>
    <t>/ifs/a/file-sv/pub/div/みてね事業本部/みてねマーケティング部</t>
  </si>
  <si>
    <t>/ifs/a/file-sv/pub/div/みてね事業本部/みてね事業開発部</t>
  </si>
  <si>
    <t>/ifs/a/file-sv/pub/div/みてね事業本部/本部共有</t>
  </si>
  <si>
    <t>/ifs/a/file-sv/pub/div/メディアコンテンツ事業本部/mixiコンテンツ部</t>
  </si>
  <si>
    <t>/ifs/a/file-sv/pub/div/メディアコンテンツ事業本部/mixiサービス部</t>
  </si>
  <si>
    <t>/ifs/a/file-sv/pub/div/メディアコンテンツ事業本部/mixiマーケティング部</t>
  </si>
  <si>
    <t>/ifs/a/file-sv/pub/div/メディアコンテンツ事業本部/アドテク推進部</t>
  </si>
  <si>
    <t>/ifs/a/file-sv/pub/div/メディアコンテンツ事業本部/ビジネス推進部</t>
  </si>
  <si>
    <t>/ifs/a/file-sv/pub/div/メディアコンテンツ事業本部/モンストスタジオ</t>
  </si>
  <si>
    <t>/ifs/a/file-sv/pub/div/メディアコンテンツ事業本部/事業推進部</t>
  </si>
  <si>
    <t>/ifs/a/file-sv/pub/div/メディアコンテンツ事業本部/本部共有</t>
  </si>
  <si>
    <t>/ifs/a/file-sv/pub/div/メディア事業本部/mixiゲーム部</t>
  </si>
  <si>
    <t>/ifs/a/file-sv/pub/div/メディア事業本部/mixiコンテンツ部</t>
  </si>
  <si>
    <t>/ifs/a/file-sv/pub/div/メディア事業本部/mixiサービス部</t>
  </si>
  <si>
    <t>/ifs/a/file-sv/pub/div/メディア事業本部/mixiシステム部</t>
  </si>
  <si>
    <t>/ifs/a/file-sv/pub/div/メディア事業本部/本部共有</t>
  </si>
  <si>
    <t>/ifs/a/file-sv/pub/div/モンストスタジオ/システム開発部</t>
  </si>
  <si>
    <t>/ifs/a/file-sv/pub/div/モンストスタジオ/マーケティングG</t>
  </si>
  <si>
    <t>/ifs/a/file-sv/pub/div/モンストスタジオ/マーケティング部</t>
  </si>
  <si>
    <t>/ifs/a/file-sv/pub/div/モンストスタジオ/メディアミックス部</t>
  </si>
  <si>
    <t>/ifs/a/file-sv/pub/div/モンストスタジオ/企画・運用部</t>
  </si>
  <si>
    <t>/ifs/a/file-sv/pub/div/モンストスタジオ/事業戦略室</t>
  </si>
  <si>
    <t>/ifs/a/file-sv/pub/div/モンストスタジオ/新規事業推進室</t>
  </si>
  <si>
    <t>/ifs/a/file-sv/pub/div/モンストスタジオ/本部共有</t>
  </si>
  <si>
    <t>/ifs/a/file-sv/pub/div/モンスト事業本部/IP管理室</t>
  </si>
  <si>
    <t>/ifs/a/file-sv/pub/div/モンスト事業本部/MSスピンオフゲーム事業部</t>
  </si>
  <si>
    <t>/ifs/a/file-sv/pub/div/モンスト事業本部/ゲーム運営部</t>
  </si>
  <si>
    <t>/ifs/a/file-sv/pub/div/モンスト事業本部/コンテンツクリエイション室</t>
  </si>
  <si>
    <t>/ifs/a/file-sv/pub/div/モンスト事業本部/データマーケティング室</t>
  </si>
  <si>
    <t>/ifs/a/file-sv/pub/div/モンスト事業本部/デザイン室</t>
  </si>
  <si>
    <t>/ifs/a/file-sv/pub/div/モンスト事業本部/ブランドコミュニケーション室</t>
  </si>
  <si>
    <t>/ifs/a/file-sv/pub/div/モンスト事業本部/マーケティングコミュニケーション部</t>
  </si>
  <si>
    <t>/ifs/a/file-sv/pub/div/モンスト事業本部/マーケティング部</t>
  </si>
  <si>
    <t>/ifs/a/file-sv/pub/div/モンスト事業本部/マーチャンダイジング部</t>
  </si>
  <si>
    <t>/ifs/a/file-sv/pub/div/モンスト事業本部/ライブエンターテインメント事業部</t>
  </si>
  <si>
    <t>/ifs/a/file-sv/pub/div/モンスト事業本部/ライフコミュニケーション部</t>
  </si>
  <si>
    <t>/ifs/a/file-sv/pub/div/モンスト事業本部/開発室</t>
  </si>
  <si>
    <t>/ifs/a/file-sv/pub/div/モンスト事業本部/事業開発室</t>
  </si>
  <si>
    <t>/ifs/a/file-sv/pub/div/モンスト事業本部/事業支援室</t>
  </si>
  <si>
    <t>/ifs/a/file-sv/pub/div/モンスト事業本部/新規事業開発部</t>
  </si>
  <si>
    <t>/ifs/a/file-sv/pub/div/モンスト事業本部/本部共有</t>
  </si>
  <si>
    <t>/ifs/a/file-sv/pub/div/ユーザーサービス本部/コマース部</t>
  </si>
  <si>
    <t>/ifs/a/file-sv/pub/div/ユーザーサービス本部/プロダクト開発部</t>
  </si>
  <si>
    <t>/ifs/a/file-sv/pub/div/ユーザーサービス本部/メディア統括部</t>
  </si>
  <si>
    <t>/ifs/a/file-sv/pub/div/ユーザーサービス本部/本部共有</t>
  </si>
  <si>
    <t>/ifs/a/file-sv/pub/div/ライブエクスペリエンス事業本部/LX開発室</t>
  </si>
  <si>
    <t>/ifs/a/file-sv/pub/div/ライブエクスペリエンス事業本部/minimo事業部</t>
  </si>
  <si>
    <t>/ifs/a/file-sv/pub/div/ライブエクスペリエンス事業本部/アリーナ事業部</t>
  </si>
  <si>
    <t>/ifs/a/file-sv/pub/div/ライブエクスペリエンス事業本部/システム部</t>
  </si>
  <si>
    <t>/ifs/a/file-sv/pub/div/ライブエクスペリエンス事業本部/スポーツギフティング部</t>
  </si>
  <si>
    <t>/ifs/a/file-sv/pub/div/ライブエクスペリエンス事業本部/スポーツマーケティング室</t>
  </si>
  <si>
    <t>/ifs/a/file-sv/pub/div/ライブエクスペリエンス事業本部/スポーツ事業部</t>
  </si>
  <si>
    <t>/ifs/a/file-sv/pub/div/ライブエクスペリエンス事業本部/バスケットボール事業部</t>
  </si>
  <si>
    <t>/ifs/a/file-sv/pub/div/ライブエクスペリエンス事業本部/ビバレッジ事業推進室</t>
  </si>
  <si>
    <t>/ifs/a/file-sv/pub/div/ライブエクスペリエンス事業本部/ファンコミュニケーション部</t>
  </si>
  <si>
    <t>/ifs/a/file-sv/pub/div/ライブエクスペリエンス事業本部/フットボール事業部</t>
  </si>
  <si>
    <t>/ifs/a/file-sv/pub/div/ライブエクスペリエンス事業本部/マーチャンダイジング部</t>
  </si>
  <si>
    <t>/ifs/a/file-sv/pub/div/ライブエクスペリエンス事業本部/ライセンス事業部</t>
  </si>
  <si>
    <t>/ifs/a/file-sv/pub/div/ライブエクスペリエンス事業本部/ライブエンターテインメント事業部</t>
  </si>
  <si>
    <t>/ifs/a/file-sv/pub/div/ライブエクスペリエンス事業本部/企画推進部</t>
  </si>
  <si>
    <t>/ifs/a/file-sv/pub/div/ライブエクスペリエンス事業本部/事業管理部</t>
  </si>
  <si>
    <t>/ifs/a/file-sv/pub/div/ライブエクスペリエンス事業本部/事業戦略室</t>
  </si>
  <si>
    <t>/ifs/a/file-sv/pub/div/ライブエクスペリエンス事業本部/新規事業開発部</t>
  </si>
  <si>
    <t>/ifs/a/file-sv/pub/div/ライブエクスペリエンス事業本部/本部共有</t>
  </si>
  <si>
    <t>/ifs/a/file-sv/pub/div/会長室/DeployGateG</t>
  </si>
  <si>
    <t>/ifs/a/file-sv/pub/div/会長室/live4uG</t>
  </si>
  <si>
    <t>/ifs/a/file-sv/pub/div/会長室/minimoG</t>
  </si>
  <si>
    <t>/ifs/a/file-sv/pub/div/会長室/みてねG</t>
  </si>
  <si>
    <t>/ifs/a/file-sv/pub/div/会長室/室共有</t>
  </si>
  <si>
    <t>/ifs/a/file-sv/pub/div/開発本部/CTO室</t>
  </si>
  <si>
    <t>/ifs/a/file-sv/pub/div/開発本部/MIXI M 事業部</t>
  </si>
  <si>
    <t>/ifs/a/file-sv/pub/div/開発本部/XFLAG事業推進室</t>
  </si>
  <si>
    <t>/ifs/a/file-sv/pub/div/開発本部/インフラ室</t>
  </si>
  <si>
    <t>/ifs/a/file-sv/pub/div/開発本部/セキュリティ室</t>
  </si>
  <si>
    <t>/ifs/a/file-sv/pub/div/開発本部/たんぽぽ室</t>
  </si>
  <si>
    <t>/ifs/a/file-sv/pub/div/開発本部/本部共有</t>
  </si>
  <si>
    <t>/ifs/a/file-sv/pub/div/監査役室/室共有</t>
  </si>
  <si>
    <t>/ifs/a/file-sv/pub/div/経営企画室/室共有</t>
  </si>
  <si>
    <t>/ifs/a/file-sv/pub/div/経営企画本部/IR室</t>
  </si>
  <si>
    <t>/ifs/a/file-sv/pub/div/経営企画本部/グループ経営企画室</t>
  </si>
  <si>
    <t>/ifs/a/file-sv/pub/div/経営企画本部/グループ事業推進部</t>
  </si>
  <si>
    <t>/ifs/a/file-sv/pub/div/経営企画本部/グループ統括室</t>
  </si>
  <si>
    <t>/ifs/a/file-sv/pub/div/経営企画本部/経営管理部</t>
  </si>
  <si>
    <t>/ifs/a/file-sv/pub/div/経営企画本部/経営企画室</t>
  </si>
  <si>
    <t>/ifs/a/file-sv/pub/div/経営企画本部/経営企画部</t>
  </si>
  <si>
    <t>/ifs/a/file-sv/pub/div/経営企画本部/経理財務部</t>
  </si>
  <si>
    <t>/ifs/a/file-sv/pub/div/経営企画本部/事業統括室</t>
  </si>
  <si>
    <t>/ifs/a/file-sv/pub/div/経営企画本部/投資・事業推進部</t>
  </si>
  <si>
    <t>/ifs/a/file-sv/pub/div/経営企画本部/本部共有</t>
  </si>
  <si>
    <t>/ifs/a/file-sv/pub/div/経営推進本部/CS推進室</t>
  </si>
  <si>
    <t>/ifs/a/file-sv/pub/div/経営推進本部/CS推進部</t>
  </si>
  <si>
    <t>/ifs/a/file-sv/pub/div/経営推進本部/FP＆Aインテリジェンス部</t>
  </si>
  <si>
    <t>/ifs/a/file-sv/pub/div/経営推進本部/グループ会社主計部</t>
  </si>
  <si>
    <t>/ifs/a/file-sv/pub/div/経営推進本部/グループ会社統括支援部</t>
  </si>
  <si>
    <t>/ifs/a/file-sv/pub/div/経営推進本部/グループ統括室</t>
  </si>
  <si>
    <t>/ifs/a/file-sv/pub/div/経営推進本部/スマートヘルス事業部</t>
  </si>
  <si>
    <t>/ifs/a/file-sv/pub/div/経営推進本部/はたらく環境室</t>
  </si>
  <si>
    <t>/ifs/a/file-sv/pub/div/経営推進本部/ビジネスサポート室</t>
  </si>
  <si>
    <t>/ifs/a/file-sv/pub/div/経営推進本部/ビジネス開発室</t>
  </si>
  <si>
    <t>/ifs/a/file-sv/pub/div/経営推進本部/経営管理部</t>
  </si>
  <si>
    <t>/ifs/a/file-sv/pub/div/経営推進本部/経営企画室</t>
  </si>
  <si>
    <t>/ifs/a/file-sv/pub/div/経営推進本部/経営企画部</t>
  </si>
  <si>
    <t>/ifs/a/file-sv/pub/div/経営推進本部/経営推進室</t>
  </si>
  <si>
    <t>/ifs/a/file-sv/pub/div/経営推進本部/経理財務部</t>
  </si>
  <si>
    <t>/ifs/a/file-sv/pub/div/経営推進本部/経理税務部</t>
  </si>
  <si>
    <t>/ifs/a/file-sv/pub/div/経営推進本部/広報IR室</t>
  </si>
  <si>
    <t>/ifs/a/file-sv/pub/div/経営推進本部/広報部</t>
  </si>
  <si>
    <t>/ifs/a/file-sv/pub/div/経営推進本部/財務企画部</t>
  </si>
  <si>
    <t>/ifs/a/file-sv/pub/div/経営推進本部/社長室</t>
  </si>
  <si>
    <t>/ifs/a/file-sv/pub/div/経営推進本部/情報セキュリティ室</t>
  </si>
  <si>
    <t>/ifs/a/file-sv/pub/div/経営推進本部/人事部</t>
  </si>
  <si>
    <t>/ifs/a/file-sv/pub/div/経営推進本部/人事部付け</t>
  </si>
  <si>
    <t>/ifs/a/file-sv/pub/div/経営推進本部/総務部</t>
  </si>
  <si>
    <t>/ifs/a/file-sv/pub/div/経営推進本部/投資・事業推進部</t>
  </si>
  <si>
    <t>/ifs/a/file-sv/pub/div/経営推進本部/投資事業推進室</t>
  </si>
  <si>
    <t>/ifs/a/file-sv/pub/div/経営推進本部/法務部</t>
  </si>
  <si>
    <t>/ifs/a/file-sv/pub/div/経営推進本部/本部共有</t>
  </si>
  <si>
    <t>/ifs/a/file-sv/pub/div/事業デザイン本部/事業デザイン部</t>
  </si>
  <si>
    <t>/ifs/a/file-sv/pub/div/事業デザイン本部/本部共有</t>
  </si>
  <si>
    <t>/ifs/a/file-sv/pub/div/事業開発本部/事業開発室</t>
  </si>
  <si>
    <t>/ifs/a/file-sv/pub/div/事業開発本部/事業推進室</t>
  </si>
  <si>
    <t>/ifs/a/file-sv/pub/div/事業開発本部/本部共有</t>
  </si>
  <si>
    <t>/ifs/a/file-sv/pub/div/次世代エンターテインメント事業本部/ID・ペイメント事業部</t>
  </si>
  <si>
    <t>/ifs/a/file-sv/pub/div/次世代エンターテインメント事業本部/PIST6事業部</t>
  </si>
  <si>
    <t>/ifs/a/file-sv/pub/div/次世代エンターテインメント事業本部/TIPSTAR開発部</t>
  </si>
  <si>
    <t>/ifs/a/file-sv/pub/div/次世代エンターテインメント事業本部/TIPSTAR企画運営部</t>
  </si>
  <si>
    <t>/ifs/a/file-sv/pub/div/次世代エンターテインメント事業本部/TIPSTAR事業企画部</t>
  </si>
  <si>
    <t>/ifs/a/file-sv/pub/div/次世代エンターテインメント事業本部/TIPSTAR事業部</t>
  </si>
  <si>
    <t>/ifs/a/file-sv/pub/div/次世代エンターテインメント事業本部/スポーツギフティング部</t>
  </si>
  <si>
    <t>/ifs/a/file-sv/pub/div/次世代エンターテインメント事業本部/ビジネス開発室</t>
  </si>
  <si>
    <t>/ifs/a/file-sv/pub/div/次世代エンターテインメント事業本部/ビジネス推進室</t>
  </si>
  <si>
    <t>/ifs/a/file-sv/pub/div/次世代エンターテインメント事業本部/ブランド戦略室</t>
  </si>
  <si>
    <t>/ifs/a/file-sv/pub/div/次世代エンターテインメント事業本部/マーケティング室</t>
  </si>
  <si>
    <t>/ifs/a/file-sv/pub/div/次世代エンターテインメント事業本部/ライブ動画ビジネス推進室</t>
  </si>
  <si>
    <t>/ifs/a/file-sv/pub/div/次世代エンターテインメント事業本部/ライブ動画プラットフォーム事業部</t>
  </si>
  <si>
    <t>/ifs/a/file-sv/pub/div/次世代エンターテインメント事業本部/ライブ動画プロダクト開発室</t>
  </si>
  <si>
    <t>/ifs/a/file-sv/pub/div/次世代エンターテインメント事業本部/事業開発部</t>
  </si>
  <si>
    <t>/ifs/a/file-sv/pub/div/次世代エンターテインメント事業本部/事業企画部</t>
  </si>
  <si>
    <t>/ifs/a/file-sv/pub/div/次世代エンターテインメント事業本部/次世代エンターテインメント室</t>
  </si>
  <si>
    <t>/ifs/a/file-sv/pub/div/次世代エンターテインメント事業本部/社長室</t>
  </si>
  <si>
    <t>/ifs/a/file-sv/pub/div/次世代エンターテインメント事業本部/戦略室</t>
  </si>
  <si>
    <t>/ifs/a/file-sv/pub/div/次世代エンターテインメント事業本部/本部共有</t>
  </si>
  <si>
    <t>/ifs/a/file-sv/pub/div/社長本部/ID・ペイメント事業部</t>
  </si>
  <si>
    <t>/ifs/a/file-sv/pub/div/社長本部/PR室</t>
  </si>
  <si>
    <t>/ifs/a/file-sv/pub/div/社長本部/XFLAG MOBILE</t>
  </si>
  <si>
    <t>/ifs/a/file-sv/pub/div/社長本部/コーポレートコミュニケーション部</t>
  </si>
  <si>
    <t>/ifs/a/file-sv/pub/div/社長本部/スポーツギフティング部</t>
  </si>
  <si>
    <t>/ifs/a/file-sv/pub/div/社長本部/スポーツマーケティング室</t>
  </si>
  <si>
    <t>/ifs/a/file-sv/pub/div/社長本部/スポーツ事業推進室</t>
  </si>
  <si>
    <t>/ifs/a/file-sv/pub/div/社長本部/スポーツ事業部</t>
  </si>
  <si>
    <t>/ifs/a/file-sv/pub/div/社長本部/バスケットボール事業部</t>
  </si>
  <si>
    <t>/ifs/a/file-sv/pub/div/社長本部/ビジネス開発室</t>
  </si>
  <si>
    <t>/ifs/a/file-sv/pub/div/社長本部/フットボール事業部</t>
  </si>
  <si>
    <t>/ifs/a/file-sv/pub/div/社長本部/ブランド戦略室</t>
  </si>
  <si>
    <t>/ifs/a/file-sv/pub/div/社長本部/ライブ動画プラットフォーム事業部</t>
  </si>
  <si>
    <t>/ifs/a/file-sv/pub/div/社長本部/次世代エンターテインメント室</t>
  </si>
  <si>
    <t>/ifs/a/file-sv/pub/div/社長本部/社長室</t>
  </si>
  <si>
    <t>/ifs/a/file-sv/pub/div/社長本部/本部共有</t>
  </si>
  <si>
    <t>/ifs/a/file-sv/pub/div/渉外部/グローバルリレーションG</t>
  </si>
  <si>
    <t>/ifs/a/file-sv/pub/div/渉外部/渉外G</t>
  </si>
  <si>
    <t>/ifs/a/file-sv/pub/div/渉外部/部共有</t>
  </si>
  <si>
    <t>/ifs/a/file-sv/pub/div/人事部/はたらく環境G</t>
  </si>
  <si>
    <t>/ifs/a/file-sv/pub/div/人事部/企画・労務G</t>
  </si>
  <si>
    <t>/ifs/a/file-sv/pub/div/人事部/企画G</t>
  </si>
  <si>
    <t>/ifs/a/file-sv/pub/div/人事部/採用・育成G</t>
  </si>
  <si>
    <t>/ifs/a/file-sv/pub/div/人事部/人材開発G</t>
  </si>
  <si>
    <t>/ifs/a/file-sv/pub/div/人事部/人材採用G</t>
  </si>
  <si>
    <t>/ifs/a/file-sv/pub/div/人事部/全社人事G</t>
  </si>
  <si>
    <t>/ifs/a/file-sv/pub/div/人事部/部共有</t>
  </si>
  <si>
    <t>/ifs/a/file-sv/pub/div/人事部/労務G</t>
  </si>
  <si>
    <t>/ifs/a/file-sv/pub/div/人事部付/名称未設定フォルダ</t>
  </si>
  <si>
    <t>/ifs/a/file-sv/pub/div/人事本部/MCS室</t>
  </si>
  <si>
    <t>/ifs/a/file-sv/pub/div/人事本部/エンパワーメント推進室</t>
  </si>
  <si>
    <t>/ifs/a/file-sv/pub/div/人事本部/グループ会社サポート部</t>
  </si>
  <si>
    <t>/ifs/a/file-sv/pub/div/人事本部/人材開発部</t>
  </si>
  <si>
    <t>/ifs/a/file-sv/pub/div/人事本部/人材開発部付</t>
  </si>
  <si>
    <t>/ifs/a/file-sv/pub/div/人事本部/人材採用部</t>
  </si>
  <si>
    <t>/ifs/a/file-sv/pub/div/人事本部/人材採用部付</t>
  </si>
  <si>
    <t>/ifs/a/file-sv/pub/div/人事本部/人事企画部</t>
  </si>
  <si>
    <t>/ifs/a/file-sv/pub/div/人事本部/人事企画部付</t>
  </si>
  <si>
    <t>/ifs/a/file-sv/pub/div/人事本部/人事戦略室</t>
  </si>
  <si>
    <t>/ifs/a/file-sv/pub/div/人事本部/人事戦略部</t>
  </si>
  <si>
    <t>/ifs/a/file-sv/pub/div/人事本部/人事戦略部付</t>
  </si>
  <si>
    <t>/ifs/a/file-sv/pub/div/人事本部/人事部</t>
  </si>
  <si>
    <t>/ifs/a/file-sv/pub/div/人事本部/人事部付</t>
  </si>
  <si>
    <t>/ifs/a/file-sv/pub/div/人事本部/組織戦略部</t>
  </si>
  <si>
    <t>/ifs/a/file-sv/pub/div/人事本部/本部共有</t>
  </si>
  <si>
    <t>/ifs/a/file-sv/pub/div/人事本部/労務部</t>
  </si>
  <si>
    <t>/ifs/a/file-sv/pub/div/投資事業推進本部/アライアンス室</t>
  </si>
  <si>
    <t>/ifs/a/file-sv/pub/div/投資事業推進本部/チャリ・ロト事業部</t>
  </si>
  <si>
    <t>/ifs/a/file-sv/pub/div/投資事業推進本部/事業開発部</t>
  </si>
  <si>
    <t>/ifs/a/file-sv/pub/div/投資事業推進本部/事業推進部</t>
  </si>
  <si>
    <t>/ifs/a/file-sv/pub/div/投資事業推進本部/投資事業推進部</t>
  </si>
  <si>
    <t>/ifs/a/file-sv/pub/div/投資事業推進本部/投資事業部</t>
  </si>
  <si>
    <t>/ifs/a/file-sv/pub/div/投資事業推進本部/本部共有</t>
  </si>
  <si>
    <t>/ifs/a/file-sv/pub/div/統括管理本部/CS部</t>
  </si>
  <si>
    <t>/ifs/a/file-sv/pub/div/統括管理本部/エンパワーメント推進室</t>
  </si>
  <si>
    <t>/ifs/a/file-sv/pub/div/統括管理本部/コーポレート・コミュニケーション室</t>
  </si>
  <si>
    <t>/ifs/a/file-sv/pub/div/統括管理本部/広報部</t>
  </si>
  <si>
    <t>/ifs/a/file-sv/pub/div/統括管理本部/法務部</t>
  </si>
  <si>
    <t>/ifs/a/file-sv/pub/div/統括管理本部/本部共有</t>
  </si>
  <si>
    <t>/ifs/a/file-sv/pub/div/内部監査室/000_内部監査室全般</t>
  </si>
  <si>
    <t>/ifs/a/file-sv/pub/div/内部監査室/100_部門監査</t>
  </si>
  <si>
    <t>/ifs/a/file-sv/pub/div/内部監査室/200_テーマ監査</t>
  </si>
  <si>
    <t>/ifs/a/file-sv/pub/div/内部監査室/300_子会社監査</t>
  </si>
  <si>
    <t>/ifs/a/file-sv/pub/div/内部監査室/400_監査法人対応</t>
  </si>
  <si>
    <t>/ifs/a/file-sv/pub/div/内部監査室/800_業務改善</t>
  </si>
  <si>
    <t>/ifs/a/file-sv/pub/div/内部監査室/810_過去の監査役監査</t>
  </si>
  <si>
    <t>/ifs/a/file-sv/pub/div/内部監査室/999_その他</t>
  </si>
  <si>
    <t>/ifs/a/file-sv/pub/div/内部監査室/ガバナンス支援G</t>
  </si>
  <si>
    <t>/ifs/a/file-sv/pub/div/内部監査室/チャリ・ロト監査G</t>
  </si>
  <si>
    <t>/ifs/a/file-sv/pub/div/内部監査室/関係会社監査G</t>
  </si>
  <si>
    <t>/ifs/a/file-sv/pub/div/内部監査室/企画G</t>
  </si>
  <si>
    <t>/ifs/a/file-sv/pub/div/内部監査室/内部監査G</t>
  </si>
  <si>
    <t>/区切り</t>
  </si>
  <si>
    <t>\区切り</t>
  </si>
  <si>
    <t>じｊ</t>
  </si>
  <si>
    <t>div 518(296)=残：57％</t>
  </si>
  <si>
    <t>Project 265(69/10)=残：26％</t>
  </si>
  <si>
    <t>全783（残：365）＝残：46％</t>
  </si>
  <si>
    <t>※部室長未出力</t>
  </si>
  <si>
    <t>・project</t>
  </si>
  <si>
    <t>JQLで退職Jiraを充てる</t>
  </si>
  <si>
    <t>データベースであてる、所属部署探す</t>
  </si>
  <si>
    <t>・div</t>
  </si>
  <si>
    <t>明確に不明なものは後回し</t>
  </si>
  <si>
    <t>本部格までのもので一旦OK</t>
  </si>
  <si>
    <t>同じ名前でヒットするものはそこで弾く</t>
  </si>
  <si>
    <t>多分これかなとヒットするものは、仮説であることを分かるように</t>
  </si>
  <si>
    <t>現状を再度記載、フィルター作成</t>
  </si>
  <si>
    <t>Hot</t>
  </si>
  <si>
    <t>Cold</t>
  </si>
  <si>
    <t>Div</t>
  </si>
  <si>
    <t>移行しない</t>
  </si>
  <si>
    <t>0KB</t>
  </si>
  <si>
    <t>未アナウンス</t>
  </si>
  <si>
    <t>データ少ない</t>
  </si>
  <si>
    <t>頭出しだけ</t>
  </si>
  <si>
    <t>データ多い</t>
  </si>
  <si>
    <t>Prj</t>
  </si>
  <si>
    <t>移行場所</t>
  </si>
  <si>
    <t>GoogleDrive</t>
  </si>
  <si>
    <t>AWS　S3　Gracier</t>
  </si>
  <si>
    <t>白川 裕介,銭 宇喆</t>
  </si>
  <si>
    <t>山本 忠智香, 大串 潤介</t>
  </si>
  <si>
    <t>sample_pack</t>
  </si>
  <si>
    <t>高津戸勇紀、安井聡史、沖勇作</t>
  </si>
  <si>
    <t>PJ_nd_project\701-Letsケータイ</t>
  </si>
  <si>
    <t>兒島 哲郎</t>
  </si>
  <si>
    <t>PJ_nd_project\702-WEBSPIRAL</t>
  </si>
  <si>
    <t>PJ_nd_project\801-法人開発</t>
  </si>
  <si>
    <t>PJ_nd_project\802-法人運用</t>
  </si>
  <si>
    <t>PJ_nd_project\805-アライアンス開発</t>
  </si>
  <si>
    <t>PJ_nd_project\PMS</t>
  </si>
  <si>
    <t>PJ_nd_unit\カスタマーサービス事業ユニット</t>
  </si>
  <si>
    <t>PJ_nd_unit\システム企画開発グループ</t>
  </si>
  <si>
    <t>鵜殿 真</t>
  </si>
  <si>
    <t>PJ_nd_unit\経営管理グループ</t>
  </si>
  <si>
    <t>PJ_nd_unit\人事</t>
  </si>
  <si>
    <t>PJ_nd_unit\経理</t>
  </si>
  <si>
    <t>越智 純平, 山田 涼晴</t>
  </si>
  <si>
    <t>éclair</t>
  </si>
  <si>
    <t>msc-all</t>
  </si>
  <si>
    <t>msc-jinji</t>
  </si>
  <si>
    <t>PJ_nd_project\200-ネットケイバ（携帯版）</t>
  </si>
  <si>
    <t>PJ_nd_project\201-競馬総合チャンネル</t>
  </si>
  <si>
    <t>PJ_nd_project\202-netkeiba.com（PC）</t>
  </si>
  <si>
    <t>PJ_nd_project\205-版権管理</t>
  </si>
  <si>
    <t>PJ_nd_project\206-馬券総合倶楽部</t>
  </si>
  <si>
    <t>PJ_nd_project\207-スターホース</t>
  </si>
  <si>
    <t>PJ_nd_project\209-馬三郎</t>
  </si>
  <si>
    <t>PJ_nd_project\211-馬券販売</t>
  </si>
  <si>
    <t>PJ_nd_project\214-データマスター</t>
  </si>
  <si>
    <t>PJ_nd_project\215-一口馬主</t>
  </si>
  <si>
    <t>PJ_nd_project\216-うまいるＳＮＳ</t>
  </si>
  <si>
    <t>PJ_nd_project\217-うまいるモバゲー版</t>
  </si>
  <si>
    <t>PJ_nd_project\218-野球ゲーム</t>
  </si>
  <si>
    <t>PJ_nd_project\219-うまいるGREE版</t>
  </si>
  <si>
    <t>PJ_nd_project\220-みんなのスタホ</t>
  </si>
  <si>
    <t>PJ_nd_project\221-ギャンブル無料</t>
  </si>
  <si>
    <t>PJ_nd_project\223-パズダビ</t>
  </si>
  <si>
    <t>PJ_nd_project\224-パズサカ</t>
  </si>
  <si>
    <t>PJ_nd_project\226-チキチキダービー</t>
  </si>
  <si>
    <t>PJ_nd_project\297-競馬再編プロジェクト</t>
  </si>
  <si>
    <t>PJ_nd_project\303-レシピ事業</t>
  </si>
  <si>
    <t>PJ_nd_project\304-ペット事業</t>
  </si>
  <si>
    <t>PJ_nd_project\305-サッカー事業</t>
  </si>
  <si>
    <t>PJ_nd_project\306-Sports@nifty</t>
  </si>
  <si>
    <t>PJ_nd_project\307-ゴルフ事業</t>
  </si>
  <si>
    <t>PJ_nd_project\308-防災＠nifty</t>
  </si>
  <si>
    <t>PJ_nd_project\309-芸能＠nifty</t>
  </si>
  <si>
    <t>PJ_nd_project\310-日刊グラドル</t>
  </si>
  <si>
    <t>PJ_nd_project\311-tennis365</t>
  </si>
  <si>
    <t>PJ_nd_project\312-野球事業</t>
  </si>
  <si>
    <t>PJ_nd_project\401-教育事業</t>
  </si>
  <si>
    <t>PJ_nd_project\402-クチコミュ</t>
  </si>
  <si>
    <t>PJ_nd_project\403-モバＫ</t>
  </si>
  <si>
    <t>PJ_nd_project\501-プロフエンジン</t>
  </si>
  <si>
    <t>PJ_nd_project\503-新モバK・スポコミュ</t>
  </si>
  <si>
    <t>PJ_nd_project\952-スポーツ新規</t>
  </si>
  <si>
    <t>PJ_nd_unit\メディア事業ユニット</t>
  </si>
  <si>
    <t>PJ_nd_public\共用フォルダ（全員）</t>
  </si>
  <si>
    <t>PJ_nd_public\共用フォルダ（マネージャー以上）</t>
  </si>
  <si>
    <t>田村 征也, 西教 慎司, 岡部 有加里, 加奈山 怜, 柳本 修平, 澁谷 高広, 小川 大輔, 山本 陽司</t>
  </si>
  <si>
    <t>上野 桂子，泉 望</t>
  </si>
  <si>
    <t>木村 俊也, 福森 美貴</t>
  </si>
  <si>
    <t>菅原 亜弓,中川 真紀子</t>
  </si>
  <si>
    <t>木村 俊也，福森 美貴</t>
  </si>
  <si>
    <t>加藤 徳英,菅原 亜弓,宮本 憲枝</t>
  </si>
  <si>
    <t>中川 真紀子, 酒井 優、坂田 信隆a</t>
  </si>
  <si>
    <t>中川 真紀子,酒井 優、坂田 信隆a</t>
  </si>
  <si>
    <t>菅原 亜弓, 中川 真紀子</t>
  </si>
  <si>
    <t>総務・労務共通</t>
  </si>
  <si>
    <t>坂田 信隆a, 中川 真紀子,酒井 優</t>
  </si>
  <si>
    <t>澤田祐希, 栗丸侑大, 吉田明広</t>
  </si>
  <si>
    <t>本部</t>
  </si>
  <si>
    <t>試す</t>
  </si>
  <si>
    <t>メディア&amp;ベッティング事業本部</t>
  </si>
  <si>
    <t>アイ・マーキュリーキャピタルは子会社になっているので本部としては解散していると思われます</t>
  </si>
  <si>
    <t>氏名</t>
  </si>
  <si>
    <t>社員番号</t>
  </si>
  <si>
    <t>姓</t>
  </si>
  <si>
    <t>名</t>
  </si>
  <si>
    <t>かな苗字</t>
  </si>
  <si>
    <t>かな名前</t>
  </si>
  <si>
    <t>アカウント</t>
  </si>
  <si>
    <t>メールアドレス</t>
  </si>
  <si>
    <t>MIXIGROUP入社処理日</t>
  </si>
  <si>
    <t>休職</t>
  </si>
  <si>
    <t>会社</t>
  </si>
  <si>
    <t>在籍状況</t>
  </si>
  <si>
    <t>雇用形態</t>
  </si>
  <si>
    <t>組織</t>
  </si>
  <si>
    <t>組織コード</t>
  </si>
  <si>
    <t>役職</t>
  </si>
  <si>
    <t>本務</t>
  </si>
  <si>
    <t>相澤友太</t>
  </si>
  <si>
    <t>相澤</t>
  </si>
  <si>
    <t>友太</t>
  </si>
  <si>
    <t>あいざわ</t>
  </si>
  <si>
    <t>ゆうた</t>
  </si>
  <si>
    <t>yuta.aizawa</t>
  </si>
  <si>
    <t>yuta.aizawa@mixi-empowerment.co.jp</t>
  </si>
  <si>
    <t>株式会社MIXI EMPOWERMENT</t>
  </si>
  <si>
    <t>契約社員</t>
  </si>
  <si>
    <t>株式会社MIXI EMPOWERMENT/株式会社MIXI EMPOWERMENT/株式会社MIXI EMPOWERMENT(本部格)/業務推進部/業務推進グループ</t>
  </si>
  <si>
    <t>XG514030100</t>
  </si>
  <si>
    <t>スタッフ</t>
  </si>
  <si>
    <t>相場宏二</t>
  </si>
  <si>
    <t>相場</t>
  </si>
  <si>
    <t>宏二</t>
  </si>
  <si>
    <t>あいば</t>
  </si>
  <si>
    <t>こうじ</t>
  </si>
  <si>
    <t>koji.aiba</t>
  </si>
  <si>
    <t>koji.aiba@mixi.co.jp</t>
  </si>
  <si>
    <t>正社員</t>
  </si>
  <si>
    <t>株式会社MIXI/木村管掌/デジタルエンターテインメントオペレーションズ本部/モンスト開発部/クライアント1グループ/クライアント2チーム</t>
  </si>
  <si>
    <t>AO082020303</t>
  </si>
  <si>
    <t>相原一輝</t>
  </si>
  <si>
    <t>相原</t>
  </si>
  <si>
    <t>一輝</t>
  </si>
  <si>
    <t>あいはら</t>
  </si>
  <si>
    <t>かずき</t>
  </si>
  <si>
    <t>kazuki.aihara</t>
  </si>
  <si>
    <t>kazuki.aihara@mixi.co.jp</t>
  </si>
  <si>
    <t>株式会社MIXI/村瀨管掌/開発本部/インフラ室/ネットワーク開発グループ</t>
  </si>
  <si>
    <t>AO082020202
AR060060100</t>
  </si>
  <si>
    <t>スタッフ
マネージャー</t>
  </si>
  <si>
    <t>0
1</t>
  </si>
  <si>
    <t>相原友希</t>
  </si>
  <si>
    <t>友希</t>
  </si>
  <si>
    <t>ゆき</t>
  </si>
  <si>
    <t>yuki.aihara</t>
  </si>
  <si>
    <t>yuki.aihara@mixi.co.jp</t>
  </si>
  <si>
    <t>株式会社MIXI/島村管掌/人事本部/人材開発部/EX推進グループ</t>
  </si>
  <si>
    <t>AX089040100
AX089060200</t>
  </si>
  <si>
    <t>スタッフ
スタッフ</t>
  </si>
  <si>
    <t>1
0</t>
  </si>
  <si>
    <t>青木大地</t>
  </si>
  <si>
    <t>青木</t>
  </si>
  <si>
    <t>大地</t>
  </si>
  <si>
    <t>あおき</t>
  </si>
  <si>
    <t>だいち</t>
  </si>
  <si>
    <t>daichi.aoki.ts</t>
  </si>
  <si>
    <t>daichi.aoki.ts@mixi.co.jp</t>
  </si>
  <si>
    <t>業務委託</t>
  </si>
  <si>
    <t>株式会社MIXI/木村管掌/デジタルエンターテインメントオペレーションズ本部/モンスト開発部/QAグループ/QA1チーム</t>
  </si>
  <si>
    <t>AO082020508</t>
  </si>
  <si>
    <t>青山英治</t>
  </si>
  <si>
    <t>青山</t>
  </si>
  <si>
    <t>英治</t>
  </si>
  <si>
    <t>あおやま</t>
  </si>
  <si>
    <t>えいじ</t>
  </si>
  <si>
    <t>eiji.aoyama</t>
  </si>
  <si>
    <t>eiji.aoyama@mixi.co.jp</t>
  </si>
  <si>
    <t>株式会社MIXI
株式会社TOKYOBAYアリーナマネジメント</t>
  </si>
  <si>
    <t>在籍
出向</t>
  </si>
  <si>
    <t>正社員
出向受入</t>
  </si>
  <si>
    <t>株式会社MIXI/木村管掌/ライブエクスペリエンス事業本部/アリーナ事業部/TBAMグループ</t>
  </si>
  <si>
    <t>XP539010000
AO090010100</t>
  </si>
  <si>
    <t>部長
スタッフ</t>
  </si>
  <si>
    <t>青山智史</t>
  </si>
  <si>
    <t>智史</t>
  </si>
  <si>
    <t>さとし</t>
  </si>
  <si>
    <t>satoshi.aoyama</t>
  </si>
  <si>
    <t>satoshi.aoyama@mixi.co.jp</t>
  </si>
  <si>
    <t>株式会社MIXI/木村管掌/デジタルエンターテインメントオペレーションズ本部/事業戦略部</t>
  </si>
  <si>
    <t>AO082050000
AO082050600
AO082000000</t>
  </si>
  <si>
    <t>部長
マネージャー
スタッフ</t>
  </si>
  <si>
    <t>1
0
0</t>
  </si>
  <si>
    <t>赤坂峻一</t>
  </si>
  <si>
    <t>赤坂</t>
  </si>
  <si>
    <t>峻一</t>
  </si>
  <si>
    <t>あかさか</t>
  </si>
  <si>
    <t>しゅんいち</t>
  </si>
  <si>
    <t>shunichi.akasaka</t>
  </si>
  <si>
    <t>shunichi.akasaka@mixi.co.jp</t>
  </si>
  <si>
    <t>正社員
支援受入</t>
  </si>
  <si>
    <t>XP558000000
XP558010000
AO090010100</t>
  </si>
  <si>
    <t>本部長
部長
マネージャー</t>
  </si>
  <si>
    <t>0
0
1</t>
  </si>
  <si>
    <t>赤﨑功紀</t>
  </si>
  <si>
    <t>赤﨑</t>
  </si>
  <si>
    <t>功紀</t>
  </si>
  <si>
    <t>あかざき</t>
  </si>
  <si>
    <t>こうき</t>
  </si>
  <si>
    <t>koki.akazaki</t>
  </si>
  <si>
    <t>koki.akazaki@mixi.co.jp</t>
  </si>
  <si>
    <t>株式会社MIXI/村瀨管掌/開発本部/CTO室/クライアントグループ</t>
  </si>
  <si>
    <t>AR060011200
AO083010600</t>
  </si>
  <si>
    <t>明石彩</t>
  </si>
  <si>
    <t>明石</t>
  </si>
  <si>
    <t>彩</t>
  </si>
  <si>
    <t>あかし</t>
  </si>
  <si>
    <t>あや</t>
  </si>
  <si>
    <t>aya.akashi</t>
  </si>
  <si>
    <t>aya.akashi@mixi.co.jp</t>
  </si>
  <si>
    <t>派遣社員</t>
  </si>
  <si>
    <t>株式会社MIXI/笠原管掌/Vantageスタジオ/minimo事業部/BizDevグループ/BizDevチーム</t>
  </si>
  <si>
    <t>AQ061071601</t>
  </si>
  <si>
    <t>赤塚郁代</t>
  </si>
  <si>
    <t>赤塚</t>
  </si>
  <si>
    <t>郁代</t>
  </si>
  <si>
    <t>あかつか</t>
  </si>
  <si>
    <t>いくよ</t>
  </si>
  <si>
    <t>ikuyo.akatsuka</t>
  </si>
  <si>
    <t>ikuyo.akatsuka@mixi.co.jp</t>
  </si>
  <si>
    <t>株式会社MIXI/木村管掌/デジタルエンターテインメントオペレーションズ本部/宣伝部/プロモーショングループ/マスプロモチーム</t>
  </si>
  <si>
    <t>AO082030103</t>
  </si>
  <si>
    <t>赤堀翔平</t>
  </si>
  <si>
    <t>赤堀</t>
  </si>
  <si>
    <t>翔平</t>
  </si>
  <si>
    <t>あかほり</t>
  </si>
  <si>
    <t>しょうへい</t>
  </si>
  <si>
    <t>shohei.akahori</t>
  </si>
  <si>
    <t>shohei.akahori@mixi.co.jp</t>
  </si>
  <si>
    <t>株式会社MIXI/木村管掌/ライブエクスペリエンス事業本部/ファンコミュニケーション部/Fanstaグループ</t>
  </si>
  <si>
    <t>AO090030200</t>
  </si>
  <si>
    <t>マネージャー</t>
  </si>
  <si>
    <t>赤松裕之</t>
  </si>
  <si>
    <t>赤松</t>
  </si>
  <si>
    <t>裕之</t>
  </si>
  <si>
    <t>あかまつ</t>
  </si>
  <si>
    <t>ひろゆき</t>
  </si>
  <si>
    <t>hiroyuki.akamatsu</t>
  </si>
  <si>
    <t>hiroyuki.akamatsu@mixi.co.jp</t>
  </si>
  <si>
    <t>株式会社MIXI/村瀨管掌/デザイン本部/ブランドデザイン室/マネジメントグループ/オペレーションチーム</t>
  </si>
  <si>
    <t>AR059070100
AR059070701</t>
  </si>
  <si>
    <t>スタッフ
リーダー</t>
  </si>
  <si>
    <t>秋岡英太朗a</t>
  </si>
  <si>
    <t>秋岡</t>
  </si>
  <si>
    <t>英太朗a</t>
  </si>
  <si>
    <t>あきおか</t>
  </si>
  <si>
    <t>えいたろう</t>
  </si>
  <si>
    <t>eitaro.akioka.a.ts</t>
  </si>
  <si>
    <t>eitaro.akioka.a.ts@m-lovegraph.com</t>
  </si>
  <si>
    <t>株式会社ラブグラフ</t>
  </si>
  <si>
    <t>株式会社ラブグラフ/株式会社ラブグラフ/株式会社ラブグラフ(本部格)</t>
  </si>
  <si>
    <t>XR542000000</t>
  </si>
  <si>
    <t>秋田義和</t>
  </si>
  <si>
    <t>秋田</t>
  </si>
  <si>
    <t>義和</t>
  </si>
  <si>
    <t>あきた</t>
  </si>
  <si>
    <t>よしかず</t>
  </si>
  <si>
    <t>yoshikazu.akita</t>
  </si>
  <si>
    <t>yoshikazu.akita@netdreamers.co.jp</t>
  </si>
  <si>
    <t>株式会社ネットドリーマーズ</t>
  </si>
  <si>
    <t>株式会社ネットドリーマーズ/株式会社ネットドリーマーズ/netkeiba事業本部/映像&amp;編集部</t>
  </si>
  <si>
    <t>XM550000000
XM550030000</t>
  </si>
  <si>
    <t>秋場洋二</t>
  </si>
  <si>
    <t>秋場</t>
  </si>
  <si>
    <t>洋二</t>
  </si>
  <si>
    <t>あきば</t>
  </si>
  <si>
    <t>ようじ</t>
  </si>
  <si>
    <t>yoji.akiba</t>
  </si>
  <si>
    <t>yoji.akiba@m-chariloto.com</t>
  </si>
  <si>
    <t>株式会社チャリ・ロト</t>
  </si>
  <si>
    <t>株式会社チャリ・ロト/株式会社チャリ・ロト/株式会社チャリ・ロト(本部格)</t>
  </si>
  <si>
    <t>XI516000000</t>
  </si>
  <si>
    <t>秋元佑一郎</t>
  </si>
  <si>
    <t>秋元</t>
  </si>
  <si>
    <t>佑一郎</t>
  </si>
  <si>
    <t>あきもと</t>
  </si>
  <si>
    <t>ゆういちろう</t>
  </si>
  <si>
    <t>yuichiro.akimoto</t>
  </si>
  <si>
    <t>yuichiro.akimoto@mixi.co.jp</t>
  </si>
  <si>
    <t>株式会社MIXI/村瀨管掌/はたらく環境推進本部/コーポレートエンジニアリング部/DXグループ</t>
  </si>
  <si>
    <t>AR091020100</t>
  </si>
  <si>
    <t>秋元佑介</t>
  </si>
  <si>
    <t>佑介</t>
  </si>
  <si>
    <t>ゆうすけ</t>
  </si>
  <si>
    <t>yusuke.akimoto</t>
  </si>
  <si>
    <t>yusuke.akimoto@mixi.co.jp</t>
  </si>
  <si>
    <t>株式会社MIXI/小林管掌/コンプライアンス本部/知財室/商標・著作権グループ</t>
  </si>
  <si>
    <t>AU074020200</t>
  </si>
  <si>
    <t>明畠利樹</t>
  </si>
  <si>
    <t>明畠</t>
  </si>
  <si>
    <t>利樹</t>
  </si>
  <si>
    <t>あけはた</t>
  </si>
  <si>
    <t>としき</t>
  </si>
  <si>
    <t>toshiki.akehata</t>
  </si>
  <si>
    <t>toshiki.akehata@mixi.co.jp</t>
  </si>
  <si>
    <t>株式会社MIXI/木村管掌/デジタルエンターテインメントオペレーションズ本部/宣伝部/デジタルマーケティンググループ/デジマ戦略推進チーム</t>
  </si>
  <si>
    <t>AO082030206</t>
  </si>
  <si>
    <t>朝川花</t>
  </si>
  <si>
    <t>朝川</t>
  </si>
  <si>
    <t>花</t>
  </si>
  <si>
    <t>あさかわ</t>
  </si>
  <si>
    <t>はな</t>
  </si>
  <si>
    <t>hana.asakawa</t>
  </si>
  <si>
    <t>hana.asakawa@netdreamers.co.jp</t>
  </si>
  <si>
    <t>朝倉文彦</t>
  </si>
  <si>
    <t>朝倉</t>
  </si>
  <si>
    <t>文彦</t>
  </si>
  <si>
    <t>あさくら</t>
  </si>
  <si>
    <t>ふみひこ</t>
  </si>
  <si>
    <t>fumihiko.asakura</t>
  </si>
  <si>
    <t>fumihiko.asakura@mixi.co.jp</t>
  </si>
  <si>
    <t>株式会社MIXI/村瀨管掌/はたらく環境推進本部/コーポレートITサービス部</t>
  </si>
  <si>
    <t>AR091010300
AR091010000
AR091030100
AR091010200</t>
  </si>
  <si>
    <t>マネージャー
部長
スタッフ
マネージャー</t>
  </si>
  <si>
    <t>0
1
0
0</t>
  </si>
  <si>
    <t>浅見公輔</t>
  </si>
  <si>
    <t>浅見</t>
  </si>
  <si>
    <t>公輔</t>
  </si>
  <si>
    <t>あさみ</t>
  </si>
  <si>
    <t>こうすけ</t>
  </si>
  <si>
    <t>kosuke.asami</t>
  </si>
  <si>
    <t>kosuke.asami@mixi.co.jp</t>
  </si>
  <si>
    <t>株式会社MIXI/村瀨管掌/開発本部/たんぽぽ室/たんぽぽグループ</t>
  </si>
  <si>
    <t>AR060050100
AR060040800
AR060051400
AO082020205</t>
  </si>
  <si>
    <t>スタッフ
スタッフ
スタッフ
スタッフ</t>
  </si>
  <si>
    <t>1
0
0
0</t>
  </si>
  <si>
    <t>芦沢哲志</t>
  </si>
  <si>
    <t>芦沢</t>
  </si>
  <si>
    <t>哲志</t>
  </si>
  <si>
    <t>あしざわ</t>
  </si>
  <si>
    <t>satoshi.ashizawa</t>
  </si>
  <si>
    <t>satoshi.ashizawa@mixi.co.jp</t>
  </si>
  <si>
    <t>株式会社MIXI
株式会社picon
株式会社ラブグラフ
株式会社チャリ・ロト</t>
  </si>
  <si>
    <t>在籍
出向
出向
出向</t>
  </si>
  <si>
    <t>正社員
出向受入
出向受入
出向受入</t>
  </si>
  <si>
    <t>株式会社MIXI/奥山管掌/コーポレートデベロップメント本部/投資事業部/コーポレート支援グループ/コーポレート支援チーム</t>
  </si>
  <si>
    <t>XW557000000
XR542000000
AW085020201
XI516000000</t>
  </si>
  <si>
    <t>0
0
1
0</t>
  </si>
  <si>
    <t>芦澤祐樹</t>
  </si>
  <si>
    <t>芦澤</t>
  </si>
  <si>
    <t>祐樹</t>
  </si>
  <si>
    <t>まさき</t>
  </si>
  <si>
    <t>masaki.ashizawa.ts</t>
  </si>
  <si>
    <t>masaki.ashizawa.ts@netdreamers.co.jp</t>
  </si>
  <si>
    <t>株式会社ネットドリーマーズ/株式会社ネットドリーマーズ/サービス推進開発本部/開発部/開発第2グループ</t>
  </si>
  <si>
    <t>XM556010400</t>
  </si>
  <si>
    <t>芦澤祐也</t>
  </si>
  <si>
    <t>祐也</t>
  </si>
  <si>
    <t>ゆうや</t>
  </si>
  <si>
    <t>yuya.ashizawa</t>
  </si>
  <si>
    <t>yuya.ashizawa@mixi.co.jp</t>
  </si>
  <si>
    <t>株式会社MIXI/木村管掌/デジタルエンターテインメントオペレーションズ本部/モンスト運営部/ゲームデザイングループ</t>
  </si>
  <si>
    <t>AO082010800</t>
  </si>
  <si>
    <t>東滋信</t>
  </si>
  <si>
    <t>東</t>
  </si>
  <si>
    <t>滋信</t>
  </si>
  <si>
    <t>あずま</t>
  </si>
  <si>
    <t>しげのぶ</t>
  </si>
  <si>
    <t>shigenobu.azuma</t>
  </si>
  <si>
    <t>shigenobu.azuma@mixi.co.jp</t>
  </si>
  <si>
    <t>株式会社MIXI/奥山管掌/ソーシャルベッティング事業本部/開発室/新規開発グループ</t>
  </si>
  <si>
    <t>AW076030500</t>
  </si>
  <si>
    <t>安達結衣</t>
  </si>
  <si>
    <t>安達</t>
  </si>
  <si>
    <t>結衣</t>
  </si>
  <si>
    <t>あだち</t>
  </si>
  <si>
    <t>ゆい</t>
  </si>
  <si>
    <t>yui.adachi.ts</t>
  </si>
  <si>
    <t>yui.adachi.ts@mixi.co.jp</t>
  </si>
  <si>
    <t>株式会社MIXI/木村管掌/デジタルエンターテインメントオペレーションズ本部/モンストIPクリエイション部/アート第1グループ/アートMチーム</t>
  </si>
  <si>
    <t>AO082040304</t>
  </si>
  <si>
    <t>穴水崇裕</t>
  </si>
  <si>
    <t>穴水</t>
  </si>
  <si>
    <t>崇裕</t>
  </si>
  <si>
    <t>あなみず</t>
  </si>
  <si>
    <t>たかひろ</t>
  </si>
  <si>
    <t>takahiro.anamizu</t>
  </si>
  <si>
    <t>takahiro.anamizu@mixi.co.jp</t>
  </si>
  <si>
    <t>株式会社MIXI/笠原管掌/Vantageスタジオ/minimo事業部/プロダクト開発グループ/アプリ負債返済チーム</t>
  </si>
  <si>
    <t>AQ061071901</t>
  </si>
  <si>
    <t>AvakulPanu</t>
  </si>
  <si>
    <t>Avakul</t>
  </si>
  <si>
    <t>Panu</t>
  </si>
  <si>
    <t>あばくる</t>
  </si>
  <si>
    <t>ぱぬ</t>
  </si>
  <si>
    <t>panu.avakul</t>
  </si>
  <si>
    <t>panu.avakul@mixi.co.jp</t>
  </si>
  <si>
    <t>株式会社MIXI/村瀨管掌/開発本部/たんぽぽ室/MIXI2グループ</t>
  </si>
  <si>
    <t>AQ061030600
AR060051300</t>
  </si>
  <si>
    <t>畔蒜洋平</t>
  </si>
  <si>
    <t>畔蒜</t>
  </si>
  <si>
    <t>洋平</t>
  </si>
  <si>
    <t>あびる</t>
  </si>
  <si>
    <t>ようへい</t>
  </si>
  <si>
    <t>yohei.abiru</t>
  </si>
  <si>
    <t>yohei.abiru@mixi.co.jp</t>
  </si>
  <si>
    <t>株式会社MIXI/木村管掌/デジタルエンターテインメントパブリッシング本部/事業探索室/クリエイショングループ</t>
  </si>
  <si>
    <t>AO083020400
AO086010000</t>
  </si>
  <si>
    <t>阿部</t>
  </si>
  <si>
    <t>久美</t>
  </si>
  <si>
    <t>あべ</t>
  </si>
  <si>
    <t>くみ</t>
  </si>
  <si>
    <t>kumi.abe</t>
  </si>
  <si>
    <t>kumi.abe@mixi.co.jp</t>
  </si>
  <si>
    <t>株式会社MIXI/村瀨管掌/はたらく環境推進本部/ビジネスサポート室/ボイスグループ</t>
  </si>
  <si>
    <t>AR091040400</t>
  </si>
  <si>
    <t>阿部翔</t>
  </si>
  <si>
    <t>翔</t>
  </si>
  <si>
    <t>しょう</t>
  </si>
  <si>
    <t>sho.abe</t>
  </si>
  <si>
    <t>sho.abe@mixi.co.jp</t>
  </si>
  <si>
    <t>AR091010302
AR091020100</t>
  </si>
  <si>
    <t>リーダー
スタッフ</t>
  </si>
  <si>
    <t>阿部峻大</t>
  </si>
  <si>
    <t>峻大</t>
  </si>
  <si>
    <t>takahiro.abe</t>
  </si>
  <si>
    <t>takahiro.abe@mixi.co.jp</t>
  </si>
  <si>
    <t>阿部達矢</t>
  </si>
  <si>
    <t>達矢</t>
  </si>
  <si>
    <t>たつや</t>
  </si>
  <si>
    <t>tatsuya.abe</t>
  </si>
  <si>
    <t>tatsuya.abe@mixi.co.jp</t>
  </si>
  <si>
    <t>株式会社MIXI/木村管掌/デジタルエンターテインメントパブリッシング本部/グローバルモンスト室/事業企画グループ/事業推進チーム</t>
  </si>
  <si>
    <t>AO083010305
AO083020400</t>
  </si>
  <si>
    <t>阿部敏寛a</t>
  </si>
  <si>
    <t>敏寛a</t>
  </si>
  <si>
    <t>としひろ</t>
  </si>
  <si>
    <t>toshihiro.abe.a.ts</t>
  </si>
  <si>
    <t>toshihiro.abe.a.ts@mixi.co.jp</t>
  </si>
  <si>
    <t>株式会社MIXI/笠原管掌/Vantageスタジオ/minimo事業部/デザイングループ/プロダクトデザインチーム</t>
  </si>
  <si>
    <t>AQ061070403</t>
  </si>
  <si>
    <t>阿部寛</t>
  </si>
  <si>
    <t>寛</t>
  </si>
  <si>
    <t>ひろし</t>
  </si>
  <si>
    <t>hiroshi.abe</t>
  </si>
  <si>
    <t>hiroshi.abe@mixi.co.jp</t>
  </si>
  <si>
    <t>株式会社MIXI/木村管掌/ライブエクスペリエンス事業本部/企画推進部/事業推進グループ</t>
  </si>
  <si>
    <t>AO090050200</t>
  </si>
  <si>
    <t>阿部浩之</t>
  </si>
  <si>
    <t>浩之</t>
  </si>
  <si>
    <t>hiroyuki.abe</t>
  </si>
  <si>
    <t>hiroyuki.abe@m-chariloto.com</t>
  </si>
  <si>
    <t>安部真実</t>
  </si>
  <si>
    <t>安部</t>
  </si>
  <si>
    <t>真実</t>
  </si>
  <si>
    <t>まなみ</t>
  </si>
  <si>
    <t>manami.abe.ts</t>
  </si>
  <si>
    <t>株式会社MIXI/木村管掌/ライブエクスペリエンス事業本部/フットボール事業部</t>
  </si>
  <si>
    <t>AO090040000</t>
  </si>
  <si>
    <t>阿部未樹也</t>
  </si>
  <si>
    <t>未樹也</t>
  </si>
  <si>
    <t>みきや</t>
  </si>
  <si>
    <t>mikiya.abe</t>
  </si>
  <si>
    <t>mikiya.abe@mixi.co.jp</t>
  </si>
  <si>
    <t>株式会社MIXI/笠原管掌/みてね事業本部/みてねプロダクト開発部/プロダクト開発Mグループ/たらこ開発チーム</t>
  </si>
  <si>
    <t>AQ087020702
AQ087040000</t>
  </si>
  <si>
    <t>阿部明a</t>
  </si>
  <si>
    <t>明a</t>
  </si>
  <si>
    <t>めい</t>
  </si>
  <si>
    <t>mei.abe.a</t>
  </si>
  <si>
    <t>mei.abe.a@mixi.co.jp</t>
  </si>
  <si>
    <t>株式会社MIXI/木村管掌/デジタルエンターテインメントパブリッシング本部/グローバルモンスト室/マーケティンググループ/Engagementチーム</t>
  </si>
  <si>
    <t>AO083010801</t>
  </si>
  <si>
    <t>阿部航</t>
  </si>
  <si>
    <t>航</t>
  </si>
  <si>
    <t>わたる</t>
  </si>
  <si>
    <t>wataru.abe</t>
  </si>
  <si>
    <t>wataru.abe@mixi.co.jp</t>
  </si>
  <si>
    <t>株式会社MIXI/笠原管掌/Vantageスタジオ/minimo事業部/プロダクト開発グループ/Web施策チーム</t>
  </si>
  <si>
    <t>AQ061071904</t>
  </si>
  <si>
    <t>リーダー</t>
  </si>
  <si>
    <t>雨宮良彰</t>
  </si>
  <si>
    <t>雨宮</t>
  </si>
  <si>
    <t>良彰</t>
  </si>
  <si>
    <t>あめみや</t>
  </si>
  <si>
    <t>よしあき</t>
  </si>
  <si>
    <t>yoshiaki.amemiya</t>
  </si>
  <si>
    <t>yoshiaki.amemiya@mixi.co.jp</t>
  </si>
  <si>
    <t>株式会社MIXI/村瀨管掌/デザイン本部/テクニカルデザイン室/デジタルエンターテインメント支援グループ/2DUI第2チーム</t>
  </si>
  <si>
    <t>AR059080402</t>
  </si>
  <si>
    <t>綾哲志a</t>
  </si>
  <si>
    <t>綾</t>
  </si>
  <si>
    <t>哲志a</t>
  </si>
  <si>
    <t>satoshi.aya.a</t>
  </si>
  <si>
    <t>satoshi.aya.a@mixi.co.jp</t>
  </si>
  <si>
    <t>株式会社MIXI/笠原管掌/みてね事業本部/みてねプロダクト開発部/デザイン1グループ</t>
  </si>
  <si>
    <t>AQ087020300
AQ087040000</t>
  </si>
  <si>
    <t>新井一希</t>
  </si>
  <si>
    <t>新井</t>
  </si>
  <si>
    <t>一希</t>
  </si>
  <si>
    <t>あらい</t>
  </si>
  <si>
    <t>kazuki.arai</t>
  </si>
  <si>
    <t>kazuki.arai@m-lovegraph.com</t>
  </si>
  <si>
    <t>アルバイト</t>
  </si>
  <si>
    <t>新井詩穂</t>
  </si>
  <si>
    <t>詩穂</t>
  </si>
  <si>
    <t>しほ</t>
  </si>
  <si>
    <t>shiho.arai</t>
  </si>
  <si>
    <t>shiho.arai@m-chariloto.com</t>
  </si>
  <si>
    <t>新井匠</t>
  </si>
  <si>
    <t>匠</t>
  </si>
  <si>
    <t>たくみ</t>
  </si>
  <si>
    <t>takumi.arai</t>
  </si>
  <si>
    <t>takumi.arai@mixi.co.jp</t>
  </si>
  <si>
    <t>株式会社MIXI/木村管掌/ライブエクスペリエンス事業本部/バスケットボール事業部/マーケティンググループ</t>
  </si>
  <si>
    <t>AO090020200</t>
  </si>
  <si>
    <t>荒井利徳</t>
  </si>
  <si>
    <t>荒井</t>
  </si>
  <si>
    <t>利徳</t>
  </si>
  <si>
    <t>としのり</t>
  </si>
  <si>
    <t>toshinori.arai</t>
  </si>
  <si>
    <t>toshinori.arai@mixi.co.jp</t>
  </si>
  <si>
    <t>株式会社MIXI
株式会社チャリ・ロト</t>
  </si>
  <si>
    <t>株式会社MIXI/奥山管掌/ソーシャルベッティング事業本部/チャリ・ロト事業部/ソリューショングループ/管理チーム</t>
  </si>
  <si>
    <t>XI516000000
AW076070103</t>
  </si>
  <si>
    <t>真人</t>
  </si>
  <si>
    <t>まさと</t>
  </si>
  <si>
    <t>masato.arai</t>
  </si>
  <si>
    <t>masato.arai@mixi.co.jp</t>
  </si>
  <si>
    <t>株式会社MIXI/小林管掌/コンプライアンス本部/法務部/コンプライアンスグループ</t>
  </si>
  <si>
    <t>AU074010100
AU074010706</t>
  </si>
  <si>
    <t>マネージャー
スタッフ</t>
  </si>
  <si>
    <t>新井真実</t>
  </si>
  <si>
    <t>まみ</t>
  </si>
  <si>
    <t>mami.arai</t>
  </si>
  <si>
    <t>mami.arai@mixi.co.jp</t>
  </si>
  <si>
    <t>株式会社MIXI/木村管掌/デジタルエンターテインメントオペレーションズ本部/宣伝部/海外プロモーショングループ/宣伝企画1チーム</t>
  </si>
  <si>
    <t>AO082030301</t>
  </si>
  <si>
    <t>荒井美砂子</t>
  </si>
  <si>
    <t>美砂子</t>
  </si>
  <si>
    <t>みさこ</t>
  </si>
  <si>
    <t>misako.arai.ts</t>
  </si>
  <si>
    <t>洗川雄輝</t>
  </si>
  <si>
    <t>洗川</t>
  </si>
  <si>
    <t>雄輝</t>
  </si>
  <si>
    <t>あらいかわ</t>
  </si>
  <si>
    <t>ゆうき</t>
  </si>
  <si>
    <t>yuki.araikawa</t>
  </si>
  <si>
    <t>yuki.araikawa@mixi.co.jp</t>
  </si>
  <si>
    <t>株式会社MIXI/笠原管掌/Vantageスタジオ/minimo事業部/システム開発グループ/AI推進チーム</t>
  </si>
  <si>
    <t>AQ061071805</t>
  </si>
  <si>
    <t>荒川</t>
  </si>
  <si>
    <t>司</t>
  </si>
  <si>
    <t>あらかわ</t>
  </si>
  <si>
    <t>つかさ</t>
  </si>
  <si>
    <t>arakawa</t>
  </si>
  <si>
    <t>arakawa@mixi.co.jp</t>
  </si>
  <si>
    <t>株式会社MIXI/笠原管掌/みてね事業本部/みてね事業開発部/CSグループ</t>
  </si>
  <si>
    <t>AQ087040200</t>
  </si>
  <si>
    <t>荒木綾貴子</t>
  </si>
  <si>
    <t>荒木</t>
  </si>
  <si>
    <t>綾貴子</t>
  </si>
  <si>
    <t>あらき</t>
  </si>
  <si>
    <t>あきこ</t>
  </si>
  <si>
    <t>akiko.araki</t>
  </si>
  <si>
    <t>akiko.araki@mixi.co.jp</t>
  </si>
  <si>
    <t>産休/育休</t>
  </si>
  <si>
    <t>株式会社MIXI/木村管掌/デジタルエンターテインメントオペレーションズ本部/モンストIPクリエイション部/キャラプログループ/アート監修チーム</t>
  </si>
  <si>
    <t>AO082040104</t>
  </si>
  <si>
    <t>荒木豪司</t>
  </si>
  <si>
    <t>豪司</t>
  </si>
  <si>
    <t>ごうし</t>
  </si>
  <si>
    <t>gohshi.araki</t>
  </si>
  <si>
    <t>gohshi.araki@mixi.co.jp</t>
  </si>
  <si>
    <t>株式会社MIXI
アイ・マーキュリーキャピタル株式会社
株式会社ネットドリーマーズ
mixiAmerica, Inc.</t>
  </si>
  <si>
    <t>正社員
支援受入
支援受入
支援受入</t>
  </si>
  <si>
    <t>株式会社MIXI/奥山管掌/コーポレートデベロップメント本部</t>
  </si>
  <si>
    <t>XB509000000
XM519000000
XC510000000
AW085000000
AW085020000</t>
  </si>
  <si>
    <t>取締役
取締役
取締役
本部長
部長</t>
  </si>
  <si>
    <t>0
0
0
1
0</t>
  </si>
  <si>
    <t>荒木啓文</t>
  </si>
  <si>
    <t>啓文</t>
  </si>
  <si>
    <t>ひろふみ</t>
  </si>
  <si>
    <t>hirofumi.araki</t>
  </si>
  <si>
    <t>hirofumi.araki@mixi.co.jp</t>
  </si>
  <si>
    <t>株式会社MIXI/村瀨管掌/はたらく環境推進本部/ビジネスサポート室/インフォメーションハブグループ</t>
  </si>
  <si>
    <t>AR091040300</t>
  </si>
  <si>
    <t>有田佳正a</t>
  </si>
  <si>
    <t>有田</t>
  </si>
  <si>
    <t>佳正a</t>
  </si>
  <si>
    <t>ありた</t>
  </si>
  <si>
    <t>よしまさ</t>
  </si>
  <si>
    <t>yoshimasa.arita.a.ts</t>
  </si>
  <si>
    <t>yoshimasa.arita.a.ts@mixi.co.jp</t>
  </si>
  <si>
    <t>株式会社MIXI/木村管掌/デジタルエンターテインメントパブリッシング本部/事業探索室/Rajaグループ</t>
  </si>
  <si>
    <t>AO083020600</t>
  </si>
  <si>
    <t>安西寛学</t>
  </si>
  <si>
    <t>安西</t>
  </si>
  <si>
    <t>寛学</t>
  </si>
  <si>
    <t>あんざい</t>
  </si>
  <si>
    <t>ひろたか</t>
  </si>
  <si>
    <t>hirotaka.anzai</t>
  </si>
  <si>
    <t>hirotaka.anzai@mixi.co.jp</t>
  </si>
  <si>
    <t>株式会社MIXI/木村管掌/デジタルエンターテインメントオペレーションズ本部/モンストIPクリエイション部/アート第2グループ/背景Bチーム</t>
  </si>
  <si>
    <t>AO082040404</t>
  </si>
  <si>
    <t>安藤智史</t>
  </si>
  <si>
    <t>安藤</t>
  </si>
  <si>
    <t>あんどう</t>
  </si>
  <si>
    <t>satoshi.ando</t>
  </si>
  <si>
    <t>satoshi.ando@mixi.co.jp</t>
  </si>
  <si>
    <t>株式会社MIXI/奥山管掌/ソーシャルベッティング事業本部/チャリ・ロト事業部/ソリューショングループ/推進チーム</t>
  </si>
  <si>
    <t>XI516000000
AW076070102</t>
  </si>
  <si>
    <t>安藤秀幸</t>
  </si>
  <si>
    <t>秀幸</t>
  </si>
  <si>
    <t>ひでゆき</t>
  </si>
  <si>
    <t>hideyuki.ando</t>
  </si>
  <si>
    <t>hideyuki.ando@mixi.co.jp</t>
  </si>
  <si>
    <t>株式会社MIXI/小林管掌/CS本部/CS部/運用グループ/mixi運用チーム</t>
  </si>
  <si>
    <t>AU073010301</t>
  </si>
  <si>
    <t>安蒜咲</t>
  </si>
  <si>
    <t>安蒜</t>
  </si>
  <si>
    <t>咲</t>
  </si>
  <si>
    <t>あんびる</t>
  </si>
  <si>
    <t>さき</t>
  </si>
  <si>
    <t>saki.ambiru</t>
  </si>
  <si>
    <t>saki.ambiru@m-lovegraph.com</t>
  </si>
  <si>
    <t>李眞喜</t>
  </si>
  <si>
    <t>李</t>
  </si>
  <si>
    <t>眞喜</t>
  </si>
  <si>
    <t>い</t>
  </si>
  <si>
    <t>じに</t>
  </si>
  <si>
    <t>jinhee.lee.ts</t>
  </si>
  <si>
    <t>jinhee.lee.ts@mixi.co.jp</t>
  </si>
  <si>
    <t>株式会社MIXI/木村管掌/デジタルエンターテインメントオペレーションズ本部/モンストIPクリエイション部/アート第2グループ/コラボAチーム</t>
  </si>
  <si>
    <t>AO082040401</t>
  </si>
  <si>
    <t>飯尾友和</t>
  </si>
  <si>
    <t>飯尾</t>
  </si>
  <si>
    <t>友和</t>
  </si>
  <si>
    <t>いいお</t>
  </si>
  <si>
    <t>ともかず</t>
  </si>
  <si>
    <t>iio</t>
  </si>
  <si>
    <t>iio@mixi.co.jp</t>
  </si>
  <si>
    <t>飯島緋理</t>
  </si>
  <si>
    <t>飯島</t>
  </si>
  <si>
    <t>緋理</t>
  </si>
  <si>
    <t>いいじま</t>
  </si>
  <si>
    <t>あかり</t>
  </si>
  <si>
    <t>akari.iijima</t>
  </si>
  <si>
    <t>akari.iijima@mixi.co.jp</t>
  </si>
  <si>
    <t>株式会社MIXI/木村管掌/デジタルエンターテインメントオペレーションズ本部/モンスト開発部/モンストサーバ1グループ/サーバ1チーム</t>
  </si>
  <si>
    <t>AO082020104</t>
  </si>
  <si>
    <t>飯田悦子</t>
  </si>
  <si>
    <t>飯田</t>
  </si>
  <si>
    <t>悦子</t>
  </si>
  <si>
    <t>いいだ</t>
  </si>
  <si>
    <t>えつこ</t>
  </si>
  <si>
    <t>etsuko.iida</t>
  </si>
  <si>
    <t>etsuko.iida@mixi.co.jp</t>
  </si>
  <si>
    <t>株式会社MIXI/島村管掌/人事本部/労務部/労務管理第1グループ</t>
  </si>
  <si>
    <t>AX089080200
AX089080101</t>
  </si>
  <si>
    <t>飯塚悦子</t>
  </si>
  <si>
    <t>飯塚</t>
  </si>
  <si>
    <t>いいづか</t>
  </si>
  <si>
    <t>etsuko.iizuka</t>
  </si>
  <si>
    <t>etsuko.iizuka@mixi.co.jp</t>
  </si>
  <si>
    <t>株式会社MIXI/木村管掌/デジタルエンターテインメントオペレーションズ本部/モンスト運営部/UI・UXデザイングループ/グラフィック第1チーム</t>
  </si>
  <si>
    <t>AO082010605</t>
  </si>
  <si>
    <t>飯塚康平</t>
  </si>
  <si>
    <t>康平</t>
  </si>
  <si>
    <t>こうへい</t>
  </si>
  <si>
    <t>kohei.iizuka</t>
  </si>
  <si>
    <t>kohei.iizuka@mixi.co.jp</t>
  </si>
  <si>
    <t>株式会社MIXI/笠原管掌/みてね事業本部/みてねプロダクト開発部/プロダクト開発Mグループ/しゃけ開発チーム</t>
  </si>
  <si>
    <t>AQ087020701
AQ087040000</t>
  </si>
  <si>
    <t>飯塚世奈</t>
  </si>
  <si>
    <t>世奈</t>
  </si>
  <si>
    <t>せな</t>
  </si>
  <si>
    <t>sena.iizuka</t>
  </si>
  <si>
    <t>sena.iizuka@m-sfidante.com</t>
  </si>
  <si>
    <t>株式会社スフィダンテ</t>
  </si>
  <si>
    <t>株式会社スフィダンテ/株式会社スフィダンテ/株式会社スフィダンテ(本部格)</t>
  </si>
  <si>
    <t>XK517000000</t>
  </si>
  <si>
    <t>飯野綾子</t>
  </si>
  <si>
    <t>飯野</t>
  </si>
  <si>
    <t>綾子</t>
  </si>
  <si>
    <t>いいの</t>
  </si>
  <si>
    <t>あやこ</t>
  </si>
  <si>
    <t>ayako.iino</t>
  </si>
  <si>
    <t>ayako.iino@mixi.co.jp</t>
  </si>
  <si>
    <t>飯野法志</t>
  </si>
  <si>
    <t>法志</t>
  </si>
  <si>
    <t>ほうし</t>
  </si>
  <si>
    <t>hoshi.iino</t>
  </si>
  <si>
    <t>hoshi.iino@m-sfidante.com</t>
  </si>
  <si>
    <t>五十嵐聡</t>
  </si>
  <si>
    <t>五十嵐</t>
  </si>
  <si>
    <t>聡</t>
  </si>
  <si>
    <t>いからし</t>
  </si>
  <si>
    <t>satoshi.ikarashi</t>
  </si>
  <si>
    <t>satoshi.ikarashi@mixi.co.jp</t>
  </si>
  <si>
    <t>株式会社MIXI/木村管掌/ライブエクスペリエンス事業本部/フットボール事業部/事業推進グループ/イベントチーム</t>
  </si>
  <si>
    <t>AO090040101</t>
  </si>
  <si>
    <t>五十嵐彩花</t>
  </si>
  <si>
    <t>彩花</t>
  </si>
  <si>
    <t>いがらし</t>
  </si>
  <si>
    <t>あやか</t>
  </si>
  <si>
    <t>ayaka.igarashi</t>
  </si>
  <si>
    <t>ayaka.igarashi@m-sfidante.com</t>
  </si>
  <si>
    <t>生亀貴之</t>
  </si>
  <si>
    <t>生亀</t>
  </si>
  <si>
    <t>貴之</t>
  </si>
  <si>
    <t>いきがめ</t>
  </si>
  <si>
    <t>たかゆき</t>
  </si>
  <si>
    <t>takayuki.ikigame</t>
  </si>
  <si>
    <t>takayuki.ikigame@mixi.co.jp</t>
  </si>
  <si>
    <t>株式会社MIXI/木村管掌/デジタルエンターテインメントオペレーションズ本部/モンストIPクリエイション部/サウンドグループ</t>
  </si>
  <si>
    <t>AO082040600</t>
  </si>
  <si>
    <t>異儀田諭</t>
  </si>
  <si>
    <t>異儀田</t>
  </si>
  <si>
    <t>諭</t>
  </si>
  <si>
    <t>いぎた</t>
  </si>
  <si>
    <t>さとる</t>
  </si>
  <si>
    <t>satoru.igita</t>
  </si>
  <si>
    <t>satoru.igita@mixi.co.jp</t>
  </si>
  <si>
    <t>株式会社MIXI/村瀨管掌/開発本部/たんぽぽ室/AI value designグループ</t>
  </si>
  <si>
    <t>AR060051500</t>
  </si>
  <si>
    <t>井口真湖</t>
  </si>
  <si>
    <t>井口</t>
  </si>
  <si>
    <t>真湖</t>
  </si>
  <si>
    <t>いぐち</t>
  </si>
  <si>
    <t>まこ</t>
  </si>
  <si>
    <t>mako.iguchi.ts</t>
  </si>
  <si>
    <t>mako.iguchi.ts@mixi.co.jp</t>
  </si>
  <si>
    <t>株式会社MIXI/木村管掌/デジタルエンターテインメントオペレーションズ本部/モンスト開発部/QAグループ/QA4チーム</t>
  </si>
  <si>
    <t>AO082020507</t>
  </si>
  <si>
    <t>池内勇太</t>
  </si>
  <si>
    <t>池内</t>
  </si>
  <si>
    <t>勇太</t>
  </si>
  <si>
    <t>いけうち</t>
  </si>
  <si>
    <t>yuta.ikeuchi.ts</t>
  </si>
  <si>
    <t>株式会社MIXI/木村管掌/ライブエクスペリエンス事業本部/バスケットボール事業部</t>
  </si>
  <si>
    <t>AO090020000</t>
  </si>
  <si>
    <t>池上舞</t>
  </si>
  <si>
    <t>池上</t>
  </si>
  <si>
    <t>舞</t>
  </si>
  <si>
    <t>いけがみ</t>
  </si>
  <si>
    <t>まい</t>
  </si>
  <si>
    <t>mai.ikegami</t>
  </si>
  <si>
    <t>mai.ikegami@netdreamers.co.jp</t>
  </si>
  <si>
    <t>株式会社ネットドリーマーズ/株式会社ネットドリーマーズ/サービス推進開発本部/制作部/マークアップグループ</t>
  </si>
  <si>
    <t>XM556020200
XM556000000</t>
  </si>
  <si>
    <t>池田明里</t>
  </si>
  <si>
    <t>池田</t>
  </si>
  <si>
    <t>明里</t>
  </si>
  <si>
    <t>いけだ</t>
  </si>
  <si>
    <t>akari.ikeda</t>
  </si>
  <si>
    <t>akari.ikeda@mixi.co.jp</t>
  </si>
  <si>
    <t>株式会社MIXI/木村管掌/デジタルエンターテインメントオペレーションズ本部/宣伝部/デジタルマーケティンググループ/新規獲得チーム</t>
  </si>
  <si>
    <t>AO082030202</t>
  </si>
  <si>
    <t>池田和正</t>
  </si>
  <si>
    <t>和正</t>
  </si>
  <si>
    <t>かずまさ</t>
  </si>
  <si>
    <t>kazumasa.ikeda.ts</t>
  </si>
  <si>
    <t>kazumasa.ikeda.ts@mixi.co.jp</t>
  </si>
  <si>
    <t>株式会社MIXI/笠原管掌/Vantageスタジオ/minimo事業部/システム開発グループ/システム移行チーム</t>
  </si>
  <si>
    <t>AQ061071806</t>
  </si>
  <si>
    <t>池田圭吾</t>
  </si>
  <si>
    <t>圭吾</t>
  </si>
  <si>
    <t>けいご</t>
  </si>
  <si>
    <t>keigo.ikeda</t>
  </si>
  <si>
    <t>keigo.ikeda@mixi.co.jp</t>
  </si>
  <si>
    <t>株式会社MIXI/村瀨管掌/デザイン本部/動画クリエイティブ室/クリエイティブサウンドグループ/第1サウンドチーム</t>
  </si>
  <si>
    <t>AR059060902</t>
  </si>
  <si>
    <t>池田皓亮</t>
  </si>
  <si>
    <t>皓亮</t>
  </si>
  <si>
    <t>kosuke.ikeda</t>
  </si>
  <si>
    <t>kosuke.ikeda@mixi.co.jp</t>
  </si>
  <si>
    <t>株式会社MIXI/木村管掌/デジタルエンターテインメントオペレーションズ本部/コトダマン制作部/アニメーショングループ/エフェクトチーム</t>
  </si>
  <si>
    <t>AO082090401</t>
  </si>
  <si>
    <t>池田早縁子</t>
  </si>
  <si>
    <t>早縁子</t>
  </si>
  <si>
    <t>さえこ</t>
  </si>
  <si>
    <t>saeko.ikeda</t>
  </si>
  <si>
    <t>saeko.ikeda@mixi.co.jp</t>
  </si>
  <si>
    <t>株式会社MIXI/木村管掌/デジタルエンターテインメントオペレーションズ本部/モンスト運営部/ゲーム推進グループ/運用開発チーム</t>
  </si>
  <si>
    <t>AO082010901</t>
  </si>
  <si>
    <t>池田大地</t>
  </si>
  <si>
    <t>daichi.ikeda</t>
  </si>
  <si>
    <t>daichi.ikeda@mixi.co.jp</t>
  </si>
  <si>
    <t>株式会社MIXI/村瀨管掌/開発本部/たんぽぽ室/モンストグループ</t>
  </si>
  <si>
    <t>AO082050402
AR060051400
AO082020205</t>
  </si>
  <si>
    <t>スタッフ
スタッフ
スタッフ</t>
  </si>
  <si>
    <t>0
1
0</t>
  </si>
  <si>
    <t>池田貴政</t>
  </si>
  <si>
    <t>貴政</t>
  </si>
  <si>
    <t>たかまさ</t>
  </si>
  <si>
    <t>takamasa.ikeda</t>
  </si>
  <si>
    <t>takamasa.ikeda@mixi.co.jp</t>
  </si>
  <si>
    <t>株式会社MIXI/木村管掌/ライブエクスペリエンス事業本部/ファンコミュニケーション部/Unlimグループ</t>
  </si>
  <si>
    <t>AO090030300
AO090050500</t>
  </si>
  <si>
    <t>マネージャー
マネージャー</t>
  </si>
  <si>
    <t>池田友祐</t>
  </si>
  <si>
    <t>友祐</t>
  </si>
  <si>
    <t>yusuke.ikeda</t>
  </si>
  <si>
    <t>yusuke.ikeda@mixi.co.jp</t>
  </si>
  <si>
    <t>株式会社MIXI/木村管掌/デジタルエンターテインメントパブリッシング本部/グローバルモンスト室/グローバルモンスト企画グループ</t>
  </si>
  <si>
    <t>AO083010500</t>
  </si>
  <si>
    <t>池田理恵a</t>
  </si>
  <si>
    <t>理恵a</t>
  </si>
  <si>
    <t>りえ</t>
  </si>
  <si>
    <t>rie.ikeda.a.ts</t>
  </si>
  <si>
    <t>rie.ikeda.a.ts@mixi.co.jp</t>
  </si>
  <si>
    <t>株式会社MIXI/笠原管掌/Vantageスタジオ/minimo事業部/プロダクト開発グループ/QAチーム</t>
  </si>
  <si>
    <t>AQ061071903</t>
  </si>
  <si>
    <t>池谷</t>
  </si>
  <si>
    <t>いけたに</t>
  </si>
  <si>
    <t>yohei.iketani</t>
  </si>
  <si>
    <t>yohei.iketani@mixi.co.jp</t>
  </si>
  <si>
    <t>株式会社MIXI/島村管掌/経営推進本部/広報部/サステナビリティ推進グループ</t>
  </si>
  <si>
    <t>AX078050300
AX078050101
AX078050401</t>
  </si>
  <si>
    <t>マネージャー
スタッフ
スタッフ</t>
  </si>
  <si>
    <t>池末幸希</t>
  </si>
  <si>
    <t>池末</t>
  </si>
  <si>
    <t>幸希</t>
  </si>
  <si>
    <t>いけまつ</t>
  </si>
  <si>
    <t>koki.ikematsu</t>
  </si>
  <si>
    <t>koki.ikematsu@netdreamers.co.jp</t>
  </si>
  <si>
    <t>株式会社ネットドリーマーズ/株式会社ネットドリーマーズ/サービス推進開発本部/サービス推進部/運営グループ</t>
  </si>
  <si>
    <t>XM556030100</t>
  </si>
  <si>
    <t>池末真未</t>
  </si>
  <si>
    <t>真未</t>
  </si>
  <si>
    <t>まさみ</t>
  </si>
  <si>
    <t>masami.ikematsu</t>
  </si>
  <si>
    <t>masami.ikematsu@mixi.co.jp</t>
  </si>
  <si>
    <t>株式会社MIXI/木村管掌/ライブエクスペリエンス事業本部/企画推進部/HRBPグループ</t>
  </si>
  <si>
    <t>AO090050100
AX089070000</t>
  </si>
  <si>
    <t>池村遥介</t>
  </si>
  <si>
    <t>池村</t>
  </si>
  <si>
    <t>遥介</t>
  </si>
  <si>
    <t>いけむら</t>
  </si>
  <si>
    <t>ようすけ</t>
  </si>
  <si>
    <t>yosuke.ikemura</t>
  </si>
  <si>
    <t>yosuke.ikemura@mixi.co.jp</t>
  </si>
  <si>
    <t>株式会社MIXI
株式会社picon</t>
  </si>
  <si>
    <t>株式会社MIXI/奥山管掌/コーポレートデベロップメント本部/事業企画推進部/Piconグロースグループ/プロダクト企画・開発チーム</t>
  </si>
  <si>
    <t>XW557000000
AW085040101</t>
  </si>
  <si>
    <t>伊澤加奈子</t>
  </si>
  <si>
    <t>伊澤</t>
  </si>
  <si>
    <t>加奈子</t>
  </si>
  <si>
    <t>いざわ</t>
  </si>
  <si>
    <t>かなこ</t>
  </si>
  <si>
    <t>kanako.izawa</t>
  </si>
  <si>
    <t>kanako.izawa@mixi.co.jp</t>
  </si>
  <si>
    <t>非アクティブ</t>
  </si>
  <si>
    <t>石井温子</t>
  </si>
  <si>
    <t>石井</t>
  </si>
  <si>
    <t>温子</t>
  </si>
  <si>
    <t>いしい</t>
  </si>
  <si>
    <t>あつこ</t>
  </si>
  <si>
    <t>atsuko.ishii</t>
  </si>
  <si>
    <t>atsuko.ishii@mixi.co.jp</t>
  </si>
  <si>
    <t>株式会社MIXI/木村管掌/ライブエクスペリエンス事業本部/バスケットボール事業部/興行グループ</t>
  </si>
  <si>
    <t>AO090020100</t>
  </si>
  <si>
    <t>公二</t>
  </si>
  <si>
    <t>koji.ishii</t>
  </si>
  <si>
    <t>koji.ishii@mixi.co.jp</t>
  </si>
  <si>
    <t>株式会社MIXI/木村管掌/デジタルエンターテインメントパブリッシング本部</t>
  </si>
  <si>
    <t>AO083000000
AO083030000
AO083020400
AO083020000</t>
  </si>
  <si>
    <t>本部長
室長
マネージャー
室長</t>
  </si>
  <si>
    <t>石井晃太朗</t>
  </si>
  <si>
    <t>晃太朗</t>
  </si>
  <si>
    <t>こうたろう</t>
  </si>
  <si>
    <t>kotaro.ishii.ts</t>
  </si>
  <si>
    <t>kotaro.ishii.ts@mixi.co.jp</t>
  </si>
  <si>
    <t>株式会社MIXI/木村管掌/デジタルエンターテインメントオペレーションズ本部/モンストIPクリエイション部/アート第1グループ/アートBチーム</t>
  </si>
  <si>
    <t>AO082040302</t>
  </si>
  <si>
    <t>石井貴紀</t>
  </si>
  <si>
    <t>貴紀</t>
  </si>
  <si>
    <t>たかのり</t>
  </si>
  <si>
    <t>takanori.ishii</t>
  </si>
  <si>
    <t>takanori.ishii@mixi.co.jp</t>
  </si>
  <si>
    <t>株式会社MIXI/木村管掌/デジタルエンターテインメントオペレーションズ本部/モンストIPクリエイション部/アート第2グループ</t>
  </si>
  <si>
    <t>AO082040400</t>
  </si>
  <si>
    <t>石井真奈美</t>
  </si>
  <si>
    <t>真奈美</t>
  </si>
  <si>
    <t>manami.ishii</t>
  </si>
  <si>
    <t>manami.ishii@mixi.co.jp</t>
  </si>
  <si>
    <t>株式会社MIXI/木村管掌/デジタルエンターテインメントオペレーションズ本部/モンストIPクリエイション部/アート第1グループ/モンソニアートチーム</t>
  </si>
  <si>
    <t>AO082040307</t>
  </si>
  <si>
    <t>万祐子</t>
  </si>
  <si>
    <t>まゆこ</t>
  </si>
  <si>
    <t>mayuko.ishii</t>
  </si>
  <si>
    <t>mayuko.ishii@mixi.co.jp</t>
  </si>
  <si>
    <t>株式会社MIXI/木村管掌/デジタルエンターテインメントオペレーションズ本部/モンスト開発部/QAグループ/QA3チーム</t>
  </si>
  <si>
    <t>AO082020510</t>
  </si>
  <si>
    <t>石岡拓也</t>
  </si>
  <si>
    <t>石岡</t>
  </si>
  <si>
    <t>拓也</t>
  </si>
  <si>
    <t>いしおか</t>
  </si>
  <si>
    <t>たくや</t>
  </si>
  <si>
    <t>takuya.ishioka</t>
  </si>
  <si>
    <t>takuya.ishioka@mixi.co.jp</t>
  </si>
  <si>
    <t>株式会社MIXI/島村管掌/コーポレートファイナンス本部/経理税務部/経理グループ/経理1チーム</t>
  </si>
  <si>
    <t>AX088010201</t>
  </si>
  <si>
    <t>石上英賢</t>
  </si>
  <si>
    <t>石上</t>
  </si>
  <si>
    <t>英賢</t>
  </si>
  <si>
    <t>いしがみ</t>
  </si>
  <si>
    <t>ひでのり</t>
  </si>
  <si>
    <t>hidenori.ishigami</t>
  </si>
  <si>
    <t>hidenori.ishigami@netdreamers.co.jp</t>
  </si>
  <si>
    <t>株式会社ネットドリーマーズ/株式会社ネットドリーマーズ/経営管理本部/経営企画室</t>
  </si>
  <si>
    <t>XM523020000
XM519000000</t>
  </si>
  <si>
    <t>石川彰英</t>
  </si>
  <si>
    <t>石川</t>
  </si>
  <si>
    <t>彰英</t>
  </si>
  <si>
    <t>いしかわ</t>
  </si>
  <si>
    <t>あきひで</t>
  </si>
  <si>
    <t>akihide.ishikawa</t>
  </si>
  <si>
    <t>akihide.ishikawa@mixi.co.jp</t>
  </si>
  <si>
    <t>株式会社MIXI/奥山管掌/ソーシャルベッティング事業本部/TIPSTAR事業部/運営グループ/UCチーム</t>
  </si>
  <si>
    <t>AW076021202</t>
  </si>
  <si>
    <t>石川明日香</t>
  </si>
  <si>
    <t>明日香</t>
  </si>
  <si>
    <t>あすか</t>
  </si>
  <si>
    <t>asuka.ishikawa</t>
  </si>
  <si>
    <t>asuka.ishikawa@mixi.co.jp</t>
  </si>
  <si>
    <t>株式会社MIXI/奥山管掌/ソーシャルベッティング事業本部/価値創造室/事業推進1グループ</t>
  </si>
  <si>
    <t>AW076050100</t>
  </si>
  <si>
    <t>石川さえ子</t>
  </si>
  <si>
    <t>さえ子</t>
  </si>
  <si>
    <t>saeko.ishikawa.ts</t>
  </si>
  <si>
    <t>saeko.ishikawa.ts@mixi.co.jp</t>
  </si>
  <si>
    <t>株式会社MIXI/笠原管掌/みてね事業本部/みてねプロダクト開発部/デザイン3グループ</t>
  </si>
  <si>
    <t>AQ087021000</t>
  </si>
  <si>
    <t>石川千愛里</t>
  </si>
  <si>
    <t>千愛里</t>
  </si>
  <si>
    <t>ちあり</t>
  </si>
  <si>
    <t>chiari.ishikawa</t>
  </si>
  <si>
    <t>chiari.ishikawa@mixi.co.jp</t>
  </si>
  <si>
    <t>株式会社MIXI/笠原管掌/Vantageスタジオ/mixi事業部/パートナービジネスグループ/ニュースチーム</t>
  </si>
  <si>
    <t>AQ061040302</t>
  </si>
  <si>
    <t>石川菜穂</t>
  </si>
  <si>
    <t>菜穂</t>
  </si>
  <si>
    <t>なほ</t>
  </si>
  <si>
    <t>naho.ishikawa</t>
  </si>
  <si>
    <t>naho.ishikawa@mixi.co.jp</t>
  </si>
  <si>
    <t>株式会社MIXI/木村管掌/デジタルエンターテインメントオペレーションズ本部/コトダマン制作部/アートグループ/イラストチーム</t>
  </si>
  <si>
    <t>AO082090301</t>
  </si>
  <si>
    <t>石川優a</t>
  </si>
  <si>
    <t>優a</t>
  </si>
  <si>
    <t>ゆう</t>
  </si>
  <si>
    <t>yu.ishikawa.a</t>
  </si>
  <si>
    <t>yu.ishikawa.a@mixi.co.jp</t>
  </si>
  <si>
    <t>株式会社MIXI/村瀨管掌/開発本部/たんぽぽ室/ブルーグループ</t>
  </si>
  <si>
    <t>AR060051200
AR060040800</t>
  </si>
  <si>
    <t>石川雄一</t>
  </si>
  <si>
    <t>雄一</t>
  </si>
  <si>
    <t>ゆういち</t>
  </si>
  <si>
    <t>yuichi.ishikawa.ts</t>
  </si>
  <si>
    <t>yuichi.ishikawa.ts@netdreamers.co.jp</t>
  </si>
  <si>
    <t>株式会社ネットドリーマーズ/株式会社ネットドリーマーズ/経営管理本部/管理部/人事労務グループ</t>
  </si>
  <si>
    <t>XM523010400</t>
  </si>
  <si>
    <t>石川祐一朗</t>
  </si>
  <si>
    <t>祐一朗</t>
  </si>
  <si>
    <t>yuichirou.ishikawa</t>
  </si>
  <si>
    <t>yuichirou.ishikawa@mixi.co.jp</t>
  </si>
  <si>
    <t>株式会社MIXI/笠原管掌/Vantageスタジオ/mixi事業部/開発1グループ</t>
  </si>
  <si>
    <t>AQ061040100</t>
  </si>
  <si>
    <t>石田崇仁</t>
  </si>
  <si>
    <t>石田</t>
  </si>
  <si>
    <t>崇仁</t>
  </si>
  <si>
    <t>いしだ</t>
  </si>
  <si>
    <t>たかひと</t>
  </si>
  <si>
    <t>takahito.ishida</t>
  </si>
  <si>
    <t>takahito.ishida@mixi.co.jp</t>
  </si>
  <si>
    <t>株式会社MIXI/笠原管掌/Vantageスタジオ/Romi事業部/開発グループ/アプリチーム</t>
  </si>
  <si>
    <t>AQ061050105</t>
  </si>
  <si>
    <t>哲久</t>
  </si>
  <si>
    <t>てつひさ</t>
  </si>
  <si>
    <t>tetsuhisa.ishida</t>
  </si>
  <si>
    <t>tetsuhisa.ishida@mixi.co.jp</t>
  </si>
  <si>
    <t>株式会社MIXI
株式会社ネットドリーマーズ
株式会社スフィダンテ
株式会社ラブグラフ</t>
  </si>
  <si>
    <t>株式会社MIXI/島村管掌/経営推進本部</t>
  </si>
  <si>
    <t>AX078010000
AX078010400
XM519000000
XK517000000
XR542000000
AX078000000
AX078010700</t>
  </si>
  <si>
    <t>部長
マネージャー
取締役
取締役
取締役
本部長
マネージャー</t>
  </si>
  <si>
    <t>0
0
0
0
0
1
0</t>
  </si>
  <si>
    <t>石田騎士</t>
  </si>
  <si>
    <t>騎士</t>
  </si>
  <si>
    <t>ないと</t>
  </si>
  <si>
    <t>naito.ishida.ts</t>
  </si>
  <si>
    <t>naito.ishida.ts@mixi.co.jp</t>
  </si>
  <si>
    <t>石田奈穂子</t>
  </si>
  <si>
    <t>奈穂子</t>
  </si>
  <si>
    <t>なおこ</t>
  </si>
  <si>
    <t>naoko.ishida</t>
  </si>
  <si>
    <t>naoko.ishida@mixi.co.jp</t>
  </si>
  <si>
    <t>株式会社MIXI/木村管掌/デジタルエンターテインメントオペレーションズ本部/宣伝部/ユーザーコミュニケーショングループ</t>
  </si>
  <si>
    <t>AO082030400</t>
  </si>
  <si>
    <t>石田菜摘</t>
  </si>
  <si>
    <t>菜摘</t>
  </si>
  <si>
    <t>なつみ</t>
  </si>
  <si>
    <t>natsumi.ishida</t>
  </si>
  <si>
    <t>natsumi.ishida@mixi.co.jp</t>
  </si>
  <si>
    <t>株式会社MIXI/木村管掌/デジタルエンターテインメントオペレーションズ本部/モンスト運営部/UI・UXデザイングループ/UI第2チーム</t>
  </si>
  <si>
    <t>AO082010602</t>
  </si>
  <si>
    <t>石田有司</t>
  </si>
  <si>
    <t>有司</t>
  </si>
  <si>
    <t>ゆうじ</t>
  </si>
  <si>
    <t>yuji.ishida.ts</t>
  </si>
  <si>
    <t>yuji.ishida.ts@mixi.co.jp</t>
  </si>
  <si>
    <t>株式会社MIXI/島村管掌/経営推進本部/グループ会社統括支援部</t>
  </si>
  <si>
    <t>AX078080000</t>
  </si>
  <si>
    <t>石濱幸愛</t>
  </si>
  <si>
    <t>石濱</t>
  </si>
  <si>
    <t>幸愛</t>
  </si>
  <si>
    <t>いしはま</t>
  </si>
  <si>
    <t>ゆきえ</t>
  </si>
  <si>
    <t>yukie.ishihama</t>
  </si>
  <si>
    <t>yukie.ishihama@mixi.co.jp</t>
  </si>
  <si>
    <t>正社員
兼務出向受入</t>
  </si>
  <si>
    <t>株式会社MIXI/木村管掌/ライブエクスペリエンス事業本部/アリーナ事業部/プランニンググループ</t>
  </si>
  <si>
    <t>XP539010000
AO090010300
AO090010100</t>
  </si>
  <si>
    <t>石原嘉津典</t>
  </si>
  <si>
    <t>石原</t>
  </si>
  <si>
    <t>嘉津典</t>
  </si>
  <si>
    <t>いしはら</t>
  </si>
  <si>
    <t>かつのり</t>
  </si>
  <si>
    <t>katsunori.ishihara</t>
  </si>
  <si>
    <t>katsunori.ishihara@mixi.co.jp</t>
  </si>
  <si>
    <t>株式会社MIXI/奥山管掌/ソーシャルベッティング事業本部/TIPSTAR事業部/プロダクト戦略グループ/分析チーム</t>
  </si>
  <si>
    <t>AW076021101</t>
  </si>
  <si>
    <t>石原卓弥</t>
  </si>
  <si>
    <t>卓弥</t>
  </si>
  <si>
    <t>takuya.ishihara.ts</t>
  </si>
  <si>
    <t>takuya.ishihara.ts@mixi.co.jp</t>
  </si>
  <si>
    <t>株式会社MIXI/木村管掌/デジタルエンターテインメントオペレーションズ本部/モンスト開発部/QAグループ/QA2チーム</t>
  </si>
  <si>
    <t>AO082020509</t>
  </si>
  <si>
    <t>石原洋輔</t>
  </si>
  <si>
    <t>洋輔</t>
  </si>
  <si>
    <t>yosuke.ishihara</t>
  </si>
  <si>
    <t>yosuke.ishihara@mixi.co.jp</t>
  </si>
  <si>
    <t>株式会社MIXI
株式会社チャリ・ロト
株式会社チャリロトプラザサービス</t>
  </si>
  <si>
    <t>在籍
出向
出向</t>
  </si>
  <si>
    <t>正社員
支援受入
支援受入</t>
  </si>
  <si>
    <t>株式会社MIXI/奥山管掌/ソーシャルベッティング事業本部/チャリ・ロト事業部</t>
  </si>
  <si>
    <t>XI516000000
XX561000000
AW076070000</t>
  </si>
  <si>
    <t>代表取締役社長
取締役
部長</t>
  </si>
  <si>
    <t>石綿朋野</t>
  </si>
  <si>
    <t>石綿</t>
  </si>
  <si>
    <t>朋野</t>
  </si>
  <si>
    <t>いしわた</t>
  </si>
  <si>
    <t>ともの</t>
  </si>
  <si>
    <t>tomono.ishiwata</t>
  </si>
  <si>
    <t>tomono.ishiwata@mixi.co.jp</t>
  </si>
  <si>
    <t>株式会社MIXI/木村管掌/デジタルエンターテインメントオペレーションズ本部/コトダマン制作部/アニメーショングループ</t>
  </si>
  <si>
    <t>AO082090400
AO082090401</t>
  </si>
  <si>
    <t>マネージャー
リーダー</t>
  </si>
  <si>
    <t>泉</t>
  </si>
  <si>
    <t>望</t>
  </si>
  <si>
    <t>いずみ</t>
  </si>
  <si>
    <t>のぞみ</t>
  </si>
  <si>
    <t>nozomi.izumi</t>
  </si>
  <si>
    <t>nozomi.izumi@mixi.co.jp</t>
  </si>
  <si>
    <t>株式会社MIXI/小林管掌/コンプライアンス本部/法務部/オペレーショングループ</t>
  </si>
  <si>
    <t>AU074010600
AU074010601
AU074010705</t>
  </si>
  <si>
    <t>マネージャー
リーダー
リーダー</t>
  </si>
  <si>
    <t>礒彩乃</t>
  </si>
  <si>
    <t>礒</t>
  </si>
  <si>
    <t>彩乃</t>
  </si>
  <si>
    <t>いそ</t>
  </si>
  <si>
    <t>あやの</t>
  </si>
  <si>
    <t>ayano.iso</t>
  </si>
  <si>
    <t>ayano.iso@mixi.co.jp</t>
  </si>
  <si>
    <t>株式会社MIXI/村瀨管掌/開発本部/CTO室/QA1グループ</t>
  </si>
  <si>
    <t>AR060011000</t>
  </si>
  <si>
    <t>礒星伍</t>
  </si>
  <si>
    <t>星伍</t>
  </si>
  <si>
    <t>せいご</t>
  </si>
  <si>
    <t>seigo.iso.ts</t>
  </si>
  <si>
    <t>seigo.iso.ts@mixi.co.jp</t>
  </si>
  <si>
    <t>株式会社MIXI/奥山管掌/ソーシャルベッティング事業本部/開発室/QAグループ</t>
  </si>
  <si>
    <t>AW076030800</t>
  </si>
  <si>
    <t>井田和希</t>
  </si>
  <si>
    <t>井田</t>
  </si>
  <si>
    <t>和希</t>
  </si>
  <si>
    <t>いだ</t>
  </si>
  <si>
    <t>kazuki.ida.ts</t>
  </si>
  <si>
    <t>市川岳</t>
  </si>
  <si>
    <t>市川</t>
  </si>
  <si>
    <t>岳</t>
  </si>
  <si>
    <t>いちかわ</t>
  </si>
  <si>
    <t>がく</t>
  </si>
  <si>
    <t>gaku.ichikawa.ts</t>
  </si>
  <si>
    <t>gaku.ichikawa.ts@mixi.co.jp</t>
  </si>
  <si>
    <t>市川雅里恵</t>
  </si>
  <si>
    <t>雅里恵</t>
  </si>
  <si>
    <t>まりえ</t>
  </si>
  <si>
    <t>marie.ichikawa</t>
  </si>
  <si>
    <t>marie.ichikawa@mixi.co.jp</t>
  </si>
  <si>
    <t>株式会社MIXI/村瀨管掌/デザイン本部/ブランドデザイン室/マネジメントグループ</t>
  </si>
  <si>
    <t>AR059070700</t>
  </si>
  <si>
    <t>市來寛彬</t>
  </si>
  <si>
    <t>市來</t>
  </si>
  <si>
    <t>寛彬</t>
  </si>
  <si>
    <t>いちき</t>
  </si>
  <si>
    <t>ひろあき</t>
  </si>
  <si>
    <t>hiroaki.ichiki</t>
  </si>
  <si>
    <t>hiroaki.ichiki@mixi.co.jp</t>
  </si>
  <si>
    <t>株式会社MIXI/小林管掌/コンプライアンス本部/法務部/法務グループ/第1チーム</t>
  </si>
  <si>
    <t>AU074010701</t>
  </si>
  <si>
    <t>一條寛貴</t>
  </si>
  <si>
    <t>一條</t>
  </si>
  <si>
    <t>寛貴</t>
  </si>
  <si>
    <t>いちじょう</t>
  </si>
  <si>
    <t>ひろき</t>
  </si>
  <si>
    <t>hiroki.ichijo.ts</t>
  </si>
  <si>
    <t>hiroki.ichijo.ts@mixi.co.jp</t>
  </si>
  <si>
    <t>株式会社MIXI/木村管掌/デジタルエンターテインメントオペレーションズ本部/モンスト開発部/クライアント2グループ/クライアント3チーム</t>
  </si>
  <si>
    <t>AO082020403</t>
  </si>
  <si>
    <t>市野真一</t>
  </si>
  <si>
    <t>市野</t>
  </si>
  <si>
    <t>真一</t>
  </si>
  <si>
    <t>いちの</t>
  </si>
  <si>
    <t>しんいち</t>
  </si>
  <si>
    <t>shinichi.ichino</t>
  </si>
  <si>
    <t>shinichi.ichino@mixi.co.jp</t>
  </si>
  <si>
    <t>株式会社MIXI/村瀨管掌/開発本部/インフラ室/映像開発グループ</t>
  </si>
  <si>
    <t>AO082020202
XI516000000
AR060060200
AR060060100</t>
  </si>
  <si>
    <t>井出紀弘</t>
  </si>
  <si>
    <t>井出</t>
  </si>
  <si>
    <t>紀弘</t>
  </si>
  <si>
    <t>いで</t>
  </si>
  <si>
    <t>のりひろ</t>
  </si>
  <si>
    <t>norihiro.ide</t>
  </si>
  <si>
    <t>norihiro.ide@mixi.co.jp</t>
  </si>
  <si>
    <t>株式会社MIXI/奥山管掌/ソーシャルベッティング事業本部/価値創造室</t>
  </si>
  <si>
    <t>AW076050000</t>
  </si>
  <si>
    <t>伊藤恒祐</t>
  </si>
  <si>
    <t>伊藤</t>
  </si>
  <si>
    <t>恒祐</t>
  </si>
  <si>
    <t>いとう</t>
  </si>
  <si>
    <t>kosuke.ito</t>
  </si>
  <si>
    <t>kosuke.ito@mixi.co.jp</t>
  </si>
  <si>
    <t>株式会社MIXI/島村管掌/経営推進本部/広報部/サステナビリティ推進グループ/サステナビリティ推進チーム</t>
  </si>
  <si>
    <t>AX078050301
AX078050401</t>
  </si>
  <si>
    <t>伊藤淳</t>
  </si>
  <si>
    <t>淳</t>
  </si>
  <si>
    <t>じゅん</t>
  </si>
  <si>
    <t>jun.ito</t>
  </si>
  <si>
    <t>jun.ito@mixi.co.jp</t>
  </si>
  <si>
    <t>株式会社MIXI/笠原管掌/Vantageスタジオ/mixi事業部/パートナービジネスグループ/開発チーム</t>
  </si>
  <si>
    <t>AQ061040301</t>
  </si>
  <si>
    <t>伊藤順哉</t>
  </si>
  <si>
    <t>順哉</t>
  </si>
  <si>
    <t>じゅんや</t>
  </si>
  <si>
    <t>junya.ito</t>
  </si>
  <si>
    <t>junya.ito@mixi.co.jp</t>
  </si>
  <si>
    <t>株式会社MIXI/島村管掌/人事本部/労務部/労務企画グループ</t>
  </si>
  <si>
    <t>AX089080100
AX089080401
AX089060200</t>
  </si>
  <si>
    <t>伊藤彰吾</t>
  </si>
  <si>
    <t>彰吾</t>
  </si>
  <si>
    <t>しょうご</t>
  </si>
  <si>
    <t>shogo.ito</t>
  </si>
  <si>
    <t>shogo.ito@mixi.co.jp</t>
  </si>
  <si>
    <t>株式会社MIXI/笠原管掌/みてね事業本部/みてねプロダクト開発部/デザイン3グループ/プロモ横断チーム</t>
  </si>
  <si>
    <t>AQ087030000
AQ087040000
AQ087021001</t>
  </si>
  <si>
    <t>スタッフ
スタッフ
リーダー</t>
  </si>
  <si>
    <t>伊藤剛浩a</t>
  </si>
  <si>
    <t>剛浩a</t>
  </si>
  <si>
    <t>takahiro.ito.a</t>
  </si>
  <si>
    <t>takahiro.ito.a@mixi.co.jp</t>
  </si>
  <si>
    <t>株式会社MIXI/笠原管掌/Vantageスタジオ/Romi事業部/ロボット開発グループ</t>
  </si>
  <si>
    <t>AQ061050300</t>
  </si>
  <si>
    <t>伊藤千裕</t>
  </si>
  <si>
    <t>千裕</t>
  </si>
  <si>
    <t>ちひろ</t>
  </si>
  <si>
    <t>chihiro.ito</t>
  </si>
  <si>
    <t>chihiro.ito@netdreamers.co.jp</t>
  </si>
  <si>
    <t>株式会社ネットドリーマーズ/株式会社ネットドリーマーズ/メディア&amp;ベッティング事業本部/競輪事業部/競輪企画グループ</t>
  </si>
  <si>
    <t>XM551010100
XM551000000</t>
  </si>
  <si>
    <t>伊藤晴香</t>
  </si>
  <si>
    <t>晴香</t>
  </si>
  <si>
    <t>はるか</t>
  </si>
  <si>
    <t>haruka.ito</t>
  </si>
  <si>
    <t>haruka.ito@mixi.co.jp</t>
  </si>
  <si>
    <t>株式会社MIXI/木村管掌/デジタルエンターテインメントオペレーションズ本部/モンスト開発部/QAグループ</t>
  </si>
  <si>
    <t>AO082020500
AO082020000
AO082020100
AO082020200
AO082020300
AO082020400
AO082020701</t>
  </si>
  <si>
    <t>スタッフ
スタッフ
スタッフ
スタッフ
スタッフ
スタッフ
スタッフ</t>
  </si>
  <si>
    <t>1
0
0
0
0
0
0</t>
  </si>
  <si>
    <t>伊藤裕明a</t>
  </si>
  <si>
    <t>裕明a</t>
  </si>
  <si>
    <t>hiroaki.ito.a.ts</t>
  </si>
  <si>
    <t>hiroaki.ito.a.ts@mixi.co.jp</t>
  </si>
  <si>
    <t>株式会社MIXI/木村管掌/デジタルエンターテインメントオペレーションズ本部/モンストIPクリエイション部/アート第1グループ/アートAチーム</t>
  </si>
  <si>
    <t>AO082040301</t>
  </si>
  <si>
    <t>伊藤昌佳</t>
  </si>
  <si>
    <t>昌佳</t>
  </si>
  <si>
    <t>まさよし</t>
  </si>
  <si>
    <t>masayoshi.ito</t>
  </si>
  <si>
    <t>masayoshi.ito@mixi.co.jp</t>
  </si>
  <si>
    <t>株式会社MIXI/木村管掌/デジタルエンターテインメントオペレーションズ本部/事業戦略部/IPマーケティンググループ/ディレクションチーム</t>
  </si>
  <si>
    <t>AO082050401</t>
  </si>
  <si>
    <t>伊藤芽衣a</t>
  </si>
  <si>
    <t>芽衣a</t>
  </si>
  <si>
    <t>mei.ito.a</t>
  </si>
  <si>
    <t>mei.ito.a@mixi.co.jp</t>
  </si>
  <si>
    <t>株式会社MIXI/小林管掌/コンプライアンス本部/知財室</t>
  </si>
  <si>
    <t>AU074020000
AU074020100
AU074020200</t>
  </si>
  <si>
    <t>伊藤祐希c</t>
  </si>
  <si>
    <t>祐希c</t>
  </si>
  <si>
    <t>yuki.ito.c.ts</t>
  </si>
  <si>
    <t>yuki.ito.c.ts@netdreamers.co.jp</t>
  </si>
  <si>
    <t>株式会社ネットドリーマーズ/株式会社ネットドリーマーズ/サービス推進開発本部/開発部/AI開発グループ</t>
  </si>
  <si>
    <t>XM556010600</t>
  </si>
  <si>
    <t>伊藤佑樹</t>
  </si>
  <si>
    <t>佑樹</t>
  </si>
  <si>
    <t>yuki.ito</t>
  </si>
  <si>
    <t>yuki.ito@mixi.co.jp</t>
  </si>
  <si>
    <t>伊藤裕真a</t>
  </si>
  <si>
    <t>裕真a</t>
  </si>
  <si>
    <t>ゆうま</t>
  </si>
  <si>
    <t>yuma.ito.a</t>
  </si>
  <si>
    <t>yuma.ito.a@mixi.co.jp</t>
  </si>
  <si>
    <t>株式会社MIXI/笠原管掌/みてね事業本部/みてねプロダクト開発部/プロダクト開発DBグループ</t>
  </si>
  <si>
    <t>AQ087020600
AQ087040000</t>
  </si>
  <si>
    <t>伊藤洋介</t>
  </si>
  <si>
    <t>洋介</t>
  </si>
  <si>
    <t>yosuke.ito</t>
  </si>
  <si>
    <t>yosuke.ito@mixi.co.jp</t>
  </si>
  <si>
    <t>株式会社MIXI/島村管掌/経営推進本部/グループ会社統括支援部/主計第2グループ/主計第2チーム</t>
  </si>
  <si>
    <t>AX078080201</t>
  </si>
  <si>
    <t>伊東諒</t>
  </si>
  <si>
    <t>伊東</t>
  </si>
  <si>
    <t>諒</t>
  </si>
  <si>
    <t>りょう</t>
  </si>
  <si>
    <t>ryo.ito</t>
  </si>
  <si>
    <t>ryo.ito@mixi.co.jp</t>
  </si>
  <si>
    <t>AR060050100
AR060040800</t>
  </si>
  <si>
    <t>伊藤航</t>
  </si>
  <si>
    <t>wataru.ito</t>
  </si>
  <si>
    <t>wataru.ito@mixi.co.jp</t>
  </si>
  <si>
    <t>株式会社MIXI/木村管掌/デジタルエンターテインメントオペレーションズ本部/モンスト運営部/ゲームデザイングループ/運用開発チーム</t>
  </si>
  <si>
    <t>AO082010801</t>
  </si>
  <si>
    <t>稲垣彩</t>
  </si>
  <si>
    <t>稲垣</t>
  </si>
  <si>
    <t>いながき</t>
  </si>
  <si>
    <t>aya.inagaki</t>
  </si>
  <si>
    <t>aya.inagaki@mixi.co.jp</t>
  </si>
  <si>
    <t>株式会社MIXI/笠原管掌/みてね事業本部/みてねマーケティング部/ユーザーグロースグループ/ファミリーアクイジションチーム</t>
  </si>
  <si>
    <t>AQ087030102
AQ087040000</t>
  </si>
  <si>
    <t>稲垣克比呂</t>
  </si>
  <si>
    <t>克比呂</t>
  </si>
  <si>
    <t>かつひろ</t>
  </si>
  <si>
    <t>katsuhiro.inagaki</t>
  </si>
  <si>
    <t>katsuhiro.inagaki@m-sfidante.com</t>
  </si>
  <si>
    <t>稲垣達也</t>
  </si>
  <si>
    <t>達也</t>
  </si>
  <si>
    <t>tatsuya.inagaki</t>
  </si>
  <si>
    <t>tatsuya.inagaki@mixi.co.jp</t>
  </si>
  <si>
    <t>株式会社MIXI/村瀨管掌/デザイン本部/動画クリエイティブ室/コンテンツディレクション第1グループ/ディレクター第1チーム</t>
  </si>
  <si>
    <t>AR059061101</t>
  </si>
  <si>
    <t>稲垣智恵</t>
  </si>
  <si>
    <t>智恵</t>
  </si>
  <si>
    <t>ともえ</t>
  </si>
  <si>
    <t>tomoe.inagaki</t>
  </si>
  <si>
    <t>tomoe.inagaki@m-sfidante.com</t>
  </si>
  <si>
    <t>稲葉あずさ</t>
  </si>
  <si>
    <t>稲葉</t>
  </si>
  <si>
    <t>あずさ</t>
  </si>
  <si>
    <t>いなば</t>
  </si>
  <si>
    <t>azusa.inaba</t>
  </si>
  <si>
    <t>azusa.inaba@mixi.co.jp</t>
  </si>
  <si>
    <t>株式会社MIXI/木村管掌/デジタルエンターテインメントオペレーションズ本部/コトダマン制作部/制作運用グループ/サービス運用チーム</t>
  </si>
  <si>
    <t>AO082090202</t>
  </si>
  <si>
    <t>稲場竜一</t>
  </si>
  <si>
    <t>稲場</t>
  </si>
  <si>
    <t>竜一</t>
  </si>
  <si>
    <t>りゅういち</t>
  </si>
  <si>
    <t>ryuichi.inaba</t>
  </si>
  <si>
    <t>ryuichi.inaba@m-sfidante.com</t>
  </si>
  <si>
    <t>役員</t>
  </si>
  <si>
    <t>稲用勝斗</t>
  </si>
  <si>
    <t>稲用</t>
  </si>
  <si>
    <t>勝斗</t>
  </si>
  <si>
    <t>いなもち</t>
  </si>
  <si>
    <t>masato.inamochi</t>
  </si>
  <si>
    <t>masato.inamochi@mixi.co.jp</t>
  </si>
  <si>
    <t>株式会社MIXI/木村管掌/デジタルエンターテインメントオペレーションズ本部/モンスト開発部/クライアント1グループ/クライアント1チーム</t>
  </si>
  <si>
    <t>AO082020301</t>
  </si>
  <si>
    <t>稲本玲子</t>
  </si>
  <si>
    <t>稲本</t>
  </si>
  <si>
    <t>玲子</t>
  </si>
  <si>
    <t>いなもと</t>
  </si>
  <si>
    <t>れいこ</t>
  </si>
  <si>
    <t>reiko.inamoto</t>
  </si>
  <si>
    <t>reiko.inamoto@mixi.co.jp</t>
  </si>
  <si>
    <t>株式会社MIXI/島村管掌/経営推進本部/グループ会社統括支援部/主計第1グループ/主計第1チーム</t>
  </si>
  <si>
    <t>AX078080101</t>
  </si>
  <si>
    <t>井上和義</t>
  </si>
  <si>
    <t>井上</t>
  </si>
  <si>
    <t>和義</t>
  </si>
  <si>
    <t>いのうえ</t>
  </si>
  <si>
    <t>かずよし</t>
  </si>
  <si>
    <t>kazuyoshi.inoue</t>
  </si>
  <si>
    <t>kazuyoshi.inoue@mixi.co.jp</t>
  </si>
  <si>
    <t>株式会社MIXI/島村管掌/人事本部/人材開発部/新卒HRグループ/リクルーティングチーム</t>
  </si>
  <si>
    <t>AX089040602</t>
  </si>
  <si>
    <t>井上健太</t>
  </si>
  <si>
    <t>健太</t>
  </si>
  <si>
    <t>けんた</t>
  </si>
  <si>
    <t>kenta.inoue.ts</t>
  </si>
  <si>
    <t>井上翔太</t>
  </si>
  <si>
    <t>翔太</t>
  </si>
  <si>
    <t>しょうた</t>
  </si>
  <si>
    <t>shota.inoue</t>
  </si>
  <si>
    <t>shota.inoue@mixi.co.jp</t>
  </si>
  <si>
    <t>株式会社MIXI/木村管掌/ライブエクスペリエンス事業本部/ファンコミュニケーション部/Fansta開発グループ/Fansta第2開発チーム</t>
  </si>
  <si>
    <t>AO090030102</t>
  </si>
  <si>
    <t>井上翔平</t>
  </si>
  <si>
    <t>shohei.inoue</t>
  </si>
  <si>
    <t>shohei.inoue@m-lovegraph.com</t>
  </si>
  <si>
    <t>井上慎也</t>
  </si>
  <si>
    <t>慎也</t>
  </si>
  <si>
    <t>しんや</t>
  </si>
  <si>
    <t>shinya.inoue.a</t>
  </si>
  <si>
    <t>shinya.inoue.a@mixi.co.jp</t>
  </si>
  <si>
    <t>株式会社MIXI/島村管掌/コーポレートファイナンス本部</t>
  </si>
  <si>
    <t>AX088000000
AX088020000</t>
  </si>
  <si>
    <t>本部長
部長</t>
  </si>
  <si>
    <t>井上大河</t>
  </si>
  <si>
    <t>大河</t>
  </si>
  <si>
    <t>たいが</t>
  </si>
  <si>
    <t>taiga.inoue</t>
  </si>
  <si>
    <t>taiga.inoue@m-chariloto.com</t>
  </si>
  <si>
    <t>井上大輔</t>
  </si>
  <si>
    <t>大輔</t>
  </si>
  <si>
    <t>だいすけ</t>
  </si>
  <si>
    <t>daisuke.inoue</t>
  </si>
  <si>
    <t>daisuke.inoue@mixi.co.jp</t>
  </si>
  <si>
    <t>株式会社MIXI/木村管掌/デジタルエンターテインメントオペレーションズ本部/モンスト運営部/コラボ推進グループ/企画推進チーム</t>
  </si>
  <si>
    <t>AO082010501</t>
  </si>
  <si>
    <t>井上貴史</t>
  </si>
  <si>
    <t>貴史</t>
  </si>
  <si>
    <t>たかふみ</t>
  </si>
  <si>
    <t>takafumi.inoue</t>
  </si>
  <si>
    <t>takafumi.inoue@mixi.co.jp</t>
  </si>
  <si>
    <t>井上拓哉a</t>
  </si>
  <si>
    <t>拓哉a</t>
  </si>
  <si>
    <t>takuya.inoue.a</t>
  </si>
  <si>
    <t>takuya.inoue.a@netdreamers.co.jp</t>
  </si>
  <si>
    <t>株式会社ネットドリーマーズ/株式会社ネットドリーマーズ/netkeiba事業本部/次世代サービス事業部/オーナーズグループ</t>
  </si>
  <si>
    <t>XM550000000
XM550050200</t>
  </si>
  <si>
    <t>井上拓哉</t>
  </si>
  <si>
    <t>拓哉</t>
  </si>
  <si>
    <t>takuya.inoue</t>
  </si>
  <si>
    <t>takuya.inoue@mixi.co.jp</t>
  </si>
  <si>
    <t>株式会社MIXI/木村管掌/デジタルエンターテインメントオペレーションズ本部/モンストIPクリエイション部/キャラプログループ/キャラクター企画チーム</t>
  </si>
  <si>
    <t>AO082040101</t>
  </si>
  <si>
    <t>井上真由佳</t>
  </si>
  <si>
    <t>真由佳</t>
  </si>
  <si>
    <t>まゆか</t>
  </si>
  <si>
    <t>mayuka.inoue</t>
  </si>
  <si>
    <t>mayuka.inoue@mixi.co.jp</t>
  </si>
  <si>
    <t>株式会社MIXI/村瀨管掌/デザイン本部/プロダクトデザイン室/エクスペリエンスデザイン第3グループ/第1チーム</t>
  </si>
  <si>
    <t>AR059051001</t>
  </si>
  <si>
    <t>井上祐一</t>
  </si>
  <si>
    <t>祐一</t>
  </si>
  <si>
    <t>yuichi.inoue</t>
  </si>
  <si>
    <t>yuichi.inoue@mixi.co.jp</t>
  </si>
  <si>
    <t>株式会社MIXI/村瀨管掌/デザイン本部/テクニカルデザイン室/エンジニアリンググループ/フロントエンドエンジニアチーム</t>
  </si>
  <si>
    <t>AR059080301</t>
  </si>
  <si>
    <t>井上諒</t>
  </si>
  <si>
    <t>ryo.inoue.ts</t>
  </si>
  <si>
    <t>ryo.inoue.ts@mixi.co.jp</t>
  </si>
  <si>
    <t>株式会社MIXI/木村管掌/デジタルエンターテインメントオペレーションズ本部/コトダマン運営部/プロダクト開発Aグループ/QAチーム</t>
  </si>
  <si>
    <t>AO082080101</t>
  </si>
  <si>
    <t>猪口将吾</t>
  </si>
  <si>
    <t>猪口</t>
  </si>
  <si>
    <t>将吾</t>
  </si>
  <si>
    <t>いのくち</t>
  </si>
  <si>
    <t>shogo.inokuchi</t>
  </si>
  <si>
    <t>shogo.inokuchi@mixi.co.jp</t>
  </si>
  <si>
    <t>株式会社MIXI/木村管掌/デジタルエンターテインメントオペレーションズ本部/コトダマン運営部/プロダクト戦略グループ/ディレクターチーム</t>
  </si>
  <si>
    <t>AO082080201</t>
  </si>
  <si>
    <t>猪瀬貴史</t>
  </si>
  <si>
    <t>猪瀬</t>
  </si>
  <si>
    <t>いのせ</t>
  </si>
  <si>
    <t>たかし</t>
  </si>
  <si>
    <t>takashi.inose</t>
  </si>
  <si>
    <t>takashi.inose@mixi.co.jp</t>
  </si>
  <si>
    <t>株式会社MIXI/木村管掌/ライブエクスペリエンス事業本部/ファンコミュニケーション部</t>
  </si>
  <si>
    <t>AO090030000</t>
  </si>
  <si>
    <t>イラオウジェレミー</t>
  </si>
  <si>
    <t>イラオウ</t>
  </si>
  <si>
    <t>ジェレミー</t>
  </si>
  <si>
    <t>jeremieh.ilao</t>
  </si>
  <si>
    <t>jeremieh.ilao@mixi.co.jp</t>
  </si>
  <si>
    <t>株式会社MIXI/木村管掌/デジタルエンターテインメントオペレーションズ本部/モンスト運営部/Global Directionグループ</t>
  </si>
  <si>
    <t>AO082010400</t>
  </si>
  <si>
    <t>入口香那子</t>
  </si>
  <si>
    <t>入口</t>
  </si>
  <si>
    <t>香那子</t>
  </si>
  <si>
    <t>いりぐち</t>
  </si>
  <si>
    <t>kanako.iriguchi</t>
  </si>
  <si>
    <t>kanako.iriguchi@mixi.co.jp</t>
  </si>
  <si>
    <t>株式会社MIXI/村瀨管掌/はたらく環境推進本部/ビジネスサポート室/グローバルブリッジグループ</t>
  </si>
  <si>
    <t>AR091040700</t>
  </si>
  <si>
    <t>イリヤスカリラ</t>
  </si>
  <si>
    <t>イリヤス</t>
  </si>
  <si>
    <t>カリラ</t>
  </si>
  <si>
    <t>いりやす</t>
  </si>
  <si>
    <t>かりら</t>
  </si>
  <si>
    <t>khalila.ilyas.ts</t>
  </si>
  <si>
    <t>khalila.ilyas.ts@mixi.co.jp</t>
  </si>
  <si>
    <t>株式会社MIXI/村瀨管掌/はたらく環境推進本部/ビジネスサポート室/ローカライズグループ/英語チーム</t>
  </si>
  <si>
    <t>AR091040602</t>
  </si>
  <si>
    <t>入山まゆみ</t>
  </si>
  <si>
    <t>入山</t>
  </si>
  <si>
    <t>まゆみ</t>
  </si>
  <si>
    <t>いりやま</t>
  </si>
  <si>
    <t>mayumi.iriyama</t>
  </si>
  <si>
    <t>mayumi.iriyama@netdreamers.co.jp</t>
  </si>
  <si>
    <t>株式会社ネットドリーマーズ/株式会社ネットドリーマーズ/サービス推進開発本部/制作部</t>
  </si>
  <si>
    <t>XM556020000
XM556000000
XM556020100</t>
  </si>
  <si>
    <t>部長
スタッフ
マネージャー</t>
  </si>
  <si>
    <t>岩井哲朗</t>
  </si>
  <si>
    <t>岩井</t>
  </si>
  <si>
    <t>哲朗</t>
  </si>
  <si>
    <t>いわい</t>
  </si>
  <si>
    <t>てつろう</t>
  </si>
  <si>
    <t>tetsuro.iwai.ts</t>
  </si>
  <si>
    <t>tetsuro.iwai.ts@mixi.co.jp</t>
  </si>
  <si>
    <t>株式会社MIXI/奥山管掌/ソーシャルベッティング事業本部/TIPSTAR事業部/開発グループ/システム開発チーム</t>
  </si>
  <si>
    <t>AW076020708</t>
  </si>
  <si>
    <t>岩井義成</t>
  </si>
  <si>
    <t>義成</t>
  </si>
  <si>
    <t>よしなり</t>
  </si>
  <si>
    <t>yoshinari.iwai</t>
  </si>
  <si>
    <t>yoshinari.iwai@mixi.co.jp</t>
  </si>
  <si>
    <t>株式会社MIXI/木村管掌/デジタルエンターテインメントオペレーションズ本部/コトダマン運営部/プロダクト開発Aグループ/開発プランナーAチーム</t>
  </si>
  <si>
    <t>AO082080102
AO082080202</t>
  </si>
  <si>
    <t>岩佐康平</t>
  </si>
  <si>
    <t>岩佐</t>
  </si>
  <si>
    <t>いわさ</t>
  </si>
  <si>
    <t>kohei.iwasa.ts</t>
  </si>
  <si>
    <t>kohei.iwasa.ts@mixi.co.jp</t>
  </si>
  <si>
    <t>株式会社MIXI/木村管掌/デジタルエンターテインメントオペレーションズ本部/モンスト運営部/ゲーム企画グループ/企画チーム</t>
  </si>
  <si>
    <t>AO082011001</t>
  </si>
  <si>
    <t>岩佐知則</t>
  </si>
  <si>
    <t>知則</t>
  </si>
  <si>
    <t>とものり</t>
  </si>
  <si>
    <t>tomonori.iwasa</t>
  </si>
  <si>
    <t>tomonori.iwasa@mixi.co.jp</t>
  </si>
  <si>
    <t>株式会社MIXI
株式会社ネットドリーマーズ
株式会社チャリ・ロト</t>
  </si>
  <si>
    <t>XM519000000
XI516000000
AW076050000</t>
  </si>
  <si>
    <t>取締役
取締役
室長</t>
  </si>
  <si>
    <t>岩崎悦子</t>
  </si>
  <si>
    <t>岩崎</t>
  </si>
  <si>
    <t>いわさき</t>
  </si>
  <si>
    <t>etsuko.iwasaki</t>
  </si>
  <si>
    <t>etsuko.iwasaki@netdreamers.co.jp</t>
  </si>
  <si>
    <t>岩崎弘幸</t>
  </si>
  <si>
    <t>弘幸</t>
  </si>
  <si>
    <t>hirotaka.iwasaki</t>
  </si>
  <si>
    <t>hirotaka.iwasaki@m-lovegraph.com</t>
  </si>
  <si>
    <t>岩崎将典</t>
  </si>
  <si>
    <t>将典</t>
  </si>
  <si>
    <t>まさのり</t>
  </si>
  <si>
    <t>masanori.iwasaki</t>
  </si>
  <si>
    <t>masanori.iwasaki@mixi.co.jp</t>
  </si>
  <si>
    <t>株式会社MIXI/木村管掌/デジタルエンターテインメントパブリッシング本部/グローバルモンスト室/グローバルモンストエンジニアグループ</t>
  </si>
  <si>
    <t>AO083010600</t>
  </si>
  <si>
    <t>岩崎真由子a</t>
  </si>
  <si>
    <t>真由子a</t>
  </si>
  <si>
    <t>mayuko.iwasaki.a</t>
  </si>
  <si>
    <t>mayuko.iwasaki.a@m-lovegraph.com</t>
  </si>
  <si>
    <t>岩崎佳一</t>
  </si>
  <si>
    <t>佳一</t>
  </si>
  <si>
    <t>yoshikazu.iwasaki.ts</t>
  </si>
  <si>
    <t>yoshikazu.iwasaki.ts@mixi.co.jp</t>
  </si>
  <si>
    <t>株式会社MIXI/島村管掌/経営推進本部/経営企画部</t>
  </si>
  <si>
    <t>AX078010000</t>
  </si>
  <si>
    <t>岩田匡治</t>
  </si>
  <si>
    <t>岩田</t>
  </si>
  <si>
    <t>匡治</t>
  </si>
  <si>
    <t>いわた</t>
  </si>
  <si>
    <t>まさはる</t>
  </si>
  <si>
    <t>masaharu.iwata</t>
  </si>
  <si>
    <t>masaharu.iwata@mixi.co.jp</t>
  </si>
  <si>
    <t>株式会社MIXI/村瀨管掌/デザイン本部/動画クリエイティブ室/クリエイティブサウンドグループ/第2サウンドチーム</t>
  </si>
  <si>
    <t>AR059060903</t>
  </si>
  <si>
    <t>岩坪理史</t>
  </si>
  <si>
    <t>岩坪</t>
  </si>
  <si>
    <t>理史</t>
  </si>
  <si>
    <t>いわつぼ</t>
  </si>
  <si>
    <t>りみ</t>
  </si>
  <si>
    <t>rimi.iwatsubo</t>
  </si>
  <si>
    <t>rimi.iwatsubo@mixi.co.jp</t>
  </si>
  <si>
    <t>株式会社MIXI/村瀨管掌/はたらく環境推進本部/コーポレートITサービス部/バックオフィスグループ</t>
  </si>
  <si>
    <t>AR091010400</t>
  </si>
  <si>
    <t>岩野成利</t>
  </si>
  <si>
    <t>岩野</t>
  </si>
  <si>
    <t>成利</t>
  </si>
  <si>
    <t>いわの</t>
  </si>
  <si>
    <t>なりとし</t>
  </si>
  <si>
    <t>naritoshi.iwano</t>
  </si>
  <si>
    <t>naritoshi.iwano@mixi.co.jp</t>
  </si>
  <si>
    <t>株式会社MIXI/笠原管掌/Vantageスタジオ/事業推進室/mercuryグループ</t>
  </si>
  <si>
    <t>AQ087040800
AQ061030600</t>
  </si>
  <si>
    <t>岩渕真美</t>
  </si>
  <si>
    <t>岩渕</t>
  </si>
  <si>
    <t>真美</t>
  </si>
  <si>
    <t>いわぶち</t>
  </si>
  <si>
    <t>mami.iwabuchi</t>
  </si>
  <si>
    <t>mami.iwabuchi@m-sfidante.com</t>
  </si>
  <si>
    <t>宇恵翼</t>
  </si>
  <si>
    <t>宇恵</t>
  </si>
  <si>
    <t>翼</t>
  </si>
  <si>
    <t>うえ</t>
  </si>
  <si>
    <t>つばさ</t>
  </si>
  <si>
    <t>tsubasa.ue</t>
  </si>
  <si>
    <t>tsubasa.ue@m-sfidante.com</t>
  </si>
  <si>
    <t>上田聡</t>
  </si>
  <si>
    <t>上田</t>
  </si>
  <si>
    <t>うえだ</t>
  </si>
  <si>
    <t>satoshi.ueda.ts</t>
  </si>
  <si>
    <t>satoshi.ueda.ts@mixi.co.jp</t>
  </si>
  <si>
    <t>上田太郎</t>
  </si>
  <si>
    <t>太郎</t>
  </si>
  <si>
    <t>たろう</t>
  </si>
  <si>
    <t>taro.ueda</t>
  </si>
  <si>
    <t>taro.ueda@mixi.co.jp</t>
  </si>
  <si>
    <t>AQ087040000
AQ087021000</t>
  </si>
  <si>
    <t>植田智帆a</t>
  </si>
  <si>
    <t>植田</t>
  </si>
  <si>
    <t>智帆a</t>
  </si>
  <si>
    <t>ちほ</t>
  </si>
  <si>
    <t>chiho.ueda.a</t>
  </si>
  <si>
    <t>chiho.ueda.a@m-sfidante.com</t>
  </si>
  <si>
    <t>上田望美</t>
  </si>
  <si>
    <t>望美</t>
  </si>
  <si>
    <t>nozomi.ueda</t>
  </si>
  <si>
    <t>株式会社MIXI/管掌役員なし/監査役</t>
  </si>
  <si>
    <t>ZZ003000000</t>
  </si>
  <si>
    <t>非常勤役員</t>
  </si>
  <si>
    <t>上田博雄(退職済)</t>
  </si>
  <si>
    <t>博雄(退職済)</t>
  </si>
  <si>
    <t>ひろお</t>
  </si>
  <si>
    <t>hiroo.ueda.ts</t>
  </si>
  <si>
    <t>hiroo.ueda.ts@mixi.co.jp</t>
  </si>
  <si>
    <t>AW076070000</t>
  </si>
  <si>
    <t>上田将嗣</t>
  </si>
  <si>
    <t>将嗣</t>
  </si>
  <si>
    <t>まさし</t>
  </si>
  <si>
    <t>masashi.ueda.ts</t>
  </si>
  <si>
    <t>masashi.ueda.ts@mixi.co.jp</t>
  </si>
  <si>
    <t>株式会社MIXI/木村管掌/デジタルエンターテインメントオペレーションズ本部/モンスト開発部/クライアント1グループ/クライアント3チーム</t>
  </si>
  <si>
    <t>AO082020302</t>
  </si>
  <si>
    <t>上田利瑳子</t>
  </si>
  <si>
    <t>利瑳子</t>
  </si>
  <si>
    <t>りさこ</t>
  </si>
  <si>
    <t>risako.ueda</t>
  </si>
  <si>
    <t>risako.ueda@mixi.co.jp</t>
  </si>
  <si>
    <t>上埜かおり</t>
  </si>
  <si>
    <t>上埜</t>
  </si>
  <si>
    <t>かおり</t>
  </si>
  <si>
    <t>うえの</t>
  </si>
  <si>
    <t>kaori.ueno</t>
  </si>
  <si>
    <t>kaori.ueno@mixi.co.jp</t>
  </si>
  <si>
    <t>株式会社MIXI/小林管掌/CS本部/CS部/CREグループ/CREチーム</t>
  </si>
  <si>
    <t>AU073010201</t>
  </si>
  <si>
    <t>上野</t>
  </si>
  <si>
    <t>桂子</t>
  </si>
  <si>
    <t>けいこ</t>
  </si>
  <si>
    <t>keiko.ueno</t>
  </si>
  <si>
    <t>keiko.ueno@mixi.co.jp</t>
  </si>
  <si>
    <t>AR091010400
AR091020000</t>
  </si>
  <si>
    <t>上平竜也</t>
  </si>
  <si>
    <t>上平</t>
  </si>
  <si>
    <t>竜也</t>
  </si>
  <si>
    <t>うえひら</t>
  </si>
  <si>
    <t>tatsuya.uehira</t>
  </si>
  <si>
    <t>tatsuya.uehira@mixi.co.jp</t>
  </si>
  <si>
    <t>魚谷梨乃</t>
  </si>
  <si>
    <t>魚谷</t>
  </si>
  <si>
    <t>梨乃</t>
  </si>
  <si>
    <t>うおたに</t>
  </si>
  <si>
    <t>りの</t>
  </si>
  <si>
    <t>rino.uotani</t>
  </si>
  <si>
    <t>rino.uotani@mixi.co.jp</t>
  </si>
  <si>
    <t>株式会社MIXI/木村管掌/デジタルエンターテインメントオペレーションズ本部/コトダマン制作部/UIデザイングループ/UIチーム</t>
  </si>
  <si>
    <t>AO082090101</t>
  </si>
  <si>
    <t>鵜飼恵輔</t>
  </si>
  <si>
    <t>鵜飼</t>
  </si>
  <si>
    <t>恵輔</t>
  </si>
  <si>
    <t>うかい</t>
  </si>
  <si>
    <t>けいすけ</t>
  </si>
  <si>
    <t>keisuke.ukai</t>
  </si>
  <si>
    <t>keisuke.ukai@mixi.co.jp</t>
  </si>
  <si>
    <t>宇佐美裕子</t>
  </si>
  <si>
    <t>宇佐美</t>
  </si>
  <si>
    <t>裕子</t>
  </si>
  <si>
    <t>うさみ</t>
  </si>
  <si>
    <t>ゆうこ</t>
  </si>
  <si>
    <t>yuko.usami</t>
  </si>
  <si>
    <t>yuko.usami@mixi.co.jp</t>
  </si>
  <si>
    <t>株式会社MIXI/村瀨管掌/はたらく環境推進本部/ビジネスサポート室/ミュージックライツグループ</t>
  </si>
  <si>
    <t>AO082010000
AR091040500
AR091000000
AR091040101
AR091040102</t>
  </si>
  <si>
    <t>スタッフ
スタッフ
スタッフ
リーダー
リーダー</t>
  </si>
  <si>
    <t>0
1
0
0
0</t>
  </si>
  <si>
    <t>牛久保佑樹</t>
  </si>
  <si>
    <t>牛久保</t>
  </si>
  <si>
    <t>うしくぼ</t>
  </si>
  <si>
    <t>yuki.ushikubo</t>
  </si>
  <si>
    <t>yuki.ushikubo@mixi.co.jp</t>
  </si>
  <si>
    <t>株式会社MIXI/木村管掌/デジタルエンターテインメントオペレーションズ本部/コトダマン制作部/UIデザイングループ/グラフィックアセットチーム</t>
  </si>
  <si>
    <t>AO082090102</t>
  </si>
  <si>
    <t>牛田</t>
  </si>
  <si>
    <t>美穂</t>
  </si>
  <si>
    <t>うしだ</t>
  </si>
  <si>
    <t>みほ</t>
  </si>
  <si>
    <t>miho.ushida</t>
  </si>
  <si>
    <t>miho.ushida@mixi.co.jp</t>
  </si>
  <si>
    <t>株式会社MIXI/小林管掌/CS本部/CX部/Enhancementグループ/組織開発チーム</t>
  </si>
  <si>
    <t>AU073020102</t>
  </si>
  <si>
    <t>臼田彩</t>
  </si>
  <si>
    <t>臼田</t>
  </si>
  <si>
    <t>うすだ</t>
  </si>
  <si>
    <t>aya.usuda</t>
  </si>
  <si>
    <t>aya.usuda@mixi.co.jp</t>
  </si>
  <si>
    <t>株式会社MIXI/村瀨管掌/デザイン本部/動画クリエイティブ室/コンテンツディレクション第1グループ/ディレクター第2チーム</t>
  </si>
  <si>
    <t>AR059061102</t>
  </si>
  <si>
    <t>宇高</t>
  </si>
  <si>
    <t>邦弘</t>
  </si>
  <si>
    <t>うだか</t>
  </si>
  <si>
    <t>くにひろ</t>
  </si>
  <si>
    <t>kunihiro.udaka</t>
  </si>
  <si>
    <t>kunihiro.udaka@mixi.co.jp</t>
  </si>
  <si>
    <t>AQ061030600</t>
  </si>
  <si>
    <t>宇田川浩彦</t>
  </si>
  <si>
    <t>宇田川</t>
  </si>
  <si>
    <t>浩彦</t>
  </si>
  <si>
    <t>うだがわ</t>
  </si>
  <si>
    <t>ひろひこ</t>
  </si>
  <si>
    <t>hirohiko.udagawa</t>
  </si>
  <si>
    <t>hirohiko.udagawa@mixi.co.jp</t>
  </si>
  <si>
    <t>株式会社チャリ・ロト
株式会社picon
株式会社MIXI</t>
  </si>
  <si>
    <t>出向
出向
在籍</t>
  </si>
  <si>
    <t>出向受入
支援受入
正社員</t>
  </si>
  <si>
    <t>株式会社MIXI/奥山管掌/コーポレートデベロップメント本部/事業企画推進部</t>
  </si>
  <si>
    <t>XI516000000
XW557000000
AW085040000
AW085040100
AW085040200
AW085040101</t>
  </si>
  <si>
    <t>スタッフ
取締役
部長
マネージャー
マネージャー
リーダー</t>
  </si>
  <si>
    <t>0
0
1
0
0
0</t>
  </si>
  <si>
    <t>内田大輔</t>
  </si>
  <si>
    <t>内田</t>
  </si>
  <si>
    <t>うちだ</t>
  </si>
  <si>
    <t>daisuke.uchida.ts</t>
  </si>
  <si>
    <t>daisuke.uchida.ts@mixi.co.jp</t>
  </si>
  <si>
    <t>AR059070203
AR059070701</t>
  </si>
  <si>
    <t>内田匠</t>
  </si>
  <si>
    <t>takumi.uchida</t>
  </si>
  <si>
    <t>takumi.uchida@mixi.co.jp</t>
  </si>
  <si>
    <t>株式会社MIXI/木村管掌/デジタルエンターテインメントオペレーションズ本部/モンストIPクリエイション部/キャラプログループ/キャラクター監修チーム</t>
  </si>
  <si>
    <t>AO082040102</t>
  </si>
  <si>
    <t>yohei.uchida</t>
  </si>
  <si>
    <t>yohei.uchida@mixi.co.jp</t>
  </si>
  <si>
    <t>内野奈々</t>
  </si>
  <si>
    <t>内野</t>
  </si>
  <si>
    <t>奈々</t>
  </si>
  <si>
    <t>うちの</t>
  </si>
  <si>
    <t>なな</t>
  </si>
  <si>
    <t>nana.uchino.ts</t>
  </si>
  <si>
    <t>nana.uchino.ts@netdreamers.co.jp</t>
  </si>
  <si>
    <t>株式会社ネットドリーマーズ/株式会社ネットドリーマーズ/メディア&amp;ベッティング事業本部/競輪事業部/競輪編集グループ</t>
  </si>
  <si>
    <t>XM551010200</t>
  </si>
  <si>
    <t>内之倉裕</t>
  </si>
  <si>
    <t>内之倉</t>
  </si>
  <si>
    <t>裕</t>
  </si>
  <si>
    <t>うちのくら</t>
  </si>
  <si>
    <t>yu.uchinokura.ts</t>
  </si>
  <si>
    <t>yu.uchinokura.ts@mixi.co.jp</t>
  </si>
  <si>
    <t>打矢健</t>
  </si>
  <si>
    <t>打矢</t>
  </si>
  <si>
    <t>健</t>
  </si>
  <si>
    <t>うちや</t>
  </si>
  <si>
    <t>けん</t>
  </si>
  <si>
    <t>ken.uchiya</t>
  </si>
  <si>
    <t>ken.uchiya@netdreamers.co.jp</t>
  </si>
  <si>
    <t>株式会社ネットドリーマーズ/株式会社ネットドリーマーズ/DXパートナー事業本部/広告&amp;ソリューション事業部/ビジネスプロデュースグループ</t>
  </si>
  <si>
    <t>XM560010100
XM560000000</t>
  </si>
  <si>
    <t>鵜殿真</t>
  </si>
  <si>
    <t>鵜殿</t>
  </si>
  <si>
    <t>真</t>
  </si>
  <si>
    <t>うどの</t>
  </si>
  <si>
    <t>まこと</t>
  </si>
  <si>
    <t>makoto.udono</t>
  </si>
  <si>
    <t>makoto.udono@netdreamers.co.jp</t>
  </si>
  <si>
    <t>株式会社ネットドリーマーズ/株式会社ネットドリーマーズ/サービス推進開発本部</t>
  </si>
  <si>
    <t>XM556000000
XM556010000
XM556010600</t>
  </si>
  <si>
    <t>鵜沼コーシー</t>
  </si>
  <si>
    <t>鵜沼</t>
  </si>
  <si>
    <t>コーシー</t>
  </si>
  <si>
    <t>うぬま</t>
  </si>
  <si>
    <t>こーしー</t>
  </si>
  <si>
    <t>koshi.unuma.ts</t>
  </si>
  <si>
    <t>koshi.unuma.ts@mixi.co.jp</t>
  </si>
  <si>
    <t>宇野博美</t>
  </si>
  <si>
    <t>宇野</t>
  </si>
  <si>
    <t>博美</t>
  </si>
  <si>
    <t>うの</t>
  </si>
  <si>
    <t>ひろみ</t>
  </si>
  <si>
    <t>hiromi.uno</t>
  </si>
  <si>
    <t>hiromi.uno@mixi.co.jp</t>
  </si>
  <si>
    <t>株式会社MIXI/奥山管掌/ソーシャルベッティング事業本部/価値創造室/コンテンツグループ</t>
  </si>
  <si>
    <t>AW076050300</t>
  </si>
  <si>
    <t>卯木</t>
  </si>
  <si>
    <t>源一</t>
  </si>
  <si>
    <t>うのき</t>
  </si>
  <si>
    <t>げんいち</t>
  </si>
  <si>
    <t>genichi.unoki</t>
  </si>
  <si>
    <t>genichi.unoki@mixi.co.jp</t>
  </si>
  <si>
    <t>株式会社MIXI/島村管掌/人事本部/組織戦略部/横断HRBPグループ</t>
  </si>
  <si>
    <t>AX089070200</t>
  </si>
  <si>
    <t>宇部野詩音a</t>
  </si>
  <si>
    <t>宇部野</t>
  </si>
  <si>
    <t>詩音a</t>
  </si>
  <si>
    <t>うべの</t>
  </si>
  <si>
    <t>しおん</t>
  </si>
  <si>
    <t>shion.ubeno.a</t>
  </si>
  <si>
    <t>shion.ubeno.a@mixi.co.jp</t>
  </si>
  <si>
    <t>梅北健一</t>
  </si>
  <si>
    <t>梅北</t>
  </si>
  <si>
    <t>健一</t>
  </si>
  <si>
    <t>うめきた</t>
  </si>
  <si>
    <t>けんいち</t>
  </si>
  <si>
    <t>kenichi.umekita</t>
  </si>
  <si>
    <t>kenichi.umekita@mixi.co.jp</t>
  </si>
  <si>
    <t>株式会社MIXI/村瀨管掌/開発本部/たんぽぽ室/データグループ</t>
  </si>
  <si>
    <t>AR060051100</t>
  </si>
  <si>
    <t>梅澤健太朗</t>
  </si>
  <si>
    <t>梅澤</t>
  </si>
  <si>
    <t>健太朗</t>
  </si>
  <si>
    <t>うめざわ</t>
  </si>
  <si>
    <t>けんたろう</t>
  </si>
  <si>
    <t>kentaro.umezawa</t>
  </si>
  <si>
    <t>kentaro.umezawa@mixi.co.jp</t>
  </si>
  <si>
    <t>エキスパート</t>
  </si>
  <si>
    <t>株式会社MIXI/奥山管掌/コーポレートデベロップメント本部/投資事業部</t>
  </si>
  <si>
    <t>AW085020000</t>
  </si>
  <si>
    <t>梅澤美帆</t>
  </si>
  <si>
    <t>美帆</t>
  </si>
  <si>
    <t>miho.umezawa</t>
  </si>
  <si>
    <t>miho.umezawa@mixi.co.jp</t>
  </si>
  <si>
    <t>株式会社MIXI/木村管掌/ライブエクスペリエンス事業本部/アリーナ事業部/管理グループ</t>
  </si>
  <si>
    <t>XP559010000
XP559000000
XP539010000
XP558010000
XP537000000
AO090010200</t>
  </si>
  <si>
    <t>部長
本部長
スタッフ
スタッフ
取締役
マネージャー</t>
  </si>
  <si>
    <t>0
0
0
0
0
1</t>
  </si>
  <si>
    <t>梅津智奈</t>
  </si>
  <si>
    <t>梅津</t>
  </si>
  <si>
    <t>智奈</t>
  </si>
  <si>
    <t>うめづ</t>
  </si>
  <si>
    <t>ともな</t>
  </si>
  <si>
    <t>tomona.umezu</t>
  </si>
  <si>
    <t>tomona.umezu@mixi.co.jp</t>
  </si>
  <si>
    <t>楳内瑞希</t>
  </si>
  <si>
    <t>楳内</t>
  </si>
  <si>
    <t>瑞希</t>
  </si>
  <si>
    <t>うめない</t>
  </si>
  <si>
    <t>みずき</t>
  </si>
  <si>
    <t>mizuki.umenai</t>
  </si>
  <si>
    <t>mizuki.umenai@mixi.co.jp</t>
  </si>
  <si>
    <t>株式会社MIXI
株式会社チャリ・ロト
株式会社picon
株式会社チャリロトプラザサービス</t>
  </si>
  <si>
    <t>株式会社MIXI/奥山管掌/コーポレートデベロップメント本部/投資事業部/コーポレート支援グループ/労務支援チーム</t>
  </si>
  <si>
    <t>XI516000000
XW557000000
AW085020202
XX561000000</t>
  </si>
  <si>
    <t>梅原郁佳</t>
  </si>
  <si>
    <t>梅原</t>
  </si>
  <si>
    <t>郁佳</t>
  </si>
  <si>
    <t>うめはら</t>
  </si>
  <si>
    <t>ふみか</t>
  </si>
  <si>
    <t>fumika.umehara</t>
  </si>
  <si>
    <t>fumika.umehara@mixi.co.jp</t>
  </si>
  <si>
    <t>梅村敦久</t>
  </si>
  <si>
    <t>梅村</t>
  </si>
  <si>
    <t>敦久</t>
  </si>
  <si>
    <t>うめむら</t>
  </si>
  <si>
    <t>あつひさ</t>
  </si>
  <si>
    <t>atsuhisa.umemura.ts</t>
  </si>
  <si>
    <t>梅山直樹</t>
  </si>
  <si>
    <t>梅山</t>
  </si>
  <si>
    <t>直樹</t>
  </si>
  <si>
    <t>うめやま</t>
  </si>
  <si>
    <t>なおき</t>
  </si>
  <si>
    <t>naoki.umeyama</t>
  </si>
  <si>
    <t>naoki.umeyama@mixi.co.jp</t>
  </si>
  <si>
    <t>株式会社MIXI/村瀨管掌/デザイン本部/テクニカルデザイン室/エンジニアリンググループ</t>
  </si>
  <si>
    <t>AR059080300</t>
  </si>
  <si>
    <t>浦寛典</t>
  </si>
  <si>
    <t>浦</t>
  </si>
  <si>
    <t>寛典</t>
  </si>
  <si>
    <t>うら</t>
  </si>
  <si>
    <t>hirofumi.ura</t>
  </si>
  <si>
    <t>hirofumi.ura@mixi.co.jp</t>
  </si>
  <si>
    <t>株式会社MIXI/木村管掌/デジタルエンターテインメントオペレーションズ本部/コトダマン運営部/プロダクトエンジニアグループ/クライアントチーム</t>
  </si>
  <si>
    <t>AO082080701</t>
  </si>
  <si>
    <t>浦島明子</t>
  </si>
  <si>
    <t>浦島</t>
  </si>
  <si>
    <t>明子</t>
  </si>
  <si>
    <t>うらしま</t>
  </si>
  <si>
    <t>akiko.urashima</t>
  </si>
  <si>
    <t>akiko.urashima@mixi.co.jp</t>
  </si>
  <si>
    <t>株式会社MIXI/村瀨管掌/はたらく環境推進本部/せいかつ環境室/せいかつ環境Bグループ/せいかつ環境Cチーム</t>
  </si>
  <si>
    <t>AR091030202</t>
  </si>
  <si>
    <t>UrabeTomoharu</t>
  </si>
  <si>
    <t>Urabe</t>
  </si>
  <si>
    <t>Tomoharu</t>
  </si>
  <si>
    <t>うらべ</t>
  </si>
  <si>
    <t>ともはる</t>
  </si>
  <si>
    <t>tomoharu.urabe</t>
  </si>
  <si>
    <t>tomoharu.urabe@mixi.co.jp</t>
  </si>
  <si>
    <t>株式会社MIXI/奥山管掌/コーポレートデベロップメント本部/投資事業部/MGIグループ</t>
  </si>
  <si>
    <t>AW085020800</t>
  </si>
  <si>
    <t>江川潤</t>
  </si>
  <si>
    <t>江川</t>
  </si>
  <si>
    <t>潤</t>
  </si>
  <si>
    <t>えがわ</t>
  </si>
  <si>
    <t>jun.egawa</t>
  </si>
  <si>
    <t>jun.egawa@mixi.co.jp</t>
  </si>
  <si>
    <t>江草陽太</t>
  </si>
  <si>
    <t>江草</t>
  </si>
  <si>
    <t>陽太</t>
  </si>
  <si>
    <t>えぐさ</t>
  </si>
  <si>
    <t>ようた</t>
  </si>
  <si>
    <t>yota.egusa.ts</t>
  </si>
  <si>
    <t>株式会社MIXI/奥山管掌/コーポレートデベロップメント本部/投資事業部/投資オペレーショングループ</t>
  </si>
  <si>
    <t>AW085020900</t>
  </si>
  <si>
    <t>江口美花</t>
  </si>
  <si>
    <t>江口</t>
  </si>
  <si>
    <t>美花</t>
  </si>
  <si>
    <t>えぐち</t>
  </si>
  <si>
    <t>みか</t>
  </si>
  <si>
    <t>mika.eguchi</t>
  </si>
  <si>
    <t>mika.eguchi@mixi.co.jp</t>
  </si>
  <si>
    <t>株式会社MIXI/村瀨管掌/はたらく環境推進本部/せいかつ環境室/せいかつ環境Bグループ</t>
  </si>
  <si>
    <t>AR091030200</t>
  </si>
  <si>
    <t>江澤拓哉</t>
  </si>
  <si>
    <t>江澤</t>
  </si>
  <si>
    <t>えざわ</t>
  </si>
  <si>
    <t>takuya.ezawa</t>
  </si>
  <si>
    <t>takuya.ezawa@mixi.co.jp</t>
  </si>
  <si>
    <t>江下</t>
  </si>
  <si>
    <t>僚</t>
  </si>
  <si>
    <t>えした</t>
  </si>
  <si>
    <t>ryo.eshita</t>
  </si>
  <si>
    <t>ryo.eshita@mixi.co.jp</t>
  </si>
  <si>
    <t>株式会社MIXI/木村管掌/デジタルエンターテインメントパブリッシング本部/事業戦略室/事業戦略グループ</t>
  </si>
  <si>
    <t>AO083020000
AO083030100
AO083020600</t>
  </si>
  <si>
    <t>江田陽子</t>
  </si>
  <si>
    <t>江田</t>
  </si>
  <si>
    <t>陽子</t>
  </si>
  <si>
    <t>えだ</t>
  </si>
  <si>
    <t>ようこ</t>
  </si>
  <si>
    <t>yoko.eda</t>
  </si>
  <si>
    <t>yoko.eda@m-sfidante.com</t>
  </si>
  <si>
    <t>江藤かな</t>
  </si>
  <si>
    <t>江藤</t>
  </si>
  <si>
    <t>かな</t>
  </si>
  <si>
    <t>えとう</t>
  </si>
  <si>
    <t>kana.eto</t>
  </si>
  <si>
    <t>kana.eto@mixi.co.jp</t>
  </si>
  <si>
    <t>江藤剛</t>
  </si>
  <si>
    <t>剛</t>
  </si>
  <si>
    <t>つよし</t>
  </si>
  <si>
    <t>tsuyoshi.eto.ts</t>
  </si>
  <si>
    <t>tsuyoshi.eto.ts@mixi.co.jp</t>
  </si>
  <si>
    <t>餌取瑞紀</t>
  </si>
  <si>
    <t>餌取</t>
  </si>
  <si>
    <t>瑞紀</t>
  </si>
  <si>
    <t>えとり</t>
  </si>
  <si>
    <t>mizuki.etori</t>
  </si>
  <si>
    <t>mizuki.etori@mixi.co.jp</t>
  </si>
  <si>
    <t>株式会社MIXI/木村管掌/ライブエクスペリエンス事業本部/企画推進部/スポーツマーケティングDXグループ/マーケティングチーム</t>
  </si>
  <si>
    <t>AO090050403</t>
  </si>
  <si>
    <t>榎本光</t>
  </si>
  <si>
    <t>榎本</t>
  </si>
  <si>
    <t>光</t>
  </si>
  <si>
    <t>えのもと</t>
  </si>
  <si>
    <t>ひかる</t>
  </si>
  <si>
    <t>hikaru.enomoto</t>
  </si>
  <si>
    <t>hikaru.enomoto@mixi.co.jp</t>
  </si>
  <si>
    <t>株式会社MIXI/奥山管掌/ソーシャルベッティング事業本部/チャリ・ロト事業部/プロダクトグループ/開発チーム</t>
  </si>
  <si>
    <t>XI516000000
AW076070201</t>
  </si>
  <si>
    <t>江畑拓哉</t>
  </si>
  <si>
    <t>江畑</t>
  </si>
  <si>
    <t>えばた</t>
  </si>
  <si>
    <t>takuya.ebata</t>
  </si>
  <si>
    <t>takuya.ebata@mixi.co.jp</t>
  </si>
  <si>
    <t>荏原洋夢</t>
  </si>
  <si>
    <t>荏原</t>
  </si>
  <si>
    <t>洋夢</t>
  </si>
  <si>
    <t>えはら</t>
  </si>
  <si>
    <t>ひろむ</t>
  </si>
  <si>
    <t>hiromu.ehara</t>
  </si>
  <si>
    <t>hiromu.ehara@mixi.co.jp</t>
  </si>
  <si>
    <t>戎正人</t>
  </si>
  <si>
    <t>戎</t>
  </si>
  <si>
    <t>正人</t>
  </si>
  <si>
    <t>えびす</t>
  </si>
  <si>
    <t>masato.ebisu.ts</t>
  </si>
  <si>
    <t>masato.ebisu.ts@mixi.co.jp</t>
  </si>
  <si>
    <t>株式会社MIXI/村瀨管掌/はたらく環境推進本部/コーポレートエンジニアリング部</t>
  </si>
  <si>
    <t>AR091020000</t>
  </si>
  <si>
    <t>戎井佳代</t>
  </si>
  <si>
    <t>戎井</t>
  </si>
  <si>
    <t>佳代</t>
  </si>
  <si>
    <t>えびすい</t>
  </si>
  <si>
    <t>かよ</t>
  </si>
  <si>
    <t>kayo.ebisui</t>
  </si>
  <si>
    <t>kayo.ebisui@mixi.co.jp</t>
  </si>
  <si>
    <t>惠良栞</t>
  </si>
  <si>
    <t>惠良</t>
  </si>
  <si>
    <t>栞</t>
  </si>
  <si>
    <t>えら</t>
  </si>
  <si>
    <t>しおり</t>
  </si>
  <si>
    <t>shiori.era</t>
  </si>
  <si>
    <t>shiori.era@mixi.co.jp</t>
  </si>
  <si>
    <t>株式会社MIXI/笠原管掌/Vantageスタジオ/Romi事業部/UX企画グループ/セールスチーム</t>
  </si>
  <si>
    <t>AQ061050403</t>
  </si>
  <si>
    <t>遠藤茜a</t>
  </si>
  <si>
    <t>遠藤</t>
  </si>
  <si>
    <t>茜a</t>
  </si>
  <si>
    <t>えんどう</t>
  </si>
  <si>
    <t>あかね</t>
  </si>
  <si>
    <t>akane.endo.a</t>
  </si>
  <si>
    <t>akane.endo.a@mixi.co.jp</t>
  </si>
  <si>
    <t>株式会社MIXI/木村管掌/デジタルエンターテインメントパブリッシング本部/事業探索室/GvGグループ</t>
  </si>
  <si>
    <t>AO083020500
AO082050800</t>
  </si>
  <si>
    <t>遠藤茜</t>
  </si>
  <si>
    <t>茜</t>
  </si>
  <si>
    <t>akane.endo</t>
  </si>
  <si>
    <t>akane.endo@mixi.co.jp</t>
  </si>
  <si>
    <t>株式会社MIXI/村瀨管掌/デザイン本部/プロダクトデザイン室/エクスペリエンスデザイン第2グループ/第1チーム</t>
  </si>
  <si>
    <t>AR059050801
AO090050403</t>
  </si>
  <si>
    <t>遠藤伸一</t>
  </si>
  <si>
    <t>伸一</t>
  </si>
  <si>
    <t>shinichi.endo.ts</t>
  </si>
  <si>
    <t>shinichi.endo.ts@mixi.co.jp</t>
  </si>
  <si>
    <t>遠藤武</t>
  </si>
  <si>
    <t>武</t>
  </si>
  <si>
    <t>たけし</t>
  </si>
  <si>
    <t>takeshi.endo</t>
  </si>
  <si>
    <t>takeshi.endo@netdreamers.co.jp</t>
  </si>
  <si>
    <t>遠藤恒寿</t>
  </si>
  <si>
    <t>恒寿</t>
  </si>
  <si>
    <t>つねひさ</t>
  </si>
  <si>
    <t>tsunehisa.endo</t>
  </si>
  <si>
    <t>tsunehisa.endo@mixi.co.jp</t>
  </si>
  <si>
    <t>株式会社MIXI/島村管掌/コーポレートファイナンス本部/経理税務部/連結開示グループ</t>
  </si>
  <si>
    <t>AX088010300</t>
  </si>
  <si>
    <t>遠藤敏生</t>
  </si>
  <si>
    <t>敏生</t>
  </si>
  <si>
    <t>toshiki.endo</t>
  </si>
  <si>
    <t>toshiki.endo@mixi.co.jp</t>
  </si>
  <si>
    <t>株式会社MIXI/島村管掌/人事本部/人材開発部/新卒HRグループ/新卒育成チーム</t>
  </si>
  <si>
    <t>AX089040601</t>
  </si>
  <si>
    <t>遠藤将哉</t>
  </si>
  <si>
    <t>将哉</t>
  </si>
  <si>
    <t>まさや</t>
  </si>
  <si>
    <t>masaya.endo</t>
  </si>
  <si>
    <t>masaya.endo@mixi.co.jp</t>
  </si>
  <si>
    <t>株式会社MIXI/奥山管掌/ソーシャルベッティング事業本部/チャリ・ロト事業部/ソリューショングループ/事業チーム</t>
  </si>
  <si>
    <t>XI516000000
AW076070101</t>
  </si>
  <si>
    <t>及川晃治</t>
  </si>
  <si>
    <t>及川</t>
  </si>
  <si>
    <t>晃治</t>
  </si>
  <si>
    <t>おいかわ</t>
  </si>
  <si>
    <t>koji.oikawa</t>
  </si>
  <si>
    <t>koji.oikawa@mixi.co.jp</t>
  </si>
  <si>
    <t>株式会社MIXI/村瀨管掌/デザイン本部/テクニカルデザイン室/テクニカルデザイングループ/ライブストリーミングチーム</t>
  </si>
  <si>
    <t>AR059080101</t>
  </si>
  <si>
    <t>追田泰宏</t>
  </si>
  <si>
    <t>追田</t>
  </si>
  <si>
    <t>泰宏</t>
  </si>
  <si>
    <t>おいだ</t>
  </si>
  <si>
    <t>やすひろ</t>
  </si>
  <si>
    <t>yasuhiro.oida</t>
  </si>
  <si>
    <t>yasuhiro.oida@mixi.co.jp</t>
  </si>
  <si>
    <t>AR060050100</t>
  </si>
  <si>
    <t>王依丹</t>
  </si>
  <si>
    <t>王</t>
  </si>
  <si>
    <t>依丹</t>
  </si>
  <si>
    <t>おう</t>
  </si>
  <si>
    <t>いたん</t>
  </si>
  <si>
    <t>yidan.wang</t>
  </si>
  <si>
    <t>yidan.wang@mixi.co.jp</t>
  </si>
  <si>
    <t>株式会社MIXI/島村管掌/経営推進本部/広報部/インターナルコミュニケーショングループ/インターナルコミュニケーションチーム</t>
  </si>
  <si>
    <t>AX078050401</t>
  </si>
  <si>
    <t>王奇</t>
  </si>
  <si>
    <t>奇</t>
  </si>
  <si>
    <t>き</t>
  </si>
  <si>
    <t>qi.wang</t>
  </si>
  <si>
    <t>qi.wang@mixi.co.jp</t>
  </si>
  <si>
    <t>AO082020200
AO082020202
AR060051400
AO082020205</t>
  </si>
  <si>
    <t>マネージャー
リーダー
マネージャー
リーダー</t>
  </si>
  <si>
    <t>王悠夏a</t>
  </si>
  <si>
    <t>悠夏a</t>
  </si>
  <si>
    <t>ゆか</t>
  </si>
  <si>
    <t>yuka.o.a.ts</t>
  </si>
  <si>
    <t>yuka.o.a.ts@mixi.co.jp</t>
  </si>
  <si>
    <t>株式会社MIXI/笠原管掌/Vantageスタジオ/minimo事業部/デザイングループ/コミュニケーションデザインチーム</t>
  </si>
  <si>
    <t>AQ061070404</t>
  </si>
  <si>
    <t>大泉晴香</t>
  </si>
  <si>
    <t>大泉</t>
  </si>
  <si>
    <t>おおいずみ</t>
  </si>
  <si>
    <t>haruka.oizumi</t>
  </si>
  <si>
    <t>haruka.oizumi@mixi.co.jp</t>
  </si>
  <si>
    <t>株式会社MIXI/管掌役員なし/社長室(本部格)/社長室/メディア渉外グループ</t>
  </si>
  <si>
    <t>ZZ084010400</t>
  </si>
  <si>
    <t>大浦裕太</t>
  </si>
  <si>
    <t>大浦</t>
  </si>
  <si>
    <t>裕太</t>
  </si>
  <si>
    <t>おおうら</t>
  </si>
  <si>
    <t>yuta.oura.ts</t>
  </si>
  <si>
    <t>yuta.oura.ts@mixi.co.jp</t>
  </si>
  <si>
    <t>大金直樹</t>
  </si>
  <si>
    <t>大金</t>
  </si>
  <si>
    <t>おおがね</t>
  </si>
  <si>
    <t>naoki.ogane.ts</t>
  </si>
  <si>
    <t>大川祐里菜</t>
  </si>
  <si>
    <t>大川</t>
  </si>
  <si>
    <t>祐里菜</t>
  </si>
  <si>
    <t>おおかわ</t>
  </si>
  <si>
    <t>ゆりな</t>
  </si>
  <si>
    <t>yurina.okawa</t>
  </si>
  <si>
    <t>yurina.okawa@mixi.co.jp</t>
  </si>
  <si>
    <t>大木悠</t>
  </si>
  <si>
    <t>大木</t>
  </si>
  <si>
    <t>悠</t>
  </si>
  <si>
    <t>おおき</t>
  </si>
  <si>
    <t>haruka.oki</t>
  </si>
  <si>
    <t>haruka.oki@mixi.co.jp</t>
  </si>
  <si>
    <t>大串潤介</t>
  </si>
  <si>
    <t>大串</t>
  </si>
  <si>
    <t>潤介</t>
  </si>
  <si>
    <t>おおぐし</t>
  </si>
  <si>
    <t>じゅんすけ</t>
  </si>
  <si>
    <t>junsuke.ogushi</t>
  </si>
  <si>
    <t>junsuke.ogushi@mixi.co.jp</t>
  </si>
  <si>
    <t>株式会社MIXI/木村管掌/デジタルエンターテインメントオペレーションズ本部/ファンマーケティング部/ライセンスグループ/企画営業チーム</t>
  </si>
  <si>
    <t>AO082060303</t>
  </si>
  <si>
    <t>大久保春輝</t>
  </si>
  <si>
    <t>大久保</t>
  </si>
  <si>
    <t>春輝</t>
  </si>
  <si>
    <t>おおくぼ</t>
  </si>
  <si>
    <t>はるき</t>
  </si>
  <si>
    <t>haruki.okubo</t>
  </si>
  <si>
    <t>haruki.okubo@mixi.co.jp</t>
  </si>
  <si>
    <t>株式会社MIXI/奥山管掌/コーポレートデベロップメント本部/投資事業部/投資オペレーショングループ/投資支援チーム</t>
  </si>
  <si>
    <t>AW085020902</t>
  </si>
  <si>
    <t>大倉知也</t>
  </si>
  <si>
    <t>大倉</t>
  </si>
  <si>
    <t>知也</t>
  </si>
  <si>
    <t>おおくら</t>
  </si>
  <si>
    <t>ともや</t>
  </si>
  <si>
    <t>tomoya.okura.ts</t>
  </si>
  <si>
    <t>tomoya.okura.ts@mixi.co.jp</t>
  </si>
  <si>
    <t>大坂智之</t>
  </si>
  <si>
    <t>大坂</t>
  </si>
  <si>
    <t>智之</t>
  </si>
  <si>
    <t>おおさか</t>
  </si>
  <si>
    <t>ともゆき</t>
  </si>
  <si>
    <t>tomoyuki.osaka</t>
  </si>
  <si>
    <t>tomoyuki.osaka@netdreamers.co.jp</t>
  </si>
  <si>
    <t>株式会社ネットドリーマーズ/株式会社ネットドリーマーズ/サービス推進開発本部/サービス推進部/ビジネスプラットフォームグループ</t>
  </si>
  <si>
    <t>XM550000000
XM556000000
XM556030500</t>
  </si>
  <si>
    <t>大崎</t>
  </si>
  <si>
    <t>敦士</t>
  </si>
  <si>
    <t>おおさき</t>
  </si>
  <si>
    <t>あつし</t>
  </si>
  <si>
    <t>atsushi.osaki</t>
  </si>
  <si>
    <t>atsushi.osaki@mixi.co.jp</t>
  </si>
  <si>
    <t>株式会社MIXI/木村管掌/ライブエクスペリエンス事業本部</t>
  </si>
  <si>
    <t>AO090050000
AO090000000
AO090020000</t>
  </si>
  <si>
    <t>部長
本部長
部長</t>
  </si>
  <si>
    <t>大里新太郎</t>
  </si>
  <si>
    <t>大里</t>
  </si>
  <si>
    <t>新太郎</t>
  </si>
  <si>
    <t>おおさと</t>
  </si>
  <si>
    <t>しんたろう</t>
  </si>
  <si>
    <t>shintaro.osato</t>
  </si>
  <si>
    <t>shintaro.osato@mixi.co.jp</t>
  </si>
  <si>
    <t>AO083020400</t>
  </si>
  <si>
    <t>大沢佳祐</t>
  </si>
  <si>
    <t>大沢</t>
  </si>
  <si>
    <t>佳祐</t>
  </si>
  <si>
    <t>おおさわ</t>
  </si>
  <si>
    <t>keisuke.osawa</t>
  </si>
  <si>
    <t>keisuke.osawa@mixi.co.jp</t>
  </si>
  <si>
    <t>株式会社MIXI/村瀨管掌/デザイン本部/動画クリエイティブ室/デザイングループ/デザインチーム</t>
  </si>
  <si>
    <t>AR059060801</t>
  </si>
  <si>
    <t>大澤杜夫</t>
  </si>
  <si>
    <t>大澤</t>
  </si>
  <si>
    <t>杜夫</t>
  </si>
  <si>
    <t>もりお</t>
  </si>
  <si>
    <t>morio.osawa</t>
  </si>
  <si>
    <t>morio.osawa@mixi.co.jp</t>
  </si>
  <si>
    <t>株式会社MIXI/島村管掌/コーポレートファイナンス本部/経理税務部/税務・資産管理グループ/税務・資産管理チーム</t>
  </si>
  <si>
    <t>AX088010101</t>
  </si>
  <si>
    <t>大城美和</t>
  </si>
  <si>
    <t>大城</t>
  </si>
  <si>
    <t>美和</t>
  </si>
  <si>
    <t>おおしろ</t>
  </si>
  <si>
    <t>みわ</t>
  </si>
  <si>
    <t>miwa.oshiro</t>
  </si>
  <si>
    <t>miwa.oshiro@mixi.co.jp</t>
  </si>
  <si>
    <t>株式会社MIXI/笠原管掌/Vantageスタジオ/事業推進室/事業推進グループ/アシスタントチーム</t>
  </si>
  <si>
    <t>AQ061030600
AQ061030103</t>
  </si>
  <si>
    <t>太田篤志</t>
  </si>
  <si>
    <t>太田</t>
  </si>
  <si>
    <t>篤志</t>
  </si>
  <si>
    <t>おおた</t>
  </si>
  <si>
    <t>atsushi.ota</t>
  </si>
  <si>
    <t>atsushi.ota@mixi.co.jp</t>
  </si>
  <si>
    <t>株式会社MIXI/木村管掌/デジタルエンターテインメントオペレーションズ本部/ファンマーケティング部/イベント1グループ/システム運営チーム</t>
  </si>
  <si>
    <t>AO082060502</t>
  </si>
  <si>
    <t>太田正文</t>
  </si>
  <si>
    <t>正文</t>
  </si>
  <si>
    <t>まさふみ</t>
  </si>
  <si>
    <t>masafumi.ohta</t>
  </si>
  <si>
    <t>masafumi.ohta@mixi.co.jp</t>
  </si>
  <si>
    <t>株式会社MIXI/島村管掌/人事本部/人材開発部/人材育成グループ</t>
  </si>
  <si>
    <t>AX089040200
AX089040100</t>
  </si>
  <si>
    <t>太田真理</t>
  </si>
  <si>
    <t>真理</t>
  </si>
  <si>
    <t>まり</t>
  </si>
  <si>
    <t>mari.ota</t>
  </si>
  <si>
    <t>mari.ota@mixi.co.jp</t>
  </si>
  <si>
    <t>株式会社MIXI/島村管掌/コーポレートファイナンス本部/財務企画部/財務グループ</t>
  </si>
  <si>
    <t>AX088020200</t>
  </si>
  <si>
    <t>太田祐樹</t>
  </si>
  <si>
    <t>yuki.ota</t>
  </si>
  <si>
    <t>yuki.ota@mixi.co.jp</t>
  </si>
  <si>
    <t>株式会社MIXI/奥山管掌/ソーシャルベッティング事業本部/TIPSTAR事業部/開発グループ/クライアント開発チーム</t>
  </si>
  <si>
    <t>AW076020707</t>
  </si>
  <si>
    <t>太田有希乃</t>
  </si>
  <si>
    <t>有希乃</t>
  </si>
  <si>
    <t>ゆきの</t>
  </si>
  <si>
    <t>yukino.ota</t>
  </si>
  <si>
    <t>yukino.ota@netdreamers.co.jp</t>
  </si>
  <si>
    <t>太田亮介</t>
  </si>
  <si>
    <t>亮介</t>
  </si>
  <si>
    <t>りょうすけ</t>
  </si>
  <si>
    <t>ryosuke.ota</t>
  </si>
  <si>
    <t>ryosuke.ota@mixi.co.jp</t>
  </si>
  <si>
    <t>AO090010300</t>
  </si>
  <si>
    <t>大高暁</t>
  </si>
  <si>
    <t>大高</t>
  </si>
  <si>
    <t>暁</t>
  </si>
  <si>
    <t>おおたか</t>
  </si>
  <si>
    <t>あき</t>
  </si>
  <si>
    <t>aki.otaka.ts</t>
  </si>
  <si>
    <t>aki.otaka.ts@mixi.co.jp</t>
  </si>
  <si>
    <t>大竹直史</t>
  </si>
  <si>
    <t>大竹</t>
  </si>
  <si>
    <t>直史</t>
  </si>
  <si>
    <t>おおたけ</t>
  </si>
  <si>
    <t>なおふみ</t>
  </si>
  <si>
    <t>naofumi.otake</t>
  </si>
  <si>
    <t>naofumi.otake@mixi.co.jp</t>
  </si>
  <si>
    <t>大館和俊</t>
  </si>
  <si>
    <t>大館</t>
  </si>
  <si>
    <t>和俊</t>
  </si>
  <si>
    <t>おおだて</t>
  </si>
  <si>
    <t>かずとし</t>
  </si>
  <si>
    <t>kazutoshi.odate</t>
  </si>
  <si>
    <t>kazutoshi.odate@mixi.co.jp</t>
  </si>
  <si>
    <t>株式会社MIXI/小林管掌/コンプライアンス本部/知財室/特許グループ</t>
  </si>
  <si>
    <t>AU074020100</t>
  </si>
  <si>
    <t>大谷耕一郎</t>
  </si>
  <si>
    <t>大谷</t>
  </si>
  <si>
    <t>耕一郎</t>
  </si>
  <si>
    <t>おおたに</t>
  </si>
  <si>
    <t>こういちろう</t>
  </si>
  <si>
    <t>koichiro.ohtani</t>
  </si>
  <si>
    <t>koichiro.ohtani@mixi.co.jp</t>
  </si>
  <si>
    <t>AX089040602
AX089040400</t>
  </si>
  <si>
    <t>大津好永</t>
  </si>
  <si>
    <t>大津</t>
  </si>
  <si>
    <t>好永</t>
  </si>
  <si>
    <t>おおつ</t>
  </si>
  <si>
    <t>このえ</t>
  </si>
  <si>
    <t>konoe.otsu</t>
  </si>
  <si>
    <t>konoe.otsu@mixi.co.jp</t>
  </si>
  <si>
    <t>株式会社MIXI/村瀨管掌/デザイン本部/ブランドデザイン室/マネジメントグループ/バックオフィスチーム</t>
  </si>
  <si>
    <t>AR059000000
AR059050000
AR059060000
AR059060300
AR059060800
AR059060900
AR059070000
AR059070100
AR059070200
AR059070300
AR059050700
AR059050800
AR059080100
AR059080000
AR059080400
AR059070702
AR059080300
AR059070700
AR059051000
AR059050900
AR059061100
AR059061200</t>
  </si>
  <si>
    <t>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t>
  </si>
  <si>
    <t>0
0
0
0
0
0
0
0
0
0
0
0
0
0
0
1
0
0
0
0
0
0</t>
  </si>
  <si>
    <t>大塚崇太郎a</t>
  </si>
  <si>
    <t>大塚</t>
  </si>
  <si>
    <t>崇太郎a</t>
  </si>
  <si>
    <t>おおつか</t>
  </si>
  <si>
    <t>しゅうたろう</t>
  </si>
  <si>
    <t>shutaro.otsuka.a.ts</t>
  </si>
  <si>
    <t>shutaro.otsuka.a.ts@mixi.co.jp</t>
  </si>
  <si>
    <t>大塚真二</t>
  </si>
  <si>
    <t>真二</t>
  </si>
  <si>
    <t>しんじ</t>
  </si>
  <si>
    <t>shinji.otsuka</t>
  </si>
  <si>
    <t>shinji.otsuka@mixi.co.jp</t>
  </si>
  <si>
    <t>大塚弘記</t>
  </si>
  <si>
    <t>弘記</t>
  </si>
  <si>
    <t>hiroki.ohtsuka</t>
  </si>
  <si>
    <t>hiroki.ohtsuka@mixi.co.jp</t>
  </si>
  <si>
    <t>AR060050100
AR060051400
AO082020205</t>
  </si>
  <si>
    <t>大槻</t>
  </si>
  <si>
    <t>一彦</t>
  </si>
  <si>
    <t>おおつき</t>
  </si>
  <si>
    <t>かずひこ</t>
  </si>
  <si>
    <t>kazuhiko.otsuki</t>
  </si>
  <si>
    <t>kazuhiko.otsuki@mixi.co.jp</t>
  </si>
  <si>
    <t>株式会社MIXI/木村管掌/デジタルエンターテインメントオペレーションズ本部/コトダマン運営部</t>
  </si>
  <si>
    <t>AO082080000</t>
  </si>
  <si>
    <t>部長</t>
  </si>
  <si>
    <t>大槻尚孝</t>
  </si>
  <si>
    <t>尚孝</t>
  </si>
  <si>
    <t>なおたか</t>
  </si>
  <si>
    <t>naotaka.otsuki</t>
  </si>
  <si>
    <t>naotaka.otsuki@mixi.co.jp</t>
  </si>
  <si>
    <t>大友知美</t>
  </si>
  <si>
    <t>大友</t>
  </si>
  <si>
    <t>知美</t>
  </si>
  <si>
    <t>おおとも</t>
  </si>
  <si>
    <t>ともみ</t>
  </si>
  <si>
    <t>tomomi.otomo</t>
  </si>
  <si>
    <t>tomomi.otomo@mixi.co.jp</t>
  </si>
  <si>
    <t>AW076050100
XI516000000</t>
  </si>
  <si>
    <t>大波隆之</t>
  </si>
  <si>
    <t>大波</t>
  </si>
  <si>
    <t>隆之</t>
  </si>
  <si>
    <t>おおなみ</t>
  </si>
  <si>
    <t>takayuki.onami.ts</t>
  </si>
  <si>
    <t>takayuki.onami.ts@mixi.co.jp</t>
  </si>
  <si>
    <t>株式会社MIXI/村瀨管掌/デザイン本部/動画クリエイティブ室/コンテンツディレクション第2グループ/ディレクターチーム</t>
  </si>
  <si>
    <t>AR059061201</t>
  </si>
  <si>
    <t>大西貴之</t>
  </si>
  <si>
    <t>大西</t>
  </si>
  <si>
    <t>おおにし</t>
  </si>
  <si>
    <t>takayuki.onishi</t>
  </si>
  <si>
    <t>takayuki.onishi@m-sfidante.com</t>
  </si>
  <si>
    <t>大貫祐輔</t>
  </si>
  <si>
    <t>大貫</t>
  </si>
  <si>
    <t>祐輔</t>
  </si>
  <si>
    <t>おおぬき</t>
  </si>
  <si>
    <t>yusuke.onuki</t>
  </si>
  <si>
    <t>yusuke.onuki@netdreamers.co.jp</t>
  </si>
  <si>
    <t>XM519000000
XM523010400</t>
  </si>
  <si>
    <t>大沼敦司</t>
  </si>
  <si>
    <t>大沼</t>
  </si>
  <si>
    <t>敦司</t>
  </si>
  <si>
    <t>おおぬま</t>
  </si>
  <si>
    <t>atsushi.onuma</t>
  </si>
  <si>
    <t>atsushi.onuma@mixi.co.jp</t>
  </si>
  <si>
    <t>大沼純平</t>
  </si>
  <si>
    <t>純平</t>
  </si>
  <si>
    <t>じゅんぺい</t>
  </si>
  <si>
    <t>jumpei.ohnuma</t>
  </si>
  <si>
    <t>jumpei.ohnuma@mixi.co.jp</t>
  </si>
  <si>
    <t>大野一樹</t>
  </si>
  <si>
    <t>大野</t>
  </si>
  <si>
    <t>一樹</t>
  </si>
  <si>
    <t>おおの</t>
  </si>
  <si>
    <t>かづき</t>
  </si>
  <si>
    <t>kazuki.ono</t>
  </si>
  <si>
    <t>kazuki.ono@mixi.co.jp</t>
  </si>
  <si>
    <t>株式会社MIXI/村瀨管掌/開発本部/CTO室/Platform Engineeringグループ</t>
  </si>
  <si>
    <t>AR060011600</t>
  </si>
  <si>
    <t>大野洋毅</t>
  </si>
  <si>
    <t>洋毅</t>
  </si>
  <si>
    <t>hiroki.ono</t>
  </si>
  <si>
    <t>hiroki.ono@mixi.co.jp</t>
  </si>
  <si>
    <t>株式会社MIXI/木村管掌/デジタルエンターテインメントオペレーションズ本部/コトダマン運営部/運営設計グループ</t>
  </si>
  <si>
    <t>AO082080500
AO082080502</t>
  </si>
  <si>
    <t>大野瑠恩</t>
  </si>
  <si>
    <t>瑠恩</t>
  </si>
  <si>
    <t>るおん</t>
  </si>
  <si>
    <t>ruon.ono</t>
  </si>
  <si>
    <t>ruon.ono@mixi-empowerment.co.jp</t>
  </si>
  <si>
    <t>大廣陽子</t>
  </si>
  <si>
    <t>大廣</t>
  </si>
  <si>
    <t>おおひろ</t>
  </si>
  <si>
    <t>yoko.ohiro</t>
  </si>
  <si>
    <t>yoko.ohiro@mixi.co.jp</t>
  </si>
  <si>
    <t>株式会社MIXI/村瀨管掌/デザイン本部/プロダクトデザイン室/デザイングループ</t>
  </si>
  <si>
    <t>AR059050900
AO082090102</t>
  </si>
  <si>
    <t>大渕祐太郎a</t>
  </si>
  <si>
    <t>大渕</t>
  </si>
  <si>
    <t>祐太郎a</t>
  </si>
  <si>
    <t>おおぶち</t>
  </si>
  <si>
    <t>ゆうたろう</t>
  </si>
  <si>
    <t>yutaro.obuchi.a</t>
  </si>
  <si>
    <t>yutaro.obuchi.a@m-sfidante.com</t>
  </si>
  <si>
    <t>大曲賢嘉</t>
  </si>
  <si>
    <t>大曲</t>
  </si>
  <si>
    <t>賢嘉</t>
  </si>
  <si>
    <t>おおまがり</t>
  </si>
  <si>
    <t>たかよし</t>
  </si>
  <si>
    <t>takayoshi.omagari</t>
  </si>
  <si>
    <t>takayoshi.omagari@mixi.co.jp</t>
  </si>
  <si>
    <t>株式会社MIXI/奥山管掌/コーポレートデベロップメント本部/事業企画推進部/事業推進グループ</t>
  </si>
  <si>
    <t>AW085040200</t>
  </si>
  <si>
    <t>大宮千尋</t>
  </si>
  <si>
    <t>大宮</t>
  </si>
  <si>
    <t>千尋</t>
  </si>
  <si>
    <t>おおみや</t>
  </si>
  <si>
    <t>chihiro.omiya</t>
  </si>
  <si>
    <t>chihiro.omiya@mixi.co.jp</t>
  </si>
  <si>
    <t>大村祥子</t>
  </si>
  <si>
    <t>大村</t>
  </si>
  <si>
    <t>祥子</t>
  </si>
  <si>
    <t>おおむら</t>
  </si>
  <si>
    <t>しょうこ</t>
  </si>
  <si>
    <t>shoko.omura</t>
  </si>
  <si>
    <t>shoko.omura@mixi-empowerment.co.jp</t>
  </si>
  <si>
    <t>大森耕自</t>
  </si>
  <si>
    <t>大森</t>
  </si>
  <si>
    <t>耕自</t>
  </si>
  <si>
    <t>おおもり</t>
  </si>
  <si>
    <t>koji.omori.ts</t>
  </si>
  <si>
    <t>koji.omori.ts@mixi.co.jp</t>
  </si>
  <si>
    <t>大屋孝文</t>
  </si>
  <si>
    <t>大屋</t>
  </si>
  <si>
    <t>孝文</t>
  </si>
  <si>
    <t>おおや</t>
  </si>
  <si>
    <t>takafumi.oya</t>
  </si>
  <si>
    <t>takafumi.oya@mixi.co.jp</t>
  </si>
  <si>
    <t>株式会社MIXI/奥山管掌/ソーシャルベッティング事業本部/TIPSTAR事業部/プロダクト戦略グループ/マーケティングチーム</t>
  </si>
  <si>
    <t>AW076021103</t>
  </si>
  <si>
    <t>大山敏浩</t>
  </si>
  <si>
    <t>大山</t>
  </si>
  <si>
    <t>敏浩</t>
  </si>
  <si>
    <t>おおやま</t>
  </si>
  <si>
    <t>toshihiro.oyama.ts</t>
  </si>
  <si>
    <t>toshihiro.oyama.ts@mixi.co.jp</t>
  </si>
  <si>
    <t>AW085040000</t>
  </si>
  <si>
    <t>大山公也</t>
  </si>
  <si>
    <t>公也</t>
  </si>
  <si>
    <t>tomoya.oyama</t>
  </si>
  <si>
    <t>tomoya.oyama@mixi.co.jp</t>
  </si>
  <si>
    <t>大和田薫</t>
  </si>
  <si>
    <t>大和田</t>
  </si>
  <si>
    <t>薫</t>
  </si>
  <si>
    <t>おおわだ</t>
  </si>
  <si>
    <t>かおる</t>
  </si>
  <si>
    <t>kaoru.owada</t>
  </si>
  <si>
    <t>kaoru.owada@mixi.co.jp</t>
  </si>
  <si>
    <t>株式会社MIXI/笠原管掌/みてね事業本部/みてね事業開発部/BizOpsグループ</t>
  </si>
  <si>
    <t>AQ087010000
AQ087020000
AQ087040600
AQ087040100
AQ087030000</t>
  </si>
  <si>
    <t>スタッフ
スタッフ
マネージャー
マネージャー
スタッフ</t>
  </si>
  <si>
    <t>大和田大</t>
  </si>
  <si>
    <t>大</t>
  </si>
  <si>
    <t>ゆたか</t>
  </si>
  <si>
    <t>yutaka.owada.ts</t>
  </si>
  <si>
    <t>yutaka.owada.ts@mixi.co.jp</t>
  </si>
  <si>
    <t>岡功典</t>
  </si>
  <si>
    <t>岡</t>
  </si>
  <si>
    <t>功典</t>
  </si>
  <si>
    <t>おか</t>
  </si>
  <si>
    <t>kosuke.oka</t>
  </si>
  <si>
    <t>kosuke.oka@mixi.co.jp</t>
  </si>
  <si>
    <t>株式会社MIXI/木村管掌/デジタルエンターテインメントオペレーションズ本部/ファンマーケティング部/ライセンスグループ/制作&amp;開発チーム</t>
  </si>
  <si>
    <t>AO082060302
AO082060303</t>
  </si>
  <si>
    <t>岡崎健汰a</t>
  </si>
  <si>
    <t>岡崎</t>
  </si>
  <si>
    <t>健汰a</t>
  </si>
  <si>
    <t>おかざき</t>
  </si>
  <si>
    <t>kenta.okazaki.a.ts</t>
  </si>
  <si>
    <t>kenta.okazaki.a.ts@mixi.co.jp</t>
  </si>
  <si>
    <t>株式会社MIXI/木村管掌/デジタルエンターテインメントオペレーションズ本部/コトダマン運営部/プロダクト戦略グループ/ファンマーケティングチーム</t>
  </si>
  <si>
    <t>AO082080203</t>
  </si>
  <si>
    <t>岡崎誠</t>
  </si>
  <si>
    <t>誠</t>
  </si>
  <si>
    <t>makoto.okazaki</t>
  </si>
  <si>
    <t>makoto.okazaki@mixi.co.jp</t>
  </si>
  <si>
    <t>株式会社MIXI/村瀨管掌/はたらく環境推進本部/コーポレートITサービス部/環境整備グループ/アプリケーションチーム</t>
  </si>
  <si>
    <t>AR091010202</t>
  </si>
  <si>
    <t>小笠原魁a</t>
  </si>
  <si>
    <t>小笠原</t>
  </si>
  <si>
    <t>魁a</t>
  </si>
  <si>
    <t>おがさわら</t>
  </si>
  <si>
    <t>かい</t>
  </si>
  <si>
    <t>kai.ogasawara.a</t>
  </si>
  <si>
    <t>kai.ogasawara.a@mixi.co.jp</t>
  </si>
  <si>
    <t>株式会社MIXI/木村管掌/デジタルエンターテインメントオペレーションズ本部/事業戦略部/IPマーケティンググループ/モンソニ企画チーム</t>
  </si>
  <si>
    <t>AO082050402</t>
  </si>
  <si>
    <t>小笠原颯大</t>
  </si>
  <si>
    <t>颯大</t>
  </si>
  <si>
    <t>そうた</t>
  </si>
  <si>
    <t>sota.ogasawara.ts</t>
  </si>
  <si>
    <t>sota.ogasawara.ts@mixi.co.jp</t>
  </si>
  <si>
    <t>岡田圭蔵</t>
  </si>
  <si>
    <t>岡田</t>
  </si>
  <si>
    <t>圭蔵</t>
  </si>
  <si>
    <t>おかだ</t>
  </si>
  <si>
    <t>けいぞう</t>
  </si>
  <si>
    <t>keizo.okada.ts</t>
  </si>
  <si>
    <t>keizo.okada.ts@mixi.co.jp</t>
  </si>
  <si>
    <t>株式会社MIXI/笠原管掌/Vantageスタジオ/mixi事業部/パートナービジネスグループ/ゲームチーム</t>
  </si>
  <si>
    <t>AQ061040303</t>
  </si>
  <si>
    <t>岡田健太郎</t>
  </si>
  <si>
    <t>健太郎</t>
  </si>
  <si>
    <t>kentaro.okada</t>
  </si>
  <si>
    <t>kentaro.okada@mixi.co.jp</t>
  </si>
  <si>
    <t>AR091040500</t>
  </si>
  <si>
    <t>岡田光平</t>
  </si>
  <si>
    <t>光平</t>
  </si>
  <si>
    <t>kohei.okada.ts</t>
  </si>
  <si>
    <t>kohei.okada.ts@mixi.co.jp</t>
  </si>
  <si>
    <t>株式会社MIXI/笠原管掌/Vantageスタジオ/minimo事業部/プロダクト開発グループ/アプリ施策開発チーム</t>
  </si>
  <si>
    <t>AQ061071902</t>
  </si>
  <si>
    <t>岡田早紀子</t>
  </si>
  <si>
    <t>早紀子</t>
  </si>
  <si>
    <t>さきこ</t>
  </si>
  <si>
    <t>sakiko.okada.ts</t>
  </si>
  <si>
    <t>岡田直美</t>
  </si>
  <si>
    <t>直美</t>
  </si>
  <si>
    <t>なおみ</t>
  </si>
  <si>
    <t>naomi.okada</t>
  </si>
  <si>
    <t>naomi.okada@netdreamers.co.jp</t>
  </si>
  <si>
    <t>岡田渉</t>
  </si>
  <si>
    <t>渉</t>
  </si>
  <si>
    <t>wataru.okada.ts</t>
  </si>
  <si>
    <t>wataru.okada.ts@mixi.co.jp</t>
  </si>
  <si>
    <t>株式会社MIXI/木村管掌/デジタルエンターテインメントオペレーションズ本部/モンストIPクリエイション部/アート第2グループ/コラボBチーム</t>
  </si>
  <si>
    <t>AO082040402</t>
  </si>
  <si>
    <t>尾方茂生</t>
  </si>
  <si>
    <t>尾方</t>
  </si>
  <si>
    <t>茂生</t>
  </si>
  <si>
    <t>おがた</t>
  </si>
  <si>
    <t>しげお</t>
  </si>
  <si>
    <t>shigeo.ogata</t>
  </si>
  <si>
    <t>shigeo.ogata@mixi.co.jp</t>
  </si>
  <si>
    <t>尾形耀亮</t>
  </si>
  <si>
    <t>尾形</t>
  </si>
  <si>
    <t>耀亮</t>
  </si>
  <si>
    <t>yosuke.ogata.ts</t>
  </si>
  <si>
    <t>yosuke.ogata.ts@mixi.co.jp</t>
  </si>
  <si>
    <t>岡野修身</t>
  </si>
  <si>
    <t>岡野</t>
  </si>
  <si>
    <t>修身</t>
  </si>
  <si>
    <t>おかの</t>
  </si>
  <si>
    <t>おさみ</t>
  </si>
  <si>
    <t>osami.okano.ts</t>
  </si>
  <si>
    <t>osami.okano.ts@mixi.co.jp</t>
  </si>
  <si>
    <t>株式会社MIXI/村瀨管掌/はたらく環境推進本部/ビジネスサポート室/XFLAGサポートグループ/委託管理チーム</t>
  </si>
  <si>
    <t>AR091040101</t>
  </si>
  <si>
    <t>岡野吾朗</t>
  </si>
  <si>
    <t>吾朗</t>
  </si>
  <si>
    <t>ごろう</t>
  </si>
  <si>
    <t>goro.okano</t>
  </si>
  <si>
    <t>goro.okano@mixi.co.jp</t>
  </si>
  <si>
    <t>株式会社MIXI/奥山管掌/コーポレートデベロップメント本部/投資事業部/プランニンググループ/アリーナ推進チーム</t>
  </si>
  <si>
    <t>AO090010300
AW085020402</t>
  </si>
  <si>
    <t>岡野翔悟</t>
  </si>
  <si>
    <t>翔悟</t>
  </si>
  <si>
    <t>syogo.okano.ts</t>
  </si>
  <si>
    <t>syogo.okano.ts@mixi.co.jp</t>
  </si>
  <si>
    <t>岡本紀輝</t>
  </si>
  <si>
    <t>岡本</t>
  </si>
  <si>
    <t>紀輝</t>
  </si>
  <si>
    <t>おかもと</t>
  </si>
  <si>
    <t>kazuki.okamoto</t>
  </si>
  <si>
    <t>kazuki.okamoto@mixi.co.jp</t>
  </si>
  <si>
    <t>AW076030500
XI516000000</t>
  </si>
  <si>
    <t>岡本拓磨</t>
  </si>
  <si>
    <t>拓磨</t>
  </si>
  <si>
    <t>たくま</t>
  </si>
  <si>
    <t>takuma.okamoto.ts</t>
  </si>
  <si>
    <t>takuma.okamoto.ts@mixi.co.jp</t>
  </si>
  <si>
    <t>岡本勇太</t>
  </si>
  <si>
    <t>yuta.okamoto</t>
  </si>
  <si>
    <t>yuta.okamoto@mixi.co.jp</t>
  </si>
  <si>
    <t>株式会社MIXI/木村管掌/デジタルエンターテインメントオペレーションズ本部/モンスト開発部</t>
  </si>
  <si>
    <t>AO082020000
AO082020600
AO082020700</t>
  </si>
  <si>
    <t>部長
マネージャー
マネージャー</t>
  </si>
  <si>
    <t>岡本吉起</t>
  </si>
  <si>
    <t>吉起</t>
  </si>
  <si>
    <t>よしき</t>
  </si>
  <si>
    <t>yoshiki.okamoto.ts</t>
  </si>
  <si>
    <t>yoshiki.okamoto.ts@mixi.co.jp</t>
  </si>
  <si>
    <t>小川篤史</t>
  </si>
  <si>
    <t>小川</t>
  </si>
  <si>
    <t>篤史</t>
  </si>
  <si>
    <t>おがわ</t>
  </si>
  <si>
    <t>atsushi.ogawa.ts</t>
  </si>
  <si>
    <t>atsushi.ogawa.ts@mixi.co.jp</t>
  </si>
  <si>
    <t>小川恵太</t>
  </si>
  <si>
    <t>恵太</t>
  </si>
  <si>
    <t>けいた</t>
  </si>
  <si>
    <t>keita.ogawa</t>
  </si>
  <si>
    <t>keita.ogawa@mixi.co.jp</t>
  </si>
  <si>
    <t>daisuke.ogawa</t>
  </si>
  <si>
    <t>daisuke.ogawa@mixi.co.jp</t>
  </si>
  <si>
    <t>小川拓哉</t>
  </si>
  <si>
    <t>takuya.ogawa.ts</t>
  </si>
  <si>
    <t>takuya.ogawa.ts@mixi.co.jp</t>
  </si>
  <si>
    <t>株式会社MIXI/木村管掌/デジタルエンターテインメントオペレーションズ本部/コトダマン運営部/プロダクトエンジニアグループ/サーバチーム</t>
  </si>
  <si>
    <t>AO082080702</t>
  </si>
  <si>
    <t>小川丈生</t>
  </si>
  <si>
    <t>丈生</t>
  </si>
  <si>
    <t>たけお</t>
  </si>
  <si>
    <t>takeo.ogawa.ts</t>
  </si>
  <si>
    <t>takeo.ogawa.ts@mixi.co.jp</t>
  </si>
  <si>
    <t>株式会社MIXI/笠原管掌/Vantageスタジオ/mixi事業部/開発2グループ</t>
  </si>
  <si>
    <t>AQ061040200</t>
  </si>
  <si>
    <t>小川和珠</t>
  </si>
  <si>
    <t>和珠</t>
  </si>
  <si>
    <t>tomomi.ogawa.ts</t>
  </si>
  <si>
    <t>小川遥</t>
  </si>
  <si>
    <t>遥</t>
  </si>
  <si>
    <t>haruka.ogawa.ts</t>
  </si>
  <si>
    <t>haruka.ogawa.ts@mixi.co.jp</t>
  </si>
  <si>
    <t>小川陽平</t>
  </si>
  <si>
    <t>陽平</t>
  </si>
  <si>
    <t>yohei.ogawa.ts</t>
  </si>
  <si>
    <t>yohei.ogawa.ts@mixi.co.jp</t>
  </si>
  <si>
    <t>株式会社MIXI/木村管掌/デジタルエンターテインメントオペレーションズ本部/コトダマン運営部/運営設計グループ/施策チーム</t>
  </si>
  <si>
    <t>AO082080502</t>
  </si>
  <si>
    <t>小川凌右</t>
  </si>
  <si>
    <t>凌右</t>
  </si>
  <si>
    <t>ryosuke.ogawa</t>
  </si>
  <si>
    <t>ryosuke.ogawa@mixi.co.jp</t>
  </si>
  <si>
    <t>AO082080102</t>
  </si>
  <si>
    <t>沖勇作</t>
  </si>
  <si>
    <t>沖</t>
  </si>
  <si>
    <t>勇作</t>
  </si>
  <si>
    <t>おき</t>
  </si>
  <si>
    <t>ゆうさく</t>
  </si>
  <si>
    <t>yusaku.oki</t>
  </si>
  <si>
    <t>yusaku.oki@mixi.co.jp</t>
  </si>
  <si>
    <t>株式会社MIXI/奥山管掌/コーポレートデベロップメント本部/事業企画推進部/Piconグロースグループ/事業支援チーム</t>
  </si>
  <si>
    <t>XW557000000
AW085040102</t>
  </si>
  <si>
    <t>沖浦雅俊</t>
  </si>
  <si>
    <t>沖浦</t>
  </si>
  <si>
    <t>雅俊</t>
  </si>
  <si>
    <t>おきうら</t>
  </si>
  <si>
    <t>まさとし</t>
  </si>
  <si>
    <t>masatoshi.okiura</t>
  </si>
  <si>
    <t>masatoshi.okiura@mixi.co.jp</t>
  </si>
  <si>
    <t>株式会社MIXI/村瀨管掌/デザイン本部/動画クリエイティブ室/コンテンツディレクション第2グループ</t>
  </si>
  <si>
    <t>AR059061200</t>
  </si>
  <si>
    <t>沖下雅英</t>
  </si>
  <si>
    <t>沖下</t>
  </si>
  <si>
    <t>雅英</t>
  </si>
  <si>
    <t>おきした</t>
  </si>
  <si>
    <t>まさひで</t>
  </si>
  <si>
    <t>masahide.okishita</t>
  </si>
  <si>
    <t>masahide.okishita@mixi.co.jp</t>
  </si>
  <si>
    <t>沖野達也</t>
  </si>
  <si>
    <t>沖野</t>
  </si>
  <si>
    <t>おきの</t>
  </si>
  <si>
    <t>tatsuya.okino</t>
  </si>
  <si>
    <t>tatsuya.okino@mixi.co.jp</t>
  </si>
  <si>
    <t>荻野聡太</t>
  </si>
  <si>
    <t>荻野</t>
  </si>
  <si>
    <t>聡太</t>
  </si>
  <si>
    <t>おぎの</t>
  </si>
  <si>
    <t>sota.ogino</t>
  </si>
  <si>
    <t>sota.ogino@netdreamers.co.jp</t>
  </si>
  <si>
    <t>株式会社ネットドリーマーズ/株式会社ネットドリーマーズ/サービス推進開発本部/開発部/開発第3グループ</t>
  </si>
  <si>
    <t>XM556010300
XM556000000</t>
  </si>
  <si>
    <t>奥大輔a</t>
  </si>
  <si>
    <t>奥</t>
  </si>
  <si>
    <t>大輔a</t>
  </si>
  <si>
    <t>おく</t>
  </si>
  <si>
    <t>daisuke.oku.a</t>
  </si>
  <si>
    <t>daisuke.oku.a@m-chariloto.com</t>
  </si>
  <si>
    <t>奥住哉太</t>
  </si>
  <si>
    <t>奥住</t>
  </si>
  <si>
    <t>哉太</t>
  </si>
  <si>
    <t>おくずみ</t>
  </si>
  <si>
    <t>かなた</t>
  </si>
  <si>
    <t>kanata.okuzumi</t>
  </si>
  <si>
    <t>kanata.okuzumi@mixi.co.jp</t>
  </si>
  <si>
    <t>奥殿純</t>
  </si>
  <si>
    <t>奥殿</t>
  </si>
  <si>
    <t>純</t>
  </si>
  <si>
    <t>おくどの</t>
  </si>
  <si>
    <t>jun.okudono</t>
  </si>
  <si>
    <t>jun.okudono@netdreamers.co.jp</t>
  </si>
  <si>
    <t>株式会社ネットドリーマーズ/株式会社ネットドリーマーズ/netkeiba事業本部/次世代サービス事業部/次世代サービスグループ</t>
  </si>
  <si>
    <t>XM550000000
XM550050100</t>
  </si>
  <si>
    <t>奥野真也</t>
  </si>
  <si>
    <t>奥野</t>
  </si>
  <si>
    <t>真也</t>
  </si>
  <si>
    <t>おくの</t>
  </si>
  <si>
    <t>shinya.okuno</t>
  </si>
  <si>
    <t>shinya.okuno@netdreamers.co.jp</t>
  </si>
  <si>
    <t>XM550000000
XM551000000
XM550030000</t>
  </si>
  <si>
    <t>奥野豊</t>
  </si>
  <si>
    <t>豊</t>
  </si>
  <si>
    <t>yutaka.okuno</t>
  </si>
  <si>
    <t>yutaka.okuno@netdreamers.co.jp</t>
  </si>
  <si>
    <t>株式会社ネットドリーマーズ/株式会社ネットドリーマーズ/サービス推進開発本部/サービス推進部/品質グループ</t>
  </si>
  <si>
    <t>XM556030200
XM556000000</t>
  </si>
  <si>
    <t>奥原祐貴</t>
  </si>
  <si>
    <t>奥原</t>
  </si>
  <si>
    <t>祐貴</t>
  </si>
  <si>
    <t>おくはら</t>
  </si>
  <si>
    <t>yuki.okuhara</t>
  </si>
  <si>
    <t>yuki.okuhara@mixi.co.jp</t>
  </si>
  <si>
    <t>株式会社MIXI
株式会社ネットドリーマーズ</t>
  </si>
  <si>
    <t>株式会社MIXI/奥山管掌/ソーシャルベッティング事業本部/ネットドリーマーズ事業部/プロダクトグループ</t>
  </si>
  <si>
    <t>XM551010100
XM551000000
AW076080200</t>
  </si>
  <si>
    <t>奥山</t>
  </si>
  <si>
    <t>おくやま</t>
  </si>
  <si>
    <t>sho.okuyama</t>
  </si>
  <si>
    <t>sho.okuyama@mixi.co.jp</t>
  </si>
  <si>
    <t>株式会社MIXI/管掌役員なし/上級執行役員</t>
  </si>
  <si>
    <t>AW076000000
ZZ998000000
XI516000000</t>
  </si>
  <si>
    <t>本部長
上級執行役員
取締役</t>
  </si>
  <si>
    <t>小倉歩</t>
  </si>
  <si>
    <t>小倉</t>
  </si>
  <si>
    <t>歩</t>
  </si>
  <si>
    <t>おぐら</t>
  </si>
  <si>
    <t>あゆみ</t>
  </si>
  <si>
    <t>ayumi.ogura</t>
  </si>
  <si>
    <t>ayumi.ogura@netdreamers.co.jp</t>
  </si>
  <si>
    <t>株式会社ネットドリーマーズ/株式会社ネットドリーマーズ/経営管理本部/管理部/総務グループ</t>
  </si>
  <si>
    <t>XM519000000
XM523010500
XM523010400</t>
  </si>
  <si>
    <t>スタッフ
マネージャー
スタッフ</t>
  </si>
  <si>
    <t>小倉貴子</t>
  </si>
  <si>
    <t>貴子</t>
  </si>
  <si>
    <t>たかこ</t>
  </si>
  <si>
    <t>takako.ogura</t>
  </si>
  <si>
    <t>takako.ogura@mixi.co.jp</t>
  </si>
  <si>
    <t>小倉孝志</t>
  </si>
  <si>
    <t>孝志</t>
  </si>
  <si>
    <t>takashi.ogura.ts</t>
  </si>
  <si>
    <t>takashi.ogura.ts@mixi.co.jp</t>
  </si>
  <si>
    <t>小倉麻衣子</t>
  </si>
  <si>
    <t>麻衣子</t>
  </si>
  <si>
    <t>まいこ</t>
  </si>
  <si>
    <t>maiko.ogura</t>
  </si>
  <si>
    <t>maiko.ogura@mixi.co.jp</t>
  </si>
  <si>
    <t>尾崎拓</t>
  </si>
  <si>
    <t>尾崎</t>
  </si>
  <si>
    <t>拓</t>
  </si>
  <si>
    <t>おざき</t>
  </si>
  <si>
    <t>たく</t>
  </si>
  <si>
    <t>taku.ozaki</t>
  </si>
  <si>
    <t>taku.ozaki@mixi.co.jp</t>
  </si>
  <si>
    <t>株式会社MIXI/村瀨管掌/デザイン本部/プロダクトデザイン室/エクスペリエンスデザイン第2グループ</t>
  </si>
  <si>
    <t>AR059050800
AO090030000</t>
  </si>
  <si>
    <t>尾崎悠</t>
  </si>
  <si>
    <t>yutaka.ozaki</t>
  </si>
  <si>
    <t>yutaka.ozaki@mixi.co.jp</t>
  </si>
  <si>
    <t>株式会社MIXI/木村管掌/デジタルエンターテインメントオペレーションズ本部/モンスト運営部/ゲーム推進グループ</t>
  </si>
  <si>
    <t>AO082010900</t>
  </si>
  <si>
    <t>長内菜津美</t>
  </si>
  <si>
    <t>長内</t>
  </si>
  <si>
    <t>菜津美</t>
  </si>
  <si>
    <t>おさない</t>
  </si>
  <si>
    <t>natsumi.osanai</t>
  </si>
  <si>
    <t>natsumi.osanai@mixi.co.jp</t>
  </si>
  <si>
    <t>株式会社MIXI/木村管掌/デジタルエンターテインメントオペレーションズ本部/ファンマーケティング部/オウンドグループ/コンテンツ企画1チーム</t>
  </si>
  <si>
    <t>AO082060601</t>
  </si>
  <si>
    <t>小澤裕貴</t>
  </si>
  <si>
    <t>小澤</t>
  </si>
  <si>
    <t>裕貴</t>
  </si>
  <si>
    <t>おざわ</t>
  </si>
  <si>
    <t>hiroki.ozawa.ts</t>
  </si>
  <si>
    <t>hiroki.ozawa.ts@mixi.co.jp</t>
  </si>
  <si>
    <t>小澤義幸</t>
  </si>
  <si>
    <t>義幸</t>
  </si>
  <si>
    <t>よしゆき</t>
  </si>
  <si>
    <t>yoshiyuki.ozawa</t>
  </si>
  <si>
    <t>yoshiyuki.ozawa@mixi.co.jp</t>
  </si>
  <si>
    <t>株式会社MIXI/島村管掌/人事本部/エンパワーメント推進室/企画管理グループ</t>
  </si>
  <si>
    <t>AX089020100</t>
  </si>
  <si>
    <t>生島光</t>
  </si>
  <si>
    <t>生島</t>
  </si>
  <si>
    <t>おじま</t>
  </si>
  <si>
    <t>hikaru.ojima</t>
  </si>
  <si>
    <t>hikaru.ojima@mixi.co.jp</t>
  </si>
  <si>
    <t>株式会社MIXI/笠原管掌/みてね事業本部/みてねプラットフォーム部/SREグループ</t>
  </si>
  <si>
    <t>AQ087010200
AQ087040000</t>
  </si>
  <si>
    <t>押見太雄</t>
  </si>
  <si>
    <t>押見</t>
  </si>
  <si>
    <t>太雄</t>
  </si>
  <si>
    <t>おしみ</t>
  </si>
  <si>
    <t>たお</t>
  </si>
  <si>
    <t>tao.oshimi</t>
  </si>
  <si>
    <t>tao.oshimi@mixi.co.jp</t>
  </si>
  <si>
    <t>株式会社MIXI/木村管掌/デジタルエンターテインメントオペレーションズ本部/モンスト運営部/Global Directionグループ/海外企画Gチーム</t>
  </si>
  <si>
    <t>AO082010403</t>
  </si>
  <si>
    <t>尾関</t>
  </si>
  <si>
    <t>芳郎</t>
  </si>
  <si>
    <t>おぜき</t>
  </si>
  <si>
    <t>よしろう</t>
  </si>
  <si>
    <t>yoshiro.ozeki</t>
  </si>
  <si>
    <t>yoshiro.ozeki@mixi.co.jp</t>
  </si>
  <si>
    <t>小田島茉里</t>
  </si>
  <si>
    <t>小田島</t>
  </si>
  <si>
    <t>茉里</t>
  </si>
  <si>
    <t>おだしま</t>
  </si>
  <si>
    <t>mari.odashima</t>
  </si>
  <si>
    <t>mari.odashima@mixi.co.jp</t>
  </si>
  <si>
    <t>株式会社MIXI/木村管掌/デジタルエンターテインメントオペレーションズ本部/事業戦略部/IP戦略グループ</t>
  </si>
  <si>
    <t>AO082050700</t>
  </si>
  <si>
    <t>越智</t>
  </si>
  <si>
    <t>おち</t>
  </si>
  <si>
    <t>jumpei.ochi</t>
  </si>
  <si>
    <t>jumpei.ochi@mixi.co.jp</t>
  </si>
  <si>
    <t>株式会社MIXI/村瀨管掌/デザイン本部/動画クリエイティブ室</t>
  </si>
  <si>
    <t>AR059060000</t>
  </si>
  <si>
    <t>室長</t>
  </si>
  <si>
    <t>越智正英</t>
  </si>
  <si>
    <t>正英</t>
  </si>
  <si>
    <t>masahide.ochi</t>
  </si>
  <si>
    <t>masahide.ochi@mixi.co.jp</t>
  </si>
  <si>
    <t>株式会社MIXI/木村管掌/デジタルエンターテインメントオペレーションズ本部/モンストIPクリエイション部/映像グループ/制作チーム</t>
  </si>
  <si>
    <t>AO082040801</t>
  </si>
  <si>
    <t>落合俊介</t>
  </si>
  <si>
    <t>落合</t>
  </si>
  <si>
    <t>俊介</t>
  </si>
  <si>
    <t>おちあい</t>
  </si>
  <si>
    <t>しゅんすけ</t>
  </si>
  <si>
    <t>shunsuke.ochiai</t>
  </si>
  <si>
    <t>shunsuke.ochiai@mixi.co.jp</t>
  </si>
  <si>
    <t>鬼窪峻大</t>
  </si>
  <si>
    <t>鬼窪</t>
  </si>
  <si>
    <t>おにくぼ</t>
  </si>
  <si>
    <t>toshihiro.onikubo</t>
  </si>
  <si>
    <t>toshihiro.onikubo@netdreamers.co.jp</t>
  </si>
  <si>
    <t>小野智毅</t>
  </si>
  <si>
    <t>小野</t>
  </si>
  <si>
    <t>智毅</t>
  </si>
  <si>
    <t>おの</t>
  </si>
  <si>
    <t>ともき</t>
  </si>
  <si>
    <t>tomoki.ono.ts</t>
  </si>
  <si>
    <t>tomoki.ono.ts@mixi.co.jp</t>
  </si>
  <si>
    <t>小野里</t>
  </si>
  <si>
    <t>浩司</t>
  </si>
  <si>
    <t>おのざと</t>
  </si>
  <si>
    <t>koji.onozato</t>
  </si>
  <si>
    <t>koji.onozato@mixi.co.jp</t>
  </si>
  <si>
    <t>株式会社MIXI/笠原管掌/Vantageスタジオ/事業推進室/choidoraグループ</t>
  </si>
  <si>
    <t>AQ061030800</t>
  </si>
  <si>
    <t>小野寺旬</t>
  </si>
  <si>
    <t>小野寺</t>
  </si>
  <si>
    <t>旬</t>
  </si>
  <si>
    <t>おのでら</t>
  </si>
  <si>
    <t>jun.onodera</t>
  </si>
  <si>
    <t>jun.onodera@mixi.co.jp</t>
  </si>
  <si>
    <t>株式会社MIXI/笠原管掌/みてね事業本部/みてねプロダクト開発部/プロダクト開発Mグループ</t>
  </si>
  <si>
    <t>AQ087020700
AQ087040000
AQ087020701</t>
  </si>
  <si>
    <t>マネージャー
スタッフ
リーダー</t>
  </si>
  <si>
    <t>小野寺智美</t>
  </si>
  <si>
    <t>智美</t>
  </si>
  <si>
    <t>tomomi.onodera</t>
  </si>
  <si>
    <t>tomomi.onodera@mixi.co.jp</t>
  </si>
  <si>
    <t>株式会社MIXI
株式会社MIXI EMPOWERMENT</t>
  </si>
  <si>
    <t>株式会社MIXI/島村管掌/人事本部/エンパワーメント推進室/業務推進グループ/業務推進チーム</t>
  </si>
  <si>
    <t>XG514030100
AX089020201</t>
  </si>
  <si>
    <t>小幡文映</t>
  </si>
  <si>
    <t>小幡</t>
  </si>
  <si>
    <t>文映</t>
  </si>
  <si>
    <t>おばた</t>
  </si>
  <si>
    <t>あやえ</t>
  </si>
  <si>
    <t>ayae.obata</t>
  </si>
  <si>
    <t>ayae.obata@mixi.co.jp</t>
  </si>
  <si>
    <t>株式会社MIXI/管掌役員なし/内部監査室(本部格)/内部監査室/内部監査グループ/監査企画チーム</t>
  </si>
  <si>
    <t>ZZ005010601</t>
  </si>
  <si>
    <t>小原真人</t>
  </si>
  <si>
    <t>小原</t>
  </si>
  <si>
    <t>おばら</t>
  </si>
  <si>
    <t>masato.obara.ts</t>
  </si>
  <si>
    <t>masato.obara.ts@mixi.co.jp</t>
  </si>
  <si>
    <t>株式会社MIXI/木村管掌/デジタルエンターテインメントオペレーションズ本部/モンストIPクリエイション部/アート第2グループ/背景Aチーム</t>
  </si>
  <si>
    <t>AO082040405</t>
  </si>
  <si>
    <t>小原光城</t>
  </si>
  <si>
    <t>光城</t>
  </si>
  <si>
    <t>みつしろ</t>
  </si>
  <si>
    <t>mitsushiro.obara.ts</t>
  </si>
  <si>
    <t>尾松郁哉</t>
  </si>
  <si>
    <t>尾松</t>
  </si>
  <si>
    <t>郁哉</t>
  </si>
  <si>
    <t>おまつ</t>
  </si>
  <si>
    <t>いくや</t>
  </si>
  <si>
    <t>ikuya.omatsu.ts</t>
  </si>
  <si>
    <t>ikuya.omatsu.ts@mixi.co.jp</t>
  </si>
  <si>
    <t>小村優太</t>
  </si>
  <si>
    <t>小村</t>
  </si>
  <si>
    <t>優太</t>
  </si>
  <si>
    <t>おむら</t>
  </si>
  <si>
    <t>yuta.omura</t>
  </si>
  <si>
    <t>yuta.omura@mixi.co.jp</t>
  </si>
  <si>
    <t>株式会社MIXI/木村管掌/デジタルエンターテインメントオペレーションズ本部/モンスト運営部/Global Directionグループ/海外企画Dチーム</t>
  </si>
  <si>
    <t>AO082010404</t>
  </si>
  <si>
    <t>小山田絵美</t>
  </si>
  <si>
    <t>小山田</t>
  </si>
  <si>
    <t>絵美</t>
  </si>
  <si>
    <t>おやまだ</t>
  </si>
  <si>
    <t>えみ</t>
  </si>
  <si>
    <t>emi.oyamada</t>
  </si>
  <si>
    <t>emi.oyamada@mixi.co.jp</t>
  </si>
  <si>
    <t>株式会社MIXI/笠原管掌/みてね事業本部/みてね事業開発部/業務支援グループ</t>
  </si>
  <si>
    <t>AQ087010000
AQ087020000
AQ087040600
AQ087030000</t>
  </si>
  <si>
    <t>折原綾平</t>
  </si>
  <si>
    <t>折原</t>
  </si>
  <si>
    <t>綾平</t>
  </si>
  <si>
    <t>おりはら</t>
  </si>
  <si>
    <t>りょうへい</t>
  </si>
  <si>
    <t>ryohei.orihara</t>
  </si>
  <si>
    <t>ryohei.orihara@mixi.co.jp</t>
  </si>
  <si>
    <t>株式会社MIXI/村瀨管掌/デザイン本部/動画クリエイティブ室/コンテンツディレクション第1グループ</t>
  </si>
  <si>
    <t>AR059061100</t>
  </si>
  <si>
    <t>恩田学</t>
  </si>
  <si>
    <t>恩田</t>
  </si>
  <si>
    <t>学</t>
  </si>
  <si>
    <t>おんだ</t>
  </si>
  <si>
    <t>まなぶ</t>
  </si>
  <si>
    <t>manabu.onda</t>
  </si>
  <si>
    <t>manabu.onda@mixi.co.jp</t>
  </si>
  <si>
    <t>甲斐歩美</t>
  </si>
  <si>
    <t>甲斐</t>
  </si>
  <si>
    <t>歩美</t>
  </si>
  <si>
    <t>ayumi.kai</t>
  </si>
  <si>
    <t>ayumi.kai@netdreamers.co.jp</t>
  </si>
  <si>
    <t>甲斐﨑芳郎</t>
  </si>
  <si>
    <t>甲斐﨑</t>
  </si>
  <si>
    <t>かいざき</t>
  </si>
  <si>
    <t>yoshiro.kaizaki</t>
  </si>
  <si>
    <t>yoshiro.kaizaki@mixi.co.jp</t>
  </si>
  <si>
    <t>株式会社MIXI/島村管掌/経営推進本部/グループ会社統括支援部/グループ会社管理グループ</t>
  </si>
  <si>
    <t>AW085030000
AX078080300</t>
  </si>
  <si>
    <t>貝島</t>
  </si>
  <si>
    <t>梨紗</t>
  </si>
  <si>
    <t>かいじま</t>
  </si>
  <si>
    <t>りさ</t>
  </si>
  <si>
    <t>risa.kaijima</t>
  </si>
  <si>
    <t>risa.kaijima@mixi.co.jp</t>
  </si>
  <si>
    <t>株式会社MIXI/島村管掌/人事本部/人事戦略部/データ活用推進グループ</t>
  </si>
  <si>
    <t>AX089080000
AX089060300</t>
  </si>
  <si>
    <t>貝塚達彦</t>
  </si>
  <si>
    <t>貝塚</t>
  </si>
  <si>
    <t>達彦</t>
  </si>
  <si>
    <t>かいづか</t>
  </si>
  <si>
    <t>たつひこ</t>
  </si>
  <si>
    <t>tatsuhiko.kaizuka</t>
  </si>
  <si>
    <t>tatsuhiko.kaizuka@netdreamers.co.jp</t>
  </si>
  <si>
    <t>株式会社ネットドリーマーズ/株式会社ネットドリーマーズ/サービス推進開発本部/開発部/開発第1グループ</t>
  </si>
  <si>
    <t>XM556000000
XM556010200</t>
  </si>
  <si>
    <t>柿崎昭一</t>
  </si>
  <si>
    <t>柿崎</t>
  </si>
  <si>
    <t>昭一</t>
  </si>
  <si>
    <t>かきざき</t>
  </si>
  <si>
    <t>しょういち</t>
  </si>
  <si>
    <t>shoichi.kakizaki</t>
  </si>
  <si>
    <t>shoichi.kakizaki@mixi.co.jp</t>
  </si>
  <si>
    <t>加来あゆみ</t>
  </si>
  <si>
    <t>加来</t>
  </si>
  <si>
    <t>かく</t>
  </si>
  <si>
    <t>ayumi.kaku</t>
  </si>
  <si>
    <t>ayumi.kaku@mixi.co.jp</t>
  </si>
  <si>
    <t>角早知子</t>
  </si>
  <si>
    <t>角</t>
  </si>
  <si>
    <t>早知子</t>
  </si>
  <si>
    <t>さちこ</t>
  </si>
  <si>
    <t>sachiko.kaku</t>
  </si>
  <si>
    <t>sachiko.kaku@mixi.co.jp</t>
  </si>
  <si>
    <t>郭俊佑</t>
  </si>
  <si>
    <t>郭</t>
  </si>
  <si>
    <t>俊佑</t>
  </si>
  <si>
    <t>chunyau.kwok</t>
  </si>
  <si>
    <t>chunyau.kwok@mixi.co.jp</t>
  </si>
  <si>
    <t>株式会社MIXI/木村管掌/デジタルエンターテインメントオペレーションズ本部/モンスト開発部/クライアント2グループ/クライアント1チーム</t>
  </si>
  <si>
    <t>AO082020401</t>
  </si>
  <si>
    <t>角田亮治</t>
  </si>
  <si>
    <t>角田</t>
  </si>
  <si>
    <t>亮治</t>
  </si>
  <si>
    <t>かくた</t>
  </si>
  <si>
    <t>りょうじ</t>
  </si>
  <si>
    <t>ryoji.kakuta</t>
  </si>
  <si>
    <t>ryoji.kakuta@mixi.co.jp</t>
  </si>
  <si>
    <t>AR091020100
AR091020000
AR091010203</t>
  </si>
  <si>
    <t>角戸絵理</t>
  </si>
  <si>
    <t>角戸</t>
  </si>
  <si>
    <t>絵理</t>
  </si>
  <si>
    <t>かくと</t>
  </si>
  <si>
    <t>えり</t>
  </si>
  <si>
    <t>eri.kakuto</t>
  </si>
  <si>
    <t>eri.kakuto@mixi.co.jp</t>
  </si>
  <si>
    <t>株式会社MIXI/村瀨管掌/デザイン本部/動画クリエイティブ室/デザイングループ</t>
  </si>
  <si>
    <t>AR059060800
AR059060801</t>
  </si>
  <si>
    <t>掛札竜太</t>
  </si>
  <si>
    <t>掛札</t>
  </si>
  <si>
    <t>竜太</t>
  </si>
  <si>
    <t>かけふだ</t>
  </si>
  <si>
    <t>りょうた</t>
  </si>
  <si>
    <t>ryota.kakefuda</t>
  </si>
  <si>
    <t>ryota.kakefuda@mixi.co.jp</t>
  </si>
  <si>
    <t>株式会社MIXI/木村管掌/デジタルエンターテインメントオペレーションズ本部/コトダマン制作部/アニメーショングループ/モーションチーム</t>
  </si>
  <si>
    <t>AO082090402</t>
  </si>
  <si>
    <t>影山玲実</t>
  </si>
  <si>
    <t>影山</t>
  </si>
  <si>
    <t>玲実</t>
  </si>
  <si>
    <t>かげやま</t>
  </si>
  <si>
    <t>なるみ</t>
  </si>
  <si>
    <t>narumi.kageyama</t>
  </si>
  <si>
    <t>narumi.kageyama@mixi.co.jp</t>
  </si>
  <si>
    <t>株式会社MIXI/木村管掌/デジタルエンターテインメントオペレーションズ本部/ファンマーケティング部/MD事業開発グループ/モンストア運営チーム</t>
  </si>
  <si>
    <t>AO082060402
AO082060400
AO082060403
AO082060404</t>
  </si>
  <si>
    <t>笠島</t>
  </si>
  <si>
    <t>伸吾</t>
  </si>
  <si>
    <t>かさじま</t>
  </si>
  <si>
    <t>しんご</t>
  </si>
  <si>
    <t>shingo.kasajima</t>
  </si>
  <si>
    <t>shingo.kasajima@mixi.co.jp</t>
  </si>
  <si>
    <t>株式会社MIXI/村瀨管掌/デザイン本部/動画クリエイティブ室/クリエイティブサウンドグループ</t>
  </si>
  <si>
    <t>AR059060900</t>
  </si>
  <si>
    <t>笠原健治</t>
  </si>
  <si>
    <t>笠原</t>
  </si>
  <si>
    <t>健治</t>
  </si>
  <si>
    <t>かさはら</t>
  </si>
  <si>
    <t>けんじ</t>
  </si>
  <si>
    <t>kenji</t>
  </si>
  <si>
    <t>kenji@mixi.co.jp</t>
  </si>
  <si>
    <t>株式会社MIXI
株式会社スフィダンテ</t>
  </si>
  <si>
    <t>役員
他会社兼務役員</t>
  </si>
  <si>
    <t>株式会社MIXI/管掌役員なし/取締役</t>
  </si>
  <si>
    <t>AQ061000000
AQ061050000
ZZ004000000
XK517000000
ZZ998000000</t>
  </si>
  <si>
    <t>本部長
部長
取締役
取締役
上級執行役員</t>
  </si>
  <si>
    <t>0
0
1
0
0</t>
  </si>
  <si>
    <t>家治川真弘</t>
  </si>
  <si>
    <t>家治川</t>
  </si>
  <si>
    <t>真弘</t>
  </si>
  <si>
    <t>かじかわ</t>
  </si>
  <si>
    <t>まさひろ</t>
  </si>
  <si>
    <t>masahiro.kajikawa</t>
  </si>
  <si>
    <t>masahiro.kajikawa@mixi.co.jp</t>
  </si>
  <si>
    <t>株式会社MIXI/木村管掌/デジタルエンターテインメントオペレーションズ本部/モンストIPクリエイション部/アート第1グループ/アートプロジェクトチーム</t>
  </si>
  <si>
    <t>AO082040306</t>
  </si>
  <si>
    <t>梶谷恵翼</t>
  </si>
  <si>
    <t>梶谷</t>
  </si>
  <si>
    <t>恵翼</t>
  </si>
  <si>
    <t>かじたに</t>
  </si>
  <si>
    <t>keisuke.kajitani</t>
  </si>
  <si>
    <t>keisuke.kajitani@mixi.co.jp</t>
  </si>
  <si>
    <t>柏正典</t>
  </si>
  <si>
    <t>柏</t>
  </si>
  <si>
    <t>正典</t>
  </si>
  <si>
    <t>かしわ</t>
  </si>
  <si>
    <t>masanori.kashiwa</t>
  </si>
  <si>
    <t>masanori.kashiwa@mixi.co.jp</t>
  </si>
  <si>
    <t>柏瑞記</t>
  </si>
  <si>
    <t>瑞記</t>
  </si>
  <si>
    <t>mizuki.kashiwa</t>
  </si>
  <si>
    <t>mizuki.kashiwa@mixi.co.jp</t>
  </si>
  <si>
    <t>柏﨑那英</t>
  </si>
  <si>
    <t>柏﨑</t>
  </si>
  <si>
    <t>那英</t>
  </si>
  <si>
    <t>かしわざき</t>
  </si>
  <si>
    <t>ともひで</t>
  </si>
  <si>
    <t>tomohide.kashiwazaki</t>
  </si>
  <si>
    <t>tomohide.kashiwazaki@mixi.co.jp</t>
  </si>
  <si>
    <t>株式会社MIXI/木村管掌/デジタルエンターテインメントオペレーションズ本部/モンスト運営部/UI・UXデザイングループ/UI第1チーム</t>
  </si>
  <si>
    <t>AO082010601</t>
  </si>
  <si>
    <t>柏瀬康太</t>
  </si>
  <si>
    <t>柏瀬</t>
  </si>
  <si>
    <t>康太</t>
  </si>
  <si>
    <t>かしわせ</t>
  </si>
  <si>
    <t>こうた</t>
  </si>
  <si>
    <t>kota.kashiwase</t>
  </si>
  <si>
    <t>kota.kashiwase@mixi.co.jp</t>
  </si>
  <si>
    <t>AO090030000
AO090040000</t>
  </si>
  <si>
    <t>柏原直子</t>
  </si>
  <si>
    <t>柏原</t>
  </si>
  <si>
    <t>直子</t>
  </si>
  <si>
    <t>かしわばら</t>
  </si>
  <si>
    <t>naoko.kashiwabara</t>
  </si>
  <si>
    <t>naoko.kashiwabara@mixi.co.jp</t>
  </si>
  <si>
    <t>株式会社MIXI/笠原管掌/Vantageスタジオ/minimo事業部/CSグループ/CSチーム</t>
  </si>
  <si>
    <t>AQ061070501</t>
  </si>
  <si>
    <t>梶原雄</t>
  </si>
  <si>
    <t>梶原</t>
  </si>
  <si>
    <t>雄</t>
  </si>
  <si>
    <t>かじわら</t>
  </si>
  <si>
    <t>yu.kajiwara</t>
  </si>
  <si>
    <t>yu.kajiwara@mixi.co.jp</t>
  </si>
  <si>
    <t>株式会社MIXI/木村管掌/デジタルエンターテインメントオペレーションズ本部/コトダマン制作部/コンテンツプランニンググループ/シナリオチーム</t>
  </si>
  <si>
    <t>AO082090502
AO082090501</t>
  </si>
  <si>
    <t>片岡由羽</t>
  </si>
  <si>
    <t>片岡</t>
  </si>
  <si>
    <t>由羽</t>
  </si>
  <si>
    <t>かたおか</t>
  </si>
  <si>
    <t>yu.kataoka.ts</t>
  </si>
  <si>
    <t>yu.kataoka.ts@mixi.co.jp</t>
  </si>
  <si>
    <t>片倉千尋a</t>
  </si>
  <si>
    <t>片倉</t>
  </si>
  <si>
    <t>千尋a</t>
  </si>
  <si>
    <t>かたくら</t>
  </si>
  <si>
    <t>chihiro.katakura.a.ts</t>
  </si>
  <si>
    <t>chihiro.katakura.a.ts@mixi.co.jp</t>
  </si>
  <si>
    <t>片瀬大地b</t>
  </si>
  <si>
    <t>片瀬</t>
  </si>
  <si>
    <t>大地b</t>
  </si>
  <si>
    <t>かたせ</t>
  </si>
  <si>
    <t>daichi.katase.b.ts</t>
  </si>
  <si>
    <t>daichi.katase.b.ts@m-sfidante.com</t>
  </si>
  <si>
    <t>片平葉奈</t>
  </si>
  <si>
    <t>片平</t>
  </si>
  <si>
    <t>葉奈</t>
  </si>
  <si>
    <t>かたひら</t>
  </si>
  <si>
    <t>hana.katahira</t>
  </si>
  <si>
    <t>hana.katahira@mixi.co.jp</t>
  </si>
  <si>
    <t>片山陽生</t>
  </si>
  <si>
    <t>片山</t>
  </si>
  <si>
    <t>陽生</t>
  </si>
  <si>
    <t>かたやま</t>
  </si>
  <si>
    <t>ようせい</t>
  </si>
  <si>
    <t>yosei.katayama</t>
  </si>
  <si>
    <t>yosei.katayama@mixi.co.jp</t>
  </si>
  <si>
    <t>株式会社MIXI/笠原管掌/Vantageスタジオ/minimo事業部/BizDevグループ</t>
  </si>
  <si>
    <t>AQ061071600</t>
  </si>
  <si>
    <t>可知英也</t>
  </si>
  <si>
    <t>可知</t>
  </si>
  <si>
    <t>英也</t>
  </si>
  <si>
    <t>かち</t>
  </si>
  <si>
    <t>ひでや</t>
  </si>
  <si>
    <t>hideya.kachi.ts</t>
  </si>
  <si>
    <t>hideya.kachi.ts@mixi.co.jp</t>
  </si>
  <si>
    <t>勝村桃子</t>
  </si>
  <si>
    <t>勝村</t>
  </si>
  <si>
    <t>桃子</t>
  </si>
  <si>
    <t>かつむら</t>
  </si>
  <si>
    <t>ももこ</t>
  </si>
  <si>
    <t>momoko.katsumura</t>
  </si>
  <si>
    <t>momoko.katsumura@mixi.co.jp</t>
  </si>
  <si>
    <t>株式会社MIXI/笠原管掌/Vantageスタジオ/minimo事業部/プロダクト推進グループ</t>
  </si>
  <si>
    <t>AQ061071700</t>
  </si>
  <si>
    <t>加藤愛子</t>
  </si>
  <si>
    <t>加藤</t>
  </si>
  <si>
    <t>愛子</t>
  </si>
  <si>
    <t>かとう</t>
  </si>
  <si>
    <t>あいこ</t>
  </si>
  <si>
    <t>aiko.kato</t>
  </si>
  <si>
    <t>aiko.kato@m-sfidante.com</t>
  </si>
  <si>
    <t>加藤享子</t>
  </si>
  <si>
    <t>享子</t>
  </si>
  <si>
    <t>akiko.kato</t>
  </si>
  <si>
    <t>akiko.kato@m-chariloto.com</t>
  </si>
  <si>
    <t>加藤敦史</t>
  </si>
  <si>
    <t>敦史</t>
  </si>
  <si>
    <t>atsushi.kato</t>
  </si>
  <si>
    <t>atsushi.kato@mixi.co.jp</t>
  </si>
  <si>
    <t>株式会社MIXI/村瀨管掌/開発本部/たんぽぽ室/Enablementグループ</t>
  </si>
  <si>
    <t>AR060050800</t>
  </si>
  <si>
    <t>加藤文香</t>
  </si>
  <si>
    <t>文香</t>
  </si>
  <si>
    <t>ayaka.kato</t>
  </si>
  <si>
    <t>ayaka.kato@mixi.co.jp</t>
  </si>
  <si>
    <t>加藤健太郎a</t>
  </si>
  <si>
    <t>健太郎a</t>
  </si>
  <si>
    <t>kentaro.kato.a.ts</t>
  </si>
  <si>
    <t>kentaro.kato.a.ts@mixi.co.jp</t>
  </si>
  <si>
    <t>加藤滉也</t>
  </si>
  <si>
    <t>滉也</t>
  </si>
  <si>
    <t>こうや</t>
  </si>
  <si>
    <t>koya.kato</t>
  </si>
  <si>
    <t>koya.kato@mixi.co.jp</t>
  </si>
  <si>
    <t>加藤佐英里a</t>
  </si>
  <si>
    <t>佐英里a</t>
  </si>
  <si>
    <t>さえり</t>
  </si>
  <si>
    <t>saeri.kato.a</t>
  </si>
  <si>
    <t>saeri.kato.a@mixiamerica.com</t>
  </si>
  <si>
    <t>mixiAmerica, Inc.</t>
  </si>
  <si>
    <t>mixiAmerica, Inc./mixiAmerica, Inc./mixiAmerica, Inc.(本部格)</t>
  </si>
  <si>
    <t>XC510000000</t>
  </si>
  <si>
    <t>加藤佐英里</t>
  </si>
  <si>
    <t>佐英里</t>
  </si>
  <si>
    <t>saeri.kato.ts</t>
  </si>
  <si>
    <t>saeri.kato.ts@mixi.co.jp</t>
  </si>
  <si>
    <t>加藤沢男</t>
  </si>
  <si>
    <t>沢男</t>
  </si>
  <si>
    <t>さわお</t>
  </si>
  <si>
    <t>sawao.kato</t>
  </si>
  <si>
    <t>sawao.kato@mixi.co.jp</t>
  </si>
  <si>
    <t>株式会社MIXI/島村管掌/人事本部/人事戦略部/人的資本グループ</t>
  </si>
  <si>
    <t>AX089060100
AX089060300</t>
  </si>
  <si>
    <t>加藤修悟</t>
  </si>
  <si>
    <t>修悟</t>
  </si>
  <si>
    <t>しゅうご</t>
  </si>
  <si>
    <t>shugo.kato</t>
  </si>
  <si>
    <t>shugo.kato@mixi.co.jp</t>
  </si>
  <si>
    <t>株式会社MIXI/笠原管掌/Vantageスタジオ/Romi事業部/開発グループ/サーバーチーム</t>
  </si>
  <si>
    <t>AQ061050104</t>
  </si>
  <si>
    <t>加藤翔石</t>
  </si>
  <si>
    <t>翔石</t>
  </si>
  <si>
    <t>しょうせき</t>
  </si>
  <si>
    <t>shoseki.kato</t>
  </si>
  <si>
    <t>shoseki.kato@mixi.co.jp</t>
  </si>
  <si>
    <t>加藤翔也</t>
  </si>
  <si>
    <t>翔也</t>
  </si>
  <si>
    <t>しょうや</t>
  </si>
  <si>
    <t>shoya.kato</t>
  </si>
  <si>
    <t>shoya.kato@mixi.co.jp</t>
  </si>
  <si>
    <t>加藤翼</t>
  </si>
  <si>
    <t>tsubasa.kato.ts</t>
  </si>
  <si>
    <t>tsubasa.kato.ts@mixi.co.jp</t>
  </si>
  <si>
    <t>株式会社MIXI/村瀨管掌/はたらく環境推進本部/コーポレートITサービス部/事業サポートグループ/オペレーション改善チーム</t>
  </si>
  <si>
    <t>AR091010101</t>
  </si>
  <si>
    <t>徳英</t>
  </si>
  <si>
    <t>のりひで</t>
  </si>
  <si>
    <t>norihidekato</t>
  </si>
  <si>
    <t>norihidekato@mixi.co.jp</t>
  </si>
  <si>
    <t>加藤拓明a</t>
  </si>
  <si>
    <t>拓明a</t>
  </si>
  <si>
    <t>hiroaki.kato.a</t>
  </si>
  <si>
    <t>hiroaki.kato.a@mixi.co.jp</t>
  </si>
  <si>
    <t>加藤弘樹</t>
  </si>
  <si>
    <t>弘樹</t>
  </si>
  <si>
    <t>hiroki.kato</t>
  </si>
  <si>
    <t>hiroki.kato@mixi.co.jp</t>
  </si>
  <si>
    <t>株式会社MIXI/村瀨管掌/開発本部/CTO室/QA2グループ</t>
  </si>
  <si>
    <t>AR060011100
AO082020500</t>
  </si>
  <si>
    <t>加藤博之</t>
  </si>
  <si>
    <t>博之</t>
  </si>
  <si>
    <t>hiroyuki.kato</t>
  </si>
  <si>
    <t>hiroyuki.kato@mixi.co.jp</t>
  </si>
  <si>
    <t>加藤幹生</t>
  </si>
  <si>
    <t>幹生</t>
  </si>
  <si>
    <t>みきお</t>
  </si>
  <si>
    <t>mikiokato</t>
  </si>
  <si>
    <t>mikiokato@mixi.co.jp</t>
  </si>
  <si>
    <t>加藤よしの</t>
  </si>
  <si>
    <t>よしの</t>
  </si>
  <si>
    <t>yoshino.kato.ts</t>
  </si>
  <si>
    <t>yoshino.kato.ts@mixi.co.jp</t>
  </si>
  <si>
    <t>加藤里紗</t>
  </si>
  <si>
    <t>里紗</t>
  </si>
  <si>
    <t>risa.kato</t>
  </si>
  <si>
    <t>risa.kato@mixi.co.jp</t>
  </si>
  <si>
    <t>株式会社MIXI/島村管掌/人事本部/人事戦略部</t>
  </si>
  <si>
    <t>AX089060000
AX089010000
AX089060100</t>
  </si>
  <si>
    <t>加藤竜太</t>
  </si>
  <si>
    <t>りゅうた</t>
  </si>
  <si>
    <t>ryuta.kato</t>
  </si>
  <si>
    <t>ryuta.kato@mixi.co.jp</t>
  </si>
  <si>
    <t>加藤亮a</t>
  </si>
  <si>
    <t>亮a</t>
  </si>
  <si>
    <t>ryo.kato.a.ts</t>
  </si>
  <si>
    <t>ryo.kato.a.ts@mixi.co.jp</t>
  </si>
  <si>
    <t>AQ061030600
AR060051300
AR060050100</t>
  </si>
  <si>
    <t>加藤亮b</t>
  </si>
  <si>
    <t>亮b</t>
  </si>
  <si>
    <t>ryo.kato.b.ts</t>
  </si>
  <si>
    <t>ryo.kato.b.ts@m-sfidante.com</t>
  </si>
  <si>
    <t>加藤玲央</t>
  </si>
  <si>
    <t>玲央</t>
  </si>
  <si>
    <t>れお</t>
  </si>
  <si>
    <t>reo.kato</t>
  </si>
  <si>
    <t>reo.kato@netdreamers.co.jp</t>
  </si>
  <si>
    <t>株式会社ネットドリーマーズ/株式会社ネットドリーマーズ/サービス推進開発本部/開発部/インフラグループ</t>
  </si>
  <si>
    <t>XM556010100
XM556000000</t>
  </si>
  <si>
    <t>上遠野ひなの</t>
  </si>
  <si>
    <t>上遠野</t>
  </si>
  <si>
    <t>ひなの</t>
  </si>
  <si>
    <t>かとおの</t>
  </si>
  <si>
    <t>hinano.katono.ts</t>
  </si>
  <si>
    <t>hinano.katono.ts@mixi.co.jp</t>
  </si>
  <si>
    <t>AR060011100</t>
  </si>
  <si>
    <t>金沢広峰</t>
  </si>
  <si>
    <t>金沢</t>
  </si>
  <si>
    <t>広峰</t>
  </si>
  <si>
    <t>かなざわ</t>
  </si>
  <si>
    <t>ひろみね</t>
  </si>
  <si>
    <t>hiromine.kanazawa</t>
  </si>
  <si>
    <t>hiromine.kanazawa@mixi.co.jp</t>
  </si>
  <si>
    <t>金光真弘</t>
  </si>
  <si>
    <t>金光</t>
  </si>
  <si>
    <t>かなみつ</t>
  </si>
  <si>
    <t>masahiro.kanamitsu.ts</t>
  </si>
  <si>
    <t>masahiro.kanamitsu.ts@mixi.co.jp</t>
  </si>
  <si>
    <t>金谷大賀</t>
  </si>
  <si>
    <t>金谷</t>
  </si>
  <si>
    <t>大賀</t>
  </si>
  <si>
    <t>かなや</t>
  </si>
  <si>
    <t>taiga.kanaya.ts</t>
  </si>
  <si>
    <t>taiga.kanaya.ts@mixi.co.jp</t>
  </si>
  <si>
    <t>加奈山</t>
  </si>
  <si>
    <t>怜</t>
  </si>
  <si>
    <t>かなやま</t>
  </si>
  <si>
    <t>ryo.kanayama</t>
  </si>
  <si>
    <t>ryo.kanayama@mixi.co.jp</t>
  </si>
  <si>
    <t>金子ちずる</t>
  </si>
  <si>
    <t>金子</t>
  </si>
  <si>
    <t>ちずる</t>
  </si>
  <si>
    <t>かねこ</t>
  </si>
  <si>
    <t>chizuru.kaneko</t>
  </si>
  <si>
    <t>chizuru.kaneko@mixi.co.jp</t>
  </si>
  <si>
    <t>金子曜</t>
  </si>
  <si>
    <t>曜</t>
  </si>
  <si>
    <t>hikaru.kaneko</t>
  </si>
  <si>
    <t>hikaru.kaneko@mixi.co.jp</t>
  </si>
  <si>
    <t>株式会社MIXI/木村管掌/デジタルエンターテインメントオペレーションズ本部/コトダマン制作部/ライツグループ/コラボ推進チーム</t>
  </si>
  <si>
    <t>AO082090601</t>
  </si>
  <si>
    <t>金子優貴</t>
  </si>
  <si>
    <t>優貴</t>
  </si>
  <si>
    <t>yuki.kaneko</t>
  </si>
  <si>
    <t>yuki.kaneko@mixi.co.jp</t>
  </si>
  <si>
    <t>金子好宏</t>
  </si>
  <si>
    <t>好宏</t>
  </si>
  <si>
    <t>よしひろ</t>
  </si>
  <si>
    <t>yoshihiro.kaneko</t>
  </si>
  <si>
    <t>yoshihiro.kaneko@mixi.co.jp</t>
  </si>
  <si>
    <t>株式会社MIXI/木村管掌/デジタルエンターテインメントオペレーションズ本部/モンストIPクリエイション部/映像グループ/演出チーム</t>
  </si>
  <si>
    <t>AO082040802</t>
  </si>
  <si>
    <t>金田圭一</t>
  </si>
  <si>
    <t>金田</t>
  </si>
  <si>
    <t>圭一</t>
  </si>
  <si>
    <t>かねた</t>
  </si>
  <si>
    <t>けいいち</t>
  </si>
  <si>
    <t>keiichi.kaneta.ts</t>
  </si>
  <si>
    <t>keiichi.kaneta.ts@mixi.co.jp</t>
  </si>
  <si>
    <t>壁村倫</t>
  </si>
  <si>
    <t>壁村</t>
  </si>
  <si>
    <t>倫</t>
  </si>
  <si>
    <t>かべむら</t>
  </si>
  <si>
    <t>りん</t>
  </si>
  <si>
    <t>rin.kabemura</t>
  </si>
  <si>
    <t>rin.kabemura@mixi.co.jp</t>
  </si>
  <si>
    <t>株式会社MIXI/管掌役員なし/内部監査室(本部格)/内部監査室/内部監査グループ</t>
  </si>
  <si>
    <t>ZZ005010600</t>
  </si>
  <si>
    <t>鎌田学</t>
  </si>
  <si>
    <t>鎌田</t>
  </si>
  <si>
    <t>かまた</t>
  </si>
  <si>
    <t>manabu.kamata</t>
  </si>
  <si>
    <t>manabu.kamata@mixi.co.jp</t>
  </si>
  <si>
    <t>株式会社MIXI/木村管掌/デジタルエンターテインメントオペレーションズ本部/宣伝部/ユーザーコミュニケーショングループ/UCチーム</t>
  </si>
  <si>
    <t>AO082030403</t>
  </si>
  <si>
    <t>鎌田怜奈</t>
  </si>
  <si>
    <t>怜奈</t>
  </si>
  <si>
    <t>れな</t>
  </si>
  <si>
    <t>rena.kamata</t>
  </si>
  <si>
    <t>rena.kamata@mixi.co.jp</t>
  </si>
  <si>
    <t>鎌田拓郎</t>
  </si>
  <si>
    <t>拓郎</t>
  </si>
  <si>
    <t>かまだ</t>
  </si>
  <si>
    <t>たくろう</t>
  </si>
  <si>
    <t>takuro.kamada</t>
  </si>
  <si>
    <t>takuro.kamada@netdreamers.co.jp</t>
  </si>
  <si>
    <t>株式会社ネットドリーマーズ/株式会社ネットドリーマーズ/DXパートナー事業本部/広告&amp;ソリューション事業部/ソリューショングループ</t>
  </si>
  <si>
    <t>XM560010200
XM560000000</t>
  </si>
  <si>
    <t>神子和子</t>
  </si>
  <si>
    <t>神子</t>
  </si>
  <si>
    <t>和子</t>
  </si>
  <si>
    <t>かみこ</t>
  </si>
  <si>
    <t>かずこ</t>
  </si>
  <si>
    <t>kazuko.kamiko</t>
  </si>
  <si>
    <t>kazuko.kamiko@mixi.co.jp</t>
  </si>
  <si>
    <t>株式会社MIXI/村瀨管掌/はたらく環境推進本部/コーポレートITサービス部/事業サポートグループ/サポートチーム</t>
  </si>
  <si>
    <t>AR091010102
AR091010203</t>
  </si>
  <si>
    <t>上出瑞穂</t>
  </si>
  <si>
    <t>上出</t>
  </si>
  <si>
    <t>瑞穂</t>
  </si>
  <si>
    <t>かみで</t>
  </si>
  <si>
    <t>みずほ</t>
  </si>
  <si>
    <t>mizuho.kamide</t>
  </si>
  <si>
    <t>mizuho.kamide@mixi.co.jp</t>
  </si>
  <si>
    <t>神村</t>
  </si>
  <si>
    <t>かみむら</t>
  </si>
  <si>
    <t>takeshi.kamimura</t>
  </si>
  <si>
    <t>takeshi.kamimura@mixi.co.jp</t>
  </si>
  <si>
    <t>株式会社MIXI/木村管掌/デジタルエンターテインメントオペレーションズ本部/モンスト運営部/ディレクターグループ</t>
  </si>
  <si>
    <t>AO082010700</t>
  </si>
  <si>
    <t>神谷昌臣</t>
  </si>
  <si>
    <t>神谷</t>
  </si>
  <si>
    <t>昌臣</t>
  </si>
  <si>
    <t>かみや</t>
  </si>
  <si>
    <t>まさおみ</t>
  </si>
  <si>
    <t>masaomi.kamiya</t>
  </si>
  <si>
    <t>masaomi.kamiya@mixi.co.jp</t>
  </si>
  <si>
    <t>株式会社MIXI/木村管掌/デジタルエンターテインメントオペレーションズ本部/モンストIPクリエイション部/サウンドグループ/デザインチーム</t>
  </si>
  <si>
    <t>AO083010600
AO082040604</t>
  </si>
  <si>
    <t>賀村優希</t>
  </si>
  <si>
    <t>賀村</t>
  </si>
  <si>
    <t>優希</t>
  </si>
  <si>
    <t>かむら</t>
  </si>
  <si>
    <t>yuki.kamura</t>
  </si>
  <si>
    <t>yuki.kamura@mixi.co.jp</t>
  </si>
  <si>
    <t>株式会社チャリ・ロト
株式会社MIXI</t>
  </si>
  <si>
    <t>出向
在籍</t>
  </si>
  <si>
    <t>出向受入
正社員</t>
  </si>
  <si>
    <t>亀山</t>
  </si>
  <si>
    <t>直生</t>
  </si>
  <si>
    <t>かめやま</t>
  </si>
  <si>
    <t>naoki.kameyama</t>
  </si>
  <si>
    <t>naoki.kameyama@mixi.co.jp</t>
  </si>
  <si>
    <t>株式会社MIXI/村瀨管掌/セキュリティ室(本部格)</t>
  </si>
  <si>
    <t>AR077010000
AR077000000</t>
  </si>
  <si>
    <t>室長
執行役員</t>
  </si>
  <si>
    <t>賀茂慎一郎</t>
  </si>
  <si>
    <t>賀茂</t>
  </si>
  <si>
    <t>慎一郎</t>
  </si>
  <si>
    <t>かも</t>
  </si>
  <si>
    <t>しんいちろう</t>
  </si>
  <si>
    <t>shinichiro.kamo</t>
  </si>
  <si>
    <t>shinichiro.kamo@mixi.co.jp</t>
  </si>
  <si>
    <t>株式会社MIXI/笠原管掌/みてね事業本部/みてねプロダクト開発部/アジャイル変革グループ</t>
  </si>
  <si>
    <t>AX089070000
AQ087020200
AQ087040000</t>
  </si>
  <si>
    <t>鴨志田星矢</t>
  </si>
  <si>
    <t>鴨志田</t>
  </si>
  <si>
    <t>星矢</t>
  </si>
  <si>
    <t>かもしだ</t>
  </si>
  <si>
    <t>せいや</t>
  </si>
  <si>
    <t>seiya.kamoshida</t>
  </si>
  <si>
    <t>seiya.kamoshida@mixi.co.jp</t>
  </si>
  <si>
    <t>株式会社MIXI
アイ・マーキュリーキャピタル株式会社</t>
  </si>
  <si>
    <t>XB509000000
AW085020900
AW085020902</t>
  </si>
  <si>
    <t>取締役
マネージャー
リーダー</t>
  </si>
  <si>
    <t>栢木</t>
  </si>
  <si>
    <t>英行</t>
  </si>
  <si>
    <t>かやのき</t>
  </si>
  <si>
    <t>hideyuki.kayanoki</t>
  </si>
  <si>
    <t>hideyuki.kayanoki@mixi.co.jp</t>
  </si>
  <si>
    <t>株式会社MIXI/笠原管掌/Vantageスタジオ/mixi事業部/パートナービジネスグループ</t>
  </si>
  <si>
    <t>AQ061040300</t>
  </si>
  <si>
    <t>加山美佳</t>
  </si>
  <si>
    <t>加山</t>
  </si>
  <si>
    <t>美佳</t>
  </si>
  <si>
    <t>かやま</t>
  </si>
  <si>
    <t>mika.kayama</t>
  </si>
  <si>
    <t>mika.kayama@mixi.co.jp</t>
  </si>
  <si>
    <t>株式会社MIXI/村瀨管掌/はたらく環境推進本部/せいかつ環境室/せいかつ環境Bグループ/せいかつ環境Bチーム</t>
  </si>
  <si>
    <t>AR091030201</t>
  </si>
  <si>
    <t>唐澤克弥</t>
  </si>
  <si>
    <t>唐澤</t>
  </si>
  <si>
    <t>克弥</t>
  </si>
  <si>
    <t>からさわ</t>
  </si>
  <si>
    <t>かつや</t>
  </si>
  <si>
    <t>katsuya.karasawa</t>
  </si>
  <si>
    <t>katsuya.karasawa@mixi.co.jp</t>
  </si>
  <si>
    <t>株式会社MIXI/小林管掌/コンプライアンス本部/法務部/法務グループ</t>
  </si>
  <si>
    <t>AU074010700</t>
  </si>
  <si>
    <t>軽部正太</t>
  </si>
  <si>
    <t>軽部</t>
  </si>
  <si>
    <t>正太</t>
  </si>
  <si>
    <t>かるべ</t>
  </si>
  <si>
    <t>shota.karube</t>
  </si>
  <si>
    <t>shota.karube@mixi.co.jp</t>
  </si>
  <si>
    <t>株式会社MIXI/村瀨管掌/セキュリティ室(本部格)/セキュリティ室/セキュリティ技術グループ</t>
  </si>
  <si>
    <t>AR077010100
AQ061030600</t>
  </si>
  <si>
    <t>カルモナセバスチャン</t>
  </si>
  <si>
    <t>カルモナ</t>
  </si>
  <si>
    <t>セバスチャン</t>
  </si>
  <si>
    <t>かるもな</t>
  </si>
  <si>
    <t>せばすちゃん</t>
  </si>
  <si>
    <t>sebastien.carmona</t>
  </si>
  <si>
    <t>sebastien.carmona@mixi.co.jp</t>
  </si>
  <si>
    <t>川合翔主也a</t>
  </si>
  <si>
    <t>川合</t>
  </si>
  <si>
    <t>翔主也a</t>
  </si>
  <si>
    <t>かわあい</t>
  </si>
  <si>
    <t>かずや</t>
  </si>
  <si>
    <t>kazuya.kawaai.a.ts</t>
  </si>
  <si>
    <t>kazuya.kawaai.a.ts@mixi.co.jp</t>
  </si>
  <si>
    <t>河合愛子</t>
  </si>
  <si>
    <t>河合</t>
  </si>
  <si>
    <t>かわい</t>
  </si>
  <si>
    <t>aiko.kawai.ts</t>
  </si>
  <si>
    <t>aiko.kawai.ts@mixi.co.jp</t>
  </si>
  <si>
    <t>河井孝晃</t>
  </si>
  <si>
    <t>河井</t>
  </si>
  <si>
    <t>孝晃</t>
  </si>
  <si>
    <t>たかあき</t>
  </si>
  <si>
    <t>takaaki.kawai.ts</t>
  </si>
  <si>
    <t>takaaki.kawai.ts@mixi.co.jp</t>
  </si>
  <si>
    <t>川上亜也子</t>
  </si>
  <si>
    <t>川上</t>
  </si>
  <si>
    <t>亜也子</t>
  </si>
  <si>
    <t>かわかみ</t>
  </si>
  <si>
    <t>ayako.kawakami</t>
  </si>
  <si>
    <t>ayako.kawakami@mixi.co.jp</t>
  </si>
  <si>
    <t>XW557000000
AW085040200</t>
  </si>
  <si>
    <t>川上久美子</t>
  </si>
  <si>
    <t>久美子</t>
  </si>
  <si>
    <t>くみこ</t>
  </si>
  <si>
    <t>kumiko.kawakami</t>
  </si>
  <si>
    <t>kumiko.kawakami@mixi.co.jp</t>
  </si>
  <si>
    <t>株式会社MIXI/村瀨管掌/デザイン本部/ブランドデザイン室/デザイナーリレーショングループ</t>
  </si>
  <si>
    <t>AR059070100</t>
  </si>
  <si>
    <t>川岸滋也</t>
  </si>
  <si>
    <t>川岸</t>
  </si>
  <si>
    <t>滋也</t>
  </si>
  <si>
    <t>かわぎし</t>
  </si>
  <si>
    <t>しげや</t>
  </si>
  <si>
    <t>shigeya.kawagishi</t>
  </si>
  <si>
    <t>shigeya.kawagishi@mixi.co.jp</t>
  </si>
  <si>
    <t>AO090040000
AO090040100</t>
  </si>
  <si>
    <t>部長
マネージャー</t>
  </si>
  <si>
    <t>川口浩司</t>
  </si>
  <si>
    <t>川口</t>
  </si>
  <si>
    <t>かわぐち</t>
  </si>
  <si>
    <t>koji.kawaguchi</t>
  </si>
  <si>
    <t>koji.kawaguchi@mixi.co.jp</t>
  </si>
  <si>
    <t>川口智</t>
  </si>
  <si>
    <t>智</t>
  </si>
  <si>
    <t>satoshi.kawaguchi</t>
  </si>
  <si>
    <t>satoshi.kawaguchi@mixi.co.jp</t>
  </si>
  <si>
    <t>AO082020507
AQ061071903</t>
  </si>
  <si>
    <t>川口洋平</t>
  </si>
  <si>
    <t>yohei.kawaguchi</t>
  </si>
  <si>
    <t>yohei.kawaguchi@m-sfidante.com</t>
  </si>
  <si>
    <t>河毛勘宏</t>
  </si>
  <si>
    <t>河毛</t>
  </si>
  <si>
    <t>勘宏</t>
  </si>
  <si>
    <t>かわけ</t>
  </si>
  <si>
    <t>さだひろ</t>
  </si>
  <si>
    <t>sadahiro.kawake</t>
  </si>
  <si>
    <t>sadahiro.kawake@mixi.co.jp</t>
  </si>
  <si>
    <t>川﨑剛</t>
  </si>
  <si>
    <t>川﨑</t>
  </si>
  <si>
    <t>かわさき</t>
  </si>
  <si>
    <t>takeshi.kawasaki</t>
  </si>
  <si>
    <t>takeshi.kawasaki@mixi.co.jp</t>
  </si>
  <si>
    <t>株式会社MIXI/管掌役員なし/渉外部(本部格)/渉外部</t>
  </si>
  <si>
    <t>ZZ092010000
ZZ092010100</t>
  </si>
  <si>
    <t>川下拓哉</t>
  </si>
  <si>
    <t>川下</t>
  </si>
  <si>
    <t>かわした</t>
  </si>
  <si>
    <t>takuya.kawashita</t>
  </si>
  <si>
    <t>takuya.kawashita@mixi.co.jp</t>
  </si>
  <si>
    <t>川嶋亜依</t>
  </si>
  <si>
    <t>川嶋</t>
  </si>
  <si>
    <t>亜依</t>
  </si>
  <si>
    <t>かわしま</t>
  </si>
  <si>
    <t>あい</t>
  </si>
  <si>
    <t>ai.kawashima</t>
  </si>
  <si>
    <t>ai.kawashima@mixi-empowerment.co.jp</t>
  </si>
  <si>
    <t>川島彗</t>
  </si>
  <si>
    <t>川島</t>
  </si>
  <si>
    <t>彗</t>
  </si>
  <si>
    <t>けい</t>
  </si>
  <si>
    <t>kei.kawashima</t>
  </si>
  <si>
    <t>kei.kawashima@mixi.co.jp</t>
  </si>
  <si>
    <t>川島徹也</t>
  </si>
  <si>
    <t>徹也</t>
  </si>
  <si>
    <t>てつや</t>
  </si>
  <si>
    <t>tetsuya.kawashima</t>
  </si>
  <si>
    <t>tetsuya.kawashima@mixi.co.jp</t>
  </si>
  <si>
    <t>株式会社MIXI/木村管掌/デジタルエンターテインメントオペレーションズ本部/モンスト開発部/イベントシステムグループ/開発チーム</t>
  </si>
  <si>
    <t>AO082020701</t>
  </si>
  <si>
    <t>川嶋真史</t>
  </si>
  <si>
    <t>真史</t>
  </si>
  <si>
    <t>まさぶみ</t>
  </si>
  <si>
    <t>masabumi.kawashima</t>
  </si>
  <si>
    <t>masabumi.kawashima@mixi.co.jp</t>
  </si>
  <si>
    <t>河住尚実</t>
  </si>
  <si>
    <t>河住</t>
  </si>
  <si>
    <t>尚実</t>
  </si>
  <si>
    <t>かわすみ</t>
  </si>
  <si>
    <t>なおみつ</t>
  </si>
  <si>
    <t>naomitsu.kawasumi</t>
  </si>
  <si>
    <t>naomitsu.kawasumi@mixi.co.jp</t>
  </si>
  <si>
    <t>株式会社MIXI
株式会社チャリ・ロト
株式会社ネットドリーマーズ
株式会社チャリロトプラザサービス</t>
  </si>
  <si>
    <t>正社員
出向受入
兼務出向受入
出向受入</t>
  </si>
  <si>
    <t>XI516000000
XM523020000
AW076070103
XM519000000
XX561000000</t>
  </si>
  <si>
    <t>スタッフ
スタッフ
リーダー
スタッフ
スタッフ</t>
  </si>
  <si>
    <t>川瀬寛也a</t>
  </si>
  <si>
    <t>川瀬</t>
  </si>
  <si>
    <t>寛也a</t>
  </si>
  <si>
    <t>かわせ</t>
  </si>
  <si>
    <t>ひろや</t>
  </si>
  <si>
    <t>hiroya.kawase.a</t>
  </si>
  <si>
    <t>hiroya.kawase.a@mixi.co.jp</t>
  </si>
  <si>
    <t>AR060051300
AR060050100
AQ061030600</t>
  </si>
  <si>
    <t>河田絵美子</t>
  </si>
  <si>
    <t>河田</t>
  </si>
  <si>
    <t>絵美子</t>
  </si>
  <si>
    <t>かわた</t>
  </si>
  <si>
    <t>えみこ</t>
  </si>
  <si>
    <t>emiko.kawata</t>
  </si>
  <si>
    <t>emiko.kawata@mixi.co.jp</t>
  </si>
  <si>
    <t>株式会社MIXI/笠原管掌/みてね事業本部/みてねマーケティング部/ユーザーコミュニケーショングループ/ユーザーコミュニケーションチーム</t>
  </si>
  <si>
    <t>AQ087030201
AQ087040000</t>
  </si>
  <si>
    <t>河野彰太</t>
  </si>
  <si>
    <t>河野</t>
  </si>
  <si>
    <t>彰太</t>
  </si>
  <si>
    <t>かわの</t>
  </si>
  <si>
    <t>shota.kawano.ts</t>
  </si>
  <si>
    <t>shota.kawano.ts@mixi.co.jp</t>
  </si>
  <si>
    <t>川畑透</t>
  </si>
  <si>
    <t>川畑</t>
  </si>
  <si>
    <t>透</t>
  </si>
  <si>
    <t>かわはた</t>
  </si>
  <si>
    <t>とおる</t>
  </si>
  <si>
    <t>toru.kawahata</t>
  </si>
  <si>
    <t>toru.kawahata@mixi.co.jp</t>
  </si>
  <si>
    <t>川端昌美</t>
  </si>
  <si>
    <t>川端</t>
  </si>
  <si>
    <t>昌美</t>
  </si>
  <si>
    <t>かわばた</t>
  </si>
  <si>
    <t>masami.kawabata</t>
  </si>
  <si>
    <t>masami.kawabata@mixi.co.jp</t>
  </si>
  <si>
    <t>川端美嶺</t>
  </si>
  <si>
    <t>美嶺</t>
  </si>
  <si>
    <t>みれい</t>
  </si>
  <si>
    <t>mirei.kawabata</t>
  </si>
  <si>
    <t>mirei.kawabata@mixi.co.jp</t>
  </si>
  <si>
    <t>川端恭広</t>
  </si>
  <si>
    <t>恭広</t>
  </si>
  <si>
    <t>yasuhiro.kawabata</t>
  </si>
  <si>
    <t>yasuhiro.kawabata@mixi.co.jp</t>
  </si>
  <si>
    <t>河原優一</t>
  </si>
  <si>
    <t>河原</t>
  </si>
  <si>
    <t>優一</t>
  </si>
  <si>
    <t>かわはら</t>
  </si>
  <si>
    <t>yuichi.kawahara</t>
  </si>
  <si>
    <t>yuichi.kawahara@mixi.co.jp</t>
  </si>
  <si>
    <t>川原友希</t>
  </si>
  <si>
    <t>川原</t>
  </si>
  <si>
    <t>yuki.kawahara</t>
  </si>
  <si>
    <t>yuki.kawahara@mixi.co.jp</t>
  </si>
  <si>
    <t>株式会社MIXI/島村管掌/人事本部/人材開発部/新卒HRグループ</t>
  </si>
  <si>
    <t>AX089040600
AX089040400
AR060000000</t>
  </si>
  <si>
    <t>マネージャー
マネージャー
スタッフ</t>
  </si>
  <si>
    <t>川邉香菜</t>
  </si>
  <si>
    <t>川邉</t>
  </si>
  <si>
    <t>香菜</t>
  </si>
  <si>
    <t>かわべ</t>
  </si>
  <si>
    <t>kana.kawabe</t>
  </si>
  <si>
    <t>kana.kawabe@mixi.co.jp</t>
  </si>
  <si>
    <t>株式会社MIXI/島村管掌/コーポレートファイナンス本部/経理税務部/経理グループ/経理2チーム</t>
  </si>
  <si>
    <t>AX088010202</t>
  </si>
  <si>
    <t>川又義照</t>
  </si>
  <si>
    <t>川又</t>
  </si>
  <si>
    <t>義照</t>
  </si>
  <si>
    <t>かわまた</t>
  </si>
  <si>
    <t>よしてる</t>
  </si>
  <si>
    <t>yoshiteru.kawamata</t>
  </si>
  <si>
    <t>yoshiteru.kawamata@mixi.co.jp</t>
  </si>
  <si>
    <t>株式会社MIXI/奥山管掌/ソーシャルベッティング事業本部/開発室</t>
  </si>
  <si>
    <t>AW076030000
XI516000000
AW076030500</t>
  </si>
  <si>
    <t>室長
スタッフ
マネージャー</t>
  </si>
  <si>
    <t>河村</t>
  </si>
  <si>
    <t>勇</t>
  </si>
  <si>
    <t>かわむら</t>
  </si>
  <si>
    <t>いさむ</t>
  </si>
  <si>
    <t>isamu.kawamura</t>
  </si>
  <si>
    <t>isamu.kawamura@mixi.co.jp</t>
  </si>
  <si>
    <t>株式会社MIXI/木村管掌/デジタルエンターテインメントオペレーションズ本部/宣伝部/海外プロモーショングループ</t>
  </si>
  <si>
    <t>AO082030300</t>
  </si>
  <si>
    <t>河村康希</t>
  </si>
  <si>
    <t>康希</t>
  </si>
  <si>
    <t>koki.kawamura</t>
  </si>
  <si>
    <t>koki.kawamura@m-sfidante.com</t>
  </si>
  <si>
    <t>河村政範</t>
  </si>
  <si>
    <t>政範</t>
  </si>
  <si>
    <t>masanori.kawamura.ts</t>
  </si>
  <si>
    <t>masanori.kawamura.ts@netdreamers.co.jp</t>
  </si>
  <si>
    <t>XM556010300</t>
  </si>
  <si>
    <t>河村遼太</t>
  </si>
  <si>
    <t>遼太</t>
  </si>
  <si>
    <t>ryota.kawamura</t>
  </si>
  <si>
    <t>ryota.kawamura@mixi.co.jp</t>
  </si>
  <si>
    <t>株式会社MIXI/島村管掌/経営推進本部/FP&amp;Aインテリジェンス部/事業FP&amp;Aグループ/ビジネスファイナンシャルプランニングチーム</t>
  </si>
  <si>
    <t>AX078070301</t>
  </si>
  <si>
    <t>川本彩花</t>
  </si>
  <si>
    <t>川本</t>
  </si>
  <si>
    <t>かわもと</t>
  </si>
  <si>
    <t>ayaka.kawamoto</t>
  </si>
  <si>
    <t>ayaka.kawamoto@mixi.co.jp</t>
  </si>
  <si>
    <t>川本光輝a</t>
  </si>
  <si>
    <t>光輝a</t>
  </si>
  <si>
    <t>koki.kawamoto.a</t>
  </si>
  <si>
    <t>koki.kawamoto.a@mixi.co.jp</t>
  </si>
  <si>
    <t>川本剛生</t>
  </si>
  <si>
    <t>剛生</t>
  </si>
  <si>
    <t>ごうき</t>
  </si>
  <si>
    <t>goki.kawamoto.ts</t>
  </si>
  <si>
    <t>goki.kawamoto.ts@mixi.co.jp</t>
  </si>
  <si>
    <t>河本裕太</t>
  </si>
  <si>
    <t>河本</t>
  </si>
  <si>
    <t>yuta.kawamoto</t>
  </si>
  <si>
    <t>yuta.kawamoto@mixi.co.jp</t>
  </si>
  <si>
    <t>株式会社MIXI/島村管掌/経営推進本部/グループ会社統括支援部/グループ会社管理グループ/ガバナンス推進チーム</t>
  </si>
  <si>
    <t>AX078080301</t>
  </si>
  <si>
    <t>河分伸一朗</t>
  </si>
  <si>
    <t>河分</t>
  </si>
  <si>
    <t>伸一朗</t>
  </si>
  <si>
    <t>かわわけ</t>
  </si>
  <si>
    <t>shinichiro.kawawake</t>
  </si>
  <si>
    <t>shinichiro.kawawake@mixi.co.jp</t>
  </si>
  <si>
    <t>株式会社MIXI/木村管掌/デジタルエンターテインメントオペレーションズ本部/モンストIPクリエイション部/キャラプログループ/モンソニ世界観チーム</t>
  </si>
  <si>
    <t>AO082040105</t>
  </si>
  <si>
    <t>姜明秀</t>
  </si>
  <si>
    <t>姜</t>
  </si>
  <si>
    <t>明秀</t>
  </si>
  <si>
    <t>かん</t>
  </si>
  <si>
    <t>akihide.kan</t>
  </si>
  <si>
    <t>akihide.kan@mixi.co.jp</t>
  </si>
  <si>
    <t>AR060051300</t>
  </si>
  <si>
    <t>姜少眞</t>
  </si>
  <si>
    <t>少眞</t>
  </si>
  <si>
    <t>そじん</t>
  </si>
  <si>
    <t>sojin.kang</t>
  </si>
  <si>
    <t>sojin.kang@mixi.co.jp</t>
  </si>
  <si>
    <t>株式会社MIXI/村瀨管掌/デザイン本部</t>
  </si>
  <si>
    <t>AR059000000</t>
  </si>
  <si>
    <t>神田繁</t>
  </si>
  <si>
    <t>神田</t>
  </si>
  <si>
    <t>繁</t>
  </si>
  <si>
    <t>かんだ</t>
  </si>
  <si>
    <t>しげる</t>
  </si>
  <si>
    <t>shigeru.kanda</t>
  </si>
  <si>
    <t>shigeru.kanda@mixi.co.jp</t>
  </si>
  <si>
    <t>株式会社MIXI/木村管掌/デジタルエンターテインメントオペレーションズ本部/ファンマーケティング部/イベント2グループ</t>
  </si>
  <si>
    <t>AO082060700</t>
  </si>
  <si>
    <t>貫洞洋至</t>
  </si>
  <si>
    <t>貫洞</t>
  </si>
  <si>
    <t>洋至</t>
  </si>
  <si>
    <t>かんどう</t>
  </si>
  <si>
    <t>hiroshi.kando</t>
  </si>
  <si>
    <t>hiroshi.kando@mixi.co.jp</t>
  </si>
  <si>
    <t>株式会社MIXI/木村管掌/デジタルエンターテインメントオペレーションズ本部/コトダマン制作部/アートグループ</t>
  </si>
  <si>
    <t>AO082090300
AO082080201
AO082090301</t>
  </si>
  <si>
    <t>菅野史明</t>
  </si>
  <si>
    <t>菅野</t>
  </si>
  <si>
    <t>史明</t>
  </si>
  <si>
    <t>かんの</t>
  </si>
  <si>
    <t>ふみあき</t>
  </si>
  <si>
    <t>fumiaki.kanno</t>
  </si>
  <si>
    <t>fumiaki.kanno@mixi-empowerment.co.jp</t>
  </si>
  <si>
    <t>菅野昌宏</t>
  </si>
  <si>
    <t>昌宏</t>
  </si>
  <si>
    <t>masahiro.kanno</t>
  </si>
  <si>
    <t>masahiro.kanno@mixi.co.jp</t>
  </si>
  <si>
    <t>菅野優貴</t>
  </si>
  <si>
    <t>yuki.kanno</t>
  </si>
  <si>
    <t>yuki.kanno@mixi.co.jp</t>
  </si>
  <si>
    <t>AR059070701</t>
  </si>
  <si>
    <t>菅野友里絵</t>
  </si>
  <si>
    <t>友里絵</t>
  </si>
  <si>
    <t>ゆりえ</t>
  </si>
  <si>
    <t>yurie.kanno.ts</t>
  </si>
  <si>
    <t>yurie.kanno.ts@mixi.co.jp</t>
  </si>
  <si>
    <t>神原妃都美a</t>
  </si>
  <si>
    <t>神原</t>
  </si>
  <si>
    <t>妃都美a</t>
  </si>
  <si>
    <t>かんばら</t>
  </si>
  <si>
    <t>ひとみ</t>
  </si>
  <si>
    <t>hitomi.kambara.a</t>
  </si>
  <si>
    <t>hitomi.kambara.a@m-sfidante.com</t>
  </si>
  <si>
    <t>神戸瑠衣子</t>
  </si>
  <si>
    <t>神戸</t>
  </si>
  <si>
    <t>瑠衣子</t>
  </si>
  <si>
    <t>かんべ</t>
  </si>
  <si>
    <t>るいこ</t>
  </si>
  <si>
    <t>ruiko.kambe.ts</t>
  </si>
  <si>
    <t>ruiko.kambe.ts@mixi.co.jp</t>
  </si>
  <si>
    <t>菊田遼</t>
  </si>
  <si>
    <t>菊田</t>
  </si>
  <si>
    <t>遼</t>
  </si>
  <si>
    <t>きくた</t>
  </si>
  <si>
    <t>ryo.kikuta</t>
  </si>
  <si>
    <t>ryo.kikuta@mixi.co.jp</t>
  </si>
  <si>
    <t>菊地あゆ</t>
  </si>
  <si>
    <t>菊地</t>
  </si>
  <si>
    <t>あゆ</t>
  </si>
  <si>
    <t>きくち</t>
  </si>
  <si>
    <t>ayu.kikuchi</t>
  </si>
  <si>
    <t>ayu.kikuchi@mixi.co.jp</t>
  </si>
  <si>
    <t>菊池恵理子</t>
  </si>
  <si>
    <t>菊池</t>
  </si>
  <si>
    <t>恵理子</t>
  </si>
  <si>
    <t>えりこ</t>
  </si>
  <si>
    <t>eriko.kikuchi</t>
  </si>
  <si>
    <t>eriko.kikuchi@mixi.co.jp</t>
  </si>
  <si>
    <t>AO082060302</t>
  </si>
  <si>
    <t>菊池一希</t>
  </si>
  <si>
    <t>kazuki.kikuchi</t>
  </si>
  <si>
    <t>kazuki.kikuchi@netdreamers.co.jp</t>
  </si>
  <si>
    <t>株式会社ネットドリーマーズ/株式会社ネットドリーマーズ/netkeiba事業本部/コマース事業部</t>
  </si>
  <si>
    <t>XM550000000
XM550040000</t>
  </si>
  <si>
    <t>菊地将護</t>
  </si>
  <si>
    <t>将護</t>
  </si>
  <si>
    <t>shogo.kikuchi</t>
  </si>
  <si>
    <t>shogo.kikuchi@netdreamers.co.jp</t>
  </si>
  <si>
    <t>XM556030100
XM556000000</t>
  </si>
  <si>
    <t>shohei.kikuchi</t>
  </si>
  <si>
    <t>shohei.kikuchi@mixi.co.jp</t>
  </si>
  <si>
    <t>株式会社MIXI/島村管掌/経営推進本部/広報部</t>
  </si>
  <si>
    <t>AX078050000</t>
  </si>
  <si>
    <t>菊池美穂</t>
  </si>
  <si>
    <t>miho.kikuchi</t>
  </si>
  <si>
    <t>miho.kikuchi@mixi.co.jp</t>
  </si>
  <si>
    <t>株式会社MIXI/笠原管掌/Vantageスタジオ/Romi事業部/UX企画グループ/企画・マーケティングチーム</t>
  </si>
  <si>
    <t>AQ061050402</t>
  </si>
  <si>
    <t>木口秀平</t>
  </si>
  <si>
    <t>木口</t>
  </si>
  <si>
    <t>秀平</t>
  </si>
  <si>
    <t>きぐち</t>
  </si>
  <si>
    <t>しゅうへい</t>
  </si>
  <si>
    <t>shuhei.kiguchi</t>
  </si>
  <si>
    <t>shuhei.kiguchi@mixi.co.jp</t>
  </si>
  <si>
    <t>株式会社MIXI
株式会社チャリ・ロト
株式会社ネットドリーマーズ</t>
  </si>
  <si>
    <t>正社員
出向受入
兼務出向受入</t>
  </si>
  <si>
    <t>株式会社MIXI/小林管掌/CS本部/CS部/運用グループ</t>
  </si>
  <si>
    <t>XI516000000
XM556030300
AU073010300
AU073010302</t>
  </si>
  <si>
    <t>スタッフ
スタッフ
マネージャー
リーダー</t>
  </si>
  <si>
    <t>岸昭太朗a</t>
  </si>
  <si>
    <t>岸</t>
  </si>
  <si>
    <t>昭太朗a</t>
  </si>
  <si>
    <t>きし</t>
  </si>
  <si>
    <t>しょうたろう</t>
  </si>
  <si>
    <t>shotaro.kishi.a.ts</t>
  </si>
  <si>
    <t>shotaro.kishi.a.ts@mixi.co.jp</t>
  </si>
  <si>
    <t>岸川桂子</t>
  </si>
  <si>
    <t>岸川</t>
  </si>
  <si>
    <t>きしかわ</t>
  </si>
  <si>
    <t>keiko.kishikawa</t>
  </si>
  <si>
    <t>keiko.kishikawa@netdreamers.co.jp</t>
  </si>
  <si>
    <t>XM550000000
XM550050200
XM560000000</t>
  </si>
  <si>
    <t>喜島涼太</t>
  </si>
  <si>
    <t>喜島</t>
  </si>
  <si>
    <t>涼太</t>
  </si>
  <si>
    <t>きしま</t>
  </si>
  <si>
    <t>ryota.kishima</t>
  </si>
  <si>
    <t>ryota.kishima@mixi.co.jp</t>
  </si>
  <si>
    <t>株式会社MIXI/木村管掌/デジタルエンターテインメントオペレーションズ本部/コトダマン運営部/プラットフォーム開発グループ/エンジニアチーム</t>
  </si>
  <si>
    <t>AO082080401</t>
  </si>
  <si>
    <t>木嶋碧</t>
  </si>
  <si>
    <t>木嶋</t>
  </si>
  <si>
    <t>碧</t>
  </si>
  <si>
    <t>きじま</t>
  </si>
  <si>
    <t>みどり</t>
  </si>
  <si>
    <t>midori.kijima</t>
  </si>
  <si>
    <t>midori.kijima@mixi.co.jp</t>
  </si>
  <si>
    <t>AR059070100
AR059070203</t>
  </si>
  <si>
    <t>岸本由美子</t>
  </si>
  <si>
    <t>岸本</t>
  </si>
  <si>
    <t>由美子</t>
  </si>
  <si>
    <t>きしもと</t>
  </si>
  <si>
    <t>ゆみこ</t>
  </si>
  <si>
    <t>yumiko.kishimoto</t>
  </si>
  <si>
    <t>yumiko.kishimoto@mixi.co.jp</t>
  </si>
  <si>
    <t>喜多功次</t>
  </si>
  <si>
    <t>喜多</t>
  </si>
  <si>
    <t>功次</t>
  </si>
  <si>
    <t>きた</t>
  </si>
  <si>
    <t>koji.kita</t>
  </si>
  <si>
    <t>koji.kita@mixi.co.jp</t>
  </si>
  <si>
    <t>株式会社MIXI/笠原管掌/Vantageスタジオ/minimo事業部/システム開発グループ/システム開発チーム</t>
  </si>
  <si>
    <t>AQ061071807</t>
  </si>
  <si>
    <t>北</t>
  </si>
  <si>
    <t>由布子</t>
  </si>
  <si>
    <t>yuko.kita</t>
  </si>
  <si>
    <t>yuko.kita@mixi.co.jp</t>
  </si>
  <si>
    <t>AQ061030103
AQ061030102
AQ061040000
AQ061040303
AQ061070000
AQ061070400
AQ061070500
AQ061071400
AQ061030600
AQ061030700
AQ061071600
AQ061071800
AQ061070501
AQ061030800
AQ061050400
AQ061050100
AQ061071900</t>
  </si>
  <si>
    <t>スタッフ
スタッフ
スタッフ
スタッフ
スタッフ
スタッフ
スタッフ
スタッフ
スタッフ
スタッフ
スタッフ
スタッフ
スタッフ
スタッフ
スタッフ
スタッフ
スタッフ</t>
  </si>
  <si>
    <t>1
0
0
0
0
0
0
0
0
0
0
0
0
0
0
0
0</t>
  </si>
  <si>
    <t>木田敦士b</t>
  </si>
  <si>
    <t>木田</t>
  </si>
  <si>
    <t>敦士b</t>
  </si>
  <si>
    <t>きだ</t>
  </si>
  <si>
    <t>atsushi.kida.b.ts</t>
  </si>
  <si>
    <t>atsushi.kida.b.ts@mixi.co.jp</t>
  </si>
  <si>
    <t>株式会社MIXI/笠原管掌/みてね事業本部/みてねプロダクト開発部/デザイン2グループ</t>
  </si>
  <si>
    <t>AQ087020400</t>
  </si>
  <si>
    <t>北井孝治</t>
  </si>
  <si>
    <t>北井</t>
  </si>
  <si>
    <t>孝治</t>
  </si>
  <si>
    <t>きたい</t>
  </si>
  <si>
    <t>koji.kitai</t>
  </si>
  <si>
    <t>koji.kitai@mixi.co.jp</t>
  </si>
  <si>
    <t>株式会社MIXI/木村管掌/デジタルエンターテインメントオペレーションズ本部/ファンマーケティング部/MD事業開発グループ/イベント運営チーム</t>
  </si>
  <si>
    <t>AO082060404</t>
  </si>
  <si>
    <t>北島祥伍</t>
  </si>
  <si>
    <t>北島</t>
  </si>
  <si>
    <t>祥伍</t>
  </si>
  <si>
    <t>きたじま</t>
  </si>
  <si>
    <t>shogo.kitajima</t>
  </si>
  <si>
    <t>shogo.kitajima@mixi.co.jp</t>
  </si>
  <si>
    <t>株式会社MIXI/木村管掌/デジタルエンターテインメントオペレーションズ本部/事業戦略部/解析グループ/解析チーム</t>
  </si>
  <si>
    <t>AO082050201</t>
  </si>
  <si>
    <t>北原和也</t>
  </si>
  <si>
    <t>北原</t>
  </si>
  <si>
    <t>和也</t>
  </si>
  <si>
    <t>きたはら</t>
  </si>
  <si>
    <t>kazuya.kitahara.ts</t>
  </si>
  <si>
    <t>kazuya.kitahara.ts@mixi.co.jp</t>
  </si>
  <si>
    <t>北原聖子</t>
  </si>
  <si>
    <t>聖子</t>
  </si>
  <si>
    <t>せいこ</t>
  </si>
  <si>
    <t>seiko.kitahara</t>
  </si>
  <si>
    <t>seiko.kitahara@mixi.co.jp</t>
  </si>
  <si>
    <t>北村</t>
  </si>
  <si>
    <t>奈緒美</t>
  </si>
  <si>
    <t>きたむら</t>
  </si>
  <si>
    <t>naomi.kitamura</t>
  </si>
  <si>
    <t>naomi.kitamura@mixi.co.jp</t>
  </si>
  <si>
    <t>XG514040100
XG514030000
AX089020100</t>
  </si>
  <si>
    <t>マネージャー
部長
マネージャー</t>
  </si>
  <si>
    <t>北村有吾</t>
  </si>
  <si>
    <t>有吾</t>
  </si>
  <si>
    <t>ゆうご</t>
  </si>
  <si>
    <t>yugo.kitamura</t>
  </si>
  <si>
    <t>yugo.kitamura@mixi.co.jp</t>
  </si>
  <si>
    <t>株式会社MIXI/木村管掌/デジタルエンターテインメントパブリッシング本部/グローバルモンスト室</t>
  </si>
  <si>
    <t>AO083010000
AO083010300
AO083010305</t>
  </si>
  <si>
    <t>室長
マネージャー
リーダー</t>
  </si>
  <si>
    <t>北村怜</t>
  </si>
  <si>
    <t>ryo.kitamura</t>
  </si>
  <si>
    <t>ryo.kitamura@mixi.co.jp</t>
  </si>
  <si>
    <t>株式会社MIXI/奥山管掌/ソーシャルベッティング事業本部/事業財務戦略室/事業推進グループ</t>
  </si>
  <si>
    <t>AW076090100</t>
  </si>
  <si>
    <t>橘井健一</t>
  </si>
  <si>
    <t>橘井</t>
  </si>
  <si>
    <t>きつい</t>
  </si>
  <si>
    <t>kenichi.kitsui</t>
  </si>
  <si>
    <t>kenichi.kitsui@mixi.co.jp</t>
  </si>
  <si>
    <t>橘川賢一</t>
  </si>
  <si>
    <t>橘川</t>
  </si>
  <si>
    <t>賢一</t>
  </si>
  <si>
    <t>きっかわ</t>
  </si>
  <si>
    <t>kenichi.kikkawa.ts</t>
  </si>
  <si>
    <t>kenichi.kikkawa.ts@mixi.co.jp</t>
  </si>
  <si>
    <t>橘田望</t>
  </si>
  <si>
    <t>橘田</t>
  </si>
  <si>
    <t>きった</t>
  </si>
  <si>
    <t>nozomi.kitta</t>
  </si>
  <si>
    <t>nozomi.kitta@m-sfidante.com</t>
  </si>
  <si>
    <t>木浪陽介</t>
  </si>
  <si>
    <t>木浪</t>
  </si>
  <si>
    <t>陽介</t>
  </si>
  <si>
    <t>きなみ</t>
  </si>
  <si>
    <t>yosuke.kinami</t>
  </si>
  <si>
    <t>yosuke.kinami@netdreamers.co.jp</t>
  </si>
  <si>
    <t>株式会社ネットドリーマーズ/株式会社ネットドリーマーズ/netkeiba事業本部/プレミアムサービス事業部</t>
  </si>
  <si>
    <t>XM550000000
XM556000000
XM550060000</t>
  </si>
  <si>
    <t>木下</t>
  </si>
  <si>
    <t>智子</t>
  </si>
  <si>
    <t>きのした</t>
  </si>
  <si>
    <t>さとこ</t>
  </si>
  <si>
    <t>satoko.kinoshita</t>
  </si>
  <si>
    <t>satoko.kinoshita@mixi.co.jp</t>
  </si>
  <si>
    <t>AX078050201
AX078050401</t>
  </si>
  <si>
    <t>木原秀彦</t>
  </si>
  <si>
    <t>木原</t>
  </si>
  <si>
    <t>秀彦</t>
  </si>
  <si>
    <t>きはら</t>
  </si>
  <si>
    <t>ひでひこ</t>
  </si>
  <si>
    <t>hidehiko.kihara</t>
  </si>
  <si>
    <t>hidehiko.kihara@mixi.co.jp</t>
  </si>
  <si>
    <t>株式会社MIXI/木村管掌/ライブエクスペリエンス事業本部/フットボール事業部/事業推進グループ/マーチャンダイジングチーム</t>
  </si>
  <si>
    <t>AO090040103</t>
  </si>
  <si>
    <t>君嶋大輔</t>
  </si>
  <si>
    <t>君嶋</t>
  </si>
  <si>
    <t>きみしま</t>
  </si>
  <si>
    <t>daisuke.kimishima</t>
  </si>
  <si>
    <t>daisuke.kimishima@mixi.co.jp</t>
  </si>
  <si>
    <t>AR060011200</t>
  </si>
  <si>
    <t>キムヨンギョン</t>
  </si>
  <si>
    <t>キム</t>
  </si>
  <si>
    <t>ヨンギョン</t>
  </si>
  <si>
    <t>きむ</t>
  </si>
  <si>
    <t>よんぎょん</t>
  </si>
  <si>
    <t>yeonkyung.kim</t>
  </si>
  <si>
    <t>yeonkyung.kim@mixi.co.jp</t>
  </si>
  <si>
    <t>木村杏子</t>
  </si>
  <si>
    <t>木村</t>
  </si>
  <si>
    <t>杏子</t>
  </si>
  <si>
    <t>きむら</t>
  </si>
  <si>
    <t>きょうこ</t>
  </si>
  <si>
    <t>kyoko.kimura.ts</t>
  </si>
  <si>
    <t>弘毅</t>
  </si>
  <si>
    <t>koki.kimura</t>
  </si>
  <si>
    <t>koki.kimura@mixi.co.jp</t>
  </si>
  <si>
    <t>ZZ004000000
ZZ998000000</t>
  </si>
  <si>
    <t>代表取締役社長
上級執行役員</t>
  </si>
  <si>
    <t>木村匠吾</t>
  </si>
  <si>
    <t>匠吾</t>
  </si>
  <si>
    <t>shogo.kimura.ts</t>
  </si>
  <si>
    <t>shogo.kimura.ts@mixi.co.jp</t>
  </si>
  <si>
    <t>木村壮志</t>
  </si>
  <si>
    <t>壮志</t>
  </si>
  <si>
    <t>takeshi.kimura</t>
  </si>
  <si>
    <t>takeshi.kimura@mixi.co.jp</t>
  </si>
  <si>
    <t>株式会社MIXI/奥山管掌/ソーシャルベッティング事業本部/価値創造室/コンテンツグループ/制作プロデュースチーム</t>
  </si>
  <si>
    <t>AW076050302</t>
  </si>
  <si>
    <t>木村匡希</t>
  </si>
  <si>
    <t>匡希</t>
  </si>
  <si>
    <t>masaki.kimura.ts</t>
  </si>
  <si>
    <t>masaki.kimura.ts@mixi.co.jp</t>
  </si>
  <si>
    <t>木村麻里絵a</t>
  </si>
  <si>
    <t>麻里絵a</t>
  </si>
  <si>
    <t>marie.kimura.a</t>
  </si>
  <si>
    <t>marie.kimura.a@mixi.co.jp</t>
  </si>
  <si>
    <t>株式会社MIXI/村瀨管掌/はたらく環境推進本部/せいかつ環境室/せいかつ環境Aグループ/せいかつ環境Aチーム</t>
  </si>
  <si>
    <t>AR091030101</t>
  </si>
  <si>
    <t>木村莉奈</t>
  </si>
  <si>
    <t>莉奈</t>
  </si>
  <si>
    <t>りな</t>
  </si>
  <si>
    <t>rina.kimura.ts</t>
  </si>
  <si>
    <t>rina.kimura.ts@mixi.co.jp</t>
  </si>
  <si>
    <t>京極結紀</t>
  </si>
  <si>
    <t>京極</t>
  </si>
  <si>
    <t>結紀</t>
  </si>
  <si>
    <t>きょうごく</t>
  </si>
  <si>
    <t>yuki.kyogoku</t>
  </si>
  <si>
    <t>yuki.kyogoku@mixi.co.jp</t>
  </si>
  <si>
    <t>行徳彩</t>
  </si>
  <si>
    <t>行徳</t>
  </si>
  <si>
    <t>ぎょうとく</t>
  </si>
  <si>
    <t>aya.gyotoku</t>
  </si>
  <si>
    <t>aya.gyotoku@mixi.co.jp</t>
  </si>
  <si>
    <t>株式会社MIXI/島村管掌/人事本部/組織戦略部/コーポレートHRBPグループ</t>
  </si>
  <si>
    <t>XI516000000
AX089070400
AX089070100</t>
  </si>
  <si>
    <t>清崎浩平</t>
  </si>
  <si>
    <t>清崎</t>
  </si>
  <si>
    <t>浩平</t>
  </si>
  <si>
    <t>きよさき</t>
  </si>
  <si>
    <t>kohei.kiyosaki</t>
  </si>
  <si>
    <t>kohei.kiyosaki@mixi.co.jp</t>
  </si>
  <si>
    <t>株式会社MIXI/島村管掌/人事本部/労務部/労務企画グループ/労務企画チーム</t>
  </si>
  <si>
    <t>AX089080101
AX089060300
AX089080401
AX089060200</t>
  </si>
  <si>
    <t>リーダー
スタッフ
スタッフ
スタッフ</t>
  </si>
  <si>
    <t>木吉将隆</t>
  </si>
  <si>
    <t>木吉</t>
  </si>
  <si>
    <t>将隆</t>
  </si>
  <si>
    <t>きよし</t>
  </si>
  <si>
    <t>まさたか</t>
  </si>
  <si>
    <t>masataka.kiyoshi</t>
  </si>
  <si>
    <t>masataka.kiyoshi@mixi.co.jp</t>
  </si>
  <si>
    <t>株式会社MIXI/村瀨管掌/開発本部/CTO室/開発基盤グループ</t>
  </si>
  <si>
    <t>AR060011700
AO082020701</t>
  </si>
  <si>
    <t>清末香子</t>
  </si>
  <si>
    <t>清末</t>
  </si>
  <si>
    <t>香子</t>
  </si>
  <si>
    <t>きよすえ</t>
  </si>
  <si>
    <t>かこ</t>
  </si>
  <si>
    <t>kako.kiyosue</t>
  </si>
  <si>
    <t>kako.kiyosue@m-lovegraph.com</t>
  </si>
  <si>
    <t>清原優希乃</t>
  </si>
  <si>
    <t>清原</t>
  </si>
  <si>
    <t>優希乃</t>
  </si>
  <si>
    <t>きよはら</t>
  </si>
  <si>
    <t>yukino.kiyohara</t>
  </si>
  <si>
    <t>yukino.kiyohara@mixi.co.jp</t>
  </si>
  <si>
    <t>株式会社MIXI/木村管掌/デジタルエンターテインメントオペレーションズ本部/宣伝部</t>
  </si>
  <si>
    <t>AO082030000</t>
  </si>
  <si>
    <t>桐山拓也</t>
  </si>
  <si>
    <t>桐山</t>
  </si>
  <si>
    <t>きりやま</t>
  </si>
  <si>
    <t>takuya.kiriyama</t>
  </si>
  <si>
    <t>takuya.kiriyama@netdreamers.co.jp</t>
  </si>
  <si>
    <t>金城庄吾</t>
  </si>
  <si>
    <t>金城</t>
  </si>
  <si>
    <t>庄吾</t>
  </si>
  <si>
    <t>きんじょう</t>
  </si>
  <si>
    <t>shogo.kinjo</t>
  </si>
  <si>
    <t>shogo.kinjo@mixi.co.jp</t>
  </si>
  <si>
    <t>クージョシュア</t>
  </si>
  <si>
    <t>クー</t>
  </si>
  <si>
    <t>ジョシュア</t>
  </si>
  <si>
    <t>joshua.khoo</t>
  </si>
  <si>
    <t>joshua.khoo@mixi.co.jp</t>
  </si>
  <si>
    <t>株式会社MIXI/村瀨管掌/はたらく環境推進本部/ビジネスサポート室/ローカライズグループ</t>
  </si>
  <si>
    <t>AR091040602
AR091040604
AR091040600
AR091040700
AR091040603</t>
  </si>
  <si>
    <t>リーダー
リーダー
マネージャー
スタッフ
リーダー</t>
  </si>
  <si>
    <t>日下亜紀子</t>
  </si>
  <si>
    <t>日下</t>
  </si>
  <si>
    <t>亜紀子</t>
  </si>
  <si>
    <t>くさか</t>
  </si>
  <si>
    <t>akiko.kusaka</t>
  </si>
  <si>
    <t>akiko.kusaka@mixi.co.jp</t>
  </si>
  <si>
    <t>日下健太</t>
  </si>
  <si>
    <t>kenta.kusaka</t>
  </si>
  <si>
    <t>kenta.kusaka@mixi.co.jp</t>
  </si>
  <si>
    <t>株式会社MIXI/笠原管掌/みてね事業本部/みてね事業開発部/事業開発2グループ</t>
  </si>
  <si>
    <t>AQ087040900</t>
  </si>
  <si>
    <t>ななみ</t>
  </si>
  <si>
    <t>nanami.kusaka</t>
  </si>
  <si>
    <t>nanami.kusaka@mixi.co.jp</t>
  </si>
  <si>
    <t>株式会社MIXI/島村管掌/人事本部/労務部/ウェルネス推進グループ/保健衛生チーム</t>
  </si>
  <si>
    <t>AX089080402</t>
  </si>
  <si>
    <t>草村</t>
  </si>
  <si>
    <t>衣未</t>
  </si>
  <si>
    <t>くさむら</t>
  </si>
  <si>
    <t>emi.kusamura</t>
  </si>
  <si>
    <t>emi.kusamura@mixi.co.jp</t>
  </si>
  <si>
    <t>株式会社MIXI/村瀨管掌/開発本部/たんぽぽ室/BOグループ</t>
  </si>
  <si>
    <t>AR060051000
AR060010000
AR060040000
AR060060000</t>
  </si>
  <si>
    <t>串崎典子</t>
  </si>
  <si>
    <t>串崎</t>
  </si>
  <si>
    <t>典子</t>
  </si>
  <si>
    <t>くしざき</t>
  </si>
  <si>
    <t>のりこ</t>
  </si>
  <si>
    <t>noriko.kushizaki</t>
  </si>
  <si>
    <t>noriko.kushizaki@mixi.co.jp</t>
  </si>
  <si>
    <t>AO082050306
AO082050305
AO082050000
AO082060400
AO082060404
AO082060403
AO082060402
AO082060000
AO082060300
AO082050400
AO082050401
AO082050402
AO082050300
AO082050200
AO082050201
AO082050202
AO082030200
AO082030202
AO082030100
AO082030103
AO082030400
AO082030300
AO082030301
AO082030302
AO082030000
AO082060303
AO082060302
AO082010501
AO082050700
AO082050600
AO082050601
AO082030500
AO082030205
AO082030104
AO082060500
AO082060700
AO082060600
AO082060601
AO082060602
AO082030206
AO082060501
AO082060502
AO082030106
AO082030105
AO082030403
AO082050800</t>
  </si>
  <si>
    <t>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t>
  </si>
  <si>
    <t>0
0
1
0
0
0
0
0
0
0
0
0
0
0
0
0
0
0
0
0
0
0
0
0
0
0
0
0
0
0
0
0
0
0
0
0
0
0
0
0
0
0
0
0
0
0</t>
  </si>
  <si>
    <t>工藤康史</t>
  </si>
  <si>
    <t>工藤</t>
  </si>
  <si>
    <t>康史</t>
  </si>
  <si>
    <t>くどう</t>
  </si>
  <si>
    <t>koji.kudo.ts</t>
  </si>
  <si>
    <t>koji.kudo.ts@mixi.co.jp</t>
  </si>
  <si>
    <t>株式会社MIXI/村瀨管掌/はたらく環境推進本部/せいかつ環境室</t>
  </si>
  <si>
    <t>AR091030000</t>
  </si>
  <si>
    <t>工藤眞孝</t>
  </si>
  <si>
    <t>眞孝</t>
  </si>
  <si>
    <t>masataka.kudo</t>
  </si>
  <si>
    <t>masataka.kudo@mixi.co.jp</t>
  </si>
  <si>
    <t>AR060011700</t>
  </si>
  <si>
    <t>工藤美智子</t>
  </si>
  <si>
    <t>美智子</t>
  </si>
  <si>
    <t>みちこ</t>
  </si>
  <si>
    <t>michiko.kudo</t>
  </si>
  <si>
    <t>michiko.kudo@mixi-empowerment.co.jp</t>
  </si>
  <si>
    <t>工藤理恵</t>
  </si>
  <si>
    <t>理恵</t>
  </si>
  <si>
    <t>rie.kudo</t>
  </si>
  <si>
    <t>rie.kudo@mixi.co.jp</t>
  </si>
  <si>
    <t>國吉真織</t>
  </si>
  <si>
    <t>國吉</t>
  </si>
  <si>
    <t>真織</t>
  </si>
  <si>
    <t>くによし</t>
  </si>
  <si>
    <t>まおり</t>
  </si>
  <si>
    <t>maori.kuniyoshi</t>
  </si>
  <si>
    <t>maori.kuniyoshi@mixi.co.jp</t>
  </si>
  <si>
    <t>AX078050301</t>
  </si>
  <si>
    <t>久野文菜</t>
  </si>
  <si>
    <t>久野</t>
  </si>
  <si>
    <t>文菜</t>
  </si>
  <si>
    <t>くの</t>
  </si>
  <si>
    <t>あやな</t>
  </si>
  <si>
    <t>ayana.kuno</t>
  </si>
  <si>
    <t>ayana.kuno@mixi.co.jp</t>
  </si>
  <si>
    <t>久畑凌</t>
  </si>
  <si>
    <t>久畑</t>
  </si>
  <si>
    <t>凌</t>
  </si>
  <si>
    <t>くばた</t>
  </si>
  <si>
    <t>ryo.kubata</t>
  </si>
  <si>
    <t>ryo.kubata@mixi.co.jp</t>
  </si>
  <si>
    <t>久保沙知代</t>
  </si>
  <si>
    <t>久保</t>
  </si>
  <si>
    <t>沙知代</t>
  </si>
  <si>
    <t>くぼ</t>
  </si>
  <si>
    <t>さちよ</t>
  </si>
  <si>
    <t>sachiyo.kubo</t>
  </si>
  <si>
    <t>sachiyo.kubo@mixi.co.jp</t>
  </si>
  <si>
    <t>株式会社MIXI/笠原管掌/みてね事業本部/みてね事業開発部/ブランド企画営業グループ</t>
  </si>
  <si>
    <t>AQ087040700</t>
  </si>
  <si>
    <t>久保瞳</t>
  </si>
  <si>
    <t>瞳</t>
  </si>
  <si>
    <t>hitomi.kubo</t>
  </si>
  <si>
    <t>hitomi.kubo@mixi.co.jp</t>
  </si>
  <si>
    <t>久保善征</t>
  </si>
  <si>
    <t>善征</t>
  </si>
  <si>
    <t>yoshiyuki.kubo</t>
  </si>
  <si>
    <t>yoshiyuki.kubo@mixi.co.jp</t>
  </si>
  <si>
    <t>窪島弘明</t>
  </si>
  <si>
    <t>窪島</t>
  </si>
  <si>
    <t>弘明</t>
  </si>
  <si>
    <t>くぼしま</t>
  </si>
  <si>
    <t>hiroaki.kuboshima</t>
  </si>
  <si>
    <t>hiroaki.kuboshima@mixi.co.jp</t>
  </si>
  <si>
    <t>株式会社MIXI/奥山管掌/ソーシャルベッティング事業本部/TIPSTAR事業部/運営グループ/ミッション運用チーム</t>
  </si>
  <si>
    <t>AW076021201</t>
  </si>
  <si>
    <t>窪田亙志</t>
  </si>
  <si>
    <t>窪田</t>
  </si>
  <si>
    <t>亙志</t>
  </si>
  <si>
    <t>くぼた</t>
  </si>
  <si>
    <t>koji.kubota</t>
  </si>
  <si>
    <t>koji.kubota@mixi.co.jp</t>
  </si>
  <si>
    <t>久保田秋華</t>
  </si>
  <si>
    <t>久保田</t>
  </si>
  <si>
    <t>秋華</t>
  </si>
  <si>
    <t>しゅうか</t>
  </si>
  <si>
    <t>shuka.kubota.ts</t>
  </si>
  <si>
    <t>shuka.kubota.ts@mixi.co.jp</t>
  </si>
  <si>
    <t>久保山知瑛</t>
  </si>
  <si>
    <t>久保山</t>
  </si>
  <si>
    <t>知瑛</t>
  </si>
  <si>
    <t>くぼやま</t>
  </si>
  <si>
    <t>ちあき</t>
  </si>
  <si>
    <t>chiaki.kuboyama.ts</t>
  </si>
  <si>
    <t>久保山燎平</t>
  </si>
  <si>
    <t>燎平</t>
  </si>
  <si>
    <t>ryohei.kuboyama</t>
  </si>
  <si>
    <t>ryohei.kuboyama@mixi.co.jp</t>
  </si>
  <si>
    <t>株式会社MIXI/島村管掌/経営推進本部/FP&amp;Aインテリジェンス部/データサイエンスグループ</t>
  </si>
  <si>
    <t>AX078070200
AX078070100</t>
  </si>
  <si>
    <t>熊谷政宏</t>
  </si>
  <si>
    <t>熊谷</t>
  </si>
  <si>
    <t>政宏</t>
  </si>
  <si>
    <t>くまがい</t>
  </si>
  <si>
    <t>masahiro.kumagai.ts</t>
  </si>
  <si>
    <t>masahiro.kumagai.ts@mixi.co.jp</t>
  </si>
  <si>
    <t>熊倉心斗</t>
  </si>
  <si>
    <t>熊倉</t>
  </si>
  <si>
    <t>心斗</t>
  </si>
  <si>
    <t>くまくら</t>
  </si>
  <si>
    <t>まなと</t>
  </si>
  <si>
    <t>manato.kumakura</t>
  </si>
  <si>
    <t>manato.kumakura@netdreamers.co.jp</t>
  </si>
  <si>
    <t>XM550060000</t>
  </si>
  <si>
    <t>熊坂勇刀</t>
  </si>
  <si>
    <t>熊坂</t>
  </si>
  <si>
    <t>勇刀</t>
  </si>
  <si>
    <t>くまさか</t>
  </si>
  <si>
    <t>ゆうと</t>
  </si>
  <si>
    <t>yuto.kumasaka</t>
  </si>
  <si>
    <t>yuto.kumasaka@mixi.co.jp</t>
  </si>
  <si>
    <t>熊田麻代</t>
  </si>
  <si>
    <t>熊田</t>
  </si>
  <si>
    <t>麻代</t>
  </si>
  <si>
    <t>くまた</t>
  </si>
  <si>
    <t>あさよ</t>
  </si>
  <si>
    <t>asayo.kumata</t>
  </si>
  <si>
    <t>asayo.kumata@mixi.co.jp</t>
  </si>
  <si>
    <t>株式会社MIXI/木村管掌/デジタルエンターテインメントオペレーションズ本部/コトダマン運営部/マーケティンググループ/マーケティングチーム</t>
  </si>
  <si>
    <t>AO082080203
AO082080801</t>
  </si>
  <si>
    <t>熊本</t>
  </si>
  <si>
    <t>満里奈</t>
  </si>
  <si>
    <t>くまもと</t>
  </si>
  <si>
    <t>まりな</t>
  </si>
  <si>
    <t>marina.kumamoto</t>
  </si>
  <si>
    <t>marina.kumamoto@mixi.co.jp</t>
  </si>
  <si>
    <t>株式会社MIXI/木村管掌/デジタルエンターテインメントオペレーションズ本部/モンストIPクリエイション部/キャラプログループ</t>
  </si>
  <si>
    <t>AO082040100
AO082040101</t>
  </si>
  <si>
    <t>久米啓民</t>
  </si>
  <si>
    <t>久米</t>
  </si>
  <si>
    <t>啓民</t>
  </si>
  <si>
    <t>くめ</t>
  </si>
  <si>
    <t>ひろたみ</t>
  </si>
  <si>
    <t>hirotami.kume</t>
  </si>
  <si>
    <t>hirotami.kume@mixi.co.jp</t>
  </si>
  <si>
    <t>株式会社MIXI/木村管掌/デジタルエンターテインメントオペレーションズ本部/コトダマン運営部/プロダクト開発Bグループ</t>
  </si>
  <si>
    <t>AO082080600
AO082080601
AO082080202</t>
  </si>
  <si>
    <t>粂原大樹</t>
  </si>
  <si>
    <t>粂原</t>
  </si>
  <si>
    <t>大樹</t>
  </si>
  <si>
    <t>くめはら</t>
  </si>
  <si>
    <t>hiroki.kumehara.ts</t>
  </si>
  <si>
    <t>hiroki.kumehara.ts@mixi.co.jp</t>
  </si>
  <si>
    <t>雲村賢太郎</t>
  </si>
  <si>
    <t>雲村</t>
  </si>
  <si>
    <t>賢太郎</t>
  </si>
  <si>
    <t>くもむら</t>
  </si>
  <si>
    <t>kentaro.kumomura</t>
  </si>
  <si>
    <t>kentaro.kumomura@mixi.co.jp</t>
  </si>
  <si>
    <t>株式会社MIXI/笠原管掌/みてね事業本部/みてねマーケティング部/ユーザーグロースグループ/グローバルクリエイティブチーム</t>
  </si>
  <si>
    <t>AQ087030101
AQ087040000</t>
  </si>
  <si>
    <t>倉林佑弥</t>
  </si>
  <si>
    <t>倉林</t>
  </si>
  <si>
    <t>佑弥</t>
  </si>
  <si>
    <t>くらばやし</t>
  </si>
  <si>
    <t>yuya.kurabayashi.ts</t>
  </si>
  <si>
    <t>栗城桂子</t>
  </si>
  <si>
    <t>栗城</t>
  </si>
  <si>
    <t>くりき</t>
  </si>
  <si>
    <t>keiko.kuriki.ts</t>
  </si>
  <si>
    <t>keiko.kuriki.ts@mixi.co.jp</t>
  </si>
  <si>
    <t>栗田麻祐子</t>
  </si>
  <si>
    <t>栗田</t>
  </si>
  <si>
    <t>麻祐子</t>
  </si>
  <si>
    <t>くりた</t>
  </si>
  <si>
    <t>mayuko.kurita.ts</t>
  </si>
  <si>
    <t>mayuko.kurita.ts@mixi.co.jp</t>
  </si>
  <si>
    <t>株式会社MIXI/木村管掌/デジタルエンターテインメントオペレーションズ本部/コトダマン運営部/運営設計グループ/レベルデザインチーム</t>
  </si>
  <si>
    <t>AO082080501</t>
  </si>
  <si>
    <t>栗野恭平</t>
  </si>
  <si>
    <t>栗野</t>
  </si>
  <si>
    <t>恭平</t>
  </si>
  <si>
    <t>くりの</t>
  </si>
  <si>
    <t>きょうへい</t>
  </si>
  <si>
    <t>kyohei.kurino</t>
  </si>
  <si>
    <t>kyohei.kurino@mixi.co.jp</t>
  </si>
  <si>
    <t>栗林雅人</t>
  </si>
  <si>
    <t>栗林</t>
  </si>
  <si>
    <t>雅人</t>
  </si>
  <si>
    <t>くりばやし</t>
  </si>
  <si>
    <t>masato.kuribayashi</t>
  </si>
  <si>
    <t>masato.kuribayashi@mixi.co.jp</t>
  </si>
  <si>
    <t>株式会社MIXI/村瀨管掌/デザイン本部/プロダクトデザイン室/エクスペリエンスデザイン第1グループ/第1チーム</t>
  </si>
  <si>
    <t>AR059050701</t>
  </si>
  <si>
    <t>栗原智美</t>
  </si>
  <si>
    <t>栗原</t>
  </si>
  <si>
    <t>くりはら</t>
  </si>
  <si>
    <t>tomomi.kurihara</t>
  </si>
  <si>
    <t>tomomi.kurihara@mixi.co.jp</t>
  </si>
  <si>
    <t>栗原勇樹</t>
  </si>
  <si>
    <t>勇樹</t>
  </si>
  <si>
    <t>yuki.kurihara</t>
  </si>
  <si>
    <t>yuki.kurihara@mixi.co.jp</t>
  </si>
  <si>
    <t>栗山幸介</t>
  </si>
  <si>
    <t>栗山</t>
  </si>
  <si>
    <t>幸介</t>
  </si>
  <si>
    <t>くりやま</t>
  </si>
  <si>
    <t>kosuke.kuriyama</t>
  </si>
  <si>
    <t>kosuke.kuriyama@mixi.co.jp</t>
  </si>
  <si>
    <t>AU074020000
AU074020100</t>
  </si>
  <si>
    <t>室長
マネージャー</t>
  </si>
  <si>
    <t>黒木知子</t>
  </si>
  <si>
    <t>黒木</t>
  </si>
  <si>
    <t>知子</t>
  </si>
  <si>
    <t>くろき</t>
  </si>
  <si>
    <t>ともこ</t>
  </si>
  <si>
    <t>tomoko.kuroki.ts</t>
  </si>
  <si>
    <t>tomoko.kuroki.ts@mixi.co.jp</t>
  </si>
  <si>
    <t>株式会社MIXI/島村管掌/人事本部/人材開発部</t>
  </si>
  <si>
    <t>AX089040000</t>
  </si>
  <si>
    <t>黒木怜恩</t>
  </si>
  <si>
    <t>怜恩</t>
  </si>
  <si>
    <t>れおん</t>
  </si>
  <si>
    <t>reon.kuroki</t>
  </si>
  <si>
    <t>reon.kuroki@mixi.co.jp</t>
  </si>
  <si>
    <t>黒崎智也</t>
  </si>
  <si>
    <t>黒崎</t>
  </si>
  <si>
    <t>智也</t>
  </si>
  <si>
    <t>くろさき</t>
  </si>
  <si>
    <t>tomoya.kurosaki</t>
  </si>
  <si>
    <t>tomoya.kurosaki@mixi.co.jp</t>
  </si>
  <si>
    <t>株式会社MIXI/島村管掌/経営推進本部/FP&amp;Aインテリジェンス部/コーポレートFP&amp;Aグループ</t>
  </si>
  <si>
    <t>AX078070100</t>
  </si>
  <si>
    <t>黒田華加</t>
  </si>
  <si>
    <t>黒田</t>
  </si>
  <si>
    <t>華加</t>
  </si>
  <si>
    <t>くろだ</t>
  </si>
  <si>
    <t>haruka.kuroda</t>
  </si>
  <si>
    <t>haruka.kuroda@mixi.co.jp</t>
  </si>
  <si>
    <t>桑原みなみ</t>
  </si>
  <si>
    <t>桑原</t>
  </si>
  <si>
    <t>みなみ</t>
  </si>
  <si>
    <t>くわばら</t>
  </si>
  <si>
    <t>minami.kuwabara</t>
  </si>
  <si>
    <t>minami.kuwabara@netdreamers.co.jp</t>
  </si>
  <si>
    <t>桑本竜也</t>
  </si>
  <si>
    <t>桑本</t>
  </si>
  <si>
    <t>くわもと</t>
  </si>
  <si>
    <t>tatsuya.kuwamoto.ts</t>
  </si>
  <si>
    <t>tatsuya.kuwamoto.ts@mixi.co.jp</t>
  </si>
  <si>
    <t>厳隠</t>
  </si>
  <si>
    <t>厳</t>
  </si>
  <si>
    <t>隠</t>
  </si>
  <si>
    <t>げん</t>
  </si>
  <si>
    <t>いん</t>
  </si>
  <si>
    <t>yin.yan</t>
  </si>
  <si>
    <t>yin.yan@mixi.co.jp</t>
  </si>
  <si>
    <t>玄馬史也</t>
  </si>
  <si>
    <t>玄馬</t>
  </si>
  <si>
    <t>史也</t>
  </si>
  <si>
    <t>げんば</t>
  </si>
  <si>
    <t>ふみや</t>
  </si>
  <si>
    <t>fumiya.gemba</t>
  </si>
  <si>
    <t>fumiya.gemba@mixi.co.jp</t>
  </si>
  <si>
    <t>株式会社MIXI/笠原管掌/みてね事業本部/みてねプロダクト開発部/プロダクト開発DAグループ</t>
  </si>
  <si>
    <t>AQ087020500
AQ087040000</t>
  </si>
  <si>
    <t>小池亜耶加</t>
  </si>
  <si>
    <t>小池</t>
  </si>
  <si>
    <t>亜耶加</t>
  </si>
  <si>
    <t>こいけ</t>
  </si>
  <si>
    <t>ayaka.koike</t>
  </si>
  <si>
    <t>ayaka.koike@mixi.co.jp</t>
  </si>
  <si>
    <t>小池透</t>
  </si>
  <si>
    <t>toru.koike</t>
  </si>
  <si>
    <t>toru.koike@mixi.co.jp</t>
  </si>
  <si>
    <t>XM523020000
AW085020201</t>
  </si>
  <si>
    <t>小池知裕</t>
  </si>
  <si>
    <t>知裕</t>
  </si>
  <si>
    <t>ともひろ</t>
  </si>
  <si>
    <t>tomohiro.koike</t>
  </si>
  <si>
    <t>tomohiro.koike@mixi.co.jp</t>
  </si>
  <si>
    <t>株式会社MIXI/村瀨管掌/開発本部/CTO室</t>
  </si>
  <si>
    <t>AR060010000
AR060010200
AO082020202</t>
  </si>
  <si>
    <t>室長
マネージャー
スタッフ</t>
  </si>
  <si>
    <t>小池陸</t>
  </si>
  <si>
    <t>陸</t>
  </si>
  <si>
    <t>りく</t>
  </si>
  <si>
    <t>riku.koike.ts</t>
  </si>
  <si>
    <t>riku.koike.ts@mixi.co.jp</t>
  </si>
  <si>
    <t>小泉岳大</t>
  </si>
  <si>
    <t>小泉</t>
  </si>
  <si>
    <t>岳大</t>
  </si>
  <si>
    <t>こいずみ</t>
  </si>
  <si>
    <t>たけひろ</t>
  </si>
  <si>
    <t>takehiro.koizumi</t>
  </si>
  <si>
    <t>takehiro.koizumi@netdreamers.co.jp</t>
  </si>
  <si>
    <t>小出悠里亜</t>
  </si>
  <si>
    <t>小出</t>
  </si>
  <si>
    <t>悠里亜</t>
  </si>
  <si>
    <t>こいで</t>
  </si>
  <si>
    <t>ゆりあ</t>
  </si>
  <si>
    <t>yuria.koide</t>
  </si>
  <si>
    <t>yuria.koide@mixi.co.jp</t>
  </si>
  <si>
    <t>株式会社MIXI/小林管掌/CS本部/CX部/Cooperationグループ/オペレーションチーム</t>
  </si>
  <si>
    <t>AU073020202</t>
  </si>
  <si>
    <t>向後新奈</t>
  </si>
  <si>
    <t>向後</t>
  </si>
  <si>
    <t>新奈</t>
  </si>
  <si>
    <t>こうご</t>
  </si>
  <si>
    <t>にいな</t>
  </si>
  <si>
    <t>niina.kogo</t>
  </si>
  <si>
    <t>niina.kogo@mixi.co.jp</t>
  </si>
  <si>
    <t>向後有美</t>
  </si>
  <si>
    <t>有美</t>
  </si>
  <si>
    <t>ゆみ</t>
  </si>
  <si>
    <t>yumi.kogo</t>
  </si>
  <si>
    <t>yumi.kogo@mixi.co.jp</t>
  </si>
  <si>
    <t>株式会社MIXI/島村管掌/経営推進本部/経営企画部/企画グループ</t>
  </si>
  <si>
    <t>AX078010100</t>
  </si>
  <si>
    <t>香田淳一</t>
  </si>
  <si>
    <t>香田</t>
  </si>
  <si>
    <t>淳一</t>
  </si>
  <si>
    <t>こうだ</t>
  </si>
  <si>
    <t>じゅんいち</t>
  </si>
  <si>
    <t>junichi.koda.ts</t>
  </si>
  <si>
    <t>幸田拓馬</t>
  </si>
  <si>
    <t>幸田</t>
  </si>
  <si>
    <t>拓馬</t>
  </si>
  <si>
    <t>takuma.koda</t>
  </si>
  <si>
    <t>takuma.koda@netdreamers.co.jp</t>
  </si>
  <si>
    <t>河野麻未</t>
  </si>
  <si>
    <t>麻未</t>
  </si>
  <si>
    <t>こうの</t>
  </si>
  <si>
    <t>mami.kono</t>
  </si>
  <si>
    <t>mami.kono@mixi.co.jp</t>
  </si>
  <si>
    <t>株式会社MIXI/木村管掌/デジタルエンターテインメントオペレーションズ本部/ファンマーケティング部/MD事業開発グループ/商品企画チーム</t>
  </si>
  <si>
    <t>AO082060402</t>
  </si>
  <si>
    <t>紅露</t>
  </si>
  <si>
    <t>こうろ</t>
  </si>
  <si>
    <t>daisuke.koro</t>
  </si>
  <si>
    <t>daisuke.koro@mixi.co.jp</t>
  </si>
  <si>
    <t>小枝正典</t>
  </si>
  <si>
    <t>小枝</t>
  </si>
  <si>
    <t>こえだ</t>
  </si>
  <si>
    <t>masanori.koeda</t>
  </si>
  <si>
    <t>masanori.koeda@mixi.co.jp</t>
  </si>
  <si>
    <t>株式会社MIXI/奥山管掌/ソーシャルベッティング事業本部/TIPSTAR事業部/事業推進グループ</t>
  </si>
  <si>
    <t>AW076020800
AW076050301</t>
  </si>
  <si>
    <t>古川健</t>
  </si>
  <si>
    <t>古川</t>
  </si>
  <si>
    <t>こがわ</t>
  </si>
  <si>
    <t>ken.kogawa</t>
  </si>
  <si>
    <t>ken.kogawa@mixi.co.jp</t>
  </si>
  <si>
    <t>古河久人</t>
  </si>
  <si>
    <t>古河</t>
  </si>
  <si>
    <t>久人</t>
  </si>
  <si>
    <t>ひさと</t>
  </si>
  <si>
    <t>hisato.kogawa.ts</t>
  </si>
  <si>
    <t>hisato.kogawa.ts@mixi.co.jp</t>
  </si>
  <si>
    <t>ZZ092010000</t>
  </si>
  <si>
    <t>國分聖</t>
  </si>
  <si>
    <t>國分</t>
  </si>
  <si>
    <t>聖</t>
  </si>
  <si>
    <t>こくぶ</t>
  </si>
  <si>
    <t>せい</t>
  </si>
  <si>
    <t>sei.kokubu</t>
  </si>
  <si>
    <t>sei.kokubu@mixi.co.jp</t>
  </si>
  <si>
    <t>株式会社MIXI/村瀨管掌/デザイン本部/ブランドデザイン室/デザイングループ</t>
  </si>
  <si>
    <t>AR059070300</t>
  </si>
  <si>
    <t>國分裕太</t>
  </si>
  <si>
    <t>yuta.kokubu</t>
  </si>
  <si>
    <t>yuta.kokubu@mixi.co.jp</t>
  </si>
  <si>
    <t>小久保良介</t>
  </si>
  <si>
    <t>小久保</t>
  </si>
  <si>
    <t>良介</t>
  </si>
  <si>
    <t>こくぼ</t>
  </si>
  <si>
    <t>ryosuke.kokubo.ts</t>
  </si>
  <si>
    <t>ryosuke.kokubo.ts@mixi.co.jp</t>
  </si>
  <si>
    <t>小暮美帆</t>
  </si>
  <si>
    <t>小暮</t>
  </si>
  <si>
    <t>こぐれ</t>
  </si>
  <si>
    <t>miho.kogure</t>
  </si>
  <si>
    <t>miho.kogure@mixi.co.jp</t>
  </si>
  <si>
    <t>AO090050200
AO090010000
AO090020000
AO090030200
AO090030100
AO090030300
AO090030000
AO090040000
AO090040200
AO090040100
AO090000000
AO090050100
AO090050300
AO090050400
AO090050500
AO090050000</t>
  </si>
  <si>
    <t>スタッフ
スタッフ
スタッフ
スタッフ
スタッフ
スタッフ
スタッフ
スタッフ
スタッフ
スタッフ
スタッフ
スタッフ
スタッフ
スタッフ
スタッフ
スタッフ</t>
  </si>
  <si>
    <t>1
0
0
0
0
0
0
0
0
0
0
0
0
0
0
0</t>
  </si>
  <si>
    <t>腰塚淳也</t>
  </si>
  <si>
    <t>腰塚</t>
  </si>
  <si>
    <t>淳也</t>
  </si>
  <si>
    <t>こしづか</t>
  </si>
  <si>
    <t>junya.koshizuka</t>
  </si>
  <si>
    <t>junya.koshizuka@mixi.co.jp</t>
  </si>
  <si>
    <t>小島慎太郎</t>
  </si>
  <si>
    <t>小島</t>
  </si>
  <si>
    <t>慎太郎</t>
  </si>
  <si>
    <t>こじま</t>
  </si>
  <si>
    <t>shintaro.kojima.ts</t>
  </si>
  <si>
    <t>shintaro.kojima.ts@mixi.co.jp</t>
  </si>
  <si>
    <t>AR060060100</t>
  </si>
  <si>
    <t>兒島哲郎</t>
  </si>
  <si>
    <t>兒島</t>
  </si>
  <si>
    <t>哲郎</t>
  </si>
  <si>
    <t>てつお</t>
  </si>
  <si>
    <t>tetsuo.kojima</t>
  </si>
  <si>
    <t>tetsuo.kojima@netdreamers.co.jp</t>
  </si>
  <si>
    <t>小島勇太</t>
  </si>
  <si>
    <t>yuta.kojima</t>
  </si>
  <si>
    <t>yuta.kojima@mixi.co.jp</t>
  </si>
  <si>
    <t>古城秀隆</t>
  </si>
  <si>
    <t>古城</t>
  </si>
  <si>
    <t>秀隆</t>
  </si>
  <si>
    <t>こじょう</t>
  </si>
  <si>
    <t>ひでたか</t>
  </si>
  <si>
    <t>kojo</t>
  </si>
  <si>
    <t>kojo@mixi.co.jp</t>
  </si>
  <si>
    <t>小関瑞穂</t>
  </si>
  <si>
    <t>小関</t>
  </si>
  <si>
    <t>こせき</t>
  </si>
  <si>
    <t>mizuho.koseki</t>
  </si>
  <si>
    <t>mizuho.koseki@netdreamers.co.jp</t>
  </si>
  <si>
    <t>児玉悦子</t>
  </si>
  <si>
    <t>児玉</t>
  </si>
  <si>
    <t>こだま</t>
  </si>
  <si>
    <t>etsuko.kodama</t>
  </si>
  <si>
    <t>etsuko.kodama@mixi.co.jp</t>
  </si>
  <si>
    <t>株式会社MIXI/島村管掌/経営推進本部/経営企画部/コーポレートPMグループ/MWF管理チーム</t>
  </si>
  <si>
    <t>AX078000000
AX078010301
AX078080301</t>
  </si>
  <si>
    <t>兒玉博志</t>
  </si>
  <si>
    <t>兒玉</t>
  </si>
  <si>
    <t>博志</t>
  </si>
  <si>
    <t>hiroshi.kodama</t>
  </si>
  <si>
    <t>hiroshi.kodama@mixi.co.jp</t>
  </si>
  <si>
    <t>正社員
出向受入
出向受入</t>
  </si>
  <si>
    <t>株式会社MIXI/奥山管掌/ソーシャルベッティング事業本部/チャリ・ロト事業部/ソリューショングループ</t>
  </si>
  <si>
    <t>XI516000000
AW076070100
XX561000000</t>
  </si>
  <si>
    <t>後藤紫織</t>
  </si>
  <si>
    <t>後藤</t>
  </si>
  <si>
    <t>紫織</t>
  </si>
  <si>
    <t>ごとう</t>
  </si>
  <si>
    <t>shiori.goto</t>
  </si>
  <si>
    <t>shiori.goto@mixi.co.jp</t>
  </si>
  <si>
    <t>後藤慎之助</t>
  </si>
  <si>
    <t>慎之助</t>
  </si>
  <si>
    <t>しんのすけ</t>
  </si>
  <si>
    <t>shinnosuke.goto</t>
  </si>
  <si>
    <t>shinnosuke.goto@mixi.co.jp</t>
  </si>
  <si>
    <t>後藤知弘</t>
  </si>
  <si>
    <t>知弘</t>
  </si>
  <si>
    <t>tomohiro.goto</t>
  </si>
  <si>
    <t>tomohiro.goto@mixi.co.jp</t>
  </si>
  <si>
    <t>XG514040100
AX089020100</t>
  </si>
  <si>
    <t>後藤芙友</t>
  </si>
  <si>
    <t>芙友</t>
  </si>
  <si>
    <t>ふゆ</t>
  </si>
  <si>
    <t>fuyu.goto</t>
  </si>
  <si>
    <t>fuyu.goto@mixi.co.jp</t>
  </si>
  <si>
    <t>後藤嘉成</t>
  </si>
  <si>
    <t>嘉成</t>
  </si>
  <si>
    <t>yoshinari.goto</t>
  </si>
  <si>
    <t>yoshinari.goto@netdreamers.co.jp</t>
  </si>
  <si>
    <t>XM550000000
XM550060000</t>
  </si>
  <si>
    <t>スタッフ
部長</t>
  </si>
  <si>
    <t>小長井宏美</t>
  </si>
  <si>
    <t>小長井</t>
  </si>
  <si>
    <t>宏美</t>
  </si>
  <si>
    <t>こながい</t>
  </si>
  <si>
    <t>hiromi.konagai</t>
  </si>
  <si>
    <t>hiromi.konagai@mixi.co.jp</t>
  </si>
  <si>
    <t>株式会社MIXI/村瀨管掌/デザイン本部/動画クリエイティブ室/CGデザイングループ/CG第3チーム</t>
  </si>
  <si>
    <t>AR059060306</t>
  </si>
  <si>
    <t>小西華織</t>
  </si>
  <si>
    <t>小西</t>
  </si>
  <si>
    <t>華織</t>
  </si>
  <si>
    <t>こにし</t>
  </si>
  <si>
    <t>kaori.konishi</t>
  </si>
  <si>
    <t>kaori.konishi@mixi.co.jp</t>
  </si>
  <si>
    <t>AX089080200</t>
  </si>
  <si>
    <t>小西遼</t>
  </si>
  <si>
    <t>ryo.konishi</t>
  </si>
  <si>
    <t>ryo.konishi@mixi.co.jp</t>
  </si>
  <si>
    <t>AR060051200
AR060040700</t>
  </si>
  <si>
    <t>小端みより</t>
  </si>
  <si>
    <t>小端</t>
  </si>
  <si>
    <t>みより</t>
  </si>
  <si>
    <t>こばた</t>
  </si>
  <si>
    <t>miyori.kobata</t>
  </si>
  <si>
    <t>miyori.kobata@mixi.co.jp</t>
  </si>
  <si>
    <t>AR060060200</t>
  </si>
  <si>
    <t>小濱大輔</t>
  </si>
  <si>
    <t>小濱</t>
  </si>
  <si>
    <t>こはま</t>
  </si>
  <si>
    <t>daisuke.kohama</t>
  </si>
  <si>
    <t>daisuke.kohama@mixi.co.jp</t>
  </si>
  <si>
    <t>小林あかり</t>
  </si>
  <si>
    <t>小林</t>
  </si>
  <si>
    <t>こばやし</t>
  </si>
  <si>
    <t>akari.kobayashi</t>
  </si>
  <si>
    <t>akari.kobayashi@mixi.co.jp</t>
  </si>
  <si>
    <t>株式会社MIXI/木村管掌/デジタルエンターテインメントオペレーションズ本部/宣伝部/プロモーショングループ/アクティベーション1チーム</t>
  </si>
  <si>
    <t>AO082030106</t>
  </si>
  <si>
    <t>kazuki.kobayashi</t>
  </si>
  <si>
    <t>kazuki.kobayashi@mixi.co.jp</t>
  </si>
  <si>
    <t>小林可奈b</t>
  </si>
  <si>
    <t>可奈b</t>
  </si>
  <si>
    <t>kana.kobayashi.b</t>
  </si>
  <si>
    <t>kana.kobayashi.b@mixi.co.jp</t>
  </si>
  <si>
    <t>小林佳奈</t>
  </si>
  <si>
    <t>佳奈</t>
  </si>
  <si>
    <t>kana.kobayashi</t>
  </si>
  <si>
    <t>kana.kobayashi@mixi.co.jp</t>
  </si>
  <si>
    <t>株式会社MIXI/小林管掌/CS本部/CS部/運用グループ/ユーザー運用チーム</t>
  </si>
  <si>
    <t>AU073010302</t>
  </si>
  <si>
    <t>完爾</t>
  </si>
  <si>
    <t>かんじ</t>
  </si>
  <si>
    <t>kanji.kobayashi</t>
  </si>
  <si>
    <t>kanji.kobayashi@mixi.co.jp</t>
  </si>
  <si>
    <t>株式会社MIXI
株式会社チャリ・ロト
株式会社TOKYOBAYアリーナマネジメント</t>
  </si>
  <si>
    <t>AU073000000
AU074000000
ZZ998000000
XI516000000
XP537000000</t>
  </si>
  <si>
    <t>本部長
本部長
上級執行役員
取締役
取締役</t>
  </si>
  <si>
    <t>小林康三</t>
  </si>
  <si>
    <t>康三</t>
  </si>
  <si>
    <t>こうぞう</t>
  </si>
  <si>
    <t>kozo.kobayashi.ts</t>
  </si>
  <si>
    <t>kozo.kobayashi.ts@mixi.co.jp</t>
  </si>
  <si>
    <t>株式会社MIXI/村瀨管掌/はたらく環境推進本部/コーポレートITサービス部/環境整備グループ/環境整備チーム</t>
  </si>
  <si>
    <t>AR091010203</t>
  </si>
  <si>
    <t>小林紗英</t>
  </si>
  <si>
    <t>紗英</t>
  </si>
  <si>
    <t>さえ</t>
  </si>
  <si>
    <t>sae.kobayashi</t>
  </si>
  <si>
    <t>sae.kobayashi@mixi.co.jp</t>
  </si>
  <si>
    <t>小林桜々a</t>
  </si>
  <si>
    <t>桜々a</t>
  </si>
  <si>
    <t>さくら</t>
  </si>
  <si>
    <t>sakura.kobayashi.a.ts</t>
  </si>
  <si>
    <t>sakura.kobayashi.a.ts@m-lovegraph.com</t>
  </si>
  <si>
    <t>小林大祐</t>
  </si>
  <si>
    <t>大祐</t>
  </si>
  <si>
    <t>daisuke.kobayashi.ts</t>
  </si>
  <si>
    <t>daisuke.kobayashi.ts@mixi.co.jp</t>
  </si>
  <si>
    <t>小林曹</t>
  </si>
  <si>
    <t>曹</t>
  </si>
  <si>
    <t>tsukasa.kobayashi.ts</t>
  </si>
  <si>
    <t>tsukasa.kobayashi.ts@mixi.co.jp</t>
  </si>
  <si>
    <t>小林悠香a</t>
  </si>
  <si>
    <t>悠香a</t>
  </si>
  <si>
    <t>haruka.kobayashi.a</t>
  </si>
  <si>
    <t>haruka.kobayashi.a@mixi.co.jp</t>
  </si>
  <si>
    <t>株式会社MIXI/奥山管掌/ソーシャルベッティング事業本部/チャリ・ロト事業部/プロダクトグループ/マーケティングチーム</t>
  </si>
  <si>
    <t>XI516000000
AW076070202</t>
  </si>
  <si>
    <t>小林宏彰</t>
  </si>
  <si>
    <t>宏彰</t>
  </si>
  <si>
    <t>hiroaki.kobayashi</t>
  </si>
  <si>
    <t>hiroaki.kobayashi@mixi.co.jp</t>
  </si>
  <si>
    <t>makoto.kobayashi</t>
  </si>
  <si>
    <t>makoto.kobayashi@mixi.co.jp</t>
  </si>
  <si>
    <t>小林祐子</t>
  </si>
  <si>
    <t>祐子</t>
  </si>
  <si>
    <t>yuko.kobayashi</t>
  </si>
  <si>
    <t>yuko.kobayashi@mixi.co.jp</t>
  </si>
  <si>
    <t>AO082050000
AO082010501
AO082030000
AO082030100
AO082030200
AO082030300
AO082030400
AO082050200
AO082050201
AO082050202
AO082050300
AO082050400
AO082050401
AO082050402
AO082060000
AO082060300
AO082060400
AO082060402
AO082050306
AO082050305
AO082060404
AO082060403
AO082030202
AO082030103
AO082030301
AO082030302
AO082060303
AO082060302
AO082050700
AO082050600
AO082050601
AO082030500
AO082030205
AO082030104
AO082060500
AO082060700
AO082060600
AO082010400
AO082060601
AO082060602
AO082030206
AO082060501
AO082060502
AO082030106
AO082030105
AO082030403
AO082050800</t>
  </si>
  <si>
    <t>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
スタッフ</t>
  </si>
  <si>
    <t>1
0
0
0
0
0
0
0
0
0
0
0
0
0
0
0
0
0
0
0
0
0
0
0
0
0
0
0
0
0
0
0
0
0
0
0
0
0
0
0
0
0
0
0
0
0
0</t>
  </si>
  <si>
    <t>小原淳平</t>
  </si>
  <si>
    <t>淳平</t>
  </si>
  <si>
    <t>こはら</t>
  </si>
  <si>
    <t>jumpei.kohara</t>
  </si>
  <si>
    <t>jumpei.kohara@mixi.co.jp</t>
  </si>
  <si>
    <t>小原直英</t>
  </si>
  <si>
    <t>直英</t>
  </si>
  <si>
    <t>なおひで</t>
  </si>
  <si>
    <t>naohide.kohara</t>
  </si>
  <si>
    <t>naohide.kohara@netdreamers.co.jp</t>
  </si>
  <si>
    <t>小原蓉童</t>
  </si>
  <si>
    <t>蓉童</t>
  </si>
  <si>
    <t>ようどう</t>
  </si>
  <si>
    <t>yodo.kohara</t>
  </si>
  <si>
    <t>yodo.kohara@mixi.co.jp</t>
  </si>
  <si>
    <t>株式会社MIXI/笠原管掌/Vantageスタジオ/minimo事業部</t>
  </si>
  <si>
    <t>AQ061070000
AQ061070400
AQ061070404
AQ061070500
AQ061071800</t>
  </si>
  <si>
    <t>部長
マネージャー
リーダー
マネージャー
マネージャー</t>
  </si>
  <si>
    <t>1
0
0
0
0</t>
  </si>
  <si>
    <t>駒下純兵</t>
  </si>
  <si>
    <t>駒下</t>
  </si>
  <si>
    <t>純兵</t>
  </si>
  <si>
    <t>こました</t>
  </si>
  <si>
    <t>jumpei.komashita.ts</t>
  </si>
  <si>
    <t>jumpei.komashita.ts@mixi.co.jp</t>
  </si>
  <si>
    <t>株式会社MIXI/笠原管掌/みてね事業本部/みてね事業開発部</t>
  </si>
  <si>
    <t>AQ087040000</t>
  </si>
  <si>
    <t>駒下純兵a</t>
  </si>
  <si>
    <t>純兵a</t>
  </si>
  <si>
    <t>jumpei.komashita</t>
  </si>
  <si>
    <t>jumpei.komashita@m-lovegraph.com</t>
  </si>
  <si>
    <t>代表取締役社長</t>
  </si>
  <si>
    <t>小松茂敏</t>
  </si>
  <si>
    <t>小松</t>
  </si>
  <si>
    <t>茂敏</t>
  </si>
  <si>
    <t>こまつ</t>
  </si>
  <si>
    <t>しげとし</t>
  </si>
  <si>
    <t>shigetoshi.komatsu</t>
  </si>
  <si>
    <t>shigetoshi.komatsu@mixi.co.jp</t>
  </si>
  <si>
    <t>小松右宜</t>
  </si>
  <si>
    <t>右宜</t>
  </si>
  <si>
    <t>yuki.komatsu</t>
  </si>
  <si>
    <t>yuki.komatsu@mixi.co.jp</t>
  </si>
  <si>
    <t>株式会社MIXI/島村管掌/経営推進本部/広報部/プロダクトPRグループ/プロダクトPRチーム</t>
  </si>
  <si>
    <t>AX078050201</t>
  </si>
  <si>
    <t>小峰沙織</t>
  </si>
  <si>
    <t>小峰</t>
  </si>
  <si>
    <t>沙織</t>
  </si>
  <si>
    <t>こみね</t>
  </si>
  <si>
    <t>さおり</t>
  </si>
  <si>
    <t>saori.komine.ts</t>
  </si>
  <si>
    <t>saori.komine.ts@mixi.co.jp</t>
  </si>
  <si>
    <t>株式会社MIXI/笠原管掌/Vantageスタジオ/Romi事業部/UX企画グループ/デザインチーム</t>
  </si>
  <si>
    <t>AQ061050401</t>
  </si>
  <si>
    <t>小宮山麻美</t>
  </si>
  <si>
    <t>小宮山</t>
  </si>
  <si>
    <t>麻美</t>
  </si>
  <si>
    <t>こみやま</t>
  </si>
  <si>
    <t>asami.komiyama</t>
  </si>
  <si>
    <t>asami.komiyama@netdreamers.co.jp</t>
  </si>
  <si>
    <t>米田圭佑</t>
  </si>
  <si>
    <t>米田</t>
  </si>
  <si>
    <t>圭佑</t>
  </si>
  <si>
    <t>こめだ</t>
  </si>
  <si>
    <t>keisuke.komeda</t>
  </si>
  <si>
    <t>keisuke.komeda@mixi.co.jp</t>
  </si>
  <si>
    <t>株式会社MIXI/木村管掌/デジタルエンターテインメントオペレーションズ本部/モンスト開発部/クライアント1グループ</t>
  </si>
  <si>
    <t>AO082020300
AO082020302</t>
  </si>
  <si>
    <t>小森一喜</t>
  </si>
  <si>
    <t>小森</t>
  </si>
  <si>
    <t>一喜</t>
  </si>
  <si>
    <t>こもり</t>
  </si>
  <si>
    <t>kazuki.komori</t>
  </si>
  <si>
    <t>kazuki.komori@mixi.co.jp</t>
  </si>
  <si>
    <t>小谷中理沙</t>
  </si>
  <si>
    <t>小谷中</t>
  </si>
  <si>
    <t>理沙</t>
  </si>
  <si>
    <t>こやなか</t>
  </si>
  <si>
    <t>risa.koyanaka</t>
  </si>
  <si>
    <t>risa.koyanaka@mixi.co.jp</t>
  </si>
  <si>
    <t>AO083020500</t>
  </si>
  <si>
    <t>小柳夏希a</t>
  </si>
  <si>
    <t>小柳</t>
  </si>
  <si>
    <t>夏希a</t>
  </si>
  <si>
    <t>こやなぎ</t>
  </si>
  <si>
    <t>なつき</t>
  </si>
  <si>
    <t>natsuki.koyanagi</t>
  </si>
  <si>
    <t>natsuki.koyanagi@m-lovegraph.com</t>
  </si>
  <si>
    <t>小山健太郎</t>
  </si>
  <si>
    <t>小山</t>
  </si>
  <si>
    <t>こやま</t>
  </si>
  <si>
    <t>kentaro.koyama</t>
  </si>
  <si>
    <t>kentaro.koyama@mixi.co.jp</t>
  </si>
  <si>
    <t>AO082040604</t>
  </si>
  <si>
    <t>近藤佳奈子</t>
  </si>
  <si>
    <t>近藤</t>
  </si>
  <si>
    <t>佳奈子</t>
  </si>
  <si>
    <t>こんどう</t>
  </si>
  <si>
    <t>kanako.kondo</t>
  </si>
  <si>
    <t>kanako.kondo@mixi.co.jp</t>
  </si>
  <si>
    <t>近藤瑞夏</t>
  </si>
  <si>
    <t>瑞夏</t>
  </si>
  <si>
    <t>みずか</t>
  </si>
  <si>
    <t>mizuka.kondo</t>
  </si>
  <si>
    <t>mizuka.kondo@mixi.co.jp</t>
  </si>
  <si>
    <t>昆野香里</t>
  </si>
  <si>
    <t>昆野</t>
  </si>
  <si>
    <t>香里</t>
  </si>
  <si>
    <t>こんの</t>
  </si>
  <si>
    <t>kaori.konno</t>
  </si>
  <si>
    <t>kaori.konno@mixi.co.jp</t>
  </si>
  <si>
    <t>紺野秀朱</t>
  </si>
  <si>
    <t>紺野</t>
  </si>
  <si>
    <t>秀朱</t>
  </si>
  <si>
    <t>ひであき</t>
  </si>
  <si>
    <t>hideaki.konno</t>
  </si>
  <si>
    <t>hideaki.konno@mixi.co.jp</t>
  </si>
  <si>
    <t>株式会社MIXI/木村管掌/ライブエクスペリエンス事業本部/企画推進部/エンジニアリング支援グループ/開発チーム</t>
  </si>
  <si>
    <t>AO090050301</t>
  </si>
  <si>
    <t>今野</t>
  </si>
  <si>
    <t>hitomi.konno</t>
  </si>
  <si>
    <t>hitomi.konno@mixi.co.jp</t>
  </si>
  <si>
    <t>株式会社MIXI/木村管掌/デジタルエンターテインメントオペレーションズ本部/モンストIPクリエイション部/PJ支援グループ</t>
  </si>
  <si>
    <t>AO082040200
AO082040000
AO082040100
AO082040300
AO082040400
AO082040600
AO082040800</t>
  </si>
  <si>
    <t>今野吹季子</t>
  </si>
  <si>
    <t>吹季子</t>
  </si>
  <si>
    <t>ふきこ</t>
  </si>
  <si>
    <t>fukiko.konno.ts</t>
  </si>
  <si>
    <t>fukiko.konno.ts@mixi.co.jp</t>
  </si>
  <si>
    <t>今野美穂</t>
  </si>
  <si>
    <t>miho.konno</t>
  </si>
  <si>
    <t>miho.konno@mixi.co.jp</t>
  </si>
  <si>
    <t>齋恭介</t>
  </si>
  <si>
    <t>齋</t>
  </si>
  <si>
    <t>恭介</t>
  </si>
  <si>
    <t>さい</t>
  </si>
  <si>
    <t>きょうすけ</t>
  </si>
  <si>
    <t>kyosuke.sai</t>
  </si>
  <si>
    <t>kyosuke.sai@mixi.co.jp</t>
  </si>
  <si>
    <t>雑賀健太</t>
  </si>
  <si>
    <t>雑賀</t>
  </si>
  <si>
    <t>さいか</t>
  </si>
  <si>
    <t>kenta.saika.ts</t>
  </si>
  <si>
    <t>kenta.saika.ts@mixi.co.jp</t>
  </si>
  <si>
    <t>齋田宙夢</t>
  </si>
  <si>
    <t>齋田</t>
  </si>
  <si>
    <t>宙夢</t>
  </si>
  <si>
    <t>さいた</t>
  </si>
  <si>
    <t>hiromu.saita</t>
  </si>
  <si>
    <t>hiromu.saita@mixi-empowerment.co.jp</t>
  </si>
  <si>
    <t>齋藤</t>
  </si>
  <si>
    <t>敦子</t>
  </si>
  <si>
    <t>さいとう</t>
  </si>
  <si>
    <t>atsuko.saito</t>
  </si>
  <si>
    <t>atsuko.saito@mixi.co.jp</t>
  </si>
  <si>
    <t>株式会社MIXI/木村管掌/デジタルエンターテインメントオペレーションズ本部/モンスト運営部</t>
  </si>
  <si>
    <t>AO082010000
AO082000000
AO082010400
AO082010500
AO082010600
AO082010800
AO082011000
AO082010900
AO082010700</t>
  </si>
  <si>
    <t>スタッフ
スタッフ
スタッフ
スタッフ
スタッフ
スタッフ
スタッフ
スタッフ
スタッフ</t>
  </si>
  <si>
    <t>1
0
0
0
0
0
0
0
0</t>
  </si>
  <si>
    <t>斉藤あゆみ</t>
  </si>
  <si>
    <t>斉藤</t>
  </si>
  <si>
    <t>ayumi.saito</t>
  </si>
  <si>
    <t>ayumi.saito@mixi.co.jp</t>
  </si>
  <si>
    <t>AR060010000
AR060050000
AR077010000
AR060000000
AR060050800</t>
  </si>
  <si>
    <t>スタッフ
スタッフ
スタッフ
スタッフ
スタッフ</t>
  </si>
  <si>
    <t>0
0
0
0
1</t>
  </si>
  <si>
    <t>齊藤加菜</t>
  </si>
  <si>
    <t>齊藤</t>
  </si>
  <si>
    <t>加菜</t>
  </si>
  <si>
    <t>kana.saito</t>
  </si>
  <si>
    <t>kana.saito@mixi.co.jp</t>
  </si>
  <si>
    <t>AX089040100</t>
  </si>
  <si>
    <t>齋藤皓太</t>
  </si>
  <si>
    <t>皓太</t>
  </si>
  <si>
    <t>kota.saito</t>
  </si>
  <si>
    <t>kota.saito@mixi-empowerment.co.jp</t>
  </si>
  <si>
    <t>齊藤幸子a</t>
  </si>
  <si>
    <t>幸子a</t>
  </si>
  <si>
    <t>sachiko.saito.a</t>
  </si>
  <si>
    <t>sachiko.saito.a@mixi.co.jp</t>
  </si>
  <si>
    <t>株式会社MIXI/木村管掌/デジタルエンターテインメントオペレーションズ本部/モンストIPクリエイション部/アート第1グループ/アートサポートチーム</t>
  </si>
  <si>
    <t>AO082040305</t>
  </si>
  <si>
    <t>齋藤周平</t>
  </si>
  <si>
    <t>周平</t>
  </si>
  <si>
    <t>shuhei.saito</t>
  </si>
  <si>
    <t>shuhei.saito@mixi.co.jp</t>
  </si>
  <si>
    <t>齋藤彰太</t>
  </si>
  <si>
    <t>shota.saito</t>
  </si>
  <si>
    <t>shota.saito@mixi.co.jp</t>
  </si>
  <si>
    <t>株式会社MIXI/奥山管掌/ソーシャルベッティング事業本部/TIPSTAR事業部/AIイノベーショングループ</t>
  </si>
  <si>
    <t>AO082020205
AW076021400</t>
  </si>
  <si>
    <t>齋藤大地</t>
  </si>
  <si>
    <t>daichi.saito.ts</t>
  </si>
  <si>
    <t>daichi.saito.ts@mixi.co.jp</t>
  </si>
  <si>
    <t>AQ087020700</t>
  </si>
  <si>
    <t>齋藤利哉</t>
  </si>
  <si>
    <t>利哉</t>
  </si>
  <si>
    <t>としや</t>
  </si>
  <si>
    <t>toshiya.saito</t>
  </si>
  <si>
    <t>toshiya.saito@mixi.co.jp</t>
  </si>
  <si>
    <t>齊藤裕美a</t>
  </si>
  <si>
    <t>裕美a</t>
  </si>
  <si>
    <t>hiromi.saito.a.ts</t>
  </si>
  <si>
    <t>hiromi.saito.a.ts@mixi.co.jp</t>
  </si>
  <si>
    <t>斎藤真妃</t>
  </si>
  <si>
    <t>斎藤</t>
  </si>
  <si>
    <t>真妃</t>
  </si>
  <si>
    <t>まき</t>
  </si>
  <si>
    <t>maki.saito</t>
  </si>
  <si>
    <t>maki.saito@mixi.co.jp</t>
  </si>
  <si>
    <t>株式会社MIXI/島村管掌/人事本部/組織戦略部/組織推進グループ</t>
  </si>
  <si>
    <t>AX089070400
AX089070200
AX089070100
AX089070300</t>
  </si>
  <si>
    <t>0
0
0
1</t>
  </si>
  <si>
    <t>齊藤実</t>
  </si>
  <si>
    <t>実</t>
  </si>
  <si>
    <t>みのる</t>
  </si>
  <si>
    <t>minoru.saito</t>
  </si>
  <si>
    <t>minoru.saito@mixi.co.jp</t>
  </si>
  <si>
    <t>斉藤康仁</t>
  </si>
  <si>
    <t>康仁</t>
  </si>
  <si>
    <t>やすひと</t>
  </si>
  <si>
    <t>yasuhito.saito</t>
  </si>
  <si>
    <t>yasuhito.saito@mixi.co.jp</t>
  </si>
  <si>
    <t>齋藤雄介</t>
  </si>
  <si>
    <t>雄介</t>
  </si>
  <si>
    <t>yusuke.saito</t>
  </si>
  <si>
    <t>yusuke.saito@mixi.co.jp</t>
  </si>
  <si>
    <t>佐伯恭佑</t>
  </si>
  <si>
    <t>佐伯</t>
  </si>
  <si>
    <t>恭佑</t>
  </si>
  <si>
    <t>さえき</t>
  </si>
  <si>
    <t>kyosuke.saeki</t>
  </si>
  <si>
    <t>kyosuke.saeki@mixi.co.jp</t>
  </si>
  <si>
    <t>株式会社MIXI
株式会社チャリ・ロト
株式会社picon
株式会社スフィダンテ
株式会社ラブグラフ</t>
  </si>
  <si>
    <t>在籍
出向
出向
出向
出向</t>
  </si>
  <si>
    <t>正社員
出向受入
支援受入
支援受入
支援受入</t>
  </si>
  <si>
    <t>株式会社MIXI/奥山管掌/コーポレートデベロップメント本部/投資事業部/プランニンググループ</t>
  </si>
  <si>
    <t>XI516000000
XW557000000
AW085020400
XK517000000
XR542000000</t>
  </si>
  <si>
    <t>スタッフ
取締役
マネージャー
取締役
取締役</t>
  </si>
  <si>
    <t>嵯峨</t>
  </si>
  <si>
    <t>さが</t>
  </si>
  <si>
    <t>isamu.saga</t>
  </si>
  <si>
    <t>isamu.saga@mixi.co.jp</t>
  </si>
  <si>
    <t>株式会社MIXI/村瀨管掌/はたらく環境推進本部/せいかつ環境室/せいかつ環境Aグループ</t>
  </si>
  <si>
    <t>AR091030100</t>
  </si>
  <si>
    <t>坂井麻美a</t>
  </si>
  <si>
    <t>坂井</t>
  </si>
  <si>
    <t>麻美a</t>
  </si>
  <si>
    <t>さかい</t>
  </si>
  <si>
    <t>asami.sakai.a</t>
  </si>
  <si>
    <t>asami.sakai.a@mixi.co.jp</t>
  </si>
  <si>
    <t>酒井亜沙美</t>
  </si>
  <si>
    <t>酒井</t>
  </si>
  <si>
    <t>亜沙美</t>
  </si>
  <si>
    <t>asami.sakai</t>
  </si>
  <si>
    <t>asami.sakai@mixi.co.jp</t>
  </si>
  <si>
    <t>株式会社MIXI/島村管掌/人事本部/労務部/労務管理第2グループ/労務管理第2チーム</t>
  </si>
  <si>
    <t>AX089080301</t>
  </si>
  <si>
    <t>境秀</t>
  </si>
  <si>
    <t>境</t>
  </si>
  <si>
    <t>秀</t>
  </si>
  <si>
    <t>しゅう</t>
  </si>
  <si>
    <t>shu.sakai.ts</t>
  </si>
  <si>
    <t>酒井拓己</t>
  </si>
  <si>
    <t>拓己</t>
  </si>
  <si>
    <t>takumi.sakai.ts</t>
  </si>
  <si>
    <t>takumi.sakai.ts@mixi.co.jp</t>
  </si>
  <si>
    <t>坂井拓也</t>
  </si>
  <si>
    <t>takuya.sakai</t>
  </si>
  <si>
    <t>takuya.sakai@mixi.co.jp</t>
  </si>
  <si>
    <t>坂井武流</t>
  </si>
  <si>
    <t>武流</t>
  </si>
  <si>
    <t>たける</t>
  </si>
  <si>
    <t>takeru.sakai.ts</t>
  </si>
  <si>
    <t>takeru.sakai.ts@mixi.co.jp</t>
  </si>
  <si>
    <t>坂井奈津子</t>
  </si>
  <si>
    <t>奈津子</t>
  </si>
  <si>
    <t>なつこ</t>
  </si>
  <si>
    <t>natsuko.sakai</t>
  </si>
  <si>
    <t>natsuko.sakai@mixi.co.jp</t>
  </si>
  <si>
    <t>優</t>
  </si>
  <si>
    <t>yu.sakai</t>
  </si>
  <si>
    <t>yu.sakai@mixi.co.jp</t>
  </si>
  <si>
    <t>AX089080200
AX089060300</t>
  </si>
  <si>
    <t>坂井陸一</t>
  </si>
  <si>
    <t>陸一</t>
  </si>
  <si>
    <t>りくかず</t>
  </si>
  <si>
    <t>rikukazu.sakai</t>
  </si>
  <si>
    <t>rikukazu.sakai@mixi.co.jp</t>
  </si>
  <si>
    <t>AR060010000</t>
  </si>
  <si>
    <t>坂川誠基</t>
  </si>
  <si>
    <t>坂川</t>
  </si>
  <si>
    <t>誠基</t>
  </si>
  <si>
    <t>さかがわ</t>
  </si>
  <si>
    <t>せいき</t>
  </si>
  <si>
    <t>seiki.sakagawa</t>
  </si>
  <si>
    <t>seiki.sakagawa@mixi.co.jp</t>
  </si>
  <si>
    <t>株式会社MIXI/木村管掌/ライブエクスペリエンス事業本部/フットボール事業部/パートナーマーケティンググループ/パートナーマーケティングチーム</t>
  </si>
  <si>
    <t>AO090040301
AO090050500
AQ087040800</t>
  </si>
  <si>
    <t>リーダー
スタッフ
スタッフ</t>
  </si>
  <si>
    <t>榊原聖佳</t>
  </si>
  <si>
    <t>榊原</t>
  </si>
  <si>
    <t>聖佳</t>
  </si>
  <si>
    <t>さかきばら</t>
  </si>
  <si>
    <t>さとか</t>
  </si>
  <si>
    <t>satoka.sakakibara</t>
  </si>
  <si>
    <t>satoka.sakakibara@mixi.co.jp</t>
  </si>
  <si>
    <t>株式会社MIXI/島村管掌/人事本部/人事戦略部/制度企画グループ</t>
  </si>
  <si>
    <t>AX089060200
AX089080100</t>
  </si>
  <si>
    <t>榊原英記</t>
  </si>
  <si>
    <t>英記</t>
  </si>
  <si>
    <t>ひでき</t>
  </si>
  <si>
    <t>hideki.sakakibara</t>
  </si>
  <si>
    <t>hideki.sakakibara@netdreamers.co.jp</t>
  </si>
  <si>
    <t>榊原正記</t>
  </si>
  <si>
    <t>正記</t>
  </si>
  <si>
    <t>masaki.sakakibara</t>
  </si>
  <si>
    <t>masaki.sakakibara@mixi.co.jp</t>
  </si>
  <si>
    <t>AW085040102</t>
  </si>
  <si>
    <t>榊原良憲</t>
  </si>
  <si>
    <t>良憲</t>
  </si>
  <si>
    <t>よしのり</t>
  </si>
  <si>
    <t>yoshinori.sakakibara</t>
  </si>
  <si>
    <t>yoshinori.sakakibara@netdreamers.co.jp</t>
  </si>
  <si>
    <t>坂口慎志</t>
  </si>
  <si>
    <t>坂口</t>
  </si>
  <si>
    <t>慎志</t>
  </si>
  <si>
    <t>さかぐち</t>
  </si>
  <si>
    <t>shinji.sakaguchi</t>
  </si>
  <si>
    <t>shinji.sakaguchi@mixi.co.jp</t>
  </si>
  <si>
    <t>坂田一徳</t>
  </si>
  <si>
    <t>坂田</t>
  </si>
  <si>
    <t>一徳</t>
  </si>
  <si>
    <t>さかた</t>
  </si>
  <si>
    <t>かずのり</t>
  </si>
  <si>
    <t>kazunori.sakata.ts</t>
  </si>
  <si>
    <t>kazunori.sakata.ts@mixi.co.jp</t>
  </si>
  <si>
    <t>坂田拓人</t>
  </si>
  <si>
    <t>拓人</t>
  </si>
  <si>
    <t>たくと</t>
  </si>
  <si>
    <t>takuto.sakata</t>
  </si>
  <si>
    <t>takuto.sakata@mixi.co.jp</t>
  </si>
  <si>
    <t>株式会社MIXI/奥山管掌/ソーシャルベッティング事業本部/TIPSTAR事業部/プロダクト戦略グループ/開発チーム</t>
  </si>
  <si>
    <t>AW076021102</t>
  </si>
  <si>
    <t>信隆a</t>
  </si>
  <si>
    <t>のぶたか</t>
  </si>
  <si>
    <t>nobutaka.sakata.a</t>
  </si>
  <si>
    <t>nobutaka.sakata.a@mixi.co.jp</t>
  </si>
  <si>
    <t>株式会社MIXI/島村管掌/人事本部/労務部</t>
  </si>
  <si>
    <t>XG514000000
AX078010000
XG514040000
AX089080000
AX089080400
AX089020000</t>
  </si>
  <si>
    <t>代表取締役社長
スタッフ
部長
部長
マネージャー
室長</t>
  </si>
  <si>
    <t>0
0
0
1
0
0</t>
  </si>
  <si>
    <t>坂主英</t>
  </si>
  <si>
    <t>坂主</t>
  </si>
  <si>
    <t>英</t>
  </si>
  <si>
    <t>さかぬし</t>
  </si>
  <si>
    <t>すぐる</t>
  </si>
  <si>
    <t>suguru.sakanushi</t>
  </si>
  <si>
    <t>suguru.sakanushi@mixi.co.jp</t>
  </si>
  <si>
    <t>株式会社MIXI/島村管掌/人事本部/人材開発部/役員支援グループ</t>
  </si>
  <si>
    <t>AX089040300</t>
  </si>
  <si>
    <t>坂本泉</t>
  </si>
  <si>
    <t>坂本</t>
  </si>
  <si>
    <t>さかもと</t>
  </si>
  <si>
    <t>izumi.sakamoto</t>
  </si>
  <si>
    <t>izumi.sakamoto@mixi.co.jp</t>
  </si>
  <si>
    <t>坂本耕史</t>
  </si>
  <si>
    <t>耕史</t>
  </si>
  <si>
    <t>koji.sakamoto</t>
  </si>
  <si>
    <t>koji.sakamoto@mixi.co.jp</t>
  </si>
  <si>
    <t>坂本貴康</t>
  </si>
  <si>
    <t>貴康</t>
  </si>
  <si>
    <t>たかやす</t>
  </si>
  <si>
    <t>takayasu.sakamoto</t>
  </si>
  <si>
    <t>takayasu.sakamoto@netdreamers.co.jp</t>
  </si>
  <si>
    <t>XM556000000
XM556010400</t>
  </si>
  <si>
    <t>坂元蓮加</t>
  </si>
  <si>
    <t>坂元</t>
  </si>
  <si>
    <t>蓮加</t>
  </si>
  <si>
    <t>はすか</t>
  </si>
  <si>
    <t>hasuka.sakamoto</t>
  </si>
  <si>
    <t>hasuka.sakamoto@m-sfidante.com</t>
  </si>
  <si>
    <t>坂本龍太郎</t>
  </si>
  <si>
    <t>龍太郎</t>
  </si>
  <si>
    <t>りゅうたろう</t>
  </si>
  <si>
    <t>ryutaro.sakamoto</t>
  </si>
  <si>
    <t>ryutaro.sakamoto@mixi.co.jp</t>
  </si>
  <si>
    <t>AO082040102
AO082040101</t>
  </si>
  <si>
    <t>坂本怜</t>
  </si>
  <si>
    <t>れい</t>
  </si>
  <si>
    <t>rei.sakamoto</t>
  </si>
  <si>
    <t>rei.sakamoto@mixi.co.jp</t>
  </si>
  <si>
    <t>株式会社MIXI/笠原管掌/みてね事業本部/みてねプロダクト開発部/Data Engineeringグループ</t>
  </si>
  <si>
    <t>AQ087020100
AQ087040000</t>
  </si>
  <si>
    <t>﨑健悟</t>
  </si>
  <si>
    <t>﨑</t>
  </si>
  <si>
    <t>健悟</t>
  </si>
  <si>
    <t>けんご</t>
  </si>
  <si>
    <t>kengo.saki</t>
  </si>
  <si>
    <t>kengo.saki@mixi.co.jp</t>
  </si>
  <si>
    <t>鷺谷凌</t>
  </si>
  <si>
    <t>鷺谷</t>
  </si>
  <si>
    <t>さぎや</t>
  </si>
  <si>
    <t>ryo.sagiya</t>
  </si>
  <si>
    <t>ryo.sagiya@mixi.co.jp</t>
  </si>
  <si>
    <t>佐久間彩</t>
  </si>
  <si>
    <t>佐久間</t>
  </si>
  <si>
    <t>さくま</t>
  </si>
  <si>
    <t>sae.sakuma</t>
  </si>
  <si>
    <t>sae.sakuma@mixi.co.jp</t>
  </si>
  <si>
    <t>佐久間由太加a</t>
  </si>
  <si>
    <t>由太加a</t>
  </si>
  <si>
    <t>yutaka.sakuma.a</t>
  </si>
  <si>
    <t>yutaka.sakuma.a@mixi.co.jp</t>
  </si>
  <si>
    <t>櫻井</t>
  </si>
  <si>
    <t>謙士</t>
  </si>
  <si>
    <t>さくらい</t>
  </si>
  <si>
    <t>kenji.sakurai</t>
  </si>
  <si>
    <t>kenji.sakurai@mixi.co.jp</t>
  </si>
  <si>
    <t>株式会社MIXI/木村管掌/デジタルエンターテインメントオペレーションズ本部/モンストIPクリエイション部/映像グループ</t>
  </si>
  <si>
    <t>AO082040800</t>
  </si>
  <si>
    <t>櫻井輝樹</t>
  </si>
  <si>
    <t>輝樹</t>
  </si>
  <si>
    <t>てるき</t>
  </si>
  <si>
    <t>teruki.sakurai.ts</t>
  </si>
  <si>
    <t>teruki.sakurai.ts@mixi.co.jp</t>
  </si>
  <si>
    <t>櫻井雄一</t>
  </si>
  <si>
    <t>yuichi.sakurai</t>
  </si>
  <si>
    <t>yuichi.sakurai@mixi.co.jp</t>
  </si>
  <si>
    <t>佐々木愛</t>
  </si>
  <si>
    <t>佐々木</t>
  </si>
  <si>
    <t>愛</t>
  </si>
  <si>
    <t>ささき</t>
  </si>
  <si>
    <t>ai.sasaki</t>
  </si>
  <si>
    <t>ai.sasaki@mixi.co.jp</t>
  </si>
  <si>
    <t>AO082060403</t>
  </si>
  <si>
    <t>佐々木義一郎</t>
  </si>
  <si>
    <t>義一郎</t>
  </si>
  <si>
    <t>ぎいちろう</t>
  </si>
  <si>
    <t>giichiro.sasaki</t>
  </si>
  <si>
    <t>giichiro.sasaki@mixi.co.jp</t>
  </si>
  <si>
    <t>佐々木暁</t>
  </si>
  <si>
    <t>satoru.sasaki</t>
  </si>
  <si>
    <t>satoru.sasaki@mixi.co.jp</t>
  </si>
  <si>
    <t>株式会社MIXI/笠原管掌/みてね事業本部/みてねプロダクト開発部/プロダクト開発Sグループ</t>
  </si>
  <si>
    <t>AQ087020800
AQ087040000</t>
  </si>
  <si>
    <t>佐々木詩織</t>
  </si>
  <si>
    <t>詩織</t>
  </si>
  <si>
    <t>shiori.sasaki</t>
  </si>
  <si>
    <t>shiori.sasaki@mixi.co.jp</t>
  </si>
  <si>
    <t>AW076020800
AW076090000</t>
  </si>
  <si>
    <t>佐々木大輔a</t>
  </si>
  <si>
    <t>daisuke.sasaki.a</t>
  </si>
  <si>
    <t>daisuke.sasaki.a@m-sfidante.com</t>
  </si>
  <si>
    <t>佐々木拓</t>
  </si>
  <si>
    <t>taku.sasaki</t>
  </si>
  <si>
    <t>taku.sasaki@mixi.co.jp</t>
  </si>
  <si>
    <t>株式会社MIXI/木村管掌/デジタルエンターテインメントパブリッシング本部/グローバルモンスト室/グローバルモンストデザイングループ</t>
  </si>
  <si>
    <t>AO083010700
AR059080403</t>
  </si>
  <si>
    <t>佐々木宏文</t>
  </si>
  <si>
    <t>宏文</t>
  </si>
  <si>
    <t>hirofumi.sasaki</t>
  </si>
  <si>
    <t>hirofumi.sasaki@mixi.co.jp</t>
  </si>
  <si>
    <t>佐々木善久</t>
  </si>
  <si>
    <t>善久</t>
  </si>
  <si>
    <t>よしひさ</t>
  </si>
  <si>
    <t>yoshihisa.sasaki</t>
  </si>
  <si>
    <t>yoshihisa.sasaki@mixi.co.jp</t>
  </si>
  <si>
    <t>株式会社MIXI/木村管掌/デジタルエンターテインメントオペレーションズ本部/モンスト運営部/UI・UXデザイングループ/VFXチーム</t>
  </si>
  <si>
    <t>AO082010603</t>
  </si>
  <si>
    <t>佐々木るう</t>
  </si>
  <si>
    <t>るう</t>
  </si>
  <si>
    <t>ru.sasaki.ts</t>
  </si>
  <si>
    <t>ru.sasaki.ts@mixi.co.jp</t>
  </si>
  <si>
    <t>佐々田壮大</t>
  </si>
  <si>
    <t>佐々田</t>
  </si>
  <si>
    <t>壮大</t>
  </si>
  <si>
    <t>ささだ</t>
  </si>
  <si>
    <t>そうだい</t>
  </si>
  <si>
    <t>sodai.sasada</t>
  </si>
  <si>
    <t>sodai.sasada@mixi.co.jp</t>
  </si>
  <si>
    <t>笹山里香</t>
  </si>
  <si>
    <t>笹山</t>
  </si>
  <si>
    <t>里香</t>
  </si>
  <si>
    <t>ささやま</t>
  </si>
  <si>
    <t>りか</t>
  </si>
  <si>
    <t>rika.sasayama</t>
  </si>
  <si>
    <t>rika.sasayama@mixi.co.jp</t>
  </si>
  <si>
    <t>AX078000000
AX088000000
AX089000000
AX078080301</t>
  </si>
  <si>
    <t>指田佳祐</t>
  </si>
  <si>
    <t>指田</t>
  </si>
  <si>
    <t>さしだ</t>
  </si>
  <si>
    <t>keisuke.sashida</t>
  </si>
  <si>
    <t>keisuke.sashida@mixi.co.jp</t>
  </si>
  <si>
    <t>定兼熙</t>
  </si>
  <si>
    <t>定兼</t>
  </si>
  <si>
    <t>熙</t>
  </si>
  <si>
    <t>さだかね</t>
  </si>
  <si>
    <t>hikaru.sadakane</t>
  </si>
  <si>
    <t>hikaru.sadakane@mixi.co.jp</t>
  </si>
  <si>
    <t>定松広如a</t>
  </si>
  <si>
    <t>定松</t>
  </si>
  <si>
    <t>広如a</t>
  </si>
  <si>
    <t>さだまつ</t>
  </si>
  <si>
    <t>hiroyuki.sadamatsu.a.ts</t>
  </si>
  <si>
    <t>hiroyuki.sadamatsu.a.ts@mixi.co.jp</t>
  </si>
  <si>
    <t>佐藤晶</t>
  </si>
  <si>
    <t>佐藤</t>
  </si>
  <si>
    <t>晶</t>
  </si>
  <si>
    <t>さとう</t>
  </si>
  <si>
    <t>aki.sato</t>
  </si>
  <si>
    <t>aki.sato@mixi.co.jp</t>
  </si>
  <si>
    <t>株式会社MIXI/村瀨管掌/はたらく環境推進本部/ビジネスサポート室/ローカライズグループ/韓国語チーム</t>
  </si>
  <si>
    <t>AR091040603
AR091040604</t>
  </si>
  <si>
    <t>佐藤篤</t>
  </si>
  <si>
    <t>篤</t>
  </si>
  <si>
    <t>atsushi.sato.a</t>
  </si>
  <si>
    <t>atsushi.sato.a@mixi.co.jp</t>
  </si>
  <si>
    <t>AX078010301</t>
  </si>
  <si>
    <t>佐藤香織</t>
  </si>
  <si>
    <t>香織</t>
  </si>
  <si>
    <t>kaori.sato</t>
  </si>
  <si>
    <t>kaori.sato@mixi.co.jp</t>
  </si>
  <si>
    <t>株式会社MIXI
株式会社チャリ・ロト
株式会社picon</t>
  </si>
  <si>
    <t>XI516000000
XW557000000
AW085020201</t>
  </si>
  <si>
    <t>佐藤恒太</t>
  </si>
  <si>
    <t>恒太</t>
  </si>
  <si>
    <t>kota.sato.ts</t>
  </si>
  <si>
    <t>kota.sato.ts@mixi.co.jp</t>
  </si>
  <si>
    <t>佐藤駿介a</t>
  </si>
  <si>
    <t>駿介a</t>
  </si>
  <si>
    <t>shunsuke.sato.a</t>
  </si>
  <si>
    <t>shunsuke.sato.a@m-sfidante.com</t>
  </si>
  <si>
    <t>佐藤伸一</t>
  </si>
  <si>
    <t>shinichi.sato</t>
  </si>
  <si>
    <t>shinichi.sato@mixi.co.jp</t>
  </si>
  <si>
    <t>佐藤大輔a</t>
  </si>
  <si>
    <t>daisuke.sato.a.ts</t>
  </si>
  <si>
    <t>daisuke.sato.a.ts@mixi.co.jp</t>
  </si>
  <si>
    <t>佐藤太一</t>
  </si>
  <si>
    <t>太一</t>
  </si>
  <si>
    <t>たいち</t>
  </si>
  <si>
    <t>taichi.sato</t>
  </si>
  <si>
    <t>taichi.sato@mixi.co.jp</t>
  </si>
  <si>
    <t>株式会社MIXI/村瀨管掌/開発本部/インフラ室</t>
  </si>
  <si>
    <t>AO082020202
XI516000000
AR060060000
AR060060100
AR060060200</t>
  </si>
  <si>
    <t>スタッフ
スタッフ
室長
スタッフ
マネージャー</t>
  </si>
  <si>
    <t>貴亮</t>
  </si>
  <si>
    <t>takaaki.sato</t>
  </si>
  <si>
    <t>takaaki.sato@mixi.co.jp</t>
  </si>
  <si>
    <t>株式会社MIXI/島村管掌/人事本部/組織戦略部/事業HRBPグループ</t>
  </si>
  <si>
    <t>AO082000000
AX089070100</t>
  </si>
  <si>
    <t>佐藤隆行</t>
  </si>
  <si>
    <t>隆行</t>
  </si>
  <si>
    <t>takayuki</t>
  </si>
  <si>
    <t>takayuki@mixi.co.jp</t>
  </si>
  <si>
    <t>株式会社MIXI/村瀨管掌/はたらく環境推進本部/コーポレートITサービス部/安全保障グループ/プラットフォームチーム</t>
  </si>
  <si>
    <t>AR091010301
AR091010203</t>
  </si>
  <si>
    <t>佐藤武</t>
  </si>
  <si>
    <t>takeru.sato</t>
  </si>
  <si>
    <t>takeru.sato@mixi.co.jp</t>
  </si>
  <si>
    <t>AR060011200
AO082050402</t>
  </si>
  <si>
    <t>佐藤俊宏</t>
  </si>
  <si>
    <t>俊宏</t>
  </si>
  <si>
    <t>toshihiro.sato</t>
  </si>
  <si>
    <t>佐藤直紀a</t>
  </si>
  <si>
    <t>直紀a</t>
  </si>
  <si>
    <t>naoki.sato.a</t>
  </si>
  <si>
    <t>naoki.sato.a@m-winc.vc</t>
  </si>
  <si>
    <t>W inc.</t>
  </si>
  <si>
    <t>W inc./W inc./W inc.(本部格)</t>
  </si>
  <si>
    <t>XV554000000</t>
  </si>
  <si>
    <t>佐藤桜代</t>
  </si>
  <si>
    <t>桜代</t>
  </si>
  <si>
    <t>はなよ</t>
  </si>
  <si>
    <t>hanayo.sato.ts</t>
  </si>
  <si>
    <t>hanayo.sato.ts@m-lovegraph.com</t>
  </si>
  <si>
    <t>光里</t>
  </si>
  <si>
    <t>ひかり</t>
  </si>
  <si>
    <t>hikari.sato</t>
  </si>
  <si>
    <t>hikari.sato@mixi.co.jp</t>
  </si>
  <si>
    <t>株式会社MIXI/村瀨管掌/デザイン本部/ブランドデザイン室/ブランディンググループ/推進チーム</t>
  </si>
  <si>
    <t>AR059070203</t>
  </si>
  <si>
    <t>佐藤光a</t>
  </si>
  <si>
    <t>光a</t>
  </si>
  <si>
    <t>hikaru.sato.a</t>
  </si>
  <si>
    <t>hikaru.sato.a@mixi.co.jp</t>
  </si>
  <si>
    <t>佐藤光</t>
  </si>
  <si>
    <t>hikaru.sato</t>
  </si>
  <si>
    <t>hikaru.sato@mixi.co.jp</t>
  </si>
  <si>
    <t>株式会社MIXI/笠原管掌/みてね事業本部/みてねプロダクト開発部/プロダクト開発モダナイズグループ</t>
  </si>
  <si>
    <t>AQ087020900
AQ087040000</t>
  </si>
  <si>
    <t>佐藤浩樹</t>
  </si>
  <si>
    <t>浩樹</t>
  </si>
  <si>
    <t>hiroki.sato</t>
  </si>
  <si>
    <t>hiroki.sato@mixi.co.jp</t>
  </si>
  <si>
    <t>株式会社MIXI/奥山管掌/コーポレートデベロップメント本部/投資事業部/投資オペレーショングループ/コントローラーチーム</t>
  </si>
  <si>
    <t>AW085000000
XB509000000
AW085020901
AW085020800
AW085020900
AW085020902</t>
  </si>
  <si>
    <t>スタッフ
スタッフ
スタッフ
スタッフ
スタッフ
スタッフ</t>
  </si>
  <si>
    <t>佐藤昌弘a</t>
  </si>
  <si>
    <t>昌弘a</t>
  </si>
  <si>
    <t>masahiro.sato.a.ts</t>
  </si>
  <si>
    <t>masahiro.sato.a.ts@mixi.co.jp</t>
  </si>
  <si>
    <t>佐藤優a</t>
  </si>
  <si>
    <t>yu.sato.a</t>
  </si>
  <si>
    <t>yu.sato.a@mixi.co.jp</t>
  </si>
  <si>
    <t>佐藤優輝</t>
  </si>
  <si>
    <t>優輝</t>
  </si>
  <si>
    <t>yuki.sato</t>
  </si>
  <si>
    <t>yuki.sato@mixi.co.jp</t>
  </si>
  <si>
    <t>佐藤悠吾</t>
  </si>
  <si>
    <t>悠吾</t>
  </si>
  <si>
    <t>yugo.sato</t>
  </si>
  <si>
    <t>yugo.sato@mixi-empowerment.co.jp</t>
  </si>
  <si>
    <t>佐藤祐次a</t>
  </si>
  <si>
    <t>祐次a</t>
  </si>
  <si>
    <t>yuji.sato.a</t>
  </si>
  <si>
    <t>yuji.sato.a@mixi.co.jp</t>
  </si>
  <si>
    <t>ryo.sato.a</t>
  </si>
  <si>
    <t>ryo.sato.a@mixi.co.jp</t>
  </si>
  <si>
    <t>株式会社MIXI
株式会社スフィダンテ
株式会社ラブグラフ
mixiAmerica, Inc.</t>
  </si>
  <si>
    <t>株式会社MIXI/笠原管掌/みてね事業本部</t>
  </si>
  <si>
    <t>XK517000000
XR542000000
XC510000000
AQ087000000
AQ087040000</t>
  </si>
  <si>
    <t>取締役
取締役
代表取締役社長
本部長
部長</t>
  </si>
  <si>
    <t>佐藤良輔</t>
  </si>
  <si>
    <t>良輔</t>
  </si>
  <si>
    <t>ryosuke.sato.a</t>
  </si>
  <si>
    <t>ryosuke.sato.a@mixi.co.jp</t>
  </si>
  <si>
    <t>株式会社MIXI/木村管掌/デジタルエンターテインメントオペレーションズ本部/モンストIPクリエイション部/サウンドグループ/プロデュースチーム</t>
  </si>
  <si>
    <t>AO082040603</t>
  </si>
  <si>
    <t>佐藤礼菜</t>
  </si>
  <si>
    <t>礼菜</t>
  </si>
  <si>
    <t>れいな</t>
  </si>
  <si>
    <t>reina.sato</t>
  </si>
  <si>
    <t>reina.sato@mixi-empowerment.co.jp</t>
  </si>
  <si>
    <t>真田雄太</t>
  </si>
  <si>
    <t>真田</t>
  </si>
  <si>
    <t>雄太</t>
  </si>
  <si>
    <t>さなだ</t>
  </si>
  <si>
    <t>yuta.sanada</t>
  </si>
  <si>
    <t>yuta.sanada@mixi.co.jp</t>
  </si>
  <si>
    <t>佐野修平</t>
  </si>
  <si>
    <t>佐野</t>
  </si>
  <si>
    <t>修平</t>
  </si>
  <si>
    <t>さの</t>
  </si>
  <si>
    <t>shuhei.sano</t>
  </si>
  <si>
    <t>shuhei.sano@mixi.co.jp</t>
  </si>
  <si>
    <t>株式会社MIXI/島村管掌/コーポレートファイナンス本部/経理税務部/税務・資産管理グループ</t>
  </si>
  <si>
    <t>AX088010100</t>
  </si>
  <si>
    <t>佐野智美</t>
  </si>
  <si>
    <t>tomomi.sano</t>
  </si>
  <si>
    <t>tomomi.sano@netdreamers.co.jp</t>
  </si>
  <si>
    <t>株式会社ネットドリーマーズ/株式会社ネットドリーマーズ/サービス推進開発本部/制作部/デザイングループ</t>
  </si>
  <si>
    <t>XM556020100
XM556000000</t>
  </si>
  <si>
    <t>佐橋未菜a</t>
  </si>
  <si>
    <t>佐橋</t>
  </si>
  <si>
    <t>未菜a</t>
  </si>
  <si>
    <t>さはし</t>
  </si>
  <si>
    <t>みな</t>
  </si>
  <si>
    <t>mina.sahashi.a.ts</t>
  </si>
  <si>
    <t>mina.sahashi.a.ts@mixi.co.jp</t>
  </si>
  <si>
    <t>株式会社MIXI/木村管掌/デジタルエンターテインメントオペレーションズ本部/ファンマーケティング部/イベント1グループ/イベントチーム</t>
  </si>
  <si>
    <t>AO082060501</t>
  </si>
  <si>
    <t>佐原亜加里</t>
  </si>
  <si>
    <t>佐原</t>
  </si>
  <si>
    <t>亜加里</t>
  </si>
  <si>
    <t>さはら</t>
  </si>
  <si>
    <t>akari.sahara</t>
  </si>
  <si>
    <t>akari.sahara@mixi.co.jp</t>
  </si>
  <si>
    <t>サムヴィン</t>
  </si>
  <si>
    <t>サム</t>
  </si>
  <si>
    <t>ヴィン</t>
  </si>
  <si>
    <t>vinh.sam</t>
  </si>
  <si>
    <t>vinh.sam@mixi.co.jp</t>
  </si>
  <si>
    <t>醒井涼</t>
  </si>
  <si>
    <t>醒井</t>
  </si>
  <si>
    <t>涼</t>
  </si>
  <si>
    <t>さめがい</t>
  </si>
  <si>
    <t>ryo.samegai.ts</t>
  </si>
  <si>
    <t>ryo.samegai.ts@mixi.co.jp</t>
  </si>
  <si>
    <t>澤和宏</t>
  </si>
  <si>
    <t>澤</t>
  </si>
  <si>
    <t>和宏</t>
  </si>
  <si>
    <t>さわ</t>
  </si>
  <si>
    <t>かずひろ</t>
  </si>
  <si>
    <t>kazuhiro.sawa</t>
  </si>
  <si>
    <t>kazuhiro.sawa@mixi.co.jp</t>
  </si>
  <si>
    <t>澤義和</t>
  </si>
  <si>
    <t>yoshikazu.sawa</t>
  </si>
  <si>
    <t>yoshikazu.sawa@mixi.co.jp</t>
  </si>
  <si>
    <t>澤井常生</t>
  </si>
  <si>
    <t>澤井</t>
  </si>
  <si>
    <t>常生</t>
  </si>
  <si>
    <t>さわい</t>
  </si>
  <si>
    <t>つねお</t>
  </si>
  <si>
    <t>tsuneo.sawai</t>
  </si>
  <si>
    <t>tsuneo.sawai@mixi.co.jp</t>
  </si>
  <si>
    <t>株式会社MIXI/村瀨管掌/デザイン本部/テクニカルデザイン室/デジタルエンターテインメント支援グループ/3D第2チーム</t>
  </si>
  <si>
    <t>AR059080404</t>
  </si>
  <si>
    <t>澤田弘直</t>
  </si>
  <si>
    <t>澤田</t>
  </si>
  <si>
    <t>弘直</t>
  </si>
  <si>
    <t>さわだ</t>
  </si>
  <si>
    <t>ひろなお</t>
  </si>
  <si>
    <t>hironao.sawada</t>
  </si>
  <si>
    <t>hironao.sawada@netdreamers.co.jp</t>
  </si>
  <si>
    <t>XM556010200
XM556000000</t>
  </si>
  <si>
    <t>祐希</t>
  </si>
  <si>
    <t>yuki.sawada</t>
  </si>
  <si>
    <t>yuki.sawada@mixi.co.jp</t>
  </si>
  <si>
    <t>猿渡隆生</t>
  </si>
  <si>
    <t>猿渡</t>
  </si>
  <si>
    <t>隆生</t>
  </si>
  <si>
    <t>さわたり</t>
  </si>
  <si>
    <t>りゅうせい</t>
  </si>
  <si>
    <t>ryusei.sawatari</t>
  </si>
  <si>
    <t>ryusei.sawatari@mixi.co.jp</t>
  </si>
  <si>
    <t>株式会社MIXI/木村管掌/ライブエクスペリエンス事業本部/フットボール事業部/経営企画グループ/総合企画チーム</t>
  </si>
  <si>
    <t>AX078000000
AO090040201</t>
  </si>
  <si>
    <t>三瓶綾乃</t>
  </si>
  <si>
    <t>三瓶</t>
  </si>
  <si>
    <t>綾乃</t>
  </si>
  <si>
    <t>さんぺい</t>
  </si>
  <si>
    <t>ayano.sampei</t>
  </si>
  <si>
    <t>ayano.sampei@mixi.co.jp</t>
  </si>
  <si>
    <t>株式会社MIXI/木村管掌/デジタルエンターテインメントオペレーションズ本部/宣伝部/動画グループ</t>
  </si>
  <si>
    <t>AO082030500</t>
  </si>
  <si>
    <t>ジワンジョン</t>
  </si>
  <si>
    <t>ジ</t>
  </si>
  <si>
    <t>ワンジョン</t>
  </si>
  <si>
    <t>じ</t>
  </si>
  <si>
    <t>わんじょん</t>
  </si>
  <si>
    <t>wonjung.jee</t>
  </si>
  <si>
    <t>wonjung.jee@mixi.co.jp</t>
  </si>
  <si>
    <t>株式会社MIXI/木村管掌/デジタルエンターテインメントオペレーションズ本部/モンスト開発部/モンストサーバ1グループ/サーバ3チーム</t>
  </si>
  <si>
    <t>AO082020102</t>
  </si>
  <si>
    <t>塩田耕太郎</t>
  </si>
  <si>
    <t>塩田</t>
  </si>
  <si>
    <t>耕太郎</t>
  </si>
  <si>
    <t>しおた</t>
  </si>
  <si>
    <t>kotaro.shiota</t>
  </si>
  <si>
    <t>kotaro.shiota@mixi.co.jp</t>
  </si>
  <si>
    <t>株式会社MIXI/木村管掌/デジタルエンターテインメントオペレーションズ本部/宣伝部/プロモーショングループ/メディアチーム</t>
  </si>
  <si>
    <t>AO082030104</t>
  </si>
  <si>
    <t>塩田菜穂</t>
  </si>
  <si>
    <t>しおだ</t>
  </si>
  <si>
    <t>なお</t>
  </si>
  <si>
    <t>nao.shioda</t>
  </si>
  <si>
    <t>nao.shioda@mixi.co.jp</t>
  </si>
  <si>
    <t>AO090000000
AO090050000</t>
  </si>
  <si>
    <t>塩野入浩美</t>
  </si>
  <si>
    <t>塩野入</t>
  </si>
  <si>
    <t>浩美</t>
  </si>
  <si>
    <t>しおのいり</t>
  </si>
  <si>
    <t>hiromi.shionoiri</t>
  </si>
  <si>
    <t>hiromi.shionoiri@mixi.co.jp</t>
  </si>
  <si>
    <t>鹿野智愛</t>
  </si>
  <si>
    <t>鹿野</t>
  </si>
  <si>
    <t>智愛</t>
  </si>
  <si>
    <t>しかの</t>
  </si>
  <si>
    <t>ちえ</t>
  </si>
  <si>
    <t>chie.shikano</t>
  </si>
  <si>
    <t>chie.shikano@mixi.co.jp</t>
  </si>
  <si>
    <t>AQ061050300
AQ061050402</t>
  </si>
  <si>
    <t>志々目孝広</t>
  </si>
  <si>
    <t>志々目</t>
  </si>
  <si>
    <t>孝広</t>
  </si>
  <si>
    <t>ししめ</t>
  </si>
  <si>
    <t>takahiro.shishime</t>
  </si>
  <si>
    <t>takahiro.shishime@netdreamers.co.jp</t>
  </si>
  <si>
    <t>室長
スタッフ</t>
  </si>
  <si>
    <t>設楽正規</t>
  </si>
  <si>
    <t>設楽</t>
  </si>
  <si>
    <t>正規</t>
  </si>
  <si>
    <t>したら</t>
  </si>
  <si>
    <t>masanori.shitara</t>
  </si>
  <si>
    <t>masanori.shitara@mixi.co.jp</t>
  </si>
  <si>
    <t>株式会社MIXI/木村管掌/ライブエクスペリエンス事業本部/フットボール事業部/事業推進グループ</t>
  </si>
  <si>
    <t>AO090040100</t>
  </si>
  <si>
    <t>七野達志</t>
  </si>
  <si>
    <t>七野</t>
  </si>
  <si>
    <t>達志</t>
  </si>
  <si>
    <t>しちの</t>
  </si>
  <si>
    <t>たつし</t>
  </si>
  <si>
    <t>tatsushi.shichino.ts</t>
  </si>
  <si>
    <t>標葉千晴</t>
  </si>
  <si>
    <t>標葉</t>
  </si>
  <si>
    <t>千晴</t>
  </si>
  <si>
    <t>しねは</t>
  </si>
  <si>
    <t>ちはる</t>
  </si>
  <si>
    <t>chiharu.shineha.ts</t>
  </si>
  <si>
    <t>chiharu.shineha.ts@mixi.co.jp</t>
  </si>
  <si>
    <t>篠崎瑞樹</t>
  </si>
  <si>
    <t>篠崎</t>
  </si>
  <si>
    <t>瑞樹</t>
  </si>
  <si>
    <t>しのざき</t>
  </si>
  <si>
    <t>mizuki.shinozaki</t>
  </si>
  <si>
    <t>mizuki.shinozaki@mixi.co.jp</t>
  </si>
  <si>
    <t>篠塚久</t>
  </si>
  <si>
    <t>篠塚</t>
  </si>
  <si>
    <t>久</t>
  </si>
  <si>
    <t>しのづか</t>
  </si>
  <si>
    <t>ひさし</t>
  </si>
  <si>
    <t>hisashi.shinozuka.ts</t>
  </si>
  <si>
    <t>hisashi.shinozuka.ts@netdreamers.co.jp</t>
  </si>
  <si>
    <t>篠原梨紗</t>
  </si>
  <si>
    <t>篠原</t>
  </si>
  <si>
    <t>しのはら</t>
  </si>
  <si>
    <t>risa.shinohara</t>
  </si>
  <si>
    <t>risa.shinohara@mixi.co.jp</t>
  </si>
  <si>
    <t>信夫裕貴</t>
  </si>
  <si>
    <t>信夫</t>
  </si>
  <si>
    <t>しのぶ</t>
  </si>
  <si>
    <t>yuki.shinobu</t>
  </si>
  <si>
    <t>yuki.shinobu@mixi.co.jp</t>
  </si>
  <si>
    <t>芝尾直樹</t>
  </si>
  <si>
    <t>芝尾</t>
  </si>
  <si>
    <t>しばお</t>
  </si>
  <si>
    <t>naoki.shibao</t>
  </si>
  <si>
    <t>naoki.shibao@mixi.co.jp</t>
  </si>
  <si>
    <t>柴田和紀</t>
  </si>
  <si>
    <t>柴田</t>
  </si>
  <si>
    <t>和紀</t>
  </si>
  <si>
    <t>しばた</t>
  </si>
  <si>
    <t>kazunori.shibata</t>
  </si>
  <si>
    <t>kazunori.shibata@mixi.co.jp</t>
  </si>
  <si>
    <t>柴田勝史</t>
  </si>
  <si>
    <t>勝史</t>
  </si>
  <si>
    <t>かつひと</t>
  </si>
  <si>
    <t>katsuhito.shibata</t>
  </si>
  <si>
    <t>katsuhito.shibata@mixi.co.jp</t>
  </si>
  <si>
    <t>株式会社MIXI/奥山管掌/ソーシャルベッティング事業本部/価値創造室/コンテンツグループ/海外企画チーム</t>
  </si>
  <si>
    <t>AW076050303</t>
  </si>
  <si>
    <t>柴田めぐみ</t>
  </si>
  <si>
    <t>めぐみ</t>
  </si>
  <si>
    <t>megumi.shibata.ts</t>
  </si>
  <si>
    <t>megumi.shibata.ts@mixi.co.jp</t>
  </si>
  <si>
    <t>芝野登志也</t>
  </si>
  <si>
    <t>芝野</t>
  </si>
  <si>
    <t>登志也</t>
  </si>
  <si>
    <t>しばの</t>
  </si>
  <si>
    <t>toshiya.shibano.ts</t>
  </si>
  <si>
    <t>toshiya.shibano.ts@mixi.co.jp</t>
  </si>
  <si>
    <t>渋谷晃平</t>
  </si>
  <si>
    <t>渋谷</t>
  </si>
  <si>
    <t>晃平</t>
  </si>
  <si>
    <t>しぶや</t>
  </si>
  <si>
    <t>kohei.shibuya.ts</t>
  </si>
  <si>
    <t>kohei.shibuya.ts@mixi.co.jp</t>
  </si>
  <si>
    <t>澁谷</t>
  </si>
  <si>
    <t>高広</t>
  </si>
  <si>
    <t>takahiro.shibuya</t>
  </si>
  <si>
    <t>takahiro.shibuya@mixi.co.jp</t>
  </si>
  <si>
    <t>島洸生</t>
  </si>
  <si>
    <t>島</t>
  </si>
  <si>
    <t>洸生</t>
  </si>
  <si>
    <t>しま</t>
  </si>
  <si>
    <t>こうせい</t>
  </si>
  <si>
    <t>kosei.shima.ts</t>
  </si>
  <si>
    <t>kosei.shima.ts@mixi.co.jp</t>
  </si>
  <si>
    <t>嶋遊子</t>
  </si>
  <si>
    <t>嶋</t>
  </si>
  <si>
    <t>遊子</t>
  </si>
  <si>
    <t>yuko.shima</t>
  </si>
  <si>
    <t>yuko.shima@mixi.co.jp</t>
  </si>
  <si>
    <t>島内良仁</t>
  </si>
  <si>
    <t>島内</t>
  </si>
  <si>
    <t>良仁</t>
  </si>
  <si>
    <t>しまうち</t>
  </si>
  <si>
    <t>よしひと</t>
  </si>
  <si>
    <t>yoshihito.shimauchi.ts</t>
  </si>
  <si>
    <t>yoshihito.shimauchi.ts@mixi.co.jp</t>
  </si>
  <si>
    <t>嶋児未来</t>
  </si>
  <si>
    <t>嶋児</t>
  </si>
  <si>
    <t>未来</t>
  </si>
  <si>
    <t>しまご</t>
  </si>
  <si>
    <t>みらい</t>
  </si>
  <si>
    <t>mirai.shimago</t>
  </si>
  <si>
    <t>mirai.shimago@mixi.co.jp</t>
  </si>
  <si>
    <t>島崎顕北</t>
  </si>
  <si>
    <t>島崎</t>
  </si>
  <si>
    <t>顕北</t>
  </si>
  <si>
    <t>しまざき</t>
  </si>
  <si>
    <t>けんぼく</t>
  </si>
  <si>
    <t>kemboku.shimazaki</t>
  </si>
  <si>
    <t>kemboku.shimazaki@mixi.co.jp</t>
  </si>
  <si>
    <t>株式会社MIXI/木村管掌/デジタルエンターテインメントパブリッシング本部/グローバルモンスト室/事業企画グループ/リサーチチーム</t>
  </si>
  <si>
    <t>AO083010301</t>
  </si>
  <si>
    <t>島尻卓</t>
  </si>
  <si>
    <t>島尻</t>
  </si>
  <si>
    <t>卓</t>
  </si>
  <si>
    <t>しまじり</t>
  </si>
  <si>
    <t>まさる</t>
  </si>
  <si>
    <t>masaru.shimajiri.ts</t>
  </si>
  <si>
    <t>masaru.shimajiri.ts@mixi.co.jp</t>
  </si>
  <si>
    <t>嶋田葵</t>
  </si>
  <si>
    <t>嶋田</t>
  </si>
  <si>
    <t>葵</t>
  </si>
  <si>
    <t>しまだ</t>
  </si>
  <si>
    <t>あおい</t>
  </si>
  <si>
    <t>aoi.shimada.ts</t>
  </si>
  <si>
    <t>aoi.shimada.ts@mixi-empowerment.co.jp</t>
  </si>
  <si>
    <t>嶋田恵介</t>
  </si>
  <si>
    <t>恵介</t>
  </si>
  <si>
    <t>keisuke.shimada</t>
  </si>
  <si>
    <t>keisuke.shimada@mixi.co.jp</t>
  </si>
  <si>
    <t>株式会社MIXI/木村管掌/デジタルエンターテインメントオペレーションズ本部/コトダマン運営部/プロジェクト推進グループ</t>
  </si>
  <si>
    <t>AO082080900
AO082080200</t>
  </si>
  <si>
    <t>島貫稔之</t>
  </si>
  <si>
    <t>島貫</t>
  </si>
  <si>
    <t>稔之</t>
  </si>
  <si>
    <t>しまぬき</t>
  </si>
  <si>
    <t>としゆき</t>
  </si>
  <si>
    <t>toshiyuki.shimanuki</t>
  </si>
  <si>
    <t>toshiyuki.shimanuki@mixi.co.jp</t>
  </si>
  <si>
    <t>AR060051400
AO082020205</t>
  </si>
  <si>
    <t>島村</t>
  </si>
  <si>
    <t>恒平</t>
  </si>
  <si>
    <t>しまむら</t>
  </si>
  <si>
    <t>kohei.shimamura</t>
  </si>
  <si>
    <t>kohei.shimamura@mixi.co.jp</t>
  </si>
  <si>
    <t>ZZ998000000
ZZ004000000</t>
  </si>
  <si>
    <t>上級執行役員
取締役</t>
  </si>
  <si>
    <t>島本洋希</t>
  </si>
  <si>
    <t>島本</t>
  </si>
  <si>
    <t>洋希</t>
  </si>
  <si>
    <t>しまもと</t>
  </si>
  <si>
    <t>hiroki.shimamoto</t>
  </si>
  <si>
    <t>hiroki.shimamoto@mixi.co.jp</t>
  </si>
  <si>
    <t>清水勲</t>
  </si>
  <si>
    <t>清水</t>
  </si>
  <si>
    <t>勲</t>
  </si>
  <si>
    <t>しみず</t>
  </si>
  <si>
    <t>いさお</t>
  </si>
  <si>
    <t>isao.shimizu</t>
  </si>
  <si>
    <t>isao.shimizu@mixi.co.jp</t>
  </si>
  <si>
    <t>株式会社MIXI/笠原管掌/みてね事業本部/みてねプラットフォーム部</t>
  </si>
  <si>
    <t>AQ087010000
AQ087040000
AQ087010300</t>
  </si>
  <si>
    <t>清水拓</t>
  </si>
  <si>
    <t>taku.shimizu</t>
  </si>
  <si>
    <t>taku.shimizu@mixi.co.jp</t>
  </si>
  <si>
    <t>株式会社MIXI/管掌役員なし/内部監査室(本部格)/内部監査室</t>
  </si>
  <si>
    <t>ZZ005010000
XI516000000</t>
  </si>
  <si>
    <t>清水球母</t>
  </si>
  <si>
    <t>球母</t>
  </si>
  <si>
    <t>たまも</t>
  </si>
  <si>
    <t>tamamo.shimizu</t>
  </si>
  <si>
    <t>tamamo.shimizu@mixi.co.jp</t>
  </si>
  <si>
    <t>清水千代</t>
  </si>
  <si>
    <t>千代</t>
  </si>
  <si>
    <t>ちよ</t>
  </si>
  <si>
    <t>chiyo.shimizu</t>
  </si>
  <si>
    <t>chiyo.shimizu@m-sfidante.com</t>
  </si>
  <si>
    <t>清水直哉</t>
  </si>
  <si>
    <t>直哉</t>
  </si>
  <si>
    <t>なおや</t>
  </si>
  <si>
    <t>naoya.shimizu.ts</t>
  </si>
  <si>
    <t>naoya.shimizu.ts@mixi.co.jp</t>
  </si>
  <si>
    <t>清水悠一</t>
  </si>
  <si>
    <t>悠一</t>
  </si>
  <si>
    <t>yuichi.shimizu</t>
  </si>
  <si>
    <t>yuichi.shimizu@mixi.co.jp</t>
  </si>
  <si>
    <t>株式会社MIXI/木村管掌/デジタルエンターテインメントオペレーションズ本部/コトダマン運営部/プラットフォーム開発グループ</t>
  </si>
  <si>
    <t>AO082080400</t>
  </si>
  <si>
    <t>清水良幸</t>
  </si>
  <si>
    <t>良幸</t>
  </si>
  <si>
    <t>yoshiyuki.shimizu</t>
  </si>
  <si>
    <t>yoshiyuki.shimizu@netdreamers.co.jp</t>
  </si>
  <si>
    <t>株式会社ネットドリーマーズ/株式会社ネットドリーマーズ/株式会社ネットドリーマーズ(本部格)</t>
  </si>
  <si>
    <t>XM519000000</t>
  </si>
  <si>
    <t>清水遼平</t>
  </si>
  <si>
    <t>遼平</t>
  </si>
  <si>
    <t>ryohei.shimizu</t>
  </si>
  <si>
    <t>ryohei.shimizu@mixi.co.jp</t>
  </si>
  <si>
    <t>清水目利恵</t>
  </si>
  <si>
    <t>清水目</t>
  </si>
  <si>
    <t>利恵</t>
  </si>
  <si>
    <t>しみずめ</t>
  </si>
  <si>
    <t>rie.shimizume</t>
  </si>
  <si>
    <t>rie.shimizume@mixi.co.jp</t>
  </si>
  <si>
    <t>下川敬弘</t>
  </si>
  <si>
    <t>下川</t>
  </si>
  <si>
    <t>敬弘</t>
  </si>
  <si>
    <t>しもかわ</t>
  </si>
  <si>
    <t>takahiro.shimokawa.ts</t>
  </si>
  <si>
    <t>takahiro.shimokawa.ts@mixi.co.jp</t>
  </si>
  <si>
    <t>AQ087020500</t>
  </si>
  <si>
    <t>周</t>
  </si>
  <si>
    <t>軼駿</t>
  </si>
  <si>
    <t>いしゅん</t>
  </si>
  <si>
    <t>ishun.shu</t>
  </si>
  <si>
    <t>ishun.shu@mixi.co.jp</t>
  </si>
  <si>
    <t>周芷伊</t>
  </si>
  <si>
    <t>芷伊</t>
  </si>
  <si>
    <t>しい</t>
  </si>
  <si>
    <t>chihyi.chou</t>
  </si>
  <si>
    <t>chihyi.chou@mixi.co.jp</t>
  </si>
  <si>
    <t>株式会社MIXI/木村管掌/デジタルエンターテインメントオペレーションズ本部/宣伝部/海外プロモーショングループ/宣伝企画2チーム</t>
  </si>
  <si>
    <t>AO082030302</t>
  </si>
  <si>
    <t>シュナイダーザビーネ</t>
  </si>
  <si>
    <t>シュナイダー</t>
  </si>
  <si>
    <t>ザビーネ</t>
  </si>
  <si>
    <t>しゅないだー</t>
  </si>
  <si>
    <t>ざびーね</t>
  </si>
  <si>
    <t>sabine.schneider.ts</t>
  </si>
  <si>
    <t>sabine.schneider.ts@mixi.co.jp</t>
  </si>
  <si>
    <t>蕭佳正a</t>
  </si>
  <si>
    <t>蕭</t>
  </si>
  <si>
    <t>かしょう</t>
  </si>
  <si>
    <t>chiacheng.hsiao.a.ts</t>
  </si>
  <si>
    <t>chiacheng.hsiao.a.ts@mixi.co.jp</t>
  </si>
  <si>
    <t>株式会社MIXI/村瀨管掌/はたらく環境推進本部/ビジネスサポート室/ローカライズグループ/繁体字チーム</t>
  </si>
  <si>
    <t>AR091040601</t>
  </si>
  <si>
    <t>鍾謙慈</t>
  </si>
  <si>
    <t>鍾</t>
  </si>
  <si>
    <t>謙慈</t>
  </si>
  <si>
    <t>chien-tzu.chung</t>
  </si>
  <si>
    <t>chien-tzu.chung@mixi.co.jp</t>
  </si>
  <si>
    <t>城﨑綾</t>
  </si>
  <si>
    <t>城﨑</t>
  </si>
  <si>
    <t>じょうざき</t>
  </si>
  <si>
    <t>aya.jozaki</t>
  </si>
  <si>
    <t>aya.jozaki@mixi.co.jp</t>
  </si>
  <si>
    <t>AR091010102
AR091010202
AR091010203</t>
  </si>
  <si>
    <t>庄司恵</t>
  </si>
  <si>
    <t>庄司</t>
  </si>
  <si>
    <t>恵</t>
  </si>
  <si>
    <t>しょうじ</t>
  </si>
  <si>
    <t>megumi.shoji</t>
  </si>
  <si>
    <t>megumi.shoji@mixi.co.jp</t>
  </si>
  <si>
    <t>AQ061030103
AQ061030102
AQ061040000
AQ061040303
AQ061050100
AQ061070000
AQ061070400
AQ061070500
AQ061071400
AQ061030600
AQ061030700
AQ061071600
AQ061071800
AQ061030800
AQ061050400
AQ061071900</t>
  </si>
  <si>
    <t>鄭允哲</t>
  </si>
  <si>
    <t>鄭</t>
  </si>
  <si>
    <t>允哲</t>
  </si>
  <si>
    <t>じょん</t>
  </si>
  <si>
    <t>ゆんちょる</t>
  </si>
  <si>
    <t>youncheol.jyong.ts</t>
  </si>
  <si>
    <t>youncheol.jyong.ts@mixi.co.jp</t>
  </si>
  <si>
    <t>白井秀憲</t>
  </si>
  <si>
    <t>白井</t>
  </si>
  <si>
    <t>秀憲</t>
  </si>
  <si>
    <t>しらい</t>
  </si>
  <si>
    <t>hidenori.shirai</t>
  </si>
  <si>
    <t>hidenori.shirai@mixi.co.jp</t>
  </si>
  <si>
    <t>白石良太</t>
  </si>
  <si>
    <t>白石</t>
  </si>
  <si>
    <t>良太</t>
  </si>
  <si>
    <t>しらいし</t>
  </si>
  <si>
    <t>ryota.shiraishi.ts</t>
  </si>
  <si>
    <t>ryota.shiraishi.ts@mixi.co.jp</t>
  </si>
  <si>
    <t>株式会社MIXI/島村管掌/人事本部/労務部/労務管理第2グループ</t>
  </si>
  <si>
    <t>AX089080300</t>
  </si>
  <si>
    <t>白岩</t>
  </si>
  <si>
    <t>優子</t>
  </si>
  <si>
    <t>しらいわ</t>
  </si>
  <si>
    <t>shiraiwa</t>
  </si>
  <si>
    <t>shiraiwa@mixi.co.jp</t>
  </si>
  <si>
    <t>株式会社MIXI/笠原管掌/みてね事業本部/みてねマーケティング部/ユーザーコミュニケーショングループ</t>
  </si>
  <si>
    <t>AQ087030200
AQ087040000
AQ087030100</t>
  </si>
  <si>
    <t>マネージャー
スタッフ
マネージャー</t>
  </si>
  <si>
    <t>白尾直子</t>
  </si>
  <si>
    <t>白尾</t>
  </si>
  <si>
    <t>しらお</t>
  </si>
  <si>
    <t>naoko.shirao.ts</t>
  </si>
  <si>
    <t>naoko.shirao.ts@mixi.co.jp</t>
  </si>
  <si>
    <t>白川</t>
  </si>
  <si>
    <t>裕介</t>
  </si>
  <si>
    <t>しらかわ</t>
  </si>
  <si>
    <t>yusuke.shirakawa</t>
  </si>
  <si>
    <t>yusuke.shirakawa@mixi.co.jp</t>
  </si>
  <si>
    <t>白倉拓弥</t>
  </si>
  <si>
    <t>白倉</t>
  </si>
  <si>
    <t>拓弥</t>
  </si>
  <si>
    <t>しらくら</t>
  </si>
  <si>
    <t>takuya.shirakura</t>
  </si>
  <si>
    <t>takuya.shirakura@mixi.co.jp</t>
  </si>
  <si>
    <t>新和博a</t>
  </si>
  <si>
    <t>新</t>
  </si>
  <si>
    <t>和博a</t>
  </si>
  <si>
    <t>しん</t>
  </si>
  <si>
    <t>kazuhiro.shin.a.ts</t>
  </si>
  <si>
    <t>kazuhiro.shin.a.ts@mixi.co.jp</t>
  </si>
  <si>
    <t>和博</t>
  </si>
  <si>
    <t>kazuhiro.shin.ts</t>
  </si>
  <si>
    <t>kazuhiro.shin.ts@imercurycapital.co.jp</t>
  </si>
  <si>
    <t>アイ・マーキュリーキャピタル株式会社</t>
  </si>
  <si>
    <t>XB509000000</t>
  </si>
  <si>
    <t>神菜美</t>
  </si>
  <si>
    <t>神</t>
  </si>
  <si>
    <t>菜美</t>
  </si>
  <si>
    <t>じん</t>
  </si>
  <si>
    <t>なみ</t>
  </si>
  <si>
    <t>nami.jin</t>
  </si>
  <si>
    <t>nami.jin@mixi.co.jp</t>
  </si>
  <si>
    <t>株式会社MIXI/小林管掌/CS本部/CS部/CREグループ</t>
  </si>
  <si>
    <t>AU073010200
AU073010201</t>
  </si>
  <si>
    <t>新開葉月</t>
  </si>
  <si>
    <t>新開</t>
  </si>
  <si>
    <t>葉月</t>
  </si>
  <si>
    <t>しんかい</t>
  </si>
  <si>
    <t>はづき</t>
  </si>
  <si>
    <t>hazuki.shinkai</t>
  </si>
  <si>
    <t>hazuki.shinkai@mixi.co.jp</t>
  </si>
  <si>
    <t>末廣祥子</t>
  </si>
  <si>
    <t>末廣</t>
  </si>
  <si>
    <t>すえひろ</t>
  </si>
  <si>
    <t>shoko.suehiro.ts</t>
  </si>
  <si>
    <t>shoko.suehiro.ts@mixi.co.jp</t>
  </si>
  <si>
    <t>須賀成章</t>
  </si>
  <si>
    <t>須賀</t>
  </si>
  <si>
    <t>成章</t>
  </si>
  <si>
    <t>すが</t>
  </si>
  <si>
    <t>なりあき</t>
  </si>
  <si>
    <t>nariaki.suga</t>
  </si>
  <si>
    <t>nariaki.suga@mixi.co.jp</t>
  </si>
  <si>
    <t>株式会社MIXI/木村管掌/デジタルエンターテインメントオペレーションズ本部/事業戦略部/事業推進グループ/管理チーム</t>
  </si>
  <si>
    <t>AO082050601
AO082000000</t>
  </si>
  <si>
    <t>須貝一貴</t>
  </si>
  <si>
    <t>須貝</t>
  </si>
  <si>
    <t>一貴</t>
  </si>
  <si>
    <t>すがい</t>
  </si>
  <si>
    <t>かずたか</t>
  </si>
  <si>
    <t>kazutaka.sugai</t>
  </si>
  <si>
    <t>kazutaka.sugai@mixi.co.jp</t>
  </si>
  <si>
    <t>株式会社MIXI/木村管掌/ライブエクスペリエンス事業本部/アリーナ事業部</t>
  </si>
  <si>
    <t>XP537000000
AO090010000
AO090010300</t>
  </si>
  <si>
    <t>代表取締役社長
部長
マネージャー</t>
  </si>
  <si>
    <t>須貝冴恵</t>
  </si>
  <si>
    <t>冴恵</t>
  </si>
  <si>
    <t>sae.sugai</t>
  </si>
  <si>
    <t>sae.sugai@mixi.co.jp</t>
  </si>
  <si>
    <t>株式会社MIXI/木村管掌/デジタルエンターテインメントオペレーションズ本部/コトダマン制作部/UIデザイングループ</t>
  </si>
  <si>
    <t>AO082090100
AO082090101</t>
  </si>
  <si>
    <t>菅澤麻里</t>
  </si>
  <si>
    <t>菅澤</t>
  </si>
  <si>
    <t>麻里</t>
  </si>
  <si>
    <t>すがさわ</t>
  </si>
  <si>
    <t>mari.sugasawa.ts</t>
  </si>
  <si>
    <t>mari.sugasawa.ts@mixi.co.jp</t>
  </si>
  <si>
    <t>菅沼悠太</t>
  </si>
  <si>
    <t>菅沼</t>
  </si>
  <si>
    <t>悠太</t>
  </si>
  <si>
    <t>すがぬま</t>
  </si>
  <si>
    <t>yuta.suganuma.ts</t>
  </si>
  <si>
    <t>yuta.suganuma.ts@mixi.co.jp</t>
  </si>
  <si>
    <t>菅野将太</t>
  </si>
  <si>
    <t>将太</t>
  </si>
  <si>
    <t>すがの</t>
  </si>
  <si>
    <t>shota.sugano</t>
  </si>
  <si>
    <t>shota.sugano@mixi.co.jp</t>
  </si>
  <si>
    <t>株式会社MIXI/村瀨管掌/デザイン本部/動画クリエイティブ室/CGデザイングループ/CG第2チーム</t>
  </si>
  <si>
    <t>AR059060304</t>
  </si>
  <si>
    <t>菅野祐也</t>
  </si>
  <si>
    <t>sugano</t>
  </si>
  <si>
    <t>sugano@mixi.co.jp</t>
  </si>
  <si>
    <t>菅原直亮</t>
  </si>
  <si>
    <t>菅原</t>
  </si>
  <si>
    <t>直亮</t>
  </si>
  <si>
    <t>すがはら</t>
  </si>
  <si>
    <t>なおあき</t>
  </si>
  <si>
    <t>naoaki.sugahara</t>
  </si>
  <si>
    <t>naoaki.sugahara@mixi.co.jp</t>
  </si>
  <si>
    <t>XM550000000
AW085040200
XM550030000</t>
  </si>
  <si>
    <t>菅谷愛</t>
  </si>
  <si>
    <t>菅谷</t>
  </si>
  <si>
    <t>すがや</t>
  </si>
  <si>
    <t>ai.sugaya</t>
  </si>
  <si>
    <t>ai.sugaya@mixi.co.jp</t>
  </si>
  <si>
    <t>AO082090400</t>
  </si>
  <si>
    <t>杉崎大樹</t>
  </si>
  <si>
    <t>杉崎</t>
  </si>
  <si>
    <t>すぎさき</t>
  </si>
  <si>
    <t>だいき</t>
  </si>
  <si>
    <t>daiki.sugisaki.ts</t>
  </si>
  <si>
    <t>daiki.sugisaki.ts@mixi.co.jp</t>
  </si>
  <si>
    <t>杉澤大輔</t>
  </si>
  <si>
    <t>杉澤</t>
  </si>
  <si>
    <t>すぎさわ</t>
  </si>
  <si>
    <t>daisuke.sugisawa.ts</t>
  </si>
  <si>
    <t>daisuke.sugisawa.ts@mixi.co.jp</t>
  </si>
  <si>
    <t>株式会社MIXI/村瀨管掌/開発本部</t>
  </si>
  <si>
    <t>AR060000000</t>
  </si>
  <si>
    <t>杉田</t>
  </si>
  <si>
    <t>すぎた</t>
  </si>
  <si>
    <t>emi.sugita</t>
  </si>
  <si>
    <t>emi.sugita@mixi.co.jp</t>
  </si>
  <si>
    <t>杉田裕明</t>
  </si>
  <si>
    <t>裕明</t>
  </si>
  <si>
    <t>hiroaki.sugita.ts</t>
  </si>
  <si>
    <t>hiroaki.sugita.ts@mixi.co.jp</t>
  </si>
  <si>
    <t>AO082040200</t>
  </si>
  <si>
    <t>杉村</t>
  </si>
  <si>
    <t>元規</t>
  </si>
  <si>
    <t>すぎむら</t>
  </si>
  <si>
    <t>もとき</t>
  </si>
  <si>
    <t>motoki.sugimura</t>
  </si>
  <si>
    <t>motoki.sugimura@mixi.co.jp</t>
  </si>
  <si>
    <t>株式会社MIXI/島村管掌/人事本部</t>
  </si>
  <si>
    <t>AX089000000
AX089040000
AX089050000</t>
  </si>
  <si>
    <t>本部長
部長
部長</t>
  </si>
  <si>
    <t>杉村涼</t>
  </si>
  <si>
    <t>ryo.sugimura</t>
  </si>
  <si>
    <t>ryo.sugimura@mixi.co.jp</t>
  </si>
  <si>
    <t>杉本浩平</t>
  </si>
  <si>
    <t>杉本</t>
  </si>
  <si>
    <t>すぎもと</t>
  </si>
  <si>
    <t>kohei.sugimoto</t>
  </si>
  <si>
    <t>kohei.sugimoto@mixi.co.jp</t>
  </si>
  <si>
    <t>杉山治</t>
  </si>
  <si>
    <t>杉山</t>
  </si>
  <si>
    <t>治</t>
  </si>
  <si>
    <t>すぎやま</t>
  </si>
  <si>
    <t>おさむ</t>
  </si>
  <si>
    <t>osamu.sugiyama</t>
  </si>
  <si>
    <t>osamu.sugiyama@mixi.co.jp</t>
  </si>
  <si>
    <t>株式会社MIXI/奥山管掌/ソーシャルベッティング事業本部/価値創造室/コンテンツグループ/コンテンツビジネスチーム</t>
  </si>
  <si>
    <t>AW076050301</t>
  </si>
  <si>
    <t>杉山潤</t>
  </si>
  <si>
    <t>jun.sugiyama</t>
  </si>
  <si>
    <t>jun.sugiyama@mixi.co.jp</t>
  </si>
  <si>
    <t>株式会社MIXI/奥山管掌/ソーシャルベッティング事業本部/TIPSTAR事業部</t>
  </si>
  <si>
    <t>AW076020000
AW076020700</t>
  </si>
  <si>
    <t>鈴木彩香</t>
  </si>
  <si>
    <t>鈴木</t>
  </si>
  <si>
    <t>彩香</t>
  </si>
  <si>
    <t>すずき</t>
  </si>
  <si>
    <t>ayaka.suzuki</t>
  </si>
  <si>
    <t>ayaka.suzuki@mixi.co.jp</t>
  </si>
  <si>
    <t>株式会社MIXI/小林管掌/CS本部/CX部/Enhancementグループ/人材育成チーム</t>
  </si>
  <si>
    <t>AU073000000
AU073010000
AU073020000
AU073020200
AU073010200
AU073020103
AU073010300
AU073010400</t>
  </si>
  <si>
    <t>スタッフ
スタッフ
スタッフ
スタッフ
スタッフ
リーダー
スタッフ
スタッフ</t>
  </si>
  <si>
    <t>0
0
0
0
0
1
0
0</t>
  </si>
  <si>
    <t>鈴木綾乃</t>
  </si>
  <si>
    <t>ayano.suzuki</t>
  </si>
  <si>
    <t>ayano.suzuki@mixi.co.jp</t>
  </si>
  <si>
    <t>鈴木亜由美</t>
  </si>
  <si>
    <t>亜由美</t>
  </si>
  <si>
    <t>ayumi.suzuki</t>
  </si>
  <si>
    <t>ayumi.suzuki@mixi.co.jp</t>
  </si>
  <si>
    <t>株式会社MIXI/木村管掌/デジタルエンターテインメントオペレーションズ本部/宣伝部/プロモーショングループ/アクティベーション2チーム</t>
  </si>
  <si>
    <t>AO082030105</t>
  </si>
  <si>
    <t>景子</t>
  </si>
  <si>
    <t>keiko.suzuki</t>
  </si>
  <si>
    <t>keiko.suzuki@mixi.co.jp</t>
  </si>
  <si>
    <t>鈴木進吾</t>
  </si>
  <si>
    <t>進吾</t>
  </si>
  <si>
    <t>shingo.suzuki</t>
  </si>
  <si>
    <t>shingo.suzuki@mixi.co.jp</t>
  </si>
  <si>
    <t>鈴木貴史</t>
  </si>
  <si>
    <t>takafumi.suzuki</t>
  </si>
  <si>
    <t>takafumi.suzuki@mixi.co.jp</t>
  </si>
  <si>
    <t>鈴木丈之</t>
  </si>
  <si>
    <t>丈之</t>
  </si>
  <si>
    <t>tomoyuki.suzuki</t>
  </si>
  <si>
    <t>tomoyuki.suzuki@mixi.co.jp</t>
  </si>
  <si>
    <t>鈴木奈々枝</t>
  </si>
  <si>
    <t>奈々枝</t>
  </si>
  <si>
    <t>ななえ</t>
  </si>
  <si>
    <t>nanae.suzuki</t>
  </si>
  <si>
    <t>nanae.suzuki@mixi.co.jp</t>
  </si>
  <si>
    <t>鈴木勇人</t>
  </si>
  <si>
    <t>勇人</t>
  </si>
  <si>
    <t>はやと</t>
  </si>
  <si>
    <t>hayato.suzuki</t>
  </si>
  <si>
    <t>hayato.suzuki@mixi.co.jp</t>
  </si>
  <si>
    <t>AR059060000
AO082050800</t>
  </si>
  <si>
    <t>鈴木治雄</t>
  </si>
  <si>
    <t>治雄</t>
  </si>
  <si>
    <t>はるお</t>
  </si>
  <si>
    <t>haruo.suzuki.ts</t>
  </si>
  <si>
    <t>haruo.suzuki.ts@mixi.co.jp</t>
  </si>
  <si>
    <t>鈴木正大</t>
  </si>
  <si>
    <t>正大</t>
  </si>
  <si>
    <t>masahiro.suzuki</t>
  </si>
  <si>
    <t>masahiro.suzuki@mixi.co.jp</t>
  </si>
  <si>
    <t>株式会社ネットドリーマーズ
株式会社MIXI</t>
  </si>
  <si>
    <t>XM551010000
AW076080200
AW085000000
AW085040000</t>
  </si>
  <si>
    <t>鈴木雅也</t>
  </si>
  <si>
    <t>雅也</t>
  </si>
  <si>
    <t>masaya.suzuki</t>
  </si>
  <si>
    <t>masaya.suzuki@mixi.co.jp</t>
  </si>
  <si>
    <t>鈴木雄郁a</t>
  </si>
  <si>
    <t>雄郁a</t>
  </si>
  <si>
    <t>ゆうか</t>
  </si>
  <si>
    <t>yuka.suzuki.a</t>
  </si>
  <si>
    <t>yuka.suzuki.a@mixi.co.jp</t>
  </si>
  <si>
    <t>鈴木祐己</t>
  </si>
  <si>
    <t>祐己</t>
  </si>
  <si>
    <t>yuki.suzuki</t>
  </si>
  <si>
    <t>yuki.suzuki@mixi.co.jp</t>
  </si>
  <si>
    <t>鈴木優希</t>
  </si>
  <si>
    <t>yuuki.suzuki</t>
  </si>
  <si>
    <t>yuuki.suzuki@mixi.co.jp</t>
  </si>
  <si>
    <t>鈴木優子</t>
  </si>
  <si>
    <t>yuko.suzuki</t>
  </si>
  <si>
    <t>yuko.suzuki@mixi.co.jp</t>
  </si>
  <si>
    <t>株式会社MIXI/木村管掌/ライブエクスペリエンス事業本部/フットボール事業部/経営企画グループ</t>
  </si>
  <si>
    <t>AO090040200</t>
  </si>
  <si>
    <t>鈴木雄祐a</t>
  </si>
  <si>
    <t>雄祐a</t>
  </si>
  <si>
    <t>yusuke.suzuki.a.ts</t>
  </si>
  <si>
    <t>株式会社MIXI/管掌役員なし/社長室(本部格)/社長室/秘書グループ</t>
  </si>
  <si>
    <t>ZZ084010200</t>
  </si>
  <si>
    <t>鈴木雄大</t>
  </si>
  <si>
    <t>雄大</t>
  </si>
  <si>
    <t>ゆうだい</t>
  </si>
  <si>
    <t>yudai.suzuki</t>
  </si>
  <si>
    <t>yudai.suzuki@mixi.co.jp</t>
  </si>
  <si>
    <t>鈴木勇人a</t>
  </si>
  <si>
    <t>勇人a</t>
  </si>
  <si>
    <t>yuto.suzuki.a</t>
  </si>
  <si>
    <t>yuto.suzuki.a@netdreamers.co.jp</t>
  </si>
  <si>
    <t>株式会社ネットドリーマーズ/株式会社ネットドリーマーズ/メディア&amp;ベッティング事業本部/事業開発室/メディア企画グループ</t>
  </si>
  <si>
    <t>XM550000000
XM551000000
XM551010100
XM551060100</t>
  </si>
  <si>
    <t>スタッフ
スタッフ
スタッフ
マネージャー</t>
  </si>
  <si>
    <t>鈴木雄弥</t>
  </si>
  <si>
    <t>雄弥</t>
  </si>
  <si>
    <t>yuya.suzuki</t>
  </si>
  <si>
    <t>yuya.suzuki@mixi.co.jp</t>
  </si>
  <si>
    <t>AR060060200
AW076020708</t>
  </si>
  <si>
    <t>鈴木友里絵</t>
  </si>
  <si>
    <t>yurie.suzuki</t>
  </si>
  <si>
    <t>yurie.suzuki@mixi.co.jp</t>
  </si>
  <si>
    <t>須藤義徳</t>
  </si>
  <si>
    <t>須藤</t>
  </si>
  <si>
    <t>義徳</t>
  </si>
  <si>
    <t>すとう</t>
  </si>
  <si>
    <t>yoshinori.suto.ts</t>
  </si>
  <si>
    <t>須藤朋子a</t>
  </si>
  <si>
    <t>朋子a</t>
  </si>
  <si>
    <t>すどう</t>
  </si>
  <si>
    <t>tomoko.sudo.a.ts</t>
  </si>
  <si>
    <t>tomoko.sudo.a.ts@mixi.co.jp</t>
  </si>
  <si>
    <t>株式会社MIXI/木村管掌/デジタルエンターテインメントオペレーションズ本部/コトダマン制作部/コンテンツプランニンググループ/コンテンツチーム</t>
  </si>
  <si>
    <t>AO082090501
AO082090502</t>
  </si>
  <si>
    <t>數藤智幸</t>
  </si>
  <si>
    <t>數藤</t>
  </si>
  <si>
    <t>智幸</t>
  </si>
  <si>
    <t>tomoyuki.sudo</t>
  </si>
  <si>
    <t>tomoyuki.sudo@mixi.co.jp</t>
  </si>
  <si>
    <t>株式会社MIXI/木村管掌/ライブエクスペリエンス事業本部/企画推進部/エンジニアリング支援グループ</t>
  </si>
  <si>
    <t>AO090050300
AO090050401</t>
  </si>
  <si>
    <t>砂川将秀</t>
  </si>
  <si>
    <t>砂川</t>
  </si>
  <si>
    <t>将秀</t>
  </si>
  <si>
    <t>すながわ</t>
  </si>
  <si>
    <t>masahide.sunagawa</t>
  </si>
  <si>
    <t>masahide.sunagawa@m-sfidante.com</t>
  </si>
  <si>
    <t>砂村</t>
  </si>
  <si>
    <t>哲平</t>
  </si>
  <si>
    <t>すなむら</t>
  </si>
  <si>
    <t>てっぺい</t>
  </si>
  <si>
    <t>sunamura</t>
  </si>
  <si>
    <t>sunamura@mixi.co.jp</t>
  </si>
  <si>
    <t>株式会社MIXI/木村管掌/デジタルエンターテインメントオペレーションズ本部/モンストIPクリエイション部</t>
  </si>
  <si>
    <t>AO082040000</t>
  </si>
  <si>
    <t>住吉秀章</t>
  </si>
  <si>
    <t>住吉</t>
  </si>
  <si>
    <t>秀章</t>
  </si>
  <si>
    <t>すみよし</t>
  </si>
  <si>
    <t>hideaki.sumiyoshi.ts</t>
  </si>
  <si>
    <t>hideaki.sumiyoshi.ts@mixi.co.jp</t>
  </si>
  <si>
    <t>諏訪部光平a</t>
  </si>
  <si>
    <t>諏訪部</t>
  </si>
  <si>
    <t>光平a</t>
  </si>
  <si>
    <t>すわべ</t>
  </si>
  <si>
    <t>kohei.suwabe.a.ts</t>
  </si>
  <si>
    <t>kohei.suwabe.a.ts@m-sfidante.com</t>
  </si>
  <si>
    <t>清野咲歩</t>
  </si>
  <si>
    <t>清野</t>
  </si>
  <si>
    <t>咲歩</t>
  </si>
  <si>
    <t>せいの</t>
  </si>
  <si>
    <t>さほ</t>
  </si>
  <si>
    <t>saho.seino.ts</t>
  </si>
  <si>
    <t>生盛大史</t>
  </si>
  <si>
    <t>生盛</t>
  </si>
  <si>
    <t>大史</t>
  </si>
  <si>
    <t>せいもり</t>
  </si>
  <si>
    <t>ひろちか</t>
  </si>
  <si>
    <t>hirochika.seimori</t>
  </si>
  <si>
    <t>hirochika.seimori@mixi.co.jp</t>
  </si>
  <si>
    <t>瀬尾敦生</t>
  </si>
  <si>
    <t>瀬尾</t>
  </si>
  <si>
    <t>敦生</t>
  </si>
  <si>
    <t>せお</t>
  </si>
  <si>
    <t>あつき</t>
  </si>
  <si>
    <t>atsuki.seo</t>
  </si>
  <si>
    <t>atsuki.seo@mixi.co.jp</t>
  </si>
  <si>
    <t>瀨川未晴</t>
  </si>
  <si>
    <t>瀨川</t>
  </si>
  <si>
    <t>未晴</t>
  </si>
  <si>
    <t>せがわ</t>
  </si>
  <si>
    <t>みはる</t>
  </si>
  <si>
    <t>miharu.segawa</t>
  </si>
  <si>
    <t>miharu.segawa@mixi.co.jp</t>
  </si>
  <si>
    <t>株式会社チャリ・ロト
株式会社MIXI
株式会社ネットドリーマーズ</t>
  </si>
  <si>
    <t>出向
在籍
出向</t>
  </si>
  <si>
    <t>出向受入
正社員
兼務出向受入</t>
  </si>
  <si>
    <t>XI516000000
XM556030500
AW076050000
AW076070000</t>
  </si>
  <si>
    <t>関</t>
  </si>
  <si>
    <t>せき</t>
  </si>
  <si>
    <t>azusa.seki</t>
  </si>
  <si>
    <t>azusa.seki@mixi.co.jp</t>
  </si>
  <si>
    <t>AO083000000
AO083010000
AO083010300
AO083020000
AO083030000
AO083030100
AO083010600
AO083010700
AO083010500
AO086010000
AO083020500
AO083020400
AO083010800
AO083020600</t>
  </si>
  <si>
    <t>スタッフ
スタッフ
スタッフ
スタッフ
スタッフ
スタッフ
スタッフ
スタッフ
スタッフ
スタッフ
スタッフ
スタッフ
スタッフ
スタッフ</t>
  </si>
  <si>
    <t>0
0
0
0
0
1
0
0
0
0
0
0
0
0</t>
  </si>
  <si>
    <t>関川恵</t>
  </si>
  <si>
    <t>関川</t>
  </si>
  <si>
    <t>せきかわ</t>
  </si>
  <si>
    <t>megumi.sekikawa</t>
  </si>
  <si>
    <t>megumi.sekikawa@mixi.co.jp</t>
  </si>
  <si>
    <t>関口竜也</t>
  </si>
  <si>
    <t>関口</t>
  </si>
  <si>
    <t>せきぐち</t>
  </si>
  <si>
    <t>tatsuya.sekiguchi</t>
  </si>
  <si>
    <t>tatsuya.sekiguchi@mixi.co.jp</t>
  </si>
  <si>
    <t>関根海</t>
  </si>
  <si>
    <t>関根</t>
  </si>
  <si>
    <t>海</t>
  </si>
  <si>
    <t>せきね</t>
  </si>
  <si>
    <t>kai.sekine</t>
  </si>
  <si>
    <t>kai.sekine@m-lovegraph.com</t>
  </si>
  <si>
    <t>関根賢貴</t>
  </si>
  <si>
    <t>賢貴</t>
  </si>
  <si>
    <t>masaki.sekine</t>
  </si>
  <si>
    <t>masaki.sekine@mixi.co.jp</t>
  </si>
  <si>
    <t>関野直博</t>
  </si>
  <si>
    <t>関野</t>
  </si>
  <si>
    <t>直博</t>
  </si>
  <si>
    <t>せきの</t>
  </si>
  <si>
    <t>なおひろ</t>
  </si>
  <si>
    <t>naohiro.sekino</t>
  </si>
  <si>
    <t>naohiro.sekino@mixi.co.jp</t>
  </si>
  <si>
    <t>AX078070200</t>
  </si>
  <si>
    <t>瀬戸知子</t>
  </si>
  <si>
    <t>瀬戸</t>
  </si>
  <si>
    <t>せと</t>
  </si>
  <si>
    <t>tomoko.seto</t>
  </si>
  <si>
    <t>tomoko.seto@mixi.co.jp</t>
  </si>
  <si>
    <t>株式会社MIXI/島村管掌/経営推進本部/経営企画部/経営サポートグループ</t>
  </si>
  <si>
    <t>AX078010100
AX078010400</t>
  </si>
  <si>
    <t>瀬戸口史賀</t>
  </si>
  <si>
    <t>瀬戸口</t>
  </si>
  <si>
    <t>史賀</t>
  </si>
  <si>
    <t>せとぐち</t>
  </si>
  <si>
    <t>みのり</t>
  </si>
  <si>
    <t>minori.setoguchi</t>
  </si>
  <si>
    <t>minori.setoguchi@mixi.co.jp</t>
  </si>
  <si>
    <t>銭宇喆</t>
  </si>
  <si>
    <t>銭</t>
  </si>
  <si>
    <t>宇喆</t>
  </si>
  <si>
    <t>せん</t>
  </si>
  <si>
    <t>うてつ</t>
  </si>
  <si>
    <t>yuzhe.qian</t>
  </si>
  <si>
    <t>yuzhe.qian@mixi.co.jp</t>
  </si>
  <si>
    <t>宋麗花</t>
  </si>
  <si>
    <t>宋</t>
  </si>
  <si>
    <t>麗花</t>
  </si>
  <si>
    <t>そう</t>
  </si>
  <si>
    <t>れいか</t>
  </si>
  <si>
    <t>lihua.song</t>
  </si>
  <si>
    <t>lihua.song@mixi.co.jp</t>
  </si>
  <si>
    <t>AO082030300
AO082010400
AO082030302
AO082030301</t>
  </si>
  <si>
    <t>相馬衣里</t>
  </si>
  <si>
    <t>相馬</t>
  </si>
  <si>
    <t>衣里</t>
  </si>
  <si>
    <t>そうま</t>
  </si>
  <si>
    <t>eri.soma.ts</t>
  </si>
  <si>
    <t>eri.soma.ts@m-sfidante.com</t>
  </si>
  <si>
    <t>曽我部早紀</t>
  </si>
  <si>
    <t>曽我部</t>
  </si>
  <si>
    <t>早紀</t>
  </si>
  <si>
    <t>そがべ</t>
  </si>
  <si>
    <t>saki.sogabe</t>
  </si>
  <si>
    <t>saki.sogabe@mixi.co.jp</t>
  </si>
  <si>
    <t>株式会社MIXI/島村管掌/経営推進本部/広報部/企業広報グループ/企業広報チーム</t>
  </si>
  <si>
    <t>AX078050101
AX078050401</t>
  </si>
  <si>
    <t>曽田リラ</t>
  </si>
  <si>
    <t>曽田</t>
  </si>
  <si>
    <t>リラ</t>
  </si>
  <si>
    <t>そだ</t>
  </si>
  <si>
    <t>りら</t>
  </si>
  <si>
    <t>lila.soda</t>
  </si>
  <si>
    <t>lila.soda@mixi.co.jp</t>
  </si>
  <si>
    <t>外山英里</t>
  </si>
  <si>
    <t>外山</t>
  </si>
  <si>
    <t>英里</t>
  </si>
  <si>
    <t>そとやま</t>
  </si>
  <si>
    <t>eri.sotoyama</t>
  </si>
  <si>
    <t>eri.sotoyama@mixi.co.jp</t>
  </si>
  <si>
    <t>曽根洋子</t>
  </si>
  <si>
    <t>曽根</t>
  </si>
  <si>
    <t>洋子</t>
  </si>
  <si>
    <t>そね</t>
  </si>
  <si>
    <t>yoko.sone</t>
  </si>
  <si>
    <t>yoko.sone@mixi.co.jp</t>
  </si>
  <si>
    <t>岨中</t>
  </si>
  <si>
    <t>そわなか</t>
  </si>
  <si>
    <t>sowanaka</t>
  </si>
  <si>
    <t>sowanaka@mixi.co.jp</t>
  </si>
  <si>
    <t>株式会社MIXI/笠原管掌/Vantageスタジオ/事業推進室</t>
  </si>
  <si>
    <t>AQ061030000
AQ061030100
AQ061030103
AQ061030600
AQ061030700
AQ087040000
AX089010100</t>
  </si>
  <si>
    <t>室長
マネージャー
リーダー
マネージャー
マネージャー
スタッフ
マネージャー</t>
  </si>
  <si>
    <t>成智恩</t>
  </si>
  <si>
    <t>成</t>
  </si>
  <si>
    <t>智恩</t>
  </si>
  <si>
    <t>そん</t>
  </si>
  <si>
    <t>じうん</t>
  </si>
  <si>
    <t>jieun.seong</t>
  </si>
  <si>
    <t>jieun.seong@mixi.co.jp</t>
  </si>
  <si>
    <t>平彩七</t>
  </si>
  <si>
    <t>平</t>
  </si>
  <si>
    <t>彩七</t>
  </si>
  <si>
    <t>たいら</t>
  </si>
  <si>
    <t>ayana.taira</t>
  </si>
  <si>
    <t>ayana.taira@mixi.co.jp</t>
  </si>
  <si>
    <t>平恭子</t>
  </si>
  <si>
    <t>恭子</t>
  </si>
  <si>
    <t>kyoko.taira</t>
  </si>
  <si>
    <t>kyoko.taira@netdreamers.co.jp</t>
  </si>
  <si>
    <t>株式会社ネットドリーマーズ/株式会社ネットドリーマーズ/サービス推進開発本部/サービス推進部/CSグループ</t>
  </si>
  <si>
    <t>XM556030300
XM556000000</t>
  </si>
  <si>
    <t>田尾慶子</t>
  </si>
  <si>
    <t>田尾</t>
  </si>
  <si>
    <t>慶子</t>
  </si>
  <si>
    <t>keiko.tao</t>
  </si>
  <si>
    <t>keiko.tao@mixi.co.jp</t>
  </si>
  <si>
    <t>XB509000000
AW076080000
AW085030000
AW076050000
AW076080200
AW076080100
AW085000000
AW085020800
AW085020000
AW076020000
AW076070000
AW076030000
AW085040000
AW076090000
AW076000000</t>
  </si>
  <si>
    <t>スタッフ
スタッフ
スタッフ
スタッフ
スタッフ
スタッフ
スタッフ
スタッフ
スタッフ
スタッフ
スタッフ
スタッフ
スタッフ
スタッフ
スタッフ</t>
  </si>
  <si>
    <t>0
0
0
1
0
0
0
0
0
0
0
0
0
0
0</t>
  </si>
  <si>
    <t>田岡文利</t>
  </si>
  <si>
    <t>田岡</t>
  </si>
  <si>
    <t>文利</t>
  </si>
  <si>
    <t>たおか</t>
  </si>
  <si>
    <t>ふみとし</t>
  </si>
  <si>
    <t>fumitoshi.taoka</t>
  </si>
  <si>
    <t>fumitoshi.taoka@mixi.co.jp</t>
  </si>
  <si>
    <t>AR060050100
AR060040700</t>
  </si>
  <si>
    <t>高井桂</t>
  </si>
  <si>
    <t>高井</t>
  </si>
  <si>
    <t>桂</t>
  </si>
  <si>
    <t>たかい</t>
  </si>
  <si>
    <t>かつら</t>
  </si>
  <si>
    <t>katsura.takai</t>
  </si>
  <si>
    <t>katsura.takai@mixi.co.jp</t>
  </si>
  <si>
    <t>高浦二三康</t>
  </si>
  <si>
    <t>高浦</t>
  </si>
  <si>
    <t>二三康</t>
  </si>
  <si>
    <t>たかうら</t>
  </si>
  <si>
    <t>ふみやす</t>
  </si>
  <si>
    <t>fumiyasu.takaura</t>
  </si>
  <si>
    <t>fumiyasu.takaura@mixi.co.jp</t>
  </si>
  <si>
    <t>高岡優子</t>
  </si>
  <si>
    <t>高岡</t>
  </si>
  <si>
    <t>たかおか</t>
  </si>
  <si>
    <t>yuko.takaoka</t>
  </si>
  <si>
    <t>yuko.takaoka@mixi.co.jp</t>
  </si>
  <si>
    <t>髙木志弥</t>
  </si>
  <si>
    <t>髙木</t>
  </si>
  <si>
    <t>志弥</t>
  </si>
  <si>
    <t>たかぎ</t>
  </si>
  <si>
    <t>tomoya.takagi</t>
  </si>
  <si>
    <t>tomoya.takagi@mixi.co.jp</t>
  </si>
  <si>
    <t>株式会社MIXI/村瀨管掌/デザイン本部/プロダクトデザイン室/エクスペリエンスデザイン第2グループ/第2チーム</t>
  </si>
  <si>
    <t>AR059050802
AO090050403</t>
  </si>
  <si>
    <t>高木侑紀子</t>
  </si>
  <si>
    <t>高木</t>
  </si>
  <si>
    <t>侑紀子</t>
  </si>
  <si>
    <t>ゆきこ</t>
  </si>
  <si>
    <t>yukiko.takagi.ts</t>
  </si>
  <si>
    <t>yukiko.takagi.ts@mixi.co.jp</t>
  </si>
  <si>
    <t>高崎健太郎</t>
  </si>
  <si>
    <t>高崎</t>
  </si>
  <si>
    <t>たかさき</t>
  </si>
  <si>
    <t>kentaro.takasaki.ts</t>
  </si>
  <si>
    <t>髙島桃香</t>
  </si>
  <si>
    <t>髙島</t>
  </si>
  <si>
    <t>桃香</t>
  </si>
  <si>
    <t>たかしま</t>
  </si>
  <si>
    <t>ももか</t>
  </si>
  <si>
    <t>momoka.takashima</t>
  </si>
  <si>
    <t>momoka.takashima@mixi.co.jp</t>
  </si>
  <si>
    <t>高嶋里沙</t>
  </si>
  <si>
    <t>高嶋</t>
  </si>
  <si>
    <t>里沙</t>
  </si>
  <si>
    <t>risa.takashima.ts</t>
  </si>
  <si>
    <t>risa.takashima.ts@mixi.co.jp</t>
  </si>
  <si>
    <t>高須城次</t>
  </si>
  <si>
    <t>高須</t>
  </si>
  <si>
    <t>城次</t>
  </si>
  <si>
    <t>たかす</t>
  </si>
  <si>
    <t>じょうじ</t>
  </si>
  <si>
    <t>joji.takasu.ts</t>
  </si>
  <si>
    <t>joji.takasu.ts@mixi.co.jp</t>
  </si>
  <si>
    <t>髙田信一</t>
  </si>
  <si>
    <t>髙田</t>
  </si>
  <si>
    <t>信一</t>
  </si>
  <si>
    <t>たかだ</t>
  </si>
  <si>
    <t>shinichi.takada</t>
  </si>
  <si>
    <t>shinichi.takada@mixi.co.jp</t>
  </si>
  <si>
    <t>高田寛</t>
  </si>
  <si>
    <t>高田</t>
  </si>
  <si>
    <t>hiroshi.takada.ts</t>
  </si>
  <si>
    <t>hiroshi.takada.ts@mixi.co.jp</t>
  </si>
  <si>
    <t>高田誠</t>
  </si>
  <si>
    <t>makoto.takada</t>
  </si>
  <si>
    <t>makoto.takada@mixi.co.jp</t>
  </si>
  <si>
    <t>株式会社MIXI/木村管掌/ライブエクスペリエンス事業本部/フットボール事業部/パートナーマーケティンググループ</t>
  </si>
  <si>
    <t>AO090040300
AO090050500</t>
  </si>
  <si>
    <t>高塚流星</t>
  </si>
  <si>
    <t>高塚</t>
  </si>
  <si>
    <t>流星</t>
  </si>
  <si>
    <t>たかつか</t>
  </si>
  <si>
    <t>ryusei.takatsuka</t>
  </si>
  <si>
    <t>ryusei.takatsuka@mixi.co.jp</t>
  </si>
  <si>
    <t>高遠遥</t>
  </si>
  <si>
    <t>高遠</t>
  </si>
  <si>
    <t>たかとう</t>
  </si>
  <si>
    <t>haruka.takato</t>
  </si>
  <si>
    <t>haruka.takato@mixi.co.jp</t>
  </si>
  <si>
    <t>AO082010501
AO082010400
AO082030000
AO082050000
AO082060000</t>
  </si>
  <si>
    <t>高梨博之</t>
  </si>
  <si>
    <t>高梨</t>
  </si>
  <si>
    <t>たかなし</t>
  </si>
  <si>
    <t>hiroyuki.takanashi</t>
  </si>
  <si>
    <t>hiroyuki.takanashi@mixi.co.jp</t>
  </si>
  <si>
    <t>高野周哉</t>
  </si>
  <si>
    <t>高野</t>
  </si>
  <si>
    <t>周哉</t>
  </si>
  <si>
    <t>たかの</t>
  </si>
  <si>
    <t>しゅうや</t>
  </si>
  <si>
    <t>shuya.takano</t>
  </si>
  <si>
    <t>shuya.takano@mixi.co.jp</t>
  </si>
  <si>
    <t>髙野直子</t>
  </si>
  <si>
    <t>髙野</t>
  </si>
  <si>
    <t>naoko.takano.ts</t>
  </si>
  <si>
    <t>naoko.takano.ts@mixi.co.jp</t>
  </si>
  <si>
    <t>髙野竜維</t>
  </si>
  <si>
    <t>竜維</t>
  </si>
  <si>
    <t>りゅうすけ</t>
  </si>
  <si>
    <t>ryusuke.takano</t>
  </si>
  <si>
    <t>ryusuke.takano@mixi.co.jp</t>
  </si>
  <si>
    <t>高羽莉奈</t>
  </si>
  <si>
    <t>高羽</t>
  </si>
  <si>
    <t>たかは</t>
  </si>
  <si>
    <t>rina.takaha.ts</t>
  </si>
  <si>
    <t>rina.takaha.ts@mixi.co.jp</t>
  </si>
  <si>
    <t>高橋宇建</t>
  </si>
  <si>
    <t>高橋</t>
  </si>
  <si>
    <t>宇建</t>
  </si>
  <si>
    <t>たかはし</t>
  </si>
  <si>
    <t>うけん</t>
  </si>
  <si>
    <t>uken.takahashi</t>
  </si>
  <si>
    <t>uken.takahashi@mixi.co.jp</t>
  </si>
  <si>
    <t>高橋快成</t>
  </si>
  <si>
    <t>快成</t>
  </si>
  <si>
    <t>かいせい</t>
  </si>
  <si>
    <t>kaisei.takahashi</t>
  </si>
  <si>
    <t>kaisei.takahashi@mixi-empowerment.co.jp</t>
  </si>
  <si>
    <t>高橋剛</t>
  </si>
  <si>
    <t>ごう</t>
  </si>
  <si>
    <t>go.takahashi</t>
  </si>
  <si>
    <t>go.takahashi@mixi.co.jp</t>
  </si>
  <si>
    <t>高橋周大</t>
  </si>
  <si>
    <t>周大</t>
  </si>
  <si>
    <t>しゅうた</t>
  </si>
  <si>
    <t>shuta.takahashi.ts</t>
  </si>
  <si>
    <t>shuta.takahashi.ts@mixi.co.jp</t>
  </si>
  <si>
    <t>AO090030300</t>
  </si>
  <si>
    <t>高橋貴之</t>
  </si>
  <si>
    <t>takayuki.takahashi</t>
  </si>
  <si>
    <t>takayuki.takahashi@mixi.co.jp</t>
  </si>
  <si>
    <t>株式会社MIXI/木村管掌/デジタルエンターテインメントオペレーションズ本部/モンスト運営部/UI・UXデザイングループ/UI第3チーム</t>
  </si>
  <si>
    <t>AO082010607</t>
  </si>
  <si>
    <t>高橋拓也</t>
  </si>
  <si>
    <t>takuya.takahashi</t>
  </si>
  <si>
    <t>takuya.takahashi@netdreamers.co.jp</t>
  </si>
  <si>
    <t>XM556000000
XM556010600</t>
  </si>
  <si>
    <t>高橋拓之</t>
  </si>
  <si>
    <t>拓之</t>
  </si>
  <si>
    <t>hiroyuki.takahashi.ts</t>
  </si>
  <si>
    <t>hiroyuki.takahashi.ts@mixi.co.jp</t>
  </si>
  <si>
    <t>AR091010102</t>
  </si>
  <si>
    <t>髙橋由樹b</t>
  </si>
  <si>
    <t>髙橋</t>
  </si>
  <si>
    <t>由樹b</t>
  </si>
  <si>
    <t>yuki.takahashi.b</t>
  </si>
  <si>
    <t>yuki.takahashi.b@mixi.co.jp</t>
  </si>
  <si>
    <t>株式会社MIXI/木村管掌/ライブエクスペリエンス事業本部/ファンコミュニケーション部/Fansta開発グループ</t>
  </si>
  <si>
    <t>AO090030100
AO090030101</t>
  </si>
  <si>
    <t>高橋雄次郎</t>
  </si>
  <si>
    <t>雄次郎</t>
  </si>
  <si>
    <t>ゆうじろう</t>
  </si>
  <si>
    <t>yujiro.takahashi</t>
  </si>
  <si>
    <t>yujiro.takahashi@mixi.co.jp</t>
  </si>
  <si>
    <t>XW557000000
AW085020000
AW085020700
AW085040100</t>
  </si>
  <si>
    <t>yuta.takahashi</t>
  </si>
  <si>
    <t>yuta.takahashi@mixi.co.jp</t>
  </si>
  <si>
    <t>株式会社MIXI/木村管掌/デジタルエンターテインメントオペレーションズ本部/コトダマン制作部</t>
  </si>
  <si>
    <t>AO082080900
AO082090000
AO082080000
AO082080400
AO082080700
AO082080100
AO082080600
AO082080200
AO082080800
AO082080500
AO082090200
AO082090202</t>
  </si>
  <si>
    <t>スタッフ
部長
スタッフ
スタッフ
スタッフ
スタッフ
スタッフ
スタッフ
スタッフ
スタッフ
マネージャー
リーダー</t>
  </si>
  <si>
    <t>0
1
0
0
0
0
0
0
0
0
0
0</t>
  </si>
  <si>
    <t>高橋窯</t>
  </si>
  <si>
    <t>窯</t>
  </si>
  <si>
    <t>よう</t>
  </si>
  <si>
    <t>yo.takahashi.ts</t>
  </si>
  <si>
    <t>yo.takahashi.ts@mixi.co.jp</t>
  </si>
  <si>
    <t>高橋諒太</t>
  </si>
  <si>
    <t>諒太</t>
  </si>
  <si>
    <t>ryota.takahashi</t>
  </si>
  <si>
    <t>ryota.takahashi@mixi.co.jp</t>
  </si>
  <si>
    <t>高畑珠里</t>
  </si>
  <si>
    <t>高畑</t>
  </si>
  <si>
    <t>珠里</t>
  </si>
  <si>
    <t>たかはた</t>
  </si>
  <si>
    <t>じゅり</t>
  </si>
  <si>
    <t>juri.takahata</t>
  </si>
  <si>
    <t>juri.takahata@netdreamers.co.jp</t>
  </si>
  <si>
    <t>高畠淳</t>
  </si>
  <si>
    <t>高畠</t>
  </si>
  <si>
    <t>たかばたけ</t>
  </si>
  <si>
    <t>jun.takabatake</t>
  </si>
  <si>
    <t>jun.takabatake@mixi.co.jp</t>
  </si>
  <si>
    <t>AW085040102
AW085040201</t>
  </si>
  <si>
    <t>リーダー
リーダー</t>
  </si>
  <si>
    <t>高見雅人</t>
  </si>
  <si>
    <t>高見</t>
  </si>
  <si>
    <t>たかみ</t>
  </si>
  <si>
    <t>masato.takami</t>
  </si>
  <si>
    <t>masato.takami@mixi.co.jp</t>
  </si>
  <si>
    <t>株式会社MIXI/木村管掌/デジタルエンターテインメントオペレーションズ本部/事業戦略部/マーケティング戦略グループ</t>
  </si>
  <si>
    <t>AO082050300
AO082050306</t>
  </si>
  <si>
    <t>髙森楓</t>
  </si>
  <si>
    <t>髙森</t>
  </si>
  <si>
    <t>楓</t>
  </si>
  <si>
    <t>たかもり</t>
  </si>
  <si>
    <t>かえで</t>
  </si>
  <si>
    <t>kaede.takamori</t>
  </si>
  <si>
    <t>kaede.takamori@mixi.co.jp</t>
  </si>
  <si>
    <t>株式会社MIXI/木村管掌/デジタルエンターテインメントオペレーションズ本部/ファンマーケティング部/オウンドグループ</t>
  </si>
  <si>
    <t>AO082060600
AO082060601</t>
  </si>
  <si>
    <t>高森龍一</t>
  </si>
  <si>
    <t>高森</t>
  </si>
  <si>
    <t>龍一</t>
  </si>
  <si>
    <t>ryuichi.takamori</t>
  </si>
  <si>
    <t>ryuichi.takamori@mixi.co.jp</t>
  </si>
  <si>
    <t>髙柳博紀</t>
  </si>
  <si>
    <t>髙柳</t>
  </si>
  <si>
    <t>博紀</t>
  </si>
  <si>
    <t>たかやなぎ</t>
  </si>
  <si>
    <t>ひろのり</t>
  </si>
  <si>
    <t>hironori.takayanagi</t>
  </si>
  <si>
    <t>hironori.takayanagi@mixi.co.jp</t>
  </si>
  <si>
    <t>AR091030100
AR091010203</t>
  </si>
  <si>
    <t>高山尚峰</t>
  </si>
  <si>
    <t>高山</t>
  </si>
  <si>
    <t>尚峰</t>
  </si>
  <si>
    <t>たかやま</t>
  </si>
  <si>
    <t>しょうほう</t>
  </si>
  <si>
    <t>shoho.takayama.ts</t>
  </si>
  <si>
    <t>高山祐太</t>
  </si>
  <si>
    <t>祐太</t>
  </si>
  <si>
    <t>yuta.takayama</t>
  </si>
  <si>
    <t>yuta.takayama@mixi.co.jp</t>
  </si>
  <si>
    <t>株式会社MIXI/島村管掌/人事本部/グループ会社サポート部/人事労務グループ</t>
  </si>
  <si>
    <t>XP559010000
AX089030100
AX089030200
AX089080100</t>
  </si>
  <si>
    <t>滝澤峻矢</t>
  </si>
  <si>
    <t>滝澤</t>
  </si>
  <si>
    <t>峻矢</t>
  </si>
  <si>
    <t>たきざわ</t>
  </si>
  <si>
    <t>toshiya.takizawa.ts</t>
  </si>
  <si>
    <t>toshiya.takizawa.ts@mixi.co.jp</t>
  </si>
  <si>
    <t>滝澤学</t>
  </si>
  <si>
    <t>manabu.takizawa</t>
  </si>
  <si>
    <t>manabu.takizawa@mixi.co.jp</t>
  </si>
  <si>
    <t>AW085040200
AW085040102</t>
  </si>
  <si>
    <t>滝本奈々</t>
  </si>
  <si>
    <t>滝本</t>
  </si>
  <si>
    <t>たきもと</t>
  </si>
  <si>
    <t>nana.takimoto</t>
  </si>
  <si>
    <t>nana.takimoto@mixi.co.jp</t>
  </si>
  <si>
    <t>瀧本裕之</t>
  </si>
  <si>
    <t>瀧本</t>
  </si>
  <si>
    <t>hiroyuki.takimoto</t>
  </si>
  <si>
    <t>hiroyuki.takimoto@netdreamers.co.jp</t>
  </si>
  <si>
    <t>滝山智美</t>
  </si>
  <si>
    <t>滝山</t>
  </si>
  <si>
    <t>たきやま</t>
  </si>
  <si>
    <t>tomomi.takiyama</t>
  </si>
  <si>
    <t>tomomi.takiyama@mixi.co.jp</t>
  </si>
  <si>
    <t>田口大介</t>
  </si>
  <si>
    <t>田口</t>
  </si>
  <si>
    <t>大介</t>
  </si>
  <si>
    <t>たぐち</t>
  </si>
  <si>
    <t>daisuke.taguchi</t>
  </si>
  <si>
    <t>daisuke.taguchi@mixi.co.jp</t>
  </si>
  <si>
    <t>田口直樹</t>
  </si>
  <si>
    <t>naoki.taguchi</t>
  </si>
  <si>
    <t>naoki.taguchi@mixi.co.jp</t>
  </si>
  <si>
    <t>田熊麻子</t>
  </si>
  <si>
    <t>田熊</t>
  </si>
  <si>
    <t>麻子</t>
  </si>
  <si>
    <t>あさこ</t>
  </si>
  <si>
    <t>asako.takuma</t>
  </si>
  <si>
    <t>asako.takuma@mixi.co.jp</t>
  </si>
  <si>
    <t>株式会社MIXI/奥山管掌/コーポレートデベロップメント本部/投資事業部/国内投資グループ</t>
  </si>
  <si>
    <t>AW085020700</t>
  </si>
  <si>
    <t>武井大輔</t>
  </si>
  <si>
    <t>武井</t>
  </si>
  <si>
    <t>たけい</t>
  </si>
  <si>
    <t>daisuke.takei</t>
  </si>
  <si>
    <t>daisuke.takei@netdreamers.co.jp</t>
  </si>
  <si>
    <t>竹内潤</t>
  </si>
  <si>
    <t>竹内</t>
  </si>
  <si>
    <t>たけうち</t>
  </si>
  <si>
    <t>jun.takeuchi</t>
  </si>
  <si>
    <t>jun.takeuchi@mixi.co.jp</t>
  </si>
  <si>
    <t>株式会社MIXI/村瀨管掌/はたらく環境推進本部/ビジネスサポート室</t>
  </si>
  <si>
    <t>AR091040000
AR091040100</t>
  </si>
  <si>
    <t>竹内翔</t>
  </si>
  <si>
    <t>sho.takeuchi</t>
  </si>
  <si>
    <t>sho.takeuchi@mixi.co.jp</t>
  </si>
  <si>
    <t>竹内俊貴</t>
  </si>
  <si>
    <t>俊貴</t>
  </si>
  <si>
    <t>toshiki.takeuchi</t>
  </si>
  <si>
    <t>toshiki.takeuchi@mixi.co.jp</t>
  </si>
  <si>
    <t>武内友希</t>
  </si>
  <si>
    <t>武内</t>
  </si>
  <si>
    <t>yuki.takeuchi</t>
  </si>
  <si>
    <t>yuki.takeuchi@mixi.co.jp</t>
  </si>
  <si>
    <t>株式会社MIXI/木村管掌/デジタルエンターテインメントオペレーションズ本部/事業戦略部/メタストグループ</t>
  </si>
  <si>
    <t>AO082050800</t>
  </si>
  <si>
    <t>竹尾さくら</t>
  </si>
  <si>
    <t>竹尾</t>
  </si>
  <si>
    <t>sakura.takeo</t>
  </si>
  <si>
    <t>sakura.takeo@mixi.co.jp</t>
  </si>
  <si>
    <t>AU073020102
AU073010200
AU073010000
AU073010300
AU073010400
AU073000000
AU073020200
AU073020000</t>
  </si>
  <si>
    <t>スタッフ
スタッフ
スタッフ
スタッフ
スタッフ
スタッフ
スタッフ
スタッフ</t>
  </si>
  <si>
    <t>1
0
0
0
0
0
0
0</t>
  </si>
  <si>
    <t>竹越亜寿沙</t>
  </si>
  <si>
    <t>竹越</t>
  </si>
  <si>
    <t>亜寿沙</t>
  </si>
  <si>
    <t>たけごし</t>
  </si>
  <si>
    <t>azusa.takegoshi</t>
  </si>
  <si>
    <t>azusa.takegoshi@mixi.co.jp</t>
  </si>
  <si>
    <t>XI516000000
AW076050100</t>
  </si>
  <si>
    <t>武居範道</t>
  </si>
  <si>
    <t>武居</t>
  </si>
  <si>
    <t>範道</t>
  </si>
  <si>
    <t>たけすえ</t>
  </si>
  <si>
    <t>のりみち</t>
  </si>
  <si>
    <t>norimichi.takesue.ts</t>
  </si>
  <si>
    <t>norimichi.takesue.ts@netdreamers.co.jp</t>
  </si>
  <si>
    <t>XM550050100</t>
  </si>
  <si>
    <t>武田洋輝</t>
  </si>
  <si>
    <t>武田</t>
  </si>
  <si>
    <t>洋輝</t>
  </si>
  <si>
    <t>たけだ</t>
  </si>
  <si>
    <t>hiroki.takeda</t>
  </si>
  <si>
    <t>hiroki.takeda@netdreamers.co.jp</t>
  </si>
  <si>
    <t>XM550000000
XM551010100
XM551000000</t>
  </si>
  <si>
    <t>武田夢菜</t>
  </si>
  <si>
    <t>夢菜</t>
  </si>
  <si>
    <t>ゆめな</t>
  </si>
  <si>
    <t>yumena.takeda.ts</t>
  </si>
  <si>
    <t>yumena.takeda.ts@mixi.co.jp</t>
  </si>
  <si>
    <t>武津侑希子</t>
  </si>
  <si>
    <t>武津</t>
  </si>
  <si>
    <t>侑希子</t>
  </si>
  <si>
    <t>たけつ</t>
  </si>
  <si>
    <t>yukiko.taketsu</t>
  </si>
  <si>
    <t>yukiko.taketsu@mixi.co.jp</t>
  </si>
  <si>
    <t>AX089070100</t>
  </si>
  <si>
    <t>嵩西佑奈</t>
  </si>
  <si>
    <t>嵩西</t>
  </si>
  <si>
    <t>佑奈</t>
  </si>
  <si>
    <t>たけにし</t>
  </si>
  <si>
    <t>ゆうな</t>
  </si>
  <si>
    <t>yuna.takenishi</t>
  </si>
  <si>
    <t>yuna.takenishi@mixi.co.jp</t>
  </si>
  <si>
    <t>AX089070400
AX089070200
AX089070100
AX089070300
AX089060200</t>
  </si>
  <si>
    <t>竹之内亮</t>
  </si>
  <si>
    <t>竹之内</t>
  </si>
  <si>
    <t>亮</t>
  </si>
  <si>
    <t>たけのうち</t>
  </si>
  <si>
    <t>ryo.takenouchi</t>
  </si>
  <si>
    <t>ryo.takenouchi@mixi.co.jp</t>
  </si>
  <si>
    <t>竹本芽衣</t>
  </si>
  <si>
    <t>竹本</t>
  </si>
  <si>
    <t>芽衣</t>
  </si>
  <si>
    <t>たけもと</t>
  </si>
  <si>
    <t>esora</t>
  </si>
  <si>
    <t>esora@mixi.co.jp</t>
  </si>
  <si>
    <t>田崎恵梨奈</t>
  </si>
  <si>
    <t>田崎</t>
  </si>
  <si>
    <t>恵梨奈</t>
  </si>
  <si>
    <t>たさき</t>
  </si>
  <si>
    <t>えりな</t>
  </si>
  <si>
    <t>erina.tasaki.ts</t>
  </si>
  <si>
    <t>erina.tasaki.ts@mixi.co.jp</t>
  </si>
  <si>
    <t>田崎美菜子</t>
  </si>
  <si>
    <t>美菜子</t>
  </si>
  <si>
    <t>みなこ</t>
  </si>
  <si>
    <t>minako.tasaki.ts</t>
  </si>
  <si>
    <t>minako.tasaki.ts@mixi.co.jp</t>
  </si>
  <si>
    <t>田﨑陽士</t>
  </si>
  <si>
    <t>田﨑</t>
  </si>
  <si>
    <t>陽士</t>
  </si>
  <si>
    <t>yoji.tasaki.ts</t>
  </si>
  <si>
    <t>yoji.tasaki.ts@mixi.co.jp</t>
  </si>
  <si>
    <t>田島達也</t>
  </si>
  <si>
    <t>田島</t>
  </si>
  <si>
    <t>たじま</t>
  </si>
  <si>
    <t>tatsuya.tajima</t>
  </si>
  <si>
    <t>tatsuya.tajima@mixi.co.jp</t>
  </si>
  <si>
    <t>株式会社MIXI/木村管掌/デジタルエンターテインメントオペレーションズ本部/コトダマン運営部/プロダクト開発Bグループ/ゲームデザインチーム</t>
  </si>
  <si>
    <t>AO082080602
AO082080501</t>
  </si>
  <si>
    <t>田代創大</t>
  </si>
  <si>
    <t>田代</t>
  </si>
  <si>
    <t>創大</t>
  </si>
  <si>
    <t>たしろ</t>
  </si>
  <si>
    <t>sota.tashiro</t>
  </si>
  <si>
    <t>sota.tashiro@mixi.co.jp</t>
  </si>
  <si>
    <t>田代祐輔</t>
  </si>
  <si>
    <t>yusuke.tashiro</t>
  </si>
  <si>
    <t>yusuke.tashiro@mixi.co.jp</t>
  </si>
  <si>
    <t>株式会社MIXI/木村管掌/ライブエクスペリエンス事業本部/企画推進部/スポーツマーケティングDXグループ/エンジニアリングチーム</t>
  </si>
  <si>
    <t>AO090050401</t>
  </si>
  <si>
    <t>多田藍</t>
  </si>
  <si>
    <t>多田</t>
  </si>
  <si>
    <t>藍</t>
  </si>
  <si>
    <t>ただ</t>
  </si>
  <si>
    <t>ai.tada</t>
  </si>
  <si>
    <t>ai.tada@mixi.co.jp</t>
  </si>
  <si>
    <t>AW085020900
AW085000000
AW085020200
AW085020400
AW085020600
AW085020700
AW085020901
AW085020902
AW085020000
AW085020500</t>
  </si>
  <si>
    <t>スタッフ
スタッフ
スタッフ
スタッフ
スタッフ
スタッフ
スタッフ
スタッフ
スタッフ
スタッフ</t>
  </si>
  <si>
    <t>1
0
0
0
0
0
0
0
0
0</t>
  </si>
  <si>
    <t>橘智美</t>
  </si>
  <si>
    <t>橘</t>
  </si>
  <si>
    <t>たちばな</t>
  </si>
  <si>
    <t>さとみ</t>
  </si>
  <si>
    <t>satomi.tachibana</t>
  </si>
  <si>
    <t>satomi.tachibana@mixi.co.jp</t>
  </si>
  <si>
    <t>XP559010000
AO090010200
XP539010000
XP558010000</t>
  </si>
  <si>
    <t>立花里奈</t>
  </si>
  <si>
    <t>立花</t>
  </si>
  <si>
    <t>里奈</t>
  </si>
  <si>
    <t>rina.tachibana</t>
  </si>
  <si>
    <t>rina.tachibana@mixi.co.jp</t>
  </si>
  <si>
    <t>ZZ005010600
ZZ005010000</t>
  </si>
  <si>
    <t>立石矩子</t>
  </si>
  <si>
    <t>立石</t>
  </si>
  <si>
    <t>矩子</t>
  </si>
  <si>
    <t>たついし</t>
  </si>
  <si>
    <t>noriko.tatsuishi</t>
  </si>
  <si>
    <t>noriko.tatsuishi@mixi.co.jp</t>
  </si>
  <si>
    <t>巽小夜子</t>
  </si>
  <si>
    <t>巽</t>
  </si>
  <si>
    <t>小夜子</t>
  </si>
  <si>
    <t>たつみ</t>
  </si>
  <si>
    <t>さよこ</t>
  </si>
  <si>
    <t>sayoko.tatsumi</t>
  </si>
  <si>
    <t>sayoko.tatsumi@mixi.co.jp</t>
  </si>
  <si>
    <t>AW076000000
AW076050000
AW076090000
AW076090100</t>
  </si>
  <si>
    <t>舘香織</t>
  </si>
  <si>
    <t>舘</t>
  </si>
  <si>
    <t>たて</t>
  </si>
  <si>
    <t>kaori.tate</t>
  </si>
  <si>
    <t>kaori.tate@mixi.co.jp</t>
  </si>
  <si>
    <t>株式会社MIXI/管掌役員なし/監査役室(本部格)/監査役室</t>
  </si>
  <si>
    <t>ZZ037010000
ZZ005010000</t>
  </si>
  <si>
    <t>田所</t>
  </si>
  <si>
    <t>将</t>
  </si>
  <si>
    <t>たどころ</t>
  </si>
  <si>
    <t>sho.tadokoro</t>
  </si>
  <si>
    <t>sho.tadokoro@mixi.co.jp</t>
  </si>
  <si>
    <t>株式会社MIXI/木村管掌/デジタルエンターテインメントオペレーションズ本部/モンスト運営部/コラボ推進グループ</t>
  </si>
  <si>
    <t>AO082010500
AO082010501</t>
  </si>
  <si>
    <t>田所実花子</t>
  </si>
  <si>
    <t>実花子</t>
  </si>
  <si>
    <t>みかこ</t>
  </si>
  <si>
    <t>mikako.tadokoro</t>
  </si>
  <si>
    <t>mikako.tadokoro@mixi.co.jp</t>
  </si>
  <si>
    <t>AO082020500
AO082020300
AO082020400
AO082020100
AO082020200
AO082020701
AO082020000</t>
  </si>
  <si>
    <t>田中文音</t>
  </si>
  <si>
    <t>田中</t>
  </si>
  <si>
    <t>文音</t>
  </si>
  <si>
    <t>たなか</t>
  </si>
  <si>
    <t>あやね</t>
  </si>
  <si>
    <t>ayane.tanaka.ts</t>
  </si>
  <si>
    <t>ayane.tanaka.ts@mixi.co.jp</t>
  </si>
  <si>
    <t>田中海輝</t>
  </si>
  <si>
    <t>海輝</t>
  </si>
  <si>
    <t>かいき</t>
  </si>
  <si>
    <t>kaiki.tanaka.ts</t>
  </si>
  <si>
    <t>kaiki.tanaka.ts@mixi.co.jp</t>
  </si>
  <si>
    <t>田中完二</t>
  </si>
  <si>
    <t>完二</t>
  </si>
  <si>
    <t>kanji.tanaka</t>
  </si>
  <si>
    <t>kanji.tanaka@mixi.co.jp</t>
  </si>
  <si>
    <t>AR059050900</t>
  </si>
  <si>
    <t>田中恭友</t>
  </si>
  <si>
    <t>恭友</t>
  </si>
  <si>
    <t>kyosuke.tanaka</t>
  </si>
  <si>
    <t>kyosuke.tanaka@mixi.co.jp</t>
  </si>
  <si>
    <t>株式会社MIXI/木村管掌/デジタルエンターテインメントオペレーションズ本部/コトダマン運営部/プロダクトエンジニアグループ</t>
  </si>
  <si>
    <t>AO082080700
AO082080201</t>
  </si>
  <si>
    <t>田中翔一朗</t>
  </si>
  <si>
    <t>翔一朗</t>
  </si>
  <si>
    <t>しょういちろう</t>
  </si>
  <si>
    <t>shoichiro.tanaka.ts</t>
  </si>
  <si>
    <t>田中慎一</t>
  </si>
  <si>
    <t>慎一</t>
  </si>
  <si>
    <t>shinichi.tanaka</t>
  </si>
  <si>
    <t>shinichi.tanaka@mixi.co.jp</t>
  </si>
  <si>
    <t>田中哲義</t>
  </si>
  <si>
    <t>哲義</t>
  </si>
  <si>
    <t>てつよし</t>
  </si>
  <si>
    <t>tetsuyoshi.tanaka.ts</t>
  </si>
  <si>
    <t>tetsuyoshi.tanaka.ts@mixi.co.jp</t>
  </si>
  <si>
    <t>田中真生</t>
  </si>
  <si>
    <t>真生</t>
  </si>
  <si>
    <t>まお</t>
  </si>
  <si>
    <t>mao.tanaka</t>
  </si>
  <si>
    <t>mao.tanaka@mixi.co.jp</t>
  </si>
  <si>
    <t>XI516000000
AW076070103
XX561000000</t>
  </si>
  <si>
    <t>田中鞠子</t>
  </si>
  <si>
    <t>鞠子</t>
  </si>
  <si>
    <t>まりこ</t>
  </si>
  <si>
    <t>mariko.tanaka.ts</t>
  </si>
  <si>
    <t>mariko.tanaka.ts@mixi.co.jp</t>
  </si>
  <si>
    <t>株式会社MIXI/村瀨管掌/デザイン本部/動画クリエイティブ室/CGデザイングループ/CG第1チーム</t>
  </si>
  <si>
    <t>AR059060303</t>
  </si>
  <si>
    <t>田中佑治</t>
  </si>
  <si>
    <t>佑治</t>
  </si>
  <si>
    <t>yuji.tanaka</t>
  </si>
  <si>
    <t>yuji.tanaka@mixi.co.jp</t>
  </si>
  <si>
    <t>田中悠介</t>
  </si>
  <si>
    <t>悠介</t>
  </si>
  <si>
    <t>yusuke.tanaka</t>
  </si>
  <si>
    <t>yusuke.tanaka@mixi.co.jp</t>
  </si>
  <si>
    <t>株式会社MIXI/木村管掌/ライブエクスペリエンス事業本部/企画推進部/スポーツマーケティングDXグループ/プロダクト開発チーム</t>
  </si>
  <si>
    <t>AO090050402</t>
  </si>
  <si>
    <t>田中佑奈</t>
  </si>
  <si>
    <t>yuna.tanaka</t>
  </si>
  <si>
    <t>yuna.tanaka@mixi.co.jp</t>
  </si>
  <si>
    <t>田中豊</t>
  </si>
  <si>
    <t>yutaka.tanaka</t>
  </si>
  <si>
    <t>yutaka.tanaka@mixi.co.jp</t>
  </si>
  <si>
    <t>田那辺輝</t>
  </si>
  <si>
    <t>田那辺</t>
  </si>
  <si>
    <t>輝</t>
  </si>
  <si>
    <t>たなべ</t>
  </si>
  <si>
    <t>あきら</t>
  </si>
  <si>
    <t>akira.tanabe</t>
  </si>
  <si>
    <t>akira.tanabe@mixi.co.jp</t>
  </si>
  <si>
    <t>田邊有紗</t>
  </si>
  <si>
    <t>田邊</t>
  </si>
  <si>
    <t>有紗</t>
  </si>
  <si>
    <t>ありさ</t>
  </si>
  <si>
    <t>arisa.tanabe</t>
  </si>
  <si>
    <t>arisa.tanabe@m-sfidante.com</t>
  </si>
  <si>
    <t>田邉隆介</t>
  </si>
  <si>
    <t>田邉</t>
  </si>
  <si>
    <t>隆介</t>
  </si>
  <si>
    <t>ryusuke.tanabe</t>
  </si>
  <si>
    <t>ryusuke.tanabe@mixi.co.jp</t>
  </si>
  <si>
    <t>AW076050100
AX089070000</t>
  </si>
  <si>
    <t>谷朝陽</t>
  </si>
  <si>
    <t>谷</t>
  </si>
  <si>
    <t>朝陽</t>
  </si>
  <si>
    <t>たに</t>
  </si>
  <si>
    <t>あさひ</t>
  </si>
  <si>
    <t>asahi.tani</t>
  </si>
  <si>
    <t>asahi.tani@netdreamers.co.jp</t>
  </si>
  <si>
    <t>株式会社ネットドリーマーズ/株式会社ネットドリーマーズ/netkeiba事業本部/予想サービス事業部/ウマい馬券グループ</t>
  </si>
  <si>
    <t>XM550000000
XM550020100</t>
  </si>
  <si>
    <t>賢史</t>
  </si>
  <si>
    <t>satoshi.tani</t>
  </si>
  <si>
    <t>satoshi.tani@mixi.co.jp</t>
  </si>
  <si>
    <t>株式会社MIXI/村瀨管掌/デザイン本部/テクニカルデザイン室</t>
  </si>
  <si>
    <t>AR059080000
AR059080100</t>
  </si>
  <si>
    <t>谷口岳</t>
  </si>
  <si>
    <t>谷口</t>
  </si>
  <si>
    <t>たにぐち</t>
  </si>
  <si>
    <t>gaku.taniguchi</t>
  </si>
  <si>
    <t>gaku.taniguchi@mixi.co.jp</t>
  </si>
  <si>
    <t>谷口晋也</t>
  </si>
  <si>
    <t>晋也</t>
  </si>
  <si>
    <t>shinya.taniguchi</t>
  </si>
  <si>
    <t>shinya.taniguchi@mixi.co.jp</t>
  </si>
  <si>
    <t>谷口太伸</t>
  </si>
  <si>
    <t>太伸</t>
  </si>
  <si>
    <t>たいしん</t>
  </si>
  <si>
    <t>taishin.taniguchi</t>
  </si>
  <si>
    <t>taishin.taniguchi@mixi.co.jp</t>
  </si>
  <si>
    <t>株式会社MIXI/木村管掌/デジタルエンターテインメントオペレーションズ本部/事業戦略部/マーケティング戦略グループ/戦略1チーム</t>
  </si>
  <si>
    <t>AO082050306</t>
  </si>
  <si>
    <t>谷口希美</t>
  </si>
  <si>
    <t>希美</t>
  </si>
  <si>
    <t>nozomi.taniguchi</t>
  </si>
  <si>
    <t>nozomi.taniguchi@mixi.co.jp</t>
  </si>
  <si>
    <t>株式会社MIXI/村瀨管掌/デザイン本部/ブランドデザイン室</t>
  </si>
  <si>
    <t>AR059070000</t>
  </si>
  <si>
    <t>谷口裕樹</t>
  </si>
  <si>
    <t>裕樹</t>
  </si>
  <si>
    <t>hiroki.taniguchi.ts</t>
  </si>
  <si>
    <t>hiroki.taniguchi.ts@mixi.co.jp</t>
  </si>
  <si>
    <t>谷口喜郎</t>
  </si>
  <si>
    <t>喜郎</t>
  </si>
  <si>
    <t>yoshiro.taniguchi</t>
  </si>
  <si>
    <t>yoshiro.taniguchi@mixi.co.jp</t>
  </si>
  <si>
    <t>ZZ005010600
XM519000000
XM519040000</t>
  </si>
  <si>
    <t>谷﨑春歌</t>
  </si>
  <si>
    <t>谷﨑</t>
  </si>
  <si>
    <t>春歌</t>
  </si>
  <si>
    <t>たにざき</t>
  </si>
  <si>
    <t>haruka.tanizaki</t>
  </si>
  <si>
    <t>haruka.tanizaki@mixi.co.jp</t>
  </si>
  <si>
    <t>谷中保予</t>
  </si>
  <si>
    <t>谷中</t>
  </si>
  <si>
    <t>保予</t>
  </si>
  <si>
    <t>たになか</t>
  </si>
  <si>
    <t>やすよ</t>
  </si>
  <si>
    <t>yasuyo.taninaka.ts</t>
  </si>
  <si>
    <t>yasuyo.taninaka.ts@mixi.co.jp</t>
  </si>
  <si>
    <t>谷村信一</t>
  </si>
  <si>
    <t>谷村</t>
  </si>
  <si>
    <t>たにむら</t>
  </si>
  <si>
    <t>shinichi.tanimura</t>
  </si>
  <si>
    <t>shinichi.tanimura@mixi.co.jp</t>
  </si>
  <si>
    <t>谷本直人</t>
  </si>
  <si>
    <t>谷本</t>
  </si>
  <si>
    <t>直人</t>
  </si>
  <si>
    <t>たにもと</t>
  </si>
  <si>
    <t>なおと</t>
  </si>
  <si>
    <t>naoto.tanimoto</t>
  </si>
  <si>
    <t>naoto.tanimoto@mixi.co.jp</t>
  </si>
  <si>
    <t>田野穂奈美</t>
  </si>
  <si>
    <t>田野</t>
  </si>
  <si>
    <t>穂奈美</t>
  </si>
  <si>
    <t>たの</t>
  </si>
  <si>
    <t>ほなみ</t>
  </si>
  <si>
    <t>honami.tano</t>
  </si>
  <si>
    <t>honami.tano@mixi.co.jp</t>
  </si>
  <si>
    <t>多羽田俊</t>
  </si>
  <si>
    <t>多羽田</t>
  </si>
  <si>
    <t>俊</t>
  </si>
  <si>
    <t>たばた</t>
  </si>
  <si>
    <t>しゅん</t>
  </si>
  <si>
    <t>shun.tabata</t>
  </si>
  <si>
    <t>shun.tabata@mixi.co.jp</t>
  </si>
  <si>
    <t>田渕哲也</t>
  </si>
  <si>
    <t>田渕</t>
  </si>
  <si>
    <t>哲也</t>
  </si>
  <si>
    <t>たぶち</t>
  </si>
  <si>
    <t>tetsuya.tabuchi</t>
  </si>
  <si>
    <t>tetsuya.tabuchi@mixi.co.jp</t>
  </si>
  <si>
    <t>株式会社MIXI/木村管掌/デジタルエンターテインメントオペレーションズ本部/モンスト運営部/UI・UXデザイングループ</t>
  </si>
  <si>
    <t>AO082010600</t>
  </si>
  <si>
    <t>田巻敏直</t>
  </si>
  <si>
    <t>田巻</t>
  </si>
  <si>
    <t>敏直</t>
  </si>
  <si>
    <t>たまき</t>
  </si>
  <si>
    <t>としなお</t>
  </si>
  <si>
    <t>toshinao.tamaki</t>
  </si>
  <si>
    <t>toshinao.tamaki@mixi.co.jp</t>
  </si>
  <si>
    <t>田村聡和</t>
  </si>
  <si>
    <t>田村</t>
  </si>
  <si>
    <t>聡和</t>
  </si>
  <si>
    <t>たむら</t>
  </si>
  <si>
    <t>としかず</t>
  </si>
  <si>
    <t>toshikazu.tamura.ts</t>
  </si>
  <si>
    <t>toshikazu.tamura.ts@mixi.co.jp</t>
  </si>
  <si>
    <t>田村秀昭</t>
  </si>
  <si>
    <t>秀昭</t>
  </si>
  <si>
    <t>hideaki.tamura</t>
  </si>
  <si>
    <t>hideaki.tamura@mixi.co.jp</t>
  </si>
  <si>
    <t>田村洋統</t>
  </si>
  <si>
    <t>洋統</t>
  </si>
  <si>
    <t>ひろと</t>
  </si>
  <si>
    <t>hiroto.tamura.ts</t>
  </si>
  <si>
    <t>hiroto.tamura.ts@mixi.co.jp</t>
  </si>
  <si>
    <t>征也</t>
  </si>
  <si>
    <t>masaya.tamura</t>
  </si>
  <si>
    <t>masaya.tamura@mixi.co.jp</t>
  </si>
  <si>
    <t>AO090000000</t>
  </si>
  <si>
    <t>田村洋輔</t>
  </si>
  <si>
    <t>yosuke.tamura</t>
  </si>
  <si>
    <t>yosuke.tamura@mixi.co.jp</t>
  </si>
  <si>
    <t>田村佳大</t>
  </si>
  <si>
    <t>佳大</t>
  </si>
  <si>
    <t>yoshihiro.tamura</t>
  </si>
  <si>
    <t>yoshihiro.tamura@mixi.co.jp</t>
  </si>
  <si>
    <t>田村賴辞</t>
  </si>
  <si>
    <t>賴辞</t>
  </si>
  <si>
    <t>よりふみ</t>
  </si>
  <si>
    <t>yorifumi.tamura</t>
  </si>
  <si>
    <t>yorifumi.tamura@mixi.co.jp</t>
  </si>
  <si>
    <t>株式会社MIXI/木村管掌/デジタルエンターテインメントオペレーションズ本部/モンスト開発部/クライアント2グループ/クライアント2チーム</t>
  </si>
  <si>
    <t>AO082020402</t>
  </si>
  <si>
    <t>樽田真奈</t>
  </si>
  <si>
    <t>樽田</t>
  </si>
  <si>
    <t>真奈</t>
  </si>
  <si>
    <t>たるた</t>
  </si>
  <si>
    <t>まな</t>
  </si>
  <si>
    <t>mana.taruta</t>
  </si>
  <si>
    <t>mana.taruta@mixi.co.jp</t>
  </si>
  <si>
    <t>譚</t>
  </si>
  <si>
    <t>たん</t>
  </si>
  <si>
    <t>しょうぶん</t>
  </si>
  <si>
    <t>zhengwen.tan</t>
  </si>
  <si>
    <t>zhengwen.tan@mixi.co.jp</t>
  </si>
  <si>
    <t>株式会社MIXI/村瀨管掌/デザイン本部/テクニカルデザイン室/デジタルエンターテインメント支援グループ/2DUI第1チーム</t>
  </si>
  <si>
    <t>AR059080401
AO083020600</t>
  </si>
  <si>
    <t>崔サムヨン</t>
  </si>
  <si>
    <t>崔</t>
  </si>
  <si>
    <t>サムヨン</t>
  </si>
  <si>
    <t>チェ</t>
  </si>
  <si>
    <t>samyong.choi</t>
  </si>
  <si>
    <t>samyong.choi@mixi.co.jp</t>
  </si>
  <si>
    <t>AR077010100</t>
  </si>
  <si>
    <t>近松恵里</t>
  </si>
  <si>
    <t>近松</t>
  </si>
  <si>
    <t>恵里</t>
  </si>
  <si>
    <t>ちかまつ</t>
  </si>
  <si>
    <t>eri.chikamatsu</t>
  </si>
  <si>
    <t>eri.chikamatsu@mixi.co.jp</t>
  </si>
  <si>
    <t>AO082080801
AO082080201</t>
  </si>
  <si>
    <t>千田健輔</t>
  </si>
  <si>
    <t>千田</t>
  </si>
  <si>
    <t>健輔</t>
  </si>
  <si>
    <t>ちだ</t>
  </si>
  <si>
    <t>けんすけ</t>
  </si>
  <si>
    <t>kensuke.chida</t>
  </si>
  <si>
    <t>kensuke.chida@mixi.co.jp</t>
  </si>
  <si>
    <t>千田龍司</t>
  </si>
  <si>
    <t>龍司</t>
  </si>
  <si>
    <t>りゅうじ</t>
  </si>
  <si>
    <t>ryuji.chida</t>
  </si>
  <si>
    <t>ryuji.chida@mixi.co.jp</t>
  </si>
  <si>
    <t>千野友美</t>
  </si>
  <si>
    <t>千野</t>
  </si>
  <si>
    <t>友美</t>
  </si>
  <si>
    <t>ちの</t>
  </si>
  <si>
    <t>tomomi.chino</t>
  </si>
  <si>
    <t>tomomi.chino@mixi.co.jp</t>
  </si>
  <si>
    <t>千野友香里</t>
  </si>
  <si>
    <t>友香里</t>
  </si>
  <si>
    <t>ゆかり</t>
  </si>
  <si>
    <t>yukari.chino</t>
  </si>
  <si>
    <t>yukari.chino@mixi.co.jp</t>
  </si>
  <si>
    <t>AR060010000
AR060051000
AR060040000
AR060000000
AR060060000</t>
  </si>
  <si>
    <t>千葉凱人</t>
  </si>
  <si>
    <t>千葉</t>
  </si>
  <si>
    <t>凱人</t>
  </si>
  <si>
    <t>ちば</t>
  </si>
  <si>
    <t>かいと</t>
  </si>
  <si>
    <t>kaito.chiba</t>
  </si>
  <si>
    <t>kaito.chiba@mixi.co.jp</t>
  </si>
  <si>
    <t>千葉香</t>
  </si>
  <si>
    <t>香</t>
  </si>
  <si>
    <t>kaori.chiba</t>
  </si>
  <si>
    <t>kaori.chiba@mixi.co.jp</t>
  </si>
  <si>
    <t>株式会社MIXI/島村管掌/人事本部/エンパワーメント推進室/業務推進グループ</t>
  </si>
  <si>
    <t>XG514030100
AX089020201
AX089020200</t>
  </si>
  <si>
    <t>マネージャー
リーダー
マネージャー</t>
  </si>
  <si>
    <t>千葉一人</t>
  </si>
  <si>
    <t>一人</t>
  </si>
  <si>
    <t>かずと</t>
  </si>
  <si>
    <t>kazuto.chiba.ts</t>
  </si>
  <si>
    <t>kazuto.chiba.ts@mixi.co.jp</t>
  </si>
  <si>
    <t>千葉拓海a</t>
  </si>
  <si>
    <t>拓海a</t>
  </si>
  <si>
    <t>takumi.chiba.a</t>
  </si>
  <si>
    <t>takumi.chiba.a@mixi.co.jp</t>
  </si>
  <si>
    <t>千葉忠樹</t>
  </si>
  <si>
    <t>忠樹</t>
  </si>
  <si>
    <t>ただしげ</t>
  </si>
  <si>
    <t>tadashige.chiba.ts</t>
  </si>
  <si>
    <t>tadashige.chiba.ts@mixi.co.jp</t>
  </si>
  <si>
    <t>千葉朋子</t>
  </si>
  <si>
    <t>朋子</t>
  </si>
  <si>
    <t>tomoko.chiba</t>
  </si>
  <si>
    <t>tomoko.chiba@mixi.co.jp</t>
  </si>
  <si>
    <t>株式会社MIXI
株式会社チャリ・ロト
株式会社ラブグラフ</t>
  </si>
  <si>
    <t>株式会社MIXI/奥山管掌/コーポレートデベロップメント本部/投資事業部/コーポレート支援グループ</t>
  </si>
  <si>
    <t>XI516000000
XR542000000
AW085020200
AW085020100
AW085020201</t>
  </si>
  <si>
    <t>スタッフ
スタッフ
マネージャー
マネージャー
リーダー</t>
  </si>
  <si>
    <t>千葉龍一</t>
  </si>
  <si>
    <t>ryuichi.chiba</t>
  </si>
  <si>
    <t>ryuichi.chiba@mixi.co.jp</t>
  </si>
  <si>
    <t>株式会社MIXI/木村管掌/デジタルエンターテインメントオペレーションズ本部/モンスト運営部/ゲームデザイングループ/キャラチーム</t>
  </si>
  <si>
    <t>AO082010802</t>
  </si>
  <si>
    <t>千原成人</t>
  </si>
  <si>
    <t>千原</t>
  </si>
  <si>
    <t>成人</t>
  </si>
  <si>
    <t>ちはら</t>
  </si>
  <si>
    <t>なるひと</t>
  </si>
  <si>
    <t>naruhito.chihara.ts</t>
  </si>
  <si>
    <t>naruhito.chihara.ts@mixi.co.jp</t>
  </si>
  <si>
    <t>チュークリスa</t>
  </si>
  <si>
    <t>チュー</t>
  </si>
  <si>
    <t>クリスa</t>
  </si>
  <si>
    <t>ちゅー</t>
  </si>
  <si>
    <t>くりす</t>
  </si>
  <si>
    <t>chris.chu.a.ts</t>
  </si>
  <si>
    <t>chris.chu.a.ts@mixi.co.jp</t>
  </si>
  <si>
    <t>中鉢真優</t>
  </si>
  <si>
    <t>中鉢</t>
  </si>
  <si>
    <t>真優</t>
  </si>
  <si>
    <t>ちゅうばち</t>
  </si>
  <si>
    <t>まゆ</t>
  </si>
  <si>
    <t>mayu.chubachi</t>
  </si>
  <si>
    <t>mayu.chubachi@m-lovegraph.com</t>
  </si>
  <si>
    <t>チュンヘンモック</t>
  </si>
  <si>
    <t>チュン</t>
  </si>
  <si>
    <t>ヘンモック</t>
  </si>
  <si>
    <t>ちゅん</t>
  </si>
  <si>
    <t>へんもっく</t>
  </si>
  <si>
    <t>hyenmook.chung</t>
  </si>
  <si>
    <t>hyenmook.chung@mixi.co.jp</t>
  </si>
  <si>
    <t>張向洪</t>
  </si>
  <si>
    <t>張</t>
  </si>
  <si>
    <t>向洪</t>
  </si>
  <si>
    <t>ちょう</t>
  </si>
  <si>
    <t>こうこう</t>
  </si>
  <si>
    <t>koukou.chou.ts</t>
  </si>
  <si>
    <t>koukou.chou.ts@mixi.co.jp</t>
  </si>
  <si>
    <t>株式会社MIXI/小林管掌/コンプライアンス本部</t>
  </si>
  <si>
    <t>AU074000000</t>
  </si>
  <si>
    <t>張磊</t>
  </si>
  <si>
    <t>磊</t>
  </si>
  <si>
    <t>らい</t>
  </si>
  <si>
    <t>lei.zhang</t>
  </si>
  <si>
    <t>lei.zhang@mixi.co.jp</t>
  </si>
  <si>
    <t>株式会社MIXI/笠原管掌/Vantageスタジオ/Romi事業部/開発グループ/AIチーム</t>
  </si>
  <si>
    <t>AQ061050103</t>
  </si>
  <si>
    <t>チョンエンディa</t>
  </si>
  <si>
    <t>チョン</t>
  </si>
  <si>
    <t>エンディa</t>
  </si>
  <si>
    <t>ちょん</t>
  </si>
  <si>
    <t>えんでぃ</t>
  </si>
  <si>
    <t>endi.chong.a</t>
  </si>
  <si>
    <t>endi.chong.a@mixi.co.jp</t>
  </si>
  <si>
    <t>AO083010700
AR059080401</t>
  </si>
  <si>
    <t>塚本晃広</t>
  </si>
  <si>
    <t>塚本</t>
  </si>
  <si>
    <t>晃広</t>
  </si>
  <si>
    <t>つかもと</t>
  </si>
  <si>
    <t>あきひろ</t>
  </si>
  <si>
    <t>akihiro.tsukamoto</t>
  </si>
  <si>
    <t>akihiro.tsukamoto@mixi.co.jp</t>
  </si>
  <si>
    <t>築地哲平</t>
  </si>
  <si>
    <t>築地</t>
  </si>
  <si>
    <t>つきじ</t>
  </si>
  <si>
    <t>teppei.tsukiji.ts</t>
  </si>
  <si>
    <t>teppei.tsukiji.ts@mixi.co.jp</t>
  </si>
  <si>
    <t>附田遥</t>
  </si>
  <si>
    <t>附田</t>
  </si>
  <si>
    <t>つくだ</t>
  </si>
  <si>
    <t>haruka.tsukuda</t>
  </si>
  <si>
    <t>haruka.tsukuda@mixi.co.jp</t>
  </si>
  <si>
    <t>辻奥高志</t>
  </si>
  <si>
    <t>辻奥</t>
  </si>
  <si>
    <t>高志</t>
  </si>
  <si>
    <t>つじおく</t>
  </si>
  <si>
    <t>takashi.tsujioku</t>
  </si>
  <si>
    <t>takashi.tsujioku@mixi.co.jp</t>
  </si>
  <si>
    <t>辻野優</t>
  </si>
  <si>
    <t>辻野</t>
  </si>
  <si>
    <t>つじの</t>
  </si>
  <si>
    <t>yu.tsujino</t>
  </si>
  <si>
    <t>yu.tsujino@mixi.co.jp</t>
  </si>
  <si>
    <t>株式会社MIXI/木村管掌/デジタルエンターテインメントオペレーションズ本部/モンスト運営部/ゲーム企画グループ</t>
  </si>
  <si>
    <t>AO082011000</t>
  </si>
  <si>
    <t>津田恭平</t>
  </si>
  <si>
    <t>津田</t>
  </si>
  <si>
    <t>つだ</t>
  </si>
  <si>
    <t>kyohei.tsuda</t>
  </si>
  <si>
    <t>kyohei.tsuda@mixi.co.jp</t>
  </si>
  <si>
    <t>AW076021400</t>
  </si>
  <si>
    <t>津田直幸</t>
  </si>
  <si>
    <t>直幸</t>
  </si>
  <si>
    <t>なおゆき</t>
  </si>
  <si>
    <t>naoyuki.tsuda</t>
  </si>
  <si>
    <t>naoyuki.tsuda@mixi.co.jp</t>
  </si>
  <si>
    <t>土川ひかり</t>
  </si>
  <si>
    <t>土川</t>
  </si>
  <si>
    <t>つちかわ</t>
  </si>
  <si>
    <t>hikari.tsuchikawa</t>
  </si>
  <si>
    <t>hikari.tsuchikawa@mixi.co.jp</t>
  </si>
  <si>
    <t>AO082080801</t>
  </si>
  <si>
    <t>土田留希</t>
  </si>
  <si>
    <t>土田</t>
  </si>
  <si>
    <t>留希</t>
  </si>
  <si>
    <t>つちだ</t>
  </si>
  <si>
    <t>るき</t>
  </si>
  <si>
    <t>ruki.tsuchida</t>
  </si>
  <si>
    <t>ruki.tsuchida@mixi.co.jp</t>
  </si>
  <si>
    <t>土橋和博</t>
  </si>
  <si>
    <t>土橋</t>
  </si>
  <si>
    <t>つちはし</t>
  </si>
  <si>
    <t>kazuhiro.tsuchihashi.ts</t>
  </si>
  <si>
    <t>kazuhiro.tsuchihashi.ts@mixi.co.jp</t>
  </si>
  <si>
    <t>土屋宙之</t>
  </si>
  <si>
    <t>土屋</t>
  </si>
  <si>
    <t>宙之</t>
  </si>
  <si>
    <t>つちや</t>
  </si>
  <si>
    <t>hiroyuki.tsuchiya</t>
  </si>
  <si>
    <t>hiroyuki.tsuchiya@mixi.co.jp</t>
  </si>
  <si>
    <t>土屋雅嗣</t>
  </si>
  <si>
    <t>雅嗣</t>
  </si>
  <si>
    <t>まさつぐ</t>
  </si>
  <si>
    <t>masatsugu.tsuchiya.ts</t>
  </si>
  <si>
    <t>角田孝昭</t>
  </si>
  <si>
    <t>孝昭</t>
  </si>
  <si>
    <t>つのだ</t>
  </si>
  <si>
    <t>takaaki.tsunoda</t>
  </si>
  <si>
    <t>takaaki.tsunoda@mixi.co.jp</t>
  </si>
  <si>
    <t>露木慧</t>
  </si>
  <si>
    <t>露木</t>
  </si>
  <si>
    <t>慧</t>
  </si>
  <si>
    <t>つゆき</t>
  </si>
  <si>
    <t>satoshi.tsuyuki</t>
  </si>
  <si>
    <t>satoshi.tsuyuki@netdreamers.co.jp</t>
  </si>
  <si>
    <t>XM550000000
XM551000000
XM550060000</t>
  </si>
  <si>
    <t>鶴ケ谷好美</t>
  </si>
  <si>
    <t>鶴ケ谷</t>
  </si>
  <si>
    <t>好美</t>
  </si>
  <si>
    <t>つるがや</t>
  </si>
  <si>
    <t>このみ</t>
  </si>
  <si>
    <t>konomi.tsurugaya</t>
  </si>
  <si>
    <t>konomi.tsurugaya@mixi.co.jp</t>
  </si>
  <si>
    <t>ツルキドラ</t>
  </si>
  <si>
    <t>ツルキ</t>
  </si>
  <si>
    <t>ドラ</t>
  </si>
  <si>
    <t>つるき</t>
  </si>
  <si>
    <t>どら</t>
  </si>
  <si>
    <t>dorra.turki</t>
  </si>
  <si>
    <t>dorra.turki@mixi.co.jp</t>
  </si>
  <si>
    <t>鶴田紗世</t>
  </si>
  <si>
    <t>鶴田</t>
  </si>
  <si>
    <t>紗世</t>
  </si>
  <si>
    <t>つるた</t>
  </si>
  <si>
    <t>さや</t>
  </si>
  <si>
    <t>saya.tsuruta</t>
  </si>
  <si>
    <t>saya.tsuruta@mixi.co.jp</t>
  </si>
  <si>
    <t>株式会社MIXI/木村管掌/デジタルエンターテインメントオペレーションズ本部/事業戦略部/マーケティング戦略グループ/戦略2チーム</t>
  </si>
  <si>
    <t>AO082050305</t>
  </si>
  <si>
    <t>鶴田臨</t>
  </si>
  <si>
    <t>臨</t>
  </si>
  <si>
    <t>のぞむ</t>
  </si>
  <si>
    <t>nozomu.tsuruta</t>
  </si>
  <si>
    <t>nozomu.tsuruta@mixi.co.jp</t>
  </si>
  <si>
    <t>鶴田洸</t>
  </si>
  <si>
    <t>洸</t>
  </si>
  <si>
    <t>つるだ</t>
  </si>
  <si>
    <t>akira.tsuruda</t>
  </si>
  <si>
    <t>akira.tsuruda@mixi.co.jp</t>
  </si>
  <si>
    <t>鶴見彩子</t>
  </si>
  <si>
    <t>鶴見</t>
  </si>
  <si>
    <t>彩子</t>
  </si>
  <si>
    <t>つるみ</t>
  </si>
  <si>
    <t>tsurumi</t>
  </si>
  <si>
    <t>tsurumi@mixi.co.jp</t>
  </si>
  <si>
    <t>AX078050302
AX078050301
AQ061030000</t>
  </si>
  <si>
    <t>鶴見令奈</t>
  </si>
  <si>
    <t>令奈</t>
  </si>
  <si>
    <t>rena.tsurumi</t>
  </si>
  <si>
    <t>rena.tsurumi@mixi.co.jp</t>
  </si>
  <si>
    <t>TialaJoel</t>
  </si>
  <si>
    <t>Tiala</t>
  </si>
  <si>
    <t>Joel</t>
  </si>
  <si>
    <t>てぃあら</t>
  </si>
  <si>
    <t>よえる</t>
  </si>
  <si>
    <t>joel.tiala.a</t>
  </si>
  <si>
    <t>joel.tiala.a@mixi.co.jp</t>
  </si>
  <si>
    <t>株式会社MIXI/島村管掌/人事本部/グループ会社サポート部/グローバル人事グループ</t>
  </si>
  <si>
    <t>AW085030000
AW085020000
AX089030200</t>
  </si>
  <si>
    <t>ディックメーガン</t>
  </si>
  <si>
    <t>ディック</t>
  </si>
  <si>
    <t>メーガン</t>
  </si>
  <si>
    <t>でぃっく</t>
  </si>
  <si>
    <t>めーがん</t>
  </si>
  <si>
    <t>megan.dick</t>
  </si>
  <si>
    <t>megan.dick@mixi.co.jp</t>
  </si>
  <si>
    <t>出口洋平</t>
  </si>
  <si>
    <t>出口</t>
  </si>
  <si>
    <t>でぐち</t>
  </si>
  <si>
    <t>yohei.deguchi</t>
  </si>
  <si>
    <t>yohei.deguchi@mixi.co.jp</t>
  </si>
  <si>
    <t>手島桃</t>
  </si>
  <si>
    <t>手島</t>
  </si>
  <si>
    <t>桃</t>
  </si>
  <si>
    <t>てしま</t>
  </si>
  <si>
    <t>もも</t>
  </si>
  <si>
    <t>momo.teshima</t>
  </si>
  <si>
    <t>momo.teshima@mixi.co.jp</t>
  </si>
  <si>
    <t>手束喜威</t>
  </si>
  <si>
    <t>手束</t>
  </si>
  <si>
    <t>喜威</t>
  </si>
  <si>
    <t>てつか</t>
  </si>
  <si>
    <t>よしみつ</t>
  </si>
  <si>
    <t>yoshimitsu.tetsuka.ts</t>
  </si>
  <si>
    <t>yoshimitsu.tetsuka.ts@mixi.co.jp</t>
  </si>
  <si>
    <t>デニソヴァアナスタシア</t>
  </si>
  <si>
    <t>デニソヴァ</t>
  </si>
  <si>
    <t>アナスタシア</t>
  </si>
  <si>
    <t>anastasiia.denisova</t>
  </si>
  <si>
    <t>anastasiia.denisova@mixi.co.jp</t>
  </si>
  <si>
    <t>株式会社MIXI/奥山管掌/コーポレートデベロップメント本部/投資事業部/海外投資グループ</t>
  </si>
  <si>
    <t>AW085020600</t>
  </si>
  <si>
    <t>寺尾健</t>
  </si>
  <si>
    <t>寺尾</t>
  </si>
  <si>
    <t>てらお</t>
  </si>
  <si>
    <t>ken.terao.ts</t>
  </si>
  <si>
    <t>ken.terao.ts@mixi.co.jp</t>
  </si>
  <si>
    <t>寺尾廉平</t>
  </si>
  <si>
    <t>廉平</t>
  </si>
  <si>
    <t>れんぺい</t>
  </si>
  <si>
    <t>rempei.terao</t>
  </si>
  <si>
    <t>rempei.terao@mixi.co.jp</t>
  </si>
  <si>
    <t>寺岡</t>
  </si>
  <si>
    <t>浩史</t>
  </si>
  <si>
    <t>てらおか</t>
  </si>
  <si>
    <t>hiroshi.teraoka</t>
  </si>
  <si>
    <t>hiroshi.teraoka@mixi.co.jp</t>
  </si>
  <si>
    <t>株式会社MIXI/島村管掌/経営推進本部/広報部/サステナビリティ推進グループ/次世代育成支援チーム</t>
  </si>
  <si>
    <t>AX078050302
AX078050401</t>
  </si>
  <si>
    <t>寺地かおり</t>
  </si>
  <si>
    <t>寺地</t>
  </si>
  <si>
    <t>てらじ</t>
  </si>
  <si>
    <t>kaori.teraji</t>
  </si>
  <si>
    <t>kaori.teraji@mixi.co.jp</t>
  </si>
  <si>
    <t>XP559010000
XP539010000
XP558010000
AO090010200</t>
  </si>
  <si>
    <t>寺田卓史</t>
  </si>
  <si>
    <t>寺田</t>
  </si>
  <si>
    <t>卓史</t>
  </si>
  <si>
    <t>てらだ</t>
  </si>
  <si>
    <t>たくじ</t>
  </si>
  <si>
    <t>takuji.terada</t>
  </si>
  <si>
    <t>takuji.terada@mixi.co.jp</t>
  </si>
  <si>
    <t>寺田茉莉</t>
  </si>
  <si>
    <t>茉莉</t>
  </si>
  <si>
    <t>mari.terada</t>
  </si>
  <si>
    <t>mari.terada@mixi.co.jp</t>
  </si>
  <si>
    <t>照井英人</t>
  </si>
  <si>
    <t>照井</t>
  </si>
  <si>
    <t>英人</t>
  </si>
  <si>
    <t>てるい</t>
  </si>
  <si>
    <t>ひでと</t>
  </si>
  <si>
    <t>hideto.terui</t>
  </si>
  <si>
    <t>hideto.terui@mixi.co.jp</t>
  </si>
  <si>
    <t>株式会社MIXI/島村管掌/経営推進本部/FP&amp;Aインテリジェンス部</t>
  </si>
  <si>
    <t>XP537000000
AX078070000</t>
  </si>
  <si>
    <t>取締役
部長</t>
  </si>
  <si>
    <t>照内大丈</t>
  </si>
  <si>
    <t>照内</t>
  </si>
  <si>
    <t>大丈</t>
  </si>
  <si>
    <t>てるうち</t>
  </si>
  <si>
    <t>ひろたけ</t>
  </si>
  <si>
    <t>hirotake.teruuchi</t>
  </si>
  <si>
    <t>hirotake.teruuchi@mixi.co.jp</t>
  </si>
  <si>
    <t>AO082010000</t>
  </si>
  <si>
    <t>傳美咲a</t>
  </si>
  <si>
    <t>傳</t>
  </si>
  <si>
    <t>美咲a</t>
  </si>
  <si>
    <t>でん</t>
  </si>
  <si>
    <t>みさき</t>
  </si>
  <si>
    <t>misaki.den.a</t>
  </si>
  <si>
    <t>misaki.den.a@mixi.co.jp</t>
  </si>
  <si>
    <t>土井静</t>
  </si>
  <si>
    <t>土井</t>
  </si>
  <si>
    <t>静</t>
  </si>
  <si>
    <t>どい</t>
  </si>
  <si>
    <t>しずか</t>
  </si>
  <si>
    <t>shizuka.doi</t>
  </si>
  <si>
    <t>shizuka.doi@mixi.co.jp</t>
  </si>
  <si>
    <t>十市祥教</t>
  </si>
  <si>
    <t>十市</t>
  </si>
  <si>
    <t>祥教</t>
  </si>
  <si>
    <t>といち</t>
  </si>
  <si>
    <t>yoshinori.toichi</t>
  </si>
  <si>
    <t>yoshinori.toichi@netdreamers.co.jp</t>
  </si>
  <si>
    <t>株式会社ネットドリーマーズ/株式会社ネットドリーマーズ/サービス推進開発本部/サービス推進部</t>
  </si>
  <si>
    <t>XM550000000
XM556030000
XM556030300
XM556030100
XM556030500
XM556000000</t>
  </si>
  <si>
    <t>スタッフ
部長
マネージャー
マネージャー
マネージャー
スタッフ</t>
  </si>
  <si>
    <t>0
1
0
0
0
0</t>
  </si>
  <si>
    <t>東海</t>
  </si>
  <si>
    <t>貴士</t>
  </si>
  <si>
    <t>とうかい</t>
  </si>
  <si>
    <t>takashi.tokai</t>
  </si>
  <si>
    <t>takashi.tokai@mixi.co.jp</t>
  </si>
  <si>
    <t>株式会社MIXI/奥山管掌/コーポレートデベロップメント本部/事業企画推進部/事業推進グループ/ARG企画チーム</t>
  </si>
  <si>
    <t>AW085040201</t>
  </si>
  <si>
    <t>百海幸宏</t>
  </si>
  <si>
    <t>百海</t>
  </si>
  <si>
    <t>幸宏</t>
  </si>
  <si>
    <t>どうかい</t>
  </si>
  <si>
    <t>ゆきひろ</t>
  </si>
  <si>
    <t>yukihiro.dokai</t>
  </si>
  <si>
    <t>yukihiro.dokai@mixi.co.jp</t>
  </si>
  <si>
    <t>AW076030800
XM556030200</t>
  </si>
  <si>
    <t>東海林はな子</t>
  </si>
  <si>
    <t>東海林</t>
  </si>
  <si>
    <t>はな子</t>
  </si>
  <si>
    <t>とうかいりん</t>
  </si>
  <si>
    <t>はなこ</t>
  </si>
  <si>
    <t>hanako.tokairin</t>
  </si>
  <si>
    <t>hanako.tokairin@mixi.co.jp</t>
  </si>
  <si>
    <t>道口正人</t>
  </si>
  <si>
    <t>道口</t>
  </si>
  <si>
    <t>どうぐち</t>
  </si>
  <si>
    <t>masato.doguchi</t>
  </si>
  <si>
    <t>masato.doguchi@mixi.co.jp</t>
  </si>
  <si>
    <t>東條邦男</t>
  </si>
  <si>
    <t>東條</t>
  </si>
  <si>
    <t>邦男</t>
  </si>
  <si>
    <t>とうじょう</t>
  </si>
  <si>
    <t>くにお</t>
  </si>
  <si>
    <t>kunio.tojo</t>
  </si>
  <si>
    <t>kunio.tojo@mixi.co.jp</t>
  </si>
  <si>
    <t>株式会社MIXI/笠原管掌/Vantageスタジオ/mixi事業部</t>
  </si>
  <si>
    <t>AQ061040000</t>
  </si>
  <si>
    <t>冨樫柚香</t>
  </si>
  <si>
    <t>冨樫</t>
  </si>
  <si>
    <t>柚香</t>
  </si>
  <si>
    <t>とがし</t>
  </si>
  <si>
    <t>ゆずか</t>
  </si>
  <si>
    <t>yuzuka.togashi</t>
  </si>
  <si>
    <t>yuzuka.togashi@mixi-empowerment.co.jp</t>
  </si>
  <si>
    <t>登川竹直</t>
  </si>
  <si>
    <t>登川</t>
  </si>
  <si>
    <t>竹直</t>
  </si>
  <si>
    <t>とがわ</t>
  </si>
  <si>
    <t>たけなお</t>
  </si>
  <si>
    <t>takenao.togawa</t>
  </si>
  <si>
    <t>takenao.togawa@mixi.co.jp</t>
  </si>
  <si>
    <t>AO082040200
AO082040800</t>
  </si>
  <si>
    <t>土岐光慶</t>
  </si>
  <si>
    <t>土岐</t>
  </si>
  <si>
    <t>光慶</t>
  </si>
  <si>
    <t>とき</t>
  </si>
  <si>
    <t>みつよし</t>
  </si>
  <si>
    <t>mitsuyoshi.toki</t>
  </si>
  <si>
    <t>mitsuyoshi.toki@mixi.co.jp</t>
  </si>
  <si>
    <t>株式会社MIXI/木村管掌/デジタルエンターテインメントオペレーションズ本部/事業戦略部/解析グループ/分析チーム</t>
  </si>
  <si>
    <t>AO082050202</t>
  </si>
  <si>
    <t>時原公平</t>
  </si>
  <si>
    <t>時原</t>
  </si>
  <si>
    <t>公平</t>
  </si>
  <si>
    <t>ときはら</t>
  </si>
  <si>
    <t>kohei.tokihara</t>
  </si>
  <si>
    <t>kohei.tokihara@mixi.co.jp</t>
  </si>
  <si>
    <t>株式会社MIXI/木村管掌/デジタルエンターテインメントオペレーションズ本部/モンスト開発部/モンストサーバ1グループ/サーバ2チーム</t>
  </si>
  <si>
    <t>AO082020103</t>
  </si>
  <si>
    <t>徳井英恵</t>
  </si>
  <si>
    <t>徳井</t>
  </si>
  <si>
    <t>英恵</t>
  </si>
  <si>
    <t>とくい</t>
  </si>
  <si>
    <t>はなえ</t>
  </si>
  <si>
    <t>hanae.tokui</t>
  </si>
  <si>
    <t>hanae.tokui@mixi.co.jp</t>
  </si>
  <si>
    <t>AW076000000
AW076050100</t>
  </si>
  <si>
    <t>徳江李奈</t>
  </si>
  <si>
    <t>徳江</t>
  </si>
  <si>
    <t>李奈</t>
  </si>
  <si>
    <t>とくえ</t>
  </si>
  <si>
    <t>rina.tokue</t>
  </si>
  <si>
    <t>rina.tokue@mixi.co.jp</t>
  </si>
  <si>
    <t>徳永真也</t>
  </si>
  <si>
    <t>徳永</t>
  </si>
  <si>
    <t>とくなが</t>
  </si>
  <si>
    <t>shinya.tokunaga</t>
  </si>
  <si>
    <t>shinya.tokunaga@mixi.co.jp</t>
  </si>
  <si>
    <t>徳永裕介</t>
  </si>
  <si>
    <t>yusuke.tokunaga</t>
  </si>
  <si>
    <t>yusuke.tokunaga@mixi.co.jp</t>
  </si>
  <si>
    <t>株式会社MIXI/島村管掌/経営推進本部/広報部/プロダクトPRグループ</t>
  </si>
  <si>
    <t>AX078050200</t>
  </si>
  <si>
    <t>戸田章世</t>
  </si>
  <si>
    <t>戸田</t>
  </si>
  <si>
    <t>章世</t>
  </si>
  <si>
    <t>とだ</t>
  </si>
  <si>
    <t>あきよ</t>
  </si>
  <si>
    <t>akiyo.toda</t>
  </si>
  <si>
    <t>akiyo.toda@mixi.co.jp</t>
  </si>
  <si>
    <t>戸田英佑</t>
  </si>
  <si>
    <t>英佑</t>
  </si>
  <si>
    <t>えいすけ</t>
  </si>
  <si>
    <t>eisuke.toda</t>
  </si>
  <si>
    <t>eisuke.toda@mixi.co.jp</t>
  </si>
  <si>
    <t>戸田奈月</t>
  </si>
  <si>
    <t>奈月</t>
  </si>
  <si>
    <t>natsuki.toda</t>
  </si>
  <si>
    <t>natsuki.toda@mixi.co.jp</t>
  </si>
  <si>
    <t>株式会社MIXI/木村管掌/デジタルエンターテインメントオペレーションズ本部/ファンマーケティング部/イベント1グループ</t>
  </si>
  <si>
    <t>AO082060500
AO082060501</t>
  </si>
  <si>
    <t>戸田由樹子</t>
  </si>
  <si>
    <t>由樹子</t>
  </si>
  <si>
    <t>yukiko.toda</t>
  </si>
  <si>
    <t>yukiko.toda@netdreamers.co.jp</t>
  </si>
  <si>
    <t>XM556020100</t>
  </si>
  <si>
    <t>希望</t>
  </si>
  <si>
    <t>どた</t>
  </si>
  <si>
    <t>nozomi.dota</t>
  </si>
  <si>
    <t>nozomi.dota@mixi.co.jp</t>
  </si>
  <si>
    <t>轟愛理子</t>
  </si>
  <si>
    <t>轟</t>
  </si>
  <si>
    <t>愛理子</t>
  </si>
  <si>
    <t>とどろき</t>
  </si>
  <si>
    <t>eriko.todoroki.ts</t>
  </si>
  <si>
    <t>eriko.todoroki.ts@mixi.co.jp</t>
  </si>
  <si>
    <t>轟奨太</t>
  </si>
  <si>
    <t>奨太</t>
  </si>
  <si>
    <t>shota.todoroki</t>
  </si>
  <si>
    <t>shota.todoroki@mixi.co.jp</t>
  </si>
  <si>
    <t>登内雅人</t>
  </si>
  <si>
    <t>登内</t>
  </si>
  <si>
    <t>とのうち</t>
  </si>
  <si>
    <t>masato.tonouchi</t>
  </si>
  <si>
    <t>masato.tonouchi@mixi.co.jp</t>
  </si>
  <si>
    <t>株式会社MIXI/村瀨管掌/開発本部/たんぽぽ室/AIモデリンググループ</t>
  </si>
  <si>
    <t>AR060050700
AQ087040000</t>
  </si>
  <si>
    <t>富沢高至</t>
  </si>
  <si>
    <t>富沢</t>
  </si>
  <si>
    <t>高至</t>
  </si>
  <si>
    <t>とみさわ</t>
  </si>
  <si>
    <t>takashi.tomisawa</t>
  </si>
  <si>
    <t>takashi.tomisawa@mixi.co.jp</t>
  </si>
  <si>
    <t>冨田敦美</t>
  </si>
  <si>
    <t>冨田</t>
  </si>
  <si>
    <t>敦美</t>
  </si>
  <si>
    <t>とみた</t>
  </si>
  <si>
    <t>あつみ</t>
  </si>
  <si>
    <t>atsumi.tomita</t>
  </si>
  <si>
    <t>atsumi.tomita@mixi.co.jp</t>
  </si>
  <si>
    <t>富田邦敬</t>
  </si>
  <si>
    <t>富田</t>
  </si>
  <si>
    <t>邦敬</t>
  </si>
  <si>
    <t>くにたか</t>
  </si>
  <si>
    <t>kunitaka.tomita.ts</t>
  </si>
  <si>
    <t>kunitaka.tomita.ts@mixi.co.jp</t>
  </si>
  <si>
    <t>株式会社MIXI/小林管掌/コンプライアンス本部/法務部</t>
  </si>
  <si>
    <t>AU074010000</t>
  </si>
  <si>
    <t>富田洋a</t>
  </si>
  <si>
    <t>洋a</t>
  </si>
  <si>
    <t>hiroshi.tomita.a.ts</t>
  </si>
  <si>
    <t>hiroshi.tomita.a.ts@mixi.co.jp</t>
  </si>
  <si>
    <t>富山みのりa</t>
  </si>
  <si>
    <t>富山</t>
  </si>
  <si>
    <t>みのりa</t>
  </si>
  <si>
    <t>とみやま</t>
  </si>
  <si>
    <t>minori.tomiyama.a</t>
  </si>
  <si>
    <t>minori.tomiyama.a@mixi.co.jp</t>
  </si>
  <si>
    <t>友竹慶継</t>
  </si>
  <si>
    <t>友竹</t>
  </si>
  <si>
    <t>慶継</t>
  </si>
  <si>
    <t>ともたけ</t>
  </si>
  <si>
    <t>よしつぐ</t>
  </si>
  <si>
    <t>yoshitsugu.tomotake.ts</t>
  </si>
  <si>
    <t>yoshitsugu.tomotake.ts@mixi.co.jp</t>
  </si>
  <si>
    <t>友山昌洋</t>
  </si>
  <si>
    <t>友山</t>
  </si>
  <si>
    <t>昌洋</t>
  </si>
  <si>
    <t>ともやま</t>
  </si>
  <si>
    <t>masahiro.tomoyama</t>
  </si>
  <si>
    <t>masahiro.tomoyama@mixi.co.jp</t>
  </si>
  <si>
    <t>AW085020400</t>
  </si>
  <si>
    <t>栄一</t>
  </si>
  <si>
    <t>とや</t>
  </si>
  <si>
    <t>えいいち</t>
  </si>
  <si>
    <t>eiichi.toya</t>
  </si>
  <si>
    <t>eiichi.toya@mixi.co.jp</t>
  </si>
  <si>
    <t>株式会社MIXI/小林管掌/CS本部/CS部/健全化グループ</t>
  </si>
  <si>
    <t>XI516000000
AU073010400
AU073010401
XM556030300</t>
  </si>
  <si>
    <t>スタッフ
マネージャー
リーダー
スタッフ</t>
  </si>
  <si>
    <t>戸谷祐太</t>
  </si>
  <si>
    <t>yuta.toya.ts</t>
  </si>
  <si>
    <t>yuta.toya.ts@mixi.co.jp</t>
  </si>
  <si>
    <t>豊岡玉子</t>
  </si>
  <si>
    <t>豊岡</t>
  </si>
  <si>
    <t>玉子</t>
  </si>
  <si>
    <t>とよおか</t>
  </si>
  <si>
    <t>たまこ</t>
  </si>
  <si>
    <t>tamako.toyooka</t>
  </si>
  <si>
    <t>tamako.toyooka@mixi.co.jp</t>
  </si>
  <si>
    <t>AX089040600
AX089040602</t>
  </si>
  <si>
    <t>豊岡奈々a</t>
  </si>
  <si>
    <t>奈々a</t>
  </si>
  <si>
    <t>nana.toyoka.a.ts</t>
  </si>
  <si>
    <t>nana.toyoka.a.ts@m-lovegraph.com</t>
  </si>
  <si>
    <t>豊川聖美</t>
  </si>
  <si>
    <t>豊川</t>
  </si>
  <si>
    <t>聖美</t>
  </si>
  <si>
    <t>とよかわ</t>
  </si>
  <si>
    <t>きよみ</t>
  </si>
  <si>
    <t>kiyomi.toyokawa</t>
  </si>
  <si>
    <t>kiyomi.toyokawa@mixi.co.jp</t>
  </si>
  <si>
    <t>株式会社MIXI/笠原管掌/みてね事業本部/みてね事業開発部/事業開発1グループ</t>
  </si>
  <si>
    <t>AQ087040800
AQ087040700</t>
  </si>
  <si>
    <t>豊島有紀</t>
  </si>
  <si>
    <t>豊島</t>
  </si>
  <si>
    <t>有紀</t>
  </si>
  <si>
    <t>とよしま</t>
  </si>
  <si>
    <t>yuki.toyoshima</t>
  </si>
  <si>
    <t>yuki.toyoshima@mixi.co.jp</t>
  </si>
  <si>
    <t>株式会社MIXI/奥山管掌/ソーシャルベッティング事業本部/TIPSTAR事業部/デザイングループ</t>
  </si>
  <si>
    <t>AR059050700
AW076021300</t>
  </si>
  <si>
    <t>豊田和喜</t>
  </si>
  <si>
    <t>豊田</t>
  </si>
  <si>
    <t>和喜</t>
  </si>
  <si>
    <t>とよだ</t>
  </si>
  <si>
    <t>kazuki.toyoda</t>
  </si>
  <si>
    <t>kazuki.toyoda@mixi.co.jp</t>
  </si>
  <si>
    <t>豊田佑里香</t>
  </si>
  <si>
    <t>佑里香</t>
  </si>
  <si>
    <t>ゆりか</t>
  </si>
  <si>
    <t>yurika.toyoda</t>
  </si>
  <si>
    <t>yurika.toyoda@mixi.co.jp</t>
  </si>
  <si>
    <t>豊増康之a</t>
  </si>
  <si>
    <t>豊増</t>
  </si>
  <si>
    <t>康之a</t>
  </si>
  <si>
    <t>とよます</t>
  </si>
  <si>
    <t>やすゆき</t>
  </si>
  <si>
    <t>yasuyuki.toyomasu.a.ts</t>
  </si>
  <si>
    <t>yasuyuki.toyomasu.a.ts@mixi.co.jp</t>
  </si>
  <si>
    <t>鳥巣理恵</t>
  </si>
  <si>
    <t>鳥巣</t>
  </si>
  <si>
    <t>とりす</t>
  </si>
  <si>
    <t>rie.torisu</t>
  </si>
  <si>
    <t>rie.torisu@mixi.co.jp</t>
  </si>
  <si>
    <t>内藤</t>
  </si>
  <si>
    <t>梓</t>
  </si>
  <si>
    <t>ないとう</t>
  </si>
  <si>
    <t>azusa.naito</t>
  </si>
  <si>
    <t>azusa.naito@mixi.co.jp</t>
  </si>
  <si>
    <t>内藤真代</t>
  </si>
  <si>
    <t>真代</t>
  </si>
  <si>
    <t>まよ</t>
  </si>
  <si>
    <t>mayo.naito</t>
  </si>
  <si>
    <t>mayo.naito@mixi.co.jp</t>
  </si>
  <si>
    <t>中佑斗</t>
  </si>
  <si>
    <t>中</t>
  </si>
  <si>
    <t>佑斗</t>
  </si>
  <si>
    <t>なか</t>
  </si>
  <si>
    <t>yuto.naka.ts</t>
  </si>
  <si>
    <t>中井博規</t>
  </si>
  <si>
    <t>中井</t>
  </si>
  <si>
    <t>博規</t>
  </si>
  <si>
    <t>なかい</t>
  </si>
  <si>
    <t>hiroki.nakai</t>
  </si>
  <si>
    <t>hiroki.nakai@mixi.co.jp</t>
  </si>
  <si>
    <t>中井呂万</t>
  </si>
  <si>
    <t>呂万</t>
  </si>
  <si>
    <t>ろまん</t>
  </si>
  <si>
    <t>roman.nakai</t>
  </si>
  <si>
    <t>roman.nakai@mixi.co.jp</t>
  </si>
  <si>
    <t>長井一悟</t>
  </si>
  <si>
    <t>長井</t>
  </si>
  <si>
    <t>一悟</t>
  </si>
  <si>
    <t>ながい</t>
  </si>
  <si>
    <t>kazunori.nagai</t>
  </si>
  <si>
    <t>kazunori.nagai@netdreamers.co.jp</t>
  </si>
  <si>
    <t>株式会社ネットドリーマーズ/株式会社ネットドリーマーズ/株式会社ネットドリーマーズ(本部格)/社長室</t>
  </si>
  <si>
    <t>XM551000000
XM519020000
XM560000000</t>
  </si>
  <si>
    <t>スタッフ
室長
本部長</t>
  </si>
  <si>
    <t>中江優太</t>
  </si>
  <si>
    <t>中江</t>
  </si>
  <si>
    <t>なかえ</t>
  </si>
  <si>
    <t>yuta.nakae.ts</t>
  </si>
  <si>
    <t>中尾愛彩</t>
  </si>
  <si>
    <t>中尾</t>
  </si>
  <si>
    <t>愛彩</t>
  </si>
  <si>
    <t>なかお</t>
  </si>
  <si>
    <t>あいさ</t>
  </si>
  <si>
    <t>aisa.nakao</t>
  </si>
  <si>
    <t>aisa.nakao@mixi.co.jp</t>
  </si>
  <si>
    <t>株式会社MIXI/笠原管掌/Vantageスタジオ/minimo事業部/マーケティンググループ</t>
  </si>
  <si>
    <t>AQ061071400</t>
  </si>
  <si>
    <t>中尾恵美</t>
  </si>
  <si>
    <t>恵美</t>
  </si>
  <si>
    <t>emi.nakao</t>
  </si>
  <si>
    <t>emi.nakao@mixi.co.jp</t>
  </si>
  <si>
    <t>長尾星良a</t>
  </si>
  <si>
    <t>長尾</t>
  </si>
  <si>
    <t>星良a</t>
  </si>
  <si>
    <t>ながお</t>
  </si>
  <si>
    <t>せいら</t>
  </si>
  <si>
    <t>seira.nagao.a.ts</t>
  </si>
  <si>
    <t>seira.nagao.a.ts@mixi.co.jp</t>
  </si>
  <si>
    <t>長岡</t>
  </si>
  <si>
    <t>ながおか</t>
  </si>
  <si>
    <t>akira.nagaoka</t>
  </si>
  <si>
    <t>akira.nagaoka@mixi.co.jp</t>
  </si>
  <si>
    <t>株式会社MIXI/笠原管掌/Vantageスタジオ/Romi事業部/UX企画グループ</t>
  </si>
  <si>
    <t>AQ061050400</t>
  </si>
  <si>
    <t>長岡浩一</t>
  </si>
  <si>
    <t>浩一</t>
  </si>
  <si>
    <t>こういち</t>
  </si>
  <si>
    <t>koichi.nagaoka</t>
  </si>
  <si>
    <t>koichi.nagaoka@mixi.co.jp</t>
  </si>
  <si>
    <t>長岡美咲</t>
  </si>
  <si>
    <t>美咲</t>
  </si>
  <si>
    <t>misaki.nagaoka</t>
  </si>
  <si>
    <t>misaki.nagaoka@mixi.co.jp</t>
  </si>
  <si>
    <t>株式会社MIXI/奥山管掌/ソーシャルベッティング事業本部/TIPSTAR事業部/デザイングループ/UIUXデザインチーム</t>
  </si>
  <si>
    <t>AW076021301</t>
  </si>
  <si>
    <t>中川阿季子</t>
  </si>
  <si>
    <t>中川</t>
  </si>
  <si>
    <t>阿季子</t>
  </si>
  <si>
    <t>なかがわ</t>
  </si>
  <si>
    <t>akiko.nakagawa</t>
  </si>
  <si>
    <t>akiko.nakagawa@m-chariloto.com</t>
  </si>
  <si>
    <t>中川恭輔</t>
  </si>
  <si>
    <t>恭輔</t>
  </si>
  <si>
    <t>kyosuke.nakagawa</t>
  </si>
  <si>
    <t>kyosuke.nakagawa@m-sfidante.com</t>
  </si>
  <si>
    <t>中川兼人a</t>
  </si>
  <si>
    <t>兼人a</t>
  </si>
  <si>
    <t>けんと</t>
  </si>
  <si>
    <t>kento.nakagawa.a.ts</t>
  </si>
  <si>
    <t>kento.nakagawa.a.ts@netdreamers.co.jp</t>
  </si>
  <si>
    <t>XM550030000</t>
  </si>
  <si>
    <t>真紀子</t>
  </si>
  <si>
    <t>まきこ</t>
  </si>
  <si>
    <t>makiko.nakagawa</t>
  </si>
  <si>
    <t>makiko.nakagawa@mixi.co.jp</t>
  </si>
  <si>
    <t>株式会社MIXI
株式会社MIXI EMPOWERMENT
株式会社picon</t>
  </si>
  <si>
    <t>株式会社MIXI/島村管掌/人事本部/グループ会社サポート部</t>
  </si>
  <si>
    <t>AX089020000
XG514000000
XW557000000
AX089030000
AX089080100
AX089030200</t>
  </si>
  <si>
    <t>スタッフ
取締役
取締役
部長
スタッフ
マネージャー</t>
  </si>
  <si>
    <t>中川恵</t>
  </si>
  <si>
    <t>megumi.nakagawa</t>
  </si>
  <si>
    <t>megumi.nakagawa@mixi.co.jp</t>
  </si>
  <si>
    <t>中久喜慎吾b</t>
  </si>
  <si>
    <t>中久喜</t>
  </si>
  <si>
    <t>慎吾b</t>
  </si>
  <si>
    <t>なかくき</t>
  </si>
  <si>
    <t>shingo.nakakuki.b.ts</t>
  </si>
  <si>
    <t>shingo.nakakuki.b.ts@mixi.co.jp</t>
  </si>
  <si>
    <t>長坂くるみ</t>
  </si>
  <si>
    <t>長坂</t>
  </si>
  <si>
    <t>くるみ</t>
  </si>
  <si>
    <t>ながさか</t>
  </si>
  <si>
    <t>kurumi.nagasaka.ts</t>
  </si>
  <si>
    <t>kurumi.nagasaka.ts@m-sfidante.com</t>
  </si>
  <si>
    <t>長坂遼太</t>
  </si>
  <si>
    <t>ryota.nagasaka</t>
  </si>
  <si>
    <t>ryota.nagasaka@mixi.co.jp</t>
  </si>
  <si>
    <t>AX078080301
AX078010000</t>
  </si>
  <si>
    <t>長崎麻衣子</t>
  </si>
  <si>
    <t>長崎</t>
  </si>
  <si>
    <t>ながさき</t>
  </si>
  <si>
    <t>maiko.nagasaki</t>
  </si>
  <si>
    <t>maiko.nagasaki@mixi.co.jp</t>
  </si>
  <si>
    <t>中里恵</t>
  </si>
  <si>
    <t>中里</t>
  </si>
  <si>
    <t>なかさと</t>
  </si>
  <si>
    <t>kei.nakasato</t>
  </si>
  <si>
    <t>kei.nakasato@netdreamers.co.jp</t>
  </si>
  <si>
    <t>中島絢</t>
  </si>
  <si>
    <t>中島</t>
  </si>
  <si>
    <t>絢</t>
  </si>
  <si>
    <t>なかしま</t>
  </si>
  <si>
    <t>aya.nakashima</t>
  </si>
  <si>
    <t>aya.nakashima@mixi.co.jp</t>
  </si>
  <si>
    <t>中島佳歩</t>
  </si>
  <si>
    <t>佳歩</t>
  </si>
  <si>
    <t>かほ</t>
  </si>
  <si>
    <t>kaho.nakashima.ts</t>
  </si>
  <si>
    <t>kaho.nakashima.ts@mixi.co.jp</t>
  </si>
  <si>
    <t>清貴</t>
  </si>
  <si>
    <t>きよたか</t>
  </si>
  <si>
    <t>kiyotaka.nakashima</t>
  </si>
  <si>
    <t>kiyotaka.nakashima@mixi.co.jp</t>
  </si>
  <si>
    <t>中嶋大地</t>
  </si>
  <si>
    <t>中嶋</t>
  </si>
  <si>
    <t>なかじま</t>
  </si>
  <si>
    <t>daichi.nakajima</t>
  </si>
  <si>
    <t>daichi.nakajima@mixi.co.jp</t>
  </si>
  <si>
    <t>中島拓貴</t>
  </si>
  <si>
    <t>拓貴</t>
  </si>
  <si>
    <t>たくき</t>
  </si>
  <si>
    <t>takuki.nakajima.ts</t>
  </si>
  <si>
    <t>takuki.nakajima.ts@mixi.co.jp</t>
  </si>
  <si>
    <t>中島拓成</t>
  </si>
  <si>
    <t>拓成</t>
  </si>
  <si>
    <t>たくなり</t>
  </si>
  <si>
    <t>takunari.nakajima</t>
  </si>
  <si>
    <t>takunari.nakajima@mixi.co.jp</t>
  </si>
  <si>
    <t>AW085020902
AW085020900
AW085020901</t>
  </si>
  <si>
    <t>中島優希</t>
  </si>
  <si>
    <t>yuki.nakajima</t>
  </si>
  <si>
    <t>yuki.nakajima@mixi.co.jp</t>
  </si>
  <si>
    <t>長島豊</t>
  </si>
  <si>
    <t>長島</t>
  </si>
  <si>
    <t>ながしま</t>
  </si>
  <si>
    <t>nagashima</t>
  </si>
  <si>
    <t>nagashima@mixi.co.jp</t>
  </si>
  <si>
    <t>永瀬美紗子</t>
  </si>
  <si>
    <t>永瀬</t>
  </si>
  <si>
    <t>美紗子</t>
  </si>
  <si>
    <t>ながせ</t>
  </si>
  <si>
    <t>misako.nagase</t>
  </si>
  <si>
    <t>misako.nagase@mixi.co.jp</t>
  </si>
  <si>
    <t>中田常心</t>
  </si>
  <si>
    <t>中田</t>
  </si>
  <si>
    <t>常心</t>
  </si>
  <si>
    <t>なかた</t>
  </si>
  <si>
    <t>じょうしん</t>
  </si>
  <si>
    <t>joshin.nakata</t>
  </si>
  <si>
    <t>joshin.nakata@m-chariloto.com</t>
  </si>
  <si>
    <t>中田雅之a</t>
  </si>
  <si>
    <t>雅之a</t>
  </si>
  <si>
    <t>まさゆき</t>
  </si>
  <si>
    <t>masayuki.nakata.a.ts</t>
  </si>
  <si>
    <t>masayuki.nakata.a.ts@mixi.co.jp</t>
  </si>
  <si>
    <t>中田摩周</t>
  </si>
  <si>
    <t>摩周</t>
  </si>
  <si>
    <t>ましゅう</t>
  </si>
  <si>
    <t>mashu.nakata</t>
  </si>
  <si>
    <t>mashu.nakata@netdreamers.co.jp</t>
  </si>
  <si>
    <t>永塚真奈美</t>
  </si>
  <si>
    <t>永塚</t>
  </si>
  <si>
    <t>ながつか</t>
  </si>
  <si>
    <t>manami.nagatsuka</t>
  </si>
  <si>
    <t>manami.nagatsuka@mixi.co.jp</t>
  </si>
  <si>
    <t>永沼瑞穂</t>
  </si>
  <si>
    <t>永沼</t>
  </si>
  <si>
    <t>ながぬま</t>
  </si>
  <si>
    <t>mizuho.naganuma</t>
  </si>
  <si>
    <t>mizuho.naganuma@mixi.co.jp</t>
  </si>
  <si>
    <t>中野康太朗</t>
  </si>
  <si>
    <t>中野</t>
  </si>
  <si>
    <t>康太朗</t>
  </si>
  <si>
    <t>なかの</t>
  </si>
  <si>
    <t>kotaro.nakano</t>
  </si>
  <si>
    <t>kotaro.nakano@mixi.co.jp</t>
  </si>
  <si>
    <t>株式会社MIXI/小林管掌/CS本部/CX部</t>
  </si>
  <si>
    <t>AU073020000</t>
  </si>
  <si>
    <t>中野剛志</t>
  </si>
  <si>
    <t>剛志</t>
  </si>
  <si>
    <t>takeshi.nakano</t>
  </si>
  <si>
    <t>takeshi.nakano@mixi.co.jp</t>
  </si>
  <si>
    <t>中野哲水</t>
  </si>
  <si>
    <t>哲水</t>
  </si>
  <si>
    <t>てつすい</t>
  </si>
  <si>
    <t>tetsusui.nakano</t>
  </si>
  <si>
    <t>tetsusui.nakano@netdreamers.co.jp</t>
  </si>
  <si>
    <t>中野遥</t>
  </si>
  <si>
    <t>haruka.nakano</t>
  </si>
  <si>
    <t>haruka.nakano@mixi.co.jp</t>
  </si>
  <si>
    <t>仲野麻子</t>
  </si>
  <si>
    <t>仲野</t>
  </si>
  <si>
    <t>mako.nakano</t>
  </si>
  <si>
    <t>mako.nakano@netdreamers.co.jp</t>
  </si>
  <si>
    <t>永野一帆</t>
  </si>
  <si>
    <t>永野</t>
  </si>
  <si>
    <t>一帆</t>
  </si>
  <si>
    <t>ながの</t>
  </si>
  <si>
    <t>かずほ</t>
  </si>
  <si>
    <t>kazuho.nagano</t>
  </si>
  <si>
    <t>kazuho.nagano@mixi.co.jp</t>
  </si>
  <si>
    <t>AQ061050300
AQ061050100</t>
  </si>
  <si>
    <t>中原昌志</t>
  </si>
  <si>
    <t>中原</t>
  </si>
  <si>
    <t>昌志</t>
  </si>
  <si>
    <t>なかはら</t>
  </si>
  <si>
    <t>masayuki.nakahara</t>
  </si>
  <si>
    <t>masayuki.nakahara@netdreamers.co.jp</t>
  </si>
  <si>
    <t>XM551000000
XM519020000
XM551060100</t>
  </si>
  <si>
    <t>仲原わかな</t>
  </si>
  <si>
    <t>仲原</t>
  </si>
  <si>
    <t>わかな</t>
  </si>
  <si>
    <t>wakana.nakahara.ts</t>
  </si>
  <si>
    <t>wakana.nakahara.ts@mixi.co.jp</t>
  </si>
  <si>
    <t>中平香織</t>
  </si>
  <si>
    <t>中平</t>
  </si>
  <si>
    <t>なかひら</t>
  </si>
  <si>
    <t>kaori.nakahira.ts</t>
  </si>
  <si>
    <t>kaori.nakahira.ts@mixi.co.jp</t>
  </si>
  <si>
    <t>AO082090300</t>
  </si>
  <si>
    <t>中丸陽介</t>
  </si>
  <si>
    <t>中丸</t>
  </si>
  <si>
    <t>なかまる</t>
  </si>
  <si>
    <t>yosuke.nakamaru</t>
  </si>
  <si>
    <t>yosuke.nakamaru@mixi.co.jp</t>
  </si>
  <si>
    <t>AW076020708
AW076021400</t>
  </si>
  <si>
    <t>中牟田茜</t>
  </si>
  <si>
    <t>中牟田</t>
  </si>
  <si>
    <t>なかむた</t>
  </si>
  <si>
    <t>akane.nakamuta</t>
  </si>
  <si>
    <t>akane.nakamuta@mixi.co.jp</t>
  </si>
  <si>
    <t>AO083010700
AR059080402</t>
  </si>
  <si>
    <t>中村麻美</t>
  </si>
  <si>
    <t>中村</t>
  </si>
  <si>
    <t>なかむら</t>
  </si>
  <si>
    <t>asami.nakamura</t>
  </si>
  <si>
    <t>asami.nakamura@mixi.co.jp</t>
  </si>
  <si>
    <t>AO083000000
AO082000000
AX089070100</t>
  </si>
  <si>
    <t>中村鮎美</t>
  </si>
  <si>
    <t>鮎美</t>
  </si>
  <si>
    <t>ayumi.nakamura</t>
  </si>
  <si>
    <t>ayumi.nakamura@mixi.co.jp</t>
  </si>
  <si>
    <t>中村啓亮</t>
  </si>
  <si>
    <t>啓亮</t>
  </si>
  <si>
    <t>hiroaki.nakamura</t>
  </si>
  <si>
    <t>hiroaki.nakamura@mixi.co.jp</t>
  </si>
  <si>
    <t>中村浩之</t>
  </si>
  <si>
    <t>hiroyuki.nakamura.ts</t>
  </si>
  <si>
    <t>hiroyuki.nakamura.ts@mixi.co.jp</t>
  </si>
  <si>
    <t>中村茉衣</t>
  </si>
  <si>
    <t>茉衣</t>
  </si>
  <si>
    <t>mai.nakamura</t>
  </si>
  <si>
    <t>mai.nakamura@mixi.co.jp</t>
  </si>
  <si>
    <t>株式会社MIXI/笠原管掌/みてね事業本部/みてねマーケティング部/ユーザーグロースグループ</t>
  </si>
  <si>
    <t>AQ087040000
AQ087030100</t>
  </si>
  <si>
    <t>中村有佳里</t>
  </si>
  <si>
    <t>有佳里</t>
  </si>
  <si>
    <t>yukari.nakamura</t>
  </si>
  <si>
    <t>yukari.nakamura@mixi.co.jp</t>
  </si>
  <si>
    <t>AQ087040800</t>
  </si>
  <si>
    <t>中森亮介</t>
  </si>
  <si>
    <t>中森</t>
  </si>
  <si>
    <t>なかもり</t>
  </si>
  <si>
    <t>ryosuke.nakamori</t>
  </si>
  <si>
    <t>ryosuke.nakamori@mixi.co.jp</t>
  </si>
  <si>
    <t>中谷香凜</t>
  </si>
  <si>
    <t>中谷</t>
  </si>
  <si>
    <t>香凜</t>
  </si>
  <si>
    <t>なかや</t>
  </si>
  <si>
    <t>かりん</t>
  </si>
  <si>
    <t>karin.nakaya</t>
  </si>
  <si>
    <t>karin.nakaya@mixi.co.jp</t>
  </si>
  <si>
    <t>仲安晃一</t>
  </si>
  <si>
    <t>仲安</t>
  </si>
  <si>
    <t>晃一</t>
  </si>
  <si>
    <t>なかやす</t>
  </si>
  <si>
    <t>あきかず</t>
  </si>
  <si>
    <t>akikazu.nakayasu</t>
  </si>
  <si>
    <t>akikazu.nakayasu@mixi.co.jp</t>
  </si>
  <si>
    <t>中薮優</t>
  </si>
  <si>
    <t>中薮</t>
  </si>
  <si>
    <t>なかやぶ</t>
  </si>
  <si>
    <t>yu.nakayabu</t>
  </si>
  <si>
    <t>yu.nakayabu@mixi.co.jp</t>
  </si>
  <si>
    <t>中山一樹</t>
  </si>
  <si>
    <t>中山</t>
  </si>
  <si>
    <t>なかやま</t>
  </si>
  <si>
    <t>kazuki.nakayama.ts</t>
  </si>
  <si>
    <t>kazuki.nakayama.ts@mixi.co.jp</t>
  </si>
  <si>
    <t>中山智義</t>
  </si>
  <si>
    <t>智義</t>
  </si>
  <si>
    <t>ともよし</t>
  </si>
  <si>
    <t>tomoyoshi.nakayama</t>
  </si>
  <si>
    <t>tomoyoshi.nakayama@mixi.co.jp</t>
  </si>
  <si>
    <t>中山裕喜</t>
  </si>
  <si>
    <t>裕喜</t>
  </si>
  <si>
    <t>hiroki.nakayama</t>
  </si>
  <si>
    <t>hiroki.nakayama@mixi.co.jp</t>
  </si>
  <si>
    <t>AW076030000</t>
  </si>
  <si>
    <t>永山真寿美</t>
  </si>
  <si>
    <t>永山</t>
  </si>
  <si>
    <t>真寿美</t>
  </si>
  <si>
    <t>ながやま</t>
  </si>
  <si>
    <t>ますみ</t>
  </si>
  <si>
    <t>masumi.nagayama</t>
  </si>
  <si>
    <t>masumi.nagayama@mixi.co.jp</t>
  </si>
  <si>
    <t>奈川英樹</t>
  </si>
  <si>
    <t>奈川</t>
  </si>
  <si>
    <t>英樹</t>
  </si>
  <si>
    <t>ながわ</t>
  </si>
  <si>
    <t>hideki.nagawa</t>
  </si>
  <si>
    <t>hideki.nagawa@mixi.co.jp</t>
  </si>
  <si>
    <t>梨本貴之</t>
  </si>
  <si>
    <t>梨本</t>
  </si>
  <si>
    <t>なしもと</t>
  </si>
  <si>
    <t>takayuki.nashimoto</t>
  </si>
  <si>
    <t>takayuki.nashimoto@mixi.co.jp</t>
  </si>
  <si>
    <t>那須佳歩</t>
  </si>
  <si>
    <t>那須</t>
  </si>
  <si>
    <t>なす</t>
  </si>
  <si>
    <t>kaho.nasu</t>
  </si>
  <si>
    <t>kaho.nasu@mixi.co.jp</t>
  </si>
  <si>
    <t>那須大樹</t>
  </si>
  <si>
    <t>hiroki.nasu</t>
  </si>
  <si>
    <t>hiroki.nasu@mixi.co.jp</t>
  </si>
  <si>
    <t>AR091010301</t>
  </si>
  <si>
    <t>夏目晶子</t>
  </si>
  <si>
    <t>夏目</t>
  </si>
  <si>
    <t>晶子</t>
  </si>
  <si>
    <t>なつめ</t>
  </si>
  <si>
    <t>まさこ</t>
  </si>
  <si>
    <t>masako.natsume.ts</t>
  </si>
  <si>
    <t>masako.natsume.ts@mixi.co.jp</t>
  </si>
  <si>
    <t>名渕大樹</t>
  </si>
  <si>
    <t>名渕</t>
  </si>
  <si>
    <t>なぶち</t>
  </si>
  <si>
    <t>daiki.nabuchi</t>
  </si>
  <si>
    <t>daiki.nabuchi@mixi.co.jp</t>
  </si>
  <si>
    <t>並木久美子</t>
  </si>
  <si>
    <t>並木</t>
  </si>
  <si>
    <t>なみき</t>
  </si>
  <si>
    <t>kumiko.namiki</t>
  </si>
  <si>
    <t>kumiko.namiki@mixi.co.jp</t>
  </si>
  <si>
    <t>浪山凌志</t>
  </si>
  <si>
    <t>浪山</t>
  </si>
  <si>
    <t>凌志</t>
  </si>
  <si>
    <t>なみやま</t>
  </si>
  <si>
    <t>ryoji.namiyama</t>
  </si>
  <si>
    <t>ryoji.namiyama@mixi.co.jp</t>
  </si>
  <si>
    <t>奈良耕太</t>
  </si>
  <si>
    <t>奈良</t>
  </si>
  <si>
    <t>耕太</t>
  </si>
  <si>
    <t>なら</t>
  </si>
  <si>
    <t>kota.nara</t>
  </si>
  <si>
    <t>kota.nara@mixi.co.jp</t>
  </si>
  <si>
    <t>奈良祐輔</t>
  </si>
  <si>
    <t>yusuke.nara.ts</t>
  </si>
  <si>
    <t>yusuke.nara.ts@mixi.co.jp</t>
  </si>
  <si>
    <t>成田花奈子</t>
  </si>
  <si>
    <t>成田</t>
  </si>
  <si>
    <t>花奈子</t>
  </si>
  <si>
    <t>なりた</t>
  </si>
  <si>
    <t>kanako.narita.ts</t>
  </si>
  <si>
    <t>kanako.narita.ts@netdreamers.co.jp</t>
  </si>
  <si>
    <t>XM556020200</t>
  </si>
  <si>
    <t>悟</t>
  </si>
  <si>
    <t>satoru.narita</t>
  </si>
  <si>
    <t>satoru.narita@mixi.co.jp</t>
  </si>
  <si>
    <t>株式会社MIXI/木村管掌/デジタルエンターテインメントオペレーションズ本部/モンストIPクリエイション部/アート第1グループ</t>
  </si>
  <si>
    <t>AO082040305
AO082040300</t>
  </si>
  <si>
    <t>リーダー
マネージャー</t>
  </si>
  <si>
    <t>成田悠人</t>
  </si>
  <si>
    <t>悠人</t>
  </si>
  <si>
    <t>yuto.narita</t>
  </si>
  <si>
    <t>yuto.narita@mixi.co.jp</t>
  </si>
  <si>
    <t>XI516000000
XM556030300
AU073010302</t>
  </si>
  <si>
    <t>鳴海明日香</t>
  </si>
  <si>
    <t>鳴海</t>
  </si>
  <si>
    <t>asuka.narumi</t>
  </si>
  <si>
    <t>asuka.narumi@mixi.co.jp</t>
  </si>
  <si>
    <t>新村正太郎</t>
  </si>
  <si>
    <t>新村</t>
  </si>
  <si>
    <t>正太郎</t>
  </si>
  <si>
    <t>にいむら</t>
  </si>
  <si>
    <t>shotaro.niimura</t>
  </si>
  <si>
    <t>shotaro.niimura@mixi.co.jp</t>
  </si>
  <si>
    <t>西花菜</t>
  </si>
  <si>
    <t>西</t>
  </si>
  <si>
    <t>花菜</t>
  </si>
  <si>
    <t>にし</t>
  </si>
  <si>
    <t>hana.nishi</t>
  </si>
  <si>
    <t>hana.nishi@mixi.co.jp</t>
  </si>
  <si>
    <t>AX089030100
AX089030200
AX089080100</t>
  </si>
  <si>
    <t>西洋昭</t>
  </si>
  <si>
    <t>洋昭</t>
  </si>
  <si>
    <t>hiroaki.nishi.ts</t>
  </si>
  <si>
    <t>hiroaki.nishi.ts@mixi.co.jp</t>
  </si>
  <si>
    <t>西川貴紘</t>
  </si>
  <si>
    <t>西川</t>
  </si>
  <si>
    <t>貴紘</t>
  </si>
  <si>
    <t>にしかわ</t>
  </si>
  <si>
    <t>takahiro.nishikawa.ts</t>
  </si>
  <si>
    <t>takahiro.nishikawa.ts@mixi.co.jp</t>
  </si>
  <si>
    <t>西川喜晃</t>
  </si>
  <si>
    <t>喜晃</t>
  </si>
  <si>
    <t>yoshiteru.nishikawa</t>
  </si>
  <si>
    <t>yoshiteru.nishikawa@mixi.co.jp</t>
  </si>
  <si>
    <t>AR060011100
AO083010500
AO082080101</t>
  </si>
  <si>
    <t>西澤英一</t>
  </si>
  <si>
    <t>西澤</t>
  </si>
  <si>
    <t>英一</t>
  </si>
  <si>
    <t>にしざわ</t>
  </si>
  <si>
    <t>eiichi.nishizawa</t>
  </si>
  <si>
    <t>eiichi.nishizawa@mixi.co.jp</t>
  </si>
  <si>
    <t>西澤聡一郎</t>
  </si>
  <si>
    <t>聡一郎</t>
  </si>
  <si>
    <t>そういちろう</t>
  </si>
  <si>
    <t>soichiro.nishizawa</t>
  </si>
  <si>
    <t>soichiro.nishizawa@mixi.co.jp</t>
  </si>
  <si>
    <t>西澤卓史</t>
  </si>
  <si>
    <t>takashi.nishizawa.ts</t>
  </si>
  <si>
    <t>takashi.nishizawa.ts@mixi.co.jp</t>
  </si>
  <si>
    <t>AO090050300
AO090050402</t>
  </si>
  <si>
    <t>西澤雅史</t>
  </si>
  <si>
    <t>雅史</t>
  </si>
  <si>
    <t>masashi.nishizawa</t>
  </si>
  <si>
    <t>masashi.nishizawa@mixi.co.jp</t>
  </si>
  <si>
    <t>西島啓太</t>
  </si>
  <si>
    <t>西島</t>
  </si>
  <si>
    <t>啓太</t>
  </si>
  <si>
    <t>にしじま</t>
  </si>
  <si>
    <t>keita.nishijima</t>
  </si>
  <si>
    <t>keita.nishijima@mixi.co.jp</t>
  </si>
  <si>
    <t>西田伊織</t>
  </si>
  <si>
    <t>西田</t>
  </si>
  <si>
    <t>伊織</t>
  </si>
  <si>
    <t>にしだ</t>
  </si>
  <si>
    <t>いおり</t>
  </si>
  <si>
    <t>iori.nishida</t>
  </si>
  <si>
    <t>iori.nishida@mixi.co.jp</t>
  </si>
  <si>
    <t>西田哲史</t>
  </si>
  <si>
    <t>哲史</t>
  </si>
  <si>
    <t>てつし</t>
  </si>
  <si>
    <t>tetsushi.nishida</t>
  </si>
  <si>
    <t>tetsushi.nishida@mixi.co.jp</t>
  </si>
  <si>
    <t>西谷美幸</t>
  </si>
  <si>
    <t>西谷</t>
  </si>
  <si>
    <t>美幸</t>
  </si>
  <si>
    <t>にしたに</t>
  </si>
  <si>
    <t>みゆき</t>
  </si>
  <si>
    <t>miyuki.nishitani</t>
  </si>
  <si>
    <t>miyuki.nishitani@mixi.co.jp</t>
  </si>
  <si>
    <t>AO082040200
AO082040100
AO082040300
AO082040400
AO082040600
AO082040000
AO082040800</t>
  </si>
  <si>
    <t>西野りな</t>
  </si>
  <si>
    <t>西野</t>
  </si>
  <si>
    <t>にしの</t>
  </si>
  <si>
    <t>rina.nishino</t>
  </si>
  <si>
    <t>rina.nishino@m-sfidante.com</t>
  </si>
  <si>
    <t>西原まりや</t>
  </si>
  <si>
    <t>西原</t>
  </si>
  <si>
    <t>まりや</t>
  </si>
  <si>
    <t>にしはら</t>
  </si>
  <si>
    <t>mariya.nishihara</t>
  </si>
  <si>
    <t>mariya.nishihara@m-chariloto.com</t>
  </si>
  <si>
    <t>西前充也</t>
  </si>
  <si>
    <t>西前</t>
  </si>
  <si>
    <t>充也</t>
  </si>
  <si>
    <t>にしまえ</t>
  </si>
  <si>
    <t>みつなり</t>
  </si>
  <si>
    <t>mitsunari.nishimae</t>
  </si>
  <si>
    <t>mitsunari.nishimae@mixi.co.jp</t>
  </si>
  <si>
    <t>西巻汐音</t>
  </si>
  <si>
    <t>西巻</t>
  </si>
  <si>
    <t>汐音</t>
  </si>
  <si>
    <t>にしまき</t>
  </si>
  <si>
    <t>しおね</t>
  </si>
  <si>
    <t>shione.nishimaki</t>
  </si>
  <si>
    <t>shione.nishimaki@mixi.co.jp</t>
  </si>
  <si>
    <t>西村貴志</t>
  </si>
  <si>
    <t>西村</t>
  </si>
  <si>
    <t>貴志</t>
  </si>
  <si>
    <t>にしむら</t>
  </si>
  <si>
    <t>takashi.nishimura</t>
  </si>
  <si>
    <t>takashi.nishimura@mixi.co.jp</t>
  </si>
  <si>
    <t>AO083010700
AR059080404</t>
  </si>
  <si>
    <t>西村裕一郎</t>
  </si>
  <si>
    <t>裕一郎</t>
  </si>
  <si>
    <t>yuichiro.nishimura</t>
  </si>
  <si>
    <t>yuichiro.nishimura@mixi.co.jp</t>
  </si>
  <si>
    <t>西本和史</t>
  </si>
  <si>
    <t>西本</t>
  </si>
  <si>
    <t>和史</t>
  </si>
  <si>
    <t>にしもと</t>
  </si>
  <si>
    <t>かずふみ</t>
  </si>
  <si>
    <t>kazufumi.nishimoto</t>
  </si>
  <si>
    <t>kazufumi.nishimoto@mixi.co.jp</t>
  </si>
  <si>
    <t>西本聖</t>
  </si>
  <si>
    <t>takashi.nishimoto</t>
  </si>
  <si>
    <t>takashi.nishimoto@mixi.co.jp</t>
  </si>
  <si>
    <t>株式会社MIXI/村瀨管掌/はたらく環境推進本部/コーポレートITサービス部/事業サポートグループ/ハーモニーチーム</t>
  </si>
  <si>
    <t>AW085030000
AR091010103</t>
  </si>
  <si>
    <t>蜷川友里恵</t>
  </si>
  <si>
    <t>蜷川</t>
  </si>
  <si>
    <t>友里恵</t>
  </si>
  <si>
    <t>にながわ</t>
  </si>
  <si>
    <t>yurie.ninagawa</t>
  </si>
  <si>
    <t>yurie.ninagawa@mixi.co.jp</t>
  </si>
  <si>
    <t>二ノ倉元気</t>
  </si>
  <si>
    <t>二ノ倉</t>
  </si>
  <si>
    <t>元気</t>
  </si>
  <si>
    <t>にのくら</t>
  </si>
  <si>
    <t>motoki.ninokura.ts</t>
  </si>
  <si>
    <t>motoki.ninokura.ts@mixi.co.jp</t>
  </si>
  <si>
    <t>二宮彩樺</t>
  </si>
  <si>
    <t>二宮</t>
  </si>
  <si>
    <t>彩樺</t>
  </si>
  <si>
    <t>にのみや</t>
  </si>
  <si>
    <t>ayaka.ninomiya</t>
  </si>
  <si>
    <t>ayaka.ninomiya@mixi.co.jp</t>
  </si>
  <si>
    <t>株式会社MIXI/小林管掌/コンプライアンス本部/法務部/法務グループ/第2チーム</t>
  </si>
  <si>
    <t>AU074010702
AU074010705</t>
  </si>
  <si>
    <t>丹羽茂雄</t>
  </si>
  <si>
    <t>丹羽</t>
  </si>
  <si>
    <t>茂雄</t>
  </si>
  <si>
    <t>にわ</t>
  </si>
  <si>
    <t>shigeo.niwa.ts</t>
  </si>
  <si>
    <t>shigeo.niwa.ts@mixi.co.jp</t>
  </si>
  <si>
    <t>奴井名綾</t>
  </si>
  <si>
    <t>奴井名</t>
  </si>
  <si>
    <t>ぬいな</t>
  </si>
  <si>
    <t>aya.nuina</t>
  </si>
  <si>
    <t>aya.nuina@m-chariloto.com</t>
  </si>
  <si>
    <t>貫井広幸</t>
  </si>
  <si>
    <t>貫井</t>
  </si>
  <si>
    <t>広幸</t>
  </si>
  <si>
    <t>ぬくい</t>
  </si>
  <si>
    <t>hiroyuki.nukui</t>
  </si>
  <si>
    <t>hiroyuki.nukui@mixi.co.jp</t>
  </si>
  <si>
    <t>株式会社MIXI/笠原管掌/みてね事業本部/みてねマーケティング部</t>
  </si>
  <si>
    <t>AQ087030000
AQ087040000</t>
  </si>
  <si>
    <t>布龍馬</t>
  </si>
  <si>
    <t>布</t>
  </si>
  <si>
    <t>龍馬</t>
  </si>
  <si>
    <t>ぬの</t>
  </si>
  <si>
    <t>りゅうま</t>
  </si>
  <si>
    <t>ryuma.nuno</t>
  </si>
  <si>
    <t>ryuma.nuno@mixi.co.jp</t>
  </si>
  <si>
    <t>沼田椎菜</t>
  </si>
  <si>
    <t>沼田</t>
  </si>
  <si>
    <t>椎菜</t>
  </si>
  <si>
    <t>ぬまた</t>
  </si>
  <si>
    <t>しいな</t>
  </si>
  <si>
    <t>shiina.numata</t>
  </si>
  <si>
    <t>shiina.numata@mixi.co.jp</t>
  </si>
  <si>
    <t>沼田幸大</t>
  </si>
  <si>
    <t>幸大</t>
  </si>
  <si>
    <t>yukihiro.numata</t>
  </si>
  <si>
    <t>yukihiro.numata@mixi.co.jp</t>
  </si>
  <si>
    <t>株式会社MIXI/木村管掌/ライブエクスペリエンス事業本部/ファンコミュニケーション部/Fansta開発グループ/Fansta第1開発チーム</t>
  </si>
  <si>
    <t>AO090030101</t>
  </si>
  <si>
    <t>NaegelyOceane</t>
  </si>
  <si>
    <t>Naegely</t>
  </si>
  <si>
    <t>Oceane</t>
  </si>
  <si>
    <t>ねじゅり</t>
  </si>
  <si>
    <t>おせあん</t>
  </si>
  <si>
    <t>oceane.naegely</t>
  </si>
  <si>
    <t>oceane.naegely@mixi.co.jp</t>
  </si>
  <si>
    <t>野上祐平</t>
  </si>
  <si>
    <t>野上</t>
  </si>
  <si>
    <t>祐平</t>
  </si>
  <si>
    <t>のがみ</t>
  </si>
  <si>
    <t>ゆうへい</t>
  </si>
  <si>
    <t>yuhei.nogami</t>
  </si>
  <si>
    <t>yuhei.nogami@mixi.co.jp</t>
  </si>
  <si>
    <t>AR059050900
AO082050800</t>
  </si>
  <si>
    <t>野口</t>
  </si>
  <si>
    <t>直希</t>
  </si>
  <si>
    <t>のぐち</t>
  </si>
  <si>
    <t>naoki.noguchi</t>
  </si>
  <si>
    <t>naoki.noguchi@mixi.co.jp</t>
  </si>
  <si>
    <t>野口浩之</t>
  </si>
  <si>
    <t>hiroyuki.noguchi</t>
  </si>
  <si>
    <t>hiroyuki.noguchi@netdreamers.co.jp</t>
  </si>
  <si>
    <t>野口優作</t>
  </si>
  <si>
    <t>優作</t>
  </si>
  <si>
    <t>yusaku.noguchi</t>
  </si>
  <si>
    <t>yusaku.noguchi@mixi.co.jp</t>
  </si>
  <si>
    <t>野﨑裕也</t>
  </si>
  <si>
    <t>野﨑</t>
  </si>
  <si>
    <t>裕也</t>
  </si>
  <si>
    <t>のざき</t>
  </si>
  <si>
    <t>yuya.nozaki</t>
  </si>
  <si>
    <t>yuya.nozaki@mixi.co.jp</t>
  </si>
  <si>
    <t>野崎由梨</t>
  </si>
  <si>
    <t>野崎</t>
  </si>
  <si>
    <t>由梨</t>
  </si>
  <si>
    <t>ゆり</t>
  </si>
  <si>
    <t>yuri.nozaki</t>
  </si>
  <si>
    <t>yuri.nozaki@mixi.co.jp</t>
  </si>
  <si>
    <t>株式会社MIXI/小林管掌/CS本部/CX部/Cooperationグループ/クオリティマネジメントチーム</t>
  </si>
  <si>
    <t>AU073020203
AU073010000
AU073020100
AU073010200
AU073000000
AU073020200
AU073020000
AU073010300
AU073010400</t>
  </si>
  <si>
    <t>野瀬浩代</t>
  </si>
  <si>
    <t>野瀬</t>
  </si>
  <si>
    <t>浩代</t>
  </si>
  <si>
    <t>のせ</t>
  </si>
  <si>
    <t>ひろよ</t>
  </si>
  <si>
    <t>hiroyo.nose</t>
  </si>
  <si>
    <t>hiroyo.nose@mixi.co.jp</t>
  </si>
  <si>
    <t>野添ゆかり</t>
  </si>
  <si>
    <t>野添</t>
  </si>
  <si>
    <t>のぞえ</t>
  </si>
  <si>
    <t>yukari.nozoe</t>
  </si>
  <si>
    <t>yukari.nozoe@mixi.co.jp</t>
  </si>
  <si>
    <t>AQ087020400
AQ087040000</t>
  </si>
  <si>
    <t>野田聖栞</t>
  </si>
  <si>
    <t>野田</t>
  </si>
  <si>
    <t>聖栞</t>
  </si>
  <si>
    <t>のだ</t>
  </si>
  <si>
    <t>せいが</t>
  </si>
  <si>
    <t>seiga.noda.ts</t>
  </si>
  <si>
    <t>seiga.noda.ts@mixi.co.jp</t>
  </si>
  <si>
    <t>野中真見</t>
  </si>
  <si>
    <t>野中</t>
  </si>
  <si>
    <t>真見</t>
  </si>
  <si>
    <t>のなか</t>
  </si>
  <si>
    <t>mami.nonaka</t>
  </si>
  <si>
    <t>mami.nonaka@mixi.co.jp</t>
  </si>
  <si>
    <t>野原孝行</t>
  </si>
  <si>
    <t>野原</t>
  </si>
  <si>
    <t>孝行</t>
  </si>
  <si>
    <t>のはら</t>
  </si>
  <si>
    <t>takayuki.nohara</t>
  </si>
  <si>
    <t>takayuki.nohara@netdreamers.co.jp</t>
  </si>
  <si>
    <t>株式会社ネットドリーマーズ/株式会社ネットドリーマーズ/経営管理本部</t>
  </si>
  <si>
    <t>XM523000000
XM523010000
XM519000000</t>
  </si>
  <si>
    <t>本部長
部長
スタッフ</t>
  </si>
  <si>
    <t>信田春満</t>
  </si>
  <si>
    <t>信田</t>
  </si>
  <si>
    <t>春満</t>
  </si>
  <si>
    <t>のぶた</t>
  </si>
  <si>
    <t>はるみつ</t>
  </si>
  <si>
    <t>harumitsu.nobuta</t>
  </si>
  <si>
    <t>harumitsu.nobuta@mixi.co.jp</t>
  </si>
  <si>
    <t>株式会社MIXI/笠原管掌/Vantageスタジオ/Romi事業部/開発グループ</t>
  </si>
  <si>
    <t>AQ061050100
AQ061050101</t>
  </si>
  <si>
    <t>野村千優</t>
  </si>
  <si>
    <t>野村</t>
  </si>
  <si>
    <t>千優</t>
  </si>
  <si>
    <t>のむら</t>
  </si>
  <si>
    <t>chihiro.nomura</t>
  </si>
  <si>
    <t>chihiro.nomura@mixi.co.jp</t>
  </si>
  <si>
    <t>野村奈都美</t>
  </si>
  <si>
    <t>奈都美</t>
  </si>
  <si>
    <t>natsumi.nomura</t>
  </si>
  <si>
    <t>natsumi.nomura@mixi.co.jp</t>
  </si>
  <si>
    <t>株式会社MIXI/村瀨管掌/セキュリティ室(本部格)/セキュリティ室</t>
  </si>
  <si>
    <t>AR060010000
AR077010000
AR060050800
AR077010300
AR077010100</t>
  </si>
  <si>
    <t>野呂好</t>
  </si>
  <si>
    <t>野呂</t>
  </si>
  <si>
    <t>好</t>
  </si>
  <si>
    <t>のろ</t>
  </si>
  <si>
    <t>konomi.noro</t>
  </si>
  <si>
    <t>konomi.noro@mixi.co.jp</t>
  </si>
  <si>
    <t>AR059050801</t>
  </si>
  <si>
    <t>南風原竜也</t>
  </si>
  <si>
    <t>南風原</t>
  </si>
  <si>
    <t>はいばら</t>
  </si>
  <si>
    <t>tatsuya.haibara.ts</t>
  </si>
  <si>
    <t>tatsuya.haibara.ts@mixi.co.jp</t>
  </si>
  <si>
    <t>波木井絢子</t>
  </si>
  <si>
    <t>波木井</t>
  </si>
  <si>
    <t>絢子</t>
  </si>
  <si>
    <t>はきい</t>
  </si>
  <si>
    <t>ayako.hakii.ts</t>
  </si>
  <si>
    <t>ayako.hakii.ts@mixi.co.jp</t>
  </si>
  <si>
    <t>萩坂佳寿</t>
  </si>
  <si>
    <t>萩坂</t>
  </si>
  <si>
    <t>佳寿</t>
  </si>
  <si>
    <t>はぎさか</t>
  </si>
  <si>
    <t>yoshihisa.hagisaka.ts</t>
  </si>
  <si>
    <t>yoshihisa.hagisaka.ts@mixi.co.jp</t>
  </si>
  <si>
    <t>萩原稜太</t>
  </si>
  <si>
    <t>萩原</t>
  </si>
  <si>
    <t>稜太</t>
  </si>
  <si>
    <t>はぎはら</t>
  </si>
  <si>
    <t>ryota.hagihara</t>
  </si>
  <si>
    <t>ryota.hagihara@mixi.co.jp</t>
  </si>
  <si>
    <t>萩原孝太</t>
  </si>
  <si>
    <t>孝太</t>
  </si>
  <si>
    <t>はぎわら</t>
  </si>
  <si>
    <t>kota.hagiwara</t>
  </si>
  <si>
    <t>kota.hagiwara@mixi.co.jp</t>
  </si>
  <si>
    <t>白谷翔太郎</t>
  </si>
  <si>
    <t>白谷</t>
  </si>
  <si>
    <t>翔太郎</t>
  </si>
  <si>
    <t>はくや</t>
  </si>
  <si>
    <t>shotaro.hakuya</t>
  </si>
  <si>
    <t>shotaro.hakuya@mixi.co.jp</t>
  </si>
  <si>
    <t>株式会社MIXI/奥山管掌/ソーシャルベッティング事業本部/TIPSTAR事業部/運営グループ</t>
  </si>
  <si>
    <t>AW076021200
AW076021202
AW076021201</t>
  </si>
  <si>
    <t>橋口健志</t>
  </si>
  <si>
    <t>橋口</t>
  </si>
  <si>
    <t>健志</t>
  </si>
  <si>
    <t>はしぐち</t>
  </si>
  <si>
    <t>けんし</t>
  </si>
  <si>
    <t>kenshi.hashiguchi</t>
  </si>
  <si>
    <t>kenshi.hashiguchi@mixi.co.jp</t>
  </si>
  <si>
    <t>橋口昂矢</t>
  </si>
  <si>
    <t>昂矢</t>
  </si>
  <si>
    <t>たかや</t>
  </si>
  <si>
    <t>takaya.hashiguchi</t>
  </si>
  <si>
    <t>takaya.hashiguchi@mixi.co.jp</t>
  </si>
  <si>
    <t>AR060050700</t>
  </si>
  <si>
    <t>橋本鍾愛</t>
  </si>
  <si>
    <t>橋本</t>
  </si>
  <si>
    <t>鍾愛</t>
  </si>
  <si>
    <t>はしもと</t>
  </si>
  <si>
    <t>あつめ</t>
  </si>
  <si>
    <t>atsume.hashimoto</t>
  </si>
  <si>
    <t>atsume.hashimoto@mixi.co.jp</t>
  </si>
  <si>
    <t>橋本広大</t>
  </si>
  <si>
    <t>広大</t>
  </si>
  <si>
    <t>こうだい</t>
  </si>
  <si>
    <t>kodai.hashimoto</t>
  </si>
  <si>
    <t>kodai.hashimoto@mixi.co.jp</t>
  </si>
  <si>
    <t>橋本淳</t>
  </si>
  <si>
    <t>jun.hashimoto</t>
  </si>
  <si>
    <t>jun.hashimoto@mixi.co.jp</t>
  </si>
  <si>
    <t>株式会社MIXI/小林管掌/CS本部</t>
  </si>
  <si>
    <t>AU073000000</t>
  </si>
  <si>
    <t>橋本祥吾</t>
  </si>
  <si>
    <t>祥吾</t>
  </si>
  <si>
    <t>shogo.hashimoto</t>
  </si>
  <si>
    <t>shogo.hashimoto@netdreamers.co.jp</t>
  </si>
  <si>
    <t>XM556010400
XM556000000</t>
  </si>
  <si>
    <t>橋本晋</t>
  </si>
  <si>
    <t>晋</t>
  </si>
  <si>
    <t>すすむ</t>
  </si>
  <si>
    <t>susumu.hashimoto</t>
  </si>
  <si>
    <t>susumu.hashimoto@mixi.co.jp</t>
  </si>
  <si>
    <t>AO083010600
AO082080401</t>
  </si>
  <si>
    <t>橋本卓朗</t>
  </si>
  <si>
    <t>卓朗</t>
  </si>
  <si>
    <t>takuro.hashimoto</t>
  </si>
  <si>
    <t>takuro.hashimoto@mixi.co.jp</t>
  </si>
  <si>
    <t>株式会社MIXI/村瀨管掌/デザイン本部/プロダクトデザイン室/エクスペリエンスデザイン第1グループ</t>
  </si>
  <si>
    <t>AR059050700</t>
  </si>
  <si>
    <t>橋本千尋</t>
  </si>
  <si>
    <t>chihiro.hashimoto.ts</t>
  </si>
  <si>
    <t>chihiro.hashimoto.ts@mixi.co.jp</t>
  </si>
  <si>
    <t>橋本光美</t>
  </si>
  <si>
    <t>光美</t>
  </si>
  <si>
    <t>hiromi.hashimoto.ts</t>
  </si>
  <si>
    <t>hiromi.hashimoto.ts@mixi.co.jp</t>
  </si>
  <si>
    <t>長谷川慶太郎</t>
  </si>
  <si>
    <t>長谷川</t>
  </si>
  <si>
    <t>慶太郎</t>
  </si>
  <si>
    <t>はせがわ</t>
  </si>
  <si>
    <t>けいたろう</t>
  </si>
  <si>
    <t>keitaro.hasegawa</t>
  </si>
  <si>
    <t>keitaro.hasegawa@mixi.co.jp</t>
  </si>
  <si>
    <t>純子</t>
  </si>
  <si>
    <t>じゅんこ</t>
  </si>
  <si>
    <t>junko.hasegawa</t>
  </si>
  <si>
    <t>junko.hasegawa@mixi.co.jp</t>
  </si>
  <si>
    <t>株式会社MIXI/島村管掌/コーポレートファイナンス本部/経理税務部/経理グループ</t>
  </si>
  <si>
    <t>AX088010200</t>
  </si>
  <si>
    <t>長谷川貴彦</t>
  </si>
  <si>
    <t>貴彦</t>
  </si>
  <si>
    <t>たかひこ</t>
  </si>
  <si>
    <t>takahiko.hasegawa</t>
  </si>
  <si>
    <t>takahiko.hasegawa@mixi.co.jp</t>
  </si>
  <si>
    <t>株式会社MIXI/木村管掌/ライブエクスペリエンス事業本部/バスケットボール事業部/経営管理グループ</t>
  </si>
  <si>
    <t>AO090020300</t>
  </si>
  <si>
    <t>長谷川広大</t>
  </si>
  <si>
    <t>hiro.hasegawa</t>
  </si>
  <si>
    <t>hiro.hasegawa@mixi.co.jp</t>
  </si>
  <si>
    <t>AO083020400
AO083020500
AO083010500</t>
  </si>
  <si>
    <t>長谷川みずき</t>
  </si>
  <si>
    <t>mizuki.hasegawa</t>
  </si>
  <si>
    <t>mizuki.hasegawa@mixi.co.jp</t>
  </si>
  <si>
    <t>株式会社MIXI/島村管掌/経営推進本部/グループ会社統括支援部/主計第2グループ</t>
  </si>
  <si>
    <t>XK517000000
AX078080200</t>
  </si>
  <si>
    <t>監査役
マネージャー</t>
  </si>
  <si>
    <t>長谷川友哉</t>
  </si>
  <si>
    <t>友哉</t>
  </si>
  <si>
    <t>yuya.hasegawa</t>
  </si>
  <si>
    <t>yuya.hasegawa@mixi.co.jp</t>
  </si>
  <si>
    <t>PasovskyYoav</t>
  </si>
  <si>
    <t>Pasovsky</t>
  </si>
  <si>
    <t>Yoav</t>
  </si>
  <si>
    <t>ぱそふすきー</t>
  </si>
  <si>
    <t>よあぶ</t>
  </si>
  <si>
    <t>yoav.pasovsky.ts</t>
  </si>
  <si>
    <t>yoav.pasovsky.ts@mixi.co.jp</t>
  </si>
  <si>
    <t>秦美輝</t>
  </si>
  <si>
    <t>秦</t>
  </si>
  <si>
    <t>美輝</t>
  </si>
  <si>
    <t>はた</t>
  </si>
  <si>
    <t>みき</t>
  </si>
  <si>
    <t>miki.hata</t>
  </si>
  <si>
    <t>miki.hata@mixi.co.jp</t>
  </si>
  <si>
    <t>波多腰寛輝</t>
  </si>
  <si>
    <t>波多腰</t>
  </si>
  <si>
    <t>寛輝</t>
  </si>
  <si>
    <t>はたこし</t>
  </si>
  <si>
    <t>hiroki.hatakoshi</t>
  </si>
  <si>
    <t>hiroki.hatakoshi@mixi.co.jp</t>
  </si>
  <si>
    <t>AO083000000
AO083030100</t>
  </si>
  <si>
    <t>波田地功孝</t>
  </si>
  <si>
    <t>波田地</t>
  </si>
  <si>
    <t>功孝</t>
  </si>
  <si>
    <t>はだち</t>
  </si>
  <si>
    <t>よしたか</t>
  </si>
  <si>
    <t>yoshitaka.hadachi.ts</t>
  </si>
  <si>
    <t>yoshitaka.hadachi.ts@mixi.co.jp</t>
  </si>
  <si>
    <t>畑中俊郎</t>
  </si>
  <si>
    <t>畑中</t>
  </si>
  <si>
    <t>俊郎</t>
  </si>
  <si>
    <t>はたなか</t>
  </si>
  <si>
    <t>としお</t>
  </si>
  <si>
    <t>toshio.hatanaka</t>
  </si>
  <si>
    <t>toshio.hatanaka@mixi.co.jp</t>
  </si>
  <si>
    <t>畑野智史a</t>
  </si>
  <si>
    <t>畑野</t>
  </si>
  <si>
    <t>智史a</t>
  </si>
  <si>
    <t>はたの</t>
  </si>
  <si>
    <t>satoshi.hatano.a</t>
  </si>
  <si>
    <t>satoshi.hatano.a@mixi.co.jp</t>
  </si>
  <si>
    <t>波多野竣也</t>
  </si>
  <si>
    <t>波多野</t>
  </si>
  <si>
    <t>竣也</t>
  </si>
  <si>
    <t>しゅんや</t>
  </si>
  <si>
    <t>shunya.hatano</t>
  </si>
  <si>
    <t>shunya.hatano@mixi.co.jp</t>
  </si>
  <si>
    <t>服部成也</t>
  </si>
  <si>
    <t>服部</t>
  </si>
  <si>
    <t>成也</t>
  </si>
  <si>
    <t>はっとり</t>
  </si>
  <si>
    <t>seiya.hattori</t>
  </si>
  <si>
    <t>seiya.hattori@netdreamers.co.jp</t>
  </si>
  <si>
    <t>服部正樹</t>
  </si>
  <si>
    <t>正樹</t>
  </si>
  <si>
    <t>masaki.hattori.ts</t>
  </si>
  <si>
    <t>masaki.hattori.ts@mixi.co.jp</t>
  </si>
  <si>
    <t>服部美意</t>
  </si>
  <si>
    <t>美意</t>
  </si>
  <si>
    <t>みむね</t>
  </si>
  <si>
    <t>mimune.hattori</t>
  </si>
  <si>
    <t>mimune.hattori@mixi.co.jp</t>
  </si>
  <si>
    <t>株式会社MIXI/島村管掌/人事本部/人材開発部/採用ブランディンググループ</t>
  </si>
  <si>
    <t>AQ061070000
AX089040400</t>
  </si>
  <si>
    <t>羽鳥浩志</t>
  </si>
  <si>
    <t>羽鳥</t>
  </si>
  <si>
    <t>浩志</t>
  </si>
  <si>
    <t>はとり</t>
  </si>
  <si>
    <t>kouji.hatori</t>
  </si>
  <si>
    <t>kouji.hatori@mixi.co.jp</t>
  </si>
  <si>
    <t>株式会社MIXI/小林管掌/コンプライアンス本部/法務部/法務グループ/サービス支援チーム</t>
  </si>
  <si>
    <t>AU074010706</t>
  </si>
  <si>
    <t>花田漱介</t>
  </si>
  <si>
    <t>花田</t>
  </si>
  <si>
    <t>漱介</t>
  </si>
  <si>
    <t>はなだ</t>
  </si>
  <si>
    <t>そうすけ</t>
  </si>
  <si>
    <t>sosuke.hanada</t>
  </si>
  <si>
    <t>sosuke.hanada@mixi.co.jp</t>
  </si>
  <si>
    <t>株式会社MIXI/奥山管掌/ソーシャルベッティング事業本部/TIPSTAR事業部/プロダクト戦略グループ</t>
  </si>
  <si>
    <t>AW076021100</t>
  </si>
  <si>
    <t>羽田匡秀</t>
  </si>
  <si>
    <t>羽田</t>
  </si>
  <si>
    <t>匡秀</t>
  </si>
  <si>
    <t>はねだ</t>
  </si>
  <si>
    <t>masahide.haneda.ts</t>
  </si>
  <si>
    <t>masahide.haneda.ts@mixi.co.jp</t>
  </si>
  <si>
    <t>馬場絵美</t>
  </si>
  <si>
    <t>馬場</t>
  </si>
  <si>
    <t>ばば</t>
  </si>
  <si>
    <t>emi.baba</t>
  </si>
  <si>
    <t>emi.baba@mixi.co.jp</t>
  </si>
  <si>
    <t>馬場聡史</t>
  </si>
  <si>
    <t>聡史</t>
  </si>
  <si>
    <t>satoshi.baba</t>
  </si>
  <si>
    <t>satoshi.baba@mixi.co.jp</t>
  </si>
  <si>
    <t>馬塲士a</t>
  </si>
  <si>
    <t>馬塲</t>
  </si>
  <si>
    <t>士a</t>
  </si>
  <si>
    <t>tsukasa.baba.a</t>
  </si>
  <si>
    <t>tsukasa.baba.a@mixi.co.jp</t>
  </si>
  <si>
    <t>AR059050802</t>
  </si>
  <si>
    <t>濱彩華</t>
  </si>
  <si>
    <t>濱</t>
  </si>
  <si>
    <t>彩華</t>
  </si>
  <si>
    <t>はま</t>
  </si>
  <si>
    <t>ayaka.hama.ts</t>
  </si>
  <si>
    <t>ayaka.hama.ts@mixi.co.jp</t>
  </si>
  <si>
    <t>濱雄介</t>
  </si>
  <si>
    <t>yusuke.hama.ts</t>
  </si>
  <si>
    <t>濱崎美由紀</t>
  </si>
  <si>
    <t>濱崎</t>
  </si>
  <si>
    <t>美由紀</t>
  </si>
  <si>
    <t>はまさき</t>
  </si>
  <si>
    <t>miyuki.hamasaki.ts</t>
  </si>
  <si>
    <t>miyuki.hamasaki.ts@mixi.co.jp</t>
  </si>
  <si>
    <t>濱田愛加</t>
  </si>
  <si>
    <t>濱田</t>
  </si>
  <si>
    <t>愛加</t>
  </si>
  <si>
    <t>はまだ</t>
  </si>
  <si>
    <t>あいか</t>
  </si>
  <si>
    <t>aika.hamada</t>
  </si>
  <si>
    <t>aika.hamada@mixi.co.jp</t>
  </si>
  <si>
    <t>濱野悠介</t>
  </si>
  <si>
    <t>濱野</t>
  </si>
  <si>
    <t>はまの</t>
  </si>
  <si>
    <t>yusuke.hamano</t>
  </si>
  <si>
    <t>yusuke.hamano@mixi.co.jp</t>
  </si>
  <si>
    <t>浜村雄人</t>
  </si>
  <si>
    <t>浜村</t>
  </si>
  <si>
    <t>雄人</t>
  </si>
  <si>
    <t>はまむら</t>
  </si>
  <si>
    <t>yuto.hamamura.ts</t>
  </si>
  <si>
    <t>yuto.hamamura.ts@mixi.co.jp</t>
  </si>
  <si>
    <t>早川敦</t>
  </si>
  <si>
    <t>早川</t>
  </si>
  <si>
    <t>敦</t>
  </si>
  <si>
    <t>はやかわ</t>
  </si>
  <si>
    <t>atsushi.hayakawa</t>
  </si>
  <si>
    <t>atsushi.hayakawa@mixi.co.jp</t>
  </si>
  <si>
    <t>林英智</t>
  </si>
  <si>
    <t>林</t>
  </si>
  <si>
    <t>英智</t>
  </si>
  <si>
    <t>はやし</t>
  </si>
  <si>
    <t>えいち</t>
  </si>
  <si>
    <t>eichi.hayashi.ts</t>
  </si>
  <si>
    <t>eichi.hayashi.ts@mixi.co.jp</t>
  </si>
  <si>
    <t>林久美子</t>
  </si>
  <si>
    <t>kumiko.hayashi</t>
  </si>
  <si>
    <t>kumiko.hayashi@mixi.co.jp</t>
  </si>
  <si>
    <t>AQ087010000
AQ087020000
AQ087040100
AQ087030000</t>
  </si>
  <si>
    <t>林慎也</t>
  </si>
  <si>
    <t>shinya.hayashi.ts</t>
  </si>
  <si>
    <t>shinya.hayashi.ts@mixi.co.jp</t>
  </si>
  <si>
    <t>林崇</t>
  </si>
  <si>
    <t>崇</t>
  </si>
  <si>
    <t>takashi.hayashi</t>
  </si>
  <si>
    <t>takashi.hayashi@netdreamers.co.jp</t>
  </si>
  <si>
    <t>XM550000000
XM556000000
XM551010100</t>
  </si>
  <si>
    <t>林孝年郎</t>
  </si>
  <si>
    <t>孝年郎</t>
  </si>
  <si>
    <t>たかとしろう</t>
  </si>
  <si>
    <t>takatoshiro.hayashi</t>
  </si>
  <si>
    <t>takatoshiro.hayashi@mixi.co.jp</t>
  </si>
  <si>
    <t>林千郷</t>
  </si>
  <si>
    <t>千郷</t>
  </si>
  <si>
    <t>ちさと</t>
  </si>
  <si>
    <t>chisato.hayashi</t>
  </si>
  <si>
    <t>chisato.hayashi@mixi.co.jp</t>
  </si>
  <si>
    <t>林僚太</t>
  </si>
  <si>
    <t>僚太</t>
  </si>
  <si>
    <t>ryota.hayashi</t>
  </si>
  <si>
    <t>ryota.hayashi@mixi.co.jp</t>
  </si>
  <si>
    <t>AO082040101
AO083010500
AO083020500</t>
  </si>
  <si>
    <t>林田隼</t>
  </si>
  <si>
    <t>林田</t>
  </si>
  <si>
    <t>隼</t>
  </si>
  <si>
    <t>はやしだ</t>
  </si>
  <si>
    <t>shun.hayashida</t>
  </si>
  <si>
    <t>shun.hayashida@mixi.co.jp</t>
  </si>
  <si>
    <t>原亜理紗</t>
  </si>
  <si>
    <t>原</t>
  </si>
  <si>
    <t>亜理紗</t>
  </si>
  <si>
    <t>はら</t>
  </si>
  <si>
    <t>arisa.hara</t>
  </si>
  <si>
    <t>arisa.hara@mixi.co.jp</t>
  </si>
  <si>
    <t>原一樹</t>
  </si>
  <si>
    <t>kazuki.hara</t>
  </si>
  <si>
    <t>kazuki.hara@mixi.co.jp</t>
  </si>
  <si>
    <t>原圭裕</t>
  </si>
  <si>
    <t>圭裕</t>
  </si>
  <si>
    <t>keisuke.hara</t>
  </si>
  <si>
    <t>keisuke.hara@mixi.co.jp</t>
  </si>
  <si>
    <t>原直之</t>
  </si>
  <si>
    <t>直之</t>
  </si>
  <si>
    <t>naoyuki.hara.ts</t>
  </si>
  <si>
    <t>原麻莉乃</t>
  </si>
  <si>
    <t>麻莉乃</t>
  </si>
  <si>
    <t>まりの</t>
  </si>
  <si>
    <t>marino.hara</t>
  </si>
  <si>
    <t>marino.hara@mixi-empowerment.co.jp</t>
  </si>
  <si>
    <t>原岬</t>
  </si>
  <si>
    <t>岬</t>
  </si>
  <si>
    <t>misaki.hara</t>
  </si>
  <si>
    <t>misaki.hara@mixi.co.jp</t>
  </si>
  <si>
    <t>株式会社MIXI/奥山管掌/コーポレートデベロップメント本部/投資事業部/BPRグループ</t>
  </si>
  <si>
    <t>AW085020100</t>
  </si>
  <si>
    <t>由佳理</t>
  </si>
  <si>
    <t>yukari.hara</t>
  </si>
  <si>
    <t>yukari.hara@mixi.co.jp</t>
  </si>
  <si>
    <t>株式会社MIXI/村瀨管掌/デザイン本部/テクニカルデザイン室/テクニカルデザイングループ/R&amp;Dチーム</t>
  </si>
  <si>
    <t>AR059080102</t>
  </si>
  <si>
    <t>原田星児</t>
  </si>
  <si>
    <t>原田</t>
  </si>
  <si>
    <t>星児</t>
  </si>
  <si>
    <t>はらだ</t>
  </si>
  <si>
    <t>せいじ</t>
  </si>
  <si>
    <t>seiji.harada</t>
  </si>
  <si>
    <t>seiji.harada@mixi.co.jp</t>
  </si>
  <si>
    <t>株式会社MIXI/木村管掌/デジタルエンターテインメントオペレーションズ本部/モンスト開発部/モンストサーバ1グループ</t>
  </si>
  <si>
    <t>AO082020100
AO082050400</t>
  </si>
  <si>
    <t>針谷彩花</t>
  </si>
  <si>
    <t>針谷</t>
  </si>
  <si>
    <t>はりがい</t>
  </si>
  <si>
    <t>ayaka.harigai</t>
  </si>
  <si>
    <t>ayaka.harigai@mixi.co.jp</t>
  </si>
  <si>
    <t>春口康徳</t>
  </si>
  <si>
    <t>春口</t>
  </si>
  <si>
    <t>康徳</t>
  </si>
  <si>
    <t>はるぐち</t>
  </si>
  <si>
    <t>やすのり</t>
  </si>
  <si>
    <t>yasunori.haruguchi.ts</t>
  </si>
  <si>
    <t>比嘉証太</t>
  </si>
  <si>
    <t>比嘉</t>
  </si>
  <si>
    <t>証太</t>
  </si>
  <si>
    <t>ひが</t>
  </si>
  <si>
    <t>shota.higa.ts</t>
  </si>
  <si>
    <t>shota.higa.ts@mixi.co.jp</t>
  </si>
  <si>
    <t>檜垣俊希</t>
  </si>
  <si>
    <t>檜垣</t>
  </si>
  <si>
    <t>俊希</t>
  </si>
  <si>
    <t>ひがき</t>
  </si>
  <si>
    <t>toshiki.higaki</t>
  </si>
  <si>
    <t>toshiki.higaki@mixi.co.jp</t>
  </si>
  <si>
    <t>日景ますみ</t>
  </si>
  <si>
    <t>日景</t>
  </si>
  <si>
    <t>ひかげ</t>
  </si>
  <si>
    <t>masumi.hikage.ts</t>
  </si>
  <si>
    <t>masumi.hikage.ts@mixi.co.jp</t>
  </si>
  <si>
    <t>日笠正昭</t>
  </si>
  <si>
    <t>日笠</t>
  </si>
  <si>
    <t>正昭</t>
  </si>
  <si>
    <t>ひかさ</t>
  </si>
  <si>
    <t>まさあき</t>
  </si>
  <si>
    <t>masaaki.hikasa</t>
  </si>
  <si>
    <t>masaaki.hikasa@mixi.co.jp</t>
  </si>
  <si>
    <t>AO090040301</t>
  </si>
  <si>
    <t>日笠良亮</t>
  </si>
  <si>
    <t>良亮</t>
  </si>
  <si>
    <t>ひがさ</t>
  </si>
  <si>
    <t>ryosuke.higasa</t>
  </si>
  <si>
    <t>ryosuke.higasa@mixi.co.jp</t>
  </si>
  <si>
    <t>東理沙</t>
  </si>
  <si>
    <t>ひがし</t>
  </si>
  <si>
    <t>risa.higashi</t>
  </si>
  <si>
    <t>risa.higashi@mixi.co.jp</t>
  </si>
  <si>
    <t>樋口尚太</t>
  </si>
  <si>
    <t>樋口</t>
  </si>
  <si>
    <t>尚太</t>
  </si>
  <si>
    <t>ひぐち</t>
  </si>
  <si>
    <t>shota.higuchi.ts</t>
  </si>
  <si>
    <t>shota.higuchi.ts@mixi.co.jp</t>
  </si>
  <si>
    <t>久田将成</t>
  </si>
  <si>
    <t>久田</t>
  </si>
  <si>
    <t>将成</t>
  </si>
  <si>
    <t>ひさだ</t>
  </si>
  <si>
    <t>まさなり</t>
  </si>
  <si>
    <t>masanari.hisada</t>
  </si>
  <si>
    <t>masanari.hisada@mixi.co.jp</t>
  </si>
  <si>
    <t>久松昭</t>
  </si>
  <si>
    <t>久松</t>
  </si>
  <si>
    <t>昭</t>
  </si>
  <si>
    <t>ひさまつ</t>
  </si>
  <si>
    <t>akira.hisamatsu</t>
  </si>
  <si>
    <t>akira.hisamatsu@mixi.co.jp</t>
  </si>
  <si>
    <t>菱田志保</t>
  </si>
  <si>
    <t>菱田</t>
  </si>
  <si>
    <t>志保</t>
  </si>
  <si>
    <t>ひしだ</t>
  </si>
  <si>
    <t>shiho.hishida</t>
  </si>
  <si>
    <t>shiho.hishida@mixi.co.jp</t>
  </si>
  <si>
    <t>AR059080401</t>
  </si>
  <si>
    <t>肥田直己</t>
  </si>
  <si>
    <t>肥田</t>
  </si>
  <si>
    <t>直己</t>
  </si>
  <si>
    <t>ひだ</t>
  </si>
  <si>
    <t>naoki.hida</t>
  </si>
  <si>
    <t>naoki.hida@mixi.co.jp</t>
  </si>
  <si>
    <t>日高健策</t>
  </si>
  <si>
    <t>日高</t>
  </si>
  <si>
    <t>健策</t>
  </si>
  <si>
    <t>ひだか</t>
  </si>
  <si>
    <t>けんさく</t>
  </si>
  <si>
    <t>kensaku.hidaka</t>
  </si>
  <si>
    <t>kensaku.hidaka@mixi.co.jp</t>
  </si>
  <si>
    <t>AR059050900
AO090030300</t>
  </si>
  <si>
    <t>比奈本</t>
  </si>
  <si>
    <t>ひなもと</t>
  </si>
  <si>
    <t>shin.hinamoto</t>
  </si>
  <si>
    <t>shin.hinamoto@mixi.co.jp</t>
  </si>
  <si>
    <t>株式会社MIXI/木村管掌/デジタルエンターテインメントオペレーションズ本部/事業戦略部/IPマーケティンググループ</t>
  </si>
  <si>
    <t>AO082050400
AO082050401</t>
  </si>
  <si>
    <t>日比野光紘</t>
  </si>
  <si>
    <t>日比野</t>
  </si>
  <si>
    <t>光紘</t>
  </si>
  <si>
    <t>ひびの</t>
  </si>
  <si>
    <t>みつひろ</t>
  </si>
  <si>
    <t>mitsuhiro.hibino</t>
  </si>
  <si>
    <t>mitsuhiro.hibino@mixi.co.jp</t>
  </si>
  <si>
    <t>檜山久美子</t>
  </si>
  <si>
    <t>檜山</t>
  </si>
  <si>
    <t>ひやま</t>
  </si>
  <si>
    <t>kumiko.hiyama</t>
  </si>
  <si>
    <t>kumiko.hiyama@mixi.co.jp</t>
  </si>
  <si>
    <t>株式会社MIXI/管掌役員なし/社長室(本部格)/社長室/秘書グループ/秘書チーム</t>
  </si>
  <si>
    <t>ZZ084010201</t>
  </si>
  <si>
    <t>樋山諒</t>
  </si>
  <si>
    <t>樋山</t>
  </si>
  <si>
    <t>ryo.hiyama.ts</t>
  </si>
  <si>
    <t>ryo.hiyama.ts@mixi.co.jp</t>
  </si>
  <si>
    <t>平井こずえ</t>
  </si>
  <si>
    <t>平井</t>
  </si>
  <si>
    <t>こずえ</t>
  </si>
  <si>
    <t>ひらい</t>
  </si>
  <si>
    <t>kozue.hirai.ts</t>
  </si>
  <si>
    <t>kozue.hirai.ts@mixi.co.jp</t>
  </si>
  <si>
    <t>平井達輝</t>
  </si>
  <si>
    <t>達輝</t>
  </si>
  <si>
    <t>たつき</t>
  </si>
  <si>
    <t>tatsuki.hirai</t>
  </si>
  <si>
    <t>tatsuki.hirai@mixi.co.jp</t>
  </si>
  <si>
    <t>平出将和</t>
  </si>
  <si>
    <t>平出</t>
  </si>
  <si>
    <t>将和</t>
  </si>
  <si>
    <t>ひらいで</t>
  </si>
  <si>
    <t>まさかず</t>
  </si>
  <si>
    <t>masakazu.hiraide</t>
  </si>
  <si>
    <t>masakazu.hiraide@mixi.co.jp</t>
  </si>
  <si>
    <t>株式会社MIXI/村瀨管掌/デザイン本部/プロダクトデザイン室/エクスペリエンスデザイン第3グループ</t>
  </si>
  <si>
    <t>AR059051000</t>
  </si>
  <si>
    <t>平岡健太</t>
  </si>
  <si>
    <t>平岡</t>
  </si>
  <si>
    <t>ひらおか</t>
  </si>
  <si>
    <t>kenta.hiraoka</t>
  </si>
  <si>
    <t>kenta.hiraoka@mixi.co.jp</t>
  </si>
  <si>
    <t>AO082080900</t>
  </si>
  <si>
    <t>開</t>
  </si>
  <si>
    <t>光太朗</t>
  </si>
  <si>
    <t>ひらき</t>
  </si>
  <si>
    <t>kotaro.hiraki</t>
  </si>
  <si>
    <t>kotaro.hiraki@mixi.co.jp</t>
  </si>
  <si>
    <t>XM519000000
AX078080000</t>
  </si>
  <si>
    <t>監査役
部長</t>
  </si>
  <si>
    <t>平櫻マリア</t>
  </si>
  <si>
    <t>平櫻</t>
  </si>
  <si>
    <t>マリア</t>
  </si>
  <si>
    <t>ひらざくら</t>
  </si>
  <si>
    <t>まりあ</t>
  </si>
  <si>
    <t>maria.hirazakura</t>
  </si>
  <si>
    <t>maria.hirazakura@netdreamers.co.jp</t>
  </si>
  <si>
    <t>平澤克幸a</t>
  </si>
  <si>
    <t>平澤</t>
  </si>
  <si>
    <t>克幸a</t>
  </si>
  <si>
    <t>ひらさわ</t>
  </si>
  <si>
    <t>かつゆき</t>
  </si>
  <si>
    <t>katsuyuki.hirasawa.a.ts</t>
  </si>
  <si>
    <t>katsuyuki.hirasawa.a.ts@mixi.co.jp</t>
  </si>
  <si>
    <t>AQ087020300</t>
  </si>
  <si>
    <t>平田太一</t>
  </si>
  <si>
    <t>平田</t>
  </si>
  <si>
    <t>ひらた</t>
  </si>
  <si>
    <t>taichi.hirata</t>
  </si>
  <si>
    <t>taichi.hirata@mixi.co.jp</t>
  </si>
  <si>
    <t>株式会社MIXI/奥山管掌/コーポレートデベロップメント本部/投資事業部/投資戦略グループ</t>
  </si>
  <si>
    <t>AW085020500
AW085020600</t>
  </si>
  <si>
    <t>平田大地</t>
  </si>
  <si>
    <t>daichi.hirata</t>
  </si>
  <si>
    <t>daichi.hirata@mixi.co.jp</t>
  </si>
  <si>
    <t>平田将久a</t>
  </si>
  <si>
    <t>将久a</t>
  </si>
  <si>
    <t>のぶひさ</t>
  </si>
  <si>
    <t>nobuhisa.hirata.a</t>
  </si>
  <si>
    <t>nobuhisa.hirata.a@mixi.co.jp</t>
  </si>
  <si>
    <t>株式会社MIXI/笠原管掌/みてね事業本部/みてねプロダクト開発部</t>
  </si>
  <si>
    <t>AQ087020000
AQ087040000
AQ087020200</t>
  </si>
  <si>
    <t>平野智之</t>
  </si>
  <si>
    <t>平野</t>
  </si>
  <si>
    <t>ひらの</t>
  </si>
  <si>
    <t>tomoyuki.hirano</t>
  </si>
  <si>
    <t>tomoyuki.hirano@tbam.co.jp</t>
  </si>
  <si>
    <t>株式会社TOKYOBAYアリーナマネジメント</t>
  </si>
  <si>
    <t>株式会社TOKYOBAYアリーナマネジメント/株式会社TOKYOBAYアリーナマネジメント/営業本部/営業部</t>
  </si>
  <si>
    <t>XP539010000</t>
  </si>
  <si>
    <t>平野雄一</t>
  </si>
  <si>
    <t>yuichi.hirano.ts</t>
  </si>
  <si>
    <t>yuichi.hirano.ts@mixi.co.jp</t>
  </si>
  <si>
    <t>平野里佳</t>
  </si>
  <si>
    <t>里佳</t>
  </si>
  <si>
    <t>rika.hirano</t>
  </si>
  <si>
    <t>rika.hirano@mixi.co.jp</t>
  </si>
  <si>
    <t>平林豊</t>
  </si>
  <si>
    <t>平林</t>
  </si>
  <si>
    <t>ひらばやし</t>
  </si>
  <si>
    <t>yutaka.hirabayashi.ts</t>
  </si>
  <si>
    <t>XM523000000</t>
  </si>
  <si>
    <t>平松佳和</t>
  </si>
  <si>
    <t>平松</t>
  </si>
  <si>
    <t>佳和</t>
  </si>
  <si>
    <t>ひらまつ</t>
  </si>
  <si>
    <t>yoshikazu.hiramatsu</t>
  </si>
  <si>
    <t>yoshikazu.hiramatsu@mixi.co.jp</t>
  </si>
  <si>
    <t>平山志保</t>
  </si>
  <si>
    <t>平山</t>
  </si>
  <si>
    <t>ひらやま</t>
  </si>
  <si>
    <t>shiho.hirayama</t>
  </si>
  <si>
    <t>shiho.hirayama@mixi.co.jp</t>
  </si>
  <si>
    <t>株式会社MIXI/木村管掌/デジタルエンターテインメントオペレーションズ本部/コトダマン制作部/制作運用グループ/事業管理チーム</t>
  </si>
  <si>
    <t>AO082080900
AO082090201
AO082080000
AO082080400
AO082080700
AO082080100
AO082080600
AO082080200
AO082080800
AO082080500
AO082090100
AO082090300
AO082090400
AO082090000
AO082090500
AO082090600
AO082090200</t>
  </si>
  <si>
    <t>0
1
0
0
0
0
0
0
0
0
0
0
0
0
0
0
0</t>
  </si>
  <si>
    <t>平山隆史</t>
  </si>
  <si>
    <t>隆史</t>
  </si>
  <si>
    <t>takashi.hirayama.ts</t>
  </si>
  <si>
    <t>英輝</t>
  </si>
  <si>
    <t>hideki.hirayama</t>
  </si>
  <si>
    <t>hideki.hirayama@mixi.co.jp</t>
  </si>
  <si>
    <t>株式会社MIXI/村瀨管掌/はたらく環境推進本部</t>
  </si>
  <si>
    <t>AR091000000</t>
  </si>
  <si>
    <t>本部長</t>
  </si>
  <si>
    <t>蛭川</t>
  </si>
  <si>
    <t>幸太郎</t>
  </si>
  <si>
    <t>ひるかわ</t>
  </si>
  <si>
    <t>kotaro.hirukawa</t>
  </si>
  <si>
    <t>kotaro.hirukawa@mixi.co.jp</t>
  </si>
  <si>
    <t>広井健一郎</t>
  </si>
  <si>
    <t>広井</t>
  </si>
  <si>
    <t>健一郎</t>
  </si>
  <si>
    <t>ひろい</t>
  </si>
  <si>
    <t>けんいちろう</t>
  </si>
  <si>
    <t>kenichiro.hiroi</t>
  </si>
  <si>
    <t>kenichiro.hiroi@m-sfidante.com</t>
  </si>
  <si>
    <t>廣瀬和樹</t>
  </si>
  <si>
    <t>廣瀬</t>
  </si>
  <si>
    <t>和樹</t>
  </si>
  <si>
    <t>ひろせ</t>
  </si>
  <si>
    <t>kazuki.hirose.ts</t>
  </si>
  <si>
    <t>廣瀬未央</t>
  </si>
  <si>
    <t>未央</t>
  </si>
  <si>
    <t>みお</t>
  </si>
  <si>
    <t>mio.hirose</t>
  </si>
  <si>
    <t>mio.hirose@mixi.co.jp</t>
  </si>
  <si>
    <t>弘中椋平</t>
  </si>
  <si>
    <t>弘中</t>
  </si>
  <si>
    <t>椋平</t>
  </si>
  <si>
    <t>ひろなか</t>
  </si>
  <si>
    <t>ryohei.hironaka.ts</t>
  </si>
  <si>
    <t>ryohei.hironaka.ts@mixi.co.jp</t>
  </si>
  <si>
    <t>深津古都</t>
  </si>
  <si>
    <t>深津</t>
  </si>
  <si>
    <t>古都</t>
  </si>
  <si>
    <t>ふかつ</t>
  </si>
  <si>
    <t>こと</t>
  </si>
  <si>
    <t>koto.fukatsu</t>
  </si>
  <si>
    <t>koto.fukatsu@mixi.co.jp</t>
  </si>
  <si>
    <t>深見さとみ</t>
  </si>
  <si>
    <t>深見</t>
  </si>
  <si>
    <t>ふかみ</t>
  </si>
  <si>
    <t>satomi.fukami</t>
  </si>
  <si>
    <t>satomi.fukami@m-winc.vc</t>
  </si>
  <si>
    <t>福井なおみ</t>
  </si>
  <si>
    <t>福井</t>
  </si>
  <si>
    <t>ふくい</t>
  </si>
  <si>
    <t>naomi.fukui.ts</t>
  </si>
  <si>
    <t>naomi.fukui.ts@mixi.co.jp</t>
  </si>
  <si>
    <t>福﨑哲</t>
  </si>
  <si>
    <t>福﨑</t>
  </si>
  <si>
    <t>哲</t>
  </si>
  <si>
    <t>ふくさき</t>
  </si>
  <si>
    <t>てつ</t>
  </si>
  <si>
    <t>tetsu.fukusaki</t>
  </si>
  <si>
    <t>tetsu.fukusaki@mixi.co.jp</t>
  </si>
  <si>
    <t>福島尚貴</t>
  </si>
  <si>
    <t>福島</t>
  </si>
  <si>
    <t>尚貴</t>
  </si>
  <si>
    <t>ふくしま</t>
  </si>
  <si>
    <t>naoki.fukushima</t>
  </si>
  <si>
    <t>naoki.fukushima@mixi.co.jp</t>
  </si>
  <si>
    <t>福島直宙</t>
  </si>
  <si>
    <t>直宙</t>
  </si>
  <si>
    <t>naohiro.fukushima</t>
  </si>
  <si>
    <t>naohiro.fukushima@netdreamers.co.jp</t>
  </si>
  <si>
    <t>福島祐樹</t>
  </si>
  <si>
    <t>yuki.fukushima</t>
  </si>
  <si>
    <t>yuki.fukushima@m-chariloto.com</t>
  </si>
  <si>
    <t>福田真平</t>
  </si>
  <si>
    <t>福田</t>
  </si>
  <si>
    <t>真平</t>
  </si>
  <si>
    <t>ふくだ</t>
  </si>
  <si>
    <t>しんぺい</t>
  </si>
  <si>
    <t>shimpei.fukuda</t>
  </si>
  <si>
    <t>shimpei.fukuda@mixi.co.jp</t>
  </si>
  <si>
    <t>福田帆希</t>
  </si>
  <si>
    <t>帆希</t>
  </si>
  <si>
    <t>ほまれ</t>
  </si>
  <si>
    <t>homare.fukuda</t>
  </si>
  <si>
    <t>homare.fukuda@mixi.co.jp</t>
  </si>
  <si>
    <t>福田雄生</t>
  </si>
  <si>
    <t>雄生</t>
  </si>
  <si>
    <t>yuki.fukuda</t>
  </si>
  <si>
    <t>yuki.fukuda@mixi.co.jp</t>
  </si>
  <si>
    <t>福田理紗</t>
  </si>
  <si>
    <t>理紗</t>
  </si>
  <si>
    <t>risa.fukuda</t>
  </si>
  <si>
    <t>risa.fukuda@mixi.co.jp</t>
  </si>
  <si>
    <t>福地将明a</t>
  </si>
  <si>
    <t>福地</t>
  </si>
  <si>
    <t>将明a</t>
  </si>
  <si>
    <t>ふくち</t>
  </si>
  <si>
    <t>masaaki.fukuchi.a</t>
  </si>
  <si>
    <t>masaaki.fukuchi.a@mixi.co.jp</t>
  </si>
  <si>
    <t>AO082050402
AO082020500</t>
  </si>
  <si>
    <t>福留大輔a</t>
  </si>
  <si>
    <t>福留</t>
  </si>
  <si>
    <t>ふくどめ</t>
  </si>
  <si>
    <t>daisuke.fukudome.a</t>
  </si>
  <si>
    <t>daisuke.fukudome.a@mixi.co.jp</t>
  </si>
  <si>
    <t>福永裕幸</t>
  </si>
  <si>
    <t>福永</t>
  </si>
  <si>
    <t>裕幸</t>
  </si>
  <si>
    <t>ふくなが</t>
  </si>
  <si>
    <t>hiroyuki.fukunaga</t>
  </si>
  <si>
    <t>hiroyuki.fukunaga@mixi.co.jp</t>
  </si>
  <si>
    <t>AO082020500
AO082020507</t>
  </si>
  <si>
    <t>福原智学</t>
  </si>
  <si>
    <t>福原</t>
  </si>
  <si>
    <t>智学</t>
  </si>
  <si>
    <t>ふくはら</t>
  </si>
  <si>
    <t>ちがく</t>
  </si>
  <si>
    <t>chigaku.fukuhara</t>
  </si>
  <si>
    <t>chigaku.fukuhara@mixi.co.jp</t>
  </si>
  <si>
    <t>AO083010700
AR059080400
AR059080402
AO082090100</t>
  </si>
  <si>
    <t>マネージャー
マネージャー
リーダー
スタッフ</t>
  </si>
  <si>
    <t>福原怜</t>
  </si>
  <si>
    <t>rei.fukuhara.ts</t>
  </si>
  <si>
    <t>rei.fukuhara.ts@mixi.co.jp</t>
  </si>
  <si>
    <t>福本美緒</t>
  </si>
  <si>
    <t>福本</t>
  </si>
  <si>
    <t>美緒</t>
  </si>
  <si>
    <t>ふくもと</t>
  </si>
  <si>
    <t>mio.fukumoto.ts</t>
  </si>
  <si>
    <t>福山一道</t>
  </si>
  <si>
    <t>福山</t>
  </si>
  <si>
    <t>一道</t>
  </si>
  <si>
    <t>ふくやま</t>
  </si>
  <si>
    <t>かずみち</t>
  </si>
  <si>
    <t>kazumichi.fukuyama.ts</t>
  </si>
  <si>
    <t>藤井瞭</t>
  </si>
  <si>
    <t>藤井</t>
  </si>
  <si>
    <t>瞭</t>
  </si>
  <si>
    <t>ふじい</t>
  </si>
  <si>
    <t>akira.fujii</t>
  </si>
  <si>
    <t>akira.fujii@mixi.co.jp</t>
  </si>
  <si>
    <t>藤井達寛</t>
  </si>
  <si>
    <t>達寛</t>
  </si>
  <si>
    <t>たつひろ</t>
  </si>
  <si>
    <t>tatsuhiro.fujii</t>
  </si>
  <si>
    <t>tatsuhiro.fujii@mixi.co.jp</t>
  </si>
  <si>
    <t>藤井美穂子</t>
  </si>
  <si>
    <t>美穂子</t>
  </si>
  <si>
    <t>みほこ</t>
  </si>
  <si>
    <t>mihoko.fujii.ts</t>
  </si>
  <si>
    <t>mihoko.fujii.ts@mixi.co.jp</t>
  </si>
  <si>
    <t>藤井優a</t>
  </si>
  <si>
    <t>yu.fujii.a</t>
  </si>
  <si>
    <t>yu.fujii.a@mixi.co.jp</t>
  </si>
  <si>
    <t>藤枝真由</t>
  </si>
  <si>
    <t>藤枝</t>
  </si>
  <si>
    <t>真由</t>
  </si>
  <si>
    <t>ふじえだ</t>
  </si>
  <si>
    <t>mayu.fujieda</t>
  </si>
  <si>
    <t>mayu.fujieda@mixi.co.jp</t>
  </si>
  <si>
    <t>藤岡美佳</t>
  </si>
  <si>
    <t>藤岡</t>
  </si>
  <si>
    <t>ふじおか</t>
  </si>
  <si>
    <t>mika.fujioka</t>
  </si>
  <si>
    <t>mika.fujioka@mixi.co.jp</t>
  </si>
  <si>
    <t>藤木紫乃</t>
  </si>
  <si>
    <t>藤木</t>
  </si>
  <si>
    <t>紫乃</t>
  </si>
  <si>
    <t>ふじき</t>
  </si>
  <si>
    <t>しの</t>
  </si>
  <si>
    <t>shino.fujiki</t>
  </si>
  <si>
    <t>shino.fujiki@mixi.co.jp</t>
  </si>
  <si>
    <t>藤崎</t>
  </si>
  <si>
    <t>宏司</t>
  </si>
  <si>
    <t>ふじさき</t>
  </si>
  <si>
    <t>koji.fujisaki</t>
  </si>
  <si>
    <t>koji.fujisaki@mixi.co.jp</t>
  </si>
  <si>
    <t>藤沢周之介</t>
  </si>
  <si>
    <t>藤沢</t>
  </si>
  <si>
    <t>周之介</t>
  </si>
  <si>
    <t>ふじさわ</t>
  </si>
  <si>
    <t>しゅうのすけ</t>
  </si>
  <si>
    <t>shunosuke.fujisawa</t>
  </si>
  <si>
    <t>shunosuke.fujisawa@mixi.co.jp</t>
  </si>
  <si>
    <t>藤澤周平</t>
  </si>
  <si>
    <t>藤澤</t>
  </si>
  <si>
    <t>shuhei.fujisawa</t>
  </si>
  <si>
    <t>shuhei.fujisawa@netdreamers.co.jp</t>
  </si>
  <si>
    <t>XM556030500
XM560010100
XM560000000</t>
  </si>
  <si>
    <t>藤澤仁</t>
  </si>
  <si>
    <t>仁</t>
  </si>
  <si>
    <t>jin.fujisawa</t>
  </si>
  <si>
    <t>jin.fujisawa@mixi.co.jp</t>
  </si>
  <si>
    <t>藤代涼香</t>
  </si>
  <si>
    <t>藤代</t>
  </si>
  <si>
    <t>涼香</t>
  </si>
  <si>
    <t>ふじしろ</t>
  </si>
  <si>
    <t>すずか</t>
  </si>
  <si>
    <t>suzuka.fujishiro</t>
  </si>
  <si>
    <t>suzuka.fujishiro@mixi.co.jp</t>
  </si>
  <si>
    <t>藤田明久</t>
  </si>
  <si>
    <t>藤田</t>
  </si>
  <si>
    <t>明久</t>
  </si>
  <si>
    <t>ふじた</t>
  </si>
  <si>
    <t>あきひさ</t>
  </si>
  <si>
    <t>akihisa.fujita</t>
  </si>
  <si>
    <t>ZZ004000000</t>
  </si>
  <si>
    <t>藤田祥太</t>
  </si>
  <si>
    <t>祥太</t>
  </si>
  <si>
    <t>shota.fujita</t>
  </si>
  <si>
    <t>shota.fujita@mixi.co.jp</t>
  </si>
  <si>
    <t>藤田睦海</t>
  </si>
  <si>
    <t>睦海</t>
  </si>
  <si>
    <t>むつみ</t>
  </si>
  <si>
    <t>mutsumi.fujita.ts</t>
  </si>
  <si>
    <t>mutsumi.fujita.ts@m-sfidante.com</t>
  </si>
  <si>
    <t>藤本隆四郎</t>
  </si>
  <si>
    <t>藤本</t>
  </si>
  <si>
    <t>隆四郎</t>
  </si>
  <si>
    <t>ふじもと</t>
  </si>
  <si>
    <t>りゅうしろう</t>
  </si>
  <si>
    <t>ryushiro.fujimoto</t>
  </si>
  <si>
    <t>ryushiro.fujimoto@netdreamers.co.jp</t>
  </si>
  <si>
    <t>藤原きみ子</t>
  </si>
  <si>
    <t>藤原</t>
  </si>
  <si>
    <t>きみ子</t>
  </si>
  <si>
    <t>ふじわら</t>
  </si>
  <si>
    <t>きみこ</t>
  </si>
  <si>
    <t>kimiko.fujiwara</t>
  </si>
  <si>
    <t>kimiko.fujiwara@netdreamers.co.jp</t>
  </si>
  <si>
    <t>株式会社ネットドリーマーズ/株式会社ネットドリーマーズ/DXパートナー事業本部/広告&amp;ソリューション事業部</t>
  </si>
  <si>
    <t>XM560010000
XM560000000
XM560010100</t>
  </si>
  <si>
    <t>藤原悟</t>
  </si>
  <si>
    <t>satoru.fujiwara</t>
  </si>
  <si>
    <t>satoru.fujiwara@mixi-empowerment.co.jp</t>
  </si>
  <si>
    <t>藤原志</t>
  </si>
  <si>
    <t>志</t>
  </si>
  <si>
    <t>shin.fujiwara</t>
  </si>
  <si>
    <t>shin.fujiwara@netdreamers.co.jp</t>
  </si>
  <si>
    <t>藤原貴明a</t>
  </si>
  <si>
    <t>貴明a</t>
  </si>
  <si>
    <t>takaaki.fujiwara.a</t>
  </si>
  <si>
    <t>takaaki.fujiwara.a@mixi.co.jp</t>
  </si>
  <si>
    <t>藤原千春</t>
  </si>
  <si>
    <t>千春</t>
  </si>
  <si>
    <t>chiharu.fujiwara</t>
  </si>
  <si>
    <t>chiharu.fujiwara@mixi.co.jp</t>
  </si>
  <si>
    <t>藤原暉</t>
  </si>
  <si>
    <t>暉</t>
  </si>
  <si>
    <t>hikaru.fujiwara</t>
  </si>
  <si>
    <t>hikaru.fujiwara@mixi.co.jp</t>
  </si>
  <si>
    <t>藤原弘之</t>
  </si>
  <si>
    <t>弘之</t>
  </si>
  <si>
    <t>hiroyuki.fujiwara</t>
  </si>
  <si>
    <t>hiroyuki.fujiwara@mixi.co.jp</t>
  </si>
  <si>
    <t>布施大空</t>
  </si>
  <si>
    <t>布施</t>
  </si>
  <si>
    <t>大空</t>
  </si>
  <si>
    <t>ふせ</t>
  </si>
  <si>
    <t>haruka.fuse.ts</t>
  </si>
  <si>
    <t>haruka.fuse.ts@mixi.co.jp</t>
  </si>
  <si>
    <t>船隠</t>
  </si>
  <si>
    <t>ふながくれ</t>
  </si>
  <si>
    <t>daisuke.funagakure</t>
  </si>
  <si>
    <t>daisuke.funagakure@mixi.co.jp</t>
  </si>
  <si>
    <t>ZZ005010000
ZZ037010000
XI516000000
ZZ005010500</t>
  </si>
  <si>
    <t>室長
室長
監査役
マネージャー</t>
  </si>
  <si>
    <t>舟木洋介</t>
  </si>
  <si>
    <t>舟木</t>
  </si>
  <si>
    <t>ふなき</t>
  </si>
  <si>
    <t>yosuke.funaki.ts</t>
  </si>
  <si>
    <t>yosuke.funaki.ts@mixi.co.jp</t>
  </si>
  <si>
    <t>舟久保昇礼</t>
  </si>
  <si>
    <t>舟久保</t>
  </si>
  <si>
    <t>昇礼</t>
  </si>
  <si>
    <t>ふなくぼ</t>
  </si>
  <si>
    <t>しょうらい</t>
  </si>
  <si>
    <t>shorai.funakubo</t>
  </si>
  <si>
    <t>shorai.funakubo@mixi.co.jp</t>
  </si>
  <si>
    <t>船津奈緒子</t>
  </si>
  <si>
    <t>船津</t>
  </si>
  <si>
    <t>奈緒子</t>
  </si>
  <si>
    <t>ふなつ</t>
  </si>
  <si>
    <t>naoko.funatsu</t>
  </si>
  <si>
    <t>naoko.funatsu@mixi.co.jp</t>
  </si>
  <si>
    <t>舟山綺香</t>
  </si>
  <si>
    <t>舟山</t>
  </si>
  <si>
    <t>綺香</t>
  </si>
  <si>
    <t>ふなやま</t>
  </si>
  <si>
    <t>ayaka.funayama.ts</t>
  </si>
  <si>
    <t>ayaka.funayama.ts@mixi.co.jp</t>
  </si>
  <si>
    <t>FridmanMax</t>
  </si>
  <si>
    <t>Fridman</t>
  </si>
  <si>
    <t>Max</t>
  </si>
  <si>
    <t>ふりーどまん</t>
  </si>
  <si>
    <t>まっくす</t>
  </si>
  <si>
    <t>max.fridman.ts</t>
  </si>
  <si>
    <t>max.fridman.ts@mixi.co.jp</t>
  </si>
  <si>
    <t>古川和輝</t>
  </si>
  <si>
    <t>和輝</t>
  </si>
  <si>
    <t>ふるかわ</t>
  </si>
  <si>
    <t>kazuki.furukawa</t>
  </si>
  <si>
    <t>kazuki.furukawa@netdreamers.co.jp</t>
  </si>
  <si>
    <t>古川建</t>
  </si>
  <si>
    <t>建</t>
  </si>
  <si>
    <t>ken.furukawa</t>
  </si>
  <si>
    <t>ken.furukawa@mixi.co.jp</t>
  </si>
  <si>
    <t>株式会社MIXI/小林管掌/CS本部/CS部/健全化グループ/健全化チーム</t>
  </si>
  <si>
    <t>AU073010401</t>
  </si>
  <si>
    <t>古川太一</t>
  </si>
  <si>
    <t>taichi.furukawa</t>
  </si>
  <si>
    <t>taichi.furukawa@mixi.co.jp</t>
  </si>
  <si>
    <t>古川誠</t>
  </si>
  <si>
    <t>makoto.furukawa</t>
  </si>
  <si>
    <t>makoto.furukawa@mixi.co.jp</t>
  </si>
  <si>
    <t>株式会社MIXI/小林管掌/CS本部/CX部/Enhancementグループ</t>
  </si>
  <si>
    <t>AU073020100
AU073000000</t>
  </si>
  <si>
    <t>古澤</t>
  </si>
  <si>
    <t>祐幸</t>
  </si>
  <si>
    <t>ふるさわ</t>
  </si>
  <si>
    <t>masayuki.furusawa</t>
  </si>
  <si>
    <t>masayuki.furusawa@mixi.co.jp</t>
  </si>
  <si>
    <t>株式会社MIXI/島村管掌/経営推進本部/広報部/企業広報グループ</t>
  </si>
  <si>
    <t>AX078050100
AX078050401</t>
  </si>
  <si>
    <t>古瀬羽純</t>
  </si>
  <si>
    <t>古瀬</t>
  </si>
  <si>
    <t>羽純</t>
  </si>
  <si>
    <t>ふるせ</t>
  </si>
  <si>
    <t>はすみ</t>
  </si>
  <si>
    <t>hasumi.furuse</t>
  </si>
  <si>
    <t>hasumi.furuse@m-sfidante.com</t>
  </si>
  <si>
    <t>古田竜也</t>
  </si>
  <si>
    <t>古田</t>
  </si>
  <si>
    <t>ふるた</t>
  </si>
  <si>
    <t>tatsuya.furuta</t>
  </si>
  <si>
    <t>tatsuya.furuta@m-sfidante.com</t>
  </si>
  <si>
    <t>古橋美奈</t>
  </si>
  <si>
    <t>古橋</t>
  </si>
  <si>
    <t>美奈</t>
  </si>
  <si>
    <t>ふるはし</t>
  </si>
  <si>
    <t>mina.furuhashi.ts</t>
  </si>
  <si>
    <t>mina.furuhashi.ts@mixi.co.jp</t>
  </si>
  <si>
    <t>古谷昌昭</t>
  </si>
  <si>
    <t>古谷</t>
  </si>
  <si>
    <t>昌昭</t>
  </si>
  <si>
    <t>ふるや</t>
  </si>
  <si>
    <t>masaaki.furuya</t>
  </si>
  <si>
    <t>masaaki.furuya@netdreamers.co.jp</t>
  </si>
  <si>
    <t>株式会社ネットドリーマーズ/株式会社ネットドリーマーズ/netkeiba事業本部/次世代サービス事業部</t>
  </si>
  <si>
    <t>XM550000000
XM550050000
XM550050100</t>
  </si>
  <si>
    <t>スタッフ
部長
マネージャー</t>
  </si>
  <si>
    <t>古家睦大</t>
  </si>
  <si>
    <t>古家</t>
  </si>
  <si>
    <t>睦大</t>
  </si>
  <si>
    <t>むつひろ</t>
  </si>
  <si>
    <t>mutsuhiro.furuya.ts</t>
  </si>
  <si>
    <t>mutsuhiro.furuya.ts@mixi.co.jp</t>
  </si>
  <si>
    <t>ペークスコット</t>
  </si>
  <si>
    <t>ペーク</t>
  </si>
  <si>
    <t>スコット</t>
  </si>
  <si>
    <t>ぺーく</t>
  </si>
  <si>
    <t>すこっと</t>
  </si>
  <si>
    <t>scott.paik</t>
  </si>
  <si>
    <t>scott.paik@mixi.co.jp</t>
  </si>
  <si>
    <t>ベニーパトリック</t>
  </si>
  <si>
    <t>ベニー</t>
  </si>
  <si>
    <t>パトリック</t>
  </si>
  <si>
    <t>べにー</t>
  </si>
  <si>
    <t>ぱとりっく</t>
  </si>
  <si>
    <t>patrick.benny</t>
  </si>
  <si>
    <t>patrick.benny@mixi.co.jp</t>
  </si>
  <si>
    <t>AQ087020700
AQ087040000</t>
  </si>
  <si>
    <t>PerezDaniel</t>
  </si>
  <si>
    <t>Perez</t>
  </si>
  <si>
    <t>Daniel</t>
  </si>
  <si>
    <t>ぺれす</t>
  </si>
  <si>
    <t>だにえる</t>
  </si>
  <si>
    <t>daniel.perez.ts</t>
  </si>
  <si>
    <t>daniel.perez.ts@mixi.co.jp</t>
  </si>
  <si>
    <t>逸見考司</t>
  </si>
  <si>
    <t>逸見</t>
  </si>
  <si>
    <t>考司</t>
  </si>
  <si>
    <t>へんみ</t>
  </si>
  <si>
    <t>koji.hemmi</t>
  </si>
  <si>
    <t>koji.hemmi@mixi.co.jp</t>
  </si>
  <si>
    <t>AO082050402
AR060010000</t>
  </si>
  <si>
    <t>外尾加那</t>
  </si>
  <si>
    <t>外尾</t>
  </si>
  <si>
    <t>加那</t>
  </si>
  <si>
    <t>ほかお</t>
  </si>
  <si>
    <t>kana.hokao</t>
  </si>
  <si>
    <t>kana.hokao@mixi.co.jp</t>
  </si>
  <si>
    <t>保坂尚吾</t>
  </si>
  <si>
    <t>保坂</t>
  </si>
  <si>
    <t>尚吾</t>
  </si>
  <si>
    <t>ほさか</t>
  </si>
  <si>
    <t>shogo.hosaka</t>
  </si>
  <si>
    <t>shogo.hosaka@mixi.co.jp</t>
  </si>
  <si>
    <t>星翔太</t>
  </si>
  <si>
    <t>星</t>
  </si>
  <si>
    <t>ほし</t>
  </si>
  <si>
    <t>shota.hoshi</t>
  </si>
  <si>
    <t>shota.hoshi@mixi.co.jp</t>
  </si>
  <si>
    <t>株式会社MIXI/管掌役員なし/社長室(本部格)/社長室/タスクフォースグループ</t>
  </si>
  <si>
    <t>ZZ084010300</t>
  </si>
  <si>
    <t>星野愛良</t>
  </si>
  <si>
    <t>星野</t>
  </si>
  <si>
    <t>愛良</t>
  </si>
  <si>
    <t>ほしの</t>
  </si>
  <si>
    <t>あいら</t>
  </si>
  <si>
    <t>aila.hoshino</t>
  </si>
  <si>
    <t>aila.hoshino@mixi.co.jp</t>
  </si>
  <si>
    <t>星野優子</t>
  </si>
  <si>
    <t>yuko.hoshino.ts</t>
  </si>
  <si>
    <t>yuko.hoshino.ts@mixi.co.jp</t>
  </si>
  <si>
    <t>細木孝一郎</t>
  </si>
  <si>
    <t>細木</t>
  </si>
  <si>
    <t>孝一郎</t>
  </si>
  <si>
    <t>ほそき</t>
  </si>
  <si>
    <t>koichiro.hosoki</t>
  </si>
  <si>
    <t>koichiro.hosoki@mixi.co.jp</t>
  </si>
  <si>
    <t>細田恵満</t>
  </si>
  <si>
    <t>細田</t>
  </si>
  <si>
    <t>恵満</t>
  </si>
  <si>
    <t>ほそだ</t>
  </si>
  <si>
    <t>emi.hosoda</t>
  </si>
  <si>
    <t>emi.hosoda@mixi.co.jp</t>
  </si>
  <si>
    <t>細野知晃a</t>
  </si>
  <si>
    <t>細野</t>
  </si>
  <si>
    <t>知晃a</t>
  </si>
  <si>
    <t>ほその</t>
  </si>
  <si>
    <t>ともあき</t>
  </si>
  <si>
    <t>tomoaki.hosono.a.ts</t>
  </si>
  <si>
    <t>tomoaki.hosono.a.ts@mixi.co.jp</t>
  </si>
  <si>
    <t>洞口茂宣</t>
  </si>
  <si>
    <t>洞口</t>
  </si>
  <si>
    <t>茂宣</t>
  </si>
  <si>
    <t>ほらぐち</t>
  </si>
  <si>
    <t>shigenobu.horaguchi</t>
  </si>
  <si>
    <t>shigenobu.horaguchi@mixi.co.jp</t>
  </si>
  <si>
    <t>株式会社MIXI/村瀨管掌/デザイン本部/テクニカルデザイン室/デジタルエンターテインメント支援グループ/3D第1チーム</t>
  </si>
  <si>
    <t>AR059080403</t>
  </si>
  <si>
    <t>堀高喜</t>
  </si>
  <si>
    <t>堀</t>
  </si>
  <si>
    <t>高喜</t>
  </si>
  <si>
    <t>ほり</t>
  </si>
  <si>
    <t>takayoshi.hori.ts</t>
  </si>
  <si>
    <t>takayoshi.hori.ts@mixi.co.jp</t>
  </si>
  <si>
    <t>堀内梓</t>
  </si>
  <si>
    <t>堀内</t>
  </si>
  <si>
    <t>ほりうち</t>
  </si>
  <si>
    <t>azusa.horiuchi</t>
  </si>
  <si>
    <t>azusa.horiuchi@mixi.co.jp</t>
  </si>
  <si>
    <t>堀内佳苗</t>
  </si>
  <si>
    <t>佳苗</t>
  </si>
  <si>
    <t>かなえ</t>
  </si>
  <si>
    <t>kanae.horiuchi</t>
  </si>
  <si>
    <t>kanae.horiuchi@mixi.co.jp</t>
  </si>
  <si>
    <t>株式会社MIXI/村瀨管掌/はたらく環境推進本部/コーポレートITサービス部/事業サポートグループ</t>
  </si>
  <si>
    <t>AR091010100
AR091010102</t>
  </si>
  <si>
    <t>堀内達雄</t>
  </si>
  <si>
    <t>達雄</t>
  </si>
  <si>
    <t>たつお</t>
  </si>
  <si>
    <t>tatsuo.horiuchi.ts</t>
  </si>
  <si>
    <t>tatsuo.horiuchi.ts@mixi.co.jp</t>
  </si>
  <si>
    <t>堀江一輝</t>
  </si>
  <si>
    <t>堀江</t>
  </si>
  <si>
    <t>ほりえ</t>
  </si>
  <si>
    <t>kazuki.horie.ts</t>
  </si>
  <si>
    <t>kazuki.horie.ts@mixi.co.jp</t>
  </si>
  <si>
    <t>AW076020707
AW076021400</t>
  </si>
  <si>
    <t>信弘</t>
  </si>
  <si>
    <t>のぶひろ</t>
  </si>
  <si>
    <t>nobuhiro.horie</t>
  </si>
  <si>
    <t>nobuhiro.horie@mixi.co.jp</t>
  </si>
  <si>
    <t>AX089030100
AX089030200
AX089080400
AX089080100</t>
  </si>
  <si>
    <t>洪ミニ</t>
  </si>
  <si>
    <t>洪</t>
  </si>
  <si>
    <t>ミニ</t>
  </si>
  <si>
    <t>ほん</t>
  </si>
  <si>
    <t>みに</t>
  </si>
  <si>
    <t>mineui.hong</t>
  </si>
  <si>
    <t>mineui.hong@mixi.co.jp</t>
  </si>
  <si>
    <t>本多航</t>
  </si>
  <si>
    <t>本多</t>
  </si>
  <si>
    <t>ほんだ</t>
  </si>
  <si>
    <t>wataru.honda</t>
  </si>
  <si>
    <t>wataru.honda@mixi.co.jp</t>
  </si>
  <si>
    <t>XI516000000
XM556030300
AU073010401</t>
  </si>
  <si>
    <t>本間達也</t>
  </si>
  <si>
    <t>本間</t>
  </si>
  <si>
    <t>ほんま</t>
  </si>
  <si>
    <t>tatsuya.homma.ts</t>
  </si>
  <si>
    <t>tatsuya.homma.ts@mixi.co.jp</t>
  </si>
  <si>
    <t>本間達也a</t>
  </si>
  <si>
    <t>達也a</t>
  </si>
  <si>
    <t>tatsuya.homma</t>
  </si>
  <si>
    <t>tatsuya.homma@m-lovegraph.com</t>
  </si>
  <si>
    <t>本間知和</t>
  </si>
  <si>
    <t>知和</t>
  </si>
  <si>
    <t>tomokazu.homma</t>
  </si>
  <si>
    <t>tomokazu.homma@mixi.co.jp</t>
  </si>
  <si>
    <t>本間匡晃</t>
  </si>
  <si>
    <t>匡晃</t>
  </si>
  <si>
    <t>まさてる</t>
  </si>
  <si>
    <t>masateru.homma</t>
  </si>
  <si>
    <t>masateru.homma@mixi.co.jp</t>
  </si>
  <si>
    <t>本間光宣</t>
  </si>
  <si>
    <t>光宣</t>
  </si>
  <si>
    <t>みつのぶ</t>
  </si>
  <si>
    <t>mitsunobu.homma</t>
  </si>
  <si>
    <t>mitsunobu.homma@mixi.co.jp</t>
  </si>
  <si>
    <t>株式会社MIXI/笠原管掌/Vantageスタジオ/minimo事業部/プロダクト開発グループ</t>
  </si>
  <si>
    <t>AQ061070403
AQ061071900
AQ061071903
AQ061071902</t>
  </si>
  <si>
    <t>リーダー
マネージャー
リーダー
リーダー</t>
  </si>
  <si>
    <t>本間靖直</t>
  </si>
  <si>
    <t>靖直</t>
  </si>
  <si>
    <t>やすなお</t>
  </si>
  <si>
    <t>yasunao.homma.ts</t>
  </si>
  <si>
    <t>yasunao.homma.ts@mixi.co.jp</t>
  </si>
  <si>
    <t>前澤敏之</t>
  </si>
  <si>
    <t>前澤</t>
  </si>
  <si>
    <t>敏之</t>
  </si>
  <si>
    <t>まえざわ</t>
  </si>
  <si>
    <t>toshiyuki.maezawa</t>
  </si>
  <si>
    <t>toshiyuki.maezawa@mixi.co.jp</t>
  </si>
  <si>
    <t>前島遥</t>
  </si>
  <si>
    <t>前島</t>
  </si>
  <si>
    <t>まえじま</t>
  </si>
  <si>
    <t>haruka.maejima</t>
  </si>
  <si>
    <t>haruka.maejima@mixi.co.jp</t>
  </si>
  <si>
    <t>スタッフ
スタッフ
リーダー
スタッフ</t>
  </si>
  <si>
    <t>前田恵里奈</t>
  </si>
  <si>
    <t>前田</t>
  </si>
  <si>
    <t>恵里奈</t>
  </si>
  <si>
    <t>まえだ</t>
  </si>
  <si>
    <t>erina.maeda</t>
  </si>
  <si>
    <t>erina.maeda@netdreamers.co.jp</t>
  </si>
  <si>
    <t>XM556000000
XM556010300</t>
  </si>
  <si>
    <t>前田幹太</t>
  </si>
  <si>
    <t>幹太</t>
  </si>
  <si>
    <t>かんた</t>
  </si>
  <si>
    <t>kanta.maeda</t>
  </si>
  <si>
    <t>kanta.maeda@mixi.co.jp</t>
  </si>
  <si>
    <t>前田久美子</t>
  </si>
  <si>
    <t>kumiko.maeda</t>
  </si>
  <si>
    <t>kumiko.maeda@mixi.co.jp</t>
  </si>
  <si>
    <t>AX078010300
AX078010100</t>
  </si>
  <si>
    <t>前田ちとせ</t>
  </si>
  <si>
    <t>ちとせ</t>
  </si>
  <si>
    <t>chitose.maeda</t>
  </si>
  <si>
    <t>chitose.maeda@mixi.co.jp</t>
  </si>
  <si>
    <t>前田信子</t>
  </si>
  <si>
    <t>信子</t>
  </si>
  <si>
    <t>のぶこ</t>
  </si>
  <si>
    <t>nobuko.maeda.ts</t>
  </si>
  <si>
    <t>nobuko.maeda.ts@mixi.co.jp</t>
  </si>
  <si>
    <t>前野友希</t>
  </si>
  <si>
    <t>前野</t>
  </si>
  <si>
    <t>まえの</t>
  </si>
  <si>
    <t>yuki.maeno</t>
  </si>
  <si>
    <t>yuki.maeno@mixi.co.jp</t>
  </si>
  <si>
    <t>牧田光平</t>
  </si>
  <si>
    <t>牧田</t>
  </si>
  <si>
    <t>まきた</t>
  </si>
  <si>
    <t>kohei.makita</t>
  </si>
  <si>
    <t>kohei.makita@mixi.co.jp</t>
  </si>
  <si>
    <t>益子哲也</t>
  </si>
  <si>
    <t>益子</t>
  </si>
  <si>
    <t>ましこ</t>
  </si>
  <si>
    <t>mashiko</t>
  </si>
  <si>
    <t>mashiko@mixi.co.jp</t>
  </si>
  <si>
    <t>桝井菜央</t>
  </si>
  <si>
    <t>桝井</t>
  </si>
  <si>
    <t>菜央</t>
  </si>
  <si>
    <t>ますい</t>
  </si>
  <si>
    <t>nao.masui.ts</t>
  </si>
  <si>
    <t>nao.masui.ts@mixi.co.jp</t>
  </si>
  <si>
    <t>増岡孝真</t>
  </si>
  <si>
    <t>増岡</t>
  </si>
  <si>
    <t>孝真</t>
  </si>
  <si>
    <t>ますおか</t>
  </si>
  <si>
    <t>takami.masuoka</t>
  </si>
  <si>
    <t>takami.masuoka@mixi.co.jp</t>
  </si>
  <si>
    <t>株式会社MIXI/管掌役員なし/内部監査室(本部格)/内部監査室/ガバナンス支援グループ</t>
  </si>
  <si>
    <t>ZZ005010500
XI516000000</t>
  </si>
  <si>
    <t>増村龍哉</t>
  </si>
  <si>
    <t>増村</t>
  </si>
  <si>
    <t>龍哉</t>
  </si>
  <si>
    <t>ますむら</t>
  </si>
  <si>
    <t>tatsuya.masumura</t>
  </si>
  <si>
    <t>tatsuya.masumura@m-sfidante.com</t>
  </si>
  <si>
    <t>増山広幸</t>
  </si>
  <si>
    <t>増山</t>
  </si>
  <si>
    <t>ますやま</t>
  </si>
  <si>
    <t>hiroyuki.masuyama</t>
  </si>
  <si>
    <t>hiroyuki.masuyama@mixi.co.jp</t>
  </si>
  <si>
    <t>株式会社MIXI/村瀨管掌/はたらく環境推進本部/ビジネスサポート室/アプリサービス渉外グループ</t>
  </si>
  <si>
    <t>AR091040200</t>
  </si>
  <si>
    <t>間瀬</t>
  </si>
  <si>
    <t>琴巳</t>
  </si>
  <si>
    <t>ませ</t>
  </si>
  <si>
    <t>ことみ</t>
  </si>
  <si>
    <t>kotomi.mase</t>
  </si>
  <si>
    <t>kotomi.mase@mixi.co.jp</t>
  </si>
  <si>
    <t>AR060010000
AO082020202
AR060051000
AR060040000
AR060060000</t>
  </si>
  <si>
    <t>町井</t>
  </si>
  <si>
    <t>まちい</t>
  </si>
  <si>
    <t>kaori.machii</t>
  </si>
  <si>
    <t>kaori.machii@mixi.co.jp</t>
  </si>
  <si>
    <t>AX078050302
AX078050401
AX078050101</t>
  </si>
  <si>
    <t>町屋篤実</t>
  </si>
  <si>
    <t>町屋</t>
  </si>
  <si>
    <t>篤実</t>
  </si>
  <si>
    <t>まちや</t>
  </si>
  <si>
    <t>atsumi.machiya</t>
  </si>
  <si>
    <t>atsumi.machiya@mixi.co.jp</t>
  </si>
  <si>
    <t>AU073020203</t>
  </si>
  <si>
    <t>松井啓世</t>
  </si>
  <si>
    <t>松井</t>
  </si>
  <si>
    <t>啓世</t>
  </si>
  <si>
    <t>まつい</t>
  </si>
  <si>
    <t>akiyo.matsui</t>
  </si>
  <si>
    <t>akiyo.matsui@mixi.co.jp</t>
  </si>
  <si>
    <t>AO082050402
AR060011200</t>
  </si>
  <si>
    <t>松井直樹</t>
  </si>
  <si>
    <t>naoki.matsui</t>
  </si>
  <si>
    <t>naoki.matsui@netdreamers.co.jp</t>
  </si>
  <si>
    <t>XM551010200
XM551000000</t>
  </si>
  <si>
    <t>松井隆侍</t>
  </si>
  <si>
    <t>隆侍</t>
  </si>
  <si>
    <t>ryuji.matsui</t>
  </si>
  <si>
    <t>ryuji.matsui@mixi.co.jp</t>
  </si>
  <si>
    <t>松石浩輔</t>
  </si>
  <si>
    <t>松石</t>
  </si>
  <si>
    <t>浩輔</t>
  </si>
  <si>
    <t>まついし</t>
  </si>
  <si>
    <t>kosuke.matsuishi</t>
  </si>
  <si>
    <t>kosuke.matsuishi@mixi.co.jp</t>
  </si>
  <si>
    <t>松浦誉a</t>
  </si>
  <si>
    <t>松浦</t>
  </si>
  <si>
    <t>誉a</t>
  </si>
  <si>
    <t>まつうら</t>
  </si>
  <si>
    <t>homare.matsura.a</t>
  </si>
  <si>
    <t>homare.matsura.a@mixi.co.jp</t>
  </si>
  <si>
    <t>株式会社MIXI/木村管掌/デジタルエンターテインメントオペレーションズ本部/宣伝部/デジタルマーケティンググループ/離反復帰チーム</t>
  </si>
  <si>
    <t>AO082030205</t>
  </si>
  <si>
    <t>松尾涼夏</t>
  </si>
  <si>
    <t>松尾</t>
  </si>
  <si>
    <t>涼夏</t>
  </si>
  <si>
    <t>まつお</t>
  </si>
  <si>
    <t>suzuka.matsuo</t>
  </si>
  <si>
    <t>suzuka.matsuo@mixi.co.jp</t>
  </si>
  <si>
    <t>松尾颯大</t>
  </si>
  <si>
    <t>sota.matsuo</t>
  </si>
  <si>
    <t>sota.matsuo@mixi.co.jp</t>
  </si>
  <si>
    <t>AQ087020600</t>
  </si>
  <si>
    <t>松尾雄司</t>
  </si>
  <si>
    <t>雄司</t>
  </si>
  <si>
    <t>yuji.matsuo</t>
  </si>
  <si>
    <t>yuji.matsuo@mixi.co.jp</t>
  </si>
  <si>
    <t>株式会社MIXI/木村管掌/デジタルエンターテインメントオペレーションズ本部/宣伝部/デジタルマーケティンググループ</t>
  </si>
  <si>
    <t>AO082030200</t>
  </si>
  <si>
    <t>松岡涼</t>
  </si>
  <si>
    <t>松岡</t>
  </si>
  <si>
    <t>まつおか</t>
  </si>
  <si>
    <t>ryo.matsuoka</t>
  </si>
  <si>
    <t>ryo.matsuoka@mixi.co.jp</t>
  </si>
  <si>
    <t>松木謙介</t>
  </si>
  <si>
    <t>松木</t>
  </si>
  <si>
    <t>謙介</t>
  </si>
  <si>
    <t>まつき</t>
  </si>
  <si>
    <t>kensuke.matsuki</t>
  </si>
  <si>
    <t>kensuke.matsuki@mixi.co.jp</t>
  </si>
  <si>
    <t>松﨑恵奈</t>
  </si>
  <si>
    <t>松﨑</t>
  </si>
  <si>
    <t>恵奈</t>
  </si>
  <si>
    <t>まつざき</t>
  </si>
  <si>
    <t>えな</t>
  </si>
  <si>
    <t>ena.matsuzaki</t>
  </si>
  <si>
    <t>ena.matsuzaki@mixi.co.jp</t>
  </si>
  <si>
    <t>松崎貴宏</t>
  </si>
  <si>
    <t>松崎</t>
  </si>
  <si>
    <t>貴宏</t>
  </si>
  <si>
    <t>takahiro.matsuzaki.ts</t>
  </si>
  <si>
    <t>takahiro.matsuzaki.ts@mixi.co.jp</t>
  </si>
  <si>
    <t>徳子</t>
  </si>
  <si>
    <t>noriko.matsuzaki</t>
  </si>
  <si>
    <t>noriko.matsuzaki@mixi.co.jp</t>
  </si>
  <si>
    <t>スタッフ
スタッフ
スタッフ
スタッフ
スタッフ
スタッフ
スタッフ
スタッフ
スタッフ
スタッフ
スタッフ
スタッフ
スタッフ
スタッフ
スタッフ
リーダー
スタッフ
スタッフ
スタッフ
スタッフ
スタッフ
スタッフ</t>
  </si>
  <si>
    <t>松澤佑亮</t>
  </si>
  <si>
    <t>松澤</t>
  </si>
  <si>
    <t>佑亮</t>
  </si>
  <si>
    <t>まつざわ</t>
  </si>
  <si>
    <t>yusuke.matsuzawa</t>
  </si>
  <si>
    <t>yusuke.matsuzawa@mixi.co.jp</t>
  </si>
  <si>
    <t>松島匠人</t>
  </si>
  <si>
    <t>松島</t>
  </si>
  <si>
    <t>匠人</t>
  </si>
  <si>
    <t>まつしま</t>
  </si>
  <si>
    <t>naruhito.matsushima</t>
  </si>
  <si>
    <t>naruhito.matsushima@netdreamers.co.jp</t>
  </si>
  <si>
    <t>松田英作</t>
  </si>
  <si>
    <t>松田</t>
  </si>
  <si>
    <t>英作</t>
  </si>
  <si>
    <t>まつだ</t>
  </si>
  <si>
    <t>えいさく</t>
  </si>
  <si>
    <t>eisaku.matsuda.ts</t>
  </si>
  <si>
    <t>松田徹a</t>
  </si>
  <si>
    <t>徹a</t>
  </si>
  <si>
    <t>toru.matsuda.a.ts</t>
  </si>
  <si>
    <t>toru.matsuda.a.ts@m-sfidante.com</t>
  </si>
  <si>
    <t>松田征己</t>
  </si>
  <si>
    <t>征己</t>
  </si>
  <si>
    <t>masaki.matsuda</t>
  </si>
  <si>
    <t>masaki.matsuda@mixi.co.jp</t>
  </si>
  <si>
    <t>松平礼史</t>
  </si>
  <si>
    <t>松平</t>
  </si>
  <si>
    <t>礼史</t>
  </si>
  <si>
    <t>まつだいら</t>
  </si>
  <si>
    <t>れいじ</t>
  </si>
  <si>
    <t>reiji.matsudaira</t>
  </si>
  <si>
    <t>reiji.matsudaira@mixi.co.jp</t>
  </si>
  <si>
    <t>松永宗士</t>
  </si>
  <si>
    <t>松永</t>
  </si>
  <si>
    <t>宗士</t>
  </si>
  <si>
    <t>まつなが</t>
  </si>
  <si>
    <t>そうし</t>
  </si>
  <si>
    <t>soshi.matsunaga</t>
  </si>
  <si>
    <t>soshi.matsunaga@mixi.co.jp</t>
  </si>
  <si>
    <t>松野真一</t>
  </si>
  <si>
    <t>松野</t>
  </si>
  <si>
    <t>まつの</t>
  </si>
  <si>
    <t>shinichi.matsuno.ts</t>
  </si>
  <si>
    <t>shinichi.matsuno.ts@mixi.co.jp</t>
  </si>
  <si>
    <t>株式会社MIXI/村瀨管掌/はたらく環境推進本部/コーポレートITサービス部/安全保障グループ/SOCチーム</t>
  </si>
  <si>
    <t>AR091010302</t>
  </si>
  <si>
    <t>松野翔馬</t>
  </si>
  <si>
    <t>翔馬</t>
  </si>
  <si>
    <t>ひょうま</t>
  </si>
  <si>
    <t>hyoma.matsuno</t>
  </si>
  <si>
    <t>hyoma.matsuno@mixi.co.jp</t>
  </si>
  <si>
    <t>松原あゆみ</t>
  </si>
  <si>
    <t>松原</t>
  </si>
  <si>
    <t>まつばら</t>
  </si>
  <si>
    <t>ayumi.matsubara</t>
  </si>
  <si>
    <t>ayumi.matsubara@mixi.co.jp</t>
  </si>
  <si>
    <t>松原孝宏</t>
  </si>
  <si>
    <t>孝宏</t>
  </si>
  <si>
    <t>takahiro.matsubara</t>
  </si>
  <si>
    <t>takahiro.matsubara@mixi.co.jp</t>
  </si>
  <si>
    <t>株式会社MIXI/島村管掌/経営推進本部/グループ会社統括支援部/主計第1グループ</t>
  </si>
  <si>
    <t>AX078080100</t>
  </si>
  <si>
    <t>松原信忠</t>
  </si>
  <si>
    <t>信忠</t>
  </si>
  <si>
    <t>のぶただ</t>
  </si>
  <si>
    <t>nobutada.matsubara</t>
  </si>
  <si>
    <t>nobutada.matsubara@mixi.co.jp</t>
  </si>
  <si>
    <t>松元綾香a</t>
  </si>
  <si>
    <t>松元</t>
  </si>
  <si>
    <t>綾香a</t>
  </si>
  <si>
    <t>まつもと</t>
  </si>
  <si>
    <t>ayaka.matsumoto.a</t>
  </si>
  <si>
    <t>ayaka.matsumoto.a@mixi.co.jp</t>
  </si>
  <si>
    <t>株式会社MIXI/奥山管掌/ソーシャルベッティング事業本部/TIPSTAR事業部/デザイングループ/グラフィックデザインチーム</t>
  </si>
  <si>
    <t>AW076021302</t>
  </si>
  <si>
    <t>松本進太郎</t>
  </si>
  <si>
    <t>松本</t>
  </si>
  <si>
    <t>進太郎</t>
  </si>
  <si>
    <t>shintaro.matsumoto</t>
  </si>
  <si>
    <t>shintaro.matsumoto@netdreamers.co.jp</t>
  </si>
  <si>
    <t>松本大志</t>
  </si>
  <si>
    <t>大志</t>
  </si>
  <si>
    <t>たいし</t>
  </si>
  <si>
    <t>taishi.matsumoto</t>
  </si>
  <si>
    <t>taishi.matsumoto@mixi.co.jp</t>
  </si>
  <si>
    <t>AR060050100
AW076030500
XI516000000
AQ087020701</t>
  </si>
  <si>
    <t>松本太寛</t>
  </si>
  <si>
    <t>太寛</t>
  </si>
  <si>
    <t>takahiro.matsumoto</t>
  </si>
  <si>
    <t>takahiro.matsumoto@mixi.co.jp</t>
  </si>
  <si>
    <t>松本雅史</t>
  </si>
  <si>
    <t>masafumi.matsumoto</t>
  </si>
  <si>
    <t>masafumi.matsumoto@m-sfidante.com</t>
  </si>
  <si>
    <t>松本美紅</t>
  </si>
  <si>
    <t>美紅</t>
  </si>
  <si>
    <t>みく</t>
  </si>
  <si>
    <t>miku.matsumoto</t>
  </si>
  <si>
    <t>miku.matsumoto@mixi.co.jp</t>
  </si>
  <si>
    <t>株式会社MIXI/小林管掌/コンプライアンス本部/法務部/オペレーショングループ/オペレーションチーム</t>
  </si>
  <si>
    <t>AU074010601</t>
  </si>
  <si>
    <t>松本美穂</t>
  </si>
  <si>
    <t>miho.matsumoto</t>
  </si>
  <si>
    <t>miho.matsumoto@mixi.co.jp</t>
  </si>
  <si>
    <t>松本美優</t>
  </si>
  <si>
    <t>美優</t>
  </si>
  <si>
    <t>みゆう</t>
  </si>
  <si>
    <t>miyu.matsumoto</t>
  </si>
  <si>
    <t>miyu.matsumoto@mixi.co.jp</t>
  </si>
  <si>
    <t>松本悠紀</t>
  </si>
  <si>
    <t>悠紀</t>
  </si>
  <si>
    <t>yuki.matsumoto</t>
  </si>
  <si>
    <t>yuki.matsumoto@mixi.co.jp</t>
  </si>
  <si>
    <t>松矢晃太朗</t>
  </si>
  <si>
    <t>松矢</t>
  </si>
  <si>
    <t>まつや</t>
  </si>
  <si>
    <t>kotaro.matsuya</t>
  </si>
  <si>
    <t>kotaro.matsuya@mixi.co.jp</t>
  </si>
  <si>
    <t>松谷峰生</t>
  </si>
  <si>
    <t>松谷</t>
  </si>
  <si>
    <t>峰生</t>
  </si>
  <si>
    <t>みねお</t>
  </si>
  <si>
    <t>mineo.matsuya</t>
  </si>
  <si>
    <t>mineo.matsuya@mixi.co.jp</t>
  </si>
  <si>
    <t>AR060011000
AQ061050300
AQ061050100</t>
  </si>
  <si>
    <t>松山結子</t>
  </si>
  <si>
    <t>松山</t>
  </si>
  <si>
    <t>結子</t>
  </si>
  <si>
    <t>まつやま</t>
  </si>
  <si>
    <t>ゆいこ</t>
  </si>
  <si>
    <t>yuiko.matsuyama</t>
  </si>
  <si>
    <t>yuiko.matsuyama@mixi.co.jp</t>
  </si>
  <si>
    <t>的場貴徳</t>
  </si>
  <si>
    <t>的場</t>
  </si>
  <si>
    <t>貴徳</t>
  </si>
  <si>
    <t>まとば</t>
  </si>
  <si>
    <t>takanori.matoba</t>
  </si>
  <si>
    <t>takanori.matoba@mixi.co.jp</t>
  </si>
  <si>
    <t>株式会社MIXI/木村管掌/デジタルエンターテインメントオペレーションズ本部/コトダマン運営部/プロダクト開発Aグループ</t>
  </si>
  <si>
    <t>AO082080100</t>
  </si>
  <si>
    <t>間邊覚</t>
  </si>
  <si>
    <t>間邊</t>
  </si>
  <si>
    <t>覚</t>
  </si>
  <si>
    <t>まなべ</t>
  </si>
  <si>
    <t>satoru.manabe.ts</t>
  </si>
  <si>
    <t>satoru.manabe.ts@netdreamers.co.jp</t>
  </si>
  <si>
    <t>XM556010200</t>
  </si>
  <si>
    <t>間宮彩花</t>
  </si>
  <si>
    <t>間宮</t>
  </si>
  <si>
    <t>まみや</t>
  </si>
  <si>
    <t>ayaka.mamiya</t>
  </si>
  <si>
    <t>ayaka.mamiya@mixi.co.jp</t>
  </si>
  <si>
    <t>丸岡崇人</t>
  </si>
  <si>
    <t>丸岡</t>
  </si>
  <si>
    <t>崇人</t>
  </si>
  <si>
    <t>まるおか</t>
  </si>
  <si>
    <t>takahito.maruoka</t>
  </si>
  <si>
    <t>takahito.maruoka@mixi.co.jp</t>
  </si>
  <si>
    <t>丸山兼五</t>
  </si>
  <si>
    <t>丸山</t>
  </si>
  <si>
    <t>兼五</t>
  </si>
  <si>
    <t>まるやま</t>
  </si>
  <si>
    <t>kengo.maruyama</t>
  </si>
  <si>
    <t>kengo.maruyama@mixi.co.jp</t>
  </si>
  <si>
    <t>丸山勇太</t>
  </si>
  <si>
    <t>yuta.maruyama</t>
  </si>
  <si>
    <t>yuta.maruyama@mixi.co.jp</t>
  </si>
  <si>
    <t>三浦一世</t>
  </si>
  <si>
    <t>三浦</t>
  </si>
  <si>
    <t>一世</t>
  </si>
  <si>
    <t>みうら</t>
  </si>
  <si>
    <t>いっせい</t>
  </si>
  <si>
    <t>issei.miura.ts</t>
  </si>
  <si>
    <t>三浦香苗</t>
  </si>
  <si>
    <t>香苗</t>
  </si>
  <si>
    <t>kanae.miura</t>
  </si>
  <si>
    <t>kanae.miura@netdreamers.co.jp</t>
  </si>
  <si>
    <t>三浦啓太郎</t>
  </si>
  <si>
    <t>啓太郎</t>
  </si>
  <si>
    <t>keitaro.miura</t>
  </si>
  <si>
    <t>keitaro.miura@netdreamers.co.jp</t>
  </si>
  <si>
    <t>三浦友浩</t>
  </si>
  <si>
    <t>友浩</t>
  </si>
  <si>
    <t>tomohiro.miura.ts</t>
  </si>
  <si>
    <t>tomohiro.miura.ts@netdreamers.co.jp</t>
  </si>
  <si>
    <t>XM550020100</t>
  </si>
  <si>
    <t>三浦弘幹</t>
  </si>
  <si>
    <t>弘幹</t>
  </si>
  <si>
    <t>hiroki.miura.ts</t>
  </si>
  <si>
    <t>hiroki.miura.ts@mixi.co.jp</t>
  </si>
  <si>
    <t>三上丸雲</t>
  </si>
  <si>
    <t>三上</t>
  </si>
  <si>
    <t>丸雲</t>
  </si>
  <si>
    <t>みかみ</t>
  </si>
  <si>
    <t>あなん</t>
  </si>
  <si>
    <t>anan.mikami.ts</t>
  </si>
  <si>
    <t>anan.mikami.ts@mixi.co.jp</t>
  </si>
  <si>
    <t>三上隼人</t>
  </si>
  <si>
    <t>隼人</t>
  </si>
  <si>
    <t>hayato.mikami</t>
  </si>
  <si>
    <t>hayato.mikami@mixi.co.jp</t>
  </si>
  <si>
    <t>AR060011600
AO083020600</t>
  </si>
  <si>
    <t>三上寛史</t>
  </si>
  <si>
    <t>寛史</t>
  </si>
  <si>
    <t>hiroshi.mikami</t>
  </si>
  <si>
    <t>hiroshi.mikami@mixi.co.jp</t>
  </si>
  <si>
    <t>株式会社MIXI/笠原管掌/Vantageスタジオ/Romi事業部/開発グループ/開発チーム</t>
  </si>
  <si>
    <t>AQ061050101
AQ061030102</t>
  </si>
  <si>
    <t>三木香奈</t>
  </si>
  <si>
    <t>三木</t>
  </si>
  <si>
    <t>香奈</t>
  </si>
  <si>
    <t>kana.miki.ts</t>
  </si>
  <si>
    <t>kana.miki.ts@mixi.co.jp</t>
  </si>
  <si>
    <t>三沢隆浩</t>
  </si>
  <si>
    <t>三沢</t>
  </si>
  <si>
    <t>隆浩</t>
  </si>
  <si>
    <t>みさわ</t>
  </si>
  <si>
    <t>takahiro.misawa</t>
  </si>
  <si>
    <t>takahiro.misawa@mixi.co.jp</t>
  </si>
  <si>
    <t>株式会社MIXI/木村管掌/デジタルエンターテインメントオペレーションズ本部/コトダマン制作部/ライツグループ</t>
  </si>
  <si>
    <t>AO082090600
AO082080201</t>
  </si>
  <si>
    <t>三沢直輝</t>
  </si>
  <si>
    <t>直輝</t>
  </si>
  <si>
    <t>naoki.misawa</t>
  </si>
  <si>
    <t>naoki.misawa@mixi.co.jp</t>
  </si>
  <si>
    <t>AO082020202
AR060060100
AR060060200</t>
  </si>
  <si>
    <t>三島敦</t>
  </si>
  <si>
    <t>三島</t>
  </si>
  <si>
    <t>みしま</t>
  </si>
  <si>
    <t>atsushi.mishima</t>
  </si>
  <si>
    <t>atsushi.mishima@mixi.co.jp</t>
  </si>
  <si>
    <t>三嶋</t>
  </si>
  <si>
    <t>佳織</t>
  </si>
  <si>
    <t>kaori.mishima</t>
  </si>
  <si>
    <t>kaori.mishima@mixi.co.jp</t>
  </si>
  <si>
    <t>三島圭介</t>
  </si>
  <si>
    <t>圭介</t>
  </si>
  <si>
    <t>keisuke.mishima</t>
  </si>
  <si>
    <t>keisuke.mishima@mixi.co.jp</t>
  </si>
  <si>
    <t>株式会社MIXI/木村管掌/デジタルエンターテインメントオペレーションズ本部</t>
  </si>
  <si>
    <t>AO082000000</t>
  </si>
  <si>
    <t>執行役員</t>
  </si>
  <si>
    <t>深須敏幸a</t>
  </si>
  <si>
    <t>深須</t>
  </si>
  <si>
    <t>敏幸a</t>
  </si>
  <si>
    <t>みす</t>
  </si>
  <si>
    <t>toshiyuki.misu.a.ts</t>
  </si>
  <si>
    <t>toshiyuki.misu.a.ts@netdreamers.co.jp</t>
  </si>
  <si>
    <t>XM556010100</t>
  </si>
  <si>
    <t>水出有咲</t>
  </si>
  <si>
    <t>水出</t>
  </si>
  <si>
    <t>有咲</t>
  </si>
  <si>
    <t>みずいで</t>
  </si>
  <si>
    <t>misaki.mizuide.ts</t>
  </si>
  <si>
    <t>misaki.mizuide.ts@mixi.co.jp</t>
  </si>
  <si>
    <t>水上実和</t>
  </si>
  <si>
    <t>水上</t>
  </si>
  <si>
    <t>実和</t>
  </si>
  <si>
    <t>みずかみ</t>
  </si>
  <si>
    <t>miwa.mizukami.ts</t>
  </si>
  <si>
    <t>miwa.mizukami.ts@mixi.co.jp</t>
  </si>
  <si>
    <t>水澤香里</t>
  </si>
  <si>
    <t>水澤</t>
  </si>
  <si>
    <t>みずさわ</t>
  </si>
  <si>
    <t>kaori.mizusawa</t>
  </si>
  <si>
    <t>kaori.mizusawa@mixi.co.jp</t>
  </si>
  <si>
    <t>水澤有以</t>
  </si>
  <si>
    <t>有以</t>
  </si>
  <si>
    <t>yui.mizusawa.ts</t>
  </si>
  <si>
    <t>yui.mizusawa.ts@mixi.co.jp</t>
  </si>
  <si>
    <t>水谷涼香</t>
  </si>
  <si>
    <t>水谷</t>
  </si>
  <si>
    <t>みずたに</t>
  </si>
  <si>
    <t>suzuka.mizutani</t>
  </si>
  <si>
    <t>suzuka.mizutani@mixi.co.jp</t>
  </si>
  <si>
    <t>水谷仁</t>
  </si>
  <si>
    <t>ひとし</t>
  </si>
  <si>
    <t>hitoshi.mizutani</t>
  </si>
  <si>
    <t>hitoshi.mizutani@mixi.co.jp</t>
  </si>
  <si>
    <t>水谷美緒</t>
  </si>
  <si>
    <t>mio.mizutani.ts</t>
  </si>
  <si>
    <t>mio.mizutani.ts@mixi.co.jp</t>
  </si>
  <si>
    <t>水沼大輔</t>
  </si>
  <si>
    <t>水沼</t>
  </si>
  <si>
    <t>みずぬま</t>
  </si>
  <si>
    <t>daisuke.mizunuma.ts</t>
  </si>
  <si>
    <t>daisuke.mizunuma.ts@mixi.co.jp</t>
  </si>
  <si>
    <t>水野奏</t>
  </si>
  <si>
    <t>水野</t>
  </si>
  <si>
    <t>奏</t>
  </si>
  <si>
    <t>みずの</t>
  </si>
  <si>
    <t>kanata.mizuno</t>
  </si>
  <si>
    <t>kanata.mizuno@mixi.co.jp</t>
  </si>
  <si>
    <t>株式会社MIXI/村瀨管掌/デザイン本部/テクニカルデザイン室/デジタルエンターテインメント支援グループ/2DUI第3チーム</t>
  </si>
  <si>
    <t>AO082090301
AR059080405</t>
  </si>
  <si>
    <t>水野翔</t>
  </si>
  <si>
    <t>sho.mizuno</t>
  </si>
  <si>
    <t>sho.mizuno@netdreamers.co.jp</t>
  </si>
  <si>
    <t>XM550030000
XM550000000</t>
  </si>
  <si>
    <t>水野羽純</t>
  </si>
  <si>
    <t>はずみ</t>
  </si>
  <si>
    <t>hazumi.mizuno</t>
  </si>
  <si>
    <t>hazumi.mizuno@m-chariloto.com</t>
  </si>
  <si>
    <t>水林孝夫</t>
  </si>
  <si>
    <t>水林</t>
  </si>
  <si>
    <t>孝夫</t>
  </si>
  <si>
    <t>みずばやし</t>
  </si>
  <si>
    <t>たかお</t>
  </si>
  <si>
    <t>takao.mizubayashi</t>
  </si>
  <si>
    <t>takao.mizubayashi@mixi.co.jp</t>
  </si>
  <si>
    <t>株式会社MIXI/木村管掌/デジタルエンターテインメントオペレーションズ本部/コトダマン運営部/マーケティンググループ</t>
  </si>
  <si>
    <t>AO082080800</t>
  </si>
  <si>
    <t>水船智之</t>
  </si>
  <si>
    <t>水船</t>
  </si>
  <si>
    <t>みずふね</t>
  </si>
  <si>
    <t>tomoyuki.mizufune</t>
  </si>
  <si>
    <t>tomoyuki.mizufune@mixi.co.jp</t>
  </si>
  <si>
    <t>AO083020400
AR059080405</t>
  </si>
  <si>
    <t>溝部由紀子</t>
  </si>
  <si>
    <t>溝部</t>
  </si>
  <si>
    <t>由紀子</t>
  </si>
  <si>
    <t>みぞべ</t>
  </si>
  <si>
    <t>yukiko.mizobe</t>
  </si>
  <si>
    <t>yukiko.mizobe@mixi.co.jp</t>
  </si>
  <si>
    <t>三谷ゆかり</t>
  </si>
  <si>
    <t>三谷</t>
  </si>
  <si>
    <t>みたに</t>
  </si>
  <si>
    <t>yukari.mitani</t>
  </si>
  <si>
    <t>yukari.mitani@mixi.co.jp</t>
  </si>
  <si>
    <t>御手洗寿実</t>
  </si>
  <si>
    <t>御手洗</t>
  </si>
  <si>
    <t>寿実</t>
  </si>
  <si>
    <t>みたらい</t>
  </si>
  <si>
    <t>かずみ</t>
  </si>
  <si>
    <t>kazumi.mitarai.ts</t>
  </si>
  <si>
    <t>kazumi.mitarai.ts@mixi.co.jp</t>
  </si>
  <si>
    <t>三井孝史</t>
  </si>
  <si>
    <t>三井</t>
  </si>
  <si>
    <t>孝史</t>
  </si>
  <si>
    <t>みつい</t>
  </si>
  <si>
    <t>takashi.mitsui</t>
  </si>
  <si>
    <t>takashi.mitsui@mixi.co.jp</t>
  </si>
  <si>
    <t>三ツ木博史</t>
  </si>
  <si>
    <t>三ツ木</t>
  </si>
  <si>
    <t>博史</t>
  </si>
  <si>
    <t>みつぎ</t>
  </si>
  <si>
    <t>hiroshi.mitsugi</t>
  </si>
  <si>
    <t>hiroshi.mitsugi@mixi.co.jp</t>
  </si>
  <si>
    <t>光末可奈子</t>
  </si>
  <si>
    <t>光末</t>
  </si>
  <si>
    <t>可奈子</t>
  </si>
  <si>
    <t>みつすえ</t>
  </si>
  <si>
    <t>kanako.mitsusue</t>
  </si>
  <si>
    <t>kanako.mitsusue@mixi.co.jp</t>
  </si>
  <si>
    <t>株式会社MIXI/島村管掌/コーポレートファイナンス本部/財務企画部/IRグループ</t>
  </si>
  <si>
    <t>AX088020100</t>
  </si>
  <si>
    <t>南稔哉</t>
  </si>
  <si>
    <t>南</t>
  </si>
  <si>
    <t>稔哉</t>
  </si>
  <si>
    <t>toshiya.minami</t>
  </si>
  <si>
    <t>toshiya.minami@mixi.co.jp</t>
  </si>
  <si>
    <t>峯恵里香</t>
  </si>
  <si>
    <t>峯</t>
  </si>
  <si>
    <t>恵里香</t>
  </si>
  <si>
    <t>みね</t>
  </si>
  <si>
    <t>えりか</t>
  </si>
  <si>
    <t>erika.mine</t>
  </si>
  <si>
    <t>erika.mine@mixi.co.jp</t>
  </si>
  <si>
    <t>XB509000000
AW085020901
AW085000000
AW085020800
AW085020900
AW085020902
AW085020000</t>
  </si>
  <si>
    <t>0
1
0
0
0
0
0</t>
  </si>
  <si>
    <t>峯岸保栄</t>
  </si>
  <si>
    <t>峯岸</t>
  </si>
  <si>
    <t>保栄</t>
  </si>
  <si>
    <t>みねぎし</t>
  </si>
  <si>
    <t>やすえ</t>
  </si>
  <si>
    <t>yasue.minegishi</t>
  </si>
  <si>
    <t>yasue.minegishi@mixi.co.jp</t>
  </si>
  <si>
    <t>株式会社MIXI/村瀨管掌/はたらく環境推進本部/ビジネスサポート室/ローカライズグループ/コーディネーターチーム</t>
  </si>
  <si>
    <t>AO082010000
AR091040604
AR091000000
AR091040101
AR091040102</t>
  </si>
  <si>
    <t>峯野雅己</t>
  </si>
  <si>
    <t>峯野</t>
  </si>
  <si>
    <t>雅己</t>
  </si>
  <si>
    <t>みねの</t>
  </si>
  <si>
    <t>masami.mineno</t>
  </si>
  <si>
    <t>masami.mineno@mixi.co.jp</t>
  </si>
  <si>
    <t>三原千恵</t>
  </si>
  <si>
    <t>三原</t>
  </si>
  <si>
    <t>千恵</t>
  </si>
  <si>
    <t>みはら</t>
  </si>
  <si>
    <t>chie.mihara</t>
  </si>
  <si>
    <t>chie.mihara@mixi.co.jp</t>
  </si>
  <si>
    <t>三森慧</t>
  </si>
  <si>
    <t>三森</t>
  </si>
  <si>
    <t>みもり</t>
  </si>
  <si>
    <t>satoshi.mimori.ts</t>
  </si>
  <si>
    <t>三森ひろか</t>
  </si>
  <si>
    <t>ひろか</t>
  </si>
  <si>
    <t>hiroka.mimori</t>
  </si>
  <si>
    <t>hiroka.mimori@mixi.co.jp</t>
  </si>
  <si>
    <t>AX088020200
AX088020100</t>
  </si>
  <si>
    <t>宮智加</t>
  </si>
  <si>
    <t>宮</t>
  </si>
  <si>
    <t>智加</t>
  </si>
  <si>
    <t>みや</t>
  </si>
  <si>
    <t>ちか</t>
  </si>
  <si>
    <t>chika.miya.ts</t>
  </si>
  <si>
    <t>chika.miya.ts@mixi.co.jp</t>
  </si>
  <si>
    <t>宮哲也</t>
  </si>
  <si>
    <t>tetsuya.miya</t>
  </si>
  <si>
    <t>tetsuya.miya@mixi.co.jp</t>
  </si>
  <si>
    <t>宮入義勝</t>
  </si>
  <si>
    <t>宮入</t>
  </si>
  <si>
    <t>義勝</t>
  </si>
  <si>
    <t>みやいり</t>
  </si>
  <si>
    <t>よしかつ</t>
  </si>
  <si>
    <t>yoshikatsu.miyairi</t>
  </si>
  <si>
    <t>yoshikatsu.miyairi@mixi.co.jp</t>
  </si>
  <si>
    <t>AW085020402</t>
  </si>
  <si>
    <t>宮川麻衣奈</t>
  </si>
  <si>
    <t>宮川</t>
  </si>
  <si>
    <t>麻衣奈</t>
  </si>
  <si>
    <t>みやがわ</t>
  </si>
  <si>
    <t>まいな</t>
  </si>
  <si>
    <t>maina.miyagawa</t>
  </si>
  <si>
    <t>maina.miyagawa@netdreamers.co.jp</t>
  </si>
  <si>
    <t>宮木可愛</t>
  </si>
  <si>
    <t>宮木</t>
  </si>
  <si>
    <t>可愛</t>
  </si>
  <si>
    <t>みやき</t>
  </si>
  <si>
    <t>かあい</t>
  </si>
  <si>
    <t>kaai.miyaki</t>
  </si>
  <si>
    <t>kaai.miyaki@netdreamers.co.jp</t>
  </si>
  <si>
    <t>宮口裕基</t>
  </si>
  <si>
    <t>宮口</t>
  </si>
  <si>
    <t>裕基</t>
  </si>
  <si>
    <t>みやぐち</t>
  </si>
  <si>
    <t>yuki.miyaguchi</t>
  </si>
  <si>
    <t>yuki.miyaguchi@mixi.co.jp</t>
  </si>
  <si>
    <t>三宅桃代a</t>
  </si>
  <si>
    <t>三宅</t>
  </si>
  <si>
    <t>桃代a</t>
  </si>
  <si>
    <t>みやけ</t>
  </si>
  <si>
    <t>ももよ</t>
  </si>
  <si>
    <t>momoyo.miyake.a.ts</t>
  </si>
  <si>
    <t>momoyo.miyake.a.ts@m-lovegraph.com</t>
  </si>
  <si>
    <t>宮崎智也</t>
  </si>
  <si>
    <t>宮崎</t>
  </si>
  <si>
    <t>みやざき</t>
  </si>
  <si>
    <t>tomoya.miyazaki.ts</t>
  </si>
  <si>
    <t>tomoya.miyazaki.ts@mixi.co.jp</t>
  </si>
  <si>
    <t>宮崎正人</t>
  </si>
  <si>
    <t>masato.miyazaki</t>
  </si>
  <si>
    <t>masato.miyazaki@mixi.co.jp</t>
  </si>
  <si>
    <t>AO090050301
AO090050401</t>
  </si>
  <si>
    <t>宮崎雅大</t>
  </si>
  <si>
    <t>雅大</t>
  </si>
  <si>
    <t>masahiro.miyazaki</t>
  </si>
  <si>
    <t>masahiro.miyazaki@mixi.co.jp</t>
  </si>
  <si>
    <t>宮﨑涼</t>
  </si>
  <si>
    <t>宮﨑</t>
  </si>
  <si>
    <t>ryo.miyazaki.ts</t>
  </si>
  <si>
    <t>ryo.miyazaki.ts@mixi.co.jp</t>
  </si>
  <si>
    <t>宮下将之</t>
  </si>
  <si>
    <t>宮下</t>
  </si>
  <si>
    <t>将之</t>
  </si>
  <si>
    <t>みやした</t>
  </si>
  <si>
    <t>masayuki.miyashita.ts</t>
  </si>
  <si>
    <t>masayuki.miyashita.ts@mixi.co.jp</t>
  </si>
  <si>
    <t>宮下雅淑</t>
  </si>
  <si>
    <t>雅淑</t>
  </si>
  <si>
    <t>masayoshi.miyashita.ts</t>
  </si>
  <si>
    <t>masayoshi.miyashita.ts@mixi.co.jp</t>
  </si>
  <si>
    <t>宮下由樹</t>
  </si>
  <si>
    <t>由樹</t>
  </si>
  <si>
    <t>yuki.miyashita</t>
  </si>
  <si>
    <t>yuki.miyashita@mixi.co.jp</t>
  </si>
  <si>
    <t>宮田宗尚</t>
  </si>
  <si>
    <t>宮田</t>
  </si>
  <si>
    <t>宗尚</t>
  </si>
  <si>
    <t>みやた</t>
  </si>
  <si>
    <t>むねなお</t>
  </si>
  <si>
    <t>munenao.miyata</t>
  </si>
  <si>
    <t>munenao.miyata@mixi.co.jp</t>
  </si>
  <si>
    <t>宮田優一b</t>
  </si>
  <si>
    <t>優一b</t>
  </si>
  <si>
    <t>yuichi.miyata.b</t>
  </si>
  <si>
    <t>yuichi.miyata.b@mixi.co.jp</t>
  </si>
  <si>
    <t>宮地佳貴</t>
  </si>
  <si>
    <t>宮地</t>
  </si>
  <si>
    <t>佳貴</t>
  </si>
  <si>
    <t>みやち</t>
  </si>
  <si>
    <t>yoshitaka.miyachi</t>
  </si>
  <si>
    <t>yoshitaka.miyachi@mixi.co.jp</t>
  </si>
  <si>
    <t>宮寺千尋</t>
  </si>
  <si>
    <t>宮寺</t>
  </si>
  <si>
    <t>みやでら</t>
  </si>
  <si>
    <t>chihiro.miyadera</t>
  </si>
  <si>
    <t>chihiro.miyadera@mixi.co.jp</t>
  </si>
  <si>
    <t>宮野修輔</t>
  </si>
  <si>
    <t>宮野</t>
  </si>
  <si>
    <t>修輔</t>
  </si>
  <si>
    <t>みやの</t>
  </si>
  <si>
    <t>しゅうほ</t>
  </si>
  <si>
    <t>shuho.miyano</t>
  </si>
  <si>
    <t>shuho.miyano@mixi.co.jp</t>
  </si>
  <si>
    <t>株式会社MIXI
株式会社ラブグラフ</t>
  </si>
  <si>
    <t>XR542000000
AW085040200</t>
  </si>
  <si>
    <t>宮原香奈子</t>
  </si>
  <si>
    <t>宮原</t>
  </si>
  <si>
    <t>香奈子</t>
  </si>
  <si>
    <t>みやはら</t>
  </si>
  <si>
    <t>kanako.miyahara</t>
  </si>
  <si>
    <t>kanako.miyahara@mixi.co.jp</t>
  </si>
  <si>
    <t>宮部継大</t>
  </si>
  <si>
    <t>宮部</t>
  </si>
  <si>
    <t>継大</t>
  </si>
  <si>
    <t>みやべ</t>
  </si>
  <si>
    <t>つぐひろ</t>
  </si>
  <si>
    <t>tsuguhiro.miyabe</t>
  </si>
  <si>
    <t>tsuguhiro.miyabe@mixi.co.jp</t>
  </si>
  <si>
    <t>株式会社MIXI/木村管掌/ライブエクスペリエンス事業本部/企画推進部/スポーツマーケティングDXグループ</t>
  </si>
  <si>
    <t>AO090050400</t>
  </si>
  <si>
    <t>宮本寛士</t>
  </si>
  <si>
    <t>宮本</t>
  </si>
  <si>
    <t>寛士</t>
  </si>
  <si>
    <t>みやもと</t>
  </si>
  <si>
    <t>ともひと</t>
  </si>
  <si>
    <t>tomohito.miyamoto.ts</t>
  </si>
  <si>
    <t>tomohito.miyamoto.ts@mixi.co.jp</t>
  </si>
  <si>
    <t>株式会社MIXI/笠原管掌/Vantageスタジオ/事業推進室/事業推進グループ/QAチーム</t>
  </si>
  <si>
    <t>AQ061030102</t>
  </si>
  <si>
    <t>宮本直樹</t>
  </si>
  <si>
    <t>naoki.miyamoto.ts</t>
  </si>
  <si>
    <t>naoki.miyamoto.ts@mixi.co.jp</t>
  </si>
  <si>
    <t>憲枝</t>
  </si>
  <si>
    <t>のりえ</t>
  </si>
  <si>
    <t>norie.miyamoto</t>
  </si>
  <si>
    <t>norie.miyamoto@mixi.co.jp</t>
  </si>
  <si>
    <t>宮本孟守人</t>
  </si>
  <si>
    <t>孟守人</t>
  </si>
  <si>
    <t>もうすと</t>
  </si>
  <si>
    <t>mosuto.miyamoto.ts</t>
  </si>
  <si>
    <t>mosuto.miyamoto.ts@mixi.co.jp</t>
  </si>
  <si>
    <t>宮本康矢</t>
  </si>
  <si>
    <t>康矢</t>
  </si>
  <si>
    <t>やすし</t>
  </si>
  <si>
    <t>yasushi.miyamoto.ts</t>
  </si>
  <si>
    <t>yasushi.miyamoto.ts@mixi.co.jp</t>
  </si>
  <si>
    <t>宮本良平</t>
  </si>
  <si>
    <t>良平</t>
  </si>
  <si>
    <t>ryohei.miyamoto.ts</t>
  </si>
  <si>
    <t>ryohei.miyamoto.ts@mixi.co.jp</t>
  </si>
  <si>
    <t>宮脇祐太</t>
  </si>
  <si>
    <t>宮脇</t>
  </si>
  <si>
    <t>みやわき</t>
  </si>
  <si>
    <t>yuta.miyawaki</t>
  </si>
  <si>
    <t>yuta.miyawaki@mixi.co.jp</t>
  </si>
  <si>
    <t>三芳三奈</t>
  </si>
  <si>
    <t>三芳</t>
  </si>
  <si>
    <t>三奈</t>
  </si>
  <si>
    <t>みよし</t>
  </si>
  <si>
    <t>mina.miyoshi</t>
  </si>
  <si>
    <t>mina.miyoshi@mixi.co.jp</t>
  </si>
  <si>
    <t>向中野</t>
  </si>
  <si>
    <t>智志</t>
  </si>
  <si>
    <t>むかいなかの</t>
  </si>
  <si>
    <t>satoshi.mukainakano</t>
  </si>
  <si>
    <t>satoshi.mukainakano@mixi.co.jp</t>
  </si>
  <si>
    <t>向江俊和</t>
  </si>
  <si>
    <t>向江</t>
  </si>
  <si>
    <t>俊和</t>
  </si>
  <si>
    <t>むかえ</t>
  </si>
  <si>
    <t>toshikazu.mukae</t>
  </si>
  <si>
    <t>toshikazu.mukae@netdreamers.co.jp</t>
  </si>
  <si>
    <t>XM519000000
XM519040000</t>
  </si>
  <si>
    <t>代表取締役社長
室長</t>
  </si>
  <si>
    <t>武藤真司a</t>
  </si>
  <si>
    <t>武藤</t>
  </si>
  <si>
    <t>真司a</t>
  </si>
  <si>
    <t>むとう</t>
  </si>
  <si>
    <t>shinji.muto.a.ts</t>
  </si>
  <si>
    <t>shinji.muto.a.ts@m-sfidante.com</t>
  </si>
  <si>
    <t>宗像慎乃介</t>
  </si>
  <si>
    <t>宗像</t>
  </si>
  <si>
    <t>慎乃介</t>
  </si>
  <si>
    <t>むなかた</t>
  </si>
  <si>
    <t>shinnosuke.munakata</t>
  </si>
  <si>
    <t>shinnosuke.munakata@mixi.co.jp</t>
  </si>
  <si>
    <t>宗形翼</t>
  </si>
  <si>
    <t>宗形</t>
  </si>
  <si>
    <t>むねかた</t>
  </si>
  <si>
    <t>tsubasa.munekata</t>
  </si>
  <si>
    <t>tsubasa.munekata@mixi.co.jp</t>
  </si>
  <si>
    <t>村岡直人</t>
  </si>
  <si>
    <t>村岡</t>
  </si>
  <si>
    <t>むらおか</t>
  </si>
  <si>
    <t>なおひと</t>
  </si>
  <si>
    <t>naohito.muraoka</t>
  </si>
  <si>
    <t>naohito.muraoka@mixi.co.jp</t>
  </si>
  <si>
    <t>村上香織</t>
  </si>
  <si>
    <t>村上</t>
  </si>
  <si>
    <t>むらかみ</t>
  </si>
  <si>
    <t>kaori.murakami</t>
  </si>
  <si>
    <t>kaori.murakami@mixi.co.jp</t>
  </si>
  <si>
    <t>AX089080000
AX089060200
AX089060300
AX089080100</t>
  </si>
  <si>
    <t>村上克弥</t>
  </si>
  <si>
    <t>katsuya.murakami</t>
  </si>
  <si>
    <t>katsuya.murakami@mixi.co.jp</t>
  </si>
  <si>
    <t>村上沙妃</t>
  </si>
  <si>
    <t>沙妃</t>
  </si>
  <si>
    <t>saki.murakami</t>
  </si>
  <si>
    <t>saki.murakami@mixi.co.jp</t>
  </si>
  <si>
    <t>村上尭優</t>
  </si>
  <si>
    <t>尭優</t>
  </si>
  <si>
    <t>takamasa.murakami</t>
  </si>
  <si>
    <t>takamasa.murakami@mixi.co.jp</t>
  </si>
  <si>
    <t>AW085020500</t>
  </si>
  <si>
    <t>村上智紀</t>
  </si>
  <si>
    <t>智紀</t>
  </si>
  <si>
    <t>tomoki.murakami</t>
  </si>
  <si>
    <t>tomoki.murakami@mixi.co.jp</t>
  </si>
  <si>
    <t>村上由利奈</t>
  </si>
  <si>
    <t>由利奈</t>
  </si>
  <si>
    <t>yurina.murakami</t>
  </si>
  <si>
    <t>yurina.murakami@mixi.co.jp</t>
  </si>
  <si>
    <t>村上竜樹</t>
  </si>
  <si>
    <t>竜樹</t>
  </si>
  <si>
    <t>りゅうじゅ</t>
  </si>
  <si>
    <t>ryuju.murakami</t>
  </si>
  <si>
    <t>ryuju.murakami@netdreamers.co.jp</t>
  </si>
  <si>
    <t>株式会社ネットドリーマーズ/株式会社ネットドリーマーズ/netkeiba事業本部</t>
  </si>
  <si>
    <t>XM550000000</t>
  </si>
  <si>
    <t>村上涼</t>
  </si>
  <si>
    <t>ryo.murakami</t>
  </si>
  <si>
    <t>ryo.murakami@mixi.co.jp</t>
  </si>
  <si>
    <t>AQ087030000
AQ087040000
AQ087020400</t>
  </si>
  <si>
    <t>村瀬安沙子</t>
  </si>
  <si>
    <t>村瀬</t>
  </si>
  <si>
    <t>安沙子</t>
  </si>
  <si>
    <t>むらせ</t>
  </si>
  <si>
    <t>asako.murase</t>
  </si>
  <si>
    <t>asako.murase@mixi.co.jp</t>
  </si>
  <si>
    <t>株式会社MIXI/村瀨管掌/デザイン本部/プロダクトデザイン室/エクスペリエンスデザイン第3グループ/第2チーム</t>
  </si>
  <si>
    <t>AR059051002</t>
  </si>
  <si>
    <t>村瀨</t>
  </si>
  <si>
    <t>たつま</t>
  </si>
  <si>
    <t>tatsuma.murase</t>
  </si>
  <si>
    <t>tatsuma.murase@mixi.co.jp</t>
  </si>
  <si>
    <t>取締役
上級執行役員</t>
  </si>
  <si>
    <t>村瀬雄介</t>
  </si>
  <si>
    <t>yusuke.murase.ts</t>
  </si>
  <si>
    <t>yusuke.murase.ts@mixi.co.jp</t>
  </si>
  <si>
    <t>村田温美</t>
  </si>
  <si>
    <t>村田</t>
  </si>
  <si>
    <t>温美</t>
  </si>
  <si>
    <t>むらた</t>
  </si>
  <si>
    <t>atsumi.murata.ts</t>
  </si>
  <si>
    <t>atsumi.murata.ts@mixi.co.jp</t>
  </si>
  <si>
    <t>村田温美a</t>
  </si>
  <si>
    <t>温美a</t>
  </si>
  <si>
    <t>atsumi.murata</t>
  </si>
  <si>
    <t>atsumi.murata@m-lovegraph.com</t>
  </si>
  <si>
    <t>村田雄人a</t>
  </si>
  <si>
    <t>雄人a</t>
  </si>
  <si>
    <t>yuto.murata.a</t>
  </si>
  <si>
    <t>yuto.murata.a@mixi.co.jp</t>
  </si>
  <si>
    <t>村津</t>
  </si>
  <si>
    <t>文武</t>
  </si>
  <si>
    <t>むらつ</t>
  </si>
  <si>
    <t>ふみたけ</t>
  </si>
  <si>
    <t>fumitake.muratsu</t>
  </si>
  <si>
    <t>fumitake.muratsu@mixi.co.jp</t>
  </si>
  <si>
    <t>村松祐吾</t>
  </si>
  <si>
    <t>村松</t>
  </si>
  <si>
    <t>祐吾</t>
  </si>
  <si>
    <t>むらまつ</t>
  </si>
  <si>
    <t>yugo.muramatsu</t>
  </si>
  <si>
    <t>yugo.muramatsu@mixi.co.jp</t>
  </si>
  <si>
    <t>村元深根a</t>
  </si>
  <si>
    <t>村元</t>
  </si>
  <si>
    <t>深根a</t>
  </si>
  <si>
    <t>むらもと</t>
  </si>
  <si>
    <t>mine.muramoto.a.ts</t>
  </si>
  <si>
    <t>mine.muramoto.a.ts@mixi.co.jp</t>
  </si>
  <si>
    <t>村山慶太a</t>
  </si>
  <si>
    <t>村山</t>
  </si>
  <si>
    <t>慶太a</t>
  </si>
  <si>
    <t>むらやま</t>
  </si>
  <si>
    <t>keita.murayama.a</t>
  </si>
  <si>
    <t>keita.murayama.a@mixi.co.jp</t>
  </si>
  <si>
    <t>村山周平</t>
  </si>
  <si>
    <t>shuhei.murayama</t>
  </si>
  <si>
    <t>shuhei.murayama@mixi.co.jp</t>
  </si>
  <si>
    <t>株式会社MIXI/島村管掌/経営推進本部/FP&amp;Aインテリジェンス部/事業FP&amp;Aグループ</t>
  </si>
  <si>
    <t>AX078070300</t>
  </si>
  <si>
    <t>村山隆太郎</t>
  </si>
  <si>
    <t>隆太郎</t>
  </si>
  <si>
    <t>ryutaro.murayama</t>
  </si>
  <si>
    <t>ryutaro.murayama@mixi-empowerment.co.jp</t>
  </si>
  <si>
    <t>室井</t>
  </si>
  <si>
    <t>むろい</t>
  </si>
  <si>
    <t>kanae.muroi</t>
  </si>
  <si>
    <t>kanae.muroi@mixi.co.jp</t>
  </si>
  <si>
    <t>AX078070100
AX078070200</t>
  </si>
  <si>
    <t>室井良介</t>
  </si>
  <si>
    <t>ryosuke.muroi</t>
  </si>
  <si>
    <t>ryosuke.muroi@mixi.co.jp</t>
  </si>
  <si>
    <t>株式会社MIXI/村瀨管掌/セキュリティ室(本部格)/セキュリティ室/セキュリティ管理推進グループ</t>
  </si>
  <si>
    <t>AR077010300
AO082020600</t>
  </si>
  <si>
    <t>室本正剛</t>
  </si>
  <si>
    <t>室本</t>
  </si>
  <si>
    <t>正剛</t>
  </si>
  <si>
    <t>むろもと</t>
  </si>
  <si>
    <t>せいごう</t>
  </si>
  <si>
    <t>seigo.muromoto.ts</t>
  </si>
  <si>
    <t>seigo.muromoto.ts@mixi.co.jp</t>
  </si>
  <si>
    <t>AX089080000</t>
  </si>
  <si>
    <t>モーザーブレイデンa</t>
  </si>
  <si>
    <t>モーザー</t>
  </si>
  <si>
    <t>ブレイデンa</t>
  </si>
  <si>
    <t>もーざー</t>
  </si>
  <si>
    <t>ぶれいでん</t>
  </si>
  <si>
    <t>braden.moser.a.ts</t>
  </si>
  <si>
    <t>braden.moser.a.ts@mixi.co.jp</t>
  </si>
  <si>
    <t>持田愛</t>
  </si>
  <si>
    <t>持田</t>
  </si>
  <si>
    <t>もちだ</t>
  </si>
  <si>
    <t>ai.mochida</t>
  </si>
  <si>
    <t>ai.mochida@mixi.co.jp</t>
  </si>
  <si>
    <t>株式会社MIXI/島村管掌/経営推進本部/広報部/インターナルコミュニケーショングループ</t>
  </si>
  <si>
    <t>AX078050401
AX078050201
AX078050400</t>
  </si>
  <si>
    <t>リーダー
スタッフ
マネージャー</t>
  </si>
  <si>
    <t>望月</t>
  </si>
  <si>
    <t>もちづき</t>
  </si>
  <si>
    <t>daisuke.mochizuki</t>
  </si>
  <si>
    <t>daisuke.mochizuki@mixi.co.jp</t>
  </si>
  <si>
    <t>株式会社MIXI/島村管掌/コーポレートファイナンス本部/経理税務部</t>
  </si>
  <si>
    <t>XP537000000
AX088010000</t>
  </si>
  <si>
    <t>望月貴矢</t>
  </si>
  <si>
    <t>貴矢</t>
  </si>
  <si>
    <t>takaya.mochizuki</t>
  </si>
  <si>
    <t>takaya.mochizuki@mixi.co.jp</t>
  </si>
  <si>
    <t>株式会社MIXI/木村管掌/デジタルエンターテインメントオペレーションズ本部/コトダマン運営部/プロダクト戦略グループ</t>
  </si>
  <si>
    <t>AO082080200</t>
  </si>
  <si>
    <t>美詠</t>
  </si>
  <si>
    <t>みえ</t>
  </si>
  <si>
    <t>mochizuki</t>
  </si>
  <si>
    <t>mochizuki@mixi.co.jp</t>
  </si>
  <si>
    <t>元橋佳織</t>
  </si>
  <si>
    <t>元橋</t>
  </si>
  <si>
    <t>もとはし</t>
  </si>
  <si>
    <t>kaori.motohashi</t>
  </si>
  <si>
    <t>kaori.motohashi@mixi.co.jp</t>
  </si>
  <si>
    <t>モハメドファーハ</t>
  </si>
  <si>
    <t>モハメド</t>
  </si>
  <si>
    <t>ファーハ</t>
  </si>
  <si>
    <t>もはめど</t>
  </si>
  <si>
    <t>ふぁーは</t>
  </si>
  <si>
    <t>fakhar.mohammad</t>
  </si>
  <si>
    <t>fakhar.mohammad@mixi.co.jp</t>
  </si>
  <si>
    <t>百瀬</t>
  </si>
  <si>
    <t>絵里香</t>
  </si>
  <si>
    <t>ももせ</t>
  </si>
  <si>
    <t>erika.momose</t>
  </si>
  <si>
    <t>erika.momose@mixi.co.jp</t>
  </si>
  <si>
    <t>森駿介</t>
  </si>
  <si>
    <t>森</t>
  </si>
  <si>
    <t>駿介</t>
  </si>
  <si>
    <t>もり</t>
  </si>
  <si>
    <t>shunsuke.mori</t>
  </si>
  <si>
    <t>shunsuke.mori@mixi.co.jp</t>
  </si>
  <si>
    <t>森真紀</t>
  </si>
  <si>
    <t>真紀</t>
  </si>
  <si>
    <t>maki.mori</t>
  </si>
  <si>
    <t>maki.mori@mixi.co.jp</t>
  </si>
  <si>
    <t>森政輝</t>
  </si>
  <si>
    <t>政輝</t>
  </si>
  <si>
    <t>masaki.mori</t>
  </si>
  <si>
    <t>masaki.mori@mixi.co.jp</t>
  </si>
  <si>
    <t>森由佳</t>
  </si>
  <si>
    <t>由佳</t>
  </si>
  <si>
    <t>yuka.mori</t>
  </si>
  <si>
    <t>yuka.mori@mixi.co.jp</t>
  </si>
  <si>
    <t>株式会社MIXI/島村管掌/人事本部/人材開発部/人材育成グループ/マネジメント支援チーム</t>
  </si>
  <si>
    <t>AX089040202</t>
  </si>
  <si>
    <t>森岡敬一朗</t>
  </si>
  <si>
    <t>森岡</t>
  </si>
  <si>
    <t>敬一朗</t>
  </si>
  <si>
    <t>もりおか</t>
  </si>
  <si>
    <t>けいいちろう</t>
  </si>
  <si>
    <t>keiichiro.morioka.ts</t>
  </si>
  <si>
    <t>keiichiro.morioka.ts@m-lovegraph.com</t>
  </si>
  <si>
    <t>守岡冴子</t>
  </si>
  <si>
    <t>守岡</t>
  </si>
  <si>
    <t>冴子</t>
  </si>
  <si>
    <t>saeko.morioka</t>
  </si>
  <si>
    <t>saeko.morioka@mixi.co.jp</t>
  </si>
  <si>
    <t>AU074010601
AU074010705
AU074000000</t>
  </si>
  <si>
    <t>森下彩香</t>
  </si>
  <si>
    <t>森下</t>
  </si>
  <si>
    <t>もりした</t>
  </si>
  <si>
    <t>ayaka.morishita</t>
  </si>
  <si>
    <t>ayaka.morishita@m-sfidante.com</t>
  </si>
  <si>
    <t>森下雅夫</t>
  </si>
  <si>
    <t>雅夫</t>
  </si>
  <si>
    <t>まさお</t>
  </si>
  <si>
    <t>masao.morishita</t>
  </si>
  <si>
    <t>masao.morishita@mixi.co.jp</t>
  </si>
  <si>
    <t>森田浩平</t>
  </si>
  <si>
    <t>森田</t>
  </si>
  <si>
    <t>もりた</t>
  </si>
  <si>
    <t>kohei.morita.ts</t>
  </si>
  <si>
    <t>森田哲史</t>
  </si>
  <si>
    <t>satoshi.morita</t>
  </si>
  <si>
    <t>satoshi.morita@mixi.co.jp</t>
  </si>
  <si>
    <t>株式会社MIXI/奥山管掌/ソーシャルベッティング事業本部/チャリ・ロト事業部/プロダクトグループ</t>
  </si>
  <si>
    <t>XI516000000
AW076070200
AW076070202</t>
  </si>
  <si>
    <t>森田潤哉a</t>
  </si>
  <si>
    <t>潤哉a</t>
  </si>
  <si>
    <t>junya.morita.a</t>
  </si>
  <si>
    <t>junya.morita.a@mixi.co.jp</t>
  </si>
  <si>
    <t>森田修康</t>
  </si>
  <si>
    <t>修康</t>
  </si>
  <si>
    <t>のぶやす</t>
  </si>
  <si>
    <t>nobuyasu.morita</t>
  </si>
  <si>
    <t>nobuyasu.morita@mixi.co.jp</t>
  </si>
  <si>
    <t>株式会社MIXI/木村管掌/デジタルエンターテインメントオペレーションズ本部/モンスト開発部/クライアント2グループ</t>
  </si>
  <si>
    <t>AO082020400
AO082020401</t>
  </si>
  <si>
    <t>森友佑一a</t>
  </si>
  <si>
    <t>森友</t>
  </si>
  <si>
    <t>佑一a</t>
  </si>
  <si>
    <t>もりとも</t>
  </si>
  <si>
    <t>yuichi.moritomo.a</t>
  </si>
  <si>
    <t>yuichi.moritomo.a@mixi.co.jp</t>
  </si>
  <si>
    <t>株式会社MIXI/小林管掌/コンプライアンス本部/法務部/渉外グループ</t>
  </si>
  <si>
    <t>AU074010200</t>
  </si>
  <si>
    <t>モリネーロイナー</t>
  </si>
  <si>
    <t>モリネーロ</t>
  </si>
  <si>
    <t>イナー</t>
  </si>
  <si>
    <t>もりねーろ</t>
  </si>
  <si>
    <t>いなー</t>
  </si>
  <si>
    <t>molinero.inhar</t>
  </si>
  <si>
    <t>molinero.inhar@mixi.co.jp</t>
  </si>
  <si>
    <t>AR060011200
AR060050700</t>
  </si>
  <si>
    <t>森野由美</t>
  </si>
  <si>
    <t>森野</t>
  </si>
  <si>
    <t>由美</t>
  </si>
  <si>
    <t>もりの</t>
  </si>
  <si>
    <t>yumi.morino</t>
  </si>
  <si>
    <t>yumi.morino@mixi.co.jp</t>
  </si>
  <si>
    <t>森本</t>
  </si>
  <si>
    <t>もりもと</t>
  </si>
  <si>
    <t>morimoto</t>
  </si>
  <si>
    <t>morimoto@mixi.co.jp</t>
  </si>
  <si>
    <t>森本淳a</t>
  </si>
  <si>
    <t>淳a</t>
  </si>
  <si>
    <t>jun.morimoto.a</t>
  </si>
  <si>
    <t>jun.morimoto.a@mixi.co.jp</t>
  </si>
  <si>
    <t>株式会社MIXI/笠原管掌/みてね事業本部/みてねプラットフォーム部/セキュリティグループ</t>
  </si>
  <si>
    <t>AQ087010300
AQ087040000</t>
  </si>
  <si>
    <t>守本舞</t>
  </si>
  <si>
    <t>守本</t>
  </si>
  <si>
    <t>mai.morimoto</t>
  </si>
  <si>
    <t>mai.morimoto@mixi.co.jp</t>
  </si>
  <si>
    <t>森本桃世</t>
  </si>
  <si>
    <t>桃世</t>
  </si>
  <si>
    <t>momoyo.morimoto</t>
  </si>
  <si>
    <t>momoyo.morimoto@mixi.co.jp</t>
  </si>
  <si>
    <t>森屋美咲</t>
  </si>
  <si>
    <t>森屋</t>
  </si>
  <si>
    <t>もりや</t>
  </si>
  <si>
    <t>misaki.moriya</t>
  </si>
  <si>
    <t>misaki.moriya@mixi.co.jp</t>
  </si>
  <si>
    <t>AU074010702
AU074010706</t>
  </si>
  <si>
    <t>森山堅樹</t>
  </si>
  <si>
    <t>森山</t>
  </si>
  <si>
    <t>堅樹</t>
  </si>
  <si>
    <t>もりやま</t>
  </si>
  <si>
    <t>けんじゅ</t>
  </si>
  <si>
    <t>kenju.moriyama</t>
  </si>
  <si>
    <t>kenju.moriyama@mixi.co.jp</t>
  </si>
  <si>
    <t>AR059080102
AR060060200</t>
  </si>
  <si>
    <t>諸橋</t>
  </si>
  <si>
    <t>もろはし</t>
  </si>
  <si>
    <t>yutaka.morohashi</t>
  </si>
  <si>
    <t>yutaka.morohashi@mixi.co.jp</t>
  </si>
  <si>
    <t>門田瑞貴a</t>
  </si>
  <si>
    <t>門田</t>
  </si>
  <si>
    <t>瑞貴a</t>
  </si>
  <si>
    <t>もんでん</t>
  </si>
  <si>
    <t>mizuki.monden.a</t>
  </si>
  <si>
    <t>mizuki.monden.a@mixiamerica.com</t>
  </si>
  <si>
    <t>門田瑞貴</t>
  </si>
  <si>
    <t>瑞貴</t>
  </si>
  <si>
    <t>mizuki.monden</t>
  </si>
  <si>
    <t>mizuki.monden@mixi.co.jp</t>
  </si>
  <si>
    <t>門内裕哉</t>
  </si>
  <si>
    <t>門内</t>
  </si>
  <si>
    <t>裕哉</t>
  </si>
  <si>
    <t>もんない</t>
  </si>
  <si>
    <t>yuya.monnai</t>
  </si>
  <si>
    <t>yuya.monnai@mixi.co.jp</t>
  </si>
  <si>
    <t>AO082030403
AO082030105</t>
  </si>
  <si>
    <t>八尾瑛子</t>
  </si>
  <si>
    <t>八尾</t>
  </si>
  <si>
    <t>瑛子</t>
  </si>
  <si>
    <t>やお</t>
  </si>
  <si>
    <t>えいこ</t>
  </si>
  <si>
    <t>eiko.yao</t>
  </si>
  <si>
    <t>eiko.yao@netdreamers.co.jp</t>
  </si>
  <si>
    <t>八木絵莉香</t>
  </si>
  <si>
    <t>八木</t>
  </si>
  <si>
    <t>絵莉香</t>
  </si>
  <si>
    <t>やぎ</t>
  </si>
  <si>
    <t>erika.yagi</t>
  </si>
  <si>
    <t>erika.yagi@mixi.co.jp</t>
  </si>
  <si>
    <t>八木康輔</t>
  </si>
  <si>
    <t>康輔</t>
  </si>
  <si>
    <t>kosuke.yagi</t>
  </si>
  <si>
    <t>kosuke.yagi@mixi.co.jp</t>
  </si>
  <si>
    <t>AR060011100
AQ061050101</t>
  </si>
  <si>
    <t>八木滋美</t>
  </si>
  <si>
    <t>滋美</t>
  </si>
  <si>
    <t>しげみ</t>
  </si>
  <si>
    <t>shigemi.yagi.ts</t>
  </si>
  <si>
    <t>shigemi.yagi.ts@mixi.co.jp</t>
  </si>
  <si>
    <t>貴也</t>
  </si>
  <si>
    <t>tatsuya.yagi</t>
  </si>
  <si>
    <t>tatsuya.yagi@mixi.co.jp</t>
  </si>
  <si>
    <t>株式会社MIXI/村瀨管掌/デザイン本部/動画クリエイティブ室/CGデザイングループ</t>
  </si>
  <si>
    <t>AR059060300</t>
  </si>
  <si>
    <t>八木豊志樹</t>
  </si>
  <si>
    <t>豊志樹</t>
  </si>
  <si>
    <t>toshiki.yagi.ts</t>
  </si>
  <si>
    <t>toshiki.yagi.ts@netdreamers.co.jp</t>
  </si>
  <si>
    <t>八坂俊輔</t>
  </si>
  <si>
    <t>八坂</t>
  </si>
  <si>
    <t>俊輔</t>
  </si>
  <si>
    <t>やさか</t>
  </si>
  <si>
    <t>shunsuke.yasaka</t>
  </si>
  <si>
    <t>shunsuke.yasaka@mixi.co.jp</t>
  </si>
  <si>
    <t>株式会社MIXI/小林管掌/コンプライアンス本部/法務部/戦略グループ</t>
  </si>
  <si>
    <t>AU074010900</t>
  </si>
  <si>
    <t>家次栄一</t>
  </si>
  <si>
    <t>家次</t>
  </si>
  <si>
    <t>やじ</t>
  </si>
  <si>
    <t>eiichi.yaji.ts</t>
  </si>
  <si>
    <t>eiichi.yaji.ts@mixi.co.jp</t>
  </si>
  <si>
    <t>矢島博文</t>
  </si>
  <si>
    <t>矢島</t>
  </si>
  <si>
    <t>博文</t>
  </si>
  <si>
    <t>やじま</t>
  </si>
  <si>
    <t>hirofumi.yajima.ts</t>
  </si>
  <si>
    <t>矢島有美</t>
  </si>
  <si>
    <t>yumi.yajima</t>
  </si>
  <si>
    <t>yumi.yajima@mixi.co.jp</t>
  </si>
  <si>
    <t>八代晴日</t>
  </si>
  <si>
    <t>八代</t>
  </si>
  <si>
    <t>晴日</t>
  </si>
  <si>
    <t>やしろ</t>
  </si>
  <si>
    <t>はるひ</t>
  </si>
  <si>
    <t>haruhi.yashiro</t>
  </si>
  <si>
    <t>haruhi.yashiro@mixi.co.jp</t>
  </si>
  <si>
    <t>AO082050402
AO082050401</t>
  </si>
  <si>
    <t>安井</t>
  </si>
  <si>
    <t>やすい</t>
  </si>
  <si>
    <t>satoshi.yasui</t>
  </si>
  <si>
    <t>satoshi.yasui@mixi.co.jp</t>
  </si>
  <si>
    <t>保下良一</t>
  </si>
  <si>
    <t>保下</t>
  </si>
  <si>
    <t>良一</t>
  </si>
  <si>
    <t>やすした</t>
  </si>
  <si>
    <t>りょういち</t>
  </si>
  <si>
    <t>ryoichi.yasushita</t>
  </si>
  <si>
    <t>ryoichi.yasushita@mixi.co.jp</t>
  </si>
  <si>
    <t>株式会社MIXI/小林管掌/CS本部/CX部/Cooperationグループ</t>
  </si>
  <si>
    <t>AU073020200</t>
  </si>
  <si>
    <t>安田達哉</t>
  </si>
  <si>
    <t>安田</t>
  </si>
  <si>
    <t>達哉</t>
  </si>
  <si>
    <t>やすだ</t>
  </si>
  <si>
    <t>tatsuya.yasuda</t>
  </si>
  <si>
    <t>tatsuya.yasuda@mixi.co.jp</t>
  </si>
  <si>
    <t>AU074010702</t>
  </si>
  <si>
    <t>勇大</t>
  </si>
  <si>
    <t>yuta.yasuda</t>
  </si>
  <si>
    <t>yuta.yasuda@mixi.co.jp</t>
  </si>
  <si>
    <t>株式会社MIXI/木村管掌/デジタルエンターテインメントオペレーションズ本部/ファンマーケティング部/MD事業開発グループ</t>
  </si>
  <si>
    <t>AO082060400</t>
  </si>
  <si>
    <t>安原英樹</t>
  </si>
  <si>
    <t>安原</t>
  </si>
  <si>
    <t>やすはら</t>
  </si>
  <si>
    <t>hideki.yasuhara</t>
  </si>
  <si>
    <t>hideki.yasuhara@mixi.co.jp</t>
  </si>
  <si>
    <t>安本圭佑</t>
  </si>
  <si>
    <t>安本</t>
  </si>
  <si>
    <t>やすもと</t>
  </si>
  <si>
    <t>keisuke.yasumoto</t>
  </si>
  <si>
    <t>keisuke.yasumoto@m-sfidante.com</t>
  </si>
  <si>
    <t>株式会社スフィダンテ
株式会社ラブグラフ</t>
  </si>
  <si>
    <t>在籍
在籍</t>
  </si>
  <si>
    <t>役員
役員</t>
  </si>
  <si>
    <t>XK517000000
XR542000000</t>
  </si>
  <si>
    <t>代表取締役社長
取締役</t>
  </si>
  <si>
    <t>安本祐依a</t>
  </si>
  <si>
    <t>祐依a</t>
  </si>
  <si>
    <t>yui.yasumoto.a.ts</t>
  </si>
  <si>
    <t>yui.yasumoto.a.ts@m-sfidante.com</t>
  </si>
  <si>
    <t>柳田大樹</t>
  </si>
  <si>
    <t>柳田</t>
  </si>
  <si>
    <t>やなぎた</t>
  </si>
  <si>
    <t>hiroki.yanagita</t>
  </si>
  <si>
    <t>hiroki.yanagita@mixi.co.jp</t>
  </si>
  <si>
    <t>栁田祥</t>
  </si>
  <si>
    <t>栁田</t>
  </si>
  <si>
    <t>祥</t>
  </si>
  <si>
    <t>やなぎだ</t>
  </si>
  <si>
    <t>sho.yanagida.ts</t>
  </si>
  <si>
    <t>sho.yanagida.ts@mixi.co.jp</t>
  </si>
  <si>
    <t>柳原由羽太a</t>
  </si>
  <si>
    <t>柳原</t>
  </si>
  <si>
    <t>由羽太a</t>
  </si>
  <si>
    <t>やなぎはら</t>
  </si>
  <si>
    <t>yuta.yanagihara.a</t>
  </si>
  <si>
    <t>yuta.yanagihara.a@netdreamers.co.jp</t>
  </si>
  <si>
    <t>柳谷秀樹a</t>
  </si>
  <si>
    <t>柳谷</t>
  </si>
  <si>
    <t>秀樹a</t>
  </si>
  <si>
    <t>やなぎや</t>
  </si>
  <si>
    <t>hideki.yanagiya.a.ts</t>
  </si>
  <si>
    <t>hideki.yanagiya.a.ts@mixi.co.jp</t>
  </si>
  <si>
    <t>柳瀬史和</t>
  </si>
  <si>
    <t>柳瀬</t>
  </si>
  <si>
    <t>史和</t>
  </si>
  <si>
    <t>やなせ</t>
  </si>
  <si>
    <t>ふみかず</t>
  </si>
  <si>
    <t>fumikazu.yanase</t>
  </si>
  <si>
    <t>fumikazu.yanase@mixi.co.jp</t>
  </si>
  <si>
    <t>柳本</t>
  </si>
  <si>
    <t>やなもと</t>
  </si>
  <si>
    <t>shuhei.yanamoto</t>
  </si>
  <si>
    <t>shuhei.yanamoto@mixi.co.jp</t>
  </si>
  <si>
    <t>株式会社MIXI/島村管掌/人事本部/MCS室</t>
  </si>
  <si>
    <t>AX089010000
AQ061030600</t>
  </si>
  <si>
    <t>矢野夏洋</t>
  </si>
  <si>
    <t>矢野</t>
  </si>
  <si>
    <t>夏洋</t>
  </si>
  <si>
    <t>やの</t>
  </si>
  <si>
    <t>なつひろ</t>
  </si>
  <si>
    <t>natsuhiro.yano</t>
  </si>
  <si>
    <t>natsuhiro.yano@mixi.co.jp</t>
  </si>
  <si>
    <t>矢野莉恵</t>
  </si>
  <si>
    <t>莉恵</t>
  </si>
  <si>
    <t>rie.yano.ts</t>
  </si>
  <si>
    <t>rie.yano.ts@mixi.co.jp</t>
  </si>
  <si>
    <t>八尋勇太</t>
  </si>
  <si>
    <t>八尋</t>
  </si>
  <si>
    <t>やひろ</t>
  </si>
  <si>
    <t>yuta.yahiro.ts</t>
  </si>
  <si>
    <t>yuta.yahiro.ts@mixi.co.jp</t>
  </si>
  <si>
    <t>薮崎泰一</t>
  </si>
  <si>
    <t>薮崎</t>
  </si>
  <si>
    <t>泰一</t>
  </si>
  <si>
    <t>やぶさき</t>
  </si>
  <si>
    <t>yabusaki</t>
  </si>
  <si>
    <t>yabusaki@mixi.co.jp</t>
  </si>
  <si>
    <t>株式会社MIXI/村瀨管掌/開発本部/たんぽぽ室</t>
  </si>
  <si>
    <t>AR060040000
AR060050000
AR060051000</t>
  </si>
  <si>
    <t>部長
室長
マネージャー</t>
  </si>
  <si>
    <t>矢部走</t>
  </si>
  <si>
    <t>矢部</t>
  </si>
  <si>
    <t>走</t>
  </si>
  <si>
    <t>やべ</t>
  </si>
  <si>
    <t>かける</t>
  </si>
  <si>
    <t>kakeru.yabe</t>
  </si>
  <si>
    <t>kakeru.yabe@mixi.co.jp</t>
  </si>
  <si>
    <t>山内萌</t>
  </si>
  <si>
    <t>山内</t>
  </si>
  <si>
    <t>萌</t>
  </si>
  <si>
    <t>やまうち</t>
  </si>
  <si>
    <t>もえ</t>
  </si>
  <si>
    <t>moe.yamauchi</t>
  </si>
  <si>
    <t>moe.yamauchi@mixi.co.jp</t>
  </si>
  <si>
    <t>XM556030300
AU073010302</t>
  </si>
  <si>
    <t>山内優衣</t>
  </si>
  <si>
    <t>優衣</t>
  </si>
  <si>
    <t>yui.yamauchi</t>
  </si>
  <si>
    <t>yui.yamauchi@netdreamers.co.jp</t>
  </si>
  <si>
    <t>山浦麻実</t>
  </si>
  <si>
    <t>山浦</t>
  </si>
  <si>
    <t>麻実</t>
  </si>
  <si>
    <t>やまうら</t>
  </si>
  <si>
    <t>mami.yamaura</t>
  </si>
  <si>
    <t>mami.yamaura@netdreamers.co.jp</t>
  </si>
  <si>
    <t>山浦倫子a</t>
  </si>
  <si>
    <t>倫子a</t>
  </si>
  <si>
    <t>りんこ</t>
  </si>
  <si>
    <t>rinko.yamaura.a.ts</t>
  </si>
  <si>
    <t>rinko.yamaura.a.ts@mixi.co.jp</t>
  </si>
  <si>
    <t>山岸雄歩</t>
  </si>
  <si>
    <t>山岸</t>
  </si>
  <si>
    <t>雄歩</t>
  </si>
  <si>
    <t>やまぎし</t>
  </si>
  <si>
    <t>ゆうほ</t>
  </si>
  <si>
    <t>yuho.yamagishi</t>
  </si>
  <si>
    <t>yuho.yamagishi@mixi.co.jp</t>
  </si>
  <si>
    <t>山口寛奈</t>
  </si>
  <si>
    <t>山口</t>
  </si>
  <si>
    <t>寛奈</t>
  </si>
  <si>
    <t>やまぐち</t>
  </si>
  <si>
    <t>かんな</t>
  </si>
  <si>
    <t>kanna.yamaguchi</t>
  </si>
  <si>
    <t>kanna.yamaguchi@m-winc.vc</t>
  </si>
  <si>
    <t>山口耕司</t>
  </si>
  <si>
    <t>耕司</t>
  </si>
  <si>
    <t>koji.yamaguchi</t>
  </si>
  <si>
    <t>koji.yamaguchi@m-sfidante.com</t>
  </si>
  <si>
    <t>sachiko.yamaguchi</t>
  </si>
  <si>
    <t>sachiko.yamaguchi@mixi.co.jp</t>
  </si>
  <si>
    <t>AO090040100
AO090050200</t>
  </si>
  <si>
    <t>山口世令奈</t>
  </si>
  <si>
    <t>世令奈</t>
  </si>
  <si>
    <t>せれな</t>
  </si>
  <si>
    <t>serena.yamaguchi.ts</t>
  </si>
  <si>
    <t>serena.yamaguchi.ts@mixi.co.jp</t>
  </si>
  <si>
    <t>山口大貴a</t>
  </si>
  <si>
    <t>大貴a</t>
  </si>
  <si>
    <t>daiki.yamaguchi.a</t>
  </si>
  <si>
    <t>daiki.yamaguchi.a@mixi.co.jp</t>
  </si>
  <si>
    <t>XR542000000
AW085020500
AW085020400</t>
  </si>
  <si>
    <t>取締役
スタッフ
スタッフ</t>
  </si>
  <si>
    <t>太樹</t>
  </si>
  <si>
    <t>daiki.yamaguchi</t>
  </si>
  <si>
    <t>daiki.yamaguchi@mixi.co.jp</t>
  </si>
  <si>
    <t>AO082080900
AO082080000
AO082080400
AO082080700
AO082080100
AO082080600
AO082080200
AO082080800
AO082080500
AO082090100
AO082090300
AO082090400
AO082090000
AO082090500
AO082090600</t>
  </si>
  <si>
    <t>0
0
0
0
0
0
0
0
0
0
0
0
1
0
0</t>
  </si>
  <si>
    <t>山口佳恵</t>
  </si>
  <si>
    <t>佳恵</t>
  </si>
  <si>
    <t>よしえ</t>
  </si>
  <si>
    <t>yoshie.yamaguchi</t>
  </si>
  <si>
    <t>yoshie.yamaguchi@netdreamers.co.jp</t>
  </si>
  <si>
    <t>山口佳輝</t>
  </si>
  <si>
    <t>佳輝</t>
  </si>
  <si>
    <t>yoshiteru.yamaguchi</t>
  </si>
  <si>
    <t>yoshiteru.yamaguchi@mixi.co.jp</t>
  </si>
  <si>
    <t>山畔雅史</t>
  </si>
  <si>
    <t>山畔</t>
  </si>
  <si>
    <t>やまくろ</t>
  </si>
  <si>
    <t>masafumi.yamakuro.ts</t>
  </si>
  <si>
    <t>山越千紗</t>
  </si>
  <si>
    <t>山越</t>
  </si>
  <si>
    <t>千紗</t>
  </si>
  <si>
    <t>やまこし</t>
  </si>
  <si>
    <t>ちさ</t>
  </si>
  <si>
    <t>chisa.yamakoshi</t>
  </si>
  <si>
    <t>chisa.yamakoshi@mixi.co.jp</t>
  </si>
  <si>
    <t>山﨑恵利子</t>
  </si>
  <si>
    <t>山﨑</t>
  </si>
  <si>
    <t>恵利子</t>
  </si>
  <si>
    <t>やまざき</t>
  </si>
  <si>
    <t>eriko.yamazaki</t>
  </si>
  <si>
    <t>eriko.yamazaki@m-sfidante.com</t>
  </si>
  <si>
    <t>山崎元</t>
  </si>
  <si>
    <t>山崎</t>
  </si>
  <si>
    <t>元</t>
  </si>
  <si>
    <t>gen.yamazaki.ts</t>
  </si>
  <si>
    <t>gen.yamazaki.ts@mixi.co.jp</t>
  </si>
  <si>
    <t>山崎耕太郎</t>
  </si>
  <si>
    <t>kotaro.yamazaki</t>
  </si>
  <si>
    <t>kotaro.yamazaki@mixi.co.jp</t>
  </si>
  <si>
    <t>山崎雄大a</t>
  </si>
  <si>
    <t>雄大a</t>
  </si>
  <si>
    <t>yudai.yamazaki.a.ts</t>
  </si>
  <si>
    <t>yudai.yamazaki.a.ts@netdreamers.co.jp</t>
  </si>
  <si>
    <t>XM556030200</t>
  </si>
  <si>
    <t>山崎豊</t>
  </si>
  <si>
    <t>yutaka.yamazaki</t>
  </si>
  <si>
    <t>yutaka.yamazaki@mixi.co.jp</t>
  </si>
  <si>
    <t>山地洋一</t>
  </si>
  <si>
    <t>山地</t>
  </si>
  <si>
    <t>洋一</t>
  </si>
  <si>
    <t>やまじ</t>
  </si>
  <si>
    <t>よういち</t>
  </si>
  <si>
    <t>yoichi.yamaji.ts</t>
  </si>
  <si>
    <t>yoichi.yamaji.ts@mixi.co.jp</t>
  </si>
  <si>
    <t>山下敦</t>
  </si>
  <si>
    <t>山下</t>
  </si>
  <si>
    <t>やました</t>
  </si>
  <si>
    <t>atsushi.yamashita</t>
  </si>
  <si>
    <t>atsushi.yamashita@mixi.co.jp</t>
  </si>
  <si>
    <t>山下礼子</t>
  </si>
  <si>
    <t>礼子</t>
  </si>
  <si>
    <t>ayako.yamashita</t>
  </si>
  <si>
    <t>ayako.yamashita@mixi.co.jp</t>
  </si>
  <si>
    <t>株式会社MIXI/管掌役員なし/渉外部(本部格)/渉外部/グローバルリレーショングループ</t>
  </si>
  <si>
    <t>ZZ092010100</t>
  </si>
  <si>
    <t>山下将吾a</t>
  </si>
  <si>
    <t>将吾a</t>
  </si>
  <si>
    <t>shogo.yamashita.a</t>
  </si>
  <si>
    <t>shogo.yamashita.a@mixi.co.jp</t>
  </si>
  <si>
    <t>山下萌</t>
  </si>
  <si>
    <t>moe.yamashita</t>
  </si>
  <si>
    <t>moe.yamashita@mixi.co.jp</t>
  </si>
  <si>
    <t>山田淳登</t>
  </si>
  <si>
    <t>山田</t>
  </si>
  <si>
    <t>淳登</t>
  </si>
  <si>
    <t>やまだ</t>
  </si>
  <si>
    <t>あつと</t>
  </si>
  <si>
    <t>atsuto.yamada</t>
  </si>
  <si>
    <t>atsuto.yamada@mixi.co.jp</t>
  </si>
  <si>
    <t>山田伊織</t>
  </si>
  <si>
    <t>iori.yamada</t>
  </si>
  <si>
    <t>iori.yamada@mixi.co.jp</t>
  </si>
  <si>
    <t>山田恵亮</t>
  </si>
  <si>
    <t>恵亮</t>
  </si>
  <si>
    <t>keisuke.yamada</t>
  </si>
  <si>
    <t>keisuke.yamada@mixi.co.jp</t>
  </si>
  <si>
    <t>山田健輔</t>
  </si>
  <si>
    <t>kensuke.yamada</t>
  </si>
  <si>
    <t>kensuke.yamada@mixi.co.jp</t>
  </si>
  <si>
    <t>山田大地</t>
  </si>
  <si>
    <t>daichi.yamada</t>
  </si>
  <si>
    <t>daichi.yamada@mixi.co.jp</t>
  </si>
  <si>
    <t>山田千紗</t>
  </si>
  <si>
    <t>ちさや</t>
  </si>
  <si>
    <t>chisaya.yamada</t>
  </si>
  <si>
    <t>chisaya.yamada@mixi.co.jp</t>
  </si>
  <si>
    <t>山田千紘</t>
  </si>
  <si>
    <t>千紘</t>
  </si>
  <si>
    <t>chihiro.yamada</t>
  </si>
  <si>
    <t>chihiro.yamada@mixi.co.jp</t>
  </si>
  <si>
    <t>山谷優介</t>
  </si>
  <si>
    <t>山谷</t>
  </si>
  <si>
    <t>優介</t>
  </si>
  <si>
    <t>やまたに</t>
  </si>
  <si>
    <t>yusuke.yamatani</t>
  </si>
  <si>
    <t>yusuke.yamatani@mixi.co.jp</t>
  </si>
  <si>
    <t>山中史子</t>
  </si>
  <si>
    <t>山中</t>
  </si>
  <si>
    <t>史子</t>
  </si>
  <si>
    <t>やまなか</t>
  </si>
  <si>
    <t>ふみこ</t>
  </si>
  <si>
    <t>fumiko.yamanaka</t>
  </si>
  <si>
    <t>fumiko.yamanaka@mixi.co.jp</t>
  </si>
  <si>
    <t>AR059050701
AQ087020400</t>
  </si>
  <si>
    <t>山中美幸</t>
  </si>
  <si>
    <t>miyuki.yamanaka</t>
  </si>
  <si>
    <t>miyuki.yamanaka@mixi.co.jp</t>
  </si>
  <si>
    <t>山本早奈恵</t>
  </si>
  <si>
    <t>山本</t>
  </si>
  <si>
    <t>早奈恵</t>
  </si>
  <si>
    <t>やまもと</t>
  </si>
  <si>
    <t>さなえ</t>
  </si>
  <si>
    <t>sanae.yamamoto</t>
  </si>
  <si>
    <t>sanae.yamamoto@mixi.co.jp</t>
  </si>
  <si>
    <t>山本聡太a</t>
  </si>
  <si>
    <t>聡太a</t>
  </si>
  <si>
    <t>sota.yamamoto.a</t>
  </si>
  <si>
    <t>sota.yamamoto.a@mixi.co.jp</t>
  </si>
  <si>
    <t>山本大</t>
  </si>
  <si>
    <t>だい</t>
  </si>
  <si>
    <t>dai.yamamoto.ts</t>
  </si>
  <si>
    <t>dai.yamamoto.ts@mixi.co.jp</t>
  </si>
  <si>
    <t>忠智香</t>
  </si>
  <si>
    <t>ただちか</t>
  </si>
  <si>
    <t>tadachika.yamamoto</t>
  </si>
  <si>
    <t>tadachika.yamamoto@mixi.co.jp</t>
  </si>
  <si>
    <t>株式会社MIXI/木村管掌/デジタルエンターテインメントオペレーションズ本部/ファンマーケティング部/ライセンスグループ</t>
  </si>
  <si>
    <t>AO082060300</t>
  </si>
  <si>
    <t>naoki.yamamoto</t>
  </si>
  <si>
    <t>naoki.yamamoto@mixi.co.jp</t>
  </si>
  <si>
    <t>山本英範</t>
  </si>
  <si>
    <t>英範</t>
  </si>
  <si>
    <t>hidenori.yamamoto</t>
  </si>
  <si>
    <t>hidenori.yamamoto@netdreamers.co.jp</t>
  </si>
  <si>
    <t>山本優樹</t>
  </si>
  <si>
    <t>優樹</t>
  </si>
  <si>
    <t>yuki.yamamoto.ts</t>
  </si>
  <si>
    <t>yuki.yamamoto.ts@mixi.co.jp</t>
  </si>
  <si>
    <t>山本幸実</t>
  </si>
  <si>
    <t>幸実</t>
  </si>
  <si>
    <t>ゆきみ</t>
  </si>
  <si>
    <t>yukimi.yamamoto</t>
  </si>
  <si>
    <t>yukimi.yamamoto@mixi.co.jp</t>
  </si>
  <si>
    <t>XI516000000
XR542000000
AW076070101</t>
  </si>
  <si>
    <t>陽司</t>
  </si>
  <si>
    <t>yoji.yamamoto</t>
  </si>
  <si>
    <t>yoji.yamamoto@mixi.co.jp</t>
  </si>
  <si>
    <t>株式会社MIXI/島村管掌/人事本部/組織戦略部</t>
  </si>
  <si>
    <t>AX089070000
AX089070400</t>
  </si>
  <si>
    <t>山森章弘</t>
  </si>
  <si>
    <t>山森</t>
  </si>
  <si>
    <t>章弘</t>
  </si>
  <si>
    <t>やまもり</t>
  </si>
  <si>
    <t>akihiro.yamamori</t>
  </si>
  <si>
    <t>akihiro.yamamori@mixi.co.jp</t>
  </si>
  <si>
    <t>山屋健</t>
  </si>
  <si>
    <t>山屋</t>
  </si>
  <si>
    <t>やまや</t>
  </si>
  <si>
    <t>takeshi.yamaya</t>
  </si>
  <si>
    <t>takeshi.yamaya@mixi.co.jp</t>
  </si>
  <si>
    <t>山脇秀男</t>
  </si>
  <si>
    <t>山脇</t>
  </si>
  <si>
    <t>秀男</t>
  </si>
  <si>
    <t>やまわき</t>
  </si>
  <si>
    <t>ひでお</t>
  </si>
  <si>
    <t>hideo.yamawaki</t>
  </si>
  <si>
    <t>hideo.yamawaki@mixi.co.jp</t>
  </si>
  <si>
    <t>鎗田大樹</t>
  </si>
  <si>
    <t>鎗田</t>
  </si>
  <si>
    <t>やりた</t>
  </si>
  <si>
    <t>daiki.yarita</t>
  </si>
  <si>
    <t>daiki.yarita@mixi.co.jp</t>
  </si>
  <si>
    <t>山家彩子</t>
  </si>
  <si>
    <t>山家</t>
  </si>
  <si>
    <t>やんべ</t>
  </si>
  <si>
    <t>ayako.yambe</t>
  </si>
  <si>
    <t>ayako.yambe@mixi.co.jp</t>
  </si>
  <si>
    <t>AR059000000
AR059070100</t>
  </si>
  <si>
    <t>結城あゆ</t>
  </si>
  <si>
    <t>結城</t>
  </si>
  <si>
    <t>ayu.yuki</t>
  </si>
  <si>
    <t>ayu.yuki@mixi.co.jp</t>
  </si>
  <si>
    <t>祐希りる</t>
  </si>
  <si>
    <t>りる</t>
  </si>
  <si>
    <t>riru.yuki.ts</t>
  </si>
  <si>
    <t>riru.yuki.ts@mixi.co.jp</t>
  </si>
  <si>
    <t>行長円香a</t>
  </si>
  <si>
    <t>行長</t>
  </si>
  <si>
    <t>円香a</t>
  </si>
  <si>
    <t>ゆきなが</t>
  </si>
  <si>
    <t>まどか</t>
  </si>
  <si>
    <t>madoka.yukinaga.a.ts</t>
  </si>
  <si>
    <t>madoka.yukinaga.a.ts@m-lovegraph.com</t>
  </si>
  <si>
    <t>遊佐亜矢子</t>
  </si>
  <si>
    <t>遊佐</t>
  </si>
  <si>
    <t>亜矢子</t>
  </si>
  <si>
    <t>ゆさ</t>
  </si>
  <si>
    <t>ayako.yusa.ts</t>
  </si>
  <si>
    <t>ayako.yusa.ts@mixi.co.jp</t>
  </si>
  <si>
    <t>遊佐知弥</t>
  </si>
  <si>
    <t>知弥</t>
  </si>
  <si>
    <t>chihiro.yusa</t>
  </si>
  <si>
    <t>chihiro.yusa@netdreamers.co.jp</t>
  </si>
  <si>
    <t>弓矢光春</t>
  </si>
  <si>
    <t>弓矢</t>
  </si>
  <si>
    <t>光春</t>
  </si>
  <si>
    <t>ゆみや</t>
  </si>
  <si>
    <t>みつはる</t>
  </si>
  <si>
    <t>mitsuharu.yumiya</t>
  </si>
  <si>
    <t>mitsuharu.yumiya@mixi.co.jp</t>
  </si>
  <si>
    <t>尹晟榕</t>
  </si>
  <si>
    <t>尹</t>
  </si>
  <si>
    <t>晟榕</t>
  </si>
  <si>
    <t>ゆん</t>
  </si>
  <si>
    <t>そんよん</t>
  </si>
  <si>
    <t>sungyong.yoon</t>
  </si>
  <si>
    <t>sungyong.yoon@mixi.co.jp</t>
  </si>
  <si>
    <t>楊敏</t>
  </si>
  <si>
    <t>楊</t>
  </si>
  <si>
    <t>敏</t>
  </si>
  <si>
    <t>びん</t>
  </si>
  <si>
    <t>min.yang</t>
  </si>
  <si>
    <t>min.yang@mixi.co.jp</t>
  </si>
  <si>
    <t>容貝真実</t>
  </si>
  <si>
    <t>容貝</t>
  </si>
  <si>
    <t>ようがい</t>
  </si>
  <si>
    <t>mami.yogai</t>
  </si>
  <si>
    <t>mami.yogai@mixi.co.jp</t>
  </si>
  <si>
    <t>横井速人</t>
  </si>
  <si>
    <t>横井</t>
  </si>
  <si>
    <t>速人</t>
  </si>
  <si>
    <t>よこい</t>
  </si>
  <si>
    <t>hayato.yokoi</t>
  </si>
  <si>
    <t>hayato.yokoi@mixi.co.jp</t>
  </si>
  <si>
    <t>株式会社MIXI/小林管掌/CS本部/CS部</t>
  </si>
  <si>
    <t>XI516000000
XM556030300
AU073010000</t>
  </si>
  <si>
    <t>スタッフ
スタッフ
部長</t>
  </si>
  <si>
    <t>横尾剛</t>
  </si>
  <si>
    <t>横尾</t>
  </si>
  <si>
    <t>よこお</t>
  </si>
  <si>
    <t>tsuyoshi.yoko</t>
  </si>
  <si>
    <t>tsuyoshi.yoko@netdreamers.co.jp</t>
  </si>
  <si>
    <t>横田江美</t>
  </si>
  <si>
    <t>横田</t>
  </si>
  <si>
    <t>江美</t>
  </si>
  <si>
    <t>よこた</t>
  </si>
  <si>
    <t>emi.yokota</t>
  </si>
  <si>
    <t>emi.yokota@mixi.co.jp</t>
  </si>
  <si>
    <t>横山秀</t>
  </si>
  <si>
    <t>横山</t>
  </si>
  <si>
    <t>よこやま</t>
  </si>
  <si>
    <t>shu.yokoyama</t>
  </si>
  <si>
    <t>shu.yokoyama@mixi.co.jp</t>
  </si>
  <si>
    <t>AO082020701
AO082060501</t>
  </si>
  <si>
    <t>義之</t>
  </si>
  <si>
    <t>yoshiyuki.yokoyama</t>
  </si>
  <si>
    <t>yoshiyuki.yokoyama@mixi.co.jp</t>
  </si>
  <si>
    <t>AR059000000
AR059050000</t>
  </si>
  <si>
    <t>執行役員
室長</t>
  </si>
  <si>
    <t>横山航b</t>
  </si>
  <si>
    <t>航b</t>
  </si>
  <si>
    <t>wataru.yokoyama.b.ts</t>
  </si>
  <si>
    <t>wataru.yokoyama.b.ts@netdreamers.co.jp</t>
  </si>
  <si>
    <t>横山航</t>
  </si>
  <si>
    <t>wataru.yokoyama</t>
  </si>
  <si>
    <t>wataru.yokoyama@mixi.co.jp</t>
  </si>
  <si>
    <t>吉井亮</t>
  </si>
  <si>
    <t>吉井</t>
  </si>
  <si>
    <t>よしい</t>
  </si>
  <si>
    <t>ryo.yoshii</t>
  </si>
  <si>
    <t>ryo.yoshii@mixi.co.jp</t>
  </si>
  <si>
    <t>吉岡希織</t>
  </si>
  <si>
    <t>吉岡</t>
  </si>
  <si>
    <t>希織</t>
  </si>
  <si>
    <t>よしおか</t>
  </si>
  <si>
    <t>きおり</t>
  </si>
  <si>
    <t>kiori.yoshioka</t>
  </si>
  <si>
    <t>kiori.yoshioka@mixi.co.jp</t>
  </si>
  <si>
    <t>AU073020103</t>
  </si>
  <si>
    <t>吉岡翔</t>
  </si>
  <si>
    <t>sho.yoshioka</t>
  </si>
  <si>
    <t>sho.yoshioka@mixi.co.jp</t>
  </si>
  <si>
    <t>株式会社MIXI/木村管掌/デジタルエンターテインメントオペレーションズ本部/コトダマン制作部/コンテンツプランニンググループ</t>
  </si>
  <si>
    <t>AO082090500
AO082080201</t>
  </si>
  <si>
    <t>吉岡辰也</t>
  </si>
  <si>
    <t>辰也</t>
  </si>
  <si>
    <t>tatsuya.yoshioka.ts</t>
  </si>
  <si>
    <t>tatsuya.yoshioka.ts@mixi.co.jp</t>
  </si>
  <si>
    <t>株式会社MIXI/木村管掌/デジタルエンターテインメントオペレーションズ本部/コトダマン運営部/プロダクト開発Bグループ/開発プランナーBチーム</t>
  </si>
  <si>
    <t>AO082080601</t>
  </si>
  <si>
    <t>吉岡知晃</t>
  </si>
  <si>
    <t>知晃</t>
  </si>
  <si>
    <t>yoshioka</t>
  </si>
  <si>
    <t>yoshioka@mixi.co.jp</t>
  </si>
  <si>
    <t>吉岡美香</t>
  </si>
  <si>
    <t>美香</t>
  </si>
  <si>
    <t>mika.yoshioka</t>
  </si>
  <si>
    <t>mika.yoshioka@mixi.co.jp</t>
  </si>
  <si>
    <t>AO082040301
AO082040304</t>
  </si>
  <si>
    <t>吉川直輝</t>
  </si>
  <si>
    <t>吉川</t>
  </si>
  <si>
    <t>よしかわ</t>
  </si>
  <si>
    <t>naoki.yoshikawa</t>
  </si>
  <si>
    <t>naoki.yoshikawa@mixi.co.jp</t>
  </si>
  <si>
    <t>吉里陸</t>
  </si>
  <si>
    <t>吉里</t>
  </si>
  <si>
    <t>よしざと</t>
  </si>
  <si>
    <t>riku.yoshizato.ts</t>
  </si>
  <si>
    <t>riku.yoshizato.ts@mixi.co.jp</t>
  </si>
  <si>
    <t>吉田晃浩a</t>
  </si>
  <si>
    <t>吉田</t>
  </si>
  <si>
    <t>晃浩a</t>
  </si>
  <si>
    <t>よしだ</t>
  </si>
  <si>
    <t>akihiro.yoshida.a</t>
  </si>
  <si>
    <t>akihiro.yoshida.a@netdreamers.co.jp</t>
  </si>
  <si>
    <t>明広</t>
  </si>
  <si>
    <t>akihiro.yoshida</t>
  </si>
  <si>
    <t>akihiro.yoshida@mixi.co.jp</t>
  </si>
  <si>
    <t>AR060011200
AO083020600</t>
  </si>
  <si>
    <t>吉田小夏</t>
  </si>
  <si>
    <t>小夏</t>
  </si>
  <si>
    <t>こなつ</t>
  </si>
  <si>
    <t>konatsu.yoshida</t>
  </si>
  <si>
    <t>konatsu.yoshida@mixi.co.jp</t>
  </si>
  <si>
    <t>吉田聡史a</t>
  </si>
  <si>
    <t>聡史a</t>
  </si>
  <si>
    <t>satoshi.yoshida.a</t>
  </si>
  <si>
    <t>satoshi.yoshida.a@mixi.co.jp</t>
  </si>
  <si>
    <t>吉田聡史</t>
  </si>
  <si>
    <t>satoshi.yoshida</t>
  </si>
  <si>
    <t>satoshi.yoshida@netdreamers.co.jp</t>
  </si>
  <si>
    <t>株式会社ネットドリーマーズ/株式会社ネットドリーマーズ/メディア&amp;ベッティング事業本部</t>
  </si>
  <si>
    <t>XM551000000
XM551010000
XM551010100
XM551060000</t>
  </si>
  <si>
    <t>本部長
部長
マネージャー
室長</t>
  </si>
  <si>
    <t>吉田淳子</t>
  </si>
  <si>
    <t>淳子</t>
  </si>
  <si>
    <t>junko.yoshida</t>
  </si>
  <si>
    <t>junko.yoshida@netdreamers.co.jp</t>
  </si>
  <si>
    <t>XM556030300</t>
  </si>
  <si>
    <t>吉田晟梧</t>
  </si>
  <si>
    <t>晟梧</t>
  </si>
  <si>
    <t>seigo.yoshida</t>
  </si>
  <si>
    <t>seigo.yoshida@mixi.co.jp</t>
  </si>
  <si>
    <t>吉田智咲a</t>
  </si>
  <si>
    <t>智咲a</t>
  </si>
  <si>
    <t>ちさき</t>
  </si>
  <si>
    <t>chisaki.yoshida.a</t>
  </si>
  <si>
    <t>chisaki.yoshida.a@mixi.co.jp</t>
  </si>
  <si>
    <t>吉田悠紀</t>
  </si>
  <si>
    <t>yuki.yoshida</t>
  </si>
  <si>
    <t>yuki.yoshida@mixi.co.jp</t>
  </si>
  <si>
    <t>AQ061030102
AQ087020200
AQ087040000</t>
  </si>
  <si>
    <t>吉田祐太</t>
  </si>
  <si>
    <t>yuta.yoshida.ts</t>
  </si>
  <si>
    <t>yuta.yoshida.ts@mixi.co.jp</t>
  </si>
  <si>
    <t>吉田豊</t>
  </si>
  <si>
    <t>yoshida</t>
  </si>
  <si>
    <t>yoshida@mixi.co.jp</t>
  </si>
  <si>
    <t>吉竹宣也</t>
  </si>
  <si>
    <t>吉竹</t>
  </si>
  <si>
    <t>宣也</t>
  </si>
  <si>
    <t>よしたけ</t>
  </si>
  <si>
    <t>のぶや</t>
  </si>
  <si>
    <t>nobuya.yoshitake</t>
  </si>
  <si>
    <t>nobuya.yoshitake@tbam.co.jp</t>
  </si>
  <si>
    <t>株式会社TOKYOBAYアリーナマネジメント/株式会社TOKYOBAYアリーナマネジメント/株式会社TOKYOBAYアリーナマネジメント(本部格)</t>
  </si>
  <si>
    <t>XP537000000</t>
  </si>
  <si>
    <t>吉永英恵</t>
  </si>
  <si>
    <t>吉永</t>
  </si>
  <si>
    <t>よしなが</t>
  </si>
  <si>
    <t>hanae.yoshinaga</t>
  </si>
  <si>
    <t>hanae.yoshinaga@mixi.co.jp</t>
  </si>
  <si>
    <t>株式会社MIXI/木村管掌/デジタルエンターテインメントオペレーションズ本部/ファンマーケティング部</t>
  </si>
  <si>
    <t>AO082060000</t>
  </si>
  <si>
    <t>吉野純平</t>
  </si>
  <si>
    <t>吉野</t>
  </si>
  <si>
    <t>junpei.yoshino</t>
  </si>
  <si>
    <t>junpei.yoshino@mixi.co.jp</t>
  </si>
  <si>
    <t>吉野隼翔</t>
  </si>
  <si>
    <t>隼翔</t>
  </si>
  <si>
    <t>hayato.yoshino</t>
  </si>
  <si>
    <t>hayato.yoshino@mixi.co.jp</t>
  </si>
  <si>
    <t>吉野裕貴a</t>
  </si>
  <si>
    <t>裕貴a</t>
  </si>
  <si>
    <t>yuki.yoshino.a</t>
  </si>
  <si>
    <t>yuki.yoshino.a@mixi.co.jp</t>
  </si>
  <si>
    <t>吉野祐樹</t>
  </si>
  <si>
    <t>yuki.yoshino</t>
  </si>
  <si>
    <t>yuki.yoshino@m-sfidante.com</t>
  </si>
  <si>
    <t>吉野曜介</t>
  </si>
  <si>
    <t>曜介</t>
  </si>
  <si>
    <t>yosuke.yoshino</t>
  </si>
  <si>
    <t>yosuke.yoshino@mixi.co.jp</t>
  </si>
  <si>
    <t>株式会社MIXI/木村管掌/デジタルエンターテインメントオペレーションズ本部/事業戦略部/解析グループ</t>
  </si>
  <si>
    <t>AO082050200</t>
  </si>
  <si>
    <t>吉村健矢</t>
  </si>
  <si>
    <t>吉村</t>
  </si>
  <si>
    <t>健矢</t>
  </si>
  <si>
    <t>よしむら</t>
  </si>
  <si>
    <t>takuya.yoshimura</t>
  </si>
  <si>
    <t>takuya.yoshimura@mixi.co.jp</t>
  </si>
  <si>
    <t>吉本早希</t>
  </si>
  <si>
    <t>吉本</t>
  </si>
  <si>
    <t>早希</t>
  </si>
  <si>
    <t>よしもと</t>
  </si>
  <si>
    <t>saki.yoshimoto</t>
  </si>
  <si>
    <t>saki.yoshimoto@mixi.co.jp</t>
  </si>
  <si>
    <t>四元基裕</t>
  </si>
  <si>
    <t>四元</t>
  </si>
  <si>
    <t>基裕</t>
  </si>
  <si>
    <t>よつもと</t>
  </si>
  <si>
    <t>もとひろ</t>
  </si>
  <si>
    <t>motohiro.yotsumoto</t>
  </si>
  <si>
    <t>motohiro.yotsumoto@netdreamers.co.jp</t>
  </si>
  <si>
    <t>株式会社ネットドリーマーズ/株式会社ネットドリーマーズ/netkeiba事業本部/予想サービス事業部</t>
  </si>
  <si>
    <t>XM550020000
XM550000000
XM550030000</t>
  </si>
  <si>
    <t>部長
スタッフ
部長</t>
  </si>
  <si>
    <t>四柳達彦</t>
  </si>
  <si>
    <t>四柳</t>
  </si>
  <si>
    <t>よつやなぎ</t>
  </si>
  <si>
    <t>tatsuhiko.yotsuyanagi.ts</t>
  </si>
  <si>
    <t>tatsuhiko.yotsuyanagi.ts@mixi.co.jp</t>
  </si>
  <si>
    <t>AO082020500</t>
  </si>
  <si>
    <t>米川東</t>
  </si>
  <si>
    <t>米川</t>
  </si>
  <si>
    <t>よねかわ</t>
  </si>
  <si>
    <t>azuma.yonekawa.ts</t>
  </si>
  <si>
    <t>azuma.yonekawa.ts@mixi.co.jp</t>
  </si>
  <si>
    <t>米田好宏</t>
  </si>
  <si>
    <t>よねだ</t>
  </si>
  <si>
    <t>yoshihiro.yoneda</t>
  </si>
  <si>
    <t>yoshihiro.yoneda@mixi.co.jp</t>
  </si>
  <si>
    <t>米原章弘</t>
  </si>
  <si>
    <t>米原</t>
  </si>
  <si>
    <t>よねはら</t>
  </si>
  <si>
    <t>akihiro.yonehara</t>
  </si>
  <si>
    <t>akihiro.yonehara@mixi.co.jp</t>
  </si>
  <si>
    <t>ヨンジュンヨン</t>
  </si>
  <si>
    <t>ヨン</t>
  </si>
  <si>
    <t>ジュンヨン</t>
  </si>
  <si>
    <t>よん</t>
  </si>
  <si>
    <t>じゅんよん</t>
  </si>
  <si>
    <t>junyeong.yong</t>
  </si>
  <si>
    <t>junyeong.yong@mixi.co.jp</t>
  </si>
  <si>
    <t>羅凱雋</t>
  </si>
  <si>
    <t>羅</t>
  </si>
  <si>
    <t>凱雋</t>
  </si>
  <si>
    <t>ら</t>
  </si>
  <si>
    <t>がいしゅん</t>
  </si>
  <si>
    <t>hoichun.lo</t>
  </si>
  <si>
    <t>hoichun.lo@mixi.co.jp</t>
  </si>
  <si>
    <t>株式会社MIXI/木村管掌/デジタルエンターテインメントオペレーションズ本部/モンスト運営部/Global Directionグループ/海外UCチーム</t>
  </si>
  <si>
    <t>AO082010402</t>
  </si>
  <si>
    <t>李中宜</t>
  </si>
  <si>
    <t>中宜</t>
  </si>
  <si>
    <t>り</t>
  </si>
  <si>
    <t>ちゅうぎ</t>
  </si>
  <si>
    <t>chungyi.lee</t>
  </si>
  <si>
    <t>chungyi.lee@mixi.co.jp</t>
  </si>
  <si>
    <t>力武亜矢</t>
  </si>
  <si>
    <t>力武</t>
  </si>
  <si>
    <t>亜矢</t>
  </si>
  <si>
    <t>りきたけ</t>
  </si>
  <si>
    <t>aya.rikitake.ts</t>
  </si>
  <si>
    <t>aya.rikitake.ts@mixi.co.jp</t>
  </si>
  <si>
    <t>リンテイイ</t>
  </si>
  <si>
    <t>リン</t>
  </si>
  <si>
    <t>テイイ</t>
  </si>
  <si>
    <t>ていい</t>
  </si>
  <si>
    <t>chenwei.lin</t>
  </si>
  <si>
    <t>chenwei.lin@mixi.co.jp</t>
  </si>
  <si>
    <t>林楓</t>
  </si>
  <si>
    <t>ふう</t>
  </si>
  <si>
    <t>feng.lin</t>
  </si>
  <si>
    <t>feng.lin@mixi.co.jp</t>
  </si>
  <si>
    <t>ロッジア和マルティン</t>
  </si>
  <si>
    <t>ロッジア</t>
  </si>
  <si>
    <t>和マルティン</t>
  </si>
  <si>
    <t>ろっじあ</t>
  </si>
  <si>
    <t>かずまるてぃん</t>
  </si>
  <si>
    <t>kazumartin.loggia</t>
  </si>
  <si>
    <t>kazumartin.loggia@mixi.co.jp</t>
  </si>
  <si>
    <t>WeinstockOfir</t>
  </si>
  <si>
    <t>Weinstock</t>
  </si>
  <si>
    <t>Ofir</t>
  </si>
  <si>
    <t>わいんすとっく</t>
  </si>
  <si>
    <t>おふぃる</t>
  </si>
  <si>
    <t>ofir.weinstock.ts</t>
  </si>
  <si>
    <t>ofir.weinstock.ts@mixi.co.jp</t>
  </si>
  <si>
    <t>若狭香織</t>
  </si>
  <si>
    <t>若狭</t>
  </si>
  <si>
    <t>わかさ</t>
  </si>
  <si>
    <t>kaori.wakasa</t>
  </si>
  <si>
    <t>kaori.wakasa@mixi.co.jp</t>
  </si>
  <si>
    <t>若杉ゆかり</t>
  </si>
  <si>
    <t>若杉</t>
  </si>
  <si>
    <t>わかすぎ</t>
  </si>
  <si>
    <t>yukari.wakasugi</t>
  </si>
  <si>
    <t>yukari.wakasugi@mixi.co.jp</t>
  </si>
  <si>
    <t>若月和美</t>
  </si>
  <si>
    <t>若月</t>
  </si>
  <si>
    <t>和美</t>
  </si>
  <si>
    <t>わかつき</t>
  </si>
  <si>
    <t>kazumi.wakatsuki</t>
  </si>
  <si>
    <t>kazumi.wakatsuki@mixi.co.jp</t>
  </si>
  <si>
    <t>若林史敏</t>
  </si>
  <si>
    <t>若林</t>
  </si>
  <si>
    <t>史敏</t>
  </si>
  <si>
    <t>わかばやし</t>
  </si>
  <si>
    <t>fumitoshi.wakabayashi.ts</t>
  </si>
  <si>
    <t>若松丈人</t>
  </si>
  <si>
    <t>若松</t>
  </si>
  <si>
    <t>丈人</t>
  </si>
  <si>
    <t>わかまつ</t>
  </si>
  <si>
    <t>たけと</t>
  </si>
  <si>
    <t>taketo.wakamatsu</t>
  </si>
  <si>
    <t>taketo.wakamatsu@mixi.co.jp</t>
  </si>
  <si>
    <t>若松亮</t>
  </si>
  <si>
    <t>ryo.wakamatsu</t>
  </si>
  <si>
    <t>ryo.wakamatsu@mixi.co.jp</t>
  </si>
  <si>
    <t>スタッフ
リーダー
スタッフ
スタッフ
スタッフ
スタッフ
スタッフ
スタッフ
スタッフ
スタッフ
スタッフ
スタッフ
スタッフ
スタッフ
スタッフ
スタッフ
スタッフ</t>
  </si>
  <si>
    <t>若山祐輝</t>
  </si>
  <si>
    <t>若山</t>
  </si>
  <si>
    <t>祐輝</t>
  </si>
  <si>
    <t>わかやま</t>
  </si>
  <si>
    <t>yuki.wakayama</t>
  </si>
  <si>
    <t>yuki.wakayama@mixi.co.jp</t>
  </si>
  <si>
    <t>脇田竜也</t>
  </si>
  <si>
    <t>脇田</t>
  </si>
  <si>
    <t>わきた</t>
  </si>
  <si>
    <t>tatsuya.wakita</t>
  </si>
  <si>
    <t>tatsuya.wakita@mixi.co.jp</t>
  </si>
  <si>
    <t>鷲津裕</t>
  </si>
  <si>
    <t>鷲津</t>
  </si>
  <si>
    <t>わしづ</t>
  </si>
  <si>
    <t>yu.washizu.ts</t>
  </si>
  <si>
    <t>yu.washizu.ts@mixi.co.jp</t>
  </si>
  <si>
    <t>和田栞</t>
  </si>
  <si>
    <t>和田</t>
  </si>
  <si>
    <t>わだ</t>
  </si>
  <si>
    <t>shiori.wada.ts</t>
  </si>
  <si>
    <t>shiori.wada.ts@mixi.co.jp</t>
  </si>
  <si>
    <t>和田尚乃</t>
  </si>
  <si>
    <t>尚乃</t>
  </si>
  <si>
    <t>ひさの</t>
  </si>
  <si>
    <t>hisano.wada</t>
  </si>
  <si>
    <t>hisano.wada@mixi.co.jp</t>
  </si>
  <si>
    <t>和田萌々花</t>
  </si>
  <si>
    <t>萌々花</t>
  </si>
  <si>
    <t>momoka.wada.ts</t>
  </si>
  <si>
    <t>momoka.wada.ts@mixi.co.jp</t>
  </si>
  <si>
    <t>渡士亮</t>
  </si>
  <si>
    <t>渡士</t>
  </si>
  <si>
    <t>わたし</t>
  </si>
  <si>
    <t>ryo.watashi</t>
  </si>
  <si>
    <t>ryo.watashi@mixi.co.jp</t>
  </si>
  <si>
    <t>渡邉彩賀a</t>
  </si>
  <si>
    <t>渡邉</t>
  </si>
  <si>
    <t>彩賀a</t>
  </si>
  <si>
    <t>わたなべ</t>
  </si>
  <si>
    <t>ayaka.watanabe.a</t>
  </si>
  <si>
    <t>ayaka.watanabe.a@mixi.co.jp</t>
  </si>
  <si>
    <t>株式会社MIXI/木村管掌/デジタルエンターテインメントオペレーションズ本部/宣伝部/プロモーショングループ</t>
  </si>
  <si>
    <t>AO082030100
AO082030105</t>
  </si>
  <si>
    <t>渡辺</t>
  </si>
  <si>
    <t>kazuhiro.watanabe</t>
  </si>
  <si>
    <t>kazuhiro.watanabe@mixi.co.jp</t>
  </si>
  <si>
    <t>株式会社MIXI
株式会社チャリロトプラザサービス</t>
  </si>
  <si>
    <t>AU074010000
AU074010900
XX561000000</t>
  </si>
  <si>
    <t>部長
マネージャー
取締役</t>
  </si>
  <si>
    <t>渡邊景</t>
  </si>
  <si>
    <t>渡邊</t>
  </si>
  <si>
    <t>景</t>
  </si>
  <si>
    <t>kei.watanabe.ts</t>
  </si>
  <si>
    <t>kei.watanabe.ts@mixi.co.jp</t>
  </si>
  <si>
    <t>渡部航也</t>
  </si>
  <si>
    <t>渡部</t>
  </si>
  <si>
    <t>航也</t>
  </si>
  <si>
    <t>koya.watanabe.ts</t>
  </si>
  <si>
    <t>koya.watanabe.ts@mixi.co.jp</t>
  </si>
  <si>
    <t>渡辺聖介a</t>
  </si>
  <si>
    <t>聖介a</t>
  </si>
  <si>
    <t>しょうすけ</t>
  </si>
  <si>
    <t>shosuke.watanabe.a.ts</t>
  </si>
  <si>
    <t>shosuke.watanabe.a.ts@mixi.co.jp</t>
  </si>
  <si>
    <t>渡辺大貴</t>
  </si>
  <si>
    <t>大貴</t>
  </si>
  <si>
    <t>たいき</t>
  </si>
  <si>
    <t>taiki.watanabe</t>
  </si>
  <si>
    <t>taiki.watanabe@mixi.co.jp</t>
  </si>
  <si>
    <t>渡邉孝文</t>
  </si>
  <si>
    <t>takafumi.watanabe</t>
  </si>
  <si>
    <t>takafumi.watanabe@mixi.co.jp</t>
  </si>
  <si>
    <t>渡辺直人</t>
  </si>
  <si>
    <t>naoto.watanabe</t>
  </si>
  <si>
    <t>naoto.watanabe@mixi-empowerment.co.jp</t>
  </si>
  <si>
    <t>渡辺直也</t>
  </si>
  <si>
    <t>直也</t>
  </si>
  <si>
    <t>naoya.watanabe</t>
  </si>
  <si>
    <t>naoya.watanabe@mixi.co.jp</t>
  </si>
  <si>
    <t>AQ087020000
AQ087020300
AQ087040000</t>
  </si>
  <si>
    <t>渡邊菜々花</t>
  </si>
  <si>
    <t>菜々花</t>
  </si>
  <si>
    <t>ななか</t>
  </si>
  <si>
    <t>nanaka.watanabe</t>
  </si>
  <si>
    <t>nanaka.watanabe@mixi.co.jp</t>
  </si>
  <si>
    <t>渡邊未来</t>
  </si>
  <si>
    <t>miki.watanabe</t>
  </si>
  <si>
    <t>miki.watanabe@mixi.co.jp</t>
  </si>
  <si>
    <t>渡邉元輝</t>
  </si>
  <si>
    <t>元輝</t>
  </si>
  <si>
    <t>motoki.watanabe</t>
  </si>
  <si>
    <t>motoki.watanabe@mixi.co.jp</t>
  </si>
  <si>
    <t>渡辺佑美a</t>
  </si>
  <si>
    <t>佑美a</t>
  </si>
  <si>
    <t>yumi.watanabe.a</t>
  </si>
  <si>
    <t>yumi.watanabe.a@mixi.co.jp</t>
  </si>
  <si>
    <t>喜正</t>
  </si>
  <si>
    <t>yoshimasa.watanabe</t>
  </si>
  <si>
    <t>yoshimasa.watanabe@mixi.co.jp</t>
  </si>
  <si>
    <t>渡辺芳郎</t>
  </si>
  <si>
    <t>yoshiro.watanabe</t>
  </si>
  <si>
    <t>yoshiro.watanabe@mixi.co.jp</t>
  </si>
  <si>
    <t>AO090040000
AO090050200</t>
  </si>
  <si>
    <t>渡辺莉央</t>
  </si>
  <si>
    <t>莉央</t>
  </si>
  <si>
    <t>りお</t>
  </si>
  <si>
    <t>rio.watanabe</t>
  </si>
  <si>
    <t>rio.watanabe@mixi.co.jp</t>
  </si>
  <si>
    <t>綿貫雄一</t>
  </si>
  <si>
    <t>綿貫</t>
  </si>
  <si>
    <t>わたぬき</t>
  </si>
  <si>
    <t>yuichi.watanuki</t>
  </si>
  <si>
    <t>yuichi.watanuki@mixi.co.jp</t>
  </si>
  <si>
    <t>渡部俊祐</t>
  </si>
  <si>
    <t>俊祐</t>
  </si>
  <si>
    <t>わたべ</t>
  </si>
  <si>
    <t>shunsuke.watanabe</t>
  </si>
  <si>
    <t>shunsuke.watanabe@mixi.co.jp</t>
  </si>
  <si>
    <t>渡部良</t>
  </si>
  <si>
    <t>良</t>
  </si>
  <si>
    <t>ryo.watabe</t>
  </si>
  <si>
    <t>ryo.watabe@mixi.co.jp</t>
  </si>
  <si>
    <t>株式会社MIXI/木村管掌/デジタルエンターテインメントオペレーションズ本部/ファンマーケティング部/オウンドグループ/コンテンツ企画2チーム</t>
  </si>
  <si>
    <t>AO082060602</t>
  </si>
  <si>
    <t>東亮佑</t>
  </si>
  <si>
    <t>亮佑</t>
  </si>
  <si>
    <t>ryosuke.azuma.ts</t>
  </si>
  <si>
    <t>戎谷淳</t>
  </si>
  <si>
    <t>戎谷</t>
  </si>
  <si>
    <t>えびすや</t>
  </si>
  <si>
    <t>jun.ebisuya</t>
  </si>
  <si>
    <t>jun.ebisuya@mixi.co.jp</t>
  </si>
  <si>
    <t>大勝雅通a</t>
  </si>
  <si>
    <t>大勝</t>
  </si>
  <si>
    <t>雅通a</t>
  </si>
  <si>
    <t>おおかつ</t>
  </si>
  <si>
    <t>まさみち</t>
  </si>
  <si>
    <t>masamichi.okatsu.a</t>
  </si>
  <si>
    <t>masamichi.okatsu.a@mixi.co.jp</t>
  </si>
  <si>
    <t>大下育巳</t>
  </si>
  <si>
    <t>大下</t>
  </si>
  <si>
    <t>育巳</t>
  </si>
  <si>
    <t>おおした</t>
  </si>
  <si>
    <t>いくみ</t>
  </si>
  <si>
    <t>ikumi.oshita</t>
  </si>
  <si>
    <t>ikumi.oshita@m-chariloto.com</t>
  </si>
  <si>
    <t>奥山太樹</t>
  </si>
  <si>
    <t>たいじゅ</t>
  </si>
  <si>
    <t>taiju.okuyama</t>
  </si>
  <si>
    <t>taiju.okuyama@m-chariloto.com</t>
  </si>
  <si>
    <t>金井春奈</t>
  </si>
  <si>
    <t>金井</t>
  </si>
  <si>
    <t>春奈</t>
  </si>
  <si>
    <t>かない</t>
  </si>
  <si>
    <t>はるな</t>
  </si>
  <si>
    <t>haruna.kanai</t>
  </si>
  <si>
    <t>haruna.kanai@netdreamers.co.jp</t>
  </si>
  <si>
    <t>金本壮司</t>
  </si>
  <si>
    <t>金本</t>
  </si>
  <si>
    <t>壮司</t>
  </si>
  <si>
    <t>かねもと</t>
  </si>
  <si>
    <t>takeshi.kanemoto</t>
  </si>
  <si>
    <t>takeshi.kanemoto@m-chariloto.com</t>
  </si>
  <si>
    <t>木村祐也</t>
  </si>
  <si>
    <t>yuya.kimura</t>
  </si>
  <si>
    <t>yuya.kimura@m-chariloto.com</t>
  </si>
  <si>
    <t>玄場悠介</t>
  </si>
  <si>
    <t>玄場</t>
  </si>
  <si>
    <t>yusuke.gemba</t>
  </si>
  <si>
    <t>yusuke.gemba@m-chariloto.com</t>
  </si>
  <si>
    <t>古藤拓実</t>
  </si>
  <si>
    <t>古藤</t>
  </si>
  <si>
    <t>拓実</t>
  </si>
  <si>
    <t>ことう</t>
  </si>
  <si>
    <t>takumi.koto</t>
  </si>
  <si>
    <t>takumi.koto@mixi.co.jp</t>
  </si>
  <si>
    <t>AO083010301
AO083010802</t>
  </si>
  <si>
    <t>坂本菜穂子</t>
  </si>
  <si>
    <t>菜穂子</t>
  </si>
  <si>
    <t>naoko.sakamoto</t>
  </si>
  <si>
    <t>naoko.sakamoto@mixi.co.jp</t>
  </si>
  <si>
    <t>正願地晋平a</t>
  </si>
  <si>
    <t>正願地</t>
  </si>
  <si>
    <t>晋平a</t>
  </si>
  <si>
    <t>しょうがんじ</t>
  </si>
  <si>
    <t>shimpei.shoganji.a</t>
  </si>
  <si>
    <t>shimpei.shoganji.a@m-chariloto.com</t>
  </si>
  <si>
    <t>鈴谷雄二郎</t>
  </si>
  <si>
    <t>鈴谷</t>
  </si>
  <si>
    <t>雄二郎</t>
  </si>
  <si>
    <t>すずたに</t>
  </si>
  <si>
    <t>yujiro.suzutani.ts</t>
  </si>
  <si>
    <t>高松文</t>
  </si>
  <si>
    <t>高松</t>
  </si>
  <si>
    <t>文</t>
  </si>
  <si>
    <t>たかまつ</t>
  </si>
  <si>
    <t>aya.takamatsu.ts</t>
  </si>
  <si>
    <t>aya.takamatsu.ts@mixi.co.jp</t>
  </si>
  <si>
    <t>田中将貴</t>
  </si>
  <si>
    <t>将貴</t>
  </si>
  <si>
    <t>ゆきたか</t>
  </si>
  <si>
    <t>yukitaka.tanaka</t>
  </si>
  <si>
    <t>yukitaka.tanaka@m-chariloto.com</t>
  </si>
  <si>
    <t>谷川玄二</t>
  </si>
  <si>
    <t>谷川</t>
  </si>
  <si>
    <t>玄二</t>
  </si>
  <si>
    <t>たにかわ</t>
  </si>
  <si>
    <t>げんじ</t>
  </si>
  <si>
    <t>genji.tanikawa</t>
  </si>
  <si>
    <t>genji.tanikawa@m-chariloto.com</t>
  </si>
  <si>
    <t>中前すみれ</t>
  </si>
  <si>
    <t>中前</t>
  </si>
  <si>
    <t>すみれ</t>
  </si>
  <si>
    <t>なかまえ</t>
  </si>
  <si>
    <t>sumire.nakamae</t>
  </si>
  <si>
    <t>sumire.nakamae@m-chariloto.com</t>
  </si>
  <si>
    <t>西崎靖弘</t>
  </si>
  <si>
    <t>西崎</t>
  </si>
  <si>
    <t>靖弘</t>
  </si>
  <si>
    <t>にしざき</t>
  </si>
  <si>
    <t>yasuhiro.nishizaki</t>
  </si>
  <si>
    <t>yasuhiro.nishizaki@m-chariloto.com</t>
  </si>
  <si>
    <t>邉見弘幸</t>
  </si>
  <si>
    <t>邉見</t>
  </si>
  <si>
    <t>hiroyuki.hemmi</t>
  </si>
  <si>
    <t>hiroyuki.hemmi@m-chariloto.com</t>
  </si>
  <si>
    <t>本田マミb</t>
  </si>
  <si>
    <t>本田</t>
  </si>
  <si>
    <t>マミb</t>
  </si>
  <si>
    <t>mami.honda.b.ts</t>
  </si>
  <si>
    <t>mami.honda.b.ts@m-chariloto.com</t>
  </si>
  <si>
    <t>宮城伸明</t>
  </si>
  <si>
    <t>宮城</t>
  </si>
  <si>
    <t>伸明</t>
  </si>
  <si>
    <t>みやぎ</t>
  </si>
  <si>
    <t>のぶあき</t>
  </si>
  <si>
    <t>nobuaki.miyagi</t>
  </si>
  <si>
    <t>nobuaki.miyagi@m-chariloto.com</t>
  </si>
  <si>
    <t>村上晋司</t>
  </si>
  <si>
    <t>晋司</t>
  </si>
  <si>
    <t>shinji.murakami</t>
  </si>
  <si>
    <t>shinji.murakami@m-chariloto.com</t>
  </si>
  <si>
    <t>村上司</t>
  </si>
  <si>
    <t>tsukasa.murakami</t>
  </si>
  <si>
    <t>tsukasa.murakami@m-chariloto.com</t>
  </si>
  <si>
    <t>村松祥治</t>
  </si>
  <si>
    <t>祥治</t>
  </si>
  <si>
    <t>shoji.muramatsu</t>
  </si>
  <si>
    <t>shoji.muramatsu@m-chariloto.com</t>
  </si>
  <si>
    <t>山村菜実</t>
  </si>
  <si>
    <t>山村</t>
  </si>
  <si>
    <t>菜実</t>
  </si>
  <si>
    <t>やまむら</t>
  </si>
  <si>
    <t>nami.yamamura.ts</t>
  </si>
  <si>
    <t>吉山千尋</t>
  </si>
  <si>
    <t>吉山</t>
  </si>
  <si>
    <t>よしやま</t>
  </si>
  <si>
    <t>chihiro.yoshiyama</t>
  </si>
  <si>
    <t>chihiro.yoshiyama@m-sfidante.com</t>
  </si>
  <si>
    <t>池本優理子</t>
  </si>
  <si>
    <t>池本</t>
  </si>
  <si>
    <t>優理子</t>
  </si>
  <si>
    <t>いけもと</t>
  </si>
  <si>
    <t>ゆりこ</t>
  </si>
  <si>
    <t>yuriko.ikemoto</t>
  </si>
  <si>
    <t>yuriko.ikemoto@mixi.co.jp</t>
  </si>
  <si>
    <t>株式会社MIXI/管掌役員なし/渉外部(本部格)/渉外部/渉外グループ</t>
  </si>
  <si>
    <t>ZZ092010200
ZZ092010100</t>
  </si>
  <si>
    <t>伊藤亜珠沙</t>
  </si>
  <si>
    <t>亜珠沙</t>
  </si>
  <si>
    <t>azusa.ito</t>
  </si>
  <si>
    <t>上園慧a</t>
  </si>
  <si>
    <t>上園</t>
  </si>
  <si>
    <t>慧a</t>
  </si>
  <si>
    <t>うえぞの</t>
  </si>
  <si>
    <t>kei.uezono.a.ts</t>
  </si>
  <si>
    <t>kei.uezono.a.ts@mixi.co.jp</t>
  </si>
  <si>
    <t>占部彩加</t>
  </si>
  <si>
    <t>占部</t>
  </si>
  <si>
    <t>彩加</t>
  </si>
  <si>
    <t>ayaka.urabe.ts</t>
  </si>
  <si>
    <t>ayaka.urabe.ts@mixi.co.jp</t>
  </si>
  <si>
    <t>AO082090500</t>
  </si>
  <si>
    <t>岡田健吾</t>
  </si>
  <si>
    <t>健吾</t>
  </si>
  <si>
    <t>kengo.okada</t>
  </si>
  <si>
    <t>kengo.okada@m-chariloto.com</t>
  </si>
  <si>
    <t>株式会社チャリ・ロト
株式会社チャリロトプラザサービス</t>
  </si>
  <si>
    <t>XI516000000
XX561000000</t>
  </si>
  <si>
    <t>取締役
代表取締役社長</t>
  </si>
  <si>
    <t>北川浩士(退職済)</t>
  </si>
  <si>
    <t>北川</t>
  </si>
  <si>
    <t>浩士(退職済)</t>
  </si>
  <si>
    <t>きたがわ</t>
  </si>
  <si>
    <t>hiroshi.kitagawa</t>
  </si>
  <si>
    <t>hiroshi.kitagawa@m-chariloto.com</t>
  </si>
  <si>
    <t>金春根a</t>
  </si>
  <si>
    <t>金</t>
  </si>
  <si>
    <t>春根a</t>
  </si>
  <si>
    <t>はるね</t>
  </si>
  <si>
    <t>halne.kim.a.ts</t>
  </si>
  <si>
    <t>halne.kim.a.ts@mixi.co.jp</t>
  </si>
  <si>
    <t>釘尾陽平</t>
  </si>
  <si>
    <t>釘尾</t>
  </si>
  <si>
    <t>くぎお</t>
  </si>
  <si>
    <t>yohei.kugio.ts</t>
  </si>
  <si>
    <t>yohei.kugio.ts@mixi.co.jp</t>
  </si>
  <si>
    <t>AR091010103</t>
  </si>
  <si>
    <t>桑原まみ子</t>
  </si>
  <si>
    <t>まみ子</t>
  </si>
  <si>
    <t>まみこ</t>
  </si>
  <si>
    <t>mamiko.kuwabara</t>
  </si>
  <si>
    <t>小泉孝能b</t>
  </si>
  <si>
    <t>孝能b</t>
  </si>
  <si>
    <t>takanori.koizumi.b.ts</t>
  </si>
  <si>
    <t>takanori.koizumi.b.ts@mixi.co.jp</t>
  </si>
  <si>
    <t>AR077010300</t>
  </si>
  <si>
    <t>小林家光</t>
  </si>
  <si>
    <t>家光</t>
  </si>
  <si>
    <t>いえみつ</t>
  </si>
  <si>
    <t>iemitsu.kobayashi</t>
  </si>
  <si>
    <t>iemitsu.kobayashi@mixi.co.jp</t>
  </si>
  <si>
    <t>株式会社MIXI/管掌役員なし/社長室(本部格)/社長室</t>
  </si>
  <si>
    <t>ZZ084010000
ZZ084010300
ZZ084010200</t>
  </si>
  <si>
    <t>室長
マネージャー
マネージャー</t>
  </si>
  <si>
    <t>齋藤佑a</t>
  </si>
  <si>
    <t>佑a</t>
  </si>
  <si>
    <t>yu.saito.a</t>
  </si>
  <si>
    <t>yu.saito.a@mixi.co.jp</t>
  </si>
  <si>
    <t>AR091010101
AR091010202</t>
  </si>
  <si>
    <t>佐々木哲a</t>
  </si>
  <si>
    <t>哲a</t>
  </si>
  <si>
    <t>satoru.sasaki.a</t>
  </si>
  <si>
    <t>satoru.sasaki.a@m-chariloto.com</t>
  </si>
  <si>
    <t>佐藤美緒</t>
  </si>
  <si>
    <t>mio.sato</t>
  </si>
  <si>
    <t>mio.sato@m-chariloto.com</t>
  </si>
  <si>
    <t>佐藤美紗</t>
  </si>
  <si>
    <t>美紗</t>
  </si>
  <si>
    <t>みさ</t>
  </si>
  <si>
    <t>misa.sato.ts</t>
  </si>
  <si>
    <t>misa.sato.ts@mixi.co.jp</t>
  </si>
  <si>
    <t>清水有希</t>
  </si>
  <si>
    <t>有希</t>
  </si>
  <si>
    <t>yuki.shimizu.ts</t>
  </si>
  <si>
    <t>yuki.shimizu.ts@mixi.co.jp</t>
  </si>
  <si>
    <t>善浪しのぶ</t>
  </si>
  <si>
    <t>善浪</t>
  </si>
  <si>
    <t>ぜんなみ</t>
  </si>
  <si>
    <t>shinobu.zennami</t>
  </si>
  <si>
    <t>shinobu.zennami@mixi.co.jp</t>
  </si>
  <si>
    <t>寺田華奈</t>
  </si>
  <si>
    <t>華奈</t>
  </si>
  <si>
    <t>kana.terada</t>
  </si>
  <si>
    <t>kana.terada@mixi.co.jp</t>
  </si>
  <si>
    <t>戸田真純</t>
  </si>
  <si>
    <t>真純</t>
  </si>
  <si>
    <t>masumi.toda</t>
  </si>
  <si>
    <t>masumi.toda@m-chariloto.com</t>
  </si>
  <si>
    <t>永井純子</t>
  </si>
  <si>
    <t>永井</t>
  </si>
  <si>
    <t>junko.nagai</t>
  </si>
  <si>
    <t>中島浩美</t>
  </si>
  <si>
    <t>hiromi.nakajima</t>
  </si>
  <si>
    <t>中野梨杏</t>
  </si>
  <si>
    <t>梨杏</t>
  </si>
  <si>
    <t>りあん</t>
  </si>
  <si>
    <t>rian.nakano</t>
  </si>
  <si>
    <t>rian.nakano@mixi.co.jp</t>
  </si>
  <si>
    <t>橋本諭</t>
  </si>
  <si>
    <t>satoshi.hashimoto</t>
  </si>
  <si>
    <t>satoshi.hashimoto@mixi.co.jp</t>
  </si>
  <si>
    <t>AQ087020800
AQ087040000
AQ087020900</t>
  </si>
  <si>
    <t>深代優一</t>
  </si>
  <si>
    <t>深代</t>
  </si>
  <si>
    <t>ふかしろ</t>
  </si>
  <si>
    <t>yuichi.fukashiro</t>
  </si>
  <si>
    <t>yuichi.fukashiro@m-chariloto.com</t>
  </si>
  <si>
    <t>福田浩</t>
  </si>
  <si>
    <t>浩</t>
  </si>
  <si>
    <t>hiroshi.fukuda</t>
  </si>
  <si>
    <t>hiroshi.fukuda@m-chariloto.com</t>
  </si>
  <si>
    <t>藤井健史</t>
  </si>
  <si>
    <t>健史</t>
  </si>
  <si>
    <t>たけふみ</t>
  </si>
  <si>
    <t>takefumi.fujii</t>
  </si>
  <si>
    <t>takefumi.fujii@m-chariloto.com</t>
  </si>
  <si>
    <t>藤木大輔</t>
  </si>
  <si>
    <t>daisuke.fujiki</t>
  </si>
  <si>
    <t>daisuke.fujiki@m-chariloto.com</t>
  </si>
  <si>
    <t>二神謙</t>
  </si>
  <si>
    <t>二神</t>
  </si>
  <si>
    <t>謙</t>
  </si>
  <si>
    <t>ふたがみ</t>
  </si>
  <si>
    <t>ken.futagami</t>
  </si>
  <si>
    <t>ken.futagami@m-chariloto.com</t>
  </si>
  <si>
    <t>舟橋英誉a</t>
  </si>
  <si>
    <t>舟橋</t>
  </si>
  <si>
    <t>英誉a</t>
  </si>
  <si>
    <t>ふなばし</t>
  </si>
  <si>
    <t>hidenori.funabashi.a.ts</t>
  </si>
  <si>
    <t>増井亮介</t>
  </si>
  <si>
    <t>増井</t>
  </si>
  <si>
    <t>ryosuke.masui</t>
  </si>
  <si>
    <t>ryosuke.masui@mixi.co.jp</t>
  </si>
  <si>
    <t>松井太</t>
  </si>
  <si>
    <t>太</t>
  </si>
  <si>
    <t>ふとし</t>
  </si>
  <si>
    <t>futoshi.matsui</t>
  </si>
  <si>
    <t>futoshi.matsui@m-chariloto.com</t>
  </si>
  <si>
    <t>山岸良兼</t>
  </si>
  <si>
    <t>良兼</t>
  </si>
  <si>
    <t>りょうけん</t>
  </si>
  <si>
    <t>ryoken.yamagishi.ts</t>
  </si>
  <si>
    <t>ryoken.yamagishi.ts@mixi.co.jp</t>
  </si>
  <si>
    <t>渡邉真珠子</t>
  </si>
  <si>
    <t>真珠子</t>
  </si>
  <si>
    <t>mamiko.watanabe</t>
  </si>
  <si>
    <t>mamiko.watanabe@m-chariloto.com</t>
  </si>
  <si>
    <t>伊木芳暁</t>
  </si>
  <si>
    <t>伊木</t>
  </si>
  <si>
    <t>芳暁</t>
  </si>
  <si>
    <t>いぎ</t>
  </si>
  <si>
    <t>yoshiaki.igi</t>
  </si>
  <si>
    <t>yoshiaki.igi@m-chariloto.com</t>
  </si>
  <si>
    <t>市村愛美</t>
  </si>
  <si>
    <t>市村</t>
  </si>
  <si>
    <t>愛美</t>
  </si>
  <si>
    <t>いちむら</t>
  </si>
  <si>
    <t>manami.ichimura.ts</t>
  </si>
  <si>
    <t>manami.ichimura.ts@m-lovegraph.com</t>
  </si>
  <si>
    <t>伊藤栞</t>
  </si>
  <si>
    <t>shiori.ito.ts</t>
  </si>
  <si>
    <t>shiori.ito.ts@mixi.co.jp</t>
  </si>
  <si>
    <t>井上令恵</t>
  </si>
  <si>
    <t>令恵</t>
  </si>
  <si>
    <t>norie.inoue</t>
  </si>
  <si>
    <t>norie.inoue@mixi.co.jp</t>
  </si>
  <si>
    <t>掛橋絵加</t>
  </si>
  <si>
    <t>掛橋</t>
  </si>
  <si>
    <t>絵加</t>
  </si>
  <si>
    <t>かけはし</t>
  </si>
  <si>
    <t>えか</t>
  </si>
  <si>
    <t>eka.kakehashi</t>
  </si>
  <si>
    <t>eka.kakehashi@m-chariloto.com</t>
  </si>
  <si>
    <t>門脇野香</t>
  </si>
  <si>
    <t>門脇</t>
  </si>
  <si>
    <t>野香</t>
  </si>
  <si>
    <t>かどわき</t>
  </si>
  <si>
    <t>ののか</t>
  </si>
  <si>
    <t>nonoka.kadowaki</t>
  </si>
  <si>
    <t>nonoka.kadowaki@m-chariloto.com</t>
  </si>
  <si>
    <t>兼光典行</t>
  </si>
  <si>
    <t>兼光</t>
  </si>
  <si>
    <t>典行</t>
  </si>
  <si>
    <t>かねみつ</t>
  </si>
  <si>
    <t>のりゆき</t>
  </si>
  <si>
    <t>noriyuki.kanemitsu.ts</t>
  </si>
  <si>
    <t>noriyuki.kanemitsu.ts@m-chariloto.com</t>
  </si>
  <si>
    <t>川口由惟</t>
  </si>
  <si>
    <t>由惟</t>
  </si>
  <si>
    <t>yui.kawaguchi</t>
  </si>
  <si>
    <t>yui.kawaguchi@m-chariloto.com</t>
  </si>
  <si>
    <t>北嶋日斗美</t>
  </si>
  <si>
    <t>北嶋</t>
  </si>
  <si>
    <t>日斗美</t>
  </si>
  <si>
    <t>hitomi.kitajima</t>
  </si>
  <si>
    <t>hitomi.kitajima@mixi.co.jp</t>
  </si>
  <si>
    <t>柴田めぐみa</t>
  </si>
  <si>
    <t>めぐみa</t>
  </si>
  <si>
    <t>megumi.shibata.a</t>
  </si>
  <si>
    <t>megumi.shibata.a@mixiamerica.com</t>
  </si>
  <si>
    <t>志摩英則</t>
  </si>
  <si>
    <t>志摩</t>
  </si>
  <si>
    <t>英則</t>
  </si>
  <si>
    <t>hidenori.shima</t>
  </si>
  <si>
    <t>hidenori.shima@m-chariloto.com</t>
  </si>
  <si>
    <t>高嶋智子</t>
  </si>
  <si>
    <t>tomoko.takashima.ts</t>
  </si>
  <si>
    <t>株式会社ネットドリーマーズ/株式会社ネットドリーマーズ/経営管理本部/管理部</t>
  </si>
  <si>
    <t>XM523010000</t>
  </si>
  <si>
    <t>高橋順成</t>
  </si>
  <si>
    <t>順成</t>
  </si>
  <si>
    <t>じゅんせい</t>
  </si>
  <si>
    <t>junsei.takahashi</t>
  </si>
  <si>
    <t>junsei.takahashi@mixi.co.jp</t>
  </si>
  <si>
    <t>中村拓人</t>
  </si>
  <si>
    <t>takuto.nakamura</t>
  </si>
  <si>
    <t>takuto.nakamura@m-chariloto.com</t>
  </si>
  <si>
    <t>西川浩平</t>
  </si>
  <si>
    <t>kohei.nishikawa</t>
  </si>
  <si>
    <t>kohei.nishikawa@m-chariloto.com</t>
  </si>
  <si>
    <t>坂内未央</t>
  </si>
  <si>
    <t>坂内</t>
  </si>
  <si>
    <t>ばんない</t>
  </si>
  <si>
    <t>mio.bannai</t>
  </si>
  <si>
    <t>mio.bannai@m-chariloto.com</t>
  </si>
  <si>
    <t>堀合正人</t>
  </si>
  <si>
    <t>堀合</t>
  </si>
  <si>
    <t>ほりあい</t>
  </si>
  <si>
    <t>masato.horiai</t>
  </si>
  <si>
    <t>masato.horiai@m-chariloto.com</t>
  </si>
  <si>
    <t>山田康夫</t>
  </si>
  <si>
    <t>康夫</t>
  </si>
  <si>
    <t>やすお</t>
  </si>
  <si>
    <t>yasuo.yamada</t>
  </si>
  <si>
    <t>yasuo.yamada@m-chariloto.com</t>
  </si>
  <si>
    <t>山根啓貴</t>
  </si>
  <si>
    <t>山根</t>
  </si>
  <si>
    <t>啓貴</t>
  </si>
  <si>
    <t>やまね</t>
  </si>
  <si>
    <t>hiroki.yamane</t>
  </si>
  <si>
    <t>hiroki.yamane@m-chariloto.com</t>
  </si>
  <si>
    <t>渡邊大貴</t>
  </si>
  <si>
    <t>daiki.watanabe</t>
  </si>
  <si>
    <t>daiki.watanabe@m-chariloto.com</t>
  </si>
  <si>
    <t>渡辺隆春a</t>
  </si>
  <si>
    <t>隆春a</t>
  </si>
  <si>
    <t>たかはる</t>
  </si>
  <si>
    <t>takaharu.watanabe.a</t>
  </si>
  <si>
    <t>takaharu.watanabe.a@mixi.co.jp</t>
  </si>
  <si>
    <t>AW076030800
AW076021400</t>
  </si>
  <si>
    <t>石﨑龍一</t>
  </si>
  <si>
    <t>石﨑</t>
  </si>
  <si>
    <t>いしざき</t>
  </si>
  <si>
    <t>ryuichi.ishizaki.ts</t>
  </si>
  <si>
    <t>大江輝明</t>
  </si>
  <si>
    <t>大江</t>
  </si>
  <si>
    <t>輝明</t>
  </si>
  <si>
    <t>おおえ</t>
  </si>
  <si>
    <t>てるあき</t>
  </si>
  <si>
    <t>teruaki.oe.ts</t>
  </si>
  <si>
    <t>teruaki.oe.ts@mixi.co.jp</t>
  </si>
  <si>
    <t>奥平和樹</t>
  </si>
  <si>
    <t>奥平</t>
  </si>
  <si>
    <t>おくひら</t>
  </si>
  <si>
    <t>kazuki.okuhira</t>
  </si>
  <si>
    <t>kazuki.okuhira@m-chariloto.com</t>
  </si>
  <si>
    <t>金子みゆきa</t>
  </si>
  <si>
    <t>みゆきa</t>
  </si>
  <si>
    <t>miyuki.kaneko.a.ts</t>
  </si>
  <si>
    <t>miyuki.kaneko.a.ts@mixi.co.jp</t>
  </si>
  <si>
    <t>越田直樹</t>
  </si>
  <si>
    <t>越田</t>
  </si>
  <si>
    <t>こしだ</t>
  </si>
  <si>
    <t>naoki.koshida</t>
  </si>
  <si>
    <t>naoki.koshida@m-chariloto.com</t>
  </si>
  <si>
    <t>小菅諒</t>
  </si>
  <si>
    <t>小菅</t>
  </si>
  <si>
    <t>こすげ</t>
  </si>
  <si>
    <t>ryo.kosuge</t>
  </si>
  <si>
    <t>ryo.kosuge@mixi.co.jp</t>
  </si>
  <si>
    <t>株式会社MIXI/笠原管掌/みてね事業本部/みてねプラットフォーム部/CREグループ</t>
  </si>
  <si>
    <t>AQ087010100
AQ087040000</t>
  </si>
  <si>
    <t>小谷健輔a</t>
  </si>
  <si>
    <t>小谷</t>
  </si>
  <si>
    <t>健輔a</t>
  </si>
  <si>
    <t>こたに</t>
  </si>
  <si>
    <t>kensuke.kotani.a.ts</t>
  </si>
  <si>
    <t>kensuke.kotani.a.ts@mixi.co.jp</t>
  </si>
  <si>
    <t>小林大樹</t>
  </si>
  <si>
    <t>hiroki.kobayashi</t>
  </si>
  <si>
    <t>hiroki.kobayashi@mixi.co.jp</t>
  </si>
  <si>
    <t>笹川剛史</t>
  </si>
  <si>
    <t>笹川</t>
  </si>
  <si>
    <t>剛史</t>
  </si>
  <si>
    <t>ささかわ</t>
  </si>
  <si>
    <t>takafumi.sasakawa</t>
  </si>
  <si>
    <t>takafumi.sasakawa@m-chariloto.com</t>
  </si>
  <si>
    <t>柴田胡桃</t>
  </si>
  <si>
    <t>胡桃</t>
  </si>
  <si>
    <t>kurumi.shibata</t>
  </si>
  <si>
    <t>kurumi.shibata@mixi.co.jp</t>
  </si>
  <si>
    <t>柴山貴俊</t>
  </si>
  <si>
    <t>柴山</t>
  </si>
  <si>
    <t>貴俊</t>
  </si>
  <si>
    <t>しばやま</t>
  </si>
  <si>
    <t>たかとし</t>
  </si>
  <si>
    <t>takatoshi.shibayama</t>
  </si>
  <si>
    <t>takatoshi.shibayama@mixi.co.jp</t>
  </si>
  <si>
    <t>清水祐治</t>
  </si>
  <si>
    <t>祐治</t>
  </si>
  <si>
    <t>yuji.shimizu</t>
  </si>
  <si>
    <t>yuji.shimizu@m-chariloto.com</t>
  </si>
  <si>
    <t>田口優介</t>
  </si>
  <si>
    <t>yusuke.taguchi</t>
  </si>
  <si>
    <t>yusuke.taguchi@m-chariloto.com</t>
  </si>
  <si>
    <t>竹田誠</t>
  </si>
  <si>
    <t>竹田</t>
  </si>
  <si>
    <t>makoto.takeda</t>
  </si>
  <si>
    <t>makoto.takeda@m-chariloto.com</t>
  </si>
  <si>
    <t>田中亮太朗</t>
  </si>
  <si>
    <t>亮太朗</t>
  </si>
  <si>
    <t>りょうたろう</t>
  </si>
  <si>
    <t>ryotaro.tanaka</t>
  </si>
  <si>
    <t>ryotaro.tanaka@mixi.co.jp</t>
  </si>
  <si>
    <t>中野仁</t>
  </si>
  <si>
    <t>hisashi.nakano.ts</t>
  </si>
  <si>
    <t>hisashi.nakano.ts@mixi.co.jp</t>
  </si>
  <si>
    <t>原悠介a</t>
  </si>
  <si>
    <t>悠介a</t>
  </si>
  <si>
    <t>yusuke.hara.a.ts</t>
  </si>
  <si>
    <t>yusuke.hara.a.ts@mixi.co.jp</t>
  </si>
  <si>
    <t>牧野裕介</t>
  </si>
  <si>
    <t>牧野</t>
  </si>
  <si>
    <t>まきの</t>
  </si>
  <si>
    <t>yusuke.makino</t>
  </si>
  <si>
    <t>yusuke.makino@mixi.co.jp</t>
  </si>
  <si>
    <t>株式会社MIXI/奥山管掌/コーポレートデベロップメント本部/Integration Management部</t>
  </si>
  <si>
    <t>AW085030000
AW085020000
AW076050000</t>
  </si>
  <si>
    <t>松野園香</t>
  </si>
  <si>
    <t>園香</t>
  </si>
  <si>
    <t>そのか</t>
  </si>
  <si>
    <t>sonoka.matsuno</t>
  </si>
  <si>
    <t>sonoka.matsuno@mixi.co.jp</t>
  </si>
  <si>
    <t>三井岳</t>
  </si>
  <si>
    <t>gaku.mitsui</t>
  </si>
  <si>
    <t>gaku.mitsui@m-chariloto.com</t>
  </si>
  <si>
    <t>宮本広大a</t>
  </si>
  <si>
    <t>広大a</t>
  </si>
  <si>
    <t>kodai.miyamoto.a</t>
  </si>
  <si>
    <t>kodai.miyamoto.a@mixi.co.jp</t>
  </si>
  <si>
    <t>XM523000000
AW076050100</t>
  </si>
  <si>
    <t>望月潤太郎</t>
  </si>
  <si>
    <t>潤太郎</t>
  </si>
  <si>
    <t>もちずき</t>
  </si>
  <si>
    <t>じゅんたろう</t>
  </si>
  <si>
    <t>juntaro.mochizuki</t>
  </si>
  <si>
    <t>juntaro.mochizuki@m-chariloto.com</t>
  </si>
  <si>
    <t>池田敦貴</t>
  </si>
  <si>
    <t>敦貴</t>
  </si>
  <si>
    <t>atsuki.ikeda.ts</t>
  </si>
  <si>
    <t>atsuki.ikeda.ts@mixi.co.jp</t>
  </si>
  <si>
    <t>岩片綾佳</t>
  </si>
  <si>
    <t>岩片</t>
  </si>
  <si>
    <t>綾佳</t>
  </si>
  <si>
    <t>いわかた</t>
  </si>
  <si>
    <t>ayaka.iwakata</t>
  </si>
  <si>
    <t>ayaka.iwakata@mixi.co.jp</t>
  </si>
  <si>
    <t>岡山かほり</t>
  </si>
  <si>
    <t>岡山</t>
  </si>
  <si>
    <t>かほり</t>
  </si>
  <si>
    <t>おかやま</t>
  </si>
  <si>
    <t>kahori.okayama</t>
  </si>
  <si>
    <t>kahori.okayama@mixi.co.jp</t>
  </si>
  <si>
    <t>梶應佳史</t>
  </si>
  <si>
    <t>梶應</t>
  </si>
  <si>
    <t>佳史</t>
  </si>
  <si>
    <t>かじお</t>
  </si>
  <si>
    <t>よしふみ</t>
  </si>
  <si>
    <t>yoshifumi.kajio</t>
  </si>
  <si>
    <t>yoshifumi.kajio@m-chariloto.com</t>
  </si>
  <si>
    <t>佐藤博紀b</t>
  </si>
  <si>
    <t>博紀b</t>
  </si>
  <si>
    <t>hiroki.sato.b.ts</t>
  </si>
  <si>
    <t>津田裕介</t>
  </si>
  <si>
    <t>yusuke.tsuda</t>
  </si>
  <si>
    <t>yusuke.tsuda@m-chariloto.com</t>
  </si>
  <si>
    <t>藤本飛鳥</t>
  </si>
  <si>
    <t>飛鳥</t>
  </si>
  <si>
    <t>asuka.fujimoto</t>
  </si>
  <si>
    <t>asuka.fujimoto@mixi.co.jp</t>
  </si>
  <si>
    <t>松川雄貴</t>
  </si>
  <si>
    <t>松川</t>
  </si>
  <si>
    <t>雄貴</t>
  </si>
  <si>
    <t>まつかわ</t>
  </si>
  <si>
    <t>yuki.matsukawa</t>
  </si>
  <si>
    <t>yuki.matsukawa@m-chariloto.com</t>
  </si>
  <si>
    <t>渡邉舞b</t>
  </si>
  <si>
    <t>舞b</t>
  </si>
  <si>
    <t>mai.watanabe.b.ts</t>
  </si>
  <si>
    <t>mai.watanabe.b.ts@mixi.co.jp</t>
  </si>
  <si>
    <t>阿部瑞穂</t>
  </si>
  <si>
    <t>mizuho.abe</t>
  </si>
  <si>
    <t>mizuho.abe@mixi-empowerment.co.jp</t>
  </si>
  <si>
    <t>飯島真</t>
  </si>
  <si>
    <t>makoto.iijima.ts</t>
  </si>
  <si>
    <t>makoto.iijima.ts@mixi.co.jp</t>
  </si>
  <si>
    <t>泉歩花a</t>
  </si>
  <si>
    <t>歩花a</t>
  </si>
  <si>
    <t>ほのか</t>
  </si>
  <si>
    <t>honoka.izumi.a</t>
  </si>
  <si>
    <t>honoka.izumi.a@netdreamers.co.jp</t>
  </si>
  <si>
    <t>板垣菜奈</t>
  </si>
  <si>
    <t>板垣</t>
  </si>
  <si>
    <t>菜奈</t>
  </si>
  <si>
    <t>いたがき</t>
  </si>
  <si>
    <t>nana.itagaki</t>
  </si>
  <si>
    <t>nana.itagaki@mixi-empowerment.co.jp</t>
  </si>
  <si>
    <t>今井俊文a</t>
  </si>
  <si>
    <t>今井</t>
  </si>
  <si>
    <t>俊文a</t>
  </si>
  <si>
    <t>いまい</t>
  </si>
  <si>
    <t>としふみ</t>
  </si>
  <si>
    <t>toshifumi.imai.a.ts</t>
  </si>
  <si>
    <t>toshifumi.imai.a.ts@mixi.co.jp</t>
  </si>
  <si>
    <t>AQ061030000</t>
  </si>
  <si>
    <t>入佐友香里</t>
  </si>
  <si>
    <t>入佐</t>
  </si>
  <si>
    <t>いりさ</t>
  </si>
  <si>
    <t>yukari.irisa</t>
  </si>
  <si>
    <t>yukari.irisa@mixi.co.jp</t>
  </si>
  <si>
    <t>岩間功</t>
  </si>
  <si>
    <t>岩間</t>
  </si>
  <si>
    <t>功</t>
  </si>
  <si>
    <t>いわま</t>
  </si>
  <si>
    <t>isao.iwama.ts</t>
  </si>
  <si>
    <t>isao.iwama.ts@mixi.co.jp</t>
  </si>
  <si>
    <t>植松亮太朗</t>
  </si>
  <si>
    <t>植松</t>
  </si>
  <si>
    <t>うえまつ</t>
  </si>
  <si>
    <t>ryotaro.uematsu</t>
  </si>
  <si>
    <t>ryotaro.uematsu@mixi-empowerment.co.jp</t>
  </si>
  <si>
    <t>太田理斗</t>
  </si>
  <si>
    <t>理斗</t>
  </si>
  <si>
    <t>りと</t>
  </si>
  <si>
    <t>rito.ota</t>
  </si>
  <si>
    <t>rito.ota@mixi.co.jp</t>
  </si>
  <si>
    <t>大和田水晶</t>
  </si>
  <si>
    <t>水晶</t>
  </si>
  <si>
    <t>mizuki.owada</t>
  </si>
  <si>
    <t>mizuki.owada@mixi.co.jp</t>
  </si>
  <si>
    <t>小楠泰雅</t>
  </si>
  <si>
    <t>小楠</t>
  </si>
  <si>
    <t>泰雅</t>
  </si>
  <si>
    <t>おぐす</t>
  </si>
  <si>
    <t>taiga.ogusu</t>
  </si>
  <si>
    <t>taiga.ogusu@mixi.co.jp</t>
  </si>
  <si>
    <t>上村恭平</t>
  </si>
  <si>
    <t>上村</t>
  </si>
  <si>
    <t>kyohei.kamimura</t>
  </si>
  <si>
    <t>kyohei.kamimura@netdreamers.co.jp</t>
  </si>
  <si>
    <t>加茂勇樹</t>
  </si>
  <si>
    <t>加茂</t>
  </si>
  <si>
    <t>yuki.kamo</t>
  </si>
  <si>
    <t>yuki.kamo@mixi.co.jp</t>
  </si>
  <si>
    <t>川村颯太</t>
  </si>
  <si>
    <t>川村</t>
  </si>
  <si>
    <t>颯太</t>
  </si>
  <si>
    <t>sota.kawamura</t>
  </si>
  <si>
    <t>sota.kawamura@m-lovegraph.com</t>
  </si>
  <si>
    <t>神田苑子</t>
  </si>
  <si>
    <t>苑子</t>
  </si>
  <si>
    <t>そのこ</t>
  </si>
  <si>
    <t>sonoko.kanda</t>
  </si>
  <si>
    <t>sonoko.kanda@mixi.co.jp</t>
  </si>
  <si>
    <t>木内貴浩</t>
  </si>
  <si>
    <t>木内</t>
  </si>
  <si>
    <t>貴浩</t>
  </si>
  <si>
    <t>きのうち</t>
  </si>
  <si>
    <t>takahiro.kinouchi</t>
  </si>
  <si>
    <t>takahiro.kinouchi@mixi.co.jp</t>
  </si>
  <si>
    <t>久保勇輝</t>
  </si>
  <si>
    <t>勇輝</t>
  </si>
  <si>
    <t>yuki.kubo</t>
  </si>
  <si>
    <t>yuki.kubo@mixi.co.jp</t>
  </si>
  <si>
    <t>黒須恵利香</t>
  </si>
  <si>
    <t>黒須</t>
  </si>
  <si>
    <t>恵利香</t>
  </si>
  <si>
    <t>くろす</t>
  </si>
  <si>
    <t>erika.kurosu</t>
  </si>
  <si>
    <t>erika.kurosu@mixi.co.jp</t>
  </si>
  <si>
    <t>煙山茂</t>
  </si>
  <si>
    <t>煙山</t>
  </si>
  <si>
    <t>茂</t>
  </si>
  <si>
    <t>けむりやま</t>
  </si>
  <si>
    <t>shigeru.kemuriyama</t>
  </si>
  <si>
    <t>shigeru.kemuriyama@tbam.co.jp</t>
  </si>
  <si>
    <t>株式会社TOKYOBAYアリーナマネジメント/株式会社TOKYOBAYアリーナマネジメント/営業本部</t>
  </si>
  <si>
    <t>XP539000000</t>
  </si>
  <si>
    <t>佐々木達也</t>
  </si>
  <si>
    <t>tatsuya.sasaki</t>
  </si>
  <si>
    <t>tatsuya.sasaki@mixi.co.jp</t>
  </si>
  <si>
    <t>佐藤悠一</t>
  </si>
  <si>
    <t>yuichi.sato</t>
  </si>
  <si>
    <t>yuichi.sato@mixi-empowerment.co.jp</t>
  </si>
  <si>
    <t>塩谷英右</t>
  </si>
  <si>
    <t>塩谷</t>
  </si>
  <si>
    <t>英右</t>
  </si>
  <si>
    <t>しおたに</t>
  </si>
  <si>
    <t>eisuke.shiotani</t>
  </si>
  <si>
    <t>eisuke.shiotani@mixi.co.jp</t>
  </si>
  <si>
    <t>志賀絵里奈</t>
  </si>
  <si>
    <t>志賀</t>
  </si>
  <si>
    <t>絵里奈</t>
  </si>
  <si>
    <t>しが</t>
  </si>
  <si>
    <t>erina.shiga</t>
  </si>
  <si>
    <t>erina.shiga@mixi.co.jp</t>
  </si>
  <si>
    <t>芝山耕輔</t>
  </si>
  <si>
    <t>芝山</t>
  </si>
  <si>
    <t>耕輔</t>
  </si>
  <si>
    <t>kosuke.shibayama.ts</t>
  </si>
  <si>
    <t>kosuke.shibayama.ts@netdreamers.co.jp</t>
  </si>
  <si>
    <t>XM560010100</t>
  </si>
  <si>
    <t>神馬理央a</t>
  </si>
  <si>
    <t>神馬</t>
  </si>
  <si>
    <t>理央a</t>
  </si>
  <si>
    <t>じんま</t>
  </si>
  <si>
    <t>rio.jimma.a.ts</t>
  </si>
  <si>
    <t>rio.jimma.a.ts@mixi.co.jp</t>
  </si>
  <si>
    <t>鈴木啓介</t>
  </si>
  <si>
    <t>啓介</t>
  </si>
  <si>
    <t>keisuke.suzuki</t>
  </si>
  <si>
    <t>keisuke.suzuki@m-chariloto.com</t>
  </si>
  <si>
    <t>髙橋涼花</t>
  </si>
  <si>
    <t>涼花</t>
  </si>
  <si>
    <t>suzuka.takahashi</t>
  </si>
  <si>
    <t>suzuka.takahashi@mixi.co.jp</t>
  </si>
  <si>
    <t>高橋伸明</t>
  </si>
  <si>
    <t>nobuaki.takahashi</t>
  </si>
  <si>
    <t>nobuaki.takahashi@mixi.co.jp</t>
  </si>
  <si>
    <t>株式会社MIXI/奥山管掌/コーポレートデベロップメント本部/投資事業部/投資戦略グループ/IP &amp; Entertainmentチーム</t>
  </si>
  <si>
    <t>AW085020501
AW076050300</t>
  </si>
  <si>
    <t>塚本一葵</t>
  </si>
  <si>
    <t>一葵</t>
  </si>
  <si>
    <t>kazuki.tsukamoto</t>
  </si>
  <si>
    <t>kazuki.tsukamoto@mixi.co.jp</t>
  </si>
  <si>
    <t>塔本真吾</t>
  </si>
  <si>
    <t>塔本</t>
  </si>
  <si>
    <t>真吾</t>
  </si>
  <si>
    <t>とうもと</t>
  </si>
  <si>
    <t>shingo.tomoto</t>
  </si>
  <si>
    <t>shingo.tomoto@mixi.co.jp</t>
  </si>
  <si>
    <t>AW085020500
AW085020600
AW085020700</t>
  </si>
  <si>
    <t>豊留直征</t>
  </si>
  <si>
    <t>豊留</t>
  </si>
  <si>
    <t>直征</t>
  </si>
  <si>
    <t>とよとめ</t>
  </si>
  <si>
    <t>naoyuki.toyotome</t>
  </si>
  <si>
    <t>naoyuki.toyotome@tbam.co.jp</t>
  </si>
  <si>
    <t>株式会社TOKYOBAYアリーナマネジメント/株式会社TOKYOBAYアリーナマネジメント/経営管理本部/経営管理部</t>
  </si>
  <si>
    <t>XP559010000</t>
  </si>
  <si>
    <t>中澤祐実</t>
  </si>
  <si>
    <t>中澤</t>
  </si>
  <si>
    <t>祐実</t>
  </si>
  <si>
    <t>なかざわ</t>
  </si>
  <si>
    <t>ゆうみ</t>
  </si>
  <si>
    <t>yumi.nakazawa</t>
  </si>
  <si>
    <t>yumi.nakazawa@tbam.co.jp</t>
  </si>
  <si>
    <t>永島誠記</t>
  </si>
  <si>
    <t>永島</t>
  </si>
  <si>
    <t>誠記</t>
  </si>
  <si>
    <t>motoki.nagashima</t>
  </si>
  <si>
    <t>motoki.nagashima@mixi.co.jp</t>
  </si>
  <si>
    <t>中林健人</t>
  </si>
  <si>
    <t>中林</t>
  </si>
  <si>
    <t>健人</t>
  </si>
  <si>
    <t>なかばやし</t>
  </si>
  <si>
    <t>kento.nakabayashi</t>
  </si>
  <si>
    <t>kento.nakabayashi@mixi.co.jp</t>
  </si>
  <si>
    <t>野上日向</t>
  </si>
  <si>
    <t>日向</t>
  </si>
  <si>
    <t>ひなた</t>
  </si>
  <si>
    <t>hinata.nogami</t>
  </si>
  <si>
    <t>hinata.nogami@netdreamers.co.jp</t>
  </si>
  <si>
    <t>馬場大輝</t>
  </si>
  <si>
    <t>大輝</t>
  </si>
  <si>
    <t>daiki.baba</t>
  </si>
  <si>
    <t>daiki.baba@mixi.co.jp</t>
  </si>
  <si>
    <t>株式会社MIXI/奥山管掌/ソーシャルベッティング事業本部/事業財務戦略室</t>
  </si>
  <si>
    <t>AX078010400
AW085030000
AX078070300
AW076090000</t>
  </si>
  <si>
    <t>スタッフ
スタッフ
スタッフ
室長</t>
  </si>
  <si>
    <t>廣晴輔a</t>
  </si>
  <si>
    <t>廣</t>
  </si>
  <si>
    <t>晴輔a</t>
  </si>
  <si>
    <t>ひろ</t>
  </si>
  <si>
    <t>せいすけ</t>
  </si>
  <si>
    <t>seisuke.hiro.a</t>
  </si>
  <si>
    <t>seisuke.hiro.a@netdreamers.co.jp</t>
  </si>
  <si>
    <t>樋渡富美子</t>
  </si>
  <si>
    <t>樋渡</t>
  </si>
  <si>
    <t>富美子</t>
  </si>
  <si>
    <t>ひわたし</t>
  </si>
  <si>
    <t>fumiko.hiwatashi</t>
  </si>
  <si>
    <t>古澤礼</t>
  </si>
  <si>
    <t>礼</t>
  </si>
  <si>
    <t>ふるざわ</t>
  </si>
  <si>
    <t>rei.furuzawa</t>
  </si>
  <si>
    <t>rei.furuzawa@mixi.co.jp</t>
  </si>
  <si>
    <t>邉見めぐ美</t>
  </si>
  <si>
    <t>めぐ美</t>
  </si>
  <si>
    <t>megumi.hemmi</t>
  </si>
  <si>
    <t>megumi.hemmi@m-chariloto.com</t>
  </si>
  <si>
    <t>星野将a</t>
  </si>
  <si>
    <t>将a</t>
  </si>
  <si>
    <t>masaru.hoshino.a</t>
  </si>
  <si>
    <t>masaru.hoshino.a@mixi.co.jp</t>
  </si>
  <si>
    <t>堀口恵理</t>
  </si>
  <si>
    <t>堀口</t>
  </si>
  <si>
    <t>恵理</t>
  </si>
  <si>
    <t>ほりぐち</t>
  </si>
  <si>
    <t>eri.horiguchi</t>
  </si>
  <si>
    <t>eri.horiguchi@m-chariloto.com</t>
  </si>
  <si>
    <t>三浦優里</t>
  </si>
  <si>
    <t>優里</t>
  </si>
  <si>
    <t>yuri.miura</t>
  </si>
  <si>
    <t>yuri.miura@mixi.co.jp</t>
  </si>
  <si>
    <t>森谷瑞希</t>
  </si>
  <si>
    <t>森谷</t>
  </si>
  <si>
    <t>mizuki.moriya</t>
  </si>
  <si>
    <t>mizuki.moriya@mixi.co.jp</t>
  </si>
  <si>
    <t>ZZ005010500</t>
  </si>
  <si>
    <t>森山彩華</t>
  </si>
  <si>
    <t>ayaka.moriyama</t>
  </si>
  <si>
    <t>ayaka.moriyama@mixi.co.jp</t>
  </si>
  <si>
    <t>安田有希</t>
  </si>
  <si>
    <t>yuki.yasuda</t>
  </si>
  <si>
    <t>yuki.yasuda@mixi.co.jp</t>
  </si>
  <si>
    <t>矢野雅之a</t>
  </si>
  <si>
    <t>masayuki.yano.a.ts</t>
  </si>
  <si>
    <t>masayuki.yano.a.ts@mixi.co.jp</t>
  </si>
  <si>
    <t>AO082090102
AR059050900</t>
  </si>
  <si>
    <t>山田涼晴</t>
  </si>
  <si>
    <t>涼晴</t>
  </si>
  <si>
    <t>りょうせい</t>
  </si>
  <si>
    <t>ryosei.yamada</t>
  </si>
  <si>
    <t>ryosei.yamada@mixi.co.jp</t>
  </si>
  <si>
    <t>楊景</t>
  </si>
  <si>
    <t>jing.yang</t>
  </si>
  <si>
    <t>jing.yang@mixi.co.jp</t>
  </si>
  <si>
    <t>米内俊祐</t>
  </si>
  <si>
    <t>米内</t>
  </si>
  <si>
    <t>よない</t>
  </si>
  <si>
    <t>shunsuke.yonai</t>
  </si>
  <si>
    <t>shunsuke.yonai@netdreamers.co.jp</t>
  </si>
  <si>
    <t>若林慶</t>
  </si>
  <si>
    <t>慶</t>
  </si>
  <si>
    <t>kei.wakabayashi.ts</t>
  </si>
  <si>
    <t>kei.wakabayashi.ts@mixi.co.jp</t>
  </si>
  <si>
    <t>渡邊奈々</t>
  </si>
  <si>
    <t>nana.watanabe</t>
  </si>
  <si>
    <t>nana.watanabe@mixi-empowerment.co.jp</t>
  </si>
  <si>
    <t>越川竜介</t>
  </si>
  <si>
    <t>越川</t>
  </si>
  <si>
    <t>竜介</t>
  </si>
  <si>
    <t>こしかわ</t>
  </si>
  <si>
    <t>ryusuke.koshikawa</t>
  </si>
  <si>
    <t>ryusuke.koshikawa@netdreamers.co.jp</t>
  </si>
  <si>
    <t>佐竹由衣</t>
  </si>
  <si>
    <t>佐竹</t>
  </si>
  <si>
    <t>由衣</t>
  </si>
  <si>
    <t>さたけ</t>
  </si>
  <si>
    <t>yui.satake.ts</t>
  </si>
  <si>
    <t>高島直史</t>
  </si>
  <si>
    <t>高島</t>
  </si>
  <si>
    <t>naofumi.takashima.ts</t>
  </si>
  <si>
    <t>naofumi.takashima.ts@netdreamers.co.jp</t>
  </si>
  <si>
    <t>土屋直幸a</t>
  </si>
  <si>
    <t>直幸a</t>
  </si>
  <si>
    <t>naoyuki.tsuchiya.a.ts</t>
  </si>
  <si>
    <t>naoyuki.tsuchiya.a.ts@mixi.co.jp</t>
  </si>
  <si>
    <t>豊田正宗a</t>
  </si>
  <si>
    <t>正宗a</t>
  </si>
  <si>
    <t>まさむね</t>
  </si>
  <si>
    <t>masamune.toyoda.a.ts</t>
  </si>
  <si>
    <t>masamune.toyoda.a.ts@m-lovegraph.com</t>
  </si>
  <si>
    <t>濱田薫</t>
  </si>
  <si>
    <t>kaoru.hamada.ts</t>
  </si>
  <si>
    <t>日置綾音</t>
  </si>
  <si>
    <t>日置</t>
  </si>
  <si>
    <t>綾音</t>
  </si>
  <si>
    <t>ひおき</t>
  </si>
  <si>
    <t>ayane.hioki.ts</t>
  </si>
  <si>
    <t>ayane.hioki.ts@mixi.co.jp</t>
  </si>
  <si>
    <t>荒田駿介a</t>
  </si>
  <si>
    <t>荒田</t>
  </si>
  <si>
    <t>あらた</t>
  </si>
  <si>
    <t>shunsuke.arata.a.ts</t>
  </si>
  <si>
    <t>shunsuke.arata.a.ts@m-lovegraph.com</t>
  </si>
  <si>
    <t>大藪修平</t>
  </si>
  <si>
    <t>大藪</t>
  </si>
  <si>
    <t>おおやぶ</t>
  </si>
  <si>
    <t>shuhei.oyabu</t>
  </si>
  <si>
    <t>shuhei.oyabu@m-chariloto.com</t>
  </si>
  <si>
    <t>岡林高志</t>
  </si>
  <si>
    <t>岡林</t>
  </si>
  <si>
    <t>おかばやし</t>
  </si>
  <si>
    <t>takashi.okabayashi</t>
  </si>
  <si>
    <t>takashi.okabayashi@m-chariloto.com</t>
  </si>
  <si>
    <t>幸原直樹</t>
  </si>
  <si>
    <t>幸原</t>
  </si>
  <si>
    <t>こうはら</t>
  </si>
  <si>
    <t>naoki.kohara</t>
  </si>
  <si>
    <t>naoki.kohara@m-chariloto.com</t>
  </si>
  <si>
    <t>小林可奈c</t>
  </si>
  <si>
    <t>可奈c</t>
  </si>
  <si>
    <t>kana.kobayashi.c</t>
  </si>
  <si>
    <t>kana.kobayashi.c@mixi.co.jp</t>
  </si>
  <si>
    <t>齊藤幸枝b</t>
  </si>
  <si>
    <t>幸枝b</t>
  </si>
  <si>
    <t>さちえ</t>
  </si>
  <si>
    <t>sachie.saito.b.ts</t>
  </si>
  <si>
    <t>sachie.saito.b.ts@mixi.co.jp</t>
  </si>
  <si>
    <t>原田俊広</t>
  </si>
  <si>
    <t>俊広</t>
  </si>
  <si>
    <t>toshihiro.harada</t>
  </si>
  <si>
    <t>toshihiro.harada@m-chariloto.com</t>
  </si>
  <si>
    <t>福田奨馬</t>
  </si>
  <si>
    <t>奨馬</t>
  </si>
  <si>
    <t>しょうま</t>
  </si>
  <si>
    <t>shoma.fukuda</t>
  </si>
  <si>
    <t>shoma.fukuda@m-chariloto.com</t>
  </si>
  <si>
    <t>葉佳欣</t>
  </si>
  <si>
    <t>葉</t>
  </si>
  <si>
    <t>佳欣</t>
  </si>
  <si>
    <t>かきん</t>
  </si>
  <si>
    <t>chiahsin.yeh.ts</t>
  </si>
  <si>
    <t>chiahsin.yeh.ts@mixi.co.jp</t>
  </si>
  <si>
    <t>黒岩菜々子</t>
  </si>
  <si>
    <t>黒岩</t>
  </si>
  <si>
    <t>菜々子</t>
  </si>
  <si>
    <t>くろいわ</t>
  </si>
  <si>
    <t>ななこ</t>
  </si>
  <si>
    <t>nanako.kuroiwa</t>
  </si>
  <si>
    <t>nanako.kuroiwa@m-chariloto.com</t>
  </si>
  <si>
    <t>小林英之亮</t>
  </si>
  <si>
    <t>英之亮</t>
  </si>
  <si>
    <t>えいのすけ</t>
  </si>
  <si>
    <t>einosuke.kobayashi</t>
  </si>
  <si>
    <t>einosuke.kobayashi@m-chariloto.com</t>
  </si>
  <si>
    <t>渋谷幸人a</t>
  </si>
  <si>
    <t>幸人a</t>
  </si>
  <si>
    <t>ゆきと</t>
  </si>
  <si>
    <t>yukito.shibuya.a</t>
  </si>
  <si>
    <t>yukito.shibuya.a@m-picon.com</t>
  </si>
  <si>
    <t>株式会社picon</t>
  </si>
  <si>
    <t>株式会社picon/株式会社picon/株式会社picon(本部格)</t>
  </si>
  <si>
    <t>XW557000000</t>
  </si>
  <si>
    <t>田島美鈴</t>
  </si>
  <si>
    <t>美鈴</t>
  </si>
  <si>
    <t>みすず</t>
  </si>
  <si>
    <t>misuzu.tajima</t>
  </si>
  <si>
    <t>misuzu.tajima@m-picon.com</t>
  </si>
  <si>
    <t>光原周作a</t>
  </si>
  <si>
    <t>光原</t>
  </si>
  <si>
    <t>周作a</t>
  </si>
  <si>
    <t>みつはら</t>
  </si>
  <si>
    <t>しゅうさく</t>
  </si>
  <si>
    <t>shusaku.mitsuhara.a</t>
  </si>
  <si>
    <t>shusaku.mitsuhara.a@mixi.co.jp</t>
  </si>
  <si>
    <t>AW076021302
AW076021400</t>
  </si>
  <si>
    <t>山口翔誠a</t>
  </si>
  <si>
    <t>翔誠a</t>
  </si>
  <si>
    <t>しょうせい</t>
  </si>
  <si>
    <t>shosei.yamaguchi.a</t>
  </si>
  <si>
    <t>shosei.yamaguchi.a@m-picon.com</t>
  </si>
  <si>
    <t>井関加弥</t>
  </si>
  <si>
    <t>井関</t>
  </si>
  <si>
    <t>加弥</t>
  </si>
  <si>
    <t>いせき</t>
  </si>
  <si>
    <t>かや</t>
  </si>
  <si>
    <t>kaya.iseki</t>
  </si>
  <si>
    <t>kaya.iseki@netdreamers.co.jp</t>
  </si>
  <si>
    <t>XM551010100
XM551060100</t>
  </si>
  <si>
    <t>奥山研</t>
  </si>
  <si>
    <t>研</t>
  </si>
  <si>
    <t>ken.okuyama</t>
  </si>
  <si>
    <t>ken.okuyama@mixi.co.jp</t>
  </si>
  <si>
    <t>AX078080300</t>
  </si>
  <si>
    <t>女部田亮</t>
  </si>
  <si>
    <t>女部田</t>
  </si>
  <si>
    <t>おなぶた</t>
  </si>
  <si>
    <t>ryo.onabuta</t>
  </si>
  <si>
    <t>ryo.onabuta@tbam.co.jp</t>
  </si>
  <si>
    <t>邢丹</t>
  </si>
  <si>
    <t>邢</t>
  </si>
  <si>
    <t>丹</t>
  </si>
  <si>
    <t>dan.xing</t>
  </si>
  <si>
    <t>dan.xing@mixi.co.jp</t>
  </si>
  <si>
    <t>小池真輝</t>
  </si>
  <si>
    <t>真輝</t>
  </si>
  <si>
    <t>maki.koike.ts</t>
  </si>
  <si>
    <t>maki.koike.ts@m-lovegraph.com</t>
  </si>
  <si>
    <t>佐野絵里香a</t>
  </si>
  <si>
    <t>絵里香a</t>
  </si>
  <si>
    <t>erika.sano.a</t>
  </si>
  <si>
    <t>erika.sano.a@mixi.co.jp</t>
  </si>
  <si>
    <t>中野浩二</t>
  </si>
  <si>
    <t>浩二</t>
  </si>
  <si>
    <t>koji.nakano</t>
  </si>
  <si>
    <t>koji.nakano@mixi.co.jp</t>
  </si>
  <si>
    <t>AQ087020500
AQ087040000
AQ087021100</t>
  </si>
  <si>
    <t>日出春来</t>
  </si>
  <si>
    <t>日出</t>
  </si>
  <si>
    <t>春来</t>
  </si>
  <si>
    <t>ひので</t>
  </si>
  <si>
    <t>haruki.hinode</t>
  </si>
  <si>
    <t>haruki.hinode@mixi.co.jp</t>
  </si>
  <si>
    <t>古木哲平</t>
  </si>
  <si>
    <t>古木</t>
  </si>
  <si>
    <t>ふるき</t>
  </si>
  <si>
    <t>teppei.furuki</t>
  </si>
  <si>
    <t>teppei.furuki@mixi.co.jp</t>
  </si>
  <si>
    <t>AQ087040800
AQ087040000</t>
  </si>
  <si>
    <t>山田晃土</t>
  </si>
  <si>
    <t>晃土</t>
  </si>
  <si>
    <t>あきと</t>
  </si>
  <si>
    <t>akito.yamada.ts</t>
  </si>
  <si>
    <t>akito.yamada.ts@mixi.co.jp</t>
  </si>
  <si>
    <t>湯澤功成</t>
  </si>
  <si>
    <t>湯澤</t>
  </si>
  <si>
    <t>功成</t>
  </si>
  <si>
    <t>ゆざわ</t>
  </si>
  <si>
    <t>かつなり</t>
  </si>
  <si>
    <t>katsunari.yuzawa.ts</t>
  </si>
  <si>
    <t>katsunari.yuzawa.ts@netdreamers.co.jp</t>
  </si>
  <si>
    <t>XM550050200</t>
  </si>
  <si>
    <t>赤池勇人</t>
  </si>
  <si>
    <t>赤池</t>
  </si>
  <si>
    <t>あかいけ</t>
  </si>
  <si>
    <t>yuto.akaike</t>
  </si>
  <si>
    <t>yuto.akaike@mixi.co.jp</t>
  </si>
  <si>
    <t>株式会社MIXI/笠原管掌/みてね事業本部/みてねプロダクト開発部/プロダクト開発アドグループ</t>
  </si>
  <si>
    <t>AQ087040000
AQ087021100</t>
  </si>
  <si>
    <t>阿須間翔</t>
  </si>
  <si>
    <t>阿須間</t>
  </si>
  <si>
    <t>あすま</t>
  </si>
  <si>
    <t>sho.asuma</t>
  </si>
  <si>
    <t>sho.asuma@mixi.co.jp</t>
  </si>
  <si>
    <t>大久保亜美</t>
  </si>
  <si>
    <t>亜美</t>
  </si>
  <si>
    <t>あみ</t>
  </si>
  <si>
    <t>ami.okubo</t>
  </si>
  <si>
    <t>ami.okubo@mixi.co.jp</t>
  </si>
  <si>
    <t>大村瞬也</t>
  </si>
  <si>
    <t>瞬也</t>
  </si>
  <si>
    <t>ときや</t>
  </si>
  <si>
    <t>tokiya.omura</t>
  </si>
  <si>
    <t>tokiya.omura@m-picon.com</t>
  </si>
  <si>
    <t>久貝真奈美</t>
  </si>
  <si>
    <t>久貝</t>
  </si>
  <si>
    <t>くがい</t>
  </si>
  <si>
    <t>manami.kugai.ts</t>
  </si>
  <si>
    <t>manami.kugai.ts@mixi.co.jp</t>
  </si>
  <si>
    <t>倉田英行</t>
  </si>
  <si>
    <t>倉田</t>
  </si>
  <si>
    <t>くらた</t>
  </si>
  <si>
    <t>hideyuki.kurata</t>
  </si>
  <si>
    <t>hideyuki.kurata@mixi.co.jp</t>
  </si>
  <si>
    <t>佐藤あゆみa</t>
  </si>
  <si>
    <t>あゆみa</t>
  </si>
  <si>
    <t>ayumi.sato.a</t>
  </si>
  <si>
    <t>ayumi.sato.a@mixi.co.jp</t>
  </si>
  <si>
    <t>佐野明稀</t>
  </si>
  <si>
    <t>明稀</t>
  </si>
  <si>
    <t>aki.sano.ts</t>
  </si>
  <si>
    <t>aki.sano.ts@m-lovegraph.com</t>
  </si>
  <si>
    <t>髙林明日美</t>
  </si>
  <si>
    <t>髙林</t>
  </si>
  <si>
    <t>明日美</t>
  </si>
  <si>
    <t>たかばやし</t>
  </si>
  <si>
    <t>あすみ</t>
  </si>
  <si>
    <t>asumi.takabayashi</t>
  </si>
  <si>
    <t>asumi.takabayashi@mixi.co.jp</t>
  </si>
  <si>
    <t>髙山清子</t>
  </si>
  <si>
    <t>髙山</t>
  </si>
  <si>
    <t>清子</t>
  </si>
  <si>
    <t>すみこ</t>
  </si>
  <si>
    <t>sumiko.takayama</t>
  </si>
  <si>
    <t>坂友恵</t>
  </si>
  <si>
    <t>坂</t>
  </si>
  <si>
    <t>友恵</t>
  </si>
  <si>
    <t>ばん</t>
  </si>
  <si>
    <t>tomoe.ban</t>
  </si>
  <si>
    <t>tomoe.ban@mixi.co.jp</t>
  </si>
  <si>
    <t>平沼花観</t>
  </si>
  <si>
    <t>平沼</t>
  </si>
  <si>
    <t>花観</t>
  </si>
  <si>
    <t>ひらぬま</t>
  </si>
  <si>
    <t>はなみ</t>
  </si>
  <si>
    <t>hanami.hiranuma.ts</t>
  </si>
  <si>
    <t>hanami.hiranuma.ts@mixi.co.jp</t>
  </si>
  <si>
    <t>宮ヶ原敬規</t>
  </si>
  <si>
    <t>宮ヶ原</t>
  </si>
  <si>
    <t>敬規</t>
  </si>
  <si>
    <t>みやがはら</t>
  </si>
  <si>
    <t>takanori.miyagahara.ts</t>
  </si>
  <si>
    <t>takanori.miyagahara.ts@mixi.co.jp</t>
  </si>
  <si>
    <t>渡瀬ひろみ</t>
  </si>
  <si>
    <t>渡瀬</t>
  </si>
  <si>
    <t>わたせ</t>
  </si>
  <si>
    <t>hiromi.watase</t>
  </si>
  <si>
    <t>青木健至</t>
  </si>
  <si>
    <t>健至</t>
  </si>
  <si>
    <t>kenji.aoki</t>
  </si>
  <si>
    <t>kenji.aoki@m-chariloto.com</t>
  </si>
  <si>
    <t>大井香苗a</t>
  </si>
  <si>
    <t>大井</t>
  </si>
  <si>
    <t>香苗a</t>
  </si>
  <si>
    <t>おおい</t>
  </si>
  <si>
    <t>kanae.oi.a.ts</t>
  </si>
  <si>
    <t>kanae.oi.a.ts@mixi.co.jp</t>
  </si>
  <si>
    <t>小野義則</t>
  </si>
  <si>
    <t>義則</t>
  </si>
  <si>
    <t>yoshinori.ono.ts</t>
  </si>
  <si>
    <t>yoshinori.ono.ts@m-sfidante.com</t>
  </si>
  <si>
    <t>川内大</t>
  </si>
  <si>
    <t>川内</t>
  </si>
  <si>
    <t>かわうち</t>
  </si>
  <si>
    <t>dai.kawauchi</t>
  </si>
  <si>
    <t>dai.kawauchi@mixi.co.jp</t>
  </si>
  <si>
    <t>熊田由里香</t>
  </si>
  <si>
    <t>由里香</t>
  </si>
  <si>
    <t>くまだ</t>
  </si>
  <si>
    <t>yurika.kumada.ts</t>
  </si>
  <si>
    <t>yurika.kumada.ts@m-lovegraph.com</t>
  </si>
  <si>
    <t>斎藤一輝</t>
  </si>
  <si>
    <t>kazuki.saito</t>
  </si>
  <si>
    <t>kazuki.saito@mixi.co.jp</t>
  </si>
  <si>
    <t>真田匡朗</t>
  </si>
  <si>
    <t>匡朗</t>
  </si>
  <si>
    <t>masaaki.sanada</t>
  </si>
  <si>
    <t>masaaki.sanada@mixi.co.jp</t>
  </si>
  <si>
    <t>芝山直也</t>
  </si>
  <si>
    <t>naoya.shibayama</t>
  </si>
  <si>
    <t>naoya.shibayama@m-chariloto.com</t>
  </si>
  <si>
    <t>菅原美穂</t>
  </si>
  <si>
    <t>すがわら</t>
  </si>
  <si>
    <t>miho.sugawara.ts</t>
  </si>
  <si>
    <t>miho.sugawara.ts@mixi.co.jp</t>
  </si>
  <si>
    <t>鋤柄和臣</t>
  </si>
  <si>
    <t>鋤柄</t>
  </si>
  <si>
    <t>和臣</t>
  </si>
  <si>
    <t>すきがら</t>
  </si>
  <si>
    <t>かずおみ</t>
  </si>
  <si>
    <t>kazuomi.sukigara.ts</t>
  </si>
  <si>
    <t>kazuomi.sukigara.ts@m-lovegraph.com</t>
  </si>
  <si>
    <t>田島悠花</t>
  </si>
  <si>
    <t>悠花</t>
  </si>
  <si>
    <t>yuka.tajima.ts</t>
  </si>
  <si>
    <t>yuka.tajima.ts@mixi.co.jp</t>
  </si>
  <si>
    <t>龍田ヨウスケ</t>
  </si>
  <si>
    <t>龍田</t>
  </si>
  <si>
    <t>ヨウスケ</t>
  </si>
  <si>
    <t>たつた</t>
  </si>
  <si>
    <t>yosuke.tatsuta</t>
  </si>
  <si>
    <t>yosuke.tatsuta@mixi.co.jp</t>
  </si>
  <si>
    <t>AQ061030600
AQ061030102</t>
  </si>
  <si>
    <t>田邨尚樹</t>
  </si>
  <si>
    <t>田邨</t>
  </si>
  <si>
    <t>尚樹</t>
  </si>
  <si>
    <t>naoki.tamura</t>
  </si>
  <si>
    <t>naoki.tamura@m-chariloto.com</t>
  </si>
  <si>
    <t>辻紗梨奈</t>
  </si>
  <si>
    <t>辻</t>
  </si>
  <si>
    <t>紗梨奈</t>
  </si>
  <si>
    <t>つじ</t>
  </si>
  <si>
    <t>さりな</t>
  </si>
  <si>
    <t>sarina.tsuji</t>
  </si>
  <si>
    <t>sarina.tsuji@m-chariloto.com</t>
  </si>
  <si>
    <t>土田真喜</t>
  </si>
  <si>
    <t>真喜</t>
  </si>
  <si>
    <t>maki.tsuchida.ts</t>
  </si>
  <si>
    <t>maki.tsuchida.ts@mixi.co.jp</t>
  </si>
  <si>
    <t>AW085030000</t>
  </si>
  <si>
    <t>冨樫航平</t>
  </si>
  <si>
    <t>航平</t>
  </si>
  <si>
    <t>kohei.togashi.ts</t>
  </si>
  <si>
    <t>kohei.togashi.ts@netdreamers.co.jp</t>
  </si>
  <si>
    <t>中村悟a</t>
  </si>
  <si>
    <t>悟a</t>
  </si>
  <si>
    <t>satoru.nakamura.a.ts</t>
  </si>
  <si>
    <t>satoru.nakamura.a.ts@mixi.co.jp</t>
  </si>
  <si>
    <t>中山雅子</t>
  </si>
  <si>
    <t>雅子</t>
  </si>
  <si>
    <t>masako.nakayama</t>
  </si>
  <si>
    <t>masako.nakayama@mixi.co.jp</t>
  </si>
  <si>
    <t>南涛祐介</t>
  </si>
  <si>
    <t>南涛</t>
  </si>
  <si>
    <t>祐介</t>
  </si>
  <si>
    <t>なんとう</t>
  </si>
  <si>
    <t>yusuke.nanto</t>
  </si>
  <si>
    <t>yusuke.nanto@mixi.co.jp</t>
  </si>
  <si>
    <t>新岡宗一朗</t>
  </si>
  <si>
    <t>新岡</t>
  </si>
  <si>
    <t>宗一朗</t>
  </si>
  <si>
    <t>にいおか</t>
  </si>
  <si>
    <t>soichiro.niioka</t>
  </si>
  <si>
    <t>soichiro.niioka@mixi.co.jp</t>
  </si>
  <si>
    <t>AO082030500
AO082060601</t>
  </si>
  <si>
    <t>仁井田ひと美</t>
  </si>
  <si>
    <t>仁井田</t>
  </si>
  <si>
    <t>ひと美</t>
  </si>
  <si>
    <t>にいだ</t>
  </si>
  <si>
    <t>hitomi.niida</t>
  </si>
  <si>
    <t>hitomi.niida@m-sfidante.com</t>
  </si>
  <si>
    <t>疋田建典a</t>
  </si>
  <si>
    <t>疋田</t>
  </si>
  <si>
    <t>建典a</t>
  </si>
  <si>
    <t>ひきた</t>
  </si>
  <si>
    <t>たつのり</t>
  </si>
  <si>
    <t>tatsunori.hikita.a.ts</t>
  </si>
  <si>
    <t>tatsunori.hikita.a.ts@mixi.co.jp</t>
  </si>
  <si>
    <t>福島あゆみ</t>
  </si>
  <si>
    <t>ayumi.fukushima</t>
  </si>
  <si>
    <t>ayumi.fukushima@mixi.co.jp</t>
  </si>
  <si>
    <t>AR091010101
AR091010102
AR091010202
AR091010203</t>
  </si>
  <si>
    <t>本郷蒼人</t>
  </si>
  <si>
    <t>本郷</t>
  </si>
  <si>
    <t>蒼人</t>
  </si>
  <si>
    <t>ほんごう</t>
  </si>
  <si>
    <t>あおと</t>
  </si>
  <si>
    <t>aoto.hongo.ts</t>
  </si>
  <si>
    <t>aoto.hongo.ts@mixi.co.jp</t>
  </si>
  <si>
    <t>増田小雪</t>
  </si>
  <si>
    <t>増田</t>
  </si>
  <si>
    <t>小雪</t>
  </si>
  <si>
    <t>ますだ</t>
  </si>
  <si>
    <t>こゆき</t>
  </si>
  <si>
    <t>koyuki.masuda</t>
  </si>
  <si>
    <t>koyuki.masuda@mixi.co.jp</t>
  </si>
  <si>
    <t>三宅遥</t>
  </si>
  <si>
    <t>haruka.miyake</t>
  </si>
  <si>
    <t>haruka.miyake@mixi.co.jp</t>
  </si>
  <si>
    <t>AU073020102
AU073000000</t>
  </si>
  <si>
    <t>市川美華</t>
  </si>
  <si>
    <t>美華</t>
  </si>
  <si>
    <t>mika.ichikawa</t>
  </si>
  <si>
    <t>mika.ichikawa@m-sfidante.com</t>
  </si>
  <si>
    <t>亀田瑞貴</t>
  </si>
  <si>
    <t>亀田</t>
  </si>
  <si>
    <t>かめだ</t>
  </si>
  <si>
    <t>mizuki.kameda.ts</t>
  </si>
  <si>
    <t>mizuki.kameda.ts@m-lovegraph.com</t>
  </si>
  <si>
    <t>佐々木祐太</t>
  </si>
  <si>
    <t>yuta.sasaki</t>
  </si>
  <si>
    <t>yuta.sasaki@mixi.co.jp</t>
  </si>
  <si>
    <t>株式会社MIXI/村瀨管掌/デザイン本部/ブランドデザイン室/ブランディンググループ</t>
  </si>
  <si>
    <t>AR059070200
AR059070203</t>
  </si>
  <si>
    <t>宍倉晃志郎a</t>
  </si>
  <si>
    <t>宍倉</t>
  </si>
  <si>
    <t>晃志郎a</t>
  </si>
  <si>
    <t>ししくら</t>
  </si>
  <si>
    <t>こうしろう</t>
  </si>
  <si>
    <t>koshiro.shishikura.a.ts</t>
  </si>
  <si>
    <t>koshiro.shishikura.a.ts@mixi.co.jp</t>
  </si>
  <si>
    <t>鈴木弘美</t>
  </si>
  <si>
    <t>弘美</t>
  </si>
  <si>
    <t>hiromi.suzuki</t>
  </si>
  <si>
    <t>hiromi.suzuki@mixi.co.jp</t>
  </si>
  <si>
    <t>中川珠江</t>
  </si>
  <si>
    <t>珠江</t>
  </si>
  <si>
    <t>たまえ</t>
  </si>
  <si>
    <t>tamae.nakagawa</t>
  </si>
  <si>
    <t>tamae.nakagawa@m-chariloto.com</t>
  </si>
  <si>
    <t>宮内俊英b</t>
  </si>
  <si>
    <t>宮内</t>
  </si>
  <si>
    <t>俊英b</t>
  </si>
  <si>
    <t>みやうち</t>
  </si>
  <si>
    <t>としひで</t>
  </si>
  <si>
    <t>toshihide.miyauchi.b.ts</t>
  </si>
  <si>
    <t>toshihide.miyauchi.b.ts@mixi.co.jp</t>
  </si>
  <si>
    <t>八下田純</t>
  </si>
  <si>
    <t>八下田</t>
  </si>
  <si>
    <t>やげた</t>
  </si>
  <si>
    <t>jun.yageta.ts</t>
  </si>
  <si>
    <t>jun.yageta.ts@mixi.co.jp</t>
  </si>
  <si>
    <t>麻生彩</t>
  </si>
  <si>
    <t>麻生</t>
  </si>
  <si>
    <t>あそう</t>
  </si>
  <si>
    <t>aya.aso</t>
  </si>
  <si>
    <t>aya.aso@mixi.co.jp</t>
  </si>
  <si>
    <t>安齋龍</t>
  </si>
  <si>
    <t>安齋</t>
  </si>
  <si>
    <t>龍</t>
  </si>
  <si>
    <t>りゅう</t>
  </si>
  <si>
    <t>ryu.anzai.ts</t>
  </si>
  <si>
    <t>ryu.anzai.ts@m-lovegraph.com</t>
  </si>
  <si>
    <t>沖田仁</t>
  </si>
  <si>
    <t>沖田</t>
  </si>
  <si>
    <t>おきた</t>
  </si>
  <si>
    <t>jin.okita.ts</t>
  </si>
  <si>
    <t>jin.okita.ts@mixi.co.jp</t>
  </si>
  <si>
    <t>甲斐優貴</t>
  </si>
  <si>
    <t>yuki.kai</t>
  </si>
  <si>
    <t>yuki.kai@netdreamers.co.jp</t>
  </si>
  <si>
    <t>XM551010000
XM550000000
XM550060000</t>
  </si>
  <si>
    <t>塊原卓</t>
  </si>
  <si>
    <t>塊原</t>
  </si>
  <si>
    <t>かいばら</t>
  </si>
  <si>
    <t>suguru.kaibara</t>
  </si>
  <si>
    <t>suguru.kaibara@mixi.co.jp</t>
  </si>
  <si>
    <t>岸本実穂子</t>
  </si>
  <si>
    <t>実穂子</t>
  </si>
  <si>
    <t>mihoko.kishimoto.ts</t>
  </si>
  <si>
    <t>mihoko.kishimoto.ts@mixi.co.jp</t>
  </si>
  <si>
    <t>工藤貴誠</t>
  </si>
  <si>
    <t>貴誠</t>
  </si>
  <si>
    <t>takamasa.kudo.ts</t>
  </si>
  <si>
    <t>takamasa.kudo.ts@netdreamers.co.jp</t>
  </si>
  <si>
    <t>小林祐佳</t>
  </si>
  <si>
    <t>祐佳</t>
  </si>
  <si>
    <t>yuka.kobayashi.ts</t>
  </si>
  <si>
    <t>yuka.kobayashi.ts@mixi.co.jp</t>
  </si>
  <si>
    <t>櫻井猛</t>
  </si>
  <si>
    <t>猛</t>
  </si>
  <si>
    <t>takeru.sakurai</t>
  </si>
  <si>
    <t>takeru.sakurai@mixi.co.jp</t>
  </si>
  <si>
    <t>佐藤実織</t>
  </si>
  <si>
    <t>実織</t>
  </si>
  <si>
    <t>みおり</t>
  </si>
  <si>
    <t>miori.sato.ts</t>
  </si>
  <si>
    <t>miori.sato.ts@mixi.co.jp</t>
  </si>
  <si>
    <t>清家裕太</t>
  </si>
  <si>
    <t>清家</t>
  </si>
  <si>
    <t>せいけ</t>
  </si>
  <si>
    <t>yuta.seike</t>
  </si>
  <si>
    <t>yuta.seike@netdreamers.co.jp</t>
  </si>
  <si>
    <t>髙橋徹</t>
  </si>
  <si>
    <t>徹</t>
  </si>
  <si>
    <t>toru.takahashi</t>
  </si>
  <si>
    <t>toru.takahashi@mixi.co.jp</t>
  </si>
  <si>
    <t>千野節歩</t>
  </si>
  <si>
    <t>節歩</t>
  </si>
  <si>
    <t>たけほ</t>
  </si>
  <si>
    <t>takeho.chino</t>
  </si>
  <si>
    <t>takeho.chino@m-lovegraph.com</t>
  </si>
  <si>
    <t>星野恵介a</t>
  </si>
  <si>
    <t>恵介a</t>
  </si>
  <si>
    <t>keisuke.hoshino.a</t>
  </si>
  <si>
    <t>keisuke.hoshino.a@mixi.co.jp</t>
  </si>
  <si>
    <t>AW085000000
AX089070400</t>
  </si>
  <si>
    <t>正木真也</t>
  </si>
  <si>
    <t>正木</t>
  </si>
  <si>
    <t>shinya.masaki</t>
  </si>
  <si>
    <t>shinya.masaki@m-chariloto.com</t>
  </si>
  <si>
    <t>右高優子</t>
  </si>
  <si>
    <t>右高</t>
  </si>
  <si>
    <t>みぎたか</t>
  </si>
  <si>
    <t>yuko.migitaka.ts</t>
  </si>
  <si>
    <t>yuko.migitaka.ts@m-lovegraph.com</t>
  </si>
  <si>
    <t>水谷翔帆</t>
  </si>
  <si>
    <t>翔帆</t>
  </si>
  <si>
    <t>しょうほ</t>
  </si>
  <si>
    <t>shoho.mizutani.ts</t>
  </si>
  <si>
    <t>shoho.mizutani.ts@mixi.co.jp</t>
  </si>
  <si>
    <t>森山涼介</t>
  </si>
  <si>
    <t>涼介</t>
  </si>
  <si>
    <t>ryosuke.moriyama.ts</t>
  </si>
  <si>
    <t>ryosuke.moriyama.ts@mixi.co.jp</t>
  </si>
  <si>
    <t>八木智久</t>
  </si>
  <si>
    <t>智久</t>
  </si>
  <si>
    <t>ともひさ</t>
  </si>
  <si>
    <t>tomohisa.yagi</t>
  </si>
  <si>
    <t>tomohisa.yagi@mixi.co.jp</t>
  </si>
  <si>
    <t>AX089070400</t>
  </si>
  <si>
    <t>山口みづき</t>
  </si>
  <si>
    <t>みづき</t>
  </si>
  <si>
    <t>mizuki.yamaguchi</t>
  </si>
  <si>
    <t>mizuki.yamaguchi@mixi.co.jp</t>
  </si>
  <si>
    <t>AO083020600
AR059080402</t>
  </si>
  <si>
    <t>山崎信明</t>
  </si>
  <si>
    <t>信明</t>
  </si>
  <si>
    <t>nobuaki.yamazaki.ts</t>
  </si>
  <si>
    <t>nobuaki.yamazaki.ts@mixi.co.jp</t>
  </si>
  <si>
    <t>AR091010000</t>
  </si>
  <si>
    <t>安藤慶</t>
  </si>
  <si>
    <t>kei.ando</t>
  </si>
  <si>
    <t>kei.ando@m-chariloto.com</t>
  </si>
  <si>
    <t>伊藤翔哉</t>
  </si>
  <si>
    <t>翔哉</t>
  </si>
  <si>
    <t>shoya.ito</t>
  </si>
  <si>
    <t>shoya.ito@mixi.co.jp</t>
  </si>
  <si>
    <t>AW085030000
AW085020400
AW085020500</t>
  </si>
  <si>
    <t>門井敏行</t>
  </si>
  <si>
    <t>門井</t>
  </si>
  <si>
    <t>敏行</t>
  </si>
  <si>
    <t>かどい</t>
  </si>
  <si>
    <t>toshiyuki.kadoi</t>
  </si>
  <si>
    <t>toshiyuki.kadoi@mixi.co.jp</t>
  </si>
  <si>
    <t>佐上真慧</t>
  </si>
  <si>
    <t>佐上</t>
  </si>
  <si>
    <t>真慧</t>
  </si>
  <si>
    <t>さがみ</t>
  </si>
  <si>
    <t>masato.sagami</t>
  </si>
  <si>
    <t>masato.sagami@mixi.co.jp</t>
  </si>
  <si>
    <t>佐藤朝章</t>
  </si>
  <si>
    <t>朝章</t>
  </si>
  <si>
    <t>tomoaki.sato.ts</t>
  </si>
  <si>
    <t>tomoaki.sato.ts@mixi.co.jp</t>
  </si>
  <si>
    <t>高安佐枝子</t>
  </si>
  <si>
    <t>高安</t>
  </si>
  <si>
    <t>佐枝子</t>
  </si>
  <si>
    <t>saeko.takayasu</t>
  </si>
  <si>
    <t>saeko.takayasu@netdreamers.co.jp</t>
  </si>
  <si>
    <t>XM523010400
XM519000000</t>
  </si>
  <si>
    <t>HardouinMarinea</t>
  </si>
  <si>
    <t>Hardouin</t>
  </si>
  <si>
    <t>Marinea</t>
  </si>
  <si>
    <t>はるどぅあん</t>
  </si>
  <si>
    <t>まりーん</t>
  </si>
  <si>
    <t>marine.hardouin.a</t>
  </si>
  <si>
    <t>marine.hardouin.a@mixiamerica.com</t>
  </si>
  <si>
    <t>HardouinMarine</t>
  </si>
  <si>
    <t>Marine</t>
  </si>
  <si>
    <t>marine.hardouin.ts</t>
  </si>
  <si>
    <t>marine.hardouin.ts@mixi.co.jp</t>
  </si>
  <si>
    <t>山口優希</t>
  </si>
  <si>
    <t>yuki.yamaguchi</t>
  </si>
  <si>
    <t>yuki.yamaguchi@m-chariloto.com</t>
  </si>
  <si>
    <t>板垣志歩</t>
  </si>
  <si>
    <t>志歩</t>
  </si>
  <si>
    <t>shiho.itagaki.ts</t>
  </si>
  <si>
    <t>shiho.itagaki.ts@mixi.co.jp</t>
  </si>
  <si>
    <t>久保木将貴</t>
  </si>
  <si>
    <t>久保木</t>
  </si>
  <si>
    <t>くぼき</t>
  </si>
  <si>
    <t>masaki.kuboki</t>
  </si>
  <si>
    <t>masaki.kuboki@mixi.co.jp</t>
  </si>
  <si>
    <t>坂口紘子</t>
  </si>
  <si>
    <t>紘子</t>
  </si>
  <si>
    <t>ひろこ</t>
  </si>
  <si>
    <t>hiroko.sakaguchi</t>
  </si>
  <si>
    <t>hiroko.sakaguchi@tbam.co.jp</t>
  </si>
  <si>
    <t>株式会社TOKYOBAYアリーナマネジメント/株式会社TOKYOBAYアリーナマネジメント/施設管理本部/施設管理部</t>
  </si>
  <si>
    <t>XP558010000
XP539010000
XP559010000</t>
  </si>
  <si>
    <t>白坂守a</t>
  </si>
  <si>
    <t>白坂</t>
  </si>
  <si>
    <t>守a</t>
  </si>
  <si>
    <t>しらさか</t>
  </si>
  <si>
    <t>まもる</t>
  </si>
  <si>
    <t>mamoru.shirasaka.a.ts</t>
  </si>
  <si>
    <t>mamoru.shirasaka.a.ts@mixi.co.jp</t>
  </si>
  <si>
    <t>新松尚子</t>
  </si>
  <si>
    <t>新松</t>
  </si>
  <si>
    <t>尚子</t>
  </si>
  <si>
    <t>しんまつ</t>
  </si>
  <si>
    <t>shoko.shimmatsu</t>
  </si>
  <si>
    <t>shoko.shimmatsu@mixi.co.jp</t>
  </si>
  <si>
    <t>高橋燦太</t>
  </si>
  <si>
    <t>燦太</t>
  </si>
  <si>
    <t>さんた</t>
  </si>
  <si>
    <t>santa.takahashi.ts</t>
  </si>
  <si>
    <t>santa.takahashi.ts@m-picon.com</t>
  </si>
  <si>
    <t>高見俊也</t>
  </si>
  <si>
    <t>俊也</t>
  </si>
  <si>
    <t>toshiya.takami</t>
  </si>
  <si>
    <t>toshiya.takami@netdreamers.co.jp</t>
  </si>
  <si>
    <t>戸門克浩</t>
  </si>
  <si>
    <t>戸門</t>
  </si>
  <si>
    <t>克浩</t>
  </si>
  <si>
    <t>とかど</t>
  </si>
  <si>
    <t>katsuhiro.tokado</t>
  </si>
  <si>
    <t>katsuhiro.tokado@m-chariloto.com</t>
  </si>
  <si>
    <t>德本可奈子</t>
  </si>
  <si>
    <t>德本</t>
  </si>
  <si>
    <t>とくもと</t>
  </si>
  <si>
    <t>kanako.tokumoto</t>
  </si>
  <si>
    <t>kanako.tokumoto@m-chariloto.com</t>
  </si>
  <si>
    <t>長井豊</t>
  </si>
  <si>
    <t>yutaka.nagai</t>
  </si>
  <si>
    <t>yutaka.nagai@m-sfidante.com</t>
  </si>
  <si>
    <t>中西紗良</t>
  </si>
  <si>
    <t>中西</t>
  </si>
  <si>
    <t>紗良</t>
  </si>
  <si>
    <t>なかにし</t>
  </si>
  <si>
    <t>さら</t>
  </si>
  <si>
    <t>sara.nakanishi</t>
  </si>
  <si>
    <t>sara.nakanishi@mixi.co.jp</t>
  </si>
  <si>
    <t>林雄一郎</t>
  </si>
  <si>
    <t>雄一郎</t>
  </si>
  <si>
    <t>yuichiro.hayashi.ts</t>
  </si>
  <si>
    <t>yuichiro.hayashi.ts@m-chariloto.com</t>
  </si>
  <si>
    <t>半谷義高</t>
  </si>
  <si>
    <t>半谷</t>
  </si>
  <si>
    <t>義高</t>
  </si>
  <si>
    <t>はんや</t>
  </si>
  <si>
    <t>yoshitaka.hanya.ts</t>
  </si>
  <si>
    <t>yoshitaka.hanya.ts@netdreamers.co.jp</t>
  </si>
  <si>
    <t>松川翔太</t>
  </si>
  <si>
    <t>shota.matsukawa</t>
  </si>
  <si>
    <t>shota.matsukawa@m-chariloto.com</t>
  </si>
  <si>
    <t>矢田涼一</t>
  </si>
  <si>
    <t>矢田</t>
  </si>
  <si>
    <t>涼一</t>
  </si>
  <si>
    <t>やた</t>
  </si>
  <si>
    <t>ryoichi.yata</t>
  </si>
  <si>
    <t>ryoichi.yata@mixi.co.jp</t>
  </si>
  <si>
    <t>株式会社MIXI/島村管掌/経営推進本部/経営企画部/経営戦略グループ</t>
  </si>
  <si>
    <t>AW085030000
AX078010700
AX078070300</t>
  </si>
  <si>
    <t>彌永力樹</t>
  </si>
  <si>
    <t>彌永</t>
  </si>
  <si>
    <t>力樹</t>
  </si>
  <si>
    <t>やなが</t>
  </si>
  <si>
    <t>りき</t>
  </si>
  <si>
    <t>riki.yanaga.ts</t>
  </si>
  <si>
    <t>riki.yanaga.ts@m-picon.com</t>
  </si>
  <si>
    <t>山田隼人</t>
  </si>
  <si>
    <t>hayato.yamada</t>
  </si>
  <si>
    <t>hayato.yamada@mixi.co.jp</t>
  </si>
  <si>
    <t>浅井涼太</t>
  </si>
  <si>
    <t>浅井</t>
  </si>
  <si>
    <t>あさい</t>
  </si>
  <si>
    <t>ryota.asai</t>
  </si>
  <si>
    <t>ryota.asai@m-lovegraph.com</t>
  </si>
  <si>
    <t>石上翔慈</t>
  </si>
  <si>
    <t>翔慈</t>
  </si>
  <si>
    <t>shoji.ishigami.ts</t>
  </si>
  <si>
    <t>shoji.ishigami.ts@mixi.co.jp</t>
  </si>
  <si>
    <t>石原英康a</t>
  </si>
  <si>
    <t>英康a</t>
  </si>
  <si>
    <t>ひでやす</t>
  </si>
  <si>
    <t>hideyasu.ishihara.a.ts</t>
  </si>
  <si>
    <t>hideyasu.ishihara.a.ts@mixi.co.jp</t>
  </si>
  <si>
    <t>井上俊a</t>
  </si>
  <si>
    <t>俊a</t>
  </si>
  <si>
    <t>shun.inoue.a.ts</t>
  </si>
  <si>
    <t>shun.inoue.a.ts@netdreamers.co.jp</t>
  </si>
  <si>
    <t>北平匠</t>
  </si>
  <si>
    <t>北平</t>
  </si>
  <si>
    <t>きたひら</t>
  </si>
  <si>
    <t>takumi.kitahira</t>
  </si>
  <si>
    <t>takumi.kitahira@mixi.co.jp</t>
  </si>
  <si>
    <t>西山瞭</t>
  </si>
  <si>
    <t>西山</t>
  </si>
  <si>
    <t>にしやま</t>
  </si>
  <si>
    <t>ryo.nishiyama.ts</t>
  </si>
  <si>
    <t>ryo.nishiyama.ts@mixi.co.jp</t>
  </si>
  <si>
    <t>春山直輝a</t>
  </si>
  <si>
    <t>春山</t>
  </si>
  <si>
    <t>直輝a</t>
  </si>
  <si>
    <t>はるやま</t>
  </si>
  <si>
    <t>naoki.haruyama.a.ts</t>
  </si>
  <si>
    <t>naoki.haruyama.a.ts@mixi.co.jp</t>
  </si>
  <si>
    <t>日熊夕渚</t>
  </si>
  <si>
    <t>日熊</t>
  </si>
  <si>
    <t>夕渚</t>
  </si>
  <si>
    <t>ひぐま</t>
  </si>
  <si>
    <t>yuna.higuma.ts</t>
  </si>
  <si>
    <t>yuna.higuma.ts@mixi.co.jp</t>
  </si>
  <si>
    <t>溝口彩女</t>
  </si>
  <si>
    <t>溝口</t>
  </si>
  <si>
    <t>彩女</t>
  </si>
  <si>
    <t>みぞぐち</t>
  </si>
  <si>
    <t>あやめ</t>
  </si>
  <si>
    <t>ayame.mizoguchi</t>
  </si>
  <si>
    <t>ayame.mizoguchi@mixi.co.jp</t>
  </si>
  <si>
    <t>山本千夏</t>
  </si>
  <si>
    <t>千夏</t>
  </si>
  <si>
    <t>ちなつ</t>
  </si>
  <si>
    <t>chinatsu.yamamoto.ts</t>
  </si>
  <si>
    <t>chinatsu.yamamoto.ts@mixi.co.jp</t>
  </si>
  <si>
    <t>淺原澄子</t>
  </si>
  <si>
    <t>淺原</t>
  </si>
  <si>
    <t>澄子</t>
  </si>
  <si>
    <t>あさはら</t>
  </si>
  <si>
    <t>sumiko.asahara</t>
  </si>
  <si>
    <t>sumiko.asahara@m-chariloto.com</t>
  </si>
  <si>
    <t>石黒優輝</t>
  </si>
  <si>
    <t>石黒</t>
  </si>
  <si>
    <t>いしぐろ</t>
  </si>
  <si>
    <t>yuki.ishiguro</t>
  </si>
  <si>
    <t>yuki.ishiguro@netdreamers.co.jp</t>
  </si>
  <si>
    <t>榎本康夫</t>
  </si>
  <si>
    <t>yasuo.enomoto.ts</t>
  </si>
  <si>
    <t>yasuo.enomoto.ts@mixi.co.jp</t>
  </si>
  <si>
    <t>柏山典子</t>
  </si>
  <si>
    <t>柏山</t>
  </si>
  <si>
    <t>かしやま</t>
  </si>
  <si>
    <t>noriko.kashiyama.ts</t>
  </si>
  <si>
    <t>noriko.kashiyama.ts@mixi.co.jp</t>
  </si>
  <si>
    <t>金守哲史</t>
  </si>
  <si>
    <t>金守</t>
  </si>
  <si>
    <t>かなもり</t>
  </si>
  <si>
    <t>satoshi.kanamori</t>
  </si>
  <si>
    <t>satoshi.kanamori@mixi.co.jp</t>
  </si>
  <si>
    <t>金子悠</t>
  </si>
  <si>
    <t>haruka.kaneko</t>
  </si>
  <si>
    <t>haruka.kaneko@mixi.co.jp</t>
  </si>
  <si>
    <t>AO082020500
AO082020300
AO082020400
AO082020100
AO082020200
AO082020000
AO082020701</t>
  </si>
  <si>
    <t>岸上亮</t>
  </si>
  <si>
    <t>岸上</t>
  </si>
  <si>
    <t>きしがみ</t>
  </si>
  <si>
    <t>ryo.kishigami</t>
  </si>
  <si>
    <t>ryo.kishigami@mixi.co.jp</t>
  </si>
  <si>
    <t>木下清明</t>
  </si>
  <si>
    <t>清明</t>
  </si>
  <si>
    <t>きよあき</t>
  </si>
  <si>
    <t>kiyoaki.kinoshita.ts</t>
  </si>
  <si>
    <t>kiyoaki.kinoshita.ts@mixi.co.jp</t>
  </si>
  <si>
    <t>相良康介</t>
  </si>
  <si>
    <t>相良</t>
  </si>
  <si>
    <t>康介</t>
  </si>
  <si>
    <t>さがら</t>
  </si>
  <si>
    <t>kosuke.sagara.ts</t>
  </si>
  <si>
    <t>kosuke.sagara.ts@mixi.co.jp</t>
  </si>
  <si>
    <t>櫻井直也</t>
  </si>
  <si>
    <t>naoya.sakurai.ts</t>
  </si>
  <si>
    <t>naoya.sakurai.ts@mixi.co.jp</t>
  </si>
  <si>
    <t>佐藤洋一</t>
  </si>
  <si>
    <t>yoichi.sato.ts</t>
  </si>
  <si>
    <t>yoichi.sato.ts@mixi.co.jp</t>
  </si>
  <si>
    <t>篠原宏康</t>
  </si>
  <si>
    <t>宏康</t>
  </si>
  <si>
    <t>ひろやす</t>
  </si>
  <si>
    <t>hiroyasu.shinohara.ts</t>
  </si>
  <si>
    <t>hiroyasu.shinohara.ts@mixi.co.jp</t>
  </si>
  <si>
    <t>ZhangXiaoshuo</t>
  </si>
  <si>
    <t>Zhang</t>
  </si>
  <si>
    <t>Xiaoshuo</t>
  </si>
  <si>
    <t>じゃん</t>
  </si>
  <si>
    <t>しゃおしゅお</t>
  </si>
  <si>
    <t>xiaoshuo.zhang</t>
  </si>
  <si>
    <t>xiaoshuo.zhang@mixi.co.jp</t>
  </si>
  <si>
    <t>菅原直也</t>
  </si>
  <si>
    <t>naoya.sugawara</t>
  </si>
  <si>
    <t>naoya.sugawara@mixi.co.jp</t>
  </si>
  <si>
    <t>周藤光太郎</t>
  </si>
  <si>
    <t>周藤</t>
  </si>
  <si>
    <t>光太郎</t>
  </si>
  <si>
    <t>kotaro.suto</t>
  </si>
  <si>
    <t>kotaro.suto@mixi.co.jp</t>
  </si>
  <si>
    <t>祖川慎治</t>
  </si>
  <si>
    <t>祖川</t>
  </si>
  <si>
    <t>慎治</t>
  </si>
  <si>
    <t>そがわ</t>
  </si>
  <si>
    <t>shinji.sogawa.ts</t>
  </si>
  <si>
    <t>shinji.sogawa.ts@mixi.co.jp</t>
  </si>
  <si>
    <t>寺田歩未</t>
  </si>
  <si>
    <t>歩未</t>
  </si>
  <si>
    <t>ayumi.terada.ts</t>
  </si>
  <si>
    <t>ayumi.terada.ts@mixi.co.jp</t>
  </si>
  <si>
    <t>西浜誠</t>
  </si>
  <si>
    <t>西浜</t>
  </si>
  <si>
    <t>にしはま</t>
  </si>
  <si>
    <t>makoto.nishihama</t>
  </si>
  <si>
    <t>makoto.nishihama@m-chariloto.com</t>
  </si>
  <si>
    <t>細谷光a</t>
  </si>
  <si>
    <t>細谷</t>
  </si>
  <si>
    <t>ほそや</t>
  </si>
  <si>
    <t>hikaru.hosoya.a.ts</t>
  </si>
  <si>
    <t>hikaru.hosoya.a.ts@mixi.co.jp</t>
  </si>
  <si>
    <t>村原亮介</t>
  </si>
  <si>
    <t>村原</t>
  </si>
  <si>
    <t>むらはら</t>
  </si>
  <si>
    <t>ryosuke.murahara</t>
  </si>
  <si>
    <t>ryosuke.murahara@mixi.co.jp</t>
  </si>
  <si>
    <t>安河内拓也</t>
  </si>
  <si>
    <t>安河内</t>
  </si>
  <si>
    <t>やすこうち</t>
  </si>
  <si>
    <t>takuya.yasukochi</t>
  </si>
  <si>
    <t>takuya.yasukochi@mixi.co.jp</t>
  </si>
  <si>
    <t>山本仁a</t>
  </si>
  <si>
    <t>仁a</t>
  </si>
  <si>
    <t>hitoshi.yamamoto.a.ts</t>
  </si>
  <si>
    <t>hitoshi.yamamoto.a.ts@mixi.co.jp</t>
  </si>
  <si>
    <t>阿部花実</t>
  </si>
  <si>
    <t>花実</t>
  </si>
  <si>
    <t>hanami.abe.ts</t>
  </si>
  <si>
    <t>hanami.abe.ts@m-lovegraph.com</t>
  </si>
  <si>
    <t>佐藤正昭</t>
  </si>
  <si>
    <t>masaaki.sato.ts</t>
  </si>
  <si>
    <t>masaaki.sato.ts@mixi.co.jp</t>
  </si>
  <si>
    <t>澤出凌</t>
  </si>
  <si>
    <t>澤出</t>
  </si>
  <si>
    <t>さわで</t>
  </si>
  <si>
    <t>ryo.sawade</t>
  </si>
  <si>
    <t>ryo.sawade@mixi.co.jp</t>
  </si>
  <si>
    <t>茂野裕仁</t>
  </si>
  <si>
    <t>茂野</t>
  </si>
  <si>
    <t>裕仁</t>
  </si>
  <si>
    <t>しげの</t>
  </si>
  <si>
    <t>ひろひと</t>
  </si>
  <si>
    <t>hirohito.shigeno.ts</t>
  </si>
  <si>
    <t>hirohito.shigeno.ts@mixi.co.jp</t>
  </si>
  <si>
    <t>白石貴大</t>
  </si>
  <si>
    <t>貴大</t>
  </si>
  <si>
    <t>takao.shiraishi.ts</t>
  </si>
  <si>
    <t>takao.shiraishi.ts@mixi.co.jp</t>
  </si>
  <si>
    <t>AQ087030201</t>
  </si>
  <si>
    <t>杉田直弥</t>
  </si>
  <si>
    <t>直弥</t>
  </si>
  <si>
    <t>naoya.sugita</t>
  </si>
  <si>
    <t>naoya.sugita@mixi.co.jp</t>
  </si>
  <si>
    <t>近澤佳織</t>
  </si>
  <si>
    <t>近澤</t>
  </si>
  <si>
    <t>ちかざわ</t>
  </si>
  <si>
    <t>kaori.chikazawa</t>
  </si>
  <si>
    <t>kaori.chikazawa@mixi.co.jp</t>
  </si>
  <si>
    <t>AQ087040600</t>
  </si>
  <si>
    <t>浜砂伸治</t>
  </si>
  <si>
    <t>浜砂</t>
  </si>
  <si>
    <t>伸治</t>
  </si>
  <si>
    <t>はますな</t>
  </si>
  <si>
    <t>shinji.hamasuna.ts</t>
  </si>
  <si>
    <t>shinji.hamasuna.ts@mixi.co.jp</t>
  </si>
  <si>
    <t>平林知永子</t>
  </si>
  <si>
    <t>知永子</t>
  </si>
  <si>
    <t>ちえこ</t>
  </si>
  <si>
    <t>chieko.hirabayashi.ts</t>
  </si>
  <si>
    <t>chieko.hirabayashi.ts@mixi.co.jp</t>
  </si>
  <si>
    <t>宮島泰視a</t>
  </si>
  <si>
    <t>宮島</t>
  </si>
  <si>
    <t>泰視a</t>
  </si>
  <si>
    <t>みやじま</t>
  </si>
  <si>
    <t>yasushi.miyajima.a.ts</t>
  </si>
  <si>
    <t>yasushi.miyajima.a.ts@mixi.co.jp</t>
  </si>
  <si>
    <t>渡辺彩斗</t>
  </si>
  <si>
    <t>彩斗</t>
  </si>
  <si>
    <t>あやと</t>
  </si>
  <si>
    <t>ayato.watanabe.ts</t>
  </si>
  <si>
    <t>ayato.watanabe.ts@mixi.co.jp</t>
  </si>
  <si>
    <t>荒木奈緒美a</t>
  </si>
  <si>
    <t>奈緒美a</t>
  </si>
  <si>
    <t>naomi.araki.a.ts</t>
  </si>
  <si>
    <t>naomi.araki.a.ts@mixi.co.jp</t>
  </si>
  <si>
    <t>AO083010700</t>
  </si>
  <si>
    <t>稲熊祐里佳</t>
  </si>
  <si>
    <t>稲熊</t>
  </si>
  <si>
    <t>祐里佳</t>
  </si>
  <si>
    <t>いなぐま</t>
  </si>
  <si>
    <t>yurika.inaguma</t>
  </si>
  <si>
    <t>yurika.inaguma@mixi.co.jp</t>
  </si>
  <si>
    <t>弥冨奈那子</t>
  </si>
  <si>
    <t>弥冨</t>
  </si>
  <si>
    <t>奈那子</t>
  </si>
  <si>
    <t>いやどみ</t>
  </si>
  <si>
    <t>nanako.iyadomi</t>
  </si>
  <si>
    <t>nanako.iyadomi@mixi.co.jp</t>
  </si>
  <si>
    <t>上田真喜子a</t>
  </si>
  <si>
    <t>真喜子a</t>
  </si>
  <si>
    <t>makiko.ueda.a.ts</t>
  </si>
  <si>
    <t>makiko.ueda.a.ts@netdreamers.co.jp</t>
  </si>
  <si>
    <t>大塩世奈a</t>
  </si>
  <si>
    <t>大塩</t>
  </si>
  <si>
    <t>世奈a</t>
  </si>
  <si>
    <t>おおしお</t>
  </si>
  <si>
    <t>sena.ohshio.a</t>
  </si>
  <si>
    <t>sena.ohshio.a@mixi.co.jp</t>
  </si>
  <si>
    <t>大場大史</t>
  </si>
  <si>
    <t>大場</t>
  </si>
  <si>
    <t>おおば</t>
  </si>
  <si>
    <t>taishi.oba</t>
  </si>
  <si>
    <t>taishi.oba@mixi.co.jp</t>
  </si>
  <si>
    <t>AW085030000
AW085020000</t>
  </si>
  <si>
    <t>切通伸人b</t>
  </si>
  <si>
    <t>切通</t>
  </si>
  <si>
    <t>伸人b</t>
  </si>
  <si>
    <t>きりとおし</t>
  </si>
  <si>
    <t>のぶひと</t>
  </si>
  <si>
    <t>nobuhito.kiritoshi.b.ts</t>
  </si>
  <si>
    <t>nobuhito.kiritoshi.b.ts@m-chariloto.com</t>
  </si>
  <si>
    <t>小松﨑絵里</t>
  </si>
  <si>
    <t>小松﨑</t>
  </si>
  <si>
    <t>絵里</t>
  </si>
  <si>
    <t>こまつざき</t>
  </si>
  <si>
    <t>eri.komatsuzaki</t>
  </si>
  <si>
    <t>eri.komatsuzaki@mixi.co.jp</t>
  </si>
  <si>
    <t>小峰由貴</t>
  </si>
  <si>
    <t>由貴</t>
  </si>
  <si>
    <t>yuki.komine</t>
  </si>
  <si>
    <t>yuki.komine@mixi.co.jp</t>
  </si>
  <si>
    <t>小柳夏希b</t>
  </si>
  <si>
    <t>夏希b</t>
  </si>
  <si>
    <t>natsuki.koyanagi.b</t>
  </si>
  <si>
    <t>natsuki.koyanagi.b@mixi.co.jp</t>
  </si>
  <si>
    <t>受入出向</t>
  </si>
  <si>
    <t>AW085020200</t>
  </si>
  <si>
    <t>ContinsouzasThomas</t>
  </si>
  <si>
    <t>Continsouzas</t>
  </si>
  <si>
    <t>Thomas</t>
  </si>
  <si>
    <t>こんたんすざす</t>
  </si>
  <si>
    <t>とま</t>
  </si>
  <si>
    <t>thomas.continsouzas</t>
  </si>
  <si>
    <t>thomas.continsouzas@mixi.co.jp</t>
  </si>
  <si>
    <t>坂口修一</t>
  </si>
  <si>
    <t>修一</t>
  </si>
  <si>
    <t>しゅういち</t>
  </si>
  <si>
    <t>shuichi.sakaguchi.ts</t>
  </si>
  <si>
    <t>shuichi.sakaguchi.ts@mixi.co.jp</t>
  </si>
  <si>
    <t>高橋英志</t>
  </si>
  <si>
    <t>英志</t>
  </si>
  <si>
    <t>ひでし</t>
  </si>
  <si>
    <t>hideshi.takahashi</t>
  </si>
  <si>
    <t>hideshi.takahashi@mixi.co.jp</t>
  </si>
  <si>
    <t>種村尚大</t>
  </si>
  <si>
    <t>種村</t>
  </si>
  <si>
    <t>尚大</t>
  </si>
  <si>
    <t>たねむら</t>
  </si>
  <si>
    <t>shota.tanemura</t>
  </si>
  <si>
    <t>shota.tanemura@mixi.co.jp</t>
  </si>
  <si>
    <t>鄭亦倫</t>
  </si>
  <si>
    <t>亦倫</t>
  </si>
  <si>
    <t>ちぇん</t>
  </si>
  <si>
    <t>いーるん</t>
  </si>
  <si>
    <t>yilun.cheng</t>
  </si>
  <si>
    <t>yilun.cheng@mixi.co.jp</t>
  </si>
  <si>
    <t>辻畑孝信</t>
  </si>
  <si>
    <t>辻畑</t>
  </si>
  <si>
    <t>孝信</t>
  </si>
  <si>
    <t>つじはた</t>
  </si>
  <si>
    <t>たかのぶ</t>
  </si>
  <si>
    <t>takanobu.tsujihata.ts</t>
  </si>
  <si>
    <t>takanobu.tsujihata.ts@mixi.co.jp</t>
  </si>
  <si>
    <t>戸澤悠花</t>
  </si>
  <si>
    <t>戸澤</t>
  </si>
  <si>
    <t>とざわ</t>
  </si>
  <si>
    <t>yuka.tozawa</t>
  </si>
  <si>
    <t>yuka.tozawa@netdreamers.co.jp</t>
  </si>
  <si>
    <t>冨田祐貴</t>
  </si>
  <si>
    <t>yuki.tomita</t>
  </si>
  <si>
    <t>yuki.tomita@m-sfidante.com</t>
  </si>
  <si>
    <t>中嶋裕紀a</t>
  </si>
  <si>
    <t>裕紀a</t>
  </si>
  <si>
    <t>yuki.nakajima.a.ts</t>
  </si>
  <si>
    <t>yuki.nakajima.a.ts@mixi.co.jp</t>
  </si>
  <si>
    <t>林﨑康明</t>
  </si>
  <si>
    <t>林﨑</t>
  </si>
  <si>
    <t>康明</t>
  </si>
  <si>
    <t>はやしざき</t>
  </si>
  <si>
    <t>やすあき</t>
  </si>
  <si>
    <t>yasuaki.hayashizaki.ts</t>
  </si>
  <si>
    <t>yasuaki.hayashizaki.ts@mixi.co.jp</t>
  </si>
  <si>
    <t>原子智気</t>
  </si>
  <si>
    <t>原子</t>
  </si>
  <si>
    <t>智気</t>
  </si>
  <si>
    <t>はらこ</t>
  </si>
  <si>
    <t>tomoki.harako.ts</t>
  </si>
  <si>
    <t>tomoki.harako.ts@mixi.co.jp</t>
  </si>
  <si>
    <t>萬羽俊太朗</t>
  </si>
  <si>
    <t>萬羽</t>
  </si>
  <si>
    <t>俊太朗</t>
  </si>
  <si>
    <t>まんば</t>
  </si>
  <si>
    <t>しゅんたろう</t>
  </si>
  <si>
    <t>shuntaro.mamba.ts</t>
  </si>
  <si>
    <t>shuntaro.mamba.ts@mixi.co.jp</t>
  </si>
  <si>
    <t>山崎帆稀</t>
  </si>
  <si>
    <t>帆稀</t>
  </si>
  <si>
    <t>homare.yamazaki.ts</t>
  </si>
  <si>
    <t>吉川綾一郎</t>
  </si>
  <si>
    <t>綾一郎</t>
  </si>
  <si>
    <t>りょういちろう</t>
  </si>
  <si>
    <t>ryoichiro.yoshikawa</t>
  </si>
  <si>
    <t>ryoichiro.yoshikawa@mixi.co.jp</t>
  </si>
  <si>
    <t>AW085020901</t>
  </si>
  <si>
    <t>若林清太郎a</t>
  </si>
  <si>
    <t>清太郎a</t>
  </si>
  <si>
    <t>せいたろう</t>
  </si>
  <si>
    <t>seitaro.wakabayashi.a</t>
  </si>
  <si>
    <t>seitaro.wakabayashi.a@mixi.co.jp</t>
  </si>
  <si>
    <t>飯尾拓也b</t>
  </si>
  <si>
    <t>拓也b</t>
  </si>
  <si>
    <t>takuya.iio.b.ts</t>
  </si>
  <si>
    <t>takuya.iio.b.ts@mixi.co.jp</t>
  </si>
  <si>
    <t>浦山秀斗</t>
  </si>
  <si>
    <t>浦山</t>
  </si>
  <si>
    <t>秀斗</t>
  </si>
  <si>
    <t>うらやま</t>
  </si>
  <si>
    <t>しゅうと</t>
  </si>
  <si>
    <t>shuto.urayama</t>
  </si>
  <si>
    <t>shuto.urayama@m-lovegraph.com</t>
  </si>
  <si>
    <t>岸昭太朗b</t>
  </si>
  <si>
    <t>昭太朗b</t>
  </si>
  <si>
    <t>shotaro.kishi.b.ts</t>
  </si>
  <si>
    <t>shotaro.kishi.b.ts@netdreamers.co.jp</t>
  </si>
  <si>
    <t>坂之上晋</t>
  </si>
  <si>
    <t>坂之上</t>
  </si>
  <si>
    <t>さかのうえ</t>
  </si>
  <si>
    <t>shin.sakanoue.ts</t>
  </si>
  <si>
    <t>shin.sakanoue.ts@mixi.co.jp</t>
  </si>
  <si>
    <t>澤原拓匡</t>
  </si>
  <si>
    <t>澤原</t>
  </si>
  <si>
    <t>拓匡</t>
  </si>
  <si>
    <t>さわはら</t>
  </si>
  <si>
    <t>たくまさ</t>
  </si>
  <si>
    <t>takumasa.sawahara</t>
  </si>
  <si>
    <t>takumasa.sawahara@mixi.co.jp</t>
  </si>
  <si>
    <t>谷知拓</t>
  </si>
  <si>
    <t>知拓</t>
  </si>
  <si>
    <t>tomohiro.tani</t>
  </si>
  <si>
    <t>tomohiro.tani@mixi.co.jp</t>
  </si>
  <si>
    <t>株式会社MIXI/島村管掌/人事本部/人材開発部付</t>
  </si>
  <si>
    <t>AX089050000
AQ061071805</t>
  </si>
  <si>
    <t>長瀬れいな</t>
  </si>
  <si>
    <t>長瀬</t>
  </si>
  <si>
    <t>reina.nagase</t>
  </si>
  <si>
    <t>reina.nagase@mixi.co.jp</t>
  </si>
  <si>
    <t>西山将吾a</t>
  </si>
  <si>
    <t>shogo.nishiyama.a.ts</t>
  </si>
  <si>
    <t>shogo.nishiyama.a.ts@mixi.co.jp</t>
  </si>
  <si>
    <t>菱川崇</t>
  </si>
  <si>
    <t>菱川</t>
  </si>
  <si>
    <t>ひしかわ</t>
  </si>
  <si>
    <t>takashi.hishikawa.ts</t>
  </si>
  <si>
    <t>takashi.hishikawa.ts@mixi.co.jp</t>
  </si>
  <si>
    <t>舩本茜</t>
  </si>
  <si>
    <t>舩本</t>
  </si>
  <si>
    <t>ふなもと</t>
  </si>
  <si>
    <t>akane.funamoto</t>
  </si>
  <si>
    <t>akane.funamoto@mixi.co.jp</t>
  </si>
  <si>
    <t>山口徹</t>
  </si>
  <si>
    <t>toru.yamaguchi</t>
  </si>
  <si>
    <t>toru.yamaguchi@m-chariloto.com</t>
  </si>
  <si>
    <t>池田泰康</t>
  </si>
  <si>
    <t>泰康</t>
  </si>
  <si>
    <t>hiroyasu.ikeda.ts</t>
  </si>
  <si>
    <t>hiroyasu.ikeda.ts@mixi.co.jp</t>
  </si>
  <si>
    <t>井圡彪力a</t>
  </si>
  <si>
    <t>井圡</t>
  </si>
  <si>
    <t>彪力a</t>
  </si>
  <si>
    <t>いど</t>
  </si>
  <si>
    <t>takeru.ido.a.ts</t>
  </si>
  <si>
    <t>takeru.ido.a.ts@m-chariloto.com</t>
  </si>
  <si>
    <t>伊東泰成</t>
  </si>
  <si>
    <t>泰成</t>
  </si>
  <si>
    <t>たいせい</t>
  </si>
  <si>
    <t>taisei.ito</t>
  </si>
  <si>
    <t>taisei.ito@m-chariloto.com</t>
  </si>
  <si>
    <t>大福まい</t>
  </si>
  <si>
    <t>大福</t>
  </si>
  <si>
    <t>おおふく</t>
  </si>
  <si>
    <t>mai.ofuku.ts</t>
  </si>
  <si>
    <t>mai.ofuku.ts@mixi.co.jp</t>
  </si>
  <si>
    <t>岡本悠太b</t>
  </si>
  <si>
    <t>悠太b</t>
  </si>
  <si>
    <t>yuta.okamoto.b.ts</t>
  </si>
  <si>
    <t>yuta.okamoto.b.ts@mixi.co.jp</t>
  </si>
  <si>
    <t>上島あや菜</t>
  </si>
  <si>
    <t>上島</t>
  </si>
  <si>
    <t>あや菜</t>
  </si>
  <si>
    <t>かみじま</t>
  </si>
  <si>
    <t>ayana.kamijima</t>
  </si>
  <si>
    <t>ayana.kamijima@mixi.co.jp</t>
  </si>
  <si>
    <t>久保祐里江</t>
  </si>
  <si>
    <t>祐里江</t>
  </si>
  <si>
    <t>yurie.kubo</t>
  </si>
  <si>
    <t>yurie.kubo@mixi.co.jp</t>
  </si>
  <si>
    <t>齊藤絵美</t>
  </si>
  <si>
    <t>emi.saito</t>
  </si>
  <si>
    <t>emi.saito@mixi.co.jp</t>
  </si>
  <si>
    <t>坂口碧</t>
  </si>
  <si>
    <t>midori.sakaguchi</t>
  </si>
  <si>
    <t>midori.sakaguchi@netdreamers.co.jp</t>
  </si>
  <si>
    <t>島田祐輝</t>
  </si>
  <si>
    <t>島田</t>
  </si>
  <si>
    <t>yuki.shimada</t>
  </si>
  <si>
    <t>yuki.shimada@mixi.co.jp</t>
  </si>
  <si>
    <t>嶋田瑠美子</t>
  </si>
  <si>
    <t>瑠美子</t>
  </si>
  <si>
    <t>るみこ</t>
  </si>
  <si>
    <t>rumiko.shimada</t>
  </si>
  <si>
    <t>rumiko.shimada@mixi.co.jp</t>
  </si>
  <si>
    <t>AO083010700
AR059080405</t>
  </si>
  <si>
    <t>髙田瑛仁</t>
  </si>
  <si>
    <t>瑛仁</t>
  </si>
  <si>
    <t>akito.takada</t>
  </si>
  <si>
    <t>akito.takada@mixi.co.jp</t>
  </si>
  <si>
    <t>田口沙月</t>
  </si>
  <si>
    <t>沙月</t>
  </si>
  <si>
    <t>さつき</t>
  </si>
  <si>
    <t>satsuki.taguchi</t>
  </si>
  <si>
    <t>satsuki.taguchi@mixi.co.jp</t>
  </si>
  <si>
    <t>原田大輔</t>
  </si>
  <si>
    <t>daisuke.harada.ts</t>
  </si>
  <si>
    <t>daisuke.harada.ts@m-chariloto.com</t>
  </si>
  <si>
    <t>前田剛b</t>
  </si>
  <si>
    <t>剛b</t>
  </si>
  <si>
    <t>tsuyoshi.maeda.b.ts</t>
  </si>
  <si>
    <t>tsuyoshi.maeda.b.ts@mixi.co.jp</t>
  </si>
  <si>
    <t>AO090030100</t>
  </si>
  <si>
    <t>水船翔太</t>
  </si>
  <si>
    <t>shota.mizufune</t>
  </si>
  <si>
    <t>shota.mizufune@m-chariloto.com</t>
  </si>
  <si>
    <t>宮本翔太b</t>
  </si>
  <si>
    <t>翔太b</t>
  </si>
  <si>
    <t>shota.miyamoto.b.ts</t>
  </si>
  <si>
    <t>shota.miyamoto.b.ts@m-chariloto.com</t>
  </si>
  <si>
    <t>本岡知尋</t>
  </si>
  <si>
    <t>本岡</t>
  </si>
  <si>
    <t>知尋</t>
  </si>
  <si>
    <t>もとおか</t>
  </si>
  <si>
    <t>chihiro.motoka</t>
  </si>
  <si>
    <t>chihiro.motoka@mixi.co.jp</t>
  </si>
  <si>
    <t>吉澤直樹</t>
  </si>
  <si>
    <t>吉澤</t>
  </si>
  <si>
    <t>よしざわ</t>
  </si>
  <si>
    <t>naoki.yoshizawa</t>
  </si>
  <si>
    <t>naoki.yoshizawa@mixi.co.jp</t>
  </si>
  <si>
    <t>井合貞美</t>
  </si>
  <si>
    <t>井合</t>
  </si>
  <si>
    <t>貞美</t>
  </si>
  <si>
    <t>いあい</t>
  </si>
  <si>
    <t>さだみ</t>
  </si>
  <si>
    <t>sadami.iai</t>
  </si>
  <si>
    <t>sadami.iai@netdreamers.co.jp</t>
  </si>
  <si>
    <t>石井圭太</t>
  </si>
  <si>
    <t>圭太</t>
  </si>
  <si>
    <t>keita.ishii.ts</t>
  </si>
  <si>
    <t>keita.ishii.ts@netdreamers.co.jp</t>
  </si>
  <si>
    <t>小脇亮太</t>
  </si>
  <si>
    <t>小脇</t>
  </si>
  <si>
    <t>亮太</t>
  </si>
  <si>
    <t>こわき</t>
  </si>
  <si>
    <t>ryota.kowaki.ts</t>
  </si>
  <si>
    <t>ryota.kowaki.ts@mixi.co.jp</t>
  </si>
  <si>
    <t>新屋文崇a</t>
  </si>
  <si>
    <t>新屋</t>
  </si>
  <si>
    <t>文崇a</t>
  </si>
  <si>
    <t>yoshitaka.shinya.a.ts</t>
  </si>
  <si>
    <t>yoshitaka.shinya.a.ts@mixi.co.jp</t>
  </si>
  <si>
    <t>根本紘利</t>
  </si>
  <si>
    <t>根本</t>
  </si>
  <si>
    <t>紘利</t>
  </si>
  <si>
    <t>ねもと</t>
  </si>
  <si>
    <t>ひろとし</t>
  </si>
  <si>
    <t>hirotoshi.nemoto.ts</t>
  </si>
  <si>
    <t>hirotoshi.nemoto.ts@mixi.co.jp</t>
  </si>
  <si>
    <t>AX089070000</t>
  </si>
  <si>
    <t>別府祐太</t>
  </si>
  <si>
    <t>別府</t>
  </si>
  <si>
    <t>べっぷ</t>
  </si>
  <si>
    <t>yuta.beppu</t>
  </si>
  <si>
    <t>yuta.beppu@netdreamers.co.jp</t>
  </si>
  <si>
    <t>松本航</t>
  </si>
  <si>
    <t>wataru.matsumoto</t>
  </si>
  <si>
    <t>wataru.matsumoto@netdreamers.co.jp</t>
  </si>
  <si>
    <t>三浦瑠奈</t>
  </si>
  <si>
    <t>瑠奈</t>
  </si>
  <si>
    <t>るな</t>
  </si>
  <si>
    <t>runa.miura</t>
  </si>
  <si>
    <t>runa.miura@mixi.co.jp</t>
  </si>
  <si>
    <t>和田遼太郎</t>
  </si>
  <si>
    <t>遼太郎</t>
  </si>
  <si>
    <t>ryotaro.wada</t>
  </si>
  <si>
    <t>ryotaro.wada@mixi.co.jp</t>
  </si>
  <si>
    <t>井坂優介a</t>
  </si>
  <si>
    <t>井坂</t>
  </si>
  <si>
    <t>優介a</t>
  </si>
  <si>
    <t>いさか</t>
  </si>
  <si>
    <t>yusuke.isaka.a</t>
  </si>
  <si>
    <t>yusuke.isaka.a@mixi.co.jp</t>
  </si>
  <si>
    <t>石上英賢a</t>
  </si>
  <si>
    <t>英賢a</t>
  </si>
  <si>
    <t>hidenori.ishigami.a</t>
  </si>
  <si>
    <t>hidenori.ishigami.a@mixi.co.jp</t>
  </si>
  <si>
    <t>AW076090000
AX078070300</t>
  </si>
  <si>
    <t>大石幸長a</t>
  </si>
  <si>
    <t>大石</t>
  </si>
  <si>
    <t>幸長a</t>
  </si>
  <si>
    <t>おおいし</t>
  </si>
  <si>
    <t>yukinaga.oishi.a</t>
  </si>
  <si>
    <t>yukinaga.oishi.a@mixi.co.jp</t>
  </si>
  <si>
    <t>AQ087020000
AX089050000</t>
  </si>
  <si>
    <t>大山温子</t>
  </si>
  <si>
    <t>atsuko.oyama</t>
  </si>
  <si>
    <t>atsuko.oyama@mixi.co.jp</t>
  </si>
  <si>
    <t>AX089010100
AX089060300
AX089060100
AX089060200
AX089040100
AX089040200
AX089040300</t>
  </si>
  <si>
    <t>0
0
0
0
1
0
0</t>
  </si>
  <si>
    <t>小野光</t>
  </si>
  <si>
    <t>hikaru.ono.ts</t>
  </si>
  <si>
    <t>hikaru.ono.ts@mixi.co.jp</t>
  </si>
  <si>
    <t>合田祥世</t>
  </si>
  <si>
    <t>合田</t>
  </si>
  <si>
    <t>祥世</t>
  </si>
  <si>
    <t>ごうだ</t>
  </si>
  <si>
    <t>sachiyo.goda</t>
  </si>
  <si>
    <t>sachiyo.goda@mixi.co.jp</t>
  </si>
  <si>
    <t>佐藤聖璃</t>
  </si>
  <si>
    <t>聖璃</t>
  </si>
  <si>
    <t>ひじり</t>
  </si>
  <si>
    <t>hijiri.sato</t>
  </si>
  <si>
    <t>hijiri.sato@m-lovegraph.com</t>
  </si>
  <si>
    <t>髙橋祐輝d</t>
  </si>
  <si>
    <t>祐輝d</t>
  </si>
  <si>
    <t>yuki.takahashi.d</t>
  </si>
  <si>
    <t>yuki.takahashi.d@mixi.co.jp</t>
  </si>
  <si>
    <t>武重和徳</t>
  </si>
  <si>
    <t>武重</t>
  </si>
  <si>
    <t>和徳</t>
  </si>
  <si>
    <t>たけしげ</t>
  </si>
  <si>
    <t>kazunori.takeshige.ts</t>
  </si>
  <si>
    <t>kazunori.takeshige.ts@mixi.co.jp</t>
  </si>
  <si>
    <t>谷口友梨</t>
  </si>
  <si>
    <t>友梨</t>
  </si>
  <si>
    <t>yuri.taniguchi</t>
  </si>
  <si>
    <t>yuri.taniguchi@m-sfidante.com</t>
  </si>
  <si>
    <t>角村吉基</t>
  </si>
  <si>
    <t>角村</t>
  </si>
  <si>
    <t>吉基</t>
  </si>
  <si>
    <t>つのむら</t>
  </si>
  <si>
    <t>yoshiki.tsunomura</t>
  </si>
  <si>
    <t>yoshiki.tsunomura@mixi.co.jp</t>
  </si>
  <si>
    <t>西山茅波</t>
  </si>
  <si>
    <t>茅波</t>
  </si>
  <si>
    <t>ちなみ</t>
  </si>
  <si>
    <t>chinami.nishiyama.ts</t>
  </si>
  <si>
    <t>野島香苗</t>
  </si>
  <si>
    <t>野島</t>
  </si>
  <si>
    <t>のじま</t>
  </si>
  <si>
    <t>kanae.nojima</t>
  </si>
  <si>
    <t>kanae.nojima@mixi.co.jp</t>
  </si>
  <si>
    <t>賀天憶</t>
  </si>
  <si>
    <t>賀</t>
  </si>
  <si>
    <t>天憶</t>
  </si>
  <si>
    <t>は</t>
  </si>
  <si>
    <t>てんい</t>
  </si>
  <si>
    <t>tianyi.he</t>
  </si>
  <si>
    <t>tianyi.he@mixi.co.jp</t>
  </si>
  <si>
    <t>萩原順平</t>
  </si>
  <si>
    <t>順平</t>
  </si>
  <si>
    <t>jumpei.hagiwara.ts</t>
  </si>
  <si>
    <t>jumpei.hagiwara.ts@mixi.co.jp</t>
  </si>
  <si>
    <t>藤沼香菜子</t>
  </si>
  <si>
    <t>藤沼</t>
  </si>
  <si>
    <t>香菜子</t>
  </si>
  <si>
    <t>ふじぬま</t>
  </si>
  <si>
    <t>kanako.fujinuma</t>
  </si>
  <si>
    <t>kanako.fujinuma@mixi.co.jp</t>
  </si>
  <si>
    <t>AW076021102
AW076021400</t>
  </si>
  <si>
    <t>藤原良平</t>
  </si>
  <si>
    <t>ふじはら</t>
  </si>
  <si>
    <t>ryohei.fujihara.ts</t>
  </si>
  <si>
    <t>ryohei.fujihara.ts@mixi.co.jp</t>
  </si>
  <si>
    <t>古谷諒</t>
  </si>
  <si>
    <t>ryo.furuya</t>
  </si>
  <si>
    <t>ryo.furuya@m-chariloto.com</t>
  </si>
  <si>
    <t>三浦愛</t>
  </si>
  <si>
    <t>ai.miura</t>
  </si>
  <si>
    <t>ai.miura@mixi.co.jp</t>
  </si>
  <si>
    <t>村山ゆい</t>
  </si>
  <si>
    <t>yui.murayama</t>
  </si>
  <si>
    <t>yui.murayama@mixi.co.jp</t>
  </si>
  <si>
    <t>茂木菜々穂b</t>
  </si>
  <si>
    <t>茂木</t>
  </si>
  <si>
    <t>菜々穂b</t>
  </si>
  <si>
    <t>もぎ</t>
  </si>
  <si>
    <t>ななほ</t>
  </si>
  <si>
    <t>nanaho.mogi.b</t>
  </si>
  <si>
    <t>nanaho.mogi.b@m-lovegraph.com</t>
  </si>
  <si>
    <t>森場裕一a</t>
  </si>
  <si>
    <t>森場</t>
  </si>
  <si>
    <t>裕一a</t>
  </si>
  <si>
    <t>もりば</t>
  </si>
  <si>
    <t>yuichi.moriba.a</t>
  </si>
  <si>
    <t>yuichi.moriba.a@mixi.co.jp</t>
  </si>
  <si>
    <t>門田豪司</t>
  </si>
  <si>
    <t>tsuyoshi.monden</t>
  </si>
  <si>
    <t>tsuyoshi.monden@m-chariloto.com</t>
  </si>
  <si>
    <t>幸昂作a</t>
  </si>
  <si>
    <t>幸</t>
  </si>
  <si>
    <t>昂作a</t>
  </si>
  <si>
    <t>こうさく</t>
  </si>
  <si>
    <t>kosaku.yuki.a</t>
  </si>
  <si>
    <t>kosaku.yuki.a@m-lovegraph.com</t>
  </si>
  <si>
    <t>渡辺進一郎</t>
  </si>
  <si>
    <t>進一郎</t>
  </si>
  <si>
    <t>shinichiro.watanabe.ts</t>
  </si>
  <si>
    <t>shinichiro.watanabe.ts@mixi.co.jp</t>
  </si>
  <si>
    <t>渡辺萌</t>
  </si>
  <si>
    <t>moe.watanabe</t>
  </si>
  <si>
    <t>moe.watanabe@netdreamers.co.jp</t>
  </si>
  <si>
    <t>赤間晶帆</t>
  </si>
  <si>
    <t>赤間</t>
  </si>
  <si>
    <t>晶帆</t>
  </si>
  <si>
    <t>あかま</t>
  </si>
  <si>
    <t>あきほ</t>
  </si>
  <si>
    <t>akiho.akama.ts</t>
  </si>
  <si>
    <t>akiho.akama.ts@mixi.co.jp</t>
  </si>
  <si>
    <t>伊藤智佳子a</t>
  </si>
  <si>
    <t>智佳子a</t>
  </si>
  <si>
    <t>ちかこ</t>
  </si>
  <si>
    <t>chikako.ito.a.ts</t>
  </si>
  <si>
    <t>chikako.ito.a.ts@mixi.co.jp</t>
  </si>
  <si>
    <t>井上貴宏</t>
  </si>
  <si>
    <t>takahiro.inoue.ts</t>
  </si>
  <si>
    <t>梅本翔太</t>
  </si>
  <si>
    <t>梅本</t>
  </si>
  <si>
    <t>うめもと</t>
  </si>
  <si>
    <t>shota.umemoto.ts</t>
  </si>
  <si>
    <t>shota.umemoto.ts@mixi.co.jp</t>
  </si>
  <si>
    <t>栗山裕加</t>
  </si>
  <si>
    <t>裕加</t>
  </si>
  <si>
    <t>yuka.kuriyama.ts</t>
  </si>
  <si>
    <t>yuka.kuriyama.ts@mixi.co.jp</t>
  </si>
  <si>
    <t>小坂準記</t>
  </si>
  <si>
    <t>小坂</t>
  </si>
  <si>
    <t>準記</t>
  </si>
  <si>
    <t>こさか</t>
  </si>
  <si>
    <t>じゅんき</t>
  </si>
  <si>
    <t>junki.kosaka.ts</t>
  </si>
  <si>
    <t>権瓶昇栄a</t>
  </si>
  <si>
    <t>権瓶</t>
  </si>
  <si>
    <t>昇栄a</t>
  </si>
  <si>
    <t>ごんぺい</t>
  </si>
  <si>
    <t>しょうえい</t>
  </si>
  <si>
    <t>shoei.gompei.a.ts</t>
  </si>
  <si>
    <t>shoei.gompei.a.ts@mixi.co.jp</t>
  </si>
  <si>
    <t>鈴木遥a</t>
  </si>
  <si>
    <t>遥a</t>
  </si>
  <si>
    <t>haruka.suzuki.a.ts</t>
  </si>
  <si>
    <t>haruka.suzuki.a.ts@mixi.co.jp</t>
  </si>
  <si>
    <t>滝川航生</t>
  </si>
  <si>
    <t>滝川</t>
  </si>
  <si>
    <t>航生</t>
  </si>
  <si>
    <t>たきかわ</t>
  </si>
  <si>
    <t>koki.takikawa.ts</t>
  </si>
  <si>
    <t>koki.takikawa.ts@mixi.co.jp</t>
  </si>
  <si>
    <t>半田晃平</t>
  </si>
  <si>
    <t>半田</t>
  </si>
  <si>
    <t>はんだ</t>
  </si>
  <si>
    <t>kohei.handa</t>
  </si>
  <si>
    <t>kohei.handa@netdreamers.co.jp</t>
  </si>
  <si>
    <t>萬成亮太</t>
  </si>
  <si>
    <t>萬成</t>
  </si>
  <si>
    <t>まんなり</t>
  </si>
  <si>
    <t>ryota.mannari.ts</t>
  </si>
  <si>
    <t>ryota.mannari.ts@mixi.co.jp</t>
  </si>
  <si>
    <t>守田陵祐</t>
  </si>
  <si>
    <t>守田</t>
  </si>
  <si>
    <t>陵祐</t>
  </si>
  <si>
    <t>ryosuke.morita.ts</t>
  </si>
  <si>
    <t>ryosuke.morita.ts@mixi.co.jp</t>
  </si>
  <si>
    <t>阿部麻里子</t>
  </si>
  <si>
    <t>麻里子</t>
  </si>
  <si>
    <t>mariko.abe.ts</t>
  </si>
  <si>
    <t>mariko.abe.ts@mixi.co.jp</t>
  </si>
  <si>
    <t>石井訓象a</t>
  </si>
  <si>
    <t>訓象a</t>
  </si>
  <si>
    <t>くにまさ</t>
  </si>
  <si>
    <t>kunimasa.ishii.a</t>
  </si>
  <si>
    <t>kunimasa.ishii.a@mixi.co.jp</t>
  </si>
  <si>
    <t>大熊久生</t>
  </si>
  <si>
    <t>大熊</t>
  </si>
  <si>
    <t>久生</t>
  </si>
  <si>
    <t>おおくま</t>
  </si>
  <si>
    <t>ひさき</t>
  </si>
  <si>
    <t>hisaki.okuma.ts</t>
  </si>
  <si>
    <t>hisaki.okuma.ts@mixi.co.jp</t>
  </si>
  <si>
    <t>大園英隆</t>
  </si>
  <si>
    <t>大園</t>
  </si>
  <si>
    <t>英隆</t>
  </si>
  <si>
    <t>おおぞの</t>
  </si>
  <si>
    <t>hidetaka.ozono.ts</t>
  </si>
  <si>
    <t>hidetaka.ozono.ts@mixi.co.jp</t>
  </si>
  <si>
    <t>大林直樹</t>
  </si>
  <si>
    <t>大林</t>
  </si>
  <si>
    <t>おおばやし</t>
  </si>
  <si>
    <t>naoki.obayashi</t>
  </si>
  <si>
    <t>naoki.obayashi@mixi.co.jp</t>
  </si>
  <si>
    <t>越知夏子</t>
  </si>
  <si>
    <t>越知</t>
  </si>
  <si>
    <t>夏子</t>
  </si>
  <si>
    <t>natsuko.ochi</t>
  </si>
  <si>
    <t>natsuko.ochi@mixi.co.jp</t>
  </si>
  <si>
    <t>株式会社MIXI/島村管掌/人事本部/労務部/ウェルネス推進グループ/健康経営チーム</t>
  </si>
  <si>
    <t>AX089080401</t>
  </si>
  <si>
    <t>小野沙和</t>
  </si>
  <si>
    <t>沙和</t>
  </si>
  <si>
    <t>sawa.ono</t>
  </si>
  <si>
    <t>sawa.ono@mixi.co.jp</t>
  </si>
  <si>
    <t>笠掛貴彦</t>
  </si>
  <si>
    <t>笠掛</t>
  </si>
  <si>
    <t>かさかけ</t>
  </si>
  <si>
    <t>takahiko.kasakake.ts</t>
  </si>
  <si>
    <t>takahiko.kasakake.ts@mixi.co.jp</t>
  </si>
  <si>
    <t>鎌田昇</t>
  </si>
  <si>
    <t>昇</t>
  </si>
  <si>
    <t>のぼる</t>
  </si>
  <si>
    <t>noboru.kamata</t>
  </si>
  <si>
    <t>noboru.kamata@m-chariloto.com</t>
  </si>
  <si>
    <t>小崎将史a</t>
  </si>
  <si>
    <t>小崎</t>
  </si>
  <si>
    <t>将史a</t>
  </si>
  <si>
    <t>こざき</t>
  </si>
  <si>
    <t>masashi.kozaki.a</t>
  </si>
  <si>
    <t>masashi.kozaki.a@mixi.co.jp</t>
  </si>
  <si>
    <t>佐藤友紀b</t>
  </si>
  <si>
    <t>友紀b</t>
  </si>
  <si>
    <t>yuki.sato.b</t>
  </si>
  <si>
    <t>yuki.sato.b@m-chariloto.com</t>
  </si>
  <si>
    <t>関口胡桃</t>
  </si>
  <si>
    <t>kurumi.sekiguchi</t>
  </si>
  <si>
    <t>kurumi.sekiguchi@mixi.co.jp</t>
  </si>
  <si>
    <t>高野慧</t>
  </si>
  <si>
    <t>kei.takano</t>
  </si>
  <si>
    <t>kei.takano@m-chariloto.com</t>
  </si>
  <si>
    <t>高橋太郎</t>
  </si>
  <si>
    <t>taro.takahashi.ts</t>
  </si>
  <si>
    <t>taro.takahashi.ts@mixi.co.jp</t>
  </si>
  <si>
    <t>田辺真奈美</t>
  </si>
  <si>
    <t>田辺</t>
  </si>
  <si>
    <t>manami.tanabe</t>
  </si>
  <si>
    <t>manami.tanabe@m-chariloto.com</t>
  </si>
  <si>
    <t>ドゥアンダラタニオ</t>
  </si>
  <si>
    <t>ドゥアンダラ</t>
  </si>
  <si>
    <t>タニオ</t>
  </si>
  <si>
    <t>thanyo.douangdara</t>
  </si>
  <si>
    <t>thanyo.douangdara@mixi.co.jp</t>
  </si>
  <si>
    <t>徳永尚弥</t>
  </si>
  <si>
    <t>尚弥</t>
  </si>
  <si>
    <t>naoya.tokunaga</t>
  </si>
  <si>
    <t>naoya.tokunaga@mixi.co.jp</t>
  </si>
  <si>
    <t>長澤由依</t>
  </si>
  <si>
    <t>長澤</t>
  </si>
  <si>
    <t>由依</t>
  </si>
  <si>
    <t>ながさわ</t>
  </si>
  <si>
    <t>yui.nagasawa</t>
  </si>
  <si>
    <t>yui.nagasawa@mixi.co.jp</t>
  </si>
  <si>
    <t>夏山佳子</t>
  </si>
  <si>
    <t>夏山</t>
  </si>
  <si>
    <t>佳子</t>
  </si>
  <si>
    <t>なつやま</t>
  </si>
  <si>
    <t>よしこ</t>
  </si>
  <si>
    <t>yoshiko.natsuyama</t>
  </si>
  <si>
    <t>yoshiko.natsuyama@mixi.co.jp</t>
  </si>
  <si>
    <t>AX089080200
AX089080000</t>
  </si>
  <si>
    <t>畑邉大希</t>
  </si>
  <si>
    <t>畑邉</t>
  </si>
  <si>
    <t>大希</t>
  </si>
  <si>
    <t>はたべ</t>
  </si>
  <si>
    <t>hiroki.hatabe</t>
  </si>
  <si>
    <t>hiroki.hatabe@mixi.co.jp</t>
  </si>
  <si>
    <t>宮嵜将司a</t>
  </si>
  <si>
    <t>宮嵜</t>
  </si>
  <si>
    <t>将司a</t>
  </si>
  <si>
    <t>masashi.miyazaki.a</t>
  </si>
  <si>
    <t>masashi.miyazaki.a@mixi.co.jp</t>
  </si>
  <si>
    <t>川島拓海a</t>
  </si>
  <si>
    <t>takumi.kawashima.a.ts</t>
  </si>
  <si>
    <t>北沢吏甫子a</t>
  </si>
  <si>
    <t>北沢</t>
  </si>
  <si>
    <t>吏甫子a</t>
  </si>
  <si>
    <t>きたざわ</t>
  </si>
  <si>
    <t>りほこ</t>
  </si>
  <si>
    <t>rihoko.kitazawa.a.ts</t>
  </si>
  <si>
    <t>rihoko.kitazawa.a.ts@m-lovegraph.com</t>
  </si>
  <si>
    <t>佐藤賢</t>
  </si>
  <si>
    <t>賢</t>
  </si>
  <si>
    <t>ken.sato</t>
  </si>
  <si>
    <t>ken.sato@mixi.co.jp</t>
  </si>
  <si>
    <t>佐藤憲佳</t>
  </si>
  <si>
    <t>憲佳</t>
  </si>
  <si>
    <t>のりよし</t>
  </si>
  <si>
    <t>noriyoshi.sato</t>
  </si>
  <si>
    <t>noriyoshi.sato@mixi.co.jp</t>
  </si>
  <si>
    <t>関根明良</t>
  </si>
  <si>
    <t>明良</t>
  </si>
  <si>
    <t>akira.sekine.ts</t>
  </si>
  <si>
    <t>akira.sekine.ts@mixi.co.jp</t>
  </si>
  <si>
    <t>友部博教</t>
  </si>
  <si>
    <t>友部</t>
  </si>
  <si>
    <t>博教</t>
  </si>
  <si>
    <t>ともべ</t>
  </si>
  <si>
    <t>hironori.tomobe.ts</t>
  </si>
  <si>
    <t>hironori.tomobe.ts@mixi.co.jp</t>
  </si>
  <si>
    <t>AX089060000</t>
  </si>
  <si>
    <t>根本英明b</t>
  </si>
  <si>
    <t>英明b</t>
  </si>
  <si>
    <t>hideaki.nemoto.b.ts</t>
  </si>
  <si>
    <t>hideaki.nemoto.b.ts@m-chariloto.com</t>
  </si>
  <si>
    <t>八重樫快己</t>
  </si>
  <si>
    <t>八重樫</t>
  </si>
  <si>
    <t>快己</t>
  </si>
  <si>
    <t>やえがし</t>
  </si>
  <si>
    <t>yoshiki.yaegashi</t>
  </si>
  <si>
    <t>yoshiki.yaegashi@m-chariloto.com</t>
  </si>
  <si>
    <t>山田剛志</t>
  </si>
  <si>
    <t>takeshi.yamada.ts</t>
  </si>
  <si>
    <t>takeshi.yamada.ts@mixi.co.jp</t>
  </si>
  <si>
    <t>吉田匡利</t>
  </si>
  <si>
    <t>匡利</t>
  </si>
  <si>
    <t>masatoshi.yoshida</t>
  </si>
  <si>
    <t>masatoshi.yoshida@m-chariloto.com</t>
  </si>
  <si>
    <t>會田拓也</t>
  </si>
  <si>
    <t>會田</t>
  </si>
  <si>
    <t>あいだ</t>
  </si>
  <si>
    <t>takuya.aida.ts</t>
  </si>
  <si>
    <t>takuya.aida.ts@netdreamers.co.jp</t>
  </si>
  <si>
    <t>去来川晃a</t>
  </si>
  <si>
    <t>去来川</t>
  </si>
  <si>
    <t>晃a</t>
  </si>
  <si>
    <t>いさがわ</t>
  </si>
  <si>
    <t>akira.isagawa.a</t>
  </si>
  <si>
    <t>akira.isagawa.a@mixi.co.jp</t>
  </si>
  <si>
    <t>株式会社MIXI/木村管掌/デジタルエンターテインメントパブリッシング本部/グローバルモンスト室/マーケティンググループ</t>
  </si>
  <si>
    <t>AO083010800
AO083010802</t>
  </si>
  <si>
    <t>石毛克尚</t>
  </si>
  <si>
    <t>石毛</t>
  </si>
  <si>
    <t>克尚</t>
  </si>
  <si>
    <t>いしげ</t>
  </si>
  <si>
    <t>かつひさ</t>
  </si>
  <si>
    <t>katsuhisa.ishige.ts</t>
  </si>
  <si>
    <t>katsuhisa.ishige.ts@mixi.co.jp</t>
  </si>
  <si>
    <t>今木世実</t>
  </si>
  <si>
    <t>今木</t>
  </si>
  <si>
    <t>世実</t>
  </si>
  <si>
    <t>いまき</t>
  </si>
  <si>
    <t>つぐみ</t>
  </si>
  <si>
    <t>tsugumi.imaki.ts</t>
  </si>
  <si>
    <t>tsugumi.imaki.ts@mixi.co.jp</t>
  </si>
  <si>
    <t>内山創</t>
  </si>
  <si>
    <t>内山</t>
  </si>
  <si>
    <t>創</t>
  </si>
  <si>
    <t>うちやま</t>
  </si>
  <si>
    <t>so.uchiyama</t>
  </si>
  <si>
    <t>so.uchiyama@m-chariloto.com</t>
  </si>
  <si>
    <t>遠藤悠矢</t>
  </si>
  <si>
    <t>悠矢</t>
  </si>
  <si>
    <t>yuya.endo.ts</t>
  </si>
  <si>
    <t>金山由佳</t>
  </si>
  <si>
    <t>金山</t>
  </si>
  <si>
    <t>かねやま</t>
  </si>
  <si>
    <t>yuka.kaneyama</t>
  </si>
  <si>
    <t>yuka.kaneyama@netdreamers.co.jp</t>
  </si>
  <si>
    <t>菅野亜紀</t>
  </si>
  <si>
    <t>亜紀</t>
  </si>
  <si>
    <t>aki.kanno</t>
  </si>
  <si>
    <t>aki.kanno@netdreamers.co.jp</t>
  </si>
  <si>
    <t>XM523010500
XM519000000</t>
  </si>
  <si>
    <t>菊地篤</t>
  </si>
  <si>
    <t>atsushi.kikuchi.ts</t>
  </si>
  <si>
    <t>atsushi.kikuchi.ts@mixi.co.jp</t>
  </si>
  <si>
    <t>木田敦士c</t>
  </si>
  <si>
    <t>敦士c</t>
  </si>
  <si>
    <t>atsushi.kida.c.ts</t>
  </si>
  <si>
    <t>atsushi.kida.c.ts@mixi.co.jp</t>
  </si>
  <si>
    <t>栗原瑞樹</t>
  </si>
  <si>
    <t>くりばら</t>
  </si>
  <si>
    <t>mizuki.kuribara</t>
  </si>
  <si>
    <t>mizuki.kuribara@mixi.co.jp</t>
  </si>
  <si>
    <t>郡山晟太郎</t>
  </si>
  <si>
    <t>郡山</t>
  </si>
  <si>
    <t>晟太郎</t>
  </si>
  <si>
    <t>こおりやま</t>
  </si>
  <si>
    <t>seitaro.koriyama.ts</t>
  </si>
  <si>
    <t>seitaro.koriyama.ts@mixi.co.jp</t>
  </si>
  <si>
    <t>古林瑠璃子a</t>
  </si>
  <si>
    <t>古林</t>
  </si>
  <si>
    <t>瑠璃子a</t>
  </si>
  <si>
    <t>るりこ</t>
  </si>
  <si>
    <t>ruriko.kobayashi.a.ts</t>
  </si>
  <si>
    <t>ruriko.kobayashi.a.ts@netdreamers.co.jp</t>
  </si>
  <si>
    <t>XM550040000</t>
  </si>
  <si>
    <t>佐々木洸亮</t>
  </si>
  <si>
    <t>洸亮</t>
  </si>
  <si>
    <t>kosuke.sasaki.ts</t>
  </si>
  <si>
    <t>kosuke.sasaki.ts@mixi.co.jp</t>
  </si>
  <si>
    <t>清水隆光</t>
  </si>
  <si>
    <t>隆光</t>
  </si>
  <si>
    <t>たかみつ</t>
  </si>
  <si>
    <t>takamitsu.shimizu</t>
  </si>
  <si>
    <t>takamitsu.shimizu@mixi.co.jp</t>
  </si>
  <si>
    <t>白井聡明</t>
  </si>
  <si>
    <t>聡明</t>
  </si>
  <si>
    <t>としあき</t>
  </si>
  <si>
    <t>toshiaki.shirai</t>
  </si>
  <si>
    <t>toshiaki.shirai@mixi.co.jp</t>
  </si>
  <si>
    <t>ZZ092010200</t>
  </si>
  <si>
    <t>白石陸</t>
  </si>
  <si>
    <t>riku.shiraishi.ts</t>
  </si>
  <si>
    <t>riku.shiraishi.ts@mixi.co.jp</t>
  </si>
  <si>
    <t>AO083010000</t>
  </si>
  <si>
    <t>竹内穂香</t>
  </si>
  <si>
    <t>穂香</t>
  </si>
  <si>
    <t>honoka.takeuchi</t>
  </si>
  <si>
    <t>honoka.takeuchi@netdreamers.co.jp</t>
  </si>
  <si>
    <t>竹内美知佳</t>
  </si>
  <si>
    <t>美知佳</t>
  </si>
  <si>
    <t>みちか</t>
  </si>
  <si>
    <t>michika.takeuchi</t>
  </si>
  <si>
    <t>michika.takeuchi@m-chariloto.com</t>
  </si>
  <si>
    <t>出井祐衣奈</t>
  </si>
  <si>
    <t>出井</t>
  </si>
  <si>
    <t>祐衣奈</t>
  </si>
  <si>
    <t>でい</t>
  </si>
  <si>
    <t>ゆいな</t>
  </si>
  <si>
    <t>yuina.dei.ts</t>
  </si>
  <si>
    <t>戸井田杏</t>
  </si>
  <si>
    <t>戸井田</t>
  </si>
  <si>
    <t>杏</t>
  </si>
  <si>
    <t>といだ</t>
  </si>
  <si>
    <t>あんず</t>
  </si>
  <si>
    <t>anzu.toida</t>
  </si>
  <si>
    <t>anzu.toida@mixi.co.jp</t>
  </si>
  <si>
    <t>十時隆櫻</t>
  </si>
  <si>
    <t>十時</t>
  </si>
  <si>
    <t>隆櫻</t>
  </si>
  <si>
    <t>ととき</t>
  </si>
  <si>
    <t>りゅうおう</t>
  </si>
  <si>
    <t>ryuo.totoki</t>
  </si>
  <si>
    <t>ryuo.totoki@m-chariloto.com</t>
  </si>
  <si>
    <t>鳥海佑介</t>
  </si>
  <si>
    <t>鳥海</t>
  </si>
  <si>
    <t>とりうみ</t>
  </si>
  <si>
    <t>yusuke.toriumi</t>
  </si>
  <si>
    <t>yusuke.toriumi@mixi.co.jp</t>
  </si>
  <si>
    <t>中村眞央</t>
  </si>
  <si>
    <t>眞央</t>
  </si>
  <si>
    <t>mao.nakamura</t>
  </si>
  <si>
    <t>mao.nakamura@netdreamers.co.jp</t>
  </si>
  <si>
    <t>西垣静</t>
  </si>
  <si>
    <t>西垣</t>
  </si>
  <si>
    <t>にしがき</t>
  </si>
  <si>
    <t>shizuka.nishigaki.ts</t>
  </si>
  <si>
    <t>shizuka.nishigaki.ts@mixi.co.jp</t>
  </si>
  <si>
    <t>長谷部航太</t>
  </si>
  <si>
    <t>長谷部</t>
  </si>
  <si>
    <t>航太</t>
  </si>
  <si>
    <t>はせべ</t>
  </si>
  <si>
    <t>kota.hasebe</t>
  </si>
  <si>
    <t>kota.hasebe@mixi.co.jp</t>
  </si>
  <si>
    <t>AX089010100
AX089060100
AX089040300</t>
  </si>
  <si>
    <t>藤澤千尋</t>
  </si>
  <si>
    <t>chihiro.fujisawa</t>
  </si>
  <si>
    <t>chihiro.fujisawa@mixi.co.jp</t>
  </si>
  <si>
    <t>松下航大</t>
  </si>
  <si>
    <t>松下</t>
  </si>
  <si>
    <t>航大</t>
  </si>
  <si>
    <t>まつした</t>
  </si>
  <si>
    <t>kota.matsushita.ts</t>
  </si>
  <si>
    <t>kota.matsushita.ts@mixi.co.jp</t>
  </si>
  <si>
    <t>松本朋夏</t>
  </si>
  <si>
    <t>朋夏</t>
  </si>
  <si>
    <t>ともか</t>
  </si>
  <si>
    <t>tomoka.matsumoto</t>
  </si>
  <si>
    <t>tomoka.matsumoto@netdreamers.co.jp</t>
  </si>
  <si>
    <t>緑川靖子a</t>
  </si>
  <si>
    <t>緑川</t>
  </si>
  <si>
    <t>靖子a</t>
  </si>
  <si>
    <t>みどりかわ</t>
  </si>
  <si>
    <t>やすこ</t>
  </si>
  <si>
    <t>yasuko.midorikawa.a.ts</t>
  </si>
  <si>
    <t>yasuko.midorikawa.a.ts@mixi.co.jp</t>
  </si>
  <si>
    <t>宮江晟悟</t>
  </si>
  <si>
    <t>宮江</t>
  </si>
  <si>
    <t>晟悟</t>
  </si>
  <si>
    <t>みやえ</t>
  </si>
  <si>
    <t>seigo.miyae</t>
  </si>
  <si>
    <t>seigo.miyae@mixi.co.jp</t>
  </si>
  <si>
    <t>森千晶</t>
  </si>
  <si>
    <t>千晶</t>
  </si>
  <si>
    <t>chiaki.mori.ts</t>
  </si>
  <si>
    <t>chiaki.mori.ts@mixi.co.jp</t>
  </si>
  <si>
    <t>山口遥名</t>
  </si>
  <si>
    <t>遥名</t>
  </si>
  <si>
    <t>haruna.yamaguchi</t>
  </si>
  <si>
    <t>haruna.yamaguchi@m-chariloto.com</t>
  </si>
  <si>
    <t>山田勝也</t>
  </si>
  <si>
    <t>勝也</t>
  </si>
  <si>
    <t>katsuya.yamada.ts</t>
  </si>
  <si>
    <t>katsuya.yamada.ts@m-sfidante.com</t>
  </si>
  <si>
    <t>山根航</t>
  </si>
  <si>
    <t>wataru.yamane.ts</t>
  </si>
  <si>
    <t>wataru.yamane.ts@mixi.co.jp</t>
  </si>
  <si>
    <t>大西あおば</t>
  </si>
  <si>
    <t>あおば</t>
  </si>
  <si>
    <t>aoba.onishi</t>
  </si>
  <si>
    <t>aoba.onishi@netdreamers.co.jp</t>
  </si>
  <si>
    <t>片山章則</t>
  </si>
  <si>
    <t>章則</t>
  </si>
  <si>
    <t>あきのり</t>
  </si>
  <si>
    <t>akinori.katayama</t>
  </si>
  <si>
    <t>akinori.katayama@m-chariloto.com</t>
  </si>
  <si>
    <t>栗原一浩</t>
  </si>
  <si>
    <t>一浩</t>
  </si>
  <si>
    <t>kazuhiro.kurihara</t>
  </si>
  <si>
    <t>kazuhiro.kurihara@mixi.co.jp</t>
  </si>
  <si>
    <t>武富宣利</t>
  </si>
  <si>
    <t>武富</t>
  </si>
  <si>
    <t>宣利</t>
  </si>
  <si>
    <t>たけとみ</t>
  </si>
  <si>
    <t>のぶとし</t>
  </si>
  <si>
    <t>nobutoshi.taketomi</t>
  </si>
  <si>
    <t>nobutoshi.taketomi@mixi.co.jp</t>
  </si>
  <si>
    <t>冨永由伊</t>
  </si>
  <si>
    <t>冨永</t>
  </si>
  <si>
    <t>由伊</t>
  </si>
  <si>
    <t>とみなが</t>
  </si>
  <si>
    <t>yui.tominaga</t>
  </si>
  <si>
    <t>yui.tominaga@mixi.co.jp</t>
  </si>
  <si>
    <t>中西文恵</t>
  </si>
  <si>
    <t>文恵</t>
  </si>
  <si>
    <t>ふみえ</t>
  </si>
  <si>
    <t>fumie.nakanishi.ts</t>
  </si>
  <si>
    <t>fumie.nakanishi.ts@m-lovegraph.com</t>
  </si>
  <si>
    <t>中村薫</t>
  </si>
  <si>
    <t>kaoru.nakamura</t>
  </si>
  <si>
    <t>kaoru.nakamura@m-chariloto.com</t>
  </si>
  <si>
    <t>中村真実a</t>
  </si>
  <si>
    <t>真実a</t>
  </si>
  <si>
    <t>mami.nakamura.a</t>
  </si>
  <si>
    <t>mami.nakamura.a@mixi.co.jp</t>
  </si>
  <si>
    <t>株式会社MIXI/木村管掌/デジタルエンターテインメントオペレーションズ本部/モンスト運営部/UI・UXデザイングループ/グラフィック第2チーム</t>
  </si>
  <si>
    <t>AO082010606</t>
  </si>
  <si>
    <t>古川友里恵</t>
  </si>
  <si>
    <t>yurie.furukawa</t>
  </si>
  <si>
    <t>yurie.furukawa@mixi.co.jp</t>
  </si>
  <si>
    <t>古野麻美a</t>
  </si>
  <si>
    <t>古野</t>
  </si>
  <si>
    <t>ふるの</t>
  </si>
  <si>
    <t>asami.furuno.a</t>
  </si>
  <si>
    <t>asami.furuno.a@mixi.co.jp</t>
  </si>
  <si>
    <t>天野朱音01</t>
  </si>
  <si>
    <t>天野</t>
  </si>
  <si>
    <t>朱音01</t>
  </si>
  <si>
    <t>あまの</t>
  </si>
  <si>
    <t>akane.amano.01.ts</t>
  </si>
  <si>
    <t>akane.amano.01.ts@mixi.co.jp</t>
  </si>
  <si>
    <t>石井正人</t>
  </si>
  <si>
    <t>masato.ishii</t>
  </si>
  <si>
    <t>masato.ishii@mixi.co.jp</t>
  </si>
  <si>
    <t>石川隆寛</t>
  </si>
  <si>
    <t>隆寛</t>
  </si>
  <si>
    <t>takahiro.ishikawa</t>
  </si>
  <si>
    <t>takahiro.ishikawa@mixi-empowerment.co.jp</t>
  </si>
  <si>
    <t>石川久光</t>
  </si>
  <si>
    <t>久光</t>
  </si>
  <si>
    <t>ひさみつ</t>
  </si>
  <si>
    <t>hisamitsu.ishikawa</t>
  </si>
  <si>
    <t>hisamitsu.ishikawa@mixi.co.jp</t>
  </si>
  <si>
    <t>石川陽輝</t>
  </si>
  <si>
    <t>陽輝</t>
  </si>
  <si>
    <t>hiroki.ishikawa</t>
  </si>
  <si>
    <t>hiroki.ishikawa@mixi-empowerment.co.jp</t>
  </si>
  <si>
    <t>石澤龍</t>
  </si>
  <si>
    <t>石澤</t>
  </si>
  <si>
    <t>いしざわ</t>
  </si>
  <si>
    <t>ryo.ishizawa</t>
  </si>
  <si>
    <t>ryo.ishizawa@mixi.co.jp</t>
  </si>
  <si>
    <t>魚住光史</t>
  </si>
  <si>
    <t>魚住</t>
  </si>
  <si>
    <t>光史</t>
  </si>
  <si>
    <t>うおずみ</t>
  </si>
  <si>
    <t>こうし</t>
  </si>
  <si>
    <t>koshi.uozumi</t>
  </si>
  <si>
    <t>koshi.uozumi@mixi.co.jp</t>
  </si>
  <si>
    <t>内田大輔01</t>
  </si>
  <si>
    <t>大輔01</t>
  </si>
  <si>
    <t>daisuke.uchida.01.ts</t>
  </si>
  <si>
    <t>daisuke.uchida.01.ts@m-picon.com</t>
  </si>
  <si>
    <t>内田実花01</t>
  </si>
  <si>
    <t>実花01</t>
  </si>
  <si>
    <t>mika.uchida.01</t>
  </si>
  <si>
    <t>mika.uchida.01@mixi.co.jp</t>
  </si>
  <si>
    <t>AX089080301
AX089080000</t>
  </si>
  <si>
    <t>大楠和範</t>
  </si>
  <si>
    <t>大楠</t>
  </si>
  <si>
    <t>和範</t>
  </si>
  <si>
    <t>おおぐす</t>
  </si>
  <si>
    <t>kazunori.ogusu</t>
  </si>
  <si>
    <t>kazunori.ogusu@tbam.co.jp</t>
  </si>
  <si>
    <t>XP558010000</t>
  </si>
  <si>
    <t>大塚隆輔</t>
  </si>
  <si>
    <t>隆輔</t>
  </si>
  <si>
    <t>ryusuke.otsuka.ts</t>
  </si>
  <si>
    <t>ryusuke.otsuka.ts@mixi.co.jp</t>
  </si>
  <si>
    <t>大平桜子</t>
  </si>
  <si>
    <t>大平</t>
  </si>
  <si>
    <t>桜子</t>
  </si>
  <si>
    <t>おおひら</t>
  </si>
  <si>
    <t>さくらこ</t>
  </si>
  <si>
    <t>sakurako.ohira</t>
  </si>
  <si>
    <t>sakurako.ohira@mixi.co.jp</t>
  </si>
  <si>
    <t>緒形雄二</t>
  </si>
  <si>
    <t>緒形</t>
  </si>
  <si>
    <t>雄二</t>
  </si>
  <si>
    <t>yuji.ogata.ts</t>
  </si>
  <si>
    <t>yuji.ogata.ts@netdreamers.co.jp</t>
  </si>
  <si>
    <t>岡本奈津希</t>
  </si>
  <si>
    <t>奈津希</t>
  </si>
  <si>
    <t>natsuki.okamoto</t>
  </si>
  <si>
    <t>natsuki.okamoto@m-chariloto.com</t>
  </si>
  <si>
    <t>小野寺誠大</t>
  </si>
  <si>
    <t>誠大</t>
  </si>
  <si>
    <t>makoto.onodera</t>
  </si>
  <si>
    <t>makoto.onodera@mixi-empowerment.co.jp</t>
  </si>
  <si>
    <t>梶野晴基</t>
  </si>
  <si>
    <t>梶野</t>
  </si>
  <si>
    <t>晴基</t>
  </si>
  <si>
    <t>かじの</t>
  </si>
  <si>
    <t>haruki.kajino</t>
  </si>
  <si>
    <t>haruki.kajino@mixi.co.jp</t>
  </si>
  <si>
    <t>柏木健</t>
  </si>
  <si>
    <t>柏木</t>
  </si>
  <si>
    <t>かしわぎ</t>
  </si>
  <si>
    <t>takeru.kashiwagi</t>
  </si>
  <si>
    <t>takeru.kashiwagi@mixi.co.jp</t>
  </si>
  <si>
    <t>片野恵梨佳</t>
  </si>
  <si>
    <t>片野</t>
  </si>
  <si>
    <t>恵梨佳</t>
  </si>
  <si>
    <t>かたの</t>
  </si>
  <si>
    <t>erika.katano</t>
  </si>
  <si>
    <t>erika.katano@mixi.co.jp</t>
  </si>
  <si>
    <t>片山朋之</t>
  </si>
  <si>
    <t>朋之</t>
  </si>
  <si>
    <t>tomoyuki.katayama</t>
  </si>
  <si>
    <t>加藤大和</t>
  </si>
  <si>
    <t>大和</t>
  </si>
  <si>
    <t>やまと</t>
  </si>
  <si>
    <t>yamato.kato</t>
  </si>
  <si>
    <t>yamato.kato@mixi.co.jp</t>
  </si>
  <si>
    <t>兼吉完聡01</t>
  </si>
  <si>
    <t>兼吉</t>
  </si>
  <si>
    <t>完聡01</t>
  </si>
  <si>
    <t>かねよし</t>
  </si>
  <si>
    <t>さだあき</t>
  </si>
  <si>
    <t>sadaaki.kaneyoshi.01</t>
  </si>
  <si>
    <t>sadaaki.kaneyoshi.01@mixi.co.jp</t>
  </si>
  <si>
    <t>株式会社MIXI/木村管掌/エンターテインメントクリエイション室(本部格)</t>
  </si>
  <si>
    <t>AO086000000
AO086010000</t>
  </si>
  <si>
    <t>鎌田眞平</t>
  </si>
  <si>
    <t>眞平</t>
  </si>
  <si>
    <t>shimpei.kamata</t>
  </si>
  <si>
    <t>shimpei.kamata@mixi-empowerment.co.jp</t>
  </si>
  <si>
    <t>川口裕太郎01</t>
  </si>
  <si>
    <t>裕太郎01</t>
  </si>
  <si>
    <t>yutaro.kawaguchi.01.ts</t>
  </si>
  <si>
    <t>yutaro.kawaguchi.01.ts@mixi.co.jp</t>
  </si>
  <si>
    <t>川人海遊</t>
  </si>
  <si>
    <t>川人</t>
  </si>
  <si>
    <t>海遊</t>
  </si>
  <si>
    <t>かわと</t>
  </si>
  <si>
    <t>みゆ</t>
  </si>
  <si>
    <t>miyu.kawato</t>
  </si>
  <si>
    <t>miyu.kawato@mixi.co.jp</t>
  </si>
  <si>
    <t>河原伯幸</t>
  </si>
  <si>
    <t>伯幸</t>
  </si>
  <si>
    <t>noriyuki.kawahara</t>
  </si>
  <si>
    <t>noriyuki.kawahara@mixi.co.jp</t>
  </si>
  <si>
    <t>川目麻紀子</t>
  </si>
  <si>
    <t>川目</t>
  </si>
  <si>
    <t>麻紀子</t>
  </si>
  <si>
    <t>かわめ</t>
  </si>
  <si>
    <t>makiko.kawame</t>
  </si>
  <si>
    <t>makiko.kawame@mixi.co.jp</t>
  </si>
  <si>
    <t>AQ061070501
AQ061030103
AQ061030102
AQ061030600
AQ061030700
AQ061030800
AQ061040000
AQ061040303
AQ061050100
AQ061050400
AQ061070000
AQ061071800
AQ061070400
AQ061071600
AQ061071400
AQ061070500
AQ061071900</t>
  </si>
  <si>
    <t>木原生果</t>
  </si>
  <si>
    <t>生果</t>
  </si>
  <si>
    <t>しょうか</t>
  </si>
  <si>
    <t>shoka.kihara</t>
  </si>
  <si>
    <t>shoka.kihara@mixi.co.jp</t>
  </si>
  <si>
    <t>京谷かなめ</t>
  </si>
  <si>
    <t>京谷</t>
  </si>
  <si>
    <t>かなめ</t>
  </si>
  <si>
    <t>きょうや</t>
  </si>
  <si>
    <t>kaname.kyoya</t>
  </si>
  <si>
    <t>kaname.kyoya@mixi.co.jp</t>
  </si>
  <si>
    <t>櫛引淳之介</t>
  </si>
  <si>
    <t>櫛引</t>
  </si>
  <si>
    <t>淳之介</t>
  </si>
  <si>
    <t>くしびき</t>
  </si>
  <si>
    <t>じゅんのすけ</t>
  </si>
  <si>
    <t>junnosuke.kushibiki</t>
  </si>
  <si>
    <t>junnosuke.kushibiki@mixi.co.jp</t>
  </si>
  <si>
    <t>工藤乃輝</t>
  </si>
  <si>
    <t>乃輝</t>
  </si>
  <si>
    <t>ないき</t>
  </si>
  <si>
    <t>naiki.kudo</t>
  </si>
  <si>
    <t>naiki.kudo@mixi.co.jp</t>
  </si>
  <si>
    <t>熊藤直</t>
  </si>
  <si>
    <t>熊藤</t>
  </si>
  <si>
    <t>直</t>
  </si>
  <si>
    <t>くまふじ</t>
  </si>
  <si>
    <t>nao.kumafuji.ts</t>
  </si>
  <si>
    <t>nao.kumafuji.ts@mixi.co.jp</t>
  </si>
  <si>
    <t>黒澤裕介</t>
  </si>
  <si>
    <t>黒澤</t>
  </si>
  <si>
    <t>くろさわ</t>
  </si>
  <si>
    <t>yusuke.kurosawa</t>
  </si>
  <si>
    <t>yusuke.kurosawa@m-chariloto.com</t>
  </si>
  <si>
    <t>小泉真也01</t>
  </si>
  <si>
    <t>真也01</t>
  </si>
  <si>
    <t>shinya.koizumi.01</t>
  </si>
  <si>
    <t>shinya.koizumi.01@netdreamers.co.jp</t>
  </si>
  <si>
    <t>株式会社ネットドリーマーズ/株式会社ネットドリーマーズ/株式会社ネットドリーマーズ(本部格)/ビジネスグロース室</t>
  </si>
  <si>
    <t>XM550000000
XM519030000
XM519000000</t>
  </si>
  <si>
    <t>スタッフ
室長
スタッフ</t>
  </si>
  <si>
    <t>小甲裕司</t>
  </si>
  <si>
    <t>小甲</t>
  </si>
  <si>
    <t>裕司</t>
  </si>
  <si>
    <t>こかぶ</t>
  </si>
  <si>
    <t>yuji.kokabu.ts</t>
  </si>
  <si>
    <t>yuji.kokabu.ts@m-picon.com</t>
  </si>
  <si>
    <t>小林里絵01</t>
  </si>
  <si>
    <t>里絵01</t>
  </si>
  <si>
    <t>rie.kobayashi.01</t>
  </si>
  <si>
    <t>rie.kobayashi.01@mixi.co.jp</t>
  </si>
  <si>
    <t>AX089000000
AX089010100
AX089060300
AX089060100
AX089060200
AX089040100
AX089040200
AX089040300
AX089040600</t>
  </si>
  <si>
    <t>0
0
0
0
0
1
0
0
0</t>
  </si>
  <si>
    <t>斉藤彩加01</t>
  </si>
  <si>
    <t>彩加01</t>
  </si>
  <si>
    <t>ayaka.saito.01</t>
  </si>
  <si>
    <t>ayaka.saito.01@mixi.co.jp</t>
  </si>
  <si>
    <t>アイ・マーキュリーキャピタル株式会社
株式会社MIXI</t>
  </si>
  <si>
    <t>兼務出向受入
契約社員</t>
  </si>
  <si>
    <t>XB509000000
AW085020900
AW085000000
AW085020000
AW085020800
AW085040100
AW085040000
AW085040200</t>
  </si>
  <si>
    <t>0
1
0
0
0
0
0
0</t>
  </si>
  <si>
    <t>斉藤拓</t>
  </si>
  <si>
    <t>taku.saito</t>
  </si>
  <si>
    <t>taku.saito@tbam.co.jp</t>
  </si>
  <si>
    <t>XP539010000
XP558010000
XP559010000</t>
  </si>
  <si>
    <t>坂口威知朗</t>
  </si>
  <si>
    <t>威知朗</t>
  </si>
  <si>
    <t>いちろう</t>
  </si>
  <si>
    <t>ichiro.sakaguchi.ts</t>
  </si>
  <si>
    <t>ichiro.sakaguchi.ts@mixi.co.jp</t>
  </si>
  <si>
    <t>佐藤歩実01</t>
  </si>
  <si>
    <t>歩実01</t>
  </si>
  <si>
    <t>ayumi.sato.01</t>
  </si>
  <si>
    <t>ayumi.sato.01@mixi-empowerment.co.jp</t>
  </si>
  <si>
    <t>佐藤美雪01</t>
  </si>
  <si>
    <t>美雪01</t>
  </si>
  <si>
    <t>miyuki.sato.01</t>
  </si>
  <si>
    <t>miyuki.sato.01@m-chariloto.com</t>
  </si>
  <si>
    <t>左野寛之01</t>
  </si>
  <si>
    <t>左野</t>
  </si>
  <si>
    <t>寛之01</t>
  </si>
  <si>
    <t>hiroyuki.sano.01.ts</t>
  </si>
  <si>
    <t>hiroyuki.sano.01.ts@mixi.co.jp</t>
  </si>
  <si>
    <t>島田知佳</t>
  </si>
  <si>
    <t>知佳</t>
  </si>
  <si>
    <t>chika.shimada</t>
  </si>
  <si>
    <t>chika.shimada@mixi.co.jp</t>
  </si>
  <si>
    <t>AW076020800
AW076070000
AW076050000
AW076050300
AW076090000
AW076000000</t>
  </si>
  <si>
    <t>嶋本憲弥</t>
  </si>
  <si>
    <t>嶋本</t>
  </si>
  <si>
    <t>憲弥</t>
  </si>
  <si>
    <t>のりや</t>
  </si>
  <si>
    <t>noriya.shimamoto</t>
  </si>
  <si>
    <t>noriya.shimamoto@tbam.co.jp</t>
  </si>
  <si>
    <t>SchotteMatis01</t>
  </si>
  <si>
    <t>Schotte</t>
  </si>
  <si>
    <t>Matis01</t>
  </si>
  <si>
    <t>ショッテ</t>
  </si>
  <si>
    <t>マティス</t>
  </si>
  <si>
    <t>matis.schotte.01</t>
  </si>
  <si>
    <t>matis.schotte.01@mixi.co.jp</t>
  </si>
  <si>
    <t>白井寛人</t>
  </si>
  <si>
    <t>寛人</t>
  </si>
  <si>
    <t>hiroto.shirai</t>
  </si>
  <si>
    <t>hiroto.shirai@mixi.co.jp</t>
  </si>
  <si>
    <t>菅緑</t>
  </si>
  <si>
    <t>菅</t>
  </si>
  <si>
    <t>緑</t>
  </si>
  <si>
    <t>midori.suga</t>
  </si>
  <si>
    <t>midori.suga@mixi.co.jp</t>
  </si>
  <si>
    <t>杉村奏</t>
  </si>
  <si>
    <t>so.sugimura</t>
  </si>
  <si>
    <t>so.sugimura@mixi.co.jp</t>
  </si>
  <si>
    <t>AO082030301
AO082010400</t>
  </si>
  <si>
    <t>鈴木あゆみ01</t>
  </si>
  <si>
    <t>あゆみ01</t>
  </si>
  <si>
    <t>ayumi.suzuki.01</t>
  </si>
  <si>
    <t>ayumi.suzuki.01@m-lovegraph.com</t>
  </si>
  <si>
    <t>鈴木健介01</t>
  </si>
  <si>
    <t>健介01</t>
  </si>
  <si>
    <t>kensuke.suzuki.01.ts</t>
  </si>
  <si>
    <t>kensuke.suzuki.01.ts@mixi.co.jp</t>
  </si>
  <si>
    <t>鈴木美緒</t>
  </si>
  <si>
    <t>mio.suzuki.ts</t>
  </si>
  <si>
    <t>mio.suzuki.ts@mixi.co.jp</t>
  </si>
  <si>
    <t>鈴木宥美01</t>
  </si>
  <si>
    <t>宥美01</t>
  </si>
  <si>
    <t>yumi.suzuki.01.ts</t>
  </si>
  <si>
    <t>yumi.suzuki.01.ts@mixi.co.jp</t>
  </si>
  <si>
    <t>関志保</t>
  </si>
  <si>
    <t>shiho.seki.ts</t>
  </si>
  <si>
    <t>shiho.seki.ts@mixi.co.jp</t>
  </si>
  <si>
    <t>関盛光01</t>
  </si>
  <si>
    <t>盛光01</t>
  </si>
  <si>
    <t>もりみつ</t>
  </si>
  <si>
    <t>morimitsu.seki.01</t>
  </si>
  <si>
    <t>morimitsu.seki.01@mixi.co.jp</t>
  </si>
  <si>
    <t>曽我勇次01</t>
  </si>
  <si>
    <t>曽我</t>
  </si>
  <si>
    <t>勇次01</t>
  </si>
  <si>
    <t>そが</t>
  </si>
  <si>
    <t>yuji.soga.01.ts</t>
  </si>
  <si>
    <t>yuji.soga.01.ts@netdreamers.co.jp</t>
  </si>
  <si>
    <t>田浦一</t>
  </si>
  <si>
    <t>田浦</t>
  </si>
  <si>
    <t>一</t>
  </si>
  <si>
    <t>たうら</t>
  </si>
  <si>
    <t>はじめ</t>
  </si>
  <si>
    <t>hajime.taura.ts</t>
  </si>
  <si>
    <t>hajime.taura.ts@mixi.co.jp</t>
  </si>
  <si>
    <t>武井千賀子01</t>
  </si>
  <si>
    <t>千賀子01</t>
  </si>
  <si>
    <t>chikako.takei.01.ts</t>
  </si>
  <si>
    <t>chikako.takei.01.ts@mixi.co.jp</t>
  </si>
  <si>
    <t>多田真紀子</t>
  </si>
  <si>
    <t>makiko.tada</t>
  </si>
  <si>
    <t>makiko.tada@mixi.co.jp</t>
  </si>
  <si>
    <t>刀野香穏</t>
  </si>
  <si>
    <t>刀野</t>
  </si>
  <si>
    <t>香穏</t>
  </si>
  <si>
    <t>たちの</t>
  </si>
  <si>
    <t>かのん</t>
  </si>
  <si>
    <t>kanon.tachino</t>
  </si>
  <si>
    <t>kanon.tachino@mixi.co.jp</t>
  </si>
  <si>
    <t>田中宏武01</t>
  </si>
  <si>
    <t>宏武01</t>
  </si>
  <si>
    <t>hiromu.tanaka.01</t>
  </si>
  <si>
    <t>hiromu.tanaka.01@netdreamers.co.jp</t>
  </si>
  <si>
    <t>XM550000000
XM550020100
XM550020000</t>
  </si>
  <si>
    <t>田村海01</t>
  </si>
  <si>
    <t>海01</t>
  </si>
  <si>
    <t>kai.tamura.01.ts</t>
  </si>
  <si>
    <t>kai.tamura.01.ts@mixi.co.jp</t>
  </si>
  <si>
    <t>趙在貞01</t>
  </si>
  <si>
    <t>趙</t>
  </si>
  <si>
    <t>在貞01</t>
  </si>
  <si>
    <t>じぇじょん</t>
  </si>
  <si>
    <t>jaejung.jo.01.ts</t>
  </si>
  <si>
    <t>jaejung.jo.01.ts@mixi.co.jp</t>
  </si>
  <si>
    <t>寺倉翔太</t>
  </si>
  <si>
    <t>寺倉</t>
  </si>
  <si>
    <t>てらくら</t>
  </si>
  <si>
    <t>shota.terakura.ts</t>
  </si>
  <si>
    <t>shota.terakura.ts@mixi.co.jp</t>
  </si>
  <si>
    <t>中田徹01</t>
  </si>
  <si>
    <t>徹01</t>
  </si>
  <si>
    <t>toru.nakata.01</t>
  </si>
  <si>
    <t>toru.nakata.01@mixi.co.jp</t>
  </si>
  <si>
    <t>庭野紡</t>
  </si>
  <si>
    <t>庭野</t>
  </si>
  <si>
    <t>紡</t>
  </si>
  <si>
    <t>にわの</t>
  </si>
  <si>
    <t>つむぎ</t>
  </si>
  <si>
    <t>tsumugi.niwano</t>
  </si>
  <si>
    <t>tsumugi.niwano@mixi.co.jp</t>
  </si>
  <si>
    <t>早房クリスティー</t>
  </si>
  <si>
    <t>早房</t>
  </si>
  <si>
    <t>クリスティー</t>
  </si>
  <si>
    <t>はやぶさ</t>
  </si>
  <si>
    <t>くりすてぃー</t>
  </si>
  <si>
    <t>christi.hayabusa</t>
  </si>
  <si>
    <t>christi.hayabusa@mixi.co.jp</t>
  </si>
  <si>
    <t>船橋拡考</t>
  </si>
  <si>
    <t>船橋</t>
  </si>
  <si>
    <t>拡考</t>
  </si>
  <si>
    <t>ふなはし</t>
  </si>
  <si>
    <t>hirotaka.funahashi</t>
  </si>
  <si>
    <t>hirotaka.funahashi@m-chariloto.com</t>
  </si>
  <si>
    <t>牧野舜</t>
  </si>
  <si>
    <t>舜</t>
  </si>
  <si>
    <t>shun.makino</t>
  </si>
  <si>
    <t>shun.makino@mixi.co.jp</t>
  </si>
  <si>
    <t>増井健仁</t>
  </si>
  <si>
    <t>健仁</t>
  </si>
  <si>
    <t>たけひと</t>
  </si>
  <si>
    <t>takehito.masui</t>
  </si>
  <si>
    <t>takehito.masui@mixi.co.jp</t>
  </si>
  <si>
    <t>ZZ084010000</t>
  </si>
  <si>
    <t>松野健太郎</t>
  </si>
  <si>
    <t>kentaro.matsuno</t>
  </si>
  <si>
    <t>満博文</t>
  </si>
  <si>
    <t>満</t>
  </si>
  <si>
    <t>まん</t>
  </si>
  <si>
    <t>hirofumi.man</t>
  </si>
  <si>
    <t>hirofumi.man@mixi.co.jp</t>
  </si>
  <si>
    <t>水木健太郎</t>
  </si>
  <si>
    <t>水木</t>
  </si>
  <si>
    <t>kentaro.mizuki</t>
  </si>
  <si>
    <t>kentaro.mizuki@mixi.co.jp</t>
  </si>
  <si>
    <t>三岳勝吾</t>
  </si>
  <si>
    <t>三岳</t>
  </si>
  <si>
    <t>勝吾</t>
  </si>
  <si>
    <t>みたけ</t>
  </si>
  <si>
    <t>shogo.mitake</t>
  </si>
  <si>
    <t>shogo.mitake@mixi.co.jp</t>
  </si>
  <si>
    <t>峰村彩里</t>
  </si>
  <si>
    <t>峰村</t>
  </si>
  <si>
    <t>彩里</t>
  </si>
  <si>
    <t>みねむら</t>
  </si>
  <si>
    <t>saeri.minemura</t>
  </si>
  <si>
    <t>saeri.minemura@netdreamers.co.jp</t>
  </si>
  <si>
    <t>箕輪知夏01</t>
  </si>
  <si>
    <t>箕輪</t>
  </si>
  <si>
    <t>知夏01</t>
  </si>
  <si>
    <t>みのわ</t>
  </si>
  <si>
    <t>tomoka.minowa.01.ts</t>
  </si>
  <si>
    <t>tomoka.minowa.01.ts@mixi.co.jp</t>
  </si>
  <si>
    <t>三宅高暢</t>
  </si>
  <si>
    <t>高暢</t>
  </si>
  <si>
    <t>takanobu.miyake</t>
  </si>
  <si>
    <t>takanobu.miyake@mixi.co.jp</t>
  </si>
  <si>
    <t>三好文二郎</t>
  </si>
  <si>
    <t>三好</t>
  </si>
  <si>
    <t>文二郎</t>
  </si>
  <si>
    <t>ぶんじろう</t>
  </si>
  <si>
    <t>bunjiro.miyoshi</t>
  </si>
  <si>
    <t>bunjiro.miyoshi@mixi.co.jp</t>
  </si>
  <si>
    <t>向江俊和01</t>
  </si>
  <si>
    <t>俊和01</t>
  </si>
  <si>
    <t>toshikazu.mukae.01</t>
  </si>
  <si>
    <t>toshikazu.mukae.01@mixi.co.jp</t>
  </si>
  <si>
    <t>株式会社MIXI/奥山管掌/ソーシャルベッティング事業本部/ネットドリーマーズ事業部</t>
  </si>
  <si>
    <t>AW076080200
AW076080100
AW076080000</t>
  </si>
  <si>
    <t>マネージャー
マネージャー
部長</t>
  </si>
  <si>
    <t>山口裕之</t>
  </si>
  <si>
    <t>hiroyuki.yamaguchi.ts</t>
  </si>
  <si>
    <t>hiroyuki.yamaguchi.ts@mixi.co.jp</t>
  </si>
  <si>
    <t>山田百合子</t>
  </si>
  <si>
    <t>百合子</t>
  </si>
  <si>
    <t>yuriko.yamada.ts</t>
  </si>
  <si>
    <t>yuriko.yamada.ts@mixi.co.jp</t>
  </si>
  <si>
    <t>山平賢歓</t>
  </si>
  <si>
    <t>山平</t>
  </si>
  <si>
    <t>賢歓</t>
  </si>
  <si>
    <t>やまひら</t>
  </si>
  <si>
    <t>masayoshi.yamahira</t>
  </si>
  <si>
    <t>masayoshi.yamahira@netdreamers.co.jp</t>
  </si>
  <si>
    <t>山本一雄</t>
  </si>
  <si>
    <t>一雄</t>
  </si>
  <si>
    <t>かずお</t>
  </si>
  <si>
    <t>kazuo.yamamoto.ts</t>
  </si>
  <si>
    <t>kazuo.yamamoto.ts@mixi.co.jp</t>
  </si>
  <si>
    <t>山本貴之</t>
  </si>
  <si>
    <t>takayuki.yamamoto</t>
  </si>
  <si>
    <t>takayuki.yamamoto@mixi.co.jp</t>
  </si>
  <si>
    <t>山本七奈01</t>
  </si>
  <si>
    <t>七奈01</t>
  </si>
  <si>
    <t>nana.yamamoto.01.ts</t>
  </si>
  <si>
    <t>nana.yamamoto.01.ts@mixi.co.jp</t>
  </si>
  <si>
    <t>横江亮佑01</t>
  </si>
  <si>
    <t>横江</t>
  </si>
  <si>
    <t>亮佑01</t>
  </si>
  <si>
    <t>よこえ</t>
  </si>
  <si>
    <t>ryosuke.yokoe.01.ts</t>
  </si>
  <si>
    <t>ryosuke.yokoe.01.ts@m-lovegraph.com</t>
  </si>
  <si>
    <t>横山浩美</t>
  </si>
  <si>
    <t>hiromi.yokoyama</t>
  </si>
  <si>
    <t>hiromi.yokoyama@m-chariloto.com</t>
  </si>
  <si>
    <t>YoshidaMatthew</t>
  </si>
  <si>
    <t>Yoshida</t>
  </si>
  <si>
    <t>Matthew</t>
  </si>
  <si>
    <t>ヨシダ</t>
  </si>
  <si>
    <t>マシュー</t>
  </si>
  <si>
    <t>matthew.yoshida.ts</t>
  </si>
  <si>
    <t>matthew.yoshida.ts@m-picon.com</t>
  </si>
  <si>
    <t>吉村匡生01</t>
  </si>
  <si>
    <t>匡生01</t>
  </si>
  <si>
    <t>kunio.yoshimura.01.ts</t>
  </si>
  <si>
    <t>kunio.yoshimura.01.ts@netdreamers.co.jp</t>
  </si>
  <si>
    <t>渡邉善斗</t>
  </si>
  <si>
    <t>善斗</t>
  </si>
  <si>
    <t>ぜんと</t>
  </si>
  <si>
    <t>zento.watanabe</t>
  </si>
  <si>
    <t>zento.watanabe@netdreamers.co.jp</t>
  </si>
  <si>
    <t>渡辺隆之01</t>
  </si>
  <si>
    <t>隆之01</t>
  </si>
  <si>
    <t>takayuki.watanabe.01</t>
  </si>
  <si>
    <t>takayuki.watanabe.01@m-chariloto.com</t>
  </si>
  <si>
    <t>安念なつみ</t>
  </si>
  <si>
    <t>安念</t>
  </si>
  <si>
    <t>あんねん</t>
  </si>
  <si>
    <t>natsumi.annen.ts</t>
  </si>
  <si>
    <t>natsumi.annen.ts@mixi.co.jp</t>
  </si>
  <si>
    <t>石川昴</t>
  </si>
  <si>
    <t>昴</t>
  </si>
  <si>
    <t>すばる</t>
  </si>
  <si>
    <t>subaru.ishikawa.ts</t>
  </si>
  <si>
    <t>subaru.ishikawa.ts@mixi.co.jp</t>
  </si>
  <si>
    <t>石﨑亮介</t>
  </si>
  <si>
    <t>ryosuke.ishizaki.ts</t>
  </si>
  <si>
    <t>小畑奈菜01</t>
  </si>
  <si>
    <t>小畑</t>
  </si>
  <si>
    <t>奈菜01</t>
  </si>
  <si>
    <t>nana.obata.01</t>
  </si>
  <si>
    <t>nana.obata.01@m-picon.com</t>
  </si>
  <si>
    <t>鴨志田清香</t>
  </si>
  <si>
    <t>清香</t>
  </si>
  <si>
    <t>さやか</t>
  </si>
  <si>
    <t>sayaka.kamoshida.ts</t>
  </si>
  <si>
    <t>sayaka.kamoshida.ts@mixi.co.jp</t>
  </si>
  <si>
    <t>河野彰太01</t>
  </si>
  <si>
    <t>彰太01</t>
  </si>
  <si>
    <t>shota.kawano.01.ts</t>
  </si>
  <si>
    <t>shota.kawano.01.ts@m-chariloto.com</t>
  </si>
  <si>
    <t>喜屋武明莉</t>
  </si>
  <si>
    <t>喜屋武</t>
  </si>
  <si>
    <t>明莉</t>
  </si>
  <si>
    <t>きゃん</t>
  </si>
  <si>
    <t>akari.kyan.ts</t>
  </si>
  <si>
    <t>akari.kyan.ts@mixi.co.jp</t>
  </si>
  <si>
    <t>郭泓伸01</t>
  </si>
  <si>
    <t>泓伸01</t>
  </si>
  <si>
    <t>くお</t>
  </si>
  <si>
    <t>ほんしぇん</t>
  </si>
  <si>
    <t>hungshen.kuo.01.ts</t>
  </si>
  <si>
    <t>hungshen.kuo.01.ts@mixi.co.jp</t>
  </si>
  <si>
    <t>功刀麻里</t>
  </si>
  <si>
    <t>功刀</t>
  </si>
  <si>
    <t>くぬぎ</t>
  </si>
  <si>
    <t>mari.kunugi.ts</t>
  </si>
  <si>
    <t>mari.kunugi.ts@mixi.co.jp</t>
  </si>
  <si>
    <t>小杉達郎</t>
  </si>
  <si>
    <t>小杉</t>
  </si>
  <si>
    <t>達郎</t>
  </si>
  <si>
    <t>こすぎ</t>
  </si>
  <si>
    <t>たつろう</t>
  </si>
  <si>
    <t>tatsuro.kosugi.ts</t>
  </si>
  <si>
    <t>tatsuro.kosugi.ts@mixi.co.jp</t>
  </si>
  <si>
    <t>小玉萌可01</t>
  </si>
  <si>
    <t>小玉</t>
  </si>
  <si>
    <t>萌可01</t>
  </si>
  <si>
    <t>もえか</t>
  </si>
  <si>
    <t>moeka.kodama.01.ts</t>
  </si>
  <si>
    <t>moeka.kodama.01.ts@m-chariloto.com</t>
  </si>
  <si>
    <t>下地恵太郎</t>
  </si>
  <si>
    <t>下地</t>
  </si>
  <si>
    <t>恵太郎</t>
  </si>
  <si>
    <t>しもじ</t>
  </si>
  <si>
    <t>keitaro.shimoji.ts</t>
  </si>
  <si>
    <t>keitaro.shimoji.ts@mixi.co.jp</t>
  </si>
  <si>
    <t>鈴木孝允</t>
  </si>
  <si>
    <t>孝允</t>
  </si>
  <si>
    <t>kosuke.suzuki.ts</t>
  </si>
  <si>
    <t>kosuke.suzuki.ts@netdreamers.co.jp</t>
  </si>
  <si>
    <t>髙橋まり</t>
  </si>
  <si>
    <t>mari.takahashi</t>
  </si>
  <si>
    <t>mari.takahashi@mixi.co.jp</t>
  </si>
  <si>
    <t>竹野莉生</t>
  </si>
  <si>
    <t>竹野</t>
  </si>
  <si>
    <t>莉生</t>
  </si>
  <si>
    <t>たけの</t>
  </si>
  <si>
    <t>rio.takeno.ts</t>
  </si>
  <si>
    <t>rio.takeno.ts@mixi.co.jp</t>
  </si>
  <si>
    <t>千北一期</t>
  </si>
  <si>
    <t>千北</t>
  </si>
  <si>
    <t>一期</t>
  </si>
  <si>
    <t>ちぎた</t>
  </si>
  <si>
    <t>kazuki.chigita</t>
  </si>
  <si>
    <t>kazuki.chigita@mixi.co.jp</t>
  </si>
  <si>
    <t>土井淳司</t>
  </si>
  <si>
    <t>淳司</t>
  </si>
  <si>
    <t>じゅんじ</t>
  </si>
  <si>
    <t>junji.doi.ts</t>
  </si>
  <si>
    <t>junji.doi.ts@mixi.co.jp</t>
  </si>
  <si>
    <t>中村優介01</t>
  </si>
  <si>
    <t>優介01</t>
  </si>
  <si>
    <t>yusuke.nakamura.01.ts</t>
  </si>
  <si>
    <t>yusuke.nakamura.01.ts@mixi.co.jp</t>
  </si>
  <si>
    <t>平田久美</t>
  </si>
  <si>
    <t>kumi.hirata.ts</t>
  </si>
  <si>
    <t>kumi.hirata.ts@mixi.co.jp</t>
  </si>
  <si>
    <t>星野夕紀</t>
  </si>
  <si>
    <t>夕紀</t>
  </si>
  <si>
    <t>yuki.hoshino.ts</t>
  </si>
  <si>
    <t>yuki.hoshino.ts@mixi.co.jp</t>
  </si>
  <si>
    <t>山根雄飛01</t>
  </si>
  <si>
    <t>雄飛01</t>
  </si>
  <si>
    <t>ゆうひ</t>
  </si>
  <si>
    <t>yuhi.yamane.01</t>
  </si>
  <si>
    <t>yuhi.yamane.01@mixi.co.jp</t>
  </si>
  <si>
    <t>AX089050000
AW076020707</t>
  </si>
  <si>
    <t>吉田正史01</t>
  </si>
  <si>
    <t>正史01</t>
  </si>
  <si>
    <t>masafumi.yoshida.01.ts</t>
  </si>
  <si>
    <t>masafumi.yoshida.01.ts@mixi.co.jp</t>
  </si>
  <si>
    <t>AO083030100
AO083010600</t>
  </si>
  <si>
    <t>石川ののか</t>
  </si>
  <si>
    <t>nonoka.ishikawa</t>
  </si>
  <si>
    <t>nonoka.ishikawa@mixi.co.jp</t>
  </si>
  <si>
    <t>井田花恵</t>
  </si>
  <si>
    <t>花恵</t>
  </si>
  <si>
    <t>hanae.ida</t>
  </si>
  <si>
    <t>hanae.ida@netdreamers.co.jp</t>
  </si>
  <si>
    <t>上原丈弥</t>
  </si>
  <si>
    <t>上原</t>
  </si>
  <si>
    <t>丈弥</t>
  </si>
  <si>
    <t>うえはら</t>
  </si>
  <si>
    <t>tomoya.uehara</t>
  </si>
  <si>
    <t>tomoya.uehara@mixi.co.jp</t>
  </si>
  <si>
    <t>大倉大輝01</t>
  </si>
  <si>
    <t>大輝01</t>
  </si>
  <si>
    <t>daiki.okura.01.ts</t>
  </si>
  <si>
    <t>daiki.okura.01.ts@mixi.co.jp</t>
  </si>
  <si>
    <t>岡田龍之介</t>
  </si>
  <si>
    <t>龍之介</t>
  </si>
  <si>
    <t>りゅうのすけ</t>
  </si>
  <si>
    <t>ryunosuke.okada.ts</t>
  </si>
  <si>
    <t>ryunosuke.okada.ts@mixi.co.jp</t>
  </si>
  <si>
    <t>AX078070000</t>
  </si>
  <si>
    <t>岡村愛</t>
  </si>
  <si>
    <t>岡村</t>
  </si>
  <si>
    <t>おかむら</t>
  </si>
  <si>
    <t>ai.okamura</t>
  </si>
  <si>
    <t>ai.okamura@m-chariloto.com</t>
  </si>
  <si>
    <t>小川智也</t>
  </si>
  <si>
    <t>tomoya.ogawa</t>
  </si>
  <si>
    <t>tomoya.ogawa@mixi.co.jp</t>
  </si>
  <si>
    <t>笠原万澄</t>
  </si>
  <si>
    <t>万澄</t>
  </si>
  <si>
    <t>masumi.kasahara</t>
  </si>
  <si>
    <t>masumi.kasahara@mixi.co.jp</t>
  </si>
  <si>
    <t>川崎豊01</t>
  </si>
  <si>
    <t>川崎</t>
  </si>
  <si>
    <t>豊01</t>
  </si>
  <si>
    <t>yutaka.kawasaki.01.ts</t>
  </si>
  <si>
    <t>yutaka.kawasaki.01.ts@mixi.co.jp</t>
  </si>
  <si>
    <t>桑原勇気01</t>
  </si>
  <si>
    <t>勇気01</t>
  </si>
  <si>
    <t>yuki.kuwabara.01.ts</t>
  </si>
  <si>
    <t>yuki.kuwabara.01.ts@mixi.co.jp</t>
  </si>
  <si>
    <t>小泉麻衣</t>
  </si>
  <si>
    <t>麻衣</t>
  </si>
  <si>
    <t>mai.koizumi</t>
  </si>
  <si>
    <t>mai.koizumi@mixi.co.jp</t>
  </si>
  <si>
    <t>河野有哉</t>
  </si>
  <si>
    <t>有哉</t>
  </si>
  <si>
    <t>yuya.kono</t>
  </si>
  <si>
    <t>yuya.kono@mixi.co.jp</t>
  </si>
  <si>
    <t>古賀恵子</t>
  </si>
  <si>
    <t>古賀</t>
  </si>
  <si>
    <t>恵子</t>
  </si>
  <si>
    <t>こが</t>
  </si>
  <si>
    <t>keiko.koga.ts</t>
  </si>
  <si>
    <t>keiko.koga.ts@mixi.co.jp</t>
  </si>
  <si>
    <t>小西悠也</t>
  </si>
  <si>
    <t>悠也</t>
  </si>
  <si>
    <t>yuya.konishi</t>
  </si>
  <si>
    <t>yuya.konishi@mixi.co.jp</t>
  </si>
  <si>
    <t>小森勇樹</t>
  </si>
  <si>
    <t>yuki.komori.ts</t>
  </si>
  <si>
    <t>yuki.komori.ts@mixi.co.jp</t>
  </si>
  <si>
    <t>酒井智規</t>
  </si>
  <si>
    <t>智規</t>
  </si>
  <si>
    <t>tomonori.sakai</t>
  </si>
  <si>
    <t>tomonori.sakai@m-chariloto.com</t>
  </si>
  <si>
    <t>佐々岡幸司</t>
  </si>
  <si>
    <t>佐々岡</t>
  </si>
  <si>
    <t>幸司</t>
  </si>
  <si>
    <t>ささおか</t>
  </si>
  <si>
    <t>koji.sasaoka.ts</t>
  </si>
  <si>
    <t>koji.sasaoka.ts@mixi.co.jp</t>
  </si>
  <si>
    <t>柴田由紀子</t>
  </si>
  <si>
    <t>yukiko.shibata.ts</t>
  </si>
  <si>
    <t>yukiko.shibata.ts@mixi.co.jp</t>
  </si>
  <si>
    <t>島岡祐人</t>
  </si>
  <si>
    <t>島岡</t>
  </si>
  <si>
    <t>祐人</t>
  </si>
  <si>
    <t>しまおか</t>
  </si>
  <si>
    <t>yuto.shimaoka.ts</t>
  </si>
  <si>
    <t>yuto.shimaoka.ts@mixi.co.jp</t>
  </si>
  <si>
    <t>富川恵蓮</t>
  </si>
  <si>
    <t>富川</t>
  </si>
  <si>
    <t>恵蓮</t>
  </si>
  <si>
    <t>とみかわ</t>
  </si>
  <si>
    <t>えれん</t>
  </si>
  <si>
    <t>eren.tomikawa.ts</t>
  </si>
  <si>
    <t>eren.tomikawa.ts@mixi.co.jp</t>
  </si>
  <si>
    <t>中村友紀01</t>
  </si>
  <si>
    <t>友紀01</t>
  </si>
  <si>
    <t>yuki.nakamura.01</t>
  </si>
  <si>
    <t>yuki.nakamura.01@mixi.co.jp</t>
  </si>
  <si>
    <t>新沼美有紀</t>
  </si>
  <si>
    <t>新沼</t>
  </si>
  <si>
    <t>美有紀</t>
  </si>
  <si>
    <t>にいぬま</t>
  </si>
  <si>
    <t>miyuki.niinuma</t>
  </si>
  <si>
    <t>miyuki.niinuma@mixi.co.jp</t>
  </si>
  <si>
    <t>芳賀友美</t>
  </si>
  <si>
    <t>芳賀</t>
  </si>
  <si>
    <t>はが</t>
  </si>
  <si>
    <t>tomomi.haga.ts</t>
  </si>
  <si>
    <t>tomomi.haga.ts@mixi.co.jp</t>
  </si>
  <si>
    <t>長谷川愛子</t>
  </si>
  <si>
    <t>aiko.hasegawa.ts</t>
  </si>
  <si>
    <t>aiko.hasegawa.ts@mixi.co.jp</t>
  </si>
  <si>
    <t>松岡英寿</t>
  </si>
  <si>
    <t>英寿</t>
  </si>
  <si>
    <t>ひでとし</t>
  </si>
  <si>
    <t>hidetoshi.matsuoka.ts</t>
  </si>
  <si>
    <t>hidetoshi.matsuoka.ts@mixi.co.jp</t>
  </si>
  <si>
    <t>松本梨々花</t>
  </si>
  <si>
    <t>梨々花</t>
  </si>
  <si>
    <t>りりか</t>
  </si>
  <si>
    <t>ririka.matsumoto.ts</t>
  </si>
  <si>
    <t>ririka.matsumoto.ts@mixi.co.jp</t>
  </si>
  <si>
    <t>宮内宏</t>
  </si>
  <si>
    <t>宏</t>
  </si>
  <si>
    <t>hiroshi.miyauchi.ts</t>
  </si>
  <si>
    <t>hiroshi.miyauchi.ts@mixi.co.jp</t>
  </si>
  <si>
    <t>宮本華奈</t>
  </si>
  <si>
    <t>haruna.miyamoto</t>
  </si>
  <si>
    <t>haruna.miyamoto@mixi.co.jp</t>
  </si>
  <si>
    <t>室水仁</t>
  </si>
  <si>
    <t>室水</t>
  </si>
  <si>
    <t>むろみず</t>
  </si>
  <si>
    <t>hitoshi.muromizu.ts</t>
  </si>
  <si>
    <t>hitoshi.muromizu.ts@m-picon.com</t>
  </si>
  <si>
    <t>吉田倫子01</t>
  </si>
  <si>
    <t>倫子01</t>
  </si>
  <si>
    <t>noriko.yoshida.01.ts</t>
  </si>
  <si>
    <t>noriko.yoshida.01.ts@mixi.co.jp</t>
  </si>
  <si>
    <t>井上陽輔</t>
  </si>
  <si>
    <t>陽輔</t>
  </si>
  <si>
    <t>yosuke.inoue</t>
  </si>
  <si>
    <t>yosuke.inoue@mixi.co.jp</t>
  </si>
  <si>
    <t>入江幸子</t>
  </si>
  <si>
    <t>入江</t>
  </si>
  <si>
    <t>幸子</t>
  </si>
  <si>
    <t>いりえ</t>
  </si>
  <si>
    <t>sachiko.irie</t>
  </si>
  <si>
    <t>sachiko.irie@mixi.co.jp</t>
  </si>
  <si>
    <t>小川陽二郎</t>
  </si>
  <si>
    <t>陽二郎</t>
  </si>
  <si>
    <t>ようじろう</t>
  </si>
  <si>
    <t>yojiro.ogawa.ts</t>
  </si>
  <si>
    <t>yojiro.ogawa.ts@mixi.co.jp</t>
  </si>
  <si>
    <t>阪本愛子01</t>
  </si>
  <si>
    <t>阪本</t>
  </si>
  <si>
    <t>愛子01</t>
  </si>
  <si>
    <t>aiko.sakamoto.01.ts</t>
  </si>
  <si>
    <t>aiko.sakamoto.01.ts@mixi.co.jp</t>
  </si>
  <si>
    <t>坂本璃音</t>
  </si>
  <si>
    <t>璃音</t>
  </si>
  <si>
    <t>りおん</t>
  </si>
  <si>
    <t>rion.sakamoto.ts</t>
  </si>
  <si>
    <t>rion.sakamoto.ts@mixi.co.jp</t>
  </si>
  <si>
    <t>志摩剛洋</t>
  </si>
  <si>
    <t>剛洋</t>
  </si>
  <si>
    <t>takahiro.shima.ts</t>
  </si>
  <si>
    <t>takahiro.shima.ts@mixi.co.jp</t>
  </si>
  <si>
    <t>高井亮一01</t>
  </si>
  <si>
    <t>亮一01</t>
  </si>
  <si>
    <t>ryoichi.takai.01.ts</t>
  </si>
  <si>
    <t>ryoichi.takai.01.ts@mixi.co.jp</t>
  </si>
  <si>
    <t>AO082090501</t>
  </si>
  <si>
    <t>宮地慎01</t>
  </si>
  <si>
    <t>慎01</t>
  </si>
  <si>
    <t>みやじ</t>
  </si>
  <si>
    <t>makoto.miyaji.01</t>
  </si>
  <si>
    <t>makoto.miyaji.01@netdreamers.co.jp</t>
  </si>
  <si>
    <t>XM556010600
XM556000000</t>
  </si>
  <si>
    <t>山﨑美香子</t>
  </si>
  <si>
    <t>美香子</t>
  </si>
  <si>
    <t>mikako.yamazaki</t>
  </si>
  <si>
    <t>mikako.yamazaki@mixi.co.jp</t>
  </si>
  <si>
    <t>LwinWin</t>
  </si>
  <si>
    <t>Lwin</t>
  </si>
  <si>
    <t>Win</t>
  </si>
  <si>
    <t>るうぃん</t>
  </si>
  <si>
    <t>うぃん</t>
  </si>
  <si>
    <t>win.lwin.ts</t>
  </si>
  <si>
    <t>win.lwin.ts@netdreamers.co.jp</t>
  </si>
  <si>
    <t>XM560010200</t>
  </si>
  <si>
    <t>浅利瞭介</t>
  </si>
  <si>
    <t>浅利</t>
  </si>
  <si>
    <t>瞭介</t>
  </si>
  <si>
    <t>あさり</t>
  </si>
  <si>
    <t>ryosuke.asari.ts</t>
  </si>
  <si>
    <t>ryosuke.asari.ts@mixi.co.jp</t>
  </si>
  <si>
    <t>新井茉里奈</t>
  </si>
  <si>
    <t>茉里奈</t>
  </si>
  <si>
    <t>marina.arai</t>
  </si>
  <si>
    <t>marina.arai@mixi.co.jp</t>
  </si>
  <si>
    <t>板橋大輔</t>
  </si>
  <si>
    <t>板橋</t>
  </si>
  <si>
    <t>いたばし</t>
  </si>
  <si>
    <t>daisuke.itabashi.ts</t>
  </si>
  <si>
    <t>daisuke.itabashi.ts@mixi.co.jp</t>
  </si>
  <si>
    <t>上田利恵01</t>
  </si>
  <si>
    <t>利恵01</t>
  </si>
  <si>
    <t>rie.ueda.01.ts</t>
  </si>
  <si>
    <t>rie.ueda.01.ts@mixi.co.jp</t>
  </si>
  <si>
    <t>小山内蓮</t>
  </si>
  <si>
    <t>小山内</t>
  </si>
  <si>
    <t>蓮</t>
  </si>
  <si>
    <t>れん</t>
  </si>
  <si>
    <t>ren.osanai</t>
  </si>
  <si>
    <t>ren.osanai@mixi.co.jp</t>
  </si>
  <si>
    <t>鎌田智恵</t>
  </si>
  <si>
    <t>chie.kamada</t>
  </si>
  <si>
    <t>chie.kamada@mixi.co.jp</t>
  </si>
  <si>
    <t>工藤愛蓮</t>
  </si>
  <si>
    <t>愛蓮</t>
  </si>
  <si>
    <t>eren.kudo</t>
  </si>
  <si>
    <t>eren.kudo@m-chariloto.com</t>
  </si>
  <si>
    <t>高口優子</t>
  </si>
  <si>
    <t>高口</t>
  </si>
  <si>
    <t>こうぐち</t>
  </si>
  <si>
    <t>yuko.koguchi</t>
  </si>
  <si>
    <t>yuko.koguchi@mixi.co.jp</t>
  </si>
  <si>
    <t>AX089030100
AX089030200
AX089080200
AX089080300
AX089080100
AX089080000</t>
  </si>
  <si>
    <t>1
0
0
0
0
0</t>
  </si>
  <si>
    <t>小濱辰也</t>
  </si>
  <si>
    <t>tatsuya.kohama.ts</t>
  </si>
  <si>
    <t>tatsuya.kohama.ts@mixi.co.jp</t>
  </si>
  <si>
    <t>斉藤知明</t>
  </si>
  <si>
    <t>知明</t>
  </si>
  <si>
    <t>tomoaki.saito.ts</t>
  </si>
  <si>
    <t>tomoaki.saito.ts@mixi.co.jp</t>
  </si>
  <si>
    <t>齊藤美由起</t>
  </si>
  <si>
    <t>美由起</t>
  </si>
  <si>
    <t>miyuki.saito</t>
  </si>
  <si>
    <t>miyuki.saito@mixi.co.jp</t>
  </si>
  <si>
    <t>AW085030000
AW085020000
AW076000000
AW076050300
AW076050000</t>
  </si>
  <si>
    <t>坂本龍太</t>
  </si>
  <si>
    <t>龍太</t>
  </si>
  <si>
    <t>ryuta.sakamoto.ts</t>
  </si>
  <si>
    <t>ryuta.sakamoto.ts@mixi.co.jp</t>
  </si>
  <si>
    <t>佐藤晃</t>
  </si>
  <si>
    <t>晃</t>
  </si>
  <si>
    <t>akira.sato</t>
  </si>
  <si>
    <t>akira.sato@mixi.co.jp</t>
  </si>
  <si>
    <t>AO090010100
XP558010000</t>
  </si>
  <si>
    <t>佐藤菜緒</t>
  </si>
  <si>
    <t>菜緒</t>
  </si>
  <si>
    <t>nao.sato</t>
  </si>
  <si>
    <t>nao.sato@mixi.co.jp</t>
  </si>
  <si>
    <t>更井真依</t>
  </si>
  <si>
    <t>更井</t>
  </si>
  <si>
    <t>真依</t>
  </si>
  <si>
    <t>さらい</t>
  </si>
  <si>
    <t>mai.sarai.ts</t>
  </si>
  <si>
    <t>mai.sarai.ts@mixi.co.jp</t>
  </si>
  <si>
    <t>シュウチャン</t>
  </si>
  <si>
    <t>シュウ</t>
  </si>
  <si>
    <t>チャン</t>
  </si>
  <si>
    <t>ちゃん</t>
  </si>
  <si>
    <t>chang.shu.ts</t>
  </si>
  <si>
    <t>chang.shu.ts@mixi.co.jp</t>
  </si>
  <si>
    <t>須澤元貴</t>
  </si>
  <si>
    <t>須澤</t>
  </si>
  <si>
    <t>元貴</t>
  </si>
  <si>
    <t>すざわ</t>
  </si>
  <si>
    <t>motoki.suzawa.ts</t>
  </si>
  <si>
    <t>motoki.suzawa.ts@mixi.co.jp</t>
  </si>
  <si>
    <t>瀬川俊彦</t>
  </si>
  <si>
    <t>瀬川</t>
  </si>
  <si>
    <t>俊彦</t>
  </si>
  <si>
    <t>としひこ</t>
  </si>
  <si>
    <t>toshihiko.segawa.ts</t>
  </si>
  <si>
    <t>toshihiko.segawa.ts@mixi.co.jp</t>
  </si>
  <si>
    <t>立野裕子</t>
  </si>
  <si>
    <t>立野</t>
  </si>
  <si>
    <t>たつの</t>
  </si>
  <si>
    <t>yuko.tatsuno.ts</t>
  </si>
  <si>
    <t>yuko.tatsuno.ts@m-chariloto.com</t>
  </si>
  <si>
    <t>飛澤高志</t>
  </si>
  <si>
    <t>飛澤</t>
  </si>
  <si>
    <t>とびさわ</t>
  </si>
  <si>
    <t>takashi.tobisawa.ts</t>
  </si>
  <si>
    <t>takashi.tobisawa.ts@mixi.co.jp</t>
  </si>
  <si>
    <t>長友章子</t>
  </si>
  <si>
    <t>長友</t>
  </si>
  <si>
    <t>章子</t>
  </si>
  <si>
    <t>ながとも</t>
  </si>
  <si>
    <t>shoko.nagatomo.ts</t>
  </si>
  <si>
    <t>shoko.nagatomo.ts@netdreamers.co.jp</t>
  </si>
  <si>
    <t>生井智司01</t>
  </si>
  <si>
    <t>生井</t>
  </si>
  <si>
    <t>智司01</t>
  </si>
  <si>
    <t>なまい</t>
  </si>
  <si>
    <t>satoshi.namai.01.ts</t>
  </si>
  <si>
    <t>satoshi.namai.01.ts@mixi.co.jp</t>
  </si>
  <si>
    <t>生井智司02</t>
  </si>
  <si>
    <t>智司02</t>
  </si>
  <si>
    <t>satoshi.namai.02</t>
  </si>
  <si>
    <t>satoshi.namai.02@mixiamerica.com</t>
  </si>
  <si>
    <t>新井田彩穂里01</t>
  </si>
  <si>
    <t>新井田</t>
  </si>
  <si>
    <t>彩穂里01</t>
  </si>
  <si>
    <t>saori.niida.01</t>
  </si>
  <si>
    <t>saori.niida.01@mixi.co.jp</t>
  </si>
  <si>
    <t>西田貴弘01</t>
  </si>
  <si>
    <t>貴弘01</t>
  </si>
  <si>
    <t>takahiro.nishida.01.ts</t>
  </si>
  <si>
    <t>takahiro.nishida.01.ts@mixi.co.jp</t>
  </si>
  <si>
    <t>AX089080101</t>
  </si>
  <si>
    <t>野上徹01</t>
  </si>
  <si>
    <t>toru.nogami.01.ts</t>
  </si>
  <si>
    <t>toru.nogami.01.ts@m-chariloto.com</t>
  </si>
  <si>
    <t>野澤知徳</t>
  </si>
  <si>
    <t>野澤</t>
  </si>
  <si>
    <t>知徳</t>
  </si>
  <si>
    <t>のざわ</t>
  </si>
  <si>
    <t>kazunori.nozawa</t>
  </si>
  <si>
    <t>kazunori.nozawa@m-chariloto.com</t>
  </si>
  <si>
    <t>長谷部礼</t>
  </si>
  <si>
    <t>aya.hasebe</t>
  </si>
  <si>
    <t>aya.hasebe@mixi.co.jp</t>
  </si>
  <si>
    <t>福島亜美</t>
  </si>
  <si>
    <t>ami.fukushima.ts</t>
  </si>
  <si>
    <t>ami.fukushima.ts@mixi.co.jp</t>
  </si>
  <si>
    <t>伏田怜司01</t>
  </si>
  <si>
    <t>伏田</t>
  </si>
  <si>
    <t>怜司01</t>
  </si>
  <si>
    <t>ふしだ</t>
  </si>
  <si>
    <t>reiji.fushida.01</t>
  </si>
  <si>
    <t>reiji.fushida.01@mixi.co.jp</t>
  </si>
  <si>
    <t>AU074010100</t>
  </si>
  <si>
    <t>本間大地</t>
  </si>
  <si>
    <t>daichi.homma.ts</t>
  </si>
  <si>
    <t>daichi.homma.ts@mixi.co.jp</t>
  </si>
  <si>
    <t>正木智也</t>
  </si>
  <si>
    <t>tomoya.masaki.ts</t>
  </si>
  <si>
    <t>tomoya.masaki.ts@mixi.co.jp</t>
  </si>
  <si>
    <t>松崎慶太</t>
  </si>
  <si>
    <t>慶太</t>
  </si>
  <si>
    <t>keita.matsuzaki</t>
  </si>
  <si>
    <t>keita.matsuzaki@m-chariloto.com</t>
  </si>
  <si>
    <t>松原秀介</t>
  </si>
  <si>
    <t>秀介</t>
  </si>
  <si>
    <t>しゅうすけ</t>
  </si>
  <si>
    <t>shusuke.matsubara.ts</t>
  </si>
  <si>
    <t>shusuke.matsubara.ts@mixi.co.jp</t>
  </si>
  <si>
    <t>丸田美優</t>
  </si>
  <si>
    <t>丸田</t>
  </si>
  <si>
    <t>まるた</t>
  </si>
  <si>
    <t>miyu.maruta</t>
  </si>
  <si>
    <t>miyu.maruta@mixi.co.jp</t>
  </si>
  <si>
    <t>AQ061071601
AQ061070500
AQ061071800
AQ061070400
AQ061071700
AQ061071400
AQ061071900</t>
  </si>
  <si>
    <t>簾田俊介</t>
  </si>
  <si>
    <t>簾田</t>
  </si>
  <si>
    <t>みすだ</t>
  </si>
  <si>
    <t>shunsuke.misuda</t>
  </si>
  <si>
    <t>shunsuke.misuda@mixi.co.jp</t>
  </si>
  <si>
    <t>株式会社MIXI/木村管掌/デジタルエンターテインメントパブリッシング本部/グローバルモンスト室/マーケティンググループ/Acquisitionチーム</t>
  </si>
  <si>
    <t>AO083010802</t>
  </si>
  <si>
    <t>宮本妙子</t>
  </si>
  <si>
    <t>妙子</t>
  </si>
  <si>
    <t>たえこ</t>
  </si>
  <si>
    <t>taeko.miyamoto.ts</t>
  </si>
  <si>
    <t>taeko.miyamoto.ts@mixi.co.jp</t>
  </si>
  <si>
    <t>矢ヶ崎英明</t>
  </si>
  <si>
    <t>矢ヶ崎</t>
  </si>
  <si>
    <t>英明</t>
  </si>
  <si>
    <t>やがさき</t>
  </si>
  <si>
    <t>hideaki.yagasaki.ts</t>
  </si>
  <si>
    <t>hideaki.yagasaki.ts@m-chariloto.com</t>
  </si>
  <si>
    <t>山田修</t>
  </si>
  <si>
    <t>修</t>
  </si>
  <si>
    <t>osamu.yamada</t>
  </si>
  <si>
    <t>osamu.yamada@mixi.co.jp</t>
  </si>
  <si>
    <t>鎌田昇01</t>
  </si>
  <si>
    <t>昇01</t>
  </si>
  <si>
    <t>noboru.kamata.01</t>
  </si>
  <si>
    <t>noboru.kamata.01@m-chariloto-ps.com</t>
  </si>
  <si>
    <t>株式会社チャリロトプラザサービス</t>
  </si>
  <si>
    <t>株式会社チャリロトプラザサービス/株式会社チャリロトプラザサービス/株式会社チャリロトプラザサービス(本部格)</t>
  </si>
  <si>
    <t>XX561000000</t>
  </si>
  <si>
    <t>金ソラ</t>
  </si>
  <si>
    <t>ソラ</t>
  </si>
  <si>
    <t>そら</t>
  </si>
  <si>
    <t>sora.kim.ts</t>
  </si>
  <si>
    <t>sora.kim.ts@mixi.co.jp</t>
  </si>
  <si>
    <t>木村祐也01</t>
  </si>
  <si>
    <t>祐也01</t>
  </si>
  <si>
    <t>yuya.kimura.01</t>
  </si>
  <si>
    <t>yuya.kimura.01@m-chariloto-ps.com</t>
  </si>
  <si>
    <t>榑林拓也</t>
  </si>
  <si>
    <t>榑林</t>
  </si>
  <si>
    <t>くればやし</t>
  </si>
  <si>
    <t>takuya.kurebayashi</t>
  </si>
  <si>
    <t>takuya.kurebayashi@m-chariloto-ps.com</t>
  </si>
  <si>
    <t>先崎竜馬</t>
  </si>
  <si>
    <t>先崎</t>
  </si>
  <si>
    <t>竜馬</t>
  </si>
  <si>
    <t>せんざき</t>
  </si>
  <si>
    <t>りょうま</t>
  </si>
  <si>
    <t>ryoma.senzaki.ts</t>
  </si>
  <si>
    <t>ryoma.senzaki.ts@mixi.co.jp</t>
  </si>
  <si>
    <t>竹花孝一朗</t>
  </si>
  <si>
    <t>竹花</t>
  </si>
  <si>
    <t>孝一朗</t>
  </si>
  <si>
    <t>たけはな</t>
  </si>
  <si>
    <t>koichiro.takehana</t>
  </si>
  <si>
    <t>koichiro.takehana@netdreamers.co.jp</t>
  </si>
  <si>
    <t>田向伸彦</t>
  </si>
  <si>
    <t>田向</t>
  </si>
  <si>
    <t>伸彦</t>
  </si>
  <si>
    <t>たむかい</t>
  </si>
  <si>
    <t>のぶひこ</t>
  </si>
  <si>
    <t>nobuhiko.tamukai.ts</t>
  </si>
  <si>
    <t>nobuhiko.tamukai.ts@mixi.co.jp</t>
  </si>
  <si>
    <t>中島歩01</t>
  </si>
  <si>
    <t>歩01</t>
  </si>
  <si>
    <t>あゆむ</t>
  </si>
  <si>
    <t>ayumu.nakajima.01</t>
  </si>
  <si>
    <t>ayumu.nakajima.01@m-lovegraph.com</t>
  </si>
  <si>
    <t>沼田卓也</t>
  </si>
  <si>
    <t>卓也</t>
  </si>
  <si>
    <t>takuya.numata</t>
  </si>
  <si>
    <t>takuya.numata@mixi.co.jp</t>
  </si>
  <si>
    <t>古橋孝介</t>
  </si>
  <si>
    <t>孝介</t>
  </si>
  <si>
    <t>kosuke.furuhashi.ts</t>
  </si>
  <si>
    <t>kosuke.furuhashi.ts@mixi.co.jp</t>
  </si>
  <si>
    <t>AO083030100</t>
  </si>
  <si>
    <t>邉見弘幸01</t>
  </si>
  <si>
    <t>弘幸01</t>
  </si>
  <si>
    <t>hiroyuki.hemmi.01</t>
  </si>
  <si>
    <t>hiroyuki.hemmi.01@m-chariloto-ps.com</t>
  </si>
  <si>
    <t>松永裕太郎</t>
  </si>
  <si>
    <t>裕太郎</t>
  </si>
  <si>
    <t>yutaro.matsunaga</t>
  </si>
  <si>
    <t>yutaro.matsunaga@netdreamers.co.jp</t>
  </si>
  <si>
    <t>XM560010000
XM560000000</t>
  </si>
  <si>
    <t>山口あゆみ</t>
  </si>
  <si>
    <t>ayumi.yamaguchi</t>
  </si>
  <si>
    <t>ayumi.yamaguchi@mixi.co.jp</t>
  </si>
  <si>
    <t>余田紘司</t>
  </si>
  <si>
    <t>余田</t>
  </si>
  <si>
    <t>紘司</t>
  </si>
  <si>
    <t>よでん</t>
  </si>
  <si>
    <t>koji.yoden</t>
  </si>
  <si>
    <t>koji.yoden@mixi.co.jp</t>
  </si>
  <si>
    <t>大木誠</t>
  </si>
  <si>
    <t>makoto.oki.ts</t>
  </si>
  <si>
    <t>河合俊明</t>
  </si>
  <si>
    <t>俊明</t>
  </si>
  <si>
    <t>toshiaki.kawai</t>
  </si>
  <si>
    <t>赤窄菜留実01</t>
  </si>
  <si>
    <t>赤窄</t>
  </si>
  <si>
    <t>菜留実01</t>
  </si>
  <si>
    <t>あかさこ</t>
  </si>
  <si>
    <t>narumi.akasako.01</t>
  </si>
  <si>
    <t>narumi.akasako.01@mixi.co.jp</t>
  </si>
  <si>
    <t>穐山照栄</t>
  </si>
  <si>
    <t>穐山</t>
  </si>
  <si>
    <t>照栄</t>
  </si>
  <si>
    <t>あきやま</t>
  </si>
  <si>
    <t>shoei.akiyama</t>
  </si>
  <si>
    <t>shoei.akiyama@m-chariloto-ps.com</t>
  </si>
  <si>
    <t>浅沼拓志01</t>
  </si>
  <si>
    <t>浅沼</t>
  </si>
  <si>
    <t>拓志01</t>
  </si>
  <si>
    <t>あさぬま</t>
  </si>
  <si>
    <t>takuji.asanuma.01.ts</t>
  </si>
  <si>
    <t>takuji.asanuma.01.ts@mixi.co.jp</t>
  </si>
  <si>
    <t>株式会社MIXI/木村管掌/デジタルエンターテインメントパブリッシング本部/事業探索室</t>
  </si>
  <si>
    <t>AO083020000</t>
  </si>
  <si>
    <t>石井昭宏</t>
  </si>
  <si>
    <t>昭宏</t>
  </si>
  <si>
    <t>akihiro.ishii</t>
  </si>
  <si>
    <t>akihiro.ishii@m-chariloto.com</t>
  </si>
  <si>
    <t>板垣阿美</t>
  </si>
  <si>
    <t>阿美</t>
  </si>
  <si>
    <t>ami.itagaki</t>
  </si>
  <si>
    <t>ami.itagaki@mixi.co.jp</t>
  </si>
  <si>
    <t>今橋明希</t>
  </si>
  <si>
    <t>今橋</t>
  </si>
  <si>
    <t>明希</t>
  </si>
  <si>
    <t>いまはし</t>
  </si>
  <si>
    <t>aki.imahashi</t>
  </si>
  <si>
    <t>aki.imahashi@m-chariloto.com</t>
  </si>
  <si>
    <t>宇都宮海雲</t>
  </si>
  <si>
    <t>宇都宮</t>
  </si>
  <si>
    <t>海雲</t>
  </si>
  <si>
    <t>うつのみや</t>
  </si>
  <si>
    <t>かうん</t>
  </si>
  <si>
    <t>kaun.utsunomiya.ts</t>
  </si>
  <si>
    <t>kaun.utsunomiya.ts@mixi.co.jp</t>
  </si>
  <si>
    <t>海老根由紀</t>
  </si>
  <si>
    <t>海老根</t>
  </si>
  <si>
    <t>由紀</t>
  </si>
  <si>
    <t>えびね</t>
  </si>
  <si>
    <t>yuki.ebine.ts</t>
  </si>
  <si>
    <t>yuki.ebine.ts@mixi.co.jp</t>
  </si>
  <si>
    <t>大平眞聖</t>
  </si>
  <si>
    <t>眞聖</t>
  </si>
  <si>
    <t>おおだいら</t>
  </si>
  <si>
    <t>masato.odaira</t>
  </si>
  <si>
    <t>masato.odaira@mixi.co.jp</t>
  </si>
  <si>
    <t>小原綾真</t>
  </si>
  <si>
    <t>綾真</t>
  </si>
  <si>
    <t>おばる</t>
  </si>
  <si>
    <t>ryoma.obaru.ts</t>
  </si>
  <si>
    <t>ryoma.obaru.ts@mixi.co.jp</t>
  </si>
  <si>
    <t>門川正隆01</t>
  </si>
  <si>
    <t>門川</t>
  </si>
  <si>
    <t>正隆01</t>
  </si>
  <si>
    <t>かどがわ</t>
  </si>
  <si>
    <t>masataka.kadogawa.01.ts</t>
  </si>
  <si>
    <t>masataka.kadogawa.01.ts@mixi.co.jp</t>
  </si>
  <si>
    <t>金子州大</t>
  </si>
  <si>
    <t>州大</t>
  </si>
  <si>
    <t>shuta.kaneko.ts</t>
  </si>
  <si>
    <t>shuta.kaneko.ts@mixi.co.jp</t>
  </si>
  <si>
    <t>金田実里</t>
  </si>
  <si>
    <t>実里</t>
  </si>
  <si>
    <t>かねだ</t>
  </si>
  <si>
    <t>minori.kaneda.ts</t>
  </si>
  <si>
    <t>上国料勇</t>
  </si>
  <si>
    <t>上国料</t>
  </si>
  <si>
    <t>かみこくりょう</t>
  </si>
  <si>
    <t>isamu.kamikokuryo.ts</t>
  </si>
  <si>
    <t>isamu.kamikokuryo.ts@mixi.co.jp</t>
  </si>
  <si>
    <t>木村仁美01</t>
  </si>
  <si>
    <t>仁美01</t>
  </si>
  <si>
    <t>hitomi.kimura.01</t>
  </si>
  <si>
    <t>hitomi.kimura.01@netdreamers.co.jp</t>
  </si>
  <si>
    <t>倉永昂治</t>
  </si>
  <si>
    <t>倉永</t>
  </si>
  <si>
    <t>昂治</t>
  </si>
  <si>
    <t>くらなが</t>
  </si>
  <si>
    <t>koji.kuranaga.ts</t>
  </si>
  <si>
    <t>koji.kuranaga.ts@mixi.co.jp</t>
  </si>
  <si>
    <t>小布施友紀子</t>
  </si>
  <si>
    <t>小布施</t>
  </si>
  <si>
    <t>友紀子</t>
  </si>
  <si>
    <t>こぶせ</t>
  </si>
  <si>
    <t>yukiko.kobuse.ts</t>
  </si>
  <si>
    <t>yukiko.kobuse.ts@mixi.co.jp</t>
  </si>
  <si>
    <t>小谷野孝仁</t>
  </si>
  <si>
    <t>小谷野</t>
  </si>
  <si>
    <t>孝仁</t>
  </si>
  <si>
    <t>こやの</t>
  </si>
  <si>
    <t>atsuto.koyano.ts</t>
  </si>
  <si>
    <t>atsuto.koyano.ts@mixi.co.jp</t>
  </si>
  <si>
    <t>齊藤駿</t>
  </si>
  <si>
    <t>駿</t>
  </si>
  <si>
    <t>shun.saito.ts</t>
  </si>
  <si>
    <t>shun.saito.ts@mixi.co.jp</t>
  </si>
  <si>
    <t>佐藤博01</t>
  </si>
  <si>
    <t>博01</t>
  </si>
  <si>
    <t>hiroshi.sato.01</t>
  </si>
  <si>
    <t>hiroshi.sato.01@mixi.co.jp</t>
  </si>
  <si>
    <t>佐藤友紀01</t>
  </si>
  <si>
    <t>yuki.sato.01</t>
  </si>
  <si>
    <t>yuki.sato.01@m-chariloto-ps.com</t>
  </si>
  <si>
    <t>佐野裕一朗</t>
  </si>
  <si>
    <t>裕一朗</t>
  </si>
  <si>
    <t>yuichiro.sano.ts</t>
  </si>
  <si>
    <t>yuichiro.sano.ts@mixi.co.jp</t>
  </si>
  <si>
    <t>椎葉紗也加</t>
  </si>
  <si>
    <t>椎葉</t>
  </si>
  <si>
    <t>紗也加</t>
  </si>
  <si>
    <t>しいば</t>
  </si>
  <si>
    <t>sayaka.shiiba</t>
  </si>
  <si>
    <t>sayaka.shiiba@mixi.co.jp</t>
  </si>
  <si>
    <t>神村初佳</t>
  </si>
  <si>
    <t>初佳</t>
  </si>
  <si>
    <t>じんむら</t>
  </si>
  <si>
    <t>そよか</t>
  </si>
  <si>
    <t>soyoka.jimmura.ts</t>
  </si>
  <si>
    <t>soyoka.jimmura.ts@mixi.co.jp</t>
  </si>
  <si>
    <t>高正明磨</t>
  </si>
  <si>
    <t>高正</t>
  </si>
  <si>
    <t>明磨</t>
  </si>
  <si>
    <t>たかしょう</t>
  </si>
  <si>
    <t>あきま</t>
  </si>
  <si>
    <t>akima.takasho.ts</t>
  </si>
  <si>
    <t>akima.takasho.ts@mixi.co.jp</t>
  </si>
  <si>
    <t>瀧本はろか</t>
  </si>
  <si>
    <t>はろか</t>
  </si>
  <si>
    <t>haroka.takimoto.ts</t>
  </si>
  <si>
    <t>haroka.takimoto.ts@mixi.co.jp</t>
  </si>
  <si>
    <t>田中舘里美01</t>
  </si>
  <si>
    <t>田中舘</t>
  </si>
  <si>
    <t>里美01</t>
  </si>
  <si>
    <t>たなかだて</t>
  </si>
  <si>
    <t>satomi.tanakadate.01</t>
  </si>
  <si>
    <t>satomi.tanakadate.01@m-chariloto.com</t>
  </si>
  <si>
    <t>谷口隼人</t>
  </si>
  <si>
    <t>hayato.taniguchi.ts</t>
  </si>
  <si>
    <t>hayato.taniguchi.ts@mixi.co.jp</t>
  </si>
  <si>
    <t>田上彩花</t>
  </si>
  <si>
    <t>田上</t>
  </si>
  <si>
    <t>たのうえ</t>
  </si>
  <si>
    <t>ayaka.tanoue.ts</t>
  </si>
  <si>
    <t>ayaka.tanoue.ts@mixi.co.jp</t>
  </si>
  <si>
    <t>田村彩貴</t>
  </si>
  <si>
    <t>彩貴</t>
  </si>
  <si>
    <t>saki.tamura.ts</t>
  </si>
  <si>
    <t>田村稔行</t>
  </si>
  <si>
    <t>稔行</t>
  </si>
  <si>
    <t>toshiyuki.tamura.ts</t>
  </si>
  <si>
    <t>toshiyuki.tamura.ts@mixi.co.jp</t>
  </si>
  <si>
    <t>崔志誠</t>
  </si>
  <si>
    <t>志誠</t>
  </si>
  <si>
    <t>ちぇ</t>
  </si>
  <si>
    <t>じそん</t>
  </si>
  <si>
    <t>jiseong.choi</t>
  </si>
  <si>
    <t>jiseong.choi@netdreamers.co.jp</t>
  </si>
  <si>
    <t>寺崎匠</t>
  </si>
  <si>
    <t>寺崎</t>
  </si>
  <si>
    <t>てらさき</t>
  </si>
  <si>
    <t>takumi.terasaki.ts</t>
  </si>
  <si>
    <t>takumi.terasaki.ts@mixi.co.jp</t>
  </si>
  <si>
    <t>中川友陽</t>
  </si>
  <si>
    <t>友陽</t>
  </si>
  <si>
    <t>tomoaki.nakagawa.ts</t>
  </si>
  <si>
    <t>tomoaki.nakagawa.ts@mixi.co.jp</t>
  </si>
  <si>
    <t>中村明日香</t>
  </si>
  <si>
    <t>asuka.nakamura.ts</t>
  </si>
  <si>
    <t>asuka.nakamura.ts@mixi.co.jp</t>
  </si>
  <si>
    <t>鍋澤俊太01</t>
  </si>
  <si>
    <t>鍋澤</t>
  </si>
  <si>
    <t>俊太01</t>
  </si>
  <si>
    <t>なべさわ</t>
  </si>
  <si>
    <t>しゅんた</t>
  </si>
  <si>
    <t>shunta.nabesawa.01.ts</t>
  </si>
  <si>
    <t>shunta.nabesawa.01.ts@m-picon.com</t>
  </si>
  <si>
    <t>新原耕太</t>
  </si>
  <si>
    <t>新原</t>
  </si>
  <si>
    <t>にいはら</t>
  </si>
  <si>
    <t>kota.niihara.ts</t>
  </si>
  <si>
    <t>kota.niihara.ts@mixi.co.jp</t>
  </si>
  <si>
    <t>西村俊亮</t>
  </si>
  <si>
    <t>俊亮</t>
  </si>
  <si>
    <t>shunsuke.nishimura.ts</t>
  </si>
  <si>
    <t>shunsuke.nishimura.ts@mixi.co.jp</t>
  </si>
  <si>
    <t>西村総一郎</t>
  </si>
  <si>
    <t>総一郎</t>
  </si>
  <si>
    <t>soichiro.nishimura.ts</t>
  </si>
  <si>
    <t>soichiro.nishimura.ts@netdreamers.co.jp</t>
  </si>
  <si>
    <t>萩原佐重</t>
  </si>
  <si>
    <t>佐重</t>
  </si>
  <si>
    <t>sae.hagiwara</t>
  </si>
  <si>
    <t>sae.hagiwara@m-chariloto-ps.com</t>
  </si>
  <si>
    <t>羽尻知広</t>
  </si>
  <si>
    <t>羽尻</t>
  </si>
  <si>
    <t>知広</t>
  </si>
  <si>
    <t>はじり</t>
  </si>
  <si>
    <t>tomohiro.hajiri</t>
  </si>
  <si>
    <t>tomohiro.hajiri@mixi.co.jp</t>
  </si>
  <si>
    <t>林建志</t>
  </si>
  <si>
    <t>建志</t>
  </si>
  <si>
    <t>takeshi.hayashi.ts</t>
  </si>
  <si>
    <t>takeshi.hayashi.ts@mixi.co.jp</t>
  </si>
  <si>
    <t>林英明</t>
  </si>
  <si>
    <t>hideaki.hayashi</t>
  </si>
  <si>
    <t>hideaki.hayashi@m-chariloto-ps.com</t>
  </si>
  <si>
    <t>星澤夏生</t>
  </si>
  <si>
    <t>星澤</t>
  </si>
  <si>
    <t>夏生</t>
  </si>
  <si>
    <t>ほしざわ</t>
  </si>
  <si>
    <t>natsuki.hoshizawa</t>
  </si>
  <si>
    <t>natsuki.hoshizawa@mixi.co.jp</t>
  </si>
  <si>
    <t>本庄崇</t>
  </si>
  <si>
    <t>本庄</t>
  </si>
  <si>
    <t>ほんじょう</t>
  </si>
  <si>
    <t>takashi.honjo.ts</t>
  </si>
  <si>
    <t>takashi.honjo.ts@mixi.co.jp</t>
  </si>
  <si>
    <t>増田翔</t>
  </si>
  <si>
    <t>sho.masuda.ts</t>
  </si>
  <si>
    <t>sho.masuda.ts@mixi.co.jp</t>
  </si>
  <si>
    <t>丸谷昂稀</t>
  </si>
  <si>
    <t>丸谷</t>
  </si>
  <si>
    <t>昂稀</t>
  </si>
  <si>
    <t>まるや</t>
  </si>
  <si>
    <t>koki.maruya.ts</t>
  </si>
  <si>
    <t>koki.maruya.ts@mixi.co.jp</t>
  </si>
  <si>
    <t>丸山孝仁</t>
  </si>
  <si>
    <t>takahito.maruyama</t>
  </si>
  <si>
    <t>takahito.maruyama@mixi.co.jp</t>
  </si>
  <si>
    <t>宮本拓実</t>
  </si>
  <si>
    <t>takumi.miyamoto</t>
  </si>
  <si>
    <t>takumi.miyamoto@netdreamers.co.jp</t>
  </si>
  <si>
    <t>八重樫快己01</t>
  </si>
  <si>
    <t>快己01</t>
  </si>
  <si>
    <t>yoshiki.yaegashi.01</t>
  </si>
  <si>
    <t>yoshiki.yaegashi.01@m-chariloto-ps.com</t>
  </si>
  <si>
    <t>山口徹01</t>
  </si>
  <si>
    <t>toru.yamaguchi.01</t>
  </si>
  <si>
    <t>toru.yamaguchi.01@m-chariloto-ps.com</t>
  </si>
  <si>
    <t>山口みつ子01</t>
  </si>
  <si>
    <t>みつ子01</t>
  </si>
  <si>
    <t>みつこ</t>
  </si>
  <si>
    <t>mitsuko.yamaguchi.01.ts</t>
  </si>
  <si>
    <t>mitsuko.yamaguchi.01.ts@m-sfidante.com</t>
  </si>
  <si>
    <t>山口みなみ</t>
  </si>
  <si>
    <t>minami.yamaguchi</t>
  </si>
  <si>
    <t>minami.yamaguchi@m-chariloto.com</t>
  </si>
  <si>
    <t>山下紗和01</t>
  </si>
  <si>
    <t>紗和01</t>
  </si>
  <si>
    <t>sawa.yamashita.01</t>
  </si>
  <si>
    <t>sawa.yamashita.01@mixi.co.jp</t>
  </si>
  <si>
    <t>AX089050000
AR059050701</t>
  </si>
  <si>
    <t>山下春樹01</t>
  </si>
  <si>
    <t>春樹01</t>
  </si>
  <si>
    <t>haruki.yamashita.01</t>
  </si>
  <si>
    <t>haruki.yamashita.01@mixi.co.jp</t>
  </si>
  <si>
    <t>山本椋太</t>
  </si>
  <si>
    <t>椋太</t>
  </si>
  <si>
    <t>むくた</t>
  </si>
  <si>
    <t>mukuta.yamamoto.ts</t>
  </si>
  <si>
    <t>mukuta.yamamoto.ts@mixi.co.jp</t>
  </si>
  <si>
    <t>吉田直生</t>
  </si>
  <si>
    <t>nao.yoshida.ts</t>
  </si>
  <si>
    <t>nao.yoshida.ts@mixi.co.jp</t>
  </si>
  <si>
    <t>阿部達也01</t>
  </si>
  <si>
    <t>達也01</t>
  </si>
  <si>
    <t>tatsuya.abe.01</t>
  </si>
  <si>
    <t>tatsuya.abe.01@mixi.co.jp</t>
  </si>
  <si>
    <t>荒尾恵太</t>
  </si>
  <si>
    <t>荒尾</t>
  </si>
  <si>
    <t>あらお</t>
  </si>
  <si>
    <t>keita.arao</t>
  </si>
  <si>
    <t>keita.arao@m-chariloto-ps.com</t>
  </si>
  <si>
    <t>安蔵幸弥</t>
  </si>
  <si>
    <t>安蔵</t>
  </si>
  <si>
    <t>幸弥</t>
  </si>
  <si>
    <t>あんぞう</t>
  </si>
  <si>
    <t>ゆきや</t>
  </si>
  <si>
    <t>yukiya.anzo.ts</t>
  </si>
  <si>
    <t>yukiya.anzo.ts@mixi.co.jp</t>
  </si>
  <si>
    <t>内田聡之</t>
  </si>
  <si>
    <t>聡之</t>
  </si>
  <si>
    <t>satoshi.uchida.ts</t>
  </si>
  <si>
    <t>satoshi.uchida.ts@mixi.co.jp</t>
  </si>
  <si>
    <t>内海悠達</t>
  </si>
  <si>
    <t>内海</t>
  </si>
  <si>
    <t>悠達</t>
  </si>
  <si>
    <t>うつみ</t>
  </si>
  <si>
    <t>yuto.utsumi</t>
  </si>
  <si>
    <t>yuto.utsumi@m-chariloto-ps.com</t>
  </si>
  <si>
    <t>笠井誠次</t>
  </si>
  <si>
    <t>笠井</t>
  </si>
  <si>
    <t>誠次</t>
  </si>
  <si>
    <t>かさい</t>
  </si>
  <si>
    <t>seiji.kasai</t>
  </si>
  <si>
    <t>seiji.kasai@m-chariloto-ps.com</t>
  </si>
  <si>
    <t>梶應佳史01</t>
  </si>
  <si>
    <t>佳史01</t>
  </si>
  <si>
    <t>yoshifumi.kajio.01</t>
  </si>
  <si>
    <t>yoshifumi.kajio.01@m-chariloto-ps.com</t>
  </si>
  <si>
    <t>木村竜介</t>
  </si>
  <si>
    <t>ryusuke.kimura</t>
  </si>
  <si>
    <t>ryusuke.kimura@m-chariloto-ps.com</t>
  </si>
  <si>
    <t>香西貴文</t>
  </si>
  <si>
    <t>香西</t>
  </si>
  <si>
    <t>貴文</t>
  </si>
  <si>
    <t>こうざい</t>
  </si>
  <si>
    <t>takafumi.kozai</t>
  </si>
  <si>
    <t>takafumi.kozai@m-chariloto-ps.com</t>
  </si>
  <si>
    <t>佐々木佳奈</t>
  </si>
  <si>
    <t>kana.sasaki</t>
  </si>
  <si>
    <t>kana.sasaki@mixi.co.jp</t>
  </si>
  <si>
    <t>鈴木遥香01</t>
  </si>
  <si>
    <t>遥香01</t>
  </si>
  <si>
    <t>haruka.suzuki.01.ts</t>
  </si>
  <si>
    <t>haruka.suzuki.01.ts@mixi.co.jp</t>
  </si>
  <si>
    <t>鈴木璃音</t>
  </si>
  <si>
    <t>rion.suzuki.ts</t>
  </si>
  <si>
    <t>rion.suzuki.ts@mixi.co.jp</t>
  </si>
  <si>
    <t>祖川日菜子</t>
  </si>
  <si>
    <t>日菜子</t>
  </si>
  <si>
    <t>ひなこ</t>
  </si>
  <si>
    <t>hinako.sogawa</t>
  </si>
  <si>
    <t>hinako.sogawa@m-chariloto-ps.com</t>
  </si>
  <si>
    <t>高橋那弥</t>
  </si>
  <si>
    <t>那弥</t>
  </si>
  <si>
    <t>nami.takahashi</t>
  </si>
  <si>
    <t>nami.takahashi@m-chariloto-ps.com</t>
  </si>
  <si>
    <t>田久保昌樹01</t>
  </si>
  <si>
    <t>田久保</t>
  </si>
  <si>
    <t>昌樹01</t>
  </si>
  <si>
    <t>たくぼ</t>
  </si>
  <si>
    <t>masaki.takubo.01.ts</t>
  </si>
  <si>
    <t>masaki.takubo.01.ts@mixi.co.jp</t>
  </si>
  <si>
    <t>遠山知里</t>
  </si>
  <si>
    <t>遠山</t>
  </si>
  <si>
    <t>知里</t>
  </si>
  <si>
    <t>とおやま</t>
  </si>
  <si>
    <t>chisato.toyama.ts</t>
  </si>
  <si>
    <t>chisato.toyama.ts@mixi.co.jp</t>
  </si>
  <si>
    <t>德本可奈子01</t>
  </si>
  <si>
    <t>可奈子01</t>
  </si>
  <si>
    <t>kanako.tokumoto.01</t>
  </si>
  <si>
    <t>kanako.tokumoto.01@m-chariloto-ps.com</t>
  </si>
  <si>
    <t>長瀬寛明</t>
  </si>
  <si>
    <t>寛明</t>
  </si>
  <si>
    <t>hiroaki.nagase.ts</t>
  </si>
  <si>
    <t>hiroaki.nagase.ts@mixi.co.jp</t>
  </si>
  <si>
    <t>西川浩平01</t>
  </si>
  <si>
    <t>浩平01</t>
  </si>
  <si>
    <t>kohei.nishikawa.01</t>
  </si>
  <si>
    <t>kohei.nishikawa.01@m-chariloto-ps.com</t>
  </si>
  <si>
    <t>西原賀永</t>
  </si>
  <si>
    <t>賀永</t>
  </si>
  <si>
    <t>かえ</t>
  </si>
  <si>
    <t>kae.nishihara.ts</t>
  </si>
  <si>
    <t>kae.nishihara.ts@mixi.co.jp</t>
  </si>
  <si>
    <t>株式会社MIXI/木村管掌/デジタルエンターテインメントオペレーションズ本部/事業戦略部/事業推進グループ</t>
  </si>
  <si>
    <t>AO082050600</t>
  </si>
  <si>
    <t>野口真羽</t>
  </si>
  <si>
    <t>真羽</t>
  </si>
  <si>
    <t>まう</t>
  </si>
  <si>
    <t>mau.noguchi</t>
  </si>
  <si>
    <t>mau.noguchi@netdreamers.co.jp</t>
  </si>
  <si>
    <t>野坂健斗</t>
  </si>
  <si>
    <t>野坂</t>
  </si>
  <si>
    <t>健斗</t>
  </si>
  <si>
    <t>のさか</t>
  </si>
  <si>
    <t>kento.nosaka.ts</t>
  </si>
  <si>
    <t>kento.nosaka.ts@mixi.co.jp</t>
  </si>
  <si>
    <t>橋本剛志</t>
  </si>
  <si>
    <t>takeshi.hashimoto</t>
  </si>
  <si>
    <t>takeshi.hashimoto@m-chariloto-ps.com</t>
  </si>
  <si>
    <t>長谷部里奈</t>
  </si>
  <si>
    <t>rina.hasebe</t>
  </si>
  <si>
    <t>rina.hasebe@m-chariloto-ps.com</t>
  </si>
  <si>
    <t>林亜虎</t>
  </si>
  <si>
    <t>亜虎</t>
  </si>
  <si>
    <t>あとら</t>
  </si>
  <si>
    <t>atora.hayashi.ts</t>
  </si>
  <si>
    <t>atora.hayashi.ts@mixi.co.jp</t>
  </si>
  <si>
    <t>番匠谷拓実</t>
  </si>
  <si>
    <t>番匠谷</t>
  </si>
  <si>
    <t>ばんじょうや</t>
  </si>
  <si>
    <t>takumi.banjoya.ts</t>
  </si>
  <si>
    <t>takumi.banjoya.ts@m-picon.com</t>
  </si>
  <si>
    <t>藤原郊大</t>
  </si>
  <si>
    <t>郊大</t>
  </si>
  <si>
    <t>kodai.fujiwara</t>
  </si>
  <si>
    <t>kodai.fujiwara@m-chariloto-ps.com</t>
  </si>
  <si>
    <t>松岡進</t>
  </si>
  <si>
    <t>進</t>
  </si>
  <si>
    <t>susumu.matsuoka</t>
  </si>
  <si>
    <t>susumu.matsuoka@m-chariloto-ps.com</t>
  </si>
  <si>
    <t>松川翔太01</t>
  </si>
  <si>
    <t>翔太01</t>
  </si>
  <si>
    <t>shota.matsukawa.01</t>
  </si>
  <si>
    <t>shota.matsukawa.01@m-chariloto-ps.com</t>
  </si>
  <si>
    <t>松本祥三01</t>
  </si>
  <si>
    <t>祥三01</t>
  </si>
  <si>
    <t>しょうぞう</t>
  </si>
  <si>
    <t>shozo.matsumoto.01.ts</t>
  </si>
  <si>
    <t>shozo.matsumoto.01.ts@mixi.co.jp</t>
  </si>
  <si>
    <t>松山浩之</t>
  </si>
  <si>
    <t>hiroyuki.matsuyama</t>
  </si>
  <si>
    <t>hiroyuki.matsuyama@m-chariloto-ps.com</t>
  </si>
  <si>
    <t>宮木哲</t>
  </si>
  <si>
    <t>tetsu.miyaki.ts</t>
  </si>
  <si>
    <t>tetsu.miyaki.ts@mixi.co.jp</t>
  </si>
  <si>
    <t>村上琴夏</t>
  </si>
  <si>
    <t>琴夏</t>
  </si>
  <si>
    <t>ことか</t>
  </si>
  <si>
    <t>kotoka.murakami</t>
  </si>
  <si>
    <t>kotoka.murakami@m-chariloto-ps.com</t>
  </si>
  <si>
    <t>村橋万里</t>
  </si>
  <si>
    <t>村橋</t>
  </si>
  <si>
    <t>万里</t>
  </si>
  <si>
    <t>むらはし</t>
  </si>
  <si>
    <t>masato.murahashi</t>
  </si>
  <si>
    <t>masato.murahashi@m-chariloto-ps.com</t>
  </si>
  <si>
    <t>森島志旺</t>
  </si>
  <si>
    <t>森島</t>
  </si>
  <si>
    <t>志旺</t>
  </si>
  <si>
    <t>もりしま</t>
  </si>
  <si>
    <t>しおう</t>
  </si>
  <si>
    <t>shio.morishima</t>
  </si>
  <si>
    <t>shio.morishima@m-chariloto-ps.com</t>
  </si>
  <si>
    <t>山地秀典</t>
  </si>
  <si>
    <t>秀典</t>
  </si>
  <si>
    <t>hidenori.yamaji</t>
  </si>
  <si>
    <t>hidenori.yamaji@m-chariloto-ps.com</t>
  </si>
  <si>
    <t>山下彪生</t>
  </si>
  <si>
    <t>彪生</t>
  </si>
  <si>
    <t>takeru.yamashita</t>
  </si>
  <si>
    <t>takeru.yamashita@m-chariloto-ps.com</t>
  </si>
  <si>
    <t>山本裕司</t>
  </si>
  <si>
    <t>yuji.yamamoto.ts</t>
  </si>
  <si>
    <t>yuji.yamamoto.ts@mixi.co.jp</t>
  </si>
  <si>
    <t>山本祐輔</t>
  </si>
  <si>
    <t>yusuke.yamamoto.ts</t>
  </si>
  <si>
    <t>yusuke.yamamoto.ts@mixi.co.jp</t>
  </si>
  <si>
    <t>芦川倫子01</t>
  </si>
  <si>
    <t>芦川</t>
  </si>
  <si>
    <t>あしかわ</t>
  </si>
  <si>
    <t>michiko.ashikawa.01</t>
  </si>
  <si>
    <t>michiko.ashikawa.01@m-chariloto.com</t>
  </si>
  <si>
    <t>芦川倫子</t>
  </si>
  <si>
    <t>倫子</t>
  </si>
  <si>
    <t>michiko.ashikawa</t>
  </si>
  <si>
    <t>michiko.ashikawa@m-chariloto-ps.com</t>
  </si>
  <si>
    <t>天野亨</t>
  </si>
  <si>
    <t>亨</t>
  </si>
  <si>
    <t>toru.amano</t>
  </si>
  <si>
    <t>toru.amano@m-chariloto-ps.com</t>
  </si>
  <si>
    <t>石井真人01</t>
  </si>
  <si>
    <t>真人01</t>
  </si>
  <si>
    <t>masato.ishii.01</t>
  </si>
  <si>
    <t>masato.ishii.01@mixi.co.jp</t>
  </si>
  <si>
    <t>石田潤一郎</t>
  </si>
  <si>
    <t>潤一郎</t>
  </si>
  <si>
    <t>じゅんいちろう</t>
  </si>
  <si>
    <t>junichiro.ishida.ts</t>
  </si>
  <si>
    <t>junichiro.ishida.ts@mixi.co.jp</t>
  </si>
  <si>
    <t>AO082090502</t>
  </si>
  <si>
    <t>伊藤ひなの</t>
  </si>
  <si>
    <t>hinano.ito</t>
  </si>
  <si>
    <t>hinano.ito@netdreamers.co.jp</t>
  </si>
  <si>
    <t>井上智祥</t>
  </si>
  <si>
    <t>智祥</t>
  </si>
  <si>
    <t>tomohiro.inoue.ts</t>
  </si>
  <si>
    <t>tomohiro.inoue.ts@mixi.co.jp</t>
  </si>
  <si>
    <t>上田倫</t>
  </si>
  <si>
    <t>rin.ueda</t>
  </si>
  <si>
    <t>rin.ueda@m-chariloto-ps.com</t>
  </si>
  <si>
    <t>上野邦彦</t>
  </si>
  <si>
    <t>邦彦</t>
  </si>
  <si>
    <t>くにひこ</t>
  </si>
  <si>
    <t>kunihiko.ueno</t>
  </si>
  <si>
    <t>kunihiko.ueno@mixi.co.jp</t>
  </si>
  <si>
    <t>AX089060300</t>
  </si>
  <si>
    <t>大塚みどり</t>
  </si>
  <si>
    <t>midori.otsuka</t>
  </si>
  <si>
    <t>midori.otsuka@m-chariloto-ps.com</t>
  </si>
  <si>
    <t>岡村凌兵</t>
  </si>
  <si>
    <t>凌兵</t>
  </si>
  <si>
    <t>ryohei.okamura</t>
  </si>
  <si>
    <t>ryohei.okamura@mixi.co.jp</t>
  </si>
  <si>
    <t>織田美穂</t>
  </si>
  <si>
    <t>織田</t>
  </si>
  <si>
    <t>おだ</t>
  </si>
  <si>
    <t>miho.oda</t>
  </si>
  <si>
    <t>miho.oda@m-chariloto-ps.com</t>
  </si>
  <si>
    <t>小田原博紀</t>
  </si>
  <si>
    <t>小田原</t>
  </si>
  <si>
    <t>おだわら</t>
  </si>
  <si>
    <t>hiroki.odawara</t>
  </si>
  <si>
    <t>hiroki.odawara@m-chariloto-ps.com</t>
  </si>
  <si>
    <t>海出勇気</t>
  </si>
  <si>
    <t>海出</t>
  </si>
  <si>
    <t>勇気</t>
  </si>
  <si>
    <t>かいで</t>
  </si>
  <si>
    <t>yuki.kaide</t>
  </si>
  <si>
    <t>yuki.kaide@mixi.co.jp</t>
  </si>
  <si>
    <t>AX089080100
AX089060200</t>
  </si>
  <si>
    <t>加々見佳奈01</t>
  </si>
  <si>
    <t>加々見</t>
  </si>
  <si>
    <t>佳奈01</t>
  </si>
  <si>
    <t>かがみ</t>
  </si>
  <si>
    <t>kana.kagami.01.ts</t>
  </si>
  <si>
    <t>kana.kagami.01.ts@mixi.co.jp</t>
  </si>
  <si>
    <t>AR060051200</t>
  </si>
  <si>
    <t>掛橋絵加01</t>
  </si>
  <si>
    <t>絵加01</t>
  </si>
  <si>
    <t>eka.kakehashi.01</t>
  </si>
  <si>
    <t>eka.kakehashi.01@m-chariloto-ps.com</t>
  </si>
  <si>
    <t>片山章則01</t>
  </si>
  <si>
    <t>章則01</t>
  </si>
  <si>
    <t>akinori.katayama.01</t>
  </si>
  <si>
    <t>akinori.katayama.01@m-chariloto-ps.com</t>
  </si>
  <si>
    <t>川上由紀子01</t>
  </si>
  <si>
    <t>由紀子01</t>
  </si>
  <si>
    <t>yukiko.kawakami.01.ts</t>
  </si>
  <si>
    <t>yukiko.kawakami.01.ts@mixi.co.jp</t>
  </si>
  <si>
    <t>川口由惟01</t>
  </si>
  <si>
    <t>由惟01</t>
  </si>
  <si>
    <t>yui.kawaguchi.01</t>
  </si>
  <si>
    <t>yui.kawaguchi.01@m-chariloto-ps.com</t>
  </si>
  <si>
    <t>川田和輝</t>
  </si>
  <si>
    <t>川田</t>
  </si>
  <si>
    <t>かわだ</t>
  </si>
  <si>
    <t>kazuki.kawada</t>
  </si>
  <si>
    <t>kazuki.kawada@m-chariloto-ps.com</t>
  </si>
  <si>
    <t>齋藤幸兵01</t>
  </si>
  <si>
    <t>幸兵01</t>
  </si>
  <si>
    <t>kohei.saito.01</t>
  </si>
  <si>
    <t>kohei.saito.01@netdreamers.co.jp</t>
  </si>
  <si>
    <t>XM551010100</t>
  </si>
  <si>
    <t>迫田和樹</t>
  </si>
  <si>
    <t>迫田</t>
  </si>
  <si>
    <t>さこだ</t>
  </si>
  <si>
    <t>kazuki.sakoda</t>
  </si>
  <si>
    <t>kazuki.sakoda@m-chariloto-ps.com</t>
  </si>
  <si>
    <t>佐藤良雄</t>
  </si>
  <si>
    <t>良雄</t>
  </si>
  <si>
    <t>よしお</t>
  </si>
  <si>
    <t>yoshio.sato.ts</t>
  </si>
  <si>
    <t>yoshio.sato.ts@netdreamers.co.jp</t>
  </si>
  <si>
    <t>白幡隼之介</t>
  </si>
  <si>
    <t>白幡</t>
  </si>
  <si>
    <t>隼之介</t>
  </si>
  <si>
    <t>しらはた</t>
  </si>
  <si>
    <t>junnosuke.shirahata</t>
  </si>
  <si>
    <t>junnosuke.shirahata@m-chariloto.com</t>
  </si>
  <si>
    <t>新出雄大</t>
  </si>
  <si>
    <t>新出</t>
  </si>
  <si>
    <t>しんで</t>
  </si>
  <si>
    <t>yudai.shinde</t>
  </si>
  <si>
    <t>yudai.shinde@m-chariloto-ps.com</t>
  </si>
  <si>
    <t>菅波麻由子</t>
  </si>
  <si>
    <t>菅波</t>
  </si>
  <si>
    <t>麻由子</t>
  </si>
  <si>
    <t>すがなみ</t>
  </si>
  <si>
    <t>mayuko.suganami</t>
  </si>
  <si>
    <t>mayuko.suganami@m-chariloto-ps.com</t>
  </si>
  <si>
    <t>高柳勇太01</t>
  </si>
  <si>
    <t>高柳</t>
  </si>
  <si>
    <t>勇太01</t>
  </si>
  <si>
    <t>yuta.takayanagi.01</t>
  </si>
  <si>
    <t>yuta.takayanagi.01@mixi.co.jp</t>
  </si>
  <si>
    <t>田村創</t>
  </si>
  <si>
    <t>hajime.tamura.ts</t>
  </si>
  <si>
    <t>hajime.tamura.ts@mixi.co.jp</t>
  </si>
  <si>
    <t>中井快昌</t>
  </si>
  <si>
    <t>快昌</t>
  </si>
  <si>
    <t>yoshimasa.nakai</t>
  </si>
  <si>
    <t>yoshimasa.nakai@mixi.co.jp</t>
  </si>
  <si>
    <t>長尾穂乃香</t>
  </si>
  <si>
    <t>穂乃香</t>
  </si>
  <si>
    <t>honoka.nagao</t>
  </si>
  <si>
    <t>honoka.nagao@m-chariloto-ps.com</t>
  </si>
  <si>
    <t>長尾優花</t>
  </si>
  <si>
    <t>優花</t>
  </si>
  <si>
    <t>yuka.nagao.ts</t>
  </si>
  <si>
    <t>yuka.nagao.ts@mixi.co.jp</t>
  </si>
  <si>
    <t>中川均</t>
  </si>
  <si>
    <t>均</t>
  </si>
  <si>
    <t>hitoshi.nakagawa.ts</t>
  </si>
  <si>
    <t>hitoshi.nakagawa.ts@mixi.co.jp</t>
  </si>
  <si>
    <t>中野信之介</t>
  </si>
  <si>
    <t>信之介</t>
  </si>
  <si>
    <t>shinnosuke.nakano</t>
  </si>
  <si>
    <t>shinnosuke.nakano@m-chariloto-ps.com</t>
  </si>
  <si>
    <t>滑修一</t>
  </si>
  <si>
    <t>滑</t>
  </si>
  <si>
    <t>なめら</t>
  </si>
  <si>
    <t>shuichi.namera</t>
  </si>
  <si>
    <t>shuichi.namera@m-chariloto-ps.com</t>
  </si>
  <si>
    <t>原唯香01</t>
  </si>
  <si>
    <t>唯香01</t>
  </si>
  <si>
    <t>ゆいか</t>
  </si>
  <si>
    <t>yuika.hara.01</t>
  </si>
  <si>
    <t>yuika.hara.01@mixi.co.jp</t>
  </si>
  <si>
    <t>平尾和也</t>
  </si>
  <si>
    <t>平尾</t>
  </si>
  <si>
    <t>ひらお</t>
  </si>
  <si>
    <t>kazuya.hirao.ts</t>
  </si>
  <si>
    <t>kazuya.hirao.ts@mixi.co.jp</t>
  </si>
  <si>
    <t>藤木梨紗</t>
  </si>
  <si>
    <t>risa.fujiki</t>
  </si>
  <si>
    <t>risa.fujiki@mixi.co.jp</t>
  </si>
  <si>
    <t>益子大輝01</t>
  </si>
  <si>
    <t>daiki.mashiko.01</t>
  </si>
  <si>
    <t>daiki.mashiko.01@m-lovegraph.com</t>
  </si>
  <si>
    <t>望月龍司</t>
  </si>
  <si>
    <t>ryuji.mochizuki.ts</t>
  </si>
  <si>
    <t>ryuji.mochizuki.ts@mixi.co.jp</t>
  </si>
  <si>
    <t>山口翔平</t>
  </si>
  <si>
    <t>shohei.yamaguchi.ts</t>
  </si>
  <si>
    <t>shohei.yamaguchi.ts@mixi.co.jp</t>
  </si>
  <si>
    <t>渡邊大貴01</t>
  </si>
  <si>
    <t>大貴01</t>
  </si>
  <si>
    <t>daiki.watanabe.01</t>
  </si>
  <si>
    <t>daiki.watanabe.01@m-chariloto-ps.com</t>
  </si>
  <si>
    <t>足立里空01</t>
  </si>
  <si>
    <t>足立</t>
  </si>
  <si>
    <t>里空01</t>
  </si>
  <si>
    <t>riku.adachi.01</t>
  </si>
  <si>
    <t>riku.adachi.01@mixi.co.jp</t>
  </si>
  <si>
    <t>AX089050000
AQ061071806</t>
  </si>
  <si>
    <t>阿部俊一</t>
  </si>
  <si>
    <t>俊一</t>
  </si>
  <si>
    <t>shunichi.abe.ts</t>
  </si>
  <si>
    <t>shunichi.abe.ts@mixi.co.jp</t>
  </si>
  <si>
    <t>生田和美</t>
  </si>
  <si>
    <t>生田</t>
  </si>
  <si>
    <t>いくた</t>
  </si>
  <si>
    <t>kazumi.ikuta</t>
  </si>
  <si>
    <t>kazumi.ikuta@m-chariloto-ps.com</t>
  </si>
  <si>
    <t>石戸谷奈々01</t>
  </si>
  <si>
    <t>石戸谷</t>
  </si>
  <si>
    <t>奈々01</t>
  </si>
  <si>
    <t>いしどや</t>
  </si>
  <si>
    <t>nana.ishidoya.01.ts</t>
  </si>
  <si>
    <t>nana.ishidoya.01.ts@mixi.co.jp</t>
  </si>
  <si>
    <t>井出勇二</t>
  </si>
  <si>
    <t>勇二</t>
  </si>
  <si>
    <t>yuji.ide</t>
  </si>
  <si>
    <t>yuji.ide@m-chariloto.com</t>
  </si>
  <si>
    <t>内海係治</t>
  </si>
  <si>
    <t>係治</t>
  </si>
  <si>
    <t>けいじ</t>
  </si>
  <si>
    <t>keiji.utsumi.ts</t>
  </si>
  <si>
    <t>keiji.utsumi.ts@mixi.co.jp</t>
  </si>
  <si>
    <t>長内幸太郎</t>
  </si>
  <si>
    <t>kotaro.osanai.ts</t>
  </si>
  <si>
    <t>kotaro.osanai.ts@mixi.co.jp</t>
  </si>
  <si>
    <t>小田桐龍之介</t>
  </si>
  <si>
    <t>小田桐</t>
  </si>
  <si>
    <t>おだぎり</t>
  </si>
  <si>
    <t>ryunosuke.odagiri</t>
  </si>
  <si>
    <t>ryunosuke.odagiri@mixi.co.jp</t>
  </si>
  <si>
    <t>小沼一紀01</t>
  </si>
  <si>
    <t>小沼</t>
  </si>
  <si>
    <t>一紀01</t>
  </si>
  <si>
    <t>おぬま</t>
  </si>
  <si>
    <t>kazunori.onuma.01</t>
  </si>
  <si>
    <t>kazunori.onuma.01@mixi.co.jp</t>
  </si>
  <si>
    <t>後藤崇史01</t>
  </si>
  <si>
    <t>崇史01</t>
  </si>
  <si>
    <t>takafumi.goto.01</t>
  </si>
  <si>
    <t>takafumi.goto.01@m-chariloto.com</t>
  </si>
  <si>
    <t>後藤崇史</t>
  </si>
  <si>
    <t>崇史</t>
  </si>
  <si>
    <t>takafumi.goto</t>
  </si>
  <si>
    <t>takafumi.goto@m-chariloto-ps.com</t>
  </si>
  <si>
    <t>小林美優</t>
  </si>
  <si>
    <t>miyu.kobayashi</t>
  </si>
  <si>
    <t>miyu.kobayashi@m-chariloto-ps.com</t>
  </si>
  <si>
    <t>近藤天平01</t>
  </si>
  <si>
    <t>天平01</t>
  </si>
  <si>
    <t>teppei.kondo.01</t>
  </si>
  <si>
    <t>teppei.kondo.01@m-chariloto.com</t>
  </si>
  <si>
    <t>近藤天平</t>
  </si>
  <si>
    <t>天平</t>
  </si>
  <si>
    <t>teppei.kondo</t>
  </si>
  <si>
    <t>teppei.kondo@m-chariloto-ps.com</t>
  </si>
  <si>
    <t>迫田和樹01</t>
  </si>
  <si>
    <t>和樹01</t>
  </si>
  <si>
    <t>kazuki.sakoda.01</t>
  </si>
  <si>
    <t>kazuki.sakoda.01@m-chariloto.com</t>
  </si>
  <si>
    <t>髙棟雄斗01</t>
  </si>
  <si>
    <t>髙棟</t>
  </si>
  <si>
    <t>雄斗01</t>
  </si>
  <si>
    <t>たかむね</t>
  </si>
  <si>
    <t>yuto.takamune.01</t>
  </si>
  <si>
    <t>yuto.takamune.01@mixi.co.jp</t>
  </si>
  <si>
    <t>AX089050000
AO082020200</t>
  </si>
  <si>
    <t>谷口雛野</t>
  </si>
  <si>
    <t>雛野</t>
  </si>
  <si>
    <t>hinano.taniguchi.ts</t>
  </si>
  <si>
    <t>hinano.taniguchi.ts@mixi.co.jp</t>
  </si>
  <si>
    <t>多留充礼</t>
  </si>
  <si>
    <t>多留</t>
  </si>
  <si>
    <t>充礼</t>
  </si>
  <si>
    <t>たる</t>
  </si>
  <si>
    <t>みちひろ</t>
  </si>
  <si>
    <t>michihiro.taru</t>
  </si>
  <si>
    <t>michihiro.taru@m-chariloto-ps.com</t>
  </si>
  <si>
    <t>眞砂幸</t>
  </si>
  <si>
    <t>眞砂</t>
  </si>
  <si>
    <t>まさご</t>
  </si>
  <si>
    <t>miyuki.masago</t>
  </si>
  <si>
    <t>miyuki.masago@m-chariloto-ps.com</t>
  </si>
  <si>
    <t>増田由佳</t>
  </si>
  <si>
    <t>yuka.masuda</t>
  </si>
  <si>
    <t>yuka.masuda@m-chariloto-ps.com</t>
  </si>
  <si>
    <t>松村健一01</t>
  </si>
  <si>
    <t>松村</t>
  </si>
  <si>
    <t>健一01</t>
  </si>
  <si>
    <t>まつむら</t>
  </si>
  <si>
    <t>kenichi.matsumura.01</t>
  </si>
  <si>
    <t>kenichi.matsumura.01@m-chariloto.com</t>
  </si>
  <si>
    <t>松村健一</t>
  </si>
  <si>
    <t>kenichi.matsumura</t>
  </si>
  <si>
    <t>kenichi.matsumura@m-chariloto-ps.com</t>
  </si>
  <si>
    <t>村松昌樹</t>
  </si>
  <si>
    <t>昌樹</t>
  </si>
  <si>
    <t>masaki.muramatsu.ts</t>
  </si>
  <si>
    <t>masaki.muramatsu.ts@mixi.co.jp</t>
  </si>
  <si>
    <t>森元香子</t>
  </si>
  <si>
    <t>森元</t>
  </si>
  <si>
    <t>こうこ</t>
  </si>
  <si>
    <t>koko.morimoto</t>
  </si>
  <si>
    <t>koko.morimoto@mixi.co.jp</t>
  </si>
  <si>
    <t>AX089020201
XG514030100</t>
  </si>
  <si>
    <t>山口愛子</t>
  </si>
  <si>
    <t>chikako.yamaguchi</t>
  </si>
  <si>
    <t>chikako.yamaguchi@mixi.co.jp</t>
  </si>
  <si>
    <t>安部真規子01</t>
  </si>
  <si>
    <t>真規子01</t>
  </si>
  <si>
    <t>makiko.abe.01.ts</t>
  </si>
  <si>
    <t>makiko.abe.01.ts@mixi.co.jp</t>
  </si>
  <si>
    <t>五十嵐香奈子</t>
  </si>
  <si>
    <t>kanako.igarashi</t>
  </si>
  <si>
    <t>kanako.igarashi@mixi.co.jp</t>
  </si>
  <si>
    <t>AX089080402
AX089080401</t>
  </si>
  <si>
    <t>伊東泰成01</t>
  </si>
  <si>
    <t>泰成01</t>
  </si>
  <si>
    <t>taisei.ito.01</t>
  </si>
  <si>
    <t>taisei.ito.01@m-chariloto-ps.com</t>
  </si>
  <si>
    <t>小野瀬宏01</t>
  </si>
  <si>
    <t>小野瀬</t>
  </si>
  <si>
    <t>宏01</t>
  </si>
  <si>
    <t>おのせ</t>
  </si>
  <si>
    <t>hiroshi.onose.01</t>
  </si>
  <si>
    <t>hiroshi.onose.01@mixi.co.jp</t>
  </si>
  <si>
    <t>AX078080000
AW085030000</t>
  </si>
  <si>
    <t>粕谷誠01</t>
  </si>
  <si>
    <t>粕谷</t>
  </si>
  <si>
    <t>誠01</t>
  </si>
  <si>
    <t>かすや</t>
  </si>
  <si>
    <t>makoto.kasuya.01</t>
  </si>
  <si>
    <t>makoto.kasuya.01@m-chariloto.com</t>
  </si>
  <si>
    <t>粕谷誠</t>
  </si>
  <si>
    <t>makoto.kasuya</t>
  </si>
  <si>
    <t>makoto.kasuya@m-chariloto-ps.com</t>
  </si>
  <si>
    <t>片桐翔太</t>
  </si>
  <si>
    <t>片桐</t>
  </si>
  <si>
    <t>かたぎり</t>
  </si>
  <si>
    <t>shota.katagiri.ts</t>
  </si>
  <si>
    <t>shota.katagiri.ts@mixi.co.jp</t>
  </si>
  <si>
    <t>川崎太輝</t>
  </si>
  <si>
    <t>太輝</t>
  </si>
  <si>
    <t>taiki.kawasaki.ts</t>
  </si>
  <si>
    <t>taiki.kawasaki.ts@mixi.co.jp</t>
  </si>
  <si>
    <t>川瀬あゆみ</t>
  </si>
  <si>
    <t>ayumi.kawase</t>
  </si>
  <si>
    <t>ayumi.kawase@mixi.co.jp</t>
  </si>
  <si>
    <t>AX089030200
AX089030100
AX089080000</t>
  </si>
  <si>
    <t>河村玲奈</t>
  </si>
  <si>
    <t>玲奈</t>
  </si>
  <si>
    <t>reina.kawamura.ts</t>
  </si>
  <si>
    <t>reina.kawamura.ts@mixi.co.jp</t>
  </si>
  <si>
    <t>金怡玥</t>
  </si>
  <si>
    <t>怡玥</t>
  </si>
  <si>
    <t>きん</t>
  </si>
  <si>
    <t>いげつ</t>
  </si>
  <si>
    <t>yiyue.jin.ts</t>
  </si>
  <si>
    <t>yiyue.jin.ts@netdreamers.co.jp</t>
  </si>
  <si>
    <t>國武意宙</t>
  </si>
  <si>
    <t>國武</t>
  </si>
  <si>
    <t>意宙</t>
  </si>
  <si>
    <t>くにたけ</t>
  </si>
  <si>
    <t>むねひろ</t>
  </si>
  <si>
    <t>munehiro.kunitake</t>
  </si>
  <si>
    <t>munehiro.kunitake@m-chariloto-ps.com</t>
  </si>
  <si>
    <t>倉持瑞穂</t>
  </si>
  <si>
    <t>倉持</t>
  </si>
  <si>
    <t>くらもち</t>
  </si>
  <si>
    <t>mizuho.kuramochi</t>
  </si>
  <si>
    <t>mizuho.kuramochi@mixi.co.jp</t>
  </si>
  <si>
    <t>黒岩裕太</t>
  </si>
  <si>
    <t>yuta.kuroiwa</t>
  </si>
  <si>
    <t>yuta.kuroiwa@mixi.co.jp</t>
  </si>
  <si>
    <t>五郡優</t>
  </si>
  <si>
    <t>五郡</t>
  </si>
  <si>
    <t>ごぐん</t>
  </si>
  <si>
    <t>masaru.gogun</t>
  </si>
  <si>
    <t>masaru.gogun@netdreamers.co.jp</t>
  </si>
  <si>
    <t>XM550060000
XM550000000</t>
  </si>
  <si>
    <t>佐久間拓也</t>
  </si>
  <si>
    <t>takuya.sakuma</t>
  </si>
  <si>
    <t>takuya.sakuma@m-chariloto.com</t>
  </si>
  <si>
    <t>佐藤あや</t>
  </si>
  <si>
    <t>aya.sato.ts</t>
  </si>
  <si>
    <t>aya.sato.ts@mixi.co.jp</t>
  </si>
  <si>
    <t>佐藤有斗</t>
  </si>
  <si>
    <t>有斗</t>
  </si>
  <si>
    <t>ゆいと</t>
  </si>
  <si>
    <t>yuito.sato.ts</t>
  </si>
  <si>
    <t>yuito.sato.ts@mixi.co.jp</t>
  </si>
  <si>
    <t>嶋脇真樹</t>
  </si>
  <si>
    <t>嶋脇</t>
  </si>
  <si>
    <t>真樹</t>
  </si>
  <si>
    <t>しまわき</t>
  </si>
  <si>
    <t>masaki.shimawaki</t>
  </si>
  <si>
    <t>masaki.shimawaki@netdreamers.co.jp</t>
  </si>
  <si>
    <t>杉井馨</t>
  </si>
  <si>
    <t>杉井</t>
  </si>
  <si>
    <t>馨</t>
  </si>
  <si>
    <t>すぎい</t>
  </si>
  <si>
    <t>kaoru.sugii</t>
  </si>
  <si>
    <t>kaoru.sugii@m-chariloto-ps.com</t>
  </si>
  <si>
    <t>杉原加代子</t>
  </si>
  <si>
    <t>杉原</t>
  </si>
  <si>
    <t>加代子</t>
  </si>
  <si>
    <t>すぎはら</t>
  </si>
  <si>
    <t>かよこ</t>
  </si>
  <si>
    <t>kayoko.sugihara</t>
  </si>
  <si>
    <t>kayoko.sugihara@m-chariloto-ps.com</t>
  </si>
  <si>
    <t>鈴木彩加01</t>
  </si>
  <si>
    <t>ayaka.suzuki.01</t>
  </si>
  <si>
    <t>ayaka.suzuki.01@m-chariloto-ps.com</t>
  </si>
  <si>
    <t>鈴木智貴</t>
  </si>
  <si>
    <t>智貴</t>
  </si>
  <si>
    <t>ともたか</t>
  </si>
  <si>
    <t>tomotaka.suzuki.ts</t>
  </si>
  <si>
    <t>tomotaka.suzuki.ts@mixi.co.jp</t>
  </si>
  <si>
    <t>鈴木正範</t>
  </si>
  <si>
    <t>正範</t>
  </si>
  <si>
    <t>masanori.suzuki</t>
  </si>
  <si>
    <t>masanori.suzuki@m-chariloto-ps.com</t>
  </si>
  <si>
    <t>関学01</t>
  </si>
  <si>
    <t>学01</t>
  </si>
  <si>
    <t>manabu.seki.01</t>
  </si>
  <si>
    <t>manabu.seki.01@mixi.co.jp</t>
  </si>
  <si>
    <t>高月崇光</t>
  </si>
  <si>
    <t>高月</t>
  </si>
  <si>
    <t>崇光</t>
  </si>
  <si>
    <t>たかつき</t>
  </si>
  <si>
    <t>takamitsu.takatsuki</t>
  </si>
  <si>
    <t>takamitsu.takatsuki@m-chariloto-ps.com</t>
  </si>
  <si>
    <t>高橋希次</t>
  </si>
  <si>
    <t>希次</t>
  </si>
  <si>
    <t>きずく</t>
  </si>
  <si>
    <t>kizuku.takahashi</t>
  </si>
  <si>
    <t>kizuku.takahashi@netdreamers.co.jp</t>
  </si>
  <si>
    <t>田中彩希</t>
  </si>
  <si>
    <t>彩希</t>
  </si>
  <si>
    <t>saki.tanaka.ts</t>
  </si>
  <si>
    <t>saki.tanaka.ts@netdreamers.co.jp</t>
  </si>
  <si>
    <t>田中将貴01</t>
  </si>
  <si>
    <t>将貴01</t>
  </si>
  <si>
    <t>yukitaka.tanaka.01</t>
  </si>
  <si>
    <t>yukitaka.tanaka.01@m-chariloto-ps.com</t>
  </si>
  <si>
    <t>鶴原美穂</t>
  </si>
  <si>
    <t>鶴原</t>
  </si>
  <si>
    <t>つるはら</t>
  </si>
  <si>
    <t>miho.tsuruhara</t>
  </si>
  <si>
    <t>miho.tsuruhara@mixi.co.jp</t>
  </si>
  <si>
    <t>中川幸紀</t>
  </si>
  <si>
    <t>幸紀</t>
  </si>
  <si>
    <t>koki.nakagawa.ts</t>
  </si>
  <si>
    <t>koki.nakagawa.ts@netdreamers.co.jp</t>
  </si>
  <si>
    <t>西崎靖弘01</t>
  </si>
  <si>
    <t>靖弘01</t>
  </si>
  <si>
    <t>yasuhiro.nishizaki.01</t>
  </si>
  <si>
    <t>yasuhiro.nishizaki.01@m-chariloto-ps.com</t>
  </si>
  <si>
    <t>萩野泰至</t>
  </si>
  <si>
    <t>萩野</t>
  </si>
  <si>
    <t>泰至</t>
  </si>
  <si>
    <t>はぎの</t>
  </si>
  <si>
    <t>たいじ</t>
  </si>
  <si>
    <t>taiji.hagino</t>
  </si>
  <si>
    <t>taiji.hagino@m-chariloto-ps.com</t>
  </si>
  <si>
    <t>畠山大希</t>
  </si>
  <si>
    <t>畠山</t>
  </si>
  <si>
    <t>はたけやま</t>
  </si>
  <si>
    <t>daiki.hatakeyama</t>
  </si>
  <si>
    <t>daiki.hatakeyama@mixi.co.jp</t>
  </si>
  <si>
    <t>福島信一郎</t>
  </si>
  <si>
    <t>信一郎</t>
  </si>
  <si>
    <t>shinichiro.fukushima</t>
  </si>
  <si>
    <t>shinichiro.fukushima@mixi.co.jp</t>
  </si>
  <si>
    <t>福森航輔</t>
  </si>
  <si>
    <t>福森</t>
  </si>
  <si>
    <t>航輔</t>
  </si>
  <si>
    <t>ふくもり</t>
  </si>
  <si>
    <t>kosuke.fukumori</t>
  </si>
  <si>
    <t>kosuke.fukumori@mixi.co.jp</t>
  </si>
  <si>
    <t>船橋拡考01</t>
  </si>
  <si>
    <t>拡考01</t>
  </si>
  <si>
    <t>hirotaka.funahashi.01</t>
  </si>
  <si>
    <t>hirotaka.funahashi.01@m-chariloto-ps.com</t>
  </si>
  <si>
    <t>本多恵美子</t>
  </si>
  <si>
    <t>恵美子</t>
  </si>
  <si>
    <t>emiko.honda</t>
  </si>
  <si>
    <t>emiko.honda@mixi.co.jp</t>
  </si>
  <si>
    <t>AX089040100
AX089040200
AX089040300</t>
  </si>
  <si>
    <t>松岡裕大</t>
  </si>
  <si>
    <t>裕大</t>
  </si>
  <si>
    <t>yudai.matsuoka</t>
  </si>
  <si>
    <t>yudai.matsuoka@m-chariloto-ps.com</t>
  </si>
  <si>
    <t>水船健司</t>
  </si>
  <si>
    <t>健司</t>
  </si>
  <si>
    <t>kenji.mizufune.ts</t>
  </si>
  <si>
    <t>水船翔太01</t>
  </si>
  <si>
    <t>shota.mizufune.01</t>
  </si>
  <si>
    <t>shota.mizufune.01@m-chariloto-ps.com</t>
  </si>
  <si>
    <t>三原優輝01</t>
  </si>
  <si>
    <t>優輝01</t>
  </si>
  <si>
    <t>yuki.mihara.01</t>
  </si>
  <si>
    <t>yuki.mihara.01@mixi.co.jp</t>
  </si>
  <si>
    <t>AX089050000
AW076020708</t>
  </si>
  <si>
    <t>三輪幸寛</t>
  </si>
  <si>
    <t>三輪</t>
  </si>
  <si>
    <t>幸寛</t>
  </si>
  <si>
    <t>yukihiro.miwa.ts</t>
  </si>
  <si>
    <t>yukihiro.miwa.ts@mixi.co.jp</t>
  </si>
  <si>
    <t>安田有香</t>
  </si>
  <si>
    <t>有香</t>
  </si>
  <si>
    <t>yuka.yasuda</t>
  </si>
  <si>
    <t>yuka.yasuda@m-chariloto-ps.com</t>
  </si>
  <si>
    <t>栁澤亜古</t>
  </si>
  <si>
    <t>栁澤</t>
  </si>
  <si>
    <t>亜古</t>
  </si>
  <si>
    <t>やなぎさわ</t>
  </si>
  <si>
    <t>あこ</t>
  </si>
  <si>
    <t>ako.yanagisawa</t>
  </si>
  <si>
    <t>ako.yanagisawa@mixi.co.jp</t>
  </si>
  <si>
    <t>山元ほるん</t>
  </si>
  <si>
    <t>山元</t>
  </si>
  <si>
    <t>ほるん</t>
  </si>
  <si>
    <t>horun.yamamoto.ts</t>
  </si>
  <si>
    <t>山脇直人</t>
  </si>
  <si>
    <t>naoto.yamawaki</t>
  </si>
  <si>
    <t>naoto.yamawaki@mixi.co.jp</t>
  </si>
  <si>
    <t>横田大樹01</t>
  </si>
  <si>
    <t>大樹01</t>
  </si>
  <si>
    <t>daiki.yokota.01.ts</t>
  </si>
  <si>
    <t>daiki.yokota.01.ts@m-chariloto.com</t>
  </si>
  <si>
    <t>芳田耕平</t>
  </si>
  <si>
    <t>芳田</t>
  </si>
  <si>
    <t>耕平</t>
  </si>
  <si>
    <t>kohei.yoshida.ts</t>
  </si>
  <si>
    <t>kohei.yoshida.ts@mixi.co.jp</t>
  </si>
  <si>
    <t>米倉文緒</t>
  </si>
  <si>
    <t>米倉</t>
  </si>
  <si>
    <t>文緒</t>
  </si>
  <si>
    <t>よねくら</t>
  </si>
  <si>
    <t>mio.yonekura.ts</t>
  </si>
  <si>
    <t>mio.yonekura.ts@netdreamers.co.jp</t>
  </si>
  <si>
    <t>青木勇樹01</t>
  </si>
  <si>
    <t>勇樹01</t>
  </si>
  <si>
    <t>yuki.aoki.01</t>
  </si>
  <si>
    <t>yuki.aoki.01@mixi.co.jp</t>
  </si>
  <si>
    <t>AX089050000
AR060051300</t>
  </si>
  <si>
    <t>芦澤夏紀</t>
  </si>
  <si>
    <t>夏紀</t>
  </si>
  <si>
    <t>natsuki.ashizawa</t>
  </si>
  <si>
    <t>natsuki.ashizawa@m-chariloto-ps.com</t>
  </si>
  <si>
    <t>池田脩吾</t>
  </si>
  <si>
    <t>脩吾</t>
  </si>
  <si>
    <t>shugo.ikeda.ts</t>
  </si>
  <si>
    <t>shugo.ikeda.ts@m-chariloto.com</t>
  </si>
  <si>
    <t>伊藤匡翼</t>
  </si>
  <si>
    <t>匡翼</t>
  </si>
  <si>
    <t>kyosuke.ito.ts</t>
  </si>
  <si>
    <t>kyosuke.ito.ts@mixi.co.jp</t>
  </si>
  <si>
    <t>伊藤星詩瑠</t>
  </si>
  <si>
    <t>星詩瑠</t>
  </si>
  <si>
    <t>せしる</t>
  </si>
  <si>
    <t>seshiru.ito.ts</t>
  </si>
  <si>
    <t>seshiru.ito.ts@mixi.co.jp</t>
  </si>
  <si>
    <t>大藪修平01</t>
  </si>
  <si>
    <t>修平01</t>
  </si>
  <si>
    <t>shuhei.oyabu.01</t>
  </si>
  <si>
    <t>shuhei.oyabu.01@m-chariloto-ps.com</t>
  </si>
  <si>
    <t>奥山太樹01</t>
  </si>
  <si>
    <t>太樹01</t>
  </si>
  <si>
    <t>taiju.okuyama.01</t>
  </si>
  <si>
    <t>taiju.okuyama.01@m-chariloto-ps.com</t>
  </si>
  <si>
    <t>掛井歩01</t>
  </si>
  <si>
    <t>掛井</t>
  </si>
  <si>
    <t>かけい</t>
  </si>
  <si>
    <t>ayumu.kakei.01</t>
  </si>
  <si>
    <t>ayumu.kakei.01@m-chariloto.com</t>
  </si>
  <si>
    <t>掛井歩</t>
  </si>
  <si>
    <t>ayumu.kakei</t>
  </si>
  <si>
    <t>ayumu.kakei@m-chariloto-ps.com</t>
  </si>
  <si>
    <t>酒井大智</t>
  </si>
  <si>
    <t>大智</t>
  </si>
  <si>
    <t>daichi.sakai</t>
  </si>
  <si>
    <t>daichi.sakai@mixi.co.jp</t>
  </si>
  <si>
    <t>佐藤寧々</t>
  </si>
  <si>
    <t>寧々</t>
  </si>
  <si>
    <t>ねね</t>
  </si>
  <si>
    <t>nene.sato</t>
  </si>
  <si>
    <t>nene.sato@m-chariloto-ps.com</t>
  </si>
  <si>
    <t>佐藤元軌</t>
  </si>
  <si>
    <t>元軌</t>
  </si>
  <si>
    <t>motoki.sato.ts</t>
  </si>
  <si>
    <t>motoki.sato.ts@mixi.co.jp</t>
  </si>
  <si>
    <t>杉本千彰</t>
  </si>
  <si>
    <t>千彰</t>
  </si>
  <si>
    <t>chiaki.sugimoto</t>
  </si>
  <si>
    <t>chiaki.sugimoto@m-chariloto-ps.com</t>
  </si>
  <si>
    <t>鈴木太生雄</t>
  </si>
  <si>
    <t>太生雄</t>
  </si>
  <si>
    <t>たきお</t>
  </si>
  <si>
    <t>takio.suzuki</t>
  </si>
  <si>
    <t>takio.suzuki@m-chariloto-ps.com</t>
  </si>
  <si>
    <t>平成美01</t>
  </si>
  <si>
    <t>成美01</t>
  </si>
  <si>
    <t>shigemi.taira.01</t>
  </si>
  <si>
    <t>shigemi.taira.01@m-chariloto.com</t>
  </si>
  <si>
    <t>平成美</t>
  </si>
  <si>
    <t>成美</t>
  </si>
  <si>
    <t>shigemi.taira</t>
  </si>
  <si>
    <t>shigemi.taira@m-chariloto-ps.com</t>
  </si>
  <si>
    <t>但木友紀子01</t>
  </si>
  <si>
    <t>但木</t>
  </si>
  <si>
    <t>友紀子01</t>
  </si>
  <si>
    <t>ただき</t>
  </si>
  <si>
    <t>yukiko.tadaki.01</t>
  </si>
  <si>
    <t>yukiko.tadaki.01@mixi.co.jp</t>
  </si>
  <si>
    <t>田端真有</t>
  </si>
  <si>
    <t>田端</t>
  </si>
  <si>
    <t>真有</t>
  </si>
  <si>
    <t>mayu.tabata.ts</t>
  </si>
  <si>
    <t>mayu.tabata.ts@mixi.co.jp</t>
  </si>
  <si>
    <t>袴田奈実01</t>
  </si>
  <si>
    <t>袴田</t>
  </si>
  <si>
    <t>奈実01</t>
  </si>
  <si>
    <t>はかまだ</t>
  </si>
  <si>
    <t>nami.hakamada.01</t>
  </si>
  <si>
    <t>nami.hakamada.01@mixi.co.jp</t>
  </si>
  <si>
    <t>林正吾</t>
  </si>
  <si>
    <t>正吾</t>
  </si>
  <si>
    <t>shogo.hayashi.ts</t>
  </si>
  <si>
    <t>shogo.hayashi.ts@mixi.co.jp</t>
  </si>
  <si>
    <t>前田江里奈01</t>
  </si>
  <si>
    <t>江里奈01</t>
  </si>
  <si>
    <t>まえた</t>
  </si>
  <si>
    <t>erina.maeta.01</t>
  </si>
  <si>
    <t>erina.maeta.01@mixi.co.jp</t>
  </si>
  <si>
    <t>株式会社MIXI/島村管掌/コーポレートファイナンス本部/財務企画部</t>
  </si>
  <si>
    <t>AX088020000</t>
  </si>
  <si>
    <t>松島知哉</t>
  </si>
  <si>
    <t>知哉</t>
  </si>
  <si>
    <t>tomoya.matsushima</t>
  </si>
  <si>
    <t>tomoya.matsushima@m-chariloto-ps.com</t>
  </si>
  <si>
    <t>宮城伸明01</t>
  </si>
  <si>
    <t>伸明01</t>
  </si>
  <si>
    <t>nobuaki.miyagi.01</t>
  </si>
  <si>
    <t>nobuaki.miyagi.01@m-chariloto-ps.com</t>
  </si>
  <si>
    <t>村上晋司01</t>
  </si>
  <si>
    <t>晋司01</t>
  </si>
  <si>
    <t>shinji.murakami.01</t>
  </si>
  <si>
    <t>shinji.murakami.01@m-chariloto-ps.com</t>
  </si>
  <si>
    <t>妻鹿太郎</t>
  </si>
  <si>
    <t>妻鹿</t>
  </si>
  <si>
    <t>めが</t>
  </si>
  <si>
    <t>taro.mega</t>
  </si>
  <si>
    <t>taro.mega@m-chariloto.com</t>
  </si>
  <si>
    <t>青柳佑奈</t>
  </si>
  <si>
    <t>青柳</t>
  </si>
  <si>
    <t>あおやぎ</t>
  </si>
  <si>
    <t>yuna.aoyagi.ts</t>
  </si>
  <si>
    <t>yuna.aoyagi.ts@mixi.co.jp</t>
  </si>
  <si>
    <t>阿部一燈</t>
  </si>
  <si>
    <t>一燈</t>
  </si>
  <si>
    <t>kazuto.abe</t>
  </si>
  <si>
    <t>kazuto.abe@mixi.co.jp</t>
  </si>
  <si>
    <t>荒尾恵太01</t>
  </si>
  <si>
    <t>恵太01</t>
  </si>
  <si>
    <t>keita.arao.01</t>
  </si>
  <si>
    <t>keita.arao.01@m-chariloto.com</t>
  </si>
  <si>
    <t>石川秦也</t>
  </si>
  <si>
    <t>秦也</t>
  </si>
  <si>
    <t>shinya.ishikawa</t>
  </si>
  <si>
    <t>shinya.ishikawa@mixi-empowerment.co.jp</t>
  </si>
  <si>
    <t>磯崎良</t>
  </si>
  <si>
    <t>磯崎</t>
  </si>
  <si>
    <t>いそざき</t>
  </si>
  <si>
    <t>ryo.isozaki</t>
  </si>
  <si>
    <t>ryo.isozaki@mixi-empowerment.co.jp</t>
  </si>
  <si>
    <t>稲垣和芳</t>
  </si>
  <si>
    <t>和芳</t>
  </si>
  <si>
    <t>kazuyoshi.inagaki</t>
  </si>
  <si>
    <t>kazuyoshi.inagaki@mixi.co.jp</t>
  </si>
  <si>
    <t>今村真由美</t>
  </si>
  <si>
    <t>今村</t>
  </si>
  <si>
    <t>真由美</t>
  </si>
  <si>
    <t>いまむら</t>
  </si>
  <si>
    <t>mayumi.imamura</t>
  </si>
  <si>
    <t>mayumi.imamura@m-chariloto.com</t>
  </si>
  <si>
    <t>林貞佑</t>
  </si>
  <si>
    <t>貞佑</t>
  </si>
  <si>
    <t>いむ</t>
  </si>
  <si>
    <t>じょんう</t>
  </si>
  <si>
    <t>jeongwoo.lim</t>
  </si>
  <si>
    <t>jeongwoo.lim@m-winc.vc</t>
  </si>
  <si>
    <t>UmezonoAmanda01</t>
  </si>
  <si>
    <t>Umezono</t>
  </si>
  <si>
    <t>Amanda01</t>
  </si>
  <si>
    <t>うめぞの</t>
  </si>
  <si>
    <t>あまんだ</t>
  </si>
  <si>
    <t>amanda.umezono.01</t>
  </si>
  <si>
    <t>amanda.umezono.01@mixi.co.jp</t>
  </si>
  <si>
    <t>浦本美輝</t>
  </si>
  <si>
    <t>浦本</t>
  </si>
  <si>
    <t>うらもと</t>
  </si>
  <si>
    <t>miki.uramoto</t>
  </si>
  <si>
    <t>miki.uramoto@netdreamers.co.jp</t>
  </si>
  <si>
    <t>XM550040000
XM550000000</t>
  </si>
  <si>
    <t>海野拓</t>
  </si>
  <si>
    <t>海野</t>
  </si>
  <si>
    <t>うんの</t>
  </si>
  <si>
    <t>taku.unno</t>
  </si>
  <si>
    <t>taku.unno@mixi.co.jp</t>
  </si>
  <si>
    <t>AQ061070000</t>
  </si>
  <si>
    <t>大石万里花</t>
  </si>
  <si>
    <t>万里花</t>
  </si>
  <si>
    <t>まりか</t>
  </si>
  <si>
    <t>marika.oishi</t>
  </si>
  <si>
    <t>marika.oishi@m-chariloto.com</t>
  </si>
  <si>
    <t>小笠原悠太</t>
  </si>
  <si>
    <t>yuta.ogasawara.ts</t>
  </si>
  <si>
    <t>yuta.ogasawara.ts@mixi.co.jp</t>
  </si>
  <si>
    <t>岡本和樹01</t>
  </si>
  <si>
    <t>kazuki.okamoto.01</t>
  </si>
  <si>
    <t>kazuki.okamoto.01@m-chariloto-ps.com</t>
  </si>
  <si>
    <t>長田大和01</t>
  </si>
  <si>
    <t>長田</t>
  </si>
  <si>
    <t>大和01</t>
  </si>
  <si>
    <t>おさだ</t>
  </si>
  <si>
    <t>yamato.osada.01.ts</t>
  </si>
  <si>
    <t>yamato.osada.01.ts@mixi.co.jp</t>
  </si>
  <si>
    <t>粕谷俊介01</t>
  </si>
  <si>
    <t>俊介01</t>
  </si>
  <si>
    <t>shunsuke.kasuya.01</t>
  </si>
  <si>
    <t>shunsuke.kasuya.01@mixi.co.jp</t>
  </si>
  <si>
    <t>AX089050000
AR060060100</t>
  </si>
  <si>
    <t>川田吉雄</t>
  </si>
  <si>
    <t>吉雄</t>
  </si>
  <si>
    <t>yoshio.kawada.ts</t>
  </si>
  <si>
    <t>yoshio.kawada.ts@mixi.co.jp</t>
  </si>
  <si>
    <t>北畑洸明01</t>
  </si>
  <si>
    <t>北畑</t>
  </si>
  <si>
    <t>洸明01</t>
  </si>
  <si>
    <t>きたはた</t>
  </si>
  <si>
    <t>hiroaki.kitahata.01.ts</t>
  </si>
  <si>
    <t>hiroaki.kitahata.01.ts@netdreamers.co.jp</t>
  </si>
  <si>
    <t>金叡ウォン</t>
  </si>
  <si>
    <t>叡ウォン</t>
  </si>
  <si>
    <t>いぇうぉん</t>
  </si>
  <si>
    <t>yewon.kim.ts</t>
  </si>
  <si>
    <t>yewon.kim.ts@m-winc.vc</t>
  </si>
  <si>
    <t>木村京香</t>
  </si>
  <si>
    <t>京香</t>
  </si>
  <si>
    <t>きょうか</t>
  </si>
  <si>
    <t>kyoka.kimura.ts</t>
  </si>
  <si>
    <t>kyoka.kimura.ts@mixi.co.jp</t>
  </si>
  <si>
    <t>木村友希恵01</t>
  </si>
  <si>
    <t>友希恵01</t>
  </si>
  <si>
    <t>yukie.kimura.01.ts</t>
  </si>
  <si>
    <t>yukie.kimura.01.ts@mixi.co.jp</t>
  </si>
  <si>
    <t>小谷久俊</t>
  </si>
  <si>
    <t>久俊</t>
  </si>
  <si>
    <t>ひさとし</t>
  </si>
  <si>
    <t>hisatoshi.kotani</t>
  </si>
  <si>
    <t>hisatoshi.kotani@netdreamers.co.jp</t>
  </si>
  <si>
    <t>小西誠01</t>
  </si>
  <si>
    <t>makoto.konishi.01</t>
  </si>
  <si>
    <t>makoto.konishi.01@m-chariloto.com</t>
  </si>
  <si>
    <t>佐藤克樹</t>
  </si>
  <si>
    <t>克樹</t>
  </si>
  <si>
    <t>かつき</t>
  </si>
  <si>
    <t>katsuki.sato</t>
  </si>
  <si>
    <t>katsuki.sato@m-chariloto-ps.com</t>
  </si>
  <si>
    <t>新町隼人</t>
  </si>
  <si>
    <t>新町</t>
  </si>
  <si>
    <t>しんまち</t>
  </si>
  <si>
    <t>hayato.shimmachi</t>
  </si>
  <si>
    <t>hayato.shimmachi@mixi.co.jp</t>
  </si>
  <si>
    <t>杉本英</t>
  </si>
  <si>
    <t>えい</t>
  </si>
  <si>
    <t>ei.sugimoto</t>
  </si>
  <si>
    <t>ei.sugimoto@mixi.co.jp</t>
  </si>
  <si>
    <t>高橋睦01</t>
  </si>
  <si>
    <t>睦01</t>
  </si>
  <si>
    <t>makoto.takahashi.01.ts</t>
  </si>
  <si>
    <t>makoto.takahashi.01.ts@mixi.co.jp</t>
  </si>
  <si>
    <t>高橋愛華</t>
  </si>
  <si>
    <t>愛華</t>
  </si>
  <si>
    <t>まなか</t>
  </si>
  <si>
    <t>manaka.takahashi</t>
  </si>
  <si>
    <t>manaka.takahashi@mixi-empowerment.co.jp</t>
  </si>
  <si>
    <t>滝澤奏菜01</t>
  </si>
  <si>
    <t>奏菜01</t>
  </si>
  <si>
    <t>そな</t>
  </si>
  <si>
    <t>sona.takizawa.01</t>
  </si>
  <si>
    <t>sona.takizawa.01@netdreamers.co.jp</t>
  </si>
  <si>
    <t>武田圭介01</t>
  </si>
  <si>
    <t>圭介01</t>
  </si>
  <si>
    <t>keisuke.takeda.01.ts</t>
  </si>
  <si>
    <t>keisuke.takeda.01.ts@mixi.co.jp</t>
  </si>
  <si>
    <t>谷川純平01</t>
  </si>
  <si>
    <t>純平01</t>
  </si>
  <si>
    <t>jumpei.tanikawa.01</t>
  </si>
  <si>
    <t>jumpei.tanikawa.01@mixi.co.jp</t>
  </si>
  <si>
    <t>丹尚貴</t>
  </si>
  <si>
    <t>naoki.tan</t>
  </si>
  <si>
    <t>naoki.tan@mixi.co.jp</t>
  </si>
  <si>
    <t>築地宏法</t>
  </si>
  <si>
    <t>宏法</t>
  </si>
  <si>
    <t>hironori.tsukiji</t>
  </si>
  <si>
    <t>hironori.tsukiji@mixi.co.jp</t>
  </si>
  <si>
    <t>塗植瀚</t>
  </si>
  <si>
    <t>塗</t>
  </si>
  <si>
    <t>植瀚</t>
  </si>
  <si>
    <t>と</t>
  </si>
  <si>
    <t>しょくかん</t>
  </si>
  <si>
    <t>zhihan.tu.ts</t>
  </si>
  <si>
    <t>zhihan.tu.ts@mixi.co.jp</t>
  </si>
  <si>
    <t>中記子</t>
  </si>
  <si>
    <t>記子</t>
  </si>
  <si>
    <t>noriko.naka.ts</t>
  </si>
  <si>
    <t>noriko.naka.ts@mixi.co.jp</t>
  </si>
  <si>
    <t>登里倫行</t>
  </si>
  <si>
    <t>登里</t>
  </si>
  <si>
    <t>倫行</t>
  </si>
  <si>
    <t>のぼりざと</t>
  </si>
  <si>
    <t>noriyuki.noborizato</t>
  </si>
  <si>
    <t>noriyuki.noborizato@m-chariloto-ps.com</t>
  </si>
  <si>
    <t>箱崎道隆01</t>
  </si>
  <si>
    <t>箱崎</t>
  </si>
  <si>
    <t>道隆01</t>
  </si>
  <si>
    <t>はこざき</t>
  </si>
  <si>
    <t>みちたか</t>
  </si>
  <si>
    <t>michitaka.hakozaki.01</t>
  </si>
  <si>
    <t>michitaka.hakozaki.01@netdreamers.co.jp</t>
  </si>
  <si>
    <t>橋野哲</t>
  </si>
  <si>
    <t>橋野</t>
  </si>
  <si>
    <t>はしの</t>
  </si>
  <si>
    <t>tetsu.hashino.ts</t>
  </si>
  <si>
    <t>tetsu.hashino.ts@m-winc.vc</t>
  </si>
  <si>
    <t>橋場雄伍</t>
  </si>
  <si>
    <t>橋場</t>
  </si>
  <si>
    <t>雄伍</t>
  </si>
  <si>
    <t>はしば</t>
  </si>
  <si>
    <t>yugo.hashiba</t>
  </si>
  <si>
    <t>yugo.hashiba@mixi.co.jp</t>
  </si>
  <si>
    <t>橋本剛志01</t>
  </si>
  <si>
    <t>剛志01</t>
  </si>
  <si>
    <t>takeshi.hashimoto.01</t>
  </si>
  <si>
    <t>takeshi.hashimoto.01@m-chariloto.com</t>
  </si>
  <si>
    <t>早川由香里</t>
  </si>
  <si>
    <t>由香里</t>
  </si>
  <si>
    <t>yukari.hayakawa</t>
  </si>
  <si>
    <t>yukari.hayakawa@m-chariloto-ps.com</t>
  </si>
  <si>
    <t>東明宏01</t>
  </si>
  <si>
    <t>明宏01</t>
  </si>
  <si>
    <t>akihiro.higashi.01.ts</t>
  </si>
  <si>
    <t>akihiro.higashi.01.ts@m-winc.vc</t>
  </si>
  <si>
    <t>藤本克明</t>
  </si>
  <si>
    <t>克明</t>
  </si>
  <si>
    <t>かつあき</t>
  </si>
  <si>
    <t>katsuaki.fujimoto</t>
  </si>
  <si>
    <t>katsuaki.fujimoto@mixi.co.jp</t>
  </si>
  <si>
    <t>AX078010700</t>
  </si>
  <si>
    <t>細川哲哉</t>
  </si>
  <si>
    <t>細川</t>
  </si>
  <si>
    <t>哲哉</t>
  </si>
  <si>
    <t>ほそかわ</t>
  </si>
  <si>
    <t>tetsuya.hosokawa</t>
  </si>
  <si>
    <t>tetsuya.hosokawa@mixi-empowerment.co.jp</t>
  </si>
  <si>
    <t>堀内陽斗</t>
  </si>
  <si>
    <t>陽斗</t>
  </si>
  <si>
    <t>はると</t>
  </si>
  <si>
    <t>haruto.horiuchi.ts</t>
  </si>
  <si>
    <t>haruto.horiuchi.ts@mixi.co.jp</t>
  </si>
  <si>
    <t>美濃龍之介</t>
  </si>
  <si>
    <t>美濃</t>
  </si>
  <si>
    <t>みの</t>
  </si>
  <si>
    <t>ryunosuke.mino.ts</t>
  </si>
  <si>
    <t>ryunosuke.mino.ts@mixi.co.jp</t>
  </si>
  <si>
    <t>宮川智貴</t>
  </si>
  <si>
    <t>tomoki.miyagawa.ts</t>
  </si>
  <si>
    <t>tomoki.miyagawa.ts@mixi.co.jp</t>
  </si>
  <si>
    <t>村瀬敦哉</t>
  </si>
  <si>
    <t>敦哉</t>
  </si>
  <si>
    <t>あつや</t>
  </si>
  <si>
    <t>atsuya.murase</t>
  </si>
  <si>
    <t>atsuya.murase@mixi.co.jp</t>
  </si>
  <si>
    <t>茂木拓己</t>
  </si>
  <si>
    <t>もてぎ</t>
  </si>
  <si>
    <t>takumi.motegi.ts</t>
  </si>
  <si>
    <t>takumi.motegi.ts@mixi.co.jp</t>
  </si>
  <si>
    <t>安島良介</t>
  </si>
  <si>
    <t>安島</t>
  </si>
  <si>
    <t>やすじま</t>
  </si>
  <si>
    <t>ryosuke.yasujima.ts</t>
  </si>
  <si>
    <t>ryosuke.yasujima.ts@mixi.co.jp</t>
  </si>
  <si>
    <t>安田光德01</t>
  </si>
  <si>
    <t>光德01</t>
  </si>
  <si>
    <t>みつのり</t>
  </si>
  <si>
    <t>mitsunori.yasuda.01</t>
  </si>
  <si>
    <t>mitsunori.yasuda.01@mixi.co.jp</t>
  </si>
  <si>
    <t>山地秀典01</t>
  </si>
  <si>
    <t>秀典01</t>
  </si>
  <si>
    <t>hidenori.yamaji.01</t>
  </si>
  <si>
    <t>hidenori.yamaji.01@m-chariloto.com</t>
  </si>
  <si>
    <t>山田悠人01</t>
  </si>
  <si>
    <t>悠人01</t>
  </si>
  <si>
    <t>yuto.yamada.01</t>
  </si>
  <si>
    <t>yuto.yamada.01@mixi.co.jp</t>
  </si>
  <si>
    <t>AX089050000
AQ087020100</t>
  </si>
  <si>
    <t>吉野倫郎</t>
  </si>
  <si>
    <t>倫郎</t>
  </si>
  <si>
    <t>みちお</t>
  </si>
  <si>
    <t>michio.yoshino.ts</t>
  </si>
  <si>
    <t>michio.yoshino.ts@mixi.co.jp</t>
  </si>
  <si>
    <t>若友利枝子</t>
  </si>
  <si>
    <t>若友</t>
  </si>
  <si>
    <t>利枝子</t>
  </si>
  <si>
    <t>わかとも</t>
  </si>
  <si>
    <t>りえこ</t>
  </si>
  <si>
    <t>rieko.wakatomo</t>
  </si>
  <si>
    <t>rieko.wakatomo@m-chariloto.com</t>
  </si>
  <si>
    <t>渡邉広希01</t>
  </si>
  <si>
    <t>広希01</t>
  </si>
  <si>
    <t>hiroki.watanabe.01</t>
  </si>
  <si>
    <t>hiroki.watanabe.01@mixi.co.jp</t>
  </si>
  <si>
    <t>AX089050000
AR060010000</t>
  </si>
  <si>
    <t>組織1</t>
  </si>
  <si>
    <t>組織2</t>
  </si>
  <si>
    <t>組織3</t>
  </si>
  <si>
    <t>組織4</t>
  </si>
  <si>
    <t>組織5</t>
  </si>
  <si>
    <t>組織6</t>
  </si>
  <si>
    <t>木村管掌</t>
  </si>
  <si>
    <t>AO082050000</t>
  </si>
  <si>
    <t>村瀨管掌</t>
  </si>
  <si>
    <t>奥山管掌</t>
  </si>
  <si>
    <t>入山 まゆみ</t>
  </si>
  <si>
    <t>XM556020000</t>
  </si>
  <si>
    <t>AO082020000</t>
  </si>
  <si>
    <t>島村管掌</t>
  </si>
  <si>
    <t>管掌役員なし</t>
  </si>
  <si>
    <t>渉外部(本部格)</t>
  </si>
  <si>
    <t>小林管掌</t>
  </si>
  <si>
    <t>AU074020000</t>
  </si>
  <si>
    <t>後藤 嘉成</t>
  </si>
  <si>
    <t>笠原管掌</t>
  </si>
  <si>
    <t>榊原 英記</t>
  </si>
  <si>
    <t>AR060060000</t>
  </si>
  <si>
    <t>XM523020000</t>
  </si>
  <si>
    <t>AQ087010000</t>
  </si>
  <si>
    <t>AO090010000</t>
  </si>
  <si>
    <t>AW076020000</t>
  </si>
  <si>
    <t>AO082090000</t>
  </si>
  <si>
    <t>AR091040000</t>
  </si>
  <si>
    <t>AR059080000</t>
  </si>
  <si>
    <t>FP&amp;Aインテリジェンス部</t>
  </si>
  <si>
    <t>十市 祥教</t>
  </si>
  <si>
    <t>XM556030000</t>
  </si>
  <si>
    <t>株式会社ネットドリーマーズ(本部格)</t>
  </si>
  <si>
    <t>XM519020000</t>
  </si>
  <si>
    <t>AX089030000</t>
  </si>
  <si>
    <t>AQ087030000</t>
  </si>
  <si>
    <t>AQ087020000</t>
  </si>
  <si>
    <t>藤原 きみ子</t>
  </si>
  <si>
    <t>DXパートナー事業本部</t>
  </si>
  <si>
    <t>広告&amp;ソリューション事業部</t>
  </si>
  <si>
    <t>XM560010000</t>
  </si>
  <si>
    <t>内部監査室(本部格)</t>
  </si>
  <si>
    <t>ZZ005010000</t>
  </si>
  <si>
    <t>古谷 昌昭</t>
  </si>
  <si>
    <t>XM550050000</t>
  </si>
  <si>
    <t>AX088010000</t>
  </si>
  <si>
    <t>AX089010000</t>
  </si>
  <si>
    <t>AR060050000</t>
  </si>
  <si>
    <t>AU073010000</t>
  </si>
  <si>
    <t>四元 基裕</t>
  </si>
  <si>
    <t>XM550020000</t>
  </si>
  <si>
    <t>社長室(本部格)</t>
  </si>
  <si>
    <t>AW076090000</t>
  </si>
  <si>
    <t>小泉 真也01</t>
  </si>
  <si>
    <t>XM519030000</t>
  </si>
  <si>
    <t>AW076080000</t>
  </si>
  <si>
    <t>AW085000000</t>
  </si>
  <si>
    <t>AO083000000</t>
  </si>
  <si>
    <t>AX078000000</t>
  </si>
  <si>
    <t>AX088000000</t>
  </si>
  <si>
    <t>XM556000000</t>
  </si>
  <si>
    <t>AQ087000000</t>
  </si>
  <si>
    <t>AX089000000</t>
  </si>
  <si>
    <t>村上 竜樹</t>
  </si>
  <si>
    <t>XM551000000</t>
  </si>
  <si>
    <t>煙山 茂</t>
  </si>
  <si>
    <t>相澤 友太</t>
  </si>
  <si>
    <t>株式会社MIXI EMPOWERMENT(本部格)</t>
  </si>
  <si>
    <t>業務推進グループ</t>
  </si>
  <si>
    <t>相場 宏二</t>
  </si>
  <si>
    <t>クライアント1グループ</t>
  </si>
  <si>
    <t>クライアント2チーム</t>
  </si>
  <si>
    <t>相原 一輝</t>
  </si>
  <si>
    <t>ネットワーク開発グループ</t>
  </si>
  <si>
    <t>相原 友希</t>
  </si>
  <si>
    <t>EX推進グループ</t>
  </si>
  <si>
    <t>青木 大地</t>
  </si>
  <si>
    <t>QAグループ</t>
  </si>
  <si>
    <t>QA1チーム</t>
  </si>
  <si>
    <t>青山 英治</t>
  </si>
  <si>
    <t>TBAMグループ</t>
  </si>
  <si>
    <t>AO090010100</t>
  </si>
  <si>
    <t>赤坂 峻一</t>
  </si>
  <si>
    <t>赤﨑 功紀</t>
  </si>
  <si>
    <t>クライアントグループ</t>
  </si>
  <si>
    <t>明石 彩</t>
  </si>
  <si>
    <t>BizDevグループ</t>
  </si>
  <si>
    <t>BizDevチーム</t>
  </si>
  <si>
    <t>赤塚 郁代</t>
  </si>
  <si>
    <t>プロモーショングループ</t>
  </si>
  <si>
    <t>マスプロモチーム</t>
  </si>
  <si>
    <t>赤堀 翔平</t>
  </si>
  <si>
    <t>Fanstaグループ</t>
  </si>
  <si>
    <t>赤松 裕之</t>
  </si>
  <si>
    <t>マネジメントグループ</t>
  </si>
  <si>
    <t>オペレーションチーム</t>
  </si>
  <si>
    <t>秋岡 英太朗a</t>
  </si>
  <si>
    <t>株式会社ラブグラフ(本部格)</t>
  </si>
  <si>
    <t>秋田 義和</t>
  </si>
  <si>
    <t>秋場 洋二</t>
  </si>
  <si>
    <t>株式会社チャリ・ロト(本部格)</t>
  </si>
  <si>
    <t>秋元 佑一郎</t>
  </si>
  <si>
    <t>DXグループ</t>
  </si>
  <si>
    <t>秋元 佑介</t>
  </si>
  <si>
    <t>商標・著作権グループ</t>
  </si>
  <si>
    <t>明畠 利樹</t>
  </si>
  <si>
    <t>デジタルマーケティンググループ</t>
  </si>
  <si>
    <t>デジマ戦略推進チーム</t>
  </si>
  <si>
    <t>朝川 花</t>
  </si>
  <si>
    <t>浅見 公輔</t>
  </si>
  <si>
    <t>たんぽぽグループ</t>
  </si>
  <si>
    <t>芦沢 哲志</t>
  </si>
  <si>
    <t>コーポレート支援グループ</t>
  </si>
  <si>
    <t>コーポレート支援チーム</t>
  </si>
  <si>
    <t>AW085020201</t>
  </si>
  <si>
    <t>芦澤 祐樹</t>
  </si>
  <si>
    <t>開発第2グループ</t>
  </si>
  <si>
    <t>芦澤 祐也</t>
  </si>
  <si>
    <t>ゲームデザイングループ</t>
  </si>
  <si>
    <t>東 滋信</t>
  </si>
  <si>
    <t>新規開発グループ</t>
  </si>
  <si>
    <t>安達 結衣</t>
  </si>
  <si>
    <t>アート第1グループ</t>
  </si>
  <si>
    <t>アートMチーム</t>
  </si>
  <si>
    <t>穴水 崇裕</t>
  </si>
  <si>
    <t>プロダクト開発グループ</t>
  </si>
  <si>
    <t>アプリ負債返済チーム</t>
  </si>
  <si>
    <t>Avakul Panu</t>
  </si>
  <si>
    <t>MIXI2グループ</t>
  </si>
  <si>
    <t>畔蒜 洋平</t>
  </si>
  <si>
    <t>クリエイショングループ</t>
  </si>
  <si>
    <t>ボイスグループ</t>
  </si>
  <si>
    <t>阿部 翔</t>
  </si>
  <si>
    <t>阿部 峻大</t>
  </si>
  <si>
    <t>阿部 達矢</t>
  </si>
  <si>
    <t>事業企画グループ</t>
  </si>
  <si>
    <t>事業推進チーム</t>
  </si>
  <si>
    <t>AO083010305</t>
  </si>
  <si>
    <t>阿部 敏寛a</t>
  </si>
  <si>
    <t>デザイングループ</t>
  </si>
  <si>
    <t>プロダクトデザインチーム</t>
  </si>
  <si>
    <t>阿部 寛</t>
  </si>
  <si>
    <t>事業推進グループ</t>
  </si>
  <si>
    <t>阿部 浩之</t>
  </si>
  <si>
    <t>安部 真実</t>
  </si>
  <si>
    <t>阿部 未樹也</t>
  </si>
  <si>
    <t>プロダクト開発Mグループ</t>
  </si>
  <si>
    <t>たらこ開発チーム</t>
  </si>
  <si>
    <t>AQ087020702</t>
  </si>
  <si>
    <t>阿部 明a</t>
  </si>
  <si>
    <t>マーケティンググループ</t>
  </si>
  <si>
    <t>Engagementチーム</t>
  </si>
  <si>
    <t>阿部 航</t>
  </si>
  <si>
    <t>Web施策チーム</t>
  </si>
  <si>
    <t>雨宮 良彰</t>
  </si>
  <si>
    <t>デジタルエンターテインメント支援グループ</t>
  </si>
  <si>
    <t>2DUI第2チーム</t>
  </si>
  <si>
    <t>綾 哲志a</t>
  </si>
  <si>
    <t>デザイン1グループ</t>
  </si>
  <si>
    <t>新井 一希</t>
  </si>
  <si>
    <t>新井 詩穂</t>
  </si>
  <si>
    <t>新井 匠</t>
  </si>
  <si>
    <t>荒井 利徳</t>
  </si>
  <si>
    <t>ソリューショングループ</t>
  </si>
  <si>
    <t>管理チーム</t>
  </si>
  <si>
    <t>AW076070103</t>
  </si>
  <si>
    <t>荒井 真人</t>
  </si>
  <si>
    <t>コンプライアンスグループ</t>
  </si>
  <si>
    <t>新井 真実</t>
  </si>
  <si>
    <t>海外プロモーショングループ</t>
  </si>
  <si>
    <t>宣伝企画1チーム</t>
  </si>
  <si>
    <t>荒井 美砂子</t>
  </si>
  <si>
    <t>洗川 雄輝</t>
  </si>
  <si>
    <t>システム開発グループ</t>
  </si>
  <si>
    <t>AI推進チーム</t>
  </si>
  <si>
    <t>CSグループ</t>
  </si>
  <si>
    <t>荒木 綾貴子</t>
  </si>
  <si>
    <t>キャラプログループ</t>
  </si>
  <si>
    <t>アート監修チーム</t>
  </si>
  <si>
    <t>荒木 啓文</t>
  </si>
  <si>
    <t>インフォメーションハブグループ</t>
  </si>
  <si>
    <t>有田 佳正a</t>
  </si>
  <si>
    <t>Rajaグループ</t>
  </si>
  <si>
    <t>安西 寛学</t>
  </si>
  <si>
    <t>アート第2グループ</t>
  </si>
  <si>
    <t>背景Bチーム</t>
  </si>
  <si>
    <t>安藤 智史</t>
  </si>
  <si>
    <t>推進チーム</t>
  </si>
  <si>
    <t>AW076070102</t>
  </si>
  <si>
    <t>安藤 秀幸</t>
  </si>
  <si>
    <t>運用グループ</t>
  </si>
  <si>
    <t>mixi運用チーム</t>
  </si>
  <si>
    <t>安蒜 咲</t>
  </si>
  <si>
    <t>李 眞喜</t>
  </si>
  <si>
    <t>コラボAチーム</t>
  </si>
  <si>
    <t>飯尾 友和</t>
  </si>
  <si>
    <t>飯島 緋理</t>
  </si>
  <si>
    <t>モンストサーバ1グループ</t>
  </si>
  <si>
    <t>サーバ1チーム</t>
  </si>
  <si>
    <t>飯田 悦子</t>
  </si>
  <si>
    <t>労務管理第1グループ</t>
  </si>
  <si>
    <t>飯塚 悦子</t>
  </si>
  <si>
    <t>UI・UXデザイングループ</t>
  </si>
  <si>
    <t>グラフィック第1チーム</t>
  </si>
  <si>
    <t>飯塚 康平</t>
  </si>
  <si>
    <t>しゃけ開発チーム</t>
  </si>
  <si>
    <t>AQ087020701</t>
  </si>
  <si>
    <t>飯塚 世奈</t>
  </si>
  <si>
    <t>株式会社スフィダンテ(本部格)</t>
  </si>
  <si>
    <t>飯野 綾子</t>
  </si>
  <si>
    <t>飯野 法志</t>
  </si>
  <si>
    <t>五十嵐 聡</t>
  </si>
  <si>
    <t>イベントチーム</t>
  </si>
  <si>
    <t>五十嵐 彩花</t>
  </si>
  <si>
    <t>生亀 貴之</t>
  </si>
  <si>
    <t>サウンドグループ</t>
  </si>
  <si>
    <t>異儀田 諭</t>
  </si>
  <si>
    <t>AI value designグループ</t>
  </si>
  <si>
    <t>井口 真湖</t>
  </si>
  <si>
    <t>QA4チーム</t>
  </si>
  <si>
    <t>池内 勇太</t>
  </si>
  <si>
    <t>池上 舞</t>
  </si>
  <si>
    <t>マークアップグループ</t>
  </si>
  <si>
    <t>池田 明里</t>
  </si>
  <si>
    <t>新規獲得チーム</t>
  </si>
  <si>
    <t>池田 和正</t>
  </si>
  <si>
    <t>システム移行チーム</t>
  </si>
  <si>
    <t>池田 圭吾</t>
  </si>
  <si>
    <t>クリエイティブサウンドグループ</t>
  </si>
  <si>
    <t>第1サウンドチーム</t>
  </si>
  <si>
    <t>池田 皓亮</t>
  </si>
  <si>
    <t>アニメーショングループ</t>
  </si>
  <si>
    <t>エフェクトチーム</t>
  </si>
  <si>
    <t>池田 早縁子</t>
  </si>
  <si>
    <t>ゲーム推進グループ</t>
  </si>
  <si>
    <t>運用開発チーム</t>
  </si>
  <si>
    <t>池田 大地</t>
  </si>
  <si>
    <t>モンストグループ</t>
  </si>
  <si>
    <t>AR060051400</t>
  </si>
  <si>
    <t>池田 貴政</t>
  </si>
  <si>
    <t>Unlimグループ</t>
  </si>
  <si>
    <t>池田 友祐</t>
  </si>
  <si>
    <t>グローバルモンスト企画グループ</t>
  </si>
  <si>
    <t>池田 理恵a</t>
  </si>
  <si>
    <t>QAチーム</t>
  </si>
  <si>
    <t>サステナビリティ推進グループ</t>
  </si>
  <si>
    <t>AX078050300</t>
  </si>
  <si>
    <t>池末 幸希</t>
  </si>
  <si>
    <t>運営グループ</t>
  </si>
  <si>
    <t>池末 真未</t>
  </si>
  <si>
    <t>HRBPグループ</t>
  </si>
  <si>
    <t>AO090050100</t>
  </si>
  <si>
    <t>池村 遥介</t>
  </si>
  <si>
    <t>Piconグロースグループ</t>
  </si>
  <si>
    <t>プロダクト企画・開発チーム</t>
  </si>
  <si>
    <t>AW085040101</t>
  </si>
  <si>
    <t>伊澤 加奈子</t>
  </si>
  <si>
    <t>石井 温子</t>
  </si>
  <si>
    <t>興行グループ</t>
  </si>
  <si>
    <t>石井 晃太朗</t>
  </si>
  <si>
    <t>アートBチーム</t>
  </si>
  <si>
    <t>石井 貴紀</t>
  </si>
  <si>
    <t>石井 真奈美</t>
  </si>
  <si>
    <t>モンソニアートチーム</t>
  </si>
  <si>
    <t>QA3チーム</t>
  </si>
  <si>
    <t>石岡 拓也</t>
  </si>
  <si>
    <t>経理グループ</t>
  </si>
  <si>
    <t>経理1チーム</t>
  </si>
  <si>
    <t>石上 英賢</t>
  </si>
  <si>
    <t>石川 彰英</t>
  </si>
  <si>
    <t>UCチーム</t>
  </si>
  <si>
    <t>石川 明日香</t>
  </si>
  <si>
    <t>事業推進1グループ</t>
  </si>
  <si>
    <t>石川 さえ子</t>
  </si>
  <si>
    <t>デザイン3グループ</t>
  </si>
  <si>
    <t>石川 千愛里</t>
  </si>
  <si>
    <t>パートナービジネスグループ</t>
  </si>
  <si>
    <t>ニュースチーム</t>
  </si>
  <si>
    <t>石川 菜穂</t>
  </si>
  <si>
    <t>アートグループ</t>
  </si>
  <si>
    <t>イラストチーム</t>
  </si>
  <si>
    <t>石川 優a</t>
  </si>
  <si>
    <t>ブルーグループ</t>
  </si>
  <si>
    <t>石川 雄一</t>
  </si>
  <si>
    <t>人事労務グループ</t>
  </si>
  <si>
    <t>石川 祐一朗</t>
  </si>
  <si>
    <t>開発1グループ</t>
  </si>
  <si>
    <t>石田 崇仁</t>
  </si>
  <si>
    <t>開発グループ</t>
  </si>
  <si>
    <t>アプリチーム</t>
  </si>
  <si>
    <t>石田 騎士</t>
  </si>
  <si>
    <t>石田 奈穂子</t>
  </si>
  <si>
    <t>ユーザーコミュニケーショングループ</t>
  </si>
  <si>
    <t>石田 菜摘</t>
  </si>
  <si>
    <t>UI第2チーム</t>
  </si>
  <si>
    <t>石田 有司</t>
  </si>
  <si>
    <t>石濱 幸愛</t>
  </si>
  <si>
    <t>プランニンググループ</t>
  </si>
  <si>
    <t>石原 嘉津典</t>
  </si>
  <si>
    <t>プロダクト戦略グループ</t>
  </si>
  <si>
    <t>分析チーム</t>
  </si>
  <si>
    <t>石原 卓弥</t>
  </si>
  <si>
    <t>QA2チーム</t>
  </si>
  <si>
    <t>石綿 朋野</t>
  </si>
  <si>
    <t>泉 望</t>
  </si>
  <si>
    <t>オペレーショングループ</t>
  </si>
  <si>
    <t>AU074010600</t>
  </si>
  <si>
    <t>礒 彩乃</t>
  </si>
  <si>
    <t>QA1グループ</t>
  </si>
  <si>
    <t>礒 星伍</t>
  </si>
  <si>
    <t>井田 和希</t>
  </si>
  <si>
    <t>市川 岳</t>
  </si>
  <si>
    <t>市川 雅里恵</t>
  </si>
  <si>
    <t>市來 寛彬</t>
  </si>
  <si>
    <t>法務グループ</t>
  </si>
  <si>
    <t>第1チーム</t>
  </si>
  <si>
    <t>一條 寛貴</t>
  </si>
  <si>
    <t>クライアント2グループ</t>
  </si>
  <si>
    <t>クライアント3チーム</t>
  </si>
  <si>
    <t>市野 真一</t>
  </si>
  <si>
    <t>映像開発グループ</t>
  </si>
  <si>
    <t>井出 紀弘</t>
  </si>
  <si>
    <t>伊藤 恒祐</t>
  </si>
  <si>
    <t>サステナビリティ推進チーム</t>
  </si>
  <si>
    <t>伊藤 淳</t>
  </si>
  <si>
    <t>開発チーム</t>
  </si>
  <si>
    <t>伊藤 順哉</t>
  </si>
  <si>
    <t>労務企画グループ</t>
  </si>
  <si>
    <t>AX089080100</t>
  </si>
  <si>
    <t>伊藤 彰吾</t>
  </si>
  <si>
    <t>プロモ横断チーム</t>
  </si>
  <si>
    <t>AQ087021001</t>
  </si>
  <si>
    <t>伊藤 剛浩a</t>
  </si>
  <si>
    <t>ロボット開発グループ</t>
  </si>
  <si>
    <t>伊藤 千裕</t>
  </si>
  <si>
    <t>競輪企画グループ</t>
  </si>
  <si>
    <t>伊藤 晴香</t>
  </si>
  <si>
    <t>伊藤 裕明a</t>
  </si>
  <si>
    <t>アートAチーム</t>
  </si>
  <si>
    <t>伊藤 昌佳</t>
  </si>
  <si>
    <t>IPマーケティンググループ</t>
  </si>
  <si>
    <t>ディレクションチーム</t>
  </si>
  <si>
    <t>伊藤 芽衣a</t>
  </si>
  <si>
    <t>伊藤 祐希c</t>
  </si>
  <si>
    <t>AI開発グループ</t>
  </si>
  <si>
    <t>伊藤 佑樹</t>
  </si>
  <si>
    <t>伊藤 裕真a</t>
  </si>
  <si>
    <t>プロダクト開発DBグループ</t>
  </si>
  <si>
    <t>伊藤 洋介</t>
  </si>
  <si>
    <t>主計第2グループ</t>
  </si>
  <si>
    <t>主計第2チーム</t>
  </si>
  <si>
    <t>伊東 諒</t>
  </si>
  <si>
    <t>伊藤 航</t>
  </si>
  <si>
    <t>稲垣 彩</t>
  </si>
  <si>
    <t>ユーザーグロースグループ</t>
  </si>
  <si>
    <t>ファミリーアクイジションチーム</t>
  </si>
  <si>
    <t>AQ087030102</t>
  </si>
  <si>
    <t>稲垣 克比呂</t>
  </si>
  <si>
    <t>稲垣 達也</t>
  </si>
  <si>
    <t>コンテンツディレクション第1グループ</t>
  </si>
  <si>
    <t>ディレクター第1チーム</t>
  </si>
  <si>
    <t>稲垣 智恵</t>
  </si>
  <si>
    <t>稲葉 あずさ</t>
  </si>
  <si>
    <t>制作運用グループ</t>
  </si>
  <si>
    <t>サービス運用チーム</t>
  </si>
  <si>
    <t>稲場 竜一</t>
  </si>
  <si>
    <t>稲用 勝斗</t>
  </si>
  <si>
    <t>クライアント1チーム</t>
  </si>
  <si>
    <t>稲本 玲子</t>
  </si>
  <si>
    <t>主計第1グループ</t>
  </si>
  <si>
    <t>主計第1チーム</t>
  </si>
  <si>
    <t>井上 和義</t>
  </si>
  <si>
    <t>新卒HRグループ</t>
  </si>
  <si>
    <t>リクルーティングチーム</t>
  </si>
  <si>
    <t>井上 健太</t>
  </si>
  <si>
    <t>井上 翔太</t>
  </si>
  <si>
    <t>Fansta開発グループ</t>
  </si>
  <si>
    <t>Fansta第2開発チーム</t>
  </si>
  <si>
    <t>井上 翔平</t>
  </si>
  <si>
    <t>井上 大河</t>
  </si>
  <si>
    <t>井上 大輔</t>
  </si>
  <si>
    <t>コラボ推進グループ</t>
  </si>
  <si>
    <t>企画推進チーム</t>
  </si>
  <si>
    <t>井上 貴史</t>
  </si>
  <si>
    <t>井上 拓哉a</t>
  </si>
  <si>
    <t>オーナーズグループ</t>
  </si>
  <si>
    <t>井上 拓哉</t>
  </si>
  <si>
    <t>キャラクター企画チーム</t>
  </si>
  <si>
    <t>井上 真由佳</t>
  </si>
  <si>
    <t>エクスペリエンスデザイン第3グループ</t>
  </si>
  <si>
    <t>井上 祐一</t>
  </si>
  <si>
    <t>エンジニアリンググループ</t>
  </si>
  <si>
    <t>フロントエンドエンジニアチーム</t>
  </si>
  <si>
    <t>井上 諒</t>
  </si>
  <si>
    <t>プロダクト開発Aグループ</t>
  </si>
  <si>
    <t>猪口 将吾</t>
  </si>
  <si>
    <t>ディレクターチーム</t>
  </si>
  <si>
    <t>猪瀬 貴史</t>
  </si>
  <si>
    <t>イラオウ ジェレミー</t>
  </si>
  <si>
    <t>Global Directionグループ</t>
  </si>
  <si>
    <t>入口 香那子</t>
  </si>
  <si>
    <t>グローバルブリッジグループ</t>
  </si>
  <si>
    <t>イリヤス カリラ</t>
  </si>
  <si>
    <t>ローカライズグループ</t>
  </si>
  <si>
    <t>英語チーム</t>
  </si>
  <si>
    <t>岩井 哲朗</t>
  </si>
  <si>
    <t>システム開発チーム</t>
  </si>
  <si>
    <t>岩井 義成</t>
  </si>
  <si>
    <t>開発プランナーAチーム</t>
  </si>
  <si>
    <t>岩佐 康平</t>
  </si>
  <si>
    <t>ゲーム企画グループ</t>
  </si>
  <si>
    <t>企画チーム</t>
  </si>
  <si>
    <t>岩崎 悦子</t>
  </si>
  <si>
    <t>岩崎 弘幸</t>
  </si>
  <si>
    <t>岩崎 将典</t>
  </si>
  <si>
    <t>グローバルモンストエンジニアグループ</t>
  </si>
  <si>
    <t>岩崎 真由子a</t>
  </si>
  <si>
    <t>岩崎 佳一</t>
  </si>
  <si>
    <t>岩田 匡治</t>
  </si>
  <si>
    <t>第2サウンドチーム</t>
  </si>
  <si>
    <t>岩坪 理史</t>
  </si>
  <si>
    <t>バックオフィスグループ</t>
  </si>
  <si>
    <t>岩野 成利</t>
  </si>
  <si>
    <t>mercuryグループ</t>
  </si>
  <si>
    <t>岩渕 真美</t>
  </si>
  <si>
    <t>宇恵 翼</t>
  </si>
  <si>
    <t>上田 聡</t>
  </si>
  <si>
    <t>上田 太郎</t>
  </si>
  <si>
    <t>植田 智帆a</t>
  </si>
  <si>
    <t>上田 望美</t>
  </si>
  <si>
    <t>上田 博雄(退職済)</t>
  </si>
  <si>
    <t>上田 将嗣</t>
  </si>
  <si>
    <t>上田 利瑳子</t>
  </si>
  <si>
    <t>上埜 かおり</t>
  </si>
  <si>
    <t>CREグループ</t>
  </si>
  <si>
    <t>CREチーム</t>
  </si>
  <si>
    <t>上野 桂子</t>
  </si>
  <si>
    <t>上平 竜也</t>
  </si>
  <si>
    <t>魚谷 梨乃</t>
  </si>
  <si>
    <t>UIデザイングループ</t>
  </si>
  <si>
    <t>UIチーム</t>
  </si>
  <si>
    <t>鵜飼 恵輔</t>
  </si>
  <si>
    <t>宇佐美 裕子</t>
  </si>
  <si>
    <t>ミュージックライツグループ</t>
  </si>
  <si>
    <t>牛久保 佑樹</t>
  </si>
  <si>
    <t>グラフィックアセットチーム</t>
  </si>
  <si>
    <t>牛田 美穂</t>
  </si>
  <si>
    <t>Enhancementグループ</t>
  </si>
  <si>
    <t>組織開発チーム</t>
  </si>
  <si>
    <t>臼田 彩</t>
  </si>
  <si>
    <t>ディレクター第2チーム</t>
  </si>
  <si>
    <t>内田 大輔</t>
  </si>
  <si>
    <t>内田 匠</t>
  </si>
  <si>
    <t>キャラクター監修チーム</t>
  </si>
  <si>
    <t>内田 洋平</t>
  </si>
  <si>
    <t>内野 奈々</t>
  </si>
  <si>
    <t>競輪編集グループ</t>
  </si>
  <si>
    <t>内之倉 裕</t>
  </si>
  <si>
    <t>打矢 健</t>
  </si>
  <si>
    <t>ビジネスプロデュースグループ</t>
  </si>
  <si>
    <t>鵜沼 コーシー</t>
  </si>
  <si>
    <t>宇野 博美</t>
  </si>
  <si>
    <t>コンテンツグループ</t>
  </si>
  <si>
    <t>横断HRBPグループ</t>
  </si>
  <si>
    <t>宇部野 詩音a</t>
  </si>
  <si>
    <t>梅北 健一</t>
  </si>
  <si>
    <t>データグループ</t>
  </si>
  <si>
    <t>梅澤 健太朗</t>
  </si>
  <si>
    <t>管理グループ</t>
  </si>
  <si>
    <t>AO090010200</t>
  </si>
  <si>
    <t>梅津 智奈</t>
  </si>
  <si>
    <t>楳内 瑞希</t>
  </si>
  <si>
    <t>労務支援チーム</t>
  </si>
  <si>
    <t>AW085020202</t>
  </si>
  <si>
    <t>梅原 郁佳</t>
  </si>
  <si>
    <t>梅村 敦久</t>
  </si>
  <si>
    <t>梅山 直樹</t>
  </si>
  <si>
    <t>浦 寛典</t>
  </si>
  <si>
    <t>プロダクトエンジニアグループ</t>
  </si>
  <si>
    <t>クライアントチーム</t>
  </si>
  <si>
    <t>浦島 明子</t>
  </si>
  <si>
    <t>せいかつ環境Bグループ</t>
  </si>
  <si>
    <t>せいかつ環境Cチーム</t>
  </si>
  <si>
    <t>Urabe Tomoharu</t>
  </si>
  <si>
    <t>MGIグループ</t>
  </si>
  <si>
    <t>江川 潤</t>
  </si>
  <si>
    <t>江草 陽太</t>
  </si>
  <si>
    <t>投資オペレーショングループ</t>
  </si>
  <si>
    <t>江口 美花</t>
  </si>
  <si>
    <t>江澤 拓哉</t>
  </si>
  <si>
    <t>事業戦略グループ</t>
  </si>
  <si>
    <t>江田 陽子</t>
  </si>
  <si>
    <t>江藤 かな</t>
  </si>
  <si>
    <t>江藤 剛</t>
  </si>
  <si>
    <t>餌取 瑞紀</t>
  </si>
  <si>
    <t>スポーツマーケティングDXグループ</t>
  </si>
  <si>
    <t>マーケティングチーム</t>
  </si>
  <si>
    <t>榎本 光</t>
  </si>
  <si>
    <t>プロダクトグループ</t>
  </si>
  <si>
    <t>AW076070201</t>
  </si>
  <si>
    <t>江畑 拓哉</t>
  </si>
  <si>
    <t>荏原 洋夢</t>
  </si>
  <si>
    <t>戎 正人</t>
  </si>
  <si>
    <t>戎井 佳代</t>
  </si>
  <si>
    <t>惠良 栞</t>
  </si>
  <si>
    <t>UX企画グループ</t>
  </si>
  <si>
    <t>セールスチーム</t>
  </si>
  <si>
    <t>遠藤 茜a</t>
  </si>
  <si>
    <t>GvGグループ</t>
  </si>
  <si>
    <t>遠藤 茜</t>
  </si>
  <si>
    <t>エクスペリエンスデザイン第2グループ</t>
  </si>
  <si>
    <t>遠藤 伸一</t>
  </si>
  <si>
    <t>遠藤 武</t>
  </si>
  <si>
    <t>遠藤 恒寿</t>
  </si>
  <si>
    <t>連結開示グループ</t>
  </si>
  <si>
    <t>遠藤 敏生</t>
  </si>
  <si>
    <t>新卒育成チーム</t>
  </si>
  <si>
    <t>遠藤 将哉</t>
  </si>
  <si>
    <t>事業チーム</t>
  </si>
  <si>
    <t>AW076070101</t>
  </si>
  <si>
    <t>及川 晃治</t>
  </si>
  <si>
    <t>テクニカルデザイングループ</t>
  </si>
  <si>
    <t>ライブストリーミングチーム</t>
  </si>
  <si>
    <t>追田 泰宏</t>
  </si>
  <si>
    <t>王 依丹</t>
  </si>
  <si>
    <t>インターナルコミュニケーショングループ</t>
  </si>
  <si>
    <t>インターナルコミュニケーションチーム</t>
  </si>
  <si>
    <t>王 奇</t>
  </si>
  <si>
    <t>王 悠夏a</t>
  </si>
  <si>
    <t>コミュニケーションデザインチーム</t>
  </si>
  <si>
    <t>大泉 晴香</t>
  </si>
  <si>
    <t>メディア渉外グループ</t>
  </si>
  <si>
    <t>大浦 裕太</t>
  </si>
  <si>
    <t>大金 直樹</t>
  </si>
  <si>
    <t>大川 祐里菜</t>
  </si>
  <si>
    <t>大木 悠</t>
  </si>
  <si>
    <t>大串 潤介</t>
  </si>
  <si>
    <t>ライセンスグループ</t>
  </si>
  <si>
    <t>企画営業チーム</t>
  </si>
  <si>
    <t>大久保 春輝</t>
  </si>
  <si>
    <t>投資支援チーム</t>
  </si>
  <si>
    <t>大倉 知也</t>
  </si>
  <si>
    <t>大坂 智之</t>
  </si>
  <si>
    <t>ビジネスプラットフォームグループ</t>
  </si>
  <si>
    <t>XM556030500</t>
  </si>
  <si>
    <t>大里 新太郎</t>
  </si>
  <si>
    <t>大沢 佳祐</t>
  </si>
  <si>
    <t>デザインチーム</t>
  </si>
  <si>
    <t>大澤 杜夫</t>
  </si>
  <si>
    <t>税務・資産管理グループ</t>
  </si>
  <si>
    <t>税務・資産管理チーム</t>
  </si>
  <si>
    <t>大城 美和</t>
  </si>
  <si>
    <t>アシスタントチーム</t>
  </si>
  <si>
    <t>AQ061030103</t>
  </si>
  <si>
    <t>太田 篤志</t>
  </si>
  <si>
    <t>イベント1グループ</t>
  </si>
  <si>
    <t>システム運営チーム</t>
  </si>
  <si>
    <t>太田 正文</t>
  </si>
  <si>
    <t>人材育成グループ</t>
  </si>
  <si>
    <t>AX089040200</t>
  </si>
  <si>
    <t>太田 真理</t>
  </si>
  <si>
    <t>財務グループ</t>
  </si>
  <si>
    <t>太田 祐樹</t>
  </si>
  <si>
    <t>クライアント開発チーム</t>
  </si>
  <si>
    <t>太田 有希乃</t>
  </si>
  <si>
    <t>太田 亮介</t>
  </si>
  <si>
    <t>大高 暁</t>
  </si>
  <si>
    <t>大竹 直史</t>
  </si>
  <si>
    <t>大館 和俊</t>
  </si>
  <si>
    <t>特許グループ</t>
  </si>
  <si>
    <t>大谷 耕一郎</t>
  </si>
  <si>
    <t>大津 好永</t>
  </si>
  <si>
    <t>バックオフィスチーム</t>
  </si>
  <si>
    <t>AR059070702</t>
  </si>
  <si>
    <t>大塚 崇太郎a</t>
  </si>
  <si>
    <t>大塚 真二</t>
  </si>
  <si>
    <t>大塚 弘記</t>
  </si>
  <si>
    <t>大槻 尚孝</t>
  </si>
  <si>
    <t>大友 知美</t>
  </si>
  <si>
    <t>大波 隆之</t>
  </si>
  <si>
    <t>コンテンツディレクション第2グループ</t>
  </si>
  <si>
    <t>大西 貴之</t>
  </si>
  <si>
    <t>大貫 祐輔</t>
  </si>
  <si>
    <t>大沼 敦司</t>
  </si>
  <si>
    <t>大沼 純平</t>
  </si>
  <si>
    <t>大野 一樹</t>
  </si>
  <si>
    <t>Platform Engineeringグループ</t>
  </si>
  <si>
    <t>大野 洋毅</t>
  </si>
  <si>
    <t>運営設計グループ</t>
  </si>
  <si>
    <t>AO082080500</t>
  </si>
  <si>
    <t>大野 瑠恩</t>
  </si>
  <si>
    <t>大廣 陽子</t>
  </si>
  <si>
    <t>大渕 祐太郎a</t>
  </si>
  <si>
    <t>大曲 賢嘉</t>
  </si>
  <si>
    <t>大宮 千尋</t>
  </si>
  <si>
    <t>大村 祥子</t>
  </si>
  <si>
    <t>大森 耕自</t>
  </si>
  <si>
    <t>大屋 孝文</t>
  </si>
  <si>
    <t>大山 敏浩</t>
  </si>
  <si>
    <t>大山 公也</t>
  </si>
  <si>
    <t>大和田 薫</t>
  </si>
  <si>
    <t>BizOpsグループ</t>
  </si>
  <si>
    <t>AQ087040100</t>
  </si>
  <si>
    <t>大和田 大</t>
  </si>
  <si>
    <t>岡 功典</t>
  </si>
  <si>
    <t>制作&amp;開発チーム</t>
  </si>
  <si>
    <t>岡崎 健汰a</t>
  </si>
  <si>
    <t>ファンマーケティングチーム</t>
  </si>
  <si>
    <t>岡崎 誠</t>
  </si>
  <si>
    <t>環境整備グループ</t>
  </si>
  <si>
    <t>アプリケーションチーム</t>
  </si>
  <si>
    <t>小笠原 魁a</t>
  </si>
  <si>
    <t>モンソニ企画チーム</t>
  </si>
  <si>
    <t>小笠原 颯大</t>
  </si>
  <si>
    <t>岡田 圭蔵</t>
  </si>
  <si>
    <t>ゲームチーム</t>
  </si>
  <si>
    <t>岡田 健太郎</t>
  </si>
  <si>
    <t>岡田 光平</t>
  </si>
  <si>
    <t>アプリ施策開発チーム</t>
  </si>
  <si>
    <t>岡田 早紀子</t>
  </si>
  <si>
    <t>岡田 直美</t>
  </si>
  <si>
    <t>岡田 渉</t>
  </si>
  <si>
    <t>コラボBチーム</t>
  </si>
  <si>
    <t>尾方 茂生</t>
  </si>
  <si>
    <t>尾形 耀亮</t>
  </si>
  <si>
    <t>岡野 修身</t>
  </si>
  <si>
    <t>XFLAGサポートグループ</t>
  </si>
  <si>
    <t>委託管理チーム</t>
  </si>
  <si>
    <t>岡野 吾朗</t>
  </si>
  <si>
    <t>アリーナ推進チーム</t>
  </si>
  <si>
    <t>岡野 翔悟</t>
  </si>
  <si>
    <t>岡本 紀輝</t>
  </si>
  <si>
    <t>岡本 拓磨</t>
  </si>
  <si>
    <t>岡本 吉起</t>
  </si>
  <si>
    <t>小川 篤史</t>
  </si>
  <si>
    <t>小川 恵太</t>
  </si>
  <si>
    <t>小川 大輔</t>
  </si>
  <si>
    <t>小川 拓哉</t>
  </si>
  <si>
    <t>サーバチーム</t>
  </si>
  <si>
    <t>小川 丈生</t>
  </si>
  <si>
    <t>開発2グループ</t>
  </si>
  <si>
    <t>小川 和珠</t>
  </si>
  <si>
    <t>小川 遥</t>
  </si>
  <si>
    <t>小川 陽平</t>
  </si>
  <si>
    <t>施策チーム</t>
  </si>
  <si>
    <t>小川 凌右</t>
  </si>
  <si>
    <t>沖 勇作</t>
  </si>
  <si>
    <t>事業支援チーム</t>
  </si>
  <si>
    <t>沖浦 雅俊</t>
  </si>
  <si>
    <t>沖下 雅英</t>
  </si>
  <si>
    <t>沖野 達也</t>
  </si>
  <si>
    <t>荻野 聡太</t>
  </si>
  <si>
    <t>開発第3グループ</t>
  </si>
  <si>
    <t>奥 大輔a</t>
  </si>
  <si>
    <t>奥住 哉太</t>
  </si>
  <si>
    <t>奥殿 純</t>
  </si>
  <si>
    <t>次世代サービスグループ</t>
  </si>
  <si>
    <t>奥野 真也</t>
  </si>
  <si>
    <t>奥野 豊</t>
  </si>
  <si>
    <t>品質グループ</t>
  </si>
  <si>
    <t>奥原 祐貴</t>
  </si>
  <si>
    <t>AW076080200</t>
  </si>
  <si>
    <t>ZZ998000000</t>
  </si>
  <si>
    <t>小倉 歩</t>
  </si>
  <si>
    <t>総務グループ</t>
  </si>
  <si>
    <t>XM523010500</t>
  </si>
  <si>
    <t>小倉 貴子</t>
  </si>
  <si>
    <t>小倉 孝志</t>
  </si>
  <si>
    <t>小倉 麻衣子</t>
  </si>
  <si>
    <t>尾崎 拓</t>
  </si>
  <si>
    <t>AR059050800</t>
  </si>
  <si>
    <t>尾崎 悠</t>
  </si>
  <si>
    <t>長内 菜津美</t>
  </si>
  <si>
    <t>オウンドグループ</t>
  </si>
  <si>
    <t>コンテンツ企画1チーム</t>
  </si>
  <si>
    <t>小澤 裕貴</t>
  </si>
  <si>
    <t>小澤 義幸</t>
  </si>
  <si>
    <t>企画管理グループ</t>
  </si>
  <si>
    <t>生島 光</t>
  </si>
  <si>
    <t>SREグループ</t>
  </si>
  <si>
    <t>AQ087010200</t>
  </si>
  <si>
    <t>押見 太雄</t>
  </si>
  <si>
    <t>海外企画Gチーム</t>
  </si>
  <si>
    <t>小田島 茉里</t>
  </si>
  <si>
    <t>IP戦略グループ</t>
  </si>
  <si>
    <t>越智 正英</t>
  </si>
  <si>
    <t>映像グループ</t>
  </si>
  <si>
    <t>制作チーム</t>
  </si>
  <si>
    <t>落合 俊介</t>
  </si>
  <si>
    <t>鬼窪 峻大</t>
  </si>
  <si>
    <t>小野 智毅</t>
  </si>
  <si>
    <t>choidoraグループ</t>
  </si>
  <si>
    <t>小野寺 旬</t>
  </si>
  <si>
    <t>小野寺 智美</t>
  </si>
  <si>
    <t>業務推進チーム</t>
  </si>
  <si>
    <t>AX089020201</t>
  </si>
  <si>
    <t>小幡 文映</t>
  </si>
  <si>
    <t>内部監査グループ</t>
  </si>
  <si>
    <t>監査企画チーム</t>
  </si>
  <si>
    <t>小原 真人</t>
  </si>
  <si>
    <t>背景Aチーム</t>
  </si>
  <si>
    <t>小原 光城</t>
  </si>
  <si>
    <t>尾松 郁哉</t>
  </si>
  <si>
    <t>小村 優太</t>
  </si>
  <si>
    <t>海外企画Dチーム</t>
  </si>
  <si>
    <t>小山田 絵美</t>
  </si>
  <si>
    <t>業務支援グループ</t>
  </si>
  <si>
    <t>折原 綾平</t>
  </si>
  <si>
    <t>恩田 学</t>
  </si>
  <si>
    <t>甲斐 歩美</t>
  </si>
  <si>
    <t>甲斐﨑 芳郎</t>
  </si>
  <si>
    <t>グループ会社管理グループ</t>
  </si>
  <si>
    <t>データ活用推進グループ</t>
  </si>
  <si>
    <t>貝塚 達彦</t>
  </si>
  <si>
    <t>開発第1グループ</t>
  </si>
  <si>
    <t>柿崎 昭一</t>
  </si>
  <si>
    <t>加来 あゆみ</t>
  </si>
  <si>
    <t>角 早知子</t>
  </si>
  <si>
    <t>郭 俊佑</t>
  </si>
  <si>
    <t>角田 亮治</t>
  </si>
  <si>
    <t>角戸 絵理</t>
  </si>
  <si>
    <t>AR059060800</t>
  </si>
  <si>
    <t>掛札 竜太</t>
  </si>
  <si>
    <t>モーションチーム</t>
  </si>
  <si>
    <t>影山 玲実</t>
  </si>
  <si>
    <t>MD事業開発グループ</t>
  </si>
  <si>
    <t>モンストア運営チーム</t>
  </si>
  <si>
    <t>笠島 伸吾</t>
  </si>
  <si>
    <t>家治川 真弘</t>
  </si>
  <si>
    <t>アートプロジェクトチーム</t>
  </si>
  <si>
    <t>梶谷 恵翼</t>
  </si>
  <si>
    <t>柏 正典</t>
  </si>
  <si>
    <t>柏 瑞記</t>
  </si>
  <si>
    <t>柏﨑 那英</t>
  </si>
  <si>
    <t>UI第1チーム</t>
  </si>
  <si>
    <t>柏瀬 康太</t>
  </si>
  <si>
    <t>柏原 直子</t>
  </si>
  <si>
    <t>CSチーム</t>
  </si>
  <si>
    <t>梶原 雄</t>
  </si>
  <si>
    <t>コンテンツプランニンググループ</t>
  </si>
  <si>
    <t>シナリオチーム</t>
  </si>
  <si>
    <t>片岡 由羽</t>
  </si>
  <si>
    <t>片倉 千尋a</t>
  </si>
  <si>
    <t>片瀬 大地b</t>
  </si>
  <si>
    <t>片平 葉奈</t>
  </si>
  <si>
    <t>片山 陽生</t>
  </si>
  <si>
    <t>可知 英也</t>
  </si>
  <si>
    <t>勝村 桃子</t>
  </si>
  <si>
    <t>プロダクト推進グループ</t>
  </si>
  <si>
    <t>加藤 愛子</t>
  </si>
  <si>
    <t>加藤 享子</t>
  </si>
  <si>
    <t>加藤 敦史</t>
  </si>
  <si>
    <t>Enablementグループ</t>
  </si>
  <si>
    <t>加藤 文香</t>
  </si>
  <si>
    <t>加藤 健太郎a</t>
  </si>
  <si>
    <t>加藤 滉也</t>
  </si>
  <si>
    <t>加藤 佐英里a</t>
  </si>
  <si>
    <t>mixiAmerica, Inc.(本部格)</t>
  </si>
  <si>
    <t>加藤 佐英里</t>
  </si>
  <si>
    <t>加藤 沢男</t>
  </si>
  <si>
    <t>人的資本グループ</t>
  </si>
  <si>
    <t>AX089060100</t>
  </si>
  <si>
    <t>加藤 修悟</t>
  </si>
  <si>
    <t>サーバーチーム</t>
  </si>
  <si>
    <t>加藤 翔也</t>
  </si>
  <si>
    <t>加藤 翼</t>
  </si>
  <si>
    <t>事業サポートグループ</t>
  </si>
  <si>
    <t>オペレーション改善チーム</t>
  </si>
  <si>
    <t>加藤 拓明a</t>
  </si>
  <si>
    <t>加藤 弘樹</t>
  </si>
  <si>
    <t>QA2グループ</t>
  </si>
  <si>
    <t>加藤 博之</t>
  </si>
  <si>
    <t>加藤 幹生</t>
  </si>
  <si>
    <t>加藤 よしの</t>
  </si>
  <si>
    <t>加藤 竜太</t>
  </si>
  <si>
    <t>加藤 亮a</t>
  </si>
  <si>
    <t>加藤 亮b</t>
  </si>
  <si>
    <t>加藤 玲央</t>
  </si>
  <si>
    <t>インフラグループ</t>
  </si>
  <si>
    <t>上遠野 ひなの</t>
  </si>
  <si>
    <t>金沢 広峰</t>
  </si>
  <si>
    <t>金光 真弘</t>
  </si>
  <si>
    <t>金谷 大賀</t>
  </si>
  <si>
    <t>金子 ちずる</t>
  </si>
  <si>
    <t>金子 曜</t>
  </si>
  <si>
    <t>ライツグループ</t>
  </si>
  <si>
    <t>コラボ推進チーム</t>
  </si>
  <si>
    <t>金子 優貴</t>
  </si>
  <si>
    <t>金子 好宏</t>
  </si>
  <si>
    <t>演出チーム</t>
  </si>
  <si>
    <t>金田 圭一</t>
  </si>
  <si>
    <t>壁村 倫</t>
  </si>
  <si>
    <t>鎌田 学</t>
  </si>
  <si>
    <t>鎌田 怜奈</t>
  </si>
  <si>
    <t>鎌田 拓郎</t>
  </si>
  <si>
    <t>神子 和子</t>
  </si>
  <si>
    <t>サポートチーム</t>
  </si>
  <si>
    <t>上出 瑞穂</t>
  </si>
  <si>
    <t>神村 武</t>
  </si>
  <si>
    <t>ディレクターグループ</t>
  </si>
  <si>
    <t>神谷 昌臣</t>
  </si>
  <si>
    <t>賀村 優希</t>
  </si>
  <si>
    <t>AR077000000</t>
  </si>
  <si>
    <t>賀茂 慎一郎</t>
  </si>
  <si>
    <t>アジャイル変革グループ</t>
  </si>
  <si>
    <t>AQ087020200</t>
  </si>
  <si>
    <t>鴨志田 星矢</t>
  </si>
  <si>
    <t>加山 美佳</t>
  </si>
  <si>
    <t>せいかつ環境Bチーム</t>
  </si>
  <si>
    <t>唐澤 克弥</t>
  </si>
  <si>
    <t>軽部 正太</t>
  </si>
  <si>
    <t>セキュリティ技術グループ</t>
  </si>
  <si>
    <t>Carmona Sebastien</t>
  </si>
  <si>
    <t>Carmona</t>
  </si>
  <si>
    <t>Sebastien</t>
  </si>
  <si>
    <t>川合 翔主也a</t>
  </si>
  <si>
    <t>河合 愛子</t>
  </si>
  <si>
    <t>河井 孝晃</t>
  </si>
  <si>
    <t>川上 亜也子</t>
  </si>
  <si>
    <t>川上 久美子</t>
  </si>
  <si>
    <t>デザイナーリレーショングループ</t>
  </si>
  <si>
    <t>川口 浩司</t>
  </si>
  <si>
    <t>川口 智</t>
  </si>
  <si>
    <t>川口 洋平</t>
  </si>
  <si>
    <t>河毛 勘宏</t>
  </si>
  <si>
    <t>川下 拓哉</t>
  </si>
  <si>
    <t>川嶋 亜依</t>
  </si>
  <si>
    <t>川島 彗</t>
  </si>
  <si>
    <t>川島 徹也</t>
  </si>
  <si>
    <t>イベントシステムグループ</t>
  </si>
  <si>
    <t>川嶋 真史</t>
  </si>
  <si>
    <t>河住 尚実</t>
  </si>
  <si>
    <t>川瀬 寛也a</t>
  </si>
  <si>
    <t>河田 絵美子</t>
  </si>
  <si>
    <t>ユーザーコミュニケーションチーム</t>
  </si>
  <si>
    <t>河野 彰太</t>
  </si>
  <si>
    <t>川畑 透</t>
  </si>
  <si>
    <t>川端 昌美</t>
  </si>
  <si>
    <t>川端 美嶺</t>
  </si>
  <si>
    <t>川端 恭広</t>
  </si>
  <si>
    <t>河原 優一</t>
  </si>
  <si>
    <t>川原 友希</t>
  </si>
  <si>
    <t>AX089040600</t>
  </si>
  <si>
    <t>川邉 香菜</t>
  </si>
  <si>
    <t>経理2チーム</t>
  </si>
  <si>
    <t>河村 勇</t>
  </si>
  <si>
    <t>河村 康希</t>
  </si>
  <si>
    <t>河村 政範</t>
  </si>
  <si>
    <t>河村 遼太</t>
  </si>
  <si>
    <t>事業FP&amp;Aグループ</t>
  </si>
  <si>
    <t>ビジネスファイナンシャルプランニングチーム</t>
  </si>
  <si>
    <t>川本 彩花</t>
  </si>
  <si>
    <t>川本 光輝a</t>
  </si>
  <si>
    <t>川本 剛生</t>
  </si>
  <si>
    <t>河本 裕太</t>
  </si>
  <si>
    <t>ガバナンス推進チーム</t>
  </si>
  <si>
    <t>河分 伸一朗</t>
  </si>
  <si>
    <t>モンソニ世界観チーム</t>
  </si>
  <si>
    <t>姜 明秀</t>
  </si>
  <si>
    <t>姜 少眞</t>
  </si>
  <si>
    <t>神田 繁</t>
  </si>
  <si>
    <t>イベント2グループ</t>
  </si>
  <si>
    <t>貫洞 洋至</t>
  </si>
  <si>
    <t>菅野 史明</t>
  </si>
  <si>
    <t>菅野 昌宏</t>
  </si>
  <si>
    <t>菅野 優貴</t>
  </si>
  <si>
    <t>菅野 友里絵</t>
  </si>
  <si>
    <t>神原 妃都美a</t>
  </si>
  <si>
    <t>神戸 瑠衣子</t>
  </si>
  <si>
    <t>菊田 遼</t>
  </si>
  <si>
    <t>菊地 あゆ</t>
  </si>
  <si>
    <t>菊池 恵理子</t>
  </si>
  <si>
    <t>菊池 一希</t>
  </si>
  <si>
    <t>菊地 将護</t>
  </si>
  <si>
    <t>菊池 美穂</t>
  </si>
  <si>
    <t>企画・マーケティングチーム</t>
  </si>
  <si>
    <t>木口 秀平</t>
  </si>
  <si>
    <t>AU073010300</t>
  </si>
  <si>
    <t>岸 昭太朗a</t>
  </si>
  <si>
    <t>岸川 桂子</t>
  </si>
  <si>
    <t>喜島 涼太</t>
  </si>
  <si>
    <t>プラットフォーム開発グループ</t>
  </si>
  <si>
    <t>エンジニアチーム</t>
  </si>
  <si>
    <t>木嶋 碧</t>
  </si>
  <si>
    <t>岸本 由美子</t>
  </si>
  <si>
    <t>喜多 功次</t>
  </si>
  <si>
    <t>木田 敦士b</t>
  </si>
  <si>
    <t>デザイン2グループ</t>
  </si>
  <si>
    <t>北井 孝治</t>
  </si>
  <si>
    <t>イベント運営チーム</t>
  </si>
  <si>
    <t>北島 祥伍</t>
  </si>
  <si>
    <t>解析グループ</t>
  </si>
  <si>
    <t>解析チーム</t>
  </si>
  <si>
    <t>北原 和也</t>
  </si>
  <si>
    <t>北原 聖子</t>
  </si>
  <si>
    <t>北村 怜</t>
  </si>
  <si>
    <t>橘井 健一</t>
  </si>
  <si>
    <t>橘川 賢一</t>
  </si>
  <si>
    <t>橘田 望</t>
  </si>
  <si>
    <t>木浪 陽介</t>
  </si>
  <si>
    <t>木原 秀彦</t>
  </si>
  <si>
    <t>マーチャンダイジングチーム</t>
  </si>
  <si>
    <t>君嶋 大輔</t>
  </si>
  <si>
    <t>キム ヨンギョン</t>
  </si>
  <si>
    <t>木村 杏子</t>
  </si>
  <si>
    <t>木村 匠吾</t>
  </si>
  <si>
    <t>木村 壮志</t>
  </si>
  <si>
    <t>制作プロデュースチーム</t>
  </si>
  <si>
    <t>木村 匡希</t>
  </si>
  <si>
    <t>木村 麻里絵a</t>
  </si>
  <si>
    <t>せいかつ環境Aグループ</t>
  </si>
  <si>
    <t>せいかつ環境Aチーム</t>
  </si>
  <si>
    <t>木村 莉奈</t>
  </si>
  <si>
    <t>京極 結紀</t>
  </si>
  <si>
    <t>行徳 彩</t>
  </si>
  <si>
    <t>コーポレートHRBPグループ</t>
  </si>
  <si>
    <t>清崎 浩平</t>
  </si>
  <si>
    <t>労務企画チーム</t>
  </si>
  <si>
    <t>木吉 将隆</t>
  </si>
  <si>
    <t>開発基盤グループ</t>
  </si>
  <si>
    <t>清末 香子</t>
  </si>
  <si>
    <t>清原 優希乃</t>
  </si>
  <si>
    <t>桐山 拓也</t>
  </si>
  <si>
    <t>金城 庄吾</t>
  </si>
  <si>
    <t>クー ジョシュア</t>
  </si>
  <si>
    <t>AR091040600</t>
  </si>
  <si>
    <t>日下 亜紀子</t>
  </si>
  <si>
    <t>日下 健太</t>
  </si>
  <si>
    <t>事業開発2グループ</t>
  </si>
  <si>
    <t>日下 ななみ</t>
  </si>
  <si>
    <t>ウェルネス推進グループ</t>
  </si>
  <si>
    <t>保健衛生チーム</t>
  </si>
  <si>
    <t>BOグループ</t>
  </si>
  <si>
    <t>AR060051000</t>
  </si>
  <si>
    <t>串崎 典子</t>
  </si>
  <si>
    <t>工藤 康史</t>
  </si>
  <si>
    <t>工藤 眞孝</t>
  </si>
  <si>
    <t>工藤 美智子</t>
  </si>
  <si>
    <t>工藤 理恵</t>
  </si>
  <si>
    <t>國吉 真織</t>
  </si>
  <si>
    <t>久野 文菜</t>
  </si>
  <si>
    <t>久畑 凌</t>
  </si>
  <si>
    <t>久保 沙知代</t>
  </si>
  <si>
    <t>ブランド企画営業グループ</t>
  </si>
  <si>
    <t>久保 瞳</t>
  </si>
  <si>
    <t>久保 善征</t>
  </si>
  <si>
    <t>窪島 弘明</t>
  </si>
  <si>
    <t>ミッション運用チーム</t>
  </si>
  <si>
    <t>窪田 亙志</t>
  </si>
  <si>
    <t>久保田 秋華</t>
  </si>
  <si>
    <t>久保山 知瑛</t>
  </si>
  <si>
    <t>久保山 燎平</t>
  </si>
  <si>
    <t>データサイエンスグループ</t>
  </si>
  <si>
    <t>熊谷 政宏</t>
  </si>
  <si>
    <t>熊倉 心斗</t>
  </si>
  <si>
    <t>熊坂 勇刀</t>
  </si>
  <si>
    <t>熊田 麻代</t>
  </si>
  <si>
    <t>AO082040100</t>
  </si>
  <si>
    <t>久米 啓民</t>
  </si>
  <si>
    <t>プロダクト開発Bグループ</t>
  </si>
  <si>
    <t>AO082080600</t>
  </si>
  <si>
    <t>粂原 大樹</t>
  </si>
  <si>
    <t>雲村 賢太郎</t>
  </si>
  <si>
    <t>グローバルクリエイティブチーム</t>
  </si>
  <si>
    <t>AQ087030101</t>
  </si>
  <si>
    <t>倉林 佑弥</t>
  </si>
  <si>
    <t>栗城 桂子</t>
  </si>
  <si>
    <t>栗田 麻祐子</t>
  </si>
  <si>
    <t>レベルデザインチーム</t>
  </si>
  <si>
    <t>栗野 恭平</t>
  </si>
  <si>
    <t>栗林 雅人</t>
  </si>
  <si>
    <t>エクスペリエンスデザイン第1グループ</t>
  </si>
  <si>
    <t>栗原 智美</t>
  </si>
  <si>
    <t>栗原 勇樹</t>
  </si>
  <si>
    <t>黒木 知子</t>
  </si>
  <si>
    <t>黒木 怜恩</t>
  </si>
  <si>
    <t>黒崎 智也</t>
  </si>
  <si>
    <t>コーポレートFP&amp;Aグループ</t>
  </si>
  <si>
    <t>黒田 華加</t>
  </si>
  <si>
    <t>桑原 みなみ</t>
  </si>
  <si>
    <t>桑本 竜也</t>
  </si>
  <si>
    <t>厳 隠</t>
  </si>
  <si>
    <t>玄馬 史也</t>
  </si>
  <si>
    <t>プロダクト開発DAグループ</t>
  </si>
  <si>
    <t>小池 亜耶加</t>
  </si>
  <si>
    <t>小池 透</t>
  </si>
  <si>
    <t>小池 陸</t>
  </si>
  <si>
    <t>小泉 岳大</t>
  </si>
  <si>
    <t>小出 悠里亜</t>
  </si>
  <si>
    <t>Cooperationグループ</t>
  </si>
  <si>
    <t>向後 新奈</t>
  </si>
  <si>
    <t>向後 有美</t>
  </si>
  <si>
    <t>企画グループ</t>
  </si>
  <si>
    <t>香田 淳一</t>
  </si>
  <si>
    <t>幸田 拓馬</t>
  </si>
  <si>
    <t>河野 麻未</t>
  </si>
  <si>
    <t>商品企画チーム</t>
  </si>
  <si>
    <t>小枝 正典</t>
  </si>
  <si>
    <t>AW076020800</t>
  </si>
  <si>
    <t>古川 健</t>
  </si>
  <si>
    <t>古河 久人</t>
  </si>
  <si>
    <t>國分 聖</t>
  </si>
  <si>
    <t>國分 裕太</t>
  </si>
  <si>
    <t>小久保 良介</t>
  </si>
  <si>
    <t>小暮 美帆</t>
  </si>
  <si>
    <t>腰塚 淳也</t>
  </si>
  <si>
    <t>小島 慎太郎</t>
  </si>
  <si>
    <t>小島 勇太</t>
  </si>
  <si>
    <t>古城 秀隆</t>
  </si>
  <si>
    <t>小関 瑞穂</t>
  </si>
  <si>
    <t>児玉 悦子</t>
  </si>
  <si>
    <t>コーポレートPMグループ</t>
  </si>
  <si>
    <t>MWF管理チーム</t>
  </si>
  <si>
    <t>兒玉 博志</t>
  </si>
  <si>
    <t>AW076070100</t>
  </si>
  <si>
    <t>後藤 紫織</t>
  </si>
  <si>
    <t>後藤 慎之助</t>
  </si>
  <si>
    <t>後藤 知弘</t>
  </si>
  <si>
    <t>後藤 芙友</t>
  </si>
  <si>
    <t>小長井 宏美</t>
  </si>
  <si>
    <t>CGデザイングループ</t>
  </si>
  <si>
    <t>CG第3チーム</t>
  </si>
  <si>
    <t>小西 華織</t>
  </si>
  <si>
    <t>小西 遼</t>
  </si>
  <si>
    <t>小端 みより</t>
  </si>
  <si>
    <t>小濱 大輔</t>
  </si>
  <si>
    <t>小林 あかり</t>
  </si>
  <si>
    <t>アクティベーション1チーム</t>
  </si>
  <si>
    <t>小林 可奈b</t>
  </si>
  <si>
    <t>小林 佳奈</t>
  </si>
  <si>
    <t>ユーザー運用チーム</t>
  </si>
  <si>
    <t>小林 康三</t>
  </si>
  <si>
    <t>環境整備チーム</t>
  </si>
  <si>
    <t>小林 紗英</t>
  </si>
  <si>
    <t>小林 桜々a</t>
  </si>
  <si>
    <t>小林 大祐</t>
  </si>
  <si>
    <t>小林 曹</t>
  </si>
  <si>
    <t>小林 悠香a</t>
  </si>
  <si>
    <t>AW076070202</t>
  </si>
  <si>
    <t>小林 宏彰</t>
  </si>
  <si>
    <t>小林 祐子</t>
  </si>
  <si>
    <t>小原 淳平</t>
  </si>
  <si>
    <t>小原 直英</t>
  </si>
  <si>
    <t>駒下 純兵</t>
  </si>
  <si>
    <t>駒下 純兵a</t>
  </si>
  <si>
    <t>小松 茂敏</t>
  </si>
  <si>
    <t>小松 右宜</t>
  </si>
  <si>
    <t>プロダクトPRグループ</t>
  </si>
  <si>
    <t>プロダクトPRチーム</t>
  </si>
  <si>
    <t>小峰 沙織</t>
  </si>
  <si>
    <t>小宮山 麻美</t>
  </si>
  <si>
    <t>米田 圭佑</t>
  </si>
  <si>
    <t>AO082020300</t>
  </si>
  <si>
    <t>小森 一喜</t>
  </si>
  <si>
    <t>小谷中 理沙</t>
  </si>
  <si>
    <t>小柳 夏希a</t>
  </si>
  <si>
    <t>小山 健太郎</t>
  </si>
  <si>
    <t>近藤 佳奈子</t>
  </si>
  <si>
    <t>近藤 瑞夏</t>
  </si>
  <si>
    <t>昆野 香里</t>
  </si>
  <si>
    <t>紺野 秀朱</t>
  </si>
  <si>
    <t>エンジニアリング支援グループ</t>
  </si>
  <si>
    <t>PJ支援グループ</t>
  </si>
  <si>
    <t>今野 吹季子</t>
  </si>
  <si>
    <t>今野 美穂</t>
  </si>
  <si>
    <t>齋 恭介</t>
  </si>
  <si>
    <t>雑賀 健太</t>
  </si>
  <si>
    <t>齋田 宙夢</t>
  </si>
  <si>
    <t>齋藤 敦子</t>
  </si>
  <si>
    <t>斉藤 あゆみ</t>
  </si>
  <si>
    <t>齊藤 加菜</t>
  </si>
  <si>
    <t>齋藤 皓太</t>
  </si>
  <si>
    <t>齊藤 幸子a</t>
  </si>
  <si>
    <t>アートサポートチーム</t>
  </si>
  <si>
    <t>齋藤 周平</t>
  </si>
  <si>
    <t>齋藤 彰太</t>
  </si>
  <si>
    <t>AIイノベーショングループ</t>
  </si>
  <si>
    <t>齋藤 大地</t>
  </si>
  <si>
    <t>齋藤 利哉</t>
  </si>
  <si>
    <t>齊藤 裕美a</t>
  </si>
  <si>
    <t>斎藤 真妃</t>
  </si>
  <si>
    <t>組織推進グループ</t>
  </si>
  <si>
    <t>AX089070300</t>
  </si>
  <si>
    <t>齊藤 実</t>
  </si>
  <si>
    <t>斉藤 康仁</t>
  </si>
  <si>
    <t>齋藤 雄介</t>
  </si>
  <si>
    <t>佐伯 恭佑</t>
  </si>
  <si>
    <t>坂井 麻美a</t>
  </si>
  <si>
    <t>酒井 亜沙美</t>
  </si>
  <si>
    <t>労務管理第2グループ</t>
  </si>
  <si>
    <t>労務管理第2チーム</t>
  </si>
  <si>
    <t>境 秀</t>
  </si>
  <si>
    <t>酒井 拓己</t>
  </si>
  <si>
    <t>坂井 拓也</t>
  </si>
  <si>
    <t>坂井 武流</t>
  </si>
  <si>
    <t>坂井 奈津子</t>
  </si>
  <si>
    <t>酒井 優</t>
  </si>
  <si>
    <t>坂井 陸一</t>
  </si>
  <si>
    <t>坂川 誠基</t>
  </si>
  <si>
    <t>パートナーマーケティンググループ</t>
  </si>
  <si>
    <t>パートナーマーケティングチーム</t>
  </si>
  <si>
    <t>榊原 聖佳</t>
  </si>
  <si>
    <t>制度企画グループ</t>
  </si>
  <si>
    <t>AX089060200</t>
  </si>
  <si>
    <t>榊原 正記</t>
  </si>
  <si>
    <t>榊原 良憲</t>
  </si>
  <si>
    <t>坂口 慎志</t>
  </si>
  <si>
    <t>坂田 一徳</t>
  </si>
  <si>
    <t>坂田 拓人</t>
  </si>
  <si>
    <t>坂主 英</t>
  </si>
  <si>
    <t>役員支援グループ</t>
  </si>
  <si>
    <t>坂本 泉</t>
  </si>
  <si>
    <t>坂本 耕史</t>
  </si>
  <si>
    <t>坂本 貴康</t>
  </si>
  <si>
    <t>坂元 蓮加</t>
  </si>
  <si>
    <t>坂本 龍太郎</t>
  </si>
  <si>
    <t>坂本 怜</t>
  </si>
  <si>
    <t>Data Engineeringグループ</t>
  </si>
  <si>
    <t>AQ087020100</t>
  </si>
  <si>
    <t>﨑 健悟</t>
  </si>
  <si>
    <t>鷺谷 凌</t>
  </si>
  <si>
    <t>佐久間 彩</t>
  </si>
  <si>
    <t>佐久間 由太加a</t>
  </si>
  <si>
    <t>櫻井 謙士</t>
  </si>
  <si>
    <t>櫻井 輝樹</t>
  </si>
  <si>
    <t>櫻井 雄一</t>
  </si>
  <si>
    <t>佐々木 愛</t>
  </si>
  <si>
    <t>佐々木 義一郎</t>
  </si>
  <si>
    <t>佐々木 暁</t>
  </si>
  <si>
    <t>プロダクト開発Sグループ</t>
  </si>
  <si>
    <t>AQ087020800</t>
  </si>
  <si>
    <t>佐々木 詩織</t>
  </si>
  <si>
    <t>佐々木 大輔a</t>
  </si>
  <si>
    <t>佐々木 拓</t>
  </si>
  <si>
    <t>グローバルモンストデザイングループ</t>
  </si>
  <si>
    <t>佐々木 宏文</t>
  </si>
  <si>
    <t>佐々木 善久</t>
  </si>
  <si>
    <t>VFXチーム</t>
  </si>
  <si>
    <t>佐々木 るう</t>
  </si>
  <si>
    <t>佐々田 壮大</t>
  </si>
  <si>
    <t>笹山 里香</t>
  </si>
  <si>
    <t>指田 佳祐</t>
  </si>
  <si>
    <t>定兼 熙</t>
  </si>
  <si>
    <t>定松 広如a</t>
  </si>
  <si>
    <t>佐藤 晶</t>
  </si>
  <si>
    <t>韓国語チーム</t>
  </si>
  <si>
    <t>AR091040603</t>
  </si>
  <si>
    <t>佐藤 篤</t>
  </si>
  <si>
    <t>佐藤 香織</t>
  </si>
  <si>
    <t>佐藤 駿介a</t>
  </si>
  <si>
    <t>佐藤 伸一</t>
  </si>
  <si>
    <t>佐藤 大輔a</t>
  </si>
  <si>
    <t>佐藤 貴亮</t>
  </si>
  <si>
    <t>事業HRBPグループ</t>
  </si>
  <si>
    <t>佐藤 隆行</t>
  </si>
  <si>
    <t>安全保障グループ</t>
  </si>
  <si>
    <t>プラットフォームチーム</t>
  </si>
  <si>
    <t>佐藤 武</t>
  </si>
  <si>
    <t>佐藤 俊宏</t>
  </si>
  <si>
    <t>佐藤 直紀a</t>
  </si>
  <si>
    <t>W inc.(本部格)</t>
  </si>
  <si>
    <t>佐藤 桜代</t>
  </si>
  <si>
    <t>佐藤 光里</t>
  </si>
  <si>
    <t>ブランディンググループ</t>
  </si>
  <si>
    <t>佐藤 光a</t>
  </si>
  <si>
    <t>佐藤 光</t>
  </si>
  <si>
    <t>プロダクト開発モダナイズグループ</t>
  </si>
  <si>
    <t>AQ087020900</t>
  </si>
  <si>
    <t>佐藤 浩樹</t>
  </si>
  <si>
    <t>コントローラーチーム</t>
  </si>
  <si>
    <t>佐藤 昌弘a</t>
  </si>
  <si>
    <t>佐藤 優a</t>
  </si>
  <si>
    <t>佐藤 優輝</t>
  </si>
  <si>
    <t>佐藤 悠吾</t>
  </si>
  <si>
    <t>佐藤 祐次a</t>
  </si>
  <si>
    <t>佐藤 良輔</t>
  </si>
  <si>
    <t>プロデュースチーム</t>
  </si>
  <si>
    <t>佐藤 礼菜</t>
  </si>
  <si>
    <t>真田 雄太</t>
  </si>
  <si>
    <t>佐野 修平</t>
  </si>
  <si>
    <t>佐野 智美</t>
  </si>
  <si>
    <t>佐橋 未菜a</t>
  </si>
  <si>
    <t>佐原 亜加里</t>
  </si>
  <si>
    <t>サム ヴィン</t>
  </si>
  <si>
    <t>醒井 涼</t>
  </si>
  <si>
    <t>澤 和宏</t>
  </si>
  <si>
    <t>澤 義和</t>
  </si>
  <si>
    <t>澤井 常生</t>
  </si>
  <si>
    <t>3D第2チーム</t>
  </si>
  <si>
    <t>澤田 弘直</t>
  </si>
  <si>
    <t>澤田 祐希</t>
  </si>
  <si>
    <t>猿渡 隆生</t>
  </si>
  <si>
    <t>経営企画グループ</t>
  </si>
  <si>
    <t>総合企画チーム</t>
  </si>
  <si>
    <t>AO090040201</t>
  </si>
  <si>
    <t>三瓶 綾乃</t>
  </si>
  <si>
    <t>動画グループ</t>
  </si>
  <si>
    <t>ジ ワンジョン</t>
  </si>
  <si>
    <t>サーバ3チーム</t>
  </si>
  <si>
    <t>塩田 耕太郎</t>
  </si>
  <si>
    <t>メディアチーム</t>
  </si>
  <si>
    <t>塩田 菜穂</t>
  </si>
  <si>
    <t>塩野入 浩美</t>
  </si>
  <si>
    <t>鹿野 智愛</t>
  </si>
  <si>
    <t>設楽 正規</t>
  </si>
  <si>
    <t>七野 達志</t>
  </si>
  <si>
    <t>標葉 千晴</t>
  </si>
  <si>
    <t>篠崎 瑞樹</t>
  </si>
  <si>
    <t>篠塚 久</t>
  </si>
  <si>
    <t>篠原 梨紗</t>
  </si>
  <si>
    <t>信夫 裕貴</t>
  </si>
  <si>
    <t>芝尾 直樹</t>
  </si>
  <si>
    <t>柴田 和紀</t>
  </si>
  <si>
    <t>柴田 勝史</t>
  </si>
  <si>
    <t>海外企画チーム</t>
  </si>
  <si>
    <t>柴田 めぐみ</t>
  </si>
  <si>
    <t>芝野 登志也</t>
  </si>
  <si>
    <t>渋谷 晃平</t>
  </si>
  <si>
    <t>島 洸生</t>
  </si>
  <si>
    <t>嶋 遊子</t>
  </si>
  <si>
    <t>島内 良仁</t>
  </si>
  <si>
    <t>嶋児 未来</t>
  </si>
  <si>
    <t>島崎 顕北</t>
  </si>
  <si>
    <t>リサーチチーム</t>
  </si>
  <si>
    <t>島尻 卓</t>
  </si>
  <si>
    <t>嶋田 葵</t>
  </si>
  <si>
    <t>嶋田 恵介</t>
  </si>
  <si>
    <t>プロジェクト推進グループ</t>
  </si>
  <si>
    <t>島貫 稔之</t>
  </si>
  <si>
    <t>島本 洋希</t>
  </si>
  <si>
    <t>清水 拓</t>
  </si>
  <si>
    <t>清水 球母</t>
  </si>
  <si>
    <t>清水 千代</t>
  </si>
  <si>
    <t>清水 直哉</t>
  </si>
  <si>
    <t>清水 悠一</t>
  </si>
  <si>
    <t>清水 良幸</t>
  </si>
  <si>
    <t>清水 遼平</t>
  </si>
  <si>
    <t>清水目 利恵</t>
  </si>
  <si>
    <t>下川 敬弘</t>
  </si>
  <si>
    <t>周 芷伊</t>
  </si>
  <si>
    <t>宣伝企画2チーム</t>
  </si>
  <si>
    <t>シュナイダー ザビーネ</t>
  </si>
  <si>
    <t>蕭 佳正a</t>
  </si>
  <si>
    <t>繁体字チーム</t>
  </si>
  <si>
    <t>鍾 謙慈</t>
  </si>
  <si>
    <t>城﨑 綾</t>
  </si>
  <si>
    <t>庄司 恵</t>
  </si>
  <si>
    <t>鄭 允哲</t>
  </si>
  <si>
    <t>白井 秀憲</t>
  </si>
  <si>
    <t>白石 良太</t>
  </si>
  <si>
    <t>AQ087030200</t>
  </si>
  <si>
    <t>白尾 直子</t>
  </si>
  <si>
    <t>白川 裕介</t>
  </si>
  <si>
    <t>白倉 拓弥</t>
  </si>
  <si>
    <t>新 和博a</t>
  </si>
  <si>
    <t>アイ・マーキュリーキャピタル株式会社(本部格)</t>
  </si>
  <si>
    <t>神 菜美</t>
  </si>
  <si>
    <t>AU073010200</t>
  </si>
  <si>
    <t>新開 葉月</t>
  </si>
  <si>
    <t>末廣 祥子</t>
  </si>
  <si>
    <t>須賀 成章</t>
  </si>
  <si>
    <t>AO082050601</t>
  </si>
  <si>
    <t>須貝 冴恵</t>
  </si>
  <si>
    <t>AO082090100</t>
  </si>
  <si>
    <t>菅澤 麻里</t>
  </si>
  <si>
    <t>菅沼 悠太</t>
  </si>
  <si>
    <t>菅野 将太</t>
  </si>
  <si>
    <t>CG第2チーム</t>
  </si>
  <si>
    <t>菅野 祐也</t>
  </si>
  <si>
    <t>菅原 直亮</t>
  </si>
  <si>
    <t>菅谷 愛</t>
  </si>
  <si>
    <t>杉崎 大樹</t>
  </si>
  <si>
    <t>杉澤 大輔</t>
  </si>
  <si>
    <t>杉田 裕明</t>
  </si>
  <si>
    <t>杉村 涼</t>
  </si>
  <si>
    <t>杉本 浩平</t>
  </si>
  <si>
    <t>杉山 治</t>
  </si>
  <si>
    <t>コンテンツビジネスチーム</t>
  </si>
  <si>
    <t>鈴木 彩香</t>
  </si>
  <si>
    <t>人材育成チーム</t>
  </si>
  <si>
    <t>鈴木 綾乃</t>
  </si>
  <si>
    <t>鈴木 亜由美</t>
  </si>
  <si>
    <t>アクティベーション2チーム</t>
  </si>
  <si>
    <t>鈴木 進吾</t>
  </si>
  <si>
    <t>鈴木 貴史</t>
  </si>
  <si>
    <t>鈴木 丈之</t>
  </si>
  <si>
    <t>鈴木 奈々枝</t>
  </si>
  <si>
    <t>鈴木 勇人</t>
  </si>
  <si>
    <t>鈴木 治雄</t>
  </si>
  <si>
    <t>鈴木 正大</t>
  </si>
  <si>
    <t>鈴木 雅也</t>
  </si>
  <si>
    <t>鈴木 雄郁a</t>
  </si>
  <si>
    <t>鈴木 祐己</t>
  </si>
  <si>
    <t>鈴木 優希</t>
  </si>
  <si>
    <t>鈴木 優子</t>
  </si>
  <si>
    <t>鈴木 雄祐a</t>
  </si>
  <si>
    <t>秘書グループ</t>
  </si>
  <si>
    <t>鈴木 雄大</t>
  </si>
  <si>
    <t>鈴木 勇人a</t>
  </si>
  <si>
    <t>メディア企画グループ</t>
  </si>
  <si>
    <t>XM551060100</t>
  </si>
  <si>
    <t>鈴木 雄弥</t>
  </si>
  <si>
    <t>鈴木 友里絵</t>
  </si>
  <si>
    <t>須藤 義徳</t>
  </si>
  <si>
    <t>須藤 朋子a</t>
  </si>
  <si>
    <t>コンテンツチーム</t>
  </si>
  <si>
    <t>數藤 智幸</t>
  </si>
  <si>
    <t>AO090050300</t>
  </si>
  <si>
    <t>砂川 将秀</t>
  </si>
  <si>
    <t>住吉 秀章</t>
  </si>
  <si>
    <t>諏訪部 光平a</t>
  </si>
  <si>
    <t>清野 咲歩</t>
  </si>
  <si>
    <t>生盛 大史</t>
  </si>
  <si>
    <t>瀬尾 敦生</t>
  </si>
  <si>
    <t>瀨川 未晴</t>
  </si>
  <si>
    <t>関川 恵</t>
  </si>
  <si>
    <t>関口 竜也</t>
  </si>
  <si>
    <t>関根 海</t>
  </si>
  <si>
    <t>関根 賢貴</t>
  </si>
  <si>
    <t>関野 直博</t>
  </si>
  <si>
    <t>瀬戸 知子</t>
  </si>
  <si>
    <t>経営サポートグループ</t>
  </si>
  <si>
    <t>AX078010400</t>
  </si>
  <si>
    <t>瀬戸口 史賀</t>
  </si>
  <si>
    <t>銭 宇喆</t>
  </si>
  <si>
    <t>宋 麗花</t>
  </si>
  <si>
    <t>相馬 衣里</t>
  </si>
  <si>
    <t>曽我部 早紀</t>
  </si>
  <si>
    <t>企業広報グループ</t>
  </si>
  <si>
    <t>企業広報チーム</t>
  </si>
  <si>
    <t>AX078050101</t>
  </si>
  <si>
    <t>曽田 リラ</t>
  </si>
  <si>
    <t>外山 英里</t>
  </si>
  <si>
    <t>曽根 洋子</t>
  </si>
  <si>
    <t>成 智恩</t>
  </si>
  <si>
    <t>平 彩七</t>
  </si>
  <si>
    <t>平 恭子</t>
  </si>
  <si>
    <t>田尾 慶子</t>
  </si>
  <si>
    <t>田岡 文利</t>
  </si>
  <si>
    <t>高井 桂</t>
  </si>
  <si>
    <t>高浦 二三康</t>
  </si>
  <si>
    <t>高岡 優子</t>
  </si>
  <si>
    <t>髙木 志弥</t>
  </si>
  <si>
    <t>第2チーム</t>
  </si>
  <si>
    <t>高木 侑紀子</t>
  </si>
  <si>
    <t>高崎 健太郎</t>
  </si>
  <si>
    <t>髙島 桃香</t>
  </si>
  <si>
    <t>高嶋 里沙</t>
  </si>
  <si>
    <t>高須 城次</t>
  </si>
  <si>
    <t>髙田 信一</t>
  </si>
  <si>
    <t>高田 寛</t>
  </si>
  <si>
    <t>高田 誠</t>
  </si>
  <si>
    <t>AO090040300</t>
  </si>
  <si>
    <t>高塚 流星</t>
  </si>
  <si>
    <t>高遠 遥</t>
  </si>
  <si>
    <t>高梨 博之</t>
  </si>
  <si>
    <t>高野 周哉</t>
  </si>
  <si>
    <t>髙野 直子</t>
  </si>
  <si>
    <t>髙野 竜維</t>
  </si>
  <si>
    <t>高羽 莉奈</t>
  </si>
  <si>
    <t>高橋 宇建</t>
  </si>
  <si>
    <t>高橋 快成</t>
  </si>
  <si>
    <t>高橋 剛</t>
  </si>
  <si>
    <t>高橋 周大</t>
  </si>
  <si>
    <t>高橋 貴之</t>
  </si>
  <si>
    <t>UI第3チーム</t>
  </si>
  <si>
    <t>高橋 拓也</t>
  </si>
  <si>
    <t>高橋 拓之</t>
  </si>
  <si>
    <t>髙橋 由樹b</t>
  </si>
  <si>
    <t>高橋 雄次郎</t>
  </si>
  <si>
    <t>高橋 窯</t>
  </si>
  <si>
    <t>高橋 諒太</t>
  </si>
  <si>
    <t>高畑 珠里</t>
  </si>
  <si>
    <t>高畠 淳</t>
  </si>
  <si>
    <t>高見 雅人</t>
  </si>
  <si>
    <t>マーケティング戦略グループ</t>
  </si>
  <si>
    <t>AO082050300</t>
  </si>
  <si>
    <t>髙森 楓</t>
  </si>
  <si>
    <t>AO082060600</t>
  </si>
  <si>
    <t>高森 龍一</t>
  </si>
  <si>
    <t>髙柳 博紀</t>
  </si>
  <si>
    <t>高山 尚峰</t>
  </si>
  <si>
    <t>高山 祐太</t>
  </si>
  <si>
    <t>AX089030100</t>
  </si>
  <si>
    <t>滝澤 峻矢</t>
  </si>
  <si>
    <t>滝澤 学</t>
  </si>
  <si>
    <t>滝本 奈々</t>
  </si>
  <si>
    <t>瀧本 裕之</t>
  </si>
  <si>
    <t>滝山 智美</t>
  </si>
  <si>
    <t>田口 大介</t>
  </si>
  <si>
    <t>田口 直樹</t>
  </si>
  <si>
    <t>田熊 麻子</t>
  </si>
  <si>
    <t>国内投資グループ</t>
  </si>
  <si>
    <t>武井 大輔</t>
  </si>
  <si>
    <t>竹内 翔</t>
  </si>
  <si>
    <t>竹内 俊貴</t>
  </si>
  <si>
    <t>武内 友希</t>
  </si>
  <si>
    <t>メタストグループ</t>
  </si>
  <si>
    <t>竹尾 さくら</t>
  </si>
  <si>
    <t>竹越 亜寿沙</t>
  </si>
  <si>
    <t>武居 範道</t>
  </si>
  <si>
    <t>武田 洋輝</t>
  </si>
  <si>
    <t>武田 夢菜</t>
  </si>
  <si>
    <t>武津 侑希子</t>
  </si>
  <si>
    <t>嵩西 佑奈</t>
  </si>
  <si>
    <t>竹之内 亮</t>
  </si>
  <si>
    <t>竹本 芽衣</t>
  </si>
  <si>
    <t>田崎 恵梨奈</t>
  </si>
  <si>
    <t>田崎 美菜子</t>
  </si>
  <si>
    <t>田﨑 陽士</t>
  </si>
  <si>
    <t>田島 達也</t>
  </si>
  <si>
    <t>ゲームデザインチーム</t>
  </si>
  <si>
    <t>AO082080602</t>
  </si>
  <si>
    <t>田代 創大</t>
  </si>
  <si>
    <t>田代 祐輔</t>
  </si>
  <si>
    <t>エンジニアリングチーム</t>
  </si>
  <si>
    <t>多田 藍</t>
  </si>
  <si>
    <t>橘 智美</t>
  </si>
  <si>
    <t>立花 里奈</t>
  </si>
  <si>
    <t>立石 矩子</t>
  </si>
  <si>
    <t>巽 小夜子</t>
  </si>
  <si>
    <t>舘 香織</t>
  </si>
  <si>
    <t>監査役室(本部格)</t>
  </si>
  <si>
    <t>ZZ037010000</t>
  </si>
  <si>
    <t>AO082010500</t>
  </si>
  <si>
    <t>田所 実花子</t>
  </si>
  <si>
    <t>田中 文音</t>
  </si>
  <si>
    <t>田中 海輝</t>
  </si>
  <si>
    <t>田中 完二</t>
  </si>
  <si>
    <t>田中 恭友</t>
  </si>
  <si>
    <t>AO082080700</t>
  </si>
  <si>
    <t>田中 翔一朗</t>
  </si>
  <si>
    <t>田中 慎一</t>
  </si>
  <si>
    <t>田中 哲義</t>
  </si>
  <si>
    <t>田中 真生</t>
  </si>
  <si>
    <t>田中 鞠子</t>
  </si>
  <si>
    <t>CG第1チーム</t>
  </si>
  <si>
    <t>田中 佑治</t>
  </si>
  <si>
    <t>田中 悠介</t>
  </si>
  <si>
    <t>プロダクト開発チーム</t>
  </si>
  <si>
    <t>田中 佑奈</t>
  </si>
  <si>
    <t>田中 豊</t>
  </si>
  <si>
    <t>田那辺 輝</t>
  </si>
  <si>
    <t>田邊 有紗</t>
  </si>
  <si>
    <t>田邉 隆介</t>
  </si>
  <si>
    <t>谷 朝陽</t>
  </si>
  <si>
    <t>ウマい馬券グループ</t>
  </si>
  <si>
    <t>谷口 岳</t>
  </si>
  <si>
    <t>谷口 晋也</t>
  </si>
  <si>
    <t>谷口 太伸</t>
  </si>
  <si>
    <t>戦略1チーム</t>
  </si>
  <si>
    <t>谷口 希美</t>
  </si>
  <si>
    <t>谷口 裕樹</t>
  </si>
  <si>
    <t>谷口 喜郎</t>
  </si>
  <si>
    <t>谷﨑 春歌</t>
  </si>
  <si>
    <t>谷中 保予</t>
  </si>
  <si>
    <t>谷村 信一</t>
  </si>
  <si>
    <t>谷本 直人</t>
  </si>
  <si>
    <t>田野 穂奈美</t>
  </si>
  <si>
    <t>多羽田 俊</t>
  </si>
  <si>
    <t>田渕 哲也</t>
  </si>
  <si>
    <t>田巻 敏直</t>
  </si>
  <si>
    <t>田村 聡和</t>
  </si>
  <si>
    <t>田村 秀昭</t>
  </si>
  <si>
    <t>田村 洋統</t>
  </si>
  <si>
    <t>田村 征也</t>
  </si>
  <si>
    <t>田村 洋輔</t>
  </si>
  <si>
    <t>田村 佳大</t>
  </si>
  <si>
    <t>田村 賴辞</t>
  </si>
  <si>
    <t>樽田 真奈</t>
  </si>
  <si>
    <t>譚 正文</t>
  </si>
  <si>
    <t>2DUI第1チーム</t>
  </si>
  <si>
    <t>崔 サムヨン</t>
  </si>
  <si>
    <t>近松 恵里</t>
  </si>
  <si>
    <t>千田 健輔</t>
  </si>
  <si>
    <t>千田 龍司</t>
  </si>
  <si>
    <t>千野 友美</t>
  </si>
  <si>
    <t>千野 友香里</t>
  </si>
  <si>
    <t>千葉 凱人</t>
  </si>
  <si>
    <t>千葉 香</t>
  </si>
  <si>
    <t>AX089020200</t>
  </si>
  <si>
    <t>千葉 一人</t>
  </si>
  <si>
    <t>千葉 拓海a</t>
  </si>
  <si>
    <t>千葉 忠樹</t>
  </si>
  <si>
    <t>千葉 朋子</t>
  </si>
  <si>
    <t>千葉 龍一</t>
  </si>
  <si>
    <t>キャラチーム</t>
  </si>
  <si>
    <t>千原 成人</t>
  </si>
  <si>
    <t>チュー クリスa</t>
  </si>
  <si>
    <t>中鉢 真優</t>
  </si>
  <si>
    <t>チュン ヘンモック</t>
  </si>
  <si>
    <t>張 向洪</t>
  </si>
  <si>
    <t>張 磊</t>
  </si>
  <si>
    <t>AIチーム</t>
  </si>
  <si>
    <t>チョン エンディa</t>
  </si>
  <si>
    <t>塚本 晃広</t>
  </si>
  <si>
    <t>築地 哲平</t>
  </si>
  <si>
    <t>附田 遥</t>
  </si>
  <si>
    <t>辻奥 高志</t>
  </si>
  <si>
    <t>辻野 優</t>
  </si>
  <si>
    <t>津田 恭平</t>
  </si>
  <si>
    <t>津田 直幸</t>
  </si>
  <si>
    <t>土川 ひかり</t>
  </si>
  <si>
    <t>土田 留希</t>
  </si>
  <si>
    <t>土橋 和博</t>
  </si>
  <si>
    <t>土屋 宙之</t>
  </si>
  <si>
    <t>土屋 雅嗣</t>
  </si>
  <si>
    <t>角田 孝昭</t>
  </si>
  <si>
    <t>露木 慧</t>
  </si>
  <si>
    <t>鶴ケ谷 好美</t>
  </si>
  <si>
    <t>ツルキ ドラ</t>
  </si>
  <si>
    <t>鶴田 紗世</t>
  </si>
  <si>
    <t>戦略2チーム</t>
  </si>
  <si>
    <t>鶴田 臨</t>
  </si>
  <si>
    <t>鶴田 洸</t>
  </si>
  <si>
    <t>鶴見 彩子</t>
  </si>
  <si>
    <t>鶴見 令奈</t>
  </si>
  <si>
    <t>Tiala Joel</t>
  </si>
  <si>
    <t>グローバル人事グループ</t>
  </si>
  <si>
    <t>AX089030200</t>
  </si>
  <si>
    <t>ディック メーガン</t>
  </si>
  <si>
    <t>出口 洋平</t>
  </si>
  <si>
    <t>手島 桃</t>
  </si>
  <si>
    <t>手束 喜威</t>
  </si>
  <si>
    <t>デニソヴァ アナスタシア</t>
  </si>
  <si>
    <t>海外投資グループ</t>
  </si>
  <si>
    <t>寺尾 健</t>
  </si>
  <si>
    <t>寺尾 廉平</t>
  </si>
  <si>
    <t>次世代育成支援チーム</t>
  </si>
  <si>
    <t>AX078050302</t>
  </si>
  <si>
    <t>寺地 かおり</t>
  </si>
  <si>
    <t>寺田 卓史</t>
  </si>
  <si>
    <t>寺田 茉莉</t>
  </si>
  <si>
    <t>傳 美咲a</t>
  </si>
  <si>
    <t>土井 静</t>
  </si>
  <si>
    <t>ARG企画チーム</t>
  </si>
  <si>
    <t>百海 幸宏</t>
  </si>
  <si>
    <t>東海林 はな子</t>
  </si>
  <si>
    <t>道口 正人</t>
  </si>
  <si>
    <t>東條 邦男</t>
  </si>
  <si>
    <t>冨樫 柚香</t>
  </si>
  <si>
    <t>登川 竹直</t>
  </si>
  <si>
    <t>土岐 光慶</t>
  </si>
  <si>
    <t>時原 公平</t>
  </si>
  <si>
    <t>サーバ2チーム</t>
  </si>
  <si>
    <t>徳井 英恵</t>
  </si>
  <si>
    <t>徳江 李奈</t>
  </si>
  <si>
    <t>徳永 真也</t>
  </si>
  <si>
    <t>徳永 裕介</t>
  </si>
  <si>
    <t>戸田 章世</t>
  </si>
  <si>
    <t>戸田 英佑</t>
  </si>
  <si>
    <t>戸田 奈月</t>
  </si>
  <si>
    <t>AO082060500</t>
  </si>
  <si>
    <t>戸田 由樹子</t>
  </si>
  <si>
    <t>土田 希望</t>
  </si>
  <si>
    <t>轟 愛理子</t>
  </si>
  <si>
    <t>轟 奨太</t>
  </si>
  <si>
    <t>登内 雅人</t>
  </si>
  <si>
    <t>AIモデリンググループ</t>
  </si>
  <si>
    <t>富沢 高至</t>
  </si>
  <si>
    <t>冨田 敦美</t>
  </si>
  <si>
    <t>富田 邦敬</t>
  </si>
  <si>
    <t>富田 洋a</t>
  </si>
  <si>
    <t>富山 みのりa</t>
  </si>
  <si>
    <t>友竹 慶継</t>
  </si>
  <si>
    <t>友山 昌洋</t>
  </si>
  <si>
    <t>戸谷 栄一</t>
  </si>
  <si>
    <t>健全化グループ</t>
  </si>
  <si>
    <t>AU073010400</t>
  </si>
  <si>
    <t>戸谷 祐太</t>
  </si>
  <si>
    <t>豊岡 玉子</t>
  </si>
  <si>
    <t>豊岡 奈々a</t>
  </si>
  <si>
    <t>豊川 聖美</t>
  </si>
  <si>
    <t>事業開発1グループ</t>
  </si>
  <si>
    <t>豊島 有紀</t>
  </si>
  <si>
    <t>AW076021300</t>
  </si>
  <si>
    <t>豊田 和喜</t>
  </si>
  <si>
    <t>豊田 佑里香</t>
  </si>
  <si>
    <t>豊増 康之a</t>
  </si>
  <si>
    <t>鳥巣 理恵</t>
  </si>
  <si>
    <t>内藤 真代</t>
  </si>
  <si>
    <t>中 佑斗</t>
  </si>
  <si>
    <t>中井 博規</t>
  </si>
  <si>
    <t>中井 呂万</t>
  </si>
  <si>
    <t>中江 優太</t>
  </si>
  <si>
    <t>中尾 愛彩</t>
  </si>
  <si>
    <t>中尾 恵美</t>
  </si>
  <si>
    <t>長尾 星良a</t>
  </si>
  <si>
    <t>長岡 浩一</t>
  </si>
  <si>
    <t>長岡 美咲</t>
  </si>
  <si>
    <t>UIUXデザインチーム</t>
  </si>
  <si>
    <t>中川 阿季子</t>
  </si>
  <si>
    <t>中川 恭輔</t>
  </si>
  <si>
    <t>中川 兼人a</t>
  </si>
  <si>
    <t>中川 恵</t>
  </si>
  <si>
    <t>中久喜 慎吾b</t>
  </si>
  <si>
    <t>長坂 くるみ</t>
  </si>
  <si>
    <t>長坂 遼太</t>
  </si>
  <si>
    <t>長崎 麻衣子</t>
  </si>
  <si>
    <t>中里 恵</t>
  </si>
  <si>
    <t>中島 絢</t>
  </si>
  <si>
    <t>中島 佳歩</t>
  </si>
  <si>
    <t>中嶋 大地</t>
  </si>
  <si>
    <t>中島 拓貴</t>
  </si>
  <si>
    <t>中島 拓成</t>
  </si>
  <si>
    <t>中島 優希</t>
  </si>
  <si>
    <t>長島 豊</t>
  </si>
  <si>
    <t>永瀬 美紗子</t>
  </si>
  <si>
    <t>中田 常心</t>
  </si>
  <si>
    <t>中田 雅之a</t>
  </si>
  <si>
    <t>中田 摩周</t>
  </si>
  <si>
    <t>永塚 真奈美</t>
  </si>
  <si>
    <t>永沼 瑞穂</t>
  </si>
  <si>
    <t>中野 剛志</t>
  </si>
  <si>
    <t>中野 哲水</t>
  </si>
  <si>
    <t>中野 遥</t>
  </si>
  <si>
    <t>仲野 麻子</t>
  </si>
  <si>
    <t>永野 一帆</t>
  </si>
  <si>
    <t>中原 昌志</t>
  </si>
  <si>
    <t>仲原 わかな</t>
  </si>
  <si>
    <t>中平 香織</t>
  </si>
  <si>
    <t>中丸 陽介</t>
  </si>
  <si>
    <t>中牟田 茜</t>
  </si>
  <si>
    <t>中村 麻美</t>
  </si>
  <si>
    <t>中村 鮎美</t>
  </si>
  <si>
    <t>中村 啓亮</t>
  </si>
  <si>
    <t>中村 浩之</t>
  </si>
  <si>
    <t>中村 茉衣</t>
  </si>
  <si>
    <t>AQ087030100</t>
  </si>
  <si>
    <t>中村 有佳里</t>
  </si>
  <si>
    <t>中森 亮介</t>
  </si>
  <si>
    <t>中谷 香凜</t>
  </si>
  <si>
    <t>仲安 晃一</t>
  </si>
  <si>
    <t>中薮 優</t>
  </si>
  <si>
    <t>中山 一樹</t>
  </si>
  <si>
    <t>中山 智義</t>
  </si>
  <si>
    <t>中山 裕喜</t>
  </si>
  <si>
    <t>永山 真寿美</t>
  </si>
  <si>
    <t>奈川 英樹</t>
  </si>
  <si>
    <t>梨本 貴之</t>
  </si>
  <si>
    <t>那須 佳歩</t>
  </si>
  <si>
    <t>那須 大樹</t>
  </si>
  <si>
    <t>夏目 晶子</t>
  </si>
  <si>
    <t>名渕 大樹</t>
  </si>
  <si>
    <t>並木 久美子</t>
  </si>
  <si>
    <t>浪山 凌志</t>
  </si>
  <si>
    <t>奈良 耕太</t>
  </si>
  <si>
    <t>奈良 祐輔</t>
  </si>
  <si>
    <t>成田 花奈子</t>
  </si>
  <si>
    <t>AO082040300</t>
  </si>
  <si>
    <t>成田 悠人</t>
  </si>
  <si>
    <t>鳴海 明日香</t>
  </si>
  <si>
    <t>新村 正太郎</t>
  </si>
  <si>
    <t>西 花菜</t>
  </si>
  <si>
    <t>西 洋昭</t>
  </si>
  <si>
    <t>西川 貴紘</t>
  </si>
  <si>
    <t>西川 喜晃</t>
  </si>
  <si>
    <t>西澤 英一</t>
  </si>
  <si>
    <t>西澤 聡一郎</t>
  </si>
  <si>
    <t>西澤 卓史</t>
  </si>
  <si>
    <t>西澤 雅史</t>
  </si>
  <si>
    <t>西島 啓太</t>
  </si>
  <si>
    <t>西田 伊織</t>
  </si>
  <si>
    <t>西田 哲史</t>
  </si>
  <si>
    <t>西谷 美幸</t>
  </si>
  <si>
    <t>西野 りな</t>
  </si>
  <si>
    <t>西原 まりや</t>
  </si>
  <si>
    <t>西前 充也</t>
  </si>
  <si>
    <t>西巻 汐音</t>
  </si>
  <si>
    <t>西村 貴志</t>
  </si>
  <si>
    <t>西村 裕一郎</t>
  </si>
  <si>
    <t>西本 和史</t>
  </si>
  <si>
    <t>西本 聖</t>
  </si>
  <si>
    <t>ハーモニーチーム</t>
  </si>
  <si>
    <t>蜷川 友里恵</t>
  </si>
  <si>
    <t>二ノ倉 元気</t>
  </si>
  <si>
    <t>二宮 彩樺</t>
  </si>
  <si>
    <t>丹羽 茂雄</t>
  </si>
  <si>
    <t>奴井名 綾</t>
  </si>
  <si>
    <t>布 龍馬</t>
  </si>
  <si>
    <t>沼田 椎菜</t>
  </si>
  <si>
    <t>沼田 幸大</t>
  </si>
  <si>
    <t>Fansta第1開発チーム</t>
  </si>
  <si>
    <t>Naegely Oceane</t>
  </si>
  <si>
    <t>野上 祐平</t>
  </si>
  <si>
    <t>野口 直希</t>
  </si>
  <si>
    <t>野口 浩之</t>
  </si>
  <si>
    <t>野口 優作</t>
  </si>
  <si>
    <t>野﨑 裕也</t>
  </si>
  <si>
    <t>野崎 由梨</t>
  </si>
  <si>
    <t>クオリティマネジメントチーム</t>
  </si>
  <si>
    <t>野瀬 浩代</t>
  </si>
  <si>
    <t>野添 ゆかり</t>
  </si>
  <si>
    <t>野田 聖栞</t>
  </si>
  <si>
    <t>野中 真見</t>
  </si>
  <si>
    <t>信田 春満</t>
  </si>
  <si>
    <t>AQ061050100</t>
  </si>
  <si>
    <t>野村 千優</t>
  </si>
  <si>
    <t>野村 奈都美</t>
  </si>
  <si>
    <t>AR077010000</t>
  </si>
  <si>
    <t>野呂 好</t>
  </si>
  <si>
    <t>南風原 竜也</t>
  </si>
  <si>
    <t>波木井 絢子</t>
  </si>
  <si>
    <t>萩坂 佳寿</t>
  </si>
  <si>
    <t>萩原 稜太</t>
  </si>
  <si>
    <t>萩原 孝太</t>
  </si>
  <si>
    <t>白谷 翔太郎</t>
  </si>
  <si>
    <t>AW076021200</t>
  </si>
  <si>
    <t>橋口 健志</t>
  </si>
  <si>
    <t>橋口 昂矢</t>
  </si>
  <si>
    <t>橋本 鍾愛</t>
  </si>
  <si>
    <t>橋本 広大</t>
  </si>
  <si>
    <t>橋本 淳</t>
  </si>
  <si>
    <t>橋本 祥吾</t>
  </si>
  <si>
    <t>橋本 晋</t>
  </si>
  <si>
    <t>橋本 卓朗</t>
  </si>
  <si>
    <t>橋本 千尋</t>
  </si>
  <si>
    <t>橋本 光美</t>
  </si>
  <si>
    <t>長谷川 慶太郎</t>
  </si>
  <si>
    <t>長谷川 貴彦</t>
  </si>
  <si>
    <t>経営管理グループ</t>
  </si>
  <si>
    <t>長谷川 広大</t>
  </si>
  <si>
    <t>長谷川 みずき</t>
  </si>
  <si>
    <t>AX078080200</t>
  </si>
  <si>
    <t>長谷川 友哉</t>
  </si>
  <si>
    <t>Pasovsky Yoav</t>
  </si>
  <si>
    <t>秦 美輝</t>
  </si>
  <si>
    <t>波多腰 寛輝</t>
  </si>
  <si>
    <t>波田地 功孝</t>
  </si>
  <si>
    <t>畑中 俊郎</t>
  </si>
  <si>
    <t>畑野 智史a</t>
  </si>
  <si>
    <t>波多野 竣也</t>
  </si>
  <si>
    <t>服部 成也</t>
  </si>
  <si>
    <t>服部 正樹</t>
  </si>
  <si>
    <t>服部 美意</t>
  </si>
  <si>
    <t>採用ブランディンググループ</t>
  </si>
  <si>
    <t>AX089040400</t>
  </si>
  <si>
    <t>羽鳥 浩志</t>
  </si>
  <si>
    <t>サービス支援チーム</t>
  </si>
  <si>
    <t>花田 漱介</t>
  </si>
  <si>
    <t>羽田 匡秀</t>
  </si>
  <si>
    <t>馬場 絵美</t>
  </si>
  <si>
    <t>馬場 聡史</t>
  </si>
  <si>
    <t>馬塲 士a</t>
  </si>
  <si>
    <t>濱 彩華</t>
  </si>
  <si>
    <t>濱 雄介</t>
  </si>
  <si>
    <t>濱崎 美由紀</t>
  </si>
  <si>
    <t>濱田 愛加</t>
  </si>
  <si>
    <t>濱野 悠介</t>
  </si>
  <si>
    <t>浜村 雄人</t>
  </si>
  <si>
    <t>早川 敦</t>
  </si>
  <si>
    <t>林 英智</t>
  </si>
  <si>
    <t>林 久美子</t>
  </si>
  <si>
    <t>林 慎也</t>
  </si>
  <si>
    <t>林 崇</t>
  </si>
  <si>
    <t>林 孝年郎</t>
  </si>
  <si>
    <t>林 千郷</t>
  </si>
  <si>
    <t>林 僚太</t>
  </si>
  <si>
    <t>林田 隼</t>
  </si>
  <si>
    <t>原 亜理紗</t>
  </si>
  <si>
    <t>原 一樹</t>
  </si>
  <si>
    <t>原 圭裕</t>
  </si>
  <si>
    <t>原 直之</t>
  </si>
  <si>
    <t>原 麻莉乃</t>
  </si>
  <si>
    <t>原 岬</t>
  </si>
  <si>
    <t>BPRグループ</t>
  </si>
  <si>
    <t>R&amp;Dチーム</t>
  </si>
  <si>
    <t>原田 星児</t>
  </si>
  <si>
    <t>AO082020100</t>
  </si>
  <si>
    <t>針谷 彩花</t>
  </si>
  <si>
    <t>春口 康徳</t>
  </si>
  <si>
    <t>比嘉 証太</t>
  </si>
  <si>
    <t>檜垣 俊希</t>
  </si>
  <si>
    <t>日景 ますみ</t>
  </si>
  <si>
    <t>日笠 正昭</t>
  </si>
  <si>
    <t>日笠 良亮</t>
  </si>
  <si>
    <t>東 理沙</t>
  </si>
  <si>
    <t>樋口 尚太</t>
  </si>
  <si>
    <t>久田 将成</t>
  </si>
  <si>
    <t>久松 昭</t>
  </si>
  <si>
    <t>菱田 志保</t>
  </si>
  <si>
    <t>肥田 直己</t>
  </si>
  <si>
    <t>日高 健策</t>
  </si>
  <si>
    <t>比奈本 真</t>
  </si>
  <si>
    <t>AO082050400</t>
  </si>
  <si>
    <t>日比野 光紘</t>
  </si>
  <si>
    <t>檜山 久美子</t>
  </si>
  <si>
    <t>秘書チーム</t>
  </si>
  <si>
    <t>樋山 諒</t>
  </si>
  <si>
    <t>平井 こずえ</t>
  </si>
  <si>
    <t>平井 達輝</t>
  </si>
  <si>
    <t>平出 将和</t>
  </si>
  <si>
    <t>平岡 健太</t>
  </si>
  <si>
    <t>平櫻 マリア</t>
  </si>
  <si>
    <t>平澤 克幸a</t>
  </si>
  <si>
    <t>平田 太一</t>
  </si>
  <si>
    <t>投資戦略グループ</t>
  </si>
  <si>
    <t>平田 大地</t>
  </si>
  <si>
    <t>平野 智之</t>
  </si>
  <si>
    <t>平野 雄一</t>
  </si>
  <si>
    <t>平野 里佳</t>
  </si>
  <si>
    <t>平林 豊</t>
  </si>
  <si>
    <t>平松 佳和</t>
  </si>
  <si>
    <t>平山 志保</t>
  </si>
  <si>
    <t>事業管理チーム</t>
  </si>
  <si>
    <t>AO082090201</t>
  </si>
  <si>
    <t>平山 隆史</t>
  </si>
  <si>
    <t>蛭川 幸太郎</t>
  </si>
  <si>
    <t>広井 健一郎</t>
  </si>
  <si>
    <t>廣瀬 和樹</t>
  </si>
  <si>
    <t>廣瀬 未央</t>
  </si>
  <si>
    <t>弘中 椋平</t>
  </si>
  <si>
    <t>深津 古都</t>
  </si>
  <si>
    <t>深見 さとみ</t>
  </si>
  <si>
    <t>福井 なおみ</t>
  </si>
  <si>
    <t>福﨑 哲</t>
  </si>
  <si>
    <t>福島 尚貴</t>
  </si>
  <si>
    <t>福島 直宙</t>
  </si>
  <si>
    <t>福島 祐樹</t>
  </si>
  <si>
    <t>福田 真平</t>
  </si>
  <si>
    <t>福田 帆希</t>
  </si>
  <si>
    <t>福田 雄生</t>
  </si>
  <si>
    <t>福田 理紗</t>
  </si>
  <si>
    <t>福地 将明a</t>
  </si>
  <si>
    <t>福留 大輔a</t>
  </si>
  <si>
    <t>福永 裕幸</t>
  </si>
  <si>
    <t>福原 智学</t>
  </si>
  <si>
    <t>福原 怜</t>
  </si>
  <si>
    <t>福本 美緒</t>
  </si>
  <si>
    <t>福山 一道</t>
  </si>
  <si>
    <t>藤井 瞭</t>
  </si>
  <si>
    <t>藤井 達寛</t>
  </si>
  <si>
    <t>藤井 美穂子</t>
  </si>
  <si>
    <t>藤井 優a</t>
  </si>
  <si>
    <t>藤枝 真由</t>
  </si>
  <si>
    <t>藤岡 美佳</t>
  </si>
  <si>
    <t>藤木 紫乃</t>
  </si>
  <si>
    <t>藤沢 周之介</t>
  </si>
  <si>
    <t>藤澤 周平</t>
  </si>
  <si>
    <t>藤澤 仁</t>
  </si>
  <si>
    <t>藤代 涼香</t>
  </si>
  <si>
    <t>藤田 明久</t>
  </si>
  <si>
    <t>藤田 祥太</t>
  </si>
  <si>
    <t>藤田 睦海</t>
  </si>
  <si>
    <t>藤本 隆四郎</t>
  </si>
  <si>
    <t>藤原 悟</t>
  </si>
  <si>
    <t>藤原 志</t>
  </si>
  <si>
    <t>藤原 貴明a</t>
  </si>
  <si>
    <t>藤原 千春</t>
  </si>
  <si>
    <t>藤原 暉</t>
  </si>
  <si>
    <t>藤原 弘之</t>
  </si>
  <si>
    <t>布施 大空</t>
  </si>
  <si>
    <t>舟木 洋介</t>
  </si>
  <si>
    <t>舟久保 昇礼</t>
  </si>
  <si>
    <t>船津 奈緒子</t>
  </si>
  <si>
    <t>舟山 綺香</t>
  </si>
  <si>
    <t>Fridman Max</t>
  </si>
  <si>
    <t>古川 和輝</t>
  </si>
  <si>
    <t>古川 建</t>
  </si>
  <si>
    <t>健全化チーム</t>
  </si>
  <si>
    <t>古川 太一</t>
  </si>
  <si>
    <t>古川 誠</t>
  </si>
  <si>
    <t>AU073020100</t>
  </si>
  <si>
    <t>AX078050100</t>
  </si>
  <si>
    <t>古瀬 羽純</t>
  </si>
  <si>
    <t>古田 竜也</t>
  </si>
  <si>
    <t>古橋 美奈</t>
  </si>
  <si>
    <t>古家 睦大</t>
  </si>
  <si>
    <t>ペーク スコット</t>
  </si>
  <si>
    <t>ベニー パトリック</t>
  </si>
  <si>
    <t>Perez Daniel</t>
  </si>
  <si>
    <t>逸見 考司</t>
  </si>
  <si>
    <t>外尾 加那</t>
  </si>
  <si>
    <t>保坂 尚吾</t>
  </si>
  <si>
    <t>星 翔太</t>
  </si>
  <si>
    <t>タスクフォースグループ</t>
  </si>
  <si>
    <t>星野 愛良</t>
  </si>
  <si>
    <t>星野 優子</t>
  </si>
  <si>
    <t>細木 孝一郎</t>
  </si>
  <si>
    <t>細田 恵満</t>
  </si>
  <si>
    <t>細野 知晃a</t>
  </si>
  <si>
    <t>洞口 茂宣</t>
  </si>
  <si>
    <t>3D第1チーム</t>
  </si>
  <si>
    <t>堀 高喜</t>
  </si>
  <si>
    <t>堀内 梓</t>
  </si>
  <si>
    <t>堀内 佳苗</t>
  </si>
  <si>
    <t>AR091010100</t>
  </si>
  <si>
    <t>堀内 達雄</t>
  </si>
  <si>
    <t>堀江 一輝</t>
  </si>
  <si>
    <t>堀江 信弘</t>
  </si>
  <si>
    <t>洪 ミニ</t>
  </si>
  <si>
    <t>本多 航</t>
  </si>
  <si>
    <t>本間 達也</t>
  </si>
  <si>
    <t>本間 達也a</t>
  </si>
  <si>
    <t>本間 知和</t>
  </si>
  <si>
    <t>本間 匡晃</t>
  </si>
  <si>
    <t>本間 光宣</t>
  </si>
  <si>
    <t>AQ061071900</t>
  </si>
  <si>
    <t>本間 靖直</t>
  </si>
  <si>
    <t>前澤 敏之</t>
  </si>
  <si>
    <t>前島 遥</t>
  </si>
  <si>
    <t>前田 恵里奈</t>
  </si>
  <si>
    <t>前田 幹太</t>
  </si>
  <si>
    <t>前田 久美子</t>
  </si>
  <si>
    <t>前田 ちとせ</t>
  </si>
  <si>
    <t>前田 信子</t>
  </si>
  <si>
    <t>前野 友希</t>
  </si>
  <si>
    <t>牧田 光平</t>
  </si>
  <si>
    <t>益子 哲也</t>
  </si>
  <si>
    <t>桝井 菜央</t>
  </si>
  <si>
    <t>増岡 孝真</t>
  </si>
  <si>
    <t>ガバナンス支援グループ</t>
  </si>
  <si>
    <t>増村 龍哉</t>
  </si>
  <si>
    <t>増山 広幸</t>
  </si>
  <si>
    <t>アプリサービス渉外グループ</t>
  </si>
  <si>
    <t>町屋 篤実</t>
  </si>
  <si>
    <t>松井 啓世</t>
  </si>
  <si>
    <t>松井 直樹</t>
  </si>
  <si>
    <t>松井 隆侍</t>
  </si>
  <si>
    <t>松石 浩輔</t>
  </si>
  <si>
    <t>松浦 誉a</t>
  </si>
  <si>
    <t>離反復帰チーム</t>
  </si>
  <si>
    <t>松尾 涼夏</t>
  </si>
  <si>
    <t>松尾 颯大</t>
  </si>
  <si>
    <t>松尾 雄司</t>
  </si>
  <si>
    <t>松岡 涼</t>
  </si>
  <si>
    <t>松木 謙介</t>
  </si>
  <si>
    <t>松﨑 恵奈</t>
  </si>
  <si>
    <t>松崎 貴宏</t>
  </si>
  <si>
    <t>松崎 徳子</t>
  </si>
  <si>
    <t>松澤 佑亮</t>
  </si>
  <si>
    <t>松島 匠人</t>
  </si>
  <si>
    <t>松田 英作</t>
  </si>
  <si>
    <t>松田 徹a</t>
  </si>
  <si>
    <t>松田 征己</t>
  </si>
  <si>
    <t>松平 礼史</t>
  </si>
  <si>
    <t>松永 宗士</t>
  </si>
  <si>
    <t>松野 真一</t>
  </si>
  <si>
    <t>SOCチーム</t>
  </si>
  <si>
    <t>松野 翔馬</t>
  </si>
  <si>
    <t>松原 あゆみ</t>
  </si>
  <si>
    <t>松原 孝宏</t>
  </si>
  <si>
    <t>松原 信忠</t>
  </si>
  <si>
    <t>松元 綾香a</t>
  </si>
  <si>
    <t>グラフィックデザインチーム</t>
  </si>
  <si>
    <t>松本 進太郎</t>
  </si>
  <si>
    <t>松本 大志</t>
  </si>
  <si>
    <t>松本 雅史</t>
  </si>
  <si>
    <t>松本 美紅</t>
  </si>
  <si>
    <t>松本 美穂</t>
  </si>
  <si>
    <t>松本 美優</t>
  </si>
  <si>
    <t>松本 悠紀</t>
  </si>
  <si>
    <t>松矢 晃太朗</t>
  </si>
  <si>
    <t>松谷 峰生</t>
  </si>
  <si>
    <t>松山 結子</t>
  </si>
  <si>
    <t>的場 貴徳</t>
  </si>
  <si>
    <t>間邊 覚</t>
  </si>
  <si>
    <t>間宮 彩花</t>
  </si>
  <si>
    <t>丸岡 崇人</t>
  </si>
  <si>
    <t>丸山 兼五</t>
  </si>
  <si>
    <t>丸山 勇太</t>
  </si>
  <si>
    <t>三浦 一世</t>
  </si>
  <si>
    <t>三浦 香苗</t>
  </si>
  <si>
    <t>三浦 啓太郎</t>
  </si>
  <si>
    <t>三浦 友浩</t>
  </si>
  <si>
    <t>三浦 弘幹</t>
  </si>
  <si>
    <t>三上 丸雲</t>
  </si>
  <si>
    <t>三上 隼人</t>
  </si>
  <si>
    <t>三上 寛史</t>
  </si>
  <si>
    <t>AQ061050101</t>
  </si>
  <si>
    <t>三木 香奈</t>
  </si>
  <si>
    <t>三沢 隆浩</t>
  </si>
  <si>
    <t>AO082090600</t>
  </si>
  <si>
    <t>三沢 直輝</t>
  </si>
  <si>
    <t>三島 敦</t>
  </si>
  <si>
    <t>三嶋 佳織</t>
  </si>
  <si>
    <t>深須 敏幸a</t>
  </si>
  <si>
    <t>水出 有咲</t>
  </si>
  <si>
    <t>水上 実和</t>
  </si>
  <si>
    <t>水澤 香里</t>
  </si>
  <si>
    <t>水澤 有以</t>
  </si>
  <si>
    <t>水谷 涼香</t>
  </si>
  <si>
    <t>水谷 仁</t>
  </si>
  <si>
    <t>水谷 美緒</t>
  </si>
  <si>
    <t>水沼 大輔</t>
  </si>
  <si>
    <t>水野 奏</t>
  </si>
  <si>
    <t>2DUI第3チーム</t>
  </si>
  <si>
    <t>AR059080405</t>
  </si>
  <si>
    <t>水野 翔</t>
  </si>
  <si>
    <t>水野 羽純</t>
  </si>
  <si>
    <t>水林 孝夫</t>
  </si>
  <si>
    <t>水船 智之</t>
  </si>
  <si>
    <t>溝部 由紀子</t>
  </si>
  <si>
    <t>三谷 ゆかり</t>
  </si>
  <si>
    <t>御手洗 寿実</t>
  </si>
  <si>
    <t>三井 孝史</t>
  </si>
  <si>
    <t>三ツ木 博史</t>
  </si>
  <si>
    <t>光末 可奈子</t>
  </si>
  <si>
    <t>IRグループ</t>
  </si>
  <si>
    <t>南 稔哉</t>
  </si>
  <si>
    <t>峯 恵里香</t>
  </si>
  <si>
    <t>峯岸 保栄</t>
  </si>
  <si>
    <t>コーディネーターチーム</t>
  </si>
  <si>
    <t>AR091040604</t>
  </si>
  <si>
    <t>峯野 雅己</t>
  </si>
  <si>
    <t>三原 千恵</t>
  </si>
  <si>
    <t>三森 慧</t>
  </si>
  <si>
    <t>三森 ひろか</t>
  </si>
  <si>
    <t>宮 智加</t>
  </si>
  <si>
    <t>宮 哲也</t>
  </si>
  <si>
    <t>宮入 義勝</t>
  </si>
  <si>
    <t>宮川 麻衣奈</t>
  </si>
  <si>
    <t>宮木 可愛</t>
  </si>
  <si>
    <t>宮口 裕基</t>
  </si>
  <si>
    <t>三宅 桃代a</t>
  </si>
  <si>
    <t>宮崎 智也</t>
  </si>
  <si>
    <t>宮崎 正人</t>
  </si>
  <si>
    <t>宮崎 雅大</t>
  </si>
  <si>
    <t>宮﨑 涼</t>
  </si>
  <si>
    <t>宮下 将之</t>
  </si>
  <si>
    <t>宮下 雅淑</t>
  </si>
  <si>
    <t>宮下 由樹</t>
  </si>
  <si>
    <t>宮田 宗尚</t>
  </si>
  <si>
    <t>宮田 優一b</t>
  </si>
  <si>
    <t>宮地 佳貴</t>
  </si>
  <si>
    <t>宮寺 千尋</t>
  </si>
  <si>
    <t>宮野 修輔</t>
  </si>
  <si>
    <t>宮原 香奈子</t>
  </si>
  <si>
    <t>宮部 継大</t>
  </si>
  <si>
    <t>宮本 寛士</t>
  </si>
  <si>
    <t>宮本 直樹</t>
  </si>
  <si>
    <t>宮本 孟守人</t>
  </si>
  <si>
    <t>宮本 康矢</t>
  </si>
  <si>
    <t>宮本 良平</t>
  </si>
  <si>
    <t>宮脇 祐太</t>
  </si>
  <si>
    <t>三芳 三奈</t>
  </si>
  <si>
    <t>向江 俊和</t>
  </si>
  <si>
    <t>武藤 真司a</t>
  </si>
  <si>
    <t>宗像 慎乃介</t>
  </si>
  <si>
    <t>宗形 翼</t>
  </si>
  <si>
    <t>村岡 直人</t>
  </si>
  <si>
    <t>村上 香織</t>
  </si>
  <si>
    <t>村上 克弥</t>
  </si>
  <si>
    <t>村上 沙妃</t>
  </si>
  <si>
    <t>村上 尭優</t>
  </si>
  <si>
    <t>村上 智紀</t>
  </si>
  <si>
    <t>村上 由利奈</t>
  </si>
  <si>
    <t>村上 涼</t>
  </si>
  <si>
    <t>村瀬 安沙子</t>
  </si>
  <si>
    <t>村瀨 龍馬</t>
  </si>
  <si>
    <t>村瀬 雄介</t>
  </si>
  <si>
    <t>村田 温美</t>
  </si>
  <si>
    <t>村田 温美a</t>
  </si>
  <si>
    <t>村田 雄人a</t>
  </si>
  <si>
    <t>村松 祐吾</t>
  </si>
  <si>
    <t>村元 深根a</t>
  </si>
  <si>
    <t>村山 慶太a</t>
  </si>
  <si>
    <t>村山 周平</t>
  </si>
  <si>
    <t>村山 隆太郎</t>
  </si>
  <si>
    <t>室井 かなえ</t>
  </si>
  <si>
    <t>室井 良介</t>
  </si>
  <si>
    <t>セキュリティ管理推進グループ</t>
  </si>
  <si>
    <t>室本 正剛</t>
  </si>
  <si>
    <t>モーザー ブレイデンa</t>
  </si>
  <si>
    <t>持田 愛</t>
  </si>
  <si>
    <t>AX078050400</t>
  </si>
  <si>
    <t>望月 貴矢</t>
  </si>
  <si>
    <t>元橋 佳織</t>
  </si>
  <si>
    <t>モハメド ファーハ</t>
  </si>
  <si>
    <t>百瀬 絵里香</t>
  </si>
  <si>
    <t>森 駿介</t>
  </si>
  <si>
    <t>森 真紀</t>
  </si>
  <si>
    <t>森 政輝</t>
  </si>
  <si>
    <t>森 由佳</t>
  </si>
  <si>
    <t>マネジメント支援チーム</t>
  </si>
  <si>
    <t>森岡 敬一朗</t>
  </si>
  <si>
    <t>守岡 冴子</t>
  </si>
  <si>
    <t>森下 彩香</t>
  </si>
  <si>
    <t>森下 雅夫</t>
  </si>
  <si>
    <t>森田 浩平</t>
  </si>
  <si>
    <t>森田 哲史</t>
  </si>
  <si>
    <t>AW076070200</t>
  </si>
  <si>
    <t>森田 潤哉a</t>
  </si>
  <si>
    <t>森田 修康</t>
  </si>
  <si>
    <t>AO082020400</t>
  </si>
  <si>
    <t>森友 佑一a</t>
  </si>
  <si>
    <t>渉外グループ</t>
  </si>
  <si>
    <t>モリネーロ イナー</t>
  </si>
  <si>
    <t>森野 由美</t>
  </si>
  <si>
    <t>森本 淳a</t>
  </si>
  <si>
    <t>セキュリティグループ</t>
  </si>
  <si>
    <t>AQ087010300</t>
  </si>
  <si>
    <t>守本 舞</t>
  </si>
  <si>
    <t>森本 桃世</t>
  </si>
  <si>
    <t>森屋 美咲</t>
  </si>
  <si>
    <t>森山 堅樹</t>
  </si>
  <si>
    <t>諸橋 裕</t>
  </si>
  <si>
    <t>門田 瑞貴a</t>
  </si>
  <si>
    <t>門田 瑞貴</t>
  </si>
  <si>
    <t>門内 裕哉</t>
  </si>
  <si>
    <t>八尾 瑛子</t>
  </si>
  <si>
    <t>八木 絵莉香</t>
  </si>
  <si>
    <t>八木 康輔</t>
  </si>
  <si>
    <t>八木 滋美</t>
  </si>
  <si>
    <t>八木 貴也</t>
  </si>
  <si>
    <t>八木 豊志樹</t>
  </si>
  <si>
    <t>八坂 俊輔</t>
  </si>
  <si>
    <t>戦略グループ</t>
  </si>
  <si>
    <t>家次 栄一</t>
  </si>
  <si>
    <t>矢島 博文</t>
  </si>
  <si>
    <t>矢島 有美</t>
  </si>
  <si>
    <t>八代 晴日</t>
  </si>
  <si>
    <t>保下 良一</t>
  </si>
  <si>
    <t>安田 達哉</t>
  </si>
  <si>
    <t>安田 勇大</t>
  </si>
  <si>
    <t>安原 英樹</t>
  </si>
  <si>
    <t>安本 圭佑</t>
  </si>
  <si>
    <t>安本 祐依a</t>
  </si>
  <si>
    <t>柳田 大樹</t>
  </si>
  <si>
    <t>栁田 祥</t>
  </si>
  <si>
    <t>柳原 由羽太a</t>
  </si>
  <si>
    <t>柳谷 秀樹a</t>
  </si>
  <si>
    <t>柳瀬 史和</t>
  </si>
  <si>
    <t>矢野 夏洋</t>
  </si>
  <si>
    <t>矢野 莉恵</t>
  </si>
  <si>
    <t>八尋 勇太</t>
  </si>
  <si>
    <t>矢部 走</t>
  </si>
  <si>
    <t>山内 萌</t>
  </si>
  <si>
    <t>山内 優衣</t>
  </si>
  <si>
    <t>山浦 麻実</t>
  </si>
  <si>
    <t>山浦 倫子a</t>
  </si>
  <si>
    <t>山岸 雄歩</t>
  </si>
  <si>
    <t>山口 寛奈</t>
  </si>
  <si>
    <t>山口 耕司</t>
  </si>
  <si>
    <t>山口 世令奈</t>
  </si>
  <si>
    <t>山口 大貴a</t>
  </si>
  <si>
    <t>山口 佳恵</t>
  </si>
  <si>
    <t>山口 佳輝</t>
  </si>
  <si>
    <t>山畔 雅史</t>
  </si>
  <si>
    <t>山越 千紗</t>
  </si>
  <si>
    <t>山﨑 恵利子</t>
  </si>
  <si>
    <t>山崎 元</t>
  </si>
  <si>
    <t>山崎 耕太郎</t>
  </si>
  <si>
    <t>山崎 雄大a</t>
  </si>
  <si>
    <t>山崎 豊</t>
  </si>
  <si>
    <t>山地 洋一</t>
  </si>
  <si>
    <t>山下 敦</t>
  </si>
  <si>
    <t>山下 礼子</t>
  </si>
  <si>
    <t>グローバルリレーショングループ</t>
  </si>
  <si>
    <t>山下 将吾a</t>
  </si>
  <si>
    <t>山下 萌</t>
  </si>
  <si>
    <t>山田 淳登</t>
  </si>
  <si>
    <t>山田 伊織</t>
  </si>
  <si>
    <t>山田 恵亮</t>
  </si>
  <si>
    <t>山田 健輔</t>
  </si>
  <si>
    <t>山田 大地</t>
  </si>
  <si>
    <t>山田 千紗</t>
  </si>
  <si>
    <t>山田 千紘</t>
  </si>
  <si>
    <t>山谷 優介</t>
  </si>
  <si>
    <t>山中 史子</t>
  </si>
  <si>
    <t>山中 美幸</t>
  </si>
  <si>
    <t>山本 早奈恵</t>
  </si>
  <si>
    <t>山本 聡太a</t>
  </si>
  <si>
    <t>山本 大</t>
  </si>
  <si>
    <t>山本 忠智香</t>
  </si>
  <si>
    <t>山本 英範</t>
  </si>
  <si>
    <t>山本 優樹</t>
  </si>
  <si>
    <t>山本 幸実</t>
  </si>
  <si>
    <t>山森 章弘</t>
  </si>
  <si>
    <t>山屋 健</t>
  </si>
  <si>
    <t>山脇 秀男</t>
  </si>
  <si>
    <t>鎗田 大樹</t>
  </si>
  <si>
    <t>山家 彩子</t>
  </si>
  <si>
    <t>結城 あゆ</t>
  </si>
  <si>
    <t>祐希 りる</t>
  </si>
  <si>
    <t>行長 円香a</t>
  </si>
  <si>
    <t>遊佐 亜矢子</t>
  </si>
  <si>
    <t>遊佐 知弥</t>
  </si>
  <si>
    <t>弓矢 光春</t>
  </si>
  <si>
    <t>尹 晟榕</t>
  </si>
  <si>
    <t>楊 敏</t>
  </si>
  <si>
    <t>容貝 真実</t>
  </si>
  <si>
    <t>横尾 剛</t>
  </si>
  <si>
    <t>横田 江美</t>
  </si>
  <si>
    <t>横山 秀</t>
  </si>
  <si>
    <t>横山 航b</t>
  </si>
  <si>
    <t>横山 航</t>
  </si>
  <si>
    <t>吉井 亮</t>
  </si>
  <si>
    <t>吉岡 希織</t>
  </si>
  <si>
    <t>吉岡 翔</t>
  </si>
  <si>
    <t>吉岡 辰也</t>
  </si>
  <si>
    <t>開発プランナーBチーム</t>
  </si>
  <si>
    <t>吉岡 知晃</t>
  </si>
  <si>
    <t>吉岡 美香</t>
  </si>
  <si>
    <t>吉川 直輝</t>
  </si>
  <si>
    <t>吉里 陸</t>
  </si>
  <si>
    <t>吉田 晃浩a</t>
  </si>
  <si>
    <t>吉田 明広</t>
  </si>
  <si>
    <t>吉田 小夏</t>
  </si>
  <si>
    <t>吉田 聡史a</t>
  </si>
  <si>
    <t>吉田 淳子</t>
  </si>
  <si>
    <t>吉田 晟梧</t>
  </si>
  <si>
    <t>吉田 智咲a</t>
  </si>
  <si>
    <t>吉田 悠紀</t>
  </si>
  <si>
    <t>吉田 祐太</t>
  </si>
  <si>
    <t>吉田 豊</t>
  </si>
  <si>
    <t>吉竹 宣也</t>
  </si>
  <si>
    <t>株式会社TOKYOBAYアリーナマネジメント(本部格)</t>
  </si>
  <si>
    <t>吉野 隼翔</t>
  </si>
  <si>
    <t>吉野 裕貴a</t>
  </si>
  <si>
    <t>吉野 祐樹</t>
  </si>
  <si>
    <t>吉野 曜介</t>
  </si>
  <si>
    <t>吉村 健矢</t>
  </si>
  <si>
    <t>吉本 早希</t>
  </si>
  <si>
    <t>四柳 達彦</t>
  </si>
  <si>
    <t>米川 東</t>
  </si>
  <si>
    <t>米田 好宏</t>
  </si>
  <si>
    <t>米原 章弘</t>
  </si>
  <si>
    <t>ヨン ジュンヨン</t>
  </si>
  <si>
    <t>羅 凱雋</t>
  </si>
  <si>
    <t>海外UCチーム</t>
  </si>
  <si>
    <t>李 中宜</t>
  </si>
  <si>
    <t>力武 亜矢</t>
  </si>
  <si>
    <t>リン テイイ</t>
  </si>
  <si>
    <t>林 楓</t>
  </si>
  <si>
    <t>ロッジア 和マルティン</t>
  </si>
  <si>
    <t>Weinstock Ofir</t>
  </si>
  <si>
    <t>若狭 香織</t>
  </si>
  <si>
    <t>若杉 ゆかり</t>
  </si>
  <si>
    <t>若月 和美</t>
  </si>
  <si>
    <t>若林 史敏</t>
  </si>
  <si>
    <t>若松 丈人</t>
  </si>
  <si>
    <t>若松 亮</t>
  </si>
  <si>
    <t>若山 祐輝</t>
  </si>
  <si>
    <t>脇田 竜也</t>
  </si>
  <si>
    <t>鷲津 裕</t>
  </si>
  <si>
    <t>和田 栞</t>
  </si>
  <si>
    <t>和田 尚乃</t>
  </si>
  <si>
    <t>和田 萌々花</t>
  </si>
  <si>
    <t>渡士 亮</t>
  </si>
  <si>
    <t>渡邉 彩賀a</t>
  </si>
  <si>
    <t>AO082030100</t>
  </si>
  <si>
    <t>渡邊 景</t>
  </si>
  <si>
    <t>渡部 航也</t>
  </si>
  <si>
    <t>渡辺 聖介a</t>
  </si>
  <si>
    <t>渡辺 大貴</t>
  </si>
  <si>
    <t>渡邉 孝文</t>
  </si>
  <si>
    <t>渡辺 直人</t>
  </si>
  <si>
    <t>渡辺 直也</t>
  </si>
  <si>
    <t>渡邊 菜々花</t>
  </si>
  <si>
    <t>渡邊 未来</t>
  </si>
  <si>
    <t>渡邉 元輝</t>
  </si>
  <si>
    <t>渡辺 佑美a</t>
  </si>
  <si>
    <t>渡辺 芳郎</t>
  </si>
  <si>
    <t>渡辺 莉央</t>
  </si>
  <si>
    <t>綿貫 雄一</t>
  </si>
  <si>
    <t>渡部 俊祐</t>
  </si>
  <si>
    <t>渡部 良</t>
  </si>
  <si>
    <t>コンテンツ企画2チーム</t>
  </si>
  <si>
    <t>東 亮佑</t>
  </si>
  <si>
    <t>戎谷 淳</t>
  </si>
  <si>
    <t>大勝 雅通a</t>
  </si>
  <si>
    <t>大下 育巳</t>
  </si>
  <si>
    <t>奥山 太樹</t>
  </si>
  <si>
    <t>金井 春奈</t>
  </si>
  <si>
    <t>金本 壮司</t>
  </si>
  <si>
    <t>木村 祐也</t>
  </si>
  <si>
    <t>玄場 悠介</t>
  </si>
  <si>
    <t>古藤 拓実</t>
  </si>
  <si>
    <t>坂本 菜穂子</t>
  </si>
  <si>
    <t>正願地 晋平a</t>
  </si>
  <si>
    <t>鈴谷 雄二郎</t>
  </si>
  <si>
    <t>高松 文</t>
  </si>
  <si>
    <t>田中 将貴</t>
  </si>
  <si>
    <t>谷川 玄二</t>
  </si>
  <si>
    <t>中前 すみれ</t>
  </si>
  <si>
    <t>西崎 靖弘</t>
  </si>
  <si>
    <t>邉見 弘幸</t>
  </si>
  <si>
    <t>本田 マミb</t>
  </si>
  <si>
    <t>宮城 伸明</t>
  </si>
  <si>
    <t>村上 晋司</t>
  </si>
  <si>
    <t>村上 司</t>
  </si>
  <si>
    <t>村松 祥治</t>
  </si>
  <si>
    <t>山村 菜実</t>
  </si>
  <si>
    <t>吉山 千尋</t>
  </si>
  <si>
    <t>池本 優理子</t>
  </si>
  <si>
    <t>伊藤 亜珠沙</t>
  </si>
  <si>
    <t>上園 慧a</t>
  </si>
  <si>
    <t>占部 彩加</t>
  </si>
  <si>
    <t>岡田 健吾</t>
  </si>
  <si>
    <t>北川 浩士(退職済)</t>
  </si>
  <si>
    <t>金 春根a</t>
  </si>
  <si>
    <t>釘尾 陽平</t>
  </si>
  <si>
    <t>桑原 まみ子</t>
  </si>
  <si>
    <t>小泉 孝能b</t>
  </si>
  <si>
    <t>齋藤 佑a</t>
  </si>
  <si>
    <t>佐々木 哲a</t>
  </si>
  <si>
    <t>佐藤 美緒</t>
  </si>
  <si>
    <t>佐藤 美紗</t>
  </si>
  <si>
    <t>清水 有希</t>
  </si>
  <si>
    <t>善浪 しのぶ</t>
  </si>
  <si>
    <t>寺田 華奈</t>
  </si>
  <si>
    <t>戸田 真純</t>
  </si>
  <si>
    <t>永井 純子</t>
  </si>
  <si>
    <t>中島 浩美</t>
  </si>
  <si>
    <t>中野 梨杏</t>
  </si>
  <si>
    <t>橋本 諭</t>
  </si>
  <si>
    <t>深代 優一</t>
  </si>
  <si>
    <t>福田 浩</t>
  </si>
  <si>
    <t>藤井 健史</t>
  </si>
  <si>
    <t>藤木 大輔</t>
  </si>
  <si>
    <t>二神 謙</t>
  </si>
  <si>
    <t>舟橋 英誉a</t>
  </si>
  <si>
    <t>増井 亮介</t>
  </si>
  <si>
    <t>松井 太</t>
  </si>
  <si>
    <t>山岸 良兼</t>
  </si>
  <si>
    <t>渡邉 真珠子</t>
  </si>
  <si>
    <t>伊木 芳暁</t>
  </si>
  <si>
    <t>市村 愛美</t>
  </si>
  <si>
    <t>伊藤 栞</t>
  </si>
  <si>
    <t>井上 令恵</t>
  </si>
  <si>
    <t>掛橋 絵加</t>
  </si>
  <si>
    <t>門脇 野香</t>
  </si>
  <si>
    <t>兼光 典行</t>
  </si>
  <si>
    <t>川口 由惟</t>
  </si>
  <si>
    <t>北嶋 日斗美</t>
  </si>
  <si>
    <t>柴田 めぐみa</t>
  </si>
  <si>
    <t>志摩 英則</t>
  </si>
  <si>
    <t>高嶋 智子</t>
  </si>
  <si>
    <t>高橋 順成</t>
  </si>
  <si>
    <t>中村 拓人</t>
  </si>
  <si>
    <t>西川 浩平</t>
  </si>
  <si>
    <t>坂内 未央</t>
  </si>
  <si>
    <t>堀合 正人</t>
  </si>
  <si>
    <t>山田 康夫</t>
  </si>
  <si>
    <t>山根 啓貴</t>
  </si>
  <si>
    <t>渡邊 大貴</t>
  </si>
  <si>
    <t>渡辺 隆春a</t>
  </si>
  <si>
    <t>石﨑 龍一</t>
  </si>
  <si>
    <t>大江 輝明</t>
  </si>
  <si>
    <t>奥平 和樹</t>
  </si>
  <si>
    <t>金子 みゆきa</t>
  </si>
  <si>
    <t>越田 直樹</t>
  </si>
  <si>
    <t>小菅 諒</t>
  </si>
  <si>
    <t>AQ087010100</t>
  </si>
  <si>
    <t>小谷 健輔a</t>
  </si>
  <si>
    <t>小林 大樹</t>
  </si>
  <si>
    <t>笹川 剛史</t>
  </si>
  <si>
    <t>柴田 胡桃</t>
  </si>
  <si>
    <t>柴山 貴俊</t>
  </si>
  <si>
    <t>清水 祐治</t>
  </si>
  <si>
    <t>田口 優介</t>
  </si>
  <si>
    <t>竹田 誠</t>
  </si>
  <si>
    <t>田中 亮太朗</t>
  </si>
  <si>
    <t>中野 仁</t>
  </si>
  <si>
    <t>原 悠介a</t>
  </si>
  <si>
    <t>牧野 裕介</t>
  </si>
  <si>
    <t>松野 園香</t>
  </si>
  <si>
    <t>三井 岳</t>
  </si>
  <si>
    <t>宮本 広大a</t>
  </si>
  <si>
    <t>望月 潤太郎</t>
  </si>
  <si>
    <t>池田 敦貴</t>
  </si>
  <si>
    <t>岩片 綾佳</t>
  </si>
  <si>
    <t>岡山 かほり</t>
  </si>
  <si>
    <t>梶應 佳史</t>
  </si>
  <si>
    <t>佐藤 博紀b</t>
  </si>
  <si>
    <t>津田 裕介</t>
  </si>
  <si>
    <t>藤本 飛鳥</t>
  </si>
  <si>
    <t>松川 雄貴</t>
  </si>
  <si>
    <t>渡邉 舞b</t>
  </si>
  <si>
    <t>阿部 瑞穂</t>
  </si>
  <si>
    <t>飯島 真</t>
  </si>
  <si>
    <t>泉 歩花a</t>
  </si>
  <si>
    <t>板垣 菜奈</t>
  </si>
  <si>
    <t>今井 俊文a</t>
  </si>
  <si>
    <t>入佐 友香里</t>
  </si>
  <si>
    <t>岩間 功</t>
  </si>
  <si>
    <t>植松 亮太朗</t>
  </si>
  <si>
    <t>太田 理斗</t>
  </si>
  <si>
    <t>大和田 水晶</t>
  </si>
  <si>
    <t>小楠 泰雅</t>
  </si>
  <si>
    <t>上村 恭平</t>
  </si>
  <si>
    <t>加茂 勇樹</t>
  </si>
  <si>
    <t>川村 颯太</t>
  </si>
  <si>
    <t>神田 苑子</t>
  </si>
  <si>
    <t>木内 貴浩</t>
  </si>
  <si>
    <t>久保 勇輝</t>
  </si>
  <si>
    <t>黒須 恵利香</t>
  </si>
  <si>
    <t>佐々木 達也</t>
  </si>
  <si>
    <t>佐藤 悠一</t>
  </si>
  <si>
    <t>塩谷 英右</t>
  </si>
  <si>
    <t>志賀 絵里奈</t>
  </si>
  <si>
    <t>芝山 耕輔</t>
  </si>
  <si>
    <t>神馬 理央a</t>
  </si>
  <si>
    <t>鈴木 啓介</t>
  </si>
  <si>
    <t>髙橋 涼花</t>
  </si>
  <si>
    <t>高橋 伸明</t>
  </si>
  <si>
    <t>IP &amp; Entertainmentチーム</t>
  </si>
  <si>
    <t>AW085020501</t>
  </si>
  <si>
    <t>塚本 一葵</t>
  </si>
  <si>
    <t>塔本 真吾</t>
  </si>
  <si>
    <t>豊留 直征</t>
  </si>
  <si>
    <t>中澤 祐実</t>
  </si>
  <si>
    <t>永島 誠記</t>
  </si>
  <si>
    <t>中林 健人</t>
  </si>
  <si>
    <t>野上 日向</t>
  </si>
  <si>
    <t>廣 晴輔a</t>
  </si>
  <si>
    <t>樋渡 富美子</t>
  </si>
  <si>
    <t>古澤 礼</t>
  </si>
  <si>
    <t>邉見 めぐ美</t>
  </si>
  <si>
    <t>星野 将a</t>
  </si>
  <si>
    <t>堀口 恵理</t>
  </si>
  <si>
    <t>三浦 優里</t>
  </si>
  <si>
    <t>森谷 瑞希</t>
  </si>
  <si>
    <t>森山 彩華</t>
  </si>
  <si>
    <t>安田 有希</t>
  </si>
  <si>
    <t>矢野 雅之a</t>
  </si>
  <si>
    <t>山田 涼晴</t>
  </si>
  <si>
    <t>楊 景</t>
  </si>
  <si>
    <t>米内 俊祐</t>
  </si>
  <si>
    <t>若林 慶</t>
  </si>
  <si>
    <t>渡邊 奈々</t>
  </si>
  <si>
    <t>越川 竜介</t>
  </si>
  <si>
    <t>佐竹 由衣</t>
  </si>
  <si>
    <t>高島 直史</t>
  </si>
  <si>
    <t>土屋 直幸a</t>
  </si>
  <si>
    <t>豊田 正宗a</t>
  </si>
  <si>
    <t>濱田 薫</t>
  </si>
  <si>
    <t>日置 綾音</t>
  </si>
  <si>
    <t>荒田 駿介a</t>
  </si>
  <si>
    <t>大藪 修平</t>
  </si>
  <si>
    <t>岡林 高志</t>
  </si>
  <si>
    <t>幸原 直樹</t>
  </si>
  <si>
    <t>小林 可奈c</t>
  </si>
  <si>
    <t>齊藤 幸枝b</t>
  </si>
  <si>
    <t>原田 俊広</t>
  </si>
  <si>
    <t>福田 奨馬</t>
  </si>
  <si>
    <t>葉 佳欣</t>
  </si>
  <si>
    <t>黒岩 菜々子</t>
  </si>
  <si>
    <t>小林 英之亮</t>
  </si>
  <si>
    <t>渋谷 幸人a</t>
  </si>
  <si>
    <t>株式会社picon(本部格)</t>
  </si>
  <si>
    <t>田島 美鈴</t>
  </si>
  <si>
    <t>光原 周作a</t>
  </si>
  <si>
    <t>山口 翔誠a</t>
  </si>
  <si>
    <t>井関 加弥</t>
  </si>
  <si>
    <t>奥山 研</t>
  </si>
  <si>
    <t>女部田 亮</t>
  </si>
  <si>
    <t>邢 丹</t>
  </si>
  <si>
    <t>小池 真輝</t>
  </si>
  <si>
    <t>佐野 絵里香a</t>
  </si>
  <si>
    <t>中野 浩二</t>
  </si>
  <si>
    <t>日出 春来</t>
  </si>
  <si>
    <t>古木 哲平</t>
  </si>
  <si>
    <t>山田 晃土</t>
  </si>
  <si>
    <t>湯澤 功成</t>
  </si>
  <si>
    <t>赤池 勇人</t>
  </si>
  <si>
    <t>プロダクト開発アドグループ</t>
  </si>
  <si>
    <t>AQ087021100</t>
  </si>
  <si>
    <t>阿須間 翔</t>
  </si>
  <si>
    <t>大久保 亜美</t>
  </si>
  <si>
    <t>大村 瞬也</t>
  </si>
  <si>
    <t>久貝 真奈美</t>
  </si>
  <si>
    <t>倉田 英行</t>
  </si>
  <si>
    <t>佐藤 あゆみa</t>
  </si>
  <si>
    <t>佐野 明稀</t>
  </si>
  <si>
    <t>髙林 明日美</t>
  </si>
  <si>
    <t>髙山 清子</t>
  </si>
  <si>
    <t>坂 友恵</t>
  </si>
  <si>
    <t>平沼 花観</t>
  </si>
  <si>
    <t>宮ヶ原 敬規</t>
  </si>
  <si>
    <t>渡瀬 ひろみ</t>
  </si>
  <si>
    <t>青木 健至</t>
  </si>
  <si>
    <t>大井 香苗a</t>
  </si>
  <si>
    <t>小野 義則</t>
  </si>
  <si>
    <t>川内 大</t>
  </si>
  <si>
    <t>熊田 由里香</t>
  </si>
  <si>
    <t>斎藤 一輝</t>
  </si>
  <si>
    <t>真田 匡朗</t>
  </si>
  <si>
    <t>芝山 直也</t>
  </si>
  <si>
    <t>菅原 美穂</t>
  </si>
  <si>
    <t>鋤柄 和臣</t>
  </si>
  <si>
    <t>田島 悠花</t>
  </si>
  <si>
    <t>龍田 ヨウスケ</t>
  </si>
  <si>
    <t>田邨 尚樹</t>
  </si>
  <si>
    <t>辻 紗梨奈</t>
  </si>
  <si>
    <t>土田 真喜</t>
  </si>
  <si>
    <t>冨樫 航平</t>
  </si>
  <si>
    <t>中村 悟a</t>
  </si>
  <si>
    <t>中山 雅子</t>
  </si>
  <si>
    <t>南涛 祐介</t>
  </si>
  <si>
    <t>新岡 宗一朗</t>
  </si>
  <si>
    <t>仁井田 ひと美</t>
  </si>
  <si>
    <t>疋田 建典a</t>
  </si>
  <si>
    <t>福島 あゆみ</t>
  </si>
  <si>
    <t>本郷 蒼人</t>
  </si>
  <si>
    <t>増田 小雪</t>
  </si>
  <si>
    <t>三宅 遥</t>
  </si>
  <si>
    <t>市川 美華</t>
  </si>
  <si>
    <t>亀田 瑞貴</t>
  </si>
  <si>
    <t>佐々木 祐太</t>
  </si>
  <si>
    <t>AR059070200</t>
  </si>
  <si>
    <t>宍倉 晃志郎a</t>
  </si>
  <si>
    <t>鈴木 弘美</t>
  </si>
  <si>
    <t>中川 珠江</t>
  </si>
  <si>
    <t>宮内 俊英b</t>
  </si>
  <si>
    <t>八下田 純</t>
  </si>
  <si>
    <t>麻生 彩</t>
  </si>
  <si>
    <t>安齋 龍</t>
  </si>
  <si>
    <t>沖田 仁</t>
  </si>
  <si>
    <t>甲斐 優貴</t>
  </si>
  <si>
    <t>塊原 卓</t>
  </si>
  <si>
    <t>岸本 実穂子</t>
  </si>
  <si>
    <t>工藤 貴誠</t>
  </si>
  <si>
    <t>小林 祐佳</t>
  </si>
  <si>
    <t>櫻井 猛</t>
  </si>
  <si>
    <t>佐藤 実織</t>
  </si>
  <si>
    <t>清家 裕太</t>
  </si>
  <si>
    <t>髙橋 徹</t>
  </si>
  <si>
    <t>千野 節歩</t>
  </si>
  <si>
    <t>星野 恵介a</t>
  </si>
  <si>
    <t>正木 真也</t>
  </si>
  <si>
    <t>右高 優子</t>
  </si>
  <si>
    <t>水谷 翔帆</t>
  </si>
  <si>
    <t>森山 涼介</t>
  </si>
  <si>
    <t>八木 智久</t>
  </si>
  <si>
    <t>山口 みづき</t>
  </si>
  <si>
    <t>山崎 信明</t>
  </si>
  <si>
    <t>安藤 慶</t>
  </si>
  <si>
    <t>伊藤 翔哉</t>
  </si>
  <si>
    <t>門井 敏行</t>
  </si>
  <si>
    <t>佐上 真慧</t>
  </si>
  <si>
    <t>佐藤 朝章</t>
  </si>
  <si>
    <t>高安 佐枝子</t>
  </si>
  <si>
    <t>Hardouin Marinea</t>
  </si>
  <si>
    <t>Hardouin Marine</t>
  </si>
  <si>
    <t>山口 優希</t>
  </si>
  <si>
    <t>板垣 志歩</t>
  </si>
  <si>
    <t>久保木 将貴</t>
  </si>
  <si>
    <t>坂口 紘子</t>
  </si>
  <si>
    <t>白坂 守a</t>
  </si>
  <si>
    <t>新松 尚子</t>
  </si>
  <si>
    <t>高橋 燦太</t>
  </si>
  <si>
    <t>高見 俊也</t>
  </si>
  <si>
    <t>戸門 克浩</t>
  </si>
  <si>
    <t>德本 可奈子</t>
  </si>
  <si>
    <t>長井 豊</t>
  </si>
  <si>
    <t>中西 紗良</t>
  </si>
  <si>
    <t>林 雄一郎</t>
  </si>
  <si>
    <t>半谷 義高</t>
  </si>
  <si>
    <t>松川 翔太</t>
  </si>
  <si>
    <t>矢田 涼一</t>
  </si>
  <si>
    <t>経営戦略グループ</t>
  </si>
  <si>
    <t>彌永 力樹</t>
  </si>
  <si>
    <t>山田 隼人</t>
  </si>
  <si>
    <t>浅井 涼太</t>
  </si>
  <si>
    <t>石上 翔慈</t>
  </si>
  <si>
    <t>石原 英康a</t>
  </si>
  <si>
    <t>井上 俊a</t>
  </si>
  <si>
    <t>北平 匠</t>
  </si>
  <si>
    <t>西山 瞭</t>
  </si>
  <si>
    <t>春山 直輝a</t>
  </si>
  <si>
    <t>日熊 夕渚</t>
  </si>
  <si>
    <t>溝口 彩女</t>
  </si>
  <si>
    <t>山本 千夏</t>
  </si>
  <si>
    <t>淺原 澄子</t>
  </si>
  <si>
    <t>石黒 優輝</t>
  </si>
  <si>
    <t>榎本 康夫</t>
  </si>
  <si>
    <t>柏山 典子</t>
  </si>
  <si>
    <t>金守 哲史</t>
  </si>
  <si>
    <t>金子 悠</t>
  </si>
  <si>
    <t>岸上 亮</t>
  </si>
  <si>
    <t>木下 清明</t>
  </si>
  <si>
    <t>相良 康介</t>
  </si>
  <si>
    <t>櫻井 直也</t>
  </si>
  <si>
    <t>佐藤 洋一</t>
  </si>
  <si>
    <t>篠原 宏康</t>
  </si>
  <si>
    <t>Zhang Xiaoshuo</t>
  </si>
  <si>
    <t>菅原 直也</t>
  </si>
  <si>
    <t>周藤 光太郎</t>
  </si>
  <si>
    <t>祖川 慎治</t>
  </si>
  <si>
    <t>寺田 歩未</t>
  </si>
  <si>
    <t>西浜 誠</t>
  </si>
  <si>
    <t>細谷 光a</t>
  </si>
  <si>
    <t>村原 亮介</t>
  </si>
  <si>
    <t>安河内 拓也</t>
  </si>
  <si>
    <t>山本 仁a</t>
  </si>
  <si>
    <t>阿部 花実</t>
  </si>
  <si>
    <t>佐藤 正昭</t>
  </si>
  <si>
    <t>澤出 凌</t>
  </si>
  <si>
    <t>茂野 裕仁</t>
  </si>
  <si>
    <t>白石 貴大</t>
  </si>
  <si>
    <t>杉田 直弥</t>
  </si>
  <si>
    <t>近澤 佳織</t>
  </si>
  <si>
    <t>浜砂 伸治</t>
  </si>
  <si>
    <t>平林 知永子</t>
  </si>
  <si>
    <t>宮島 泰視a</t>
  </si>
  <si>
    <t>渡辺 彩斗</t>
  </si>
  <si>
    <t>荒木 奈緒美a</t>
  </si>
  <si>
    <t>稲熊 祐里佳</t>
  </si>
  <si>
    <t>弥冨 奈那子</t>
  </si>
  <si>
    <t>上田 真喜子a</t>
  </si>
  <si>
    <t>大塩 世奈a</t>
  </si>
  <si>
    <t>切通 伸人b</t>
  </si>
  <si>
    <t>小松﨑 絵里</t>
  </si>
  <si>
    <t>小峰 由貴</t>
  </si>
  <si>
    <t>小柳 夏希b</t>
  </si>
  <si>
    <t>Continsouzas Thomas</t>
  </si>
  <si>
    <t>坂口 修一</t>
  </si>
  <si>
    <t>高橋 英志</t>
  </si>
  <si>
    <t>種村 尚大</t>
  </si>
  <si>
    <t>鄭 亦倫</t>
  </si>
  <si>
    <t>辻畑 孝信</t>
  </si>
  <si>
    <t>戸澤 悠花</t>
  </si>
  <si>
    <t>冨田 祐貴</t>
  </si>
  <si>
    <t>中嶋 裕紀a</t>
  </si>
  <si>
    <t>林﨑 康明</t>
  </si>
  <si>
    <t>原子 智気</t>
  </si>
  <si>
    <t>萬羽 俊太朗</t>
  </si>
  <si>
    <t>山崎 帆稀</t>
  </si>
  <si>
    <t>吉川 綾一郎</t>
  </si>
  <si>
    <t>若林 清太郎a</t>
  </si>
  <si>
    <t>飯尾 拓也b</t>
  </si>
  <si>
    <t>浦山 秀斗</t>
  </si>
  <si>
    <t>岸 昭太朗b</t>
  </si>
  <si>
    <t>坂之上 晋</t>
  </si>
  <si>
    <t>澤原 拓匡</t>
  </si>
  <si>
    <t>谷 知拓</t>
  </si>
  <si>
    <t>AX089050000</t>
  </si>
  <si>
    <t>長瀬 れいな</t>
  </si>
  <si>
    <t>西山 将吾a</t>
  </si>
  <si>
    <t>菱川 崇</t>
  </si>
  <si>
    <t>舩本 茜</t>
  </si>
  <si>
    <t>山口 徹</t>
  </si>
  <si>
    <t>池田 泰康</t>
  </si>
  <si>
    <t>井圡 彪力a</t>
  </si>
  <si>
    <t>伊東 泰成</t>
  </si>
  <si>
    <t>大福 まい</t>
  </si>
  <si>
    <t>岡本 悠太b</t>
  </si>
  <si>
    <t>上島 あや菜</t>
  </si>
  <si>
    <t>久保 祐里江</t>
  </si>
  <si>
    <t>齊藤 絵美</t>
  </si>
  <si>
    <t>坂口 碧</t>
  </si>
  <si>
    <t>島田 祐輝</t>
  </si>
  <si>
    <t>嶋田 瑠美子</t>
  </si>
  <si>
    <t>髙田 瑛仁</t>
  </si>
  <si>
    <t>田口 沙月</t>
  </si>
  <si>
    <t>原田 大輔</t>
  </si>
  <si>
    <t>前田 剛b</t>
  </si>
  <si>
    <t>水船 翔太</t>
  </si>
  <si>
    <t>宮本 翔太b</t>
  </si>
  <si>
    <t>本岡 知尋</t>
  </si>
  <si>
    <t>吉澤 直樹</t>
  </si>
  <si>
    <t>井合 貞美</t>
  </si>
  <si>
    <t>石井 圭太</t>
  </si>
  <si>
    <t>小脇 亮太</t>
  </si>
  <si>
    <t>新屋 文崇a</t>
  </si>
  <si>
    <t>根本 紘利</t>
  </si>
  <si>
    <t>別府 祐太</t>
  </si>
  <si>
    <t>松本 航</t>
  </si>
  <si>
    <t>三浦 瑠奈</t>
  </si>
  <si>
    <t>和田 遼太郎</t>
  </si>
  <si>
    <t>井坂 優介a</t>
  </si>
  <si>
    <t>石上 英賢a</t>
  </si>
  <si>
    <t>大石 幸長a</t>
  </si>
  <si>
    <t>大山 温子</t>
  </si>
  <si>
    <t>小野 光</t>
  </si>
  <si>
    <t>合田 祥世</t>
  </si>
  <si>
    <t>佐藤 聖璃</t>
  </si>
  <si>
    <t>髙橋 祐輝d</t>
  </si>
  <si>
    <t>武重 和徳</t>
  </si>
  <si>
    <t>谷口 友梨</t>
  </si>
  <si>
    <t>角村 吉基</t>
  </si>
  <si>
    <t>西山 茅波</t>
  </si>
  <si>
    <t>野島 香苗</t>
  </si>
  <si>
    <t>賀 天憶</t>
  </si>
  <si>
    <t>萩原 順平</t>
  </si>
  <si>
    <t>藤沼 香菜子</t>
  </si>
  <si>
    <t>藤原 良平</t>
  </si>
  <si>
    <t>古谷 諒</t>
  </si>
  <si>
    <t>三浦 愛</t>
  </si>
  <si>
    <t>村山 ゆい</t>
  </si>
  <si>
    <t>茂木 菜々穂b</t>
  </si>
  <si>
    <t>森場 裕一a</t>
  </si>
  <si>
    <t>門田 豪司</t>
  </si>
  <si>
    <t>幸 昂作a</t>
  </si>
  <si>
    <t>渡辺 進一郎</t>
  </si>
  <si>
    <t>渡辺 萌</t>
  </si>
  <si>
    <t>赤間 晶帆</t>
  </si>
  <si>
    <t>伊藤 智佳子a</t>
  </si>
  <si>
    <t>井上 貴宏</t>
  </si>
  <si>
    <t>梅本 翔太</t>
  </si>
  <si>
    <t>栗山 裕加</t>
  </si>
  <si>
    <t>小坂 準記</t>
  </si>
  <si>
    <t>権瓶 昇栄a</t>
  </si>
  <si>
    <t>鈴木 遥a</t>
  </si>
  <si>
    <t>滝川 航生</t>
  </si>
  <si>
    <t>半田 晃平</t>
  </si>
  <si>
    <t>萬成 亮太</t>
  </si>
  <si>
    <t>守田 陵祐</t>
  </si>
  <si>
    <t>阿部 麻里子</t>
  </si>
  <si>
    <t>石井 訓象a</t>
  </si>
  <si>
    <t>大熊 久生</t>
  </si>
  <si>
    <t>大園 英隆</t>
  </si>
  <si>
    <t>大林 直樹</t>
  </si>
  <si>
    <t>越知 夏子</t>
  </si>
  <si>
    <t>健康経営チーム</t>
  </si>
  <si>
    <t>小野 沙和</t>
  </si>
  <si>
    <t>笠掛 貴彦</t>
  </si>
  <si>
    <t>鎌田 昇</t>
  </si>
  <si>
    <t>小崎 将史a</t>
  </si>
  <si>
    <t>佐藤 友紀b</t>
  </si>
  <si>
    <t>関口 胡桃</t>
  </si>
  <si>
    <t>高野 慧</t>
  </si>
  <si>
    <t>高橋 太郎</t>
  </si>
  <si>
    <t>田辺 真奈美</t>
  </si>
  <si>
    <t>ドゥアンダラ タニオ</t>
  </si>
  <si>
    <t>徳永 尚弥</t>
  </si>
  <si>
    <t>長澤 由依</t>
  </si>
  <si>
    <t>夏山 佳子</t>
  </si>
  <si>
    <t>畑邉 大希</t>
  </si>
  <si>
    <t>宮嵜 将司a</t>
  </si>
  <si>
    <t>川島 拓海a</t>
  </si>
  <si>
    <t>北沢 吏甫子a</t>
  </si>
  <si>
    <t>佐藤 賢</t>
  </si>
  <si>
    <t>佐藤 憲佳</t>
  </si>
  <si>
    <t>関根 明良</t>
  </si>
  <si>
    <t>友部 博教</t>
  </si>
  <si>
    <t>根本 英明b</t>
  </si>
  <si>
    <t>八重樫 快己</t>
  </si>
  <si>
    <t>山田 剛志</t>
  </si>
  <si>
    <t>吉田 匡利</t>
  </si>
  <si>
    <t>會田 拓也</t>
  </si>
  <si>
    <t>去来川 晃a</t>
  </si>
  <si>
    <t>AO083010800</t>
  </si>
  <si>
    <t>石毛 克尚</t>
  </si>
  <si>
    <t>今木 世実</t>
  </si>
  <si>
    <t>内山 創</t>
  </si>
  <si>
    <t>遠藤 悠矢</t>
  </si>
  <si>
    <t>金山 由佳</t>
  </si>
  <si>
    <t>菅野 亜紀</t>
  </si>
  <si>
    <t>菊地 篤</t>
  </si>
  <si>
    <t>木田 敦士c</t>
  </si>
  <si>
    <t>栗原 瑞樹</t>
  </si>
  <si>
    <t>郡山 晟太郎</t>
  </si>
  <si>
    <t>古林 瑠璃子a</t>
  </si>
  <si>
    <t>佐々木 洸亮</t>
  </si>
  <si>
    <t>清水 隆光</t>
  </si>
  <si>
    <t>白井 聡明</t>
  </si>
  <si>
    <t>白石 陸</t>
  </si>
  <si>
    <t>竹内 穂香</t>
  </si>
  <si>
    <t>竹内 美知佳</t>
  </si>
  <si>
    <t>出井 祐衣奈</t>
  </si>
  <si>
    <t>戸井田 杏</t>
  </si>
  <si>
    <t>十時 隆櫻</t>
  </si>
  <si>
    <t>鳥海 佑介</t>
  </si>
  <si>
    <t>中村 眞央</t>
  </si>
  <si>
    <t>西垣 静</t>
  </si>
  <si>
    <t>長谷部 航太</t>
  </si>
  <si>
    <t>藤澤 千尋</t>
  </si>
  <si>
    <t>松下 航大</t>
  </si>
  <si>
    <t>松本 朋夏</t>
  </si>
  <si>
    <t>緑川 靖子a</t>
  </si>
  <si>
    <t>宮江 晟悟</t>
  </si>
  <si>
    <t>森 千晶</t>
  </si>
  <si>
    <t>山口 遥名</t>
  </si>
  <si>
    <t>山田 勝也</t>
  </si>
  <si>
    <t>山根 航</t>
  </si>
  <si>
    <t>大西 あおば</t>
  </si>
  <si>
    <t>片山 章則</t>
  </si>
  <si>
    <t>栗原 一浩</t>
  </si>
  <si>
    <t>武富 宣利</t>
  </si>
  <si>
    <t>冨永 由伊</t>
  </si>
  <si>
    <t>中西 文恵</t>
  </si>
  <si>
    <t>中村 薫</t>
  </si>
  <si>
    <t>中村 真実a</t>
  </si>
  <si>
    <t>グラフィック第2チーム</t>
  </si>
  <si>
    <t>古川 友里恵</t>
  </si>
  <si>
    <t>古野 麻美a</t>
  </si>
  <si>
    <t>天野 朱音01</t>
  </si>
  <si>
    <t>石井 正人</t>
  </si>
  <si>
    <t>石川 隆寛</t>
  </si>
  <si>
    <t>石川 久光</t>
  </si>
  <si>
    <t>石川 陽輝</t>
  </si>
  <si>
    <t>石澤 龍</t>
  </si>
  <si>
    <t>魚住 光史</t>
  </si>
  <si>
    <t>内田 大輔01</t>
  </si>
  <si>
    <t>内田 実花01</t>
  </si>
  <si>
    <t>大楠 和範</t>
  </si>
  <si>
    <t>大塚 隆輔</t>
  </si>
  <si>
    <t>大平 桜子</t>
  </si>
  <si>
    <t>緒形 雄二</t>
  </si>
  <si>
    <t>岡本 奈津希</t>
  </si>
  <si>
    <t>小野寺 誠大</t>
  </si>
  <si>
    <t>梶野 晴基</t>
  </si>
  <si>
    <t>柏木 健</t>
  </si>
  <si>
    <t>片野 恵梨佳</t>
  </si>
  <si>
    <t>片山 朋之</t>
  </si>
  <si>
    <t>加藤 大和</t>
  </si>
  <si>
    <t>エンターテインメントクリエイション室(本部格)</t>
  </si>
  <si>
    <t>AO086000000</t>
  </si>
  <si>
    <t>鎌田 眞平</t>
  </si>
  <si>
    <t>川口 裕太郎01</t>
  </si>
  <si>
    <t>川人 海遊</t>
  </si>
  <si>
    <t>河原 伯幸</t>
  </si>
  <si>
    <t>川目 麻紀子</t>
  </si>
  <si>
    <t>木原 生果</t>
  </si>
  <si>
    <t>京谷 かなめ</t>
  </si>
  <si>
    <t>櫛引 淳之介</t>
  </si>
  <si>
    <t>工藤 乃輝</t>
  </si>
  <si>
    <t>熊藤 直</t>
  </si>
  <si>
    <t>黒澤 裕介</t>
  </si>
  <si>
    <t>小甲 裕司</t>
  </si>
  <si>
    <t>小林 里絵01</t>
  </si>
  <si>
    <t>斉藤 彩加01</t>
  </si>
  <si>
    <t>斉藤 拓</t>
  </si>
  <si>
    <t>坂口 威知朗</t>
  </si>
  <si>
    <t>佐藤 歩実01</t>
  </si>
  <si>
    <t>佐藤 美雪01</t>
  </si>
  <si>
    <t>左野 寛之01</t>
  </si>
  <si>
    <t>島田 知佳</t>
  </si>
  <si>
    <t>嶋本 憲弥</t>
  </si>
  <si>
    <t>Schotte Matis01</t>
  </si>
  <si>
    <t>白井 寛人</t>
  </si>
  <si>
    <t>菅 緑</t>
  </si>
  <si>
    <t>杉村 奏</t>
  </si>
  <si>
    <t>鈴木 あゆみ01</t>
  </si>
  <si>
    <t>鈴木 健介01</t>
  </si>
  <si>
    <t>鈴木 美緒</t>
  </si>
  <si>
    <t>鈴木 宥美01</t>
  </si>
  <si>
    <t>関 志保</t>
  </si>
  <si>
    <t>関 盛光01</t>
  </si>
  <si>
    <t>曽我 勇次01</t>
  </si>
  <si>
    <t>田浦 一</t>
  </si>
  <si>
    <t>武井 千賀子01</t>
  </si>
  <si>
    <t>多田 真紀子</t>
  </si>
  <si>
    <t>刀野 香穏</t>
  </si>
  <si>
    <t>田中 宏武01</t>
  </si>
  <si>
    <t>田村 海01</t>
  </si>
  <si>
    <t>趙 在貞01</t>
  </si>
  <si>
    <t>寺倉 翔太</t>
  </si>
  <si>
    <t>中田 徹01</t>
  </si>
  <si>
    <t>庭野 紡</t>
  </si>
  <si>
    <t>早房 クリスティー</t>
  </si>
  <si>
    <t>船橋 拡考</t>
  </si>
  <si>
    <t>牧野 舜</t>
  </si>
  <si>
    <t>増井 健仁</t>
  </si>
  <si>
    <t>松野 健太郎</t>
  </si>
  <si>
    <t>満 博文</t>
  </si>
  <si>
    <t>水木 健太郎</t>
  </si>
  <si>
    <t>三岳 勝吾</t>
  </si>
  <si>
    <t>峰村 彩里</t>
  </si>
  <si>
    <t>箕輪 知夏01</t>
  </si>
  <si>
    <t>三宅 高暢</t>
  </si>
  <si>
    <t>三好 文二郎</t>
  </si>
  <si>
    <t>山口 裕之</t>
  </si>
  <si>
    <t>山田 百合子</t>
  </si>
  <si>
    <t>山平 賢歓</t>
  </si>
  <si>
    <t>山本 一雄</t>
  </si>
  <si>
    <t>山本 貴之</t>
  </si>
  <si>
    <t>山本 七奈01</t>
  </si>
  <si>
    <t>横江 亮佑01</t>
  </si>
  <si>
    <t>横山 浩美</t>
  </si>
  <si>
    <t>Yoshida Matthew</t>
  </si>
  <si>
    <t>吉村 匡生01</t>
  </si>
  <si>
    <t>渡邉 善斗</t>
  </si>
  <si>
    <t>渡辺 隆之01</t>
  </si>
  <si>
    <t>安念 なつみ</t>
  </si>
  <si>
    <t>石川 昴</t>
  </si>
  <si>
    <t>石﨑 亮介</t>
  </si>
  <si>
    <t>小畑 奈菜01</t>
  </si>
  <si>
    <t>鴨志田 清香</t>
  </si>
  <si>
    <t>河野 彰太01</t>
  </si>
  <si>
    <t>喜屋武 明莉</t>
  </si>
  <si>
    <t>郭 泓伸01</t>
  </si>
  <si>
    <t>功刀 麻里</t>
  </si>
  <si>
    <t>小杉 達郎</t>
  </si>
  <si>
    <t>小玉 萌可01</t>
  </si>
  <si>
    <t>下地 恵太郎</t>
  </si>
  <si>
    <t>鈴木 孝允</t>
  </si>
  <si>
    <t>髙橋 まり</t>
  </si>
  <si>
    <t>竹野 莉生</t>
  </si>
  <si>
    <t>千北 一期</t>
  </si>
  <si>
    <t>土井 淳司</t>
  </si>
  <si>
    <t>中村 優介01</t>
  </si>
  <si>
    <t>平田 久美</t>
  </si>
  <si>
    <t>星野 夕紀</t>
  </si>
  <si>
    <t>山根 雄飛01</t>
  </si>
  <si>
    <t>吉田 正史01</t>
  </si>
  <si>
    <t>石川 ののか</t>
  </si>
  <si>
    <t>井田 花恵</t>
  </si>
  <si>
    <t>上原 丈弥</t>
  </si>
  <si>
    <t>大倉 大輝01</t>
  </si>
  <si>
    <t>岡田 龍之介</t>
  </si>
  <si>
    <t>岡村 愛</t>
  </si>
  <si>
    <t>小川 智也</t>
  </si>
  <si>
    <t>笠原 万澄</t>
  </si>
  <si>
    <t>川崎 豊01</t>
  </si>
  <si>
    <t>桑原 勇気01</t>
  </si>
  <si>
    <t>小泉 麻衣</t>
  </si>
  <si>
    <t>河野 有哉</t>
  </si>
  <si>
    <t>古賀 恵子</t>
  </si>
  <si>
    <t>小西 悠也</t>
  </si>
  <si>
    <t>小森 勇樹</t>
  </si>
  <si>
    <t>酒井 智規</t>
  </si>
  <si>
    <t>佐々岡 幸司</t>
  </si>
  <si>
    <t>柴田 由紀子</t>
  </si>
  <si>
    <t>島岡 祐人</t>
  </si>
  <si>
    <t>富川 恵蓮</t>
  </si>
  <si>
    <t>中村 友紀01</t>
  </si>
  <si>
    <t>新沼 美有紀</t>
  </si>
  <si>
    <t>芳賀 友美</t>
  </si>
  <si>
    <t>長谷川 愛子</t>
  </si>
  <si>
    <t>松岡 英寿</t>
  </si>
  <si>
    <t>松本 梨々花</t>
  </si>
  <si>
    <t>宮内 宏</t>
  </si>
  <si>
    <t>宮本 華奈</t>
  </si>
  <si>
    <t>室水 仁</t>
  </si>
  <si>
    <t>吉田 倫子01</t>
  </si>
  <si>
    <t>井上 陽輔</t>
  </si>
  <si>
    <t>入江 幸子</t>
  </si>
  <si>
    <t>小川 陽二郎</t>
  </si>
  <si>
    <t>阪本 愛子01</t>
  </si>
  <si>
    <t>坂本 璃音</t>
  </si>
  <si>
    <t>志摩 剛洋</t>
  </si>
  <si>
    <t>高井 亮一01</t>
  </si>
  <si>
    <t>宮地 慎01</t>
  </si>
  <si>
    <t>山﨑 美香子</t>
  </si>
  <si>
    <t>Lwin Win</t>
  </si>
  <si>
    <t>浅利 瞭介</t>
  </si>
  <si>
    <t>新井 茉里奈</t>
  </si>
  <si>
    <t>板橋 大輔</t>
  </si>
  <si>
    <t>上田 利恵01</t>
  </si>
  <si>
    <t>小山内 蓮</t>
  </si>
  <si>
    <t>鎌田 智恵</t>
  </si>
  <si>
    <t>工藤 愛蓮</t>
  </si>
  <si>
    <t>高口 優子</t>
  </si>
  <si>
    <t>小濱 辰也</t>
  </si>
  <si>
    <t>斉藤 知明</t>
  </si>
  <si>
    <t>齊藤 美由起</t>
  </si>
  <si>
    <t>坂本 龍太</t>
  </si>
  <si>
    <t>佐藤 晃</t>
  </si>
  <si>
    <t>佐藤 菜緒</t>
  </si>
  <si>
    <t>更井 真依</t>
  </si>
  <si>
    <t>シュウ チャン</t>
  </si>
  <si>
    <t>須澤 元貴</t>
  </si>
  <si>
    <t>瀬川 俊彦</t>
  </si>
  <si>
    <t>立野 裕子</t>
  </si>
  <si>
    <t>飛澤 高志</t>
  </si>
  <si>
    <t>長友 章子</t>
  </si>
  <si>
    <t>生井 智司01</t>
  </si>
  <si>
    <t>生井 智司02</t>
  </si>
  <si>
    <t>新井田 彩穂里01</t>
  </si>
  <si>
    <t>西田 貴弘01</t>
  </si>
  <si>
    <t>野上 徹01</t>
  </si>
  <si>
    <t>野澤 知徳</t>
  </si>
  <si>
    <t>長谷部 礼</t>
  </si>
  <si>
    <t>福島 亜美</t>
  </si>
  <si>
    <t>伏田 怜司01</t>
  </si>
  <si>
    <t>本間 大地</t>
  </si>
  <si>
    <t>正木 智也</t>
  </si>
  <si>
    <t>松崎 慶太</t>
  </si>
  <si>
    <t>松原 秀介</t>
  </si>
  <si>
    <t>丸田 美優</t>
  </si>
  <si>
    <t>簾田 俊介</t>
  </si>
  <si>
    <t>Acquisitionチーム</t>
  </si>
  <si>
    <t>宮本 妙子</t>
  </si>
  <si>
    <t>矢ヶ崎 英明</t>
  </si>
  <si>
    <t>山田 修</t>
  </si>
  <si>
    <t>鎌田 昇01</t>
  </si>
  <si>
    <t>株式会社チャリロトプラザサービス(本部格)</t>
  </si>
  <si>
    <t>金 ソラ</t>
  </si>
  <si>
    <t>木村 祐也01</t>
  </si>
  <si>
    <t>榑林 拓也</t>
  </si>
  <si>
    <t>先崎 竜馬</t>
  </si>
  <si>
    <t>竹花 孝一朗</t>
  </si>
  <si>
    <t>田向 伸彦</t>
  </si>
  <si>
    <t>中島 歩01</t>
  </si>
  <si>
    <t>沼田 卓也</t>
  </si>
  <si>
    <t>古橋 孝介</t>
  </si>
  <si>
    <t>邉見 弘幸01</t>
  </si>
  <si>
    <t>松永 裕太郎</t>
  </si>
  <si>
    <t>山口 あゆみ</t>
  </si>
  <si>
    <t>余田 紘司</t>
  </si>
  <si>
    <t>大木 誠</t>
  </si>
  <si>
    <t>河合 俊明</t>
  </si>
  <si>
    <t>赤窄 菜留実01</t>
  </si>
  <si>
    <t>穐山 照栄</t>
  </si>
  <si>
    <t>浅沼 拓志01</t>
  </si>
  <si>
    <t>石井 昭宏</t>
  </si>
  <si>
    <t>板垣 阿美</t>
  </si>
  <si>
    <t>今橋 明希</t>
  </si>
  <si>
    <t>宇都宮 海雲</t>
  </si>
  <si>
    <t>海老根 由紀</t>
  </si>
  <si>
    <t>大平 眞聖</t>
  </si>
  <si>
    <t>小原 綾真</t>
  </si>
  <si>
    <t>門川 正隆01</t>
  </si>
  <si>
    <t>金子 州大</t>
  </si>
  <si>
    <t>金田 実里</t>
  </si>
  <si>
    <t>上国料 勇</t>
  </si>
  <si>
    <t>木村 仁美01</t>
  </si>
  <si>
    <t>倉永 昂治</t>
  </si>
  <si>
    <t>小布施 友紀子</t>
  </si>
  <si>
    <t>小谷野 孝仁</t>
  </si>
  <si>
    <t>齊藤 駿</t>
  </si>
  <si>
    <t>佐藤 博01</t>
  </si>
  <si>
    <t>佐藤 友紀01</t>
  </si>
  <si>
    <t>佐野 裕一朗</t>
  </si>
  <si>
    <t>椎葉 紗也加</t>
  </si>
  <si>
    <t>神村 初佳</t>
  </si>
  <si>
    <t>高正 明磨</t>
  </si>
  <si>
    <t>瀧本 はろか</t>
  </si>
  <si>
    <t>田中舘 里美01</t>
  </si>
  <si>
    <t>谷口 隼人</t>
  </si>
  <si>
    <t>田上 彩花</t>
  </si>
  <si>
    <t>田村 彩貴</t>
  </si>
  <si>
    <t>田村 稔行</t>
  </si>
  <si>
    <t>崔 志誠</t>
  </si>
  <si>
    <t>寺崎 匠</t>
  </si>
  <si>
    <t>中川 友陽</t>
  </si>
  <si>
    <t>中村 明日香</t>
  </si>
  <si>
    <t>鍋澤 俊太01</t>
  </si>
  <si>
    <t>新原 耕太</t>
  </si>
  <si>
    <t>西村 俊亮</t>
  </si>
  <si>
    <t>西村 総一郎</t>
  </si>
  <si>
    <t>萩原 佐重</t>
  </si>
  <si>
    <t>羽尻 知広</t>
  </si>
  <si>
    <t>林 建志</t>
  </si>
  <si>
    <t>林 英明</t>
  </si>
  <si>
    <t>星澤 夏生</t>
  </si>
  <si>
    <t>本庄 崇</t>
  </si>
  <si>
    <t>増田 翔</t>
  </si>
  <si>
    <t>丸谷 昂稀</t>
  </si>
  <si>
    <t>丸山 孝仁</t>
  </si>
  <si>
    <t>宮本 拓実</t>
  </si>
  <si>
    <t>八重樫 快己01</t>
  </si>
  <si>
    <t>山口 徹01</t>
  </si>
  <si>
    <t>山口 みつ子01</t>
  </si>
  <si>
    <t>山口 みなみ</t>
  </si>
  <si>
    <t>山下 紗和01</t>
  </si>
  <si>
    <t>山下 春樹01</t>
  </si>
  <si>
    <t>山本 椋太</t>
  </si>
  <si>
    <t>吉田 直生</t>
  </si>
  <si>
    <t>阿部 達也01</t>
  </si>
  <si>
    <t>荒尾 恵太</t>
  </si>
  <si>
    <t>安蔵 幸弥</t>
  </si>
  <si>
    <t>内田 聡之</t>
  </si>
  <si>
    <t>内海 悠達</t>
  </si>
  <si>
    <t>笠井 誠次</t>
  </si>
  <si>
    <t>梶應 佳史01</t>
  </si>
  <si>
    <t>木村 竜介</t>
  </si>
  <si>
    <t>香西 貴文</t>
  </si>
  <si>
    <t>佐々木 佳奈</t>
  </si>
  <si>
    <t>鈴木 遥香01</t>
  </si>
  <si>
    <t>鈴木 璃音</t>
  </si>
  <si>
    <t>祖川 日菜子</t>
  </si>
  <si>
    <t>高橋 那弥</t>
  </si>
  <si>
    <t>田久保 昌樹01</t>
  </si>
  <si>
    <t>遠山 知里</t>
  </si>
  <si>
    <t>德本 可奈子01</t>
  </si>
  <si>
    <t>長瀬 寛明</t>
  </si>
  <si>
    <t>西川 浩平01</t>
  </si>
  <si>
    <t>西原 賀永</t>
  </si>
  <si>
    <t>野口 真羽</t>
  </si>
  <si>
    <t>野坂 健斗</t>
  </si>
  <si>
    <t>橋本 剛志</t>
  </si>
  <si>
    <t>長谷部 里奈</t>
  </si>
  <si>
    <t>林 亜虎</t>
  </si>
  <si>
    <t>番匠谷 拓実</t>
  </si>
  <si>
    <t>藤原 郊大</t>
  </si>
  <si>
    <t>松岡 進</t>
  </si>
  <si>
    <t>松川 翔太01</t>
  </si>
  <si>
    <t>松本 祥三01</t>
  </si>
  <si>
    <t>松山 浩之</t>
  </si>
  <si>
    <t>宮木 哲</t>
  </si>
  <si>
    <t>村上 琴夏</t>
  </si>
  <si>
    <t>村橋 万里</t>
  </si>
  <si>
    <t>森島 志旺</t>
  </si>
  <si>
    <t>山地 秀典</t>
  </si>
  <si>
    <t>山下 彪生</t>
  </si>
  <si>
    <t>山本 裕司</t>
  </si>
  <si>
    <t>山本 祐輔</t>
  </si>
  <si>
    <t>芦川 倫子01</t>
  </si>
  <si>
    <t>芦川 倫子</t>
  </si>
  <si>
    <t>天野 亨</t>
  </si>
  <si>
    <t>石井 真人01</t>
  </si>
  <si>
    <t>石田 潤一郎</t>
  </si>
  <si>
    <t>伊藤 ひなの</t>
  </si>
  <si>
    <t>井上 智祥</t>
  </si>
  <si>
    <t>上田 倫</t>
  </si>
  <si>
    <t>上野 邦彦</t>
  </si>
  <si>
    <t>大塚 みどり</t>
  </si>
  <si>
    <t>岡村 凌兵</t>
  </si>
  <si>
    <t>織田 美穂</t>
  </si>
  <si>
    <t>小田原 博紀</t>
  </si>
  <si>
    <t>海出 勇気</t>
  </si>
  <si>
    <t>加々見 佳奈01</t>
  </si>
  <si>
    <t>掛橋 絵加01</t>
  </si>
  <si>
    <t>片山 章則01</t>
  </si>
  <si>
    <t>川上 由紀子01</t>
  </si>
  <si>
    <t>川口 由惟01</t>
  </si>
  <si>
    <t>川田 和輝</t>
  </si>
  <si>
    <t>齋藤 幸兵01</t>
  </si>
  <si>
    <t>迫田 和樹</t>
  </si>
  <si>
    <t>佐藤 良雄</t>
  </si>
  <si>
    <t>白幡 隼之介</t>
  </si>
  <si>
    <t>新出 雄大</t>
  </si>
  <si>
    <t>菅波 麻由子</t>
  </si>
  <si>
    <t>高柳 勇太01</t>
  </si>
  <si>
    <t>田村 創</t>
  </si>
  <si>
    <t>中井 快昌</t>
  </si>
  <si>
    <t>長尾 穂乃香</t>
  </si>
  <si>
    <t>長尾 優花</t>
  </si>
  <si>
    <t>中川 均</t>
  </si>
  <si>
    <t>中野 信之介</t>
  </si>
  <si>
    <t>滑 修一</t>
  </si>
  <si>
    <t>原 唯香01</t>
  </si>
  <si>
    <t>平尾 和也</t>
  </si>
  <si>
    <t>藤木 梨紗</t>
  </si>
  <si>
    <t>益子 大輝01</t>
  </si>
  <si>
    <t>望月 龍司</t>
  </si>
  <si>
    <t>山口 翔平</t>
  </si>
  <si>
    <t>渡邊 大貴01</t>
  </si>
  <si>
    <t>足立 里空01</t>
  </si>
  <si>
    <t>阿部 俊一</t>
  </si>
  <si>
    <t>生田 和美</t>
  </si>
  <si>
    <t>石戸谷 奈々01</t>
  </si>
  <si>
    <t>井出 勇二</t>
  </si>
  <si>
    <t>内海 係治</t>
  </si>
  <si>
    <t>長内 幸太郎</t>
  </si>
  <si>
    <t>小田桐 龍之介</t>
  </si>
  <si>
    <t>小沼 一紀01</t>
  </si>
  <si>
    <t>後藤 崇史01</t>
  </si>
  <si>
    <t>後藤 崇史</t>
  </si>
  <si>
    <t>小林 美優</t>
  </si>
  <si>
    <t>近藤 天平01</t>
  </si>
  <si>
    <t>近藤 天平</t>
  </si>
  <si>
    <t>迫田 和樹01</t>
  </si>
  <si>
    <t>髙棟 雄斗01</t>
  </si>
  <si>
    <t>谷口 雛野</t>
  </si>
  <si>
    <t>多留 充礼</t>
  </si>
  <si>
    <t>眞砂 幸</t>
  </si>
  <si>
    <t>増田 由佳</t>
  </si>
  <si>
    <t>松村 健一01</t>
  </si>
  <si>
    <t>松村 健一</t>
  </si>
  <si>
    <t>村松 昌樹</t>
  </si>
  <si>
    <t>森元 香子</t>
  </si>
  <si>
    <t>山口 愛子</t>
  </si>
  <si>
    <t>安部 真規子01</t>
  </si>
  <si>
    <t>五十嵐 香奈子</t>
  </si>
  <si>
    <t>伊東 泰成01</t>
  </si>
  <si>
    <t>小野瀬 宏01</t>
  </si>
  <si>
    <t>粕谷 誠01</t>
  </si>
  <si>
    <t>粕谷 誠</t>
  </si>
  <si>
    <t>片桐 翔太</t>
  </si>
  <si>
    <t>川崎 太輝</t>
  </si>
  <si>
    <t>川瀬 あゆみ</t>
  </si>
  <si>
    <t>河村 玲奈</t>
  </si>
  <si>
    <t>金 怡玥</t>
  </si>
  <si>
    <t>國武 意宙</t>
  </si>
  <si>
    <t>倉持 瑞穂</t>
  </si>
  <si>
    <t>黒岩 裕太</t>
  </si>
  <si>
    <t>五郡 優</t>
  </si>
  <si>
    <t>佐久間 拓也</t>
  </si>
  <si>
    <t>佐藤 あや</t>
  </si>
  <si>
    <t>佐藤 有斗</t>
  </si>
  <si>
    <t>嶋脇 真樹</t>
  </si>
  <si>
    <t>杉井 馨</t>
  </si>
  <si>
    <t>杉原 加代子</t>
  </si>
  <si>
    <t>鈴木 彩加01</t>
  </si>
  <si>
    <t>鈴木 智貴</t>
  </si>
  <si>
    <t>鈴木 正範</t>
  </si>
  <si>
    <t>関 学01</t>
  </si>
  <si>
    <t>高月 崇光</t>
  </si>
  <si>
    <t>高橋 希次</t>
  </si>
  <si>
    <t>田中 彩希</t>
  </si>
  <si>
    <t>田中 将貴01</t>
  </si>
  <si>
    <t>鶴原 美穂</t>
  </si>
  <si>
    <t>中川 幸紀</t>
  </si>
  <si>
    <t>西崎 靖弘01</t>
  </si>
  <si>
    <t>萩野 泰至</t>
  </si>
  <si>
    <t>畠山 大希</t>
  </si>
  <si>
    <t>福島 信一郎</t>
  </si>
  <si>
    <t>福森 航輔</t>
  </si>
  <si>
    <t>船橋 拡考01</t>
  </si>
  <si>
    <t>本多 恵美子</t>
  </si>
  <si>
    <t>松岡 裕大</t>
  </si>
  <si>
    <t>水船 健司</t>
  </si>
  <si>
    <t>水船 翔太01</t>
  </si>
  <si>
    <t>三原 優輝01</t>
  </si>
  <si>
    <t>三輪 幸寛</t>
  </si>
  <si>
    <t>安田 有香</t>
  </si>
  <si>
    <t>栁澤 亜古</t>
  </si>
  <si>
    <t>山元 ほるん</t>
  </si>
  <si>
    <t>山脇 直人</t>
  </si>
  <si>
    <t>横田 大樹01</t>
  </si>
  <si>
    <t>芳田 耕平</t>
  </si>
  <si>
    <t>米倉 文緒</t>
  </si>
  <si>
    <t>青木 勇樹01</t>
  </si>
  <si>
    <t>芦澤 夏紀</t>
  </si>
  <si>
    <t>池田 脩吾</t>
  </si>
  <si>
    <t>伊藤 匡翼</t>
  </si>
  <si>
    <t>伊藤 星詩瑠</t>
  </si>
  <si>
    <t>大藪 修平01</t>
  </si>
  <si>
    <t>奥山 太樹01</t>
  </si>
  <si>
    <t>掛井 歩01</t>
  </si>
  <si>
    <t>掛井 歩</t>
  </si>
  <si>
    <t>酒井 大智</t>
  </si>
  <si>
    <t>佐藤 寧々</t>
  </si>
  <si>
    <t>佐藤 元軌</t>
  </si>
  <si>
    <t>杉本 千彰</t>
  </si>
  <si>
    <t>鈴木 太生雄</t>
  </si>
  <si>
    <t>平 成美01</t>
  </si>
  <si>
    <t>平 成美</t>
  </si>
  <si>
    <t>但木 友紀子01</t>
  </si>
  <si>
    <t>田端 真有</t>
  </si>
  <si>
    <t>袴田 奈実01</t>
  </si>
  <si>
    <t>林 正吾</t>
  </si>
  <si>
    <t>前田 江里奈01</t>
  </si>
  <si>
    <t>松島 知哉</t>
  </si>
  <si>
    <t>宮城 伸明01</t>
  </si>
  <si>
    <t>村上 晋司01</t>
  </si>
  <si>
    <t>妻鹿 太郎</t>
  </si>
  <si>
    <t>青柳 佑奈</t>
  </si>
  <si>
    <t>阿部 一燈</t>
  </si>
  <si>
    <t>荒尾 恵太01</t>
  </si>
  <si>
    <t>石川 秦也</t>
  </si>
  <si>
    <t>磯崎 良</t>
  </si>
  <si>
    <t>稲垣 和芳</t>
  </si>
  <si>
    <t>今村 真由美</t>
  </si>
  <si>
    <t>林 貞佑</t>
  </si>
  <si>
    <t>Umezono Amanda01</t>
  </si>
  <si>
    <t>浦本 美輝</t>
  </si>
  <si>
    <t>海野 拓</t>
  </si>
  <si>
    <t>大石 万里花</t>
  </si>
  <si>
    <t>小笠原 悠太</t>
  </si>
  <si>
    <t>岡本 和樹01</t>
  </si>
  <si>
    <t>長田 大和01</t>
  </si>
  <si>
    <t>粕谷 俊介01</t>
  </si>
  <si>
    <t>川田 吉雄</t>
  </si>
  <si>
    <t>北畑 洸明01</t>
  </si>
  <si>
    <t>金 叡ウォン</t>
  </si>
  <si>
    <t>木村 京香</t>
  </si>
  <si>
    <t>木村 友希恵01</t>
  </si>
  <si>
    <t>小谷 久俊</t>
  </si>
  <si>
    <t>小西 誠01</t>
  </si>
  <si>
    <t>佐藤 克樹</t>
  </si>
  <si>
    <t>新町 隼人</t>
  </si>
  <si>
    <t>杉本 英</t>
  </si>
  <si>
    <t>高橋 睦01</t>
  </si>
  <si>
    <t>高橋 愛華</t>
  </si>
  <si>
    <t>滝澤 奏菜01</t>
  </si>
  <si>
    <t>武田 圭介01</t>
  </si>
  <si>
    <t>谷川 純平01</t>
  </si>
  <si>
    <t>丹 尚貴</t>
  </si>
  <si>
    <t>築地 宏法</t>
  </si>
  <si>
    <t>塗 植瀚</t>
  </si>
  <si>
    <t>中 記子</t>
  </si>
  <si>
    <t>登里 倫行</t>
  </si>
  <si>
    <t>箱崎 道隆01</t>
  </si>
  <si>
    <t>橋野 哲</t>
  </si>
  <si>
    <t>橋場 雄伍</t>
  </si>
  <si>
    <t>橋本 剛志01</t>
  </si>
  <si>
    <t>早川 由香里</t>
  </si>
  <si>
    <t>東 明宏01</t>
  </si>
  <si>
    <t>藤本 克明</t>
  </si>
  <si>
    <t>細川 哲哉</t>
  </si>
  <si>
    <t>堀内 陽斗</t>
  </si>
  <si>
    <t>美濃 龍之介</t>
  </si>
  <si>
    <t>宮川 智貴</t>
  </si>
  <si>
    <t>村瀬 敦哉</t>
  </si>
  <si>
    <t>茂木 拓己</t>
  </si>
  <si>
    <t>安島 良介</t>
  </si>
  <si>
    <t>安田 光德01</t>
  </si>
  <si>
    <t>山地 秀典01</t>
  </si>
  <si>
    <t>山田 悠人01</t>
  </si>
  <si>
    <t>吉野 倫郎</t>
  </si>
  <si>
    <t>若友 利枝子</t>
  </si>
  <si>
    <t>渡邉 広希01</t>
  </si>
  <si>
    <t>アニス 沙羅</t>
  </si>
  <si>
    <t>アニス</t>
  </si>
  <si>
    <t>沙羅</t>
  </si>
  <si>
    <t>あにす</t>
  </si>
  <si>
    <t>sarah.annis.ts</t>
  </si>
  <si>
    <t>sarah.annis.ts@m-winc.vc</t>
  </si>
  <si>
    <t>石井 耀士</t>
  </si>
  <si>
    <t>耀士</t>
  </si>
  <si>
    <t>akito.ishii.ts</t>
  </si>
  <si>
    <t>akito.ishii.ts@mixi.co.jp</t>
  </si>
  <si>
    <t>岩崎 雄太</t>
  </si>
  <si>
    <t>yuta.iwasaki</t>
  </si>
  <si>
    <t>yuta.iwasaki@netdreamers.co.jp</t>
  </si>
  <si>
    <t>大沼 杏里</t>
  </si>
  <si>
    <t>杏里</t>
  </si>
  <si>
    <t>あんり</t>
  </si>
  <si>
    <t>anri.onuma</t>
  </si>
  <si>
    <t>anri.onuma@mixi.co.jp</t>
  </si>
  <si>
    <t>菊地 諒眞</t>
  </si>
  <si>
    <t>諒眞</t>
  </si>
  <si>
    <t>ryoma.kikuchi</t>
  </si>
  <si>
    <t>ryoma.kikuchi@m-chariloto.com</t>
  </si>
  <si>
    <t>玄場 悠介01</t>
  </si>
  <si>
    <t>悠介01</t>
  </si>
  <si>
    <t>yusuke.gemba.01</t>
  </si>
  <si>
    <t>yusuke.gemba.01@m-chariloto-ps.com</t>
  </si>
  <si>
    <t>小林 優誠</t>
  </si>
  <si>
    <t>優誠</t>
  </si>
  <si>
    <t>ゆうせい</t>
  </si>
  <si>
    <t>yusei.kobayashi.ts</t>
  </si>
  <si>
    <t>yusei.kobayashi.ts@mixi.co.jp</t>
  </si>
  <si>
    <t>酒井 智規01</t>
  </si>
  <si>
    <t>智規01</t>
  </si>
  <si>
    <t>tomonori.sakai.01</t>
  </si>
  <si>
    <t>tomonori.sakai.01@m-chariloto-ps.com</t>
  </si>
  <si>
    <t>笹川 剛史01</t>
  </si>
  <si>
    <t>剛史01</t>
  </si>
  <si>
    <t>takafumi.sasakawa.01</t>
  </si>
  <si>
    <t>takafumi.sasakawa.01@m-chariloto-ps.com</t>
  </si>
  <si>
    <t>中前 すみれ01</t>
  </si>
  <si>
    <t>すみれ01</t>
  </si>
  <si>
    <t>sumire.nakamae.01</t>
  </si>
  <si>
    <t>sumire.nakamae.01@m-chariloto-ps.com</t>
  </si>
  <si>
    <t>野澤 知徳01</t>
  </si>
  <si>
    <t>知徳01</t>
  </si>
  <si>
    <t>kazunori.nozawa.01</t>
  </si>
  <si>
    <t>kazunori.nozawa.01@m-chariloto-ps.com</t>
  </si>
  <si>
    <t>福井 翔悟</t>
  </si>
  <si>
    <t>shogo.fukui.ts</t>
  </si>
  <si>
    <t>shogo.fukui.ts@netdreamers.co.jp</t>
  </si>
  <si>
    <t>福田 悠貴01</t>
  </si>
  <si>
    <t>悠貴01</t>
  </si>
  <si>
    <t>yuki.fukuda.01.ts</t>
  </si>
  <si>
    <t>yuki.fukuda.01.ts@mixi.co.jp</t>
  </si>
  <si>
    <t>松野 佑紀</t>
  </si>
  <si>
    <t>佑紀</t>
  </si>
  <si>
    <t>yuki.matsuno</t>
  </si>
  <si>
    <t>yuki.matsuno@netdreamers.co.jp</t>
  </si>
  <si>
    <t>松山 浩之01</t>
  </si>
  <si>
    <t>浩之01</t>
  </si>
  <si>
    <t>hiroyuki.matsuyama.01</t>
  </si>
  <si>
    <t>hiroyuki.matsuyama.01@m-chariloto.com</t>
  </si>
  <si>
    <t>和島 昴瑠</t>
  </si>
  <si>
    <t>和島</t>
  </si>
  <si>
    <t>昴瑠</t>
  </si>
  <si>
    <t>わじま</t>
  </si>
  <si>
    <t>subaru.wajima</t>
  </si>
  <si>
    <t>subaru.wajima@netdreamers.co.jp</t>
  </si>
  <si>
    <t>現在の部署名/再編先</t>
  </si>
  <si>
    <t>子会社として存続しています。</t>
  </si>
  <si>
    <t>情報が見つかりませんでした。</t>
  </si>
  <si>
    <t>2010年時点の部署であり、現在は存在しません。</t>
  </si>
  <si>
    <t>コーポレートデベロップメント本部 投資事業部</t>
  </si>
  <si>
    <t>「コーポレートデベロップメント本部」内の「投資事業部」へ再編されました。</t>
  </si>
  <si>
    <t>モンスト事業部 (機能移管後)</t>
  </si>
  <si>
    <t>2016年3月に廃止され、その機能は当時のモンストスタジオなどを経て、現在のモンスト事業部へ再編されたと考えられます。</t>
  </si>
  <si>
    <t>2016年3月に廃止されており、その機能は当時のモンストスタジオなどに引き継がれた後、現在のモンスト事業部へ再編されたと考えられます。</t>
  </si>
  <si>
    <t>ユーザーサポート関連の機能は「CS本部」に集約されました。</t>
  </si>
  <si>
    <t>CS本部 (CS部/CX部)</t>
  </si>
  <si>
    <t>「CS本部」内の「CS部」や「CX部」に再編されたと推測されます。</t>
  </si>
  <si>
    <t>事業推進部 / 各事業部</t>
  </si>
  <si>
    <t>全社的なアライアンス機能は「事業推進部」などへ、各事業に紐づくアライアンスは各事業部へ移管されたと推測されます。</t>
  </si>
  <si>
    <t>スポーツ関連事業は「スポーツ事業部」として再編されました。</t>
  </si>
  <si>
    <t>廃止（機能は関連部署へ移管）</t>
  </si>
  <si>
    <t>2023年時点では存在しましたが、その後の再編で解体され、機能は関連部署へ移管されたようです。</t>
  </si>
  <si>
    <t>XFLAGブランドのMIXI本体への統合に伴い、開発機能が「開発本部」へ集約されました。</t>
  </si>
  <si>
    <t>新規事業開発機能が「コーポレートデベロップメント本部」に統合されたと考えられます。</t>
  </si>
  <si>
    <t>法務・知財本部 / コンプライアンス本部 / はたらく環境推進本部 など</t>
  </si>
  <si>
    <t>管理部門の機能が専門化し、複数の本部に再編されました。</t>
  </si>
  <si>
    <t>対象外（部署名ではない）</t>
  </si>
  <si>
    <t>部署名ではないため、組織再編の対象外です。</t>
  </si>
  <si>
    <t>事業部・室(正式名称)</t>
  </si>
  <si>
    <t>事業本部(正式名称)</t>
  </si>
  <si>
    <t>要約</t>
  </si>
  <si>
    <t>【退職】【業】10/31 10/31 minimo事業部 轟 愛理子</t>
  </si>
  <si>
    <t>【退職】【業】11/28 11/30 ｿｰｼｬﾙﾍﾞｯﾃｨﾝｸﾞ事業本部 櫻井 輝樹</t>
  </si>
  <si>
    <t>【退職】【業】10/31 10/31 小甲 裕司</t>
  </si>
  <si>
    <t>【退職】【業】10/31 10/31 Vantageスタジオ 山田 百合子</t>
  </si>
  <si>
    <t>ﾀﾞﾐｰ株式会社ﾁｬﾘﾛﾄﾌﾟﾗｻﾞｻｰﾋﾞｽ</t>
  </si>
  <si>
    <t>【退職】【正】10/10 10/10 チャリロトプラザサービス 登里 倫行</t>
  </si>
  <si>
    <t>【退職】【ア】2025/10/31 高柳 勇太01</t>
  </si>
  <si>
    <t>【退職】【ア】10/31 10/31 人事本部 三原 優輝01</t>
  </si>
  <si>
    <t>【退職】【ア】10/31 10/31 人事本部 青木 勇樹01</t>
  </si>
  <si>
    <t>【退職】【ア】10/31 10/31 人事本部 足立 里空01</t>
  </si>
  <si>
    <t>【退職】【業】10/10　10/31 ﾃﾞｼﾞﾀﾙｴﾝﾀｰﾃｲﾝﾒﾝﾄｵﾍﾟﾚｰｼｮﾝｽﾞ本部 平尾 和也</t>
  </si>
  <si>
    <t>【退職】【正】01/17 11/13 姜 少眞</t>
  </si>
  <si>
    <t>【退職】【正】12/12 12/12 コーポレートデベロップメント本部 萩原 稜太</t>
  </si>
  <si>
    <t>【退職】【ア】12/15 12/15 門田 瑞貴</t>
  </si>
  <si>
    <t>【退職】【業】10/31 10/31 はたらく環境推進本部  石川 昴</t>
  </si>
  <si>
    <t>【退職】【業】10/31 10/31 田﨑 陽士</t>
  </si>
  <si>
    <t>【退職】【業】10/31 10/31 経営推進本部 佐藤 有斗</t>
  </si>
  <si>
    <t>【退職】【業】10/31  10/31 ｿｰｼｬﾙﾍﾞｯﾃｨﾝｸﾞ事業本部 山本 椋太</t>
  </si>
  <si>
    <t>【退職】【派】11/10 11/10 ｻｰﾋﾞｽ推進開発本部 伊藤ひなの</t>
  </si>
  <si>
    <t>【退職】【業】10/29 10/31 はたらく環境推進本部 春山 直輝a</t>
  </si>
  <si>
    <t>【退職】【業】10/31 10/31 相良 康介</t>
  </si>
  <si>
    <t>【退職】【正】10/15 10/31 山口 あゆみ</t>
  </si>
  <si>
    <t>【退職】【正】11/18 01/31 山田 千紗</t>
  </si>
  <si>
    <t>【退職】【正】10/14 10/22 菅 緑</t>
  </si>
  <si>
    <t>沼野将英</t>
  </si>
  <si>
    <t>【退職】【業】09/30 09/30 沼野 将英</t>
  </si>
  <si>
    <t>細谷萌</t>
  </si>
  <si>
    <t>【退職】【正】9/27 09/30 チャリロトプラザサービス 細谷 萌</t>
  </si>
  <si>
    <t>山下敏和</t>
  </si>
  <si>
    <t>【退職】【業】2025/09/30 2025/09/30 山下 敏和</t>
  </si>
  <si>
    <t>駒木秀光</t>
  </si>
  <si>
    <t>【退職】【業】2025/09/30 2025/09/30 駒木 秀光</t>
  </si>
  <si>
    <t>渡邉舞01</t>
  </si>
  <si>
    <t>【退職】【業】2025/09/30 2025/09/30 渡邉 舞01</t>
  </si>
  <si>
    <t>矢野真吾01</t>
  </si>
  <si>
    <t>【退職】【業】2025/09/30 2025/09/30 矢野 真吾01</t>
  </si>
  <si>
    <t>堀田夕紀01</t>
  </si>
  <si>
    <t>【退職】【業】2025/09/30 2025/09/30 堀田 夕紀01</t>
  </si>
  <si>
    <t>星野港人01</t>
  </si>
  <si>
    <t>【退職】【業】2025/09/30 2025/09/30 星野 港人01</t>
  </si>
  <si>
    <t>長倉礼01</t>
  </si>
  <si>
    <t>【退職】【業】2025/09/30 2025/09/30 長倉 礼01</t>
  </si>
  <si>
    <t>甲斐達也01</t>
  </si>
  <si>
    <t>【退職】【業】2025/09/30 2025/09/30 甲斐 達也01</t>
  </si>
  <si>
    <t>市川紅希01</t>
  </si>
  <si>
    <t>【退職】【業】2025/09/30 2025/09/30 市川 紅希01</t>
  </si>
  <si>
    <t>平紘輝01</t>
  </si>
  <si>
    <t>【退職】【業】2025/09/30 2025/09/30 平 紘輝01</t>
  </si>
  <si>
    <t>中神大司01</t>
  </si>
  <si>
    <t>【退職】【業】2025/09/30 2025/09/30 中神 大司01</t>
  </si>
  <si>
    <t>【退職】【業】10/31 10/31 辻畑 孝信</t>
  </si>
  <si>
    <t>近藤舞</t>
  </si>
  <si>
    <t>【退職】【業】09/30 09/30 近藤 舞</t>
  </si>
  <si>
    <t>古澤明日香</t>
  </si>
  <si>
    <t>【退職】【業】09/30 09/30 古澤 明日香</t>
  </si>
  <si>
    <t>稲本祐香</t>
  </si>
  <si>
    <t>【退職】【派】9/30 9/30 稲本 祐香</t>
  </si>
  <si>
    <t>【退職】【業】10/31 10/31 金子 みゆきa</t>
  </si>
  <si>
    <t>【退職】【正】10/22 10/31 尹 晟榕</t>
  </si>
  <si>
    <t>鶴巻有理</t>
  </si>
  <si>
    <t>【退職】【正】  8/14 9/29 鶴巻 有理</t>
  </si>
  <si>
    <t>林依真里</t>
  </si>
  <si>
    <t>【退職】【業】09/30 09/30 ｿｰｼｬﾙﾍﾞｯﾃｨﾝｸﾞ事業本部 林 依真里</t>
  </si>
  <si>
    <t>林田一海</t>
  </si>
  <si>
    <t>【退職】【業】2025/09/30 2025/09/30 Vantageスタジオ 林田 一海</t>
  </si>
  <si>
    <t>工藤蒼太</t>
  </si>
  <si>
    <t>【退職】【業】 9/30 9/30 はたらく環境推進本部 工藤 蒼太</t>
  </si>
  <si>
    <t>甲斐朝治</t>
  </si>
  <si>
    <t>【退職】【業】2025/09/30 2025/09/30 Vantageスタジオ 甲斐 朝治</t>
  </si>
  <si>
    <t>吉田俊太</t>
  </si>
  <si>
    <t>【退職】【業】09/30 09/30 吉田 俊太</t>
  </si>
  <si>
    <t>古田雅也</t>
  </si>
  <si>
    <t>【退職】【業】09/30 09/30 古田 雅也</t>
  </si>
  <si>
    <t>濵田翔真01</t>
  </si>
  <si>
    <t>【退職】【ア】9/30 9/30 人事本部 濵田 翔真01</t>
  </si>
  <si>
    <t>羽田野武蔵01</t>
  </si>
  <si>
    <t>【退職】【ア】9/30 9/30 人事本部 羽田野 武蔵01</t>
  </si>
  <si>
    <t>甲斐悠碁01</t>
  </si>
  <si>
    <t>【退職】【業】9/30 9/30 甲斐 悠碁01</t>
  </si>
  <si>
    <t>田村公</t>
  </si>
  <si>
    <t>【退職】【業】9/26 9/26 田村 公</t>
  </si>
  <si>
    <t>青井凜01</t>
  </si>
  <si>
    <t>【退職】【正】09/04 09/30 チャリロトプラザサービス 青井 凜01</t>
  </si>
  <si>
    <t>ﾀﾞﾐｰ株式会社ﾁｬﾘ･ﾛﾄ</t>
  </si>
  <si>
    <t>青井凜</t>
  </si>
  <si>
    <t>【退職】【正】09/04 09/30 チャリ・ロト 青井 凜</t>
  </si>
  <si>
    <t>阿部友紀01</t>
  </si>
  <si>
    <t>【退職】【派】09/30 09/30 阿部 友紀01</t>
  </si>
  <si>
    <t>小野茂秋</t>
  </si>
  <si>
    <t>【退職】【業】9/30 9/30 はたらく環境推進本部 小野 茂秋</t>
  </si>
  <si>
    <t>中里久美</t>
  </si>
  <si>
    <t>【退職】【派】9/22　9/30　サービス推進開発本部　中里 久美（ND）</t>
  </si>
  <si>
    <t>武田圭介</t>
  </si>
  <si>
    <t>【退職】【業】9/30 9/30 武田 圭介</t>
  </si>
  <si>
    <t>小林楓画</t>
  </si>
  <si>
    <t>【退職】【業】9/30 9/30 小林 楓画</t>
  </si>
  <si>
    <t>東明宏</t>
  </si>
  <si>
    <t>【退職】【正】9/30 9/30 東 明宏</t>
  </si>
  <si>
    <t>塚崎梓</t>
  </si>
  <si>
    <t>【退職】【派】09/19 09/19 チャリ・ロト 塚崎 梓</t>
  </si>
  <si>
    <t>宮村誠</t>
  </si>
  <si>
    <t>【退職】【正】9/18 9/30 ソーシャルベッティング事業本部 宮村 誠</t>
  </si>
  <si>
    <t>梅園アマンダ</t>
  </si>
  <si>
    <t>【退職】【正】9/30 9/30 梅園 アマンダ</t>
  </si>
  <si>
    <t>北畑洸明</t>
  </si>
  <si>
    <t>【退職】【ア】09/30 09/30 北畑 洸明</t>
  </si>
  <si>
    <t>渡邊真由美</t>
  </si>
  <si>
    <t>【退職】【派】9/17 9/30 渡邊 真由美</t>
  </si>
  <si>
    <t>株式会社ﾁｬﾘ･ﾛﾄ</t>
  </si>
  <si>
    <t>小西誠</t>
  </si>
  <si>
    <t>【退職】【正】10/03 10/03 チャリ・ロト 小西 誠</t>
  </si>
  <si>
    <t>高橋睦</t>
  </si>
  <si>
    <t>【退職】【派】9/30　9/30　ﾃﾞｼﾞﾀﾙｴﾝﾀｰﾃｲﾝﾒﾝﾄｵﾍﾟﾚｰｼｮﾝｽﾞ本部　高橋 睦</t>
  </si>
  <si>
    <t>株式会社ﾗﾌﾞｸﾞﾗﾌ</t>
  </si>
  <si>
    <t>久保田麻衣子</t>
  </si>
  <si>
    <t>【退職】【業】09/30 09/30 久保田 麻衣子</t>
  </si>
  <si>
    <t>ﾀﾞﾐｰ株式会社ﾗﾌﾞｸﾞﾗﾌ</t>
  </si>
  <si>
    <t>鈴木結衣01</t>
  </si>
  <si>
    <t>【退職】【ア】09/19 09/19 鈴木 結衣01</t>
  </si>
  <si>
    <t>木村花梨</t>
  </si>
  <si>
    <t>【退職】【業】09/12 09/12 木村 花梨</t>
  </si>
  <si>
    <t>岩木博久</t>
  </si>
  <si>
    <t>【退職】【業】9/29　9/30　サービス推進開発本部　岩木 博久</t>
  </si>
  <si>
    <t>小野勝志</t>
  </si>
  <si>
    <t>【退職】【業】 9/30　9/30　サービス推進開発本部　小野 勝志（ND）</t>
  </si>
  <si>
    <t>中山帆渚美</t>
  </si>
  <si>
    <t>【退職】【派】9/30　9/30　ｻｰﾋﾞｽ推進開発本部　中山 帆渚美</t>
  </si>
  <si>
    <t>長田大和</t>
  </si>
  <si>
    <t>【退職】【派】9/24 9/30 長田 大和</t>
  </si>
  <si>
    <t>松岡航太</t>
  </si>
  <si>
    <t>【退職】【業】09/30 09/30 ｿｰｼｬﾙﾍﾞｯﾃｨﾝｸﾞ事業本部 松岡 航太</t>
  </si>
  <si>
    <t>小玉萌可</t>
  </si>
  <si>
    <t>【退職】【業】09/30 09/30 ｿｰｼｬﾙﾍﾞｯﾃｨﾝｸﾞ事業本部 小玉 萌可</t>
  </si>
  <si>
    <t>【退職】【業】10/15 10/15 デジタルエンターテインメントオペレーションズ本部 佐藤 恒太</t>
  </si>
  <si>
    <t>藤本麻衣</t>
  </si>
  <si>
    <t>【退職】【業】09/29 09/30 藤本 麻衣</t>
  </si>
  <si>
    <t>末永貴嗣</t>
  </si>
  <si>
    <t xml:space="preserve"> 【退職】【業】09/30 09/30 末永 貴嗣</t>
  </si>
  <si>
    <t>村松健太郎</t>
  </si>
  <si>
    <t>【退職】【業】09/25 09/30 村松 健太郎</t>
  </si>
  <si>
    <t>髙橋沙織</t>
  </si>
  <si>
    <t>【退職】【業】9/30　9/30　ﾃﾞｼﾞﾀﾙｴﾝﾀｰﾃｲﾝﾒﾝﾄｵﾍﾟﾚｰｼｮﾝｽﾞ本部　髙橋 沙織</t>
  </si>
  <si>
    <t>【退職】【正】9/30 10/31 SB本部 鈴木 進吾</t>
  </si>
  <si>
    <t>須藤裕嗣</t>
  </si>
  <si>
    <t xml:space="preserve">【退職】【業】9/19 9/19 須藤 裕嗣 </t>
  </si>
  <si>
    <t>高橋	健一</t>
  </si>
  <si>
    <t>【退職】【正】09/30 09/30 チャリ・ロト 高橋 健一</t>
  </si>
  <si>
    <t>園田	佑介</t>
  </si>
  <si>
    <t>【退職】【正】09/18 09/30 チャリ・ロト 園田 佑介</t>
  </si>
  <si>
    <t>今田美玲</t>
  </si>
  <si>
    <t>【退職】【業】9/30 9/30 人事本部 今田 美玲</t>
  </si>
  <si>
    <t>安達優哉</t>
  </si>
  <si>
    <t>【退職】【業】9/30 9/30 人事本部 安達 優哉</t>
  </si>
  <si>
    <t xml:space="preserve"> 株式会社picon</t>
  </si>
  <si>
    <t>上野匠海</t>
  </si>
  <si>
    <t>【退職】【業】09/30 09/30 上野 匠海</t>
  </si>
  <si>
    <t>住谷駿</t>
  </si>
  <si>
    <t>【退職】【派】9/12 9/30 住谷 駿</t>
  </si>
  <si>
    <t>山本拓摩01</t>
  </si>
  <si>
    <t>【退職】【ア】9/30 9/30 人事本部 山本 拓摩01</t>
  </si>
  <si>
    <t>櫻井絵理香01</t>
  </si>
  <si>
    <t>【退職】【ア】9/30 9/30 人事本部 櫻井 絵理香01</t>
  </si>
  <si>
    <t>舟橋凌01</t>
  </si>
  <si>
    <t>【退職】【ア】9/26 9/26 人事本部 舟橋 凌01</t>
  </si>
  <si>
    <t>内藤夕貴</t>
  </si>
  <si>
    <t>【退職】【派】9/30 9/30 内藤 夕貴</t>
  </si>
  <si>
    <t>加藤芹奈</t>
  </si>
  <si>
    <t>【退職】【派】2025/9/19 2025/09/30 加藤 芹奈</t>
  </si>
  <si>
    <t>小山聖</t>
  </si>
  <si>
    <t>【退職】【業】2025/09/30 2025/09/30 小山 聖</t>
  </si>
  <si>
    <t>遠藤一哲</t>
  </si>
  <si>
    <t>【退職】【業】2025/09/30 2025/09/30 遠藤 一哲</t>
  </si>
  <si>
    <t>尾方草太</t>
  </si>
  <si>
    <t>【退職】【正】2024/10/11 2025/09/07 開発本部 尾方 草太</t>
  </si>
  <si>
    <t>大川直美</t>
  </si>
  <si>
    <t>【退職】【派】9/30 9/30 人事本部 大川 直美</t>
  </si>
  <si>
    <t>谷内仁美</t>
  </si>
  <si>
    <t>【退職】【業】9/9　9/30　ライブエクスペリエンス事業本部　谷内 仁美</t>
  </si>
  <si>
    <t>中本慧思01</t>
  </si>
  <si>
    <t>【退職】【ア】09/10 09/10 人事本部 中本 慧思01</t>
  </si>
  <si>
    <t>安齊康介01</t>
  </si>
  <si>
    <t>【退職】【ア】09/10 09/10 人事本部 安齊 康介01</t>
  </si>
  <si>
    <t>市川和01</t>
  </si>
  <si>
    <t>【退職】【ア】09/05 09/05 人事本部 市川 和01</t>
  </si>
  <si>
    <t xml:space="preserve">映像＆編集部        </t>
  </si>
  <si>
    <t xml:space="preserve">netkeiba事業本部              </t>
  </si>
  <si>
    <t>菅野陽菜01</t>
  </si>
  <si>
    <t>【退職】【ア】08/29 08/31 菅野 陽菜01</t>
  </si>
  <si>
    <t xml:space="preserve">競輪事業部   </t>
  </si>
  <si>
    <t xml:space="preserve">メディア&amp;ベッティング事業本部                  </t>
  </si>
  <si>
    <t>宮本稜也01</t>
  </si>
  <si>
    <t>【退職】【ア】08/29 08/31 宮本 稜也01</t>
  </si>
  <si>
    <t>田代一馬</t>
  </si>
  <si>
    <t>【退職】【業】8/29  8/31 コーポレートデベロップメント本部 田代 一馬</t>
  </si>
  <si>
    <t>浅野大我a</t>
  </si>
  <si>
    <t>【退職】【業】9/8 9/10 浅野 大我a</t>
  </si>
  <si>
    <t>前田江里奈</t>
  </si>
  <si>
    <t>【退職】【派】08/29 08/31 前田 江里奈</t>
  </si>
  <si>
    <t>本村魁都01</t>
  </si>
  <si>
    <t>【退職】【ア】08/29 08/31 コマース事業部 本村 魁都01</t>
  </si>
  <si>
    <t xml:space="preserve"> 広告&amp;ソリューション事業部 </t>
  </si>
  <si>
    <t>坂井琥太01</t>
  </si>
  <si>
    <t>【退職】【ア】08/29 08/31 広告&amp;ソリューション事業部 坂井 琥太01</t>
  </si>
  <si>
    <t>小髙沙織</t>
  </si>
  <si>
    <t>【退職】【契】9/17 9/30 CS本部 小髙 沙織</t>
  </si>
  <si>
    <t>池上智之</t>
  </si>
  <si>
    <t>【退職】【業】08/29 08/31 池上 智之</t>
  </si>
  <si>
    <t>荒井浩希</t>
  </si>
  <si>
    <t>【退職】【業】08/29 08/31 荒井 浩希</t>
  </si>
  <si>
    <t>西方智晃a</t>
  </si>
  <si>
    <t>【退職】【業】08/29 08/31 西方 智晃a</t>
  </si>
  <si>
    <t>石橋俊季01</t>
  </si>
  <si>
    <t>【退職】【ア】08/28 08/31 石橋 俊季01（ND）</t>
  </si>
  <si>
    <t>林春</t>
  </si>
  <si>
    <t>【退職】【業】2025/08/29 2025/08/31 Vantageスタジオ 林 春</t>
  </si>
  <si>
    <t>佐藤光那</t>
  </si>
  <si>
    <t>【退職】【契】08/15 09/30 MIXI EMPOWERMENT 佐藤 光那</t>
  </si>
  <si>
    <t>柏木結衣</t>
  </si>
  <si>
    <t>【退職】【業】9/26 9/30 柏木 結衣</t>
  </si>
  <si>
    <t>大井玲央</t>
  </si>
  <si>
    <t>【退職】【業】9/19 9/30 大井 玲央</t>
  </si>
  <si>
    <t>石橋佳奈</t>
  </si>
  <si>
    <t>【退職】【業】8/29 8/31 石橋 佳奈</t>
  </si>
  <si>
    <t>宮﨑義規</t>
  </si>
  <si>
    <t>【退職】【業】8/29 8/31 宮﨑 義規</t>
  </si>
  <si>
    <t>【退職】【派】08/29 08/31 巽 小夜子</t>
  </si>
  <si>
    <t>【退職】【正】9/11 10/31 竹尾 さくら</t>
  </si>
  <si>
    <t>早坂翔太</t>
  </si>
  <si>
    <t>【退職】【業】8/29 8/31 早坂 翔太</t>
  </si>
  <si>
    <t>小泉圭一</t>
  </si>
  <si>
    <t xml:space="preserve"> 【退職】【正】2025/09/08 2025/09/30 人事本部 小泉 圭一</t>
  </si>
  <si>
    <t>白石寧々子</t>
  </si>
  <si>
    <t>【退職】【業】08/29 08/31 デジタルエンターテインメントオペレーションズ本部 白石 寧々子</t>
  </si>
  <si>
    <t>飯田真弥</t>
  </si>
  <si>
    <t>【退職】【業】2025/8/26 2025/8/29 飯田 真弥</t>
  </si>
  <si>
    <t>二階堂啓史a</t>
  </si>
  <si>
    <t>【退職】【業】08/29 08/31 二階堂 啓史a</t>
  </si>
  <si>
    <t>黒澤明広</t>
  </si>
  <si>
    <t>【退職】【業】9/30　9/30　ﾃﾞｼﾞﾀﾙｴﾝﾀｰﾃｲﾝﾒﾝﾄｵﾍﾟﾚｰｼｮﾝｽﾞ本部　黒澤 明広</t>
  </si>
  <si>
    <t>工藤基成</t>
  </si>
  <si>
    <t>【退職】【業】9/30　9/30　ﾃﾞｼﾞﾀﾙｴﾝﾀｰﾃｲﾝﾒﾝﾄｵﾍﾟﾚｰｼｮﾝｽﾞ本部　工藤 基成</t>
  </si>
  <si>
    <t>佐藤里佳</t>
  </si>
  <si>
    <t>【退職】【派】8/26 8/31 人事本部 佐藤 里佳</t>
  </si>
  <si>
    <t>徳弘美香</t>
  </si>
  <si>
    <t>【退職】【業】8/28 8/28 徳弘 美香</t>
  </si>
  <si>
    <t>渡辺隆基</t>
  </si>
  <si>
    <t>【退職】【正】8/22 9/30 コーポレートファイナンス本部 渡辺 隆基</t>
  </si>
  <si>
    <t>小谷野咲季</t>
  </si>
  <si>
    <t>【退職】【正】03/21 08/31 みてね事業本部 小谷野 咲季</t>
  </si>
  <si>
    <t>佐々木健吾</t>
  </si>
  <si>
    <t>【退職】【正】08/25 09/30 佐々木 健吾</t>
  </si>
  <si>
    <t>小野瀬宏</t>
  </si>
  <si>
    <t>【退職】【業】 08/28 08/31 小野瀬 宏</t>
  </si>
  <si>
    <t>瀬川秀人01</t>
  </si>
  <si>
    <t>【退職】【ア】08/15 08/15 瀬川 秀人01（ND）</t>
  </si>
  <si>
    <t>竹口恵理香01</t>
  </si>
  <si>
    <t>【退職】【ア】08/15 08/15 竹口 恵理香01（ND）</t>
  </si>
  <si>
    <t>安田光徳</t>
  </si>
  <si>
    <t>【退職】【業】9/26 9/30 デザイン本部 安田 光徳</t>
  </si>
  <si>
    <t>湯本修平</t>
  </si>
  <si>
    <t>【退職】【正】8/12 8/31 チャリ・ロト 湯本 修平</t>
  </si>
  <si>
    <t>影山勇太</t>
  </si>
  <si>
    <t>【退職】【正】08/12 09/30 影山 勇太</t>
  </si>
  <si>
    <t>鈴木大輝b</t>
  </si>
  <si>
    <t>【退職】【業】07/31  7/31 人事本部 鈴木 大輝b</t>
  </si>
  <si>
    <t>【退職】【業】08/31 08/31 石井 真人01</t>
  </si>
  <si>
    <t>今井純子</t>
  </si>
  <si>
    <t>【退職】【正】08/08 09/30 サービス推進部 今井 純子</t>
  </si>
  <si>
    <t>溝渕雄基</t>
  </si>
  <si>
    <t>【退職】【業】08/05 08/08 溝渕 雄基</t>
  </si>
  <si>
    <t>中森創太</t>
  </si>
  <si>
    <t>【退職】【正】2025/08/08 2025/08/31 みてね事業本部 中森 創太</t>
  </si>
  <si>
    <t>髙木夏美</t>
  </si>
  <si>
    <t>【退職】【正】 8/29 9/30 Vantageスタジオ 髙木 夏美</t>
  </si>
  <si>
    <t>太田葵</t>
  </si>
  <si>
    <t>【退職】【契】8/12 8/31 CS本部 太田 葵</t>
  </si>
  <si>
    <t>八田敏之</t>
  </si>
  <si>
    <t>【退職】【契約】08/01 08/01 チャリロトプラザサービス 八田 敏之</t>
  </si>
  <si>
    <t>宮下公武</t>
  </si>
  <si>
    <t>【退職】【正】07/08 08/16 宮下 公武</t>
  </si>
  <si>
    <t>長妻弘規</t>
  </si>
  <si>
    <t>【退職】【業】7/31　7/31　サービス推進開発本部　長妻 弘規（ND）</t>
  </si>
  <si>
    <t>川上由紀子b</t>
  </si>
  <si>
    <t>【退職】【業】07/31 07/31 デザイン本部 川上 由紀子b</t>
  </si>
  <si>
    <t>吉田祐輔</t>
  </si>
  <si>
    <t>【退職】【業】7/31　7/31　ﾃﾞｼﾞﾀﾙｴﾝﾀｰﾃｲﾝﾒﾝﾄｵﾍﾟﾚｰｼｮﾝｽﾞ本部　吉田 祐輔</t>
  </si>
  <si>
    <t>橋本博輝01</t>
  </si>
  <si>
    <t>【退職】【ア】07/25 07/25 人事本部 橋本 博輝01</t>
  </si>
  <si>
    <t>岡安邦彦</t>
  </si>
  <si>
    <t>【退職】【業】07/16 07/16 人事本部 岡安 邦彦</t>
  </si>
  <si>
    <t>小澤拓海</t>
  </si>
  <si>
    <t>【退職】【正】08/25 09/30 セキュリティ室 小澤 拓海</t>
  </si>
  <si>
    <t>宮内優維</t>
  </si>
  <si>
    <t>【退職】【正】7/18 7/31 チャリ・ロト 宮内 優維</t>
  </si>
  <si>
    <t>ﾀﾞﾐｰ株式会社ｽﾌｨﾀﾞﾝﾃ</t>
  </si>
  <si>
    <t>加藤弘子</t>
  </si>
  <si>
    <t>【退職 】【正】7/17 7/31 スフィダンテ 加藤 弘子</t>
  </si>
  <si>
    <t>樋口鉄朗a</t>
  </si>
  <si>
    <t>【退職】【正】2025/07/15 2025/08/15 minimo事業部 樋口 鉄朗a</t>
  </si>
  <si>
    <t>加藤由美</t>
  </si>
  <si>
    <t>【退職】【業】07/18 07/18 minimo事業部 加藤 由美</t>
  </si>
  <si>
    <t>田中祐一</t>
  </si>
  <si>
    <t>【退職】【正】2025/7/18 2025/9/15 コーポレートデベロップメント本部 田中 祐一</t>
  </si>
  <si>
    <t>ソーシャルベッディング事業本部</t>
  </si>
  <si>
    <t>源啓多</t>
  </si>
  <si>
    <t>【退職】【正】7/11 08/04 SB本部 源 啓多</t>
  </si>
  <si>
    <t>テイヨウハン</t>
  </si>
  <si>
    <t>【退職】【業】7/28 7/31 テイ ヨウハン</t>
  </si>
  <si>
    <t>長島未来弥</t>
  </si>
  <si>
    <t>【退職】【正】08/22 08/31 みてね事業本部 長島 未来弥</t>
  </si>
  <si>
    <t>中村拓哉b</t>
  </si>
  <si>
    <t>【退職】【業】07/31 07/31 デジタルエンターテインメントオペレーションズ本部 中村 拓哉b</t>
  </si>
  <si>
    <t>白土彩音a</t>
  </si>
  <si>
    <t>【退職】【業】07/31 07/31 デジタルエンターテインメントオペレーションズ本部 白土 彩音a</t>
  </si>
  <si>
    <t>渡邉正樹</t>
  </si>
  <si>
    <t>【退職】【業】7/31 7/31 デジタルエンターテインメントオペレーションズ本部 渡邉 正樹</t>
  </si>
  <si>
    <t>辻彰平</t>
  </si>
  <si>
    <t>※重複のため対応なし※【退職】【正】7/9 8/31 辻 彰平</t>
  </si>
  <si>
    <t>荒山賢</t>
  </si>
  <si>
    <t>【退職】【業】07/31 07/31 荒山 賢</t>
  </si>
  <si>
    <t>【退職】【正】07/09 08/31 CS本部 辻 彰平</t>
  </si>
  <si>
    <t>星野彩花</t>
  </si>
  <si>
    <t>【退職】【業】7/29　7/29 ﾃﾞｼﾞﾀﾙｴﾝﾀｰﾃｲﾝﾒﾝﾄｵﾍﾟﾚｰｼｮﾝｽﾞ本部 星野 彩花</t>
  </si>
  <si>
    <t>今渕祥平</t>
  </si>
  <si>
    <t>【退職 】【正】6/30 6/30 スフィダンテ 今渕 祥平</t>
  </si>
  <si>
    <t>関学</t>
  </si>
  <si>
    <t>【退職】【業】6/30 6/30 関 学</t>
  </si>
  <si>
    <t>桂城伸明</t>
  </si>
  <si>
    <t>【退職】【業】6/30 6/30 桂城 伸明</t>
  </si>
  <si>
    <t>宍戸唯衣01</t>
  </si>
  <si>
    <t>【退職】【業】6/30 6/30 ラブグラフ 宍戸 唯衣01</t>
  </si>
  <si>
    <t>園田晃章a</t>
  </si>
  <si>
    <t>【退職】【業】6/30 6/30 ｿｰｼｬﾙﾍﾞｯﾃｨﾝｸﾞ事業本部 園田 晃章a</t>
  </si>
  <si>
    <t>石井聡</t>
  </si>
  <si>
    <t>【退職】【業】7/1 7/1 石井 聡</t>
  </si>
  <si>
    <t>渡邊周一郎</t>
  </si>
  <si>
    <t>【退職】【業】7/1 7/1 渡邊 周一郎</t>
  </si>
  <si>
    <t>松原大知</t>
  </si>
  <si>
    <t>【退職】【業】7/1 7/1 松原 大知</t>
  </si>
  <si>
    <t>高橋遥大</t>
  </si>
  <si>
    <t>【退職】【業】7/1 7/1 高橋 遥大</t>
  </si>
  <si>
    <t>森田昌憲</t>
  </si>
  <si>
    <t>【退職】【業】7/1 7/1 森田 昌憲</t>
  </si>
  <si>
    <t>コーポレートITエンジニアリング部</t>
  </si>
  <si>
    <t>鹿子聡</t>
  </si>
  <si>
    <t>【退職】【業】2025/06/27 2025/06/27 鹿子 聡</t>
  </si>
  <si>
    <t>【退職】【業】06/30 06/30 ﾃﾞｼﾞﾀﾙｴﾝﾀｰﾃｲﾝﾒﾝﾄｵﾍﾟﾚｰｼｮﾝｽﾞ本部 石田 潤一郎</t>
  </si>
  <si>
    <t>古田貴之</t>
  </si>
  <si>
    <t>【退職】【業】6/30 6/30 経営推進本部 古田 貴之</t>
  </si>
  <si>
    <t>馬場哲</t>
  </si>
  <si>
    <t>【退職】【業】07/29 07/31 馬場 哲</t>
  </si>
  <si>
    <t>八木健夫</t>
  </si>
  <si>
    <t>【退職】【派】07/31 07/31 八木 健夫</t>
  </si>
  <si>
    <t>佐藤美月</t>
  </si>
  <si>
    <t>【退職】【業】07/01 07/01 ｿｰｼｬﾙﾍﾞｯﾃｨﾝｸﾞ事業本部 佐藤 美月</t>
  </si>
  <si>
    <t>林恭平</t>
  </si>
  <si>
    <t>【退職】【業】07/30 07/31 デジタルエンターテインメントオペレーションズ本部 林 恭平</t>
  </si>
  <si>
    <t>【退職】【正】06/30 06/30 デジタルエンターテインメントオペレーションズ本部 吉村 順也</t>
  </si>
  <si>
    <t>【退職】【正】06/30 06/30 ﾃﾞｼﾞﾀﾙｴﾝﾀｰﾃｲﾝﾒﾝﾄｵﾍﾟﾚｰｼｮﾝｽﾞ本部 吉村 順也</t>
  </si>
  <si>
    <t xml:space="preserve">広告＆ソリューション事業部 </t>
  </si>
  <si>
    <t xml:space="preserve">DXパートナー事業本部 </t>
  </si>
  <si>
    <t>黒川真樹</t>
  </si>
  <si>
    <t>【退職】【業】6/30 06/30 黒川 真樹</t>
  </si>
  <si>
    <t>矢島小百合</t>
  </si>
  <si>
    <t>【退職】【業】6/30 6/30 矢島 小百合</t>
  </si>
  <si>
    <t>原唯香</t>
  </si>
  <si>
    <t>【退職】【業】6/30 6/30　デジタルエンターテインメントオペレーションズ本部 原 唯香</t>
  </si>
  <si>
    <t>永吉力旺01</t>
  </si>
  <si>
    <t>【退職】【業】6/27 6/27 はたらく環境推進本部 永吉 力旺01</t>
  </si>
  <si>
    <t>長谷川智明</t>
  </si>
  <si>
    <t>【退職】【業】6/27 6/30 はたらく環境推進本部 長谷川 智明</t>
  </si>
  <si>
    <t>元沢遼</t>
  </si>
  <si>
    <t>【退職】【業】2025/06/30 2025/06/30 Vantageスタジオ 元沢 遼</t>
  </si>
  <si>
    <t>藤丸将輝</t>
  </si>
  <si>
    <t>【退職】【業】2025/06/27 2025/06/30 Vantageスタジオ 藤丸 将輝</t>
  </si>
  <si>
    <t xml:space="preserve">制作部	</t>
  </si>
  <si>
    <t xml:space="preserve">ｻｰﾋﾞｽ推進開発本部	</t>
  </si>
  <si>
    <t>澤井直輝</t>
  </si>
  <si>
    <t>【退職】【業】6/30 6/30 ｻｰﾋﾞｽ推進開発本部 澤井 直輝</t>
  </si>
  <si>
    <t>徐由</t>
  </si>
  <si>
    <t>【退職】【業】06/30 06/30　ｺﾝﾌﾟﾗｲｱﾝｽ本部　徐 由</t>
  </si>
  <si>
    <t xml:space="preserve">開発部	</t>
  </si>
  <si>
    <t>永田大祐</t>
  </si>
  <si>
    <t>【退職】【業】6/30 6/30 ｻｰﾋﾞｽ推進開発本部 永田 大祐</t>
  </si>
  <si>
    <t>仁村かれん</t>
  </si>
  <si>
    <t>【退職】【正】07/07 07/07 コンプライアンス本部 仁村 かれん</t>
  </si>
  <si>
    <t xml:space="preserve"> 事業戦略部</t>
  </si>
  <si>
    <t>平松伊代</t>
  </si>
  <si>
    <t>【退職】【業】06/30 06/30 デジタルエンターテインメントオペレーションズ本部 平松 伊代</t>
  </si>
  <si>
    <t>益子大輝</t>
  </si>
  <si>
    <t>【退職】【業】7/31 7/31 ラブグラフ 益子 大輝</t>
  </si>
  <si>
    <t>盖佳麗</t>
  </si>
  <si>
    <t>【退職】【業】6/30 6/30 盖 佳麗</t>
  </si>
  <si>
    <t>石戸谷奈々</t>
  </si>
  <si>
    <t>【退職】 【業】 06/27 06/30 開発本部 たんぽぽ室 石戸谷 奈々</t>
  </si>
  <si>
    <t>渡邉直人b</t>
  </si>
  <si>
    <t>【退職】【業】06/27 06/30 開発本部 たんぽぽ室 渡邉 直人b</t>
  </si>
  <si>
    <t>HovankyDavid</t>
  </si>
  <si>
    <t>【退職】【業】6/30 6/30 Hovanky David</t>
  </si>
  <si>
    <t>田中舘里美</t>
  </si>
  <si>
    <t>【退職】【派】6/30 6/30 チャリ・ロト 田中舘 里美</t>
  </si>
  <si>
    <t>洪嘉優01</t>
  </si>
  <si>
    <t>【退職】【業】06/27 06/30 洪 嘉優01</t>
  </si>
  <si>
    <t>齊藤翼01</t>
  </si>
  <si>
    <t>【退職】【業】6/30 6/30 齊藤 翼01</t>
  </si>
  <si>
    <t xml:space="preserve">みてねﾌﾟﾛﾀﾞｸﾄ開発部 </t>
  </si>
  <si>
    <t xml:space="preserve">みてね事業本部 </t>
  </si>
  <si>
    <t>赤窄菜留実</t>
  </si>
  <si>
    <t>【退職】【業】6/30 6/30 赤窄 菜留実</t>
  </si>
  <si>
    <t>横瀬歩</t>
  </si>
  <si>
    <t>【退職】【派】6/30 6/30 サービス推進開発本部 横瀬 歩</t>
  </si>
  <si>
    <t>明間隆</t>
  </si>
  <si>
    <t>【退職】【業】06/30 06/30 人事本部 明間 隆</t>
  </si>
  <si>
    <t>LX事業本部</t>
  </si>
  <si>
    <t>小山史竜</t>
  </si>
  <si>
    <t>【退職】6/18 6/30 小山 史竜</t>
  </si>
  <si>
    <t>堀内恵美</t>
  </si>
  <si>
    <t>【退職】【派】06/19 06/19 堀内 恵美</t>
  </si>
  <si>
    <t>高津戸均</t>
  </si>
  <si>
    <t>【退職】【正】6/25 6/30 チャリ・ロト 高津戸 均</t>
  </si>
  <si>
    <t>横田大毅</t>
  </si>
  <si>
    <t>【退職】【正】06/13 07/31 コーポレートデベロップメント本部 横田 大毅</t>
  </si>
  <si>
    <t>安部真規子</t>
  </si>
  <si>
    <t>【退職】【契】8/29 8/31 SB本部 安部 真規子</t>
  </si>
  <si>
    <t>セキュリティ室（本部格）</t>
  </si>
  <si>
    <t>野村敬太</t>
  </si>
  <si>
    <t>【退職】【正】 07/16 08/31 セキュリティ室（本部格） 野村 敬太</t>
  </si>
  <si>
    <t>堀智一</t>
  </si>
  <si>
    <t>【退職】【業】2025/06/11 2025/06/11 堀 智一</t>
  </si>
  <si>
    <t xml:space="preserve">管理部	</t>
  </si>
  <si>
    <t xml:space="preserve">経営管理本部	</t>
  </si>
  <si>
    <t>越後綾</t>
  </si>
  <si>
    <t>【退職】【業】6/30 6/30 経営管理本部 越後 綾</t>
  </si>
  <si>
    <t>井ノ上すみれ01</t>
  </si>
  <si>
    <t>【退職】【ア】6/30 6/30 人事本部 井ノ上 すみれ01</t>
  </si>
  <si>
    <t>吉崎玖美01</t>
  </si>
  <si>
    <t>【退職】【ア】6/26 6/26 人事本部 吉崎 玖美01</t>
  </si>
  <si>
    <t>廣瀬翔梧</t>
  </si>
  <si>
    <t>【退職】【業】6/30　6/30 ﾃﾞｼﾞﾀﾙｴﾝﾀｰﾃｲﾝﾒﾝﾄｵﾍﾟﾚｰｼｮﾝｽﾞ本部 廣瀬 翔梧</t>
  </si>
  <si>
    <t>森琢郎</t>
  </si>
  <si>
    <t>【退職】【正】6/9 6/9 netkeiba事業本部 森 琢郎</t>
  </si>
  <si>
    <t>多田陽介</t>
  </si>
  <si>
    <t>【退職】【派】6/16　6/16　ｻｰﾋﾞｽ推進開発本部　多田 陽介（ND）</t>
  </si>
  <si>
    <t>三神賢一郎</t>
  </si>
  <si>
    <t>【退職】【正】6/20 7/31 三神 賢一郎</t>
  </si>
  <si>
    <t>重田直人</t>
  </si>
  <si>
    <t>【退職】【業】6/9 6/13 チャリ・ロト 重田 直人</t>
  </si>
  <si>
    <t>佐藤博a</t>
  </si>
  <si>
    <t>【退職】【業】6/30 6/30 佐藤 博a</t>
  </si>
  <si>
    <t>大澤弘之</t>
  </si>
  <si>
    <t>【退職】【役員】06/26 06/26 大澤 弘之</t>
  </si>
  <si>
    <t>嶋聡</t>
  </si>
  <si>
    <t>【退職】【役員】06/26 06/26 嶋 聡</t>
  </si>
  <si>
    <t>齋藤博人</t>
  </si>
  <si>
    <t>【退職】【業】6/30 6/30 デザイン本部 齋藤 博人</t>
  </si>
  <si>
    <t>飯島毅</t>
  </si>
  <si>
    <t>【退職】【業】06/30 06/30 デジタルエンターテインメントオペレーションズ本部 飯島 毅</t>
  </si>
  <si>
    <t>岩瀬良介</t>
  </si>
  <si>
    <t>【退職】【業】6/27 6/30 ﾃﾞｼﾞﾀﾙｴﾝﾀｰﾃｲﾝﾒﾝﾄｵﾍﾟﾚｰｼｮﾝｽﾞ本部 岩瀬 良介</t>
  </si>
  <si>
    <t>AriasFrancisco</t>
  </si>
  <si>
    <t>【退職】【業】6/5 6/5 DXパートナー事業本部 Arias Francisco</t>
  </si>
  <si>
    <t>猪子敏行</t>
  </si>
  <si>
    <t>【退職】【正】2025/07/30 2025/07/31 猪子 敏行</t>
  </si>
  <si>
    <t>美濃圭佑</t>
  </si>
  <si>
    <t>【退職】【正】06/26 06/30 美濃 圭佑</t>
  </si>
  <si>
    <t>洞田愛美</t>
  </si>
  <si>
    <t>【退職】【業】6/4 6/4 人事本部 洞田 愛美</t>
  </si>
  <si>
    <t>オウシシン</t>
  </si>
  <si>
    <t>【退職】【正】06/06 06/30 デジタルエンターテインメントオペレーションズ本部 オウ シシン</t>
  </si>
  <si>
    <t>小澤友里</t>
  </si>
  <si>
    <t>【退職】【業】5/27　5/29 ﾃﾞｼﾞﾀﾙｴﾝﾀｰﾃｲﾝﾒﾝﾄｵﾍﾟﾚｰｼｮﾝｽﾞ本部 小澤 友里</t>
  </si>
  <si>
    <t>チャントレーシーa</t>
  </si>
  <si>
    <t>【退職】【業】05/30 05/30 チャン トレーシーa</t>
  </si>
  <si>
    <t>平澤誠司</t>
  </si>
  <si>
    <t>【退職】【業務】6/6 6/6 デジタルエンターテインメントオペレーションズ本部　平澤 誠司</t>
  </si>
  <si>
    <t>秋山周平a</t>
  </si>
  <si>
    <t>【退職】【業】6/3 6/3 開発本部 秋山 周平a</t>
  </si>
  <si>
    <t>安藤加奈</t>
  </si>
  <si>
    <t>【退職】【正】04/01 07/08 安藤 加奈</t>
  </si>
  <si>
    <t>小林知優</t>
  </si>
  <si>
    <t>【退職】【業】5/30 5/30 はたらく環境推進本部 小林 知優</t>
  </si>
  <si>
    <t>満武萌子</t>
  </si>
  <si>
    <t>【退職】【派】5/14 5/20 人事本部 満武 萌子</t>
  </si>
  <si>
    <t>新井田彩穂里a</t>
  </si>
  <si>
    <t>【退職】【業】05/30 05/31 新井田 彩穂里a</t>
  </si>
  <si>
    <t>松坂潤</t>
  </si>
  <si>
    <t>【退職】【正】5/28 6/30 チャリ・ロト 松坂 潤</t>
  </si>
  <si>
    <t>舛田紀子</t>
  </si>
  <si>
    <t>【退職】【派】5/30 5/31 チャリ・ロト 舛田 紀子</t>
  </si>
  <si>
    <t>高島方達</t>
  </si>
  <si>
    <t>【退職】【正】07/11 07/31  高島 方達</t>
  </si>
  <si>
    <t>樽井裕人</t>
  </si>
  <si>
    <t>【退職】【正】07/31 07/31 サービス推進部 樽井 裕人</t>
  </si>
  <si>
    <t>村島正浩</t>
  </si>
  <si>
    <t>【退職】【業】5/26 5/26 はたらく環境推進本部 村島 正浩</t>
  </si>
  <si>
    <t>芝将平</t>
  </si>
  <si>
    <t>【退職】【正】6/6 7/14 芝 将平</t>
  </si>
  <si>
    <t>佐々木泰之</t>
  </si>
  <si>
    <t>【退職】【業】5/30 5/31 佐々木 泰之</t>
  </si>
  <si>
    <t>天野朱音</t>
  </si>
  <si>
    <t>【退職】【業】06/20 06/20 デザイン本部 天野 朱音</t>
  </si>
  <si>
    <t>尾野貴志</t>
  </si>
  <si>
    <t>【退職】【派】05/29 05/31 尾野 貴志</t>
  </si>
  <si>
    <t>箕輪知夏</t>
  </si>
  <si>
    <t>【退職】【業】05/20 05/20 デザイン本部 箕輪 知夏</t>
  </si>
  <si>
    <t>徳森海斗</t>
  </si>
  <si>
    <t>【退職】【正】05/15 07/10 徳森 海斗</t>
  </si>
  <si>
    <t>木村仁美</t>
  </si>
  <si>
    <t>【退職】【派】6/30 6/30 経営管理本部 木村 仁美</t>
  </si>
  <si>
    <t>小野奏子</t>
  </si>
  <si>
    <t>【退職】【業】06/30 06/30 デザイン本部 小野 奏子</t>
  </si>
  <si>
    <t>浅沼拓志</t>
  </si>
  <si>
    <t>【退職】【正】06/30 06/30 浅沼 拓志</t>
  </si>
  <si>
    <t>星野港人</t>
  </si>
  <si>
    <t>【退職】【業】2025/05/15 2025/05/15 星野 港人</t>
  </si>
  <si>
    <t>市川紅希</t>
  </si>
  <si>
    <t>【退職】【業】2025/05/15 2025/05/15 市川 紅希</t>
  </si>
  <si>
    <t>渡邉舞a</t>
  </si>
  <si>
    <t>【退職】【業】2025/05/15 2025/05/15 渡邉 舞a</t>
  </si>
  <si>
    <t>矢野真吾</t>
  </si>
  <si>
    <t>【退職】【業】2025/05/15 2025/05/15 矢野 真吾</t>
  </si>
  <si>
    <t>堀田夕紀</t>
  </si>
  <si>
    <t>【退職】【業】2025/05/15 2025/05/15 堀田 夕紀</t>
  </si>
  <si>
    <t>永吉力旺</t>
  </si>
  <si>
    <t>【退職】【業】2025/05/15 2025/05/15 永吉 力旺</t>
  </si>
  <si>
    <t>長倉礼</t>
  </si>
  <si>
    <t>【退職】【業】2025/05/15 2025/05/15 長倉 礼</t>
  </si>
  <si>
    <t>中神大司</t>
  </si>
  <si>
    <t>【退職】【業】2025/05/15 2025/05/15 中神 大司</t>
  </si>
  <si>
    <t>平紘輝</t>
  </si>
  <si>
    <t>【退職】【業】2025/05/15 2025/05/15 平 紘輝</t>
  </si>
  <si>
    <t>甲斐達也</t>
  </si>
  <si>
    <t>【退職】【業】2025/05/15 2025/05/15 甲斐 達也</t>
  </si>
  <si>
    <t>阪本愛子</t>
  </si>
  <si>
    <t>【退職】【ア】05/15 05/15 阪本 愛子</t>
  </si>
  <si>
    <t>浜田恭平</t>
  </si>
  <si>
    <t>【退職】【正】04/16 04/30 みてね事業本部 浜田 恭平</t>
  </si>
  <si>
    <t>高井亮一</t>
  </si>
  <si>
    <t>【退職】【業】05/15 05/15 デジタルエンターテインメントオペレーションズ本部 高井 亮一</t>
  </si>
  <si>
    <t>室星亮太</t>
  </si>
  <si>
    <t>【退職】【業】4/30 4/30 室星 亮太</t>
  </si>
  <si>
    <t>平島裕司郎</t>
  </si>
  <si>
    <t>【退職】【業】04/30 04/30 はたらく環境推進本部 平島 裕司郎</t>
  </si>
  <si>
    <t>田代和也</t>
  </si>
  <si>
    <t>【退職】【業】04/30 04/30 はたらく環境推進本部 田代 和也</t>
  </si>
  <si>
    <t>鶴原誠也</t>
  </si>
  <si>
    <t>【退職】【業】04/30 04/30 はたらく環境推進本部 鶴原 誠也</t>
  </si>
  <si>
    <t>櫻林賢治</t>
  </si>
  <si>
    <t>【退職】【業】04/30 04/30 はたらく環境推進本部 櫻林 賢治</t>
  </si>
  <si>
    <t>鴨川隆司</t>
  </si>
  <si>
    <t>【退職】 【業】4/30 4/30 ﾃﾞｼﾞﾀﾙｴﾝﾀｰﾃｲﾝﾒﾝﾄｵﾍﾟﾚｰｼｮﾝｽﾞ本部 鴨川 隆司</t>
  </si>
  <si>
    <t>紺野俊輔</t>
  </si>
  <si>
    <t>【退職】【業】4/30 4/30　紺野 俊輔</t>
  </si>
  <si>
    <t>横塚貴将</t>
  </si>
  <si>
    <t>【退職】【正】05/21 06/30 内部監査室 横塚 貴将</t>
  </si>
  <si>
    <t>冨田有香</t>
  </si>
  <si>
    <t>【退職】【派】2025/4/24 2025/4/30 コーポレートデベロップメント本部 冨田 有香</t>
  </si>
  <si>
    <t>阿部金矢</t>
  </si>
  <si>
    <t>【退職】【業】4/23 4/30 阿部 金矢</t>
  </si>
  <si>
    <t>田所洋</t>
  </si>
  <si>
    <t>【退職】【業】4/23 4/30 田所 洋</t>
  </si>
  <si>
    <t>藤村弘也</t>
  </si>
  <si>
    <t>【退職】【業】4/23 4/30 藤村 弘也</t>
  </si>
  <si>
    <t>塚原匡</t>
  </si>
  <si>
    <t>【退職】【正】07/31 07/31 塚原 匡</t>
  </si>
  <si>
    <t>中川峰志a</t>
  </si>
  <si>
    <t>【退職】【業】4/28 4/30 中川 峰志a</t>
  </si>
  <si>
    <t>権正大祐</t>
  </si>
  <si>
    <t>【退職】【業】04/30 04/30 権正 大祐</t>
  </si>
  <si>
    <t>新井毅志</t>
  </si>
  <si>
    <t>【退職】【業】04/30 04/30 新井 毅志</t>
  </si>
  <si>
    <t>三橋宣貴</t>
  </si>
  <si>
    <t>【退職】【業】4/25 4/25 三橋 宣貴</t>
  </si>
  <si>
    <t>萩原涼介</t>
  </si>
  <si>
    <t>【退職 】【正】04/30 06/30 ソーシャルベッティング事業本部 萩原 涼介</t>
  </si>
  <si>
    <t>高橋耕太郎</t>
  </si>
  <si>
    <t>【退職】【業】04/30 04/30 高橋 耕太郎</t>
  </si>
  <si>
    <t>山本七奈b</t>
  </si>
  <si>
    <t>【退職】【業】04/22 04/22 デザイン本部 山本 七奈b</t>
  </si>
  <si>
    <t>武井千賀子</t>
  </si>
  <si>
    <t>【退職】【業】04/22 04/22 デザイン本部 武井 千賀子</t>
  </si>
  <si>
    <t>河野有哉01</t>
  </si>
  <si>
    <t>【退職】【業】 2025/4/30 2025/4/30 河野 有哉01</t>
  </si>
  <si>
    <t>大倉大輝</t>
  </si>
  <si>
    <t>【退職】【派】04/30 04/30 デジタルエンターテインメントオペレーションズ本部 大倉 大輝</t>
  </si>
  <si>
    <t>丸尾一真</t>
  </si>
  <si>
    <t>【退職】【正】 ソーシャルベッティング事業本部  04/25 06/30 丸尾 一真</t>
  </si>
  <si>
    <t>チェホヨン</t>
  </si>
  <si>
    <t>【退職】【業】5/30 5/30 ﾃﾞｼﾞﾀﾙｴﾝﾀｰﾃｲﾝﾒﾝﾄｵﾍﾟﾚｰｼｮﾝｽﾞ本部 チェ ホヨン</t>
  </si>
  <si>
    <t>VemuriSrikant</t>
  </si>
  <si>
    <t>【退職】 【業】04/14 04/15 Vemuri Srikant</t>
  </si>
  <si>
    <t>浦田凌我</t>
  </si>
  <si>
    <t>【退職】【業】4/18 4/30 デジタルエンターテインメントオペレーションズ本部　浦田 凌我</t>
  </si>
  <si>
    <t>佐藤真里</t>
  </si>
  <si>
    <t>【退職 】【ア】4/17 4/17 スフィダンテ 佐藤 真里</t>
  </si>
  <si>
    <t>西寺優真</t>
  </si>
  <si>
    <t>【退職 】【ア】4/17 4/17 スフィダンテ 西寺 優真</t>
  </si>
  <si>
    <t>今野翼</t>
  </si>
  <si>
    <t>【退職 】【ア】4/17 4/17 スフィダンテ 今野 翼</t>
  </si>
  <si>
    <t>中村穂乃果</t>
  </si>
  <si>
    <t>【退職 】【ア】4/17 4/17 スフィダンテ 中村 穂乃果</t>
  </si>
  <si>
    <t>河島隆斗</t>
  </si>
  <si>
    <t>【退職 】【ア】4/17 4/17 スフィダンテ 河島 隆斗</t>
  </si>
  <si>
    <t>井ノ口裕智</t>
  </si>
  <si>
    <t>【退職 】【ア】4/17 4/17 スフィダンテ 井ノ口 裕智</t>
  </si>
  <si>
    <t>図師田優</t>
  </si>
  <si>
    <t>【退職 】【ア】4/17 4/17 スフィダンテ 図師田 優</t>
  </si>
  <si>
    <t>山田梨紗</t>
  </si>
  <si>
    <t>【退職 】【ア】4/17 4/17 スフィダンテ 山田 梨紗</t>
  </si>
  <si>
    <t>日比野祐香</t>
  </si>
  <si>
    <t>【退職】【業】4/30 4/30 日比野 祐香</t>
  </si>
  <si>
    <t>宮﨑英理子</t>
  </si>
  <si>
    <t>【退職 】【業】4/11 4/11 スフィダンテ 宮﨑 英理子</t>
  </si>
  <si>
    <t>山口みつ子</t>
  </si>
  <si>
    <t>【退職 】【業】4/11 4/11 スフィダンテ 山口 みつ子</t>
  </si>
  <si>
    <t>山崎亜希子</t>
  </si>
  <si>
    <t>【退職】【業】04/03 04/03 minimo事業部 山崎 亜希子</t>
  </si>
  <si>
    <t>みてね事業本部（Vantageｽﾀｼﾞｵ）</t>
  </si>
  <si>
    <t>伊達弘晃a</t>
  </si>
  <si>
    <t>【退職】【業】4/11 4/14 伊達 弘晃a</t>
  </si>
  <si>
    <t>古屋龍生a</t>
  </si>
  <si>
    <t>【退職】【業】4/11 4/14 古屋 龍生a</t>
  </si>
  <si>
    <t>VemuriSrikanta</t>
  </si>
  <si>
    <t>【退職】 【業】04/14 04/15 MixiAmerica Vemuri Srikanta</t>
  </si>
  <si>
    <t>大黒屋貴之</t>
  </si>
  <si>
    <t>【退職】【業】3/28 3/31 大黒屋 貴之</t>
  </si>
  <si>
    <t>藤田恵梨香</t>
  </si>
  <si>
    <t>【退職】【正】 04/04 04/30 開発本部 藤田 恵梨香</t>
  </si>
  <si>
    <t>大野莉穂a</t>
  </si>
  <si>
    <t>【退職】【業】2025/03/28 2025/03/31 minimo事業部 大野 莉穂a</t>
  </si>
  <si>
    <t>草野寛幸</t>
  </si>
  <si>
    <t>【退職】【業】03/31 03/31 minimo事業部 草野 寛幸</t>
  </si>
  <si>
    <t>上野翔太a</t>
  </si>
  <si>
    <t>【退職 】【業】3/31 3/31 スフィダンテ 上野 翔太a</t>
  </si>
  <si>
    <t>大脇遼平</t>
  </si>
  <si>
    <t>【退職】【正】05/27 05/31 大脇 遼平</t>
  </si>
  <si>
    <t>塩島正宏</t>
  </si>
  <si>
    <t>【退職】【業】3/31 3/31 netkeiba事業本部 塩島 正宏 （ND）</t>
  </si>
  <si>
    <t>二村太智</t>
  </si>
  <si>
    <t>【退職】【業】3/31 3/31 netkeiba事業本部 二村 太智（ND）</t>
  </si>
  <si>
    <t>郭泓伸a</t>
  </si>
  <si>
    <t>【退職】【業】3/31 3/31 郭 泓伸a</t>
  </si>
  <si>
    <t>ﾀﾞﾐｰ株式会社picon</t>
  </si>
  <si>
    <t>小畑奈菜</t>
  </si>
  <si>
    <t>【退職】【業】4/15 4/15 株式会社picon 小畑 奈菜</t>
  </si>
  <si>
    <t>須田健斗</t>
  </si>
  <si>
    <t>【退職】【業】3/27 3/31　ｻｰﾋﾞｽ推進開発本部　須田 健斗（ND）</t>
  </si>
  <si>
    <t>ｺﾄﾀﾞﾏﾝ事業部</t>
  </si>
  <si>
    <t>重岡峰範</t>
  </si>
  <si>
    <t>【退職】【正】03/31 03/31 重岡 峰範</t>
  </si>
  <si>
    <t>筒井海人</t>
  </si>
  <si>
    <t>【退職】【ア】03/31 03/31 筒井 海人</t>
  </si>
  <si>
    <t xml:space="preserve"> ｻｰﾋﾞｽ推進開発本部</t>
  </si>
  <si>
    <t>菅原祐弥</t>
  </si>
  <si>
    <t>【退職】【業】3/31 3/31 菅原 祐弥（ND）</t>
  </si>
  <si>
    <t>SchotteMatis</t>
  </si>
  <si>
    <t>【退職】【業】3/31 3/31 Schotte Matis</t>
  </si>
  <si>
    <t>小林里絵</t>
  </si>
  <si>
    <t>【退職】【派】03/31 03/31 小林 里絵</t>
  </si>
  <si>
    <t>奥山彩子</t>
  </si>
  <si>
    <t>【退職】【業】3/28 3/31 ﾃﾞｼﾞﾀﾙｴﾝﾀｰﾃｲﾝﾒﾝﾄｵﾍﾟﾚｰｼｮﾝｽﾞ本部　奥山 彩子</t>
  </si>
  <si>
    <t>小山雄一郎</t>
  </si>
  <si>
    <t>【退職】【役員】2025/3/31 TOKYOBAYｱﾘｰﾅﾏﾈｼﾞﾒﾝﾄ 小山 雄一郎 （TBAM）</t>
  </si>
  <si>
    <t>二井内宏之</t>
  </si>
  <si>
    <t>【退職】【役員】3/31 3/31  TOKYOBAYｱﾘｰﾅﾏﾈｼﾞﾒﾝﾄ 二井内 宏之  （TBAM）</t>
  </si>
  <si>
    <t>春日井亮火</t>
  </si>
  <si>
    <t>【退職】【業】3/31 3/31　ｻｰﾋﾞｽ推進開発本部 春日井 亮火（ND）</t>
  </si>
  <si>
    <t>山口詩織</t>
  </si>
  <si>
    <t>【退職】【派】3/17 3/31　netkeiba事業本部　山口 詩織（ND）</t>
  </si>
  <si>
    <t>江辺大基</t>
  </si>
  <si>
    <t>【退職】【正】2025/3/31 2025/3/31 TOKYOBAYｱﾘｰﾅﾏﾈｼﾞﾒﾝﾄ 江辺 大基 （TBAM）</t>
  </si>
  <si>
    <t>霜島圭</t>
  </si>
  <si>
    <t>【退職】【正】2025/3/31 2025/3/31 TOKYOBAYｱﾘｰﾅﾏﾈｼﾞﾒﾝﾄ 霜島 圭 （TBAM）</t>
  </si>
  <si>
    <t>渡辺隆之</t>
  </si>
  <si>
    <t>【退職】【派】3/31 3/31 チャリ・ロト 渡辺 隆之</t>
  </si>
  <si>
    <t>斉藤彩加a</t>
  </si>
  <si>
    <t>【退職】【派】2025/3/31 2025/3/31 投資事業推進本部 斉藤 彩加a</t>
  </si>
  <si>
    <t>中里慧介</t>
  </si>
  <si>
    <t>【退職】【正】04/25 04/30 経営推進本部 中里 慧介</t>
  </si>
  <si>
    <t>傳彩菜</t>
  </si>
  <si>
    <t>【退職】【派】03/24 03/31 傳 彩菜</t>
  </si>
  <si>
    <t>関盛光</t>
  </si>
  <si>
    <t>【退職】【業】3/31 3/31 開発本部 関 盛光</t>
  </si>
  <si>
    <t>和田ゆり</t>
  </si>
  <si>
    <t>【退職】【業】03/28 03/31 デザイン本部 和田 ゆり</t>
  </si>
  <si>
    <t>藤枝泰生</t>
  </si>
  <si>
    <t>【退職】【ア】03/28 03/28 人事本部 藤枝 泰生</t>
  </si>
  <si>
    <t>坂番祥美香</t>
  </si>
  <si>
    <t>【退職】【ア】03/28 03/31 人事本部 坂番 祥美香</t>
  </si>
  <si>
    <t>鈴木健介</t>
  </si>
  <si>
    <t>【退職】【業】3/31 3/31 人事本部 鈴木 健介</t>
  </si>
  <si>
    <t>絹川和</t>
  </si>
  <si>
    <t>【退職】【業】3/31 3/31 ﾃﾞｼﾞﾀﾙｴﾝﾀｰﾃｲﾝﾒﾝﾄｵﾍﾟﾚｰｼｮﾝｽﾞ本部 絹川 和</t>
  </si>
  <si>
    <t>デジタルエンターテイメントパブリッシング本部</t>
  </si>
  <si>
    <t>水本敦則</t>
  </si>
  <si>
    <t>【退職】【正】03/28 03/31 水本 敦則</t>
  </si>
  <si>
    <t>髙棟雄斗a</t>
  </si>
  <si>
    <t>【退職】【ア】3/31 3/31 髙棟 雄斗a</t>
  </si>
  <si>
    <t>佐久間洋</t>
  </si>
  <si>
    <t>【退職】【業】3/31 3/31 はたらく環境推進本部 佐久間 洋</t>
  </si>
  <si>
    <t>橋本昌哉</t>
  </si>
  <si>
    <t>【退職】【正】03/31 03/31 デザイン本部 橋本 昌哉</t>
  </si>
  <si>
    <t>デジタルエンターテイメントオペレーションズ本部</t>
  </si>
  <si>
    <t>戸田信作</t>
  </si>
  <si>
    <t>【退職】【正】2/28 3/5 戸田 信作</t>
  </si>
  <si>
    <t>小菅真紀子</t>
  </si>
  <si>
    <t>【退職】【派】03/28 03/31 デザイン本部 小菅 真紀子</t>
  </si>
  <si>
    <t>佐藤太洋</t>
  </si>
  <si>
    <t>【退職】【ア】3/31 3/31 人事本部 佐藤 太洋</t>
  </si>
  <si>
    <t>榎本大史</t>
  </si>
  <si>
    <t>【退職】【業】3/31　3/31　デジタルエンターテインメントオペレーションズ本部　榎本 大史</t>
  </si>
  <si>
    <t>伊賀上諒</t>
  </si>
  <si>
    <t>【退職】【業】3/27 3/27　はたらく環境推進本部　伊賀上 諒</t>
  </si>
  <si>
    <t>川口裕太郎c</t>
  </si>
  <si>
    <t>【退職】【派】03/31 03/31 デジタルエンターテインメントオペレーションズ本部 川口 裕太郎c</t>
  </si>
  <si>
    <t>小野修平</t>
  </si>
  <si>
    <t>【退職】【派】3/5 3/31　サービス推進開発本部　小野 修平（ND）</t>
  </si>
  <si>
    <t>山田沙織</t>
  </si>
  <si>
    <t>【退職】【派】3/28　3/31　経営管理本部　山田 沙織（ND）</t>
  </si>
  <si>
    <t>中山由美子</t>
  </si>
  <si>
    <t>【退職】【業】3/31 3/31  中山 由美子</t>
  </si>
  <si>
    <t>芦田夏希</t>
  </si>
  <si>
    <t>【退職】【業】03/31 03/31 芦田 夏希</t>
  </si>
  <si>
    <t>北上一徳</t>
  </si>
  <si>
    <t>【退職】【正】2025/4/30 2025/4/30 ライブエクスペリエンス事業本部 北上 一徳</t>
  </si>
  <si>
    <t>甘利悠</t>
  </si>
  <si>
    <t>【退職】【正】03/26 04/30 コンプライアンス本部 甘利 悠</t>
  </si>
  <si>
    <t>諏訪瞳</t>
  </si>
  <si>
    <t>【退職】【業】03/31 03/31 デザイン本部 諏訪 瞳</t>
  </si>
  <si>
    <t>木村友希恵</t>
  </si>
  <si>
    <t>【退職】【業】03/31 03/31 デザイン本部 木村 友希恵</t>
  </si>
  <si>
    <t>日比谷康宏</t>
  </si>
  <si>
    <t>【退職】【業】03/31 03/31 デザイン本部 日比谷 康宏</t>
  </si>
  <si>
    <t>瀬戸口朋世</t>
  </si>
  <si>
    <t>【退職】【業】03/31 03/31 デザイン本部 瀬戸口 朋世</t>
  </si>
  <si>
    <t>新城実一b</t>
  </si>
  <si>
    <t>【退職】【業】3/31 3/31 新城 実一b</t>
  </si>
  <si>
    <t>吉村佳夏</t>
  </si>
  <si>
    <t>【退職】【業】03/31 03/31 デザイン本部 吉村 佳夏</t>
  </si>
  <si>
    <t>最上かれん</t>
  </si>
  <si>
    <t>【退職】【業】03/26 03/31 デザイン本部 最上 かれん</t>
  </si>
  <si>
    <t>江渕瑠生</t>
  </si>
  <si>
    <t>【退職】【ア】3/21 3/21 人事本部 江渕 瑠生</t>
  </si>
  <si>
    <t>鈴木あゆみa</t>
  </si>
  <si>
    <t>【退職】【業】03/31 03/31 鈴木 あゆみa</t>
  </si>
  <si>
    <t>吉村匡生</t>
  </si>
  <si>
    <t>【退職】【正】03/31 03/31  吉村 匡生</t>
  </si>
  <si>
    <t>副田心</t>
  </si>
  <si>
    <t>【退職】【ア】3/26 3/31 副田 心</t>
  </si>
  <si>
    <t>濵谷健</t>
  </si>
  <si>
    <t>【退職】【派】03/31 03/31 Vantageスタジオ Romi事業部 濵谷 健</t>
  </si>
  <si>
    <t>山崎かおり</t>
  </si>
  <si>
    <t>【退職】【派】03/31 03/31 山崎 かおり</t>
  </si>
  <si>
    <t>山野一樹</t>
  </si>
  <si>
    <t>【退職】【ア】03/31 03/31 山野 一樹</t>
  </si>
  <si>
    <t>加々本雄太郎b</t>
  </si>
  <si>
    <t>【退職】【業】3/31 3/31 加々本 雄太郎b</t>
  </si>
  <si>
    <t>澤畠百花a</t>
  </si>
  <si>
    <t>【退職】【業】 03/13 03/14 澤畠 百花a</t>
  </si>
  <si>
    <t>田中宏武</t>
  </si>
  <si>
    <t>【退職】【業】3/31 3/31 田中 宏武</t>
  </si>
  <si>
    <t>馬鉢春那</t>
  </si>
  <si>
    <t>【退職】【派】3/28 3/31 ｻｰﾋﾞｽ運営開発本部 馬鉢 春那（ND）</t>
  </si>
  <si>
    <t>藤本こころ</t>
  </si>
  <si>
    <t>【退職】【派】3/7 3/7 サービス推進開発本部 藤本 こころ（ND）</t>
  </si>
  <si>
    <t>菊地孝依</t>
  </si>
  <si>
    <t>【退職】【業】3/7 3/7 サービス推進開発本部 菊地 孝依（ND）</t>
  </si>
  <si>
    <t>趙在貞a</t>
  </si>
  <si>
    <t>【退職】【業】03/27 03/31 デザイン本部 趙 在貞a</t>
  </si>
  <si>
    <t>石渡新治b</t>
  </si>
  <si>
    <t>【退職】【業】03/28 03/31 デジタルエンターテインメントオペレーションズ本部 石渡 新治b</t>
  </si>
  <si>
    <t>内田実花</t>
  </si>
  <si>
    <t>【退職】　【派】2025/03/31 2025/03/31 人事本部 内田 実花</t>
  </si>
  <si>
    <t>阿部悠輝a</t>
  </si>
  <si>
    <t>【退職】　【正】3/14 3/16 ソーシャルベッティング事業本部 阿部 悠輝a</t>
  </si>
  <si>
    <t>中村真実</t>
  </si>
  <si>
    <t>【退職】【業】3/12 3/15 デザイン本部 中村 真実</t>
  </si>
  <si>
    <t>村井野花</t>
  </si>
  <si>
    <t>【退職】【派】3/4 3/4 人事本部 村井 野花</t>
  </si>
  <si>
    <t>鍋澤俊太</t>
  </si>
  <si>
    <t>【退職】【業】04/30 04/30 鍋澤 俊太</t>
  </si>
  <si>
    <t>古野麻美</t>
  </si>
  <si>
    <t>【退職】【業】03/14 03/14 人事本部 古野 麻美</t>
  </si>
  <si>
    <t>鄭真央</t>
  </si>
  <si>
    <t>【退職】【派】3/3 3/3 チャリ・ロト 鄭 真央</t>
  </si>
  <si>
    <t>小泉真也</t>
  </si>
  <si>
    <t>【退職】【業】3/31 3/31 netkeiba事業本部 小泉 真也</t>
  </si>
  <si>
    <t>三村彩乃</t>
  </si>
  <si>
    <t>【退職】【派】3/28 3/31 人事本部 三村 彩乃</t>
  </si>
  <si>
    <t>田村海</t>
  </si>
  <si>
    <t>【退職】【派】03/26 03/31 デジタルエンターテインメントオペレーションズ本部 田村 海</t>
  </si>
  <si>
    <t>関　麻里</t>
  </si>
  <si>
    <t>【退職】【正】03/28 03/31 関 麻里</t>
  </si>
  <si>
    <t>仙台事業部</t>
  </si>
  <si>
    <t>牧野純貴</t>
  </si>
  <si>
    <t>【退職】 【契】 MIXI EMPOWERMENT03/31 03/31 牧野 純貴</t>
  </si>
  <si>
    <t>井上朝暁</t>
  </si>
  <si>
    <t>【退職】【業】03/10 03/10 ﾃﾞｼﾞﾀﾙｴﾝﾀｰﾃｲﾝﾒﾝﾄﾊﾟﾌﾞﾘｯｼﾝｸﾞ本部 井上 朝暁</t>
  </si>
  <si>
    <t>飯山優果</t>
  </si>
  <si>
    <t>【退職】【業】2/27　2/27　ライブエクスペリエンス事業本部　飯山 優果</t>
  </si>
  <si>
    <t>武知慶介</t>
  </si>
  <si>
    <t>【退職】【業】2/28 2/28 ﾃﾞｼﾞﾀﾙｴﾝﾀｰﾃｲﾝﾒﾝﾄｵﾍﾟﾚｰｼｮﾝｽﾞ本部 武知 慶介</t>
  </si>
  <si>
    <t>関麻里</t>
  </si>
  <si>
    <t>【退職】【正】3/28 3/31 デザイン本部 関 麻里</t>
  </si>
  <si>
    <t>周海里</t>
  </si>
  <si>
    <t>【退職】【正】3/31 3/31 周 海里</t>
  </si>
  <si>
    <t>大窪健司</t>
  </si>
  <si>
    <t>【退職】【正】2/28 2/28  大窪 健司</t>
  </si>
  <si>
    <t>中野海夏人</t>
  </si>
  <si>
    <t>【退職】【ア】2/28 3/31 中野 海夏人</t>
  </si>
  <si>
    <t>熊谷峻行</t>
  </si>
  <si>
    <t>【退職】【正】2/28 2/28 熊谷 峻行</t>
  </si>
  <si>
    <t>横江亮佑</t>
  </si>
  <si>
    <t>【退職】【正】03/31 03/31 みてねﾌﾟﾛﾀﾞｸﾄ開発部 横江 亮佑</t>
  </si>
  <si>
    <t>河原慶太郎</t>
  </si>
  <si>
    <t>【退職】【ア】2025/03/07 2025/03/07 人事本部 河原 慶太郎</t>
  </si>
  <si>
    <t>津賀陽</t>
  </si>
  <si>
    <t>【退職】【業】2/7 2/28 津賀 陽</t>
  </si>
  <si>
    <t>及川晋平</t>
  </si>
  <si>
    <t>【退職】【業】2/28 2/28 デジタルエンターテインメントオペレーションズ本部 及川 晋平</t>
  </si>
  <si>
    <t>佐藤香織a</t>
  </si>
  <si>
    <t>【退職】【業】 2/18 2/18 佐藤 香織a</t>
  </si>
  <si>
    <t>上田利恵a</t>
  </si>
  <si>
    <t>【退職】 【業】2/28 2/28 上田 利恵a</t>
  </si>
  <si>
    <t>【退職】【ア】2/28 2/28 人事本部 加藤 大和</t>
  </si>
  <si>
    <t>笹山一星</t>
  </si>
  <si>
    <t>【退職】【ア】2/28 2/28 人事本部 笹山 一星</t>
  </si>
  <si>
    <t>古林瑠璃子</t>
  </si>
  <si>
    <t>【退職】【派】2/28 2/28 古林 瑠璃子</t>
  </si>
  <si>
    <t>鈴木宥美</t>
  </si>
  <si>
    <t>【退職】【派】3/31 3/31 デジタルエンターテインメントオペレーションズ本部 鈴木 宥美</t>
  </si>
  <si>
    <t>左野寛之</t>
  </si>
  <si>
    <t>【退職】【ア】3/31 3/31事業戦略部 左野 寛之</t>
  </si>
  <si>
    <t>古畑和輝</t>
  </si>
  <si>
    <t>【退職】【業】2/28 2/28 古畑 和輝</t>
  </si>
  <si>
    <t>松本祥三</t>
  </si>
  <si>
    <t>【退職】【業】2/28 2/28 ﾃﾞｼﾞﾀﾙｴﾝﾀｰﾃｲﾝﾒﾝﾄｵﾍﾟﾚｰｼｮﾝｽﾞ本部 松本 祥三</t>
  </si>
  <si>
    <t>スタッダードジョナサン</t>
  </si>
  <si>
    <t>【退職】【業】3/28 3/31 ｿｰｼｬﾙﾍﾞｯﾃｨﾝｸﾞ事業本部  スタッダード ジョナサン</t>
  </si>
  <si>
    <t>宮内舞佳</t>
  </si>
  <si>
    <t>【退職】　【派】2025/2/28 2025/3/31 人事本部 宮内 舞佳</t>
  </si>
  <si>
    <t>大賀英二</t>
  </si>
  <si>
    <t>【退職】【派】2/21 2/28 チャリ・ロト 大賀 英二</t>
  </si>
  <si>
    <t>村島亜依</t>
  </si>
  <si>
    <t>【退職】【派】3/3　3/31　ｻｰﾋﾞｽ推進開発本部　村島 亜依（ND）</t>
  </si>
  <si>
    <t>櫻井孝文</t>
  </si>
  <si>
    <t>【退職】【業】 2/28 2/28 はたらく環境推進本部 櫻井 孝文</t>
  </si>
  <si>
    <t>福元文哉</t>
  </si>
  <si>
    <t>【退職】【正】3/28 3/31 開発本部 福元 文哉</t>
  </si>
  <si>
    <t>金知賢</t>
  </si>
  <si>
    <t>【退職】 【業】 02/06 02/06 サービス推進開発本部 金 知賢</t>
  </si>
  <si>
    <t>稲田翔太</t>
  </si>
  <si>
    <t>【退職】【業】02/14 02/28 株式会社picon 稲田 翔太</t>
  </si>
  <si>
    <t>高津秀也</t>
  </si>
  <si>
    <t>【退職】【正】 2/28 2/28 W 高津 秀也</t>
  </si>
  <si>
    <t>長浜梨江</t>
  </si>
  <si>
    <t>【退職】【業】2/28 2/28 ﾃﾞｼﾞﾀﾙｴﾝﾀｰﾃｲﾝﾒﾝﾄｵﾍﾟﾚｰｼｮﾝｽﾞ本部 長浜 梨江</t>
  </si>
  <si>
    <t>植田圭祐</t>
  </si>
  <si>
    <t>【退職】【業】1/31 1/31 みてねプロダクト開発部 植田 圭祐</t>
  </si>
  <si>
    <t>中尾美有紀</t>
  </si>
  <si>
    <t>【退職】【業】2/28 2/28 中尾 美有紀</t>
  </si>
  <si>
    <t>渡邊知之</t>
  </si>
  <si>
    <t>【退職】【業】12/26 12/31 投資事業推進本部 渡邊 知之</t>
  </si>
  <si>
    <t>苟暁迪</t>
  </si>
  <si>
    <t>【退職】【業】1/31 1/31 ｿｰｼｬﾙﾍﾞｯﾃｨﾝｸﾞ事業本部 苟 暁迪</t>
  </si>
  <si>
    <t>村田一弘</t>
  </si>
  <si>
    <t>【退職】【業】1/10 1/24 はたらく環境推進本部 村田 一弘</t>
  </si>
  <si>
    <t>高村未空</t>
  </si>
  <si>
    <t>【退職】【業】2/28 2/28 高村 未空</t>
  </si>
  <si>
    <t>大北有花</t>
  </si>
  <si>
    <t>【退職】【業】1/30 1/30 ラブグラフ 大北 有花</t>
  </si>
  <si>
    <t xml:space="preserve">  仙台事業部</t>
  </si>
  <si>
    <t>熊谷祐希</t>
  </si>
  <si>
    <t>【退職】【契】 MIXI EMPOWERMENT 01/27 01/27 熊谷 祐希</t>
  </si>
  <si>
    <t>小貫翔太</t>
  </si>
  <si>
    <t>【退職】【業】1/31 1/31 ｿｰｼｬﾙﾍﾞｯﾃｨﾝｸﾞ事業本部 小貫 翔太</t>
  </si>
  <si>
    <t>三ヶ尻達哉</t>
  </si>
  <si>
    <t>【退職】【業】1/31 1/31 ｿｰｼｬﾙﾍﾞｯﾃｨﾝｸﾞ事業本部 三ヶ尻 達哉</t>
  </si>
  <si>
    <t>津島剛</t>
  </si>
  <si>
    <t>【退職】【業】1/31　1/31　ｻｰﾋﾞｽ推進開発本部　津島 剛（ND）</t>
  </si>
  <si>
    <t>坂本達哉a</t>
  </si>
  <si>
    <t>【退職】【業】1/20 1/31 開発本部 坂本 達哉a</t>
  </si>
  <si>
    <t>村井俊介a</t>
  </si>
  <si>
    <t>【退職】【業】1/31 1/31 netkeiba事業本部 村井 俊介a</t>
  </si>
  <si>
    <t>吉本萌乃花</t>
  </si>
  <si>
    <t>【退職】【業】1/31 1/31 ｿｰｼｬﾙﾍﾞｯﾃｨﾝｸﾞ事業本部 吉本 萌乃花</t>
  </si>
  <si>
    <t>山口侑大</t>
  </si>
  <si>
    <t>【退職】【ア】1/31 1/31 人事本部 山口 侑大</t>
  </si>
  <si>
    <t>海外ﾍﾞｯﾃｨﾝｸﾞ事業部</t>
  </si>
  <si>
    <t>池上くるみ</t>
  </si>
  <si>
    <t>【退職】【派】1/28 1/31 ｿｰｼｬﾙﾍﾞｯﾃｨﾝｸﾞ事業本部 池上 くるみ</t>
  </si>
  <si>
    <t>藤岡公平a</t>
  </si>
  <si>
    <t>【退職】【業】1/31 1/31 ｿｰｼｬﾙﾍﾞｯﾃｨﾝｸﾞ事業本部 藤岡 公平a</t>
  </si>
  <si>
    <t>磯野哲</t>
  </si>
  <si>
    <t>【退職】【業】01/23 01/23 はたらく環境推進本部 磯野 哲</t>
  </si>
  <si>
    <t>村上瑛美</t>
  </si>
  <si>
    <t>【退職】【業】01/23 01/23 はたらく環境推進本部 村上 瑛美</t>
  </si>
  <si>
    <t>中村丈洋</t>
  </si>
  <si>
    <t>【退職】【業】01/23 01/23 はたらく環境推進本部 中村 丈洋</t>
  </si>
  <si>
    <t>小山遼太朗</t>
  </si>
  <si>
    <t>【退職】【業】1/16 1/16 デジタルエンターテインメントオペレーションズ本部　小山 遼太朗</t>
  </si>
  <si>
    <t>友松未来</t>
  </si>
  <si>
    <t>【退職】【派】02/12 02/12 Vantageスタジオ 友松 未来</t>
  </si>
  <si>
    <t>栗原佑弥</t>
  </si>
  <si>
    <t xml:space="preserve"> 【退職】【ア】1/31 1/31 人事本部 栗原 佑弥</t>
  </si>
  <si>
    <t>早坂匠a</t>
  </si>
  <si>
    <t>【退職】【業】01/30 01/31 デザイン本部  早坂 匠a</t>
  </si>
  <si>
    <t>楠本峰大</t>
  </si>
  <si>
    <t>【退職】【業】01/17 01/17 経営企画部 楠本 峰大</t>
  </si>
  <si>
    <t>若林清太郎</t>
  </si>
  <si>
    <t>【退職】【業】1/31 1/31 ﾃﾞｼﾞﾀﾙｴﾝﾀｰﾃｲﾝﾒﾝﾄﾊﾟﾌﾞﾘｯｼﾝｸﾞ本部 若林 清太郎</t>
  </si>
  <si>
    <t>屋田裕輝</t>
  </si>
  <si>
    <t>【退職】【正】01/31 01/31 ライブエクスペリエンス事業本部 屋田 裕輝</t>
  </si>
  <si>
    <t>冨岡昂成</t>
  </si>
  <si>
    <t>【退職】【ア】1/31 1/31 メディア&amp;ベッティング事業本部 冨岡 昂成</t>
  </si>
  <si>
    <t>加藤繭</t>
  </si>
  <si>
    <t>【退職】 【派】 1/14 1/31 ライブエクスペリエンス事業本部事業本部 加藤 繭</t>
  </si>
  <si>
    <t>江川健</t>
  </si>
  <si>
    <t>【退職】 【正】 01/31 01/31 人事本部 江川 健</t>
  </si>
  <si>
    <t>寺山隼人</t>
  </si>
  <si>
    <t>【退職】【業】1/29 1/29 ﾃﾞｼﾞﾀﾙｴﾝﾀｰﾃｲﾝﾒﾝﾄｵﾍﾟﾚｰｼｮﾝｽﾞ本部 寺山 隼人</t>
  </si>
  <si>
    <t>神之門諒太</t>
  </si>
  <si>
    <t>【退職】【派】12/10 01/07 チャリ・ロト 神之門 諒太</t>
  </si>
  <si>
    <t>後藤満喜</t>
  </si>
  <si>
    <t>【退職】【正】01/17 01/31 人事本部 後藤 満喜</t>
  </si>
  <si>
    <t>井沢美日</t>
  </si>
  <si>
    <t>【退職】 【正】2/10 2/12 ﾃﾞｼﾞﾀﾙｴﾝﾀｰﾃｲﾝﾒﾝﾄｵﾍﾟﾚｰｼｮﾝｽﾞ本部 井沢 美日</t>
  </si>
  <si>
    <t>【退職】【ア】1/31 1/31 人事本部 満 博文</t>
  </si>
  <si>
    <t>木村有希a</t>
  </si>
  <si>
    <t>【退職】【正】02/10 02/28 みてねﾌﾟﾛﾀﾞｸﾄ開発部 木村 有希a</t>
  </si>
  <si>
    <t>佐藤祐香</t>
  </si>
  <si>
    <t>【退職】【業】1/15 1/15 ｿｰｼｬﾙﾍﾞｯﾃｨﾝｸﾞ事業本部 佐藤 祐香</t>
  </si>
  <si>
    <t>吉川巧</t>
  </si>
  <si>
    <t>【退職】【業】 1/14  1/14 ライブエクスペリエンス事業本部 吉川 巧</t>
  </si>
  <si>
    <t>小柳夏希</t>
  </si>
  <si>
    <t>【退職】【業】12/27 12/27 Vantageスタジオ 小柳 夏希</t>
  </si>
  <si>
    <t>村上隆子b</t>
  </si>
  <si>
    <t>【退職】【派】12/27 12/27 コンプライアンス本部 村上 隆子b</t>
  </si>
  <si>
    <t>松本聖哉</t>
  </si>
  <si>
    <t>【退職】【契】2024/12/27 2024/12/31 松本 聖哉</t>
  </si>
  <si>
    <t>加藤壮馬</t>
  </si>
  <si>
    <t>【退職】【正】1/8 1/31 Vantageスタジオ 加藤 壮馬</t>
  </si>
  <si>
    <t>久野友子</t>
  </si>
  <si>
    <t>【退職】【ア】12/31 12/31 Vantageスタジオ 久野 友子</t>
  </si>
  <si>
    <t>二階堂健太</t>
  </si>
  <si>
    <t>【退職】【業】12/25 12/31 ﾒﾃﾞｨｱ&amp;ﾍﾞｯﾃｨﾝｸﾞ事業本部 二階堂 健太</t>
  </si>
  <si>
    <t>安和ロベルト</t>
  </si>
  <si>
    <t>【退職】【業】12/26 12/31 開発本部 安和 ロベルト</t>
  </si>
  <si>
    <t>木村純a</t>
  </si>
  <si>
    <t>【退職】【業】12/27 12/27 デジタルエンターテインメントオペレーションズ本部 木村 純a</t>
  </si>
  <si>
    <t>木村優子</t>
  </si>
  <si>
    <t>【退職】【派】12/25 12/31 はたらく環境推進本部 木村 優子</t>
  </si>
  <si>
    <t>小濱栞名</t>
  </si>
  <si>
    <t>【退職】【業】12/27 12/31 はたらく環境推進本部 小濱 栞名</t>
  </si>
  <si>
    <t>茂木菜々穂a</t>
  </si>
  <si>
    <t>【退職】【業】12/31 12/31 ラブグラフ 茂木 菜々穂a</t>
  </si>
  <si>
    <t>根本英明a</t>
  </si>
  <si>
    <t>【退職】【業】12/24 12/31 ｿｰｼｬﾙﾍﾞｯﾃｨﾝｸﾞ事業本部 根本 英明a</t>
  </si>
  <si>
    <t>鍛治巧大</t>
  </si>
  <si>
    <t>【退職】【業】12/24 12/31 ｿｰｼｬﾙﾍﾞｯﾃｨﾝｸﾞ事業本部 鍛治 巧大</t>
  </si>
  <si>
    <t>【退職】【正】3/21 03/31 投資事業推進本部 洪 嘉優</t>
  </si>
  <si>
    <t>木田敦士a</t>
  </si>
  <si>
    <t>【退職】【業】 12/27 12/31 ｿｰｼｬﾙﾍﾞｯﾃｨﾝｸﾞ事業本部 木田 敦士a</t>
  </si>
  <si>
    <t>川上由紀子a</t>
  </si>
  <si>
    <t>【退職】【業】 12/25 12/31 ｿｰｼｬﾙﾍﾞｯﾃｨﾝｸﾞ事業本部 川上 由紀子a</t>
  </si>
  <si>
    <t>山城壱真</t>
  </si>
  <si>
    <t>【退職】【業】12/27 12/27 ソーシャルベッティング事業本部  山城 壱真</t>
  </si>
  <si>
    <t>ﾋﾞｼﾞﾈｽ開発本部</t>
  </si>
  <si>
    <t>井村三佳</t>
  </si>
  <si>
    <t>【退職】【業】12/25 12/31 ﾋﾞｼﾞﾈｽ開発本部 井村 三佳（ND）</t>
  </si>
  <si>
    <t>手塚琴音</t>
  </si>
  <si>
    <t>【退職】【業】12/25 12/31 ｿｰｼｬﾙﾍﾞｯﾃｨﾝｸﾞ事業本部 手塚 琴音</t>
  </si>
  <si>
    <t>後藤裕志</t>
  </si>
  <si>
    <t>【退職】 【業】12/27 12/31 ﾃﾞｼﾞﾀﾙｴﾝﾀｰﾃｲﾝﾒﾝﾄｵﾍﾟﾚｰｼｮﾝｽﾞ本部 後藤 裕志</t>
  </si>
  <si>
    <t>吉村真実a</t>
  </si>
  <si>
    <t>【退職】【派】12/20 12/31 ｻｰﾋﾞｽ推進開発本部 吉村 真実a（ND）</t>
  </si>
  <si>
    <t>竹内里織</t>
  </si>
  <si>
    <t>【退職】【派】12/26 12/31 はたらく環境推進本部 竹内 里織</t>
  </si>
  <si>
    <t>前村涼太</t>
  </si>
  <si>
    <t>【退職】【業】12/13 12/13 デザイン本部 前村 涼太</t>
  </si>
  <si>
    <t>田原歩美a</t>
  </si>
  <si>
    <t>【退職】　【ア】 12/27 12/31　人事本部　田原 歩美a</t>
  </si>
  <si>
    <t>大野綾子</t>
  </si>
  <si>
    <t>【退職】【派】12/13 12/31 人事本部 大野 綾子</t>
  </si>
  <si>
    <t>天田真結</t>
  </si>
  <si>
    <t>【退職】【正】 1/17 2/28 チャリ・ロト 天田 真結</t>
  </si>
  <si>
    <t>細川龍聖</t>
  </si>
  <si>
    <t>【退職】【派】12/27 12/31 ｻｰﾋﾞｽ推進開発本部  細川 龍聖（ND）</t>
  </si>
  <si>
    <t>小林幸昭</t>
  </si>
  <si>
    <t>【退職】【正】12/23 01/31 投資事業推進本部 小林 幸昭</t>
  </si>
  <si>
    <t>道家睦</t>
  </si>
  <si>
    <t xml:space="preserve"> 【退職】【正】12/27 12/31 ライブエクスペリエンス事業本部 道家 睦</t>
  </si>
  <si>
    <t>井坂優介</t>
  </si>
  <si>
    <t>【退職】【業】12/26 12/31 デジタルエンターテインメントオペレーションズ本部 井坂 優介</t>
  </si>
  <si>
    <t>西村薫</t>
  </si>
  <si>
    <t>【退職】【派】12/19 12/31 チャリ・ロト 西村 薫</t>
  </si>
  <si>
    <t>森木空美子</t>
  </si>
  <si>
    <t>【退職】【業】12/26 12/31 ｿｰｼｬﾙﾍﾞｯﾃｨﾝｸﾞ事業本部 森木 空美子</t>
  </si>
  <si>
    <t>三浦由規</t>
  </si>
  <si>
    <t>【退職】【業】12/26 12/31 ﾃﾞｼﾞﾀﾙｴﾝﾀｰﾃｲﾝﾒﾝﾄｵﾍﾟﾚｰｼｮﾝｽﾞ本部 三浦 由規</t>
  </si>
  <si>
    <t>蕪木貴央a</t>
  </si>
  <si>
    <t>【退職】【業】11/29 11/30 ｿｰｼｬﾙﾍﾞｯﾃｨﾝｸﾞ事業本部 蕪木 貴央a</t>
  </si>
  <si>
    <t>服部将大</t>
  </si>
  <si>
    <t>【退職】【正】12/25 12/31 W 服部 将大</t>
  </si>
  <si>
    <t>加々本雄太郎</t>
  </si>
  <si>
    <t>【退職】【正】1/31 1/31 ラブグラフ 加々本 雄太郎</t>
  </si>
  <si>
    <t>能登大蔵</t>
  </si>
  <si>
    <t>【退職】【業】12/09 12/09 経営推進本部 能登 大蔵</t>
  </si>
  <si>
    <t>金亜瓊</t>
  </si>
  <si>
    <t>【退職】【業】12/09 12/09 経営推進本部 金 亜瓊</t>
  </si>
  <si>
    <t>山崎美緒</t>
  </si>
  <si>
    <t>【退職】【業】12/09 12/09 経営推進本部 山崎 美緒</t>
  </si>
  <si>
    <t>水野晃多</t>
  </si>
  <si>
    <t>【退職】【業】12/09 12/09 経営推進本部 水野 晃多</t>
  </si>
  <si>
    <t>稲垣綾子</t>
  </si>
  <si>
    <t>【退職】【派】12/13 12/13 人事本部 稲垣 綾子</t>
  </si>
  <si>
    <t>染谷凪</t>
  </si>
  <si>
    <t>【退職】【業】12/17 12/17 ライブエクスペリエンス事業本部  染谷 凪</t>
  </si>
  <si>
    <t>今井結芽花</t>
  </si>
  <si>
    <t>【退職】【業】12/17 12/17 ライブエクスペリエンス事業本部 今井 結芽花</t>
  </si>
  <si>
    <t>宮﨑達也</t>
  </si>
  <si>
    <t>【退職】【業】12/17 12/17 ライブエクスペリエンス事業本部 宮﨑 達也</t>
  </si>
  <si>
    <t>塩野目天之</t>
  </si>
  <si>
    <t>【退職】【業】12/17 12/17 ライブエクスペリエンス事業本部 塩野目 天之</t>
  </si>
  <si>
    <t xml:space="preserve">広告&amp;ｿﾘｭｰｼｮﾝ事業部	</t>
  </si>
  <si>
    <t>金子あずさ</t>
  </si>
  <si>
    <t>【退職】【派】12/26 12/31 ﾋﾞｼﾞﾈｽ開発本部	金子 あずさ（ND）</t>
  </si>
  <si>
    <t>服部愛子</t>
  </si>
  <si>
    <t>【退職】【業】12/27 12/27 Vantageスタジオ 服部 愛子</t>
  </si>
  <si>
    <t>舘脇大志</t>
  </si>
  <si>
    <t>【退職】 【業】 12/13 12/13 人事本部 舘脇 大志</t>
  </si>
  <si>
    <t>窪坂駿吾</t>
  </si>
  <si>
    <t>【退職】【ア】12/16 12/16 人事本部 窪坂 駿吾</t>
  </si>
  <si>
    <t>宇土幸希</t>
  </si>
  <si>
    <t xml:space="preserve">【退職】【派】12/27 12/31 ﾃﾞｼﾞﾀﾙｴﾝﾀｰﾃｲﾝﾒﾝﾄｵﾍﾟﾚｰｼｮﾝｽﾞ本部 宇土 幸希 </t>
  </si>
  <si>
    <t>渡会優斗</t>
  </si>
  <si>
    <t>【退職】【業】 12/11 12/11 コーポレートエンジニアリング部 渡会 優斗</t>
  </si>
  <si>
    <t>二階堂啓史</t>
  </si>
  <si>
    <t>【退職】【正】1/31 1/31 デザイン本部 二階堂 啓史</t>
  </si>
  <si>
    <t>遠藤春菜</t>
  </si>
  <si>
    <t>【退職】　【派】2024/12/27 2025/1/31 人事本部 遠藤 春菜</t>
  </si>
  <si>
    <t>塚野友望</t>
  </si>
  <si>
    <t>【退職】【派】12/06 12/31 ｺﾝﾌﾟﾗｲｱﾝｽ本部 塚野 友望</t>
  </si>
  <si>
    <t>川原彩香</t>
  </si>
  <si>
    <t>【退職】【業】12/01 12/01 ﾃﾞｻﾞｲﾝ本部 川原 彩香</t>
  </si>
  <si>
    <t>津吹貴之</t>
  </si>
  <si>
    <t>【退職 】【業】11/29 11/29 スフィダンテ 津吹 貴之</t>
  </si>
  <si>
    <t>武田遼</t>
  </si>
  <si>
    <t>【退職 】【正】11/29 11/29  スフィダンテ 武田 遼</t>
  </si>
  <si>
    <t>森場裕一</t>
  </si>
  <si>
    <t>【退職】 【業】12/27 12/31 ﾃﾞｼﾞﾀﾙｴﾝﾀｰﾃｲﾝﾒﾝﾄｵﾍﾟﾚｰｼｮﾝｽﾞ本部 森場 裕一</t>
  </si>
  <si>
    <t>森舍二朗a</t>
  </si>
  <si>
    <t>【退職】【派】12/27 12/31 ﾃﾞｼﾞﾀﾙｴﾝﾀｰﾃｲﾝﾒﾝﾄｵﾍﾟﾚｰｼｮﾝｽﾞ本部 森舍 二朗a</t>
  </si>
  <si>
    <t>江原優知</t>
  </si>
  <si>
    <t>【退職】【業】11/28 11/29 ﾃﾞｼﾞﾀﾙｴﾝﾀｰﾃｲﾝﾒﾝﾄｵﾍﾟﾚｰｼｮﾝｽﾞ本部  江原 優知</t>
  </si>
  <si>
    <t>佐藤来樹</t>
  </si>
  <si>
    <t>【退職】【ア】12/6 12/6 人事本部 佐藤 来樹</t>
  </si>
  <si>
    <t>加藤渉美</t>
  </si>
  <si>
    <t>【退職】【派】12/27 12/31 ｻｰﾋﾞｽ推進開発本部 加藤 渉美（ND）</t>
  </si>
  <si>
    <t>原夏斗</t>
  </si>
  <si>
    <t>【退職】【業】 11/29 11/30 はたらく環境推進本部 原 夏斗</t>
  </si>
  <si>
    <t>歯黒隼平</t>
  </si>
  <si>
    <t>【退職】【正】2024/12/11 2024/12/31 ﾃﾞｼﾞﾀﾙｴﾝﾀｰﾃｲﾝﾒﾝﾄﾊﾟﾌﾞﾘｯｼﾝｸﾞ本部 歯黒 隼平</t>
  </si>
  <si>
    <t>平野叶子</t>
  </si>
  <si>
    <t>【退職】【業】はたらく環境推進本部 11/29 11/30 平野 叶子</t>
  </si>
  <si>
    <t>佐藤望</t>
  </si>
  <si>
    <t>【退職】【業】12/25 12/31 投資事業推進本部 佐藤 望</t>
  </si>
  <si>
    <t>髙尾彩夏</t>
  </si>
  <si>
    <t>【退職】【正】 12/11 12/11 チャリ・ロト 髙尾 彩夏</t>
  </si>
  <si>
    <t>井圡彪力</t>
  </si>
  <si>
    <t>【退職】【業】11/29 11/30 ソーシャルベッティング事業本部 井圡 彪力</t>
  </si>
  <si>
    <t>宮本翔太a</t>
  </si>
  <si>
    <t>【退職】【業】11/29 11/30 ソーシャルベッティング事業本部 宮本 翔太a</t>
  </si>
  <si>
    <t>吉田元</t>
  </si>
  <si>
    <t>【退職】【業】11/29 11/30 ｿｰｼｬﾙﾍﾞｯﾃｨﾝｸﾞ事業本部 吉田 元</t>
  </si>
  <si>
    <t>宇賀神祐澪</t>
  </si>
  <si>
    <t>【退職】【業】11/29 11/30 Vantageスタジオ 宇賀神 祐澪</t>
  </si>
  <si>
    <t>野島一彦</t>
  </si>
  <si>
    <t>【退職】【正】12/13 12/31 コンプライアンス本部 野島 一彦</t>
  </si>
  <si>
    <t>高崎翔太</t>
  </si>
  <si>
    <t>【退職】【正】01/31 01/31 ライブエクスペリエンス事業本部 高崎 翔太</t>
  </si>
  <si>
    <t>山本拓摩</t>
  </si>
  <si>
    <t>【退職】【ア】11/29 11/29 人事本部 山本 拓摩</t>
  </si>
  <si>
    <t>戎堅士朗</t>
  </si>
  <si>
    <t xml:space="preserve">【退職】【ア】11/29 11/29 人事本部 戎 堅士朗 </t>
  </si>
  <si>
    <t>桐谷大地</t>
  </si>
  <si>
    <t>【退職】【正】 1/10 2/14 netkeiba事業本部 桐谷 大地</t>
  </si>
  <si>
    <t>柴山沙季</t>
  </si>
  <si>
    <t>【退職】【正】11/15 11/30 開発本部 柴山 沙季</t>
  </si>
  <si>
    <t>真継りまこ</t>
  </si>
  <si>
    <t>【退職】【業】11/29 11/29 ﾃﾞｼﾞﾀﾙｴﾝﾀｰﾃｲﾝﾒﾝﾄｵﾍﾟﾚｰｼｮﾝｽﾞ本部 真継 りまこ</t>
  </si>
  <si>
    <t>福島晟</t>
  </si>
  <si>
    <t>【退職】【ア】11/15 11/15 人事本部 福島 晟</t>
  </si>
  <si>
    <t>本間瑞穂</t>
  </si>
  <si>
    <t>【退職】【業】11/14 11/15 ﾗﾌﾞｸﾞﾗﾌ 本間 瑞穂</t>
  </si>
  <si>
    <t>萓谷篤嗣a</t>
  </si>
  <si>
    <t>【退職】【業】11/01 11/01 picon 萓谷 篤嗣a</t>
  </si>
  <si>
    <t>永尾陽歩</t>
  </si>
  <si>
    <t>【退職】【業】11/1 11/1 みてねﾌﾟﾛﾀﾞｸﾄ開発部 永尾 陽歩</t>
  </si>
  <si>
    <t>吉村俊英</t>
  </si>
  <si>
    <t>【退職】 【正】 11/01 12/11 開発本部 吉村 俊英</t>
  </si>
  <si>
    <t>丸尾真一a</t>
  </si>
  <si>
    <t>【退職】【業】10/31 10/31 Vantageスタジオ 丸尾 真一a</t>
  </si>
  <si>
    <t>今佑介</t>
  </si>
  <si>
    <t>【退職】【業】10/31 10/31 Vantageスタジオ 今 佑介</t>
  </si>
  <si>
    <t>加茂浩之</t>
  </si>
  <si>
    <t>【退職】【業】10/31 10/31 Vantageスタジオ 加茂 浩之</t>
  </si>
  <si>
    <t>工藤崇志b</t>
  </si>
  <si>
    <t>【退職】【業】10/31 10/31 Vantageスタジオ 工藤 崇志b</t>
  </si>
  <si>
    <t>河村翔太</t>
  </si>
  <si>
    <t>【退職】【正】12/16 12/31 ﾃﾞｼﾞﾀﾙｴﾝﾀｰﾃｲﾝﾒﾝﾄｵﾍﾟﾚｰｼｮﾝｽﾞ本部 河村 翔太</t>
  </si>
  <si>
    <t>高辻真夕</t>
  </si>
  <si>
    <t>【退職】【派】10/28 10/31 人事本部 高辻 真夕</t>
  </si>
  <si>
    <t>切通伸人a</t>
  </si>
  <si>
    <t>【退職】【業】10/31 10/31 ソーシャルベッティング事業本部 切通 伸人a</t>
  </si>
  <si>
    <t>市川美穂</t>
  </si>
  <si>
    <t>【退職】【派】11/29 12/31　経営推進本部　市川 美穂</t>
  </si>
  <si>
    <t>上山優熙</t>
  </si>
  <si>
    <t xml:space="preserve">【退職】【ア】10/29 10/30 人事本部 上山 優熙 </t>
  </si>
  <si>
    <t>宇賀神岳史</t>
  </si>
  <si>
    <t>【退職】【業】10/31 10/31 Vantageスタジオ 宇賀神 岳史</t>
  </si>
  <si>
    <t>浜中	太郎</t>
  </si>
  <si>
    <t>【退職】【業】10/17 10/21 経営推進本部 浜中 太郎</t>
  </si>
  <si>
    <t>原加世子</t>
  </si>
  <si>
    <t>【退職】【業】10/17 10/21 経営推進本部 原 加世子</t>
  </si>
  <si>
    <t>幸昂作</t>
  </si>
  <si>
    <t>【退職】【業】12/27 12/27 ﾗﾌﾞｸﾞﾗﾌ 幸 昂作</t>
  </si>
  <si>
    <t>姜鶴青</t>
  </si>
  <si>
    <t>【退職】【業】10/31　10/31　ｻｰﾋﾞｽ推進開発本部　姜 鶴青（ND）</t>
  </si>
  <si>
    <t>恩田健太郎</t>
  </si>
  <si>
    <t xml:space="preserve">【退職】【ア】10/31 10/31 人事本部 恩田 健太郎 </t>
  </si>
  <si>
    <t>杉本悦子</t>
  </si>
  <si>
    <t xml:space="preserve">    【退職 】【ア】10/21 10/21 スフィダンテ 杉本 悦子</t>
  </si>
  <si>
    <t>樋口久菜</t>
  </si>
  <si>
    <t>【退職 】【ア】10/21 10/21 スフィダンテ 樋口 久菜</t>
  </si>
  <si>
    <t>寺内優香</t>
  </si>
  <si>
    <t>【退職】【正】11/8 12/31 ﾃﾞｼﾞﾀﾙｴﾝﾀｰﾃｲﾝﾒﾝﾄｵﾍﾟﾚｰｼｮﾝｽﾞ本部 寺内 優香</t>
  </si>
  <si>
    <t>劉楊諾</t>
  </si>
  <si>
    <t>【退職】【業】10/04 10/04 投資事業推進本部 劉 楊諾</t>
  </si>
  <si>
    <t>原田豪介a</t>
  </si>
  <si>
    <t>【退職】【業】10/04 10/04 投資事業推進本部 原田 豪介a</t>
  </si>
  <si>
    <t>石丸颯大</t>
  </si>
  <si>
    <t xml:space="preserve">【退職】【ア】10/11 10/15 人事本部 石丸 颯大 </t>
  </si>
  <si>
    <t>竜鶴吉</t>
  </si>
  <si>
    <t>【退職】【ア】10/18 10/18 人事本部 竜 鶴吉</t>
  </si>
  <si>
    <t xml:space="preserve"> ﾌｧﾝｺﾐｭﾆｹｰｼｮﾝ部</t>
  </si>
  <si>
    <t>宮下陽菜</t>
  </si>
  <si>
    <t>【退職】 【業】10/4 10/4 ライブエクスペリエンス事業本部 宮下 陽菜</t>
  </si>
  <si>
    <t>鈴木梨花</t>
  </si>
  <si>
    <t>【退職】【派】10/7 10/31 ｻｰﾋﾞｽ推進開発本部 鈴木 梨花(ND)</t>
  </si>
  <si>
    <t>出羽隆浩</t>
  </si>
  <si>
    <t>【退職 】【正】 2024/11/29 2024/11/30 ﾃﾞｼﾞﾀﾙｴﾝﾀｰﾃｲﾝﾒﾝﾄｵﾍﾟﾚｰｼｮﾝｽﾞ本部  出羽 隆浩</t>
  </si>
  <si>
    <t>菅原育真</t>
  </si>
  <si>
    <t>【退職】【業】10/31 10/31 ライブエクスペリエンス事業本部 菅原 育真</t>
  </si>
  <si>
    <t>後潟伸吾</t>
  </si>
  <si>
    <t>【退職】【業】10/02 10/02 コンプライアンス本部 後潟 伸吾</t>
  </si>
  <si>
    <t>西山将吾</t>
  </si>
  <si>
    <t>【退職】【派】9/30 9/30 デジタルエンターテインメントオペレーションズ本部 西山将吾</t>
  </si>
  <si>
    <t>酒井直一</t>
  </si>
  <si>
    <t xml:space="preserve"> 【退職】【業】9/30 9/30 ソーシャルベッティング事業部 酒井 直一</t>
  </si>
  <si>
    <t>酒井亮</t>
  </si>
  <si>
    <t>【退職】【業】9/30 9/30 ソーシャルベッティング事業本部 酒井 亮</t>
  </si>
  <si>
    <t>岩永夏実</t>
  </si>
  <si>
    <t>【退職】【派】9/24 9/24 人事本部 岩永 夏実</t>
  </si>
  <si>
    <t>亀田明慧</t>
  </si>
  <si>
    <t>【退職】【業】10/31 10/31 Vantageスタジオ 亀田 明慧</t>
  </si>
  <si>
    <t>宮脇秀和</t>
  </si>
  <si>
    <t>【退職】【業】9/30 9/30 はたらく環境推進本部 宮脇 秀和</t>
  </si>
  <si>
    <t>柴田知子</t>
  </si>
  <si>
    <t>【退職】【正】09/20 09/20 人事本部 柴田 知子</t>
  </si>
  <si>
    <t>向隆佑</t>
  </si>
  <si>
    <t>【退職】【業】9/30 9/30 Vantageスタジオ 向 隆佑</t>
  </si>
  <si>
    <t>三田村光</t>
  </si>
  <si>
    <t>【退職】【業】09/30 09/30 ﾃﾞｼﾞﾀﾙｴﾝﾀｰﾃｲﾝﾒﾝﾄｵﾍﾟﾚｰｼｮﾝｽﾞ本部 三田村 光</t>
  </si>
  <si>
    <t>伊禮吉充</t>
  </si>
  <si>
    <t>【退職】【業】9/25 9/30 Vantageスタジオ 伊禮 吉充</t>
  </si>
  <si>
    <t>小林宏実a</t>
  </si>
  <si>
    <t>【退職】 【業】09/24 09/30 MixiAmerica 小林 宏実a</t>
  </si>
  <si>
    <t>高橋徹郎</t>
  </si>
  <si>
    <t>【退職】【業】09/30 09/30 ﾃﾞｼﾞﾀﾙｴﾝﾀｰﾃｲﾝﾒﾝﾄｵﾍﾟﾚｰｼｮﾝｽﾞ本部 高橋 徹郎</t>
  </si>
  <si>
    <t>【退職】【業】9/30 9/30 投資事業推進本部 Tiala Joel</t>
  </si>
  <si>
    <t>みてね</t>
  </si>
  <si>
    <t>日比谷すみれ</t>
  </si>
  <si>
    <t>【退職】【業】09/25 09/30 Vantageｽﾀｼﾞｵ 日比谷 すみれ</t>
  </si>
  <si>
    <t>【退職】【派】09/30 09/30 デジタルエンターテインメントオペレーションズ本部 西山 将吾</t>
  </si>
  <si>
    <t>【退職】【業】09/30 09/30 人事本部 井上 和義</t>
  </si>
  <si>
    <t>髙棟雄斗</t>
  </si>
  <si>
    <t>【退職】【ア】09/30 09/30 人事本部 髙棟 雄斗</t>
  </si>
  <si>
    <t>コーポレートエンジニアリング</t>
  </si>
  <si>
    <t>正司貴成</t>
  </si>
  <si>
    <t>【退職】【派】9/30 9/30 はたらく環境推進本部 正司 貴成</t>
  </si>
  <si>
    <t>大石幸長</t>
  </si>
  <si>
    <t>【退職】【ア】09/30 09/30 人事本部 大石 幸長</t>
  </si>
  <si>
    <t>三浦有央b</t>
  </si>
  <si>
    <t>【退職】【ア】09/30 09/30 人事本部 三浦 有央b</t>
  </si>
  <si>
    <t>山田浩平a</t>
  </si>
  <si>
    <t>【退職】 【業】9/30 9/30 ライブエクスペリエンス事業本部 山田 浩平a</t>
  </si>
  <si>
    <t>竹内理恵</t>
  </si>
  <si>
    <t>【退職】【正社員】9/20 10/31 開発本部 竹内 理恵</t>
  </si>
  <si>
    <t>岩切祐二</t>
  </si>
  <si>
    <t>【退職】【業】9/30 9/30 デザイン本部 岩切 祐二</t>
  </si>
  <si>
    <t>藤瀬智也</t>
  </si>
  <si>
    <t>【退職】【業】9/30 9/30 デザイン本部 藤瀬 智也</t>
  </si>
  <si>
    <t>【退職】【ア】09/30 09/30 人事本部 髙田 瑛仁</t>
  </si>
  <si>
    <t>石本哲郎</t>
  </si>
  <si>
    <t>【退職】【ア】09/27 09/27 人事本部 石本 哲郎</t>
  </si>
  <si>
    <t>西山拓希</t>
  </si>
  <si>
    <t>【退職】【ア】09/30 09/30 人事本部 西山 拓希</t>
  </si>
  <si>
    <t>山根雄飛</t>
  </si>
  <si>
    <t xml:space="preserve">【退職】【ア】09/30 09/30 人事本部 山根 雄飛 </t>
  </si>
  <si>
    <t>片瀬大</t>
  </si>
  <si>
    <t xml:space="preserve">【退職】【正】10/30 10/31 ﾃﾞｼﾞﾀﾙｴﾝﾀｰﾃｲﾝﾒﾝﾄﾊﾟﾌﾞﾘｯｼﾝｸﾞ本部 片瀬 大
</t>
  </si>
  <si>
    <t xml:space="preserve">予想サービス事業部 </t>
  </si>
  <si>
    <t>村井俊介</t>
  </si>
  <si>
    <t>【退職】【正】09/30 09/30 netkeiba事業本部 村井 俊介</t>
  </si>
  <si>
    <t>中野亜郁</t>
  </si>
  <si>
    <t>【退職】【契】2024/09/04 2024/09/30 中野 亜郁</t>
  </si>
  <si>
    <t>山本仁</t>
  </si>
  <si>
    <t>【退職】【業】9/30 9/30 はたらく環境推進本部 山本 仁</t>
  </si>
  <si>
    <t>劉駿</t>
  </si>
  <si>
    <t>【退職】【業】09/26 09/30 デジタルエンターテインメントオペレーションズ本部 劉 駿</t>
  </si>
  <si>
    <t>川口薫a</t>
  </si>
  <si>
    <t>【退職】【業】09/27 09/30 デジタルエンターテインメントオペレーションズ本部 川口 薫a</t>
  </si>
  <si>
    <t>【退職】【正】9/20 10/31 開発本部 竹内 理恵</t>
  </si>
  <si>
    <t>益山千春</t>
  </si>
  <si>
    <t>【退職】【正】09/27 09/30 開発本部 益山 千春</t>
  </si>
  <si>
    <t>小林宏実</t>
  </si>
  <si>
    <t>【退職】 【ア】09/24 09/30 投資事業推進本部 小林 宏実</t>
  </si>
  <si>
    <t>京増寛a</t>
  </si>
  <si>
    <t>【退職】【業】2024/9/30　2024/9/30 デザイン本部 京増 寛a</t>
  </si>
  <si>
    <t>飯塚拓也</t>
  </si>
  <si>
    <t>【退職】【正】9/30 11/15 Vantageスタジオ 飯塚 拓也</t>
  </si>
  <si>
    <t>西村香苗</t>
  </si>
  <si>
    <t xml:space="preserve">【退職】【正】09/06 10/15 経営推進本部 西村 香苗 </t>
  </si>
  <si>
    <t>細谷光</t>
  </si>
  <si>
    <t>【退職】【業】09/30 09/30 デジタルエンターテインメントオペレーションズ本部 細谷 光</t>
  </si>
  <si>
    <t>浦橋純</t>
  </si>
  <si>
    <t>【退職】【派】9/27 9/30 はたらく環境推進本部 浦橋 純</t>
  </si>
  <si>
    <t>日内地和希</t>
  </si>
  <si>
    <t>【退職】【正】9/10 9/30 netkeiba事業本部 日内地 和希</t>
  </si>
  <si>
    <t>高橋和樹</t>
  </si>
  <si>
    <t>【退職】【正】8/31 9/30 チャリ・ロト 高橋 和樹</t>
  </si>
  <si>
    <t>角龍徳</t>
  </si>
  <si>
    <t>【退職】【正】10/28 12/27 開発本部 角 龍徳</t>
  </si>
  <si>
    <t>西山文愛</t>
  </si>
  <si>
    <t>【退職】【業】09/30 09/30 みてねﾌﾟﾛﾀﾞｸﾄ開発部  西山 文愛</t>
  </si>
  <si>
    <t>塩川洋介</t>
  </si>
  <si>
    <t>【退職】【業務】 9/19 9/30 ﾃﾞｼﾞﾀﾙｴﾝﾀｰﾃｲﾝﾒﾝﾄﾊﾟﾌﾞﾘｯｼﾝｸﾞ本部 塩川 洋介</t>
  </si>
  <si>
    <t>相澤洋子</t>
  </si>
  <si>
    <t>【退職】【業】2024/9/30 2024/9/30 はたらく環境推進本部 相澤 洋子</t>
  </si>
  <si>
    <t>柳田智也</t>
  </si>
  <si>
    <t>【退職】【業】9/30 9/30 はたらく環境推進本部  柳田 智也</t>
  </si>
  <si>
    <t>井上俊</t>
  </si>
  <si>
    <t xml:space="preserve">【退職】【派】9/13 9/15 サービス推進開発本部　井上 俊（ND） </t>
  </si>
  <si>
    <t>上田真喜子</t>
  </si>
  <si>
    <t>【退職】【派】10/31 10/31　メディア&amp;ベッティング事業本部　上田 真喜子（ND）</t>
  </si>
  <si>
    <t>高倉凱</t>
  </si>
  <si>
    <t>【退職】【業】9/6 9/6 デジタルエンターテインメントオペレーションズ本部　高倉 凱</t>
  </si>
  <si>
    <t>松本奈々花</t>
  </si>
  <si>
    <t>【退職】【派】09/27 09/30 ｻｰﾋﾞｽ推進開発本部 松本 奈々花</t>
  </si>
  <si>
    <t>木村邦彦</t>
  </si>
  <si>
    <t>【退職】【派】9/17 9/30 ﾒﾃﾞｨｱ&amp;ﾍﾞｯﾃｨﾝｸﾞ事業本部 木村 邦彦（ND）</t>
  </si>
  <si>
    <t>米倉寧音a</t>
  </si>
  <si>
    <t>【退職】【業】09/18 09/30 デジタルエンターテインメントオペレーションズ本部 米倉 寧音a</t>
  </si>
  <si>
    <t>岡田慧祐</t>
  </si>
  <si>
    <t>【退職】【業】8/30 8/31 チャリ・ロト 岡田 慧祐</t>
  </si>
  <si>
    <t>小嶋壮邦</t>
  </si>
  <si>
    <t>【退職】【業】8/30 8/31 チャリ・ロト 小嶋 壮邦</t>
  </si>
  <si>
    <t xml:space="preserve"> ｺｰﾎﾟﾚｰﾄｴﾝｼﾞﾆｱﾘﾝｸﾞ部</t>
  </si>
  <si>
    <t>與那覇世識</t>
  </si>
  <si>
    <t>【退職】【正】09/27 09/30 はたらく環境推進本部 與那覇 世識</t>
  </si>
  <si>
    <t>本田栞</t>
  </si>
  <si>
    <t>【退職】【派】9/30 9/30 人事本部 本田 栞</t>
  </si>
  <si>
    <t>小泉友貴</t>
  </si>
  <si>
    <t>【退職】【業】9/13 9/13 はたらく環境推進本部 小泉 友貴</t>
  </si>
  <si>
    <t>五十嵐千晴</t>
  </si>
  <si>
    <t>【退職】【契】9/12 9/30 CS本部 五十嵐 千晴</t>
  </si>
  <si>
    <t>大河原祐輔</t>
  </si>
  <si>
    <t>【退職】【契】9/12 9/30 CS本部 大河原 祐輔</t>
  </si>
  <si>
    <t>高野真之介</t>
  </si>
  <si>
    <t>【退職】【ア】08/30 08/31 映像＆編集部 高野 真之介</t>
  </si>
  <si>
    <t>三浦圭介</t>
  </si>
  <si>
    <t>【退職】【正】09/20 09/30 ラブグラフ 三浦 圭介</t>
  </si>
  <si>
    <t>林彩奈</t>
  </si>
  <si>
    <t>【退職】【派】9/18 9/30 チャリ・ロト 林 彩奈</t>
  </si>
  <si>
    <t>若林真紀</t>
  </si>
  <si>
    <t>【退職】【派】9/25 9/30 チャリ・ロト 若林 真紀</t>
  </si>
  <si>
    <t>藤原憲之</t>
  </si>
  <si>
    <t xml:space="preserve">【退職】【業】09/27 09/30 ｿｰｼｬﾙﾍﾞｯﾃｨﾝｸﾞ事業本部 藤原 憲之a </t>
  </si>
  <si>
    <t>上田利恵</t>
  </si>
  <si>
    <t>【退職】 【正】9/13 9/13 ﾃﾞｼﾞﾀﾙｴﾝﾀｰﾃｲﾝﾒﾝﾄｵﾍﾟﾚｰｼｮﾝｽﾞ本部 上田 利恵</t>
  </si>
  <si>
    <t>【退職】【ア】8/30 8/31 netkeiba事業本部 高野 真之介（ND）</t>
  </si>
  <si>
    <t>伊藤ひなたa</t>
  </si>
  <si>
    <t>【退職】【契】2024/08/30 2024/09/20 伊藤 ひなたa</t>
  </si>
  <si>
    <t>杉崎遥香</t>
  </si>
  <si>
    <t>【退職】　【正】08/30 09/15 はたらく環境推進本部 杉崎 遥香</t>
  </si>
  <si>
    <t>山西悠祐</t>
  </si>
  <si>
    <t>【退職】【正】08/30 09/30 ソーシャルベッティング事業本部 山西 悠祐</t>
  </si>
  <si>
    <t>松本仁美</t>
  </si>
  <si>
    <t>【退職】【派】8/23 8/23 人事本部 松本 仁美</t>
  </si>
  <si>
    <t>【退職】【ア】08/30 08/31 人事本部 谷 知拓</t>
  </si>
  <si>
    <t>富山みのり</t>
  </si>
  <si>
    <t>【退職】【業】8/30 8/31 デジタルエンターテインメントオペレーションズ本部　富山 みのり</t>
  </si>
  <si>
    <t>海原央翔</t>
  </si>
  <si>
    <t xml:space="preserve">【退職】【ア】08/30 08/30 人事本部 海原 央翔	</t>
  </si>
  <si>
    <t>大山一毅</t>
  </si>
  <si>
    <t>【退職】【業】08/16 08/19 ﾃﾞｼﾞﾀﾙｴﾝﾀｰﾃｲﾝﾒﾝﾄｵﾍﾟﾚｰｼｮﾝｽﾞ本部 大山 一毅</t>
  </si>
  <si>
    <t>石岡祐太郎</t>
  </si>
  <si>
    <t>【退職】【ア】08/28 08/28 ラブグラフ 石岡 祐太郎</t>
  </si>
  <si>
    <t>瀧澤貫太</t>
  </si>
  <si>
    <t>【退職】【業】8/19 8/19 デジタルエンターテインメントオペレーションズ本部　瀧澤 貫太</t>
  </si>
  <si>
    <t>入亮介</t>
  </si>
  <si>
    <t>【退職】【正】09/30 09/30 Vantageスタジオ 入 亮介</t>
  </si>
  <si>
    <t>飯島稔</t>
  </si>
  <si>
    <t>【退職】【業】6/30 8/31 経営推進本部 飯島 稔</t>
  </si>
  <si>
    <t>和田哲史</t>
  </si>
  <si>
    <t xml:space="preserve">【退職】【業】6/30 8/31 経営推進本部 和田 哲史	</t>
  </si>
  <si>
    <t>大島龍晟</t>
  </si>
  <si>
    <t xml:space="preserve">【退職】【ア】08/30 08/30 人事本部 大島 龍晟  </t>
  </si>
  <si>
    <t>和田哲史　飯島稔計2名</t>
  </si>
  <si>
    <t>【退職】【業】6/30 6/30 経理税務部　和田哲史　飯島稔計2名</t>
  </si>
  <si>
    <t>【退職】【業】2024/08/31 女部田 亮（TBAM）</t>
  </si>
  <si>
    <t>黒須大介</t>
  </si>
  <si>
    <t>【退職】【正】7/31 8/31 TOKYOBAYｱﾘｰﾅﾏﾈｼﾞﾒﾝﾄ 黒須 大介（TBAM）</t>
  </si>
  <si>
    <t>【退職】　【派】09/30 09/30 人事本部 田原 歩美a</t>
  </si>
  <si>
    <t>深澤翔太</t>
  </si>
  <si>
    <t>【退職】【正】9/12 9/30 デジタルエンターテインメントオペレーションズ本部　深澤 翔太</t>
  </si>
  <si>
    <t>松本怜巳</t>
  </si>
  <si>
    <t>【退職】【業】 8/30 8/31 デザイン本部 松本 怜巳</t>
  </si>
  <si>
    <t>吉本洋秀</t>
  </si>
  <si>
    <t>【退職】【正】 8/30 9/30 ﾗｲﾌﾞｴｸｽﾍﾟﾘｴﾝｽ事業本部 吉本 洋秀</t>
  </si>
  <si>
    <t>三宅勝</t>
  </si>
  <si>
    <t>【退職】【正】9/26 9/30 デザイン本部 三宅 勝</t>
  </si>
  <si>
    <t>【退職】【正】08/30 08/31 人事本部 楠井 大地</t>
  </si>
  <si>
    <t>西村勉</t>
  </si>
  <si>
    <t>【退職】【正】09/06 09/08 人事本部 西村 勉</t>
  </si>
  <si>
    <t>青砥陸</t>
  </si>
  <si>
    <t>【退職】【ア】08/16 08/16 人事本部 青砥 陸</t>
  </si>
  <si>
    <t>UberoiJayad</t>
  </si>
  <si>
    <t>【退職】【エ】08/30 08/31 投資事業推進本部 Uberoi Jayad</t>
  </si>
  <si>
    <t>大倉真一希</t>
  </si>
  <si>
    <t>【退職】【正】08/15 08/31 Vantageスタジオ 大倉 真一希</t>
  </si>
  <si>
    <t>【退職】【業】8/15 8/15 ｻｰﾋﾞｽ推進開発本部 高見 俊也（ND）</t>
  </si>
  <si>
    <t>中原毅a</t>
  </si>
  <si>
    <t>【退職】【業】　2024/08/30 2024/08/31 投資事業推進本部 中原 毅a</t>
  </si>
  <si>
    <t>合田武広a</t>
  </si>
  <si>
    <t>【退職】【業】 2024/08/30 2024/08/31 投資事業推進本部 合田 武広a</t>
  </si>
  <si>
    <t>伊藤翔</t>
  </si>
  <si>
    <t>【退職】【正】08/15 08/15 ｿｰｼｬﾙﾍﾞｯﾃｨﾝｸﾞ事業本部　伊藤 翔</t>
  </si>
  <si>
    <t xml:space="preserve"> CTO室</t>
  </si>
  <si>
    <t>伊藤彰為</t>
  </si>
  <si>
    <t>【退職】【正】08/30 09/30 開発本部 伊藤 彰為</t>
  </si>
  <si>
    <t>梶谷勇介</t>
  </si>
  <si>
    <t>【退職】【業】 2024/08/09 2024/08/16  人事本部 梶谷 勇介a</t>
  </si>
  <si>
    <t>張任展</t>
  </si>
  <si>
    <t>【退職】【業】07/26 07/26 投資事業推進本部 張 任展</t>
  </si>
  <si>
    <t>佐々木汐音</t>
  </si>
  <si>
    <t>【退職】【業】07/31 07/31 ﾃﾞｼﾞﾀﾙｴﾝﾀｰﾃｲﾝﾒﾝﾄｵﾍﾟﾚｰｼｮﾝｽﾞ本部 佐々木 汐音</t>
  </si>
  <si>
    <t>佐々木佑樹</t>
  </si>
  <si>
    <t>【退職】【正】09/30 09/30 投資事業推進本部 事業開発部 佐々木 佑樹</t>
  </si>
  <si>
    <t>早川智美</t>
  </si>
  <si>
    <t>【退職】【派】08/01 08/01 コンプライアンス本部 早川 智美</t>
  </si>
  <si>
    <t>佐藤涼平</t>
  </si>
  <si>
    <t>【退職】【正】7/31 9/30 Vantageｽﾀｼﾞｵ 佐藤 涼平</t>
  </si>
  <si>
    <t>根岸柚子</t>
  </si>
  <si>
    <t>【退職】【業】07/31 07/31 スフィダンテ 根岸 柚子</t>
  </si>
  <si>
    <t xml:space="preserve">  ﾀﾞﾐｰ株式会社ｽﾌｨﾀﾞﾝﾃ</t>
  </si>
  <si>
    <t>酒井理生</t>
  </si>
  <si>
    <t xml:space="preserve">【退職】【業】07/31 07/31 スフィダンテ 酒井 理生	</t>
  </si>
  <si>
    <t>田代篤史</t>
  </si>
  <si>
    <t>【退職】【正】07/31 08/31 デジタルエンターテインメントオペレーションズ本部 田代 篤史</t>
  </si>
  <si>
    <t>川崎豊</t>
  </si>
  <si>
    <t>【退職】【正】8/9 9/30 デジタルエンターテインメントオペレーションズ本部　川崎 豊</t>
  </si>
  <si>
    <t>【退職】【業】07/31 07/31 picon 大村 瞬也</t>
  </si>
  <si>
    <t>板倉雅之</t>
  </si>
  <si>
    <t>【退職】【正】07/26 08/31 開発本部 板倉 雅之</t>
  </si>
  <si>
    <t>村瀬郁穂</t>
  </si>
  <si>
    <t>【退職】【正】7/27 7/27 チャリ・ロト 村瀬 郁穂</t>
  </si>
  <si>
    <t>竹川修平</t>
  </si>
  <si>
    <t>【退職】【ア】07/26 07/31 人事本部 竹川 修平</t>
  </si>
  <si>
    <t>玉井勝也</t>
  </si>
  <si>
    <t>【退職】【正】08/06 08/31 ｻｰﾋﾞｽ推進開発本部 玉井 勝也</t>
  </si>
  <si>
    <t>佐藤直樹</t>
  </si>
  <si>
    <t>【退職】【正】07/18 09/25 デジタルエンターテインメントオペレーションズ本部 佐藤 直樹</t>
  </si>
  <si>
    <t>小栗悠太郎</t>
  </si>
  <si>
    <t xml:space="preserve">【退職】【ア】07/22 07/22 人事本部 小栗 悠太郎 </t>
  </si>
  <si>
    <t>長谷部優</t>
  </si>
  <si>
    <t>【退職】【正】07/25 07/31 人事本部 長谷部 優</t>
  </si>
  <si>
    <t>飯塚ひかる</t>
  </si>
  <si>
    <t>【退職】【正】07/26 08/31 コンプライアンス本部 飯塚 ひかる</t>
  </si>
  <si>
    <t xml:space="preserve"> ｺｰﾎﾟﾚｰﾄITｻｰﾋﾞｽ部</t>
  </si>
  <si>
    <t>石川愛子</t>
  </si>
  <si>
    <t>【退職】【契】8/6 8/31 はたらく環境推進本部 石川 愛子</t>
  </si>
  <si>
    <t>鄭相勲</t>
  </si>
  <si>
    <t>【退職】【業】07/18 07/31 投資事業部 鄭 相勲</t>
  </si>
  <si>
    <t xml:space="preserve">開発室 </t>
  </si>
  <si>
    <t xml:space="preserve">ｿｰｼｬﾙﾍﾞｯﾃｨﾝｸﾞ事業本部 </t>
  </si>
  <si>
    <t>成田美南</t>
  </si>
  <si>
    <t>【退職】【業】07/31 07/31 ｿｰｼｬﾙﾍﾞｯﾃｨﾝｸﾞ事業本部 成田 美南</t>
  </si>
  <si>
    <t>栗田崇弘</t>
  </si>
  <si>
    <t>【退職】【正】07/05 07/05 メディア&amp;ベッティング事業本部 栗田 崇弘</t>
  </si>
  <si>
    <t>吉田倫子</t>
  </si>
  <si>
    <t>【退職】　【業】8/1 8/1 ﾃﾞｼﾞﾀﾙｴﾝﾀｰﾃｲﾝﾒﾝﾄｵﾍﾟﾚｰｼｮﾝｽﾞ本部 吉田 倫子</t>
  </si>
  <si>
    <t>浅野大我</t>
  </si>
  <si>
    <t>【退職】【正】7/31 9/14 デジタルエンターテインメントオペレーションズ本部 浅野 大我</t>
  </si>
  <si>
    <t>綱島達也</t>
  </si>
  <si>
    <t>【退職】【正】7/31 8/31 はたらく環境推進本部  綱島 達也</t>
  </si>
  <si>
    <t>邊見岳大</t>
  </si>
  <si>
    <t>【退職】【業】07/05 07/05 ﾃﾞｼﾞﾀﾙｴﾝﾀｰﾃｲﾝﾒﾝﾄﾊﾟﾌﾞﾘｯｼﾝｸﾞ本部 邊見 岳大</t>
  </si>
  <si>
    <t>藤森憲男</t>
  </si>
  <si>
    <t>【退職】【業】07/05 07/05 ﾃﾞｼﾞﾀﾙｴﾝﾀｰﾃｲﾝﾒﾝﾄﾊﾟﾌﾞﾘｯｼﾝｸﾞ本部 藤森 憲男</t>
  </si>
  <si>
    <t>永井秀明</t>
  </si>
  <si>
    <t>【退職】【業】07/05 07/05 ﾃﾞｼﾞﾀﾙｴﾝﾀｰﾃｲﾝﾒﾝﾄﾊﾟﾌﾞﾘｯｼﾝｸﾞ本部 永井 秀明</t>
  </si>
  <si>
    <t>今川彰</t>
  </si>
  <si>
    <t>【退職】【業】07/05 07/05 ﾃﾞｼﾞﾀﾙｴﾝﾀｰﾃｲﾝﾒﾝﾄﾊﾟﾌﾞﾘｯｼﾝｸﾞ本部 今川 彰</t>
  </si>
  <si>
    <t>吉村一彦</t>
  </si>
  <si>
    <t>【退職】【業】2024/7/10 7/31 ライブエクスペリエンス事業本部　吉村 一彦</t>
  </si>
  <si>
    <t>本村拓磨</t>
  </si>
  <si>
    <t xml:space="preserve">【退職】　【業】07/31  07/31 はたらく環境推進本部 本村 拓磨 </t>
  </si>
  <si>
    <t>成田雄</t>
  </si>
  <si>
    <t>【退職】【正】6/28 6/30 ﾃﾞｼﾞﾀﾙｴﾝﾀｰﾃｲﾝﾒﾝﾄｵﾍﾟﾚｰｼｮﾝｽﾞ本部 成田 雄</t>
  </si>
  <si>
    <t>藍澤誠伸</t>
  </si>
  <si>
    <t>【退職】【派】 7/1 7/1　ｻｰﾋﾞｽ推進開発本部　藍澤 誠伸（ND）</t>
  </si>
  <si>
    <t>大和明子</t>
  </si>
  <si>
    <t>【退職】【派】06/27 06/30 コンプライアンス本部 大和 明子</t>
  </si>
  <si>
    <t xml:space="preserve"> 海外ﾍﾞｯﾃｨﾝｸﾞ事業部</t>
  </si>
  <si>
    <t>吉川勇太郎</t>
  </si>
  <si>
    <t>【退職】【正】7/12 8/28 ｿｰｼｬﾙﾍﾞｯﾃｨﾝｸﾞ事業本部 吉川 勇太郎</t>
  </si>
  <si>
    <t>牧野陽平</t>
  </si>
  <si>
    <t>【退職】【業】6/28 6/30 ｿｰｼｬﾙﾍﾞｯﾃｨﾝｸﾞ事業本部 牧野 陽平</t>
  </si>
  <si>
    <t>佐藤哲也</t>
  </si>
  <si>
    <t>【退職】【業】6/28 6/28 チャリ・ロト 佐藤 哲也</t>
  </si>
  <si>
    <t>北沢吏甫子</t>
  </si>
  <si>
    <t>【退職】 【ア】7/5 7/12 ﾗﾌﾞｸﾞﾗﾌ 北沢 吏甫子</t>
  </si>
  <si>
    <t>小幡大輔</t>
  </si>
  <si>
    <t>【退職】【業】6/28 6/30 ｿｰｼｬﾙﾍﾞｯﾃｨﾝｸﾞ事業本部 小幡 大輔</t>
  </si>
  <si>
    <t>能塚喜一朗</t>
  </si>
  <si>
    <t>【退職】【業】06/28 06/30 開発本部 能塚 喜一朗</t>
  </si>
  <si>
    <t>鷲尾知彦</t>
  </si>
  <si>
    <t>【退職】　【業】2024/07/05 2024/07/31 ライブエクスペリエンス事業本部　鷲尾 知彦</t>
  </si>
  <si>
    <t>神田	陽巳</t>
  </si>
  <si>
    <t>【退職】【派】07/12 07/31 開発本部 神田 陽巳</t>
  </si>
  <si>
    <t>難波杜夫</t>
  </si>
  <si>
    <t>【退職】【正】6/19 6/19 チャリ・ロト 難波 杜夫a</t>
  </si>
  <si>
    <t>伊藤弘和</t>
  </si>
  <si>
    <t>【退職】【業】2024/06/27 2024/06/30 投資事業推進本部 伊藤 弘和</t>
  </si>
  <si>
    <t>齊藤奈彩</t>
  </si>
  <si>
    <t>【退職】【正】7/19 8/16 ｿｰｼｬﾙﾍﾞｯﾃｨﾝｸﾞ事業本部  齊藤 奈彩</t>
  </si>
  <si>
    <t>木村優香</t>
  </si>
  <si>
    <t>【退職】　【派】06/28 06/30 はたらく環境推進本部 木村 優香</t>
  </si>
  <si>
    <t>原田洋</t>
  </si>
  <si>
    <t>【退職】【業】06/28 06/30 デジタルエンターテインメントオペレーションズ本部 原田 洋</t>
  </si>
  <si>
    <t>石原直樹</t>
  </si>
  <si>
    <t>【退職】【正】06/21 07/31 ﾃﾞｼﾞﾀﾙｴﾝﾀｰﾃｲﾝﾒﾝﾄﾊﾟﾌﾞﾘｯｼﾝｸﾞ本部 石原 直樹</t>
  </si>
  <si>
    <t>【退職】【派】06/28 06/30 人事本部 関川 恵</t>
  </si>
  <si>
    <t>【退職】【派】06/28 06/30 人事本部 嵩西 佑奈</t>
  </si>
  <si>
    <t>ビジネス開発本部</t>
  </si>
  <si>
    <t>永田泰士</t>
  </si>
  <si>
    <t>【退職】【正】06/24 06/30 ビジネス開発本部 永田 泰士</t>
  </si>
  <si>
    <t>藤岡公平</t>
  </si>
  <si>
    <t>【退職】【エ】7/12 7/12 ｿｰｼｬﾙﾍﾞｯﾃｨﾝｸﾞ事業本部 藤岡 公平</t>
  </si>
  <si>
    <t>山本薫桜</t>
  </si>
  <si>
    <t>【退職】【業】6/28 6/30 開発本部 山本 薫桜</t>
  </si>
  <si>
    <t>佐藤真生</t>
  </si>
  <si>
    <t>【退職】【業】6/28 6/30 開発本部 佐藤 真生</t>
  </si>
  <si>
    <t>宍倉晃志郎</t>
  </si>
  <si>
    <t>【退職】【業】07/12 07/15 ﾃﾞｼﾞﾀﾙｴﾝﾀｰﾃｲﾝﾒﾝﾄｵﾍﾟﾚｰｼｮﾝｽﾞ本部 宍倉 晃志郎</t>
  </si>
  <si>
    <t>【退職】【正】2024/06/28 2024/09/15 デジタルエンターテイメントパブリッシング事業本部 早川 泰彦</t>
  </si>
  <si>
    <t xml:space="preserve"> 管理部</t>
  </si>
  <si>
    <t>佐藤みどり</t>
  </si>
  <si>
    <t>【退職】【派】2024/6/14 2024/6/30 経営管理本部　佐藤 みどり（ND）</t>
  </si>
  <si>
    <t>【退職】【業】6/14 6/30 Vantageスタジオ 龍田 ヨウスケ</t>
  </si>
  <si>
    <t>山下直子a</t>
  </si>
  <si>
    <t>【退職】【業】06/28 06/30 デジタルエンターテインメントオペレーションズ本部 山下 直子a</t>
  </si>
  <si>
    <t>玉田恵実</t>
  </si>
  <si>
    <t>【退職】【正】6/12 6/24 チャリ・ロト 玉田 恵実</t>
  </si>
  <si>
    <t>横田裕市a</t>
  </si>
  <si>
    <t>【退職】【業】06/25 06/30 ラブグラフ 横田 裕市a</t>
  </si>
  <si>
    <t>関口大地</t>
  </si>
  <si>
    <t>【退職】【正】06/18 06/18 ラブグラフ 関口 大地</t>
  </si>
  <si>
    <t>鳩山裕子</t>
  </si>
  <si>
    <t>【退職】【正】06/27 06/30 ラブグラフ 鳩山 裕子</t>
  </si>
  <si>
    <t>長峰博達</t>
  </si>
  <si>
    <t>【退職】【業】06/28 06/30 ﾃﾞｼﾞﾀﾙｴﾝﾀｰﾃｲﾝﾒﾝﾄﾊﾟﾌﾞﾘｯｼﾝｸﾞ本部 長峰 博達</t>
  </si>
  <si>
    <t>菊地浩士</t>
  </si>
  <si>
    <t>【退職】【業】06/28 06/30 ﾃﾞｼﾞﾀﾙｴﾝﾀｰﾃｲﾝﾒﾝﾄﾊﾟﾌﾞﾘｯｼﾝｸﾞ本部 菊地 浩士</t>
  </si>
  <si>
    <t>小川勝広</t>
  </si>
  <si>
    <t>【退職】【業】06/28 06/30 ﾃﾞｼﾞﾀﾙｴﾝﾀｰﾃｲﾝﾒﾝﾄﾊﾟﾌﾞﾘｯｼﾝｸﾞ本部 小川 勝広</t>
  </si>
  <si>
    <t>与野泰介</t>
  </si>
  <si>
    <t>【退職】【業】06/28 06/30 ﾃﾞｼﾞﾀﾙｴﾝﾀｰﾃｲﾝﾒﾝﾄﾊﾟﾌﾞﾘｯｼﾝｸﾞ本部 与野 泰介</t>
  </si>
  <si>
    <t>草野裕朗</t>
  </si>
  <si>
    <t>【退職】【正】7/16 7/31 デザイン本部 草野 裕朗</t>
  </si>
  <si>
    <t>権瓶昇栄</t>
  </si>
  <si>
    <t>【退職】【業】2024/06/27 2024/06/30 Vantageスタジオ 権瓶 昇栄</t>
  </si>
  <si>
    <t>葭原美知恵</t>
  </si>
  <si>
    <t>【退職】【業】2024/06/28 2024/06/30 Vantageスタジオ 葭原 美知恵</t>
  </si>
  <si>
    <t>村上真a</t>
  </si>
  <si>
    <t>【退職】【業】 6/28 6/30 デザイン本部 村上 真a</t>
  </si>
  <si>
    <t>中村一哉</t>
  </si>
  <si>
    <t>【退職】【業】6/28 6/30 ｿｰｼｬﾙﾍﾞｯﾃｨﾝｸﾞ事業本部 中村 一哉</t>
  </si>
  <si>
    <t>森田美穂</t>
  </si>
  <si>
    <t>【退職】【業】6/28 6/30 ｿｰｼｬﾙﾍﾞｯﾃｨﾝｸﾞ事業本部 森田 美穂</t>
  </si>
  <si>
    <t>奥田耕輔</t>
  </si>
  <si>
    <t>【退職】【業】6/27 6/30 ｿｰｼｬﾙﾍﾞｯﾃｨﾝｸﾞ事業本部 奥田 耕輔</t>
  </si>
  <si>
    <t>石森大貴</t>
  </si>
  <si>
    <t>【退職】【業】6/27 6/30 ｿｰｼｬﾙﾍﾞｯﾃｨﾝｸﾞ事業本部 石森 大貴</t>
  </si>
  <si>
    <t>石田彩乃</t>
  </si>
  <si>
    <t>【退職】【派】06/21 06/30 開発本部 石田 彩乃</t>
  </si>
  <si>
    <t>齋藤大輔a</t>
  </si>
  <si>
    <t>【退職】【業】 6/14 6/15 投資事業推進本部 齋藤 大輔a</t>
  </si>
  <si>
    <t>喜納惟斗a</t>
  </si>
  <si>
    <t>【退職】【業】 06/13 6/15 投資事業推進本部 喜納 惟斗a</t>
  </si>
  <si>
    <t>亀田真央</t>
  </si>
  <si>
    <t>【退職】 【業】 06/14 06/15  投資事業推進本部 亀田 真央</t>
  </si>
  <si>
    <t>松枝祐一</t>
  </si>
  <si>
    <t>【退職】 【業】 06/14 06/15 投資事業推進本部 松枝 祐一</t>
  </si>
  <si>
    <t>権藤悠a</t>
  </si>
  <si>
    <t>【退職】【業】2023/06/14 2023/06/15 投資事業推進本部 権藤 悠a</t>
  </si>
  <si>
    <t>石渡新治a</t>
  </si>
  <si>
    <t>【退職】【業】06/28 06/30 デジタルエンターテインメントオペレーションズ本部 石渡 新治a</t>
  </si>
  <si>
    <t>蕪木貴央</t>
  </si>
  <si>
    <t>【退職】【正】6/28 6/30 ｿｰｼｬﾙﾍﾞｯﾃｨﾝｸﾞ事業本部 蕪木 貴央</t>
  </si>
  <si>
    <t>渡邊慎平</t>
  </si>
  <si>
    <t>【退職】【正】6/14 8/10 ｿｰｼｬﾙﾍﾞｯﾃｨﾝｸﾞ事業本部  渡邊 慎平</t>
  </si>
  <si>
    <t>柳沢純一</t>
  </si>
  <si>
    <t>【退職】【業】06/28 06/30 ﾃﾞｼﾞﾀﾙｴﾝﾀｰﾃｲﾝﾒﾝﾄﾊﾟﾌﾞﾘｯｼﾝｸﾞ本部 柳沢 純一</t>
  </si>
  <si>
    <t>野口剛志</t>
  </si>
  <si>
    <t>【退職】【業】06/28 06/30 ﾃﾞｼﾞﾀﾙｴﾝﾀｰﾃｲﾝﾒﾝﾄﾊﾟﾌﾞﾘｯｼﾝｸﾞ本部 野口 剛志</t>
  </si>
  <si>
    <t>蓮田翔太</t>
  </si>
  <si>
    <t>【退職】【業】06/28 06/30 ﾃﾞｼﾞﾀﾙｴﾝﾀｰﾃｲﾝﾒﾝﾄﾊﾟﾌﾞﾘｯｼﾝｸﾞ本部 蓮田  翔太</t>
  </si>
  <si>
    <t>奥野友樹</t>
  </si>
  <si>
    <t>【退職】【業】06/28 06/30 ﾃﾞｼﾞﾀﾙｴﾝﾀｰﾃｲﾝﾒﾝﾄﾊﾟﾌﾞﾘｯｼﾝｸﾞ本部 奥野 友樹</t>
  </si>
  <si>
    <t>木村竜</t>
  </si>
  <si>
    <t>【退職】【業】06/28 06/30 ﾃﾞｼﾞﾀﾙｴﾝﾀｰﾃｲﾝﾒﾝﾄﾊﾟﾌﾞﾘｯｼﾝｸﾞ本部 木村    竜</t>
  </si>
  <si>
    <t>碓氷一馬</t>
  </si>
  <si>
    <t>【退職】【業】06/28 06/30 ﾃﾞｼﾞﾀﾙｴﾝﾀｰﾃｲﾝﾒﾝﾄﾊﾟﾌﾞﾘｯｼﾝｸﾞ本部 碓氷  一馬</t>
  </si>
  <si>
    <t>中村智哉</t>
  </si>
  <si>
    <t>【退職】【業】06/28 06/30 ﾃﾞｼﾞﾀﾙｴﾝﾀｰﾃｲﾝﾒﾝﾄﾊﾟﾌﾞﾘｯｼﾝｸﾞ本部 中村 智哉</t>
  </si>
  <si>
    <t>渡辺雄太a</t>
  </si>
  <si>
    <t>【退職】【業】06/28 06/30 ﾃﾞｼﾞﾀﾙｴﾝﾀｰﾃｲﾝﾒﾝﾄﾊﾟﾌﾞﾘｯｼﾝｸﾞ本部 渡辺  雄太a</t>
  </si>
  <si>
    <t>下原博隆</t>
  </si>
  <si>
    <t>【退職】【業】06/28 06/30 ﾃﾞｼﾞﾀﾙｴﾝﾀｰﾃｲﾝﾒﾝﾄﾊﾟﾌﾞﾘｯｼﾝｸﾞ本部 下原 博隆</t>
  </si>
  <si>
    <t>大井英也</t>
  </si>
  <si>
    <t>【退職】【正】6/14 6/30 ﾃﾞｼﾞﾀﾙｴﾝﾀｰﾃｲﾝﾒﾝﾄﾊﾟﾌﾞﾘｯｼﾝｸﾞ本部 大井 英也</t>
  </si>
  <si>
    <t>中野敬視</t>
  </si>
  <si>
    <t>【退職】【ア】06/14 06/14 人事本部 中野 敬視</t>
  </si>
  <si>
    <t>岸松依子</t>
  </si>
  <si>
    <t>【退職】【派】06/27 06/30 人事本部 岸松 依子</t>
  </si>
  <si>
    <t>塚本仁希</t>
  </si>
  <si>
    <t>【退職】【業】6/26 6/28 ﾗｲﾌﾞｴｸｽﾍﾟﾘｴﾝｽ事業本部 塚本 仁希</t>
  </si>
  <si>
    <t>谷戸大悟</t>
  </si>
  <si>
    <t>【退職】【正】6/14 6/30 デザイン本部 谷戸 大悟</t>
  </si>
  <si>
    <t>石井正男</t>
  </si>
  <si>
    <t>【退職】　【業】　6/26 6/30 ｿｰｼｬﾙﾍﾞｯﾃｨﾝｸﾞ事業本部 石井 正男</t>
  </si>
  <si>
    <t>菊地政利</t>
  </si>
  <si>
    <t>【退職】【派】6/28 6/30 デジタルエンターテインメントオペレーションズ本部　菊地 政利</t>
  </si>
  <si>
    <t>今出恵利</t>
  </si>
  <si>
    <t>【退職】【派】6/24 6/30 チャリ・ロト 今出 恵利</t>
  </si>
  <si>
    <t>東口夏子</t>
  </si>
  <si>
    <t>【退職】【派】7/4 7/31事業戦略部 東口 夏子</t>
  </si>
  <si>
    <t>神田海優</t>
  </si>
  <si>
    <t>【退職】【ア】05/03 06/30 サービス推進開発本部 神田 海優</t>
  </si>
  <si>
    <t>窪田琴美</t>
  </si>
  <si>
    <t>【退職 】【正】2021/5/17 2024/06/27 ﾃﾞｼﾞﾀﾙｴﾝﾀｰﾃｲﾝﾒﾝﾄｵﾍﾟﾚｰｼｮﾝｽﾞ本部　窪田 琴美</t>
  </si>
  <si>
    <t>大井香樹衣</t>
  </si>
  <si>
    <t>【退職】【業】5/27 5/31 開発本部 大井 香樹衣</t>
  </si>
  <si>
    <t>仲村大輔</t>
  </si>
  <si>
    <t>【退職】【正】06/17 06/30 Vantageスタジオ 仲村 大輔</t>
  </si>
  <si>
    <t>浦田有</t>
  </si>
  <si>
    <t>【退職】【派】5/31 5/31 投資事業推進本部 浦田 有</t>
  </si>
  <si>
    <t>根本淳成a</t>
  </si>
  <si>
    <t>【退職】【正】2023/11/21 2024/5/31 デジタルエンターテイメントパブリッシング事業本部 根本 淳成a</t>
  </si>
  <si>
    <t>安齋士</t>
  </si>
  <si>
    <t>【退職】【契】6/18 7/31 CS本部 安齋 士</t>
  </si>
  <si>
    <t xml:space="preserve">ｺｰﾎﾟﾚｰﾄｴﾝｼﾞﾆｱﾘﾝｸﾞ部 </t>
  </si>
  <si>
    <t>城戸志織</t>
  </si>
  <si>
    <t>【退職】【業】05/30 05/30 はたらく環境推進本部 城戸 志織</t>
  </si>
  <si>
    <t>安達理紗a</t>
  </si>
  <si>
    <t>【退職】【派】2024/05/31 2024/05/31 チャリ・ロト 安達 理紗a</t>
  </si>
  <si>
    <t>伊藤周也</t>
  </si>
  <si>
    <t>【退職】【業】5/31 5/31 はたらく環境推進本部 伊藤 周也</t>
  </si>
  <si>
    <t>宮島泰視</t>
  </si>
  <si>
    <t>【退職】【業】05/31 05/31 ﾃﾞｼﾞﾀﾙｴﾝﾀｰﾃｲﾝﾒﾝﾄﾊﾟﾌﾞﾘｯｼﾝｸﾞ本部 宮島 泰視</t>
  </si>
  <si>
    <t>小野大樹</t>
  </si>
  <si>
    <t>【退職】【正】6/28 6/30 ﾃﾞｼﾞﾀﾙｴﾝﾀｰﾃｲﾝﾒﾝﾄｵﾍﾟﾚｰｼｮﾝｽﾞ本部 小野 大樹</t>
  </si>
  <si>
    <t>小沼一紀</t>
  </si>
  <si>
    <t>【退職】【業】6/14  6/16 はたらく環境推進本部 小沼 一紀</t>
  </si>
  <si>
    <t>秋吉耕太郎</t>
  </si>
  <si>
    <t>【退職】【契】6/28 6/30 みてねプロダクト開発部 秋吉 耕太郎</t>
  </si>
  <si>
    <t>西條志歩</t>
  </si>
  <si>
    <t>【退職】【契】6/14 6/30 CS本部 西條 志歩</t>
  </si>
  <si>
    <t>小湊瑞希</t>
  </si>
  <si>
    <t>【退職】【正】06/07 06/30 デジタルエンターテインメントオペレーションズ本部 小湊 瑞希</t>
  </si>
  <si>
    <t>【退職】【業】6/28 6/30 ﾃﾞｼﾞﾀﾙｴﾝﾀｰﾃｲﾝﾒﾝﾄｵﾍﾟﾚｰｼｮﾝｽﾞ本部 新岡 宗一朗</t>
  </si>
  <si>
    <t>【退職】 【正】 06/30 06/30 Vantageスタジオ 太田 雅登</t>
  </si>
  <si>
    <t>平塚弥生</t>
  </si>
  <si>
    <t>【退職】【正】5/31 6/30 人事本部 平塚 弥生</t>
  </si>
  <si>
    <t>幸田美紀子</t>
  </si>
  <si>
    <t>【退職】【業】5/31 5/31 Vantageスタジオ 幸田 美紀子</t>
  </si>
  <si>
    <t>古林俊佑</t>
  </si>
  <si>
    <t>【退職】【業】5/31 5/31 Vantageスタジオ 古林 俊佑</t>
  </si>
  <si>
    <t>木村剛継</t>
  </si>
  <si>
    <t>【退職】【業】05/31 05/31 ﾃﾞｼﾞﾀﾙｴﾝﾀｰﾃｲﾝﾒﾝﾄﾊﾟﾌﾞﾘｯｼﾝｸﾞ本部 木村 剛継</t>
  </si>
  <si>
    <t>堀部映美鈴</t>
  </si>
  <si>
    <t>【退職】【業】05/31 05/31 ﾃﾞｼﾞﾀﾙｴﾝﾀｰﾃｲﾝﾒﾝﾄﾊﾟﾌﾞﾘｯｼﾝｸﾞ本部 堀部 映美鈴</t>
  </si>
  <si>
    <t>降矢大樹</t>
  </si>
  <si>
    <t>【退職】【正】2024/07/19 2024/07/31 ﾃﾞｼﾞﾀﾙｴﾝﾀｰﾃｲﾝﾒﾝﾄｵﾍﾟﾚｰｼｮﾝｽﾞ本部 降矢 大樹</t>
  </si>
  <si>
    <t>【退職】【派】05/31 05/31 ｺﾝﾌﾟﾗｲｱﾝｽ本部 鈴木 弘美</t>
  </si>
  <si>
    <t>大崎麻知子</t>
  </si>
  <si>
    <t>【退職】【派】5/10 5/10 チャリ・ロト 大崎 麻知子</t>
  </si>
  <si>
    <t>原田愛子</t>
  </si>
  <si>
    <t>【退職】【派】5/31 5/31 ｻｰﾋﾞｽ推進開発本部 原田 愛子（ND）</t>
  </si>
  <si>
    <t>馬淵俊弥</t>
  </si>
  <si>
    <t>【退職】【正】5/24 6/30 開発本部たんぽぽ室 馬淵 俊弥</t>
  </si>
  <si>
    <t>佐藤あゆみ</t>
  </si>
  <si>
    <t>【退職】【派】05/27 05/31 デジタルエンターテインメントオペレーションズ本部 佐藤 あゆみ</t>
  </si>
  <si>
    <t>早津祐香</t>
  </si>
  <si>
    <t>【退職】【業】5/31 5/31 デジタルエンターテインメントオペレーションズ本部 早津 祐香</t>
  </si>
  <si>
    <t>【退職 】【正】08/09 09/30  ﾃﾞｼﾞﾀﾙｴﾝﾀｰﾃｲﾝﾒﾝﾄｵﾍﾟﾚｰｼｮﾝｽﾞ本部 川崎 豊</t>
  </si>
  <si>
    <t>高橋元喜</t>
  </si>
  <si>
    <t>【退職】【業】05/29 05/29 デジタルエンターテインメントオペレーションズ本部 高橋 元喜</t>
  </si>
  <si>
    <t>山内達也</t>
  </si>
  <si>
    <t>【退職】【正】07/08 07/31 開発本部 山内 達也</t>
  </si>
  <si>
    <t>菅原元気</t>
  </si>
  <si>
    <t>【退職】【正】5/31 5/31 開発本部 菅原 元気</t>
  </si>
  <si>
    <t>加藤史久</t>
  </si>
  <si>
    <t>【退職】【業】05/23 05/23 ﾃﾞｼﾞﾀﾙｴﾝﾀｰﾃｲﾝﾒﾝﾄｵﾍﾟﾚｰｼｮﾝｽﾞ本部 加藤 史久</t>
  </si>
  <si>
    <t>佐藤良祐</t>
  </si>
  <si>
    <t>【退職】【正】6/27 6/30 開発本部 佐藤 良祐</t>
  </si>
  <si>
    <t>宮﨑響子a</t>
  </si>
  <si>
    <t>【退職】【業】5/31 5/31 ラブグラフ 宮﨑 響子a</t>
  </si>
  <si>
    <t>霜田孝雄</t>
  </si>
  <si>
    <t>【退職】【正】06/10 07/31開発本部 霜田 孝雄</t>
  </si>
  <si>
    <t>川本岳史</t>
  </si>
  <si>
    <t>【退職】【ア】05/20 05/31 ラブグラフ 川本 岳史</t>
  </si>
  <si>
    <t>若松弘之</t>
  </si>
  <si>
    <t>【退職】【役員】06/26　06/26　若松 弘之</t>
  </si>
  <si>
    <t>長田有喜</t>
  </si>
  <si>
    <t>【退職】【役員退任】【役員】06/26　06/26　長田 有喜</t>
  </si>
  <si>
    <t>小牧信貴</t>
  </si>
  <si>
    <t>【退職】【正】6/28 6/30 コンプライアンス本部 小牧 信貴</t>
  </si>
  <si>
    <t>川口裕太郎b</t>
  </si>
  <si>
    <t>【退職】【業】05/31 05/31 デジタルエンターテインメントオペレーションズ本部 川口 裕太郎b</t>
  </si>
  <si>
    <t>ﾀﾞﾐｰｾｷｭﾘﾃｨ室</t>
  </si>
  <si>
    <t>小林聖哉</t>
  </si>
  <si>
    <t>【退職】【正】05/31　06/30　セキュリティ室　小林 聖哉</t>
  </si>
  <si>
    <t>濱谷裕平</t>
  </si>
  <si>
    <t>【退職】【業】 5/31 5/31 デザイン本部 濱谷 裕平</t>
  </si>
  <si>
    <t>寺﨑大剛</t>
  </si>
  <si>
    <t>【退職】【業】5/31 5/31 ｿｰｼｬﾙﾍﾞｯﾃｨﾝｸﾞ事業本部 寺﨑 大剛</t>
  </si>
  <si>
    <t>三ッ口菜摘</t>
  </si>
  <si>
    <t>【退職】【業】5/31 5/31 ｿｰｼｬﾙﾍﾞｯﾃｨﾝｸﾞ事業本部 三ッ口 菜摘</t>
  </si>
  <si>
    <t>小山菜津美</t>
  </si>
  <si>
    <t>【退職】【業】5/30 5/31 ｿｰｼｬﾙﾍﾞｯﾃｨﾝｸﾞ事業本部 小山 菜津美</t>
  </si>
  <si>
    <t>【退職】【業】5/31 5/31 デジタルエンターテインメントオペレーションズ本部　樽田 真奈</t>
  </si>
  <si>
    <t>伊東宏起</t>
  </si>
  <si>
    <t>【退職】【正】5/17 6/30 Vantageｽﾀｼﾞｵ 伊東 宏起</t>
  </si>
  <si>
    <t>チャントレーシー</t>
  </si>
  <si>
    <t>【退職】【業】5/31 5/31 ｿｰｼｬﾙﾍﾞｯﾃｨﾝｸﾞ事業本部 チャン トレーシー</t>
  </si>
  <si>
    <t xml:space="preserve">海外ベッティング事業部  </t>
  </si>
  <si>
    <t xml:space="preserve">ソーシャルベッティング事業本部 </t>
  </si>
  <si>
    <t>【退職】【業】5/15 5/15 ｿｰｼｬﾙﾍﾞｯﾃｨﾝｸﾞ事業本部 伊藤 翔</t>
  </si>
  <si>
    <t>高山祐輔</t>
  </si>
  <si>
    <t>【退職】【正】5/31 6/15 開発本部 高山 祐輔</t>
  </si>
  <si>
    <t>中野寿代</t>
  </si>
  <si>
    <t>【退職】【派】4/30 4/30　ﾋﾞｼﾞﾈｽ開発本部　中野 寿代（ND）</t>
  </si>
  <si>
    <t>富田将俊</t>
  </si>
  <si>
    <t>【退職】【正】5/31 6/30 デザイン本部 富田 将俊</t>
  </si>
  <si>
    <t>桑原勇気</t>
  </si>
  <si>
    <t>【退職】【業】04/30 04/30 ﾃﾞｼﾞﾀﾙｴﾝﾀｰﾃｲﾝﾒﾝﾄｵﾍﾟﾚｰｼｮﾝｽﾞ本部 桑原 勇気</t>
  </si>
  <si>
    <t>佐藤梨花子</t>
  </si>
  <si>
    <t>【退職】【派】04/16 04/26 人事本部 佐藤 梨花子</t>
  </si>
  <si>
    <t>池田聡史</t>
  </si>
  <si>
    <t>【退職】【業】2024/4/30 4/30 ライブエクスペリエンス事業本部　池田 聡史</t>
  </si>
  <si>
    <t>伊藤理人</t>
  </si>
  <si>
    <t>【退職】【業】4/26 4/30 デザイン本部 伊藤 理人</t>
  </si>
  <si>
    <t>島元彰悟a</t>
  </si>
  <si>
    <t>【退職】【業】4/30 4/30　開発本部　島元 彰悟a</t>
  </si>
  <si>
    <t>元木健太郎</t>
  </si>
  <si>
    <t>【退職】【業】4/30 4/30 ビジネス開発本部 元木 健太郎（ND）</t>
  </si>
  <si>
    <t>渡邊慎</t>
  </si>
  <si>
    <t>【退職】【業】04/26  04/30  投資事業推進本部  渡邊 慎</t>
  </si>
  <si>
    <t>松田悠右人</t>
  </si>
  <si>
    <t xml:space="preserve">【退職】【ア】5/15　5/16　人事本部　松田 悠右人	</t>
  </si>
  <si>
    <t>鈴木祐丞</t>
  </si>
  <si>
    <t>【退職】【正】07/10 08/31 経営推進本部 鈴木 祐丞</t>
  </si>
  <si>
    <t>安里大志</t>
  </si>
  <si>
    <t>【退職】【正】05/14 05/15 開発本部 安里 大志</t>
  </si>
  <si>
    <t>因幡陽子</t>
  </si>
  <si>
    <t>【退職】【派】04/26 04/30 経営推進本部 因幡 陽子</t>
  </si>
  <si>
    <t>椎名紋世</t>
  </si>
  <si>
    <t>【退職】【派】2024/4/22 2024/4/22　椎名 紋世（ND）</t>
  </si>
  <si>
    <t>高澤紳悟</t>
  </si>
  <si>
    <t>【退職】【正】06/07 06/10 ﾗｲﾌﾞｴｸｽﾍﾟﾘｴﾝｽ事業本部 高澤 紳悟</t>
  </si>
  <si>
    <t>脇田康平</t>
  </si>
  <si>
    <t>【退職】【ア】4/30　4/30　人事本部　脇田 康平</t>
  </si>
  <si>
    <t>西久保宣紀</t>
  </si>
  <si>
    <t>【退職】【正】04/30 04/30 ﾃﾞｼﾞﾀﾙｴﾝﾀｰﾃｲﾝﾒﾝﾄﾊﾟﾌﾞﾘｯｼﾝｸﾞ本部 西久保 宣紀</t>
  </si>
  <si>
    <t>池間陽一</t>
  </si>
  <si>
    <t>【退職】【業】4/26 4/30 開発本部 池間 陽一</t>
  </si>
  <si>
    <t xml:space="preserve"> CS本部</t>
  </si>
  <si>
    <t>【退職】【正】6/28 /6/30  CS本部 疋田 建典</t>
  </si>
  <si>
    <t>清水秀統</t>
  </si>
  <si>
    <t>【退職】【業】4/30 4/30 ｿｰｼｬﾙﾍﾞｯﾃｨﾝｸﾞ事業本部 清水 秀統</t>
  </si>
  <si>
    <t>佐竹正安a</t>
  </si>
  <si>
    <t>【退職】【業】4/18 4/18 ライブエクスペリエンス事業本部 佐竹 正安a</t>
  </si>
  <si>
    <t>【退職】【正】06/27 06/30 人事本部 菅原 亜弓</t>
  </si>
  <si>
    <t>【退職】【正】2024/06/07 2024/06/30 ﾃﾞｼﾞﾀﾙｴﾝﾀｰﾃｲﾝﾒﾝﾄｵﾍﾟﾚｰｼｮﾝｽﾞ本部 小湊 瑞希</t>
  </si>
  <si>
    <t>青柳美乃里</t>
  </si>
  <si>
    <t>【退職】【正】10/30 4/30 デザイン本部 青柳 美乃里</t>
  </si>
  <si>
    <t>柿田明彦</t>
  </si>
  <si>
    <t>【退職】【正】05/31 05/31 Vantageスタジオ 柿田 明彦</t>
  </si>
  <si>
    <t>【退職】【業】4/30 4/30 ｿｰｼｬﾙﾍﾞｯﾃｨﾝｸﾞ事業本部 神田 苑子</t>
  </si>
  <si>
    <t>小森裕介</t>
  </si>
  <si>
    <t>【退職】【業】04/30 04/30 ﾃﾞｼﾞﾀﾙｴﾝﾀｰﾃｲﾝﾒﾝﾄﾊﾟﾌﾞﾘｯｼﾝｸﾞ本部 小森 裕介</t>
  </si>
  <si>
    <t>佐藤真人</t>
  </si>
  <si>
    <t>【退職】【業】04/30 04/30 ﾃﾞｼﾞﾀﾙｴﾝﾀｰﾃｲﾝﾒﾝﾄﾊﾟﾌﾞﾘｯｼﾝｸﾞ本部 佐藤 真人</t>
  </si>
  <si>
    <t>高崎俊行</t>
  </si>
  <si>
    <t>【退職】【業】04/30 04/30 ﾃﾞｼﾞﾀﾙｴﾝﾀｰﾃｲﾝﾒﾝﾄﾊﾟﾌﾞﾘｯｼﾝｸﾞ本部 高崎 俊行</t>
  </si>
  <si>
    <t>三嶋彩香</t>
  </si>
  <si>
    <t>【退職】【業】04/30 04/30 ﾃﾞｼﾞﾀﾙｴﾝﾀｰﾃｲﾝﾒﾝﾄﾊﾟﾌﾞﾘｯｼﾝｸﾞ本部 三嶋 彩香</t>
  </si>
  <si>
    <t>大野真樹</t>
  </si>
  <si>
    <t>【退職】【業】04/30 04/30 ﾃﾞｼﾞﾀﾙｴﾝﾀｰﾃｲﾝﾒﾝﾄﾊﾟﾌﾞﾘｯｼﾝｸﾞ本部 大野 真樹</t>
  </si>
  <si>
    <t>中野真由</t>
  </si>
  <si>
    <t>【退職】【業】04/30 04/30 ﾃﾞｼﾞﾀﾙｴﾝﾀｰﾃｲﾝﾒﾝﾄﾊﾟﾌﾞﾘｯｼﾝｸﾞ本部 中野 真由</t>
  </si>
  <si>
    <t>【退職】【派】5/15 5/15 デザイン本部 赤松 裕之</t>
  </si>
  <si>
    <t>【退職】【正】05/15 05/15 デザイン本部 早坂 匠</t>
  </si>
  <si>
    <t>小林正宗</t>
  </si>
  <si>
    <t>【退職】【正】2024/05/10 2024/06/15 ライブエクスペリエンス事業本部 小林 正宗</t>
  </si>
  <si>
    <t>松上寿支</t>
  </si>
  <si>
    <t>【退職】【正】2024/05/10 2024/06/15 ライブエクスペリエンス事業本部 松上 寿支</t>
  </si>
  <si>
    <t>木村圭佑</t>
  </si>
  <si>
    <t>【退職】【正】5/17 6/30 投資事業推進本部 木村 圭佑</t>
  </si>
  <si>
    <t>豊竹善久</t>
  </si>
  <si>
    <t>【退職】【正】2024/04/09 2024/06/15ライブエクスペリエンス事業本部 豊竹 善久</t>
  </si>
  <si>
    <t>豊田正宗</t>
  </si>
  <si>
    <t>【退職】【正】 04/15 04/15 ラブグラフ 豊田 正宗</t>
  </si>
  <si>
    <t>荒田駿介</t>
  </si>
  <si>
    <t>【退職】【正】 04/30 04/30 ラブグラフ 荒田 駿介</t>
  </si>
  <si>
    <t>園原聖崇</t>
  </si>
  <si>
    <t>【退職】【正】06/14 06/14 ﾃﾞｼﾞﾀﾙｴﾝﾀｰﾃｲﾝﾒﾝﾄﾊﾟﾌﾞﾘｯｼﾝｸﾞ本部 園原 聖崇</t>
  </si>
  <si>
    <t>小林悠喜a</t>
  </si>
  <si>
    <t>【退職】【業】04/26 04/30 ﾃﾞｼﾞﾀﾙｴﾝﾀｰﾃｲﾝﾒﾝﾄﾊﾟﾌﾞﾘｯｼﾝｸﾞ本部 小林 悠喜a</t>
  </si>
  <si>
    <t>河上聖治</t>
  </si>
  <si>
    <t>【退職】【業】04/26 04/30 ﾃﾞｼﾞﾀﾙｴﾝﾀｰﾃｲﾝﾒﾝﾄﾊﾟﾌﾞﾘｯｼﾝｸﾞ本部 河上 聖治</t>
  </si>
  <si>
    <t>小澤慎平</t>
  </si>
  <si>
    <t>【退職】【業】04/09 04/09 ﾃﾞｼﾞﾀﾙｴﾝﾀｰﾃｲﾝﾒﾝﾄﾊﾟﾌﾞﾘｯｼﾝｸﾞ本部 小澤 慎平</t>
  </si>
  <si>
    <t>長壁涼介</t>
  </si>
  <si>
    <t>【退職】【業】04/09 04/09 ﾃﾞｼﾞﾀﾙｴﾝﾀｰﾃｲﾝﾒﾝﾄﾊﾟﾌﾞﾘｯｼﾝｸﾞ本部 長壁 涼介</t>
  </si>
  <si>
    <t xml:space="preserve">【退職】【正】2024/04/26 2024/05/15 ﾃﾞｼﾞﾀﾙｴﾝﾀｰﾃｲﾝﾒﾝﾄｵﾍﾟﾚｰｼｮﾝｽﾞ本部 栗丸 侑大 </t>
  </si>
  <si>
    <t>大貫陽平</t>
  </si>
  <si>
    <t>【退職】【業】3/31 3/31 ライブエクスペリエンス事業本部 大貫 陽平</t>
  </si>
  <si>
    <t>慶田実花</t>
  </si>
  <si>
    <t>【退職】3/29 3/29 ﾃﾞｼﾞﾀﾙｴﾝﾀｰﾃｲﾝﾒﾝﾄﾊﾟﾌﾞﾘｯｼﾝｸﾞ本部 慶田 実花</t>
  </si>
  <si>
    <t>佐野絵里香</t>
  </si>
  <si>
    <t>【退職】【業】4/17 4/18 デザイン本部 佐野 絵里香</t>
  </si>
  <si>
    <t>大槻英莉</t>
  </si>
  <si>
    <t>【退職】【業】3/29 3/29 Vantageスタジオ 大槻 英莉</t>
  </si>
  <si>
    <t>星野忠行</t>
  </si>
  <si>
    <t>【退職】【業】03/29 03/31 ﾃﾞｼﾞﾀﾙｴﾝﾀｰﾃｲﾝﾒﾝﾄﾊﾟﾌﾞﾘｯｼﾝｸﾞ本部 星野 忠行</t>
  </si>
  <si>
    <t>青木信幸</t>
  </si>
  <si>
    <t>【退職】【業】03/29 03/31 ﾃﾞｼﾞﾀﾙｴﾝﾀｰﾃｲﾝﾒﾝﾄﾊﾟﾌﾞﾘｯｼﾝｸﾞ本部 青木 信幸</t>
  </si>
  <si>
    <t>瀬沼崇</t>
  </si>
  <si>
    <t>【退職】【業】3/29 3/31 デジタルエンターテインメントパブリッシング本部 瀬沼 崇</t>
  </si>
  <si>
    <t>岡出莉菜</t>
  </si>
  <si>
    <t>【退職】【業】04/15 04/30 デザイン本部 岡出 莉菜</t>
  </si>
  <si>
    <t>城野萌</t>
  </si>
  <si>
    <t>【退職】【業】04/15 04/30 デザイン本部 城野 萌</t>
  </si>
  <si>
    <t>蓮見和也</t>
  </si>
  <si>
    <t>【退職】【業】04/03 04/03 ﾃﾞｼﾞﾀﾙｴﾝﾀｰﾃｲﾝﾒﾝﾄﾊﾟﾌﾞﾘｯｼﾝｸﾞ本部 蓮見 和也</t>
  </si>
  <si>
    <t>渡瀬智</t>
  </si>
  <si>
    <t>【退職】【業】04/03 04/03 ﾃﾞｼﾞﾀﾙｴﾝﾀｰﾃｲﾝﾒﾝﾄﾊﾟﾌﾞﾘｯｼﾝｸﾞ本部 渡瀬 智</t>
  </si>
  <si>
    <t>岡直</t>
  </si>
  <si>
    <t>【退職】【ア】03/28 03/31 スフィダンテ 岡 直</t>
  </si>
  <si>
    <t>宇治優花</t>
  </si>
  <si>
    <t>【退職】【ア】03/28 03/31 スフィダンテ 宇治 優花</t>
  </si>
  <si>
    <t>清水友浩</t>
  </si>
  <si>
    <t>【退職】【ア】03/28 03/31 スフィダンテ 清水 友浩</t>
  </si>
  <si>
    <t>新井田裕介</t>
  </si>
  <si>
    <t>【退職】【ア】03/28 03/31 スフィダンテ 新井田 裕介</t>
  </si>
  <si>
    <t>松本江平</t>
  </si>
  <si>
    <t>【退職】【ア】03/28 03/31 スフィダンテ 松本 江平</t>
  </si>
  <si>
    <t>横倉清恵</t>
  </si>
  <si>
    <t>【退職】【業】03/27 03/31 スフィダンテ 横倉 清恵</t>
  </si>
  <si>
    <t>山下大智</t>
  </si>
  <si>
    <t>【退職】【正】03/27 03/31 スフィダンテ 山下 大智</t>
  </si>
  <si>
    <t>国定泰宏</t>
  </si>
  <si>
    <t>【退職】【業】3/29 3/29　開発本部　国定 泰宏</t>
  </si>
  <si>
    <t>村山敬祐</t>
  </si>
  <si>
    <t>【退職】【業】3/29 3/29　開発本部　村山 敬祐</t>
  </si>
  <si>
    <t>須藤祐哉</t>
  </si>
  <si>
    <t>【退職】【業】3/29 3/29　開発本部　須藤 祐哉</t>
  </si>
  <si>
    <t>西田貴弘</t>
  </si>
  <si>
    <t>【退職】【業】3/29  4/5 人事本部 西田 貴弘</t>
  </si>
  <si>
    <t>玉村武士</t>
  </si>
  <si>
    <t>【退職】【業】3/29　3/29　経営推進本部　玉村 武士</t>
  </si>
  <si>
    <t>金子奈那子</t>
  </si>
  <si>
    <t>【退職】【ア】03/29 03/31 スフィダンテ 金子 奈那子</t>
  </si>
  <si>
    <t>平子貴永子</t>
  </si>
  <si>
    <t>【退職】【正】03/29 03/31 スフィダンテ 平子 貴永子</t>
  </si>
  <si>
    <t>平尾汐理</t>
  </si>
  <si>
    <t>【退職】【業】3/29 3/31 開発本部 平尾 汐理</t>
  </si>
  <si>
    <t>喜納惟斗</t>
  </si>
  <si>
    <t>【退職】【業】03/29 03/31 投資事業推進本部 喜納 惟斗</t>
  </si>
  <si>
    <t>権藤悠</t>
  </si>
  <si>
    <t>【退職】【業】03/29 03/31 投資事業推進本部 権藤 悠</t>
  </si>
  <si>
    <t>大貫佳乃</t>
  </si>
  <si>
    <t>【退職】【業】3/28 3/31 ラブグラフ 大貫 佳乃</t>
  </si>
  <si>
    <t xml:space="preserve">CTO室 </t>
  </si>
  <si>
    <t>野本梨紗</t>
  </si>
  <si>
    <t>【退職】【業】3/29 3/31 開発本部 野本 梨紗</t>
  </si>
  <si>
    <t>ｻｰﾋﾞｽ運営開発本部</t>
  </si>
  <si>
    <t>山崎政孝</t>
  </si>
  <si>
    <t>【退職】【業】3/29　3/31　ｻｰﾋﾞｽ運営開発本部　山崎 政孝（ND）</t>
  </si>
  <si>
    <t>藤川開世</t>
  </si>
  <si>
    <t>【退職】【業】3/27 3/31 はたらく環境推進本部 藤川 開世</t>
  </si>
  <si>
    <t>井本誠</t>
  </si>
  <si>
    <t>【退職】【業】3/26 3/31 ｿｰｼｬﾙﾍﾞｯﾃｨﾝｸﾞ事業本部 井本 誠</t>
  </si>
  <si>
    <t>田代雄一</t>
  </si>
  <si>
    <t>【退職】【業】3/29 3/31 ｿｰｼｬﾙﾍﾞｯﾃｨﾝｸﾞ事業本部 田代 雄一</t>
  </si>
  <si>
    <t>池田雄馬</t>
  </si>
  <si>
    <t>【退職】【業】3/29 3/31 ソーシャルベッティング事業本部　池田 雄馬</t>
  </si>
  <si>
    <t>寺岡夏希</t>
  </si>
  <si>
    <t>【退職】【業】03/29 03/31 ﾃﾞｼﾞﾀﾙｴﾝﾀｰﾃｲﾝﾒﾝﾄﾊﾟﾌﾞﾘｯｼﾝｸﾞ本部 寺岡 夏希</t>
  </si>
  <si>
    <t>齋藤日向子</t>
  </si>
  <si>
    <t>【退職】【派】3/29　3/31　netkeiba事業本部　齋藤 日向子（ND）</t>
  </si>
  <si>
    <t>江草啓晶a</t>
  </si>
  <si>
    <t>【退職】【業】3/29 3/31 ｿｰｼｬﾙﾍﾞｯﾃｨﾝｸﾞ事業本部  江草 啓晶a</t>
  </si>
  <si>
    <t>【退職】【ア】3/27 3/31 人事本部 中野 梨杏</t>
  </si>
  <si>
    <t>【退職】【ア】3/29 3/31 人事本部 雲村 賢太郎</t>
  </si>
  <si>
    <t>秋山周平</t>
  </si>
  <si>
    <t>【退職】【業】3/26 3/26 開発本部 秋山 周平</t>
  </si>
  <si>
    <t>坂本達哉</t>
  </si>
  <si>
    <t>【退職】【業】3/26 3/26 開発本部 坂本 達哉</t>
  </si>
  <si>
    <t>吉田智咲</t>
  </si>
  <si>
    <t>【退職】【ア】3/29 3/31 人事本部 吉田 智咲a</t>
  </si>
  <si>
    <t>【退職】【業】03/29 03/31 スフィダンテ 加藤 愛子</t>
  </si>
  <si>
    <t>玉伊加奈</t>
  </si>
  <si>
    <t>【退職】【業】03/29 03/31 ﾃﾞｼﾞﾀﾙｴﾝﾀｰﾃｲﾝﾒﾝﾄｵﾍﾟﾚｰｼｮﾝｽﾞ本部 玉伊 加奈</t>
  </si>
  <si>
    <t>金子理菜</t>
  </si>
  <si>
    <t>【退職】【業】3/28 3/31 デジタルエンターテインメントオペレーションズ本部　金子 理菜</t>
  </si>
  <si>
    <t>小林可奈a</t>
  </si>
  <si>
    <t>【退職】【業】3/29 3/31 デジタルエンターテインメントオペレーションズ本部 小林 可奈a</t>
  </si>
  <si>
    <t>中田圭祐</t>
  </si>
  <si>
    <t>【退職】【業】03/29 03/31 ﾃﾞｼﾞﾀﾙｴﾝﾀｰﾃｲﾝﾒﾝﾄｵﾍﾟﾚｰｼｮﾝｽﾞ本部 中田 圭祐</t>
  </si>
  <si>
    <t>伊藤愛基</t>
  </si>
  <si>
    <t>【退職】【業】3/28 3/28 ﾗﾌﾞｸﾞﾗﾌ 伊藤 愛基</t>
  </si>
  <si>
    <t>小旗和樹</t>
  </si>
  <si>
    <t>【退職】【ア】2024/03/29 2024/03/31 投資事業推進本部 小旗 和樹</t>
  </si>
  <si>
    <t>八木映子</t>
  </si>
  <si>
    <t>【退職】【ア】2024/03/26 2024/03/31 投資事業推進本部 八木 映子</t>
  </si>
  <si>
    <t>佐藤博</t>
  </si>
  <si>
    <t>【退職】【業】03/27 03/31 投資事業推進本部 佐藤 博</t>
  </si>
  <si>
    <t>横田正史</t>
  </si>
  <si>
    <t>【退職】【業】03/29 03/31 ソーシャルベッティング事業本部 横田 正史</t>
  </si>
  <si>
    <t>伊波元樹</t>
  </si>
  <si>
    <t>【退職】【業】3/29 3/31 デザイン本部 伊波 元樹</t>
  </si>
  <si>
    <t>森澤僚太</t>
  </si>
  <si>
    <t>【退職】【業】03/29 03/31 投資事業推進本部 森澤 僚太</t>
  </si>
  <si>
    <t>矢野雅之</t>
  </si>
  <si>
    <t>【退職】【派】3/29 3/31 デザイン本部 矢野 雅之</t>
  </si>
  <si>
    <t>ファヴァーバスティアン</t>
  </si>
  <si>
    <t>【退職】【業】03/29 03/31 ﾃﾞｼﾞﾀﾙｴﾝﾀｰﾃｲﾝﾒﾝﾄﾊﾟﾌﾞﾘｯｼﾝｸﾞ本部 ファヴァー バスティアン</t>
  </si>
  <si>
    <t>コーリバー</t>
  </si>
  <si>
    <t>【退職】【業】03/29 03/31 ﾃﾞｼﾞﾀﾙｴﾝﾀｰﾃｲﾝﾒﾝﾄﾊﾟﾌﾞﾘｯｼﾝｸﾞ本部 コー リバー</t>
  </si>
  <si>
    <t>大沢峻</t>
  </si>
  <si>
    <t>【退職】【業】03/29 03/31 ﾃﾞｼﾞﾀﾙｴﾝﾀｰﾃｲﾝﾒﾝﾄﾊﾟﾌﾞﾘｯｼﾝｸﾞ本部 大沢 峻</t>
  </si>
  <si>
    <t>高木伸彰</t>
  </si>
  <si>
    <t>【退職】【業】03/29 03/31 ﾃﾞｼﾞﾀﾙｴﾝﾀｰﾃｲﾝﾒﾝﾄﾊﾟﾌﾞﾘｯｼﾝｸﾞ本部 高木 伸彰</t>
  </si>
  <si>
    <t>滝村健太</t>
  </si>
  <si>
    <t>【退職】【業】03/29 03/31 ﾃﾞｼﾞﾀﾙｴﾝﾀｰﾃｲﾝﾒﾝﾄﾊﾟﾌﾞﾘｯｼﾝｸﾞ本部 滝村 健太</t>
  </si>
  <si>
    <t>梅津喬a</t>
  </si>
  <si>
    <t>【退職】【業】03/29 03/31 ﾃﾞｼﾞﾀﾙｴﾝﾀｰﾃｲﾝﾒﾝﾄﾊﾟﾌﾞﾘｯｼﾝｸﾞ本部 梅津 喬a</t>
  </si>
  <si>
    <t>山根直彦a</t>
  </si>
  <si>
    <t>【退職】【業】3/29 3/31 デザイン本部 山根 直彦a</t>
  </si>
  <si>
    <t>星野恵介</t>
  </si>
  <si>
    <t>【退職】【業】03/29 03/31 人事本部 星野 恵介</t>
  </si>
  <si>
    <t>切通伸人</t>
  </si>
  <si>
    <t>【退職】【業】3/29 3/29 ｿｰｼｬﾙﾍﾞｯﾃｨﾝｸﾞ事業本部 切通 伸人</t>
  </si>
  <si>
    <t>【退職】【業】3/29 3/31 デジタルエンターテインメントオペレーションズ本部　宮田 優一b</t>
  </si>
  <si>
    <t>磯辺和彦</t>
  </si>
  <si>
    <t>【退職】【業】03/29 03/29 はたらく環境推進本部 磯辺 和彦</t>
  </si>
  <si>
    <t>大内晴貴</t>
  </si>
  <si>
    <t>【退職】【業】 03/29 03/31 開発本部 大内 晴貴</t>
  </si>
  <si>
    <t>植森康友</t>
  </si>
  <si>
    <t>【退職】【正】 03/29 03/31 開発本部 植森 康友</t>
  </si>
  <si>
    <t>丸山浩司a</t>
  </si>
  <si>
    <t>【退職】【業】2024/3/14 2024/3/31 投資事業推進本部 丸山 浩司a</t>
  </si>
  <si>
    <t xml:space="preserve">  事業推進部</t>
  </si>
  <si>
    <t>岡亮輔a</t>
  </si>
  <si>
    <t>【退職】【業】2024/3/14 2024/3/31 投資事業推進本部 岡 亮輔a</t>
  </si>
  <si>
    <t>久佐野悠a</t>
  </si>
  <si>
    <t>【退職】【業】03/29 03/31 ﾃﾞｼﾞﾀﾙｴﾝﾀｰﾃｲﾝﾒﾝﾄﾊﾟﾌﾞﾘｯｼﾝｸﾞ本部 久佐野 悠a</t>
  </si>
  <si>
    <t>三尾真登</t>
  </si>
  <si>
    <t>【退職】【正】03/12 03/31 ﾃﾞｼﾞﾀﾙｴﾝﾀｰﾃｲﾝﾒﾝﾄﾊﾟﾌﾞﾘｯｼﾝｸﾞ本部 三尾 真登</t>
  </si>
  <si>
    <t>越田梨裟</t>
  </si>
  <si>
    <t>【退職】【派】03/28 03/31 ﾃﾞｼﾞﾀﾙｴﾝﾀｰﾃｲﾝﾒﾝﾄﾊﾟﾌﾞﾘｯｼﾝｸﾞ本部 越田 梨裟</t>
  </si>
  <si>
    <t>江面秀一</t>
  </si>
  <si>
    <t>【退職】【業】03/29 03/31 ﾃﾞｼﾞﾀﾙｴﾝﾀｰﾃｲﾝﾒﾝﾄﾊﾟﾌﾞﾘｯｼﾝｸﾞ本部 江面 秀一</t>
  </si>
  <si>
    <t>宮本篤</t>
  </si>
  <si>
    <t>【退職】【業】03/29 03/31 ﾃﾞｼﾞﾀﾙｴﾝﾀｰﾃｲﾝﾒﾝﾄﾊﾟﾌﾞﾘｯｼﾝｸﾞ本部 宮本 篤</t>
  </si>
  <si>
    <t>松田恭子</t>
  </si>
  <si>
    <t>【退職】【業】03/29 03/31 ﾃﾞｼﾞﾀﾙｴﾝﾀｰﾃｲﾝﾒﾝﾄﾊﾟﾌﾞﾘｯｼﾝｸﾞ本部 松田 恭子</t>
  </si>
  <si>
    <t>富田圭祐</t>
  </si>
  <si>
    <t>【退職】【業】03/29 03/31 ﾃﾞｼﾞﾀﾙｴﾝﾀｰﾃｲﾝﾒﾝﾄﾊﾟﾌﾞﾘｯｼﾝｸﾞ本部 富田 圭祐</t>
  </si>
  <si>
    <t>野口里美</t>
  </si>
  <si>
    <t>【退職】【業】03/29 03/31 ﾃﾞｼﾞﾀﾙｴﾝﾀｰﾃｲﾝﾒﾝﾄﾊﾟﾌﾞﾘｯｼﾝｸﾞ本部 野口 里美</t>
  </si>
  <si>
    <t>奥村綾</t>
  </si>
  <si>
    <t>【退職】【業】03/29 03/31 ﾃﾞｼﾞﾀﾙｴﾝﾀｰﾃｲﾝﾒﾝﾄﾊﾟﾌﾞﾘｯｼﾝｸﾞ本部 奥村 綾</t>
  </si>
  <si>
    <t>野呂和正</t>
  </si>
  <si>
    <t>【退職】【業】03/29 03/31 ﾃﾞｼﾞﾀﾙｴﾝﾀｰﾃｲﾝﾒﾝﾄﾊﾟﾌﾞﾘｯｼﾝｸﾞ本部 野呂 和正</t>
  </si>
  <si>
    <t>上林篤史</t>
  </si>
  <si>
    <t>【退職】【業】03/29 03/31 ﾃﾞｼﾞﾀﾙｴﾝﾀｰﾃｲﾝﾒﾝﾄﾊﾟﾌﾞﾘｯｼﾝｸﾞ本部 上林 篤史</t>
  </si>
  <si>
    <t>宮代光将</t>
  </si>
  <si>
    <t>【退職】【業】03/29 03/31 ﾃﾞｼﾞﾀﾙｴﾝﾀｰﾃｲﾝﾒﾝﾄﾊﾟﾌﾞﾘｯｼﾝｸﾞ本部 宮代 光将</t>
  </si>
  <si>
    <t>水田有哉</t>
  </si>
  <si>
    <t>【退職】【業】03/29 03/31 ﾃﾞｼﾞﾀﾙｴﾝﾀｰﾃｲﾝﾒﾝﾄﾊﾟﾌﾞﾘｯｼﾝｸﾞ本部 水田 有哉</t>
  </si>
  <si>
    <t>皆川優也a</t>
  </si>
  <si>
    <t>【退職】【業】03/29 03/31 ﾃﾞｼﾞﾀﾙｴﾝﾀｰﾃｲﾝﾒﾝﾄﾊﾟﾌﾞﾘｯｼﾝｸﾞ本部 皆川 優也a</t>
  </si>
  <si>
    <t>西村正知</t>
  </si>
  <si>
    <t>【退職】【業】03/29 03/31 ﾃﾞｼﾞﾀﾙｴﾝﾀｰﾃｲﾝﾒﾝﾄﾊﾟﾌﾞﾘｯｼﾝｸﾞ本部 西村 正知</t>
  </si>
  <si>
    <t>田上雅史</t>
  </si>
  <si>
    <t>【退職】【業】03/29 03/31 ﾃﾞｼﾞﾀﾙｴﾝﾀｰﾃｲﾝﾒﾝﾄﾊﾟﾌﾞﾘｯｼﾝｸﾞ本部 田上 雅史</t>
  </si>
  <si>
    <t>池慶彦</t>
  </si>
  <si>
    <t>【退職】【業】3/29 3/31 開発本部 池 慶彦</t>
  </si>
  <si>
    <t>大西啓太郎</t>
  </si>
  <si>
    <t>【退職】【業】3/15 3/15 開発本部 大西 啓太郎</t>
  </si>
  <si>
    <t>今井俊文</t>
  </si>
  <si>
    <t>【退職】【正】3/29 3/31 人事本部　今井 俊文</t>
  </si>
  <si>
    <t>吉田拓人</t>
  </si>
  <si>
    <t>【退職】【業】3/13 3/13 ｿｰｼｬﾙﾍﾞｯﾃｨﾝｸﾞ事業本部 吉田 拓人</t>
  </si>
  <si>
    <t>坂田亜梨紗</t>
  </si>
  <si>
    <t xml:space="preserve">【退職】【派】03/29 03/31 人事本部　坂田 亜梨紗 </t>
  </si>
  <si>
    <t>安井美紗</t>
  </si>
  <si>
    <t xml:space="preserve">【退職】【派】03/19 03/31 人事本部　安井 美紗 </t>
  </si>
  <si>
    <t>菅原伸也</t>
  </si>
  <si>
    <t>【退職】【業】2024/03/29 2024/03/31 Vantageスタジオ 菅原 伸也</t>
  </si>
  <si>
    <t>堀山拓海</t>
  </si>
  <si>
    <t>【退職】【業】2024/03/29 2024/03/31 Vantageスタジオ 堀山 拓海</t>
  </si>
  <si>
    <t>村山薫史郎</t>
  </si>
  <si>
    <t>【退職】【業】3/22 3/31 Vantageｽﾀｼﾞｵ 村山 薫史郎</t>
  </si>
  <si>
    <t>岡澤雄介</t>
  </si>
  <si>
    <t>【退職】【業】3/26 3/31 Vantageｽﾀｼﾞｵ 岡澤 雄介</t>
  </si>
  <si>
    <t>木暮圭佑</t>
  </si>
  <si>
    <t>【退職】【業】3/26 3/31 Vantageｽﾀｼﾞｵ 木暮 圭佑</t>
  </si>
  <si>
    <t>日隈裕</t>
  </si>
  <si>
    <t>【退職】【業】3/29 3/31 ｿｰｼｬﾙﾍﾞｯﾃｨﾝｸﾞ事業本部　日隈 裕</t>
  </si>
  <si>
    <t>Vantage スタジオ</t>
  </si>
  <si>
    <t>芳賀雄佑</t>
  </si>
  <si>
    <t>【退職】 【正】 03/18 03/18 Vantageスタジオ みてねマーケティング部  芳賀 雄佑</t>
  </si>
  <si>
    <t>徳留一行</t>
  </si>
  <si>
    <t>【退職】【正】08/15 03/18 投資事業推進本部 徳留 一行</t>
  </si>
  <si>
    <t>石川幸人</t>
  </si>
  <si>
    <t>【退職】【正】3/29 3/31 営業本部 営業部  石川 幸人</t>
  </si>
  <si>
    <t>サービス運営部</t>
  </si>
  <si>
    <t>サービス運営開発本部</t>
  </si>
  <si>
    <t>岩科博樹</t>
  </si>
  <si>
    <t>【退職】【ア】03/29 03/31 サービス運営部 岩科 博樹</t>
  </si>
  <si>
    <t>山下珠彩子</t>
  </si>
  <si>
    <t>【退職】【ア】03/15 03/15 メディア事業部 山下 珠彩子</t>
  </si>
  <si>
    <t>岡村善之</t>
  </si>
  <si>
    <t>【退職】【業】3/27 3/31 ｺﾝﾌﾟﾗｲｱﾝｽ本部 岡村 善之</t>
  </si>
  <si>
    <t>酒部健太郎</t>
  </si>
  <si>
    <t>【退職】【ア】03/29 03/31 人事本部 酒部 健太郎</t>
  </si>
  <si>
    <t>中島優人</t>
  </si>
  <si>
    <t>【退職】【ア】03/29 03/29 人事本部 中島 優人</t>
  </si>
  <si>
    <t>西口雅也</t>
  </si>
  <si>
    <t>【退職】【正】3/15 3/31 人事本部 西口 雅也</t>
  </si>
  <si>
    <t>首藤真一</t>
  </si>
  <si>
    <t>【退職】【業】3/22 3/31 はたらく環境推進本部 首藤 真一</t>
  </si>
  <si>
    <t>亀田圭</t>
  </si>
  <si>
    <t>【退職】【ア】03/29 03/31 人事本部 亀田 圭</t>
  </si>
  <si>
    <t>ﾀﾞﾐｰW inc.</t>
  </si>
  <si>
    <t>高田拳伍</t>
  </si>
  <si>
    <t>【退職】【正】3/18 3/31  W inc. 高田 拳伍</t>
  </si>
  <si>
    <t>田中秀一郎</t>
  </si>
  <si>
    <t>【退職】 【正】 06/17 06/17 Vantageｽﾀｼﾞｵ 田中 秀一郎</t>
  </si>
  <si>
    <t>【退職】 【業】 4/16 4/16 投資事業推進本部 松川 雄貴</t>
  </si>
  <si>
    <t>【退職】 【業】 4/16 4/16 投資事業推進本部 津田 裕介</t>
  </si>
  <si>
    <t>【退職】 【業】 4/16 4/16 投資事業推進本部 梶應 佳史</t>
  </si>
  <si>
    <t>【退職】【派】3/31 3/31 ﾃﾞｼﾞﾀﾙｴﾝﾀｰﾃｲﾝﾒﾝﾄｵﾍﾟﾚｰｼｮﾝｽﾞ本部　宮 哲也</t>
  </si>
  <si>
    <t>中野渡將</t>
  </si>
  <si>
    <t>【退職】【契】3/29 3/31 CS本部 中野渡 將</t>
  </si>
  <si>
    <t>髙橋歩奈</t>
  </si>
  <si>
    <t>【退職】【契】3/22 3/31 CS本部 髙橋 歩奈</t>
  </si>
  <si>
    <t>小室直己</t>
  </si>
  <si>
    <t>【退職】【契】03/29 03/31 デザイン本部 小室 直己</t>
  </si>
  <si>
    <t>長尾勇志</t>
  </si>
  <si>
    <t>【退職】【業】03/29 03/31　ｺﾝﾌﾟﾗｲｱﾝｽ本部　長尾 勇志</t>
  </si>
  <si>
    <t>志茂隆行</t>
  </si>
  <si>
    <t>【退職】【正】3/8 5/31 チャリ・ロト 志茂 隆行</t>
  </si>
  <si>
    <t>松尾ナジャ凜之介</t>
  </si>
  <si>
    <t>【退職】【ア】3/29　3/31　人事本部　松尾 ナジャ凜之介</t>
  </si>
  <si>
    <t>増田遥介</t>
  </si>
  <si>
    <t>【退職】【ア】3/28　3/29　人事本部　増田 遥介</t>
  </si>
  <si>
    <t>【退職】【ア】3/29　3/29　人事本部　山本 貴之</t>
  </si>
  <si>
    <t>藍健吉</t>
  </si>
  <si>
    <t>【退職】【業】3/15 3/15 デザイン本部 藍 健吉</t>
  </si>
  <si>
    <t>大塚健太郎</t>
  </si>
  <si>
    <t>【退職】【正】3/28 4/30 ﾃﾞｼﾞﾀﾙｴﾝﾀｰﾃｲﾝﾒﾝﾄｵﾍﾟﾚｰｼｮﾝｽﾞ本部 大塚 健太郎</t>
  </si>
  <si>
    <t>渡辺啓太郎</t>
  </si>
  <si>
    <t>【退職】【正】3/28 3/31 ﾃﾞｼﾞﾀﾙｴﾝﾀｰﾃｲﾝﾒﾝﾄｵﾍﾟﾚｰｼｮﾝｽﾞ本部 渡辺 啓太郎</t>
  </si>
  <si>
    <t>倉井仁</t>
  </si>
  <si>
    <t>【退職】【正】3/29 4/30 経営推進本部 倉井 仁</t>
  </si>
  <si>
    <t>川名智也</t>
  </si>
  <si>
    <t>【退職】【業】3/15 3/15 はたらく環境推進本部 川名 智也</t>
  </si>
  <si>
    <t>【退職】【正】03/15 03/31　人材採用部　西口 雅也</t>
  </si>
  <si>
    <t>【退職】【派】3/15 3/15 開発本部 MIXI M 事業部 サービス企画グループ 岡山 かほり</t>
  </si>
  <si>
    <t>山下春樹</t>
  </si>
  <si>
    <t>【退職】【正】03/15 03/15 デジタルエンターテインメントオペレーションズ本部 山下 春樹</t>
  </si>
  <si>
    <t>矢野文崇</t>
  </si>
  <si>
    <t>【退職】【正】3/29　3/31　デジタルエンターテイメントパブリッシング本部　矢野 文崇</t>
  </si>
  <si>
    <t>藤堂光</t>
  </si>
  <si>
    <t>【退職】【ア】3/8 3/8 人事本部　藤堂 光</t>
  </si>
  <si>
    <t>尾関元</t>
  </si>
  <si>
    <t>【退職】【正】2024/4/25 2024/4/30 Vantageｽﾀｼﾞｵ 尾関 元</t>
  </si>
  <si>
    <t>外山和希</t>
  </si>
  <si>
    <t>【退職】【業】03/11 03/11 ラブグラフ 外山 和希</t>
  </si>
  <si>
    <t>金木智子</t>
  </si>
  <si>
    <t>【退職】【業】3/26 3/31 投資事業推進本部 金木 智子</t>
  </si>
  <si>
    <t>石原亜貴子</t>
  </si>
  <si>
    <t xml:space="preserve">【退職】【業】3/15 3/31 投資事業推進本部 石原 亜貴子	</t>
  </si>
  <si>
    <t>及川未来</t>
  </si>
  <si>
    <t>【退職】【業】3/2 3/31 投資事業推進本部 及川 未来</t>
  </si>
  <si>
    <t>林重樹</t>
  </si>
  <si>
    <t>【退職】【業】03/29 03/31 ｿｰｼｬﾙﾍﾞｯﾃｨﾝｸﾞ事業本部 開発室 QAG 林 重樹</t>
  </si>
  <si>
    <t>北村卓俊</t>
  </si>
  <si>
    <t>【退職】【業】02/29 02/29 ﾃﾞｼﾞﾀﾙｴﾝﾀｰﾃｲﾝﾒﾝﾄﾊﾟﾌﾞﾘｯｼﾝｸﾞ本部 北村 卓俊</t>
  </si>
  <si>
    <t>宮田秀之介</t>
  </si>
  <si>
    <t>【退職】【業】02/29 02/29 ﾃﾞｼﾞﾀﾙｴﾝﾀｰﾃｲﾝﾒﾝﾄﾊﾟﾌﾞﾘｯｼﾝｸﾞ本部 宮田 秀之介</t>
  </si>
  <si>
    <t>齊藤幸枝a</t>
  </si>
  <si>
    <t>【退職】【派】4/30 4/30 デジタルエンターテインメントオペレーションズ本部　齊藤 幸枝a</t>
  </si>
  <si>
    <t>宮本広大</t>
  </si>
  <si>
    <t>【退職】【正】02/29 03/08 ラブグラフ 宮本 広大</t>
  </si>
  <si>
    <t>林白簫</t>
  </si>
  <si>
    <t>【退職】【業】2/20 2/20 開発本部 林 白簫</t>
  </si>
  <si>
    <t>吉田英世</t>
  </si>
  <si>
    <t>【退職】【業】2/20 2/20 開発本部 吉田 英世</t>
  </si>
  <si>
    <t>村上孝子a</t>
  </si>
  <si>
    <t>【退職】【業】2/20 2/20 開発本部 村上 孝子a</t>
  </si>
  <si>
    <t>石原英康</t>
  </si>
  <si>
    <t>【退職】【業】02/29 02/29 ﾃﾞｼﾞﾀﾙｴﾝﾀｰﾃｲﾝﾒﾝﾄﾊﾟﾌﾞﾘｯｼﾝｸﾞ本部 石原 英康</t>
  </si>
  <si>
    <t>佐藤浩一</t>
  </si>
  <si>
    <t>【退職】【正】2/29 2/29 チャリ・ロト 佐藤 浩一</t>
  </si>
  <si>
    <t>【退職】 【業】3/29 4/1 投資事業推進本部 田口 優介</t>
  </si>
  <si>
    <t>【退職】 【業】 3/29 4/01 投資事業推進本部 清水 祐治</t>
  </si>
  <si>
    <t>【退職】 【業】 3/29 4/01 投資事業推進本部 越田 直樹</t>
  </si>
  <si>
    <t>【退職】 【業】 3/29 4/01 投資事業推進本部 竹田 誠</t>
  </si>
  <si>
    <t>【退職】 【業】 3/29 4/01 投資事業推進本部 奥平 和樹</t>
  </si>
  <si>
    <t>【退職】 【業】 3/29 4/01 投資事業推進本部 望月 潤太郎</t>
  </si>
  <si>
    <t>【退職】 【業】 3/29 4/01 投資事業推進本部 三井 岳</t>
  </si>
  <si>
    <t>【退職】 【業】 3/29 4/01 投資事業推進本部 今出 恵利</t>
  </si>
  <si>
    <t>寺田康太</t>
  </si>
  <si>
    <t>【退職】【正】3/29　3/31　デジタルエンターテイメントパブリッシング本部　寺田 康太</t>
  </si>
  <si>
    <t>村上久生a</t>
  </si>
  <si>
    <t>【退職】【業】2/29 2/29 ｿｰｼｬﾙﾍﾞｯﾃｨﾝｸﾞ事業本部 村上 久生a</t>
  </si>
  <si>
    <t>宮本翔太</t>
  </si>
  <si>
    <t>【退職】【業】3/29 3/31　 ｿｰｼｬﾙﾍﾞｯﾃｨﾝｸﾞ事業本部　宮本 翔太</t>
  </si>
  <si>
    <t>澤田愛子</t>
  </si>
  <si>
    <t>【退職】【業】2/29 2/29 開発本部 澤田 愛子</t>
  </si>
  <si>
    <t>片嶋未奈美</t>
  </si>
  <si>
    <t>【退職】【業】02/29 02/29 ﾃﾞｼﾞﾀﾙｴﾝﾀｰﾃｲﾝﾒﾝﾄﾊﾟﾌﾞﾘｯｼﾝｸﾞ本部 片嶋 未奈美</t>
  </si>
  <si>
    <t>杉山貴志</t>
  </si>
  <si>
    <t>【退職】【正】03/29 03/31 デザイン本部 杉山 貴志</t>
  </si>
  <si>
    <t>矢野祐貴子</t>
  </si>
  <si>
    <t>【退職】【正】02/29 03/31 デザイン本部 矢野 祐貴子</t>
  </si>
  <si>
    <t>【退職】【ア】2/27　2/28　人事本部　木内 貴浩</t>
  </si>
  <si>
    <t>【退職】【ア】2/29　 2/29　人事本部　三浦 優里</t>
  </si>
  <si>
    <t>加藤りさ子</t>
  </si>
  <si>
    <t>【退職】【ア】2/29　 2/29　人事本部　加藤 りさ子</t>
  </si>
  <si>
    <t>太田菜月</t>
  </si>
  <si>
    <t>【退職】【業】2/16 2/16 はたらく環境推進本部 太田 菜月</t>
  </si>
  <si>
    <t>田野口昌晃</t>
  </si>
  <si>
    <t>【退職】【業】02/28 02/29 ﾃﾞｼﾞﾀﾙｴﾝﾀｰﾃｲﾝﾒﾝﾄﾊﾟﾌﾞﾘｯｼﾝｸﾞ本部 田野口 昌晃</t>
  </si>
  <si>
    <t>別宮智明</t>
  </si>
  <si>
    <t>【退職】【業】02/29 02/29 ﾃﾞｼﾞﾀﾙｴﾝﾀｰﾃｲﾝﾒﾝﾄﾊﾟﾌﾞﾘｯｼﾝｸﾞ本部 別宮 智明</t>
  </si>
  <si>
    <t>水越俊一</t>
  </si>
  <si>
    <t>【退職】【業】02/29 02/29 ﾃﾞｼﾞﾀﾙｴﾝﾀｰﾃｲﾝﾒﾝﾄﾊﾟﾌﾞﾘｯｼﾝｸﾞ本部 水越 俊一</t>
  </si>
  <si>
    <t>加納英和</t>
  </si>
  <si>
    <t>【退職】【業】02/29 02/29 ﾃﾞｼﾞﾀﾙｴﾝﾀｰﾃｲﾝﾒﾝﾄﾊﾟﾌﾞﾘｯｼﾝｸﾞ本部 加納 英和</t>
  </si>
  <si>
    <t>金子みゆき</t>
  </si>
  <si>
    <t>【退職】【派】02/29 02/29 デジタルエンターテインメントオペレーションズ本部 金子 みゆき</t>
  </si>
  <si>
    <t>遠藤光児</t>
  </si>
  <si>
    <t>【退職】【契】2023/11/29 2024/02/29 遠藤 光児</t>
  </si>
  <si>
    <t>日野文恵</t>
  </si>
  <si>
    <t>【退職】【正】3/29 4/24 Vantageスタジオ 日野 文恵</t>
  </si>
  <si>
    <t xml:space="preserve">デジタルエンターテインメントオペレーションズ本部 </t>
  </si>
  <si>
    <t>小木康平</t>
  </si>
  <si>
    <t>【退職】【業】3/29 3/31 デジタルエンターテインメントオペレーションズ本部 小木 康平</t>
  </si>
  <si>
    <t>メイアージュリアン</t>
  </si>
  <si>
    <t>【退職】【業】2/29 2/29 ライブエクスペリエンス事業本部 メイアー ジュリアン</t>
  </si>
  <si>
    <t>齊藤駿太</t>
  </si>
  <si>
    <t>【退職】【業】2/29 2/29 ライブエクスペリエンス事業本部 齊藤 駿太</t>
  </si>
  <si>
    <t>中田哲史a</t>
  </si>
  <si>
    <t>【退職】【業】2/29 2/29 ライブエクスペリエンス事業本部 中田 哲史a</t>
  </si>
  <si>
    <t>一倉麻里</t>
  </si>
  <si>
    <t>【退職】【業】03/29 03/31 はたらく環境推進本部 一倉 麻里</t>
  </si>
  <si>
    <t>加藤知也</t>
  </si>
  <si>
    <t>【退職】【正】03/06 03/31 はたらく環境推進本部 加藤 知也</t>
  </si>
  <si>
    <t>土佐悠斗</t>
  </si>
  <si>
    <t>【退職】【ア】2/15　2/16　人事本部　土佐 悠斗</t>
  </si>
  <si>
    <t>【退職】【ア】2/16　2/16　人事本部　櫛引 淳之介</t>
  </si>
  <si>
    <t>【退職】【ア】02/16 02/16 人事本部 山田 隼人</t>
  </si>
  <si>
    <t>【退職】 【業】 3/15 3/16 投資事業推進本部 宮内 優維</t>
  </si>
  <si>
    <t>【退職】 【業】 3/15 3/16 投資事業推進本部 川口 由惟</t>
  </si>
  <si>
    <t>【退職】 【業】 4/30 4/30 投資事業推進本部 伊木 芳暁</t>
  </si>
  <si>
    <t>【退職】 【業】 3/15 3/16 投資事業推進本部 山田 康夫</t>
  </si>
  <si>
    <t>【退職】 【業】 4/30 4/30 投資事業推進本部 中村 拓人</t>
  </si>
  <si>
    <t>【退職】 【業】 3/29 4/1 投資事業推進本部 笹川 剛史</t>
  </si>
  <si>
    <t>【退職】 【業】 3/16 3/16 投資事業推進本部 門脇 野香</t>
  </si>
  <si>
    <t>【退職】 【業】 3/15 3/16 投資事業推進本部 堀合 正人</t>
  </si>
  <si>
    <t>【退職】 【業】 3/15 3/16 投資事業推進本部 小西 誠</t>
  </si>
  <si>
    <t>【退職】 【業】 3/15 3/16 投資事業推進本部 西川 浩平</t>
  </si>
  <si>
    <t>【退職】 【業】 3/15 3/16 投資事業推進本部 松坂 潤</t>
  </si>
  <si>
    <t>【退職】 【業】 3/15 3/16 投資事業推進本部 山根 啓貴</t>
  </si>
  <si>
    <t>【退職】 【業】 3/15 3/16 投資事業推進本部 志摩 英則</t>
  </si>
  <si>
    <t>【退職】 【業】 3/15 3/16 投資事業推進本部 掛橋 絵加</t>
  </si>
  <si>
    <t>寺内咲紀</t>
  </si>
  <si>
    <t>【退職】【業】02/16 02/16 ラブグラフ 寺内 咲紀</t>
  </si>
  <si>
    <t>北林喜美子</t>
  </si>
  <si>
    <t>【退職】【正】03/06 03/18 デジタルエンターテイメントオペレーションズ本部 北林 喜美子</t>
  </si>
  <si>
    <t>宍戸唯衣</t>
  </si>
  <si>
    <t>【退職】【契】2/28 2/29 CS本部 宍戸 唯衣</t>
  </si>
  <si>
    <t>門脇可歩</t>
  </si>
  <si>
    <t>【退職】【業】01/31 01/31 経営管理本部 門脇 可歩（ND）</t>
  </si>
  <si>
    <t>鈴木真子</t>
  </si>
  <si>
    <t>【退職】【業】2/14 2/15 ラブグラフ 鈴木 真子</t>
  </si>
  <si>
    <t>安齋かなえ</t>
  </si>
  <si>
    <t>【退職】【派】1/31 1/31 人事本部 安齋 かなえ</t>
  </si>
  <si>
    <t>藤井幸一郎</t>
  </si>
  <si>
    <t>【退職】【業】2024/1/31  2024/1/31  ｿｰｼｬﾙﾍﾞｯﾃｨﾝｸﾞ事業本部 藤井 幸一郎</t>
  </si>
  <si>
    <t>山口裕子</t>
  </si>
  <si>
    <t>【退職】【業】2024/01/31 2024/01/31 スフィダンテ 山口 裕子</t>
  </si>
  <si>
    <t>【退職】【業】03/31 03/31 ラブグラフ 清末 香子</t>
  </si>
  <si>
    <t>長尾知哉</t>
  </si>
  <si>
    <t>【退職】【業】02/29 02/29 ｿｰｼｬﾙﾍﾞｯﾃｨﾝｸﾞ事業本部 開発室 QAG QAT 長尾 知哉</t>
  </si>
  <si>
    <t>中塚庸仁</t>
  </si>
  <si>
    <t>【退職】【業】2024/01/31 2024/01/31 投資事業推進本部 中塚 庸仁</t>
  </si>
  <si>
    <t>矢花優奈</t>
  </si>
  <si>
    <t>【退職】【ア】2024/01/26 2024/01/31 スフィダンテ 矢花 優奈</t>
  </si>
  <si>
    <t>岡野貴樹</t>
  </si>
  <si>
    <t>【退職】【ア】2024/01/26 2024/01/31 スフィダンテ 岡野 貴樹</t>
  </si>
  <si>
    <t>柴田綾乃</t>
  </si>
  <si>
    <t>【退職】【ア】2024/01/26 2024/01/31 スフィダンテ 柴田 綾乃</t>
  </si>
  <si>
    <t>ﾓﾝｽﾄｹﾞｰﾑ運営部</t>
  </si>
  <si>
    <t>ﾃﾞｼﾞﾀﾙｴﾝﾀｰﾃｲﾝﾒﾝﾄ事業本部</t>
  </si>
  <si>
    <t>飯尾拓也a</t>
  </si>
  <si>
    <t>【退職】【業】1/31 1/31 デジタルエンターテインメント事業本部 飯尾 拓也a</t>
  </si>
  <si>
    <t>近藤一</t>
  </si>
  <si>
    <t>【退職】【業】1/31  1/31 ｿｰｼｬﾙﾍﾞｯﾃｨﾝｸﾞ事業本部 近藤 一</t>
  </si>
  <si>
    <t>ｹﾞｰﾑ開発部</t>
  </si>
  <si>
    <t>仲勲</t>
  </si>
  <si>
    <t>【退職】【業】01/31 01/31 ﾃﾞｼﾞﾀﾙｴﾝﾀｰﾃｲﾝﾒﾝﾄ事業本部 仲 勲</t>
  </si>
  <si>
    <t>北村萌絵</t>
  </si>
  <si>
    <t>【退職】【正】01/24 01/31 デザイン本部 北村 萌絵</t>
  </si>
  <si>
    <t>向後拓真</t>
  </si>
  <si>
    <t>【退職】【ア】1/31　1/31　人事本部　向後  拓真</t>
  </si>
  <si>
    <t>宮本佳奈</t>
  </si>
  <si>
    <t>【退職】【業】1/31 1/31 ﾃﾞｼﾞﾀﾙｴﾝﾀｰﾃｲﾝﾒﾝﾄ事業本部 宮本 佳奈</t>
  </si>
  <si>
    <t>松本真一</t>
  </si>
  <si>
    <t>【退職】【業】1/31 1/31 ﾃﾞｼﾞﾀﾙｴﾝﾀｰﾃｲﾝﾒﾝﾄ事業本部 松本 真一</t>
  </si>
  <si>
    <t>草分大地</t>
  </si>
  <si>
    <t>【退職】【業】1/31 1/31 ﾃﾞｼﾞﾀﾙｴﾝﾀｰﾃｲﾝﾒﾝﾄ事業本部 草分 大地</t>
  </si>
  <si>
    <t>中田徹</t>
  </si>
  <si>
    <t>【退職】【業】1/31 1/31 ﾃﾞｼﾞﾀﾙｴﾝﾀｰﾃｲﾝﾒﾝﾄ事業本部 中田 徹</t>
  </si>
  <si>
    <t>金春根</t>
  </si>
  <si>
    <t>【退職】【業】1/31 1/31 ﾃﾞｼﾞﾀﾙｴﾝﾀｰﾃｲﾝﾒﾝﾄ事業本部 金 春根</t>
  </si>
  <si>
    <t>浅井安美</t>
  </si>
  <si>
    <t>【退職】【派遣】1/31 1/31 Vantageｽﾀｼﾞｵ 浅井 安美</t>
  </si>
  <si>
    <t>【退職】 【業】 3/01 3/01 投資事業推進本部 福田 浩</t>
  </si>
  <si>
    <t>【退職】 【業】 3/01 3/01 投資事業推進本部 深代 優一</t>
  </si>
  <si>
    <t>園田佑介</t>
  </si>
  <si>
    <t>【退職】 【業】 3/01 3/01 投資事業推進本部 園田 佑介</t>
  </si>
  <si>
    <t>【退職】 【業】 3/01 3/01 投資事業推進本部 藤井 健史</t>
  </si>
  <si>
    <t>【退職】 【業】 3/15 3/16 投資事業推進本部 佐々木 哲a</t>
  </si>
  <si>
    <t>【退職】 【業】 3/01 3/01 投資事業推進本部 佐藤 美緒</t>
  </si>
  <si>
    <t>【退職】 【業】 3/01 3/01 投資事業推進本部 天田 真結</t>
  </si>
  <si>
    <t>【退職】 【業】 3/01 3/01 投資事業推進本部 戸田 真純</t>
  </si>
  <si>
    <t>【退職】 【業】 3/01 3/01 投資事業推進本部 渡邉 真珠子</t>
  </si>
  <si>
    <t>【退職】 【業】 3/15 3/16 投資事業推進本部 岡田 健吾</t>
  </si>
  <si>
    <t>【退職】 【業】 3/01 3/01 投資事業推進本部 二神 謙</t>
  </si>
  <si>
    <t>北川浩士</t>
  </si>
  <si>
    <t>【退職】 【業】 3/01 3/01 投資事業推進本部 北川 浩士</t>
  </si>
  <si>
    <t>【退職】 【業】 3/15 3/16 投資事業推進本部 松井 太</t>
  </si>
  <si>
    <t>【退職】 【業】 3/01 3/01 投資事業推進本部 髙尾 彩夏</t>
  </si>
  <si>
    <t>張曙光</t>
  </si>
  <si>
    <t xml:space="preserve">【退職】【業】1/31  1/31 ｿｰｼｬﾙﾍﾞｯﾃｨﾝｸﾞ事業本部　海外ﾍﾞｯﾃｨﾝｸﾞ事業部  張 曙光	</t>
  </si>
  <si>
    <t>宮﨑響子</t>
  </si>
  <si>
    <t>【退職】【ア】01/31 01/31　ﾗﾌﾞｸﾞﾗﾌ　宮﨑 響子</t>
  </si>
  <si>
    <t>大谷剛</t>
  </si>
  <si>
    <t>【退職】【業】1/26 2/29 投資事業推進本部 大谷 剛</t>
  </si>
  <si>
    <t>川田ちづる</t>
  </si>
  <si>
    <t>【退職】【正】1/30 2/29 チャリ・ロト 川田 ちづる</t>
  </si>
  <si>
    <t>鹿倉風香</t>
  </si>
  <si>
    <t>【退職】【業】2/29 2/29 投資事業推進本部 鹿倉 風香</t>
  </si>
  <si>
    <t>ﾓﾝｽﾄｼﾘｰｽﾞｹﾞｰﾑ事業部</t>
  </si>
  <si>
    <t>岩田拓磨</t>
  </si>
  <si>
    <t>【退職】【業】1/31 1/31 ﾃﾞｼﾞﾀﾙｴﾝﾀｰﾃｲﾝﾒﾝﾄ事業本部 岩田 拓磨</t>
  </si>
  <si>
    <t>森山晃義</t>
  </si>
  <si>
    <t>【退職】【業】1/31 1/31 ﾃﾞｼﾞﾀﾙｴﾝﾀｰﾃｲﾝﾒﾝﾄ事業本部 森山 晃義</t>
  </si>
  <si>
    <t>伊藤智佳子</t>
  </si>
  <si>
    <t>【退職】【業】1/31 1/31 ﾃﾞｼﾞﾀﾙｴﾝﾀｰﾃｲﾝﾒﾝﾄ事業本部 伊藤 智佳子</t>
  </si>
  <si>
    <t>和田悠馬</t>
  </si>
  <si>
    <t>【退職】【業】1/31 1/31 ﾃﾞｼﾞﾀﾙｴﾝﾀｰﾃｲﾝﾒﾝﾄ事業本部 和田 悠馬</t>
  </si>
  <si>
    <t>佐藤雅樹</t>
  </si>
  <si>
    <t>【退職】【業】1/31 1/31 ﾃﾞｼﾞﾀﾙｴﾝﾀｰﾃｲﾝﾒﾝﾄ事業本部 佐藤 雅樹</t>
  </si>
  <si>
    <t>髙橋紘平</t>
  </si>
  <si>
    <t>【退職】【業】1/31 1/31 ﾃﾞｼﾞﾀﾙｴﾝﾀｰﾃｲﾝﾒﾝﾄ事業本部 髙橋 紘平</t>
  </si>
  <si>
    <t>仁志田竜司</t>
  </si>
  <si>
    <t>【退職】【業】1/31 1/31 ﾃﾞｼﾞﾀﾙｴﾝﾀｰﾃｲﾝﾒﾝﾄ事業本部 仁志田 竜司</t>
  </si>
  <si>
    <t>杉山剛</t>
  </si>
  <si>
    <t>【退職】【業】1/31 1/31 ﾃﾞｼﾞﾀﾙｴﾝﾀｰﾃｲﾝﾒﾝﾄ事業本部 杉山 剛</t>
  </si>
  <si>
    <t>荒木奈緒美</t>
  </si>
  <si>
    <t>【退職】【業】1/31 1/31 ﾃﾞｼﾞﾀﾙｴﾝﾀｰﾃｲﾝﾒﾝﾄ事業本部 荒木 奈緒美</t>
  </si>
  <si>
    <t>小林大幹</t>
  </si>
  <si>
    <t>【退職】【業】1/31 1/31 ﾃﾞｼﾞﾀﾙｴﾝﾀｰﾃｲﾝﾒﾝﾄ事業本部 小林 大幹</t>
  </si>
  <si>
    <t>流郷大輝</t>
  </si>
  <si>
    <t>【退職】【業】1/31 1/31 ﾃﾞｼﾞﾀﾙｴﾝﾀｰﾃｲﾝﾒﾝﾄ事業本部 流郷 大輝</t>
  </si>
  <si>
    <t>杉山智則</t>
  </si>
  <si>
    <t>【退職】【業】1/31 1/31 ﾃﾞｼﾞﾀﾙｴﾝﾀｰﾃｲﾝﾒﾝﾄ事業本部 杉山 智則</t>
  </si>
  <si>
    <t>松田隆</t>
  </si>
  <si>
    <t>【退職】【業】1/31 1/31 ﾃﾞｼﾞﾀﾙｴﾝﾀｰﾃｲﾝﾒﾝﾄ事業本部 松田 隆</t>
  </si>
  <si>
    <t>山崎真</t>
  </si>
  <si>
    <t>【退職】【業】1/31 1/31 ﾃﾞｼﾞﾀﾙｴﾝﾀｰﾃｲﾝﾒﾝﾄ事業本部 山崎 真</t>
  </si>
  <si>
    <t>岡本悠太</t>
  </si>
  <si>
    <t>【退職】【業】1/31 1/31 ﾃﾞｼﾞﾀﾙｴﾝﾀｰﾃｲﾝﾒﾝﾄ事業本部 岡本 悠太</t>
  </si>
  <si>
    <t>岡本明慶</t>
  </si>
  <si>
    <t>【退職】【業】1/31 1/31 ﾃﾞｼﾞﾀﾙｴﾝﾀｰﾃｲﾝﾒﾝﾄ事業本部 岡本 明慶</t>
  </si>
  <si>
    <t>ルードラキロンビカース</t>
  </si>
  <si>
    <t>【退職】【業】1/31 1/31 ﾃﾞｼﾞﾀﾙｴﾝﾀｰﾃｲﾝﾒﾝﾄ事業本部 ルードラ キロンビカース</t>
  </si>
  <si>
    <t>玉岡真</t>
  </si>
  <si>
    <t>【退職】【業】1/31 1/31 ﾃﾞｼﾞﾀﾙｴﾝﾀｰﾃｲﾝﾒﾝﾄ事業本部 玉岡 真</t>
  </si>
  <si>
    <t>鵜尾晃大</t>
  </si>
  <si>
    <t>【退職】【業】1/31 1/31 ﾃﾞｼﾞﾀﾙｴﾝﾀｰﾃｲﾝﾒﾝﾄ事業本部 鵜尾 晃大</t>
  </si>
  <si>
    <t>鈴木和斗</t>
  </si>
  <si>
    <t>【退職】【業】1/31 1/31 ﾃﾞｼﾞﾀﾙｴﾝﾀｰﾃｲﾝﾒﾝﾄ事業本部 鈴木 和斗</t>
  </si>
  <si>
    <t>パンウィリアム</t>
  </si>
  <si>
    <t>【退職】【業】1/31 1/31 ﾃﾞｼﾞﾀﾙｴﾝﾀｰﾃｲﾝﾒﾝﾄ事業本部 パン ウィリアム</t>
  </si>
  <si>
    <t>濱田嵩翔</t>
  </si>
  <si>
    <t>【退職】【業】1/31 1/31 ﾃﾞｼﾞﾀﾙｴﾝﾀｰﾃｲﾝﾒﾝﾄ事業本部 濱田 嵩翔</t>
  </si>
  <si>
    <t>中埜翔太a</t>
  </si>
  <si>
    <t>【退職】【業】1/31 1/31 ﾃﾞｼﾞﾀﾙｴﾝﾀｰﾃｲﾝﾒﾝﾄ事業本部 中埜 翔太a</t>
  </si>
  <si>
    <t>小田洋平</t>
  </si>
  <si>
    <t>【退職】【業】1/31 1/31 ﾃﾞｼﾞﾀﾙｴﾝﾀｰﾃｲﾝﾒﾝﾄ事業本部 小田 洋平</t>
  </si>
  <si>
    <t>井口倫平</t>
  </si>
  <si>
    <t>【退職】【業】1/31 1/31 ﾃﾞｼﾞﾀﾙｴﾝﾀｰﾃｲﾝﾒﾝﾄ事業本部 井口 倫平</t>
  </si>
  <si>
    <t>小原理敏</t>
  </si>
  <si>
    <t>【退職】【業】1/31 1/31 ﾃﾞｼﾞﾀﾙｴﾝﾀｰﾃｲﾝﾒﾝﾄ事業本部 小原 理敏</t>
  </si>
  <si>
    <t>中立響</t>
  </si>
  <si>
    <t>【退職】【業】1/31 1/31 ﾃﾞｼﾞﾀﾙｴﾝﾀｰﾃｲﾝﾒﾝﾄ事業本部 中立 響</t>
  </si>
  <si>
    <t>姫野大樹</t>
  </si>
  <si>
    <t>【退職】【業】1/31 1/31 ﾃﾞｼﾞﾀﾙｴﾝﾀｰﾃｲﾝﾒﾝﾄ事業本部 姫野 大樹</t>
  </si>
  <si>
    <t>太村司</t>
  </si>
  <si>
    <t>【退職】【業】1/31 1/31 ﾃﾞｼﾞﾀﾙｴﾝﾀｰﾃｲﾝﾒﾝﾄ事業本部 太村 司</t>
  </si>
  <si>
    <t>吉﨑友貴</t>
  </si>
  <si>
    <t>【退職】【業】1/31 1/31 ﾃﾞｼﾞﾀﾙｴﾝﾀｰﾃｲﾝﾒﾝﾄ事業本部 吉﨑 友貴</t>
  </si>
  <si>
    <t>小谷健輔</t>
  </si>
  <si>
    <t>【退職】【正】02/28 02/29 Vantageｽﾀｼﾞｵ 小谷 健輔</t>
  </si>
  <si>
    <t>【退職】【ア】1/31 1/31 人事本部 山田 涼晴</t>
  </si>
  <si>
    <t>斉藤佑</t>
  </si>
  <si>
    <t>【退職】【業】1/31 1/31 はたらく環境推進本部 斉藤 佑</t>
  </si>
  <si>
    <t>髙塩奈央</t>
  </si>
  <si>
    <t>【退職】【ア】1/31 1/31 投資事業推進本部 髙塩 奈央</t>
  </si>
  <si>
    <t>渡辺隆春</t>
  </si>
  <si>
    <t>【退職】【業】01/31 01/31 ｿｰｼｬﾙﾍﾞｯﾃｨﾝｸﾞ事業本部 開発室 QAG QAT 渡辺 隆春</t>
  </si>
  <si>
    <t>中山航介a</t>
  </si>
  <si>
    <t>【退職】【業】01/30  01/31 投資事業推進本部  中山 航介a</t>
  </si>
  <si>
    <t>盛中宏介</t>
  </si>
  <si>
    <t>【退職】【派】01/10 01/10 デジタルエンターテインメント事業本部 盛中 宏介</t>
  </si>
  <si>
    <t>岩瀬香奈</t>
  </si>
  <si>
    <t>【退職】【業】1/12 1/12 ﾃﾞｼﾞﾀﾙｴﾝﾀｰﾃｲﾝﾒﾝﾄ事業本部 岩瀬 香奈</t>
  </si>
  <si>
    <t>廣本浩大</t>
  </si>
  <si>
    <t>【退職】【業】01/31 01/31 デジタルエンターテインメント事業本部 廣本 浩大</t>
  </si>
  <si>
    <t>菅原崇</t>
  </si>
  <si>
    <t xml:space="preserve">【退職】【業】1/29 1/31 ﾃﾞｼﾞﾀﾙｴﾝﾀｰﾃｲﾝﾒﾝﾄ事業本部 菅原 崇 </t>
  </si>
  <si>
    <t>前田剛a</t>
  </si>
  <si>
    <t>【退職】【正】02/14 02/29 ﾌｧﾝｺﾐｭﾆｹｰｼｮﾝ部 前田 剛a</t>
  </si>
  <si>
    <t>木村有希b</t>
  </si>
  <si>
    <t>【退職】【ア】2/15　2/15　人事本部　木村 有希b</t>
  </si>
  <si>
    <t>清家かおり</t>
  </si>
  <si>
    <t>【退職】【業】1/31 1/31 ﾃﾞｼﾞﾀﾙｴﾝﾀｰﾃｲﾝﾒﾝﾄ事業本部 清家 かおり</t>
  </si>
  <si>
    <t>中村ゆずa</t>
  </si>
  <si>
    <t>【退職】【業】1/15 1/15 デジタルエンターテインメント事業本部 中村 ゆずa</t>
  </si>
  <si>
    <t xml:space="preserve">企画推進部 </t>
  </si>
  <si>
    <t>小野寺行哉</t>
  </si>
  <si>
    <t>【退職】【業】12/28 12/31 ライブエクスペリエンス事業本部 小野寺 行哉</t>
  </si>
  <si>
    <t>【退職】 【業】 2/16 2/16 投資事業推進本部 邉見 弘幸</t>
  </si>
  <si>
    <t>【退職】 【業】 2/16 2/16 投資事業推進本部 木村 祐也</t>
  </si>
  <si>
    <t>【退職】 【業】 2/16 2/16 投資事業推進本部 村松 祥治</t>
  </si>
  <si>
    <t>【退職】 【業】 2/16 2/16 投資事業推進本部 高橋 和樹</t>
  </si>
  <si>
    <t>【退職】 【業】 2/16 2/16 投資事業推進本部 玄場 悠介</t>
  </si>
  <si>
    <t>【退職】 【業】 2/16 2/16 投資事業推進本部 田中 将貴</t>
  </si>
  <si>
    <t>【退職】 【業】 2/16 2/16 投資事業推進本部 西崎 靖弘</t>
  </si>
  <si>
    <t>【退職】 【業】 2/29 2/29 投資事業推進本部 村上 司</t>
  </si>
  <si>
    <t>【退職】 【業】 2/16 2/16 投資事業推進本部 金本 壮司</t>
  </si>
  <si>
    <t>【退職】 【業】 2/16 2/16 投資事業推進本部 志茂 隆行</t>
  </si>
  <si>
    <t>【退職】 【業】 2/16 2/16 投資事業推進本部 奥山 太樹</t>
  </si>
  <si>
    <t>【退職】 【業】 2/16 2/16 投資事業推進本部 中前 すみれ</t>
  </si>
  <si>
    <t>【退職】 【業】 2/16 2/16 投資事業推進本部 村上 晋司</t>
  </si>
  <si>
    <t>【退職】 【業】 2/16 2/16 投資事業推進本部 青井 凜</t>
  </si>
  <si>
    <t>【退職】 【業】 2/16 2/16 投資事業推進本部 宮城 伸明</t>
  </si>
  <si>
    <t>本田マミa</t>
  </si>
  <si>
    <t>【退職】 【業】 2/16 2/16 投資事業推進本部 本田 マミa</t>
  </si>
  <si>
    <t>【退職】 【業】 2/16 2/16 投資事業推進本部 大下 育巳</t>
  </si>
  <si>
    <t>【退職】 【業】 2/16 2/16 投資事業推進本部 谷川 玄二</t>
  </si>
  <si>
    <t>吉田大</t>
  </si>
  <si>
    <t>【退職】 【正】 01/22 02/29 Vantageスタジオ みてねマーケティング部 吉田 大</t>
  </si>
  <si>
    <t>梅澤伴樹</t>
  </si>
  <si>
    <t>【退職】【正】02/16 02/29 DE事業本部 梅澤 伴樹</t>
  </si>
  <si>
    <t>星野剛志</t>
  </si>
  <si>
    <t>【退職】【正】01/12 01/31 DE事業本部 星野 剛志</t>
  </si>
  <si>
    <t>中西裕</t>
  </si>
  <si>
    <t>【退職】【正】02/16 02/29 DE事業本部 中西 裕</t>
  </si>
  <si>
    <t>河村和城</t>
  </si>
  <si>
    <t>【退職】【正】2024/1/31 2024/3/13 ﾃﾞｼﾞﾀﾙｴﾝﾀｰﾃｲﾝﾒﾝﾄ事業本部 河村 和城</t>
  </si>
  <si>
    <t>【退職】【正】03/29 03/31 ﾌｧﾝｺﾐｭﾆｹｰｼｮﾝ部 武本 泰伸</t>
  </si>
  <si>
    <t>石川菜由</t>
  </si>
  <si>
    <t>【退職】【派】2023/12/27 2023/12/31 人事本部人材採用部 石川 菜由</t>
  </si>
  <si>
    <t xml:space="preserve"> ﾌｯﾄﾎﾞｰﾙ事業部</t>
  </si>
  <si>
    <t>浅見友和</t>
  </si>
  <si>
    <t>【退職】【業】12/27 12/27 ﾗｲﾌﾞｴｸｽﾍﾟﾘｴﾝｽ事業本部 浅見 友和</t>
  </si>
  <si>
    <t>寺師彩夏</t>
  </si>
  <si>
    <t>【退職】【業】12/22 12/31 ﾃﾞｼﾞﾀﾙｴﾝﾀｰﾃｲﾝﾒﾝﾄ事業本部 寺師 彩夏</t>
  </si>
  <si>
    <t>高島由佳</t>
  </si>
  <si>
    <t>【退職】【業】1/12 1/31 投資事業推進本部　高島 由佳</t>
  </si>
  <si>
    <t>鱒渕義和</t>
  </si>
  <si>
    <t>【退職】【業】 12/22 12/22 Vantageスタジオ 鱒渕 義和</t>
  </si>
  <si>
    <t>森本朱音</t>
  </si>
  <si>
    <t>【退職】【正】7/13 12/31 HRBP部 森本 朱音</t>
  </si>
  <si>
    <t xml:space="preserve"> HRBP部</t>
  </si>
  <si>
    <t>佐々木智崇</t>
  </si>
  <si>
    <t>【退職】【正】09/01 12/20 ﾃﾞｼﾞﾀﾙｴﾝﾀｰﾃｲﾝﾒﾝﾄ事業本部HRBP部 佐々木 智崇</t>
  </si>
  <si>
    <t>岡山遥香</t>
  </si>
  <si>
    <t>【退職】【業】12/28 12/31 はたらく環境推進本部 岡山 遥香</t>
  </si>
  <si>
    <t>【退職】【業】12/28 12/31 投資事業推進本部 Uberoi Jayad</t>
  </si>
  <si>
    <t>小澤理央子</t>
  </si>
  <si>
    <t>【退職】【業】2023/12/28 12/28 ソーシャルベッティング事業本部 小澤 理央子</t>
  </si>
  <si>
    <t>五十嵐弘彦</t>
  </si>
  <si>
    <t>【退職】【業】12/28 12/31 ライブエクスペリエンス事業本部 五十嵐 弘彦</t>
  </si>
  <si>
    <t>栗本龍一</t>
  </si>
  <si>
    <t>【退職】【ア】12/28　12/28　人事本部　栗本 龍一</t>
  </si>
  <si>
    <t>荒木羅衣也</t>
  </si>
  <si>
    <t>【退職】【ア】12/28  12/28　人事本部 　荒木 羅衣也</t>
  </si>
  <si>
    <t>秋本亘</t>
  </si>
  <si>
    <t>【退職】【業】12/28 12/31 ﾃﾞｼﾞﾀﾙｴﾝﾀｰﾃｲﾝﾒﾝﾄ事業本部 秋本 亘</t>
  </si>
  <si>
    <t>【退職】【業】12/28 12/31 デザイン本部 弓矢 光春</t>
  </si>
  <si>
    <t>笠谷倫加</t>
  </si>
  <si>
    <t>【退職】【派】12/22 12/31 人事本部 笠谷 倫加</t>
  </si>
  <si>
    <t>事業戦略本部</t>
  </si>
  <si>
    <t>池田亜弓</t>
  </si>
  <si>
    <t>【退職】【派】12/28 12/31 事業戦略本部 池田 亜弓（ND）</t>
  </si>
  <si>
    <t>櫻井夏生</t>
  </si>
  <si>
    <t>【退職】【業】12/28 12/31 デジタルエンターテインメント事業本部 櫻井 夏生</t>
  </si>
  <si>
    <t>山下浪漫</t>
  </si>
  <si>
    <t>【退職】【業】12/26 12/31 投資事業推進本部 山下 浪漫</t>
  </si>
  <si>
    <t>劔持駿a</t>
  </si>
  <si>
    <t>【退職】【業】12/28 12/31 ライブエクスペリエンス事業本部 劔持 駿a</t>
  </si>
  <si>
    <t>小林佑樹</t>
  </si>
  <si>
    <t>【退職】【正】12/28 01/31 事業戦略本部 広告&amp;ソリューション事業部 小林 佑樹</t>
  </si>
  <si>
    <t>ｻｰﾋﾞｽ運営部</t>
  </si>
  <si>
    <t>山崎優真</t>
  </si>
  <si>
    <t>【退職】【派】12/28　12/31　ｻｰﾋﾞｽ運営開発本部　山崎 優真（ND）</t>
  </si>
  <si>
    <t>ﾈｯﾄﾄﾞﾘｰﾏｰｽﾞ ｻｰﾋﾞｽ運営開発本部</t>
  </si>
  <si>
    <t>高玉未来</t>
  </si>
  <si>
    <t>【退職】【派】12/18　12/31　ｻｰﾋﾞｽ運営開発本部　高玉 未来（ND）</t>
  </si>
  <si>
    <t>川端建守b</t>
  </si>
  <si>
    <t>【退職】【業】12/22 12/22 投資事業推進本部 川端 建守b</t>
  </si>
  <si>
    <t>堀口晃佑b</t>
  </si>
  <si>
    <t>【退職】【業】12/22 12/22 投資事業推進本部 堀口 晃佑b</t>
  </si>
  <si>
    <t>治郎丸一輝a</t>
  </si>
  <si>
    <t>【退職】【業】12/27 12/31 ﾃﾞｼﾞﾀﾙｴﾝﾀｰﾃｲﾝﾒﾝﾄ事業本部 治郎丸 一輝a</t>
  </si>
  <si>
    <t>山崎雄大</t>
  </si>
  <si>
    <t>【退職】【業】12/28 12/31 デジタルエンターテインメント事業本部 山崎 雄大</t>
  </si>
  <si>
    <t>岡崎健汰</t>
  </si>
  <si>
    <t>【退職】【派】12/28 12/31 デジタルエンターテインメント事業本部 岡崎 健汰</t>
  </si>
  <si>
    <t>武山小百合</t>
  </si>
  <si>
    <t>【退職】【業】12/26 12/31 ﾃﾞｼﾞﾀﾙｴﾝﾀｰﾃｲﾝﾒﾝﾄ事業本部 　武山  小百合</t>
  </si>
  <si>
    <t>古谷好</t>
  </si>
  <si>
    <t>【退職】【業】12/26 12/31 ﾃﾞｼﾞﾀﾙｴﾝﾀｰﾃｲﾝﾒﾝﾄ事業本部 古谷  好</t>
  </si>
  <si>
    <t>金子淳二</t>
  </si>
  <si>
    <t>【退職】【業】12/28 12/31 ﾃﾞｼﾞﾀﾙｴﾝﾀｰﾃｲﾝﾒﾝﾄ事業本部 金子 淳二</t>
  </si>
  <si>
    <t>福井清楓</t>
  </si>
  <si>
    <t>【退職】【業】12/28 12/31 ﾃﾞｼﾞﾀﾙｴﾝﾀｰﾃｲﾝﾒﾝﾄ事業本部 福井 清楓</t>
  </si>
  <si>
    <t>宇佐美果歩</t>
  </si>
  <si>
    <t>【退職】【業】12/28 12/31 ﾃﾞｼﾞﾀﾙｴﾝﾀｰﾃｲﾝﾒﾝﾄ事業本部 宇佐美 果歩</t>
  </si>
  <si>
    <t>林田愼太郎</t>
  </si>
  <si>
    <t>【退職】【派】12/28 12/31 ﾃﾞｼﾞﾀﾙｴﾝﾀｰﾃｲﾝﾒﾝﾄ事業本部 林田 愼太郎</t>
  </si>
  <si>
    <t>塩田加奈</t>
  </si>
  <si>
    <t>【退職】【業】12/28  12/28 はたらく環境推進本部 塩田 加奈</t>
  </si>
  <si>
    <t>ﾒﾃﾞｨｱ＆ﾍﾞｯﾃｨﾝｸﾞ事業本部</t>
  </si>
  <si>
    <t>中村桃子</t>
  </si>
  <si>
    <t>【退職】【業】12/27　12/28　ﾒﾃﾞｨｱ＆ﾍﾞｯﾃｨﾝｸﾞ事業本部　中村 桃子（ND）</t>
  </si>
  <si>
    <t>上野陽子a</t>
  </si>
  <si>
    <t>【退職】【業】12/12 12/12 開発本部 上野 陽子a</t>
  </si>
  <si>
    <t>エルアズハリムラド</t>
  </si>
  <si>
    <t>【退職】【業】12/12 12/12 開発本部 エルアズハリ ムラド</t>
  </si>
  <si>
    <t>渡辺光一</t>
  </si>
  <si>
    <t>【退職】【業】12/12 12/12 開発本部 渡辺 光一</t>
  </si>
  <si>
    <t>【退職】 【業】 3/15 3/16 投資事業推進本部 門脇 野香</t>
  </si>
  <si>
    <t>七尾貴史</t>
  </si>
  <si>
    <t>【退職】【正】1/31 1/31 Vantageスタジオ 七尾 貴史</t>
  </si>
  <si>
    <t>ﾀﾞﾐｰ内部監査室</t>
  </si>
  <si>
    <t>板橋伸之介</t>
  </si>
  <si>
    <t>【退職】【正】 2024/1/18 2024/2/29 内部監査室 板橋 伸之介</t>
  </si>
  <si>
    <t>石浦直樹</t>
  </si>
  <si>
    <t>【退職】【派】12/28 12/31 ﾃﾞｼﾞﾀﾙｴﾝﾀｰﾃｲﾝﾒﾝﾄ事業本部 石浦 直樹</t>
  </si>
  <si>
    <t>森村賢人</t>
  </si>
  <si>
    <t>【退職】【業】12/28 12/31 ﾃﾞｼﾞﾀﾙｴﾝﾀｰﾃｲﾝﾒﾝﾄ事業本部 森村  賢人</t>
  </si>
  <si>
    <t>古川敦</t>
  </si>
  <si>
    <t>【退職】【業】12/28 12/31 ﾃﾞｼﾞﾀﾙｴﾝﾀｰﾃｲﾝﾒﾝﾄ事業本部 古川 敦</t>
  </si>
  <si>
    <t>足立尚彦</t>
  </si>
  <si>
    <t>【退職】【業】12/28 12/31 ﾃﾞｼﾞﾀﾙｴﾝﾀｰﾃｲﾝﾒﾝﾄ事業本部 足立 尚彦</t>
  </si>
  <si>
    <t>鈴木颯太</t>
  </si>
  <si>
    <t>【退職】【ア】12/15　12/15　人事本部　鈴木 颯太</t>
  </si>
  <si>
    <t>三浦広太</t>
  </si>
  <si>
    <t>【退職】【ア】12/15 12/15 人事本部 三浦 広太</t>
  </si>
  <si>
    <t>吉田愛由美</t>
  </si>
  <si>
    <t>【退職】【業】12/28 12/31 ﾃﾞｼﾞﾀﾙｴﾝﾀｰﾃｲﾝﾒﾝﾄ事業本部 吉田 愛由美</t>
  </si>
  <si>
    <t>鈴木知樹</t>
  </si>
  <si>
    <t>【退職】【業】12/28 12/31 ﾃﾞｼﾞﾀﾙｴﾝﾀｰﾃｲﾝﾒﾝﾄ事業本部 鈴木 知樹</t>
  </si>
  <si>
    <t>越智皓平</t>
  </si>
  <si>
    <t>【退職】【業】12/28 12/31 ﾃﾞｼﾞﾀﾙｴﾝﾀｰﾃｲﾝﾒﾝﾄ事業本部 越智 皓平</t>
  </si>
  <si>
    <t>澤木幹也</t>
  </si>
  <si>
    <t>【退職】【派】12/28 12/31 ﾃﾞｼﾞﾀﾙｴﾝﾀｰﾃｲﾝﾒﾝﾄ事業本部 澤木 幹也</t>
  </si>
  <si>
    <t>中川潤一</t>
  </si>
  <si>
    <t>【退職】【業】12/28 12/31 ﾃﾞｼﾞﾀﾙｴﾝﾀｰﾃｲﾝﾒﾝﾄ事業本部 中川 潤一</t>
  </si>
  <si>
    <t>坂巻一海a</t>
  </si>
  <si>
    <t>【退職】【業】12/28 12/31 ﾃﾞｼﾞﾀﾙｴﾝﾀｰﾃｲﾝﾒﾝﾄ事業本部 坂巻 一海a</t>
  </si>
  <si>
    <t>石川晴己</t>
  </si>
  <si>
    <t>【退職】【業】12/28 12/31 ﾃﾞｼﾞﾀﾙｴﾝﾀｰﾃｲﾝﾒﾝﾄ事業本部 石川 晴己</t>
  </si>
  <si>
    <t>大川凌輝</t>
  </si>
  <si>
    <t>【退職】【業】12/28 12/31 ﾃﾞｼﾞﾀﾙｴﾝﾀｰﾃｲﾝﾒﾝﾄ事業本部 大川 凌輝</t>
  </si>
  <si>
    <t>大山佳</t>
  </si>
  <si>
    <t>【退職】【業】12/28 12/31 ﾃﾞｼﾞﾀﾙｴﾝﾀｰﾃｲﾝﾒﾝﾄ事業本部 大山 佳</t>
  </si>
  <si>
    <t>加藤純平</t>
  </si>
  <si>
    <t>【退職】【業】12/28 12/31 ﾃﾞｼﾞﾀﾙｴﾝﾀｰﾃｲﾝﾒﾝﾄ事業本部 加藤 純平</t>
  </si>
  <si>
    <t>田中一輝</t>
  </si>
  <si>
    <t>【退職】【業】12/28 12/31 ﾃﾞｼﾞﾀﾙｴﾝﾀｰﾃｲﾝﾒﾝﾄ事業本部 田中 一輝</t>
  </si>
  <si>
    <t>小野龍乙</t>
  </si>
  <si>
    <t>【退職】【業】12/28 12/31 ﾃﾞｼﾞﾀﾙｴﾝﾀｰﾃｲﾝﾒﾝﾄ事業本部 小野 龍乙</t>
  </si>
  <si>
    <t>小暮悠</t>
  </si>
  <si>
    <t>【退職】【業】12/28 12/31 ﾃﾞｼﾞﾀﾙｴﾝﾀｰﾃｲﾝﾒﾝﾄ事業本部 小暮 悠</t>
  </si>
  <si>
    <t>三浦洋晃</t>
  </si>
  <si>
    <t>【退職】【業】12/28 12/31 ﾃﾞｼﾞﾀﾙｴﾝﾀｰﾃｲﾝﾒﾝﾄ事業本部 三浦 洋晃</t>
  </si>
  <si>
    <t>大田原一博</t>
  </si>
  <si>
    <t>【退職】【業】12/28 12/31 ﾃﾞｼﾞﾀﾙｴﾝﾀｰﾃｲﾝﾒﾝﾄ事業本部 大田原 一博</t>
  </si>
  <si>
    <t>立石誠</t>
  </si>
  <si>
    <t>【退職】【業】12/28 12/31 ﾃﾞｼﾞﾀﾙｴﾝﾀｰﾃｲﾝﾒﾝﾄ事業本部 立石 誠</t>
  </si>
  <si>
    <t>加藤彰真</t>
  </si>
  <si>
    <t>【退職】【業】12/28 12/31 ﾃﾞｼﾞﾀﾙｴﾝﾀｰﾃｲﾝﾒﾝﾄ事業本部 加藤 彰真</t>
  </si>
  <si>
    <t>宗形翔太</t>
  </si>
  <si>
    <t>【退職】【業】12/28 12/31 ﾃﾞｼﾞﾀﾙｴﾝﾀｰﾃｲﾝﾒﾝﾄ事業本部 宗形 翔太</t>
  </si>
  <si>
    <t>新谷英樹a</t>
  </si>
  <si>
    <t>【退職】【業】12/28 12/31 ﾃﾞｼﾞﾀﾙｴﾝﾀｰﾃｲﾝﾒﾝﾄ事業本部 新谷 英樹a</t>
  </si>
  <si>
    <t>北見麻衣</t>
  </si>
  <si>
    <t>【退職】【業】12/28 12/31 ﾃﾞｼﾞﾀﾙｴﾝﾀｰﾃｲﾝﾒﾝﾄ事業本部 北見 麻衣</t>
  </si>
  <si>
    <t>岡本篤仁</t>
  </si>
  <si>
    <t>【退職】【業】12/28 12/31 ﾃﾞｼﾞﾀﾙｴﾝﾀｰﾃｲﾝﾒﾝﾄ事業本部 岡本 篤仁</t>
  </si>
  <si>
    <t>但木友紀子</t>
  </si>
  <si>
    <t>【退職】【契】12/26 12/31 CS本部 但木 友紀子</t>
  </si>
  <si>
    <t>【退職】 【業】 1/16 1/16 投資事業推進本部 阿部 浩之</t>
  </si>
  <si>
    <t>【退職】 【業】 1/16 1/16 投資事業推進本部 安達 理紗a</t>
  </si>
  <si>
    <t>【退職】 【業】 1/16 1/16 投資事業推進本部 林 彩奈</t>
  </si>
  <si>
    <t>【退職】 【業】 1/19 1/19 投資事業推進本部 福島 祐樹</t>
  </si>
  <si>
    <t>【退職】 【業】 1/16 1/16 投資事業推進本部 秋場 洋二</t>
  </si>
  <si>
    <t>【退職】 【業】 3/29 3/31 投資事業推進本部 渡辺 隆之</t>
  </si>
  <si>
    <t>【退職】 【業】 1/16 1/16 投資事業推進本部 井上 大河</t>
  </si>
  <si>
    <t>【退職】 【業】 1/31 1/31 投資事業推進本部 湯本 修平</t>
  </si>
  <si>
    <t>【退職】 【業】 1/16 1/16 投資事業推進本部 新井 詩穂</t>
  </si>
  <si>
    <t>新城実一a</t>
  </si>
  <si>
    <t>【退職】 【業】 1/16 1/16 投資事業推進本部 新城 実一a</t>
  </si>
  <si>
    <t>【退職】 【業】 1/16 1/16 投資事業推進本部 西原 まりや</t>
  </si>
  <si>
    <t>【退職】 【業】 1/16 1/16 投資事業推進本部 大崎 麻知子</t>
  </si>
  <si>
    <t>【退職】 【業】 1/16 1/16 投資事業推進本部 佐藤 浩一</t>
  </si>
  <si>
    <t>【退職】 【業】 3/29 3/31 投資事業推進本部 水野 羽純</t>
  </si>
  <si>
    <t>【退職】 【業】 1/30 1/31 投資事業推進本部 川田 ちづる</t>
  </si>
  <si>
    <t>【退職】 【業】 1/16 1/16 投資事業推進本部 奴井名 綾</t>
  </si>
  <si>
    <t>【退職】 【業】 1/16 1/16 投資事業推進本部 中川 阿季子</t>
  </si>
  <si>
    <t>【退職】 【業】 1/16 1/16 投資事業推進本部 加藤 享子</t>
  </si>
  <si>
    <t>DE事業本部</t>
  </si>
  <si>
    <t>勝亦翔</t>
  </si>
  <si>
    <t>【退職】【派】12/27 12/31 デジタルエンターテインメント事業本部コトダマン事業部 勝亦 翔</t>
  </si>
  <si>
    <t>遠藤滋</t>
  </si>
  <si>
    <t>【退職】【業】2023/11/30 Vantageｽﾀｼﾞｵ 遠藤 滋</t>
  </si>
  <si>
    <t>村井環希</t>
  </si>
  <si>
    <t>【退職】【業】12/26 12/31 デジタルエンターテイメント事業本部 村井 環希</t>
  </si>
  <si>
    <t>藤岡智也</t>
  </si>
  <si>
    <t>【退職】【正】2021/9/29 2023/12/13 ｿｰｼｬﾙﾍﾞｯﾃｨﾝｸﾞ事業本部 藤岡 智也</t>
  </si>
  <si>
    <t>小泉孝能a</t>
  </si>
  <si>
    <t>【退職】【業】12/27 12/31 はたらく環境推進本部 小泉 孝能a</t>
  </si>
  <si>
    <t>比嘉朱里a</t>
  </si>
  <si>
    <t>【退職】【派】12/1 経営推進本部 比嘉 朱里a</t>
  </si>
  <si>
    <t>【退職】【業】12/01 12/01 Vantageｽﾀｼﾞｵ 関 学</t>
  </si>
  <si>
    <t>【退職】【業】12/01 12/01 Vantageｽﾀｼﾞｵ 桂城 伸明</t>
  </si>
  <si>
    <t>杉原雄大</t>
  </si>
  <si>
    <t>【退職】【業】11/29 11/30 ﾃﾞｼﾞﾀﾙｴﾝﾀｰﾃｲﾝﾒﾝﾄ事業本部 杉原 雄大</t>
  </si>
  <si>
    <t>山田玲也</t>
  </si>
  <si>
    <t>【退職】【正】12/21 01/15 デジタルエンターテインメント事業本部モンストシリーズゲーム事業部ATグループPurpleチーム　山田 玲也</t>
  </si>
  <si>
    <t>ソーシャルベッティング事業部</t>
  </si>
  <si>
    <t>永井悠平a</t>
  </si>
  <si>
    <t>【退職】【業】11/30  11/30 ソーシャルベッティング事業本部 永井 悠平a</t>
  </si>
  <si>
    <t>根本	悠子</t>
  </si>
  <si>
    <t>【退職】【正】12/12 12/12 上級執行役員 根本 悠子</t>
  </si>
  <si>
    <t>坂本美咲</t>
  </si>
  <si>
    <t>【退職】【業】12/30 12/31 投資事業推進本部　坂本 美咲</t>
  </si>
  <si>
    <t>笠原信</t>
  </si>
  <si>
    <t>【退職】【業】11/30 11/30 ﾃﾞｼﾞﾀﾙｴﾝﾀｰﾃｲﾝﾒﾝﾄ事業本部 笠原 信</t>
  </si>
  <si>
    <t>佐藤龍弥</t>
  </si>
  <si>
    <t>【退職】【業】11/30 11/30 ソーシャルベッティング事業本部 佐藤 龍弥</t>
  </si>
  <si>
    <t>小平波琉</t>
  </si>
  <si>
    <t>【退職】【ア】12/1 12/1　人事本部 　小平 波琉</t>
  </si>
  <si>
    <t>ﾓﾝｽﾄﾏｰｹﾃｨﾝｸﾞ部</t>
  </si>
  <si>
    <t>尾澤るなa</t>
  </si>
  <si>
    <t>【退職】【業】11/24 11/30 モンストマーケティング部　尾澤 るなa</t>
  </si>
  <si>
    <t>川上日向子</t>
  </si>
  <si>
    <t>【退職】【派】12/28 12/31 ｻｰﾋﾞｽ運営開発本部 川上 日向子（ND）</t>
  </si>
  <si>
    <t>中村拓哉a</t>
  </si>
  <si>
    <t>【退職】【業】11/30 11/30 デジタルエンターテインメント事業本部 中村 拓哉a</t>
  </si>
  <si>
    <t>李珍宰</t>
  </si>
  <si>
    <t>【退職】【業】11/30 11/30 ｿｰｼｬﾙﾍﾞｯﾃｨﾝｸﾞ事業部　海外ﾍﾞｯﾃｨﾝｸﾞ事業部　 李 珍宰</t>
  </si>
  <si>
    <t>【退職】【業】9/30 9/30 投資事業推進本部　難波 杜夫</t>
  </si>
  <si>
    <t>マクリーンマーク</t>
  </si>
  <si>
    <t>【退職】【業】2023/11/17 2023/11/17 マクリーン マーク</t>
  </si>
  <si>
    <t>ラーマンアニサ</t>
  </si>
  <si>
    <t>【退職】【業】2023/11/17 2023/11/17 ラーマン アニサ</t>
  </si>
  <si>
    <t>宮川遥</t>
  </si>
  <si>
    <t>【退職】【業】11/30 11/30 人事本部 宮川 遥</t>
  </si>
  <si>
    <t>高野竜維</t>
  </si>
  <si>
    <t>【退職】【業】11/30 11/30 ﾃﾞｼﾞﾀﾙｴﾝﾀｰﾃｲﾝﾒﾝﾄ事業本部 高野 竜維</t>
  </si>
  <si>
    <t>小林拓矢</t>
  </si>
  <si>
    <t>【退職】【業】11/30 11/30 ﾃﾞｼﾞﾀﾙｴﾝﾀｰﾃｲﾝﾒﾝﾄ事業本部  小林 拓矢</t>
  </si>
  <si>
    <t>須藤朋子</t>
  </si>
  <si>
    <t>【退職】【業】11/30 11/30 ﾃﾞｼﾞﾀﾙｴﾝﾀｰﾃｲﾝﾒﾝﾄ事業本部 須藤 朋子</t>
  </si>
  <si>
    <t>中田柊人a</t>
  </si>
  <si>
    <t>【退職】【業】11/30 11/30 ﾃﾞｼﾞﾀﾙｴﾝﾀｰﾃｲﾝﾒﾝﾄ事業本部 中田 柊人a</t>
  </si>
  <si>
    <t>大宮司圭太</t>
  </si>
  <si>
    <t>【退職】【業】11/30 11/30 ﾃﾞｼﾞﾀﾙｴﾝﾀｰﾃｲﾝﾒﾝﾄ事業本部 大宮司 圭太</t>
  </si>
  <si>
    <t>清水真佐志</t>
  </si>
  <si>
    <t>【退職】【業】11/30 11/30 ﾃﾞｼﾞﾀﾙｴﾝﾀｰﾃｲﾝﾒﾝﾄ事業本部 清水　真佐志</t>
  </si>
  <si>
    <t>陳金一</t>
  </si>
  <si>
    <t>【退職】【業】11/30 11/30 ﾃﾞｼﾞﾀﾙｴﾝﾀｰﾃｲﾝﾒﾝﾄ事業本部 陳 金一</t>
  </si>
  <si>
    <t>大川友紀</t>
  </si>
  <si>
    <t>【退職】【業】11/30 11/30 ﾃﾞｼﾞﾀﾙｴﾝﾀｰﾃｲﾝﾒﾝﾄ事業本部 大川 友紀</t>
  </si>
  <si>
    <t>山崎裕輔</t>
  </si>
  <si>
    <t>【退職】【業】11/30 11/30 ﾃﾞｼﾞﾀﾙｴﾝﾀｰﾃｲﾝﾒﾝﾄ事業本部 山崎 裕輔</t>
  </si>
  <si>
    <t>佐藤祐治</t>
  </si>
  <si>
    <t>【退職】【業】11/30 11/30 ﾃﾞｼﾞﾀﾙｴﾝﾀｰﾃｲﾝﾒﾝﾄ事業本部 佐藤 祐治</t>
  </si>
  <si>
    <t>長谷川太滋</t>
  </si>
  <si>
    <t>【退職】【業】11/30 11/30 ﾃﾞｼﾞﾀﾙｴﾝﾀｰﾃｲﾝﾒﾝﾄ事業本部 長谷川 太滋</t>
  </si>
  <si>
    <t>薮原敬</t>
  </si>
  <si>
    <t>【退職】【業】11/30 11/30 ﾃﾞｼﾞﾀﾙｴﾝﾀｰﾃｲﾝﾒﾝﾄ事業本部 薮原 敬</t>
  </si>
  <si>
    <t>井上昂輝</t>
  </si>
  <si>
    <t>【退職】【業】11/30 11/30 ﾃﾞｼﾞﾀﾙｴﾝﾀｰﾃｲﾝﾒﾝﾄ事業本部 井上 昂輝</t>
  </si>
  <si>
    <t>野口真秀</t>
  </si>
  <si>
    <t>【退職】【業】11/30 11/30 ﾃﾞｼﾞﾀﾙｴﾝﾀｰﾃｲﾝﾒﾝﾄ事業本部 野口 真秀</t>
  </si>
  <si>
    <t>杉本大和</t>
  </si>
  <si>
    <t>【退職】【業】11/30 11/30 ﾃﾞｼﾞﾀﾙｴﾝﾀｰﾃｲﾝﾒﾝﾄ事業本部 杉本 大和</t>
  </si>
  <si>
    <t>竹元裕樹</t>
  </si>
  <si>
    <t>【退職】【業】11/30 11/30 ﾃﾞｼﾞﾀﾙｴﾝﾀｰﾃｲﾝﾒﾝﾄ事業本部 竹元 裕樹</t>
  </si>
  <si>
    <t>上田淳</t>
  </si>
  <si>
    <t>【退職】【正】11/15 11/15 経営推進本部 上田 淳</t>
  </si>
  <si>
    <t>坂本恵一</t>
  </si>
  <si>
    <t>【退職】【業】11/29 11/29 ｿｰｼｬﾙﾍﾞｯﾃｨﾝｸﾞ事業本部 開発室 QAG 坂本 恵一</t>
  </si>
  <si>
    <t>中村俊介</t>
  </si>
  <si>
    <t>【退職】【正】12/11 12/31 デザイン本部 中村 俊介</t>
  </si>
  <si>
    <t>柳谷秀樹</t>
  </si>
  <si>
    <t>【退職】【派】11/30 11/30 デジタルエンターテインメント事業本部 柳谷 秀樹</t>
  </si>
  <si>
    <t>新井田彩穂里</t>
  </si>
  <si>
    <t>【退職】【正】11/30 12/15 経営推進本部 新井田 彩穂里</t>
  </si>
  <si>
    <t>沼田優</t>
  </si>
  <si>
    <t>【退職】【業】11/17 11/17 人事本部 沼田 優</t>
  </si>
  <si>
    <t>節安理</t>
  </si>
  <si>
    <t>【退職】【正】11/30 11/30　人事本部　節 安理</t>
  </si>
  <si>
    <t>齋藤ちなつ</t>
  </si>
  <si>
    <t>【退職】【業】11/17 12/31 はたらく環境推進本部 齋藤 ちなつ</t>
  </si>
  <si>
    <t>松岡洋一郎</t>
  </si>
  <si>
    <t>【退職】【業】2023/11/06 ソーシャルベッティング事業本部 松岡 洋一郎</t>
  </si>
  <si>
    <t>中村恵理子</t>
  </si>
  <si>
    <t>【退職】【業】11/24 11/30 投資事業推進本部 中村 恵理子</t>
  </si>
  <si>
    <t>【退職】 【業】 11/30 11/30高田 拳伍</t>
  </si>
  <si>
    <t>宮平拓弥</t>
  </si>
  <si>
    <t>【退職】【業】11/30 11/30 ﾃﾞｼﾞﾀﾙｴﾝﾀｰﾃｲﾝﾒﾝﾄ事業本部　宮平 拓弥</t>
  </si>
  <si>
    <t>當間百合子</t>
  </si>
  <si>
    <t>【退職】【業】11/30 11/30 ﾃﾞｼﾞﾀﾙｴﾝﾀｰﾃｲﾝﾒﾝﾄ事業本部　當間 百合子</t>
  </si>
  <si>
    <t>當銘理子</t>
  </si>
  <si>
    <t>【退職】【業】11/30 11/30 ﾃﾞｼﾞﾀﾙｴﾝﾀｰﾃｲﾝﾒﾝﾄ事業本部　當銘 理子</t>
  </si>
  <si>
    <t>池間薫</t>
  </si>
  <si>
    <t>【退職】【業】11/30 11/30 ﾃﾞｼﾞﾀﾙｴﾝﾀｰﾃｲﾝﾒﾝﾄ事業本部　池間 薫</t>
  </si>
  <si>
    <t>松田絵里</t>
  </si>
  <si>
    <t>【退職】【業】11/30 11/30 ﾃﾞｼﾞﾀﾙｴﾝﾀｰﾃｲﾝﾒﾝﾄ事業本部　松田 絵里</t>
  </si>
  <si>
    <t>新井亨</t>
  </si>
  <si>
    <t>【退職】【業】11/30 11/30 ﾃﾞｼﾞﾀﾙｴﾝﾀｰﾃｲﾝﾒﾝﾄ事業本部　新井 亨</t>
  </si>
  <si>
    <t>山城泉季</t>
  </si>
  <si>
    <t>【退職】【業】11/30 11/30 ﾃﾞｼﾞﾀﾙｴﾝﾀｰﾃｲﾝﾒﾝﾄ事業本部　山城 泉季</t>
  </si>
  <si>
    <t>上運天拓巳</t>
  </si>
  <si>
    <t>【退職】【業】11/30 11/30 ﾃﾞｼﾞﾀﾙｴﾝﾀｰﾃｲﾝﾒﾝﾄ事業本部　上運天 拓巳</t>
  </si>
  <si>
    <t>我那覇竜之介</t>
  </si>
  <si>
    <t>【退職】【業】11/30 11/30 ﾃﾞｼﾞﾀﾙｴﾝﾀｰﾃｲﾝﾒﾝﾄ事業本部　我那覇 竜之介</t>
  </si>
  <si>
    <t>宮平将太郎</t>
  </si>
  <si>
    <t>【退職】【業】11/30 11/30 ﾃﾞｼﾞﾀﾙｴﾝﾀｰﾃｲﾝﾒﾝﾄ事業本部　宮平 将太郎</t>
  </si>
  <si>
    <t>泉貴文</t>
  </si>
  <si>
    <t>【退職】【業】11/30 11/30 ﾃﾞｼﾞﾀﾙｴﾝﾀｰﾃｲﾝﾒﾝﾄ事業本部　泉 貴文</t>
  </si>
  <si>
    <t>綿谷優里</t>
  </si>
  <si>
    <t>【退職】【業】11/30 11/30 ﾃﾞｼﾞﾀﾙｴﾝﾀｰﾃｲﾝﾒﾝﾄ事業本部　綿谷 優里</t>
  </si>
  <si>
    <t>村本裕哉</t>
  </si>
  <si>
    <t>【退職】【業】11/30 11/30 ﾃﾞｼﾞﾀﾙｴﾝﾀｰﾃｲﾝﾒﾝﾄ事業本部 村本 裕哉</t>
  </si>
  <si>
    <t>團原良征</t>
  </si>
  <si>
    <t>【退職】【業】11/30 11/30 ﾃﾞｼﾞﾀﾙｴﾝﾀｰﾃｲﾝﾒﾝﾄ事業本部 團原 良征</t>
  </si>
  <si>
    <t>向井田啓悠</t>
  </si>
  <si>
    <t>【退職】【業】11/30 11/30 ﾃﾞｼﾞﾀﾙｴﾝﾀｰﾃｲﾝﾒﾝﾄ事業本部 向井田 啓悠</t>
  </si>
  <si>
    <t>與儀清仁</t>
  </si>
  <si>
    <t>【退職】【業】11/30 11/30 ﾃﾞｼﾞﾀﾙｴﾝﾀｰﾃｲﾝﾒﾝﾄ事業本部 與儀 清仁</t>
  </si>
  <si>
    <t>玉那覇臣</t>
  </si>
  <si>
    <t>【退職】【業】11/30 11/30 ﾃﾞｼﾞﾀﾙｴﾝﾀｰﾃｲﾝﾒﾝﾄ事業本部 玉那覇 臣</t>
  </si>
  <si>
    <t>當眞嗣人</t>
  </si>
  <si>
    <t>【退職】【業】11/30 11/30 ﾃﾞｼﾞﾀﾙｴﾝﾀｰﾃｲﾝﾒﾝﾄ事業本部 當眞 嗣人</t>
  </si>
  <si>
    <t>仲間真也</t>
  </si>
  <si>
    <t>【退職】【業】11/30 11/30 ﾃﾞｼﾞﾀﾙｴﾝﾀｰﾃｲﾝﾒﾝﾄ事業本部 仲間 真也</t>
  </si>
  <si>
    <t>森本江美</t>
  </si>
  <si>
    <t>【退職】【業】11/30 11/30 ﾃﾞｼﾞﾀﾙｴﾝﾀｰﾃｲﾝﾒﾝﾄ事業本部 森本 江美</t>
  </si>
  <si>
    <t>喜納正博</t>
  </si>
  <si>
    <t>【退職】【業】11/30 11/30 ﾃﾞｼﾞﾀﾙｴﾝﾀｰﾃｲﾝﾒﾝﾄ事業本部 喜納 正博</t>
  </si>
  <si>
    <t>具志堅龍弥</t>
  </si>
  <si>
    <t>【退職】【業】11/30 11/30 ﾃﾞｼﾞﾀﾙｴﾝﾀｰﾃｲﾝﾒﾝﾄ事業本部 具志堅 龍弥</t>
  </si>
  <si>
    <t>永田裕一</t>
  </si>
  <si>
    <t>【退職】【業】11/30 11/30 ﾃﾞｼﾞﾀﾙｴﾝﾀｰﾃｲﾝﾒﾝﾄ事業本部 永田 裕一</t>
  </si>
  <si>
    <t>與那覇泰輝</t>
  </si>
  <si>
    <t>【退職】【業】11/30 11/30 ﾃﾞｼﾞﾀﾙｴﾝﾀｰﾃｲﾝﾒﾝﾄ事業本部 與那覇 泰輝</t>
  </si>
  <si>
    <t>琉季アズサ</t>
  </si>
  <si>
    <t>【退職】【業】11/30 11/30 ﾃﾞｼﾞﾀﾙｴﾝﾀｰﾃｲﾝﾒﾝﾄ事業本部 琉季 アズサ</t>
  </si>
  <si>
    <t>宇榮原將太</t>
  </si>
  <si>
    <t>【退職】【業】11/30 11/30 ﾃﾞｼﾞﾀﾙｴﾝﾀｰﾃｲﾝﾒﾝﾄ事業本部 宇榮原 將太</t>
  </si>
  <si>
    <t>黒潮紗緒利</t>
  </si>
  <si>
    <t>【退職】【業】11/30 11/30 ﾃﾞｼﾞﾀﾙｴﾝﾀｰﾃｲﾝﾒﾝﾄ事業本部 黒潮 紗緒利</t>
  </si>
  <si>
    <t>パクグァンロク</t>
  </si>
  <si>
    <t>【退職】【業】11/30 11/30 ﾃﾞｼﾞﾀﾙｴﾝﾀｰﾃｲﾝﾒﾝﾄ事業本部 パク グァンロク</t>
  </si>
  <si>
    <t xml:space="preserve">  ﾃﾞｼﾞﾀﾙｴﾝﾀｰﾃｲﾝﾒﾝﾄ事業本部</t>
  </si>
  <si>
    <t>二村遼太</t>
  </si>
  <si>
    <t>【退職】【業】10/31 10/31 デジタルエンターテインメント事業本部 二村 遼太</t>
  </si>
  <si>
    <t>塚本捷</t>
  </si>
  <si>
    <t>【退職】【業】10/31 10/31 デジタルエンターテインメント事業本部 塚本 捷</t>
  </si>
  <si>
    <t>井上絢賀a</t>
  </si>
  <si>
    <t>【退職】【業】11/02 11/02 投資事業推進本部 井上 絢賀a</t>
  </si>
  <si>
    <t>土家啓路a</t>
  </si>
  <si>
    <t>【退職】【業】11/02 11/02 投資事業推進本部 土家 啓路a</t>
  </si>
  <si>
    <t>川端建守a</t>
  </si>
  <si>
    <t>【退職】【業】11/02 11/02 投資事業推進本部 川端 建守a</t>
  </si>
  <si>
    <t>堀口晃佑a</t>
  </si>
  <si>
    <t>【退職】【業】11/02 11/02 投資事業推進本部 堀口 晃佑a</t>
  </si>
  <si>
    <t>黒澤麻美</t>
  </si>
  <si>
    <t>【退職】【正】10/31 ﾃﾞｼﾞﾀﾙｴﾝﾀｰﾃｲﾝﾒﾝﾄ事業本部 黒澤 麻美</t>
  </si>
  <si>
    <t>見崎大地</t>
  </si>
  <si>
    <t>【退職】【業】10/25 10/25　メディア&amp;ベッティング事業本部　見崎 大地（ND）</t>
  </si>
  <si>
    <t>TorresCamilo</t>
  </si>
  <si>
    <t>【退職】【業】 11/03 11/03 Torres Camilo</t>
  </si>
  <si>
    <t>川船航</t>
  </si>
  <si>
    <t>【退職】【業】10/31 10/31 MIXI M 事業部 川船 航</t>
  </si>
  <si>
    <t>【退職】 【業】 11/30 11/30高津 秀也</t>
  </si>
  <si>
    <t>【退職】 【業】 11/30 11/30東 明宏</t>
  </si>
  <si>
    <t>【退職】 【業】 11/30 11/30服部 将大</t>
  </si>
  <si>
    <t>【退職】 【業】 11/30 11/30梅園 アマンダ</t>
  </si>
  <si>
    <t>【退職】 【業】 11/30 11/30深見 さとみ</t>
  </si>
  <si>
    <t>【退職】 【業】 11/30 11/30山口 寛奈</t>
  </si>
  <si>
    <t>【退職】 【業】 11/30 11/30佐藤 直紀a</t>
  </si>
  <si>
    <t>後藤智博a</t>
  </si>
  <si>
    <t>【退職】【業】10/25 10/25 デジタルエンターテインメント事業本部 後藤 智博a</t>
  </si>
  <si>
    <t>西郷智史</t>
  </si>
  <si>
    <t>【退職】【業】10/25 10/25 デジタルエンターテインメント事業本部 西郷 智史</t>
  </si>
  <si>
    <t>池田武史</t>
  </si>
  <si>
    <t xml:space="preserve">【退職】【業】10/30 10/31 ソーシャルベッティング事業本部 池田 武史 </t>
  </si>
  <si>
    <t>内田仁</t>
  </si>
  <si>
    <t>【退職】【業】10/30 10/31 ソーシャルベッティング事業本部 内田 仁</t>
  </si>
  <si>
    <t>内山圭一</t>
  </si>
  <si>
    <t>【退職】【業】10/31 10/31 ﾃﾞｼﾞﾀﾙｴﾝﾀｰﾃｲﾝﾒﾝﾄ事業本部 内山 圭一</t>
  </si>
  <si>
    <t>角南寧々</t>
  </si>
  <si>
    <t>【退職】【業】10/31 10/31 ﾃﾞｼﾞﾀﾙｴﾝﾀｰﾃｲﾝﾒﾝﾄ事業本部 角南 寧々</t>
  </si>
  <si>
    <t>新谷英樹</t>
  </si>
  <si>
    <t>【退職】【業】10/31 10/31 ﾃﾞｼﾞﾀﾙｴﾝﾀｰﾃｲﾝﾒﾝﾄ事業本部 新谷 英樹</t>
  </si>
  <si>
    <t>田村洵弥</t>
  </si>
  <si>
    <t>【退職】【業】10/31 10/31 ﾃﾞｼﾞﾀﾙｴﾝﾀｰﾃｲﾝﾒﾝﾄ事業本部 田村 洵弥</t>
  </si>
  <si>
    <t>新居知希</t>
  </si>
  <si>
    <t>【退職】【業】10/31 10/31 ﾃﾞｼﾞﾀﾙｴﾝﾀｰﾃｲﾝﾒﾝﾄ事業本部 新居 知希</t>
  </si>
  <si>
    <t>岩間雄太a</t>
  </si>
  <si>
    <t>【退職】【業】10/30 10/31 ﾃﾞｼﾞﾀﾙｴﾝﾀｰﾃｲﾝﾒﾝﾄ事業本部 岩間 雄太a</t>
  </si>
  <si>
    <t>浅井亜由美</t>
  </si>
  <si>
    <t>【退職】【業】2023/10/18　2023/10/19　浅井 亜由美</t>
  </si>
  <si>
    <t>比嘉朱里</t>
  </si>
  <si>
    <t>【退職】【派】10/6 10/16 比嘉 朱里</t>
  </si>
  <si>
    <t>橋本幸樹</t>
  </si>
  <si>
    <t>【退職】【業】10/23 10/23 デジタメ事業本部　橋本 幸樹</t>
  </si>
  <si>
    <t>寺澤安也実</t>
  </si>
  <si>
    <t>【退職】【業】10/30 10/31 ﾃﾞｼﾞﾀﾙｴﾝﾀｰﾃｲﾝﾒﾝﾄ事業本部 寺澤 安也実</t>
  </si>
  <si>
    <t>宮嶋真由</t>
  </si>
  <si>
    <t>【退職】【業】10/30 10/31 ﾃﾞｼﾞﾀﾙｴﾝﾀｰﾃｲﾝﾒﾝﾄ事業本部 宮嶋 真由</t>
  </si>
  <si>
    <t>黄木翔太</t>
  </si>
  <si>
    <t>【退職】【業】10/30 10/31 ﾃﾞｼﾞﾀﾙｴﾝﾀｰﾃｲﾝﾒﾝﾄ事業本部 黄木 翔太</t>
  </si>
  <si>
    <t>小西杏典</t>
  </si>
  <si>
    <t>【退職】【ア】10/31 10/31　人事本部 　小西 杏典</t>
  </si>
  <si>
    <t>湯本航基</t>
  </si>
  <si>
    <t>【退職】【ア】10/20 10/20　人事本部 　湯本 航基</t>
  </si>
  <si>
    <t>【退職】【ア】10/31  10/31　人事本部 　中林 健人</t>
  </si>
  <si>
    <t>藤野高志</t>
  </si>
  <si>
    <t>【退職】【正】10/26 10/31 ｿｰｼｬﾙﾍﾞｯﾃｨﾝｸﾞ事業本部 藤野 高志</t>
  </si>
  <si>
    <t>前津達人</t>
  </si>
  <si>
    <t>【退職】【業】2023/10/06 2023/10/06 Vantageスタジオ 前津 達人</t>
  </si>
  <si>
    <t>宮崎純アベル</t>
  </si>
  <si>
    <t>【退職】【業】2023/10/06 2023/10/06 Vantageスタジオ 宮崎 純アベル</t>
  </si>
  <si>
    <t>深松一平</t>
  </si>
  <si>
    <t>【退職】【業】2023/10/06 2023/10/06 Vantageスタジオ 深松 一平</t>
  </si>
  <si>
    <t>廣晴輔</t>
  </si>
  <si>
    <t>【退職】【ア】10/06 10/15  開発部 廣 晴輔（ND）</t>
  </si>
  <si>
    <t>原田勝信</t>
  </si>
  <si>
    <t>【退職】【正】9/22 9/23 原田 勝信</t>
  </si>
  <si>
    <t>萩原太二郎</t>
  </si>
  <si>
    <t>【退職】【業】09/29 09/30 ﾓﾝｽﾄｼﾘｰｽﾞｹﾞｰﾑ事業部 萩原 太二郎</t>
  </si>
  <si>
    <t>星野稔和</t>
  </si>
  <si>
    <t>【退職】【業】2023/9/29 9/29 ソーシャルベッティング事業本部 星野 稔和</t>
  </si>
  <si>
    <t>Vantage Studio</t>
  </si>
  <si>
    <t>小田桐彩人</t>
  </si>
  <si>
    <t>【退職】【派】09/29 09/30 Romi事業部 開発グループ ロボット開発チーム 小田桐 彩人</t>
  </si>
  <si>
    <t>阿部真澄美</t>
  </si>
  <si>
    <t>【退職】【正】03/31 09/30 CS部 阿部 真澄美</t>
  </si>
  <si>
    <t>野上徹</t>
  </si>
  <si>
    <t>【退職】【業】2023/9/29 9/29 ソーシャルベッティング事業本部 野上 徹</t>
  </si>
  <si>
    <t>中島まき</t>
  </si>
  <si>
    <t>【退職】【業】2023/9/29 9/29 ソーシャルベッティング事業本部 中島 まき</t>
  </si>
  <si>
    <t>小浦由希夫</t>
  </si>
  <si>
    <t>【退職】【業】09/29 09/30 ﾃﾞｼﾞﾀﾙｴﾝﾀｰﾃｲﾝﾒﾝﾄ事業本部 小浦 由希夫</t>
  </si>
  <si>
    <t>小山大貴</t>
  </si>
  <si>
    <t>【退職】【業】09/29 09/30 ﾃﾞｼﾞﾀﾙｴﾝﾀｰﾃｲﾝﾒﾝﾄ事業本部 小山 大貴</t>
  </si>
  <si>
    <t>デネットサイモン</t>
  </si>
  <si>
    <t>【退職】【業】09/29 09/30 ﾃﾞｼﾞﾀﾙｴﾝﾀｰﾃｲﾝﾒﾝﾄ事業本部 デネット サイモン</t>
  </si>
  <si>
    <t>内堀賢治</t>
  </si>
  <si>
    <t>【退職】【業】09/29 09/30 ﾃﾞｼﾞﾀﾙｴﾝﾀｰﾃｲﾝﾒﾝﾄ事業本部 内堀 賢治</t>
  </si>
  <si>
    <t>モントゴメリー翔</t>
  </si>
  <si>
    <t>【退職】【業】09/29 09/30 ﾃﾞｼﾞﾀﾙｴﾝﾀｰﾃｲﾝﾒﾝﾄ事業本部 モントゴメリー 翔</t>
  </si>
  <si>
    <t>常塚アンドレアス</t>
  </si>
  <si>
    <t>【退職】【業】09/29 09/30 ﾃﾞｼﾞﾀﾙｴﾝﾀｰﾃｲﾝﾒﾝﾄ事業本部 常塚 アンドレアス</t>
  </si>
  <si>
    <t>本田雅治</t>
  </si>
  <si>
    <t>【退職】【業】09/29 09/30 デジタルエンターテインメント事業本部 本田 雅治</t>
  </si>
  <si>
    <t xml:space="preserve"> ｹﾞｰﾑ開発部</t>
  </si>
  <si>
    <t>南浦麻衣a</t>
  </si>
  <si>
    <t>【退職】【業】9/29 9/29 ﾃﾞｼﾞﾀﾙｴﾝﾀｰﾃｲﾝﾒﾝﾄ事業本部 南浦 麻衣a</t>
  </si>
  <si>
    <t xml:space="preserve"> 仙台ｵﾌｨｽG</t>
  </si>
  <si>
    <t>伊藤ひなた</t>
  </si>
  <si>
    <t>【退職】【契】2023/09/25 2023/09/30 伊藤 ひなた</t>
  </si>
  <si>
    <t>投資事業本部</t>
  </si>
  <si>
    <t>小田ゆう</t>
  </si>
  <si>
    <t>【退職】【業】9/29 9/30 投資事業本部 小田 ゆう</t>
  </si>
  <si>
    <t>奥大輔</t>
  </si>
  <si>
    <t>【退職】【業】9/30 9/30 投資事業本部 奥 大輔</t>
  </si>
  <si>
    <t>片岡雅代</t>
  </si>
  <si>
    <t>【退職】【業】9/30 9/30 投資事業本部 片岡 雅代</t>
  </si>
  <si>
    <t>アンタリクサイスタス</t>
  </si>
  <si>
    <t>【退職】【正】10/17 10/31 ｿｰｼｬﾙﾍﾞｯﾃｨﾝｸﾞ事業本部 アンタリクサ イスタス</t>
  </si>
  <si>
    <t>藤春奈</t>
  </si>
  <si>
    <t>【退職】【業】9/29 9/30 開発本部 藤 春奈</t>
  </si>
  <si>
    <t>木村あさみb</t>
  </si>
  <si>
    <t>【退職】【業】09/29 09/30 デジタルエンターテインメント事業本部 木村 あさみb</t>
  </si>
  <si>
    <t>根岸菜摘</t>
  </si>
  <si>
    <t>【退職】【派】最終出社日：2023年9月20日　／ 退職日：2023年9月30日 　／人事本部人材採用部 ／根岸 菜摘</t>
  </si>
  <si>
    <t>稲田義信a</t>
  </si>
  <si>
    <t>【退職】【業】9/29 9/30 ゲーム開発部 稲田 義信a</t>
  </si>
  <si>
    <t>立石勝一</t>
  </si>
  <si>
    <t>【退職】【業】9/29 9/30 ゲーム開発部 立石 勝一</t>
  </si>
  <si>
    <t>梅津喬</t>
  </si>
  <si>
    <t>【退職】【業】9/29 9/30 ゲーム開発部 梅津 喬</t>
  </si>
  <si>
    <t>辰住陽一</t>
  </si>
  <si>
    <t>【退職】【業】9/29 9/30 ゲーム開発部 辰住 陽一</t>
  </si>
  <si>
    <t>伊藤瑠慧</t>
  </si>
  <si>
    <t>【退職】【業】9/29 9/30 ゲーム開発部 伊藤 瑠慧</t>
  </si>
  <si>
    <t>堀尾晋平</t>
  </si>
  <si>
    <t xml:space="preserve">【退職】【業】9/29 9/30 ゲーム開発部 堀尾 晋平 </t>
  </si>
  <si>
    <t>押切南奈</t>
  </si>
  <si>
    <t>【退職】【業】9/29 9/30 ゲーム開発部 押切 南奈</t>
  </si>
  <si>
    <t>宮木めぐみa</t>
  </si>
  <si>
    <t>【退職】【業】9/29 9/30 ゲーム開発部 宮木 めぐみa</t>
  </si>
  <si>
    <t>久門哲雄</t>
  </si>
  <si>
    <t>【退職】【業】09/26 09/30　久門 哲雄</t>
  </si>
  <si>
    <t>【退職】【ア】9/20 9/20　人事本部 　古澤 礼</t>
  </si>
  <si>
    <t>平井光誠</t>
  </si>
  <si>
    <t>【退職】【業】9/29 9/30 デザイン本部 平井 光誠</t>
  </si>
  <si>
    <t>横道勇貴</t>
  </si>
  <si>
    <t>【退職】【派】09/29 09/30 ﾃﾞｼﾞﾀﾙｴﾝﾀｰﾃｲﾝﾒﾝﾄ事業本部 横道 勇貴</t>
  </si>
  <si>
    <t>前川智子</t>
  </si>
  <si>
    <t>【退職】【派】9/30 9/30 ﾃﾞｼﾞﾀﾙｴﾝﾀｰﾃｲﾝﾒﾝﾄ事業本部 前川 智子</t>
  </si>
  <si>
    <t>富田洋</t>
  </si>
  <si>
    <t>【退職】【業】09/29 09/30 デジタルエンターテインメント事業本部 富田 洋</t>
  </si>
  <si>
    <t>平澤將輝</t>
  </si>
  <si>
    <t>【退職】【業】09/29 09/30 ﾓﾝｽﾄｼﾘｰｽﾞｹﾞｰﾑ事業部　平澤 將輝</t>
  </si>
  <si>
    <t>瀧香織</t>
  </si>
  <si>
    <t>【退職】【業】09/29 09/30 ﾓﾝｽﾄｼﾘｰｽﾞｹﾞｰﾑ事業部　瀧 香織</t>
  </si>
  <si>
    <t>長澤寿雄</t>
  </si>
  <si>
    <t>【退職】【業】09/29 09/30 ﾓﾝｽﾄｼﾘｰｽﾞｹﾞｰﾑ事業部 長澤 寿雄</t>
  </si>
  <si>
    <t>丹羽裕紀b</t>
  </si>
  <si>
    <t>【退職】【業】09/29 09/30 ﾓﾝｽﾄｼﾘｰｽﾞｹﾞｰﾑ事業部 丹羽 裕紀b</t>
  </si>
  <si>
    <t>宮内俊英a</t>
  </si>
  <si>
    <t>【退職】【業】09/29 09/30 ﾓﾝｽﾄｼﾘｰｽﾞｹﾞｰﾑ事業部 宮内 俊英a</t>
  </si>
  <si>
    <t>石井拓人</t>
  </si>
  <si>
    <t>【退職】【業】09/29 09/30 ﾓﾝｽﾄｼﾘｰｽﾞｹﾞｰﾑ事業部 石井 拓人</t>
  </si>
  <si>
    <t>佐藤日和</t>
  </si>
  <si>
    <t>【退職】【業】09/26 09/30 ｹﾞｰﾑ開発部 佐藤 日和</t>
  </si>
  <si>
    <t>【退職】【派】9/30　9/30　経営管理本部　小関 瑞穂（ND）</t>
  </si>
  <si>
    <t>山浦倫子</t>
  </si>
  <si>
    <t>【退職】【派】09/29 09/30 デジタルエンターテインメント事業本部 山浦 倫子</t>
  </si>
  <si>
    <t>石渡新治</t>
  </si>
  <si>
    <t>【退職】【業】09/29 09/30 デジタルエンターテインメント事業本部 石渡 新治</t>
  </si>
  <si>
    <t>長尾星良</t>
  </si>
  <si>
    <t>【退職】【派】09/28 09/30 デジタルエンターテインメント事業本部 長尾 星良</t>
  </si>
  <si>
    <t>親川大樹</t>
  </si>
  <si>
    <t>【退職】【正】9/29 10/31 ﾃﾞｼﾞﾀﾙｴﾝﾀｰﾃｲﾝﾒﾝﾄ事業本部 親川 大樹</t>
  </si>
  <si>
    <t>石田浩高</t>
  </si>
  <si>
    <t>【退職】【業】9/28 9/30　サービス運営開発本部　石田 浩高 （ND）</t>
  </si>
  <si>
    <t>北村美里</t>
  </si>
  <si>
    <t>【退職】【契】09/29 09/30 人事本部 北村 美里</t>
  </si>
  <si>
    <t>安田健太</t>
  </si>
  <si>
    <t>【退職】【業】09/29 09/30 ﾓﾝｽﾄｼﾘｰｽﾞｹﾞｰﾑ事業部 安田 健太</t>
  </si>
  <si>
    <t>【退職】【業】2023/9/16 9/16 ソーシャルベッティング事業本部 近藤 一</t>
  </si>
  <si>
    <t>髙田知季</t>
  </si>
  <si>
    <t>【退職】【派】09/29 09/30 ﾃﾞｼﾞﾀﾙｴﾝﾀｰﾃｲﾝﾒﾝﾄ事業本部 髙田  知季</t>
  </si>
  <si>
    <t>丸山真矢</t>
  </si>
  <si>
    <t>【退職】【ア】10/06 10/08　ｻｰﾋﾞｽ運営開発本部 丸山 真矢</t>
  </si>
  <si>
    <t>谷口由記a</t>
  </si>
  <si>
    <t>【退職】【派】2023/9/22 9/22 ソーシャルベッティング事業本部 谷口 由記a</t>
  </si>
  <si>
    <t>【退職】【業】9/29 9/30 デザイン本部 松本 美穂</t>
  </si>
  <si>
    <t>鈴木啓太</t>
  </si>
  <si>
    <t>【退職】【ア】9/21 09/30 ﾓﾝｽﾄｼﾘｰｽﾞｹﾞｰﾑ事業部 鈴木 啓太</t>
  </si>
  <si>
    <t>田山凌汰</t>
  </si>
  <si>
    <t>【退職】【ア】9/21 09/30 ﾃﾞｼﾞﾀﾙｴﾝﾀｰﾃｲﾝﾒﾝﾄ事業本部 田山 凌汰</t>
  </si>
  <si>
    <t>小林孝行</t>
  </si>
  <si>
    <t>【退職】【派】09/29 09/30 ﾃﾞｼﾞﾀﾙｴﾝﾀｰﾃｲﾝﾒﾝﾄ事業本部 小林 孝行</t>
  </si>
  <si>
    <t>モーザーブレイデン</t>
  </si>
  <si>
    <t>【退職】【派】9/29 9/30 モーザー ブレイデン</t>
  </si>
  <si>
    <t xml:space="preserve">  投資事業本部</t>
  </si>
  <si>
    <t>原史恵</t>
  </si>
  <si>
    <t>【退職】【業】9/11 9/30 投資事業本部 原 史恵</t>
  </si>
  <si>
    <t>【退職】【ア】9/29  9/29　人事本部 　田中 亮太朗</t>
  </si>
  <si>
    <t>阿部賢太郎</t>
  </si>
  <si>
    <t>【退職】【ア】9/29  9/29　人事本部 　阿部 賢太郎</t>
  </si>
  <si>
    <t>【退職】【ア】9/22  9/22　人事本部 　谷 知拓</t>
  </si>
  <si>
    <t>佐藤大地</t>
  </si>
  <si>
    <t>【退職】【ア】9/29  9/29　人事本部 　佐藤 大地</t>
  </si>
  <si>
    <t>黒田和暉</t>
  </si>
  <si>
    <t>【退職】【ア】9/22  9/22　人事本部 　黒田 和暉</t>
  </si>
  <si>
    <t>MIXI RECRUITMENT事業部</t>
  </si>
  <si>
    <t>ﾀﾞﾐｰ株式会社MIXI RECRUITMENT</t>
  </si>
  <si>
    <t>須山俊</t>
  </si>
  <si>
    <t>【退職】【業】9/5 9/5 MIXI RECRUITMENT 須山 俊</t>
  </si>
  <si>
    <t>掛端玲</t>
  </si>
  <si>
    <t>【退職】【業】9/5 9/5 MIXI RECRUITMENT 掛端 玲</t>
  </si>
  <si>
    <t>鈴木優歌b</t>
  </si>
  <si>
    <t>【退職】【業】09/29 09/30 ﾓﾝｽﾄｼﾘｰｽﾞｹﾞｰﾑ事業部 鈴木 優歌b</t>
  </si>
  <si>
    <t>丹野佑紀</t>
  </si>
  <si>
    <t>【退職】【業】09/29 09/30 ﾓﾝｽﾄｼﾘｰｽﾞｹﾞｰﾑ事業部 丹野 佑紀</t>
  </si>
  <si>
    <t>西宮和希</t>
  </si>
  <si>
    <t>【退職】【派】09/29 09/30 ﾓﾝｽﾄｼﾘｰｽﾞｹﾞｰﾑ事業部 西宮 和希</t>
  </si>
  <si>
    <t>平田祥大</t>
  </si>
  <si>
    <t>【退職】【派】09/29 09/30 ﾓﾝｽﾄｼﾘｰｽﾞｹﾞｰﾑ事業部 平田 祥大</t>
  </si>
  <si>
    <t>佐藤喜多郎</t>
  </si>
  <si>
    <t>【退職】【派】09/29 09/30 ﾓﾝｽﾄｼﾘｰｽﾞｹﾞｰﾑ事業部 佐藤 喜多郎</t>
  </si>
  <si>
    <t>都丸美鈴</t>
  </si>
  <si>
    <t>【退職】【業】09/29 09/30 ﾓﾝｽﾄｼﾘｰｽﾞｹﾞｰﾑ事業部 都丸 美鈴</t>
  </si>
  <si>
    <t>深谷心</t>
  </si>
  <si>
    <t>【退職】【正】9/29 10/31 デジタルエンターテインメント本部 深谷 心</t>
  </si>
  <si>
    <t>池内優弥</t>
  </si>
  <si>
    <t>【退職】【業】09/29 09/30 ｹﾞｰﾑ開発部 池内 優弥</t>
  </si>
  <si>
    <t>長沼美里</t>
  </si>
  <si>
    <t>【退職】【業】09/29 09/30 ｹﾞｰﾑ開発部 長沼 美里</t>
  </si>
  <si>
    <t>徳宮千弦</t>
  </si>
  <si>
    <t>【退職】【業】09/29 09/30 ｹﾞｰﾑ開発部 徳宮 千弦</t>
  </si>
  <si>
    <t>西尾渉a</t>
  </si>
  <si>
    <t>【退職】【業】09/15 09/15 ｹﾞｰﾑ開発部 西尾 渉a</t>
  </si>
  <si>
    <t>井上	絢賀</t>
  </si>
  <si>
    <t>【退職】【業】9/15 9/15 投資事業推進本部 井上 絢賀</t>
  </si>
  <si>
    <t>土家	啓路</t>
  </si>
  <si>
    <t>【退職】【業】9/15 9/15 投資事業推進本部 土家 啓路</t>
  </si>
  <si>
    <t>森島諒</t>
  </si>
  <si>
    <t>【退職】【正】2023/10/31 2023/10/31 Vantageスタジオ 森島 諒</t>
  </si>
  <si>
    <t>富山賢優</t>
  </si>
  <si>
    <t>【退職】【業】9/15 9/15 経営推進本部 富山 賢優</t>
  </si>
  <si>
    <t>北川潤一</t>
  </si>
  <si>
    <t>【退職】【業】08/31 08/31 ﾓﾝｽﾄｼﾘｰｽﾞｹﾞｰﾑ事業部 北川 潤一</t>
  </si>
  <si>
    <t>橋本航</t>
  </si>
  <si>
    <t>【退職】【業】2023/9/29 9/29 Vantageスタジオ 橋本 航</t>
  </si>
  <si>
    <t>川端	建守</t>
  </si>
  <si>
    <t>【退職】【業】9/15 9/15 投資事業推進本部 川端 建守</t>
  </si>
  <si>
    <t>堀口	晃佑</t>
  </si>
  <si>
    <t>【退職】【業】9/15 9/15 投資事業推進本部 堀口 晃佑</t>
  </si>
  <si>
    <t>鍵谷幸輝</t>
  </si>
  <si>
    <t>【退職】【業】8/31 8/31 デジタルエンターテインメント事業本部 鍵谷 幸輝</t>
  </si>
  <si>
    <t>小高由寛</t>
  </si>
  <si>
    <t>【退職】【ア】08/31 08/31 開発部 小高 由寛</t>
  </si>
  <si>
    <t>寺本貴広</t>
  </si>
  <si>
    <t>【退職】【ア】08/31 08/31 メディア事業部 寺本 貴広</t>
  </si>
  <si>
    <t>松浦向日葵</t>
  </si>
  <si>
    <t>【退職】【ア】08/31 08/31 映像&amp;編集部 松浦 向日葵</t>
  </si>
  <si>
    <t>竹下将人</t>
  </si>
  <si>
    <t>【退職】【業】8/31 8/31 はたらく環境推進本部 竹下 将人</t>
  </si>
  <si>
    <t>泉歩花</t>
  </si>
  <si>
    <t>【退職】【ア】8/25 8/25 netkeiba事業本部　泉 歩花（ND）</t>
  </si>
  <si>
    <t>【退職】【ア】9/12  9/12　人事本部 　周藤 光太郎a</t>
  </si>
  <si>
    <t>太田理斗a</t>
  </si>
  <si>
    <t>【退職】【ア】9/15  9/15　人事本部 　太田 理斗a</t>
  </si>
  <si>
    <t>奥田匡彦a</t>
  </si>
  <si>
    <t>【退職】【業】9/20 9/30 CS本部 奥田 匡彦a</t>
  </si>
  <si>
    <t>Vantege本部</t>
  </si>
  <si>
    <t>上市愛</t>
  </si>
  <si>
    <t>【退職】【正】09/04 09/30 Vantege本部minimo事業部 上市 愛</t>
  </si>
  <si>
    <t>鈴木大輝a</t>
  </si>
  <si>
    <t>【退職】【業】08/31 08/31 人事本部 鈴木 大輝a</t>
  </si>
  <si>
    <t>【退職】【業】08/31 08/31 賀茂 慎一郎</t>
  </si>
  <si>
    <t>舟橋英誉</t>
  </si>
  <si>
    <t>【退職】【業】08/22 08/22　舟橋 英誉</t>
  </si>
  <si>
    <t>尹昶燈</t>
  </si>
  <si>
    <t>【退職】【業】8/31 8/31 開発本部 尹 昶燈</t>
  </si>
  <si>
    <t>吉澤信</t>
  </si>
  <si>
    <t>【退職】【業】8/31 8/31 開発本部 吉澤 信</t>
  </si>
  <si>
    <t>佐浦有亮</t>
  </si>
  <si>
    <t>【退職】【業】8/31 8/31 開発本部 佐浦 有亮</t>
  </si>
  <si>
    <t>福田桜子</t>
  </si>
  <si>
    <t>【退職】【派】08/18 08/18 投資事業推進本部　福田 桜子</t>
  </si>
  <si>
    <t>河口沙月</t>
  </si>
  <si>
    <t>【退職】【正】09/07 09/30 投資事業推進本部 事業開発部 河口 沙月</t>
  </si>
  <si>
    <t>坂井元一a</t>
  </si>
  <si>
    <t>【退職】【業】08/30 08/31 ゲーム開発部 坂井 元一a</t>
  </si>
  <si>
    <t>トラボコマヌエル</t>
  </si>
  <si>
    <t>【退職】【業】08/30 08/31 ゲーム開発部 トラボコ マヌエル</t>
  </si>
  <si>
    <t>ニキーチンイーゴリ</t>
  </si>
  <si>
    <t>【退職】【業】08/30 08/31 ゲーム開発部 ニキーチン イーゴリ</t>
  </si>
  <si>
    <t>山野裕介b</t>
  </si>
  <si>
    <t>【退職】【業】08/30 08/31 ゲーム開発部 山野 裕介b</t>
  </si>
  <si>
    <t>原めぐみa</t>
  </si>
  <si>
    <t>【退職】【業】08/30 08/31 ゲーム開発部 原 めぐみa</t>
  </si>
  <si>
    <t>秋山茜</t>
  </si>
  <si>
    <t>【退職】【業】08/30 08/31 ゲーム開発部 秋山 茜</t>
  </si>
  <si>
    <t>藤田峻輔a</t>
  </si>
  <si>
    <t>【退職】【業】08/30 08/31 ゲーム開発部 藤田 峻輔a</t>
  </si>
  <si>
    <t>杉山高尚</t>
  </si>
  <si>
    <t>【退職】【業】08/30 08/31 ゲーム開発部 杉山 高尚</t>
  </si>
  <si>
    <t>赤尾麻衣a</t>
  </si>
  <si>
    <t>【退職】【業】08/30 08/31 ゲーム開発部 赤尾 麻衣a</t>
  </si>
  <si>
    <t>佐藤和a</t>
  </si>
  <si>
    <t>【退職】【業】08/30 08/31 ゲーム開発部 佐藤 和a</t>
  </si>
  <si>
    <t>小山内幸一</t>
  </si>
  <si>
    <t>【退職】【業】08/30 08/31 ゲーム開発部 小山内 幸一</t>
  </si>
  <si>
    <t>大崎俊国</t>
  </si>
  <si>
    <t>【退職】【業】08/30 08/31 ゲーム開発部 大崎 俊国</t>
  </si>
  <si>
    <t>添川和敬</t>
  </si>
  <si>
    <t>【退職】【業】08/16 08/16 モンストシリーズゲーム事業部 添川 和敬</t>
  </si>
  <si>
    <t>國武圭介</t>
  </si>
  <si>
    <t>【退職】【業】8/31 8/31 MIXI RECRUITMENT 國武 圭介</t>
  </si>
  <si>
    <t>松山隆佳</t>
  </si>
  <si>
    <t>【退職】【業】8/31 8/31 MIXI RECRUITMENT 松山 隆佳</t>
  </si>
  <si>
    <t>安住俊輝</t>
  </si>
  <si>
    <t>【退職】【業】8/31 8/31 開発本部 安住 俊輝</t>
  </si>
  <si>
    <t>浅田喬子</t>
  </si>
  <si>
    <t>【退職】【業】8/22 8/31 MIXI RECRUITMENT 浅田 喬子</t>
  </si>
  <si>
    <t>中村ひろの</t>
  </si>
  <si>
    <t>【退職】【業】8/22 8/31 MIXI RECRUITMENT 中村 ひろの</t>
  </si>
  <si>
    <t>中森りほ</t>
  </si>
  <si>
    <t>【退職】【業】8/22 8/31 MIXI RECRUITMENT 中森 りほ</t>
  </si>
  <si>
    <t>保戸塚彩</t>
  </si>
  <si>
    <t>【退職】【業】8/22 8/31 MIXI RECRUITMENT 保戸塚 彩</t>
  </si>
  <si>
    <t>八島美里</t>
  </si>
  <si>
    <t>【退職】【業】8/22 8/31 MIXI RECRUITMENT 八島 美里</t>
  </si>
  <si>
    <t>古賀葉月</t>
  </si>
  <si>
    <t>【退職】【業】8/22 8/31 MIXI RECRUITMENT 古賀 葉月</t>
  </si>
  <si>
    <t>徳永佑作</t>
  </si>
  <si>
    <t>【退職】【業】8/22 8/31 MIXI RECRUITMENT 徳永 佑作</t>
  </si>
  <si>
    <t>小宮裕里</t>
  </si>
  <si>
    <t>【退職】【業】8/22 8/31 MIXI RECRUITMENT 小宮 裕里</t>
  </si>
  <si>
    <t>岡田靖</t>
  </si>
  <si>
    <t>【退職／出向解除】【正】8/28 8/31 LX本部 岡田 靖</t>
  </si>
  <si>
    <t>白石裕人</t>
  </si>
  <si>
    <t>【退職】【業】08/31 08/31 モンストシリーズゲーム事業部 白石 裕人</t>
  </si>
  <si>
    <t>中島健吾</t>
  </si>
  <si>
    <t>【退職】【業】08/31 08/31 モンストシリーズゲーム事業部 中島 健吾a</t>
  </si>
  <si>
    <t>髙世裕之</t>
  </si>
  <si>
    <t>【退職】【業】08/31 08/31 モンストシリーズゲーム事業部 髙世 裕之</t>
  </si>
  <si>
    <t>矢田弘子</t>
  </si>
  <si>
    <t>【退職】【業】08/24 8/31 はたらく環境推進本部 矢田 弘子</t>
  </si>
  <si>
    <t>本間心</t>
  </si>
  <si>
    <t>【退職】【正】08/30 09/15 モンストシリーズゲーム事業部 本間 心</t>
  </si>
  <si>
    <t>菅原渓</t>
  </si>
  <si>
    <t>【退職】【ア】8/3  8/3　人事本部 　菅原 渓</t>
  </si>
  <si>
    <t>手登根俊</t>
  </si>
  <si>
    <t>【退職】【業】8/4 8/4 Vantageスタジオ 手登根 俊</t>
  </si>
  <si>
    <t>新屋文崇</t>
  </si>
  <si>
    <t>【退職】【業】8/4 8/4 Vantageスタジオ 新屋 文崇</t>
  </si>
  <si>
    <t>山田昂平c</t>
  </si>
  <si>
    <t>【退職】【業】8/4 8/4 Vantageスタジオ 山田 昂平c</t>
  </si>
  <si>
    <t>MIXI EMPOWERMENT</t>
  </si>
  <si>
    <t>佐々木淳一</t>
  </si>
  <si>
    <t>【退職】【契】2023/08/07 2023/08/09 佐々木 淳一</t>
  </si>
  <si>
    <t>上園慧</t>
  </si>
  <si>
    <t>【退職】【業】7/31 7/31 デジタルエンターテインメント事業本部 上園 慧</t>
  </si>
  <si>
    <t>葉山真紀子</t>
  </si>
  <si>
    <t>【退職】【正】08/29 08/29 法務部 葉山 真紀子</t>
  </si>
  <si>
    <t>山口絵里奈</t>
  </si>
  <si>
    <t>【退職】【業】7/28 7/31 山口 絵里奈</t>
  </si>
  <si>
    <t>五十嵐美香</t>
  </si>
  <si>
    <t>【退職】【業】08/31 8/31 はたらく環境推進本部 五十嵐 美香</t>
  </si>
  <si>
    <t>笹本京助</t>
  </si>
  <si>
    <t>【退職】【業】07/31 07/31 人事本部 笹本京助</t>
  </si>
  <si>
    <t>旦佳子</t>
  </si>
  <si>
    <t>【退職】【業】7/31 7/31 デジタルエンターテインメント事業本部 旦 佳子</t>
  </si>
  <si>
    <t>島津	翔伍</t>
  </si>
  <si>
    <t>【退職】【業】07/20 07/20 モンストシリーズゲーム事業部 島津 翔伍</t>
  </si>
  <si>
    <t>樋爪直紀</t>
  </si>
  <si>
    <t>【退職】【ア】8/4  8/4　人事本部 　樋爪 直紀</t>
  </si>
  <si>
    <t>雪室英二</t>
  </si>
  <si>
    <t>【退職】【業】7/27 7/31 開発本部 雪室 英二</t>
  </si>
  <si>
    <t>花城朋也</t>
  </si>
  <si>
    <t>【退職】【業】7/27 7/31 開発本部 花城 朋也</t>
  </si>
  <si>
    <t>升田芙美</t>
  </si>
  <si>
    <t>【退職】【派】07/19 07/19 開発本部 升田 芙美</t>
  </si>
  <si>
    <t>鎌田裕太</t>
  </si>
  <si>
    <t>【退職】【契】8/15 9/30 CS本部 鎌田 裕太</t>
  </si>
  <si>
    <t>山田翔平</t>
  </si>
  <si>
    <t>【退職】【正】08/10 08/31 経営推進本部グループ会社主計部 山田 翔平</t>
  </si>
  <si>
    <t>鈴木大介a</t>
  </si>
  <si>
    <t>【退職】【正】07/21 08/31 minimo事業部 鈴木 大介a</t>
  </si>
  <si>
    <t>安藤拓道</t>
  </si>
  <si>
    <t>【退職】【正】07/19 08/31 投資事業部 安藤 拓道</t>
  </si>
  <si>
    <t>木下元希</t>
  </si>
  <si>
    <t>【退職】【ア】7/26  7/26　人事本部 　木下 元希</t>
  </si>
  <si>
    <t>芳我みどり</t>
  </si>
  <si>
    <t>【退職】【業】07/31 07/31 デジタルエンターテイメント事業本部 芳我 みどり</t>
  </si>
  <si>
    <t>小澤経太</t>
  </si>
  <si>
    <t>【退職】【業】7/12 7/12 デジタルエンターテインメント事業本部 小澤 経太</t>
  </si>
  <si>
    <t>白木原志郎</t>
  </si>
  <si>
    <t>【退職】【業】7/14 7/14 デジタルエンターテインメント事業本部 白木原 志郎</t>
  </si>
  <si>
    <t>小滝巧也</t>
  </si>
  <si>
    <t>【退職】【業】7/13 7/13 デジタルエンターテインメント事業本部 小滝 巧也</t>
  </si>
  <si>
    <t>笹谷昌弘</t>
  </si>
  <si>
    <t xml:space="preserve"> 【退職】【業】4/12 6/30 投資事業本部 笹谷 昌弘</t>
  </si>
  <si>
    <t>中川敬介</t>
  </si>
  <si>
    <t>【退職】【正】8/31 8/31 LX本部事業戦略室 中川 敬介</t>
  </si>
  <si>
    <t>直井陽子</t>
  </si>
  <si>
    <t>【退職】【業】7/7　7/31　ライブエクスペリエンス事業本部　直井 陽子</t>
  </si>
  <si>
    <t>吉田佳祐</t>
  </si>
  <si>
    <t>【退職】【正】08/01 08/31 投資事業部 吉田 佳祐</t>
  </si>
  <si>
    <t>坪内雄介</t>
  </si>
  <si>
    <t xml:space="preserve">【退職】【業】06/30 06/30 ﾓﾝｽﾄｼﾘｰｽﾞｹﾞｰﾑ事業部 坪内 雄介 </t>
  </si>
  <si>
    <t>【退職】【業】07/04 07/04 ﾓﾝｽﾄｼﾘｰｽﾞｹﾞｰﾑ事業部 武居 範道a</t>
  </si>
  <si>
    <t>小野修司</t>
  </si>
  <si>
    <t>【退職】【正】08/01 08/22 投資事業部 小野 修司</t>
  </si>
  <si>
    <t>升澤圭一朗a</t>
  </si>
  <si>
    <t>【退職】【業】06/30 06/30 升澤 圭一朗a</t>
  </si>
  <si>
    <t>小口翔平</t>
  </si>
  <si>
    <t>【退職】【業】2023/6/27 6/30 ソーシャルベッティング事業本部  小口 翔平</t>
  </si>
  <si>
    <t>藤井貴一</t>
  </si>
  <si>
    <t>【退職】【業】6/27 6/30 モンストマーケティング部　藤井 貴一</t>
  </si>
  <si>
    <t>武田望</t>
  </si>
  <si>
    <t>【退職】【業】06/28 06/30 みてねﾌﾟﾛﾀﾞｸﾄ開発部 武田 望</t>
  </si>
  <si>
    <t>【退職】【派】06/30 06/30 投資事業推進本部 多田 藍</t>
  </si>
  <si>
    <t>郷中健太郎</t>
  </si>
  <si>
    <t>【退職】【業】06/30 06/30 郷中 健太郎</t>
  </si>
  <si>
    <t>石田遥花</t>
  </si>
  <si>
    <t>【退職】【ア】06/30 06/30 Vantageスタジオ 石田遥花</t>
  </si>
  <si>
    <t>太田晃輔</t>
  </si>
  <si>
    <t>【退職】【派】06/19 06/22 人事本部 太田 晃輔</t>
  </si>
  <si>
    <t>鈴木尚文</t>
  </si>
  <si>
    <t>【退職】【業】4/30 4/30 ライブエクスペリエンス事業本部 鈴木 尚文</t>
  </si>
  <si>
    <t>竹田元紀</t>
  </si>
  <si>
    <t>【退職】【業】6/26 6/30 ﾗｲﾌﾞｴｸｽﾍﾟﾘｴﾝｽ事業本部 竹田 元紀</t>
  </si>
  <si>
    <t>水木未央</t>
  </si>
  <si>
    <t>【退職】【業】6/30 6/30 ﾗｲﾌﾞｴｸｽﾍﾟﾘｴﾝｽ事業本部 水木 未央</t>
  </si>
  <si>
    <t>栗田蘭世</t>
  </si>
  <si>
    <t>【退職】【業】6/30 6/30 ﾗｲﾌﾞｴｸｽﾍﾟﾘｴﾝｽ事業本部 栗田 蘭世</t>
  </si>
  <si>
    <t>加茂勇樹a</t>
  </si>
  <si>
    <t>【退職】【ア】6/30  6/30 人事本部 加茂 勇樹a</t>
  </si>
  <si>
    <t>南里昌哉</t>
  </si>
  <si>
    <t>【退職】【ア】6/30  6/30 人事本部  南里 昌哉</t>
  </si>
  <si>
    <t>佐藤葉</t>
  </si>
  <si>
    <t xml:space="preserve">【退職】【業】06/21 06/21 LX事業本部 佐藤 葉  </t>
  </si>
  <si>
    <t>杉川練</t>
  </si>
  <si>
    <t>【退職】【業】06/30 06/30 ﾓﾝｽﾄｼﾘｰｽﾞｹﾞｰﾑ事業部 杉川 練</t>
  </si>
  <si>
    <t>川上純也</t>
  </si>
  <si>
    <t>【退職】【業】6/15 6/30 川上 純也</t>
  </si>
  <si>
    <t>今村友哉</t>
  </si>
  <si>
    <t>【退職】【業】06/15 06/15 ﾓﾝｽﾄｹﾞｰﾑ運営部 今村 友哉</t>
  </si>
  <si>
    <t>【退職】【派】6/30 6/30 事業企画部 菅谷 愛</t>
  </si>
  <si>
    <t>デジタルエンターテイメント事業本部</t>
  </si>
  <si>
    <t>田仕雅淑</t>
  </si>
  <si>
    <t>【退職】【業】07/31 07/31 デジタルエンターテイメント事業本部 田仕 雅淑</t>
  </si>
  <si>
    <t>和光恵梨佳</t>
  </si>
  <si>
    <t>【退職】【業】6/15 6/30 投資事業本部 和光 恵梨佳</t>
  </si>
  <si>
    <t>梛木亮</t>
  </si>
  <si>
    <t>【退職】【業】06/27 06/30 Vantageスタジオ 梛木 亮</t>
  </si>
  <si>
    <t>関祐輔</t>
  </si>
  <si>
    <t>【退職／出向解除】【正】09/15 09/15 Vantageスタジオ 関 祐輔</t>
  </si>
  <si>
    <t>山下直紘a</t>
  </si>
  <si>
    <t>【退職】【業】6/29 6/30　メディア&amp;ベッティング事業本部　山下 直紘a （ND）</t>
  </si>
  <si>
    <t>瀬川未晴</t>
  </si>
  <si>
    <t>【退職 】【派】6/30　6/30　投資事業推進本部　瀬川 未晴</t>
  </si>
  <si>
    <t>黒田朱莉</t>
  </si>
  <si>
    <t>【退職】【派】06/30 07/08 はたらく環境推進本部 黒田 朱莉</t>
  </si>
  <si>
    <t>武田早希子</t>
  </si>
  <si>
    <t>【退職】【派】06/23 06/30 はたらく環境推進本部 武田 早希子</t>
  </si>
  <si>
    <t xml:space="preserve">社内IT室 </t>
  </si>
  <si>
    <t>塩津厚臣</t>
  </si>
  <si>
    <t>【退職】【業】6/19 6/19 塩津 厚臣</t>
  </si>
  <si>
    <t>雪吉稀允</t>
  </si>
  <si>
    <t>【退職】【ア】6/12  6/16 人事本部 雪吉 稀允</t>
  </si>
  <si>
    <t>眞喜志広史</t>
  </si>
  <si>
    <t>【退職】【業】06/30 06/30  眞喜志 広史</t>
  </si>
  <si>
    <t>川瀬真哉</t>
  </si>
  <si>
    <t>【退職】【派】06/14 06/30 投資事業推進本部 川瀬真哉</t>
  </si>
  <si>
    <t>上月健成</t>
  </si>
  <si>
    <t>【退職】【正】06/30 06/30 Vantageスタジオ 上月健成</t>
  </si>
  <si>
    <t>神馬理央</t>
  </si>
  <si>
    <t>【退職】【業】6/1 6/1　デジタルエンターテインメント事業本部　神馬 理央</t>
  </si>
  <si>
    <t>佐藤誠</t>
  </si>
  <si>
    <t>【退職】【業】6/30 6/30 Vantageスタジオ 佐藤 誠</t>
  </si>
  <si>
    <t>政木梓紗</t>
  </si>
  <si>
    <t>【退職】【正】06/02 07/31 人事本部 政木 梓紗</t>
  </si>
  <si>
    <t>河原敬宏</t>
  </si>
  <si>
    <t>【退職】【正】2021/7/2 2023/8/29 開発本部 河原 敬宏</t>
  </si>
  <si>
    <t>松本雅矩</t>
  </si>
  <si>
    <t>【退職】【正】07/21 08/31 知財室 松本 雅矩</t>
  </si>
  <si>
    <t>佐藤圭太</t>
  </si>
  <si>
    <t>【退職】【派】6/30 6/30　サービス運営開発本部　佐藤 圭太（ND）</t>
  </si>
  <si>
    <t>神田聡美</t>
  </si>
  <si>
    <t>【退職】【派】04/25 05/31 社内IT室 神田 聡美</t>
  </si>
  <si>
    <t>山口登之</t>
  </si>
  <si>
    <t>【退職】【業】6/30 6/30 デジタメ事業本部　山口 登之</t>
  </si>
  <si>
    <t>猪熊	未佳</t>
  </si>
  <si>
    <t>【退職】【派】05/31 05/31 人事本部 猪熊 未佳</t>
  </si>
  <si>
    <t xml:space="preserve">  デジタルエンターテイメント事業本部</t>
  </si>
  <si>
    <t>八島純子</t>
  </si>
  <si>
    <t>【退職】【派】06/30 06/30 デジタルエンターテイメント事業本部 八島 純子</t>
  </si>
  <si>
    <t>川上宏司</t>
  </si>
  <si>
    <t>【退職】【業】2023/05/31　2023/5/31　経営推進本部　川上 宏司</t>
  </si>
  <si>
    <t>川越和子</t>
  </si>
  <si>
    <t>【退職】【業】2023/05/31　2023/5/31　経営推進本部　川腰 和子</t>
  </si>
  <si>
    <t>加藤大晴</t>
  </si>
  <si>
    <t>【退職】【業】05/31 05/31　開発本部 加藤 大晴</t>
  </si>
  <si>
    <t>郭泓伸</t>
  </si>
  <si>
    <t>【退職】【派】5/29 5/31 はたらく環境推進本部 郭 泓伸</t>
  </si>
  <si>
    <t>【退職】【派】06/30 06/30 コンプライアンス本部 仁村かれん</t>
  </si>
  <si>
    <t>長瀬翔</t>
  </si>
  <si>
    <t>【退職】【ア】5/31 5/31 人事本部 長瀬 翔</t>
  </si>
  <si>
    <t>研究開発ｸﾞﾙｰﾌﾟ</t>
  </si>
  <si>
    <t>広瀬龍樹</t>
  </si>
  <si>
    <t>【退職】【業】05/31 05/31 ﾓﾝｽﾄｼﾘｰｽﾞｹﾞｰﾑ事業部 広瀬 龍樹</t>
  </si>
  <si>
    <t>永井悠平</t>
  </si>
  <si>
    <t>【退職】【正】2023/6/2 6/30 ソーシャルベッティング事業本部 永井 悠平</t>
  </si>
  <si>
    <t>【退職】【業】7/15 7/15 ラブグラフ 岩崎 真由子a</t>
  </si>
  <si>
    <t>清水啓生</t>
  </si>
  <si>
    <t xml:space="preserve">【退職】【業】05/16 05/16 ﾓﾝｽﾄｼﾘｰｽﾞｹﾞｰﾑ事業部 清水 啓生 </t>
  </si>
  <si>
    <t>細川泰輔</t>
  </si>
  <si>
    <t>【退職】【正】6/30　6/30　LX本部　細川 泰輔</t>
  </si>
  <si>
    <t>コウイク</t>
  </si>
  <si>
    <t>【退職】【正】06/14 06/30 ビジネスサポート室 コウ イク</t>
  </si>
  <si>
    <t>池谷有加</t>
  </si>
  <si>
    <t xml:space="preserve">【退職】【派】5/30　5/31 池谷 有加 </t>
  </si>
  <si>
    <t>宮本大輔</t>
  </si>
  <si>
    <t>【退職】【正】05/12 06/30 モンスト事業本部 宮本 大輔</t>
  </si>
  <si>
    <t>大累ジョン</t>
  </si>
  <si>
    <t>【退職】【業】4/28 5/11 みてねプロダクト開発部 大累 ジョン</t>
  </si>
  <si>
    <t>椎葉圭吾</t>
  </si>
  <si>
    <t>【退職】【業】05/19 05/31 投資事業推進本部 投資事業部 椎葉 圭吾</t>
  </si>
  <si>
    <t>【退職】【正】6/26 6/30 ﾃﾞｼﾞﾀﾙｴﾝﾀｰﾃｲﾝﾒﾝﾄ事業本部  岡本 三敬</t>
  </si>
  <si>
    <t>大島慶也</t>
  </si>
  <si>
    <t>【退職】【業】05/2 05/2 ﾓﾝｽﾄｼﾘｰｽﾞｹﾞｰﾑ事業部 大島 慶也</t>
  </si>
  <si>
    <t>伏田怜司</t>
  </si>
  <si>
    <t>【退職】【正】06/30 06/30 コンプライアンス本部 伏田 怜司</t>
  </si>
  <si>
    <t>佐藤祐紀a</t>
  </si>
  <si>
    <t>【退職】【業】5/15 5/15 社内IT室 佐藤 祐紀a</t>
  </si>
  <si>
    <t>西山咲耶</t>
  </si>
  <si>
    <t>【退職】【正】06/30 06/30 みてねプロダクト開発部 西山 咲耶</t>
  </si>
  <si>
    <t>今井　貴子</t>
  </si>
  <si>
    <t>【退職】【ア】2023/04/19 2023/05/15 今井 貴子</t>
  </si>
  <si>
    <t>城崎綾</t>
  </si>
  <si>
    <t>【退職】【派】05/31 05/31 はたらく環境推進本部 城崎 綾</t>
  </si>
  <si>
    <t>鈴木真一</t>
  </si>
  <si>
    <t>【退職】【正】6/30 6/30 モンストシリーズゲーム事業部 鈴木 真一</t>
  </si>
  <si>
    <t>関根洋介</t>
  </si>
  <si>
    <t>【退職】【業】04/28 04/30 ﾓﾝｽﾄｼﾘｰｽﾞｹﾞｰﾑ事業部 関根 洋介</t>
  </si>
  <si>
    <t>橋本崇志a</t>
  </si>
  <si>
    <t>【退職】【業】04/28 04/30 ﾓﾝｽﾄｼﾘｰｽﾞｹﾞｰﾑ事業部 橋本 崇志a</t>
  </si>
  <si>
    <t>中橋龍亮</t>
  </si>
  <si>
    <t>【退職】【ア】05/15 05/15 中橋 龍亮</t>
  </si>
  <si>
    <t>宮本怜</t>
  </si>
  <si>
    <t>【退職】【ア】05/15 05/15 宮本 怜</t>
  </si>
  <si>
    <t>田中叶希</t>
  </si>
  <si>
    <t>【退職】【ア】05/15 05/15 田中　叶希</t>
  </si>
  <si>
    <t xml:space="preserve">ﾗｲﾌﾞｴｸｽﾍﾟﾘｴﾝｽ事業本部 </t>
  </si>
  <si>
    <t>野呂輝久</t>
  </si>
  <si>
    <t>【退職】【業】4/28 4/30 ﾗｲﾌﾞｴｸｽﾍﾟﾘｴﾝｽ事業本部 野呂 輝久</t>
  </si>
  <si>
    <t>燕昇司百</t>
  </si>
  <si>
    <t>【退職】【業】06/30 06/30 ﾓﾝｽﾄｼﾘｰｽﾞｹﾞｰﾑ事業部 燕昇司 百</t>
  </si>
  <si>
    <t>小林裕之a</t>
  </si>
  <si>
    <t>【退職】【業】05/12 05/31 ﾓﾝｽﾄｼﾘｰｽﾞｹﾞｰﾑ事業部 小林 裕之a</t>
  </si>
  <si>
    <t>江夏邦治</t>
  </si>
  <si>
    <t>【退職】【正】06/08 06/30 経理税務部 江夏 邦治</t>
  </si>
  <si>
    <t>前田達也</t>
  </si>
  <si>
    <t>【退職】【正】05/31 05/12経営企画部 前田達也</t>
  </si>
  <si>
    <t>鈴木崇史</t>
  </si>
  <si>
    <t xml:space="preserve">【退職】【業】04/20 04/30 投資事業推進本部 鈴木 崇史 </t>
  </si>
  <si>
    <t>宮川卓也</t>
  </si>
  <si>
    <t>【退職】【業】05/15 05/15 ﾗｲﾌﾞｴｸｽﾍﾟﾘｴﾝｽ事業本部 宮川 卓也</t>
  </si>
  <si>
    <t>藤山怜奈</t>
  </si>
  <si>
    <t>【退職】【派】04/28 04/30 ﾃﾞｼﾞﾀﾙｴﾝﾀｰﾃｲﾝﾒﾝﾄ事業本部 藤山 怜奈</t>
  </si>
  <si>
    <t>【退職】【業】04/30 04/30 ﾓﾝｽﾄｼﾘｰｽﾞｹﾞｰﾑ事業部 坂本 龍太郎</t>
  </si>
  <si>
    <t>深須敏幸</t>
  </si>
  <si>
    <t xml:space="preserve">【退職】【正】04/28 05/31 開発部 深須 敏幸 </t>
  </si>
  <si>
    <t>ｽﾎﾟｰﾂ&amp;ﾗｲﾌｽﾀｲﾙ事業部</t>
  </si>
  <si>
    <t>村井喜一郎</t>
  </si>
  <si>
    <t>【退職】【正】04/28 05/31 ｽﾎﾟｰﾂ&amp;ﾗｲﾌｽﾀｲﾙ事業部 村井 喜一郎</t>
  </si>
  <si>
    <t>山崎智輝a</t>
  </si>
  <si>
    <t>【退職】【ア】4/19　4/19　サービス運営開発本部　山崎 智輝a（ND）</t>
  </si>
  <si>
    <t>赤坂勝哉</t>
  </si>
  <si>
    <t>【退職】【業】2023/4/28 4/30 ソーシャルベッティング事業本部 赤坂 勝哉</t>
  </si>
  <si>
    <t>小駒昇平</t>
  </si>
  <si>
    <t>【退職】【業】4/14 4/15　デジタルエンターテインメント事業本部　小駒 昇平</t>
  </si>
  <si>
    <t>赤木昭雄</t>
  </si>
  <si>
    <t>【退職】【業】04/28 04/30 ﾃﾞｼﾞﾀﾙｴﾝﾀｰﾃｲﾝﾒﾝﾄ事業本部 赤木 昭雄</t>
  </si>
  <si>
    <t>近藤郁朗</t>
  </si>
  <si>
    <t>【退職】【業】04/28 04/30 ﾃﾞｼﾞﾀﾙｴﾝﾀｰﾃｲﾝﾒﾝﾄ事業本部 近藤 郁朗</t>
  </si>
  <si>
    <t>小川知洋</t>
  </si>
  <si>
    <t>【退職】【業】4/13 4/13 ライブエクスペリエンス事業本部　小川 知洋</t>
  </si>
  <si>
    <t>中村ゆず</t>
  </si>
  <si>
    <t>【退職】【派】04/28 04/30 デジタルエンターテインメント事業本部 中村 ゆず</t>
  </si>
  <si>
    <t>柴篤志</t>
  </si>
  <si>
    <t>【退職】【正】2023/01/23 2023/04/09 投資事業推進本部 柴 篤志</t>
  </si>
  <si>
    <t>松本典子</t>
  </si>
  <si>
    <t>【退職】【派】2023/4/18 4/30 ソーシャルベッティング事業本部 松本 典子</t>
  </si>
  <si>
    <t>君田宙</t>
  </si>
  <si>
    <t>【退職】【業】04/14 04/14 ﾓﾝｽﾄｼﾘｰｽﾞｹﾞｰﾑ事業部 君田 宙</t>
  </si>
  <si>
    <t>山本百合野</t>
  </si>
  <si>
    <t>【退職】【業】04/14 04/14 ﾓﾝｽﾄｼﾘｰｽﾞｹﾞｰﾑ事業部 山本 百合野</t>
  </si>
  <si>
    <t>トウジェニー</t>
  </si>
  <si>
    <t>【退職】【業】2023/4/7 4/7 ソーシャルベッティング事業本部 トウ ジェニー</t>
  </si>
  <si>
    <t>菊地聖賢</t>
  </si>
  <si>
    <t>【退職】【業】4/28 4/30 菊地 聖賢</t>
  </si>
  <si>
    <t>伊藤諒b</t>
  </si>
  <si>
    <t>【退職】【エ】2023/03/28 2023/03/31 デジタルエンターテインメント事業本部 伊藤 諒b</t>
  </si>
  <si>
    <t>酒井聖之佑</t>
  </si>
  <si>
    <t>【退職】【業務委託】2/9 4/7 次世代エンターテインメント事業部 TIPSTAR開発部 酒井 聖之佑</t>
  </si>
  <si>
    <t>ﾓﾝｽﾄ事業本部</t>
  </si>
  <si>
    <t>白濱隼人</t>
  </si>
  <si>
    <t>【退職】【業】03/31 03/31 新規事業開発部 白濱 隼人</t>
  </si>
  <si>
    <t>ﾀﾞﾐｰｾｷｭﾘﾃｨ室 ｾｷｭﾘﾃｨ室</t>
  </si>
  <si>
    <t>古徳啓吾</t>
  </si>
  <si>
    <t>【退職】【正】04/28 04/30 セキュリティ室 古徳 啓吾</t>
  </si>
  <si>
    <t>張瑜軒</t>
  </si>
  <si>
    <t>【退職】【正】4/20 4/30 開発本部 張 瑜軒</t>
  </si>
  <si>
    <t>近藤晋一郎</t>
  </si>
  <si>
    <t>【退職】【業】03/31 03/31 人事本部　近藤 晋一郎</t>
  </si>
  <si>
    <t>兼吉完聡</t>
  </si>
  <si>
    <t>【退職】【業】03/30 03/31 投資事業推進本部 兼吉 完聡</t>
  </si>
  <si>
    <t>池芳将</t>
  </si>
  <si>
    <t>【退職】【業】03/31 03/31 投資事業推進本部 池 芳将</t>
  </si>
  <si>
    <t>石築麻衣奈a</t>
  </si>
  <si>
    <t>【退職】【正】04/01 04/01 スフィダンテ 石築 麻衣奈a</t>
  </si>
  <si>
    <t>山田喬</t>
  </si>
  <si>
    <t>【退職】【業】03/28 03/31 山田 喬</t>
  </si>
  <si>
    <t>門川正隆</t>
  </si>
  <si>
    <t>【退職】【業】03/31 03/31 門川 正隆</t>
  </si>
  <si>
    <t>渋谷樹</t>
  </si>
  <si>
    <t>【退職】【業】03/28 03/31 コンプライアンス本部 渋谷 樹</t>
  </si>
  <si>
    <t>村上未来a</t>
  </si>
  <si>
    <t>【退職】【業】03/28 03/31 コンプライアンス本部 村上 未来a</t>
  </si>
  <si>
    <t>樋口菜月</t>
  </si>
  <si>
    <t>【退職】【業】03/28 03/31 コンプライアンス本部 樋口 菜月</t>
  </si>
  <si>
    <t>【退職】【ア】4/5 4/14 人事本部 髙棟 雄斗</t>
  </si>
  <si>
    <t>戛山英高</t>
  </si>
  <si>
    <t>【退職】【ア】4/7 4/7 人事本部 戛山 英高</t>
  </si>
  <si>
    <t>鬼塚俊佑</t>
  </si>
  <si>
    <t>【退職】【ア】4/7 4/7 人事本部 鬼塚 俊佑</t>
  </si>
  <si>
    <t>石上敬祐</t>
  </si>
  <si>
    <t>【退職】【ア】4/7 4/7 人事本部 石上 敬祐</t>
  </si>
  <si>
    <t>ミクシィリクルートメント事業部</t>
  </si>
  <si>
    <t>和田悠平</t>
  </si>
  <si>
    <t>【退職】【業】 3/31 3/31 ミクシィリクルートメント事業部 和田 悠平</t>
  </si>
  <si>
    <t>引野航介</t>
  </si>
  <si>
    <t>【退職】【正】04/01 04/01 人事本部 引野 航介</t>
  </si>
  <si>
    <t>林昌臣</t>
  </si>
  <si>
    <t>【退職】【業】03/31 03/31 新規事業開発部 林 昌臣</t>
  </si>
  <si>
    <t>徳田雅人a</t>
  </si>
  <si>
    <t>【退職】【業】03/31 03/31 新規事業開発部 徳田 雅人a</t>
  </si>
  <si>
    <t>吉信豪夫</t>
  </si>
  <si>
    <t>【退職】【業】03/31 03/31 新規事業開発部 吉信 豪夫</t>
  </si>
  <si>
    <t>澤村敦美</t>
  </si>
  <si>
    <t>【退職】【業】03/31 03/31 新規事業開発部 澤村 敦美</t>
  </si>
  <si>
    <t>儀保博一</t>
  </si>
  <si>
    <t>【退職】【業】03/31 03/31 新規事業開発部 儀保 博一</t>
  </si>
  <si>
    <t>高正史</t>
  </si>
  <si>
    <t>【退職】【業】03/31 03/31 新規事業開発部 高 正史</t>
  </si>
  <si>
    <t>石島圭</t>
  </si>
  <si>
    <t>【退職】【業】03/31 03/31 新規事業開発部 石島 圭</t>
  </si>
  <si>
    <t>安田亮汰</t>
  </si>
  <si>
    <t>【退職】【業】03/31 03/31 新規事業開発部 安田 亮汰</t>
  </si>
  <si>
    <t>藤枝智美</t>
  </si>
  <si>
    <t>【退職】【業】03/31 03/31 新規事業開発部 藤枝 智美</t>
  </si>
  <si>
    <t>十七里祐太</t>
  </si>
  <si>
    <t>【退職】【業】03/31 03/31 新規事業開発部 十七里 祐太</t>
  </si>
  <si>
    <t>時田康孝</t>
  </si>
  <si>
    <t>【退職】【業】03/31 03/31 新規事業開発部 時田 康孝</t>
  </si>
  <si>
    <t>井筒大貴</t>
  </si>
  <si>
    <t>【退職】【業】03/31 03/31 新規事業開発部 井筒 大貴</t>
  </si>
  <si>
    <t>髙本翔吾</t>
  </si>
  <si>
    <t>【退職】【業】03/31 03/31 新規事業開発部 髙本 翔吾</t>
  </si>
  <si>
    <t>國定治海</t>
  </si>
  <si>
    <t>【退職】【業】03/31 03/31 新規事業開発部 國定 治海</t>
  </si>
  <si>
    <t>望月利紀</t>
  </si>
  <si>
    <t>【退職】【業】03/31 03/31 新規事業開発部 望月 利紀</t>
  </si>
  <si>
    <t>藤池竜一</t>
  </si>
  <si>
    <t>【退職】【業】3/31 3/31 モンスト事業本部 藤池 竜一</t>
  </si>
  <si>
    <t>坂本ちひろ</t>
  </si>
  <si>
    <t>【退職】【業】3/30 3/31 開発本部 坂本 ちひろ</t>
  </si>
  <si>
    <t>岡住和樹</t>
  </si>
  <si>
    <t>【退職】【正】04/07 05/31 モンスト事業本部 岡住 和樹</t>
  </si>
  <si>
    <t>山﨑直裕</t>
  </si>
  <si>
    <t>【退職】【業】03/31 03/31 ライブエクスペリエンス事業本部 山﨑 直裕</t>
  </si>
  <si>
    <t>石築麻衣奈</t>
  </si>
  <si>
    <t>【退職】【業】03/31 03/31 みてね事業部 石築 麻衣奈</t>
  </si>
  <si>
    <t>神原妃都美</t>
  </si>
  <si>
    <t>【退職】【業】03/31 03/31 みてね事業部 神原 妃都美</t>
  </si>
  <si>
    <t>植田智帆</t>
  </si>
  <si>
    <t>【退職】【業】03/31 03/31 みてね事業部 植田 智帆</t>
  </si>
  <si>
    <t>【退職】【ア】3/30 3/31 人事本部 齊藤 奈彩</t>
  </si>
  <si>
    <t>木俣太地</t>
  </si>
  <si>
    <t>【退職】【正】4/28 4/30 Vantageスタジオ 木俣 太地</t>
  </si>
  <si>
    <t>粕谷夏未</t>
  </si>
  <si>
    <t>【退職】【業】3/31 3/31 デザイン本部 粕谷 夏未</t>
  </si>
  <si>
    <t>白戸崇</t>
  </si>
  <si>
    <t>【退職】【業】03/31 03/31 株式会社ラブグラフ 白戸 崇</t>
  </si>
  <si>
    <t>【退職】【ア】3/31 3/31 人事本部 阿部 明a</t>
  </si>
  <si>
    <t>【退職】【ア】3/31 3/31 人事本部 若松 丈人</t>
  </si>
  <si>
    <t>ﾀﾞﾐｰ株式会社CONNECTIT</t>
  </si>
  <si>
    <t>松葉貴至</t>
  </si>
  <si>
    <t>【退職】 【業】 3/31 3/31 松葉 貴至</t>
  </si>
  <si>
    <t>【退職】 【業】 3/31 3/31 藤田 睦海</t>
  </si>
  <si>
    <t>【退職】 【業】 3/31 3/31 加藤 愛子</t>
  </si>
  <si>
    <t>【退職】 【業】 3/31 3/31 横倉 清恵</t>
  </si>
  <si>
    <t>【退職】 【業】 3/31 3/31 相馬 衣里</t>
  </si>
  <si>
    <t>【退職】 【業】 3/31 3/31 根岸 柚子</t>
  </si>
  <si>
    <t>【退職】 【業】 3/31 3/31 松田 徹a</t>
  </si>
  <si>
    <t>赤坂貴樹</t>
  </si>
  <si>
    <t>【退職】 【業】 3/31 3/31 赤坂 貴樹</t>
  </si>
  <si>
    <t>【退職】 【業】 3/31 3/31 長坂 くるみ</t>
  </si>
  <si>
    <t>【退職】 【業】 3/31 3/31 加藤 亮b</t>
  </si>
  <si>
    <t>川勝彰</t>
  </si>
  <si>
    <t>【退職】 【業】 3/31 3/31 川勝 彰</t>
  </si>
  <si>
    <t>ﾒﾃﾞｨｱ＆ｴﾝﾀｰﾃｲﾝﾒﾝﾄ事業本部</t>
  </si>
  <si>
    <t>奥田悠</t>
  </si>
  <si>
    <t>【退職】【派】3/31　3/31　メディア＆エンターテインメント事業本部　奥田 悠（ND）</t>
  </si>
  <si>
    <t xml:space="preserve">プロダクトデザイン室 </t>
  </si>
  <si>
    <t>佐々木宙絵</t>
  </si>
  <si>
    <t xml:space="preserve">【退職】【業】03/31 03/31 デザイン本部 佐々木 宙絵 </t>
  </si>
  <si>
    <t>松田貴之a</t>
  </si>
  <si>
    <t>【退職】【業】03/31 03/31 デザイン本部  松田 貴之a</t>
  </si>
  <si>
    <t>チージェイ</t>
  </si>
  <si>
    <t>【退職】【業】3/31 3/31 デジタルエンターテイメント事業本部付け チー ジェイ</t>
  </si>
  <si>
    <t>石井渓介a</t>
  </si>
  <si>
    <t>【退職】【ア】03/31 03/31 サービス運営部 石井 渓介a</t>
  </si>
  <si>
    <t>岡本美咲</t>
  </si>
  <si>
    <t>【退職】【ア】03/31 03/31 サービス運営部 岡本 美咲</t>
  </si>
  <si>
    <t>原良輔</t>
  </si>
  <si>
    <t>【退職】【業】3/31 3/31 次世代エンターテインメント事業本部 原 良輔</t>
  </si>
  <si>
    <t>メディア＆エンターテインメント事業本部</t>
  </si>
  <si>
    <t>西田遼介</t>
  </si>
  <si>
    <t>【退職】【ア】03/16 03/31 映像＆編集部 西田 遼介</t>
  </si>
  <si>
    <t>櫻川歩穂</t>
  </si>
  <si>
    <t>【退職】【業】3/31 3/31 デザイン本部 櫻川 歩穂</t>
  </si>
  <si>
    <t>榎本智</t>
  </si>
  <si>
    <t>【退職】【業】3/31 3/31 デザイン本部 榎本 智</t>
  </si>
  <si>
    <t>小関純</t>
  </si>
  <si>
    <t>【退職】【業】3/31　3/31　ｻｰﾋﾞｽ運営開発本部　小関 純（ND）</t>
  </si>
  <si>
    <t>齋藤桃子</t>
  </si>
  <si>
    <t>【退職】【業】03/31 03/31 新規事業開発部 齋藤 桃子</t>
  </si>
  <si>
    <t>鈴木奈保子</t>
  </si>
  <si>
    <t>【退職】【業】03/17 03/31 新規事業開発部　鈴木 奈保子</t>
  </si>
  <si>
    <t>中西公亮</t>
  </si>
  <si>
    <t>【退職】【業】03/17 03/31 新規事業開発部 中西 公亮</t>
  </si>
  <si>
    <t>田中綾佳</t>
  </si>
  <si>
    <t>【退職】【業】03/30 03/31 新規事業開発部 田中 綾佳</t>
  </si>
  <si>
    <t>白澤美玖</t>
  </si>
  <si>
    <t>【退職】【派】03/31 03/31 新規事業開発部 白澤 美玖</t>
  </si>
  <si>
    <t>金丸裕佑a</t>
  </si>
  <si>
    <t>【退職 】【業】3/29 3/31 次世代エンターテインメント事業本部 金丸 裕佑a</t>
  </si>
  <si>
    <t>和田伶美</t>
  </si>
  <si>
    <t>【退職】【業】3/31 3/31 次世代エンターテインメント事業本部 和田 伶美</t>
  </si>
  <si>
    <t xml:space="preserve"> ｻｰﾋﾞｽ運営開発本部</t>
  </si>
  <si>
    <t>春日利就</t>
  </si>
  <si>
    <t>【退職】【派】3/16　3/16　サービス運営開発本部　春日 利就（ＮＤ）</t>
  </si>
  <si>
    <t>眞形隆之</t>
  </si>
  <si>
    <t>【退職 】【業】3/29 3/31 次世代エンターテインメント事業本部 眞形 隆之</t>
  </si>
  <si>
    <t>【退職】【派】3/31　3/31　ｻｰﾋﾞｽ運営開発本部　宮川 麻衣奈（ND）</t>
  </si>
  <si>
    <t>チュークリス</t>
  </si>
  <si>
    <t>【退職】【ア】3/28 3/31 Vantageスタジオ チュー クリス</t>
  </si>
  <si>
    <t>足立淳</t>
  </si>
  <si>
    <t>【退職】【業】03/31 03/31 せいかつ環境室 足立 淳</t>
  </si>
  <si>
    <t>國分康汰</t>
  </si>
  <si>
    <t>【退職】【業】3/17 3/17 モンスト事業本部 國分 康汰</t>
  </si>
  <si>
    <t>山下直子</t>
  </si>
  <si>
    <t>【退職】【業】03/31 03/31 デジタルエンターテインメント事業本部 山下 直子</t>
  </si>
  <si>
    <t>木村純</t>
  </si>
  <si>
    <t>【退職】【業】03/31 03/31 デジタルエンターテインメント事業本部 木村 純</t>
  </si>
  <si>
    <t>川上健太</t>
  </si>
  <si>
    <t>【退職】【正】4/11 4/30 モンスト事業本部 川上 健太</t>
  </si>
  <si>
    <t>多留幸祐</t>
  </si>
  <si>
    <t>【退職】【正】3/31 3/31 上級執行役員 多留 幸祐</t>
  </si>
  <si>
    <t>川上由紀子</t>
  </si>
  <si>
    <t>【退職】【業】03/31 03/31 デザイン本部 川上 由紀子</t>
  </si>
  <si>
    <t>小野麻美</t>
  </si>
  <si>
    <t>【退職】【派】3/31 3/31 労務部 小野 麻美</t>
  </si>
  <si>
    <t>木原雅人</t>
  </si>
  <si>
    <t>【退職】【業】3/15 3/31 事業企画部 木原 雅人</t>
  </si>
  <si>
    <t>六間口能明</t>
  </si>
  <si>
    <t>【退職】【正】05/10 05/15 コンプライアンス本部 六間口 能明</t>
  </si>
  <si>
    <t>杉本悠輔</t>
  </si>
  <si>
    <t>【退職】【業】2023/3/31 3/31 投資事業推進本部 杉本 悠輔</t>
  </si>
  <si>
    <t>松本駿</t>
  </si>
  <si>
    <t>【退職】【業】2023/3/31 3/31 投資事業推進本部 松本 駿</t>
  </si>
  <si>
    <t>【退職】 【業】 3/15 3/15 増村 龍哉</t>
  </si>
  <si>
    <t>【退職】 【業】 3/15 3/15 加藤 弘子</t>
  </si>
  <si>
    <t>【退職】 【業】 3/15 3/15 山﨑 恵利子</t>
  </si>
  <si>
    <t>【退職】 【業】 3/15 3/15 大西 貴之</t>
  </si>
  <si>
    <t>【退職】 【業】 3/15 3/15 今渕 祥平</t>
  </si>
  <si>
    <t>【退職】 【業】 3/15 3/15 古田 竜也</t>
  </si>
  <si>
    <t>【退職】 【業】 3/15 3/15 山下 大智</t>
  </si>
  <si>
    <t>【退職】 【業】 3/15 3/15 飯野 法志</t>
  </si>
  <si>
    <t>【退職】 【業】 3/15 3/15 西野 りな</t>
  </si>
  <si>
    <t>髙山珠美</t>
  </si>
  <si>
    <t>【退職】【正】03/31 03/31 モンスト事業本部 髙山 珠美</t>
  </si>
  <si>
    <t>Vantage本部</t>
  </si>
  <si>
    <t>玉城信悟</t>
  </si>
  <si>
    <t>【退職】【業】3/17 3/17 みてねプロダクト開発部 玉城 信悟</t>
  </si>
  <si>
    <t>新井雅人a</t>
  </si>
  <si>
    <t>【退職】【業】3/17 3/17 みてねプロダクト開発部 新井 雅人a</t>
  </si>
  <si>
    <t>田久保昌樹</t>
  </si>
  <si>
    <t>【退職】【正】3/31 4/23 モンスト事業本部 田久保 昌樹</t>
  </si>
  <si>
    <t>得地賢吾</t>
  </si>
  <si>
    <t>【退職】【正】03/31 03/31 コンプライアンス本部 得地 賢吾</t>
  </si>
  <si>
    <t>ﾀﾞﾐｰ株式会社ﾐｸｼｨ･ｴﾝﾊﾟﾜｰﾒﾝﾄ</t>
  </si>
  <si>
    <t>黑木段</t>
  </si>
  <si>
    <t>【退職】【契】2023/02/03 2023/03/31 黑木 段</t>
  </si>
  <si>
    <t>出店桃葉</t>
  </si>
  <si>
    <t>【退職】【ア】3/10 3/31 メディア＆エンターテインメント事業本部 出店 桃葉</t>
  </si>
  <si>
    <t>小野孝倫</t>
  </si>
  <si>
    <t>【退職】【業】03/29 03/31 経営推進本部 小野 孝倫</t>
  </si>
  <si>
    <t>田中さくら</t>
  </si>
  <si>
    <t>【退職】【業】03/29 03/31 経営推進本部 田中 さくら</t>
  </si>
  <si>
    <t>【退職】【ア】3/31 3/31 モンスト事業本部　梅原 郁佳</t>
  </si>
  <si>
    <t>次世代ｴﾝﾀｰﾃｲﾝﾒﾝﾄ事業本部</t>
  </si>
  <si>
    <t>垣内洋祐</t>
  </si>
  <si>
    <t>【退職】【業】3/31 3/31　次世代ｴﾝﾀｰﾃｲﾝﾒﾝﾄ事業本部　 垣内 洋祐</t>
  </si>
  <si>
    <t>長田紘一郎</t>
  </si>
  <si>
    <t>【退職】【業】3/31 3/31　次世代ｴﾝﾀｰﾃｲﾝﾒﾝﾄ事業本部　 長田 紘一郎</t>
  </si>
  <si>
    <t>保坂菜緒</t>
  </si>
  <si>
    <t>【退職】【業】3/31　3/31　ｻｰﾋﾞｽ運営開発本部　保坂 菜緒（ND）</t>
  </si>
  <si>
    <t>【退職】【ア】 03/15　03/15　山田 伊織</t>
  </si>
  <si>
    <t>酒井篤</t>
  </si>
  <si>
    <t>【退職 】【業】3/31 3/31 みてね事業部 酒井 篤</t>
  </si>
  <si>
    <t>山田香織a</t>
  </si>
  <si>
    <t>【退職】【正】03/31 03/31 経営推進本部 山田 香織a</t>
  </si>
  <si>
    <t>曽我雄二</t>
  </si>
  <si>
    <t>【退職】【正】4/3 4/30 新規事業開発部 曽我 雄二</t>
  </si>
  <si>
    <t>【退職】【派】3/15 3/15 モンスト事業本部　佐藤 優輝</t>
  </si>
  <si>
    <t>江原小夜加</t>
  </si>
  <si>
    <t>【退職】【業】03/31 03/31 江原 小夜加</t>
  </si>
  <si>
    <t>橋本世央</t>
  </si>
  <si>
    <t>【退職】【ア】4/28 4/28 ラブグラフ 橋本 世央</t>
  </si>
  <si>
    <t>高橋勇人a</t>
  </si>
  <si>
    <t>【退職】【業】03/03 03/15 ライブエクスペリエンス事業本部 高橋 勇人a</t>
  </si>
  <si>
    <t>中川兼人</t>
  </si>
  <si>
    <t>【退職】【ア】3/31 3/31 サービス運営開発本部 中川 兼人（ND）</t>
  </si>
  <si>
    <t>【退職 】【役員退任】【役員】3/27 3/31 奥田 匡彦</t>
  </si>
  <si>
    <t>野武広大</t>
  </si>
  <si>
    <t>【退職】【業】03/03 03/03 はたらく環境推進本部 野武 広大</t>
  </si>
  <si>
    <t>若狭遥</t>
  </si>
  <si>
    <t>【退職】【業】3/22 3/31 投資事業推進本部 若狭 遥</t>
  </si>
  <si>
    <t>竹内満理奈</t>
  </si>
  <si>
    <t>【退職 】【派】03/31 03/31 経理税務部 竹内 満理奈</t>
  </si>
  <si>
    <t>森川尚美</t>
  </si>
  <si>
    <t>【退職】【正】3/29 3/31 次世代エンターテインメント事業本部 森川 尚美</t>
  </si>
  <si>
    <t>酒井大翔</t>
  </si>
  <si>
    <t>【退職】【ア】3/28 3/31 モンスト事業本部　酒井 大翔</t>
  </si>
  <si>
    <t>西村拓真a</t>
  </si>
  <si>
    <t>【退職】【業】2/28 2/28 西村 拓真a</t>
  </si>
  <si>
    <t>江藤秀</t>
  </si>
  <si>
    <t>【退職】【業】2/22 2/23 事業推進本部 江藤 秀</t>
  </si>
  <si>
    <t>大矢望</t>
  </si>
  <si>
    <t>【退職】【業】02/28 02/28 新規事業開発部 大矢 望</t>
  </si>
  <si>
    <t>市川拳士朗</t>
  </si>
  <si>
    <t>【退職】【ア】2/28 2/28 サービス運営開発本部 市川 拳士朗（ND）</t>
  </si>
  <si>
    <t>崎谷炳寛</t>
  </si>
  <si>
    <t>【退職】【業】2/28 2/28 メディア＆エンターテインメント事業本部　崎谷 炳寛（ND）</t>
  </si>
  <si>
    <t>野沢咲希a</t>
  </si>
  <si>
    <t>【退職】【派】3/31　3/31 野沢 咲希a</t>
  </si>
  <si>
    <t>福崎たけし</t>
  </si>
  <si>
    <t>【退職】【派】03/22 03/31 ﾃﾞｼﾞﾀﾙｴﾝﾀｰﾃｲﾝﾒﾝﾄ事業本部 福崎 たけし</t>
  </si>
  <si>
    <t>山本浩平a</t>
  </si>
  <si>
    <t>【退職】【正】03/31 03/31 モンスト事業本部 山本 浩平a</t>
  </si>
  <si>
    <t>廖翊安</t>
  </si>
  <si>
    <t>【退職】【業】2/22 2/22 モンスト事業本部　廖 翊安</t>
  </si>
  <si>
    <t>石橋恵里奈</t>
  </si>
  <si>
    <t>【退職】【業】2/28 2/28 モンスト事業本部　石橋 恵里奈</t>
  </si>
  <si>
    <t>渡邉早紀</t>
  </si>
  <si>
    <t>【退職】【業】2/28 2/28  渡邉 早紀</t>
  </si>
  <si>
    <t>ﾒﾃﾞｨｱ事業部</t>
  </si>
  <si>
    <t>山杢郁乃</t>
  </si>
  <si>
    <t>【退職】【派】2/28　2/28　メディア＆エンターテインメント事業本部　山杢 郁乃（ND）</t>
  </si>
  <si>
    <t>市田和美</t>
  </si>
  <si>
    <t>【退職】【派】2/20　2/28　経営管理本部　市田和美（ND）</t>
  </si>
  <si>
    <t>加賀見森太郎</t>
  </si>
  <si>
    <t>【退職】【ア】02/28 02/28 ラブグラフ 加賀見 森太郎</t>
  </si>
  <si>
    <t>若林陽平</t>
  </si>
  <si>
    <t>【退職】【正】03/17 03/31 投資事業推進本部 事業推進部 若林 陽平</t>
  </si>
  <si>
    <t>渡辺雅俊</t>
  </si>
  <si>
    <t>【退職】【業】02/15 02/15 新規事業開発部 渡辺 雅俊</t>
  </si>
  <si>
    <t>【退職】【業】02/28 02/28 新規事業開発部 新村 正太郎</t>
  </si>
  <si>
    <t>上野彰三</t>
  </si>
  <si>
    <t>【退職】【業】02/16 02/16 新規事業開発部 上野 彰三</t>
  </si>
  <si>
    <t>桑添敏生</t>
  </si>
  <si>
    <t>【退職】【業】02/16 02/16 新規事業開発部 桑添 敏生</t>
  </si>
  <si>
    <t>トウエンイ</t>
  </si>
  <si>
    <t>【退職】【業】02/16 02/16 新規事業開発部 トウ エンイ</t>
  </si>
  <si>
    <t>滝口大輔</t>
  </si>
  <si>
    <t>【退職】【派】02/15 02/15 新規事業開発部 滝口 大輔</t>
  </si>
  <si>
    <t>植野雄大</t>
  </si>
  <si>
    <t>【退職】【ア】2/28 2/28 人事本部 植野 雄大</t>
  </si>
  <si>
    <t>井戸春希</t>
  </si>
  <si>
    <t>【退職】【ア】2/22 2/28 人事本部 井戸 春希</t>
  </si>
  <si>
    <t>馬塲士</t>
  </si>
  <si>
    <t>【退職】【ア】2/28 2/28 人事本部 馬塲 士</t>
  </si>
  <si>
    <t>松元綾香</t>
  </si>
  <si>
    <t>【退職】【ア】2/28 2/28 人事本部 松元 綾香</t>
  </si>
  <si>
    <t>秋元美希</t>
  </si>
  <si>
    <t>【退職】【派】02/28 02/28 労務部 秋元 美希</t>
  </si>
  <si>
    <t>加藤健太郎</t>
  </si>
  <si>
    <t>【退職】【派】02/28 02/28 デジタルエンターテインメント事業本部 加藤 健太郎</t>
  </si>
  <si>
    <t>西村美岐</t>
  </si>
  <si>
    <t>【退職】【業】2/24 2/24 ラブグラフ 西村 美岐</t>
  </si>
  <si>
    <t>御所園享</t>
  </si>
  <si>
    <t>【退職】【正】02/28 02/28 人事本部 御所園 享</t>
  </si>
  <si>
    <t>【退職】【業】2/28 2/28　清原 優希乃</t>
  </si>
  <si>
    <t>佐藤由実</t>
  </si>
  <si>
    <t>【退職】【業】2/8 2/28 モンストマーケティング部　佐藤 由実</t>
  </si>
  <si>
    <t>高橋麻美a</t>
  </si>
  <si>
    <t>【退職】【派】2/28 2/28 事業開発本部 高橋 麻美a（ND）</t>
  </si>
  <si>
    <t>【退職】【ア】2/15 2/15 人事本部 若松 丈人</t>
  </si>
  <si>
    <t>藤本有香</t>
  </si>
  <si>
    <t>【退職】【業】2/1 2/1 ラブグラフ 藤本 有香</t>
  </si>
  <si>
    <t>鈴木乙央</t>
  </si>
  <si>
    <t>【退職】【正】03/13 03/31 CS部 鈴木 乙央</t>
  </si>
  <si>
    <t>渡辺謙二</t>
  </si>
  <si>
    <t>【退職】【業】01/31 1/31 新規事業開発部 渡辺 謙二</t>
  </si>
  <si>
    <t>【退職】【業】2/1 3/1 Vantageｽﾀｼﾞｵ みてね事業部 玉城 信悟</t>
  </si>
  <si>
    <t>小幡直椰</t>
  </si>
  <si>
    <t>【退職】【業】1/23 1/31 小幡 直椰</t>
  </si>
  <si>
    <t>藤島朋亮</t>
  </si>
  <si>
    <t>【退職】【業】01/31 01/31 新規事業開発部 藤島 朋亮</t>
  </si>
  <si>
    <t>小野弘樹a</t>
  </si>
  <si>
    <t>【退職】【業】01/31 01/31 新規事業開発部 小野 弘樹a</t>
  </si>
  <si>
    <t>花井慶太郎</t>
  </si>
  <si>
    <t>【退職】【業】01/31 01/31 新規事業開発部 花井 慶太郎</t>
  </si>
  <si>
    <t>前原庸介</t>
  </si>
  <si>
    <t>【退職】【業】01/31 01/31 新規事業開発部 前原 庸介</t>
  </si>
  <si>
    <t>羽山剛志</t>
  </si>
  <si>
    <t>【退職】【業】01/31 01/31 新規事業開発部 羽山 剛志</t>
  </si>
  <si>
    <t>北隅亮</t>
  </si>
  <si>
    <t>【退職】【業】01/31 01/31 新規事業開発部 北隅 亮</t>
  </si>
  <si>
    <t>福澤舞弓</t>
  </si>
  <si>
    <t>【退職】【業】01/26 01/31 新規事業開発部 福澤 舞弓</t>
  </si>
  <si>
    <t>本城まりや</t>
  </si>
  <si>
    <t>【退職】【業】1/5　1/31　経営推進本部　社長室　本城 まりや</t>
  </si>
  <si>
    <t>ファムターンスアン</t>
  </si>
  <si>
    <t>【退職】【業】1/31 1/31 次世代ｴﾝﾀｰﾃｲﾝﾒﾝﾄ事業本部 ファムターン スアン</t>
  </si>
  <si>
    <t>折坂美帆</t>
  </si>
  <si>
    <t>【退職】【正】1/19 2/10 ライブエクスペリエンス事業本部 折坂 美帆</t>
  </si>
  <si>
    <t>川崎渉</t>
  </si>
  <si>
    <t>【退職】【業】1/20 1/31 ライブエクスペリエンス事業本部 川崎 渉</t>
  </si>
  <si>
    <t>中津川篤司</t>
  </si>
  <si>
    <t>【退職】【業】1/13 1/13 人事本部 中津川 篤司</t>
  </si>
  <si>
    <t>中田哲史</t>
  </si>
  <si>
    <t>【退職】【業】12/31 1/16 中田 哲史</t>
  </si>
  <si>
    <t>髙岡祐美</t>
  </si>
  <si>
    <t>【退職】【正】02/06 02/28 開発本部 髙岡 祐美</t>
  </si>
  <si>
    <t>向井裕也</t>
  </si>
  <si>
    <t>【退職】【正】1/18 1/31 モンスト事業本部 向井 裕也</t>
  </si>
  <si>
    <t>南達也</t>
  </si>
  <si>
    <t>【退職】【業】2023/1/27 1/27 投資事業推進本部  南  達也</t>
  </si>
  <si>
    <t>福田匠</t>
  </si>
  <si>
    <t>【退職】【正】01/26 02/28 ﾃﾞｼﾞﾀﾙｴﾝﾀｰﾃｲﾝﾒﾝﾄ事業本部 福田 匠</t>
  </si>
  <si>
    <t>【退職】【派】2/28　2/28　メディア＆エンターテインメント事業本部　山内 優衣（ND）</t>
  </si>
  <si>
    <t>阿部明</t>
  </si>
  <si>
    <t>【退職】【ア】1/16 1/16 人事本部 阿部 明a</t>
  </si>
  <si>
    <t>【退職】【正】2/14　2/14　ライブエクスペリエンス事業本部　石井 訓象</t>
  </si>
  <si>
    <t>宇田健吾</t>
  </si>
  <si>
    <t>【退職】【正】1/31 1/31 デジタルエンターテインメント事業本部　宇田 健吾</t>
  </si>
  <si>
    <t>田中翔</t>
  </si>
  <si>
    <t>【退職】【正】01/13 01/13 ﾃﾞｼﾞﾀﾙｴﾝﾀｰﾃｲﾝﾒﾝﾄ事業本部 田中 翔</t>
  </si>
  <si>
    <t>日比野純平</t>
  </si>
  <si>
    <t>【退職】【業】12/28 12/28 新規事業開発部 日比野 純平</t>
  </si>
  <si>
    <t>大城繁幸a</t>
  </si>
  <si>
    <t>【退職】【業】1/1 1/1 モンスト事業本部 大城 繁幸a</t>
  </si>
  <si>
    <t>江村淳一</t>
  </si>
  <si>
    <t>【退職】【業】12/27 12/31 Vantageスタジオ 江村 淳一</t>
  </si>
  <si>
    <t>渡部晃嘉</t>
  </si>
  <si>
    <t>【退職】【業】12/28 12/31 ﾓﾝｽﾄ事業本部 渡部 晃嘉</t>
  </si>
  <si>
    <t>福田大悟</t>
  </si>
  <si>
    <t>【退職】【業】2022/12/19 2022/12/19 投資事業推進本部 福田 大悟</t>
  </si>
  <si>
    <t>今里駿吾</t>
  </si>
  <si>
    <t>【退職】【業】12/23 12/31 モンスト事業本部 今里 駿吾</t>
  </si>
  <si>
    <t>野上潤</t>
  </si>
  <si>
    <t>【退職】【正】2/17 2/17 次世代エンターテインメント事業本部 野上 潤</t>
  </si>
  <si>
    <t>根本美咲</t>
  </si>
  <si>
    <t>【退職】【契】01/06 01/31 せいかつ環境室 根本 美咲</t>
  </si>
  <si>
    <t>功刀卓</t>
  </si>
  <si>
    <t>【退職】【正】12/23 3/26次世代エンターテインメント事業本部 功刀 卓</t>
  </si>
  <si>
    <t>市川華子</t>
  </si>
  <si>
    <t>【退職】【ア】12/20 12/20 人事本部　市川 華子</t>
  </si>
  <si>
    <t>細田恵梨</t>
  </si>
  <si>
    <t>【退職】【業】12/22 12/31 Vantege本部 細田 恵梨</t>
  </si>
  <si>
    <t>出口史門</t>
  </si>
  <si>
    <t>【退職】【ア】12/28 12/31 人事本部　出口 史門</t>
  </si>
  <si>
    <t>【退職】【派遣】1/31 1/31 新規事業開発部 影山 玲実</t>
  </si>
  <si>
    <t>唐土由貴子</t>
  </si>
  <si>
    <t>【退職】【正】1/20 1/31 投資事業推進本部 唐土 由貴子</t>
  </si>
  <si>
    <t>【退職】【業】12/28 12/31 新規事業開発部 小笠原 魁</t>
  </si>
  <si>
    <t>【退職】【業】12/28 12/31 新規事業開発部 坂井 麻美a</t>
  </si>
  <si>
    <t>【退職】【派】12/28 12/31 新規事業開発部 関 あずさ</t>
  </si>
  <si>
    <t>増永哲也</t>
  </si>
  <si>
    <t>【退職】【業】12/28 12/31 新規事業開発部 増永 哲也</t>
  </si>
  <si>
    <t>大城繁幸</t>
  </si>
  <si>
    <t>【退職】【業】12/28 12/28 開発本部 大城 繁幸</t>
  </si>
  <si>
    <t>江頭洸太</t>
  </si>
  <si>
    <t>【退職】【業】12/28 12/28 開発本部 江頭 洸太</t>
  </si>
  <si>
    <t>石川耕多</t>
  </si>
  <si>
    <t>【退職】【業】12/28 12/28 開発本部 石川 耕多</t>
  </si>
  <si>
    <t>豊増康之</t>
  </si>
  <si>
    <t>【退職】【業】12/28 12/31 はたらく環境推進本部　豊増 康之</t>
  </si>
  <si>
    <t>鈴木涼太</t>
  </si>
  <si>
    <t>【退職】【業】12/23 12/23 開発本部 鈴木 涼太</t>
  </si>
  <si>
    <t>清水翔</t>
  </si>
  <si>
    <t>【退職】【業】12/21 12/31 次世代エンターテインメント事業本部 清水 翔</t>
  </si>
  <si>
    <t>猪野ももこ</t>
  </si>
  <si>
    <t>【退職】 【業】 12/26 1/31 猪野 ももこ</t>
  </si>
  <si>
    <t>牧瀬愛莉</t>
  </si>
  <si>
    <t>【退職】【業】12/28 12/31 モンスト事業本部 牧瀬 愛莉</t>
  </si>
  <si>
    <t>山下千臣</t>
  </si>
  <si>
    <t>【退職】【正】12/26 12/31 次世代エンターテインメント事業本部 山下 千臣</t>
  </si>
  <si>
    <t>谷口雄己</t>
  </si>
  <si>
    <t>【退職】【業】12/23 12/31 投資事業推進本部 谷口 雄己</t>
  </si>
  <si>
    <t>松浦祥子</t>
  </si>
  <si>
    <t>【退職】【業】12/26 12/31 ﾃﾞｼﾞﾀﾙｴﾝﾀｰﾃｲﾝﾒﾝﾄ事業本部 松浦 祥子</t>
  </si>
  <si>
    <t>濱岸恭平</t>
  </si>
  <si>
    <t>【退職】 【業】 12/26 1/31 濱岸 恭平</t>
  </si>
  <si>
    <t>市川雄也</t>
  </si>
  <si>
    <t>【退職】 【業】 12/26 1/31 市川 雄也</t>
  </si>
  <si>
    <t>橋本諒a</t>
  </si>
  <si>
    <t>【退職】 【業】 12/26 1/31 橋本 諒a</t>
  </si>
  <si>
    <t>今道佑太</t>
  </si>
  <si>
    <t>【退職】 【業】 12/26 1/31 今道 佑太</t>
  </si>
  <si>
    <t>国吉ゆみ</t>
  </si>
  <si>
    <t>【退職】 【業】 12/26 1/31 国吉 ゆみ</t>
  </si>
  <si>
    <t>山田優子</t>
  </si>
  <si>
    <t>【退職】 【業】 12/26 1/31 山田 優子</t>
  </si>
  <si>
    <t>山下優華</t>
  </si>
  <si>
    <t>【退職】 【業】 12/26 1/31 山下 優華</t>
  </si>
  <si>
    <t>赤松祐果</t>
  </si>
  <si>
    <t>【退職】 【業】 12/26 1/31 赤松 祐果</t>
  </si>
  <si>
    <t>藤本裕二</t>
  </si>
  <si>
    <t>【退職】 【業】 12/26 1/31 藤本 裕二</t>
  </si>
  <si>
    <t>橋本唯</t>
  </si>
  <si>
    <t>【退職】 【業】 12/26 1/31 橋本 唯</t>
  </si>
  <si>
    <t>宮﨑優</t>
  </si>
  <si>
    <t>【退職】 【業】 12/26 1/31 宮﨑 優</t>
  </si>
  <si>
    <t>江木優</t>
  </si>
  <si>
    <t>【退職】 【業】 12/26 1/31 江木 優</t>
  </si>
  <si>
    <t>山田洋介</t>
  </si>
  <si>
    <t>【退職】 【業】 12/26 1/31 山田 洋介</t>
  </si>
  <si>
    <t>宮田豊大</t>
  </si>
  <si>
    <t>【退職】 【業】 12/26 1/31 宮田 豊大</t>
  </si>
  <si>
    <t>村上哲太郎</t>
  </si>
  <si>
    <t>【退職】 【業】 12/26 1/31 村上 哲太郎</t>
  </si>
  <si>
    <t>西澤拓真</t>
  </si>
  <si>
    <t>【退職】 【業】 12/26 1/31 西澤 拓真</t>
  </si>
  <si>
    <t>中原毅</t>
  </si>
  <si>
    <t>【退職】 【業】 12/26 1/31 中原 毅</t>
  </si>
  <si>
    <t>合田武広</t>
  </si>
  <si>
    <t>【退職】 【業】 12/26 1/31 合田 武広</t>
  </si>
  <si>
    <t>成合孝幸</t>
  </si>
  <si>
    <t>【退職】 【業】 12/26 1/31 成合 孝幸</t>
  </si>
  <si>
    <t>西元大賀</t>
  </si>
  <si>
    <t>【退職】 【業】 12/26 1/31 西元 大賀</t>
  </si>
  <si>
    <t>小宮忠之</t>
  </si>
  <si>
    <t>【退職】 【業】 12/26 1/31 小宮 忠之</t>
  </si>
  <si>
    <t>木内宗一郎</t>
  </si>
  <si>
    <t>【退職】 【業】 12/26 1/31 木内 宗一郎</t>
  </si>
  <si>
    <t>宮澤祥太</t>
  </si>
  <si>
    <t>【退職】 【業】 12/26 1/31 宮澤 祥太</t>
  </si>
  <si>
    <t>竹村尚悟</t>
  </si>
  <si>
    <t>【退職】 【業】 12/26 1/31 竹村 尚悟</t>
  </si>
  <si>
    <t>金野さくら</t>
  </si>
  <si>
    <t>【退職】 【業】 12/26 1/31 金野 さくら</t>
  </si>
  <si>
    <t>宮本幸子</t>
  </si>
  <si>
    <t>【退職】 【業】 12/26 1/31 宮本 幸子</t>
  </si>
  <si>
    <t>栗原竜一</t>
  </si>
  <si>
    <t>【退職】 【業】 12/26 1/31 栗原 竜一</t>
  </si>
  <si>
    <t>岡亮輔</t>
  </si>
  <si>
    <t>【退職】 【業】 12/26 1/31 岡 亮輔</t>
  </si>
  <si>
    <t>今井理瑛</t>
  </si>
  <si>
    <t>【退職】 【業】 12/26 1/31 今井 理瑛</t>
  </si>
  <si>
    <t>金澤玲央奈</t>
  </si>
  <si>
    <t>【退職】 【業】 12/26 1/31 金澤 玲央奈</t>
  </si>
  <si>
    <t>藤田玲未</t>
  </si>
  <si>
    <t>【退職】 【業】 12/26 1/31 藤田 玲未</t>
  </si>
  <si>
    <t>柴﨑未来</t>
  </si>
  <si>
    <t>【退職】 【業】 12/26 1/31 柴﨑 未来</t>
  </si>
  <si>
    <t>福田美樹カイサ</t>
  </si>
  <si>
    <t>【退職】 【業】 12/26 1/31 福田 美樹カイサ</t>
  </si>
  <si>
    <t>岡村翠里</t>
  </si>
  <si>
    <t>【退職】 【業】 12/26 1/31 岡村 翠里</t>
  </si>
  <si>
    <t>宮下みどり</t>
  </si>
  <si>
    <t>【退職】 【業】 12/26 2/28 宮下 みどり</t>
  </si>
  <si>
    <t>小関恵</t>
  </si>
  <si>
    <t>【退職】 【業】 12/26 1/31 小関 恵</t>
  </si>
  <si>
    <t>郷真知</t>
  </si>
  <si>
    <t>【退職】 【業】 12/26 1/31 郷 真知</t>
  </si>
  <si>
    <t>新保愛</t>
  </si>
  <si>
    <t>【退職】 【業】 12/26 1/31 新保 愛</t>
  </si>
  <si>
    <t>丸山浩司</t>
  </si>
  <si>
    <t>【退職】 【業】 12/26 1/31 丸山 浩司</t>
  </si>
  <si>
    <t>遠藤清広</t>
  </si>
  <si>
    <t>【退職】 【業】 12/26 1/31 遠藤 清広</t>
  </si>
  <si>
    <t>菊岡貴愛</t>
  </si>
  <si>
    <t>【退職】 【業】 12/26 1/31 菊岡 貴愛</t>
  </si>
  <si>
    <t>海川和弥</t>
  </si>
  <si>
    <t>【退職】 【業】 12/26 1/31 海川 和弥</t>
  </si>
  <si>
    <t>篠田花織</t>
  </si>
  <si>
    <t>【退職】 【業】 12/26 1/31 篠田 花織</t>
  </si>
  <si>
    <t>中台泉美</t>
  </si>
  <si>
    <t>【退職】 【業】 12/26 1/31 中台 泉美</t>
  </si>
  <si>
    <t>富永衣織</t>
  </si>
  <si>
    <t>【退職】 【業】 12/26 1/31 富永 衣織</t>
  </si>
  <si>
    <t>安藤弘邦</t>
  </si>
  <si>
    <t>【退職】 【業】 12/26 1/31 安藤 弘邦</t>
  </si>
  <si>
    <t>松岡宏樹</t>
  </si>
  <si>
    <t>【退職】 【業】 12/26 1/31 松岡 宏樹</t>
  </si>
  <si>
    <t>小川光</t>
  </si>
  <si>
    <t>【退職】 【業】 12/26 1/31 小川 光</t>
  </si>
  <si>
    <t>徳元悠花</t>
  </si>
  <si>
    <t>【退職】 【業】 12/26 1/31 徳元 悠花</t>
  </si>
  <si>
    <t>山本麻美香</t>
  </si>
  <si>
    <t>【退職】 【業】 12/26 1/31 山本 麻美香</t>
  </si>
  <si>
    <t>野頭明人</t>
  </si>
  <si>
    <t>【退職】 【業】 12/26 1/31 野頭 明人</t>
  </si>
  <si>
    <t>井貝昭護</t>
  </si>
  <si>
    <t>【退職】【ア】12/28 1/27 メディア＆エンターテインメント事業本部 井貝 昭護（ND）</t>
  </si>
  <si>
    <t>鍋谷香穂</t>
  </si>
  <si>
    <t>【退職】【業】08/12 08/12 鍋谷 香穂</t>
  </si>
  <si>
    <t>【退職】【派】1/31　1/31　経営管理本部　三浦 香苗（ND）</t>
  </si>
  <si>
    <t xml:space="preserve">戦略室 </t>
  </si>
  <si>
    <t>亀岡千泰a</t>
  </si>
  <si>
    <t>【退職】【業】12/22 12/22　次世代ｴﾝﾀｰﾃｲﾝﾒﾝﾄ事業本部　 亀岡 千泰a</t>
  </si>
  <si>
    <t>広渡真</t>
  </si>
  <si>
    <t>【退職】【派】12/16 12/31 モンスト事業本部　広渡 真</t>
  </si>
  <si>
    <t>石井　政幸</t>
  </si>
  <si>
    <t>【退職】【業】12/12 12/12 新規事業開発部 石井 政幸</t>
  </si>
  <si>
    <t>秋山靖成</t>
  </si>
  <si>
    <t>【退職】【業】12/12 12/12 新規事業開発部 秋山 靖成</t>
  </si>
  <si>
    <t>吉田綾子</t>
  </si>
  <si>
    <t>【退職】【派】2022/11/08　2022/11/08　経営推進本部　吉田 綾子</t>
  </si>
  <si>
    <t>井筒晶子</t>
  </si>
  <si>
    <t>【退職】【派】12/28 12/28 開発本部 井筒 晶子</t>
  </si>
  <si>
    <t>伊藤裕真</t>
  </si>
  <si>
    <t>【退職】【業】 12/28 12/31 ﾃﾞｼﾞﾀﾙｴﾝﾀｰﾃｲﾝﾒﾝﾄ事業本部 伊藤 裕真</t>
  </si>
  <si>
    <t>宮沢隆希</t>
  </si>
  <si>
    <t>【退職】【業】2022/12/28 12/31 投資事業推進本部 宮沢 隆希</t>
  </si>
  <si>
    <t>松本利明</t>
  </si>
  <si>
    <t>【退職】【業】2022/12/08 2022/12/08 投資事業推進本部 松本 利明</t>
  </si>
  <si>
    <t>Engagement</t>
  </si>
  <si>
    <t>石川善一郎a</t>
  </si>
  <si>
    <t>【退職】【業】12/28 12/28 ラブグラフ 石川善一郎a</t>
  </si>
  <si>
    <t>吉田デイジー</t>
  </si>
  <si>
    <t>【退職】【業】2022/12/6 吉田 デイジー</t>
  </si>
  <si>
    <t>石川晃輔</t>
  </si>
  <si>
    <t>【退職】【業】2022/12/28 12/31 投資事業推進本部 石川 晃輔</t>
  </si>
  <si>
    <t>麻生隼希</t>
  </si>
  <si>
    <t>【退職】【業】2022/12/28 12/31 投資事業推進本部 麻生 隼希</t>
  </si>
  <si>
    <t>【退職】【派】12/31 12/31 デジタルエンターテインメント事業本部 栗田 麻祐子</t>
  </si>
  <si>
    <t>松前文環</t>
  </si>
  <si>
    <t>【退職】【業】2022/12/02 2022/12/02 投資事業推進本部 松前 文環</t>
  </si>
  <si>
    <t>【退職】【派】 12/31 12/31 ﾃﾞｼﾞﾀﾙｴﾝﾀｰﾃｲﾝﾒﾝﾄ事業本部 飯島 毅</t>
  </si>
  <si>
    <t>【退職】【派】 12/31 12/31 ﾃﾞｼﾞﾀﾙｴﾝﾀｰﾃｲﾝﾒﾝﾄ事業本部 桑本 竜也</t>
  </si>
  <si>
    <t>鈴木勇祐b</t>
  </si>
  <si>
    <t xml:space="preserve">【退職】【正】12/23 1/10 デジタルエンターテインメント事業本部 鈴木 勇祐b </t>
  </si>
  <si>
    <t>北原一樹</t>
  </si>
  <si>
    <t>【退職】【業】 12/16 12/22 ﾃﾞｼﾞﾀﾙｴﾝﾀｰﾃｲﾝﾒﾝﾄ事業本部 北原 一樹</t>
  </si>
  <si>
    <t>大島優佳</t>
  </si>
  <si>
    <t>【退職】【業】11/30 11/30 大島 優佳</t>
  </si>
  <si>
    <t>小林美咲紀</t>
  </si>
  <si>
    <t>【退職】【派】12/22　12/31 サービス運営開発本部 小林 美咲紀（ND）</t>
  </si>
  <si>
    <t>中村隆</t>
  </si>
  <si>
    <t>【退職】【業】12/28 　12/31　メディア＆エンターテインメント事業本部　中村 隆（ND）</t>
  </si>
  <si>
    <t>福寿子</t>
  </si>
  <si>
    <t>【退職】【派】12/14 12/31 法務部 福 寿子</t>
  </si>
  <si>
    <t>渡辺聖介</t>
  </si>
  <si>
    <t>【退職】【業】12/28 12/31　デザイン本部　渡辺 聖介</t>
  </si>
  <si>
    <t>掛川陽平</t>
  </si>
  <si>
    <t>【退職】【業】11/30 みてね事業部 掛川陽平</t>
  </si>
  <si>
    <t>【退職】【派】 12/31 12/31 ﾃﾞｼﾞﾀﾙｴﾝﾀｰﾃｲﾝﾒﾝﾄ事業本部 徳江 李奈</t>
  </si>
  <si>
    <t>中森海人</t>
  </si>
  <si>
    <t>【退職】【ア】12/15 12/15 人事本部 中森 海人</t>
  </si>
  <si>
    <t>【退職】【ア】12/28 12/28 人事本部 吉田 智咲a</t>
  </si>
  <si>
    <t>髙野氷河</t>
  </si>
  <si>
    <t>【退職】【ア】12/16 12/16 人事本部 髙野 氷河</t>
  </si>
  <si>
    <t>祖父江匠真</t>
  </si>
  <si>
    <t>【退職】【ア】12/28 12/28 人事本部 祖父江 匠真</t>
  </si>
  <si>
    <t>川畑竜平</t>
  </si>
  <si>
    <t>【退職】【ア】12/27 12/28 人事本部 川畑 竜平</t>
  </si>
  <si>
    <t>張強</t>
  </si>
  <si>
    <t>【退職】【ア】12/27 12/28 人事本部 張 強</t>
  </si>
  <si>
    <t>薗部匡矢</t>
  </si>
  <si>
    <t>【退職】【ア】12/28 12/28 人事本部 薗部 匡矢</t>
  </si>
  <si>
    <t>市川駿</t>
  </si>
  <si>
    <t>【退職】【業】12/28 12/28 次世代エンターテインメント事業本部 市川 駿</t>
  </si>
  <si>
    <t>井本大登</t>
  </si>
  <si>
    <t>【退職】【正】12/2 12/30 モンスト事業本部 井本 大登</t>
  </si>
  <si>
    <t>塚本朗仁</t>
  </si>
  <si>
    <t>【退職】【正】11/28 12/31 Vantageスタジオ 塚本 朗仁</t>
  </si>
  <si>
    <t>高田スゼール</t>
  </si>
  <si>
    <t>【退職】【ア】12/28 12/31 サービス運営開発本部 高田 スゼール（ND）</t>
  </si>
  <si>
    <t>横山祥一</t>
  </si>
  <si>
    <t>【退職】【業】11/30 11/30 新規事業開発部 横山 祥一</t>
  </si>
  <si>
    <t>柴田圭介</t>
  </si>
  <si>
    <t>【退職】【業】11/28 11/30 ﾃﾞｼﾞﾀﾙｴﾝﾀｰﾃｲﾝﾒﾝﾄ事業本部 柴田 圭介</t>
  </si>
  <si>
    <t>坂倉秀樹</t>
  </si>
  <si>
    <t>【退職】【業】11/30 11/30 インキュベーション事業部 坂倉　秀樹</t>
  </si>
  <si>
    <t>山本一人</t>
  </si>
  <si>
    <t>【退職】【正】12/26 1/9 次世代エンターテインメント事業本部 山本一人</t>
  </si>
  <si>
    <t>土屋直幸</t>
  </si>
  <si>
    <t>【退職】【業】11/30 11/30 土屋 直幸</t>
  </si>
  <si>
    <t>田村勇貴</t>
  </si>
  <si>
    <t xml:space="preserve">【退職】【正】12/12 12/31 Vantageスタジオ minimo事業部 田村 勇貴 </t>
  </si>
  <si>
    <t xml:space="preserve">  みてね事業部</t>
  </si>
  <si>
    <t>平田将久</t>
  </si>
  <si>
    <t>【退職】【業】2022/12/15 Vantageｽﾀｼﾞｵ みてね事業部 平田 将久a</t>
  </si>
  <si>
    <t>山本航平b</t>
  </si>
  <si>
    <t>【退職】【業】 11/24 11/24 次世代ｴﾝﾀｰﾃｲﾝﾒﾝﾄ事業本部 山本 航平b</t>
  </si>
  <si>
    <t>川島	充博</t>
  </si>
  <si>
    <t>【退職】【業】 11/24 11/24 次世代ｴﾝﾀｰﾃｲﾝﾒﾝﾄ事業本部 川島 充博</t>
  </si>
  <si>
    <t>高梨潤一郎</t>
  </si>
  <si>
    <t>【退職】【業】 11/24 11/24 次世代ｴﾝﾀｰﾃｲﾝﾒﾝﾄ事業本部 高梨 潤一郎</t>
  </si>
  <si>
    <t>山本真史</t>
  </si>
  <si>
    <t>【退職】【契】12/16 12/28 CS本部 山本 真史</t>
  </si>
  <si>
    <t>桑原沙也加</t>
  </si>
  <si>
    <t>【退職】【業】2022/11/30 2022/11/30 桑原 沙也加</t>
  </si>
  <si>
    <t>佐久間義高</t>
  </si>
  <si>
    <t>【退職】【正】12/26 12/31 次世代エンターテインメント事業本部 佐久間 義高</t>
  </si>
  <si>
    <t>西川薫</t>
  </si>
  <si>
    <t>【退職】　【派】11/9　11/11　経営推進本部　西川 薫</t>
  </si>
  <si>
    <t>板杉倫子</t>
  </si>
  <si>
    <t>【退職】【正】12/20 12/20 次世代エンターテインメント事業本部 板杉倫子</t>
  </si>
  <si>
    <t>米倉寧音</t>
  </si>
  <si>
    <t>【退職】【業】12/14 12/31 ﾃﾞｼﾞﾀﾙｴﾝﾀｰﾃｲﾝﾒﾝﾄ事業本部 米倉 寧音</t>
  </si>
  <si>
    <t>加藤貴也</t>
  </si>
  <si>
    <t>【退職】【正】12/23 12/31 ﾃﾞｼﾞﾀﾙｴﾝﾀｰﾃｲﾝﾒﾝﾄ事業本部 加藤 貴也</t>
  </si>
  <si>
    <t>桑谷　貴志</t>
  </si>
  <si>
    <t>【退職】【正】12/16 12/31 デジタルエンターテインメント事業本部  桑谷 貴志</t>
  </si>
  <si>
    <t>中川直香</t>
  </si>
  <si>
    <t>【退職】【正】12/28 12/31 デジタルエンターテインメント事業本部 中川 直香</t>
  </si>
  <si>
    <t>クレンシャーニコラス</t>
  </si>
  <si>
    <t>【退職】【派】10/31 10/31 はたらく環境推進本部 クレンシャー ニコラス</t>
  </si>
  <si>
    <t>西谷一郎</t>
  </si>
  <si>
    <t>【退職】【業】11/11 11/16 新規事業開発部 西谷 一郎</t>
  </si>
  <si>
    <t>有馬春名</t>
  </si>
  <si>
    <t>【退職】【業】11/11 11/16 新規事業開発部 有馬 春名</t>
  </si>
  <si>
    <t>藤本貴文</t>
  </si>
  <si>
    <t>【退職】【業】11/11 11/16 新規事業開発部 藤本 貴文</t>
  </si>
  <si>
    <t>南部翔也</t>
  </si>
  <si>
    <t>【退職】【業】11/30 11/30 次世代エンターテインメント事業本部 南部 翔也</t>
  </si>
  <si>
    <t>和田健吾</t>
  </si>
  <si>
    <t>【退職】【ア】12/2 12/2 人事本部 和田 健吾</t>
  </si>
  <si>
    <t>平塚杏汰</t>
  </si>
  <si>
    <t>【退職】【業】 11/7 11/30 デザイン本部 平塚 杏汰</t>
  </si>
  <si>
    <t>猪又赳彦</t>
  </si>
  <si>
    <t>【退職 】【業】11/8 11/8 開発本部 猪又 赳彦</t>
  </si>
  <si>
    <t>角田和花</t>
  </si>
  <si>
    <t>【退職】【正】11/16 12/31 ﾃﾞｼﾞﾀﾙｴﾝﾀｰﾃｲﾝﾒﾝﾄ事業本部 角田 和花</t>
  </si>
  <si>
    <t>村田明子</t>
  </si>
  <si>
    <t>【退職】【正】12/26 12/31 DE事業企画部 村田 明子</t>
  </si>
  <si>
    <t>【退職】【業】2022/11/30 11/30 投資事業推進本部 村瀬 安沙子</t>
  </si>
  <si>
    <t>大友悠生</t>
  </si>
  <si>
    <t>【退職】【業】2022/11/15 11/15 投資事業推進本部 大友 悠生</t>
  </si>
  <si>
    <t>葛貫美咲香</t>
  </si>
  <si>
    <t>【退職】【正】2022/11/22 2022/11/30 Vantageスタジオ 葛貫 美咲香</t>
  </si>
  <si>
    <t>【退職】【派】12/21 12/31 LX事業本部 永瀬 美紗子</t>
  </si>
  <si>
    <t>IanMcNeely</t>
  </si>
  <si>
    <t>【退職】【正】 11/30 MAI Ian McNeely</t>
  </si>
  <si>
    <t>AllyssaHynes</t>
  </si>
  <si>
    <t>【退職】【正】 11/30 MAI Allyssa Hynes</t>
  </si>
  <si>
    <t>杉村洋平</t>
  </si>
  <si>
    <t>【退職】【業】12/28　12/28　モンスト事業本部　杉村 洋平</t>
  </si>
  <si>
    <t>メカラー　ジュリア</t>
  </si>
  <si>
    <t>【退職】【正】2022/11/2 2022/11/2 デジタルエンターテイメント事業本部 メカラー ジュリア</t>
  </si>
  <si>
    <t>中村美里</t>
  </si>
  <si>
    <t>【退職】【業】11/24 11/24 投資事業推進本部 中村 美里</t>
  </si>
  <si>
    <t>白土彩音</t>
  </si>
  <si>
    <t>【退職】【業】10/31 10/31 事業企画部 白土 彩音</t>
  </si>
  <si>
    <t>サンダルニコラス</t>
  </si>
  <si>
    <t>【退職】【業】10/31 10/31 事業企画部 サンダル ニコラス</t>
  </si>
  <si>
    <t>韓貴俊</t>
  </si>
  <si>
    <t>【退職】【正】2021/09/29 10/31 次世代エンターテインメント事業本部 韓 貴俊</t>
  </si>
  <si>
    <t>柳澤優太</t>
  </si>
  <si>
    <t>【退職】【業】10/31 10/31 モンスト事業本部 柳澤 優太</t>
  </si>
  <si>
    <t>山本暁史</t>
  </si>
  <si>
    <t>【退職】【業】10/31 10/31 モンスト事業本部 山本 暁史</t>
  </si>
  <si>
    <t>茅野大樹</t>
  </si>
  <si>
    <t>【退職】【ア】11/1　11/1　サービス運営開発本部　茅野大樹（ND）</t>
  </si>
  <si>
    <t>佐藤譲</t>
  </si>
  <si>
    <t>【退職】【業】10/31 10/31 事業企画部 佐藤 譲</t>
  </si>
  <si>
    <t>宮木めぐみ</t>
  </si>
  <si>
    <t>【退職】【業】10/31 10/31 事業企画部 宮木 めぐみ</t>
  </si>
  <si>
    <t>新関峻理</t>
  </si>
  <si>
    <t>【退職】【業】10/28 10/31 事業企画部 新関 峻理</t>
  </si>
  <si>
    <t>関康博</t>
  </si>
  <si>
    <t>【退職】【業】10/31 10/31 事業企画部 関 康博</t>
  </si>
  <si>
    <t>釣谷恒平</t>
  </si>
  <si>
    <t>【退職】【正】11/29 11/30 次世代エンターテインメント事業本部 釣谷 恒平</t>
  </si>
  <si>
    <t>生田万貴</t>
  </si>
  <si>
    <t>【退職】【業】10/31 10/31 新規事業開発部  生田 万貴</t>
  </si>
  <si>
    <t>伊藤彰康</t>
  </si>
  <si>
    <t>【退職】【業】10/31 10/31 新規事業開発部 伊藤 彰康</t>
  </si>
  <si>
    <t>塩谷佳明</t>
  </si>
  <si>
    <t>【退職】【正】12/16 12/31 新規事業開発部 塩谷 佳明</t>
  </si>
  <si>
    <t>野間公治</t>
  </si>
  <si>
    <t>【退職】【業】10/27 10/31 野間 公治</t>
  </si>
  <si>
    <t>小林菜摘</t>
  </si>
  <si>
    <t>【退職】【正】12/8 12/9 CS本部 小林 菜摘</t>
  </si>
  <si>
    <t>浅野洋一</t>
  </si>
  <si>
    <t>【退職】【業】10/31 10/31 社内IT室 浅野 洋一</t>
  </si>
  <si>
    <t>八重柏和希</t>
  </si>
  <si>
    <t>【退職】【業】10/31 10/31 モンスト事業本部 八重柏 和希</t>
  </si>
  <si>
    <t>北原綾子</t>
  </si>
  <si>
    <t>【退職】【業】10/31 10/31 モンスト事業本部 北原 綾子</t>
  </si>
  <si>
    <t>金松月</t>
  </si>
  <si>
    <t>【退職】【業】10/31 10/31 モンスト事業本部 金 松月</t>
  </si>
  <si>
    <t>渡邉俊介a</t>
  </si>
  <si>
    <t xml:space="preserve">【退職】【業】10/31 10/31 モンスト事業本部 渡邉 俊介a </t>
  </si>
  <si>
    <t>岩本充恵</t>
  </si>
  <si>
    <t>【退職】【業】 10/28 10/31 デザイン本部 岩本 充恵</t>
  </si>
  <si>
    <t>道場秀三郎</t>
  </si>
  <si>
    <t>【退職】【業】10/31 10/31 はたらく環境推進本部 道場 秀三郎</t>
  </si>
  <si>
    <t>磯田拓杜</t>
  </si>
  <si>
    <t>【退職】【業】2022/10/25 10/28 ライブエクスペリエンス事業本部 磯田 拓杜</t>
  </si>
  <si>
    <t>岡田康佑</t>
  </si>
  <si>
    <t>【退職】【業】2022/10/25 10/28 ライブエクスペリエンス事業本部　岡田 康佑</t>
  </si>
  <si>
    <t>青山智美</t>
  </si>
  <si>
    <t>【退職】【業】10/31 投資事業推進本部 青山 智美</t>
  </si>
  <si>
    <t>【退職】【正】11/11 12/15 投資事業推進本部 森本 淳</t>
  </si>
  <si>
    <t>田中尊治</t>
  </si>
  <si>
    <t>【退職】【ア】11/30　11/30　サービス運営開発本部　田中 尊治（ND）</t>
  </si>
  <si>
    <t>三橋祐仁</t>
  </si>
  <si>
    <t>【退職】【業】11/30　11/30　サービス運営開発本部　三橋 祐仁（ND）</t>
  </si>
  <si>
    <t>浅野靖子</t>
  </si>
  <si>
    <t>【退職】【業】10/31 10/31 新規事業開発部 浅野 靖子</t>
  </si>
  <si>
    <t>BeirneShaun</t>
  </si>
  <si>
    <t>【退職】【業】2022/11/18 11/18　ベアーヌ ショーン</t>
  </si>
  <si>
    <t>細井良太郎</t>
  </si>
  <si>
    <t>【退職】【正】10/28  11/30  細井 良太郎</t>
  </si>
  <si>
    <t>長哲哉</t>
  </si>
  <si>
    <t>【退職】【業】10/20 10/21 開発本部 長 哲哉</t>
  </si>
  <si>
    <t>國分友美子</t>
  </si>
  <si>
    <t>【退職】【業】2022/10/31 10/31 投資事業推進本部 國分 友美子</t>
  </si>
  <si>
    <t>山崎智成</t>
  </si>
  <si>
    <t>【退職】【正】11/15 12/31 ライブエクスペリエンス事業本部 山崎 智成</t>
  </si>
  <si>
    <t>神谷元太</t>
  </si>
  <si>
    <t>【退職】【正】2022/11/04 2022/11/30 開発本部 神谷 元太</t>
  </si>
  <si>
    <t>神田淳希a</t>
  </si>
  <si>
    <t>【退職】【業】10/14 10/15 ライブエクスペリエンス事業本部 神田 淳希a</t>
  </si>
  <si>
    <t>敷浪俊樹</t>
  </si>
  <si>
    <t>【退職】【業】10/11 10/11 新規事業開発部 敷浪 俊樹</t>
  </si>
  <si>
    <t>吉田智紀</t>
  </si>
  <si>
    <t>【退職】【業】10/11 10/11 新規事業開発部 吉田 智紀</t>
  </si>
  <si>
    <t>小野俊介</t>
  </si>
  <si>
    <t>【退職】【業】10/11 10/11 新規事業開発部 小野 俊介</t>
  </si>
  <si>
    <t>内山和輝</t>
  </si>
  <si>
    <t>【退職】【ア】10/31 10/31 人事本部 内山 和輝</t>
  </si>
  <si>
    <t>久冨瑞稀</t>
  </si>
  <si>
    <t>【退職】【ア】10/14 10/14 人事本部 久冨 瑞稀</t>
  </si>
  <si>
    <t>竹林珠良a</t>
  </si>
  <si>
    <t>【退職】【業】10/14 10/14 ﾃﾞｼﾞﾀﾙｴﾝﾀｰﾃｲﾝﾒﾝﾄ事業本部 竹林 珠良a</t>
  </si>
  <si>
    <t>中村智洋</t>
  </si>
  <si>
    <t>【退職】【業】02/23 10/04 投資事業推進本部 中村 智洋</t>
  </si>
  <si>
    <t>永倉英治</t>
  </si>
  <si>
    <t>【退職】【業】10/14 10/15 ライブエクスペリエンス事業本部 永倉 英治</t>
  </si>
  <si>
    <t>一色淳之介</t>
  </si>
  <si>
    <t>【退職】【業】10/14 10/15 ライブエクスペリエンス事業本部 一色 淳之介</t>
  </si>
  <si>
    <t>吉田凱都</t>
  </si>
  <si>
    <t>【退職】【業】10/07 10/15 ライブエクスペリエンス事業本部 吉田 凱都</t>
  </si>
  <si>
    <t>西川由望</t>
  </si>
  <si>
    <t>【退職】　【派】9/22　9/30　経営推進本部　西川由望</t>
  </si>
  <si>
    <t>岩城拓</t>
  </si>
  <si>
    <t>【退職】【業】09/30 09/30 はたらく環境推進本部 岩城 拓</t>
  </si>
  <si>
    <t>中澤さくら</t>
  </si>
  <si>
    <t>【退職】【業】09/29 09/30 投資事業推進本部 中澤 さくら</t>
  </si>
  <si>
    <t>熊澤主馬</t>
  </si>
  <si>
    <t>【退職】【業】09/30 09/30 新規事業開発部 熊澤 主馬</t>
  </si>
  <si>
    <t>ﾚｰｽ運用企画部</t>
  </si>
  <si>
    <t>競輪事業本部</t>
  </si>
  <si>
    <t>青葉えるも</t>
  </si>
  <si>
    <t>【退職】【正】09/30 09/30 競輪事業本部 青葉 えるも</t>
  </si>
  <si>
    <t>伊達香穂</t>
  </si>
  <si>
    <t>【退職】【正】09/30 09/30 競輪事業本部 伊達 香穂</t>
  </si>
  <si>
    <t>山崎友貴人</t>
  </si>
  <si>
    <t>【退職】【正】09/30 09/30 競輪事業本部 山崎 友貴人</t>
  </si>
  <si>
    <t>坂口祐紀</t>
  </si>
  <si>
    <t>【退職】【正】09/30 09/30 競輪事業本部 坂口 祐紀</t>
  </si>
  <si>
    <t>栃山恭平</t>
  </si>
  <si>
    <t>【退職】【正】09/30 09/30 競輪事業本部 栃山 恭平</t>
  </si>
  <si>
    <t>有安瞳</t>
  </si>
  <si>
    <t>【退職】【正】09/30 09/30 競輪事業本部  有安 瞳</t>
  </si>
  <si>
    <t>宮下拓朗</t>
  </si>
  <si>
    <t>【退職】【正】09/30 09/30 競輪事業本部 宮下 拓朗</t>
  </si>
  <si>
    <t>髙久清史</t>
  </si>
  <si>
    <t>【退職】【正】09/30 09/30 競輪事業本部 髙久 清史</t>
  </si>
  <si>
    <t>荻原健二</t>
  </si>
  <si>
    <t>【退職】【正】09/30 09/30 競輪事業本部 荻原 健二</t>
  </si>
  <si>
    <t>渡辺俊太郎</t>
  </si>
  <si>
    <t>【退職】【役員】09/30 09/30 株式会社PIST6 渡辺 俊太郎（取締役）</t>
  </si>
  <si>
    <t>鈴木千樹</t>
  </si>
  <si>
    <t>【退職】【役員】09/30 09/30 株式会社PIST6 鈴木 千樹（代表取締役）</t>
  </si>
  <si>
    <t>ｹﾞｰﾑ運営部</t>
  </si>
  <si>
    <t>荒田龍弥</t>
  </si>
  <si>
    <t>【退職】【業】9/30 9/30 モンスト事業本部 荒田 龍弥</t>
  </si>
  <si>
    <t>秋山紅葉</t>
  </si>
  <si>
    <t>【退職】【業】9/30 9/30 モンスト事業本部 秋山 紅葉</t>
  </si>
  <si>
    <t>福島信吾</t>
  </si>
  <si>
    <t>【退職】【業】09/30 09/30  開発本部 福島 信吾</t>
  </si>
  <si>
    <t>鶴岡大</t>
  </si>
  <si>
    <t>【退職】【業】09/29 10/31 投資事業推進本部 鶴岡 大</t>
  </si>
  <si>
    <t>原田陽一</t>
  </si>
  <si>
    <t>【退職】【正】09/22 09/30 管理部 原田 陽一</t>
  </si>
  <si>
    <t>藤井海人</t>
  </si>
  <si>
    <t>【退職】【派】10/14 10/14 ﾃﾞｼﾞﾀﾙｴﾝﾀｰﾃｲﾝﾒﾝﾄ事業本部 藤井 海人</t>
  </si>
  <si>
    <t>岡野友亮</t>
  </si>
  <si>
    <t>【退職】【業】09/30 09/30 新規事業開発部 岡野　友亮</t>
  </si>
  <si>
    <t>平林　徹</t>
  </si>
  <si>
    <t>【退職】【派】09/30 09/30 新規事業開発部 平林 徹</t>
  </si>
  <si>
    <t>門間　春翔</t>
  </si>
  <si>
    <t>【退職】【派】09/30 09/30 新規事業開発部 門間　春翔</t>
  </si>
  <si>
    <t>景山博志</t>
  </si>
  <si>
    <t>【退職】【派】10/07 10/07 ﾃﾞｼﾞﾀﾙｴﾝﾀｰﾃｲﾝﾒﾝﾄ事業本部 景山 博志</t>
  </si>
  <si>
    <t>藤本周</t>
  </si>
  <si>
    <t>【退職】【業】9/28 9/30 デザイン本部　藤本 周</t>
  </si>
  <si>
    <t>【退職】【ア】9/30 9/30 人事本部 小川 恵太</t>
  </si>
  <si>
    <t>川口裕太郎a</t>
  </si>
  <si>
    <t>【退職】【業】9/30 9/30 モンスト事業本部 川口 裕太郎a</t>
  </si>
  <si>
    <t>田村幸佳</t>
  </si>
  <si>
    <t>【退職】【業】9/30 9/30 田村 幸佳</t>
  </si>
  <si>
    <t>【退職】 【業】 10/31 10/31 中橋 龍亮</t>
  </si>
  <si>
    <t>【退職】 【業】 10/31 10/31 清水 友浩</t>
  </si>
  <si>
    <t>【退職】 【業】 10/31 10/31 新井田 裕介</t>
  </si>
  <si>
    <t>【退職】 【業】 10/31 10/31 松本 江平</t>
  </si>
  <si>
    <t>【退職】 【業】 10/31 10/31 宮本 怜</t>
  </si>
  <si>
    <t>【退職】 【業】 10/31 10/31 田中 叶希</t>
  </si>
  <si>
    <t>【退職】 【業】 10/31 10/31 樋口 久菜</t>
  </si>
  <si>
    <t>【退職】 【業】 10/31 10/31 岩渕 真美</t>
  </si>
  <si>
    <t>伊藤寛</t>
  </si>
  <si>
    <t>【退職】 【業】 10/31 10/31 伊藤 寛</t>
  </si>
  <si>
    <t>【退職】 【業】 10/31 10/31 清水 千代</t>
  </si>
  <si>
    <t>【退職】 【業】 1/31 1/31 柴田 綾乃</t>
  </si>
  <si>
    <t>【退職】 【業】 10/31 10/31 五十嵐 彩花</t>
  </si>
  <si>
    <t>【退職】 【業】 10/31 10/31 飯塚 世奈</t>
  </si>
  <si>
    <t>【退職】 【業】 1/31 1/31 江田 陽子</t>
  </si>
  <si>
    <t>【退職】 【業】 10/31 10/31 橘田 望</t>
  </si>
  <si>
    <t>安本祐依</t>
  </si>
  <si>
    <t>【退職】 【業】 10/31 10/31 安本 祐依</t>
  </si>
  <si>
    <t>諏訪部光平</t>
  </si>
  <si>
    <t>【退職】 【業】 11/11 11/11 諏訪部 光平</t>
  </si>
  <si>
    <t>片瀬大地a</t>
  </si>
  <si>
    <t>【退職】 【業】 10/31 10/31 片瀬 大地a</t>
  </si>
  <si>
    <t>武藤真司</t>
  </si>
  <si>
    <t>【退職】 【業】 10/31 10/31 武藤 真司</t>
  </si>
  <si>
    <t>【退職】 【業】 1/31 1/31 川口 洋平</t>
  </si>
  <si>
    <t>【退職】 【業】 10/31 10/31 稲垣 智恵</t>
  </si>
  <si>
    <t>【退職】 【業】 10/31 10/31 古瀬 羽純</t>
  </si>
  <si>
    <t>【退職】 【業】 1/31 1/31 佐々木 大輔a</t>
  </si>
  <si>
    <t>【退職】 【業】 1/31 1/31 大渕 祐太郎a</t>
  </si>
  <si>
    <t>【退職】 【業】 1/31 1/31 田邊 有紗</t>
  </si>
  <si>
    <t>【退職】 【業】 10/31 10/31 山口 耕司</t>
  </si>
  <si>
    <t>【退職】 【業】 1/31 1/31 宇恵 翼</t>
  </si>
  <si>
    <t>【退職】 【業】 1/31 1/31 稲垣 克比呂</t>
  </si>
  <si>
    <t>【退職】 【業】 10/31 10/31 武田 遼</t>
  </si>
  <si>
    <t>【退職】 【業】 1/31 1/31 平子 貴永子</t>
  </si>
  <si>
    <t>佐藤駿介</t>
  </si>
  <si>
    <t>【退職】 【業】 1/31 1/31 佐藤 駿介</t>
  </si>
  <si>
    <t>【退職】 【業】 1/31 1/31 中川 恭輔</t>
  </si>
  <si>
    <t>【退職】 【業】 1/31 1/31 砂川 将秀</t>
  </si>
  <si>
    <t>【退職】 【業】 12/23 12/23 広井 健一郎</t>
  </si>
  <si>
    <t>【退職】 【業】 1/31 1/31 河村 康希</t>
  </si>
  <si>
    <t>【退職】 【業】 12/23 12/23 吉野 祐樹</t>
  </si>
  <si>
    <t>【退職】 【業】 10/31 10/31 稲場 竜一</t>
  </si>
  <si>
    <t>【退職】 【業】 10/31 10/31 安本 圭佑</t>
  </si>
  <si>
    <t>ハットンアレックス</t>
  </si>
  <si>
    <t>【退職】【業】9/30 9/30 事業企画部 ハットン アレックス</t>
  </si>
  <si>
    <t>リュテリオマーク</t>
  </si>
  <si>
    <t>【退職】【業】9/30 9/30 事業企画部 リュテリオ マーク</t>
  </si>
  <si>
    <t>岡留匡宏</t>
  </si>
  <si>
    <t>【退職】【業】9/30 9/30 事業企画部 岡留 匡宏</t>
  </si>
  <si>
    <t>南崎　絵里</t>
  </si>
  <si>
    <t>【退職】【派】09/30 09/30 労務部  南崎 絵里</t>
  </si>
  <si>
    <t>山田伸子</t>
  </si>
  <si>
    <t>【退職】【派】9/3 9/15　サービス運営開発本部　山田 伸子（ND）</t>
  </si>
  <si>
    <t>三ツ木絹子</t>
  </si>
  <si>
    <t>【退職】【業】06/30 06/30 開発本部 三ツ木絹子</t>
  </si>
  <si>
    <t>小林真琴b</t>
  </si>
  <si>
    <t>【退職】【業】9/9 9/30 小林 真琴b</t>
  </si>
  <si>
    <t>小笠原衣織</t>
  </si>
  <si>
    <t>【退職】【派】9/30 9/30 事業企画部 小笠原 衣織</t>
  </si>
  <si>
    <t>鈴木洋介</t>
  </si>
  <si>
    <t>【退職】【業】9/30 9/30 事業企画部 鈴木 洋介</t>
  </si>
  <si>
    <t>堀友樹</t>
  </si>
  <si>
    <t>【退職】【業】9/30 9/30 事業企画部 堀 友樹</t>
  </si>
  <si>
    <t>【退職】【ア】9/30 9/30 人事本部 楊 景</t>
  </si>
  <si>
    <t>【退職】【ア】9/30 9/30 人事本部 加茂 勇樹</t>
  </si>
  <si>
    <t>表陸人</t>
  </si>
  <si>
    <t>【退職】【ア】10/14 10/14 人事本部 表 陸人</t>
  </si>
  <si>
    <t>後藤廉</t>
  </si>
  <si>
    <t>【退職】【ア】9/30 9/30 人事本部 後藤 廉</t>
  </si>
  <si>
    <t>三浦有央a</t>
  </si>
  <si>
    <t>【退職】【ア】9/30 9/30 人事本部 三浦 有央a</t>
  </si>
  <si>
    <t>金本竜弥</t>
  </si>
  <si>
    <t>【退職】【業】2022/9/30 9/30 投資事業推進本部 金本 竜弥</t>
  </si>
  <si>
    <t xml:space="preserve">  ﾓﾝｽﾄ事業本部</t>
  </si>
  <si>
    <t>松尾大輝</t>
  </si>
  <si>
    <t>【退職】【派】9/15 9/15 モンスト事業本部 松尾 大輝</t>
  </si>
  <si>
    <t>田崎咲奈</t>
  </si>
  <si>
    <t>【退職】【派】9/30 9/30 田崎 咲奈</t>
  </si>
  <si>
    <t>園部麻衣</t>
  </si>
  <si>
    <t>【退職】【正】10/03 10/31 開発部 園部 麻衣</t>
  </si>
  <si>
    <t>Alliance</t>
  </si>
  <si>
    <t>加々本雄太郎a</t>
  </si>
  <si>
    <t>【退職】【業】9/30 9/30 Alliance 加々本 雄太郎a</t>
  </si>
  <si>
    <t>新城実一</t>
  </si>
  <si>
    <t>【退職】【業】9/30 9/30 デザイン本部 新城 実一</t>
  </si>
  <si>
    <t>大野莉穂</t>
  </si>
  <si>
    <t>【退職】【業】9/30 9/30 minimo事業部 大野 莉穂</t>
  </si>
  <si>
    <t>【退職】【業】09/29 09/30 次世代エンターテインメント事業本部 中山 裕喜</t>
  </si>
  <si>
    <t>中西あかね</t>
  </si>
  <si>
    <t>【退職】【業】9/30 9/30 事業企画部 中西 あかね</t>
  </si>
  <si>
    <t>呂俊平</t>
  </si>
  <si>
    <t>【退職】【業】9/29 9/30 事業企画部 呂 俊平</t>
  </si>
  <si>
    <t>【退職】【正】09/29 10/31 人事本部 竹井 香織</t>
  </si>
  <si>
    <t>豊川　弘樹</t>
  </si>
  <si>
    <t>【退職】【正】10/21 11/30 CS本部　豊川 弘樹</t>
  </si>
  <si>
    <t>大嶋陵示</t>
  </si>
  <si>
    <t>【退職】【ア】09/15 09/15 開発部 大嶋 陵示</t>
  </si>
  <si>
    <t>【退職】【派】 9/30 9/30 ﾃﾞｼﾞﾀﾙｴﾝﾀｰﾃｲﾝﾒﾝﾄ事業本部 冨田 敦美</t>
  </si>
  <si>
    <t>奈良信人</t>
  </si>
  <si>
    <t>【退職】【派】09/30 09/30 ﾃﾞｼﾞﾀﾙｴﾝﾀｰﾃｲﾝﾒﾝﾄ事業本部 奈良 信人</t>
  </si>
  <si>
    <t>新井智也</t>
  </si>
  <si>
    <t>【退職】【業】09/22 09/30 ﾃﾞｼﾞﾀﾙｴﾝﾀｰﾃｲﾝﾒﾝﾄ事業本部 新井 智也</t>
  </si>
  <si>
    <t>米山汰一</t>
  </si>
  <si>
    <t>【退職】【業】09/09 09/09 新規事業開発部 米山 汰一</t>
  </si>
  <si>
    <t>関根亮也</t>
  </si>
  <si>
    <t>【退職】【業】09/09 09/09 新規事業開発部 関根 亮也</t>
  </si>
  <si>
    <t>加藤正倫</t>
  </si>
  <si>
    <t>【退職】【業】09/09 09/09 新規事業開発部 加藤 正倫</t>
  </si>
  <si>
    <t>石松凛夏</t>
  </si>
  <si>
    <t>【退職】【正】09/30 09/30 制作部 石松 凛夏</t>
  </si>
  <si>
    <t>中村泰良</t>
  </si>
  <si>
    <t>【退職】【正】09/30 09/30 DE本部 コトダマン事業部 中村 泰良</t>
  </si>
  <si>
    <t>大野奈樹沙</t>
  </si>
  <si>
    <t>【退職】【業】9/2 9/2 はたらく環境推進本部 せいかつ環境室　大野 奈樹沙</t>
  </si>
  <si>
    <t>【退職】【派】9/15 9/15 モンスト事業本部　細田 恵満</t>
  </si>
  <si>
    <t>柳原由羽太</t>
  </si>
  <si>
    <t>【退職】【ア】09/02 09/02 開発部 柳原 由羽太</t>
  </si>
  <si>
    <t>猪塚真衣</t>
  </si>
  <si>
    <t>【退職】【派】09/22 09/30 社内IT室 猪塚 真衣</t>
  </si>
  <si>
    <t>尾木泰太</t>
  </si>
  <si>
    <t>【退職】【正】09/28 09/30 ﾃﾞｼﾞﾀﾙｴﾝﾀｰﾃｲﾝﾒﾝﾄ事業本部 尾木 泰太</t>
  </si>
  <si>
    <t>瀧口裕太</t>
  </si>
  <si>
    <t>【退職】【正】9/28 9/30 デジタルエンターテインメント事業本部 瀧口 裕太</t>
  </si>
  <si>
    <t>ﾃﾞｼﾞﾀﾙｴﾝﾀｰﾃｲﾝﾒﾝﾄ 事業本部</t>
  </si>
  <si>
    <t>崔埈碩</t>
  </si>
  <si>
    <t>【退職】【正】09/28 09/30 DE事業本部コトダマン事業部 崔 埈碩</t>
  </si>
  <si>
    <t>齊藤力</t>
  </si>
  <si>
    <t>【退職】【正】09/14 09/30 DE事業本部コトダマン事業部 齊藤 力</t>
  </si>
  <si>
    <t>金子俊幸</t>
  </si>
  <si>
    <t xml:space="preserve">【退職】【正】09/26 09/30 DE事業本部コトダマン事業部 金子 俊幸 </t>
  </si>
  <si>
    <t>河邊直貴</t>
  </si>
  <si>
    <t>【退職】【業】08/31 08/31 河邊 直貴</t>
  </si>
  <si>
    <t>伊藤敏行</t>
  </si>
  <si>
    <t>【退職】【業】2022/06/17 伊藤 敏行</t>
  </si>
  <si>
    <t>田中千聖</t>
  </si>
  <si>
    <t>【退職】【ア】 08/31 08/31 メディア＆エンターテインメント事業本部 田中千聖</t>
  </si>
  <si>
    <t>山崎智輝</t>
  </si>
  <si>
    <t>【退職】【ア】08/31 08/31 サービス運営開発本部 山崎 智輝</t>
  </si>
  <si>
    <t>山口健太</t>
  </si>
  <si>
    <t>【退職】【契】0930 0930  人事本部 山口 健太</t>
  </si>
  <si>
    <t>渡辺和也</t>
  </si>
  <si>
    <t>【退職】【業】08/31 08/31 新規事業開発部 渡辺  和也</t>
  </si>
  <si>
    <t>【退職】【ア】9/30　9/30 モンスト事業本部　梅原 郁佳</t>
  </si>
  <si>
    <t>山本聡太</t>
  </si>
  <si>
    <t>【退職】【ア】9/30 9/30 人事本部 山本 聡太</t>
  </si>
  <si>
    <t>猿田尚輝</t>
  </si>
  <si>
    <t>【退職】【ア】9/30 9/30 人事本部 猿田 尚輝</t>
  </si>
  <si>
    <t>疋田紅樹</t>
  </si>
  <si>
    <t>【退職】【ア】9/30 9/30 人事本部 疋田 紅樹</t>
  </si>
  <si>
    <t>渡邉奈央騎</t>
  </si>
  <si>
    <t>【退職】【ア】9/30 9/30 人事本部 渡邉 奈央騎</t>
  </si>
  <si>
    <t>【退職】【ア】9/30 9/30 人事本部 木村 有希a</t>
  </si>
  <si>
    <t>菊地陽樹</t>
  </si>
  <si>
    <t>【退職】【ア】9/30 9/30 人事本部 菊地 陽樹</t>
  </si>
  <si>
    <t>川口友也</t>
  </si>
  <si>
    <t>【退職】【ア】9/16 9/16 人事本部 川口 友也</t>
  </si>
  <si>
    <t>ノシアンケンイチ</t>
  </si>
  <si>
    <t>【退職】【ア】9/8 9/8 人事本部 ノシアン ケンイチ</t>
  </si>
  <si>
    <t>【退職】【ア】9/9 9/9 人事本部 周藤 光太郎</t>
  </si>
  <si>
    <t>【退職】【ア】9/27 9/30 人事本部 馬塲 士</t>
  </si>
  <si>
    <t>阿彦忍</t>
  </si>
  <si>
    <t>【退職】【業】9/22　9/30　阿彦 忍（ND）</t>
  </si>
  <si>
    <t>小林愛</t>
  </si>
  <si>
    <t>【退職】【業】08/31 08/31 小林 愛</t>
  </si>
  <si>
    <t>深町拓夫</t>
  </si>
  <si>
    <t>【退職】【正】09/16 09/30 人事本部 深町 拓夫</t>
  </si>
  <si>
    <t>吉原伶菜</t>
  </si>
  <si>
    <t>【退職】【正】2022/9/16 2022/11/4 Vantageスタジオ 吉原伶菜</t>
  </si>
  <si>
    <t>赤嶺郁美</t>
  </si>
  <si>
    <t>【退職】【正】9/30 10/31 モンスト事業本部 赤嶺 郁美</t>
  </si>
  <si>
    <t>倉持翼</t>
  </si>
  <si>
    <t>【退職】【正】10/31 10/31 次世代エンターテインメント事業本部 倉持翼</t>
  </si>
  <si>
    <t>松尾裕一</t>
  </si>
  <si>
    <t xml:space="preserve">【退職】【正】9/30 9/30 DE事業本部 松尾裕一 </t>
  </si>
  <si>
    <t>片山尚美</t>
  </si>
  <si>
    <t>【退職】【派】09/30 09/30 事業戦略部 片山尚美</t>
  </si>
  <si>
    <t>北岡謙輔</t>
  </si>
  <si>
    <t>【退職】【正】9/6 9/25 モンスト事業本部 北岡謙輔</t>
  </si>
  <si>
    <t>次世代ｴﾝﾀｰﾃｲﾝﾒﾝﾄ室</t>
  </si>
  <si>
    <t>吉池佑太</t>
  </si>
  <si>
    <t>【退職】【正】9/28  9/30 次世代エンターテインメント事業本部 吉池 佑太</t>
  </si>
  <si>
    <t>ﾏｰｹﾃｨﾝｸﾞ部</t>
  </si>
  <si>
    <t>【退職】【業】8/31 8/31 貫井 広幸</t>
  </si>
  <si>
    <t>前田祥</t>
  </si>
  <si>
    <t>【退職】【正】09/22 09/30 経営推進本部 前田 祥</t>
  </si>
  <si>
    <t>栗原尚弘</t>
  </si>
  <si>
    <t>【退職】【正】09/09 09/30 開発本部 栗原 尚弘</t>
  </si>
  <si>
    <t>山崎陽子</t>
  </si>
  <si>
    <t>【退職】【契】9/13 9/30 モンスト事業本部 山崎 陽子</t>
  </si>
  <si>
    <t>内海安崇</t>
  </si>
  <si>
    <t>【退職】【業】9/30 9/30 ミクシィ・リクルートメント 内海 安崇</t>
  </si>
  <si>
    <t>野田さくら</t>
  </si>
  <si>
    <t>【退職】【ア】9/5　9/30　モンスト事業本部　野田 さくら</t>
  </si>
  <si>
    <t>森梨夏</t>
  </si>
  <si>
    <t>【退職】【ア】9/5　9/30　モンスト事業本部　森 梨夏</t>
  </si>
  <si>
    <t>横須賀心</t>
  </si>
  <si>
    <t>【退職】【正】08/31 09/9 投資事業推進本部 横須賀 心</t>
  </si>
  <si>
    <t>荒井大樹</t>
  </si>
  <si>
    <t>【退職】【正】08/17 10/15 コンプライアンス本部 荒井 大樹</t>
  </si>
  <si>
    <t>【退職】【業】8/31 開発本部　CTO室　角田 孝昭</t>
  </si>
  <si>
    <t>綾哲志</t>
  </si>
  <si>
    <t>【退職】【ア】8/31 8/31 人事本部 綾 哲志</t>
  </si>
  <si>
    <t>宿里晃太郎</t>
  </si>
  <si>
    <t>【退職】【ア】8/26 8/26 人事本部 宿里 晃太郎</t>
  </si>
  <si>
    <t>吉田夢</t>
  </si>
  <si>
    <t>【退職】【ア】9/30 9/30 Vantageスタジオ 吉田夢</t>
  </si>
  <si>
    <t>萩原海音</t>
  </si>
  <si>
    <t>【退職】【派】9/30 9/30 ミクシィ・リクルートメント 萩原 海音</t>
  </si>
  <si>
    <t>望月理世</t>
  </si>
  <si>
    <t>【退職】【業】9/30 9/30 ミクシィ・リクルートメント 望月 理世</t>
  </si>
  <si>
    <t>ﾐｸｼｨ･ﾘｸﾙｰﾄﾒﾝﾄ事業部</t>
  </si>
  <si>
    <t>目黒圭剛</t>
  </si>
  <si>
    <t>【退職】【業】9/30 9/30 ミクシィ・リクルートメント 目黒 圭剛</t>
  </si>
  <si>
    <t>山口由圭</t>
  </si>
  <si>
    <t>【退職】【派】8/31 8/31 人事本部 山口由圭</t>
  </si>
  <si>
    <t>多田龍馬</t>
  </si>
  <si>
    <t>【退職】【業】8/31 8/31 次世代ｴﾝﾀｰﾃｲﾝﾒﾝﾄ事業本部 多田 龍馬</t>
  </si>
  <si>
    <t>藤原志帆</t>
  </si>
  <si>
    <t>【退職】【正】09/16 10/31 事業推進部 藤原 志帆</t>
  </si>
  <si>
    <t>楢崎義泰</t>
  </si>
  <si>
    <t>【退職】【業】08/31 08/31 人事本部 楢崎 義泰</t>
  </si>
  <si>
    <t>【退職】 【正】 09/27 09/30 Vantageスタジオ みてね事業部 酒井 篤</t>
  </si>
  <si>
    <t>佐藤晶a</t>
  </si>
  <si>
    <t>【退職】【業】08/12 08/12 ライブエクスペリエンス事業本部 佐藤 晶a</t>
  </si>
  <si>
    <t>行方惟人</t>
  </si>
  <si>
    <t>【退職】【正】08/29 08/31 コトダマン事業部　行方 惟人</t>
  </si>
  <si>
    <t>【退職】【契】 9/30 9/30 デザイン本部 佐々木 愛</t>
  </si>
  <si>
    <t>大森圭将</t>
  </si>
  <si>
    <t>【退職】【正】08/31 09/22 大森 圭将</t>
  </si>
  <si>
    <t>川合翔主也</t>
  </si>
  <si>
    <t>【退職】【業】8/31 8/31 Vantageスタジオ 川合 翔主也</t>
  </si>
  <si>
    <t>伊藤英治</t>
  </si>
  <si>
    <t>【退職】【業】08/26 09/16 投資事業推進本部 伊藤 英治</t>
  </si>
  <si>
    <t>田村行徳</t>
  </si>
  <si>
    <t>【退職】【業】07/31 07/31 田村 行徳</t>
  </si>
  <si>
    <t>杉山翔太郎</t>
  </si>
  <si>
    <t>【退職】【正】07/29 08/04 ﾃﾞｼﾞﾀﾙｴﾝﾀｰﾃｲﾝﾒﾝﾄ事業本部 杉山 翔太郎</t>
  </si>
  <si>
    <t>【退職】 【業】 9/15 9/15加賀見 森太郎</t>
  </si>
  <si>
    <t>【退職】 【業】 9/15 9/15関口 大地</t>
  </si>
  <si>
    <t>【退職】 【業】 9/15 9/15橋本 世央</t>
  </si>
  <si>
    <t>茂木菜々穂</t>
  </si>
  <si>
    <t>【退職】 【業】 9/15 9/15茂木 菜々穂</t>
  </si>
  <si>
    <t>【退職】 【業】 9/15 9/15加々本 雄太郎</t>
  </si>
  <si>
    <t>【退職】 【業】 9/15 9/15宮本 広大</t>
  </si>
  <si>
    <t>【退職】 【業】 9/30 9/30井上 翔平</t>
  </si>
  <si>
    <t>【退職】 【業】 9/15 9/15鳩山 裕子</t>
  </si>
  <si>
    <t>【退職】 【業】 9/15 9/15関根 海</t>
  </si>
  <si>
    <t>【退職】 【業】 9/15 9/15中鉢 真優</t>
  </si>
  <si>
    <t>【退職】 【業】 9/15 9/15安蒜 咲</t>
  </si>
  <si>
    <t>折口弘幸</t>
  </si>
  <si>
    <t>【退職】 【業】 9/15 9/15折口 弘幸</t>
  </si>
  <si>
    <t>【退職】 【業】 9/15 9/15豊田 正宗</t>
  </si>
  <si>
    <t>【退職】 【業】 9/30 9/30荒田 駿介</t>
  </si>
  <si>
    <t>【退職】 【業】 9/15 9/15熊谷 峻行</t>
  </si>
  <si>
    <t>三宅桃代</t>
  </si>
  <si>
    <t>【退職】 【業】 9/15 9/15三宅 桃代</t>
  </si>
  <si>
    <t>行長円香</t>
  </si>
  <si>
    <t>【退職】 【業】 9/15 9/15行長 円香</t>
  </si>
  <si>
    <t>小林桜々</t>
  </si>
  <si>
    <t>【退職】 【業】 9/15 9/15小林 桜々</t>
  </si>
  <si>
    <t>豊岡奈々</t>
  </si>
  <si>
    <t>【退職】 【業】 9/15 9/15豊岡 奈々</t>
  </si>
  <si>
    <t>石川善一郎</t>
  </si>
  <si>
    <t>【退職】 【業】 9/15 9/15石川 善一郎</t>
  </si>
  <si>
    <t>横田裕市</t>
  </si>
  <si>
    <t>【退職】 【業】 9/15 9/15横田 裕市</t>
  </si>
  <si>
    <t>岩崎真由子</t>
  </si>
  <si>
    <t>【退職】 【業】 9/30 9/30岩崎 真由子</t>
  </si>
  <si>
    <t>秋岡英太朗</t>
  </si>
  <si>
    <t>【退職】 【業】 9/30 9/30秋岡 英太朗</t>
  </si>
  <si>
    <t>澤畠百花</t>
  </si>
  <si>
    <t>【退職】 【業】 9/15 9/15澤畠 百花</t>
  </si>
  <si>
    <t xml:space="preserve">はたらく環境推進本部 </t>
  </si>
  <si>
    <t>進革</t>
  </si>
  <si>
    <t>【退職】【業】08/01 08/01 社内IT室 進 革</t>
  </si>
  <si>
    <t>金丸くるみ</t>
  </si>
  <si>
    <t>【退職】【ア】07/28 7/31 ｻｰﾋﾞｽ運営部 金丸 くるみ</t>
  </si>
  <si>
    <t>黒田浩司</t>
  </si>
  <si>
    <t>【退職】【業】7/29 7/29 Vantageスタジオ 黒田 浩司</t>
  </si>
  <si>
    <t>中久喜慎吾a</t>
  </si>
  <si>
    <t>【退職】【業】07/29 07/29 ライブエクスペリエンス事業本部 中久喜 慎吾a</t>
  </si>
  <si>
    <t>井上恭輔</t>
  </si>
  <si>
    <t>【退職】【業】07/29 07/29 ライブエクスペリエンス事業本部 井上 恭輔</t>
  </si>
  <si>
    <t>鈴木陽登</t>
  </si>
  <si>
    <t>【退職】【業】7/29 7/31 モンスト事業本部 鈴木 陽登</t>
  </si>
  <si>
    <t>村元深根</t>
  </si>
  <si>
    <t>【退職】【業】7/29 7/31 モンスト事業本部 村元 深根</t>
  </si>
  <si>
    <t>大岩弘佳</t>
  </si>
  <si>
    <t>【退職】【業】7/29 7/31 モンスト事業本部 大岩 弘佳</t>
  </si>
  <si>
    <t>邱子龍</t>
  </si>
  <si>
    <t>【退職】【業】7/29 7/31 モンスト事業本部 邱 子龍</t>
  </si>
  <si>
    <t>上野健太</t>
  </si>
  <si>
    <t>【退職】【正】08/15 08/31 ライブエクスペリエンス事業本部 上野 健太</t>
  </si>
  <si>
    <t>西尾渉</t>
  </si>
  <si>
    <t>【退職】【業】07/27 07/31 西尾 渉</t>
  </si>
  <si>
    <t>金子克紀a</t>
  </si>
  <si>
    <t>【退職】【ア】08/23 09/30 サービス運営部 金子 克紀a</t>
  </si>
  <si>
    <t>仲屋雄一</t>
  </si>
  <si>
    <t>【退職】【業】07/26 07/31 仲屋  雄一</t>
  </si>
  <si>
    <t>上村将之</t>
  </si>
  <si>
    <t>【退職】【正】07/28 08/31 開発本部 上村 将之</t>
  </si>
  <si>
    <t>小川良平</t>
  </si>
  <si>
    <t>【退職】【契】8/5 9/30 デザイン本部 小川 良平</t>
  </si>
  <si>
    <t>社伝一</t>
  </si>
  <si>
    <t>【退職】【業】2022/7/29 7/31 投資事業推進本部 社 伝一</t>
  </si>
  <si>
    <t>河野和佳奈</t>
  </si>
  <si>
    <t xml:space="preserve"> 【退職】【業】2022/7/28 7/31 投資事業推進本部 河野 和佳奈</t>
  </si>
  <si>
    <t>クスヌリナディナ</t>
  </si>
  <si>
    <t>【退職】【派】07/29 07/31 事業戦略部 クスヌリナ ディナ</t>
  </si>
  <si>
    <t>丹羽裕紀a</t>
  </si>
  <si>
    <t>【退職】【業】07/29 07/31 新規事業開発部　丹羽 裕紀a</t>
  </si>
  <si>
    <t>岩間雄太</t>
  </si>
  <si>
    <t xml:space="preserve">【退職】【業】07/29 07/31 新規事業開発部　岩間 雄太 </t>
  </si>
  <si>
    <t>宮内俊英</t>
  </si>
  <si>
    <t>【退職】【業】07/29 07/31 新規事業開発部　宮内 俊英</t>
  </si>
  <si>
    <t>今西悠</t>
  </si>
  <si>
    <t>【退職】【業】07/15 07/15 ライブエクスペリエンス事業本部 今西 悠</t>
  </si>
  <si>
    <t xml:space="preserve">モンスト事業本部 </t>
  </si>
  <si>
    <t>志村恵理</t>
  </si>
  <si>
    <t>【退職】【正】08/12 08/12 モンスト事業本部 志村 恵理</t>
  </si>
  <si>
    <t>陳星宇</t>
  </si>
  <si>
    <t>【退職】【業】07/29 07/31 投資事業推進本部 陳 星宇</t>
  </si>
  <si>
    <t>大内爾保</t>
  </si>
  <si>
    <t>【退職】【業】07/31 08/31 投資事業推進本部 大内 爾保</t>
  </si>
  <si>
    <t>光永知世</t>
  </si>
  <si>
    <t>【退職】【正】8/31 9/15 デジタルエンターテインメント事業本部 光永 知世</t>
  </si>
  <si>
    <t>池田博幸</t>
  </si>
  <si>
    <t>【退職】【正】8/31　8/31　モンスト事業本部　池田 博幸</t>
  </si>
  <si>
    <t>児玉紗梨</t>
  </si>
  <si>
    <t>【退職】【正】08/2 08/31 経営推進本部社長室渉外グループ 児玉 紗梨</t>
  </si>
  <si>
    <t>下田智広</t>
  </si>
  <si>
    <t>【退職】【業】2022/07/01下田 智広</t>
  </si>
  <si>
    <t>横田みほ</t>
  </si>
  <si>
    <t>【退職】【正】7/28 08/31 投資事業推進本部 横田 みほ</t>
  </si>
  <si>
    <t>ＴＩＰＳＴＡＲ開発部</t>
  </si>
  <si>
    <t xml:space="preserve">次世代エンターテインメント事業本部 </t>
  </si>
  <si>
    <t>伊藤優</t>
  </si>
  <si>
    <t>【退職】【正】07/15 08/17 次世代エンターテインメント事業本部 伊藤 優</t>
  </si>
  <si>
    <t>長田乾</t>
  </si>
  <si>
    <t>【退職】【正】07/29 08/31 Vantageスタジオ 長田 乾</t>
  </si>
  <si>
    <t>升澤圭一朗</t>
  </si>
  <si>
    <t>【退職】【業】06/30 06/30 ライブエクスペリエンス事業本部 升澤 圭一朗</t>
  </si>
  <si>
    <t>金園美那</t>
  </si>
  <si>
    <t>【退職】【正】05/13 07/07 デジタルエンターテインメント事業本部 金園 美那</t>
  </si>
  <si>
    <t>中西健太郎</t>
  </si>
  <si>
    <t>【退職】【正】8/26 8/26 Romi事業部 中西 健太郎</t>
  </si>
  <si>
    <t>福地将明</t>
  </si>
  <si>
    <t>【退職】【業】6/30 6/30 モンスト事業本部 福地 将明</t>
  </si>
  <si>
    <t>新居愛美</t>
  </si>
  <si>
    <t>【退職】【業】07/15 07/15 新規事業開発部 新居 愛美</t>
  </si>
  <si>
    <t>金子嵩助</t>
  </si>
  <si>
    <t>【退職】【業】06/30 06/30 新規事業開発部 金子 嵩助</t>
  </si>
  <si>
    <t>長友麗斗</t>
  </si>
  <si>
    <t>【退職】【業】06/30 06/30 新規事業開発部 長友 麗斗</t>
  </si>
  <si>
    <t>田極弘規a</t>
  </si>
  <si>
    <t>【退職】【業】06/30 06/30 新規事業開発部 田極 弘規a</t>
  </si>
  <si>
    <t>中岡淳登</t>
  </si>
  <si>
    <t>【退職】【業】2022/6/30 6/30 投資事業推進本部 中岡 淳登</t>
  </si>
  <si>
    <t>杉浦大介</t>
  </si>
  <si>
    <t>【退職】【業】2022/6/28 2022/6/30 杉浦 大介</t>
  </si>
  <si>
    <t>渡邊千早</t>
  </si>
  <si>
    <t>【退職】【業】7/22 7/22 Vantageｽﾀｼﾞｵ 渡邊 千早</t>
  </si>
  <si>
    <t>森本蒼空</t>
  </si>
  <si>
    <t>【退職】【業】2022/6/30 6/30 投資事業推進本部 森本 蒼空</t>
  </si>
  <si>
    <t>【退職】【業】06/30 06/30 投資事業推進本部 本田マミa</t>
  </si>
  <si>
    <t>淵晴香</t>
  </si>
  <si>
    <t>【退職】【業】07/15 07/15 投資事業推進本部 淵 晴香</t>
  </si>
  <si>
    <t>中野裕貴</t>
  </si>
  <si>
    <t>【退職】【正】08/05 08/31 みてね事業部 中野 裕貴</t>
  </si>
  <si>
    <t>正願地晋平</t>
  </si>
  <si>
    <t>【退職】【業】06/30 06/30 はたらく環境推進本部 正願地 晋平</t>
  </si>
  <si>
    <t>春山直輝</t>
  </si>
  <si>
    <t>【退職】【業】6/30 6/30 はたらく環境推進本部　春山 直輝</t>
  </si>
  <si>
    <t>佐藤ゆかり</t>
  </si>
  <si>
    <t>【退職】【業】6/30 6/30 モンスト事業本部　佐藤 ゆかり</t>
  </si>
  <si>
    <t>藤原貴明</t>
  </si>
  <si>
    <t>【退職】【正】07/06 07/31 ライブエクスペリエンス事業本部 藤原 貴明</t>
  </si>
  <si>
    <t>兼森士郎</t>
  </si>
  <si>
    <t>【退職】【正】7/13 7/31 モンスト事業本部 兼森 士郎</t>
  </si>
  <si>
    <t>野本帆乃佳</t>
  </si>
  <si>
    <t>【退職】【業】06/24 06/30 投資事業推進本部 野本 帆乃佳</t>
  </si>
  <si>
    <t>【退職】【派】6/30 ６/30 モンスト事業本部　鈴木 奈々枝</t>
  </si>
  <si>
    <t>関根悠a</t>
  </si>
  <si>
    <t>【退職】【業】06/30 06/30 ライブエクスペリエンス事業本部 関根 悠a</t>
  </si>
  <si>
    <t>菅原有那</t>
  </si>
  <si>
    <t>【退職】【業】6/30 6/30 デザイン本部 菅原 有那</t>
  </si>
  <si>
    <t xml:space="preserve">デザイン本部 </t>
  </si>
  <si>
    <t>中井良介</t>
  </si>
  <si>
    <t>【退職】【業】6/28 6/30 デザイン本部 中井 良介</t>
  </si>
  <si>
    <t>堀川悌</t>
  </si>
  <si>
    <t>【退職】【業】06/30 06/30 堀川 悌</t>
  </si>
  <si>
    <t>山内智至</t>
  </si>
  <si>
    <t>【退職】【業】投資事業推進本部 06/17 06/30山内 智至</t>
  </si>
  <si>
    <t>松田友博</t>
  </si>
  <si>
    <t>【退職】【業】06/17 06/17 新規事業開発部 松田 友博</t>
  </si>
  <si>
    <t>ﾒﾃﾞｨｱ&amp;ｴﾝﾀｰﾃｲﾝﾒﾝﾄ事業本部</t>
  </si>
  <si>
    <t>菅原秀</t>
  </si>
  <si>
    <t>【退職】【業】6/30 6/30　ﾒﾃﾞｨｱ&amp;ｴﾝﾀｰﾃｲﾝﾒﾝﾄ事業本部　菅原 秀（ND）</t>
  </si>
  <si>
    <t>倉田慶</t>
  </si>
  <si>
    <t>【退職】【正】8/15 8/31 モンスト事業本部 倉田 慶</t>
  </si>
  <si>
    <t>室川武範</t>
  </si>
  <si>
    <t>【退職】【業】6/29 6/30  次世代エンターテインメント事業本部 室川 武範</t>
  </si>
  <si>
    <t>小川一樹</t>
  </si>
  <si>
    <t>【退職】【業】07/29 07/31 投資事業推進本部 小川 一樹</t>
  </si>
  <si>
    <t>佐藤はるか</t>
  </si>
  <si>
    <t>【退職】【派】6/30 6/30 サービス運営開発本部　佐藤 はるか（ND）</t>
  </si>
  <si>
    <t>児玉睦</t>
  </si>
  <si>
    <t>【退職】【業】6/30 6/30 次世代エンタメ本部　児玉 睦</t>
  </si>
  <si>
    <t>西林昌則</t>
  </si>
  <si>
    <t>【退職】【業】06/30 06/30 ﾃﾞｼﾞﾀﾙｴﾝﾀｰﾃｲﾝﾒﾝﾄ事業本部 西林 昌則</t>
  </si>
  <si>
    <t>中川勇樹</t>
  </si>
  <si>
    <t>【退職】【業】06/29 06/30 ﾃﾞｼﾞﾀﾙｴﾝﾀｰﾃｲﾝﾒﾝﾄ事業本部 中川 勇樹</t>
  </si>
  <si>
    <t>川口亜希子</t>
  </si>
  <si>
    <t>【退職】【派】06/21 06/30 労務部 川口 亜希子</t>
  </si>
  <si>
    <t>鈴木淳一</t>
  </si>
  <si>
    <t>【退職】【正】6/10 6/30 鈴木  淳一</t>
  </si>
  <si>
    <t>隅山侑衣子</t>
  </si>
  <si>
    <t>【退職】【業】06/29 06/30 minimo事業部 隅山 侑衣子</t>
  </si>
  <si>
    <t>味口沙世</t>
  </si>
  <si>
    <t>【退職】【正】06/30 08/30 デジタルエンターテインメント事業本部 事業企画部 味口 沙世</t>
  </si>
  <si>
    <t>井上弘</t>
  </si>
  <si>
    <t>【退職】【業】06/30 06/30 minimo事業部 井上 弘</t>
  </si>
  <si>
    <t>澤孟瑠</t>
  </si>
  <si>
    <t>【退職】【ア】06/29 06/30 メディア事業部 澤 孟瑠</t>
  </si>
  <si>
    <t>居城弘直</t>
  </si>
  <si>
    <t>【退職】【業】 6/13 6/13 みてね事業部 居城弘直</t>
  </si>
  <si>
    <t>土井祐希</t>
  </si>
  <si>
    <t>【退職】【業】06/30 06/30 人事本部　土井祐希</t>
  </si>
  <si>
    <t xml:space="preserve">TIPSTAR開発部 </t>
  </si>
  <si>
    <t xml:space="preserve">次世代ｴﾝﾀｰﾃｲﾝﾒﾝﾄ事業本部 </t>
  </si>
  <si>
    <t>松永駿樹</t>
  </si>
  <si>
    <t>【退職】【業】6/30 6/30　松永 駿樹</t>
  </si>
  <si>
    <t>【退職】【業】6/30 6/30　平田 大地</t>
  </si>
  <si>
    <t>【退職】【ア】6/30 6/30 人事本部 若松 丈人</t>
  </si>
  <si>
    <t>能美一樹</t>
  </si>
  <si>
    <t>【退職】【派】6/29 6/30 サービス運営開発本部 能美 一樹（ND）</t>
  </si>
  <si>
    <t>前野ジョナサン和志</t>
  </si>
  <si>
    <t>【退職】【正】7/25 7/31 モンスト事業本部 前野ジョナサン和志</t>
  </si>
  <si>
    <t>高井友子</t>
  </si>
  <si>
    <t>【退職】【派】6/10 6/30 事業開発本部　高井 友子（ND）</t>
  </si>
  <si>
    <t>酒井杏菜</t>
  </si>
  <si>
    <t>【退職】【業】6/30 6/30 ライブエクスペリエンス事業本部 酒井 杏菜</t>
  </si>
  <si>
    <t>東一秀繁</t>
  </si>
  <si>
    <t xml:space="preserve">【退職】【正】2022/6/30　6/30　投資事業本部　東一 秀繁　　</t>
  </si>
  <si>
    <t>伊東未来</t>
  </si>
  <si>
    <t xml:space="preserve">【退職】【業】2022/6/27　6/30　みてね事業部　伊東 未来　　</t>
  </si>
  <si>
    <t>新谷由佳</t>
  </si>
  <si>
    <t>【退職】【業】6/30 6/30　サービス運営開発本部　新谷 由佳（ND）</t>
  </si>
  <si>
    <t>佐野貴宏</t>
  </si>
  <si>
    <t>【退職】【正】7/29 7/31 インキュベーション事業部 佐野 貴宏</t>
  </si>
  <si>
    <t xml:space="preserve">ＴＩＰＳＴＡＲ企画運営部 </t>
  </si>
  <si>
    <t>西澤宏二</t>
  </si>
  <si>
    <t>【退職】【正】06/07 08/31 次世代エンターテインメント事業本部 西澤 宏二</t>
  </si>
  <si>
    <t>手島大地</t>
  </si>
  <si>
    <t>【退職】【業】06/15 06/15 投資事業推進本部 手島 大地</t>
  </si>
  <si>
    <t>戸村さとみ</t>
  </si>
  <si>
    <t>【退職】【正】05/19 06/10 経営推進本部社長室渉外グループ 戸村 さとみ</t>
  </si>
  <si>
    <t>鳥井惣太</t>
  </si>
  <si>
    <t>【退職】【業】4/5　6/30　モンスト事業本部　鳥井 惣太</t>
  </si>
  <si>
    <t>堀内瑚都</t>
  </si>
  <si>
    <t>【退職】【ア】5/26 5/31 経営管理本部 堀内 瑚都（ND）</t>
  </si>
  <si>
    <t>田崎奈津美</t>
  </si>
  <si>
    <t>【退職】【業】5/31 5/31 事業企画部 田崎 奈津美</t>
  </si>
  <si>
    <t>中田武志</t>
  </si>
  <si>
    <t>【退職】【正】06/01 07/31 開発本部 中田武志</t>
  </si>
  <si>
    <t>金丸裕佑</t>
  </si>
  <si>
    <t>【退職】【正】07/29　07/31　次世代エンターテインメント事業本部　金丸 裕佑</t>
  </si>
  <si>
    <t>甲斐田始</t>
  </si>
  <si>
    <t>【退職】【業】5/31 5/31 経営推進本部 甲斐田 始</t>
  </si>
  <si>
    <t>【退職】【業】5/31 5/31 Vantageスタジオ 松岡 涼</t>
  </si>
  <si>
    <t>納家一寛</t>
  </si>
  <si>
    <t>【退職】【業】05/31 05/31 投資事業推進本部 納家 一寛</t>
  </si>
  <si>
    <t>川瀬祐那</t>
  </si>
  <si>
    <t>【退職】【派】5/27 6/30 ﾒﾃﾞｨｱ&amp;ｴﾝﾀｰﾃｲﾝﾒﾝﾄ事業本部 川瀬 祐那(ND)</t>
  </si>
  <si>
    <t>山下直紘</t>
  </si>
  <si>
    <t>【退職】【業】5/30 5/31　事業開発本部　山下 直紘（ND）</t>
  </si>
  <si>
    <t>次世代エンターテイメント事業本部</t>
  </si>
  <si>
    <t>舛井一文</t>
  </si>
  <si>
    <t>【退職】【正】6/10 7/31 次世代エンターテイメント本部 舛井一文</t>
  </si>
  <si>
    <t>竹林珠良</t>
  </si>
  <si>
    <t>【退職】【業】05/31 05/31 ﾃﾞｼﾞﾀﾙｴﾝﾀｰﾃｲﾝﾒﾝﾄ事業本部 竹林 珠良</t>
  </si>
  <si>
    <t>片倉千尋</t>
  </si>
  <si>
    <t>【退職】【業】05/31 05/31 ﾃﾞｼﾞﾀﾙｴﾝﾀｰﾃｲﾝﾒﾝﾄ事業本部 片倉 千尋</t>
  </si>
  <si>
    <t>澁谷太志</t>
  </si>
  <si>
    <t>【退職】【正】06/01 06/30 投資事業推進本部 澁谷 太志</t>
  </si>
  <si>
    <t>松尾福太郎</t>
  </si>
  <si>
    <t>【退職】【業】5/31 5/31　松尾 福太郎</t>
  </si>
  <si>
    <t>川口隆大</t>
  </si>
  <si>
    <t>【退職】【業】5/31 5/31　川口 隆大</t>
  </si>
  <si>
    <t>木口敬介</t>
  </si>
  <si>
    <t>【退職】【業】5/31 5/31 モンスト事業本部 木口 敬介</t>
  </si>
  <si>
    <t>富山優</t>
  </si>
  <si>
    <t>【退職】【業】5/31 5/31　富山 優</t>
  </si>
  <si>
    <t>【退職】【業】5/31 5/31 モンスト事業本部　成田 悟</t>
  </si>
  <si>
    <t>横山航a</t>
  </si>
  <si>
    <t>【退職】【ア】05/10 06/21 映像＆編集部 横山 航a</t>
  </si>
  <si>
    <t>竹花さやか</t>
  </si>
  <si>
    <t>【退職】【業】04/28 04/28 投資事業推進本部 竹花 さやか</t>
  </si>
  <si>
    <t>阪根賢司</t>
  </si>
  <si>
    <t>【退職】【派】4/28 5/15 モンスト事業本部 阪根 賢司</t>
  </si>
  <si>
    <t>佐々木忠輝</t>
  </si>
  <si>
    <t>【退職】【正】05/30 05/31 人事本部 佐々木忠輝</t>
  </si>
  <si>
    <t>田邊勇太</t>
  </si>
  <si>
    <t>【退職】【業】04/28 04/30 新規事業開発部 田邊 勇太</t>
  </si>
  <si>
    <t>住田良輔</t>
  </si>
  <si>
    <t>【退職】【業】04/28 04/30 新規事業開発部 住田 良輔</t>
  </si>
  <si>
    <t>間中優輝</t>
  </si>
  <si>
    <t>【退職】【業】04/28 04/30 新規事業開発部 間中 優輝</t>
  </si>
  <si>
    <t>華曄</t>
  </si>
  <si>
    <t>【退職】【業】04/28 04/30 新規事業開発部 華 曄</t>
  </si>
  <si>
    <t>佐野哲平</t>
  </si>
  <si>
    <t>【退職】【業】04/28 04/30 新規事業開発部 佐野 哲平</t>
  </si>
  <si>
    <t>柏原崇生</t>
  </si>
  <si>
    <t>【退職】【業】04/28 04/30 新規事業開発部 柏原 崇生</t>
  </si>
  <si>
    <t>亀田力矢a</t>
  </si>
  <si>
    <t>【退職】【業】04/28 04/30 新規事業開発部 亀田 力矢a</t>
  </si>
  <si>
    <t>岩田倫道</t>
  </si>
  <si>
    <t>【退職】【業】04/28 04/30 新規事業開発部 岩田 倫道</t>
  </si>
  <si>
    <t>庄司直樹</t>
  </si>
  <si>
    <t>【退職】【業】04/28 04/30 新規事業開発部 庄司 直樹</t>
  </si>
  <si>
    <t>山田清貴</t>
  </si>
  <si>
    <t>【退職】【業】04/28 04/30 新規事業開発部 山田 清貴</t>
  </si>
  <si>
    <t>西健一</t>
  </si>
  <si>
    <t>【退職】【業】04/28 04/30 新規事業開発部 西 健一</t>
  </si>
  <si>
    <t>江藤桂大</t>
  </si>
  <si>
    <t>【退職】【業】04/28 04/30 新規事業開発部 江藤 桂大</t>
  </si>
  <si>
    <t>遠藤聖c</t>
  </si>
  <si>
    <t>【退職】【業】04/28 04/30 新規事業開発部 遠藤 聖c</t>
  </si>
  <si>
    <t>筒井大介a</t>
  </si>
  <si>
    <t>【退職】【業】04/28 04/30 新規事業開発部 筒井 大介a</t>
  </si>
  <si>
    <t>橘康貴</t>
  </si>
  <si>
    <t>【退職】【業】04/28 04/30 新規事業開発部 橘 康貴</t>
  </si>
  <si>
    <t>伊藤正子</t>
  </si>
  <si>
    <t>【退職】【派】6/22 6/30 伊藤 正子</t>
  </si>
  <si>
    <t>髙橋優樹c</t>
  </si>
  <si>
    <t>【退職】【ア】4/28 4/30 事業企画部 髙橋 優樹c</t>
  </si>
  <si>
    <t>高瀬真宏</t>
  </si>
  <si>
    <t>【退職】【業】04/28 04/30 新規事業開発部 高瀬 真宏</t>
  </si>
  <si>
    <t>伊藤豊</t>
  </si>
  <si>
    <t>【退職】【業】04/27 04/30 デザイン本部 伊藤 豊</t>
  </si>
  <si>
    <t>増元智相</t>
  </si>
  <si>
    <t>【退職】【業】4/28 4/30 ライブエクスペリエンス事業本部 増元 智相</t>
  </si>
  <si>
    <t>畦地翔太</t>
  </si>
  <si>
    <t>【退職】【業】4/28　4/30　モンスト事業本部　畦地 翔太</t>
  </si>
  <si>
    <t>渡辺優</t>
  </si>
  <si>
    <t>【退職】【正】5/10 5/31 CS本部 渡辺優</t>
  </si>
  <si>
    <t>井福英了</t>
  </si>
  <si>
    <t>【退職】【業】2022/4/28 4/30 投資事業推進本部 井福 英了</t>
  </si>
  <si>
    <t>福田聡</t>
  </si>
  <si>
    <t>【退職】【業】5/31 5/31　福田 聡</t>
  </si>
  <si>
    <t>服部一樹</t>
  </si>
  <si>
    <t>【退職】【正】5/31 6/30　服部 一樹</t>
  </si>
  <si>
    <t>高橋友規a</t>
  </si>
  <si>
    <t>【退職】【業】4/30 4/30　高橋 友規a</t>
  </si>
  <si>
    <t>長谷部孝征</t>
  </si>
  <si>
    <t>【退職】【正】05/13 05/31 競輪事業部 長谷部 孝征</t>
  </si>
  <si>
    <t>小嶋麻美</t>
  </si>
  <si>
    <t>【退職】【業】04/15 04/15 小嶋 麻美（ND）</t>
  </si>
  <si>
    <t>小丹枝李華</t>
  </si>
  <si>
    <t>【退職】【正】5/25 6/10 はたらく環境推進本部 小丹枝 李華</t>
  </si>
  <si>
    <t>鈴木巧</t>
  </si>
  <si>
    <t>【退職】【派】 2022/04/16　鈴木 巧</t>
  </si>
  <si>
    <t>植田美香</t>
  </si>
  <si>
    <t>【退職】【業】04/27 04/27 はたらく環境推進本部 植田 美香</t>
  </si>
  <si>
    <t>ライブエクスペリエンス本部</t>
  </si>
  <si>
    <t>高橋安奈</t>
  </si>
  <si>
    <t>【退職】【正】2022/4/26 5/8 ライブエクスペリエンス本部 高橋 安奈</t>
  </si>
  <si>
    <t>萩野絵莉香</t>
  </si>
  <si>
    <t>【退職】【業】04/27 04/27 はたらく環境推進本部 萩野 絵莉香</t>
  </si>
  <si>
    <t>園田玲子</t>
  </si>
  <si>
    <t>【退職】【業】04/27 04/27 はたらく環境推進本部 園田 玲子</t>
  </si>
  <si>
    <t>金田佳子</t>
  </si>
  <si>
    <t>【退職】【業】04/27 04/27 はたらく環境推進本部 金田 佳子</t>
  </si>
  <si>
    <t>瀬戸幹雄</t>
  </si>
  <si>
    <t>【退職】【業】04/27 04/27 はたらく環境推進本部 瀬戸 幹雄</t>
  </si>
  <si>
    <t>川村茶南</t>
  </si>
  <si>
    <t>【退職】【派】4/12 5/13 経営推進本部 川村 茶南</t>
  </si>
  <si>
    <t>兪雪蕾</t>
  </si>
  <si>
    <t>【退職】【ア】2022/04/12 2022/04/12 Vantageスタジオ 兪 雪蕾</t>
  </si>
  <si>
    <t>ﾏｰｹﾃｨﾝｸﾞｺﾐｭﾆｹｰｼｮﾝ部</t>
  </si>
  <si>
    <t>ﾏｰｹﾃｨﾝｸﾞ本部</t>
  </si>
  <si>
    <t>唐澤史織a</t>
  </si>
  <si>
    <t>【退職】【業】2022/4/16 2022/4/16 唐澤 史織a</t>
  </si>
  <si>
    <t>柴田真勝</t>
  </si>
  <si>
    <t>【退職】【正】04/15 04/30 サービス運営開発本部　柴田 真勝</t>
  </si>
  <si>
    <t>内海愛奈</t>
  </si>
  <si>
    <t>【退職】【ア】4/28 4/30 内海愛奈</t>
  </si>
  <si>
    <t>矢野唯</t>
  </si>
  <si>
    <t>【退職】【ア】4/28 4/30 矢野 唯</t>
  </si>
  <si>
    <t>澤田昌紀</t>
  </si>
  <si>
    <t>【退職】【正】4/13 5/31 Vantageスタジオ 澤田 昌紀</t>
  </si>
  <si>
    <t>駒井将輝</t>
  </si>
  <si>
    <t>【退職】【業】04/22 04/30 ﾃﾞｼﾞﾀﾙｴﾝﾀｰﾃｲﾝﾒﾝﾄ事業本部 駒井 将輝</t>
  </si>
  <si>
    <t>松下加奈</t>
  </si>
  <si>
    <t>【退職】【派】2022/3/31 2022/3/31 事業開発本部 松下 加奈(ND)</t>
  </si>
  <si>
    <t>丸形研人</t>
  </si>
  <si>
    <t>【退職】【正】04/27 05/13 ﾃﾞｼﾞﾀﾙｴﾝﾀｰﾃｲﾝﾒﾝﾄ事業本部 丸形 研人</t>
  </si>
  <si>
    <t>河合航平</t>
  </si>
  <si>
    <t>【退職】【業】4/15 4/15 Vantageｽﾀｼﾞｵ 河合 航平</t>
  </si>
  <si>
    <t>山田昂平b</t>
  </si>
  <si>
    <t>【退職】【業】03/31 03/31 みてね事業部 山田昂平b</t>
  </si>
  <si>
    <t>今野駿</t>
  </si>
  <si>
    <t>【退職】【業】04/04 04/04 今野 駿</t>
  </si>
  <si>
    <t>三島陽介</t>
  </si>
  <si>
    <t>【退職】【業】04/04 04/04 三島 陽介</t>
  </si>
  <si>
    <t>石井聡美</t>
  </si>
  <si>
    <t>【退職】【業】04/04 石井 聡美</t>
  </si>
  <si>
    <t>阿部敦</t>
  </si>
  <si>
    <t>【退職】【業】04/04 04/04 阿部　敦</t>
  </si>
  <si>
    <t>藤原愛</t>
  </si>
  <si>
    <t>【退職】【業】2022/04/01 藤原 愛</t>
  </si>
  <si>
    <t>唐澤史織</t>
  </si>
  <si>
    <t>【退職】【業】2022/3/31 2022/3/31 唐澤 史織</t>
  </si>
  <si>
    <t>西萩綾希</t>
  </si>
  <si>
    <t>【退職】【業】　3/31　3/31　人材採用部　西萩 綾希</t>
  </si>
  <si>
    <t>笹川真優</t>
  </si>
  <si>
    <t>【退職】【業】3/31　3/31　人材採用部　笹川 真優</t>
  </si>
  <si>
    <t>高松良弥</t>
  </si>
  <si>
    <t>【退職】【業】3/31　3/31　人材採用部　高松 良弥</t>
  </si>
  <si>
    <t>木村叡代a</t>
  </si>
  <si>
    <t>【退職】【業】　3/31　3/31　人材採用部　木村 叡代a</t>
  </si>
  <si>
    <t>菅野史明a</t>
  </si>
  <si>
    <t>【退職】【業】2022/04/15 2022/04/15 人事本部 菅野　史明a</t>
  </si>
  <si>
    <t>藤原悟a</t>
  </si>
  <si>
    <t>【退職】【業】2022/04/15 2022/04/15 人事本部 藤原　悟a</t>
  </si>
  <si>
    <t>冨樫柚香a</t>
  </si>
  <si>
    <t>【退職】【業】2022/04/15 2022/04/15 人事本部 冨樫　柚香a</t>
  </si>
  <si>
    <t>村山隆太郎a</t>
  </si>
  <si>
    <t>【退職】【業】2022/04/15 2022/04/15 人事本部 村山　隆太郎a</t>
  </si>
  <si>
    <t>大村祥子a</t>
  </si>
  <si>
    <t>【退職】【業】2022/04/15 2022/04/15 人事本部 大村　祥子a</t>
  </si>
  <si>
    <t>高橋快成a</t>
  </si>
  <si>
    <t>【退職】【業】2022/04/15 2022/04/15 人事本部 高橋　快成a</t>
  </si>
  <si>
    <t>渡辺直人a</t>
  </si>
  <si>
    <t>【退職】【業】2022/04/15 2022/04/15 人事本部 渡辺 直人a</t>
  </si>
  <si>
    <t>川嶋亜依a</t>
  </si>
  <si>
    <t>【退職】【業】2022/04/15 2022/04/15 人事本部 川嶋 亜依a</t>
  </si>
  <si>
    <t>相澤友太a</t>
  </si>
  <si>
    <t>【退職】【業】2022/04/15 2022/04/15 人事本部 相澤 友太a</t>
  </si>
  <si>
    <t>齋田宙夢a</t>
  </si>
  <si>
    <t>【退職】【業】2022/04/15 2022/04/15 人事本部 齋田 宙夢a</t>
  </si>
  <si>
    <t>佐藤礼菜a</t>
  </si>
  <si>
    <t>【退職】【業】2022/04/15 2022/04/15 人事本部 佐藤 礼菜a</t>
  </si>
  <si>
    <t>原麻莉乃a</t>
  </si>
  <si>
    <t>【退職】【業】2022/04/15 2022/04/15 人事本部 原 麻莉乃a</t>
  </si>
  <si>
    <t>西村拓真</t>
  </si>
  <si>
    <t>【退職】【業】4/15 4/15 ﾃﾞｼﾞﾀﾙｴﾝﾀｰﾃｲﾝﾒﾝﾄ事業本部 西村 拓真</t>
  </si>
  <si>
    <t>櫻井勇太</t>
  </si>
  <si>
    <t>【退職】【業】3/31 3/31　櫻井 勇太</t>
  </si>
  <si>
    <t>【退職】【ア】3/31 3/31 太田 理斗</t>
  </si>
  <si>
    <t>宮村優哉</t>
  </si>
  <si>
    <t>【退職】【業】3/31 3/31 Vantageｽﾀｼﾞｵ 宮村 優哉</t>
  </si>
  <si>
    <t>伊藤優里</t>
  </si>
  <si>
    <t>【退職】【業】3/31　3/31　モンスト事業本部　伊藤優里</t>
  </si>
  <si>
    <t>田島謙介</t>
  </si>
  <si>
    <t>【退職】【正】4/21 4/30 モンスト事業本部 田島謙介</t>
  </si>
  <si>
    <t>山田恵</t>
  </si>
  <si>
    <t>【退職】【業】03/31 03/31　人事本部　山田 恵</t>
  </si>
  <si>
    <t>髙橋貴欣</t>
  </si>
  <si>
    <t>【退職】【業】03/31 03/31　人事本部　髙橋 貴欣</t>
  </si>
  <si>
    <t>矢上真季</t>
  </si>
  <si>
    <t>【退職】【業】03/31　03/31　人事本部　矢上 真季</t>
  </si>
  <si>
    <t>野原弓枝</t>
  </si>
  <si>
    <t>【退職】【業】04/27 04/30 はたらく環境推進本部 野原 弓枝</t>
  </si>
  <si>
    <t>酒井亜澄</t>
  </si>
  <si>
    <t>【退職】【業】03/31 03/31 はたらく環境推進本部 酒井 亜澄</t>
  </si>
  <si>
    <t>田中竜三郎</t>
  </si>
  <si>
    <t>【退職】【業】03/31 03/31 次世代エンターテインメント本部 田中 竜三郎</t>
  </si>
  <si>
    <t>【退職】【業】03/31 03/31 デザイン本部 守本 舞</t>
  </si>
  <si>
    <t>【退職】【業】03/31 03/31 Vantageスタジオ 井出 紀弘</t>
  </si>
  <si>
    <t>奥沢将隆</t>
  </si>
  <si>
    <t>【退職】【派】3/31 3/31 モンスト事業本部 奥沢 将隆</t>
  </si>
  <si>
    <t>井口理恵</t>
  </si>
  <si>
    <t>【退職】【正】4/15 6/13 Vantageスタジオ 新規事業開発室 井口 理恵</t>
  </si>
  <si>
    <t>横山竜太郎</t>
  </si>
  <si>
    <t>【退職】【正】5/31 6/1  Vantageスタジオ 新規事業開発室 横山 竜太郎</t>
  </si>
  <si>
    <t>片瀬大地</t>
  </si>
  <si>
    <t>【退職】【正】06/30 06/30  Vantageスタジオ  新規事業開発室 片瀬 大地</t>
  </si>
  <si>
    <t>大堀勇樹</t>
  </si>
  <si>
    <t>【退職】【業】2022/3/30 3/31 投資事業推進本部 大堀 勇樹</t>
  </si>
  <si>
    <t>太田侑冶</t>
  </si>
  <si>
    <t>【退職】【ア】3/31 3/31 太田 侑冶</t>
  </si>
  <si>
    <t>野原健汰</t>
  </si>
  <si>
    <t>【退職】【ア】3/31 3/31 野原 健汰</t>
  </si>
  <si>
    <t>加藤あみ</t>
  </si>
  <si>
    <t>【退職】【業】3/31　3/31　モンスト事業本部　加藤あみ</t>
  </si>
  <si>
    <t>本部付け</t>
  </si>
  <si>
    <t>鵜飼智弘</t>
  </si>
  <si>
    <t>【退職】【正】03/29 03/29 投資事業推進本部　鵜飼智弘</t>
  </si>
  <si>
    <t>MSｽﾋﾟﾝｵﾌｹﾞｰﾑ事業部</t>
  </si>
  <si>
    <t>荻原佳人</t>
  </si>
  <si>
    <t>【退職】【業】03/31 03/31 MSｽﾋﾟﾝｵﾌｹﾞｰﾑ事業部 荻原 佳人</t>
  </si>
  <si>
    <t>小野澤清人</t>
  </si>
  <si>
    <t>【退職】【正】4/20 6/15 Romi事業部 小野澤清人</t>
  </si>
  <si>
    <t>【退職】【派】3/31　3/31　針谷 彩花</t>
  </si>
  <si>
    <t>三木田晋</t>
  </si>
  <si>
    <t>【退職】【業】3/29 3/31 デザイン本部 三木田 晋</t>
  </si>
  <si>
    <t>馬場崇</t>
  </si>
  <si>
    <t>【退職】【正】04/07 05/31 デザイン本部 馬場 崇</t>
  </si>
  <si>
    <t>【退職】【業】3/31 3/31 はたらく環境推進本部 コウ イク</t>
  </si>
  <si>
    <t>【退職】【派】03/31 03/31 Vantageスタジオ 曽田リラ</t>
  </si>
  <si>
    <t xml:space="preserve">Vantageｽﾀｼﾞｵ </t>
  </si>
  <si>
    <t>荒籾周平</t>
  </si>
  <si>
    <t>【退職】【業】03/31 03/31 みてね事業部 荒籾周平</t>
  </si>
  <si>
    <t>尾崎光佑</t>
  </si>
  <si>
    <t>【退職】【正】06/24 06/30 マーケティング部 尾崎光佑</t>
  </si>
  <si>
    <t>荒義嗣</t>
  </si>
  <si>
    <t>【退職】【正】3/31 5/8 CS本部 荒 義嗣</t>
  </si>
  <si>
    <t>細口　瀬音</t>
  </si>
  <si>
    <t>【退職】【業】03/15 03/15 細口 瀬音</t>
  </si>
  <si>
    <t>【退職】【業】03/31 03/31 MSｽﾋﾟﾝｵﾌｹﾞｰﾑ事業部 周 海里</t>
  </si>
  <si>
    <t>青野陽</t>
  </si>
  <si>
    <t>【退職】【正】03/20 03/20 競輪事業本部 青野 陽</t>
  </si>
  <si>
    <t>【退職】【ア】3/30 3/31 人事本部 デニソヴァ アナスタシア</t>
  </si>
  <si>
    <t>【退職】【派】3/31 3/31 ﾓﾝｽﾄ事業本部 田口 直樹</t>
  </si>
  <si>
    <t>大野優樹b</t>
  </si>
  <si>
    <t>【退職】【業】3/31 3/31 モンスト事業本部 大野 優樹b</t>
  </si>
  <si>
    <t>小野寺仁</t>
  </si>
  <si>
    <t>【退職】【業】3/31 3/31 モンスト事業本部 小野寺 仁</t>
  </si>
  <si>
    <t>林弘己</t>
  </si>
  <si>
    <t>【退職】【業】2022/3/29 3/31 投資事業推進本部 林 弘己</t>
  </si>
  <si>
    <t>藤澤富雄</t>
  </si>
  <si>
    <t>【退職】【業】2022/3/29 3/31 投資事業推進本部 藤澤 富雄</t>
  </si>
  <si>
    <t>岩村康平</t>
  </si>
  <si>
    <t>【退職】【正】03/18 04/14 次世代エンターテインメント事業本部 岩村康平</t>
  </si>
  <si>
    <t>村上航</t>
  </si>
  <si>
    <t>【退職】【ア】03/31 03/31 映像＆編集部 村上 航</t>
  </si>
  <si>
    <t>山浦大輔</t>
  </si>
  <si>
    <t>【退職】【正】3/31 3/31 横断推進部 山浦 大輔</t>
  </si>
  <si>
    <t>【退職】【派】2022/03/31 03/31 三森 ひろか</t>
  </si>
  <si>
    <t>鈴木伸洋</t>
  </si>
  <si>
    <t>【退職】【正】3/31 3/31 Vantageｽﾀｼﾞｵ みてね事業部 鈴木伸洋</t>
  </si>
  <si>
    <t>加藤ひなよ</t>
  </si>
  <si>
    <t>【退職】【業】3/22 3/31 ﾃﾞｼﾞﾀﾙｴﾝﾀｰﾃｲﾝﾒﾝﾄ事業本部 加藤 ひなよ</t>
  </si>
  <si>
    <t>加治峻介</t>
  </si>
  <si>
    <t>【退職】【業】03/29 03/31 デザイン本部　加治 峻介</t>
  </si>
  <si>
    <t>岸正明</t>
  </si>
  <si>
    <t>【退職】【業】03/11 03/31 MSｽﾋﾟﾝｵﾌｹﾞｰﾑ事業部 岸 正明</t>
  </si>
  <si>
    <t>【退職】【業】03/31 03/31 MSｽﾋﾟﾝｵﾌｹﾞｰﾑ事業部 大槻 尚孝</t>
  </si>
  <si>
    <t>【退職】【業】03/31 03/31 MSｽﾋﾟﾝｵﾌｹﾞｰﾑ事業部 西澤 聡一郎</t>
  </si>
  <si>
    <t>岡部有加里</t>
  </si>
  <si>
    <t>【退職】【正】4/28 4/30 開発本部 岡部 有加里</t>
  </si>
  <si>
    <t>佐橋未菜</t>
  </si>
  <si>
    <t>【退職】【正】6/13 6/13 佐橋 未菜</t>
  </si>
  <si>
    <t>上平晶</t>
  </si>
  <si>
    <t>【退職/出向解除】【正】4/08 4/20 次世代エンターテインメント事業本部 上平晶</t>
  </si>
  <si>
    <t>【退職】【業】2022/03/31 2022/03/31西澤 雅史</t>
  </si>
  <si>
    <t>山口強</t>
  </si>
  <si>
    <t>【退職】【業】3/31 3/31 ライブエクスペリエンス事業本部 山口 強</t>
  </si>
  <si>
    <t xml:space="preserve">制作部 </t>
  </si>
  <si>
    <t>伊藤涼a</t>
  </si>
  <si>
    <t>【退職】【業】3/31 3/31 ｻｰﾋﾞｽ運営開発本部 伊藤 涼a（ND）</t>
  </si>
  <si>
    <t>神島由圭</t>
  </si>
  <si>
    <t>【退職】【業】3/25 3/31 ﾒﾃﾞｨｱ&amp;ｴﾝﾀｰﾃｲﾝﾒﾝﾄ事業本部 神島 由圭（ND）</t>
  </si>
  <si>
    <t>今井優也</t>
  </si>
  <si>
    <t>【退職】【ア】03/14 03/31 映像＆編集部　今井優也</t>
  </si>
  <si>
    <t>赤沼成美</t>
  </si>
  <si>
    <t>【退職】【ア】03/11 03/31 予想サービス事業部 赤沼 成美</t>
  </si>
  <si>
    <t>持田三佳</t>
  </si>
  <si>
    <t>【退職】【業】3/31 3/31 サービス運営開発本部  持田 三佳（ND）</t>
  </si>
  <si>
    <t>【退職】【業】2022/03/15 03/15　中村　茉衣</t>
  </si>
  <si>
    <t>田尻広人</t>
  </si>
  <si>
    <t>【退職】【業】3/31 3/31 Vantageスタジオ 田尻広人</t>
  </si>
  <si>
    <t>佐竹正安</t>
  </si>
  <si>
    <t xml:space="preserve">【退職】【エ】3/29 3/31 ライブエクスペリエンス事業本部 佐竹 正安 </t>
  </si>
  <si>
    <t>近藤純子</t>
  </si>
  <si>
    <t>【退職】【業】03/03 03/03 投資事業推進本部 近藤 純子</t>
  </si>
  <si>
    <t>中野尋美b</t>
  </si>
  <si>
    <t>【退職】【業】03/31 03/31 中野 尋美b</t>
  </si>
  <si>
    <t>三浦弘大</t>
  </si>
  <si>
    <t>【退職】【業】03/31 03/31 三浦 弘大</t>
  </si>
  <si>
    <t>有泉洵平</t>
  </si>
  <si>
    <t>【退職】【ア】4/8 4/8 人事本部 有泉 洵平</t>
  </si>
  <si>
    <t>川瀬寛也</t>
  </si>
  <si>
    <t>【退職】【ア】3/31 3/31 人事本部 川瀬 寛也</t>
  </si>
  <si>
    <t>西山翔大</t>
  </si>
  <si>
    <t>【退職】【ア】4/1 4/1 人事本部 西山 翔大</t>
  </si>
  <si>
    <t>吉田晶</t>
  </si>
  <si>
    <t>【退職】【ア】3/31 3/31 人事本部 吉田 晶</t>
  </si>
  <si>
    <t>加藤零</t>
  </si>
  <si>
    <t>【退職】【ア】3/31 3/31 人事本部 加藤 零</t>
  </si>
  <si>
    <t>蕭佳正</t>
  </si>
  <si>
    <t>【退職】【契】03/17 03/31 はたらく環境推進本部 蕭 佳正</t>
  </si>
  <si>
    <t>長束薫</t>
  </si>
  <si>
    <t>【退職】【業】03/03 03/31 MSスピンオフゲーム事業部 長束 薫</t>
  </si>
  <si>
    <t>西舘郁夏</t>
  </si>
  <si>
    <t>【退職】【ア】03/18 03/31 映像＆編集部 西舘 郁夏</t>
  </si>
  <si>
    <t>【退職】【正】03/22 03/31 MSスピンオフゲーム事業部 檜田 拓也</t>
  </si>
  <si>
    <t>大本圭佑</t>
  </si>
  <si>
    <t>【退職】【ア】03/04 03/31 サービス運営部 大本 圭佑</t>
  </si>
  <si>
    <t>藤田裕二</t>
  </si>
  <si>
    <t>【退職】【業】3/23 3/31 モンスト事業本部 藤田裕二</t>
  </si>
  <si>
    <t>【退職】【正】3/30 5/16 モンスト事業本部 左野寛之</t>
  </si>
  <si>
    <t>【退職】【契】02/08 03/31 人事本部 梶谷 勇介</t>
  </si>
  <si>
    <t>永野　由佳</t>
  </si>
  <si>
    <t>【退職】【業】2/28 2/28 人事本部 永野　由佳</t>
  </si>
  <si>
    <t>橋本仁</t>
  </si>
  <si>
    <t>【退職】【業】2/28 2/28 人事本部 橋本 仁</t>
  </si>
  <si>
    <t>六島良美</t>
  </si>
  <si>
    <t>【退職】【正】03/22 04/14 次世代エンターテインメント事業本部 六島 良美</t>
  </si>
  <si>
    <t>【退職】【ア】3/17 3/31 後藤 芙友</t>
  </si>
  <si>
    <t>奥田達也</t>
  </si>
  <si>
    <t xml:space="preserve">【退職】【業】3/23 03/31 ライブエクスペリエンス事業本部 奥田 達也 </t>
  </si>
  <si>
    <t>吉成強</t>
  </si>
  <si>
    <t>【退職】【業】3/28 03/31 ライブエクスペリエンス事業本部 吉成 強</t>
  </si>
  <si>
    <t>岩名勇輝</t>
  </si>
  <si>
    <t>【退職】【正】03/31 04/22 Vantageスタジオ 岩名 勇輝</t>
  </si>
  <si>
    <t>門倉菜美</t>
  </si>
  <si>
    <t>【退職】【業】3/28 03/31 ライブエクスペリエンス事業本部 門倉 菜美</t>
  </si>
  <si>
    <t>山崎友裕</t>
  </si>
  <si>
    <t>【退職】【業】3/31 3/31 Vantageスタジオ 山崎友裕</t>
  </si>
  <si>
    <t>佐藤和貴</t>
  </si>
  <si>
    <t>【退職】【契】3/25 3/31 CS本部 佐藤 和貴</t>
  </si>
  <si>
    <t>伊藤寿基</t>
  </si>
  <si>
    <t>【退職】【正】3/18 3/31 CS本部 伊藤 寿基</t>
  </si>
  <si>
    <t>鈴木信穂里</t>
  </si>
  <si>
    <t>【退職】【契】3/31 3/31 CS本部 鈴木 信穂里</t>
  </si>
  <si>
    <t>岡本祐希</t>
  </si>
  <si>
    <t>【退職】【ア】3/17 3/17 人事本部 岡本 祐希</t>
  </si>
  <si>
    <t>野口里世</t>
  </si>
  <si>
    <t>【退職】【派】3/31 3/31 ミクシィ・リクルートメント 野口 里世</t>
  </si>
  <si>
    <t>堀込英美里</t>
  </si>
  <si>
    <t>【退職】【契】2022/3/22 2022/3/31 はたらく環境推進本部 堀込 英美里</t>
  </si>
  <si>
    <t xml:space="preserve">TIPSTAR企画運営部 </t>
  </si>
  <si>
    <t>高橋菜摘</t>
  </si>
  <si>
    <t>【退職】【派】03/31 03/31 次世代エンターテインメント事業本部 高橋 菜摘</t>
  </si>
  <si>
    <t>飯島修</t>
  </si>
  <si>
    <t>【退職】【業】3/31 3/31 ミクシィ・リクルートメント 飯島 修</t>
  </si>
  <si>
    <t>【退職】【ア】3/18 3/31 人事本部 前田 幹太</t>
  </si>
  <si>
    <t>【退職】【ア】3/18 3/31 人事本部 久田 将成</t>
  </si>
  <si>
    <t>【退職】【ア】3/18 3/31 人事本部 赤﨑 功紀</t>
  </si>
  <si>
    <t>渡邊渚</t>
  </si>
  <si>
    <t xml:space="preserve">【退職】【業】2021/11/19　2/22　みてね事業部　渡邊渚　　</t>
  </si>
  <si>
    <t>井上里美</t>
  </si>
  <si>
    <t>【退職】【業】2/28 2/28 事業企画部 井上 里美</t>
  </si>
  <si>
    <t>小山浩之</t>
  </si>
  <si>
    <t>【退職】【業】3/29 3/29 ミクシィ・リクルートメント 小山 浩之</t>
  </si>
  <si>
    <t>布施泉美</t>
  </si>
  <si>
    <t>【退職】【契】3/25 3/31 CS本部 布施 泉美</t>
  </si>
  <si>
    <t>穀田栞</t>
  </si>
  <si>
    <t>【退職】【契】3/30 3/31 CS本部 穀田 栞</t>
  </si>
  <si>
    <t>【退職】【ア】2/28 2/28 小川 恵太</t>
  </si>
  <si>
    <t>坂尾聡子</t>
  </si>
  <si>
    <t>【退職】【業】3/30 3/30 ミクシィ・リクルートメント 坂尾 聡子</t>
  </si>
  <si>
    <t>湧上雄一郎</t>
  </si>
  <si>
    <t>【退職】【業】3/31 3/31 ミクシィ・リクルートメント 湧上 雄一郎</t>
  </si>
  <si>
    <t>髙橋駿</t>
  </si>
  <si>
    <t>【退職】【ア】2/25 2/28 髙橋 駿</t>
  </si>
  <si>
    <t>平賀紗綾香</t>
  </si>
  <si>
    <t>【退職】【派】02/25 03/31 人事本部 労務部 平賀 紗綾香</t>
  </si>
  <si>
    <t>平沢侑花</t>
  </si>
  <si>
    <t>【退職】【正】3/18 3/18 モンスト事業本部 平沢侑花</t>
  </si>
  <si>
    <t>岡野圭護</t>
  </si>
  <si>
    <t>【退職】【業】03/31 03/31 Vantageスタジオ 岡野 圭護</t>
  </si>
  <si>
    <t>宮下義浩</t>
  </si>
  <si>
    <t>【退職】【業】3/31 3/31 モンスト事業本部 宮下 義浩</t>
  </si>
  <si>
    <t>【退職】【業】3/15 3/15 モンスト事業本部 久保 善征</t>
  </si>
  <si>
    <t>【退職】【業】2022/2/28　畔蒜 洋平</t>
  </si>
  <si>
    <t>江本真一</t>
  </si>
  <si>
    <t>【退職】【正】03/31 03/31　次世代エンターテインメント室　江本真一</t>
  </si>
  <si>
    <t>村田雄人</t>
  </si>
  <si>
    <t>【退職】【業】02/28 02/28 次世代エンターテインメント事業本部 村田 雄人</t>
  </si>
  <si>
    <t>野田紘平</t>
  </si>
  <si>
    <t>【退職】【正】3/31 3/31 インキュベーション事業部 野田 紘平</t>
  </si>
  <si>
    <t>三橋良太</t>
  </si>
  <si>
    <t>【退職】【業】2/16 2/28 MSｽﾋﾟﾝｵﾌｹﾞｰﾑ事業部 三橋 良太</t>
  </si>
  <si>
    <t>丹羽裕紀</t>
  </si>
  <si>
    <t>【退職】【業】2/16 2/28 MSｽﾋﾟﾝｵﾌｹﾞｰﾑ事業部 丹羽 裕紀</t>
  </si>
  <si>
    <t>佐々木竜治</t>
  </si>
  <si>
    <t>【退職】【業】2/16 2/28 MSｽﾋﾟﾝｵﾌｹﾞｰﾑ事業部 佐々木 竜治</t>
  </si>
  <si>
    <t>【退職】【業】3/31 3/31 ミクシィ・リクルートメント 川合翔主也</t>
  </si>
  <si>
    <t>【退職】【業】2/16 2/16 ﾃﾞｼﾞﾀﾙｴﾝﾀｰﾃｲﾝﾒﾝﾄ事業本部 山下 直子</t>
  </si>
  <si>
    <t>荻沼護</t>
  </si>
  <si>
    <t>【退職】【業】2/25 2/28 はたらく環境推進本部 荻沼 護</t>
  </si>
  <si>
    <t>木下豊人</t>
  </si>
  <si>
    <t>【退職】【業】2/25 2/28 はたらく環境推進本部 木下 豊人</t>
  </si>
  <si>
    <t>畠山美咲</t>
  </si>
  <si>
    <t>【退職】【業】2/28 2/28 メディア＆エンターテインメント事業本部 畠山 美咲（ND）</t>
  </si>
  <si>
    <t>法人サービス事業部</t>
  </si>
  <si>
    <t>ソフトウエアサービス事業本部</t>
  </si>
  <si>
    <t>堤眞由</t>
  </si>
  <si>
    <t>【退職】【正】02/24 02/28 法人サービス事業部 堤 眞由</t>
  </si>
  <si>
    <t>権五国</t>
  </si>
  <si>
    <t>【退職】【正】2/25 2/25 組織開発G 権 五国</t>
  </si>
  <si>
    <t>塩田郁美</t>
  </si>
  <si>
    <t>【退職】【派】02/24 03/31 人事本部 労務部 塩田 郁美</t>
  </si>
  <si>
    <t>桑山加奈子</t>
  </si>
  <si>
    <t>【退職】【業】2022/02/16 桑山 加奈子</t>
  </si>
  <si>
    <t>藤田朱門</t>
  </si>
  <si>
    <t>【退職】【正】02/18 02/28 藤田 朱門</t>
  </si>
  <si>
    <t>小川隆</t>
  </si>
  <si>
    <t>【退職】【業】2/22 2/22 モンスト事業本部 小川 隆</t>
  </si>
  <si>
    <t>村井志帆</t>
  </si>
  <si>
    <t>【退職】【正】4/5 4/30 Vantageｽﾀｼﾞｵ みてね事業部 村井 志帆</t>
  </si>
  <si>
    <t>越野智紗美</t>
  </si>
  <si>
    <t>【退職】【正】02/25 03/25 越野智紗美</t>
  </si>
  <si>
    <t>石田亜伊</t>
  </si>
  <si>
    <t>【退職】【正】3/14  3/14 次世代エンターテインメント事業本部 石田 亜伊</t>
  </si>
  <si>
    <t>石田弦也</t>
  </si>
  <si>
    <t xml:space="preserve">【退職】【正】2/28　2/28　デジタルエンターテインメント事業本部事業企画部　石田弦也　</t>
  </si>
  <si>
    <t>関億明</t>
  </si>
  <si>
    <t>【退職】【業】02/10 02/10 経営推進本部 関 億明</t>
  </si>
  <si>
    <t>酒井千映子</t>
  </si>
  <si>
    <t>【退職】【派】1/31 1/31 ライブエクスペリエンス事業本部 酒井 千映子</t>
  </si>
  <si>
    <t>阿部沙織</t>
  </si>
  <si>
    <t>【退職】【正】2/16 2/28 CS本部 阿部 沙織</t>
  </si>
  <si>
    <t>小川智康</t>
  </si>
  <si>
    <t>【退職】【業】01/31 03/09 投資事業推進本部 小川 智康</t>
  </si>
  <si>
    <t>伊東北斗</t>
  </si>
  <si>
    <t>【退職】【業】1/31 1/31 MSｽﾋﾟﾝｵﾌｹﾞｰﾑ事業部 伊東 北斗</t>
  </si>
  <si>
    <t>大倉佑介</t>
  </si>
  <si>
    <t>【退職】【業】1/26 1/26 開発本部 大倉 佑介</t>
  </si>
  <si>
    <t>片岡亮介</t>
  </si>
  <si>
    <t>【退職】【業】1/26 1/26 開発本部 片岡 亮介</t>
  </si>
  <si>
    <t>若狭絵莉花</t>
  </si>
  <si>
    <t>【退職】【派】12/26 1/31 サービス運営開発本部 若狭 絵莉花（ND）</t>
  </si>
  <si>
    <t>朝日大樹</t>
  </si>
  <si>
    <t>【退職】【業】01/31 01/31 投資事業推進本部 朝日 大樹</t>
  </si>
  <si>
    <t xml:space="preserve"> 次世代ｴﾝﾀｰﾃｲﾝﾒﾝﾄ事業本部 </t>
  </si>
  <si>
    <t>濱正真佑</t>
  </si>
  <si>
    <t>【退職】【業】1/31 1/31　濱正 真佑</t>
  </si>
  <si>
    <t>高宇けん</t>
  </si>
  <si>
    <t>【退職】【正】02/04 02/20 スタースマッシュ事業部 高 宇けん</t>
  </si>
  <si>
    <t>養安元気</t>
  </si>
  <si>
    <t>【退職】【正】3/31 3/31 デジタルエンターテインメイント事業本部 養安元気</t>
  </si>
  <si>
    <t>宇部野詩音</t>
  </si>
  <si>
    <t>【退職】【ア】1/31 1/31  宇部野 詩音</t>
  </si>
  <si>
    <t>野村亮介</t>
  </si>
  <si>
    <t>【退職】【正】12/23 01/31 ﾓﾝｽﾄ事業本部　野村 亮介</t>
  </si>
  <si>
    <t xml:space="preserve"> クリエイティブ室 </t>
  </si>
  <si>
    <t>高橋涼</t>
  </si>
  <si>
    <t>【退職】【業】1/24 1/24 デザイン本部 高橋 涼</t>
  </si>
  <si>
    <t>ウラガコンラッド</t>
  </si>
  <si>
    <t>【退職】【正】02/01 02/15 Vantageスタジオ ウラガ コンラッド</t>
  </si>
  <si>
    <t>吉秋邦彦</t>
  </si>
  <si>
    <t>【退職】【正】2/16 3/31　吉秋 邦彦</t>
  </si>
  <si>
    <t>佐藤瑛治</t>
  </si>
  <si>
    <t>【退職】【業】1/31 1/31 Vantageスタジオ 佐藤 瑛治</t>
  </si>
  <si>
    <t>Bizdevｸﾞﾙｰﾌﾟ</t>
  </si>
  <si>
    <t>北澤純一</t>
  </si>
  <si>
    <t>【退職】【業】1/19 1/31 MSｽﾋﾟﾝｵﾌｹﾞｰﾑ事業部 北澤 純一</t>
  </si>
  <si>
    <t>富田佳奈枝</t>
  </si>
  <si>
    <t>【退職/出向解除】【正】3/31 3/31 Vantageスタジオ 富田佳奈枝</t>
  </si>
  <si>
    <t xml:space="preserve">投資事業推進本部 </t>
  </si>
  <si>
    <t>金井雅虎</t>
  </si>
  <si>
    <t>【退職】【正】01/20 01/31 投資事業推進本部 事業開発部　海外事業開発グループ　金井 雅虎</t>
  </si>
  <si>
    <t>秋山典男</t>
  </si>
  <si>
    <t>【退職】【業】1/31 1/31 人事本部 秋山 典男</t>
  </si>
  <si>
    <t>広告事業部</t>
  </si>
  <si>
    <t>西浦学</t>
  </si>
  <si>
    <t>【退職】【正】01/31 01/31 広告事業部 西浦　学（ND）</t>
  </si>
  <si>
    <t>吉澤美和</t>
  </si>
  <si>
    <t>【退職】【業】2022/1/16 1/16 吉澤 美和</t>
  </si>
  <si>
    <t>吉越悠</t>
  </si>
  <si>
    <t>【退職】【正】1/27 1/31 吉越 悠</t>
  </si>
  <si>
    <t>大喜理風</t>
  </si>
  <si>
    <t>【退職】【ア】1/31 1/31 Vantageスタジオ 大喜 理風</t>
  </si>
  <si>
    <t>【退職】【ア】1/31 1/31 小川 恵太</t>
  </si>
  <si>
    <t>松浦幹人</t>
  </si>
  <si>
    <t>【退職】【ア】1/31 1/31　松浦 幹人</t>
  </si>
  <si>
    <t>金銅康成</t>
  </si>
  <si>
    <t>【退職】【正】12/07 01/21 ライブエクスペリエンス事業本部 金銅康成</t>
  </si>
  <si>
    <t>菊池洋輔</t>
  </si>
  <si>
    <t>【退職】【業】01/18 01/18 次世代エンターテインメント本部 菊池 洋輔</t>
  </si>
  <si>
    <t>道下江里花</t>
  </si>
  <si>
    <t>【退職】【正】1/31 3/25 マーケティング部　道下 江里花</t>
  </si>
  <si>
    <t>【退職】【正】02/14 02/15 スタースマッシュ事業部 齊藤 優太</t>
  </si>
  <si>
    <t>坂田信隆</t>
  </si>
  <si>
    <t>【退職】【正】3/15 3/15 人事本部 坂田信隆</t>
  </si>
  <si>
    <t>板倉実香</t>
  </si>
  <si>
    <t>【退職】【正】2/28 2/28 デジタルエンターテインメイント事業本部 板倉実香</t>
  </si>
  <si>
    <t>坂本静香</t>
  </si>
  <si>
    <t>【退職】【派】12/23 12/31 モンスト事業本部 坂本 静香</t>
  </si>
  <si>
    <t>宇田川奈津紀</t>
  </si>
  <si>
    <t>【退職】【業】12/28 12/31 モンスト事業本部 宇田川 奈津紀</t>
  </si>
  <si>
    <t>木下七海</t>
  </si>
  <si>
    <t>【退職】【業】01/31 01/31 Vantageスタジオ木下七海</t>
  </si>
  <si>
    <t>梶原大悟</t>
  </si>
  <si>
    <t>【退職】【業】12/28 12/28 事業企画部 梶原 大悟</t>
  </si>
  <si>
    <t>西教慎司</t>
  </si>
  <si>
    <t>【退職】【正】01/11 01/31 ライフコミュニケーション部 西教 慎司</t>
  </si>
  <si>
    <t>中澤健</t>
  </si>
  <si>
    <t>【退職】【業】2021/12/24 2021/12/31 ﾒﾃﾞｨｱ&amp;ｴﾝﾀｰﾃｲﾝﾒﾝﾄ事業本部　中澤 健（ND）</t>
  </si>
  <si>
    <t>浅野哲也</t>
  </si>
  <si>
    <t>【退職 】【業】12/24 12/31 次世代エンターテインメント本部 浅野 哲也</t>
  </si>
  <si>
    <t>並木ゆかり</t>
  </si>
  <si>
    <t>【退職】【業】01/28 01/31 投資事業推進本部 並木 ゆかり</t>
  </si>
  <si>
    <t>髙橋志津子</t>
  </si>
  <si>
    <t>【退職】【業】12/27　12/31　モンスト事業本部ゲーム運営部　髙橋 志津子</t>
  </si>
  <si>
    <t>髙木翔平</t>
  </si>
  <si>
    <t>【退職】【業】12/20 12/20 人事本部 髙木 翔平</t>
  </si>
  <si>
    <t>【退職】【業】 12/31 12/31 デジタルエンターテインメント事業本部 田島 達也</t>
  </si>
  <si>
    <t>【退職】【派】3/15 3/15  コンテンツクリエイション室　今野　ひとみ</t>
  </si>
  <si>
    <t>倉田幸子</t>
  </si>
  <si>
    <t>【退職】【業】12/27 12/31 みてね事業部 倉田幸子</t>
  </si>
  <si>
    <t>朴修珍</t>
  </si>
  <si>
    <t>【退職】【業】12/28 12/28 Vantageスタジオ 朴 修珍</t>
  </si>
  <si>
    <t>石井宏司a</t>
  </si>
  <si>
    <t>【退職】【正】 2022/1/21 2022/1/31 LX事業本部　石井宏司a</t>
  </si>
  <si>
    <t>趙在貞</t>
  </si>
  <si>
    <t>【退職】【正】1/21 2/28 デザイン本部 趙 在貞</t>
  </si>
  <si>
    <t>萩森まどか</t>
  </si>
  <si>
    <t>【退職】【派】2021/12/27 2021/12/31 ﾒﾃﾞｨｱ&amp;ｴﾝﾀｰﾃｲﾝﾒﾝﾄ事業本部 萩森 まどか（ND）</t>
  </si>
  <si>
    <t>小川照隆</t>
  </si>
  <si>
    <t>【退職】【派】2021/12/27 2021/12/31 ﾒﾃﾞｨｱ&amp;ｴﾝﾀｰﾃｲﾝﾒﾝﾄ事業本部 小川 照隆（ND）</t>
  </si>
  <si>
    <t>岸昭太朗</t>
  </si>
  <si>
    <t>【退職】【正】03/02 03/02 経理税務部 岸 昭太朗</t>
  </si>
  <si>
    <t>亀田力矢</t>
  </si>
  <si>
    <t>【退職】【業】12/24 12/31 MSｽﾋﾟﾝｵﾌｹﾞｰﾑ事業部 亀田 力矢</t>
  </si>
  <si>
    <t>池田胡桃子</t>
  </si>
  <si>
    <t>【退職】【業】12/24 12/31 MSｽﾋﾟﾝｵﾌｹﾞｰﾑ事業部 池田 胡桃子a</t>
  </si>
  <si>
    <t>内記芽美a</t>
  </si>
  <si>
    <t>【退職】【業】12/27 12/31 MSｽﾋﾟﾝｵﾌｹﾞｰﾑ事業部 内記 芽美a</t>
  </si>
  <si>
    <t>三浦聡子</t>
  </si>
  <si>
    <t>【退職】【業】12/28 12/31 MSｽﾋﾟﾝｵﾌｹﾞｰﾑ事業部 三浦 聡子</t>
  </si>
  <si>
    <t>飯塚卓也</t>
  </si>
  <si>
    <t>【退職】【業】12/28 12/31 MSｽﾋﾟﾝｵﾌｹﾞｰﾑ事業部 飯塚 卓也</t>
  </si>
  <si>
    <t>齊藤碧</t>
  </si>
  <si>
    <t>【退職】【業】12/24 12/31 MSｽﾋﾟﾝｵﾌｹﾞｰﾑ事業部 齊藤 碧</t>
  </si>
  <si>
    <t>高津俊紀</t>
  </si>
  <si>
    <t>【退職】【業】12/24 12/31 MSｽﾋﾟﾝｵﾌｹﾞｰﾑ事業部 高津 俊紀</t>
  </si>
  <si>
    <t>時任麻衣</t>
  </si>
  <si>
    <t>【退職】【業】12/28 12/31 MSｽﾋﾟﾝｵﾌｹﾞｰﾑ事業部 時任 麻衣</t>
  </si>
  <si>
    <t>中井香津磨</t>
  </si>
  <si>
    <t>【退職】【業】12/24 12/31 MSｽﾋﾟﾝｵﾌｹﾞｰﾑ事業部 中井 香津磨</t>
  </si>
  <si>
    <t>武石美麗</t>
  </si>
  <si>
    <t>【退職】【業】12/24 12/31 MSｽﾋﾟﾝｵﾌｹﾞｰﾑ事業部 武石 美麗</t>
  </si>
  <si>
    <t>鬼頭伸幸a</t>
  </si>
  <si>
    <t>【退職】【業】12/24 12/31 MSｽﾋﾟﾝｵﾌｹﾞｰﾑ事業部 鬼頭 伸幸a</t>
  </si>
  <si>
    <t>成松洋</t>
  </si>
  <si>
    <t>【退職】【業】12/27 12/31 MSｽﾋﾟﾝｵﾌｹﾞｰﾑ事業部 成松 洋</t>
  </si>
  <si>
    <t>小川和哉</t>
  </si>
  <si>
    <t>【退職】【業】12/27 12/31 MSｽﾋﾟﾝｵﾌｹﾞｰﾑ事業部 小川 和哉</t>
  </si>
  <si>
    <t>小林知倫</t>
  </si>
  <si>
    <t>【退職】【業】12/28 12/31 MSｽﾋﾟﾝｵﾌｹﾞｰﾑ事業部 小林 知倫</t>
  </si>
  <si>
    <t>久保愛美</t>
  </si>
  <si>
    <t>【退職】【正】3/16 3/31 久保愛美</t>
  </si>
  <si>
    <t>坂井元一</t>
  </si>
  <si>
    <t>【退職】【業】12/28 12/31 MSｽﾋﾟﾝｵﾌｹﾞｰﾑ事業部 坂井 元一</t>
  </si>
  <si>
    <t>赤尾麻衣</t>
  </si>
  <si>
    <t>【退職】【業】12/24 12/31 MSｽﾋﾟﾝｵﾌｹﾞｰﾑ事業部 赤尾 麻衣</t>
  </si>
  <si>
    <t>藤田峻輔</t>
  </si>
  <si>
    <t>【退職】【業】12/28 12/31 MSｽﾋﾟﾝｵﾌｹﾞｰﾑ事業部 藤田 峻輔</t>
  </si>
  <si>
    <t>長野雄大</t>
  </si>
  <si>
    <t>【退職】【業】12/24 12/31 MSｽﾋﾟﾝｵﾌｹﾞｰﾑ事業部 長野 雄大</t>
  </si>
  <si>
    <t>小黒圭</t>
  </si>
  <si>
    <t>【退職】【業】12/24 12/31 MSｽﾋﾟﾝｵﾌｹﾞｰﾑ事業部 小黒 圭</t>
  </si>
  <si>
    <t>天笠卓也</t>
  </si>
  <si>
    <t>【退職】【業】2021/12/22 2021/12/31 ｻｰﾋﾞｽ運営開発本部 天笠 卓也（ND）</t>
  </si>
  <si>
    <t>井野辺悠冴</t>
  </si>
  <si>
    <t>【退職】【派】2021/12/24 2021/12/31 ﾒﾃﾞｨｱ&amp;ｴﾝﾀｰﾃｲﾝﾒﾝﾄ事業本部 井野辺 悠冴（ND）</t>
  </si>
  <si>
    <t>岡本政己</t>
  </si>
  <si>
    <t>【退職】【業】2021/12/27 2021/12/31 ﾒﾃﾞｨｱ&amp;ｴﾝﾀｰﾃｲﾝﾒﾝﾄ事業本部 岡本 政己（ND）</t>
  </si>
  <si>
    <t>永田和之</t>
  </si>
  <si>
    <t>【退職】【業】2021/12/27 2021/12/31 ﾒﾃﾞｨｱ&amp;ｴﾝﾀｰﾃｲﾝﾒﾝﾄ事業本部 永田 和之（ND）</t>
  </si>
  <si>
    <t>河内涼</t>
  </si>
  <si>
    <t>【退職】【業】12/28 12/31 ﾃﾞｼﾞﾀﾙｴﾝﾀｰﾃｲﾝﾒﾝﾄ事業本部 河内 涼</t>
  </si>
  <si>
    <t>大塚崇太郎</t>
  </si>
  <si>
    <t>【退職】【派】12/24 12/31 ﾃﾞｼﾞﾀﾙｴﾝﾀｰﾃｲﾝﾒﾝﾄ事業本部 大塚 崇太郎</t>
  </si>
  <si>
    <t>川口薫</t>
  </si>
  <si>
    <t>【退職】【業】12/28 12/30 ﾃﾞｼﾞﾀﾙｴﾝﾀｰﾃｲﾝﾒﾝﾄ事業本部 川口 薫</t>
  </si>
  <si>
    <t>桂涼</t>
  </si>
  <si>
    <t>【退職】【派】2021/12/28 2021/12/31 ﾒﾃﾞｨｱ&amp;ｴﾝﾀｰﾃｲﾝﾒﾝﾄ事業本部 桂 涼（ND）</t>
  </si>
  <si>
    <t>野沢咲希</t>
  </si>
  <si>
    <t>【退職】【派】12/28 12/31 モンスト事業本部 野沢 咲希</t>
  </si>
  <si>
    <t>浦口玄矩</t>
  </si>
  <si>
    <t>【退職】【業】12/24 12/31 デザイン本部 浦口 玄矩</t>
  </si>
  <si>
    <t>【退職】【派】2/28　2/28　モンスト事業本部　遊佐亜矢子</t>
  </si>
  <si>
    <t>伊勢島浩太</t>
  </si>
  <si>
    <t>【退職】【業】12/24 12/31 MSｽﾋﾟﾝｵﾌｹﾞｰﾑ事業部 伊勢島 浩太</t>
  </si>
  <si>
    <t>治郎丸一輝</t>
  </si>
  <si>
    <t>【退職】【派】12/24 12/31 MSｽﾋﾟﾝｵﾌｹﾞｰﾑ事業部 治郎丸 一輝</t>
  </si>
  <si>
    <t>川口あずさ</t>
  </si>
  <si>
    <t>【退職】【派】12/24 12/31 MSｽﾋﾟﾝｵﾌｹﾞｰﾑ事業部 川口 あずさ</t>
  </si>
  <si>
    <t xml:space="preserve"> 次世代ｴﾝﾀｰﾃｲﾝﾒﾝﾄ事業本部</t>
  </si>
  <si>
    <t>沼田和幸</t>
  </si>
  <si>
    <t>【退職】【業】12/28 12/31　沼田 和幸</t>
  </si>
  <si>
    <t>山下万柚子a</t>
  </si>
  <si>
    <t>【退職】【ア】12/27 12/31 サービス運営開発本部 山下 万柚子a（ND）</t>
  </si>
  <si>
    <t>世良薫</t>
  </si>
  <si>
    <t>【退職】【派】12/24 12/31 世良 薫</t>
  </si>
  <si>
    <t>池田絵莉</t>
  </si>
  <si>
    <t>【退職 】【業】12/28 12/31 池田 絵莉</t>
  </si>
  <si>
    <t>天内渚沙</t>
  </si>
  <si>
    <t>【退職】【派】12/17 12/28 Vantageスタジオ 天内渚沙</t>
  </si>
  <si>
    <t>加々見佳奈</t>
  </si>
  <si>
    <t>【退職】【業】2021/12/23 2021/12/31 事業開発本部 加々見 佳奈（ND）</t>
  </si>
  <si>
    <t>山﨑洋</t>
  </si>
  <si>
    <t>【退職】【業】12/16 12/16 MSｽﾋﾟﾝｵﾌｹﾞｰﾑ事業部 山﨑 洋</t>
  </si>
  <si>
    <t>鎌野祐哉</t>
  </si>
  <si>
    <t>【退職】【業】12/16 12/16 MSｽﾋﾟﾝｵﾌｹﾞｰﾑ事業部 鎌野 祐哉</t>
  </si>
  <si>
    <t>田中裕司a</t>
  </si>
  <si>
    <t>【退職】【業】12/16 12/16 MSｽﾋﾟﾝｵﾌｹﾞｰﾑ事業部 田中 裕司a</t>
  </si>
  <si>
    <t>小嶋恵</t>
  </si>
  <si>
    <t>【退職】【派】2021/12/15 2021/12/31 ﾒﾃﾞｨｱ&amp;ｴﾝﾀｰﾃｲﾝﾒﾝﾄ事業本部 小嶋 恵（ND）</t>
  </si>
  <si>
    <t>【退職】【業】12/31 12/31 尾崎 拓</t>
  </si>
  <si>
    <t>今野嗣基</t>
  </si>
  <si>
    <t>【退職】【業】12/16 12/16 MSｽﾋﾟﾝｵﾌｹﾞｰﾑ事業部 今野 嗣基</t>
  </si>
  <si>
    <t>【退職】【ア】12/28 12/31 岡本 紀輝</t>
  </si>
  <si>
    <t>長﨑好輝</t>
  </si>
  <si>
    <t>【退職】【ア】12/23 12/31 長﨑 好輝</t>
  </si>
  <si>
    <t>【退職】【ア】12/28 12/31 髙木 志弥</t>
  </si>
  <si>
    <t>【退職】【ア】12/28 12/31 長岡 美咲</t>
  </si>
  <si>
    <t>【退職】【ア】12/28 12/28 魚谷 梨乃</t>
  </si>
  <si>
    <t>竹谷大地</t>
  </si>
  <si>
    <t>【退職】【ア】12/17 12/17 竹谷 大地</t>
  </si>
  <si>
    <t>【退職】【ア】12/28 12/31 モンスト事業本部 事業支援室 HRBPG HRBPT付 梅原 郁佳</t>
  </si>
  <si>
    <t>田代龍平</t>
  </si>
  <si>
    <t>【退職】【ア】12/28 12/31 モンスト事業本部 事業支援室 HRBPG HRBPT付 田代 龍平</t>
  </si>
  <si>
    <t>國武龍幸</t>
  </si>
  <si>
    <t>【退職】【ア】12/28 12/31 モンスト事業本部 事業支援室 HRBPG HRBPT付 國武 龍幸</t>
  </si>
  <si>
    <t>池田梨衣奈</t>
  </si>
  <si>
    <t>【退職】【業】2021/12/24 2021/12/31 事業開発本部 池田 梨衣奈（ND）</t>
  </si>
  <si>
    <t>大渕祐太郎</t>
  </si>
  <si>
    <t>【退職】【正】12/28 1/10 Vantageスタジオ 大渕 祐太郎</t>
  </si>
  <si>
    <t>【退職】【業】12/31　12/31　ﾒﾃﾞｨｱ&amp;ｴﾝﾀｰﾃｲﾝﾒﾝﾄ事業本部　伊藤 千裕（ND）</t>
  </si>
  <si>
    <t>水沼陽</t>
  </si>
  <si>
    <t>【退職】【派】2021/12/27 2021/12/31 ｻｰﾋﾞｽ運営開発本部 水沼 陽(ND)</t>
  </si>
  <si>
    <t>【退職】【派】12/31 12/31 DE事業本部コトダマン事業部 原 一樹</t>
  </si>
  <si>
    <t>楠本淳</t>
  </si>
  <si>
    <t>【退職】【業】2021/12/8 12/8 楠本 淳</t>
  </si>
  <si>
    <t>浦野鉄也</t>
  </si>
  <si>
    <t>【退職】【業】11/30 11/30 浦野 鉄也</t>
  </si>
  <si>
    <t>足立リサ</t>
  </si>
  <si>
    <t>【退職】【正】12/24予定 12/31 経営推進本部 足立 リサ</t>
  </si>
  <si>
    <t>丹羽　裕貴</t>
  </si>
  <si>
    <t>【退職】【正】12/28 12/31 コンプライアンス本部　丹羽裕貴</t>
  </si>
  <si>
    <t>飯塚駿</t>
  </si>
  <si>
    <t>【退職】【業】11/26 11/30 事業企画部 飯塚 駿</t>
  </si>
  <si>
    <t>藤村愛音</t>
  </si>
  <si>
    <t>【退職】【正】12/15　12/31　投資事業部　GPMOグループ　藤村 愛音</t>
  </si>
  <si>
    <t>榊原裕仁</t>
  </si>
  <si>
    <t>【退職】【業】12/20　12/20 モンスト事業本部 榊原 裕仁</t>
  </si>
  <si>
    <t>小谷真之輔</t>
  </si>
  <si>
    <t>【退職】【業】11/30 11/30 MSｽﾋﾟﾝｵﾌｹﾞｰﾑ事業部 小谷 真之輔</t>
  </si>
  <si>
    <t>福田崇大</t>
  </si>
  <si>
    <t>【退職】【業】11/30 11/30 MSｽﾋﾟﾝｵﾌｹﾞｰﾑ事業部 福田 崇大</t>
  </si>
  <si>
    <t>池田友洋</t>
  </si>
  <si>
    <t xml:space="preserve">【退職】【正】10/18 11/30. 池田 友洋 </t>
  </si>
  <si>
    <t>吉村真実</t>
  </si>
  <si>
    <t>【退職】【派】2021/12/27　2021/12/31　ｻｰﾋﾞｽ運営開発本部　吉村 真実（ND）</t>
  </si>
  <si>
    <t>村上拓也</t>
  </si>
  <si>
    <t>【退職】【ア】12/14 12/14 人事本部 村上拓也</t>
  </si>
  <si>
    <t>上竹嘉史</t>
  </si>
  <si>
    <t>【退職】【正】1/13 2/28 開発本部 上竹嘉史</t>
  </si>
  <si>
    <t>大坪寛夫</t>
  </si>
  <si>
    <t>【退職】【業】11/11　11/17 モンスト事業本部 大坪 寛夫</t>
  </si>
  <si>
    <t>長沢紋乃丞</t>
  </si>
  <si>
    <t>【退職】【業】11/30 11/30 DE事業本部 長沢 紋乃丞</t>
  </si>
  <si>
    <t>リュウウィルソン</t>
  </si>
  <si>
    <t>【退職】【ア】2021/11/16　リュウ ウィルソン</t>
  </si>
  <si>
    <t>金榮煥</t>
  </si>
  <si>
    <t>【退職】【業】11/16 11/16 ﾃﾞｼﾞﾀﾙｴﾝﾀｰﾃｲﾝﾒﾝﾄ事業本部 金 榮煥</t>
  </si>
  <si>
    <t>栗本あかね</t>
  </si>
  <si>
    <t>【退職】【派】2021/12/28 2022/1/29 経営管理本部 栗本 あかね(ND)</t>
  </si>
  <si>
    <t>【退職】【ア】11/30 11/30 鶴田 臨</t>
  </si>
  <si>
    <t>片桐幹地</t>
  </si>
  <si>
    <t>【退職】【業】11/26 11/30 Vantageｽﾀｼﾞｵ 片桐 幹地</t>
  </si>
  <si>
    <t>【退職】【派】11/30 11/30 事業企画部 カルモナ セバスチャン</t>
  </si>
  <si>
    <t>ジアシャオチョウ</t>
  </si>
  <si>
    <t>【退職】【業】11/12 11/12 開発本部 ジア シャオチョウ</t>
  </si>
  <si>
    <t>丸尾真一</t>
  </si>
  <si>
    <t>【退職】【業】10/31 10/31 Vantageスタジオ 丸尾 真一</t>
  </si>
  <si>
    <t>船曳崇也</t>
  </si>
  <si>
    <t>【退職】【業】10/31 10/31 Vantageスタジオ 船曳 崇也</t>
  </si>
  <si>
    <t>亀山龍平</t>
  </si>
  <si>
    <t>【退職】【業】10/31 10/31 Vantageスタジオ 亀山 龍平</t>
  </si>
  <si>
    <t>山口勝也</t>
  </si>
  <si>
    <t>【退職】【業】10/31 10/31 Vantageスタジオ 山口 勝也</t>
  </si>
  <si>
    <t>吉居由香子</t>
  </si>
  <si>
    <t>【退職】【正】12/17 12/31 投資事業推進本部 吉居 由香子</t>
  </si>
  <si>
    <t>小林悠香</t>
  </si>
  <si>
    <t>【退職】【正】11/26 12/31 投資事業推進本部 小林 悠香</t>
  </si>
  <si>
    <t>斎藤佑美</t>
  </si>
  <si>
    <t>【退職】【正】12/03 12/31 投資事業推進本部 斎藤 佑美</t>
  </si>
  <si>
    <t>木田敦士</t>
  </si>
  <si>
    <t>【退職】【業】10/31 10/31 みてね事業部 木田 敦士</t>
  </si>
  <si>
    <t>美谷晋平</t>
  </si>
  <si>
    <t>【退職】【正】12/2 12/31　美谷 晋平</t>
  </si>
  <si>
    <t>細野友基</t>
  </si>
  <si>
    <t>【退職】【正】12/03 12/31 モンスト事業本部 細野友基</t>
  </si>
  <si>
    <t>【退職】【業】2021/11/30 11/30　西田 伊織</t>
  </si>
  <si>
    <t>TIPSTAR事業部　マーケティング室</t>
  </si>
  <si>
    <t>福田憲一</t>
  </si>
  <si>
    <t>【退職】【業】10/31 10/31　福田 健一</t>
  </si>
  <si>
    <t>田中亮平</t>
  </si>
  <si>
    <t>【退職】【業】10/31 10/31　田中 亮平a</t>
  </si>
  <si>
    <t>相原誠</t>
  </si>
  <si>
    <t>【退職】【正】12/10 12/12 Vantageｽﾀｼﾞｵ みてね事業部 相原誠</t>
  </si>
  <si>
    <t>齊藤龍一</t>
  </si>
  <si>
    <t>【退職】【業】10/29 10/31 モンスト事業本部 齊藤龍一</t>
  </si>
  <si>
    <t>荒川湧</t>
  </si>
  <si>
    <t>【退職】【業】10/29 10/31 モンスト事業本部 荒川湧</t>
  </si>
  <si>
    <t>松田　透</t>
  </si>
  <si>
    <t>【退職】【業】10/29 10/31 ビジネス推進室　松田透</t>
  </si>
  <si>
    <t>福井悠</t>
  </si>
  <si>
    <t>【退職】【正】02/15 02/15 Romi事業部 福井悠</t>
  </si>
  <si>
    <t>吉村平</t>
  </si>
  <si>
    <t>【退職】【業】10/29 10/29 次世代エンターテインメント事業本部 吉村 平</t>
  </si>
  <si>
    <t>大沼英喜</t>
  </si>
  <si>
    <t>【退職】【業】2021/10/27 10/27 大沼 英喜</t>
  </si>
  <si>
    <t>佐藤昂也</t>
  </si>
  <si>
    <t>【退職】【業】10/29 10/31 Vantageｽﾀｼﾞｵ 佐藤 昂也</t>
  </si>
  <si>
    <t>【退職】【派】10/29 10/31 DE事業本部 富山 みのり</t>
  </si>
  <si>
    <t>加藤裕太</t>
  </si>
  <si>
    <t>【退職】【業】10/29 10/31 DE事業本部 加藤 裕太</t>
  </si>
  <si>
    <t>泉裕貴</t>
  </si>
  <si>
    <t>【退職】【業】10/29 10/31 DE事業本部 泉 裕貴</t>
  </si>
  <si>
    <t>依田瑞穂</t>
  </si>
  <si>
    <t>【退職】【業】10/29 10/31 DE事業本部 依田 瑞穂</t>
  </si>
  <si>
    <t>西村香織</t>
  </si>
  <si>
    <t>【退職】【業】10/29 10/31 DE事業本部 西村 香織</t>
  </si>
  <si>
    <t>池田哲也</t>
  </si>
  <si>
    <t>【退職】【業】10/29 10/31 DE事業本部 池田 哲也</t>
  </si>
  <si>
    <t>酒井諭</t>
  </si>
  <si>
    <t>【退職】【業】10/29 10/31 DE事業本部 酒井 諭</t>
  </si>
  <si>
    <t>石井佐知子</t>
  </si>
  <si>
    <t>【退職】【業】10/29 10/31 DE事業本部 石井 佐知子</t>
  </si>
  <si>
    <t>中村拓哉</t>
  </si>
  <si>
    <t>【退職】【業】10/27 10/31 Vantageスタジオ 中村 拓哉</t>
  </si>
  <si>
    <t>管偉宏</t>
  </si>
  <si>
    <t>【退職】【正】2021/12/03 2021/12/31 投資事業推進本部 管偉宏</t>
  </si>
  <si>
    <t>影山亮太</t>
  </si>
  <si>
    <t>【退職】【業】10/29 10/29 開発本部 影山 亮太</t>
  </si>
  <si>
    <t>堀田菓月</t>
  </si>
  <si>
    <t>【退職】【業】2021/10/20 10/20 堀田 菓月</t>
  </si>
  <si>
    <t>川崎桂吾</t>
  </si>
  <si>
    <t>【退職】【業】 10/29 10/29 ライブエクスペリエンス事業本部　川崎 桂吾</t>
  </si>
  <si>
    <t>山根太一</t>
  </si>
  <si>
    <t>【退職】【業】 10/29 10/29 ライブエクスペリエンス事業本部　山根 太一</t>
  </si>
  <si>
    <t>長谷川博之a</t>
  </si>
  <si>
    <t>【退職】【業】 10/29 10/29 ライブエクスペリエンス事業本部　長谷川 博之a</t>
  </si>
  <si>
    <t>戸屋太成</t>
  </si>
  <si>
    <t>【退職・支援解除】【ア】 10/29 10/29 戸屋 太成</t>
  </si>
  <si>
    <t>安井豪</t>
  </si>
  <si>
    <t>【退職】【ア】10/28 10/28 安井 豪</t>
  </si>
  <si>
    <t>【退職】【ア】10/29 10/31 近藤 瑞夏</t>
  </si>
  <si>
    <t>髙田大輔</t>
  </si>
  <si>
    <t>【退職】【ア】10/29 10/31 組織開発グループ付 髙田 大輔</t>
  </si>
  <si>
    <t>【退職】【業】2021/10/31　川端 昌美</t>
  </si>
  <si>
    <t>渡辺清民</t>
  </si>
  <si>
    <t>【退職】【業】10/28 10/31 MSスピンオフゲーム事業部 渡辺 清民</t>
  </si>
  <si>
    <t>畑野智史</t>
  </si>
  <si>
    <t>【退職】【正】10/25 11/30 モンスト事業本部 ライフコミュニケーション部 畑野智史</t>
  </si>
  <si>
    <t>六本木雅貴</t>
  </si>
  <si>
    <t>【退職/出向解除】【正】11/19 11/20 六本木 雅貴</t>
  </si>
  <si>
    <t>今野隼透</t>
  </si>
  <si>
    <t>【退職】【正】12/27 12/31 経営企画部 今野 隼透</t>
  </si>
  <si>
    <t>萩原愛理子</t>
  </si>
  <si>
    <t>【退職】【正】11/12 12/15 minimo事業部 萩原 愛理子</t>
  </si>
  <si>
    <t>鶴澤想</t>
  </si>
  <si>
    <t>【退職】【業】10/19 10/19 鶴澤 想</t>
  </si>
  <si>
    <t>原恵美</t>
  </si>
  <si>
    <t>【退職】【業】10/14 10/14 労務部 原 恵美</t>
  </si>
  <si>
    <t>近藤千奈美</t>
  </si>
  <si>
    <t>【退職】【業】10/29 10/31 Vantageｽﾀｼﾞｵ 近藤 千奈美</t>
  </si>
  <si>
    <t>吉村創一朗</t>
  </si>
  <si>
    <t>【退職】【業】10/27 10/31 Vantageｽﾀｼﾞｵ 吉村 創一朗</t>
  </si>
  <si>
    <t>【退職】【正】2021/10/08 2021/10/08 投資事業推進本部 Tiala Joel</t>
  </si>
  <si>
    <t>橘川大輝</t>
  </si>
  <si>
    <t>【退職】【業】10/29 10/31 事業開発本部 橘川 大輝（ND）</t>
  </si>
  <si>
    <t>吉野正輝</t>
  </si>
  <si>
    <t>【退職】【派】10/29　10/29　ｻｰﾋﾞｽ運営開発本部　吉野 正輝（ND）</t>
  </si>
  <si>
    <t>松尾龍之介</t>
  </si>
  <si>
    <t>【退職】【業】 2021/10/14 松尾 龍之介</t>
  </si>
  <si>
    <t>木村博信</t>
  </si>
  <si>
    <t>【退職】【業】 2021/10/14 木村 博信</t>
  </si>
  <si>
    <t>漆原陸</t>
  </si>
  <si>
    <t>【退職】【業】2021/10/14 漆原 陸</t>
  </si>
  <si>
    <t>貞末智砂</t>
  </si>
  <si>
    <t>【退職】【業】 2021/10/14 貞末 智砂</t>
  </si>
  <si>
    <t>内柴昌哉</t>
  </si>
  <si>
    <t>【退職】【業】 2021/10/14 内柴 昌哉</t>
  </si>
  <si>
    <t>宮中昴</t>
  </si>
  <si>
    <t>【退職】【業】 2021/10/14 宮中 昴</t>
  </si>
  <si>
    <t>シソンケン</t>
  </si>
  <si>
    <t>【退職】【業】 2021/10/14 シソン ケン</t>
  </si>
  <si>
    <t>松崎啓治</t>
  </si>
  <si>
    <t>【退職】【業】10/14 10/14 松崎 啓治</t>
  </si>
  <si>
    <t>齊藤幸祐</t>
  </si>
  <si>
    <t>【退職】【業】10/19 10/19 齊藤 幸祐</t>
  </si>
  <si>
    <t>千田航平</t>
  </si>
  <si>
    <t>【退職】【業】10/14 10/14 千田 航平</t>
  </si>
  <si>
    <t>中村太一</t>
  </si>
  <si>
    <t>【退職】【業】2021/10/14 中村 太一</t>
  </si>
  <si>
    <t>渕野京介</t>
  </si>
  <si>
    <t>【退職】【ア】10/28 10/31 渕野 京介(ND)</t>
  </si>
  <si>
    <t>加藤靖之</t>
  </si>
  <si>
    <t>【退職】【業】10/08 10/08 投資事業推進本部　加藤　靖之</t>
  </si>
  <si>
    <t>小沼宏行</t>
  </si>
  <si>
    <t>【退職】【正】10/8 12/31 投資事業推進本部 小沼宏行</t>
  </si>
  <si>
    <t>中野隆介</t>
  </si>
  <si>
    <t>【退職】【正】10/13 12/16 次世代エンターテインメント事業本部 中野 隆介</t>
  </si>
  <si>
    <t>新井沙央里</t>
  </si>
  <si>
    <t>【退職】【業】10/8 10/8 はたらく環境推進本部 新井 沙央里</t>
  </si>
  <si>
    <t>【退職】【ア】10/15 10/15 組織開発グループ付 飯島 緋理</t>
  </si>
  <si>
    <t xml:space="preserve">ライブエクスペリエンス事業本部 </t>
  </si>
  <si>
    <t>山村祐樹</t>
  </si>
  <si>
    <t>【退職】【業】 10/15 10/15 ライブエクスペリエンス事業本部　山村 祐樹</t>
  </si>
  <si>
    <t>投資事業</t>
  </si>
  <si>
    <t>大柴直人</t>
  </si>
  <si>
    <t>【退職】【業】2021/10/29 10/31 投資事業推進本部 大柴 直人</t>
  </si>
  <si>
    <t>金尾淳</t>
  </si>
  <si>
    <t>【退職】【業】2021/10/29 10/31 投資事業推進本部 金尾　淳</t>
  </si>
  <si>
    <t>木村美幸a</t>
  </si>
  <si>
    <t>【退職】【派】2021/10/8  10/15 投資事業本部 木村 美幸a</t>
  </si>
  <si>
    <t>奥窪拓樹</t>
  </si>
  <si>
    <t>【退職】【業】11/19 11/19 投資事業推進本部 奥窪 拓樹</t>
  </si>
  <si>
    <t>村松謙</t>
  </si>
  <si>
    <t>【退職】【業】10/08 10/08 投資事業推進本部 村松 謙</t>
  </si>
  <si>
    <t>菊地麻友a</t>
  </si>
  <si>
    <t>【退職】【業】10/08 10/08 投資事業推進本部　菊地 麻友a</t>
  </si>
  <si>
    <t>杉谷頌二</t>
  </si>
  <si>
    <t>【退職】【業】10/08 10/08 投資事業推進本部　杉谷 頌二</t>
  </si>
  <si>
    <t>近藤格</t>
  </si>
  <si>
    <t>【退職】【業】10/08 10/08 投資事業推進本部　近藤 格</t>
  </si>
  <si>
    <t>笠松卓史</t>
  </si>
  <si>
    <t>【退職】【業】10/1 10/1 MSスピンオフゲーム事業部 笠松 卓史</t>
  </si>
  <si>
    <t>大森恵太郎</t>
  </si>
  <si>
    <t>【退職】【業】10/1 10/1 MSスピンオフゲーム事業部 大森 恵太郎</t>
  </si>
  <si>
    <t>沢田文亨</t>
  </si>
  <si>
    <t>【退職】【業】2021/９/3０ ９/3０ 投資事業推進本部 沢田　文亨</t>
  </si>
  <si>
    <t>永島希依子</t>
  </si>
  <si>
    <t>【退職】【契】10/12 10/31 次世代エンターテインメント事業本部 永島 希依子</t>
  </si>
  <si>
    <t>佐藤正弘</t>
  </si>
  <si>
    <t>【退職】【業】09/30 09/30 MSスピンオフゲーム事業部 佐藤 正弘</t>
  </si>
  <si>
    <t>松野幸宗</t>
  </si>
  <si>
    <t>【退職】【業】09/30 09/30 MSスピンオフゲーム事業部 松野 幸宗</t>
  </si>
  <si>
    <t xml:space="preserve">TIPSTAR事業部 </t>
  </si>
  <si>
    <t>西川達哉</t>
  </si>
  <si>
    <t>【退職】【業】09/28 9/30　西川 達哉</t>
  </si>
  <si>
    <t>原めぐみ</t>
  </si>
  <si>
    <t>【退職】【業】09/28 09/30 MSスピンオフゲーム事業部 原 めぐみ</t>
  </si>
  <si>
    <t>原田健吾</t>
  </si>
  <si>
    <t>【退職】【正】10/12　10/31　次世代エンターテインメント事業本部　原田健吾</t>
  </si>
  <si>
    <t>松尾勇季</t>
  </si>
  <si>
    <t>【退職】【正】10/29 10/31　松尾 勇季</t>
  </si>
  <si>
    <t>原優矢</t>
  </si>
  <si>
    <t>【退職】【業】2021/10/29 10/31 DE事業本部 原 優矢</t>
  </si>
  <si>
    <t>吉住祐輔</t>
  </si>
  <si>
    <t>【退職】【業】2021/9/30 9/30  吉住 祐輔</t>
  </si>
  <si>
    <t>田極弘規</t>
  </si>
  <si>
    <t>【退職】【業】2021/09/30 09/30 DE事業本部 田極 弘規</t>
  </si>
  <si>
    <t>羽太久美</t>
  </si>
  <si>
    <t>【退職】【業】2021/09/30 09/30 DE事業本部 羽太 久美</t>
  </si>
  <si>
    <t>脇田昂也</t>
  </si>
  <si>
    <t>【退職】【業】2021/09/30 09/30 DE事業本部 脇田 昂也</t>
  </si>
  <si>
    <t>松尾優樹a</t>
  </si>
  <si>
    <t>【退職】【業】09/27 09/28 はたらく環境推進本部 松尾 優樹a</t>
  </si>
  <si>
    <t>横山みな子</t>
  </si>
  <si>
    <t>【退職】【派】2021/09/30 09/30 DE事業本部 横山　みな子</t>
  </si>
  <si>
    <t>天辰睦紀</t>
  </si>
  <si>
    <t>【退職】【業】2021/09/30 09/30 DE事業本部 天辰 睦紀</t>
  </si>
  <si>
    <t>岩間祐弥</t>
  </si>
  <si>
    <t>【退職】【業】2021/09/28 09/30 DE事業本部 岩間 祐弥</t>
  </si>
  <si>
    <t>熊谷恵瑠</t>
  </si>
  <si>
    <t>【退職】【業】2021/09/30 09/30 DE事業本部 熊谷 恵瑠</t>
  </si>
  <si>
    <t>中原佑介</t>
  </si>
  <si>
    <t>【退職】【業】2021/09/29 09/30 DE事業本部 中原 佑介</t>
  </si>
  <si>
    <t>榎本真美</t>
  </si>
  <si>
    <t>【退職】【業】2021/09/30 09/30 DE事業本部 榎本 真美</t>
  </si>
  <si>
    <t>市原康智</t>
  </si>
  <si>
    <t>【退職】【業】2021/09/30 09/30 DE事業本部 市原 康智</t>
  </si>
  <si>
    <t>山口愛乃</t>
  </si>
  <si>
    <t>【退職】【派】2021/09/30 09/30 DE事業本部 山口 愛乃</t>
  </si>
  <si>
    <t>小室慶輔</t>
  </si>
  <si>
    <t>【退職】【派】2021/09/30 09/30 DE事業本部 小室 慶輔</t>
  </si>
  <si>
    <t>福留大輔</t>
  </si>
  <si>
    <t>【退職】【業】2021/09/30 09/30 DE事業本部 福留 大輔</t>
  </si>
  <si>
    <t>川上春香</t>
  </si>
  <si>
    <t>【退職】【業】9/30 9/30 モンスト事業本部 川上 晴香</t>
  </si>
  <si>
    <t>坂本雄基</t>
  </si>
  <si>
    <t>【退職】【業】9/30 9/30 開発本部 坂本 雄基</t>
  </si>
  <si>
    <t>今井翔</t>
  </si>
  <si>
    <t>【退職】【業】9/30 9/30 はたらく環境推進本部 今井 翔</t>
  </si>
  <si>
    <t>大塩世奈</t>
  </si>
  <si>
    <t>【退職】【正】10/14 11/30 モンスト事業本部 ライフコミュニケーション部 大塩世奈</t>
  </si>
  <si>
    <t>陳　芸率</t>
  </si>
  <si>
    <t>【退職】【ア】9/30 9/30 組織開発グループ付 陳　芸率</t>
  </si>
  <si>
    <t>後藤　芙友</t>
  </si>
  <si>
    <t>【退職】【ア】9/30 9/30 組織開発グループ付 後藤　芙友</t>
  </si>
  <si>
    <t>前田将太</t>
  </si>
  <si>
    <t>【退職】【ア】9/30 9/30 組織開発グループ付 前田 将太</t>
  </si>
  <si>
    <t>衛本佳宗</t>
  </si>
  <si>
    <t>【退職】【業】2021/09/30 09/30 DE事業本部 衛本 佳宗</t>
  </si>
  <si>
    <t>野田舞夏</t>
  </si>
  <si>
    <t>【退職】【業】2021/09/30 09/30 DE事業本部 野田 舞夏</t>
  </si>
  <si>
    <t>板東友子</t>
  </si>
  <si>
    <t>【退職】【業】2021/09/29 09/30 DE事業本部 板東 友子</t>
  </si>
  <si>
    <t>【退職】【派】09/30 09/30 投資事業推進本部 楳内 瑞希</t>
  </si>
  <si>
    <t>【退職】【ア】10/1 10/1 川瀬 寛也</t>
  </si>
  <si>
    <t>土岐紘大</t>
  </si>
  <si>
    <t>【退職】【ア】9/30 9/30 土岐 紘大</t>
  </si>
  <si>
    <t>リュウユシン</t>
  </si>
  <si>
    <t>【退職】【ア】9/29 9/29 リュウ ユシン</t>
  </si>
  <si>
    <t>中村　麻美</t>
  </si>
  <si>
    <t>【退職】【派】9/30 9/30 組織開発グループ　中村　麻美</t>
  </si>
  <si>
    <t>松井涼</t>
  </si>
  <si>
    <t>【退職】【正】10/25 10/31　松井 涼</t>
  </si>
  <si>
    <t>金田彩香</t>
  </si>
  <si>
    <t>【退職】【正】10/29 10/31 法務部 金田彩香</t>
  </si>
  <si>
    <t>森舍二朗</t>
  </si>
  <si>
    <t>【退職】【派】09/30 09/30 デジタルエンターテインメント事業本部 森舍 二朗</t>
  </si>
  <si>
    <t>郡司裕介</t>
  </si>
  <si>
    <t>【退職】【業】9/30 9/30 メディア＆エンターテインメント事業本部 郡司 裕介(ND)</t>
  </si>
  <si>
    <t>倉田　直雅</t>
  </si>
  <si>
    <t>【退職】【業】09/15 09/15 経営企画部 倉田 直雅</t>
  </si>
  <si>
    <t>小林裕</t>
  </si>
  <si>
    <t>【退職】【業】2021/9/30 小林 裕</t>
  </si>
  <si>
    <t>後藤清豪</t>
  </si>
  <si>
    <t>【退職】【正】09/13 09/13 Vantageスタジオ 後藤清豪</t>
  </si>
  <si>
    <t>【退職】【ア】9/30 9/30 萩原 稜太</t>
  </si>
  <si>
    <t>【退職】【ア】9/30 9/30 藤井 瞭</t>
  </si>
  <si>
    <t>若松俊介</t>
  </si>
  <si>
    <t>【退職】【ア】9/15 9/15 若松 俊介</t>
  </si>
  <si>
    <t>【退職】【ア】9/10 9/10 周藤 光太郎</t>
  </si>
  <si>
    <t>杉本奏</t>
  </si>
  <si>
    <t>【退職】【業】09/16 09/16　人事本部　杉本 奏</t>
  </si>
  <si>
    <t>【退職】【正】09/28 09/30 モンスト事業本部 ライフコミュニケーション部 瀧本晋也</t>
  </si>
  <si>
    <t>外山将武</t>
  </si>
  <si>
    <t>【退職】【業】2021/8/31 8/31 外山 将武</t>
  </si>
  <si>
    <t>木村あさみa</t>
  </si>
  <si>
    <t>【退職】【派】09/30 09/30 ﾃﾞｼﾞﾀﾙｴﾝﾀｰﾃｲﾝﾒﾝﾄ事業本部 木村 あさみ</t>
  </si>
  <si>
    <t>岩崎未歩</t>
  </si>
  <si>
    <t>【退職】【派】09/30 09/30 ﾃﾞｼﾞﾀﾙｴﾝﾀｰﾃｲﾝﾒﾝﾄ事業本部 岩崎 未歩</t>
  </si>
  <si>
    <t>森田丈将</t>
  </si>
  <si>
    <t>【退職】【派】09/22 09/30 ﾃﾞｼﾞﾀﾙｴﾝﾀｰﾃｲﾝﾒﾝﾄ事業本部 森田 丈将</t>
  </si>
  <si>
    <t>後藤佑輔b</t>
  </si>
  <si>
    <t>【退職】【業】08/31 08/31 新規事業開発室 後藤佑輔</t>
  </si>
  <si>
    <t>【退職】【派】9/30　9/30　モンスト事業本部　佐藤 良輔</t>
  </si>
  <si>
    <t>【退職】【派】9/30　9/30　モンスト事業本部　村松 祐吾</t>
  </si>
  <si>
    <t>【退職】【ア】9/16 9/20 組織開発グループ付 郭 俊佑</t>
  </si>
  <si>
    <t>【退職】【ア】9/30 9/30 組織開発グループ付 山本浩平a</t>
  </si>
  <si>
    <t>小澤さくら</t>
  </si>
  <si>
    <t>【退職】【正】09/15 09/30 次世代エンターテインメント事業本部 小澤 さくら</t>
  </si>
  <si>
    <t>竹本和也</t>
  </si>
  <si>
    <t>【退職】【業】7/16 7/16　モンストMSスピンオフゲーム事業部 竹本和也</t>
  </si>
  <si>
    <t>神蔵晃一郎</t>
  </si>
  <si>
    <t>【退職】【業】2021/08/31 08/31 神蔵 晃一郎</t>
  </si>
  <si>
    <t>成田佳介</t>
  </si>
  <si>
    <t>【退職】【派】09/16 09/30 ﾃﾞｼﾞﾀﾙｴﾝﾀｰﾃｲﾝﾒﾝﾄ事業本部 成田 佳介</t>
  </si>
  <si>
    <t>福岡まりな</t>
  </si>
  <si>
    <t>【退職】【業】08/27　08/27　人事本部　福岡 まりな</t>
  </si>
  <si>
    <t>若原吏玖</t>
  </si>
  <si>
    <t>【退職】【ア】2021/8/31 2021/8/31 サービス運営開発本部 若原 吏玖（ND）</t>
  </si>
  <si>
    <t>佐々木夕紀b</t>
  </si>
  <si>
    <t>【退職】【派】08/31 08/31 投資事業本部 佐々木 夕紀b</t>
  </si>
  <si>
    <t>星利枝</t>
  </si>
  <si>
    <t>【退職】【派】2021/9/24　2021/9/30　サービス運営開発本部　星 利枝（ND）</t>
  </si>
  <si>
    <t>宮田大志</t>
  </si>
  <si>
    <t>【退職】【業】8/24 8/24 モンスト事業本部　宮田 大志</t>
  </si>
  <si>
    <t>占部友春</t>
  </si>
  <si>
    <t>【退職】【業】8/31 8/31 占部 友春</t>
  </si>
  <si>
    <t>【退職】【ア】9/3 9/3 赤﨑 功紀</t>
  </si>
  <si>
    <t>【退職】【業】08/31 08/31 デザイン本部 田中 完二</t>
  </si>
  <si>
    <t>石川優</t>
  </si>
  <si>
    <t>【退職】【業】2021/08/31 08/31 石川 優</t>
  </si>
  <si>
    <t>【退職】【ア】8/31 8/31 組織開発グループ付 太田 侑冶</t>
  </si>
  <si>
    <t>府木壮一郎</t>
  </si>
  <si>
    <t>【退職】【業】09/08 09/08 ﾃﾞｼﾞﾀﾙｴﾝﾀｰﾃｲﾝﾒﾝﾄ事業本部 府木 壮一郎</t>
  </si>
  <si>
    <t>大石歩</t>
  </si>
  <si>
    <t>【退職】【契】9/10 9/30 CS本部 大石 歩</t>
  </si>
  <si>
    <t>【再入社】【退職】【ア】8/27 8/31 組織開発グループ付 飯島 緋理</t>
  </si>
  <si>
    <t>野中大豪</t>
  </si>
  <si>
    <t>【退職】【ア】8/31 8/31 組織開発グループ付 野中 大豪</t>
  </si>
  <si>
    <t>【再入社】【退職】【ア】8/20 8/20 組織開発グループ付 後藤 慎之助</t>
  </si>
  <si>
    <t>ID･ペイメント事業部</t>
  </si>
  <si>
    <t>安蒜祥和</t>
  </si>
  <si>
    <t>【退職】【正】08/31 09/30 次世代エンターテインメント事業本部 安蒜 祥和</t>
  </si>
  <si>
    <t>金丸由嬉</t>
  </si>
  <si>
    <t>【退職】【契】09/10 09/30 経理税務部 金丸 由嬉</t>
  </si>
  <si>
    <t>阿部敏寛</t>
  </si>
  <si>
    <t>【退職】【業】9/30 9/30 ミクシィ・リクルートメント 阿部 敏寛</t>
  </si>
  <si>
    <t>長谷川敏文</t>
  </si>
  <si>
    <t>【退職】【業】2021/8/31 8/31 ライブエクスペリエンス事業本部 長谷川 敏文</t>
  </si>
  <si>
    <t>金丸康平</t>
  </si>
  <si>
    <t>【退職】【業】2021/8/31 8/31 ライブエクスペリエンス事業本部 金丸 康平</t>
  </si>
  <si>
    <t>松本知也</t>
  </si>
  <si>
    <t>【退職】【ア】8/31 8/31 松本 知也</t>
  </si>
  <si>
    <t>藤井優</t>
  </si>
  <si>
    <t>【退職】【ア】8/31 8/31 藤井 優</t>
  </si>
  <si>
    <t>福田翔悠</t>
  </si>
  <si>
    <t>【退職】【ア】8/31 8/31 福田 翔悠</t>
  </si>
  <si>
    <t>田川裕隆</t>
  </si>
  <si>
    <t>【退職】【ア】8/27 8/27 田川 裕隆</t>
  </si>
  <si>
    <t>丸田雄貴</t>
  </si>
  <si>
    <t>【退職】【業】8/11 8/31 ライブエクスペリエンス事業本部 丸田 雄貴</t>
  </si>
  <si>
    <t>高木雄介</t>
  </si>
  <si>
    <t>【退職】【業】8/27 8/27 ミクシィ・リクルートメント 高木 雄介</t>
  </si>
  <si>
    <t>竹村悠人</t>
  </si>
  <si>
    <t>【退職】【業】08/31 08/31 ﾃﾞｼﾞﾀﾙｴﾝﾀｰﾃｲﾝﾒﾝﾄ事業本部 竹村 悠人</t>
  </si>
  <si>
    <t>森谷優斗</t>
  </si>
  <si>
    <t>【退職】【業】08/31 08/31 ﾃﾞｼﾞﾀﾙｴﾝﾀｰﾃｲﾝﾒﾝﾄ事業本部 森谷 優斗</t>
  </si>
  <si>
    <t>中山浩輔</t>
  </si>
  <si>
    <t xml:space="preserve">【退職】【正】8/31 8/31 DE事業本部コトダマン事業部 中山浩輔 </t>
  </si>
  <si>
    <t>家高康彦</t>
  </si>
  <si>
    <t>【退職】【正】8/20 10/31　サービス運営開発本部　家高 康彦（ND）</t>
  </si>
  <si>
    <t>【退職】【ア】8/13 8/13 小川 恵太</t>
  </si>
  <si>
    <t>三浦周太</t>
  </si>
  <si>
    <t>【退職】【正】2021/8/25 9/30 ライブエクスペリエンス事業本部 三浦 周太</t>
  </si>
  <si>
    <t>宮内昂昭</t>
  </si>
  <si>
    <t>【退職】【業】8/11 8/15 ライブエクスペリエンス事業本部 宮内 昂昭</t>
  </si>
  <si>
    <t>中尾宏規</t>
  </si>
  <si>
    <t xml:space="preserve">【退職】【業】7/28 7/28 投資事業推進本部 中尾 宏規　</t>
  </si>
  <si>
    <t>村上幸次朗</t>
  </si>
  <si>
    <t>【退職】【正】8/31 8/31 Vantageスタジオ 新規事業開発室　投資・事業戦略グループ　村上 幸次朗</t>
  </si>
  <si>
    <t>奥野翔弘</t>
  </si>
  <si>
    <t>【退職】【業】2021/07/30 07/31 奥野 翔弘</t>
  </si>
  <si>
    <t>大谷勇介</t>
  </si>
  <si>
    <t>【退職】【業】2021/07/30 07/31 大谷 勇介</t>
  </si>
  <si>
    <t>岩佐龍範</t>
  </si>
  <si>
    <t>【退職】【業】2021/07/29 07/31 岩佐 龍範</t>
  </si>
  <si>
    <t>齊藤翔太</t>
  </si>
  <si>
    <t>【退職】【業】2021/07/30 07/31 齊藤 翔太</t>
  </si>
  <si>
    <t>能登屋祥</t>
  </si>
  <si>
    <t>【退職】【業】7/30 7/31 ライブエクスペリエンス事業本部 能登屋 祥</t>
  </si>
  <si>
    <t>山根直彦</t>
  </si>
  <si>
    <t>【退職】【業】7/28 7/31 デザイン本部 山根 直彦</t>
  </si>
  <si>
    <t>伊藤敏彦</t>
  </si>
  <si>
    <t>【退職】【業】 07/28 07/31 デジタルエンターテインメント事業本部 伊藤 敏彦</t>
  </si>
  <si>
    <t>田井悟史</t>
  </si>
  <si>
    <t>【退職】【業】2021/7/30 2021/7/31　メディア＆エンターテインメント事業本部　田井悟史（ND）</t>
  </si>
  <si>
    <t>椎本ちえ</t>
  </si>
  <si>
    <t>【退職】【業】07/15 07/15 椎本 ちえ</t>
  </si>
  <si>
    <t xml:space="preserve">ﾗｲﾌﾞ動画ﾌﾟﾛﾀﾞｸﾄ開発室 </t>
  </si>
  <si>
    <t>村上久生</t>
  </si>
  <si>
    <t>【退職】【業】07/30 07/31　村上 久生</t>
  </si>
  <si>
    <t>戸上義章</t>
  </si>
  <si>
    <t>【退職】【ア】7/30 7/30 人材採用部付 戸上 義章</t>
  </si>
  <si>
    <t>米山靖之</t>
  </si>
  <si>
    <t>【退職】【業】07/30 07/31 モンスト事業本部 米山 靖之</t>
  </si>
  <si>
    <t>川久保惣一郎</t>
  </si>
  <si>
    <t>【退職】【正】07/21 07/31 モンスト事業本部　川久保惣一郎</t>
  </si>
  <si>
    <t>【退職】【正】2021/8/13 9/15 ライブエクスペリエンス事業本部 小林 裕</t>
  </si>
  <si>
    <t>福住利博</t>
  </si>
  <si>
    <t>【退職】【業】7/9 7/9 モンスト事業本部 福住 利博</t>
  </si>
  <si>
    <t>坂井淑</t>
  </si>
  <si>
    <t>【退職】【業】7/9 7/9 モンスト事業本部 坂井 淑</t>
  </si>
  <si>
    <t>森俊介a</t>
  </si>
  <si>
    <t>【退職】【ア】７/29 7/31 組織開発グループ付 森 俊介a</t>
  </si>
  <si>
    <t>佐々木智大</t>
  </si>
  <si>
    <t>【退職】【ア】7/29 7/31 組織開発グループ付 佐々木 智大</t>
  </si>
  <si>
    <t>鈴木由佳</t>
  </si>
  <si>
    <t>【退職】【正】07/19 08/31 内部監査室 鈴木由佳</t>
  </si>
  <si>
    <t>藤原章敬</t>
  </si>
  <si>
    <t>【退職】【業】07/30 07/31　藤原 章敬</t>
  </si>
  <si>
    <t>【退職】【正】07/16 09/30　岡野 吾朗</t>
  </si>
  <si>
    <t>斎藤佑樹</t>
  </si>
  <si>
    <t>【退職】【正】08/31 08/31 コンプライアンス本部 斎藤佑樹</t>
  </si>
  <si>
    <t>【退職】【業】07/15 07/15 インキュベーション事業部 チョン エンディ</t>
  </si>
  <si>
    <t>陳永昌</t>
  </si>
  <si>
    <t>【退職】【業】 7/16 7/16 デジタルエンターテインメント事業本部 陳 永昌</t>
  </si>
  <si>
    <t>谷口恭仁子</t>
  </si>
  <si>
    <t>【退職】【正】07/06 08/31 次世代エンターテインメント事業本部 谷口恭仁子</t>
  </si>
  <si>
    <t>有馬優</t>
  </si>
  <si>
    <t>【退職】【業】07/01 07/07 投資事業推進本部 有馬優</t>
  </si>
  <si>
    <t>川西美里</t>
  </si>
  <si>
    <t>【退職】【正】8/31 8/31 Vantageスタジオ 川西美里</t>
  </si>
  <si>
    <t>堀寛修</t>
  </si>
  <si>
    <t>【退職】【業】07/09 07/09 経営推進本部 堀 寛修</t>
  </si>
  <si>
    <t>光井健太</t>
  </si>
  <si>
    <t>【退職】【正】7/9 7/31 CS本部 光井 健太</t>
  </si>
  <si>
    <t>中村ひとみ</t>
  </si>
  <si>
    <t>【退職】【業】2021/６/30　2021/６/30　中村 ひとみ</t>
  </si>
  <si>
    <t>【退職】【正】07/30 07/31 投資事業部　高津秀也</t>
  </si>
  <si>
    <t>椎原耕平</t>
  </si>
  <si>
    <t>【退職】【業】6/30 6/30 モンスト事業本部 椎原 耕平</t>
  </si>
  <si>
    <t>小島孝之</t>
  </si>
  <si>
    <t>【退職】【業】6/30 6/30 モンスト事業本部 小島 孝之</t>
  </si>
  <si>
    <t>上田雄登</t>
  </si>
  <si>
    <t>【退職】【業】06/25 06/30  上田 雄登</t>
  </si>
  <si>
    <t>古原裕美</t>
  </si>
  <si>
    <t>【退職】【業】2021/06/30 06/30 古原 裕美</t>
  </si>
  <si>
    <t>リージンハンレンジャー</t>
  </si>
  <si>
    <t>【退職】【正】07/14 07/18 リージンハンレンジャー</t>
  </si>
  <si>
    <t>【退職】【業】6/30 6/30　岡田 靖</t>
  </si>
  <si>
    <t>【退職】【派】06/30 06/30 投資事業推進本部 橘 智美</t>
  </si>
  <si>
    <t>【退職】【正】7/20 8/15 Vantageｽﾀｼﾞｵ みてね事業部 宮沢隆希</t>
  </si>
  <si>
    <t>血矢健亮</t>
  </si>
  <si>
    <t>【退職】【業】06/23 06/23 社内IT室 血矢 健亮</t>
  </si>
  <si>
    <t>田島春奈</t>
  </si>
  <si>
    <t>【退職】【派】6/22　6/30　モンスト事業本部　田島春奈</t>
  </si>
  <si>
    <t>李潤錫​</t>
  </si>
  <si>
    <t>【退職】【正】06/25 07/31 デザイン本部 李 潤錫​</t>
  </si>
  <si>
    <t>鈴木伴治</t>
  </si>
  <si>
    <t>【退職】【業】6/18 6/18 鈴木 伴治</t>
  </si>
  <si>
    <t>松戸里佳</t>
  </si>
  <si>
    <t>【退職】【業】2021/06/30 06/30 社内IT室 松戸 里佳</t>
  </si>
  <si>
    <t>竹内果歩</t>
  </si>
  <si>
    <t>【退職】【派】6/25 6/30　サービス運営開発本部　竹内 果歩（ND）</t>
  </si>
  <si>
    <t xml:space="preserve">ｻｰﾋﾞｽ運営部 </t>
  </si>
  <si>
    <t xml:space="preserve">ｻｰﾋﾞｽ運営開発本部 </t>
  </si>
  <si>
    <t>道手桃子</t>
  </si>
  <si>
    <t>【退職】【ア】2021/6/21　2021/6/30　ND ｻｰﾋﾞｽ運営開発本部　道手 桃子</t>
  </si>
  <si>
    <t>岸昂平</t>
  </si>
  <si>
    <t>【退職】【派】 6/30 6/30 デジタルエンターテインメント事業本部 岸 昂平</t>
  </si>
  <si>
    <t>片平有紀</t>
  </si>
  <si>
    <t>【退職】【業】 6/28 6/30 デジタルエンターテインメント事業本部 片平 有紀</t>
  </si>
  <si>
    <t>奥村晋太郎</t>
  </si>
  <si>
    <t>【退職】【業】06/22 06/22 投資事業推進本部 奥村 晋太郎</t>
  </si>
  <si>
    <t>磯村彰寛</t>
  </si>
  <si>
    <t>【退職】【業】2021/6/30 6/30 ライブエクスペリエンス事業本部 磯村彰寛</t>
  </si>
  <si>
    <t>呉思媛</t>
  </si>
  <si>
    <t>【退職】【業】6/30　6/30　メディア＆エンターテインメント事業本部　呉 思媛（ND）</t>
  </si>
  <si>
    <t>荒木亮一</t>
  </si>
  <si>
    <t>【退職】【業】6/30 6/30 デザイン本部 荒木 亮一</t>
  </si>
  <si>
    <t>坪井雅宏</t>
  </si>
  <si>
    <t>【退職】【派】6/16 6/30 サービス運営開発本部 坪井 雅宏（ND）</t>
  </si>
  <si>
    <t>財前敬一郎</t>
  </si>
  <si>
    <t>【退職】【業】06/30 06/30 経営推進本部 財前 敬一郎</t>
  </si>
  <si>
    <t>大野昌之</t>
  </si>
  <si>
    <t>【退職】【業】06/29 06/30 経営推進本部 大野 昌之</t>
  </si>
  <si>
    <t>二ノ宮知寛</t>
  </si>
  <si>
    <t>【退職】【業】6/11 6/11 二ノ宮 知寛</t>
  </si>
  <si>
    <t>チャンミンウ</t>
  </si>
  <si>
    <t>【退職】【正】06/29 07/31 モンスト事業本部 チャンミンウ</t>
  </si>
  <si>
    <t>関野真弥</t>
  </si>
  <si>
    <t>【退職】【業】6/30 6/30　ND メディア＆エンターテインメント事業本部　関野真弥（ND）</t>
  </si>
  <si>
    <t>鶴田卓嗣</t>
  </si>
  <si>
    <t>【退職】【派】6/10 6/10 ﾓﾝｽﾄ事業本部 鶴田 卓嗣</t>
  </si>
  <si>
    <t>土屋鷹広</t>
  </si>
  <si>
    <t>【退職】【業】6/30 6/30 土屋 鷹広</t>
  </si>
  <si>
    <t>北山駿也</t>
  </si>
  <si>
    <t>【退職】【業】06/25 06/30 Vantageスタジオ　北山 駿也</t>
  </si>
  <si>
    <t>渡邊一行</t>
  </si>
  <si>
    <t>【退職】【業】2021/05/31 06/04 渡邊一行</t>
  </si>
  <si>
    <t>【退職】【ア】6/30 6/30 人材採用部付 加藤 零</t>
  </si>
  <si>
    <t>高谷結貴乃</t>
  </si>
  <si>
    <t>【退職】【業】5/31 5/31 モンスト事業本部 高谷 結貴乃</t>
  </si>
  <si>
    <t>【退職】【正】7/7 7/7 Vantageスタジオ 新規事業開発室　mikumaグループ　木下 七海</t>
  </si>
  <si>
    <t>中川峰志</t>
  </si>
  <si>
    <t>【退職】【業】06/30 06/30 Vantageスタジオ　中川 峰志</t>
  </si>
  <si>
    <t>大野滋</t>
  </si>
  <si>
    <t>【退職】【業】2021/５/31 5/31 投資事業推進本部 大野　滋</t>
  </si>
  <si>
    <t>濱野一広</t>
  </si>
  <si>
    <t>【退職】【業】2021/05/27 05/31 濱野 一広</t>
  </si>
  <si>
    <t>【退職】【派】05/31 05/31 法務部 守岡 冴子</t>
  </si>
  <si>
    <t>趙天香</t>
  </si>
  <si>
    <t>【退職】【業】5/31 5/31 ｹﾞｰﾑ運営部 Global Direction G 海外マーケティングT 趙天香</t>
  </si>
  <si>
    <t>倉澤大樹</t>
  </si>
  <si>
    <t>【退職】【正】05/24 06/30 開発本部 倉澤 大樹</t>
  </si>
  <si>
    <t xml:space="preserve">クリエイティブ室 </t>
  </si>
  <si>
    <t>立部絵梨</t>
  </si>
  <si>
    <t>【退職】【業】5/31 5/31 デザイン本部 立部 絵梨</t>
  </si>
  <si>
    <t>小松亮子</t>
  </si>
  <si>
    <t>【退職】【派】最終出社2021/5/21 退職日2021/5/31 人事本部　小松亮子</t>
  </si>
  <si>
    <t>志村茉衣子</t>
  </si>
  <si>
    <t>【退職】【ア】5/28 5/31 ﾃﾞｼﾞﾀﾙｴﾝﾀｰﾃｲﾝﾒﾝﾄ事業部　志村 茉衣子</t>
  </si>
  <si>
    <t>榎本敬一</t>
  </si>
  <si>
    <t>【退職】【業】05/21 05/21 Vantageスタジオ 榎本 敬一</t>
  </si>
  <si>
    <t>【退職】【派】2021/05/15 05/15 二階堂 啓史</t>
  </si>
  <si>
    <t>三成有紀</t>
  </si>
  <si>
    <t>【退職】【正】5/6 6/4 Vantageスタジオ 三成有紀</t>
  </si>
  <si>
    <t>次世代エンターテインメント本部</t>
  </si>
  <si>
    <t>越膳裕元</t>
  </si>
  <si>
    <t>【退職】【正】05/14 05/31 ID・ペイメント 越膳 裕元</t>
  </si>
  <si>
    <t>林田千菜津</t>
  </si>
  <si>
    <t>【退職】【業】04/30 04/30　人事本部　林田 千菜津</t>
  </si>
  <si>
    <t>佐藤宏美</t>
  </si>
  <si>
    <t>【退職】【業】04/30 04/30　人事本部　佐藤 宏美</t>
  </si>
  <si>
    <t>佐川さやか</t>
  </si>
  <si>
    <t>【退職】【業】04/30 04/30　人事本部　佐川 さやか</t>
  </si>
  <si>
    <t>上杉聖太郎</t>
  </si>
  <si>
    <t>【退職】【業】4/27　4/30　モンスト事業本部　上杉 聖太郎</t>
  </si>
  <si>
    <t>皆内　結衣</t>
  </si>
  <si>
    <t>【退職】【派】04/27 05/15 皆内 結衣</t>
  </si>
  <si>
    <t>一ノ瀬謙介</t>
  </si>
  <si>
    <t>【退職】【業】4/27 4/30 はたらく環境推進本部 一ノ瀬 謙介</t>
  </si>
  <si>
    <t>生田晃一</t>
  </si>
  <si>
    <t>【退職】【業】4/30 4/30 モンスト事業本部 生田 晃一</t>
  </si>
  <si>
    <t>服部知佳</t>
  </si>
  <si>
    <t>【退職】【業】4/30 4/30 モンスト事業本部 服部 知佳</t>
  </si>
  <si>
    <t>チョンエンディ</t>
  </si>
  <si>
    <t>【退職】【業】04/30 04/30 ｲﾝｷｭﾍﾞｰｼｮﾝ事業部 チョン エンディ</t>
  </si>
  <si>
    <t>高林昌史a</t>
  </si>
  <si>
    <t>【退職】【業】2021/05/14 2021/05/14 高林　昌史a</t>
  </si>
  <si>
    <t>高林昌史</t>
  </si>
  <si>
    <t>【退職】【契】2021/05/14 2021/05/14 高林　昌史</t>
  </si>
  <si>
    <t>佐藤麻美</t>
  </si>
  <si>
    <t>【退職】【派】2021/04/28 05/01 佐藤 麻美</t>
  </si>
  <si>
    <t>西山由香</t>
  </si>
  <si>
    <t>【退職】【業】04/30　04/30　人事本部　西山 由香</t>
  </si>
  <si>
    <t>太刀川由実</t>
  </si>
  <si>
    <t>【退職】【業】04/30 04/30　人事本部　太刀川 由実</t>
  </si>
  <si>
    <t>檜垣知也</t>
  </si>
  <si>
    <t>【退職】【業】04/30　04/30　人事本部　檜垣知也</t>
  </si>
  <si>
    <t>島田寛之</t>
  </si>
  <si>
    <t>【退職】【業】4/22 4/30 モンスト事業本部 島田 寛之</t>
  </si>
  <si>
    <t>日比香</t>
  </si>
  <si>
    <t>【退職】【業】2021/04/27 04/27 社内IT室 日比 香</t>
  </si>
  <si>
    <t>沈多映</t>
  </si>
  <si>
    <t>【退職】【派】05/07 05/14 はたらく環境推進本部 沈 多映</t>
  </si>
  <si>
    <t>西増将希</t>
  </si>
  <si>
    <t>【退職】【業】04/28 04/30 インキュベーション事業部 西増 将希</t>
  </si>
  <si>
    <t>荒木卓也</t>
  </si>
  <si>
    <t>【退職】【業】04/28 04/30 インキュベーション事業部 荒木 卓也</t>
  </si>
  <si>
    <t>小田切陸</t>
  </si>
  <si>
    <t>【退職】【業】04/28 04/30 インキュベーション事業部 小田切 陸</t>
  </si>
  <si>
    <t>冨田秀紀</t>
  </si>
  <si>
    <t>【退職】【業】04/28 04/30 インキュベーション事業部 冨田 秀紀</t>
  </si>
  <si>
    <t>星野博樹</t>
  </si>
  <si>
    <t>【退職】【業】04/28 04/30 インキュベーション事業部 星野 博樹</t>
  </si>
  <si>
    <t>秋吉佑哉</t>
  </si>
  <si>
    <t>【退職】【業】04/28 04/30 インキュベーション事業部 秋吉 佑哉</t>
  </si>
  <si>
    <t>奥井健</t>
  </si>
  <si>
    <t>【退職】【業】04/28 04/30 インキュベーション事業部 奥井 健</t>
  </si>
  <si>
    <t>安田満a</t>
  </si>
  <si>
    <t>【退職】【業】04/28 04/30 インキュベーション事業部 安田 満a</t>
  </si>
  <si>
    <t>高岡徹</t>
  </si>
  <si>
    <t>【退職】【業】04/28 04/30 インキュベーション事業部 高岡 徹</t>
  </si>
  <si>
    <t>小林稔</t>
  </si>
  <si>
    <t>【退職】【業】04/28 04/30 インキュベーション事業部 小林 稔</t>
  </si>
  <si>
    <t>下田健也</t>
  </si>
  <si>
    <t>【退職】【業】04/28 04/30 インキュベーション事業部 下田 健也</t>
  </si>
  <si>
    <t>石橋直也</t>
  </si>
  <si>
    <t>【退職】【業】04/28 04/30 インキュベーション事業部 石橋 直也</t>
  </si>
  <si>
    <t>永田嘉之</t>
  </si>
  <si>
    <t>【退職】【業】04/28 04/30 インキュベーション事業部 永田 嘉之</t>
  </si>
  <si>
    <t>舘野信一</t>
  </si>
  <si>
    <t>【退職】【業】04/28 04/30 インキュベーション事業部 舘野 信一</t>
  </si>
  <si>
    <t>成相真治</t>
  </si>
  <si>
    <t>【退職】【業】04/28 04/30 インキュベーション事業部 成相 真治</t>
  </si>
  <si>
    <t>稲田義信</t>
  </si>
  <si>
    <t>【退職】【業】04/28 04/30 インキュベーション事業部 稲田 義信</t>
  </si>
  <si>
    <t>尾畑心一朗</t>
  </si>
  <si>
    <t>【退職】【業】04/28 04/30 インキュベーション事業部 尾畑 心一朗</t>
  </si>
  <si>
    <t>高木未央</t>
  </si>
  <si>
    <t>【退職】【派】04/27 05/15 インキュベーション事業部 高木 未央</t>
  </si>
  <si>
    <t>大徳恵理子</t>
  </si>
  <si>
    <t>【退職】【出向解除】【ア】04/30 05/13 投資事業推進本部 大徳恵理子</t>
  </si>
  <si>
    <t>岩瀬靖彦</t>
  </si>
  <si>
    <t>【退職】【正】06/10 06/30 Vantageスタジオ 岩瀬靖彦</t>
  </si>
  <si>
    <t>渋木宏明</t>
  </si>
  <si>
    <t>【退職】【業】04/28 04/30　渋木 宏明</t>
  </si>
  <si>
    <t>岡本純代</t>
  </si>
  <si>
    <t>【退職】【業】04/30 04/30　岡本 純代</t>
  </si>
  <si>
    <t>田中統</t>
  </si>
  <si>
    <t>【退職】【業】4/27　4/30 モンスト事業本部　田中 統</t>
  </si>
  <si>
    <t>木村　大志</t>
  </si>
  <si>
    <t>【退職】【業】2021/4/14　4/14　木村　大志</t>
  </si>
  <si>
    <t>ﾐｸｼｨ・ﾘｸﾙｰﾄﾒﾝﾄ事業部</t>
  </si>
  <si>
    <t>なし</t>
  </si>
  <si>
    <t>大原崇</t>
  </si>
  <si>
    <t>【退職】【業】04/16 04/16 ミクシィリクルートメント事業部 大原 崇</t>
  </si>
  <si>
    <t>【退職and支援解除】【正】06/30 アライアンス統括本部 安藤希倫</t>
  </si>
  <si>
    <t>関根恵里</t>
  </si>
  <si>
    <t>【退職】【正】2020/02/06 2021/04/30 人事本部  関根 恵里</t>
  </si>
  <si>
    <t>伊香佑志</t>
  </si>
  <si>
    <t>【退職】【正】4/27 4/30 モンスト事業本部　伊香 佑志</t>
  </si>
  <si>
    <t>谷口敬亮</t>
  </si>
  <si>
    <t>【退職】【派】05/28 05/31 DE事業本部 谷口 敬亮</t>
  </si>
  <si>
    <t>下山瑛</t>
  </si>
  <si>
    <t>【退職】【正】5/28 6/30 ゲーム運営部 下山 瑛</t>
  </si>
  <si>
    <t>ﾗｲﾌﾞ動画ﾋﾞｼﾞﾈｽ推進室</t>
  </si>
  <si>
    <t>佐藤峻一</t>
  </si>
  <si>
    <t>【退職】【業】04/13 04/13 次世代ｴﾝﾀｰﾃｲﾝﾒﾝﾄ事業本部 佐藤 峻一</t>
  </si>
  <si>
    <t>大久保勇輝</t>
  </si>
  <si>
    <t>【退職】【業】3/25 3/31 DE事業本部 大久保 勇輝</t>
  </si>
  <si>
    <t>本田舞未</t>
  </si>
  <si>
    <t>【退職】【業】04/09 04/09 本田 舞未</t>
  </si>
  <si>
    <t>中田季利</t>
  </si>
  <si>
    <t>【退職】【正】04/23 06/23 モンスト事業本部 開発室 中田 季利</t>
  </si>
  <si>
    <t>【退職】【正】2020/08/21 内部監査室 津嶌 託也</t>
  </si>
  <si>
    <t>後藤佑輔</t>
  </si>
  <si>
    <t>【退職】【正】5/31 5/31 Vantageスタジオ 新規事業開発室　KARASTAグループ　後藤 佑輔</t>
  </si>
  <si>
    <t>今村理人</t>
  </si>
  <si>
    <t>【退職】【業】03/31 03/31 デザイン本部 今村 理人</t>
  </si>
  <si>
    <t>【退職】【ア】4/9 4/9 人材採用部付 赤﨑 功紀</t>
  </si>
  <si>
    <t>【退職】【業】03/31 03/31 Vantageスタジオ 濱田愛加</t>
  </si>
  <si>
    <t>神田剛</t>
  </si>
  <si>
    <t>【退職】【業】2021/03/31 03/31 社内IT室 神田 剛</t>
  </si>
  <si>
    <t>田中友樹</t>
  </si>
  <si>
    <t>【退職】【業】2021/03/31 03/31 社内IT室 田中 友樹</t>
  </si>
  <si>
    <t>岩井泰章</t>
  </si>
  <si>
    <t>【退職】【業】2021/3/30 3/31 Vantageスタジオ 岩井 泰章</t>
  </si>
  <si>
    <t>木下祥子</t>
  </si>
  <si>
    <t>【退職】【業】3/31 3/31 モンスト事業本部 木下 祥子</t>
  </si>
  <si>
    <t>金田一也</t>
  </si>
  <si>
    <t>【退職】【業】3/31 3/31 モンスト事業本部 金田 一也</t>
  </si>
  <si>
    <t>石川遥菜</t>
  </si>
  <si>
    <t>【退職】【業】03/31 03/31 デジタルエンターテインメント事業本部 石川 遥菜</t>
  </si>
  <si>
    <t>上田暁</t>
  </si>
  <si>
    <t>【退職】【業】03/31 03/31 デジタルエンターテインメント事業本部 上田 暁</t>
  </si>
  <si>
    <t>高橋雅之</t>
  </si>
  <si>
    <t>【退職】【業】03/31 03/31 デジタルエンターテインメント事業本部 高橋 雅之</t>
  </si>
  <si>
    <t>松本功</t>
  </si>
  <si>
    <t>【退職】【業】03/31 03/31 デジタルエンターテインメント事業本部 松本 功</t>
  </si>
  <si>
    <t>田勢誠</t>
  </si>
  <si>
    <t>【退職】【業】03/31 03/31 デジタルエンターテインメント事業本部 田勢 誠</t>
  </si>
  <si>
    <t>江口信之</t>
  </si>
  <si>
    <t xml:space="preserve"> 【退職】【業】03/31 03/31 デジタルエンターテインメント事業本部 江口 信之</t>
  </si>
  <si>
    <t>上園政雄</t>
  </si>
  <si>
    <t>【退職】【業】03/31 03/31 デジタルエンターテインメント事業本部 上園 政雄</t>
  </si>
  <si>
    <t>石木耕太郎</t>
  </si>
  <si>
    <t>【退職】【業】03/31 03/31 デジタルエンターテインメント事業本部 石木 耕太郎</t>
  </si>
  <si>
    <t>江口裕也</t>
  </si>
  <si>
    <t>【退職】【業】03/31 03/31 デジタルエンターテインメント事業本部 江口 裕也</t>
  </si>
  <si>
    <t>平井徳一</t>
  </si>
  <si>
    <t>【退職】【業】03/31 03/31 デジタルエンターテインメント事業本部 平井 徳一</t>
  </si>
  <si>
    <t>矢野雅喜</t>
  </si>
  <si>
    <t>【退職】【業】03/31 03/31 デジタルエンターテインメント事業本部 矢野 雅喜</t>
  </si>
  <si>
    <t>村山桂大</t>
  </si>
  <si>
    <t>【退職】【業】03/31 03/31 デジタルエンターテインメント事業本部 村山 桂大</t>
  </si>
  <si>
    <t>越後谷勇介</t>
  </si>
  <si>
    <t>【退職】【業】03/31 03/31 デジタルエンターテインメント事業本部 越後谷 勇介</t>
  </si>
  <si>
    <t>島田沙知</t>
  </si>
  <si>
    <t>【退職】【業】03/31 03/31 デジタルエンターテインメント事業本部 島田 沙知</t>
  </si>
  <si>
    <t>吉田博志</t>
  </si>
  <si>
    <t>【退職】【業】03/31 03/31 デジタルエンターテインメント事業本部 吉田 博志</t>
  </si>
  <si>
    <t>甲斐理恵子</t>
  </si>
  <si>
    <t>【退職】【業】03/31 03/31 デジタルエンターテインメント事業本部 甲斐 理恵子</t>
  </si>
  <si>
    <t>永目裕紀</t>
  </si>
  <si>
    <t>【退職】【業】　事業企画部　03/30　03/31　永目 裕紀</t>
  </si>
  <si>
    <t>村田知亮</t>
  </si>
  <si>
    <t>【退職】【ア】3/31 3/31 ND メディア＆エンターテインメント事業本部　村田 知亮</t>
  </si>
  <si>
    <t>西夏佳</t>
  </si>
  <si>
    <t>【退職】【派】3/31 3/31 ND メディア＆エンターテインメント事業本部　西夏佳</t>
  </si>
  <si>
    <t>田島涼太郎</t>
  </si>
  <si>
    <t>【退職】【業】03/29 03/31田島 涼太郎</t>
  </si>
  <si>
    <t>横川洋輝</t>
  </si>
  <si>
    <t>【退職】【業】03/29 03/31横川 洋輝</t>
  </si>
  <si>
    <t>山口敬大</t>
  </si>
  <si>
    <t>【退職】【業】03/29 03/31山口 敬大</t>
  </si>
  <si>
    <t>佐藤功基</t>
  </si>
  <si>
    <t>【退職】【業】03/31 03/31 デザイン本部 佐藤 功基</t>
  </si>
  <si>
    <t>岡嶋美樹</t>
  </si>
  <si>
    <t>【退職】【業】03/31 03/31 デザイン本部 岡嶋 美樹</t>
  </si>
  <si>
    <t>【退職】【業】3/31 3/31 Vantageスタジオ 横江 亮佑</t>
  </si>
  <si>
    <t>佐々木貴也</t>
  </si>
  <si>
    <t>【退職】【正】4月9日 4月30日 デジタルエンターテインメント事業本部 佐々木貴也</t>
  </si>
  <si>
    <t>【退職】【業】03/31 03/31 デザイン本部 太田 篤志</t>
  </si>
  <si>
    <t>石川希</t>
  </si>
  <si>
    <t>【退職】【業】3/31　3/31　ID ・ペイメント事業部　石川希</t>
  </si>
  <si>
    <t>戸村恵美</t>
  </si>
  <si>
    <t>【退職】【派】03/31 03/31 ビジネスサポート室 戸村 恵美</t>
  </si>
  <si>
    <t>橋本貴史</t>
  </si>
  <si>
    <t>【退職】【業】3/31 3/31 橋本 貴史</t>
  </si>
  <si>
    <t>小林伸隆a</t>
  </si>
  <si>
    <t>【退職】【業】03/31 03/31　小林 伸隆a</t>
  </si>
  <si>
    <t>藤井奨</t>
  </si>
  <si>
    <t>【退職】【業】03/31 03/31　藤井 奨</t>
  </si>
  <si>
    <t>【退職】【派】2021/3/31 /3/31 Vantageスタジオ minimo事業部 東理沙</t>
  </si>
  <si>
    <t>三ツ木陽祐</t>
  </si>
  <si>
    <t>【退職】【正】04/28 04/30 モンスト事業本部 開発室 三ツ木 陽祐</t>
  </si>
  <si>
    <t>鳴海恭平</t>
  </si>
  <si>
    <t>【退職】【業】3/26 3/31 デジタルエンターテインメント事業本部 鳴海 恭平</t>
  </si>
  <si>
    <t>島尻譲</t>
  </si>
  <si>
    <t>【退職】【業】03/31 03/31 投資事業推進本部 島尻 譲</t>
  </si>
  <si>
    <t>【退職】【ア】3/31 3/31 人材採用部付　宗形 翼</t>
  </si>
  <si>
    <t>須田仁志</t>
  </si>
  <si>
    <t>【退職】【ア】3/31 3/31 人材採用部付　須田 仁志</t>
  </si>
  <si>
    <t>田中佑哉a</t>
  </si>
  <si>
    <t>【退職】【ア】3/31 3/31 人材採用部付　田中 佑哉a</t>
  </si>
  <si>
    <t>【退職】【ア】3/31 3/31 人材採用部付　加藤 零</t>
  </si>
  <si>
    <t>天野伸平</t>
  </si>
  <si>
    <t>【退職】【業】2021/3/31 3/31 アライアンス統括本部 天野 伸平</t>
  </si>
  <si>
    <t>【退職】【ア】2021/03/22 3/22 人材採用部付 吉川 勇太郎</t>
  </si>
  <si>
    <t>【退職】【ア】3/31 3/31 人材採用部付 後藤 慎之助</t>
  </si>
  <si>
    <t>張靖強</t>
  </si>
  <si>
    <t>【退職】【業】03/31 03/31 開発本部　張 靖強</t>
  </si>
  <si>
    <t>関戸勇太</t>
  </si>
  <si>
    <t>【退職】【業】3/17 3/17 DE事業本部 関戸 勇太</t>
  </si>
  <si>
    <t>大野悠花</t>
  </si>
  <si>
    <t>【退職】【業】2021/3/31 3/31 アライアンス統括本部 大野 悠花</t>
  </si>
  <si>
    <t>中川竜一郎</t>
  </si>
  <si>
    <t>【退職】【業】2021/3/31 3/31 アライアンス統括本部 中川 竜一郎</t>
  </si>
  <si>
    <t>アライアンス事業本部</t>
  </si>
  <si>
    <t>里見夏生</t>
  </si>
  <si>
    <t>【退職】【業】2021/3/31 3/31 アライアンス統括本部 里見夏生</t>
  </si>
  <si>
    <t>【退職】【ア】3/31 3/31 人材採用部付 飯島 緋理</t>
  </si>
  <si>
    <t>伊藤剛</t>
  </si>
  <si>
    <t>【退職】【業】3/31 3/31 社内IT室 伊藤 剛</t>
  </si>
  <si>
    <t>光枝慈喜</t>
  </si>
  <si>
    <t>【退職】【ア】3/31 3/31 人材採用部付　光枝 慈喜</t>
  </si>
  <si>
    <t>【退職】【業】03/31　03/31　人事本部　武津侑希子</t>
  </si>
  <si>
    <t>浦川貴之</t>
  </si>
  <si>
    <t>【退職】【契】3/30 3/31 統括管理本部 浦川貴之</t>
  </si>
  <si>
    <t>斉藤彩加</t>
  </si>
  <si>
    <t>【退職】【派】3/25 3/31 マーケティングコミュニケーション部　斉藤 彩加</t>
  </si>
  <si>
    <t>中田光彦</t>
  </si>
  <si>
    <t>【退職】【業】3/31 3/31　法務部　中田光彦</t>
  </si>
  <si>
    <t>【退職】【業】3/31 3/31 Vantageスタジオ 川合翔主也</t>
  </si>
  <si>
    <t>スタースマッシュ 事業部</t>
  </si>
  <si>
    <t>浜家雄一</t>
  </si>
  <si>
    <t>【退職】【正】03/09 04/09 DE事業本部  浜家 雄一</t>
  </si>
  <si>
    <t>久保光太郎</t>
  </si>
  <si>
    <t>【退職】【業】3/31　3/31　モンスト事業本部　久保 光太郎</t>
  </si>
  <si>
    <t>近江なつめ</t>
  </si>
  <si>
    <t>【退職】【業】3/31　3/31　モンスト事業本部　近江 なつめ</t>
  </si>
  <si>
    <t>内記芽美</t>
  </si>
  <si>
    <t>【退職】【業】3/31　3/31　モンスト事業本部　内記 芽美</t>
  </si>
  <si>
    <t>鬼頭伸幸</t>
  </si>
  <si>
    <t>【退職】【業】3/31　3/31　モンスト事業本部　鬼頭 伸幸</t>
  </si>
  <si>
    <t>筒井大介</t>
  </si>
  <si>
    <t>【退職】【業】3/31　3/31　モンスト事業本部　筒井 大介</t>
  </si>
  <si>
    <t>川田直紀</t>
  </si>
  <si>
    <t>【退職】【業】3/31　3/31　モンスト事業本部　川田 直紀</t>
  </si>
  <si>
    <t>南ひかる</t>
  </si>
  <si>
    <t>【退職】【派】3/16 3/31 デジタルエンターテインメント事業本部 南 ひかる</t>
  </si>
  <si>
    <t>桐永祥子</t>
  </si>
  <si>
    <t>【退職】【業】03/18 03/20 投資事業推進本部 桐永 祥子</t>
  </si>
  <si>
    <t>北山貴好</t>
  </si>
  <si>
    <t>【退職】【業】3/31　3/31　モンスト事業本部　北山 貴好</t>
  </si>
  <si>
    <t>【退職】【業】3/31　3/31　モンスト事業本部　池田 胡桃子</t>
  </si>
  <si>
    <t>【退職】【業】3/31　3/31　モンスト事業本部　飯塚卓也</t>
  </si>
  <si>
    <t>國信修二郎</t>
  </si>
  <si>
    <t>【退職】【業】3/31　3/31　モンスト事業本部　國信修二郎</t>
  </si>
  <si>
    <t>中南加奈</t>
  </si>
  <si>
    <t>【退職】【正】03/26 05/26 Vantageスタジオ 中南 加奈</t>
  </si>
  <si>
    <t>【退職】【派】3/24 3/31 経営推進本部 児玉悦子</t>
  </si>
  <si>
    <t>橋本尚輝</t>
  </si>
  <si>
    <t>【退職】【ア】03/29 3/31 ｻｰﾋﾞｽ運営開発本部 橋本 尚輝(ND)</t>
  </si>
  <si>
    <t>市川紀珠</t>
  </si>
  <si>
    <t>【退職】【業】2021/3/31 3/31 アライアンス統括本部 市川 紀珠</t>
  </si>
  <si>
    <t>小嶋すみれ</t>
  </si>
  <si>
    <t>【退職】【業】2021/3/31 3/31 アライアンス統括本部 小嶋 すみれ</t>
  </si>
  <si>
    <t>竹中玲央奈</t>
  </si>
  <si>
    <t>【退職】【業】2021/3/31 3/31 アライアンス統括本部 竹中 玲央奈</t>
  </si>
  <si>
    <t>神戸浩希</t>
  </si>
  <si>
    <t>【退職】【業】03/31 03/31 インキュベーション事業部 神戸 浩希</t>
  </si>
  <si>
    <t>ｽﾎﾟｰﾂｷﾞﾌﾃｨﾝｸﾞ部</t>
  </si>
  <si>
    <t>ｱﾗｲｱﾝｽ統括本部</t>
  </si>
  <si>
    <t>佐藤龍一</t>
  </si>
  <si>
    <t>【退職】【業】2021/3/31 3/31 アライアンス統括本部 佐藤 龍一</t>
  </si>
  <si>
    <t>吉末勝則</t>
  </si>
  <si>
    <t>【退職】【業】03/31 03/31 インキュベーション事業部 吉末 勝則</t>
  </si>
  <si>
    <t>坂本幸奈</t>
  </si>
  <si>
    <t>【退職】【派】3/31 3/31 デザイン本部 坂本 幸奈</t>
  </si>
  <si>
    <t>只隈広明</t>
  </si>
  <si>
    <t>【退職】【正】3/31　6/4　モンスト事業本部　只隈 広明</t>
  </si>
  <si>
    <t>金成元</t>
  </si>
  <si>
    <t>【退職】【業】2021/3/31 3/31  アライアンス統括本部　金成元</t>
  </si>
  <si>
    <t>日山直紀</t>
  </si>
  <si>
    <t>【退職】【業】2021/3/31 3/31  アライアンス統括本部　日山 直紀</t>
  </si>
  <si>
    <t>澤地響丸</t>
  </si>
  <si>
    <t>【退職】【正】04/07 04/20 コンプライアンス本部 澤地響丸</t>
  </si>
  <si>
    <t>【退職】【派】03/31 03/31 デザイン本部 笠島 伸吾</t>
  </si>
  <si>
    <t>齊藤裕美</t>
  </si>
  <si>
    <t>【退職】【業】03/31 03/31 せいかつ環境室 齊藤 裕美</t>
  </si>
  <si>
    <t>留岡佑太郎</t>
  </si>
  <si>
    <t>【退職】【業】03/31 03/31 minomo事業部 留岡 佑太郎</t>
  </si>
  <si>
    <t>浅利泰河</t>
  </si>
  <si>
    <t>【退職】【業】3/12 3/12 次世代エンタメ事業本部 浅利 泰河</t>
  </si>
  <si>
    <t>國田秀孔</t>
  </si>
  <si>
    <t>【退職】【業】3/12 3/12 次世代エンタメ事業本部　國田秀孔</t>
  </si>
  <si>
    <t>渋谷拓真</t>
  </si>
  <si>
    <t>【退職】【ア】3/15 3/15 人材採用部付 渋谷 拓真</t>
  </si>
  <si>
    <t>宗國開</t>
  </si>
  <si>
    <t>【退職】【ア】3/12 3/12 人材採用部付 宗國 開</t>
  </si>
  <si>
    <t>南部明子</t>
  </si>
  <si>
    <t>【退職】【派】03/12 03/31 投資事業推進本部　南部明子</t>
  </si>
  <si>
    <t>野副裕幸</t>
  </si>
  <si>
    <t>【退職】【正】03/31 03/31 コンプライアンス本部 野副 裕幸</t>
  </si>
  <si>
    <t>吉川咲</t>
  </si>
  <si>
    <t>【退職】【正】03/12 03/14 DE事業本部　吉川咲</t>
  </si>
  <si>
    <t>永井一誠</t>
  </si>
  <si>
    <t>【退職】【業】2021/02/25 2021/02/25 Vantageスタジオ 永井一誠</t>
  </si>
  <si>
    <t>萩原雅之</t>
  </si>
  <si>
    <t>【退職】【業】2021/02/25 2021/02/25 Vantageスタジオ 萩原雅之</t>
  </si>
  <si>
    <t>田島健也</t>
  </si>
  <si>
    <t>【退職】【業】2021/02/25 2021/02/25 Vantageスタジオ 田島健也</t>
  </si>
  <si>
    <t>廣谷青美</t>
  </si>
  <si>
    <t>【退職】【業】2/26 2/28 モンスト事業本部 廣谷 青美</t>
  </si>
  <si>
    <t>上野佑一</t>
  </si>
  <si>
    <t>【退職】【業】02/26 02/26 予想サービス事業部　上野 佑一（ND）</t>
  </si>
  <si>
    <t>市川大輔</t>
  </si>
  <si>
    <t>【退職】【エ】2021/3/31 3/31 市川 大輔</t>
  </si>
  <si>
    <t>渡邊大介</t>
  </si>
  <si>
    <t>【退職・出向解除】【正】02/26 02/28 人事本部 渡邊 大介</t>
  </si>
  <si>
    <t>生形左恵香</t>
  </si>
  <si>
    <t>【退職】【業】02/25 02/25 予想サービス事業部　生形左恵香（ND）</t>
  </si>
  <si>
    <t>長舩龍太郎</t>
  </si>
  <si>
    <t>【退職】【正】3/26 3/29 デザイン本部 長舩 龍太郎</t>
  </si>
  <si>
    <t>岡田有生</t>
  </si>
  <si>
    <t>【退職】【業】2021/02/18  02/18 岡田 有生</t>
  </si>
  <si>
    <t>松田直晃</t>
  </si>
  <si>
    <t>【退職】【業】2021/02/18  02/18 松田 直晃</t>
  </si>
  <si>
    <t>亀井智英</t>
  </si>
  <si>
    <t>【退職】【業】2021/02/18  02/18 亀井 智英</t>
  </si>
  <si>
    <t>平尾帆野佳</t>
  </si>
  <si>
    <t>【退職】【業】2021/02/18  02/18 平尾 帆野佳</t>
  </si>
  <si>
    <t>北村龍彦</t>
  </si>
  <si>
    <t>【退職】【業】2/26 2/28 はたらく環境推進本部 北村 龍彦</t>
  </si>
  <si>
    <t>鈴木　悠梧a</t>
  </si>
  <si>
    <t>【退職】【業】2/24　2/26　鈴木　悠梧a</t>
  </si>
  <si>
    <t>神田淳希</t>
  </si>
  <si>
    <t>【退職】【業】02/25　02/28　事業企画部 神田 淳希</t>
  </si>
  <si>
    <t>鈴木慎太郎</t>
  </si>
  <si>
    <t>【退職】【業】02/25　02/28　事業企画部 鈴木 慎太郎</t>
  </si>
  <si>
    <t>勝岡佑一</t>
  </si>
  <si>
    <t>【退職】【業】3/30 3/30 デザイン本部 勝岡 佑一</t>
  </si>
  <si>
    <t>武市慶太郎</t>
  </si>
  <si>
    <t>【退職】【業】02/24 02/24 開発本部 武市 慶太郎</t>
  </si>
  <si>
    <t>山田遼太</t>
  </si>
  <si>
    <t>【退職】【ア】2/26 2/28 人材採用部付 山田 遼太</t>
  </si>
  <si>
    <t>中野貴文</t>
  </si>
  <si>
    <t>【退職】【正】3/18 3/31 内部監査室 中野 貴文</t>
  </si>
  <si>
    <t>松浦岳</t>
  </si>
  <si>
    <t>【退職】【ア】2/22 3/31 ｻｰﾋﾞｽ運営開発本部 松浦 岳（ND）</t>
  </si>
  <si>
    <t>松永和也</t>
  </si>
  <si>
    <t>【退職】【ア】2/26 2/26 人材採用部付 松永 和也</t>
  </si>
  <si>
    <t>松本ルーク</t>
  </si>
  <si>
    <t>【退職】【契】3/31 3/31 モンスト事業本部 松本 ルーク</t>
  </si>
  <si>
    <t>江徳智揚</t>
  </si>
  <si>
    <t>【退職】【業】02/24　02/28　アライアンス統括本部　江徳 智揚</t>
  </si>
  <si>
    <t>林武宏</t>
  </si>
  <si>
    <t>【退職】【業】2/26　2/26　次世代エンタメ事業本部 林 武宏</t>
  </si>
  <si>
    <t>柳沼早織</t>
  </si>
  <si>
    <t>【退職】【業】02/26 02/28 柳沼 早織</t>
  </si>
  <si>
    <t>廣川航</t>
  </si>
  <si>
    <t>【退職】【業】02/26 02/28 廣川 航</t>
  </si>
  <si>
    <t>市川龍太郎</t>
  </si>
  <si>
    <t>【退職】【業】02/26 02/28 市川 龍太郎</t>
  </si>
  <si>
    <t>武石幸之助</t>
  </si>
  <si>
    <t>【退職】【業】02/26 02/28 武石 幸之助</t>
  </si>
  <si>
    <t>森下陽介</t>
  </si>
  <si>
    <t>【退職】【業】02/24 02/28 デザイン本部 森下 陽介</t>
  </si>
  <si>
    <t>深田由希</t>
  </si>
  <si>
    <t>【退職】【業】2/19 2/28 DE事業本部 深田 由希</t>
  </si>
  <si>
    <t>寺崎雅人</t>
  </si>
  <si>
    <t>【退職】【業】2/4 2/4 DE事業本部 寺崎 雅人</t>
  </si>
  <si>
    <t>伊達慧一郎</t>
  </si>
  <si>
    <t>【退職】【派】2021/02/12 02/12 伊達慧一郎</t>
  </si>
  <si>
    <t>所属部署不明となります</t>
  </si>
  <si>
    <t>可児裕行</t>
  </si>
  <si>
    <t>【退職】【業】02/08 02/08 可児 裕行</t>
  </si>
  <si>
    <t>鶴田拓夢</t>
  </si>
  <si>
    <t>【退職】【業】3/5 3/31 鶴田 拓夢</t>
  </si>
  <si>
    <t>増田怜</t>
  </si>
  <si>
    <t>【退職】【ア】2/5 2/5 はたらく環境推進本部 増田 怜</t>
  </si>
  <si>
    <t>【退職】【派】2/15　2/15　モンスト事業本部　戸田 章世</t>
  </si>
  <si>
    <t>西周行</t>
  </si>
  <si>
    <t>【退職】【業】02/08 02/08 アライアンス統括本部 西 周行</t>
  </si>
  <si>
    <t xml:space="preserve"> ｻｰﾋﾞｽ運営部</t>
  </si>
  <si>
    <t>加藤　菜々子</t>
  </si>
  <si>
    <t>【退職】【派】2/5 2/5 ND ｻｰﾋﾞｽ運営開発本部 加藤 菜々子</t>
  </si>
  <si>
    <t>髙木友稀</t>
  </si>
  <si>
    <t>【退職】【正】02/16 02/28 Vantageスタジオ 髙木 友稀</t>
  </si>
  <si>
    <t>倉林優汰</t>
  </si>
  <si>
    <t>【退職】【業】1/29 1/29 DE事業本部 倉林 優汰</t>
  </si>
  <si>
    <t>【退職】【正】2/26 2/28 モンスト事業本部　須藤 雄樹</t>
  </si>
  <si>
    <t>小島辰弥</t>
  </si>
  <si>
    <t>【退職】【業】1/25　1/31　次世代エンタメ事業本部 小島辰弥</t>
  </si>
  <si>
    <t>仲野宏美</t>
  </si>
  <si>
    <t>【退職】【業】1/29 1/29 アライアンス統括本部 仲野 宏美a</t>
  </si>
  <si>
    <t>内田雄太</t>
  </si>
  <si>
    <t>【退職】【業】2/26 2/28 Vantageスタジオ 内田 雄太</t>
  </si>
  <si>
    <t>セールスオペレーション部</t>
  </si>
  <si>
    <t>辻規美子</t>
  </si>
  <si>
    <t>【退職】【ア】1/17 1/31 辻 規美子</t>
  </si>
  <si>
    <t>中村由梨</t>
  </si>
  <si>
    <t>【退職】【ア】1/17 1/31 中村 由梨</t>
  </si>
  <si>
    <t>難波エリス慈英</t>
  </si>
  <si>
    <t>【退職】【ア】1/17 1/31 難波 エリス慈英</t>
  </si>
  <si>
    <t>津熊静奈</t>
  </si>
  <si>
    <t>【退職】【ア】1/17 1/31 津熊 静奈</t>
  </si>
  <si>
    <t>田方伸</t>
  </si>
  <si>
    <t>【退職】【ア】1/17 1/31 田方 伸</t>
  </si>
  <si>
    <t>櫻井魁斗</t>
  </si>
  <si>
    <t>【退職】【ア】1/17 1/31 櫻井 魁斗</t>
  </si>
  <si>
    <t>永留朋絵</t>
  </si>
  <si>
    <t>【退職】【ア】1/17 1/31 永留 朋絵</t>
  </si>
  <si>
    <t>池田由梨子</t>
  </si>
  <si>
    <t>【退職】【ア】1/17 1/31 池田 由梨子</t>
  </si>
  <si>
    <t>山田紗葵</t>
  </si>
  <si>
    <t>【退職】【ア】1/17 1/31 山田 紗葵</t>
  </si>
  <si>
    <t>中村剛司</t>
  </si>
  <si>
    <t>【退職】【ア】1/17 1/31 中村 剛司</t>
  </si>
  <si>
    <t>今井遼</t>
  </si>
  <si>
    <t>【退職】【ア】1/17 1/31 今井 遼</t>
  </si>
  <si>
    <t>名切慎吾</t>
  </si>
  <si>
    <t>【退職】【ア】1/17 1/31 名切 慎吾</t>
  </si>
  <si>
    <t>赤羽遥</t>
  </si>
  <si>
    <t>【退職】【ア】1/17 1/31 赤羽 遥</t>
  </si>
  <si>
    <t>坂西歩</t>
  </si>
  <si>
    <t>【退職】【ア】1/17 1/31 坂西 歩</t>
  </si>
  <si>
    <t>山本茉奈</t>
  </si>
  <si>
    <t>【退職】【ア】1/17 1/31 山本 茉奈</t>
  </si>
  <si>
    <t>柳沢尚希</t>
  </si>
  <si>
    <t>【退職】【ア】1/17 1/31 柳沢 尚希</t>
  </si>
  <si>
    <t>柳下闘磨</t>
  </si>
  <si>
    <t>【退職】【ア】1/17 1/31 柳下 闘磨</t>
  </si>
  <si>
    <t>保阪茉衣</t>
  </si>
  <si>
    <t>【退職】【ア】1/17 1/31 保阪 茉衣</t>
  </si>
  <si>
    <t>杉山耕平</t>
  </si>
  <si>
    <t>【退職】【ア】1/17 1/31 杉山 耕平</t>
  </si>
  <si>
    <t>伊藤登志貴</t>
  </si>
  <si>
    <t>【退職】【ア】1/17 1/31 伊藤 登志貴</t>
  </si>
  <si>
    <t>巨海宏向</t>
  </si>
  <si>
    <t>【退職】【ア】1/17 1/31 巨海 宏向</t>
  </si>
  <si>
    <t>楠元巧</t>
  </si>
  <si>
    <t>【退職】【ア】1/17 1/31 楠元 巧</t>
  </si>
  <si>
    <t>菊地尚輝</t>
  </si>
  <si>
    <t>【退職】【ア】1/17 1/31 菊地 尚輝</t>
  </si>
  <si>
    <t>矢板知真</t>
  </si>
  <si>
    <t>【退職】【ア】1/17 1/31 矢板 知真</t>
  </si>
  <si>
    <t>中西琴子</t>
  </si>
  <si>
    <t>【退職】【ア】1/17 1/31 中西 琴子</t>
  </si>
  <si>
    <t>【退職】【派】 12/25 12/31 デジタルエンターテインメント事業本部 荒木 綾貴子</t>
  </si>
  <si>
    <t>山崎友理</t>
  </si>
  <si>
    <t>【退職】【業】1/29 1/31 モンスト事業本部 山崎 友理</t>
  </si>
  <si>
    <t>竹井明</t>
  </si>
  <si>
    <t>【退職】【ア】01/17 01/31 XFLAG STORE 竹井 明</t>
  </si>
  <si>
    <t>久保瑛則</t>
  </si>
  <si>
    <t>【退職】【ア】01/17 01/31 XFLAG STORE 久保 瑛則</t>
  </si>
  <si>
    <t>小峰絵美</t>
  </si>
  <si>
    <t>【退職】【ア】01/17 01/31 XFLAG STORE 小峰 絵美</t>
  </si>
  <si>
    <t>佐藤麻菜</t>
  </si>
  <si>
    <t>【退職】【ア】01/17 01/31 XFLAG STORE 佐藤 麻菜</t>
  </si>
  <si>
    <t>岩瀬朋也</t>
  </si>
  <si>
    <t>【退職】【ア】01/17 01/31 XFLAG STORE 岩瀬 朋也</t>
  </si>
  <si>
    <t>中村夏子</t>
  </si>
  <si>
    <t xml:space="preserve">【退職】【契】01/21 03/31 XFLAG STORE 中村 夏子 </t>
  </si>
  <si>
    <t>木内祐衣</t>
  </si>
  <si>
    <t>【退職】【契】01/21 02/28 XFLAG STORE 木内 祐衣</t>
  </si>
  <si>
    <t>石戸谷麻美</t>
  </si>
  <si>
    <t>【退職】【契】01/21 03/31 XFLAG STORE 石戸谷 麻美</t>
  </si>
  <si>
    <t>張戸彩乃</t>
  </si>
  <si>
    <t>【退職】【契】01/21 03/31 XFLAG STORE 張戸 彩乃</t>
  </si>
  <si>
    <t>仙石芽以</t>
  </si>
  <si>
    <t>【退職】【契】01/21 03/31 XFLAG STORE 仙石 芽以</t>
  </si>
  <si>
    <t>【退職】【正】01/21 03/31 XFLAG STORE 山下 千臣</t>
  </si>
  <si>
    <t>宮嵜　将司</t>
  </si>
  <si>
    <t>【退職】【正】01/21 03/31 XFLAG STORE 宮嵜　将司</t>
  </si>
  <si>
    <t>オウケンケン</t>
  </si>
  <si>
    <t>【退職】【正】2/9 2/28 マーケティングコミュニケーション部　オウ ケンケン</t>
  </si>
  <si>
    <t>若林健治</t>
  </si>
  <si>
    <t>【退職】【業】01/14　01/31　経営推進本部　経営企画部　若林 健治</t>
  </si>
  <si>
    <t>編集部</t>
  </si>
  <si>
    <t>【退職】【ア】1/18 1/18 今井 優也(ND)</t>
  </si>
  <si>
    <t>佐藤俊輔</t>
  </si>
  <si>
    <t>【退職】【正】1/26 2/28 Vantageスタジオ 佐藤俊輔</t>
  </si>
  <si>
    <t>ﾗｲﾌﾞ動画ﾌﾟﾛﾀﾞｸﾄ開発室</t>
  </si>
  <si>
    <t>及川　望a</t>
  </si>
  <si>
    <t>【退職】【業】02/28 02/28 　及川　望a</t>
  </si>
  <si>
    <t>水元哲平a</t>
  </si>
  <si>
    <t>【退職】【業】02/28 02/28 　水元 哲平a</t>
  </si>
  <si>
    <t>瀬川雅智</t>
  </si>
  <si>
    <t>【退職】【業】01/08 01/31 インキュベーション事業部 瀬川 雅智</t>
  </si>
  <si>
    <t>齋藤汰生</t>
  </si>
  <si>
    <t xml:space="preserve">【退職】【業】01/08 01/31 インキュベーション事業部 齋藤 汰生 </t>
  </si>
  <si>
    <t>天川大祐</t>
  </si>
  <si>
    <t>【退職】【業】01/08 01/31 インキュベーション事業部 天川 大祐</t>
  </si>
  <si>
    <t>皆山篤史</t>
  </si>
  <si>
    <t>【退職】【業】01/08 01/31 インキュベーション事業部 皆山 篤史</t>
  </si>
  <si>
    <t>杉生直紀</t>
  </si>
  <si>
    <t>【退職】【業】01/08 01/31 インキュベーション事業部 杉生 直紀</t>
  </si>
  <si>
    <t>山楯知巳</t>
  </si>
  <si>
    <t>【退職】【業】01/08 01/31 インキュベーション事業部 山楯 知巳</t>
  </si>
  <si>
    <t>清水智明</t>
  </si>
  <si>
    <t>【退職】【業】01/08 01/31 インキュベーション事業部 清水 智明</t>
  </si>
  <si>
    <t>梯雅A</t>
  </si>
  <si>
    <t>【退職】【業】1/29 1/31 モンスト事業本部 梯 雅a</t>
  </si>
  <si>
    <t>太田敏</t>
  </si>
  <si>
    <t>【退職】【業】1/29 1/31 モンスト事業本部 太田 敏</t>
  </si>
  <si>
    <t>浅沼寛樹</t>
  </si>
  <si>
    <t>【退職】【業】01/08 01/31 インキュベーション事業部 浅沼 寛樹</t>
  </si>
  <si>
    <t>小林億斗</t>
  </si>
  <si>
    <t>【退職】【業】12/25 12/31 モンスト事業本部 小林億斗</t>
  </si>
  <si>
    <t>福永淳</t>
  </si>
  <si>
    <t>【退職】【業】12/25 12/31 DE事業本部 福永 淳</t>
  </si>
  <si>
    <t>【退職】【正】1/13 1/31 デジタルエンターテイメント事業本部 竹田広平</t>
  </si>
  <si>
    <t>鈴木航</t>
  </si>
  <si>
    <t>【退職】【業】12/25 12/31　鈴木 航</t>
  </si>
  <si>
    <t>【退職】【業】12/24 12/31 事業支援室 宇田川 奈津紀</t>
  </si>
  <si>
    <t>中田雅之</t>
  </si>
  <si>
    <t>【退職】【業】12/25 12/31　中田雅之</t>
  </si>
  <si>
    <t>【退職】【ア】12/25 12/31 事業企画部 志村 茉衣子</t>
  </si>
  <si>
    <t>末松義明</t>
  </si>
  <si>
    <t>【退職】【業】12/25　12/31　経営管理本部　末松 義明</t>
  </si>
  <si>
    <t>伊關義紀</t>
  </si>
  <si>
    <t>【退職】【業】12/15　12/22　ｻｰﾋﾞｽ運営開発本部　伊關 義紀</t>
  </si>
  <si>
    <t>Vantage</t>
  </si>
  <si>
    <t>大垣月</t>
  </si>
  <si>
    <t>【退職】【ア】12/23 12/25 Vantage 新規事業開発室 mikumaG 大垣月</t>
  </si>
  <si>
    <t>吉田燎平</t>
  </si>
  <si>
    <t>【退職】【業】12/25 12/31 DE事業本部 吉田 燎平</t>
  </si>
  <si>
    <t>船越康志</t>
  </si>
  <si>
    <t>【退職】【業】12/25 12/31 DE事業本部 船越 康志</t>
  </si>
  <si>
    <t>成田恵子a</t>
  </si>
  <si>
    <t>【退職】【業】最終出社日 12/24 退職日 12/31 みてね事業部 成田 恵子a</t>
  </si>
  <si>
    <t>山本欽一</t>
  </si>
  <si>
    <t>【退職】【正】 12/18 12/18 次世代エンターテインメント事業本部　山本 欽一</t>
  </si>
  <si>
    <t>鈴木晃太</t>
  </si>
  <si>
    <t>【退職】【正】01/22 01/31 コンプライアンス本部 鈴木晃太</t>
  </si>
  <si>
    <t>青木聖志</t>
  </si>
  <si>
    <t>【退職】【業】12/25 12/31 モンスト事業本部 青木 聖志</t>
  </si>
  <si>
    <t>辻鈴菜</t>
  </si>
  <si>
    <t>【退職】【業】12/25 12/31 モンスト事業本部 辻 鈴菜</t>
  </si>
  <si>
    <t>尻無濱亮</t>
  </si>
  <si>
    <t>【退職】【業】12/25 12/31 モンスト事業本部 尻無濱 亮</t>
  </si>
  <si>
    <t>櫻井寛海</t>
  </si>
  <si>
    <t>【退職】【業】01/29 01/31 　櫻井 寛海</t>
  </si>
  <si>
    <t>宮良龍治</t>
  </si>
  <si>
    <t>【退職】【業】12/25　12/25　モンスト事業本部　宮良 龍治</t>
  </si>
  <si>
    <t>原史倫</t>
  </si>
  <si>
    <t>【退職】【業】12/25 12/25 原 史倫</t>
  </si>
  <si>
    <t>石原裕一</t>
  </si>
  <si>
    <t>【退職】【業】12/25 12/25 石原 裕一</t>
  </si>
  <si>
    <t>平澤直</t>
  </si>
  <si>
    <t>【退職】【業】12/25 12/25 平澤 直</t>
  </si>
  <si>
    <t>大上裕真</t>
  </si>
  <si>
    <t>【退職】【業】12/25 12/25 大上 裕真</t>
  </si>
  <si>
    <t>本田雅也</t>
  </si>
  <si>
    <t>【退職】【業】12/25 12/25 本田 雅也</t>
  </si>
  <si>
    <t>辻本貴則</t>
  </si>
  <si>
    <t>【退職】【業】12/25 12/25 辻本 貴則</t>
  </si>
  <si>
    <t>斎藤瑞季</t>
  </si>
  <si>
    <t>【退職】【業】12/25 12/25 斎藤 瑞季</t>
  </si>
  <si>
    <t>佐伯博幸</t>
  </si>
  <si>
    <t>【退職】【業】12/25 12/25 佐伯 博幸</t>
  </si>
  <si>
    <t>伊藤義夫</t>
  </si>
  <si>
    <t>【退職】【業】12/25 12/25 伊藤 義夫</t>
  </si>
  <si>
    <t>北元翔太</t>
  </si>
  <si>
    <t>【退職】【業】12/25 12/25 北元 翔太</t>
  </si>
  <si>
    <t>船田晃</t>
  </si>
  <si>
    <t>【退職】【業】12/25 12/25 船田 晃</t>
  </si>
  <si>
    <t>小幡佳弘</t>
  </si>
  <si>
    <t>【退職】【業】12/25 12/25 小幡 佳弘</t>
  </si>
  <si>
    <t>内田治宏</t>
  </si>
  <si>
    <t>【退職】【業】12/25 12/25 内田 治宏</t>
  </si>
  <si>
    <t>伊藤武志</t>
  </si>
  <si>
    <t>【退職】【業】12/25 12/25 伊藤 武志</t>
  </si>
  <si>
    <t>平山智明</t>
  </si>
  <si>
    <t>【退職】【業】12/25 12/25 平山 智明</t>
  </si>
  <si>
    <t>林千賀子</t>
  </si>
  <si>
    <t>【退職】【正】12/25 2/10 アライアンス統括本部 林千賀子</t>
  </si>
  <si>
    <t>鈴木洋平</t>
  </si>
  <si>
    <t>【退職】【正】1/8 2/28 デザイン本部　鈴木 洋平</t>
  </si>
  <si>
    <t>萩原恵里加</t>
  </si>
  <si>
    <t>【退職】【業】12/18　12/18　ミクシィリクルートメント事業部　萩原 恵里加</t>
  </si>
  <si>
    <t>島田龍男</t>
  </si>
  <si>
    <t>【退職】【業】12/25 12/31 　島田 龍男</t>
  </si>
  <si>
    <t>塩塚遥</t>
  </si>
  <si>
    <t>【退職】【業】12/24 12/31 経営推進本部 塩塚 遥</t>
  </si>
  <si>
    <t>黒田亮介</t>
  </si>
  <si>
    <t>【退職】【業】12/25 12/31 次世代エンターテインメント事業本部 黒田 亮介</t>
  </si>
  <si>
    <t>【退職】【業】12/15 12/15 川端 恭広(業務委託から正社員切り替え)</t>
  </si>
  <si>
    <t>日向　学</t>
  </si>
  <si>
    <t>【退職】【正】12/25 03/31 デザイン本部 日向 学</t>
  </si>
  <si>
    <t>中野莉央</t>
  </si>
  <si>
    <t>【退職】【派】 12/25 12/31 デジタルエンターテインメント事業本部 中野 莉央</t>
  </si>
  <si>
    <t>有馬豊</t>
  </si>
  <si>
    <t>【退職】【派】 12/25 12/31 デジタルエンターテインメント事業本部 有馬 豊</t>
  </si>
  <si>
    <t>加藤博昭</t>
  </si>
  <si>
    <t>【退職】【正】12/24 2/15 デザイン本部 加藤 博昭</t>
  </si>
  <si>
    <t>小室真美</t>
  </si>
  <si>
    <t>【退職】【正】12/24 12/31 マーケティングコミュニケーション部　小室 真美</t>
  </si>
  <si>
    <t>大土井智宏</t>
  </si>
  <si>
    <t>【退職】【業】01/08 01/08 ミクシィリクルートメント事業部 大土井 智宏</t>
  </si>
  <si>
    <t>鈴木博勝</t>
  </si>
  <si>
    <t>【退職】【業】12/24 12/31 デザイン本部 鈴木 博勝</t>
  </si>
  <si>
    <t>小林緯央</t>
  </si>
  <si>
    <t>【退職】【業】12/25 12/31 デザイン本部 小林 緯央</t>
  </si>
  <si>
    <t>原裕也a</t>
  </si>
  <si>
    <t>【退職】【派】12/23 12/31 デザイン本部 原 裕也a</t>
  </si>
  <si>
    <t>吉澤郁絵</t>
  </si>
  <si>
    <t>【退職】【業】12/23 12/31 デザイン本部 吉澤 郁絵</t>
  </si>
  <si>
    <t>原田透</t>
  </si>
  <si>
    <t>【退職】【業】12/25 12/31 原田 透</t>
  </si>
  <si>
    <t>松野可奈子</t>
  </si>
  <si>
    <t>【退職】【派】12/2 12/31 ND サービス運営開発本部　松野 可奈子</t>
  </si>
  <si>
    <t>市川創大</t>
  </si>
  <si>
    <t>【退職】【ア】12/25 12/31 人材採用部付　市川 創大</t>
  </si>
  <si>
    <t>野村稔</t>
  </si>
  <si>
    <t>【退職】【正】01/29 01/31 事業企画部 野村 稔</t>
  </si>
  <si>
    <t>高橋渉</t>
  </si>
  <si>
    <t>【退職】【業】11/30 11/30 人事本部　高橋 渉</t>
  </si>
  <si>
    <t>遠藤晶b</t>
  </si>
  <si>
    <t>【退職】【業】11/30 11/30 人事本部　遠藤 晶b</t>
  </si>
  <si>
    <t>戸村みさ子</t>
  </si>
  <si>
    <t>【退職】【業】11/30 11/30 人事本部　戸村 みさ子</t>
  </si>
  <si>
    <t>藤森亮</t>
  </si>
  <si>
    <t>【退職】【業】11/30 11/30 人事本部　藤森 亮</t>
  </si>
  <si>
    <t>向洋右</t>
  </si>
  <si>
    <t>【退職】【業】11/30 11/30 人事本部　向 洋右</t>
  </si>
  <si>
    <t>出口真由美</t>
  </si>
  <si>
    <t>【退職】【業】11/30 11/30 人事本部　出口 真由美</t>
  </si>
  <si>
    <t>岡本茉莉子</t>
  </si>
  <si>
    <t>【退職】【業】10/30 11/30 人事本部　岡本 茉莉子</t>
  </si>
  <si>
    <t>舛田純</t>
  </si>
  <si>
    <t>【退職】【業】11/9 11/30 人事本部 舛田 純</t>
  </si>
  <si>
    <t>岡本祥裕</t>
  </si>
  <si>
    <t>【退職】【業】11/9 11/30 人事本部　岡本 祥裕</t>
  </si>
  <si>
    <t>鈴木　英理子</t>
  </si>
  <si>
    <t>【退職】【業】10/30 11/30 人事本部 鈴木 英理子</t>
  </si>
  <si>
    <t>木村元気</t>
  </si>
  <si>
    <t>【退職】【業】11/30,11/30,Vantageスタジオ,木村元気</t>
  </si>
  <si>
    <t>猪股竜弥</t>
  </si>
  <si>
    <t>【退職】【業】11/30,11/30,Vantageスタジオ,猪股 竜弥</t>
  </si>
  <si>
    <t>大澤公志郎</t>
  </si>
  <si>
    <t>【退職】【業】11/30,11/30,Vantageスタジオ,大澤公志郎</t>
  </si>
  <si>
    <t>宮本泰明</t>
  </si>
  <si>
    <t>【退職】【業】11/30,11/30,Vantageスタジオ,宮本泰明</t>
  </si>
  <si>
    <t>井芹真一郎</t>
  </si>
  <si>
    <t>【退職】【業】11/30,11/30,Vantageスタジオ,井芹 真一郎</t>
  </si>
  <si>
    <t>水野拓哉</t>
  </si>
  <si>
    <t>【退職】【正】12/25 12/31 水野 拓哉</t>
  </si>
  <si>
    <t>ソン　ウンリュル</t>
  </si>
  <si>
    <t>【退職】【正】12/08　12/31 DE事業本部 ソン　ウンリュル</t>
  </si>
  <si>
    <t>ＸＦＬＡＧ　ＰＩＣＴＵＲＥＳ</t>
  </si>
  <si>
    <t>須藤晴彦</t>
  </si>
  <si>
    <t>【退職】【正】11/27 12/31 デザイン本部 須藤 晴彦</t>
  </si>
  <si>
    <t>荒井美優</t>
  </si>
  <si>
    <t>【退職】【業】11/30 11/30 DE事業本部 荒井 美優</t>
  </si>
  <si>
    <t>安岐龍人</t>
  </si>
  <si>
    <t>【退職】【業】11/30 11/30 安岐 龍人</t>
  </si>
  <si>
    <t>山田真夢a</t>
  </si>
  <si>
    <t xml:space="preserve">【退職】【業】11/30　11/30　山田 真夢a </t>
  </si>
  <si>
    <t>野口有沙</t>
  </si>
  <si>
    <t>【退職】【正】11/27　12/15 DE事業本部 野口 有沙</t>
  </si>
  <si>
    <t>清水順一</t>
  </si>
  <si>
    <t>【退職】【正】12/25 12/31 Vantageスタジオ 新規事業開発室 TrifectaG 清水 順一</t>
  </si>
  <si>
    <t>去来川晃</t>
  </si>
  <si>
    <t>【退職】【正】12/4 12/31 マーケティングコミュニケーション部　去来川 晃</t>
  </si>
  <si>
    <t>土山英雄</t>
  </si>
  <si>
    <t>【退職】【業】11/30 11/30 経営推進本部 土山英雄</t>
  </si>
  <si>
    <t>佐藤美夏</t>
  </si>
  <si>
    <t>【退職】【業】11/16 11/16 人事本部 佐藤美夏</t>
  </si>
  <si>
    <t>城間翔五</t>
  </si>
  <si>
    <t>【退職】【業】11/27 11/30 デザイン本部 城間 翔五</t>
  </si>
  <si>
    <t>【退職】【業】10/31 10/31 ミクシィ・リクルートメント事業部 中島 健吾</t>
  </si>
  <si>
    <t>林友貴</t>
  </si>
  <si>
    <t>【退職】【正】2020/12/2 12/31 林 友貴</t>
  </si>
  <si>
    <t>佐藤琢哉a</t>
  </si>
  <si>
    <t>【退職】【業】2020/11/26 2020/11/30 佐藤 琢哉a</t>
  </si>
  <si>
    <t>宮川悠子</t>
  </si>
  <si>
    <t>【退職】【業】10/30 10/31 投資事業推進本部　宮川悠子</t>
  </si>
  <si>
    <t>田中拓也</t>
  </si>
  <si>
    <t>【退職】【正】11/30 12/31 モンスト事業本部 田中 拓也</t>
  </si>
  <si>
    <t>岩下光弘</t>
  </si>
  <si>
    <t>【退職】【業】11/25 11/25 ミクシィ・リクルートメント 岩下光弘</t>
  </si>
  <si>
    <t>鐘鋭</t>
  </si>
  <si>
    <t>【退職】【正】11/30 12/11 Vantageスタジオ 鐘 鋭</t>
  </si>
  <si>
    <t>唐霏尓</t>
  </si>
  <si>
    <t>【退職】【正】11/30 12/6 Vantageスタジオ 唐霏尓</t>
  </si>
  <si>
    <t>【退職】【ア】11/13 11/13 人材採用部付 久野 文菜</t>
  </si>
  <si>
    <t>増田圭汰</t>
  </si>
  <si>
    <t>【退職】【業】10/30 10/31 モンスト事業本部 増田 圭汰</t>
  </si>
  <si>
    <t xml:space="preserve">ﾋﾞｼﾞﾈｽｻﾎﾟｰﾄ室 </t>
  </si>
  <si>
    <t>戸丸博友</t>
  </si>
  <si>
    <t>【退職】【業】10/30 10/31 ﾋﾞｼﾞﾈｽｻﾎﾟｰﾄ室 秘書G 戸丸 博友</t>
  </si>
  <si>
    <t>栗山靖大</t>
  </si>
  <si>
    <t>【退職】【業】10/30,10/31,Vantageスタジオ,栗山靖大</t>
  </si>
  <si>
    <t>古見政樹</t>
  </si>
  <si>
    <t>【退職】【業】10/30 10/31 DE事業本部　古見 政樹</t>
  </si>
  <si>
    <t>江頭孝弘</t>
  </si>
  <si>
    <t>【退職】【業】10/30　10/31　経営管理本部　江頭孝弘（ND）</t>
  </si>
  <si>
    <t>進藤　聖志</t>
  </si>
  <si>
    <t>【退職】【業】10/30　10/31　経営管理本部　進藤聖志（ND）</t>
  </si>
  <si>
    <t>武川聖宗</t>
  </si>
  <si>
    <t>【退職】【業】10/30 10/30 武川 聖宗</t>
  </si>
  <si>
    <t>清水正輝</t>
  </si>
  <si>
    <t>【退職】【業】10/30 10/30 清水 正輝</t>
  </si>
  <si>
    <t>繁昌朗歩</t>
  </si>
  <si>
    <t>【退職】【業】10/30 10/30 繁昌 朗歩</t>
  </si>
  <si>
    <t>浅井一樹</t>
  </si>
  <si>
    <t>【退職】【業】10/30 10/30 浅井 一樹</t>
  </si>
  <si>
    <t>坂梨亜里咲</t>
  </si>
  <si>
    <t>【退職】【業】10/30 10/30 坂梨 亜里咲</t>
  </si>
  <si>
    <t>竹腰舞子</t>
  </si>
  <si>
    <t>【退職】【業】10/30 10/30 竹腰 舞子</t>
  </si>
  <si>
    <t>吉田千咲</t>
  </si>
  <si>
    <t>【退職】【業】10/30 10/30 吉田 千咲</t>
  </si>
  <si>
    <t>河原崎大宗</t>
  </si>
  <si>
    <t>【退職】【業】10/30 10/30 河原崎 大宗</t>
  </si>
  <si>
    <t>鷹野舞</t>
  </si>
  <si>
    <t>【退職】【業】10/30 10/30 鷹野 舞</t>
  </si>
  <si>
    <t>中井秀範</t>
  </si>
  <si>
    <t>【退職】【業】10/30 10/30 中井 秀範</t>
  </si>
  <si>
    <t>山口哲一</t>
  </si>
  <si>
    <t>【退職】【業】10/30 10/30 山口 哲一</t>
  </si>
  <si>
    <t>中村裕貴</t>
  </si>
  <si>
    <t>【退職】【業】10/30 10/30 中村 裕貴</t>
  </si>
  <si>
    <t>城紀実</t>
  </si>
  <si>
    <t>【退職】【業】10/30 10/30 城 紀実</t>
  </si>
  <si>
    <t>伏屋亮</t>
  </si>
  <si>
    <t>【退職】【業】10/30 10/30 伏屋 亮</t>
  </si>
  <si>
    <t>梅谷雄紀</t>
  </si>
  <si>
    <t>【退職】【業】10/30 10/30 梅谷 雄紀</t>
  </si>
  <si>
    <t>田山慶子</t>
  </si>
  <si>
    <t>【退職】【業】10/30 10/30 田山 慶子</t>
  </si>
  <si>
    <t>猪瀬和希</t>
  </si>
  <si>
    <t>【退職】【業】10/30 10/30 猪瀬 和希</t>
  </si>
  <si>
    <t>中野源一</t>
  </si>
  <si>
    <t>【退職】【業】10/30 10/30 中野 源一</t>
  </si>
  <si>
    <t>中川亮</t>
  </si>
  <si>
    <t>【退職】【業】10/30 10/30 中川 亮</t>
  </si>
  <si>
    <t>池井大貴</t>
  </si>
  <si>
    <t>【退職】【業】10/30 10/30 池井 大貴</t>
  </si>
  <si>
    <t>増田大夢</t>
  </si>
  <si>
    <t>【退職】【業】10/30 10/30 増田 大夢</t>
  </si>
  <si>
    <t>石川啓吾</t>
  </si>
  <si>
    <t>【退職】【業】10/30 10/30 石川 啓吾</t>
  </si>
  <si>
    <t>斉木麻美</t>
  </si>
  <si>
    <t>【退職】【業】10/30 10/30 斉木 麻美</t>
  </si>
  <si>
    <t>西田陸</t>
  </si>
  <si>
    <t>【退職】【業】10/30 10/30 西田 陸</t>
  </si>
  <si>
    <t>水谷亮</t>
  </si>
  <si>
    <t>【退職】【業】10/30 10/30 水谷 亮</t>
  </si>
  <si>
    <t>上野翔太</t>
  </si>
  <si>
    <t>【退職】【業】10/30 10/30 上野 翔太</t>
  </si>
  <si>
    <t>松浦誉</t>
  </si>
  <si>
    <t>【退職】【業】10/30 10/30 松浦 誉</t>
  </si>
  <si>
    <t>渋谷幸人</t>
  </si>
  <si>
    <t>【退職】【業】10/30 10/30 渋谷 幸人</t>
  </si>
  <si>
    <t>山本大輔</t>
  </si>
  <si>
    <t>【退職】【業】10/30 10/30 山本 大輔</t>
  </si>
  <si>
    <t>山口翔誠</t>
  </si>
  <si>
    <t>【退職】【業】10/30 10/30 山口 翔誠</t>
  </si>
  <si>
    <t>笹沼颯太</t>
  </si>
  <si>
    <t>【退職】【業】10/30 10/30 笹沼 颯太</t>
  </si>
  <si>
    <t>高田雄大</t>
  </si>
  <si>
    <t>【退職】【業】10/30 10/30 高田 雄大</t>
  </si>
  <si>
    <t>原田豪介</t>
  </si>
  <si>
    <t>【退職】【業】10/30 10/30 原田 豪介</t>
  </si>
  <si>
    <t>橋本貴智</t>
  </si>
  <si>
    <t>【退職】【業】10/30 10/30 橋本 貴智</t>
  </si>
  <si>
    <t>岩田貴洋</t>
  </si>
  <si>
    <t>【退職】【業】10/30 10/30 岩田 貴洋</t>
  </si>
  <si>
    <t>岡田亮</t>
  </si>
  <si>
    <t>【退職】【業】10/30 10/30 岡田 亮</t>
  </si>
  <si>
    <t>伊藤久史</t>
  </si>
  <si>
    <t>【退職】【業】10/30 10/30 伊藤 久史</t>
  </si>
  <si>
    <t>ID・ﾍﾟｲﾒﾝﾄ事業部</t>
  </si>
  <si>
    <t>高橋梨紗</t>
  </si>
  <si>
    <t>【退職】【業】10/27 11/30 高橋 梨紗</t>
  </si>
  <si>
    <t>【退職】【業】10/30 10/31 DE事業本部　田代 篤史</t>
  </si>
  <si>
    <t>小野輝也</t>
  </si>
  <si>
    <t>【退職】【ア】10/30 10/30 人材採用部付 小野 輝也</t>
  </si>
  <si>
    <t>石澤芳瑠</t>
  </si>
  <si>
    <t>【退職】【ア】10/29 10/31 人材採用部付 石澤 芳瑠</t>
  </si>
  <si>
    <t>野原将人</t>
  </si>
  <si>
    <t>【退職】【ア】10/28 10/28 人材採用部付 野原 将人</t>
  </si>
  <si>
    <t>羽田野隆斗</t>
  </si>
  <si>
    <t>【退職】【派】10/30 10/31 DE事業本部　羽田野 隆斗</t>
  </si>
  <si>
    <t>森弥那子</t>
  </si>
  <si>
    <t>【退職】【正】5/22（休職中） 11/25 モンスト事業本部　森 弥那子</t>
  </si>
  <si>
    <t>【退職】【派】10/30　10/31　サービス運営開発本部　松本進太郎（ND）</t>
  </si>
  <si>
    <t>法人サービス部</t>
  </si>
  <si>
    <t>ソフトウェアサービス事業本部</t>
  </si>
  <si>
    <t>棚井亮</t>
  </si>
  <si>
    <t>【退職】【業】10/30　10/31　法人サービス　棚井亮</t>
  </si>
  <si>
    <t>天願南々海</t>
  </si>
  <si>
    <t>【退職】【業】10/23 10/23　人材採用部　天願 南々海</t>
  </si>
  <si>
    <t>安田満</t>
  </si>
  <si>
    <t>【退職】【業】10/30 10/30 インキュベーション事業部　安田 満</t>
  </si>
  <si>
    <t>寺田鷹樹a</t>
  </si>
  <si>
    <t>【退職】【業】10/28 10/31 Vantageスタジオ 寺田鷹樹a</t>
  </si>
  <si>
    <t>牧野紀彦</t>
  </si>
  <si>
    <t>【退職】【業】10/15 10/15 モンスト事業本部 牧野 紀彦</t>
  </si>
  <si>
    <t>橋本和弥</t>
  </si>
  <si>
    <t>【退職】【業】10/15 10/15 モンスト事業本部 橋本 和弥</t>
  </si>
  <si>
    <t>川端大介</t>
  </si>
  <si>
    <t>【退職】【派】10/30 10/31 川端 大介(ND)</t>
  </si>
  <si>
    <t>【退職】【業】 10/31 10/31 デジタルエンターテインメント事業本部 原 一樹</t>
  </si>
  <si>
    <t>【退職】【派】 10/31 10/31 デジタルエンターテインメント事業本部 白井 秀憲</t>
  </si>
  <si>
    <t>青野サム竜輔</t>
  </si>
  <si>
    <t>【退職】【正】11/24 11/29  青野 サム竜輔</t>
  </si>
  <si>
    <t>坂田大</t>
  </si>
  <si>
    <t xml:space="preserve">【退職】【正】10/23 11/5 次世代エンターテイメント本部　坂田大　</t>
  </si>
  <si>
    <t xml:space="preserve">ｹﾞｰﾑ運営部 </t>
  </si>
  <si>
    <t xml:space="preserve">ﾓﾝｽﾄ事業本部 </t>
  </si>
  <si>
    <t>岡本沙保里</t>
  </si>
  <si>
    <t>【退職】【業】10/02 10/02 ﾓﾝｽﾄ事業本部 ｹﾞｰﾑ運営部 第1企画G 岡本 沙保里</t>
  </si>
  <si>
    <t>坂爪芽生</t>
  </si>
  <si>
    <t>【退職】【派】10/30　10/30　モンスト事業本部　坂爪 芽生</t>
  </si>
  <si>
    <t>岩切泰助</t>
  </si>
  <si>
    <t>【退職】【正】2020/10/09 10/31 岩切 泰助</t>
  </si>
  <si>
    <t>吉岡　俊輔</t>
  </si>
  <si>
    <t>【退職】【契】9/30 9/30　XFLAG STORE社　吉岡　俊輔</t>
  </si>
  <si>
    <t>木下幸太</t>
  </si>
  <si>
    <t>【退職】【業】9/30 10/2 モンスト事業本部事業支援室　木下幸太</t>
  </si>
  <si>
    <t>吉岡弥沙樹</t>
  </si>
  <si>
    <t>【退職】【正】10/16 10/31 統括管理本部 吉岡弥沙樹</t>
  </si>
  <si>
    <t>馬場俊佑</t>
  </si>
  <si>
    <t>【退職】【業】9/30 9/30　投資事業推進本部　馬場 俊佑</t>
  </si>
  <si>
    <t>前田康太</t>
  </si>
  <si>
    <t>退職】【業】9/30 9/30　投資事業推進本部　前田康太</t>
  </si>
  <si>
    <t>杉山篤</t>
  </si>
  <si>
    <t>【退職】【業】9/30 9/30　投資事業推進本部　杉山 篤</t>
  </si>
  <si>
    <t>武田和馬</t>
  </si>
  <si>
    <t>【退職】【業】9/30 9/30　投資事業推進本部　武田 和馬</t>
  </si>
  <si>
    <t>中川皓太</t>
  </si>
  <si>
    <t>【退職】【業】9/30 9/30　投資事業推進本部　中川 皓太</t>
  </si>
  <si>
    <t>河原井啓</t>
  </si>
  <si>
    <t>【退職】【業】9/30 9/30　投資事業推進本部 河原井 啓</t>
  </si>
  <si>
    <t>鈴木健一郎</t>
  </si>
  <si>
    <t>【退職】【業】9/30 9/30　投資事業推進本部　鈴木健一郎</t>
  </si>
  <si>
    <t>【退職】【派】9/30 9/30 人事本部 豊岡玉子</t>
  </si>
  <si>
    <t>山田大記</t>
  </si>
  <si>
    <t>【退職】【業】09/30 09/30 Vantageスタジオ 山田大記</t>
  </si>
  <si>
    <t xml:space="preserve">システム部 </t>
  </si>
  <si>
    <t>中久喜慎吾</t>
  </si>
  <si>
    <t>【退職】【業】9/30 9/30 アライアンス統括本部 中久喜 慎吾</t>
  </si>
  <si>
    <t>村上統括</t>
  </si>
  <si>
    <t>ﾋﾞｼﾞﾈｽ企画ｸﾞﾙｰﾌﾟ</t>
  </si>
  <si>
    <t>丸山慶悟</t>
  </si>
  <si>
    <t>【退職】【ア】9/25 10/31 ﾋﾞｼﾞﾈｽ企画ｸﾞﾙｰﾌﾟ 丸山 慶悟（ND）</t>
  </si>
  <si>
    <t xml:space="preserve">ﾋﾞｼﾞﾈｽ企画ｸﾞﾙｰﾌﾟ </t>
  </si>
  <si>
    <t>河野　孝太</t>
  </si>
  <si>
    <t>【退職】【ア】9/30 10/12 ﾋﾞｼﾞﾈｽ企画ｸﾞﾙｰﾌﾟ 河野 孝太(ND)</t>
  </si>
  <si>
    <t>清川航一</t>
  </si>
  <si>
    <t>【退職】【ア】9/30 9/30 人材採用部付　清川 航一</t>
  </si>
  <si>
    <t>小久保彰博</t>
  </si>
  <si>
    <t>【退職】【ア】9/30 9/30 人材採用部付 小久保 彰博</t>
  </si>
  <si>
    <t>【退職】【ア】9/30 9/30 人材採用部付 江畑 拓哉</t>
  </si>
  <si>
    <t>杉本愛美</t>
  </si>
  <si>
    <t>【退職】 【業】 09/23 09/23 労務部 労務企画ｸﾞﾙｰﾌﾟ 杉本愛美</t>
  </si>
  <si>
    <t>河野優梨</t>
  </si>
  <si>
    <t>【退職】【派】 10/9 10/9 デジタルエンターテインメント事業本部 河野 優梨</t>
  </si>
  <si>
    <t>【退職】【派】09/28　09/30 投資事業推進本部　田尾慶子</t>
  </si>
  <si>
    <t>佐藤維亮</t>
  </si>
  <si>
    <t>【退職】【業】9/25 9/30 モンスト事業本部事業支援室 佐藤 維亮</t>
  </si>
  <si>
    <t>舩橋美帆</t>
  </si>
  <si>
    <t>【退職】【業】09/30 09/30 DE事業本部 舩橋 美帆</t>
  </si>
  <si>
    <t>成田莉那</t>
  </si>
  <si>
    <t>【退職】【業】09/30 09/30 はたらく環境推進本部 成田 莉那</t>
  </si>
  <si>
    <t>【退職】【正】09/30 09/30 Vantageスタジオ 濱田愛加</t>
  </si>
  <si>
    <t>許立均</t>
  </si>
  <si>
    <t>【退職】【正】10/01 10/16 マーケティングコミュニケーション部　許 立均</t>
  </si>
  <si>
    <t>甲斐遥香</t>
  </si>
  <si>
    <t>【退職】【業】9/18 9/18 人事本部 甲斐遥香</t>
  </si>
  <si>
    <t>入山統括</t>
  </si>
  <si>
    <t>クリエイティブグループ</t>
  </si>
  <si>
    <t>【退職】【ア】9/17 9/30 石松 凛夏(ND)</t>
  </si>
  <si>
    <t>【退職】【派】9/30　9/30　デザイン本部　高橋 窯</t>
  </si>
  <si>
    <t>加藤夕貴</t>
  </si>
  <si>
    <t>【退職】【派】09/30 09/30 はたらく環境推進本部 加藤 夕貴</t>
  </si>
  <si>
    <t>ｵﾍﾟﾚｰｼｮﾝﾏﾈｼﾞﾒﾝﾄ部</t>
  </si>
  <si>
    <t>【退職】【業】 9/11 9/11 （本部名なし）江藤 剛</t>
  </si>
  <si>
    <t>二宮良</t>
  </si>
  <si>
    <t>【退職】【業】 9/11 9/11 （本部名なし）二宮 良</t>
  </si>
  <si>
    <t>【退職】【業】 9/11 9/11 （本部名なし）金田 圭一</t>
  </si>
  <si>
    <t>荻島浩美</t>
  </si>
  <si>
    <t>【退職】【業】09/30 09/30 経営推進本部 荻島浩美</t>
  </si>
  <si>
    <t>小野能宏</t>
  </si>
  <si>
    <t>【退職】【ア】09/30 09/30 minimo事業部 小野能宏</t>
  </si>
  <si>
    <t>新宮ひとみ</t>
  </si>
  <si>
    <t>【退職】【業】09/30 09/30 経営推進本部 新宮ひとみ</t>
  </si>
  <si>
    <t>竹田加奈子</t>
  </si>
  <si>
    <t>【退職】【業】09/30 09/30 経営推進本部 竹田加奈子</t>
  </si>
  <si>
    <t>海田亜希子</t>
  </si>
  <si>
    <t>【退職】【業】09/30 09/30 経営推進本部 海田亜希子</t>
  </si>
  <si>
    <t>鈴木佐枝</t>
  </si>
  <si>
    <t>【退職】【業】09/30 09/30 経営推進本部 鈴木佐枝</t>
  </si>
  <si>
    <t>林勇太</t>
  </si>
  <si>
    <t>【退職】【業】09/30 09/30 経営推進本部 林勇太</t>
  </si>
  <si>
    <t>日吉健二</t>
  </si>
  <si>
    <t>【退職】【業】09/30 09/30 経営推進本部 経営企画部 日吉健二</t>
  </si>
  <si>
    <t>中山裕子</t>
  </si>
  <si>
    <t>【退職】【業】09/30 09/30 経営推進本部 中山裕子</t>
  </si>
  <si>
    <t>【退職】【正】09/25 09/30 インキュベーション事業部 中村 良一</t>
  </si>
  <si>
    <t>中村圭介</t>
  </si>
  <si>
    <t>【退職】【正】09/25 09/30 インキュベーション事業部 中村 圭介</t>
  </si>
  <si>
    <t>伊藤雅人</t>
  </si>
  <si>
    <t>【退職】【業】 9/10 9/15 デジタルエンターテインメント事業本部 伊藤 雅人</t>
  </si>
  <si>
    <t>鵜殿統括</t>
  </si>
  <si>
    <t>ﾒﾃﾞｨｱ&amp;ｴﾝﾀｰﾃｲﾒﾝﾄ事業ﾕﾆｯﾄ</t>
  </si>
  <si>
    <t>三浦拓也</t>
  </si>
  <si>
    <t>【退職】【ア】9/28 9/30 三浦拓也(ND)</t>
  </si>
  <si>
    <t>水谷龍斗</t>
  </si>
  <si>
    <t>【退職】【業】08/31 09/30 デザイン本部 水谷龍斗</t>
  </si>
  <si>
    <t>茂木孝浩</t>
  </si>
  <si>
    <t>【退職】【業】08/31 09/30 茂木 孝浩</t>
  </si>
  <si>
    <t>古屋龍生</t>
  </si>
  <si>
    <t>【退職】【業】08/31 9/30 デザイン本部 古屋龍生</t>
  </si>
  <si>
    <t>小山早紀</t>
  </si>
  <si>
    <t>【退職】【派】9/14 9/30 Vantage 新規事業開発室 miximartG 小山早紀</t>
  </si>
  <si>
    <t>田中涼賀</t>
  </si>
  <si>
    <t>【退職】【ア】9/18 9/18 人材採用部付　田中 涼賀</t>
  </si>
  <si>
    <t>新井悠介</t>
  </si>
  <si>
    <t>【退職】【ア】9/15 9/15 人材採用部付　新井 悠介</t>
  </si>
  <si>
    <t>【退職】【契】2020/09/30 2020/09/30 統括管理本部 高林 昌史</t>
  </si>
  <si>
    <t>浦崎麗子</t>
  </si>
  <si>
    <t>【退職】【派】9/30 9/30 アライアンス統括本部 浦崎 麗子</t>
  </si>
  <si>
    <t>中野　優希</t>
  </si>
  <si>
    <t>【退職】【ア】9/29 9/30 XFLAG STORE 　中野　優希</t>
  </si>
  <si>
    <t>金垣　大輝</t>
  </si>
  <si>
    <t>【退職】【ア】9/29 9/30 XFLAG STORE 　金垣　大輝</t>
  </si>
  <si>
    <t>樋口美保子</t>
  </si>
  <si>
    <t>【退職】【業】9/15 9/15 人材採用部 樋口 美保子</t>
  </si>
  <si>
    <t>齋藤大</t>
  </si>
  <si>
    <t>【退職】【業】2020/9/4 2020/9/4 はたらく環境推進本部 齋藤 大</t>
  </si>
  <si>
    <t>猪俣純子</t>
  </si>
  <si>
    <t>【退職】【派】2018/11/30　2018/11/30　経営推進本部　猪俣純子</t>
  </si>
  <si>
    <t>金子智美</t>
  </si>
  <si>
    <t>【退職】【派】2018/10/9　2018/10/9 　経営推進本部　金子智美</t>
  </si>
  <si>
    <t>伊藤市子</t>
  </si>
  <si>
    <t>【退職】【派】2018/10/9　2018/10/9　経営推進本部　伊藤市子</t>
  </si>
  <si>
    <t>金子真奈</t>
  </si>
  <si>
    <t>【退職】【派】2018/12/31 　2018/12/31　経営推進本部　金子真奈</t>
  </si>
  <si>
    <t>与那原樹香</t>
  </si>
  <si>
    <t>【退職】【派】2019/1/16　 2019/1/16　経営推進本部　与那原樹香</t>
  </si>
  <si>
    <t>大砂真由子</t>
  </si>
  <si>
    <t>【退職】【派】2018/9/10 2018/9/10　経営推進本部　大砂真由子</t>
  </si>
  <si>
    <t>川本香織</t>
  </si>
  <si>
    <t>【退職】【派】2019/8/7　2019/8/7　経営推進本部　川本香織</t>
  </si>
  <si>
    <t>今野志津香</t>
  </si>
  <si>
    <t>【退職】【派】2019/11/12　2019/11/12　経営推進本部　今野志津香</t>
  </si>
  <si>
    <t>桜井友維</t>
  </si>
  <si>
    <t>【退職】【派】2019/12/10　2019/12/31　経営推進本部　桜井友維</t>
  </si>
  <si>
    <t>佐藤新太</t>
  </si>
  <si>
    <t>【退職】【ア】9/4 9/4 人材採用部付 佐藤 新太</t>
  </si>
  <si>
    <t>山田敬汰</t>
  </si>
  <si>
    <t>【退職】【ア】9/4 9/4 人材採用部付 山田 敬汰</t>
  </si>
  <si>
    <t>米田　陶哉</t>
  </si>
  <si>
    <t>【退職】【正】09/25  09/30 ﾓﾝｽﾄ事業本部 米田陶哉</t>
  </si>
  <si>
    <t>永井理恵</t>
  </si>
  <si>
    <t>【退職】【派】9/8 9/30 はたらく環境推進本部 永井 理恵</t>
  </si>
  <si>
    <t>菅野衛</t>
  </si>
  <si>
    <t>【退職】【業】8/26 8/31 モンスト事業本部事業支援室 菅野 衛</t>
  </si>
  <si>
    <t>久田眞由美</t>
  </si>
  <si>
    <t>【退職】【契】09/11 09/30 デザイン本部 久田 眞由美</t>
  </si>
  <si>
    <t>【退職】【業】8/28 8/31 異儀田 諭(業務委託から正社員切り替え)</t>
  </si>
  <si>
    <t>土井内舟</t>
  </si>
  <si>
    <t>【退職】【業】8/31 9/1 土井内 舟</t>
  </si>
  <si>
    <t>石井貴幸</t>
  </si>
  <si>
    <t>【退職】【業】8/31 9/1 石井 貴幸</t>
  </si>
  <si>
    <t>福吉真之</t>
  </si>
  <si>
    <t>【退職】【業】8/31 9/1 福吉 真之</t>
  </si>
  <si>
    <t>岡裕也</t>
  </si>
  <si>
    <t>【退職】【業】8/31 9/1 岡 裕也</t>
  </si>
  <si>
    <t>シャヒームカーン</t>
  </si>
  <si>
    <t>【退職】【業】8/31 9/1  シャヒーム カーン</t>
  </si>
  <si>
    <t>徳方直紀</t>
  </si>
  <si>
    <t>【退職】【業】8/31 9/1 徳方 直紀</t>
  </si>
  <si>
    <t>小泉太郎</t>
  </si>
  <si>
    <t>【退職】【業】8/31 9/1 小泉 太郎</t>
  </si>
  <si>
    <t>【退職】【ア】8/31 8/31 人材採用部付 木俣 太地</t>
  </si>
  <si>
    <t>河明宗</t>
  </si>
  <si>
    <t>【退職】【ア】8/28 8/28 人材採用部付 河 明宗</t>
  </si>
  <si>
    <t>中田健誠</t>
  </si>
  <si>
    <t>【退職】【ア】8/28 8/28 人材採用部付 中田 健誠</t>
  </si>
  <si>
    <t>湯浅友杏妃</t>
  </si>
  <si>
    <t>【退職】【ア】8/28 9/4 湯浅 友杏妃(ND)</t>
  </si>
  <si>
    <t>澤口薫</t>
  </si>
  <si>
    <t>【退職】【業】9/30 9/30 ミクシィ・リクルートメント 澤口 薫</t>
  </si>
  <si>
    <t>成田恵子</t>
  </si>
  <si>
    <t>【退職】【業】9/29 9/29 ミクシィ・リクルートメント 成田恵子</t>
  </si>
  <si>
    <t>太田一行</t>
  </si>
  <si>
    <t>【退職】【正】9/3 9/11 次世代ｴﾝﾀｰﾃｲﾝﾒﾝﾄ事業本部 太田一行</t>
  </si>
  <si>
    <t>久渡　広樹</t>
  </si>
  <si>
    <t>【退職】【業】9/25　9/30　モンスト事業本部事業支援室　久渡広樹</t>
  </si>
  <si>
    <t>高見　留花</t>
  </si>
  <si>
    <t>【退職】【ア】8/15 8/31 XFLAG STORE 　高見　留花</t>
  </si>
  <si>
    <t>肥田木雄大</t>
  </si>
  <si>
    <t>【退職】【業】08/14 08/14 DE事業本部 肥田木 雄大</t>
  </si>
  <si>
    <t>齋藤里枝</t>
  </si>
  <si>
    <t>【退職】【業】08/07 08/07 DE事業本部 齋藤 里枝</t>
  </si>
  <si>
    <t>吉井利充</t>
  </si>
  <si>
    <t>【退職】【業】08/07 08/07 DE事業本部 吉井 利充</t>
  </si>
  <si>
    <t xml:space="preserve">デジタルエンターテインメント事業本部 </t>
  </si>
  <si>
    <t>董　絵里</t>
  </si>
  <si>
    <t>【退職】【正】10/30 10/31 事業企画部マーケティングインテリジェンスG 董絵里</t>
  </si>
  <si>
    <t>宮川享</t>
  </si>
  <si>
    <t xml:space="preserve">【退職】【業】08/31 08/31 宮川 享 </t>
  </si>
  <si>
    <t>矢貝春奈</t>
  </si>
  <si>
    <t>【退職】【業】08/31 08/31 Vatageスタジオ 矢貝 春奈</t>
  </si>
  <si>
    <t>緒方翔</t>
  </si>
  <si>
    <t>【退職】【ア】8/7 8/7 人材採用部付 緒方 翔</t>
  </si>
  <si>
    <t>メディア＆エンターテイメント事業ユニット</t>
  </si>
  <si>
    <t>金子克紀</t>
  </si>
  <si>
    <t>【退職】【ア】4/20 4/20　メディア＆エンターテイメント事業ユニット   金子 克紀(ND)</t>
  </si>
  <si>
    <t>持木絵理子</t>
  </si>
  <si>
    <t>【退職】【派】4/15  4/15  経営管理グループ　持木 絵理子(ND)</t>
  </si>
  <si>
    <t>梅沢阿紗子</t>
  </si>
  <si>
    <t>【退職】【業】8/5 8/5 人事本部 梅沢 阿紗子</t>
  </si>
  <si>
    <t>雨宮奈々美</t>
  </si>
  <si>
    <t>【退職】【業】8/5 8/5 人事本部 雨宮奈々美</t>
  </si>
  <si>
    <t>伊藤嘉康</t>
  </si>
  <si>
    <t>【退職】【正】8/31 8/31 デザイン本部 伊藤 嘉康</t>
  </si>
  <si>
    <t>佐藤正隆</t>
  </si>
  <si>
    <t>【退職】【正】08/14 08/31 minimo事業部 佐藤正隆</t>
  </si>
  <si>
    <t>藤原　大豪</t>
  </si>
  <si>
    <t>【退職】【業】7/30 7/31 マーケティングコミュニケーション部　藤原 大豪</t>
  </si>
  <si>
    <t>ﾃﾞｰﾀﾏｰｹﾃｨﾝｸﾞ室</t>
  </si>
  <si>
    <t>江草啓晶</t>
  </si>
  <si>
    <t>【退職】【正】8/11 8/31　ﾓﾝｽﾄ事業本部　江草 啓晶</t>
  </si>
  <si>
    <t>神田一政</t>
  </si>
  <si>
    <t>【退職】【正】08/07 09/06 次世代エンターテイメント事業本部　神田一政</t>
  </si>
  <si>
    <t>犬伏真広</t>
  </si>
  <si>
    <t>【退職】【業】8/31 8/31 投資事業推進本部　犬伏真広</t>
  </si>
  <si>
    <t>丸林俊介</t>
  </si>
  <si>
    <t>【退職】【業】07/31 07/31 社内IT室 丸林 俊介</t>
  </si>
  <si>
    <t>大塚教香</t>
  </si>
  <si>
    <t>【退職】【業】7/31 7/31モンスト事業本部 大塚 教香</t>
  </si>
  <si>
    <t>花田智憲</t>
  </si>
  <si>
    <t>【退職】【業】7/31 7/31 Vantageスタジオ みてね事業部 花田 智憲</t>
  </si>
  <si>
    <t>【退職】【業】 7/22 7/31 デジタルエンターテインメント事業本部 二宮 良</t>
  </si>
  <si>
    <t>長島千佳</t>
  </si>
  <si>
    <t>【退職】【業】07/17　07/17　経営推進本部　長島 千佳</t>
  </si>
  <si>
    <t>古源真一</t>
  </si>
  <si>
    <t>【退職】【業】07/17　07/17　経営推進本部　古源 真一</t>
  </si>
  <si>
    <t>柴山知也</t>
  </si>
  <si>
    <t>【退職】【正】08/12 08/31 人事本部 柴山 知也</t>
  </si>
  <si>
    <t>小松愛</t>
  </si>
  <si>
    <t>【退職】【業】2020/07/31 2020/07/31 はたらく環境推進本部 小松 愛</t>
  </si>
  <si>
    <t>西山幸一</t>
  </si>
  <si>
    <t>【退職】【業】07/17 07/17 DE事業本部 西山 幸一</t>
  </si>
  <si>
    <t>奈良岡仁</t>
  </si>
  <si>
    <t>【退職】【業】07/16 07/16 開発本部 奈良岡 仁</t>
  </si>
  <si>
    <t>上野陽子</t>
  </si>
  <si>
    <t>【退職】【業】07/16 07/16 開発本部 上野 陽子</t>
  </si>
  <si>
    <t>広保友樹</t>
  </si>
  <si>
    <t>【退職】【業】07/01 07/16 Vantageスタジオ 広保 友樹</t>
  </si>
  <si>
    <t>小林岳史</t>
  </si>
  <si>
    <t>【退職】【業】07/01 07/16 Vantageスタジオ 小林 岳史</t>
  </si>
  <si>
    <t>滝脇尚介</t>
  </si>
  <si>
    <t>【退職】【業】07/01 07/16 Vantageスタジオ 滝脇 尚介</t>
  </si>
  <si>
    <t>岡本吉平</t>
  </si>
  <si>
    <t>【退職】【業】07/01 07/16 Vantageスタジオ 岡本吉平</t>
  </si>
  <si>
    <t>澤村信吾</t>
  </si>
  <si>
    <t>【退職】【業】07/01 07/16 Vatageスタジオ 澤村 信吾</t>
  </si>
  <si>
    <t>進真穂</t>
  </si>
  <si>
    <t>【退職】【業】7/10 7/31　投資・事業推進部　進 真穂</t>
  </si>
  <si>
    <t>西川順</t>
  </si>
  <si>
    <t>【退職】【業】7/10 7/31　投資・事業推進部　西川 順</t>
  </si>
  <si>
    <t>後藤勝哉</t>
  </si>
  <si>
    <t>【退職】【業】7/10 7/31　投資・事業推進部　後藤 勝哉</t>
  </si>
  <si>
    <t>赤坂優</t>
  </si>
  <si>
    <t>【退職】【業】7/10 7/31　投資・事業推進部　赤坂 優</t>
  </si>
  <si>
    <t>大西智之</t>
  </si>
  <si>
    <t>【退職】【業】07/31 07/31 大西 智之</t>
  </si>
  <si>
    <t>高井葵</t>
  </si>
  <si>
    <t>【退職】【業】07/10 07/10 　高井 葵</t>
  </si>
  <si>
    <t>工藤哲也</t>
  </si>
  <si>
    <t>【退職】【業】7/22 7/22 工藤哲也</t>
  </si>
  <si>
    <t>持田美織</t>
  </si>
  <si>
    <t>【退職】【業】7/21 7/21 持田 美織</t>
  </si>
  <si>
    <t>寺島大樹</t>
  </si>
  <si>
    <t>【退職】【業】7/21 7/21 寺島大樹</t>
  </si>
  <si>
    <t>田中泰生</t>
  </si>
  <si>
    <t>【退職】【業】7/21 7/21 田中泰生</t>
  </si>
  <si>
    <t>市川大亮a</t>
  </si>
  <si>
    <t>【退職】【業】 7/31 7/31 市川 大亮a</t>
  </si>
  <si>
    <t>山島賢明</t>
  </si>
  <si>
    <t>【退職】【業】 7/31 7/31 山島 賢明</t>
  </si>
  <si>
    <t>佐藤美咲</t>
  </si>
  <si>
    <t>【退職】【業】 7/31 7/31 佐藤 美咲</t>
  </si>
  <si>
    <t>オペレーションマネジメント部</t>
  </si>
  <si>
    <t>【退職】【業】 7/31 7/31 MKP 佐藤 美咲</t>
  </si>
  <si>
    <t>【退職】【業】 7/31 7/31 MKP 市川 大亮a</t>
  </si>
  <si>
    <t>【退職】【業】 7/31 7/31 MKP 山島 賢明</t>
  </si>
  <si>
    <t>田上真衣</t>
  </si>
  <si>
    <t>【退職】【業】7/9  7/9 事業支援室　田上真衣</t>
  </si>
  <si>
    <t>新川康裕</t>
  </si>
  <si>
    <t>【退職】【業】7/15 7/15 Honey事業部 新川 康裕</t>
  </si>
  <si>
    <t>劔持駿</t>
  </si>
  <si>
    <t>【退職】【業】7/10 7/10 事業支援室 劔持 駿</t>
  </si>
  <si>
    <t>関根悠</t>
  </si>
  <si>
    <t>【退職】【業】7/10  7/10 事業支援室　関根悠</t>
  </si>
  <si>
    <t>椎村亮太</t>
  </si>
  <si>
    <t>【退職】【業】06/30 06/30 コンプライアンス本部 椎村 亮太</t>
  </si>
  <si>
    <t>澤井信二</t>
  </si>
  <si>
    <t>【退職】【業】06/30 06/30 コンプライアンス本部 澤井 信二</t>
  </si>
  <si>
    <t>鶴翔太</t>
  </si>
  <si>
    <t>【退職】【業】06/30 06/30 コンプライアンス本部 鶴 翔太</t>
  </si>
  <si>
    <t>土屋豪</t>
  </si>
  <si>
    <t>【退職】【業】06/30 06/30 コンプライアンス本部 土屋 豪</t>
  </si>
  <si>
    <t>岩田啓</t>
  </si>
  <si>
    <t>【退職 】【業】06/30 06/30 コンプライアンス本部 岩田 啓</t>
  </si>
  <si>
    <t>山口隆二</t>
  </si>
  <si>
    <t>【退職 】【業】06/30 06/30 コンプライアンス本部 山口 隆二</t>
  </si>
  <si>
    <t>成尾文秀</t>
  </si>
  <si>
    <t>【退職】【業】07/08 07/08 開発本部 成尾 文秀</t>
  </si>
  <si>
    <t>編集グループ</t>
  </si>
  <si>
    <t>齋藤真</t>
  </si>
  <si>
    <t>【退職】【ア】7/8  7/8  編集グループ　齋藤 真(ND)</t>
  </si>
  <si>
    <t>瀬川幹太</t>
  </si>
  <si>
    <t>【退職】【業】7/15 7/16  瀬川 幹太</t>
  </si>
  <si>
    <t>東恩納光</t>
  </si>
  <si>
    <t>【退職】【業】07/02 07/03 東恩納 光</t>
  </si>
  <si>
    <t>野口孝幸</t>
  </si>
  <si>
    <t>【退職】【業】07/02 07/03 野口 孝幸</t>
  </si>
  <si>
    <t>前田光輝</t>
  </si>
  <si>
    <t>【退職】【業】07/02 07/03 前田 光輝</t>
  </si>
  <si>
    <t>西田翔平</t>
  </si>
  <si>
    <t>【退職】【正】8/3 8/31 デザイン本部_西田翔平</t>
  </si>
  <si>
    <t>ヘカテ</t>
  </si>
  <si>
    <t>堤悠希</t>
  </si>
  <si>
    <t>【退職】【業】7/31 7/31 アライアンス統括本部 堤悠希</t>
  </si>
  <si>
    <t>【退職】【業】7/31 7/31 アライアンス統括本部 小川隆</t>
  </si>
  <si>
    <t xml:space="preserve">スポーツ事業本部 </t>
  </si>
  <si>
    <t>山本航平</t>
  </si>
  <si>
    <t>【退職】【業】 6/30 6/30 スポーツ事業本部 山本 航平</t>
  </si>
  <si>
    <t>ｈｏｎｅｙ事業部</t>
  </si>
  <si>
    <t>松延真</t>
  </si>
  <si>
    <t>【退職】【業】6/30 6/30 DE事業本部 松延 真</t>
  </si>
  <si>
    <t>伊藤浩二郎</t>
  </si>
  <si>
    <t>【退職】【業】6/30 6/30 DE事業本部 伊藤 浩二郎</t>
  </si>
  <si>
    <t>富樫美和</t>
  </si>
  <si>
    <t>【退職】【業】07/10 07/10 モンスト事業本部 富樫 美和</t>
  </si>
  <si>
    <t>岩村直人</t>
  </si>
  <si>
    <t>【退職】【出向解除】【正】7/16　8/31　ﾃﾞｼﾞﾀﾙｴﾝﾀｰﾃｲﾝﾒﾝﾄ事業本部 岩村直人</t>
  </si>
  <si>
    <t>服部謙児</t>
  </si>
  <si>
    <t>【退職】【業】07/01 07/01 モンスト事業本部 服部謙児</t>
  </si>
  <si>
    <t>齋藤翼</t>
  </si>
  <si>
    <t>【退職】【業】6/30 6/30 はたらく環境推進本部 齋藤 翼</t>
  </si>
  <si>
    <t>木村叡代</t>
  </si>
  <si>
    <t>【退職】【業】6/30 6/30 人事本部 木村叡代</t>
  </si>
  <si>
    <t>ヤンソン</t>
  </si>
  <si>
    <t>【退職】【業】6/30 6/30 人事本部 ヤンソン</t>
  </si>
  <si>
    <t>野口恵</t>
  </si>
  <si>
    <t>【退職】【派】 6/26 6/30 ﾃﾞｼﾞﾀﾙｴﾝﾀｰﾃｲﾝﾒﾝﾄ事業本部 野口 恵</t>
  </si>
  <si>
    <t>寺田　鷹樹</t>
  </si>
  <si>
    <t>【退職】【正】7/10 /7/31　デザイン本部 寺田 鷹樹</t>
  </si>
  <si>
    <t>藤倉皓平</t>
  </si>
  <si>
    <t>【退職】【正】08/07 08/31 スポーツ事業本部 藤倉 皓平</t>
  </si>
  <si>
    <t>畑祐二朗</t>
  </si>
  <si>
    <t>【退職】【正】08/21 08/31 スポーツ事業本部 畑 祐二朗</t>
  </si>
  <si>
    <t>Honey事業部</t>
  </si>
  <si>
    <t>高橋史浩</t>
  </si>
  <si>
    <t>【退職】【業】6月30日 6月30日 DE事業本部 高橋史浩</t>
  </si>
  <si>
    <t>竹田芳幸</t>
  </si>
  <si>
    <t>【退職】【業】6/30_6/30_スポーツ事業本部_竹田 芳幸</t>
  </si>
  <si>
    <t xml:space="preserve">法人サービス事業ユニット </t>
  </si>
  <si>
    <t>飯島健人</t>
  </si>
  <si>
    <t>【退職】【派】6/22  6/30 法人サービス事業ユニット 飯島健人(ND)</t>
  </si>
  <si>
    <t>藤田健也</t>
  </si>
  <si>
    <t>【退職】【業】6/30 6/30 ﾋﾞｼﾞﾈｽ企画ｸﾞﾙｰﾌﾟ 藤田 健也（ND）</t>
  </si>
  <si>
    <t>ブイヤン　オレリアン</t>
  </si>
  <si>
    <t>【退職】【正】07/01 07/31 Vantageスタジオ みてね事業部 ブイヤン オレリアン</t>
  </si>
  <si>
    <t>木村恒希</t>
  </si>
  <si>
    <t>【退職】【業】06/19 06/19 はたらく環境推進本部 木村 恒希</t>
  </si>
  <si>
    <t>安藤悠</t>
  </si>
  <si>
    <t>【退職】【業】06/19 06/19 はたらく環境推進本部 安藤 悠</t>
  </si>
  <si>
    <t>遠山義雅</t>
  </si>
  <si>
    <t>【退職】【業】06/19 06/19 はたらく環境推進本部 遠山 義雅</t>
  </si>
  <si>
    <t>松井美奈歩</t>
  </si>
  <si>
    <t>【退職】【業】06/19 06/19 はたらく環境推進本部 松井 美奈歩</t>
  </si>
  <si>
    <t>太田幸司</t>
  </si>
  <si>
    <t>【退職】【業】06/19 06/19 はたらく環境推進本部 太田 幸司</t>
  </si>
  <si>
    <t>米倉則明</t>
  </si>
  <si>
    <t>【退職】【業】06/19 06/19 はたらく環境推進本部 米倉 則明</t>
  </si>
  <si>
    <t>松田祐介</t>
  </si>
  <si>
    <t>【退職】【業】12/27_12/31_スポーツ事業本部_松田 祐介</t>
  </si>
  <si>
    <t>開原　信一</t>
  </si>
  <si>
    <t>【退職】【業】6/26 6/30 経営推進本部　投資事業推進部　開原 信一</t>
  </si>
  <si>
    <t>福井耕一</t>
  </si>
  <si>
    <t>【退職】【業】6/26 6/30 経営推進本部　投資事業推進部　福井 耕一</t>
  </si>
  <si>
    <t>田中剛</t>
  </si>
  <si>
    <t>【退職】【業】6/26 6/30 経営推進本部　投資事業推進部　田中 剛</t>
  </si>
  <si>
    <t>大田原喜昭</t>
  </si>
  <si>
    <t>【退職】【正】06/19 06/30 人事本部人事企画部 大田原喜昭</t>
  </si>
  <si>
    <t>小島慶介</t>
  </si>
  <si>
    <t>【退職】【業】6/30 6/30_スポーツ事業本部_小島 慶介</t>
  </si>
  <si>
    <t xml:space="preserve">スポーツ事業本部  </t>
  </si>
  <si>
    <t>大野佑</t>
  </si>
  <si>
    <t>【退職】【業】6/30 6/30_スポーツ事業本部_大野 佑</t>
  </si>
  <si>
    <t>ｽﾎﾟｰﾂ ｷﾞﾌ ﾃｨﾝｸﾞ部</t>
  </si>
  <si>
    <t>村山寛明</t>
  </si>
  <si>
    <t>【退職】【正】7/3　8/31 次世代ｴﾝﾀｰﾃｲﾝﾒﾝﾄ事業本部 村山寛明</t>
  </si>
  <si>
    <t>加藤善治</t>
  </si>
  <si>
    <t>【退職】 【業】06/12 06/12 加藤 善治</t>
  </si>
  <si>
    <t>渡邉静</t>
  </si>
  <si>
    <t>【退職】【正】6/29 7/31 マーケティングコミュニケーション部　渡邉 静</t>
  </si>
  <si>
    <t>熊澤良太</t>
  </si>
  <si>
    <t>【退職】【正】6/19 7/10 統括管理本部 熊澤 良太</t>
  </si>
  <si>
    <t>大野友希菜</t>
  </si>
  <si>
    <t>【退職】【業】6/10 6/15 大野　友希菜</t>
  </si>
  <si>
    <t>【退職】【業】06/30 06/30 次世代エンターテインメント事業本部 川岸 滋也</t>
  </si>
  <si>
    <t>湯川成美</t>
  </si>
  <si>
    <t>【退職】【正】6/30　6/30　スポーツ事業本部 湯川成美</t>
  </si>
  <si>
    <t>次世代エンターテイメント本部</t>
  </si>
  <si>
    <t>下田健二朗</t>
  </si>
  <si>
    <t>【退職】【正】2020/06/10　2020/07/15　次世代エンターテイメント本部　下田 健二朗</t>
  </si>
  <si>
    <t>佐田幸大</t>
  </si>
  <si>
    <t>【退職】【業】5/29 5/31　佐田 幸大</t>
  </si>
  <si>
    <t>ﾃﾞｻﾞｲﾝ戦略室</t>
  </si>
  <si>
    <t>下田淳</t>
  </si>
  <si>
    <t>【退職】【正】03/18 05/31 ﾃﾞｻﾞｲﾝ戦略室 下田　淳</t>
  </si>
  <si>
    <t>ﾗｲﾌﾞ動画ﾌﾟﾗｯﾄﾌｫｰﾑ事業部</t>
  </si>
  <si>
    <t>田沼遼輔</t>
  </si>
  <si>
    <t>【退職】【業】05/29 05/29 　田沼 遼輔</t>
  </si>
  <si>
    <t>中田愛澄</t>
  </si>
  <si>
    <t>【退職】【業】 5/29 5/31 中田 愛澄</t>
  </si>
  <si>
    <t>ゲームオペレーション部</t>
  </si>
  <si>
    <t>株式会社MKP</t>
  </si>
  <si>
    <t>【退職】【派】05/29 05/31 労務部 日下ななみ</t>
  </si>
  <si>
    <t>北原卓真</t>
  </si>
  <si>
    <t>【退職】【業】3/31 5/26 はたらく環境推進本部 北原 卓真</t>
  </si>
  <si>
    <t>関野紘一</t>
  </si>
  <si>
    <t>【退職】【業】3/31 5/26 はたらく環境推進本部 関野 紘一</t>
  </si>
  <si>
    <t>梶原駿</t>
  </si>
  <si>
    <t>【退職】【正】6/8　6/30 スポーツ事業本部 梶原 駿</t>
  </si>
  <si>
    <t>【退職】【派】5/29　5/31　モンスト事業本部　丹羽 茂雄</t>
  </si>
  <si>
    <t>川本光輝</t>
  </si>
  <si>
    <t>【退職】【業】 5/19 5/29 スポーツ事業本部 川本光輝</t>
  </si>
  <si>
    <t>坂本光世</t>
  </si>
  <si>
    <t>【退職】【業】 5/19 5/29 スポーツ事業本部 坂本光世</t>
  </si>
  <si>
    <t>前田奈緒</t>
  </si>
  <si>
    <t>【退職】【正】5/25 6/30 マーケティングコミュニケーション部　前田 奈緒</t>
  </si>
  <si>
    <t>【退職】【業】 3/31 3/31 今井 俊文</t>
  </si>
  <si>
    <t>秋葉　彩香</t>
  </si>
  <si>
    <t>【退職】【ア】01/7 01/15 XFLAG STORE 秋葉　彩香</t>
  </si>
  <si>
    <t>赤羽由希子</t>
  </si>
  <si>
    <t>【退職】【業】5/29 5/31 ｲﾝｷｭﾍﾞｰｼｮﾝ事業部 赤羽 由希子</t>
  </si>
  <si>
    <t>髙橋正樹</t>
  </si>
  <si>
    <t>【退職】【業】5/29 5/31 ｲﾝｷｭﾍﾞｰｼｮﾝ事業部 髙橋 正樹</t>
  </si>
  <si>
    <t>小川哲也</t>
  </si>
  <si>
    <t>【退職】【業】5/29 5/31 ｲﾝｷｭﾍﾞｰｼｮﾝ事業部 小川 哲也</t>
  </si>
  <si>
    <t>山内隆a</t>
  </si>
  <si>
    <t>【退職】【業】5/29 5/31 ｲﾝｷｭﾍﾞｰｼｮﾝ事業部 山内 隆a</t>
  </si>
  <si>
    <t>小川崇光</t>
  </si>
  <si>
    <t xml:space="preserve">【退職】【業】5/29 5/31 ｲﾝｷｭﾍﾞｰｼｮﾝ事業部  小川 崇光 </t>
  </si>
  <si>
    <t>三宅慎太郎</t>
  </si>
  <si>
    <t>【退職】【業】5/29 5/31 ｲﾝｷｭﾍﾞｰｼｮﾝ事業部 三宅 慎太郎</t>
  </si>
  <si>
    <t>城間大輔</t>
  </si>
  <si>
    <t>【退職】【業】5/29 5/31 ｲﾝｷｭﾍﾞｰｼｮﾝ事業部 城間 大輔</t>
  </si>
  <si>
    <t>野口健太郎</t>
  </si>
  <si>
    <t>【退職】【業】5/29 5/31 ｲﾝｷｭﾍﾞｰｼｮﾝ事業部 野口 健太郎</t>
  </si>
  <si>
    <t>西窪洋平</t>
  </si>
  <si>
    <t>【退職】【業】5/15 5/15 インキュベーション事業部 西窪 洋平</t>
  </si>
  <si>
    <t>根本英明</t>
  </si>
  <si>
    <t>【退職】【業】5/15 5/15 インキュベーション事業部 根本 英明</t>
  </si>
  <si>
    <t>成沢理恵</t>
  </si>
  <si>
    <t>【退職】【業】5/15 5/15 インキュベーション事業部 成沢 理恵</t>
  </si>
  <si>
    <t>宮武麻衣</t>
  </si>
  <si>
    <t>【退職】【業】 4/28 4/30 宮武 麻衣</t>
  </si>
  <si>
    <t>中谷俊介</t>
  </si>
  <si>
    <t>【退職】【業】 4/28 4/30 中谷 俊介</t>
  </si>
  <si>
    <t>山崎和美</t>
  </si>
  <si>
    <t>【退職】【正】06/05 08/14 人事本部 山崎 和美</t>
  </si>
  <si>
    <t>山下正樹</t>
  </si>
  <si>
    <t>【退職】【業】5/29 5/29 ミクシィ・リクルートメント 山下正樹</t>
  </si>
  <si>
    <t>桃原彩乃</t>
  </si>
  <si>
    <t>【退職】【正】12/17 05/08 スポーツ事業本部 桃原 彩乃</t>
  </si>
  <si>
    <t>角田惇</t>
  </si>
  <si>
    <t>【退職】【正】5/12　6/15 次世代ｴﾝﾀｰﾃｲﾝﾒﾝﾄ事業本部 角田 惇</t>
  </si>
  <si>
    <t>高野将之</t>
  </si>
  <si>
    <t>【退職】【業】4/30 4/30 人事本部 高野 将之</t>
  </si>
  <si>
    <t>平野貴啓</t>
  </si>
  <si>
    <t>【退職】【業】 4/30 4/30 平野 貴啓</t>
  </si>
  <si>
    <t>三葛裕貴</t>
  </si>
  <si>
    <t>【退職】【業】 4/30 4/30 三葛 裕貴</t>
  </si>
  <si>
    <t>畠山愛美</t>
  </si>
  <si>
    <t>【退職】【業】 4/30 4/30 畠山 愛美</t>
  </si>
  <si>
    <t>清水舞子</t>
  </si>
  <si>
    <t>【退職】【業】5/14 5/15 清水 舞子</t>
  </si>
  <si>
    <t>越島健介</t>
  </si>
  <si>
    <t>【退職】【業】5/14 5/15 越島 健介</t>
  </si>
  <si>
    <t>松山勇輝</t>
  </si>
  <si>
    <t>【退職】【業】5/14 5/15 松山 勇輝</t>
  </si>
  <si>
    <t>丹下恵里</t>
  </si>
  <si>
    <t>【退職】【業】5/14 5/15 丹下 恵里</t>
  </si>
  <si>
    <t>木村憲仁</t>
  </si>
  <si>
    <t>【退職】【業】5/14 5/15 木村 憲仁</t>
  </si>
  <si>
    <t>野畑壱成</t>
  </si>
  <si>
    <t>【退職】【業】5/14 5/15 野畑 壱成</t>
  </si>
  <si>
    <t>枝村遼</t>
  </si>
  <si>
    <t>【退職】【業】5/29 5/31 ｲﾝｷｭﾍﾞｰｼｮﾝ事業部 枝村 遼</t>
  </si>
  <si>
    <t>【退職】【ア】4/30 4/30 人事部付 木俣 太地</t>
  </si>
  <si>
    <t>有田昭太郎</t>
  </si>
  <si>
    <t>【退職】【業】4/30 4/30 はたらく環境推進本部 有田 昭太郎</t>
  </si>
  <si>
    <t>新井南子</t>
  </si>
  <si>
    <t>【退職】【業】4/30 4/30 はたらく環境推進本部 新井 南子</t>
  </si>
  <si>
    <t>河野聡太</t>
  </si>
  <si>
    <t>【退職】【正】05/29 05/31 モンスト事業本部 河野聡太</t>
  </si>
  <si>
    <t xml:space="preserve"> ｹﾞｰﾑ運営部</t>
  </si>
  <si>
    <t>矢野駿太郎</t>
  </si>
  <si>
    <t>【退職】【業】4/30 4/30 ゲーム運営部　矢野駿太郎</t>
  </si>
  <si>
    <t>久保勇二</t>
  </si>
  <si>
    <t>【退職】【業】4/20　4/30　ﾓﾝｽﾄ事業本部　久保 勇二</t>
  </si>
  <si>
    <t>鹿島一樹</t>
  </si>
  <si>
    <t>【退職】【業】 4/30 4/30 鹿島 一樹</t>
  </si>
  <si>
    <t>ジェイカップブライアン</t>
  </si>
  <si>
    <t>【退職】【エ】5月8日 6月8日 Vantageスタジオ ジェイカップ・ブライアン</t>
  </si>
  <si>
    <t>黒崎竜太</t>
  </si>
  <si>
    <t>【退職】【業】 04/17 04/17  ﾓﾝｽﾄ事業本部 黒崎 竜太</t>
  </si>
  <si>
    <t>柳新吉</t>
  </si>
  <si>
    <t>【退職】【業】 04/17 04/17  ﾓﾝｽﾄ事業本部 柳 新吉</t>
  </si>
  <si>
    <t>【退職】【ア】4/17 4/17 人事部付 中田 健誠</t>
  </si>
  <si>
    <t>小泉健志</t>
  </si>
  <si>
    <t>【退職】【業】4/30 4/30 モンスト事業本部 デザイン室 小泉 健志</t>
  </si>
  <si>
    <t>三石　梨帆奈</t>
  </si>
  <si>
    <t>【退職】【ア】4/1 4/10 XFLAG STORE 三石　梨帆奈</t>
  </si>
  <si>
    <t>傳美咲</t>
  </si>
  <si>
    <t>【退職】 【業】04/17 04/30 傳 美咲</t>
  </si>
  <si>
    <t xml:space="preserve">【退職】【業】ﾃﾞｼﾞﾀﾙｴﾝﾀｰﾃｲﾝﾒﾝﾄ事業本部 4/15 4/15 河野 優梨 </t>
  </si>
  <si>
    <t>飲料事業部</t>
  </si>
  <si>
    <t>【退職】【業】3/31 3/31 ヘカテ 丸田 雄貴</t>
  </si>
  <si>
    <t>中川　愛未</t>
  </si>
  <si>
    <t>【退職】【ア】4/1 4/2 XFLAG STORE 中川　愛未</t>
  </si>
  <si>
    <t>小田嶋世識</t>
  </si>
  <si>
    <t>【退職】【業】4/2　4/2　事業支援室　小田嶋世識</t>
  </si>
  <si>
    <t>高橋知久</t>
  </si>
  <si>
    <t>【退職】【業】4/2　4/2　事業支援室　高橋知久</t>
  </si>
  <si>
    <t>陳飛宇</t>
  </si>
  <si>
    <t>【退職】【業】4/2　4/2　事業支援室　陳飛宇</t>
  </si>
  <si>
    <t>高石義人</t>
  </si>
  <si>
    <t>【退職】【業】4/2　4/2　事業支援室　高石義人</t>
  </si>
  <si>
    <t>小野亮</t>
  </si>
  <si>
    <t>【退職】【業】4/2　4/2　事業支援室　小野亮</t>
  </si>
  <si>
    <t>天野志保</t>
  </si>
  <si>
    <t>【退職】【業】4/2　4/2　事業支援室　天野志保</t>
  </si>
  <si>
    <t>今泉沙紀</t>
  </si>
  <si>
    <t>【退職】【業】4/2　4/2　事業支援室　今泉沙紀</t>
  </si>
  <si>
    <t>米山裕子</t>
  </si>
  <si>
    <t>【退職】【業】4/2　4/2　事業支援室　米山裕子</t>
  </si>
  <si>
    <t>福田将瑛</t>
  </si>
  <si>
    <t>【退職】【業】4/2　4/2　事業支援室　福田将瑛</t>
  </si>
  <si>
    <t>永田力也</t>
  </si>
  <si>
    <t>【退職】【業】4/2　4/2　事業支援室　永田力也</t>
  </si>
  <si>
    <t>野口浩司</t>
  </si>
  <si>
    <t>【退職】【業】4/2　4/2　事業支援室　野口浩司</t>
  </si>
  <si>
    <t>山川晃範</t>
  </si>
  <si>
    <t>【退職】【業】4/2　4/2　事業支援室　山川晃範</t>
  </si>
  <si>
    <t>藤井大輔</t>
  </si>
  <si>
    <t>【退職】【業】4/2　4/2　事業支援室　藤井大輔</t>
  </si>
  <si>
    <t>鈴木勇</t>
  </si>
  <si>
    <t>【退職】【業】4/2　4/2　事業支援室　鈴木勇</t>
  </si>
  <si>
    <t>長谷川浩之</t>
  </si>
  <si>
    <t>【退職】【正】05/15 05/31 スポーツ事業本部 長谷川浩之</t>
  </si>
  <si>
    <t>山木光人</t>
  </si>
  <si>
    <t>【退職】【業】4/2　4/2　事業支援室　山木光人</t>
  </si>
  <si>
    <t>岩沢慶明</t>
  </si>
  <si>
    <t>【退職】【業】4/2　4/2　事業支援室　岩沢慶明</t>
  </si>
  <si>
    <t>神山結莉</t>
  </si>
  <si>
    <t>【退職】【業】4/2　4/2　事業支援室　神山結莉</t>
  </si>
  <si>
    <t>中山麻由美</t>
  </si>
  <si>
    <t>【退職】【業】4/2　4/2　事業支援室　中山麻由美</t>
  </si>
  <si>
    <t>平川諒吉</t>
  </si>
  <si>
    <t>【退職】【業】4/2　4/2　事業支援室　平川諒吉</t>
  </si>
  <si>
    <t>小野塚賢</t>
  </si>
  <si>
    <t>【退職】【業】4/2　4/2　事業支援室　小野塚賢</t>
  </si>
  <si>
    <t>徳丸国雄</t>
  </si>
  <si>
    <t>【退職】【業】4/2　4/2　事業支援室　徳丸国雄</t>
  </si>
  <si>
    <t>藤枝愛美</t>
  </si>
  <si>
    <t>【退職】【業】4/2　4/2　事業支援室　藤枝愛美</t>
  </si>
  <si>
    <t>高田久靖</t>
  </si>
  <si>
    <t>【退職】【業】4/2　4/2　事業支援室　高田久靖</t>
  </si>
  <si>
    <t>三上亘</t>
  </si>
  <si>
    <t>【退職】【業】4/2　4/2　事業支援室　三上亘</t>
  </si>
  <si>
    <t>榎本淳一</t>
  </si>
  <si>
    <t>【退職】【業】4/2　4/2　事業支援室　榎本淳一</t>
  </si>
  <si>
    <t>中野翔平</t>
  </si>
  <si>
    <t>【退職】【業】4/2　4/2　事業支援室　中野翔平</t>
  </si>
  <si>
    <t>寺澤拓</t>
  </si>
  <si>
    <t>【退職】【業】4/2　4/2　事業支援室　寺澤拓</t>
  </si>
  <si>
    <t>【退職】【業】4/2　4/2　事業支援室　長野雄大</t>
  </si>
  <si>
    <t>岩堀洸明</t>
  </si>
  <si>
    <t>【退職】【業】4/2　4/2　事業支援室　岩堀洸明</t>
  </si>
  <si>
    <t>江渡悠樹</t>
  </si>
  <si>
    <t>【退職】【業】4/2　4/2　事業支援室　江渡 悠樹</t>
  </si>
  <si>
    <t>大石晃太</t>
  </si>
  <si>
    <t>【退職】【業】4/2　4/2　事業支援室　大石晃太</t>
  </si>
  <si>
    <t>山野裕介a</t>
  </si>
  <si>
    <t>【退職】【業務】4/2　4/2　事業支援室　山野裕介a</t>
  </si>
  <si>
    <t>佐藤和</t>
  </si>
  <si>
    <t>【退職】【業】4/2　4/2　事業支援室　佐藤和</t>
  </si>
  <si>
    <t>佐々木勇人</t>
  </si>
  <si>
    <t>【退職】【業】5/29 5/31 スポーツ事業本部 佐々木勇人</t>
  </si>
  <si>
    <t>石井仁康</t>
  </si>
  <si>
    <t>【退職】【正】4/28 4/30 統括管理本部 石井仁康</t>
  </si>
  <si>
    <t>京増寛</t>
  </si>
  <si>
    <t>【退職】【業】3/31 3/31　ﾓﾝｽﾄ事業本部　京増 寛</t>
  </si>
  <si>
    <t>ｺｰﾎﾟﾚｰﾄｻﾎﾟｰﾄ本部</t>
  </si>
  <si>
    <t>高橋望</t>
  </si>
  <si>
    <t>【退職】【業】3/31 3/31 はたらく環境室 高橋 望</t>
  </si>
  <si>
    <t>見田真木子</t>
  </si>
  <si>
    <t>【退職】【業】4/2　4/2事業支援室　見田真木子</t>
  </si>
  <si>
    <t>小泉孝能</t>
  </si>
  <si>
    <t>【退職】【正】04/30 04/30 開発本部 CTO室 小泉 孝能</t>
  </si>
  <si>
    <t>山本亜利沙</t>
  </si>
  <si>
    <t>【退職】【派】3月27日 3月27日 モンスト事業本部 山本亜利沙</t>
  </si>
  <si>
    <t>ｼｽﾃﾑ部</t>
  </si>
  <si>
    <t>ｽﾎﾟｰﾂ事業本部</t>
  </si>
  <si>
    <t>【退職】【業】03/27 03/31 システム部 仲野 宏美</t>
  </si>
  <si>
    <t>イベントグループ</t>
  </si>
  <si>
    <t>【退職】【業】03/27 03/31 システム部 西澤卓史</t>
  </si>
  <si>
    <t>【退職】【業】 3/31 3/31ﾃﾞｼﾞﾀﾙｴﾝﾀｰﾃｲﾝﾒﾝﾄ事業本部 吉村順也</t>
  </si>
  <si>
    <t>橋本昌也</t>
  </si>
  <si>
    <t>【退職】【正】04/30 04/30 DE事業本部 橋本昌也</t>
  </si>
  <si>
    <t>佐藤健一</t>
  </si>
  <si>
    <t>【退職】【業】3/26 3/26　ﾓﾝｽﾄ事業本部　佐藤 健一</t>
  </si>
  <si>
    <t>和田夕衣</t>
  </si>
  <si>
    <t>【退職】【業】3/31 3/31 デザイン本部 和田 夕衣</t>
  </si>
  <si>
    <t>大金貫</t>
  </si>
  <si>
    <t>【退職】【業】3/31 3/31 スポーツ事業本部 大金貫</t>
  </si>
  <si>
    <t>【退職】【ア】4/3 4/3 人事部付　山田 敬汰</t>
  </si>
  <si>
    <t>【退職】【ア】3/31 3/31 人事部付　小林 聖哉</t>
  </si>
  <si>
    <t>園田晃章</t>
  </si>
  <si>
    <t>【退職】【業】03/31 03/31 minimo事業部 園田晃章さん</t>
  </si>
  <si>
    <t>【退職】【業】3/31 3/31 モンスト事業本部 北原和也</t>
  </si>
  <si>
    <t>桝本明義</t>
  </si>
  <si>
    <t>【退職】【正】4/30 4/30 マーケティングコミュニケーション部 桝本 明義</t>
  </si>
  <si>
    <t>ｹﾞｰﾑｵﾍﾟﾚｰｼｮﾝ部</t>
  </si>
  <si>
    <t>【退職】【業】 3/31 3/31 徳江 李奈</t>
  </si>
  <si>
    <t>【退職】【業】 3/31 3/31 稲葉 あずさ</t>
  </si>
  <si>
    <t>【退職】【業】 3/31 3/31 水船 智之</t>
  </si>
  <si>
    <t>【退職】【業】 3/31 3/31 貫洞 洋至</t>
  </si>
  <si>
    <t>【退職】【業】 3/31 3/31 佐々木 拓</t>
  </si>
  <si>
    <t>崔俊碩</t>
  </si>
  <si>
    <t>【退職】【業】 3/31 3/31 崔 俊碩</t>
  </si>
  <si>
    <t>【退職】【業】 3/31 3/31 金子 俊幸</t>
  </si>
  <si>
    <t>【退職】【業】 3/31 3/31 齊藤 力</t>
  </si>
  <si>
    <t>【退職】【業】 3/31 3/31 日笠 良亮</t>
  </si>
  <si>
    <t>【退職】【業】 3/31 3/31 尾木 泰太</t>
  </si>
  <si>
    <t>【退職】【業】 3/31 3/31 瀧口 裕太</t>
  </si>
  <si>
    <t>【退職】【業】 3/31 3/31 行方 惟人</t>
  </si>
  <si>
    <t>【退職】【業】 3/31 3/31 中村 泰良</t>
  </si>
  <si>
    <t>桑山千穂</t>
  </si>
  <si>
    <t>【退職】【業】 3/27 3/31 桑山 千穂</t>
  </si>
  <si>
    <t>里見宜男</t>
  </si>
  <si>
    <t>【退職】【業】 3/27 3/31 里見 宜男</t>
  </si>
  <si>
    <t>渡邉吉治</t>
  </si>
  <si>
    <t>【退職】【業】 3/31 3/31 渡邉 吉治</t>
  </si>
  <si>
    <t>渡部将行</t>
  </si>
  <si>
    <t>【退職】【業】 3/27 3/31 渡部 将行</t>
  </si>
  <si>
    <t>槌屋琢</t>
  </si>
  <si>
    <t>【退職】【業】 3/31 3/31 槌屋 琢</t>
  </si>
  <si>
    <t>鈴木彰</t>
  </si>
  <si>
    <t>【退職】【業】 3/27 3/31 鈴木 彰</t>
  </si>
  <si>
    <t>坂本純一a</t>
  </si>
  <si>
    <t>【退職】【業】 3/27 3/31 坂本 純一a</t>
  </si>
  <si>
    <t>田村譲二</t>
  </si>
  <si>
    <t>【退職】【業】 3/27 3/31 田村 譲二</t>
  </si>
  <si>
    <t>長島巨樹</t>
  </si>
  <si>
    <t>【退職】【業】 3/27 3/31 長島 巨樹</t>
  </si>
  <si>
    <t>増澤仁志</t>
  </si>
  <si>
    <t>【退職】【業】 3/31 3/31 増澤 仁志</t>
  </si>
  <si>
    <t>加藤大介</t>
  </si>
  <si>
    <t>【退職】【業】 3/31 3/31 加藤 大介</t>
  </si>
  <si>
    <t>【退職】【業】3/31　3/31 社長本部　市川 大輔</t>
  </si>
  <si>
    <t>田村龍司</t>
  </si>
  <si>
    <t>【退職】【業】04/28 04/30 　田村 龍司</t>
  </si>
  <si>
    <t>大田綾世</t>
  </si>
  <si>
    <t>【退職】【業】3/31 3/31 大田 綾世</t>
  </si>
  <si>
    <t>ライバーグ　ブライアン</t>
  </si>
  <si>
    <t>【退職】【契】03/31 03/31 コーポレートサポート本部 ライバーグ ブライアン</t>
  </si>
  <si>
    <t>デジタルエンタテインメント事業本部</t>
  </si>
  <si>
    <t>菅野匡信</t>
  </si>
  <si>
    <t>【退職】【正】04/28 05/15 デジタルエンタテインメント事業本部 菅野匡信</t>
  </si>
  <si>
    <t>伊藤竜真</t>
  </si>
  <si>
    <t>【退職】【契】03/30 03/31 労務部 伊藤竜真</t>
  </si>
  <si>
    <t>はたらく環境</t>
  </si>
  <si>
    <t>藤原成行</t>
  </si>
  <si>
    <t>【退職】【業】2020/03/31 2020/03/31 ｺｰﾎﾟﾚｰﾄｻﾎﾟｰﾄ本部 藤原 成行</t>
  </si>
  <si>
    <t>南浦麻衣</t>
  </si>
  <si>
    <t>【退職】【業】3/27 3/31 モンスト事業本部 南浦 麻衣</t>
  </si>
  <si>
    <t>福田健二</t>
  </si>
  <si>
    <t>【退職】【業】3/27　3/31 デザイン本部 福田 健二</t>
  </si>
  <si>
    <t>小坂大樹</t>
  </si>
  <si>
    <t>【退職】【派】3/27 3/31 デザイン本部 小坂 大樹</t>
  </si>
  <si>
    <t>吉本睦歳</t>
  </si>
  <si>
    <t>【退職】【正】04/15 06/15 Vantageスタジオ 吉本 睦歳</t>
  </si>
  <si>
    <t>ﾌｧｲﾄﾘｰｸﾞ事業部</t>
  </si>
  <si>
    <t>芦田祐太</t>
  </si>
  <si>
    <t>【退職】【正】4/9 4/30  ﾌｧｲﾄﾘｰｸﾞ事業部 芦田 祐太</t>
  </si>
  <si>
    <t>大浦　秀隆</t>
  </si>
  <si>
    <t>【退職】【業】02/29 02/29 モンスト事業本部 大浦 秀隆　※申請することを理解していなかったため退職日以降の申請となりました。</t>
  </si>
  <si>
    <t>帆波翔馬</t>
  </si>
  <si>
    <t>【退職】【業】3/31 3/31 ﾌｧｲﾄﾘｰｸﾞ事業部 帆波 翔馬</t>
  </si>
  <si>
    <t xml:space="preserve">社長本部 </t>
  </si>
  <si>
    <t>清水真利亜</t>
  </si>
  <si>
    <t xml:space="preserve"> 【退職】【業】03/31 03/31 清水 真利亜</t>
  </si>
  <si>
    <t>【退職】【業】 3/13 3/15  ﾃﾞｼﾞﾀﾙｴﾝﾀｰﾃｲﾝﾒﾝﾄ事業本部 長崎 麻衣子</t>
  </si>
  <si>
    <t xml:space="preserve">マーケティングコミュニケーション部 </t>
  </si>
  <si>
    <t>ト　ハクイ(涂博惟)</t>
  </si>
  <si>
    <t>【退職】【契】3/18 3/31 マーケティングコミュニケーション部　ト ハクイ</t>
  </si>
  <si>
    <t>【退職】【業】03/31 03/31 社長本部 田中 亮平</t>
  </si>
  <si>
    <t>佐野孝輔</t>
  </si>
  <si>
    <t>【退職】【業】3/13 3/13 コーポレートサポート本部 佐野 孝輔</t>
  </si>
  <si>
    <t>陸井優花</t>
  </si>
  <si>
    <t>【退職】【業】3/27 3/31  デザイン本部 陸井 優花</t>
  </si>
  <si>
    <t>【退職】【派】 03/31 03/31 モンスト事業本部 辻 鈴菜</t>
  </si>
  <si>
    <t>【退職】【派】 03/31 03/31 モンスト事業本部 加藤 善治</t>
  </si>
  <si>
    <t>中村竜太郎</t>
  </si>
  <si>
    <t>【退職】【業】ﾃﾞｼﾞﾀﾙｴﾝﾀｰﾃｲﾝﾒﾝﾄ事業本部 3/26 3/31 中村 竜太郎</t>
  </si>
  <si>
    <t>笹岡光</t>
  </si>
  <si>
    <t>【退職】【業】3/31 3/31 モンスト事業本部 笹岡 光</t>
  </si>
  <si>
    <t>黄晓菁</t>
  </si>
  <si>
    <t xml:space="preserve">【退職】【業】3/31 3/31 マーケティングコミュニケーション部 黄 晓菁 </t>
  </si>
  <si>
    <t>西正美</t>
  </si>
  <si>
    <t>【退職】【派】03/31 03/31 人事本部 西正美</t>
  </si>
  <si>
    <t>小笠原魁</t>
  </si>
  <si>
    <t>【退職】【業】3/31 3/31 ﾌｧｲﾄﾘｰｸﾞ事業部 小笠原 魁</t>
  </si>
  <si>
    <t>【退職】【派】 03/31 03/31 モンスト事業本部 村田 雄人</t>
  </si>
  <si>
    <t>内山栞</t>
  </si>
  <si>
    <t>【退職】【派】3/27 /3/31　内山　栞</t>
  </si>
  <si>
    <t>笠原彩乃</t>
  </si>
  <si>
    <t>【退職】【派】3/27 /3/31　笠原　彩乃</t>
  </si>
  <si>
    <t>小松理人</t>
  </si>
  <si>
    <t>【退職】【業】03/31 03/31 社長本部 小松 理人</t>
  </si>
  <si>
    <t>藤代　沙織</t>
  </si>
  <si>
    <t>【退職】【正】3/24 3/31 マーケティングコミュニケーション部 藤代 沙織</t>
  </si>
  <si>
    <t>三村泰之</t>
  </si>
  <si>
    <t>【退職】【業】03/31 03/31 モンスト事業本部 開発室 三村 泰之</t>
  </si>
  <si>
    <t>加藤佐之輔</t>
  </si>
  <si>
    <t>【退職】【ア】3/13 3/13 人事部付 加藤 佐之輔</t>
  </si>
  <si>
    <t>萬直之</t>
  </si>
  <si>
    <t>【退職】【業】2/29　2/29 社長本部 萬 直之</t>
  </si>
  <si>
    <t>武村百合香</t>
  </si>
  <si>
    <t>【退職】【業】3/31 3/31 社長本部 武村 百合香</t>
  </si>
  <si>
    <t>高橋葵</t>
  </si>
  <si>
    <t>【退職】【業】3/6 3/9　高橋 葵</t>
  </si>
  <si>
    <t>菊池涼介</t>
  </si>
  <si>
    <t>【退職】【業】3/6 3/9　ヴァンテージスタジオ　菊池涼介</t>
  </si>
  <si>
    <t>神保公亮</t>
  </si>
  <si>
    <t>【退職】【業】03/06 03/31 minimo事業部 神保公亮さん</t>
  </si>
  <si>
    <t>牛耒国和</t>
  </si>
  <si>
    <t>【退職】【契】 03/31 03/31 ミクシィ・エンパワーメント 牛耒 国和</t>
  </si>
  <si>
    <t>王翌</t>
  </si>
  <si>
    <t>【退職】【正】03/10 04/30 マーケティングコミュニケーション部　王翌</t>
  </si>
  <si>
    <t>勝俣瞭勉</t>
  </si>
  <si>
    <t>【退職】【ア】3/1 3/31 XFLAG STORE 勝俣　暸勉</t>
  </si>
  <si>
    <t>大山　笑美里</t>
  </si>
  <si>
    <t>【退職】【ア】3/1 3/15 XFLAG STORE 大山　笑美里</t>
  </si>
  <si>
    <t>鴨川　まどか</t>
  </si>
  <si>
    <t>【退職】【ア】3/24 3/31 XFLAG STORE  鴨川　まどか</t>
  </si>
  <si>
    <t>笹嶋浩仁</t>
  </si>
  <si>
    <t>【退職】【業】2/13 3/31 ミクシィ・リクルートメント　笹嶋 浩仁</t>
  </si>
  <si>
    <t>吉田健太郎</t>
  </si>
  <si>
    <t>【退職】【業】3/6 3/6 吉田健太郎</t>
  </si>
  <si>
    <t>上妻良平</t>
  </si>
  <si>
    <t>【退職】【業】03/06 03/06 社長本部 上妻 良平</t>
  </si>
  <si>
    <t>周儀安</t>
  </si>
  <si>
    <t>【退職】【契】03/13 03/31 コーポレートサポート本部 周 儀安</t>
  </si>
  <si>
    <t>野田健</t>
  </si>
  <si>
    <t>【退職】【業】3/31 3/31 ﾌｧｲﾄﾘｰｸﾞ事業部 野田 健</t>
  </si>
  <si>
    <t>平山風太</t>
  </si>
  <si>
    <t>【退職】【業】3/31 3/31 ﾌｧｲﾄﾘｰｸﾞ事業部 平山 風太</t>
  </si>
  <si>
    <t xml:space="preserve">ｺｰﾎﾟﾚｰﾄｻﾎﾟｰﾄ本部 </t>
  </si>
  <si>
    <t>橘宏樹</t>
  </si>
  <si>
    <t>【退職】【正】03/26 03/31  ﾋﾞｼﾞﾈｽｻﾎﾟｰﾄ室  橘 宏樹</t>
  </si>
  <si>
    <t>井上弥</t>
  </si>
  <si>
    <t>【退職】【業】ﾃﾞｼﾞﾀﾙｴﾝﾀｰﾃｲﾝﾒﾝﾄ事業本部 2/28 2/29 井上 弥</t>
  </si>
  <si>
    <t>【退職】【ア】3/25 3/25 人事部付　松永 宗士</t>
  </si>
  <si>
    <t>【退職】【ア】3/23 3/23 人事部付　登内 雅人</t>
  </si>
  <si>
    <t>植村結衣</t>
  </si>
  <si>
    <t>【退職】【契】3/27 3/30 Vantageスタジオ 植村結衣</t>
  </si>
  <si>
    <t>呉柏慶</t>
  </si>
  <si>
    <t>【退職】【契】2/26 2/26 ﾓﾝｽﾄ事業本部 呉 柏慶</t>
  </si>
  <si>
    <t>杉本勇治</t>
  </si>
  <si>
    <t>【退職】【業】3/31 3/31 モンスト事業本部　杉本 勇治</t>
  </si>
  <si>
    <t>【退職】【ア】3/13 3/19 人事部付　大渕 祐太郎</t>
  </si>
  <si>
    <t>齋藤純一郎</t>
  </si>
  <si>
    <t>【退職】【業】2/21 2/21 ﾃﾞｼﾞﾀﾙｴﾝﾀｰﾃｲﾝﾒﾝﾄ事業本部 齋藤 純一郎</t>
  </si>
  <si>
    <t>中村一夫</t>
  </si>
  <si>
    <t>【退職】【業】2/28 2/29 デジタルエンターテインメント事業本部 中村 一夫</t>
  </si>
  <si>
    <t>根本国彦</t>
  </si>
  <si>
    <t>【退職】【業】2/28 2/29 デジタルエンターテインメント事業本部 根本 国彦</t>
  </si>
  <si>
    <t>緒方雄一</t>
  </si>
  <si>
    <t>【退職】【業】2/28 2/29 デジタルエンターテインメント事業本部 緒方 雄一</t>
  </si>
  <si>
    <t>武田淳一</t>
  </si>
  <si>
    <t>【退職】【業】2/28 2/29 デジタルエンターテインメント事業本部 武田 淳一</t>
  </si>
  <si>
    <t>大山貴之</t>
  </si>
  <si>
    <t>【退職】【業】2/28 2/29 デジタルエンターテインメント事業本部 大山 貴之</t>
  </si>
  <si>
    <t>松木善勝</t>
  </si>
  <si>
    <t>【退職】【業】2/28 2/29 デジタルエンターテインメント事業本部 松木 善勝</t>
  </si>
  <si>
    <t>福島禎雄</t>
  </si>
  <si>
    <t>【退職】【業】2/28 2/29 デジタルエンターテインメント事業本部 福島 禎雄</t>
  </si>
  <si>
    <t>小宮学</t>
  </si>
  <si>
    <t>【退職】【業】2/28 2/29 デジタルエンターテインメント事業本部 小宮 学</t>
  </si>
  <si>
    <t>堂薗卓巳</t>
  </si>
  <si>
    <t>【退職】【業】2/28 2/29 デジタルエンターテインメント事業本部 堂薗 卓巳</t>
  </si>
  <si>
    <t>橋本貴哉</t>
  </si>
  <si>
    <t>【退職】【業】2/28 2/29 デジタルエンターテインメント事業本部 橋本 貴哉</t>
  </si>
  <si>
    <t>渡辺稔</t>
  </si>
  <si>
    <t>【退職】【業】2/28 2/29 デジタルエンターテインメント事業本部 渡辺 稔</t>
  </si>
  <si>
    <t>伊藤大騎</t>
  </si>
  <si>
    <t>【退職】【業】2/28 2/29 デジタルエンターテインメント事業本部 伊藤 大騎</t>
  </si>
  <si>
    <t>山口　強</t>
  </si>
  <si>
    <t>【退職】【正】2/25　3/6 社長本部　山口　強</t>
  </si>
  <si>
    <t>倉橋いずみ</t>
  </si>
  <si>
    <t>【退職】【業】2/20 2/29 スポーツ事業本部 倉橋 いずみ</t>
  </si>
  <si>
    <t>市川雅一</t>
  </si>
  <si>
    <t>【退職】【業】2/20 2/29 スポーツ事業本部 市川 雅一</t>
  </si>
  <si>
    <t>大竹由美</t>
  </si>
  <si>
    <t>【退職】【業】2/20 2/29 スポーツ事業本部 大竹由美</t>
  </si>
  <si>
    <t>新井那知</t>
  </si>
  <si>
    <t>【退職】【業】02/28 02/29 社長本部 新井 那知</t>
  </si>
  <si>
    <t>【退職】【派】2020/2/28  2/29　ペーク スコット</t>
  </si>
  <si>
    <t>伊東進太郎</t>
  </si>
  <si>
    <t>【退職】【ア】最終出社日2020/2/27 退職日2020/2/27 デジタルエンタテインメント事業本部 伊東進太郎</t>
  </si>
  <si>
    <t>大野皇栄</t>
  </si>
  <si>
    <t>【退職】【業】3/27 3/31 大野 皇栄</t>
  </si>
  <si>
    <t>山部枝里子</t>
  </si>
  <si>
    <t>再申請【退職】【業】20/3/31 マーケティング本部　山部 枝里子</t>
  </si>
  <si>
    <t>箕部和也</t>
  </si>
  <si>
    <t>再申請【退職】【業】20/3/31 マーケティング本部　箕部 和也</t>
  </si>
  <si>
    <t>須藤昌平</t>
  </si>
  <si>
    <t>再申請【退職】【業】20/3/31　マーケティング本部　須藤 昌平</t>
  </si>
  <si>
    <t>石川智啓</t>
  </si>
  <si>
    <t>再申請【退職】【業】20/3/31　マーケティング本部　石川 智啓</t>
  </si>
  <si>
    <t>新妻知弥</t>
  </si>
  <si>
    <t>【退職】【業】2/20 2/20 新妻知弥</t>
  </si>
  <si>
    <t>福田将丈</t>
  </si>
  <si>
    <t>【退職】【業】2/28 2/28 ヘカテ 福田 将丈</t>
  </si>
  <si>
    <t>佐藤宏樹a</t>
  </si>
  <si>
    <t>【退職】【正】03/10 03/31 デザイン本部 佐藤宏樹a</t>
  </si>
  <si>
    <t>藤原淳子</t>
  </si>
  <si>
    <t>【退職】【業】2020/02/28 2020/2/29　藤原淳子</t>
  </si>
  <si>
    <t>本宮理恵</t>
  </si>
  <si>
    <t xml:space="preserve">【退職】【正】3/6 3/31 ブランドコミュニケーション室 本宮 理恵 </t>
  </si>
  <si>
    <t>沈文韬</t>
  </si>
  <si>
    <t>【退職】【業】2/28 2/29 マーケティング部 海外宣伝企画G 沈 文韬</t>
  </si>
  <si>
    <t>陈婷婷</t>
  </si>
  <si>
    <t>【退職】【業】2/28 2/29 マーケティング部 海外宣伝企画G 陈 婷婷</t>
  </si>
  <si>
    <t>姜哲</t>
  </si>
  <si>
    <t>【退職】【業】2/28 2/29 マーケティング部 海外宣伝企画G 姜 哲</t>
  </si>
  <si>
    <t>吴菡清</t>
  </si>
  <si>
    <t>【退職】【業】2/28 2/29 マーケティング部 海外宣伝企画G 吴 菡清</t>
  </si>
  <si>
    <t>田斌</t>
  </si>
  <si>
    <t>【退職】【業】2/28 2/29 マーケティング部 海外宣伝企画G 田 斌</t>
  </si>
  <si>
    <t>戸塚知辰</t>
  </si>
  <si>
    <t>【退職】【業】02/14 02/29 minimo事業部 戸塚 知辰さん</t>
  </si>
  <si>
    <t>窪野安彦</t>
  </si>
  <si>
    <t>【退職】【業】02/12 02/12 開発本部 窪野 安彦</t>
  </si>
  <si>
    <t>松本静香</t>
  </si>
  <si>
    <t>【退職】【正】2/19 2/29 エンパワーメント推進室 松本静香</t>
  </si>
  <si>
    <t>【退職】【業】2/28 2/29 ﾌｧｲﾄﾘｰｸﾞ事業部 加藤 健太郎</t>
  </si>
  <si>
    <t>ﾋﾞﾊﾞﾚｯｼﾞ事業推進室</t>
  </si>
  <si>
    <t>石井　つかさ</t>
  </si>
  <si>
    <t>【退職】【正】02/28 03/13 ｽﾎﾟｰﾂ事業本部 石井つかさ</t>
  </si>
  <si>
    <t>池田豪</t>
  </si>
  <si>
    <t>【退職】【正】2/28 5/31 モンスト事業本部 池田 豪</t>
  </si>
  <si>
    <t>荻野　泰弘</t>
  </si>
  <si>
    <t>【退職】【正】3/27 3/31 スマートヘルス事業部 荻野 泰弘</t>
  </si>
  <si>
    <t>大泉佑一</t>
  </si>
  <si>
    <t>【退職】【正】03/24 03/31 デジタルエンターテインメント事業本部 大泉佑一</t>
  </si>
  <si>
    <t>和田実樹</t>
  </si>
  <si>
    <t>【退職】【業】2/7 2/29 デジタルエンターテインメント事業本部 和田実樹</t>
  </si>
  <si>
    <t>遠藤晃</t>
  </si>
  <si>
    <t>【退職】【業】2/20 2/20 ﾓﾝｽﾄ事業本部 遠藤 晃</t>
  </si>
  <si>
    <t>榎菜都美</t>
  </si>
  <si>
    <t>【退職 】【派】2/3 2/4 法務部 榎 菜都美</t>
  </si>
  <si>
    <t>中井研</t>
  </si>
  <si>
    <t>【退職】【正】最終出社日02/27 退職日02/29 スポーツ事業本部 中井研</t>
  </si>
  <si>
    <t>【退職】【ア】2/28 2/28 人事部付　浅野 大我</t>
  </si>
  <si>
    <t>皆川悠矢</t>
  </si>
  <si>
    <t>【退職】【業】2/14 2/14 皆川 悠矢</t>
  </si>
  <si>
    <t>鈴木桜子</t>
  </si>
  <si>
    <t>【退職】【派】2/7 2/29 デジタルエンターテインメント事業本部 鈴木桜子</t>
  </si>
  <si>
    <t>早川充</t>
  </si>
  <si>
    <t>【退職】【派】2/7 2/29 デジタルエンターテインメント事業本部 早川充</t>
  </si>
  <si>
    <t>タン暁琳</t>
  </si>
  <si>
    <t>【退職】【業】2/7 2/29 デジタルエンターテインメント事業本部 タン暁琳</t>
  </si>
  <si>
    <t>山田剛司</t>
  </si>
  <si>
    <t>【退職】【業】2/7 2/29 デジタルエンターテインメント事業本部 山田剛司</t>
  </si>
  <si>
    <t>坂井麻美</t>
  </si>
  <si>
    <t>【退職】【業】2/28 2/29 デジタルエンターテインメント事業本部 坂井麻美</t>
  </si>
  <si>
    <t>戸村考司</t>
  </si>
  <si>
    <t>【退職】【業】2/7 2/29 デジタルエンターテインメント事業本部 戸村考司</t>
  </si>
  <si>
    <t>北浦豪文</t>
  </si>
  <si>
    <t>【退職】【正】3/12 3/31 デザイン本部 北浦豪文</t>
  </si>
  <si>
    <t>太田裕一</t>
  </si>
  <si>
    <t>【退職】【業】1/30　1/31 マーケティング本部　太田裕一</t>
  </si>
  <si>
    <t>江崎貴洋</t>
  </si>
  <si>
    <t>【退職】【業】 1/31 1/31 ﾃﾞｼﾞﾀﾙｴﾝﾀｰﾃｲﾝﾒﾝﾄ事業本部 江崎貴洋</t>
  </si>
  <si>
    <t>岡明大</t>
  </si>
  <si>
    <t>【退職】【業】 1/31 1/31 ﾃﾞｼﾞﾀﾙｴﾝﾀｰﾃｲﾝﾒﾝﾄ事業本部 岡明大</t>
  </si>
  <si>
    <t>福島聖也</t>
  </si>
  <si>
    <t>【退職】【業】 1/31 1/31 ﾃﾞｼﾞﾀﾙｴﾝﾀｰﾃｲﾝﾒﾝﾄ事業本部 福島聖也</t>
  </si>
  <si>
    <t>中村友哉</t>
  </si>
  <si>
    <t>【退職】【業】 1/31 1/31 ﾃﾞｼﾞﾀﾙｴﾝﾀｰﾃｲﾝﾒﾝﾄ事業本部 中村友哉</t>
  </si>
  <si>
    <t>麻生豊大</t>
  </si>
  <si>
    <t>【退職】【業】 1/31 1/31 ﾃﾞｼﾞﾀﾙｴﾝﾀｰﾃｲﾝﾒﾝﾄ事業本部 麻生豊大</t>
  </si>
  <si>
    <t>淺井柾哉</t>
  </si>
  <si>
    <t>【退職】【業】 1/31 1/31 ﾃﾞｼﾞﾀﾙｴﾝﾀｰﾃｲﾝﾒﾝﾄ事業本部 淺井柾哉</t>
  </si>
  <si>
    <t>金田久慶</t>
  </si>
  <si>
    <t>【退職】【業】 1/31 1/31 ﾃﾞｼﾞﾀﾙｴﾝﾀｰﾃｲﾝﾒﾝﾄ事業本部 金田久慶</t>
  </si>
  <si>
    <t>小宮山紘平</t>
  </si>
  <si>
    <t>【退職】【業】 1/31 1/31 ﾃﾞｼﾞﾀﾙｴﾝﾀｰﾃｲﾝﾒﾝﾄ事業本部 小宮山紘平</t>
  </si>
  <si>
    <t>児玉吹生</t>
  </si>
  <si>
    <t>【退職】【業】 1/31 1/31 ﾃﾞｼﾞﾀﾙｴﾝﾀｰﾃｲﾝﾒﾝﾄ事業本部 児玉吹生</t>
  </si>
  <si>
    <t>請川紋香</t>
  </si>
  <si>
    <t>【退職】【業】 1/31 1/31 ﾃﾞｼﾞﾀﾙｴﾝﾀｰﾃｲﾝﾒﾝﾄ事業本部 請川紋香</t>
  </si>
  <si>
    <t>西方智晃</t>
  </si>
  <si>
    <t>【退職】【業】 1/31 1/31 ﾃﾞｼﾞﾀﾙｴﾝﾀｰﾃｲﾝﾒﾝﾄ事業本部 西方智晃</t>
  </si>
  <si>
    <t>真取輝和</t>
  </si>
  <si>
    <t>【退職】【業】1/31(金) 1/31 デザイン本部 真取 輝和</t>
  </si>
  <si>
    <t>迎裕之</t>
  </si>
  <si>
    <t>【退職】【業】01/31 01/31　迎裕之</t>
  </si>
  <si>
    <t>佐々木將太朗</t>
  </si>
  <si>
    <t>[退職][契] 01/24 01/31 ミクシィ・エンパワーメント 佐々木 將太朗</t>
  </si>
  <si>
    <t>【退職】【業】1/31  1/31 モンスト事業本部  田中 哲義</t>
  </si>
  <si>
    <t>【退職】【業】ﾃﾞｼﾞﾀﾙｴﾝﾀｰﾃｲﾝﾒﾝﾄ事業本部 1/31 1/31 福崎 たけし</t>
  </si>
  <si>
    <t>佐藤悠平</t>
  </si>
  <si>
    <t>【退職】【業】ﾃﾞｼﾞﾀﾙｴﾝﾀｰﾃｲﾝﾒﾝﾄ事業本部 1/30 1/31 佐藤 悠平</t>
  </si>
  <si>
    <t>下村竜也</t>
  </si>
  <si>
    <t>【退職】【業】ﾃﾞｼﾞﾀﾙｴﾝﾀｰﾃｲﾝﾒﾝﾄ事業本部 1/28 1/31 下村 竜也</t>
  </si>
  <si>
    <t>馬場智輝</t>
  </si>
  <si>
    <t>【退職】【業】ﾃﾞｼﾞﾀﾙｴﾝﾀｰﾃｲﾝﾒﾝﾄ事業本部 1/30 1/31 馬場 智輝</t>
  </si>
  <si>
    <t>長田剛</t>
  </si>
  <si>
    <t>【退職】【業】ﾃﾞｼﾞﾀﾙｴﾝﾀｰﾃｲﾝﾒﾝﾄ事業本部 1/30 1/31 長田 剛</t>
  </si>
  <si>
    <t>ファムヴァンフン</t>
  </si>
  <si>
    <t>【退職】【正】02/18 02/29 モンスト事業本部 開発室 ファム ヴァンフン</t>
  </si>
  <si>
    <t>深瀬長彰</t>
  </si>
  <si>
    <t>【退職】【業】1/31 1/31 　ビジネスサポート室　深瀬 長彰</t>
  </si>
  <si>
    <t>河端亮史</t>
  </si>
  <si>
    <t xml:space="preserve">【退職】【業】1/31 1/31 デジタルエンターテインメント事業本部 河端 亮史 </t>
  </si>
  <si>
    <t>佐久間龍太郎</t>
  </si>
  <si>
    <t>【退職】【契】1/31 2/29 デザイン本部 佐久間龍太郎</t>
  </si>
  <si>
    <t>海野有紀</t>
  </si>
  <si>
    <t>【退職】【業】1/31(金) 1/31 デザイン本部 海野有紀</t>
  </si>
  <si>
    <t>野原美加</t>
  </si>
  <si>
    <t>【退職】【業】1/31 1/31 野原 美加</t>
  </si>
  <si>
    <t xml:space="preserve">ﾏｰｹﾃｨﾝｸﾞ部 </t>
  </si>
  <si>
    <t>甘　宇凌</t>
  </si>
  <si>
    <t>【退職】【業】1/31 1/31 マーケティング部 海外宣伝企画G 甘　宇凌</t>
  </si>
  <si>
    <t>尹夢非</t>
  </si>
  <si>
    <t>【退職】【業】1/21 1/31 マーケティング部 海外宣伝企画G 尹 夢非</t>
  </si>
  <si>
    <t>石川祐輝</t>
  </si>
  <si>
    <t xml:space="preserve">【退職】【正】最終出社2020/2/10 退職日2020/4/30 石川 祐輝 </t>
  </si>
  <si>
    <t>【退職】【正】1/28 02/15 ライブ動画PF事業部 池田 武史</t>
  </si>
  <si>
    <t>ﾗｲﾌﾞｴﾝﾀｰﾃｲﾝﾒﾝﾄ事業部</t>
  </si>
  <si>
    <t>田中豪</t>
  </si>
  <si>
    <t>【退職】【正】2/14 3/10 ライブエンターテイメント事業部 田中豪</t>
  </si>
  <si>
    <t>金妍</t>
  </si>
  <si>
    <t>【退職】【業】 20/01/10　20/01/31 ﾓﾝｽﾄ事業本部 金 妍</t>
  </si>
  <si>
    <t>岡村隆治</t>
  </si>
  <si>
    <t>【退職】【業】1/8 1/8　ビジネスサポート室　岡村 隆治</t>
  </si>
  <si>
    <t>柳口博昭</t>
  </si>
  <si>
    <t>【退職】【業】1/20 1/20 　ビジネスサポート室　柳口 博昭</t>
  </si>
  <si>
    <t>尹洪志</t>
  </si>
  <si>
    <t>【退職】【業】1/20 1/20 　ビジネスサポート室　尹洪志</t>
  </si>
  <si>
    <t>笹川晋弘</t>
  </si>
  <si>
    <t>【退職】【業】1/20 1/20 　ビジネスサポート室　笹川 晋弘</t>
  </si>
  <si>
    <t>高松和信</t>
  </si>
  <si>
    <t>【退職】【業】1/20 1/20 　ビジネスサポート室　高松 和信</t>
  </si>
  <si>
    <t>林幸司</t>
  </si>
  <si>
    <t>【退職】【業】1/20 1/20 　ビジネスサポート室　林 幸司</t>
  </si>
  <si>
    <t>伊藤裕章</t>
  </si>
  <si>
    <t>【退職】【業】1/20 1/20 　ビジネスサポート室　伊藤 裕章</t>
  </si>
  <si>
    <t>荒田英之</t>
  </si>
  <si>
    <t>【退職】【正】 1/31 2/11 ﾃﾞｼﾞﾀﾙｴﾝﾀｰﾃｲﾝﾒﾝﾄ事業本部 荒田英之</t>
  </si>
  <si>
    <t>藤井哲也</t>
  </si>
  <si>
    <t>【退職】【正】02/14 02/15 社長本部社長室渉外グループ 藤井 哲也</t>
  </si>
  <si>
    <t>渡邉将司</t>
  </si>
  <si>
    <t>【退職】【業】1/8　1/8　事業支援室  渡邉 将司</t>
  </si>
  <si>
    <t>高野真一郎</t>
  </si>
  <si>
    <t xml:space="preserve">【退職】【業】1/31 1/31 Vantageスタジオ 高野真一郎 </t>
  </si>
  <si>
    <t>伊東芽生</t>
  </si>
  <si>
    <t>【退職】【業】12/27 12/31 ﾃﾞｼﾞﾀﾙｴﾝﾀｰﾃｲﾝﾒﾝﾄ事業本部 伊東 芽生</t>
  </si>
  <si>
    <t>及川弓乃</t>
  </si>
  <si>
    <t>【退職】【業】 12/27 12/27 及川 弓乃</t>
  </si>
  <si>
    <t>大形尚弘</t>
  </si>
  <si>
    <t>【退職】【正】01/31 01/31 ライブエクスペリエンス事業部 大形尚弘</t>
  </si>
  <si>
    <t>増渕有紀</t>
  </si>
  <si>
    <t>【退職】【正】01/23 01/31 モンスト事業本部 マーケティング部 増渕 有紀</t>
  </si>
  <si>
    <t>【退職】【業】12/27 12/31 ﾃﾞｼﾞﾀﾙｴﾝﾀｰﾃｲﾝﾒﾝﾄ事業本部 川口 薫</t>
  </si>
  <si>
    <t>大村遼平</t>
  </si>
  <si>
    <t>【退職】【業】12/27 12/31 経営企画本部 大村 遼平</t>
  </si>
  <si>
    <t>加耒直人</t>
  </si>
  <si>
    <t>【退職】【業】12/27 12/31 デジタルエンターテインメント事業本部 加耒直人</t>
  </si>
  <si>
    <t>孫瑜</t>
  </si>
  <si>
    <t xml:space="preserve">【退職】【派】01/22 01/31 コーポレートサポート本部 孫 瑜 </t>
  </si>
  <si>
    <t>田中安人</t>
  </si>
  <si>
    <t>【退職】【業】12/27 12/31 社長本部 田中 安人</t>
  </si>
  <si>
    <t>高崎洋平</t>
  </si>
  <si>
    <t>【退職】【業】12/26 12/31 人事本部 高崎 洋平</t>
  </si>
  <si>
    <t>【退職】【業】12/27 12/31 ﾃﾞｼﾞﾀﾙｴﾝﾀｰﾃｲﾝﾒﾝﾄ事業本部 桑本 竜也</t>
  </si>
  <si>
    <t>【退職】【業】12/27 12/31 ﾃﾞｼﾞﾀﾙｴﾝﾀｰﾃｲﾝﾒﾝﾄ事業本部 中野 莉央</t>
  </si>
  <si>
    <t>金子大輔</t>
  </si>
  <si>
    <t>【退職】【業】12/27 12/31 （本部名無し）金子 大輔</t>
  </si>
  <si>
    <t>大橋英俊</t>
  </si>
  <si>
    <t>【退職】【正】01/20 01/20 DE本部 大橋英俊</t>
  </si>
  <si>
    <t>木上悠輔</t>
  </si>
  <si>
    <t>【退職】【業】12/31 12/31 木上 悠輔</t>
  </si>
  <si>
    <t>【退職】【業】12/27 12/31 社長本部 佐竹 正安</t>
  </si>
  <si>
    <t>【退職】【派】12/27 12/31 モンスト事業本部 藤井 達寛</t>
  </si>
  <si>
    <t>【退職】【ア】2019/12/27 2019/12/31 社長本部 山田浩平a</t>
  </si>
  <si>
    <t>齊藤幸枝</t>
  </si>
  <si>
    <t>【退職】【派】12/20 12/31 デザイン本部 齊藤 幸枝</t>
  </si>
  <si>
    <t>ﾃﾞｼﾞﾀﾙﾏｰｹﾃｨﾝｸﾞ室</t>
  </si>
  <si>
    <t>西林明信</t>
  </si>
  <si>
    <t>【退職】【業】12/26 12/31　ﾏｰｹﾃｨﾝｸﾞ本部　西林 明信</t>
  </si>
  <si>
    <t>高木秀和</t>
  </si>
  <si>
    <t>【退職】【派】12/27 12/31 モンスト事業本部 高木 秀和</t>
  </si>
  <si>
    <t>鈴木寧樹</t>
  </si>
  <si>
    <t>【退職】【業】 12/23 12/23 鈴木 寧樹</t>
  </si>
  <si>
    <t>三浦絹代</t>
  </si>
  <si>
    <t>【退職】【業】 12/23 12/23 三浦 絹代</t>
  </si>
  <si>
    <t>鎌田翔</t>
  </si>
  <si>
    <t>【退職】【業】 12/23 12/23 鎌田 翔</t>
  </si>
  <si>
    <t>【退職】【業】 12/23 12/23 及川 弓乃</t>
  </si>
  <si>
    <t>濱田知佐</t>
  </si>
  <si>
    <t>【退職】【業】 12/23 12/23 濱田 知佐</t>
  </si>
  <si>
    <t>小林康治</t>
  </si>
  <si>
    <t>【退職】【業】 12/23 12/23 小林 康治</t>
  </si>
  <si>
    <t>及川貴大</t>
  </si>
  <si>
    <t>【退職】【業】 12/23 12/23 及川 貴大</t>
  </si>
  <si>
    <t>松谷美歩</t>
  </si>
  <si>
    <t>【退職】【業】 12/23 12/23 松谷 美歩</t>
  </si>
  <si>
    <t>佐藤仁美</t>
  </si>
  <si>
    <t>【退職】【業】 12/23 12/23 佐藤 仁美</t>
  </si>
  <si>
    <t>早坂美希</t>
  </si>
  <si>
    <t>【退職】【業】 12/23 12/23 早坂 美希</t>
  </si>
  <si>
    <t>渡邉麻美</t>
  </si>
  <si>
    <t>【退職】【業】 12/23 12/23 渡邉 麻美</t>
  </si>
  <si>
    <t>大川麻実</t>
  </si>
  <si>
    <t>【退職】【業】 12/23 12/23 大川 麻実</t>
  </si>
  <si>
    <t>本郷拓未</t>
  </si>
  <si>
    <t>【退職】【業】 12/23 12/23  本郷 拓未</t>
  </si>
  <si>
    <t>袴田奈実</t>
  </si>
  <si>
    <t>【退職】【業】 12/23 12/23  袴田 奈実</t>
  </si>
  <si>
    <t>高橋一彰</t>
  </si>
  <si>
    <t>【退職】【業】 12/23 12/23 高橋 一彰</t>
  </si>
  <si>
    <t>【退職】【ア】12/26 12/27 人事部付 松平 礼史</t>
  </si>
  <si>
    <t>佐藤歩夢</t>
  </si>
  <si>
    <t>【道場対応・第八期】【退職】【業】12/12 12/12　佐藤 歩夢</t>
  </si>
  <si>
    <t>原田智</t>
  </si>
  <si>
    <t>【道場対応・第八期】【退職】【業】12/12 12/12　原田 智</t>
  </si>
  <si>
    <t>岩澤洋介</t>
  </si>
  <si>
    <t>【退職】【業】12/10　12/10　事業支援室事業開発ｸﾞﾙｰﾌﾟ　岩澤 洋介</t>
  </si>
  <si>
    <t>【退職】【業】11/30 12/9 持田 愛</t>
  </si>
  <si>
    <t>朝山英明</t>
  </si>
  <si>
    <t>【退職】【正】12/27 12/31 デザイン本部 朝山 英明</t>
  </si>
  <si>
    <t>林崎睦</t>
  </si>
  <si>
    <t>【退職】【業】12/20 12/27 ﾌｧｲﾄﾘｰｸﾞ事業部 林崎 睦</t>
  </si>
  <si>
    <t>土居裕人</t>
  </si>
  <si>
    <t>【退職】【業】12/25 12/27 ﾌｧｲﾄﾘｰｸﾞ事業部 土居 裕人</t>
  </si>
  <si>
    <t>飯尾拓也</t>
  </si>
  <si>
    <t>【退職】【業】 12/27 12/27 ﾓﾝｽﾄ事業本部 飯尾 拓也</t>
  </si>
  <si>
    <t>長谷部遥真</t>
  </si>
  <si>
    <t>【退職】【派】12/25 12/25 ﾓﾝｽﾄ事業本部 長谷部 遥真</t>
  </si>
  <si>
    <t>【退職】【ア】12/26 12/31 人事部付 木俣 太地</t>
  </si>
  <si>
    <t>南雲綾子</t>
  </si>
  <si>
    <t>【退職】【正】12/13　12/31　マーチャンダイジング部　南雲 綾子</t>
  </si>
  <si>
    <t>【退職】【正】12/20　2/27　マーチャンダイジング部　安藤 真祐子</t>
  </si>
  <si>
    <t>玉村雄大</t>
  </si>
  <si>
    <t>【退職】【正】12/27 01/05 デザイン本部 玉村 雄大</t>
  </si>
  <si>
    <t>高橋美鈴</t>
  </si>
  <si>
    <t>【退職】【業】11/29 12/31 ﾃﾞｻﾞｲﾝ本部ﾃｸﾆｶﾙｱｰﾄG高橋 美鈴</t>
  </si>
  <si>
    <t>長利光姫</t>
  </si>
  <si>
    <t>【退職】【業】20190830 20190930 Vantageスタジオ新規事業開発室 長利光姫</t>
  </si>
  <si>
    <t>松場友平</t>
  </si>
  <si>
    <t>【退職】【業】12/2 12/6 人事部 松場友平</t>
  </si>
  <si>
    <t>高橋菜月</t>
  </si>
  <si>
    <t>【退職】【業】11/29 11/30 CS部 高橋 菜月</t>
  </si>
  <si>
    <t>【退職】【業】11/29 11/30 CS部 鈴木 彩香a</t>
  </si>
  <si>
    <t>赤坂慶一</t>
  </si>
  <si>
    <t>【退職】【業】11/29 11/30 CS部 赤坂 慶一</t>
  </si>
  <si>
    <t>菱沼楠那</t>
  </si>
  <si>
    <t>【退職】【業】11/29 11/30 CS部 菱沼 楠那</t>
  </si>
  <si>
    <t>花島彩</t>
  </si>
  <si>
    <t>【退職】【業】12/26 12/26 Vantageスタジオ 花島彩</t>
  </si>
  <si>
    <t>皆川憲太郎</t>
  </si>
  <si>
    <t>【退職】【業】10/3 11/29 （本部名無し）皆川 憲太郎</t>
  </si>
  <si>
    <t>大島泰之</t>
  </si>
  <si>
    <t>【退職】【業】12/27 12/31 デジタルエンターテインメント事業本部 大島 泰之</t>
  </si>
  <si>
    <t>石成朋美</t>
  </si>
  <si>
    <t>【退職】【派】12/13 12/31 デジタルエンターテインメント事業本部 石成 朋美</t>
  </si>
  <si>
    <t>ライセンス事業</t>
  </si>
  <si>
    <t>木村直道</t>
  </si>
  <si>
    <t>【退職】【正】12/13 12/31 ライセンス事業部 木村 直道</t>
  </si>
  <si>
    <t>池田亜美加</t>
  </si>
  <si>
    <t>【退職】【正】12/24 12/31 デザイン本部 池田亜美加</t>
  </si>
  <si>
    <t>近藤亜里砂</t>
  </si>
  <si>
    <t>【退職】【正】12/12 12/31 ライセンス事業部 近藤 亜里砂</t>
  </si>
  <si>
    <t>杉森康司</t>
  </si>
  <si>
    <t>【退職】【業務委託】2019/11/29,2019/11/29,Vantageスタジオ 新規事業開発室 Trifectaグループ 杉森 康司</t>
  </si>
  <si>
    <t>柳原健一</t>
  </si>
  <si>
    <t>【退職】【業務委託】2019/11/29,2019/11/29,Vantageスタジオ 新規事業開発室 Trifectaグループ 柳原 健一</t>
  </si>
  <si>
    <t>【退職】【ア】11/29 11/29 人事部付　八木 康輔</t>
  </si>
  <si>
    <t>【退職】【ア】11/29 11/29　人事部付　篠崎 瑞樹</t>
  </si>
  <si>
    <t>鵜飼亮太</t>
  </si>
  <si>
    <t>【退職】【正】2019/12/2   2020/1/31 Vantageスタジオ新規事業開発室 manaviG鵜飼 亮太</t>
  </si>
  <si>
    <t>岩佐博</t>
  </si>
  <si>
    <t>【退職】【業】11/27 11/30 岩佐 博</t>
  </si>
  <si>
    <t>宍戸桃佳</t>
  </si>
  <si>
    <t xml:space="preserve">【退職】【業】11/29 11/29 宍戸 桃佳   </t>
  </si>
  <si>
    <t>松村江梨香</t>
  </si>
  <si>
    <t>【退職】【正】12/13 01/10 みてね事業部 松村江梨香</t>
  </si>
  <si>
    <t>守實俊博</t>
  </si>
  <si>
    <t>【退職】【正】12/26 12/31 デザイン本部　守實 俊博</t>
  </si>
  <si>
    <t>石田　拓弥</t>
  </si>
  <si>
    <t>【退職】【業】12/27 12/31 ﾌｧｲﾄﾘｰｸﾞ事業部 石田　拓弥</t>
  </si>
  <si>
    <t>伊部　孝子</t>
  </si>
  <si>
    <t>【退職】【業】12/27 12/31 ﾌｧｲﾄﾘｰｸﾞ事業部 伊部　孝子</t>
  </si>
  <si>
    <t>山口幹太</t>
  </si>
  <si>
    <t>【退職】【業】12/27 12/31 ﾌｧｲﾄﾘｰｸﾞ事業部 山口　幹太</t>
  </si>
  <si>
    <t>内藤みき</t>
  </si>
  <si>
    <t>【退職】【業】12/27 12/31 ﾌｧｲﾄﾘｰｸﾞ事業部 内藤　みき</t>
  </si>
  <si>
    <t>中村岳志</t>
  </si>
  <si>
    <t>【退職】【業】12/27 12/31 ﾌｧｲﾄﾘｰｸﾞ事業部 中村　岳志</t>
  </si>
  <si>
    <t>岡本　梓</t>
  </si>
  <si>
    <t>【退職】【業】12/27 12/31 ﾌｧｲﾄﾘｰｸﾞ事業部 岡本　梓</t>
  </si>
  <si>
    <t>光原周作</t>
  </si>
  <si>
    <t>【退職】【正】12/6　12/31　マーチャンダイジング部　光原 周作</t>
  </si>
  <si>
    <t>荒木　理恵</t>
  </si>
  <si>
    <t>【退職】【業】12/27 12/31 ﾌｧｲﾄﾘｰｸﾞ事業部 荒木　理恵</t>
  </si>
  <si>
    <t>ココサイズ部</t>
  </si>
  <si>
    <t>宅間詩乃</t>
  </si>
  <si>
    <t>【退職】【正】2019/11/30 2020/2/29 ココサイズ部 宅間 詩乃</t>
  </si>
  <si>
    <t>楢原健一</t>
  </si>
  <si>
    <t>【退職】【正】2019/11/30 2020/2/29 ココサイズ部 楢原 健一</t>
  </si>
  <si>
    <t>李萌</t>
  </si>
  <si>
    <t>【退職】【正】12/20 12/31 社長本部 李 萌</t>
  </si>
  <si>
    <t>長田直美</t>
  </si>
  <si>
    <t>【退職】【正】12/23 12/31 ﾌｧｲﾄﾘｰｸﾞ事業部　長田 直美</t>
  </si>
  <si>
    <t>長嶋宏志</t>
  </si>
  <si>
    <t>【退職】【契】12/20 12/27 モンスト事業本部 長嶋 宏志</t>
  </si>
  <si>
    <t>今井雄太b</t>
  </si>
  <si>
    <t>【退職】【業】11/30 11/30 事業開発部 今井雄太b</t>
  </si>
  <si>
    <t>平澤克幸</t>
  </si>
  <si>
    <t>【退職】【正】01/10 01/31 デザイン本部 平澤 克幸</t>
  </si>
  <si>
    <t>楠原　大志</t>
  </si>
  <si>
    <t>【退職】【業】11/13 11/15 ﾌｧｲﾄﾘｰｸﾞ事業部 楠原　大志</t>
  </si>
  <si>
    <t>楠本　智恵子</t>
  </si>
  <si>
    <t>【退職】【業】11/13 11/15 ﾌｧｲﾄﾘｰｸﾞ事業部 楠本　智恵子</t>
  </si>
  <si>
    <t>沖田茂宏</t>
  </si>
  <si>
    <t xml:space="preserve">【退職】【業】11/13 11/15 ﾌｧｲﾄﾘｰｸﾞ事業部 沖田 茂宏　</t>
  </si>
  <si>
    <t>遠藤晴美</t>
  </si>
  <si>
    <t>【退職】【業】11/30 11/30 ココサイズ部 遠藤 晴美</t>
  </si>
  <si>
    <t>久野礼子</t>
  </si>
  <si>
    <t>【退職】【業】11/30 11/30 ココサイズ部 久野礼子</t>
  </si>
  <si>
    <t>ﾃﾞｻﾞｲﾝ室</t>
  </si>
  <si>
    <t>鷲見昌俊</t>
  </si>
  <si>
    <t>【退職】【派遣】11/12 11/13　ﾓﾝｽﾄ事業本部　鷲見 昌俊</t>
  </si>
  <si>
    <t>袁雷</t>
  </si>
  <si>
    <t>【退職】【正】11/29　11/30　ﾃﾞｼﾞﾀﾙｴﾝﾀｰﾃｲﾝﾒﾝﾄ事業本部　袁 雷</t>
  </si>
  <si>
    <t>伊藤史浩</t>
  </si>
  <si>
    <t>【退職】【正】11/15 12/31 モンスト事業本部 開発室 伊藤 史浩</t>
  </si>
  <si>
    <t>上薗恭平</t>
  </si>
  <si>
    <t>【退職】【業】11/8 12/10　ｹﾞｰﾑ運営部　上薗 恭平</t>
  </si>
  <si>
    <t>大村　晴乃</t>
  </si>
  <si>
    <t>【退職】【ア】11/26 11/30 XFLAG STORE 大村　晴乃</t>
  </si>
  <si>
    <t>上田　綾</t>
  </si>
  <si>
    <t>【退職】【ア】11/20 11/30 XFLAG STORE 上田　綾</t>
  </si>
  <si>
    <t>小林奈々</t>
  </si>
  <si>
    <t>【退職】【正】12/31　11/29　マーチャンダイジング部　小林奈々</t>
  </si>
  <si>
    <t>在川　希</t>
  </si>
  <si>
    <t>【退職】【ア】11/15 11/2 XFLAG STORE 在川　希</t>
  </si>
  <si>
    <t>齊藤優子</t>
  </si>
  <si>
    <t>【退職】【正】11/29 12/13 LE部 齊藤 優子</t>
  </si>
  <si>
    <t>木浦愛</t>
  </si>
  <si>
    <t>【退職】【派】11/18 11/30 Vantageスタジオ 木浦愛</t>
  </si>
  <si>
    <t>小林誠a</t>
  </si>
  <si>
    <t>【退職】【正】12/6 12/10 mixi事業部 小林誠a</t>
  </si>
  <si>
    <t>齊藤一誠</t>
  </si>
  <si>
    <t>【退職】【業】10/31 10/31 DE事業本部 齊藤 一誠</t>
  </si>
  <si>
    <t>熊谷秀大</t>
  </si>
  <si>
    <t>【退職】【業】10/31 10/31 デザイン本部　熊谷秀大</t>
  </si>
  <si>
    <t>鷲頭史一</t>
  </si>
  <si>
    <t>【退職】【正】20191210 20191210 Vantageスタジオ新規事業開発室 manaviG鷲頭 史一</t>
  </si>
  <si>
    <t>菅原清吾</t>
  </si>
  <si>
    <t>【退職】【業】20191031 20191031 Vantageスタジオ新規事業開発室 manaviG菅原 清吾</t>
  </si>
  <si>
    <t>【退職/支援解除】【ア】10/31 10/31　人事部付　吉川 勇太郎</t>
  </si>
  <si>
    <t>富岡祐介</t>
  </si>
  <si>
    <t>【退職】【ア】10/31 10/31 人事部付　富岡 祐介</t>
  </si>
  <si>
    <t>長田卓馬</t>
  </si>
  <si>
    <t>【退職】【ア】10/29 10/31 人事部付　長田 卓馬</t>
  </si>
  <si>
    <t>村川昂功</t>
  </si>
  <si>
    <t>【退職】【業】10/31 10/31 社長本部 村川 昂功</t>
  </si>
  <si>
    <t>原田敦史</t>
  </si>
  <si>
    <t>【退職】【業】10/31 10/31 社長本部 原田 敦史</t>
  </si>
  <si>
    <t>山本哲生</t>
  </si>
  <si>
    <t>【退職】【業】10/31 11/1  山本 哲生</t>
  </si>
  <si>
    <t>米盛勇哉</t>
  </si>
  <si>
    <t>【退職】【エ】10/31 10/31 社長本部 米盛 勇哉</t>
  </si>
  <si>
    <t>麻植泰輔</t>
  </si>
  <si>
    <t>【退職】【業】2019/10/18　麻植 泰輔</t>
  </si>
  <si>
    <t>吉津祭</t>
  </si>
  <si>
    <t>【退職】【業】10/31 10/31 （本部名無し）吉津 祭</t>
  </si>
  <si>
    <t>門馬あや子</t>
  </si>
  <si>
    <t>【退職】【正】10/31 12/31 統括管理本部 門馬あや子</t>
  </si>
  <si>
    <t>黒川洋</t>
  </si>
  <si>
    <t>【退職】【正】11/15 11/17 みてね事業部 黒川 洋</t>
  </si>
  <si>
    <t>石田耕大</t>
  </si>
  <si>
    <t>【退職】【ア】10/31 10/27 XFLAG STORE 石田　耕大</t>
  </si>
  <si>
    <t>白壁裕</t>
  </si>
  <si>
    <t>【退職】【正】12/13 12/13 ブランドコミュニケーション室 白壁裕</t>
  </si>
  <si>
    <t>亀岡千泰</t>
  </si>
  <si>
    <t>【退職】【業】10/31 10/31 社長本部 亀岡 千泰</t>
  </si>
  <si>
    <t>中河　優</t>
  </si>
  <si>
    <t>【退職】【業】 10/18 10/18 モンスト事業本部 中河　優</t>
  </si>
  <si>
    <t>山本真由美</t>
  </si>
  <si>
    <t>【退職】【業】10/31 10/31 デジタルエンターテインメント事業本部 山本 真由美</t>
  </si>
  <si>
    <t>川島智己</t>
  </si>
  <si>
    <t>【退職】【業】10/31 10/31 ミクシィ・リクルートメント事業部 川島智己</t>
  </si>
  <si>
    <t>坂本航希</t>
  </si>
  <si>
    <t>【道場対応・第六期】【退職】【業】10/10 10/10　坂本 航希</t>
  </si>
  <si>
    <t>高柳潤</t>
  </si>
  <si>
    <t>【道場対応・第六期】【退職】【業】10/10 10/10　高柳 潤</t>
  </si>
  <si>
    <t>山下信行</t>
  </si>
  <si>
    <t>【退職】【業】10/15 10/15 （本部名無し）山下 信行</t>
  </si>
  <si>
    <t>國見樂</t>
  </si>
  <si>
    <t>【退職】【ア】10/17 10/18　人事部付　國見 樂</t>
  </si>
  <si>
    <t>【退職】【ア】10/15　10/16　人事部付　矢野 夏洋</t>
  </si>
  <si>
    <t>立川怜</t>
  </si>
  <si>
    <t>【退職】【業】10/30 10/30 はたらく環境室 立川 怜</t>
  </si>
  <si>
    <t>丹野暁江</t>
  </si>
  <si>
    <t>【退職】【業】10/25 10/31　ｺｰﾎﾟﾚｰﾄｻﾎﾟｰﾄ本部　丹野 暁江</t>
  </si>
  <si>
    <t>松﨑弘志</t>
  </si>
  <si>
    <t>【退職】【契】11/08 11/15 モンスト事業本部  松﨑 弘志</t>
  </si>
  <si>
    <t>槇　和樹</t>
  </si>
  <si>
    <t>【退職】【業】10/31 10/31 経営企画本部 槇 和樹</t>
  </si>
  <si>
    <t>三田　裕也</t>
  </si>
  <si>
    <t>【退職】【業】10/31 10/31 経営企画本部　三田 裕也</t>
  </si>
  <si>
    <t>小野祐樹</t>
  </si>
  <si>
    <t>【退職】【業】10/8 10/8 CS部 小野 祐樹</t>
  </si>
  <si>
    <t>大橋海斗</t>
  </si>
  <si>
    <t>【退職】【業】9/30 10/1 CS部 大橋 海斗</t>
  </si>
  <si>
    <t>佐々木亜衣</t>
  </si>
  <si>
    <t>【退職】【業】10/15 10/16 佐々木 亜衣</t>
  </si>
  <si>
    <t>栃尾行美</t>
  </si>
  <si>
    <t>【退職】【業】10/17 10/17 社長本部 栃尾 行美</t>
  </si>
  <si>
    <t>坂本秀樹</t>
  </si>
  <si>
    <t>【退職】【業】11/8 11/8 社長本部 坂本 秀樹</t>
  </si>
  <si>
    <t>角野敦史</t>
  </si>
  <si>
    <t>【退職】【業】10/17 10/17 社長本部 角野 敦史</t>
  </si>
  <si>
    <t>野口敬央</t>
  </si>
  <si>
    <t>【退職】【業】10/4 10/4 社長本部 野口 敬央</t>
  </si>
  <si>
    <t>浦底博幸</t>
  </si>
  <si>
    <t>【退職】【業】1009 1009 開発本部 浦底 博幸</t>
  </si>
  <si>
    <t>フーソフィア</t>
  </si>
  <si>
    <t>【退職】【業】1009 1009 開発本部 ソフィア・フー</t>
  </si>
  <si>
    <t>川口裕太郎</t>
  </si>
  <si>
    <t>【退職】【業】2019/09/30 2019/09/30 川口 裕太郎</t>
  </si>
  <si>
    <t>桑原剛</t>
  </si>
  <si>
    <t>【退職】【業】9/30 9/30 ﾃﾞｼﾞﾀﾙｴﾝﾀｰﾃｲﾝﾒﾝﾄ事業本部 桑原 剛</t>
  </si>
  <si>
    <t>酒井智将</t>
  </si>
  <si>
    <t>【退職】【業】9/30 9/30 ﾃﾞｼﾞﾀﾙｴﾝﾀｰﾃｲﾝﾒﾝﾄ事業本部 酒井 智将</t>
  </si>
  <si>
    <t>【退職】【派】2019/10/15 2019/10/15 技術部 村田 雄人</t>
  </si>
  <si>
    <t>沖吉竜弥</t>
  </si>
  <si>
    <t>【退職】【正】10/09 10/31 統括管理本部 沖吉竜弥</t>
  </si>
  <si>
    <t>【退職】【業】 9/30 9/30 モンスト事業本部 岩瀬 香奈</t>
  </si>
  <si>
    <t>吉山怜</t>
  </si>
  <si>
    <t>【退職】【業】20190930 20190930 Vantageスタジオ新規事業開発室 manaviG吉山 怜</t>
  </si>
  <si>
    <t>佐藤翔二</t>
  </si>
  <si>
    <t>【退職】【業】9/30 9/30 （本部名無し） 佐藤 翔二</t>
  </si>
  <si>
    <t>丸田雄貴a</t>
  </si>
  <si>
    <t>【退職】【業】2019/9/30 2019/9/30 丸田 雄貴a</t>
  </si>
  <si>
    <t>澤田風雅</t>
  </si>
  <si>
    <t>【退職】【業】2019/9/30 2019/9/30 澤田 風雅</t>
  </si>
  <si>
    <t>福田将丈a</t>
  </si>
  <si>
    <t>【退職】【業】2019/9/30 2019/9/30 福田 将丈a</t>
  </si>
  <si>
    <t>堀田仁志</t>
  </si>
  <si>
    <t>【退職】【業】2019/9/26 2019/9/30 堀田 仁志</t>
  </si>
  <si>
    <t>阿部将文</t>
  </si>
  <si>
    <t>【退職】【業】2019/9/26 2019/9/30  阿部 将文</t>
  </si>
  <si>
    <t>中谷尚武</t>
  </si>
  <si>
    <t>【退職】【業】10/31　10/31　モンスト事業本部　中谷 尚武</t>
  </si>
  <si>
    <t>【退職】【業】09/30 09/30 みてね事業部 ジェイカップ ブライアン</t>
  </si>
  <si>
    <t>【退職】【業】2019/09/30 2019/09/30 岡田 健太郎</t>
  </si>
  <si>
    <t>森友紀</t>
  </si>
  <si>
    <t>【退職】【業】9/30 9/30 ﾌｧｲﾄﾘｰｸﾞ事業部 森 友紀</t>
  </si>
  <si>
    <t>来栖昂光</t>
  </si>
  <si>
    <t>【退職】【正】2019/9/30 2019/10/4 ココサイズ部 来栖昂光</t>
  </si>
  <si>
    <t>小野寺美津穂</t>
  </si>
  <si>
    <t>【退職】【業】9/30 9/30 CS部 小野寺 美津穂</t>
  </si>
  <si>
    <t>中川いつか</t>
  </si>
  <si>
    <t>【退職】【業】09/30 09/30 モンスト事業本部 中川 いつか</t>
  </si>
  <si>
    <t>【退職】【業】9/30 9/30 ﾃﾞｼﾞﾀﾙｴﾝﾀｰﾃｲﾝﾒﾝﾄ事業本部 勝亦 翔</t>
  </si>
  <si>
    <t>黒澤拓磨</t>
  </si>
  <si>
    <t>【退職/支援解除】【ア】9/20 9/20　人事部付　黒澤 拓磨</t>
  </si>
  <si>
    <t>【退職】【ア】9/27 9/27 人事部付　加藤 修悟</t>
  </si>
  <si>
    <t>栗山純平</t>
  </si>
  <si>
    <t>【退職】【ア】9/30 9/30　人事部付　栗山 純平</t>
  </si>
  <si>
    <t>砂賀開晴</t>
  </si>
  <si>
    <t>【退職】【ア】9/27 9/27 人事部付　砂賀 開晴</t>
  </si>
  <si>
    <t>山本一幸</t>
  </si>
  <si>
    <t>【退職】【業】9/13 9/13 DE事業本部 山本 一幸</t>
  </si>
  <si>
    <t>山崎裕也</t>
  </si>
  <si>
    <t>【退職】【ア】9/30　9/30　Vantageスタジオ 新規事業開発室 KARASTAG 山崎 裕也</t>
  </si>
  <si>
    <t>蒋若昕</t>
  </si>
  <si>
    <t>【退職】【派】9/13 9/30 デジタルエンターテインメント事業本部 蒋 若昕</t>
  </si>
  <si>
    <t>角田拓志</t>
  </si>
  <si>
    <t>【退職】【正】10/11 10/14 デジタルエンターテイメント事業本部 事業企画部マーケインテG　角田拓志</t>
  </si>
  <si>
    <t>對馬ひよ凜</t>
  </si>
  <si>
    <t>【退職】【ア】9/30 9/30 minimo事業部 對馬 ひよ凜</t>
  </si>
  <si>
    <t>飯野広教</t>
  </si>
  <si>
    <t>【退職】【業】09/30 09/30 デザイン本部 飯野 広教</t>
  </si>
  <si>
    <t>川村将人</t>
  </si>
  <si>
    <t>【退職】【業】09/26 09/30 デザイン本部 川村 将人</t>
  </si>
  <si>
    <t>吉川聡史</t>
  </si>
  <si>
    <t xml:space="preserve">【退職】【業】09/30 09/30 デザイン本部 吉川 聡史 </t>
  </si>
  <si>
    <t>森紀子</t>
  </si>
  <si>
    <t>【退職】【業】09/30 09/30 モンスト事業本部 森 紀子</t>
  </si>
  <si>
    <t>【道場対応・第五期】【退職】【業】9/12 9/12 ゲーム運営部 笹岡 光</t>
  </si>
  <si>
    <t>倉橋侑真</t>
  </si>
  <si>
    <t>【道場対応・第五期】【退職】【業】9/12 9/12 ゲーム運営部 倉橋 侑真</t>
  </si>
  <si>
    <t>堀陽平</t>
  </si>
  <si>
    <t>【退職】【ア】9/20 9/20 人事部付　堀 陽平</t>
  </si>
  <si>
    <t>リシセン</t>
  </si>
  <si>
    <t>【退職】【契】09/27 09/30 マーケティング部 リ シセン</t>
  </si>
  <si>
    <t>山下茉佑子</t>
  </si>
  <si>
    <t>【退職】【派】09/20 09/30 LX事業本部 山下茉佑子</t>
  </si>
  <si>
    <t>後藤武尊</t>
  </si>
  <si>
    <t>【退職】【ア】9/13 9/13 人事部付　後藤 武尊</t>
  </si>
  <si>
    <t>鈴木祥太</t>
  </si>
  <si>
    <t>【退職】【ア】9/13 9/13 人事部付　鈴木 祥太</t>
  </si>
  <si>
    <t>小松竜之介</t>
  </si>
  <si>
    <t>【退職】【正】10/15 10/15 経営企画本部 小松 竜之介</t>
  </si>
  <si>
    <t>青木俊之</t>
  </si>
  <si>
    <t>【道場対応・第五期】【退職】【業】9/5 9/5 ゲーム運営部 青木 俊之</t>
  </si>
  <si>
    <t>下岡　神古</t>
  </si>
  <si>
    <t>【退職】【ア】9/26 9/30 XFLAG STORE  下岡 神古</t>
  </si>
  <si>
    <t>鵜澤知樹</t>
  </si>
  <si>
    <t>【退職】【契】9/27 9/30 人事本部 鵜澤 知樹</t>
  </si>
  <si>
    <t>鴨志田健一</t>
  </si>
  <si>
    <t>【退職】【業】9/17 9/18 鴨志田 健一</t>
  </si>
  <si>
    <t>服部光助</t>
  </si>
  <si>
    <t>【退職】【正】8/30 8/31 服部 光助</t>
  </si>
  <si>
    <t>山中慶</t>
  </si>
  <si>
    <t>【退職】【正】09/30 11/30 ﾃﾞｻﾞｲﾝ本部 山中 慶</t>
  </si>
  <si>
    <t>【退職】【業】09/13 09/15 モンスト事業本部 橘井 健一</t>
  </si>
  <si>
    <t>鉄本大樹</t>
  </si>
  <si>
    <t>【退職】【業】09/13  09/13 マーチャンダイジング部　鉄本 大樹</t>
  </si>
  <si>
    <t>岩田成司</t>
  </si>
  <si>
    <t>【退職】【業】9/6 9/6 CS部 岩田 成司</t>
  </si>
  <si>
    <t>山里光</t>
  </si>
  <si>
    <t>【退職】【業】9/6 9/6 CS部 山里 光</t>
  </si>
  <si>
    <t>鶴間花保里</t>
  </si>
  <si>
    <t>【退職】【契】9/26 9/30 ブランドコミュニケーション室 鶴間 花保里</t>
  </si>
  <si>
    <t>菅野寛基</t>
  </si>
  <si>
    <t>【退職】【ア】9/18 9/30 Vantageスタジオ 菅野 寛基</t>
  </si>
  <si>
    <t>清水夏恵</t>
  </si>
  <si>
    <t>【退職】【業】9/13 9/13 Vantageスタジオ 清水 夏恵</t>
  </si>
  <si>
    <t>櫻木健太</t>
  </si>
  <si>
    <t>【退職】【業】9/6 9/6 統括管理本部 櫻木 健太</t>
  </si>
  <si>
    <t>内田将之</t>
  </si>
  <si>
    <t>【退職】【正】09/25 09/30 モンスト事業本部 内田 将之</t>
  </si>
  <si>
    <t>山本貴士</t>
  </si>
  <si>
    <t>【退職】【業】20190830 20190831 Vantageスタジオ新規事業開発室 山本貴士</t>
  </si>
  <si>
    <t>上田賢一</t>
  </si>
  <si>
    <t>【退職】【業】08/30 08/31 デザイン本部 上田賢一</t>
  </si>
  <si>
    <t>千葉絵里沙</t>
  </si>
  <si>
    <t>【退職】【業】8/30 8/31 人事部 千葉絵里沙</t>
  </si>
  <si>
    <t>【退職】【業】08/30 08/31 モンスト事業本部 生亀 貴之</t>
  </si>
  <si>
    <t>久東靖和</t>
  </si>
  <si>
    <t>【退職】【契】09/27　09/30 ﾃﾞｻﾞｲﾝ本部組織支援G 久東 靖和</t>
  </si>
  <si>
    <t>米岡輝美</t>
  </si>
  <si>
    <t>【退職】【正】09/13 09/13 ﾃﾞｻﾞｲﾝ本部 米岡 輝美</t>
  </si>
  <si>
    <t>宮田優一</t>
  </si>
  <si>
    <t>【退職】【業】08/30 08/31  ﾓﾝｽﾄ事業本部ｻｳﾝﾄﾞG 宮田 優一</t>
  </si>
  <si>
    <t>中野理恵子</t>
  </si>
  <si>
    <t>【退職】【業】08/30 08/31 はたらく環境室 中野 理恵子</t>
  </si>
  <si>
    <t>【退職】【出向解除】【正】9/18 9/30 経営推進本部 劉 楊諾</t>
  </si>
  <si>
    <t>岩柿一</t>
  </si>
  <si>
    <t>【退職】【業】 8/30 8/31 モンスト事業本部 岩柿 一</t>
  </si>
  <si>
    <t>石坂悠一朗</t>
  </si>
  <si>
    <t>【退職】【派】 8/30 8/31 モンスト事業本部 石坂 悠一朗</t>
  </si>
  <si>
    <t>常井一秀</t>
  </si>
  <si>
    <t>【退職 】【業】08/29 8/31  Vantageｽﾀｼﾞｵ 常井 一秀</t>
  </si>
  <si>
    <t>永井杏享</t>
  </si>
  <si>
    <t>【退職】【業】ﾗｲﾌﾞｴｸｽﾍﾟﾘｴﾝｽ事業本部 8/20 8/20永井 杏享</t>
  </si>
  <si>
    <t>椎山依美</t>
  </si>
  <si>
    <t>【退職】【正】09/17 09/30 デザイン本部 LXﾃﾞｻﾞｲﾝG 椎山 依美</t>
  </si>
  <si>
    <t>伊藤元香</t>
  </si>
  <si>
    <t>【退職】【契】9/6 9/30 統括管理本部 伊藤元香</t>
  </si>
  <si>
    <t>服部雅嗣</t>
  </si>
  <si>
    <t>【退職】【正】9/26 9/30 統括管理本部 服部雅嗣</t>
  </si>
  <si>
    <t>木村あさみ</t>
  </si>
  <si>
    <t>【退職】【業】8/30 8/31 ﾌｧｲﾄﾘｰｸﾞ事業部  木村 あさみ</t>
  </si>
  <si>
    <t>山本陽弘</t>
  </si>
  <si>
    <t>【退職】【業】8/30 8/31 ﾌｧｲﾄﾘｰｸﾞ事業部 山本 陽弘</t>
  </si>
  <si>
    <t>原悠</t>
  </si>
  <si>
    <t>【退職】【業】8/29 8/31 ﾌｧｲﾄﾘｰｸﾞ事業部 原 悠</t>
  </si>
  <si>
    <t xml:space="preserve"> モンスト事業本部</t>
  </si>
  <si>
    <t>鹽野友哉</t>
  </si>
  <si>
    <t>【退職】【正】3/4 8/31 鹽野友哉</t>
  </si>
  <si>
    <t>土井健太郎</t>
  </si>
  <si>
    <t>【退職/支援解除】【ア】8/23 8/23　人事部付　土井 健太郎</t>
  </si>
  <si>
    <t>喜屋武将也</t>
  </si>
  <si>
    <t>【退職】【ア】8/30 8/30 人事部付　喜屋武 将也</t>
  </si>
  <si>
    <t>今西勇太</t>
  </si>
  <si>
    <t>【退職】【ア】8/23 8/23 人事部付　今西 勇太</t>
  </si>
  <si>
    <t>【退職】【ア】8/30 8/30 人事部付　佐々木 智崇</t>
  </si>
  <si>
    <t>村上孝子</t>
  </si>
  <si>
    <t>【退職】【業】0815 0815 開発本部 村上 孝子</t>
  </si>
  <si>
    <t>中村雅人</t>
  </si>
  <si>
    <t>【退職】【業】8/13 8/16 ﾌｧｲﾄﾘｰｸﾞ事業部 中村 雅人</t>
  </si>
  <si>
    <t>井上大介</t>
  </si>
  <si>
    <t>【退職】【業】08/30 08/30 （本部名無し）井上 大介</t>
  </si>
  <si>
    <t>備前智大</t>
  </si>
  <si>
    <t>【退職】【正】08/30 08/31 ヘカテ 備前 智大</t>
  </si>
  <si>
    <t>溝口美佳</t>
  </si>
  <si>
    <t>【退職】【業】 8/29 8/31 モンスト事業本部 溝口 美佳</t>
  </si>
  <si>
    <t>大井将徳</t>
  </si>
  <si>
    <t>【退職】【正】8/9 10/31 ﾃﾞｼﾞﾀﾙｴﾝﾀｰﾃｲﾝﾒﾝﾄ事業本部　大井 将徳</t>
  </si>
  <si>
    <t>白井萌花</t>
  </si>
  <si>
    <t>【退職 】【業】9/26 9/30 タレント事業開発G　白井萌花</t>
  </si>
  <si>
    <t xml:space="preserve">ﾃﾞｼﾞﾀﾙｴﾝﾀｰﾃｲﾝﾒﾝﾄ事業本部   </t>
  </si>
  <si>
    <t>竹内力</t>
  </si>
  <si>
    <t>【退職】【正】08/22  08/31 インキュベーション事業部　竹内力</t>
  </si>
  <si>
    <t>齊藤和音</t>
  </si>
  <si>
    <t>【退職】【正】09/10 09/30 社長本部　齊藤 和音</t>
  </si>
  <si>
    <t>【退職】【正】8/30 12/31 塚田 亜希子</t>
  </si>
  <si>
    <t>金井直也</t>
  </si>
  <si>
    <t>【退職】【正】09/24 09/30 マーチャンダイジング部 金井 直也</t>
  </si>
  <si>
    <t>高津戸勇紀</t>
  </si>
  <si>
    <t>【退職】【正】08/16　08/31　ﾃﾞｻﾞｲﾝ本部　高津戸 勇紀</t>
  </si>
  <si>
    <t>芳賀久美子</t>
  </si>
  <si>
    <t>【退職】【正】9/6 9/16 デジタルエンターテインメント事業本部 芳賀久美子</t>
  </si>
  <si>
    <t>宋靜怡</t>
  </si>
  <si>
    <t>【退職 】【業】7/31 7/31 宋 靜怡</t>
  </si>
  <si>
    <t>肖金輝</t>
  </si>
  <si>
    <t>【退職】【業】7/31 7/31 LX開発室 肖 金輝</t>
  </si>
  <si>
    <t>松木武志</t>
  </si>
  <si>
    <t>【退職】【派】7/31 7/31 松木武志</t>
  </si>
  <si>
    <t>大石翠</t>
  </si>
  <si>
    <t>【退職】【業】7/31 8/15 経営企画本部 大石 翠</t>
  </si>
  <si>
    <t>柳澤貴宏</t>
  </si>
  <si>
    <t>【退職】【正】8/2  8/31 デジタルエンターテインメント事業本部　柳澤貴宏</t>
  </si>
  <si>
    <t>小林慶祐</t>
  </si>
  <si>
    <t>【退職】【正】8/16 8/31 ﾃﾞｼﾞﾀﾙｴﾝﾀｰﾃｲﾝﾒﾝﾄ事業本部　小林 慶祐</t>
  </si>
  <si>
    <t>直井真一郎</t>
  </si>
  <si>
    <t>【退職】【業】07/31 07/31 インキュベーション事業部 直井 真一郎</t>
  </si>
  <si>
    <t>山内文貴</t>
  </si>
  <si>
    <t>【退職】【業】07/31 07/31 インキュベーション事業部 山内 文貴</t>
  </si>
  <si>
    <t>篠田典賢</t>
  </si>
  <si>
    <t>【退職】【業】07/31 07/31 インキュベーション事業部 篠田 典賢</t>
  </si>
  <si>
    <t>【退職】【業】07/05 07/05 インキュベーション事業部 村上 久生</t>
  </si>
  <si>
    <t>岩本弘道</t>
  </si>
  <si>
    <t>【退職】【業】7/31 7/31モンスト事業本部 岩本 弘道</t>
  </si>
  <si>
    <t>【退職】【業】7/31 7/31モンスト事業本部 長尾 知哉</t>
  </si>
  <si>
    <t>下河辺桜</t>
  </si>
  <si>
    <t>【退職】【正】08/16 09/30 事業企画部 下河辺 桜</t>
  </si>
  <si>
    <t>山本和生</t>
  </si>
  <si>
    <t>【退職】【業】07/31 07/31 XFLAG PICTURES 山本 和生</t>
  </si>
  <si>
    <t>我妻真里奈</t>
  </si>
  <si>
    <t>【退職】【業】6/30 6/30 統括管理本部 我妻 真里奈</t>
  </si>
  <si>
    <t>杉山剛二郎</t>
  </si>
  <si>
    <t>【退職】【業】08/16 08/16 （本部名無し）杉山 剛二郎</t>
  </si>
  <si>
    <t>稲村大介</t>
  </si>
  <si>
    <t>【退職 】【業】 07/31  07/31 法務部 稲村 大介</t>
  </si>
  <si>
    <t>近藤翔</t>
  </si>
  <si>
    <t>【退職】【業】7/26 7/31 ﾌｧｲﾄﾘｰｸﾞ事業部  近藤 翔</t>
  </si>
  <si>
    <t>佐藤　ちとせ</t>
  </si>
  <si>
    <t>【退職】【契】07/24　08/07 ミクシィ・エンパワーメント 佐藤ちとせ</t>
  </si>
  <si>
    <t>菊地絵里子</t>
  </si>
  <si>
    <t>【退職】【業】7/30 7/31 はたらく環境室 菊地 絵里子</t>
  </si>
  <si>
    <t>後田崇弘</t>
  </si>
  <si>
    <t>【退職】【業】8/13 8/31 ﾌｧｲﾄﾘｰｸﾞ事業部 後田 崇弘</t>
  </si>
  <si>
    <t>鈴木　理美</t>
  </si>
  <si>
    <t>【退職】【契】08/23 09/15 デザイン本部 鈴木 理美</t>
  </si>
  <si>
    <t>齋藤直紀</t>
  </si>
  <si>
    <t>【退職】【業】07/26　07/31　LX事業本部　齋藤 直紀</t>
  </si>
  <si>
    <t>竹添文敏</t>
  </si>
  <si>
    <t>【退職】【業】7/30 7/31 竹添 文敏</t>
  </si>
  <si>
    <t>根本淳成</t>
  </si>
  <si>
    <t>【退職】【業】7/30 7/31 根本 淳成</t>
  </si>
  <si>
    <t>倉岡昭一</t>
  </si>
  <si>
    <t>【退職 】【業】7/31 7/31 社長本部 倉岡 昭一</t>
  </si>
  <si>
    <t>チンスティン</t>
  </si>
  <si>
    <t>【退職】【業】07/31 07/31 ﾗｲﾌﾞｴｸｽﾍﾟﾘｴﾝｽ事業本部 チンスティン</t>
  </si>
  <si>
    <t>石井克尚</t>
  </si>
  <si>
    <t>【退職】【業】07/31 07/31 ﾗｲﾌﾞｴｸｽﾍﾟﾘｴﾝｽ事業本部 石井克尚</t>
  </si>
  <si>
    <t>藤原彩</t>
  </si>
  <si>
    <t>【退職】【業】07/31 07/31 ﾗｲﾌﾞｴｸｽﾍﾟﾘｴﾝｽ事業本部  藤原彩</t>
  </si>
  <si>
    <t>中野沙耶</t>
  </si>
  <si>
    <t>【退職】【業】07/31 07/31 ﾗｲﾌﾞｴｸｽﾍﾟﾘｴﾝｽ事業本部 中野沙耶</t>
  </si>
  <si>
    <t>米永さら沙</t>
  </si>
  <si>
    <t>【退職】【業】07/31 07/31 ﾗｲﾌﾞｴｸｽﾍﾟﾘｴﾝｽ事業本部 米永さら沙</t>
  </si>
  <si>
    <t>國光俊樹</t>
  </si>
  <si>
    <t>【退職】【業】07/31 07/31 ﾗｲﾌﾞｴｸｽﾍﾟﾘｴﾝｽ事業本部 國光俊樹</t>
  </si>
  <si>
    <t>畑利枝</t>
  </si>
  <si>
    <t>【退職】【業】7/31 7/31 社長本部 畑利枝</t>
  </si>
  <si>
    <t>【退職】【業】7/31 7/31 ﾌｧｲﾄﾘｰｸﾞ事業部 山口 幹太</t>
  </si>
  <si>
    <t>谷口友星</t>
  </si>
  <si>
    <t>【退職】【ア】7/30 7/31 人事部付　谷口 友星</t>
  </si>
  <si>
    <t>中村未来</t>
  </si>
  <si>
    <t>【退職】【業】7/12 7/12 モンスト事業本部 中村 未来</t>
  </si>
  <si>
    <t>村上昌史</t>
  </si>
  <si>
    <t>【退職】【業】8/30 8/31 ﾌｧｲﾄﾘｰｸﾞ事業部 村上 昌史</t>
  </si>
  <si>
    <t>澤優弥</t>
  </si>
  <si>
    <t>【退職】【業】7/31 7/31 ﾌｧｲﾄﾘｰｸﾞ事業部 澤 優弥</t>
  </si>
  <si>
    <t>平出航大</t>
  </si>
  <si>
    <t>【退職】【業】7/31 7/31モンスト事業本部 平出 航大</t>
  </si>
  <si>
    <t>青山良</t>
  </si>
  <si>
    <t>【退職】【業】07/31 07/31 事業企画部 青山 良</t>
  </si>
  <si>
    <t>マチュンジュ</t>
  </si>
  <si>
    <t>【退職】【正】08/23 08/23 ビジネスサポート室 マ チュンジュ</t>
  </si>
  <si>
    <t>秦二男</t>
  </si>
  <si>
    <t>【退職】【業】07/31 07/31 ｲﾝｷｭﾍﾞｰｼｮﾝ事業部 秦 二男</t>
  </si>
  <si>
    <t>横内麻実</t>
  </si>
  <si>
    <t>【退職】【業】07/31 07/31 ｲﾝｷｭﾍﾞｰｼｮﾝ事業部 横内 麻実</t>
  </si>
  <si>
    <t>石田裕貴</t>
  </si>
  <si>
    <t>【退職】【正】07/16 09/30 ファイトリーグ事業部 石田 裕貴</t>
  </si>
  <si>
    <t>【退職】【正】7/31 7/31　ｹﾞｰﾑ運営部　西田 哲史</t>
  </si>
  <si>
    <t>金昌奐</t>
  </si>
  <si>
    <t>【退職】【正】07/31 08/9 ﾌｧｲﾄﾘｰｸﾞ事業部 金 昌奐</t>
  </si>
  <si>
    <t>田村岳大</t>
  </si>
  <si>
    <t>【退職】【業】7/29 7/31 ﾌｧｲﾄﾘｰｸﾞ事業部 田村 岳大</t>
  </si>
  <si>
    <t>大城和輝</t>
  </si>
  <si>
    <t>【退職】【業】03/04 07/12 はたらく環境室 大城 和輝</t>
  </si>
  <si>
    <t>太田　直輝</t>
  </si>
  <si>
    <t>【退職】【契】7/16 7/31 XFLAG STORE 太田　直輝</t>
  </si>
  <si>
    <t>平地史昂</t>
  </si>
  <si>
    <t>【退職】【業】 7/31 7/31 デザイン本部 平地 史昂</t>
  </si>
  <si>
    <t>荒木理恵</t>
  </si>
  <si>
    <t>【退職】【業】7/29 7/31 ﾌｧｲﾄﾘｰｸﾞ事業部 荒木 理恵</t>
  </si>
  <si>
    <t>早川大貴</t>
  </si>
  <si>
    <t>【退職】【正】07/26 07/31 ライブエクスペリエンス事業本部 早川 大貴</t>
  </si>
  <si>
    <t>【退職】【正】7/31 8/21 統括管理本部 容貝 真実</t>
  </si>
  <si>
    <t>藤川恵</t>
  </si>
  <si>
    <t>【退職】【ア】7/31 7/31 人事部付　藤川 恵</t>
  </si>
  <si>
    <t>黄世元</t>
  </si>
  <si>
    <t>【退職】【正】08/16 08/31 ﾓﾝｽﾄ事業本部 ﾏｰｹﾃｨﾝｸﾞ部　黄世元</t>
  </si>
  <si>
    <t>井上博秋</t>
  </si>
  <si>
    <t>【退職】【正】2019/6/29 2019/7/11 ココサイズ部 井上博秋</t>
  </si>
  <si>
    <t>柿迫航</t>
  </si>
  <si>
    <t>【退職】【業】07/05 07/05 社長本部 柿迫 航</t>
  </si>
  <si>
    <t>今永健太</t>
  </si>
  <si>
    <t>【退職】【契】07/11 07/31 DCグループ 今永 健太</t>
  </si>
  <si>
    <t>各和佑樹</t>
  </si>
  <si>
    <t>【退職】【契】07/19 07/31 ライブエンターテイメント事業部　各和佑樹</t>
  </si>
  <si>
    <t>青柳立野</t>
  </si>
  <si>
    <t>【退職】【社外取締役】6/26 6/26 青柳 立野</t>
  </si>
  <si>
    <t xml:space="preserve">佐藤孝幸　</t>
  </si>
  <si>
    <t xml:space="preserve">【退職】【社外監査役】6/26 6/26 佐藤 孝幸　</t>
  </si>
  <si>
    <t>香山照子</t>
  </si>
  <si>
    <t>【退職】【業】6/28 6/30 ﾃﾞｼﾞﾀﾙｴﾝﾀｰﾃｲﾝﾒﾝﾄ事業本部 香山 照子</t>
  </si>
  <si>
    <t>澤井浩明</t>
  </si>
  <si>
    <t>【退職】【業】6/27 6/30 ﾃﾞｼﾞﾀﾙｴﾝﾀｰﾃｲﾝﾒﾝﾄ事業本部 澤井 浩明</t>
  </si>
  <si>
    <t>八須竜馬</t>
  </si>
  <si>
    <t>【退職】【業】6/27 6/30 ﾃﾞｼﾞﾀﾙｴﾝﾀｰﾃｲﾝﾒﾝﾄ事業本部 八須 竜馬</t>
  </si>
  <si>
    <t>塩浜真祐</t>
  </si>
  <si>
    <t>【退職】【業】7/26 7/31 ﾌｧｲﾄﾘｰｸﾞ事業部 塩浜 真祐</t>
  </si>
  <si>
    <t>【退職】【業】6/28 6/30 ﾃﾞｼﾞﾀﾙｴﾝﾀｰﾃｲﾝﾒﾝﾄ事業本部 大野 皇栄</t>
  </si>
  <si>
    <t>戸谷直之</t>
  </si>
  <si>
    <t>【退社】【業】6/28 6/30 戸谷 直之</t>
  </si>
  <si>
    <t>秋田匠</t>
  </si>
  <si>
    <t>【退社】【業】06/28 06/30 秋田 匠</t>
  </si>
  <si>
    <t>安齋久美子</t>
  </si>
  <si>
    <t>【退社】【業】6/28 6/30 安齋 久美子</t>
  </si>
  <si>
    <t>上原達也</t>
  </si>
  <si>
    <t>【退職】【業】06/28 06/30 ﾃﾞｻﾞｲﾝ本部 XFLAG PICTURES　上原達也</t>
  </si>
  <si>
    <t>【退職】【業】06/28 06/30 ﾃﾞｻﾞｲﾝ本部 XFLAG PICTURES　齋藤 純一郎</t>
  </si>
  <si>
    <t>牛窪一貴</t>
  </si>
  <si>
    <t>【退職】【業】 06/28 06/30 モンスト事業本部 牛窪 一貴</t>
  </si>
  <si>
    <t>木村　真</t>
  </si>
  <si>
    <t>【退職】【正】07/31 07/31 デザイン本部 木村 真</t>
  </si>
  <si>
    <t>武井和久</t>
  </si>
  <si>
    <t>【退職】【業】6/27 6/30 ﾃﾞｼﾞﾀﾙｴﾝﾀｰﾃｲﾝﾒﾝﾄ事業本部　武井 和久</t>
  </si>
  <si>
    <t>ワンスー</t>
  </si>
  <si>
    <t>【退職】【業】6/28 6/30 ﾃﾞｼﾞﾀﾙｴﾝﾀｰﾃｲﾝﾒﾝﾄ事業本部 ワン スー</t>
  </si>
  <si>
    <t>嘉数陽子</t>
  </si>
  <si>
    <t>【退職】【業】06/28 06/30 モンスト事業本部　嘉数 陽子</t>
  </si>
  <si>
    <t xml:space="preserve"> 経営企画本部</t>
  </si>
  <si>
    <t>小林奏恵</t>
  </si>
  <si>
    <t>【退職】【業】06/28 06/30　小林 奏恵</t>
  </si>
  <si>
    <t>若狹仁美</t>
  </si>
  <si>
    <t>【退職】【業】06/28 06/30　若狹 仁美</t>
  </si>
  <si>
    <t>安野友啓</t>
  </si>
  <si>
    <t>【退職】【業】6/21 6/30 ﾃﾞｼﾞﾀﾙｴﾝﾀｰﾃｲﾝﾒﾝﾄ事業本部　安野 友啓</t>
  </si>
  <si>
    <t>米田由紀子</t>
  </si>
  <si>
    <t>【退職】【業】2019/6/28 2019/6/30 ココサイズ部 米田 由紀子</t>
  </si>
  <si>
    <t>渡邊千尋</t>
  </si>
  <si>
    <t>【退職】【業】6/28 6/30 ﾌｧｲﾄﾘｰｸﾞ事業部 渡邊 千尋</t>
  </si>
  <si>
    <t>高田順司</t>
  </si>
  <si>
    <t>【退職】【業】0626 0628 ﾗｲﾌﾞｴｸｽﾍﾟﾘｴﾝｽ事業本部 高田順司</t>
  </si>
  <si>
    <t>海老沼健一</t>
  </si>
  <si>
    <t xml:space="preserve">【退職】【業】6/27 6/28 海老沼 健一 </t>
  </si>
  <si>
    <t>中山恵太</t>
  </si>
  <si>
    <t xml:space="preserve">【退職】【業】6/27 6/28 中山 恵太   </t>
  </si>
  <si>
    <t>内山翔大</t>
  </si>
  <si>
    <t>【退職】【業】6/27 6/28 内山 翔大</t>
  </si>
  <si>
    <t>平本泰三</t>
  </si>
  <si>
    <t>【退職】【業】6/21 6/30 DE事業本部　平本 泰三</t>
  </si>
  <si>
    <t>【退職】【業】6/28 6/30 DE事業本部　今井 遼</t>
  </si>
  <si>
    <t>國近信吾</t>
  </si>
  <si>
    <t>【退職】【業】6/28 6/30 DE事業本部　國近 信吾</t>
  </si>
  <si>
    <t>沼田美佳</t>
  </si>
  <si>
    <t>【退職】【業】6/28 6/30 DE事業本部　沼田 美佳</t>
  </si>
  <si>
    <t>山内崇</t>
  </si>
  <si>
    <t>【退職】【業】6/28 6/30 DE事業本部　山内 崇</t>
  </si>
  <si>
    <t>柳聖</t>
  </si>
  <si>
    <t>【退職】【業】 06/28 06/30 モンスト事業本部 柳 聖</t>
  </si>
  <si>
    <t>谷川祐輔</t>
  </si>
  <si>
    <t>【退職】【派】 06/28 06/30 モンスト事業本部 谷川 祐輔</t>
  </si>
  <si>
    <t>村上亜希子</t>
  </si>
  <si>
    <t>【退職】【業】6/28 6/30 DE事業本部　村上 亜希子</t>
  </si>
  <si>
    <t>高橋里実</t>
  </si>
  <si>
    <t>【退職】【業】6/28 6/30 DE事業本部　高橋 里実</t>
  </si>
  <si>
    <t>千石翔博</t>
  </si>
  <si>
    <t>【退職】【業】6/28 6/30 DE事業本部　千石 翔博</t>
  </si>
  <si>
    <t>レチミン</t>
  </si>
  <si>
    <t>【退職】【業】6/28 6/30 DE事業本部　レチ ミン</t>
  </si>
  <si>
    <t>桑原木綿香</t>
  </si>
  <si>
    <t>【退職】【業】6/28 6/30 DE事業本部　桑原 木綿香</t>
  </si>
  <si>
    <t>小林貴子</t>
  </si>
  <si>
    <t>【退職】【契】2019/6/28 2019/6/30 ココサイズ部 小林貴子</t>
  </si>
  <si>
    <t>中島弘道</t>
  </si>
  <si>
    <t>【退職】【業】6/28 6/30 DE事業本部　中島 弘道</t>
  </si>
  <si>
    <t>神山健太</t>
  </si>
  <si>
    <t>【退職】【業】6/28 6/30 DE事業本部　神山 健太</t>
  </si>
  <si>
    <t>武田行雄</t>
  </si>
  <si>
    <t>【退職】【業】6/28 6/30 DE事業本部　武田 行雄</t>
  </si>
  <si>
    <t>福本正樹</t>
  </si>
  <si>
    <t>【退職】【業】6/28 6/30 DE事業本部　福本 正樹</t>
  </si>
  <si>
    <t>今中勝大</t>
  </si>
  <si>
    <t>【退職】【正】06/28 07/31 デザイン本部 今中 勝大</t>
  </si>
  <si>
    <t>墳下芳弘</t>
  </si>
  <si>
    <t>【退職 】【正】6/27 6/30 デザイン本部 墳下 芳弘</t>
  </si>
  <si>
    <t>飯田敦己</t>
  </si>
  <si>
    <t>【退職】【ア】06/18 06/18 人事部付 飯田 敦己</t>
  </si>
  <si>
    <t>知野経太朗</t>
  </si>
  <si>
    <t>【退職】【業】6/26 6/30　マーケティング本部　知野 経太朗</t>
  </si>
  <si>
    <t>鈴木哲史</t>
  </si>
  <si>
    <t>【退職】【業】06/14 06/14 XFLAG PICTURES　鈴木哲史</t>
  </si>
  <si>
    <t>鈴木勇気</t>
  </si>
  <si>
    <t>【退職】【業】06/14 06/14 XFLAG PICTURES　鈴木勇気</t>
  </si>
  <si>
    <t>薬丸智大</t>
  </si>
  <si>
    <t>【退職】【業】06/14 06/14 XFLAG PICTURES　薬丸 智大</t>
  </si>
  <si>
    <t>森成美</t>
  </si>
  <si>
    <t>【退職】【業】06/14 06/14 XFLAG PICTURES　森成美</t>
  </si>
  <si>
    <t>大矢哲也</t>
  </si>
  <si>
    <t>【退職】【業】06/14 06/14 XFLAG PICTURES　大矢哲也</t>
  </si>
  <si>
    <t>百瀬一斗</t>
  </si>
  <si>
    <t>【退職】【業】06/14 06/14 XFLAG PICTURES　百瀬一斗</t>
  </si>
  <si>
    <t>藤田幸弥</t>
  </si>
  <si>
    <t>【退職】【業】06/14 06/14 XFLAG PICTURES　藤田 幸弥</t>
  </si>
  <si>
    <t>宇藤啓介</t>
  </si>
  <si>
    <t>【退職】【業】06/14 06/14 XFLAG PICTURES　宇藤 啓介</t>
  </si>
  <si>
    <t>荒張敬一郎</t>
  </si>
  <si>
    <t>【退職】【業】06/14 06/14 XFLAG PICTURES 荒張 敬一郎</t>
  </si>
  <si>
    <t>樋口真也</t>
  </si>
  <si>
    <t>【退職】【業】06/14 06/14 XFLAG PICTURES 樋口真也</t>
  </si>
  <si>
    <t>杉原麻里奈</t>
  </si>
  <si>
    <t>【退職】【業】06/14 06/14 XFLAG PICTURES 杉原麻里奈</t>
  </si>
  <si>
    <t>永野洋生</t>
  </si>
  <si>
    <t>【退職】【業】7/29 7/31 ﾌｧｲﾄﾘｰｸﾞ事業部 永野 洋生</t>
  </si>
  <si>
    <t>加木美奈子</t>
  </si>
  <si>
    <t>【退職】【業】7/31 7/31 ﾌｧｲﾄﾘｰｸﾞ事業部 加木 美奈子</t>
  </si>
  <si>
    <t>大鐘恵美子</t>
  </si>
  <si>
    <t>【退職】【業】7/31 7/31 ﾌｧｲﾄﾘｰｸﾞ事業部 大鐘 恵美子</t>
  </si>
  <si>
    <t>岡本梓</t>
  </si>
  <si>
    <t>【退職】【業】7/31 7/31 ﾌｧｲﾄﾘｰｸﾞ事業部 岡本 梓</t>
  </si>
  <si>
    <t>岩崎博文</t>
  </si>
  <si>
    <t>【退職】【業】7/31 7/31 ﾌｧｲﾄﾘｰｸﾞ事業部 岩崎 博文</t>
  </si>
  <si>
    <t>【退職】【業】7/31 7/31 ﾌｧｲﾄﾘｰｸﾞ事業部 内藤 みき</t>
  </si>
  <si>
    <t>田上学</t>
  </si>
  <si>
    <t>【退職】【業】7/31 7/31 ﾌｧｲﾄﾘｰｸﾞ事業部 田上 学</t>
  </si>
  <si>
    <t>【退職】【業】7/31 7/31 ﾌｧｲﾄﾘｰｸﾞ事業部 中村 岳志</t>
  </si>
  <si>
    <t>斉藤文代</t>
  </si>
  <si>
    <t>【退職】【業】7/31 7/31 ﾌｧｲﾄﾘｰｸﾞ事業部 斉藤 文代</t>
  </si>
  <si>
    <t>春山美根子</t>
  </si>
  <si>
    <t>【退職】【業】06/13 06/13 ｺｰﾎﾟﾚｰﾄｻﾎﾟｰﾄ本部 春山 美根子</t>
  </si>
  <si>
    <t>冨田龍希</t>
  </si>
  <si>
    <t>【退職】【業】 06/14 06/15 モンスト事業本部 冨田 龍希</t>
  </si>
  <si>
    <t>加藤俊介</t>
  </si>
  <si>
    <t>【退職】【業】 06/14 06/15 モンスト事業本部 加藤 俊介</t>
  </si>
  <si>
    <t>上坂晴美</t>
  </si>
  <si>
    <t>【退職】【業】 06/14 06/15 モンスト事業本部 上坂 晴美</t>
  </si>
  <si>
    <t>上条賢太</t>
  </si>
  <si>
    <t>【退職】【正】6/28 7/7 デジタルエンターテインメント事業本部　上条賢太</t>
  </si>
  <si>
    <t>村上　淳紀</t>
  </si>
  <si>
    <t>【退職】【ア】6/25 6/30 XFLAG STORE 　村上　淳紀</t>
  </si>
  <si>
    <t>西村牧</t>
  </si>
  <si>
    <t>【退職】【派】06/11 06/30 ｺｰﾎﾟﾚｰﾄｻﾎﾟｰﾄ本部 西村 牧</t>
  </si>
  <si>
    <t>【退職】【業】06/28 06/30 モンスト事業本部 内山 栞</t>
  </si>
  <si>
    <t>ダミースマートヘルス事業部</t>
  </si>
  <si>
    <t>大澤悠太</t>
  </si>
  <si>
    <t>【退職】【正】06/21 06/30 スマートヘルス事業部 大澤悠太</t>
  </si>
  <si>
    <t>前原理央</t>
  </si>
  <si>
    <t>【退職】【正】06/06 07/31 minimo事業部  前原 理央</t>
  </si>
  <si>
    <t>石村陽介</t>
  </si>
  <si>
    <t>【退職】【業】5/31 5/31　ｹﾞｰﾑ運営部　石村 陽介</t>
  </si>
  <si>
    <t>松村紗季</t>
  </si>
  <si>
    <t>【退職】【派】06/28 06/30 ヘカテ 松村 紗季</t>
  </si>
  <si>
    <t>吉田　直人</t>
  </si>
  <si>
    <t>【退職】【ア】6/30 6/30 XFLAG STORE 　吉田　直人</t>
  </si>
  <si>
    <t>田中　こころ</t>
  </si>
  <si>
    <t>【退職】【ア】6/28 6/30 XFLAG STORE 　田中　こころ</t>
  </si>
  <si>
    <t>安食　朋美</t>
  </si>
  <si>
    <t>【退職】【ア】6/15 6/30 XFLAG STORE 　安食　朋美</t>
  </si>
  <si>
    <t>【退職】【業】06/28 06/30 鈴木 祐己</t>
  </si>
  <si>
    <t>小谷麻美</t>
  </si>
  <si>
    <t>【退職】【正】06/14 07/09 ﾗｲﾌﾞｴｸｽﾍﾟﾘｴﾝｽ事業本部 小谷 麻美</t>
  </si>
  <si>
    <t>鈴木宏昌</t>
  </si>
  <si>
    <t>【退職】【業】05/31 05/31 社長本部 鈴木 宏昌</t>
  </si>
  <si>
    <t>毛利慶二朗</t>
  </si>
  <si>
    <t>【退職】【業】06/3 06/3 ﾗｲﾌﾞｴｸｽﾍﾟﾘｴﾝｽ事業本部 毛利慶二朗</t>
  </si>
  <si>
    <t>金珍燮</t>
  </si>
  <si>
    <t>【退職】【正】6/18 6/30　金 珍燮</t>
  </si>
  <si>
    <t>市川航介</t>
  </si>
  <si>
    <t>【退職】【業】05/31 05/31 XFLAG PICTURES　市川 航介</t>
  </si>
  <si>
    <t>宮田彩実</t>
  </si>
  <si>
    <t>【退職】【業】6/28 6/28 モンスト事業本部 宮田 彩実</t>
  </si>
  <si>
    <t>旭太樹</t>
  </si>
  <si>
    <t>【退職】【業】6/14 6/14 モンスト事業本部 旭 太樹</t>
  </si>
  <si>
    <t>渡邉将太朗</t>
  </si>
  <si>
    <t>【退職】【契】05/29　06/19 ミクシィ・エンパワーメント 渡邉将太朗</t>
  </si>
  <si>
    <t>野崎駿</t>
  </si>
  <si>
    <t>【退職】【業】05/31 05/31 社長本部 野崎 駿</t>
  </si>
  <si>
    <t>一迫　和歌奈</t>
  </si>
  <si>
    <t>【退職】【契】05/30　05/30  ミクシィ・エンパワーメント 一迫和歌奈</t>
  </si>
  <si>
    <t>浜田凌</t>
  </si>
  <si>
    <t>【退職】【業】5/29 5/29 ﾃﾞｼﾞﾀﾙｴﾝﾀｰﾃｲﾝﾒﾝﾄ事業本部 浜田 凌</t>
  </si>
  <si>
    <t>深井勇樹</t>
  </si>
  <si>
    <t>【退職 】【業】2019/6/28 2019/6/30 ミクシィ・リクルートメント事業部 深井 勇樹</t>
  </si>
  <si>
    <t>佐川慎一</t>
  </si>
  <si>
    <t xml:space="preserve">【退職】【正】06/06 06/30 モンスト事業本部 佐川 慎一 </t>
  </si>
  <si>
    <t>ﾏｰｹﾃｨﾝｸﾞ･ﾃﾞｼﾞﾀﾙｴﾝﾀｰﾃｲﾝﾒﾝﾄ領域 ﾓﾝｽﾄ事業本部</t>
  </si>
  <si>
    <t>松井　小麦</t>
  </si>
  <si>
    <t>【退職】【正】06/14 0715/ ﾓﾝｽﾄ事業本部 ﾏｰｹﾃｨﾝｸﾞ部　松井小麦</t>
  </si>
  <si>
    <t>酒井　瞳</t>
  </si>
  <si>
    <t>【退職】【正】07/05  07/31 人事本部 酒井瞳</t>
  </si>
  <si>
    <t>角南健夫</t>
  </si>
  <si>
    <t>【退職】【業】5/30 5/31 AI・ロボット事業部 角南健夫</t>
  </si>
  <si>
    <t>廣田大地</t>
  </si>
  <si>
    <t>【退職】【正】6/21 6/23 Vantageスタジオ 新規事業開発室 KARASTAG 廣田 大地</t>
  </si>
  <si>
    <t>河田清</t>
  </si>
  <si>
    <t>【退職】【業】5/24 5/31　ｹﾞｰﾑ運営部　河田 清</t>
  </si>
  <si>
    <t xml:space="preserve">制作室 </t>
  </si>
  <si>
    <t>片桐舞</t>
  </si>
  <si>
    <t>【退職】【業】5/31 5/31 ﾃﾞｻﾞｲﾝ本部 片桐 舞</t>
  </si>
  <si>
    <t>笠原佳織</t>
  </si>
  <si>
    <t>【退職】【正】06/05 06/30 労務部 笠原 佳織</t>
  </si>
  <si>
    <t>土屋雅</t>
  </si>
  <si>
    <t>【退職】【正】6/3 6/14 Vantageスタジオ 新規事業開発室 manaviG 土屋 雅</t>
  </si>
  <si>
    <t>黒木由衣</t>
  </si>
  <si>
    <t>【退職】【業】5/31 5/31 ﾃﾞｻﾞｲﾝ本部 黒木 由衣</t>
  </si>
  <si>
    <t>和田竜弥</t>
  </si>
  <si>
    <t>【退職】【業】 05/31 05/31 モンスト事業本部 和田 竜弥</t>
  </si>
  <si>
    <t>浅井亮平</t>
  </si>
  <si>
    <t>【退職】【業】 05/31 05/31 モンスト事業本部 浅井 亮平</t>
  </si>
  <si>
    <t>花原彩香</t>
  </si>
  <si>
    <t>【退職】【正】5/21 6/11 minimo事業部　花原 彩香</t>
  </si>
  <si>
    <t>林青青</t>
  </si>
  <si>
    <t>【退職】【正】06/03 07/15 マーケティング部 林 青青</t>
  </si>
  <si>
    <t>横山洋樹</t>
  </si>
  <si>
    <t>【退職 】【業】4/26 4/30 社長本部 横山 洋樹</t>
  </si>
  <si>
    <t>菊本美樹子</t>
  </si>
  <si>
    <t>【退職】【業】2019/5/31 2019/5/31 ココサイズ部 菊本美樹子</t>
  </si>
  <si>
    <t>石岡俊樹</t>
  </si>
  <si>
    <t>【退職】【業】2019/4/30 2019/4/30 ココサイズ部 石岡俊樹</t>
  </si>
  <si>
    <t>窪田正城</t>
  </si>
  <si>
    <t>【退職】【業】4/26 4/30 ﾃﾞｻﾞｲﾝ本部制作室XFLAGｻｳﾝﾄﾞGﾏﾈｼﾞﾒﾝﾄT 窪田 正城</t>
  </si>
  <si>
    <t>伊藤由希</t>
  </si>
  <si>
    <t>【退職】【派】6/28 6/30 ﾌｧｲﾄﾘｰｸﾞ事業部 伊藤 由希</t>
  </si>
  <si>
    <t>菅野芳江</t>
  </si>
  <si>
    <t>【退職】【業】5/31 5/31 ﾌｧｲﾄﾘｰｸﾞ事業部 菅野 芳江</t>
  </si>
  <si>
    <t>山本茜</t>
  </si>
  <si>
    <t>【退職】【契】05/17 05/31 ライブエクスペリエンス事業本部 山本 茜</t>
  </si>
  <si>
    <t>武田裕之</t>
  </si>
  <si>
    <t>【退職】【エ】05/17 05/31 デジタルエンターテインメント事業本部 武田裕之</t>
  </si>
  <si>
    <t>辻雄介</t>
  </si>
  <si>
    <t>【退職】【正】5/17 6/20 スマートヘルス事業部 辻雄介</t>
  </si>
  <si>
    <t>【退職】【派】0430／0430 ライブエクスペリエンス事業本部 小室 直己</t>
  </si>
  <si>
    <t>真田卓</t>
  </si>
  <si>
    <t>【退職】【業】04/26 05/31 ライブエクスペリエンス事業本部 真田 卓</t>
  </si>
  <si>
    <t>松下豪</t>
  </si>
  <si>
    <t>【退職 】【業】4/26 4/30 社長本部 松下 豪</t>
  </si>
  <si>
    <t>鈴木　泰斗</t>
  </si>
  <si>
    <t>【退職】【ア】4/27 4/30 XFLAG STORE 　鈴木　泰斗</t>
  </si>
  <si>
    <t>宮田雄一</t>
  </si>
  <si>
    <t>【退職】【業】0425／0430 ライブエクスペリエンス事業本部 宮田 雄一</t>
  </si>
  <si>
    <t>佐々木暁倫</t>
  </si>
  <si>
    <t>【退職】【業】4/26 4/30 ﾌｧｲﾄﾘｰｸﾞ事業部 佐々木 暁倫</t>
  </si>
  <si>
    <t>古澤明仁</t>
  </si>
  <si>
    <t>【退職】【業】4/26 4/30 ﾌｧｲﾄﾘｰｸﾞ事業部 古澤 明仁</t>
  </si>
  <si>
    <t>【退職】【業】4/24 4/30 ﾌｧｲﾄﾘｰｸﾞ事業部 工藤 哲也</t>
  </si>
  <si>
    <t>【退職】【業】2019/4/26 2019/4/30 モンスト事業本部 谷口 敬亮</t>
  </si>
  <si>
    <t>李昌旭</t>
  </si>
  <si>
    <t>【退職】【業】5/31 5/31 ﾌｧｲﾄﾘｰｸﾞ事業部 李 昌旭</t>
  </si>
  <si>
    <t>秋吉　麻里弥</t>
  </si>
  <si>
    <t>【退職】【ア】4/29 4/30 XFLAG STORE 　秋吉　麻里弥</t>
  </si>
  <si>
    <t>中山慶太a</t>
  </si>
  <si>
    <t>【退職 】【業】4/5 4/30 社長本部 中山 慶太a</t>
  </si>
  <si>
    <t>北村博俊</t>
  </si>
  <si>
    <t>【退職】【正】4/12 4/12 人事部付 北村 博俊</t>
  </si>
  <si>
    <t>川地有輝</t>
  </si>
  <si>
    <t>【退職】【業】5/31 5/31 ﾌｧｲﾄﾘｰｸﾞ事業部 川地 有輝</t>
  </si>
  <si>
    <t>林拓也</t>
  </si>
  <si>
    <t xml:space="preserve"> 【退職】【業】3/29　3/29　法務部　林 拓矢</t>
  </si>
  <si>
    <t>畠山正志</t>
  </si>
  <si>
    <t>【退職】【正】4/14 5/31 統括管理本部 畠山 正志</t>
  </si>
  <si>
    <t>三上宥</t>
  </si>
  <si>
    <t>【退職】【業】4/26 4/30 ﾌｧｲﾄﾘｰｸﾞ事業部 三上 宥</t>
  </si>
  <si>
    <t xml:space="preserve"> Vantageスタジオ</t>
  </si>
  <si>
    <t>カマエフニキータ</t>
  </si>
  <si>
    <t>【退職】【正】5/9 5/9 Vantageスタジオ 新規事業開発室 KARASTAG カマエフ ニキータ</t>
  </si>
  <si>
    <t>廣瀬由利雅</t>
  </si>
  <si>
    <t>【退職】【業】4/09 4/09 人事部 廣瀬由利雅</t>
  </si>
  <si>
    <t>山野陽子</t>
  </si>
  <si>
    <t>【退職】【契】05/24 05/31 ブランドコミュニケーション室 山野陽子</t>
  </si>
  <si>
    <t>尾野百花</t>
  </si>
  <si>
    <t>【退職】【業】4/30 4/30 CS部 尾野 百花</t>
  </si>
  <si>
    <t>大橋滉也</t>
  </si>
  <si>
    <t>【退職】【ア】4/19 4/19 人事部付 大橋 滉也</t>
  </si>
  <si>
    <t>新井琢磨</t>
  </si>
  <si>
    <t>【退職】【業】4/4 4/4 新井 琢磨</t>
  </si>
  <si>
    <t>小嶋勝祥</t>
  </si>
  <si>
    <t>【退職】【業】3/31 3/31 事業推進室 小嶋 勝祥</t>
  </si>
  <si>
    <t>山下　和也</t>
  </si>
  <si>
    <t>【退職】【ア】3/28 3/28 XFLAG STORE 　山下　和也</t>
  </si>
  <si>
    <t>新谷葉月</t>
  </si>
  <si>
    <t>【退職】【正】19/04/04 19/04/30 モンスト事業本部 新谷 葉月</t>
  </si>
  <si>
    <t>西野紗世</t>
  </si>
  <si>
    <t>【退職】【業】3/29 3/29 法務部 西野 紗世</t>
  </si>
  <si>
    <t>野口瞳</t>
  </si>
  <si>
    <t>【退職】【業】3/29 3/29 法務部 野口 瞳</t>
  </si>
  <si>
    <t>松田洋介</t>
  </si>
  <si>
    <t>【退職】【業】3/29 3/29 法務部 松田 洋介</t>
  </si>
  <si>
    <t>武山裕一</t>
  </si>
  <si>
    <t>【退職】【業】4/2 4/2 統括管理本部 武山 裕一</t>
  </si>
  <si>
    <t>佐々木吉紀</t>
  </si>
  <si>
    <t>【退職】【業】03/29 03/29 ﾌｧｲﾄﾘｰｸﾞ事業部　佐々木 吉紀</t>
  </si>
  <si>
    <t>中村浩彰</t>
  </si>
  <si>
    <t>【退職】【業】03/29 04/30 社長本部社長室直下 中村浩彰</t>
  </si>
  <si>
    <t>佐藤陽樹</t>
  </si>
  <si>
    <t>【退職】【正】4/23 4/30 Vantageスタジオ 新規事業開発室 KARASTAG 佐藤 陽樹（元フンザ）</t>
  </si>
  <si>
    <t>渡邉悠</t>
  </si>
  <si>
    <t>【退職】【業】03/29 04/30 ﾌｧｲﾄﾘｰｸﾞ事業部 渡邉 悠</t>
  </si>
  <si>
    <t>斉藤堅史郎</t>
  </si>
  <si>
    <t>【退職】【業】03/29 04/30 ﾌｧｲﾄﾘｰｸﾞ事業部 斉藤 堅史郎</t>
  </si>
  <si>
    <t>藤川　みやび</t>
  </si>
  <si>
    <t>【退職】【ア】3/22 3/31 XFLAG STORE 　藤川　みやび</t>
  </si>
  <si>
    <t>【退職】【正】6/27 6/30 Vantageスタジオ 清水 夏恵</t>
  </si>
  <si>
    <t>米川昌杏</t>
  </si>
  <si>
    <t>【退職】【正】4/10 4/30 ライブエクスペリエンス事業本部 米川 昌杏</t>
  </si>
  <si>
    <t>柳田由紀子</t>
  </si>
  <si>
    <t>【退職】【業】2019/3/28 2019/3/31 スマートヘルス 柳田 由紀子</t>
  </si>
  <si>
    <t>坂本大輔</t>
  </si>
  <si>
    <t>【退職】【正】04/26 05/08 ﾓﾝｽﾄ事業本部 開発室 坂本 大輔</t>
  </si>
  <si>
    <t>リーコーリー</t>
  </si>
  <si>
    <t>【退職 】【業】3/26 3/31 社長本部 リーコーリー</t>
  </si>
  <si>
    <t>【退職】【業】03/28 03/31 XFLAG PICTURES　田沼 遼輔</t>
  </si>
  <si>
    <t>海江田智也</t>
  </si>
  <si>
    <t>【退職】【業】03/29 03/31 XFLAG PICTURES 海江田智也</t>
  </si>
  <si>
    <t>瀧澤唯</t>
  </si>
  <si>
    <t>【退職】【業】03/29 03/31 株式会社ﾐｸｼｨ･ﾘｸﾙｰﾄﾒﾝﾄ 瀧澤 唯</t>
  </si>
  <si>
    <t>小野鮎子</t>
  </si>
  <si>
    <t>【退職】【業】3/29 3/31 小野 鮎子</t>
  </si>
  <si>
    <t>北川義樹</t>
  </si>
  <si>
    <t>【退職】【業】3/29 3/31　マーケティング本部　北川 義樹</t>
  </si>
  <si>
    <t>佐野　奈菜実</t>
  </si>
  <si>
    <t>【退職】【ア】3/16 3/31 XFLAG STORE　佐野　奈菜実</t>
  </si>
  <si>
    <t>安彦　愛世</t>
  </si>
  <si>
    <t>【退職】【ア】3/3 3/31 XFLAG STORE　安彦　愛世</t>
  </si>
  <si>
    <t>久米　麻莉奈</t>
  </si>
  <si>
    <t>【退職】【ア】3/24 3/31 XFLAG STORE　久米　麻莉奈</t>
  </si>
  <si>
    <t>前田　京香</t>
  </si>
  <si>
    <t>【退職】【ア】3/30 3/31 XFLAG STORE　前田　京香</t>
  </si>
  <si>
    <t>ﾉﾊﾅ事業部</t>
  </si>
  <si>
    <t>前田祐一</t>
  </si>
  <si>
    <t>【退職】 【派】 3/22 3/31 前田 祐一(ノハナ)</t>
  </si>
  <si>
    <t>田井康平</t>
  </si>
  <si>
    <t>【退職】 【正】 3/22 3/31 田井 康平(ノハナ)</t>
  </si>
  <si>
    <t>藤井以大</t>
  </si>
  <si>
    <t>【退職】 【正】 3/22 3/31 藤井 以大(ノハナ)</t>
  </si>
  <si>
    <t>武田義之</t>
  </si>
  <si>
    <t>【退職】 【正】 3/22 3/31 武田 義之(ノハナ)</t>
  </si>
  <si>
    <t>木村美幸</t>
  </si>
  <si>
    <t>【退職】 【派】 3/22 3/31 木村 美幸(ノハナ)</t>
  </si>
  <si>
    <t>渡邉茉林</t>
  </si>
  <si>
    <t>【退職】 【正】 3/22 3/31 渡邉 茉林(ノハナ)</t>
  </si>
  <si>
    <t>飯尾亜紀</t>
  </si>
  <si>
    <t>【退職】 【正】 3/22 3/31 飯尾 亜紀(ノハナ)</t>
  </si>
  <si>
    <t>中野翔太</t>
  </si>
  <si>
    <t>【退職】 【正】 3/22 3/31 中野 翔太(ノハナ)</t>
  </si>
  <si>
    <t>荒井麻紀子</t>
  </si>
  <si>
    <t>【退職】 【派】 3/22 3/31 荒井 麻紀子(ノハナ)</t>
  </si>
  <si>
    <t>麻尾悠平</t>
  </si>
  <si>
    <t>【退職】 【正】 3/22 3/31 麻尾 悠平(ノハナ)</t>
  </si>
  <si>
    <t>石川祐実</t>
  </si>
  <si>
    <t>【退職】 【正】 3/22 3/31 石川 祐実(ノハナ)</t>
  </si>
  <si>
    <t>三浦彩</t>
  </si>
  <si>
    <t>【退職】 【正】 3/22 3/31 三浦 彩(ノハナ)</t>
  </si>
  <si>
    <t>髙橋愛未</t>
  </si>
  <si>
    <t>【退職】 【正】 3/22 3/31 髙橋 愛未(ノハナ)</t>
  </si>
  <si>
    <t>荒金郁実</t>
  </si>
  <si>
    <t>【退職】 【業】 3/22 3/31 荒金 郁実(ノハナ)</t>
  </si>
  <si>
    <t>山本慎之佑</t>
  </si>
  <si>
    <t>【退職】 【正】 3/22 3/31 山本 慎之佑(ノハナ)</t>
  </si>
  <si>
    <t>和泉諒</t>
  </si>
  <si>
    <t>【退職】 【正】 3/22 3/31 和泉 諒(ノハナ)</t>
  </si>
  <si>
    <t>鈴木誠</t>
  </si>
  <si>
    <t>【退職】 【正】 3/22 3/31 鈴木 誠(ノハナ)</t>
  </si>
  <si>
    <t>野村順平</t>
  </si>
  <si>
    <t>【退職】 【正】 3/22 3/31 野村 順平(ノハナ)</t>
  </si>
  <si>
    <t>春田諭志</t>
  </si>
  <si>
    <t>【退職】 【正】 3/22 3/31 春田 諭志(ノハナ)</t>
  </si>
  <si>
    <t>瀬戸優之</t>
  </si>
  <si>
    <t>【退職】 【正】 3/22 3/31 瀬戸 優之(ノハナ)</t>
  </si>
  <si>
    <t>武市融紀</t>
  </si>
  <si>
    <t>【退職】 【正】 3/22 3/31 武市 融紀(ノハナ)</t>
  </si>
  <si>
    <t>原田哲也</t>
  </si>
  <si>
    <t>【退職】 【正】 3/22 3/31 原田 哲也(ノハナ)</t>
  </si>
  <si>
    <t>山中隆太郎</t>
  </si>
  <si>
    <t>【退職】 【業】 3/22 3/31 山中 隆太郎(ノハナ)</t>
  </si>
  <si>
    <t>尾川祐樹</t>
  </si>
  <si>
    <t>【退職】 【業】 3/22 3/28 尾川 祐樹(ノハナ)</t>
  </si>
  <si>
    <t>市村昌史</t>
  </si>
  <si>
    <t>【退職】 【業】 3/22 3/31 市村 昌史(ノハナ)</t>
  </si>
  <si>
    <t>木曽真穂</t>
  </si>
  <si>
    <t>【退職】 【契】 3/22 3/31 木曽 真穂(ノハナ)</t>
  </si>
  <si>
    <t>【退職】 【正】 3/22 3/31 大森 和悦(ノハナ)</t>
  </si>
  <si>
    <t>【退職/出向解除】【正】3/29　3/31　経営推進本部　新和博</t>
  </si>
  <si>
    <t>山内葉恵</t>
  </si>
  <si>
    <t>【退職】【エ】03/29 03/31 労務部 山内 葉恵</t>
  </si>
  <si>
    <t>渡邊勇気</t>
  </si>
  <si>
    <t>【退職 】【業】3/29 ﾃﾞｼﾞﾀﾙｴﾝﾀｰﾃｲﾝﾒﾝﾄ事業本部 渡邊 勇気</t>
  </si>
  <si>
    <t>鴨居夏子</t>
  </si>
  <si>
    <t>【退職 】【業】3/29 ﾃﾞｼﾞﾀﾙｴﾝﾀｰﾃｲﾝﾒﾝﾄ事業本部　鴨居 夏子</t>
  </si>
  <si>
    <t>【退職/支援解除】【ア】3/27 3/31　人事部付　登内 雅人</t>
  </si>
  <si>
    <t>岡田直樹</t>
  </si>
  <si>
    <t>【退職】【業】03/29 03/31 モンスト事業本部 岡田 直樹</t>
  </si>
  <si>
    <t>井上志穂</t>
  </si>
  <si>
    <t>【退職】【業】03/29 03/31 モンスト事業本部 井上 志穂</t>
  </si>
  <si>
    <t>事業開発室（IP開発室）</t>
  </si>
  <si>
    <t>飯島章嘉</t>
  </si>
  <si>
    <t>【退職】【業】3/15 3/15 DE事業本部 飯島 章嘉</t>
  </si>
  <si>
    <t>陣内有衣</t>
  </si>
  <si>
    <t>【退職】【業】3/15 3/15 DE事業本部 陣内 有衣</t>
  </si>
  <si>
    <t>後藤仁和</t>
  </si>
  <si>
    <t>【退職】【業】3/15 3/15 DE事業本部 後藤 仁和</t>
  </si>
  <si>
    <t>越山豪</t>
  </si>
  <si>
    <t>【退職】【業】3/15 3/15 DE事業本部 越山 豪</t>
  </si>
  <si>
    <t>吉田皓一</t>
  </si>
  <si>
    <t>【退職】【業】3/15 3/15 DE事業本部 吉田 皓一</t>
  </si>
  <si>
    <t>渡邊裕貴</t>
  </si>
  <si>
    <t>【退職】【業】3/15 3/15 DE事業本部 渡邊 裕貴</t>
  </si>
  <si>
    <t>中村昌実</t>
  </si>
  <si>
    <t>【退職】【業】3/15 3/15 DE事業本部 中村 昌実</t>
  </si>
  <si>
    <t>長岡浩</t>
  </si>
  <si>
    <t>【退職】【業】3/15 3/15 DE事業本部 長岡 浩</t>
  </si>
  <si>
    <t>宇都宮　優風</t>
  </si>
  <si>
    <t>【退職】【ア】4/15 4/15 XFLAG STORE 宇都宮　優風</t>
  </si>
  <si>
    <t>赤地　佑介</t>
  </si>
  <si>
    <t>【退職】【ア】3/16 3/17 XFLAG STORE　赤地　佑介</t>
  </si>
  <si>
    <t>上坂佳路</t>
  </si>
  <si>
    <t>【退職】【派】03/29 03/31 モンスト事業本部 上坂 佳路</t>
  </si>
  <si>
    <t>【退職 】【派】2019/3/15 2019/3/31 みてね事業部 チュー クリス</t>
  </si>
  <si>
    <t>ﾋﾞｼﾞﾈｽ開発室</t>
  </si>
  <si>
    <t>【退職】【業】3/29 3/31 ﾃﾞｼﾞﾀﾙｴﾝﾀｰﾃｲﾝﾒﾝﾄ事業本部 事業推進室 澤田 風雅</t>
  </si>
  <si>
    <t>【退職】【派】03/31 03/31　海外マーケティング戦略G　宋 麗花</t>
  </si>
  <si>
    <t>関谷ちひろ</t>
  </si>
  <si>
    <t>【退職】【業】1/31 3/31 ﾃﾞｼﾞﾀﾙｴﾝﾀｰﾃｲﾝﾒﾝﾄ事業本部 事業推進室 関谷ちひろ</t>
  </si>
  <si>
    <t>苔口穂高</t>
  </si>
  <si>
    <t>【退職】【業】3/29 3/31　マーケティング本部　苔口 穂高</t>
  </si>
  <si>
    <t>倉田智史</t>
  </si>
  <si>
    <t>【退職】【業】3/29 3/31　マーケティング本部　倉田 智史</t>
  </si>
  <si>
    <t>【退職】【業】3/29　3/31　デザイン本部　小坂大樹</t>
  </si>
  <si>
    <t>中牟田拓杜</t>
  </si>
  <si>
    <t>【退職】【業】3/28 3/31 ﾃﾞｼﾞﾀﾙｴﾝﾀｰﾃｲﾝﾒﾝﾄ事業本部 事業推進室 中牟田 拓杜</t>
  </si>
  <si>
    <t>森岡淳</t>
  </si>
  <si>
    <t>【退職】【業】3/28 3/31 ﾃﾞｼﾞﾀﾙｴﾝﾀｰﾃｲﾝﾒﾝﾄ事業本部 事業推進室 森岡 淳</t>
  </si>
  <si>
    <t>【退職】【業】3/28 3/31 ﾃﾞｼﾞﾀﾙｴﾝﾀｰﾃｲﾝﾒﾝﾄ事業本部 事業推進室 枝村 遼</t>
  </si>
  <si>
    <t>植木麻伊</t>
  </si>
  <si>
    <t>【退職】【業】3/28 3/31 ﾃﾞｼﾞﾀﾙｴﾝﾀｰﾃｲﾝﾒﾝﾄ事業本部 事業推進室 植木 麻伊</t>
  </si>
  <si>
    <t>白枝祐太郎</t>
  </si>
  <si>
    <t>【退職】【業】3/28 3/31 ﾃﾞｼﾞﾀﾙｴﾝﾀｰﾃｲﾝﾒﾝﾄ事業本部 事業推進室 白枝 祐太郎</t>
  </si>
  <si>
    <t>小牧真也</t>
  </si>
  <si>
    <t>【退職】【業】3/28 3/31 ﾃﾞｼﾞﾀﾙｴﾝﾀｰﾃｲﾝﾒﾝﾄ事業本部 事業推進室 小牧 真也</t>
  </si>
  <si>
    <t>数又進哉</t>
  </si>
  <si>
    <t>【退職】【業】3/28 3/31 ﾃﾞｼﾞﾀﾙｴﾝﾀｰﾃｲﾝﾒﾝﾄ事業本部 事業推進室 数又 進哉</t>
  </si>
  <si>
    <t>杉本悟</t>
  </si>
  <si>
    <t>【退職】【業】3/28 3/31 ﾃﾞｼﾞﾀﾙｴﾝﾀｰﾃｲﾝﾒﾝﾄ事業本部 事業推進室 杉本 悟</t>
  </si>
  <si>
    <t>藤田雅丈</t>
  </si>
  <si>
    <t>【退職】【業】3/28 3/31 ﾃﾞｼﾞﾀﾙｴﾝﾀｰﾃｲﾝﾒﾝﾄ事業本部 事業推進室 藤田 雅丈</t>
  </si>
  <si>
    <t>織邊祐矢</t>
  </si>
  <si>
    <t>【退職】【業】3/29 3/31ﾃﾞｻﾞｲﾝ本部ﾃﾞｻﾞｲﾝ推進室LXﾃﾞｻﾞｲﾝG 織邊 祐矢</t>
  </si>
  <si>
    <t>鈴木智晶</t>
  </si>
  <si>
    <t>【退職】【派】3/29 3/31 人事部 鈴木智晶</t>
  </si>
  <si>
    <t>【退職】【業】3/29 3/31 人事部 チャンミンウ</t>
  </si>
  <si>
    <t>王悠夏</t>
  </si>
  <si>
    <t>【退職】【ア】03/27 03/31 minimo事業部 王 悠夏</t>
  </si>
  <si>
    <t>【退職】【正】03/29 04/30 人事本部 福森美貴</t>
  </si>
  <si>
    <t>福嶋茉季</t>
  </si>
  <si>
    <t>【退職】【業】3/15 3/15 人事部　福嶋茉季</t>
  </si>
  <si>
    <t>小池田麻由</t>
  </si>
  <si>
    <t>【退職】【正】02/15 03/14 minimo事業部 小池田 麻由</t>
  </si>
  <si>
    <t>ヘカテ事業部</t>
  </si>
  <si>
    <t>川口達也</t>
  </si>
  <si>
    <t>【退職】【業】03/29 03/29 ヘカテ 川口 達也</t>
  </si>
  <si>
    <t>松丸雄</t>
  </si>
  <si>
    <t>【退職】【業】03/29 03/29 ヘカテ 松丸 雄</t>
  </si>
  <si>
    <t>日高絵梨</t>
  </si>
  <si>
    <t>【退職】【業】03/29 03/29 ヘカテ 日高 絵梨</t>
  </si>
  <si>
    <t>ｽﾎﾟｰﾂ事業推進室</t>
  </si>
  <si>
    <t>【退職】【業】03/29 03/31 設楽 正規</t>
  </si>
  <si>
    <t xml:space="preserve">経営推進本部 </t>
  </si>
  <si>
    <t>市川貴康</t>
  </si>
  <si>
    <t>【退職】【業】03/29 03/31  ﾋﾞｼﾞﾈｽｻﾎﾟｰﾄ室 市川 貴康</t>
  </si>
  <si>
    <t>野木丈夫</t>
  </si>
  <si>
    <t>【退職】【業】3/11 3/31 ﾃﾞｼﾞﾀﾙｴﾝﾀｰﾃｲﾝﾒﾝﾄ事業本部 野木 丈夫</t>
  </si>
  <si>
    <t>丸怜里</t>
  </si>
  <si>
    <t>【退職】【業】03/15 03/15 社長本部 丸 怜里</t>
  </si>
  <si>
    <t>丸山貴弘</t>
  </si>
  <si>
    <t>【道場対応・第四期】【退職】【業】3/11 3/11 モンスト事業本部 丸山 貴弘</t>
  </si>
  <si>
    <t>錦戸賢伍</t>
  </si>
  <si>
    <t>【道場対応・第四期】【退職】【業】3/11 3/11 モンスト事業本部 錦戸 賢伍</t>
  </si>
  <si>
    <t>成塚雅樹</t>
  </si>
  <si>
    <t>【退職】【ア】3/26　3/26　人事部付　成塚雅樹</t>
  </si>
  <si>
    <t>【退職】【契】3/29 3/31 経営推進本部 佐野 直美</t>
  </si>
  <si>
    <t>瀬戸和希</t>
  </si>
  <si>
    <t>【退職】【ア】3/29 3/29 人事部付 瀬戸 和希</t>
  </si>
  <si>
    <t>【退職】【ア】3/29 3/29 人事部付　浅野 大我</t>
  </si>
  <si>
    <t>川上竜</t>
  </si>
  <si>
    <t>【退職】【業】3/6 3/8 経営推進本部 川上 竜</t>
  </si>
  <si>
    <t>小川将茉</t>
  </si>
  <si>
    <t>【退職】【業】未出社 3/8 経営推進本部 小川 将茉</t>
  </si>
  <si>
    <t>【退職】【業】4/15　管偉宏（→【正】4/16）</t>
  </si>
  <si>
    <t>鄭基旭</t>
  </si>
  <si>
    <t>【退職】【正】3/5 3/11 モンスト事業本部 鄭 基旭</t>
  </si>
  <si>
    <t>潟渕真衣</t>
  </si>
  <si>
    <t>【退職】【業】2/20　2/28　デザイン本部　潟渕 真衣</t>
  </si>
  <si>
    <t>横森哲也</t>
  </si>
  <si>
    <t>【退職】【業】2/28 2/28 はたらく環境室 横森 哲也</t>
  </si>
  <si>
    <t>伊藤歳記</t>
  </si>
  <si>
    <t>【退職】【業】03/11 03/11 経営推進本部 伊藤 歳記</t>
  </si>
  <si>
    <t>渡辺響子</t>
  </si>
  <si>
    <t>【退職】【業】03/11 03/11 経営推進本部 渡辺 響子</t>
  </si>
  <si>
    <t>髙橋聖徳</t>
  </si>
  <si>
    <t>【退職】【業】03/11 03/11 経営推進本部 髙橋 聖徳</t>
  </si>
  <si>
    <t xml:space="preserve">ｽﾎﾟｰﾂ事業推進室 </t>
  </si>
  <si>
    <t>伊藤隆太</t>
  </si>
  <si>
    <t>【退職】【業】02/28 02/28 ｽﾎﾟｰﾂ事業推進室 伊藤 隆太</t>
  </si>
  <si>
    <t>島元彰悟</t>
  </si>
  <si>
    <t>【退職】【正】3/29 3/31　開発本部　島元 彰悟</t>
  </si>
  <si>
    <t>【4/1再入社】【退職】【ア】3/22　3/22　人事部付　久畑 凌</t>
  </si>
  <si>
    <t>小潟義観</t>
  </si>
  <si>
    <t>【退職】【業】02/28 02/28 事業推進室 小潟 義観</t>
  </si>
  <si>
    <t>堀内全</t>
  </si>
  <si>
    <t>【退職】【正】03/12 03/12 デジタルエンターテイメント事業部 堀内 全</t>
  </si>
  <si>
    <t>種岡幹大</t>
  </si>
  <si>
    <t>【退職】【ア】3/29　3/29　人事部付　種岡 幹大</t>
  </si>
  <si>
    <t>村木律子</t>
  </si>
  <si>
    <t>【退職】【ア】3/29　3/29　人事部付　村木 律子</t>
  </si>
  <si>
    <t>川端　那波</t>
  </si>
  <si>
    <t>【退職】【ア】3/23 3/31 XFLAG STORE　川端　那波</t>
  </si>
  <si>
    <t>阿部　友紀</t>
  </si>
  <si>
    <t>【退職】【ア】3/10 3/15 XFLAG STORE 阿部　友紀</t>
  </si>
  <si>
    <t>加賀裕子</t>
  </si>
  <si>
    <t>【退職】【業】02/28 02/28 XFLAG PICTURES 加賀裕子</t>
  </si>
  <si>
    <t>後藤佑太</t>
  </si>
  <si>
    <t>【退職】【業】02/28 02/28 XFLAG PICTURES 後藤佑太</t>
  </si>
  <si>
    <t>佐藤昴</t>
  </si>
  <si>
    <t xml:space="preserve"> 【退職】【正】3/15 6/11 社長本部 スポーツ事業推進室 佐藤昴</t>
  </si>
  <si>
    <t>長谷川裕樹</t>
  </si>
  <si>
    <t>【退職】【業】02/28 02/28 ヘカテ 長谷川 裕樹</t>
  </si>
  <si>
    <t>【4/1再入社】【退職】【ア】3/20　3/22　人事部付　安蒜 祥和</t>
  </si>
  <si>
    <t>瀬戸晋次</t>
  </si>
  <si>
    <t>【退職】【正】3/8最終出社予定　3/31退職　ﾃﾞｼﾞﾀﾙｴﾝﾀｰﾃｲﾝﾒﾝﾄ事業本部　瀬戸晋次</t>
  </si>
  <si>
    <t>小塚奈々江</t>
  </si>
  <si>
    <t>【退職】【業】2/28 2/28 人事部 小塚奈々江</t>
  </si>
  <si>
    <t>【退職】【業】2/28 2/28 人事部 雨宮奈々美</t>
  </si>
  <si>
    <t>別所健</t>
  </si>
  <si>
    <t>【退職】【正】12/13　2/28 　別所健</t>
  </si>
  <si>
    <t>緑川靖子</t>
  </si>
  <si>
    <t>【退職】【業】3/15 3/15 DE事業本部 緑川靖子</t>
  </si>
  <si>
    <t>山田浩平</t>
  </si>
  <si>
    <t>【退職】【業】2/27 2/28 山田 浩平</t>
  </si>
  <si>
    <t>【4/1再入社】【退職】【ア】3/14　3/14　人事部付　鈴木 雄大</t>
  </si>
  <si>
    <t>【4/1再入社】【退職】【ア】2/28　3/22　人事部付　篠原 梨紗</t>
  </si>
  <si>
    <t>本谷朱里</t>
  </si>
  <si>
    <t>【退職】【契】02/26 03/31 デジタルエンターテインメント事業本部 本谷朱里</t>
  </si>
  <si>
    <t>中村英明</t>
  </si>
  <si>
    <t>【退職】【業】2019/02/08 2019/02/28 スマートヘルス 中村英明</t>
  </si>
  <si>
    <t>【退職】【業】02/15 02/15 事業推進室 寺内 優香</t>
  </si>
  <si>
    <t>鹿野佑介</t>
  </si>
  <si>
    <t>【退職】【業】2019/02/12 2019/02/12 スマートヘルス 鹿野 佑介</t>
  </si>
  <si>
    <t>佐藤一騎</t>
  </si>
  <si>
    <t>【退職】【業】02/28 02/28 佐藤 一騎</t>
  </si>
  <si>
    <t>山崎将司</t>
  </si>
  <si>
    <t>【退職】【業】01/31 01/31 ｽﾎﾟｰﾂ事業推進室 山崎 将司</t>
  </si>
  <si>
    <t>清原友紀</t>
  </si>
  <si>
    <t>【退職】【業】01/31 01/31 ｽﾎﾟｰﾂ事業推進室 清原 友紀</t>
  </si>
  <si>
    <t>林浩之</t>
  </si>
  <si>
    <t>【退職】【業】01/31 01/31 ｽﾎﾟｰﾂ事業推進室 林 浩之</t>
  </si>
  <si>
    <t>久末将史</t>
  </si>
  <si>
    <t>【退職】【業】2/15 モンスト事業本部 久末 将史</t>
  </si>
  <si>
    <t>【退職】【業】2/15 モンスト事業本部 黒崎 竜太</t>
  </si>
  <si>
    <t>岡田将旭</t>
  </si>
  <si>
    <t>【退職】【ア】2/28 2/28 ﾃﾞｼﾞﾀﾙｴﾝﾀｰﾃｲﾝﾒﾝﾄ事業本部 岡田 将旭</t>
  </si>
  <si>
    <t>矢島亮貴</t>
  </si>
  <si>
    <t>【退職 】【業】2/28 2/28 ﾃﾞｼﾞﾀﾙｴﾝﾀｰﾃｲﾝﾒﾝﾄ事業本部 矢島 亮貴</t>
  </si>
  <si>
    <t>北川裕章</t>
  </si>
  <si>
    <t>【道場対応・第三期】【退職】【業】2/8 2/8 モンスト事業本部 北川 裕章</t>
  </si>
  <si>
    <t>大村瑞貴</t>
  </si>
  <si>
    <t>【道場対応・第三期】【退職】【業】2/8 2/8 モンスト事業本部 大村 瑞貴</t>
  </si>
  <si>
    <t>篠原　安里珠</t>
  </si>
  <si>
    <t xml:space="preserve">【退職】【ア】2/27 2/28 XFLAG STORE 篠原　安里珠　</t>
  </si>
  <si>
    <t>【退職】【正】3/22 3/31 ノハナ 高杉 沙耶</t>
  </si>
  <si>
    <t>【4/1再入社】【退職/支援解除】【ア】2/26　3/7　人事部付　日下 健太</t>
  </si>
  <si>
    <t>鈴木郁美</t>
  </si>
  <si>
    <t>【退職】【業】01/31 01/31 スマートヘルス 鈴木 郁美</t>
  </si>
  <si>
    <t>宮坂雅春</t>
  </si>
  <si>
    <t>【退職】【業】01/31 01/31 スマートヘルス 宮坂雅春</t>
  </si>
  <si>
    <t>藤岡浩史</t>
  </si>
  <si>
    <t>【退職 】【業】01/31 01/31 Vantageスタジオ 新規事業開発室　SKILASG 藤岡 浩史</t>
  </si>
  <si>
    <t>藤本奈々</t>
  </si>
  <si>
    <t>【退職】【業】01/31 01/31 Vantageｽﾀｼﾞｵ　藤本 奈々</t>
  </si>
  <si>
    <t>高橋加那</t>
  </si>
  <si>
    <t>【退職】【業】01/31 01/31 Vantageｽﾀｼﾞｵ　高橋 加那</t>
  </si>
  <si>
    <t>藤永健太郎</t>
  </si>
  <si>
    <t>【退職】【業】01/31 01/31 Vantageｽﾀｼﾞｵ　藤永 健太郎</t>
  </si>
  <si>
    <t>荒木隼人オクタヴィオ</t>
  </si>
  <si>
    <t>【退職】【業】01/31 01/31 Vantageｽﾀｼﾞｵ　荒木 隼人オクタヴィオ</t>
  </si>
  <si>
    <t>中村忠慎</t>
  </si>
  <si>
    <t>【退職】【業】01/31 01/31 Vantageｽﾀｼﾞｵ　中村 忠慎</t>
  </si>
  <si>
    <t>村上孝悦</t>
  </si>
  <si>
    <t>【退職】【業】01/31 01/31 Vantageｽﾀｼﾞｵ　村上 孝悦</t>
  </si>
  <si>
    <t>照屋勇斗</t>
  </si>
  <si>
    <t>【退職】【業】01/31 01/31 MS本部　照屋 勇斗</t>
  </si>
  <si>
    <t>北條友章</t>
  </si>
  <si>
    <t>【退職】【業】01/31 01/31 ﾐｸｼｨ･ﾘｸﾙｰﾄﾒﾝﾄ　北條 友章</t>
  </si>
  <si>
    <t>鶴原美咲</t>
  </si>
  <si>
    <t>【退職】【業】01/31 01/31 Vantageｽﾀｼﾞｵ　鶴原 美咲</t>
  </si>
  <si>
    <t>篠崎亮</t>
  </si>
  <si>
    <t>【退職】【業】01/31 01/31 Vantageｽﾀｼﾞｵ　篠崎 亮</t>
  </si>
  <si>
    <t>梅崎美希子</t>
  </si>
  <si>
    <t>【退職】【業】01/31 01/31 Vantageｽﾀｼﾞｵ　梅崎 美希子</t>
  </si>
  <si>
    <t>池田裕美</t>
  </si>
  <si>
    <t>【退職】【業】01/31 01/31 Vantageｽﾀｼﾞｵ  池田 裕美</t>
  </si>
  <si>
    <t>中西舞</t>
  </si>
  <si>
    <t>【退職】【業】01/31 01/31 MS本部 中西 舞</t>
  </si>
  <si>
    <t>生武克子</t>
  </si>
  <si>
    <t>【退職】【業】01/31 01/31 Vantageｽﾀｼﾞｵ　生武 克子</t>
  </si>
  <si>
    <t>瓜生幸平</t>
  </si>
  <si>
    <t>【退職】【正】01/25 01/31 経営推進本部 瓜生 幸平</t>
  </si>
  <si>
    <t>木村憲一</t>
  </si>
  <si>
    <t>【退職】【業】1/31 1/31 事業推進室 木村 憲一</t>
  </si>
  <si>
    <t>橋本真悠子</t>
  </si>
  <si>
    <t>【退職】【業】1/31 1/31　ｹﾞｰﾑ運営部　橋本 真悠子</t>
  </si>
  <si>
    <t>深谷その子</t>
  </si>
  <si>
    <t>【退職】【正】02/22 02/28 社長室対外戦略グループ/スポーツ事業推進室渉外グループ　深谷その子</t>
  </si>
  <si>
    <t>桐野剛史</t>
  </si>
  <si>
    <t>【退職】【業】1/31 1/31 事業推進室 桐野 剛史</t>
  </si>
  <si>
    <t>川口裕之</t>
  </si>
  <si>
    <t>【退職】【業】1/31 1/31 事業推進室 川口 裕之</t>
  </si>
  <si>
    <t>山崎雅大</t>
  </si>
  <si>
    <t>【退職】【業】1/31 1/31 事業推進室 山崎 雅大</t>
  </si>
  <si>
    <t>【退職】【業】03/29　03/31　米盛 勇哉</t>
  </si>
  <si>
    <t>川﨑久美</t>
  </si>
  <si>
    <t>【退職】【エ】19/02/01 19/02/14 モンスト事業本部 川﨑 久美</t>
  </si>
  <si>
    <t>平地史明</t>
  </si>
  <si>
    <t>【退職】【業】01/31 01/31 XFLAG PICTURES 平地 史明</t>
  </si>
  <si>
    <t>小林翔平a</t>
  </si>
  <si>
    <t>【退職】【業】01/31 01/31 XFLAG PICTURES 小林 翔平a</t>
  </si>
  <si>
    <t>正木宏樹</t>
  </si>
  <si>
    <t>【退職】【業】12/16 12/16 デジタルエンターテイメント事業本部 正木 宏樹</t>
  </si>
  <si>
    <t>大場安里佳</t>
  </si>
  <si>
    <t>【退職】【業】1/18 1/18 ライブエクスペリエンス事業本部 大場安里佳</t>
  </si>
  <si>
    <t>出雲貴美子</t>
  </si>
  <si>
    <t>【退職】【業】0121 0131  ﾋﾞｼﾞﾈｽ開発室 出雲 貴美子</t>
  </si>
  <si>
    <t>【4/1再入社】【退職】【ア】3/22　3/31　人事部付　黒澤 麻美</t>
  </si>
  <si>
    <t>今井章恵</t>
  </si>
  <si>
    <t>【退職】【正】2/15 2/15 経営推進本部　今井章恵</t>
  </si>
  <si>
    <t>馬郡智弘</t>
  </si>
  <si>
    <t>【退職】【業】2/15 モンスト事業本部 馬郡 智弘</t>
  </si>
  <si>
    <t>【4/1再入社】【退職】【ア】2/14　3/31　人事部付　伊藤 寿基</t>
  </si>
  <si>
    <t>寺田　彩花</t>
  </si>
  <si>
    <t>【退職】【契】2/15 2/15 XFLAG STORE 寺田　彩花</t>
  </si>
  <si>
    <t>八木明日香</t>
  </si>
  <si>
    <t>【退職】【業】01/18 01/18 社長本部 八木 明日香</t>
  </si>
  <si>
    <t>【退職】【正】01/31 01/31 デジタルエンターテインメント事業部 海江田智也</t>
  </si>
  <si>
    <t>齋藤佳奈</t>
  </si>
  <si>
    <t>【退職】【ア】12/22 12/31 XFLAG STORE 齋藤 佳奈</t>
  </si>
  <si>
    <t>福山心</t>
  </si>
  <si>
    <t>【退職】【ア】10/02 12/31 XFLAG STORE 福山 心</t>
  </si>
  <si>
    <t>手嶋翔</t>
  </si>
  <si>
    <t>【退職】【業】1/7 1/31 ヘカテ 手嶋 翔</t>
  </si>
  <si>
    <t>大澤祐太</t>
  </si>
  <si>
    <t>【退職】【正】1/31, 1/31, Vantageｽﾀｼﾞｵ ,  大澤祐太</t>
  </si>
  <si>
    <t>大和ゆり</t>
  </si>
  <si>
    <t>【退職】【業】01/18 01/18 経営推進本部(DVS) 大和 ゆり</t>
  </si>
  <si>
    <t>中川正貴</t>
  </si>
  <si>
    <t>【退職】【業】01/18 01/18 経営推進本部(DVS) 中川 正貴</t>
  </si>
  <si>
    <t>白石舞</t>
  </si>
  <si>
    <t>【退職】【業】01/18 01/18 経営推進本部(DVS) 白石 舞</t>
  </si>
  <si>
    <t>松本美奈</t>
  </si>
  <si>
    <t>【退職】【業】01/18 01/18 経営推進本部(DVS) 松本 美奈</t>
  </si>
  <si>
    <t>笹塚清二</t>
  </si>
  <si>
    <t>【退職】【業】01/18 01/18 経営推進本部(DVS) 笹塚 清二</t>
  </si>
  <si>
    <t>大野直也</t>
  </si>
  <si>
    <t>【退職】【業】01/18 01/18 経営推進本部(DVS) 大野 直也</t>
  </si>
  <si>
    <t>徳永真衣</t>
  </si>
  <si>
    <t>【退職】【業】01/18 01/18 経営推進本部(DVS) 徳永 真衣</t>
  </si>
  <si>
    <t>本柳賢太</t>
  </si>
  <si>
    <t>【退職】【業】01/18 01/18 経営推進本部(DVS) 本柳 賢太</t>
  </si>
  <si>
    <t>青野優</t>
  </si>
  <si>
    <t>【退職】【業】01/18 01/18 経営推進本部(DVS) 青野 優</t>
  </si>
  <si>
    <t>鈴木佳子</t>
  </si>
  <si>
    <t>【退職】【業】01/18 01/18 経営推進本部(DVS) 鈴木 佳子</t>
  </si>
  <si>
    <t>池野由輝</t>
  </si>
  <si>
    <t>【退職】【業】01/18 01/18 経営推進本部(DVS) 池野 由輝</t>
  </si>
  <si>
    <t>杉野くるみ</t>
  </si>
  <si>
    <t>【退職】【業】01/18 01/18 経営推進本部(DVS) 杉野 くるみ</t>
  </si>
  <si>
    <t>松岡真司</t>
  </si>
  <si>
    <t>【退職】【業】01/18 01/18 経営推進本部(DVS) 松岡 真司</t>
  </si>
  <si>
    <t>松野裕司</t>
  </si>
  <si>
    <t>【退職】【業】01/18 01/18 経営推進本部(DVS) 松野 裕司</t>
  </si>
  <si>
    <t>月舘孝生</t>
  </si>
  <si>
    <t>【退職】【業】01/18 01/18 経営推進本部(DVS) 月舘 孝生</t>
  </si>
  <si>
    <t>佐藤絵美子</t>
  </si>
  <si>
    <t>【退職】【業】01/18 01/18 経営推進本部(DVS) 佐藤 絵美子</t>
  </si>
  <si>
    <t>村本章憲</t>
  </si>
  <si>
    <t>【退職】【業】01/18 01/18 経営推進本部(DVS) 村本 章憲</t>
  </si>
  <si>
    <t>千葉和稔</t>
  </si>
  <si>
    <t>【退職】【業】01/18 01/18 経営推進本部(DVS) 千葉 和稔</t>
  </si>
  <si>
    <t>井村友美子</t>
  </si>
  <si>
    <t>【退職】【業】01/18 01/18 経営推進本部(DVS) 井村 友美子</t>
  </si>
  <si>
    <t>村上洋一郎</t>
  </si>
  <si>
    <t>【退職】【業】01/18 01/18 経営推進本部(DVS) 村上 洋一郎</t>
  </si>
  <si>
    <t>油井大輔</t>
  </si>
  <si>
    <t>【退職】【業】01/18 01/18 経営推進本部(DVS) 油井 大輔</t>
  </si>
  <si>
    <t>井上舞子</t>
  </si>
  <si>
    <t>【退職】【業】01/18 01/18 経営推進本部(DVS) 井上 舞子</t>
  </si>
  <si>
    <t>小川拓馬</t>
  </si>
  <si>
    <t>【退職】【業】01/18 01/18 経営推進本部(DVS) 小川 拓馬</t>
  </si>
  <si>
    <t>隈部瑛里</t>
  </si>
  <si>
    <t>【退職】【業】01/18 01/18 経営推進本部(DVS) 隈部 瑛里</t>
  </si>
  <si>
    <t>姜美善</t>
  </si>
  <si>
    <t>【退職】【業】01/18 01/18 経営推進本部(DVS) 姜 美善</t>
  </si>
  <si>
    <t>神山美里</t>
  </si>
  <si>
    <t>【退職】【業】01/18 01/18 経営推進本部(DVS) 神山 美里</t>
  </si>
  <si>
    <t>松平舞</t>
  </si>
  <si>
    <t>【退職】【業】01/18 01/18 経営推進本部(DVS) 松平 舞</t>
  </si>
  <si>
    <t>坂ノ上舞</t>
  </si>
  <si>
    <t>【退職】【業】01/18 01/18 経営推進本部(DVS) 坂ノ上 舞</t>
  </si>
  <si>
    <t>小田泰江</t>
  </si>
  <si>
    <t>【退職】【業】01/18 01/18 経営推進本部(DVS) 小田 泰江</t>
  </si>
  <si>
    <t>今泉智博</t>
  </si>
  <si>
    <t>【退職】【業】01/18 01/18 経営推進本部(DVS) 今泉 智博</t>
  </si>
  <si>
    <t>林浩一郎</t>
  </si>
  <si>
    <t>【退職】【業】01/18 01/18 経営推進本部(DVS) 林 浩一郎</t>
  </si>
  <si>
    <t>佐藤愛</t>
  </si>
  <si>
    <t>【退職】【業】01/18 01/18 経営推進本部(DVS) 佐藤 愛</t>
  </si>
  <si>
    <t>四柳貴光</t>
  </si>
  <si>
    <t>【退職】【業】01/18 01/18 経営推進本部(DVS) 四柳 貴光</t>
  </si>
  <si>
    <t>山本依知佳</t>
  </si>
  <si>
    <t>【退職】【業】01/18 01/18 経営推進本部(DVS) 山本 依知佳</t>
  </si>
  <si>
    <t>岩堀愛</t>
  </si>
  <si>
    <t>【退職】【業】01/18 01/18 経営推進本部(DVS) 岩堀 愛</t>
  </si>
  <si>
    <t>清水麻美</t>
  </si>
  <si>
    <t>【退職】【業】01/18 01/18 経営推進本部(DVS) 清水 麻美</t>
  </si>
  <si>
    <t>山本夏菜</t>
  </si>
  <si>
    <t>【退職】【業】01/18 01/18 経営推進本部(DVS) 山本 夏菜</t>
  </si>
  <si>
    <t>園田雪乃</t>
  </si>
  <si>
    <t>【退職】【業】01/18 01/18 経営推進本部(DVS) 園田 雪乃</t>
  </si>
  <si>
    <t>小野塚雪乃</t>
  </si>
  <si>
    <t>【退職】【業】01/18 01/18 経営推進本部(DVS) 小野塚 雪乃</t>
  </si>
  <si>
    <t>山本和夏</t>
  </si>
  <si>
    <t>【退職】【業】01/18 01/18 経営推進本部(DVS) 山本 和夏</t>
  </si>
  <si>
    <t>鈴木里沙子</t>
  </si>
  <si>
    <t>【退職】【業】01/18 01/18 経営推進本部(DVS) 鈴木 里沙子</t>
  </si>
  <si>
    <t>渡邊英里</t>
  </si>
  <si>
    <t>【退職】【業】01/18 01/18 経営推進本部(DVS) 渡邊 英里</t>
  </si>
  <si>
    <t>小澤瑠那</t>
  </si>
  <si>
    <t>【退職】【業】01/18 01/18 経営推進本部(DVS) 小澤 瑠那</t>
  </si>
  <si>
    <t>大野美歩</t>
  </si>
  <si>
    <t>【退職】【業】01/18 01/18 経営推進本部(DVS) 大野 美歩</t>
  </si>
  <si>
    <t>橋本咲</t>
  </si>
  <si>
    <t>【退職】【業】01/18 01/18 経営推進本部(DVS) 橋本 咲</t>
  </si>
  <si>
    <t>滝下果英</t>
  </si>
  <si>
    <t>【退職】【業】01/18 01/18 経営推進本部(DVS) 滝下 果英</t>
  </si>
  <si>
    <t>山下菜岐沙</t>
  </si>
  <si>
    <t>【退職】【業】01/18 01/18 経営推進本部(DVS) 山下 菜岐沙</t>
  </si>
  <si>
    <t>山田明澄</t>
  </si>
  <si>
    <t>【退職】【業】01/18 01/18 経営推進本部(DVS) 山田 明澄</t>
  </si>
  <si>
    <t>津元啓史</t>
  </si>
  <si>
    <t>【退職】【業】01/18 01/18 経営推進本部(DVS) 津元 啓史</t>
  </si>
  <si>
    <t>小久保知洋</t>
  </si>
  <si>
    <t>【退職】【業】01/18 01/18 経営推進本部(DVS) 小久保 知洋</t>
  </si>
  <si>
    <t>住吉結香</t>
  </si>
  <si>
    <t>【退職】【業】01/18 01/18 経営推進本部(DVS) 住吉 結香</t>
  </si>
  <si>
    <t>深澤美樹</t>
  </si>
  <si>
    <t>【退職】【業】01/18 01/18 経営推進本部(DVS) 深澤 美樹</t>
  </si>
  <si>
    <t>大石祐実</t>
  </si>
  <si>
    <t>【退職】【業】01/18 01/18 経営推進本部(DVS) 大石 祐実</t>
  </si>
  <si>
    <t>伊東万里子</t>
  </si>
  <si>
    <t>【退職】【業】01/18 01/18 経営推進本部(DVS) 伊東 万里子</t>
  </si>
  <si>
    <t>豊城はるか</t>
  </si>
  <si>
    <t>【退職】【業】01/18 01/18 経営推進本部(DVS) 豊城 はるか</t>
  </si>
  <si>
    <t>池田裕斗</t>
  </si>
  <si>
    <t>【退職】【業】01/18 01/18 経営推進本部(DVS) 池田 裕斗</t>
  </si>
  <si>
    <t>駒津裕子</t>
  </si>
  <si>
    <t>【退職】【業】01/18 01/18 経営推進本部(DVS) 駒津 裕子</t>
  </si>
  <si>
    <t>崎間みのり</t>
  </si>
  <si>
    <t>【退職】【業】01/18 01/18 経営推進本部(DVS) 崎間 みのり</t>
  </si>
  <si>
    <t>中村恵理佳</t>
  </si>
  <si>
    <t>【退職】【業】01/18 01/18 経営推進本部(DVS) 中村 恵理佳</t>
  </si>
  <si>
    <t>石島英里</t>
  </si>
  <si>
    <t>【退職】【業】01/18 01/18 経営推進本部(DVS) 石島 英里</t>
  </si>
  <si>
    <t>大谷悠貴</t>
  </si>
  <si>
    <t>【退職】【業】01/18 01/18 経営推進本部(DVS) 大谷 悠貴</t>
  </si>
  <si>
    <t>熊埜御堂将隆</t>
  </si>
  <si>
    <t>【退職】【業】01/18 01/18 経営推進本部(DVS) 熊埜御堂 将隆</t>
  </si>
  <si>
    <t>服部恵典</t>
  </si>
  <si>
    <t>【退職】【業】01/18 01/18 経営推進本部(DVS) 服部 恵典</t>
  </si>
  <si>
    <t>菊森秋季子</t>
  </si>
  <si>
    <t>【退職】【業】01/18 01/18 経営推進本部(DVS) 菊森 秋季子</t>
  </si>
  <si>
    <t>相坂七海</t>
  </si>
  <si>
    <t>【退職】【業】01/18 01/18 経営推進本部(DVS) 相坂 七海</t>
  </si>
  <si>
    <t>蔵津彩香</t>
  </si>
  <si>
    <t>【退職】【業】01/18 01/18 経営推進本部(DVS) 蔵津 彩香</t>
  </si>
  <si>
    <t>藤田雄大</t>
  </si>
  <si>
    <t>【退職】【業】01/18 01/18 経営推進本部(DVS) 藤田 雄大</t>
  </si>
  <si>
    <t>竹内優作</t>
  </si>
  <si>
    <t>【退職】【業】01/18 01/18 経営推進本部(DVS) 竹内 優作</t>
  </si>
  <si>
    <t>岩倉久仁帆</t>
  </si>
  <si>
    <t>【退職】【業】01/18 01/18 経営推進本部(DVS) 岩倉 久仁帆</t>
  </si>
  <si>
    <t>田代貴美代</t>
  </si>
  <si>
    <t>【退職】【業】01/18 01/18 経営推進本部(DVS) 田代 貴美代</t>
  </si>
  <si>
    <t>永江尚子</t>
  </si>
  <si>
    <t>【退職】【業】01/18 01/18 経営推進本部(DVS) 永江 尚子</t>
  </si>
  <si>
    <t>原友亮</t>
  </si>
  <si>
    <t>【退職】【業】01/18 01/18 経営推進本部(DVS) 原 友亮</t>
  </si>
  <si>
    <t>倉本芽衣</t>
  </si>
  <si>
    <t>【退職】【業】01/18 01/18 経営推進本部(DVS) 倉本 芽衣</t>
  </si>
  <si>
    <t>廣田あかね</t>
  </si>
  <si>
    <t>【退職】【業】01/18 01/18 経営推進本部(DVS) 廣田 あかね</t>
  </si>
  <si>
    <t>【退職】【業】01/18 01/18 経営推進本部(DVS) 茂木 孝浩</t>
  </si>
  <si>
    <t>落合ちなみ</t>
  </si>
  <si>
    <t>【退職】【業】01/18 01/18 経営推進本部(DVS) 落合 ちなみ</t>
  </si>
  <si>
    <t>鈴木みづえ</t>
  </si>
  <si>
    <t>【退職】【業】01/18 01/18 経営推進本部(DVS) 鈴木 みづえ</t>
  </si>
  <si>
    <t>池上昌樹</t>
  </si>
  <si>
    <t>【退職】【業】01/18 01/18 経営推進本部(DVS) 池上 昌樹</t>
  </si>
  <si>
    <t>横山裕</t>
  </si>
  <si>
    <t>【退職】【業】01/18 01/18 経営推進本部(DVS) 横山 裕</t>
  </si>
  <si>
    <t>野口真吾</t>
  </si>
  <si>
    <t>【退職】【業】01/18 01/18 経営推進本部(DVS) 野口 真吾</t>
  </si>
  <si>
    <t>荒木克年</t>
  </si>
  <si>
    <t>【退職】【業】01/18 01/18 経営推進本部(DVS) 荒木 克年</t>
  </si>
  <si>
    <t>内山博登</t>
  </si>
  <si>
    <t>【退職】【業】01/18 01/18 経営推進本部(DVS) 内山 博登</t>
  </si>
  <si>
    <t>髙木寛子</t>
  </si>
  <si>
    <t>【退職】【業】01/18 01/18 経営推進本部(DVS) 髙木 寛子</t>
  </si>
  <si>
    <t>鈴木直如</t>
  </si>
  <si>
    <t>【退職】【業】01/18 01/18 経営推進本部(DVS) 鈴木 直如</t>
  </si>
  <si>
    <t>近藤良介</t>
  </si>
  <si>
    <t>【退職】【業】01/18 01/18 経営推進本部(DVS) 近藤 良介</t>
  </si>
  <si>
    <t>小野亜子</t>
  </si>
  <si>
    <t>【退職】【業】01/18 01/18 経営推進本部(DVS) 小野 亜子</t>
  </si>
  <si>
    <t>八木源吾</t>
  </si>
  <si>
    <t>【退職】【業】01/18 01/18 経営推進本部(DVS) 八木 源吾</t>
  </si>
  <si>
    <t>大川枝里子</t>
  </si>
  <si>
    <t>【退職】【業】01/18 01/18 経営推進本部(DVS) 大川 枝里子</t>
  </si>
  <si>
    <t>金井茉利絵</t>
  </si>
  <si>
    <t>【退職】【業】01/18 01/18 経営推進本部(DVS) 金井 茉利絵</t>
  </si>
  <si>
    <t>岡田なつき</t>
  </si>
  <si>
    <t>【退職】【業】01/18 01/18 経営推進本部(DVS) 岡田 なつき</t>
  </si>
  <si>
    <t>舟橋雅栄</t>
  </si>
  <si>
    <t>【退職】【業】01/18 01/18 経営推進本部(DVS) 舟橋 雅栄</t>
  </si>
  <si>
    <t>森田麻美</t>
  </si>
  <si>
    <t>【退職】【業】01/18 01/18 経営推進本部(DVS) 森田 麻美</t>
  </si>
  <si>
    <t>永野康広</t>
  </si>
  <si>
    <t>【退職】【業】01/18 01/18 経営推進本部(DVS) 永野 康広</t>
  </si>
  <si>
    <t>中島宏樹</t>
  </si>
  <si>
    <t>【退職】【業】01/18 01/18 経営推進本部(DVS) 中島 宏樹</t>
  </si>
  <si>
    <t>當眞大千</t>
  </si>
  <si>
    <t>【退職】【業】01/18 01/18 経営推進本部(DVS) 當眞 大千</t>
  </si>
  <si>
    <t>菊池紘</t>
  </si>
  <si>
    <t>【退職】【業】01/18 01/18 経営推進本部(DVS) 菊池 紘</t>
  </si>
  <si>
    <t>武田祥弥</t>
  </si>
  <si>
    <t>【退職】【業】01/18 01/18 経営推進本部(DVS) 武田 祥弥</t>
  </si>
  <si>
    <t>井上瀬里香</t>
  </si>
  <si>
    <t>【退職】【業】01/18 01/18 経営推進本部(DVS) 井上 瀬里香</t>
  </si>
  <si>
    <t>佐藤真菜</t>
  </si>
  <si>
    <t>【退職】【業】01/18 01/18 経営推進本部(DVS) 佐藤 真菜</t>
  </si>
  <si>
    <t>松田高幸</t>
  </si>
  <si>
    <t>【退職】【業】01/31 01/31 mixi事業部 松田 高幸</t>
  </si>
  <si>
    <t>林広康</t>
  </si>
  <si>
    <t>【退職】【正】01/18 01/31 デジタルエンターテインメント事業本部 林 広康</t>
  </si>
  <si>
    <t>加藤丈博</t>
  </si>
  <si>
    <t>【退職】【正】2018/12/31 2019/1/31 スマートヘルス 加藤丈博</t>
  </si>
  <si>
    <t>松ヶ野裕司</t>
  </si>
  <si>
    <t>【退職】【業】01/15 01/15 社長本部 松ヶ野 裕司</t>
  </si>
  <si>
    <t xml:space="preserve">ﾋﾞｼﾞﾈｽ開発室 </t>
  </si>
  <si>
    <t>松谷典子</t>
  </si>
  <si>
    <t>【退職】【業】0115 0115 ﾋﾞｼﾞﾈｽ開発室 松谷 典子</t>
  </si>
  <si>
    <t>丸田淳也</t>
  </si>
  <si>
    <t>【道場対応・第二期】【退職】【業】1/9 1/9 モンスト事業本部 丸田 淳也</t>
  </si>
  <si>
    <t>山田佳延</t>
  </si>
  <si>
    <t>【道場対応・第二期】【退職】【業】1/9 1/9 モンスト事業本部 山田 佳延</t>
  </si>
  <si>
    <t>小原翔飛</t>
  </si>
  <si>
    <t>【道場対応・第二期】【退職】【業】1/9 1/9 モンスト事業本部 小原 翔飛</t>
  </si>
  <si>
    <t>西川大雅</t>
  </si>
  <si>
    <t>【退職】【ア】12/31 12/31 XFLAG STORE 西川 大雅</t>
  </si>
  <si>
    <t>種田里奈</t>
  </si>
  <si>
    <t>【退職】【ア】01/03 01/08 XFLAG STORE 種田 里奈</t>
  </si>
  <si>
    <t>原田堅介</t>
  </si>
  <si>
    <t>【退職】【業】12/27 12/27 ヘカテ 原田 堅介</t>
  </si>
  <si>
    <t>【退職】【業】1/15 1/16 シャヒーム カーン</t>
  </si>
  <si>
    <t>松林泰嵩</t>
  </si>
  <si>
    <t>【退職】【業】1/15 1/16 松林 泰嵩</t>
  </si>
  <si>
    <t>坂井岳</t>
  </si>
  <si>
    <t>【退職】【業】1/15 1/16 坂井 岳</t>
  </si>
  <si>
    <t>【退職】【業】1/15 1/16 岡 裕也</t>
  </si>
  <si>
    <t>【退職】【業】1/15 1/15 統括管理本部 昆野 香里</t>
  </si>
  <si>
    <t>高椋将治</t>
  </si>
  <si>
    <t>【退職】【業】12/2712/31 経営推進本部 高椋 将治</t>
  </si>
  <si>
    <t>【退職】【正】02/15 02/15 開発本部 渡辺 隆志</t>
  </si>
  <si>
    <t>本橋　奈子</t>
  </si>
  <si>
    <t>【退職】【派】12/12 1/31 本橋　奈子</t>
  </si>
  <si>
    <t>桜井　友維</t>
  </si>
  <si>
    <t>【退職】【派】12/12 1/31 桜井　友維</t>
  </si>
  <si>
    <t>佐藤　由美子</t>
  </si>
  <si>
    <t>【退職】【派】12/12 1/31 佐藤　由美子</t>
  </si>
  <si>
    <t>佐藤　綾子</t>
  </si>
  <si>
    <t>【退職】【派】12/12 1/31 佐藤　綾子</t>
  </si>
  <si>
    <t>岡藤　真由美</t>
  </si>
  <si>
    <t>【退職】【派】12/12 1/31 岡藤　真由美</t>
  </si>
  <si>
    <t>塩浦　澄子</t>
  </si>
  <si>
    <t>【退職】【派】12/12 1/31 塩浦　澄子</t>
  </si>
  <si>
    <t>宇枝　里美</t>
  </si>
  <si>
    <t>【退職】【派】12/12 1/31 宇枝　里美</t>
  </si>
  <si>
    <t>鈴木　卓</t>
  </si>
  <si>
    <t>【退職】【派】12/12 1/31　経営推進本部　鈴木 卓</t>
  </si>
  <si>
    <t>本坊健太郎</t>
  </si>
  <si>
    <t>【退職】【正】2/1 3/31 ライブエクスペリエンス事業本部 本坊 健太郎</t>
  </si>
  <si>
    <t>名越学</t>
  </si>
  <si>
    <t>【退職】【業】01/31 01/31 社長本部  名越 学</t>
  </si>
  <si>
    <t>内田昌良</t>
  </si>
  <si>
    <t>【退職】【業】12/27 12/31 事業開発室 内田昌良</t>
  </si>
  <si>
    <t>井上勇吾</t>
  </si>
  <si>
    <t>【退職】【業】12/27 12/27 モンスト事業本部 井上 勇吾</t>
  </si>
  <si>
    <t>松平滉太</t>
  </si>
  <si>
    <t>【退職】【業】12/25 12/31 XFLAG PICTURES 松平 滉太</t>
  </si>
  <si>
    <t>高橋理恵</t>
  </si>
  <si>
    <t>【退職】【業】12/17 12/31 ライブエクスペリエンス事業本部  高橋 理恵</t>
  </si>
  <si>
    <t>大園彩奈</t>
  </si>
  <si>
    <t>【退職】【契】1/16 1/16 minimo事業部 大園彩奈</t>
  </si>
  <si>
    <t>児島晶子</t>
  </si>
  <si>
    <t>【退職】【派】2018/12/27 2018/12/31 mixi事業部 児島 晶子</t>
  </si>
  <si>
    <t>三條慎太郎</t>
  </si>
  <si>
    <t>【退職】【正】12/19 12/19 minimo事業部 三條慎太郎</t>
  </si>
  <si>
    <t>虞史殷</t>
  </si>
  <si>
    <t>【退職】【業】12/27　12/27　モンスト事業本部　虞 史殷</t>
  </si>
  <si>
    <t>酒徳千尋</t>
  </si>
  <si>
    <t>【退職】【役員】7/31 7/31 酒徳千尋(元フンザ)</t>
  </si>
  <si>
    <t>高野美佳</t>
  </si>
  <si>
    <t>【退職】【業】12/27 12/31 ラーテル 高野 美佳</t>
  </si>
  <si>
    <t>杉野愼</t>
  </si>
  <si>
    <t>【退職】【業】12/27 12/31 ラーテル 杉野 愼</t>
  </si>
  <si>
    <t>【退職】【業】12/27 12/31 ラーテルペイメント 野口 敬央</t>
  </si>
  <si>
    <t>【退職】【ア】1/18　1/18　人事部付　佐々木 智崇</t>
  </si>
  <si>
    <t>【退職】【業】12/27 12/31 モンスト事業本部 家治川 真弘</t>
  </si>
  <si>
    <t>笠原楓真</t>
  </si>
  <si>
    <t>【退職】【ア】01/31　01/31  KARASTAグループ 笠原 楓真(元フンザ)</t>
  </si>
  <si>
    <t>小村はる</t>
  </si>
  <si>
    <t>【退職】【業】　2018/12/27　2018/12/31　ダイバースグループ　小村はる</t>
  </si>
  <si>
    <t>杉原辰典</t>
  </si>
  <si>
    <t>【退職】【業】2018/12/13　2018/12/13　法務部　杉原辰典</t>
  </si>
  <si>
    <t>大崎信也</t>
  </si>
  <si>
    <t>【退職】【正】1/15 1/29 Vantageスタジオ 大崎信也</t>
  </si>
  <si>
    <t>沈安琪</t>
  </si>
  <si>
    <t>【退職】【正】12/26 1/31 マーケティング部 沈安琪</t>
  </si>
  <si>
    <t>土岐郁夏</t>
  </si>
  <si>
    <t>【道場対応・第一期】【退職】【業】12/12 12/12 モンスト事業本部 土岐 郁夏</t>
  </si>
  <si>
    <t>蔵野貴之</t>
  </si>
  <si>
    <t>【道場対応・第一期】【退職】【業】12/12 12/12 モンスト事業本部 蔵野 貴之</t>
  </si>
  <si>
    <t>山中文</t>
  </si>
  <si>
    <t>【退職／出向解除】【ア】12/27 12/31 Vantageｽﾀｼﾞｵ 山中 文(元フンザ)</t>
  </si>
  <si>
    <t>橋本麻衣</t>
  </si>
  <si>
    <t>【退職】【ア】12/16 12/31 XFLAG STORE 橋本　麻衣</t>
  </si>
  <si>
    <t>国松栞</t>
  </si>
  <si>
    <t>【退職】【ア】12/04 12/04 XFLAG STORE 国松 栞</t>
  </si>
  <si>
    <t>丹羽咲子</t>
  </si>
  <si>
    <t>【退職】【業】2018/12/21 ダイバースグループ　丹羽咲子</t>
  </si>
  <si>
    <t>中谷幸</t>
  </si>
  <si>
    <t>【退職】【業】2018/12/5　2018/12/31　ダイバースグループ　中谷幸</t>
  </si>
  <si>
    <t>濱田航平</t>
  </si>
  <si>
    <t>【退職】【業】12/13 12/14 濱田 航平</t>
  </si>
  <si>
    <t>杉田賢人</t>
  </si>
  <si>
    <t>【退職】【業】12/13 12/14 杉田 賢人</t>
  </si>
  <si>
    <t>吉田彩乃</t>
  </si>
  <si>
    <t>【退職】【業】12/5 12/5 法務部 吉田 彩乃</t>
  </si>
  <si>
    <t>下位慎一</t>
  </si>
  <si>
    <t>【退職】【業】12/5 ﾃﾞｼﾞﾀﾙｴﾝﾀｰﾃｲﾝﾒﾝﾄ事業本部　下位 慎一</t>
  </si>
  <si>
    <t>歌津義明</t>
  </si>
  <si>
    <t>【退職】【業】12/5 ﾃﾞｼﾞﾀﾙｴﾝﾀｰﾃｲﾝﾒﾝﾄ事業本部　歌津 義明</t>
  </si>
  <si>
    <t>熊田洋玲</t>
  </si>
  <si>
    <t>【退職】【業】12/25 12/31　ﾃﾞｼﾞﾀﾙｴﾝﾀｰﾃｲﾝﾒﾝﾄ事業本部　熊田 洋玲</t>
  </si>
  <si>
    <t>【退職】【派】12/27　12/31　蕭 佳正</t>
  </si>
  <si>
    <t>鍬のどか</t>
  </si>
  <si>
    <t>【退職】【業】2018/11/30　2018/11/30 ダイバースグループ　鍬のどか</t>
  </si>
  <si>
    <t>【退職】【業】2018/11/28  2018/12/16　ダイバースグループ　鈴木祐己</t>
  </si>
  <si>
    <t>西嶋梨江</t>
  </si>
  <si>
    <t>【退職】【業】11/29 11/29 株式会社ﾐｸｼｨ･ﾘｸﾙｰﾄﾒﾝﾄ 西嶋 梨江</t>
  </si>
  <si>
    <t>ｸﾞﾙｰﾌﾟ統括室</t>
  </si>
  <si>
    <t>細田紘慧</t>
  </si>
  <si>
    <t>【退職／出向解除】【正】クト 12/27 1/31 細田 紘慧(元フンザ)</t>
  </si>
  <si>
    <t>吉田瑞</t>
  </si>
  <si>
    <t>【退職／支援解除】【正】クト 12/14 12/31 吉田瑞(元フンザ)</t>
  </si>
  <si>
    <t>【退職】【正】12/26 1/31 ﾓﾝｽﾄ事業本部 沈安琪</t>
  </si>
  <si>
    <t>【退職】【業】12/27 12/31 株式会社ﾐｸｼｨ･ﾘｸﾙｰﾄﾒﾝﾄ 吉山 怜</t>
  </si>
  <si>
    <t>津越千里</t>
  </si>
  <si>
    <t>【退職】【派】11/30　12/31 渉外部 津越 千里</t>
  </si>
  <si>
    <t>山本光紗</t>
  </si>
  <si>
    <t>【退職】【派遣】11/30 モンスト事業本部 QAG 山本 光紗</t>
  </si>
  <si>
    <t>小林正和</t>
  </si>
  <si>
    <t>【退職】【業】11/30 11/30 事業推進室 小林正和</t>
  </si>
  <si>
    <t>高橋真紀</t>
  </si>
  <si>
    <t>【退職】【業】11/27 11/27 社長室 高橋 真紀</t>
  </si>
  <si>
    <t>【退職】【業】11/27 11/27 社長本部 高橋 真紀</t>
  </si>
  <si>
    <t>堀内裕加</t>
  </si>
  <si>
    <t>【退職】【正】12/14 12/31 minimo事業部 堀内裕加</t>
  </si>
  <si>
    <t>根岸久美子</t>
  </si>
  <si>
    <t>【退職】【正】12/06 12/31 マーチャンダイジング部 根岸久美子</t>
  </si>
  <si>
    <t>【退職】【業】2018/11/30　グループ統括室ダイバースグループ 柴田勝史</t>
  </si>
  <si>
    <t>松本修</t>
  </si>
  <si>
    <t>【退職】【正】01/31 01/31 開発本部 松本 修</t>
  </si>
  <si>
    <t>栗山大吾</t>
  </si>
  <si>
    <t>【退職】【業】12/14 12/14 Vantageスタジオ 栗山大吾</t>
  </si>
  <si>
    <t>小金井俊明</t>
  </si>
  <si>
    <t>【退職】【業】12/27 12/31 Vantageスタジオ 小金井俊明</t>
  </si>
  <si>
    <t>【退職】【業】11/20　11/21 社長室 石井 瞬</t>
  </si>
  <si>
    <t>【退職】【業】11/30 11/30 モンスト事業本部　笠原彩乃</t>
  </si>
  <si>
    <t>片桐理沙</t>
  </si>
  <si>
    <t>【退職】【正】01/22 01/31 ﾃﾞｼﾞﾀﾙｴﾝﾀｰﾃｲﾝﾒﾝﾄ事業本部 片桐理沙(元フンザ)</t>
  </si>
  <si>
    <t>荒木義幸</t>
  </si>
  <si>
    <t xml:space="preserve"> 【退職 / 出向解除】【ア】クト 11/19 12/31 荒木義幸</t>
  </si>
  <si>
    <t>千葉一久</t>
  </si>
  <si>
    <t>【退職】【業】11/30 11/30 統括管理本部 千葉 一久</t>
  </si>
  <si>
    <t>【退職】【業】11/30 11/30 ｹﾞｰﾑ運営部 第1企画G 第2企画T 小村 優太</t>
  </si>
  <si>
    <t>山崎　絢子</t>
  </si>
  <si>
    <t>【退職】【業】11/16 11/16 グループ統括室ダイバースグループ 山崎　絢子</t>
  </si>
  <si>
    <t>白坂守</t>
  </si>
  <si>
    <t>【退職】【業】2018/11/30　2018/11/30　法務部　白坂守</t>
  </si>
  <si>
    <t>前川啓太</t>
  </si>
  <si>
    <t>【退職】【派】12/27 12/31 経営推進本部 前川 啓太</t>
  </si>
  <si>
    <t>小栗翔</t>
  </si>
  <si>
    <t>【退職】【派】12/27 12/31 経営推進本部 小栗 翔</t>
  </si>
  <si>
    <t>【退職】【派】12/27 12/31 デザイン本部 山家 彩子</t>
  </si>
  <si>
    <t>奥田侑也</t>
  </si>
  <si>
    <t>【退職】【正】11/30 11/30 Vantageスタジオ 奥田侑也</t>
  </si>
  <si>
    <t>【退職】【業】11/30 11/30 リクルートメント 中村 浩彰</t>
  </si>
  <si>
    <t xml:space="preserve">　</t>
  </si>
  <si>
    <t>【退職】【業】11/29 11/30　ﾃﾞｼﾞﾀﾙｴﾝﾀｰﾃｲﾝﾒﾝﾄ事業本部　布 龍馬</t>
  </si>
  <si>
    <t>工藤崇志</t>
  </si>
  <si>
    <t>【退職】【業】2018/11/30　2018/11/30 ダイバースグループ　工藤崇志</t>
  </si>
  <si>
    <t>澤本修平</t>
  </si>
  <si>
    <t>【退職】【業】クト 11/29 11/30 澤本 修平</t>
  </si>
  <si>
    <t>濱田栞</t>
  </si>
  <si>
    <t>【退職／出向解除】【正】クト 12/07 12/31  濱田栞(元フンザ)</t>
  </si>
  <si>
    <t>丸山智子</t>
  </si>
  <si>
    <t>【退職】【業】11/9 11/9 株式会社ﾐｸｼｨ･ﾘｸﾙｰﾄﾒﾝﾄ 丸山 智子</t>
  </si>
  <si>
    <t>八子勇一郎</t>
  </si>
  <si>
    <t>【退職】【正】12/11 12/14 IP開発室　八子勇一郎</t>
  </si>
  <si>
    <t>八子勇一朗</t>
  </si>
  <si>
    <t>【退職】【正】12/07 12/14 IP開発室　八子勇一朗</t>
  </si>
  <si>
    <t>髙橋研三</t>
  </si>
  <si>
    <t>【退職】【契】11/2 11/30 ミクシィ・エンパワーメント 髙橋 研三</t>
  </si>
  <si>
    <t>佐藤康満</t>
  </si>
  <si>
    <t>【退職】【正】11/30 12/12ライブエクスペリエンス事業本部　佐藤康満</t>
  </si>
  <si>
    <t>八田実希</t>
  </si>
  <si>
    <t>【退職／出向解除】【ア】 10/31　八田実希</t>
  </si>
  <si>
    <t>田中華林</t>
  </si>
  <si>
    <t>【退職／出向解除】【ア】 10/31　田中華林</t>
  </si>
  <si>
    <t>青山茉由</t>
  </si>
  <si>
    <t>【退職／出向解除】【ア】 10/31　青山茉由</t>
  </si>
  <si>
    <t>松枝里奈</t>
  </si>
  <si>
    <t>【退職／出向解除】【ア】 10/31　松枝里奈</t>
  </si>
  <si>
    <t>御法川聡子</t>
  </si>
  <si>
    <t>【退職】【正】12/6 12/20　ﾃﾞｼﾞﾀﾙｴﾝﾀｰﾃｲﾝﾒﾝﾄ事業本部　御法川聡子</t>
  </si>
  <si>
    <t>山本満未</t>
  </si>
  <si>
    <t>【退職】【業】10/31 10/31 ライブエクスペリエンス事業本部 山本 満未</t>
  </si>
  <si>
    <t>伊藤千香</t>
  </si>
  <si>
    <t>【退職】【正】11/2 11/16 ﾗｲﾌﾞｴｸｽﾍﾟﾘｴﾝｽ事業本部 伊藤千香</t>
  </si>
  <si>
    <t>【退職】【業】10/31 10/31　ｹﾞｰﾑ運営部　横山 祥一</t>
  </si>
  <si>
    <t>【退職】【業】11/30 11/30 株式会社ﾐｸｼｨ･ﾘｸﾙｰﾄﾒﾝﾄ 中村 浩彰</t>
  </si>
  <si>
    <t>山田圭</t>
  </si>
  <si>
    <t>【退職】 【業】 10/31 10/31 事業推進室 山田 圭</t>
  </si>
  <si>
    <t>井川広宣</t>
  </si>
  <si>
    <t>【退職】 【業】 10/31 10/31 事業推進室 井川 広宣</t>
  </si>
  <si>
    <t>薬師寺賢</t>
  </si>
  <si>
    <t>【退職】 【業】 10/31 10/31 事業推進室 薬師寺 賢</t>
  </si>
  <si>
    <t>原裕太</t>
  </si>
  <si>
    <t>【退職】 【業】 10/31 10/31 事業推進室 原 裕太</t>
  </si>
  <si>
    <t>東武志</t>
  </si>
  <si>
    <t>【退職】 【業】 10/31 10/31 事業推進室 東 武志</t>
  </si>
  <si>
    <t>大堀有香</t>
  </si>
  <si>
    <t>【退職】 【業】 10/31 10/31 事業推進室 大堀 有香</t>
  </si>
  <si>
    <t>浅野意</t>
  </si>
  <si>
    <t>【退職】 【業】 10/31 10/31 事業推進室 浅野 意</t>
  </si>
  <si>
    <t>川瀬真子</t>
  </si>
  <si>
    <t>【退職】 【業】 10/31 10/31 事業推進室 川瀬 真子</t>
  </si>
  <si>
    <t>瀧本佳奈実</t>
  </si>
  <si>
    <t>【退職】 【業】 10/31 10/31 事業推進室 瀧本 佳奈実</t>
  </si>
  <si>
    <t>綿貫剛一</t>
  </si>
  <si>
    <t>【退職】 【業】 10/31 10/31 事業推進室 綿貫 剛一</t>
  </si>
  <si>
    <t>古市直樹</t>
  </si>
  <si>
    <t>【退職】 【業】 10/31 10/31 事業推進室 古市 直樹</t>
  </si>
  <si>
    <t>宮田瑛児</t>
  </si>
  <si>
    <t>【退職】 【業】 10/31 10/31 事業推進室 宮田 瑛児</t>
  </si>
  <si>
    <t>藤本美紀</t>
  </si>
  <si>
    <t>【退職】 【業】 10/31 10/31 事業推進室 藤本 美紀</t>
  </si>
  <si>
    <t>佐々木龍仁</t>
  </si>
  <si>
    <t>【退職】 【業】 10/31 10/31 事業推進室 佐々木 龍仁</t>
  </si>
  <si>
    <t>田淵可菜</t>
  </si>
  <si>
    <t>【退職】 【業】 10/31 10/31 事業推進室 田淵 可菜</t>
  </si>
  <si>
    <t>妹尾雄太</t>
  </si>
  <si>
    <t>【退職】 【業】 10/31 10/31 事業推進室 妹尾 雄太</t>
  </si>
  <si>
    <t>山口裕土</t>
  </si>
  <si>
    <t>【退職】 【業】 10/31 10/31 事業推進室 山口 裕土</t>
  </si>
  <si>
    <t>山本健一</t>
  </si>
  <si>
    <t>【退職】 【業】 10/31 10/31 事業推進室 山本 健一</t>
  </si>
  <si>
    <t>伊藤高大</t>
  </si>
  <si>
    <t>【退職】 【業】 10/31 10/31 事業推進室 伊藤 高大</t>
  </si>
  <si>
    <t>友兼諭史</t>
  </si>
  <si>
    <t>【退職】 【業】 10/31 10/31 事業推進室 友兼 諭史</t>
  </si>
  <si>
    <t>丸山勇輝</t>
  </si>
  <si>
    <t>【退職】 【業】 10/31 10/31 事業推進室 丸山 勇輝</t>
  </si>
  <si>
    <t>中田柊人</t>
  </si>
  <si>
    <t>【退職】 【業】 10/31 10/31 事業推進室 中田 柊人</t>
  </si>
  <si>
    <t>【退職】 【業】 10/31 10/31 事業推進室 中牟田 拓杜</t>
  </si>
  <si>
    <t>笠原克弘</t>
  </si>
  <si>
    <t>【退職】 【業】 10/31 10/31 事業推進室 笠原 克弘</t>
  </si>
  <si>
    <t>原田大造</t>
  </si>
  <si>
    <t>【退職】 【業】 10/31 10/31 事業推進室 原田 大造</t>
  </si>
  <si>
    <t>中澤裕文</t>
  </si>
  <si>
    <t>【退職】 【業】 10/31 10/31 事業推進室 中澤 裕文</t>
  </si>
  <si>
    <t>川村恵太</t>
  </si>
  <si>
    <t>【退職】【業】10/31　10/31　モンスト事業本部　川村 恵太</t>
  </si>
  <si>
    <t>由井孝易</t>
  </si>
  <si>
    <t>【退職】【業】10/30 10/31 社長本部 由井 孝易</t>
  </si>
  <si>
    <t>橋本亮</t>
  </si>
  <si>
    <t>【退職】【正】11/14 12/19 minimo事業部 橋本亮</t>
  </si>
  <si>
    <t>眞田義之</t>
  </si>
  <si>
    <t>【退職】【正】12/14 12/31 Vantageスタジオ 新規事業開発室 新規事業G 眞田 義之</t>
  </si>
  <si>
    <t>鈴木陽一</t>
  </si>
  <si>
    <t>【退職】【業】09/30 09/30 ビジネス開発室 鈴木 陽一</t>
  </si>
  <si>
    <t>【退職】【業】11/30 11/30 ノハナ 荒金 郁実</t>
  </si>
  <si>
    <t>キムギボン</t>
  </si>
  <si>
    <t>【退職】【業】10/31 10/31 ノハナ キム ギボン</t>
  </si>
  <si>
    <t>中野博文</t>
  </si>
  <si>
    <t>【退職】【業】10/31 10/31　ダイバースグループ 中野博文</t>
  </si>
  <si>
    <t>石川美穂</t>
  </si>
  <si>
    <t>【退職】【派】10月19日 10月19日 LX事業本部minimo事業部 石川美穂</t>
  </si>
  <si>
    <t>原章仁</t>
  </si>
  <si>
    <t>【退職】【業】10/31 モンスト事業本部 原 章仁</t>
  </si>
  <si>
    <t>高山愛実</t>
  </si>
  <si>
    <t>【退職】【業】10/31 10/31 事業推進室 高山愛実</t>
  </si>
  <si>
    <t>山本満未a</t>
  </si>
  <si>
    <t>【退職】【業】10/31 10/31 へカテ 山本 満未a</t>
  </si>
  <si>
    <t>村上正晃</t>
  </si>
  <si>
    <t>【退職】【業】10/31 10/31 へカテ 村上 正晃</t>
  </si>
  <si>
    <t>【退職】【正】10/31 10/31 経営推進本部 橋本貴史</t>
  </si>
  <si>
    <t>松浦想</t>
  </si>
  <si>
    <t>【退職／出向解除】【正】経営推進本部　クト　11/20 12/31　松浦 想</t>
  </si>
  <si>
    <t>長山愛</t>
  </si>
  <si>
    <t>【退職／出向解除】【正】11/1 11/15 長山愛</t>
  </si>
  <si>
    <t>吉澤礼</t>
  </si>
  <si>
    <t>【退職】【業】10/31 10/31 事業推進室 吉澤礼</t>
  </si>
  <si>
    <t>高木秀信</t>
  </si>
  <si>
    <t>【退職】【派】10/31 10/31 事業推進室 高木秀信</t>
  </si>
  <si>
    <t>冨永皓司</t>
  </si>
  <si>
    <t>【退職 】【正】10/30 10/31 デジタルエンターテイメント本部 冨永 皓司</t>
  </si>
  <si>
    <t>上竹あゆみ</t>
  </si>
  <si>
    <t>【退職】【業】10/31 10/31 株式会社ﾐｸｼｨ･ﾘｸﾙｰﾄﾒﾝﾄ 上竹 あゆみ</t>
  </si>
  <si>
    <t>亀山祐哉</t>
  </si>
  <si>
    <t>【退職】【業】10/31 10/31 株式会社ﾐｸｼｨ･ﾘｸﾙｰﾄﾒﾝﾄ 亀山 祐哉</t>
  </si>
  <si>
    <t>ﾏｰｹﾃｨﾝｸﾞ戦略室</t>
  </si>
  <si>
    <t>上村　夏美</t>
  </si>
  <si>
    <t>【退職】【正】11/09  12/14 マーケティング戦略室 上村 夏美</t>
  </si>
  <si>
    <t>土屋裕仁</t>
  </si>
  <si>
    <t>【退職】【業】2018/11/2　2018/12/15 ダイバースグループ　土屋裕仁</t>
  </si>
  <si>
    <t>成田俊</t>
  </si>
  <si>
    <t>【退職】【業】10/16 10/16 開発本部 成田 俊</t>
  </si>
  <si>
    <t>ヤンイーハン</t>
  </si>
  <si>
    <t>【退職】【契】10/9 10/9 マーケティング部海外マーケティング戦略G ヤン イーハン</t>
  </si>
  <si>
    <t>大野舞美</t>
  </si>
  <si>
    <t>【退職】【正】10/26　11/30　大野舞美</t>
  </si>
  <si>
    <t>新井原みどり</t>
  </si>
  <si>
    <t>【退職】【業】10/4 10/5 人事部 新井原 みどり</t>
  </si>
  <si>
    <t>佐村恭敏</t>
  </si>
  <si>
    <t>【退職】【業】10/3 10/3 はたらく環境室 佐村 恭敏</t>
  </si>
  <si>
    <t>阿部俊</t>
  </si>
  <si>
    <t>【退職】【業】10/03 10/03 阿部 俊</t>
  </si>
  <si>
    <t>幕田大輔</t>
  </si>
  <si>
    <t>【退職】【業】10/03 10/03 幕田 大輔</t>
  </si>
  <si>
    <t>佐藤克哉</t>
  </si>
  <si>
    <t>【退職】【業】10/03 10/03 佐藤 克哉</t>
  </si>
  <si>
    <t>小野寺珠</t>
  </si>
  <si>
    <t>【退職】【業】10/03 10/03 小野寺 珠</t>
  </si>
  <si>
    <t>【退職】【業】10/03 10/03 渡邉 麻美 他20名</t>
  </si>
  <si>
    <t>佐藤啓祐</t>
  </si>
  <si>
    <t>【退職】【正】11/16 11/30 経理財務部 佐藤啓祐</t>
  </si>
  <si>
    <t>天野智夫</t>
  </si>
  <si>
    <t>【退職】【業】2018/9/30　2018/9/30　ダイバースグループ　天野智夫</t>
  </si>
  <si>
    <t>吉田奈津希</t>
  </si>
  <si>
    <t>【退職】【派】11/15　11/30　吉田 奈津希</t>
  </si>
  <si>
    <t>【退職】【派】10/30 10/31 LX事業本部 石川美穂</t>
  </si>
  <si>
    <t>川本峻頌</t>
  </si>
  <si>
    <t>【退職】【ア】10/31　10/31　人事部付　川本 峻頌</t>
  </si>
  <si>
    <t>林和輝</t>
  </si>
  <si>
    <t>【退職】【ア】10/31　10/31　人事部付　林 和輝</t>
  </si>
  <si>
    <t>徐東園</t>
  </si>
  <si>
    <t>【退職】【業】10/10 10/31 マーケティング部 海外マーケティング戦略G 徐東園</t>
  </si>
  <si>
    <t>野村有希</t>
  </si>
  <si>
    <t>【退職】【業】9/21 9/30 グループ統括室ダイバースグループ 野村有希</t>
  </si>
  <si>
    <t>関祐子</t>
  </si>
  <si>
    <t>【退職】【派】9/3 9/18 統括管理本部  関祐子</t>
  </si>
  <si>
    <t>後藤謙昌</t>
  </si>
  <si>
    <t>【退職】【業】09/27 09/27 はたらく環境室 後藤 謙昌</t>
  </si>
  <si>
    <t>【退職】【業】09/28 09/30 株式会社ﾐｸｼｨ･ﾘｸﾙｰﾄﾒﾝﾄ リー・コーリー</t>
  </si>
  <si>
    <t>金尚謙</t>
  </si>
  <si>
    <t>【退職】【業】9/28 9/28　ﾃﾞｼﾞﾀﾙｴﾝﾀｰﾃｲﾝﾒﾝﾄ事業本部　金 尚謙</t>
  </si>
  <si>
    <t>波多野洵</t>
  </si>
  <si>
    <t>【退職】【業】9/28 9/28　ﾃﾞｼﾞﾀﾙｴﾝﾀｰﾃｲﾝﾒﾝﾄ事業本部　波多野 洵</t>
  </si>
  <si>
    <t>鳥井大幹</t>
  </si>
  <si>
    <t>【退職】【業】9/28 9/28　ﾃﾞｼﾞﾀﾙｴﾝﾀｰﾃｲﾝﾒﾝﾄ事業本部　鳥井大幹</t>
  </si>
  <si>
    <t>小林千絵a</t>
  </si>
  <si>
    <t>【退職】【正】10/12 10/19 デザイン本部 小林 千絵a</t>
  </si>
  <si>
    <t>【退職】【業】9/28 9/30 事業開発室 片瀬 大</t>
  </si>
  <si>
    <t>向田英雄a</t>
  </si>
  <si>
    <t>【退職】【正】10/26 11/15 ノハナ 向田 英雄a</t>
  </si>
  <si>
    <t>前澤れお</t>
  </si>
  <si>
    <t>【退職】【派】09/28 09/30 デザイン本部 前澤れお</t>
  </si>
  <si>
    <t>田邉義憲</t>
  </si>
  <si>
    <t>【退職】【契】09/28 10/29 みてね事業部 田邉 義憲</t>
  </si>
  <si>
    <t>伊達礼理</t>
  </si>
  <si>
    <t>【退職】【正】5/23　9/30　人事部　伊達 礼理</t>
  </si>
  <si>
    <t>栁田香</t>
  </si>
  <si>
    <t>【退職】【契】9/28 9/30 事業開発室 栁田 香</t>
  </si>
  <si>
    <t>中村優介</t>
  </si>
  <si>
    <t>【退職／出向解除】【ア】10/3  10/31　中村優介</t>
  </si>
  <si>
    <t>閔庚仙</t>
  </si>
  <si>
    <t>【退職】【業】9/28　9/28　デザイン室アートG　閔 庚仙</t>
  </si>
  <si>
    <t>三木俊雄</t>
  </si>
  <si>
    <t>【退職】【業】9/28 9/30 ライブエクスペリエンス事業本部 三木 俊雄</t>
  </si>
  <si>
    <t>【退職】【業】09/30 09/30　細井 良太郎</t>
  </si>
  <si>
    <t>【退職】【正】09/27 09/30 佐々木 勇人</t>
  </si>
  <si>
    <t>キムソリョン</t>
  </si>
  <si>
    <t>【退職】【正】7/12 09/30　キム ソリョン</t>
  </si>
  <si>
    <t>対木さおり</t>
  </si>
  <si>
    <t>【退職】【派】9/28 09/30　対木さおり</t>
  </si>
  <si>
    <t>堰合真知子</t>
  </si>
  <si>
    <t>【退職】【業】9/13　9/28　デザイン本部　堰合 真知子</t>
  </si>
  <si>
    <t>稲垣安隆</t>
  </si>
  <si>
    <t>【退職】【ア】10/12　10/12　人事部付　稲垣 安隆</t>
  </si>
  <si>
    <t>細沼澄</t>
  </si>
  <si>
    <t>【退職】【業】9/28 9/30 モンスト事業本部 細沼 澄</t>
  </si>
  <si>
    <t>【退職】【業】9/28 9/30 モンスト事業本部 小野 智毅</t>
  </si>
  <si>
    <t>【退職】【業】9/28 9/30 モンスト事業本部 村田 雄人</t>
  </si>
  <si>
    <t>【退職】【業】10/15 10/15 廣田 大地</t>
  </si>
  <si>
    <t>小磯雄大</t>
  </si>
  <si>
    <t>【退職】【業】09/27 09/28 小磯 雄大</t>
  </si>
  <si>
    <t>土井皓貴</t>
  </si>
  <si>
    <t>【退職】【業】09/27 09/28 土井 皓貴</t>
  </si>
  <si>
    <t>吉原康裕</t>
  </si>
  <si>
    <t>【退職】【業】10/19 10/31 DCG 吉原 康裕</t>
  </si>
  <si>
    <t>【退職】【派】2018/09/28　金丸 由嬉</t>
  </si>
  <si>
    <t>【退職/支援解除】【ア】10/12 10/12　人事部付　登内 雅人</t>
  </si>
  <si>
    <t>中村哲</t>
  </si>
  <si>
    <t>【退職】【派】9/13 9/30 デザイン本部 中村 哲</t>
  </si>
  <si>
    <t>井田結美</t>
  </si>
  <si>
    <t>【退職】【業】2018/9/28　2018/9/28　ダイバースグループ　井田結美</t>
  </si>
  <si>
    <t>ライバーグブライアン</t>
  </si>
  <si>
    <t>【退職】【派】09/30 09/30 ビジネス開発室　ライバーグ ブライアン</t>
  </si>
  <si>
    <t>定松広如</t>
  </si>
  <si>
    <t>【退職】【業】9/12 10/19　ﾃﾞｼﾞﾀﾙｴﾝﾀｰﾃｲﾝﾒﾝﾄ事業本部　定松 広如</t>
  </si>
  <si>
    <t>【退職】【派】9/30 9/30 Vantageスタジオ  鶴ケ谷 好美</t>
  </si>
  <si>
    <t>岡部千幸</t>
  </si>
  <si>
    <t>【退職】【正】10/4 10/31 Vantageスタジオ 新規事業開発室 HomeroomG 岡部 千幸</t>
  </si>
  <si>
    <t>福島淳二</t>
  </si>
  <si>
    <t>【退職】【正】9/27 9/30 経営推進本部　福島淳二</t>
  </si>
  <si>
    <t>仁藤敬介</t>
  </si>
  <si>
    <t>【退職】【業】09/28 09/30 社長室 仁藤 敬介</t>
  </si>
  <si>
    <t>【退職】【業】9/14 9/15　ﾃﾞｼﾞﾀﾙｴﾝﾀｰﾃｲﾝﾒﾝﾄ事業本部　荒木 啓文</t>
  </si>
  <si>
    <t>森岡彩花</t>
  </si>
  <si>
    <t>【退職】【ア】09/21 09/30 XFLAG STORE 森岡彩花</t>
  </si>
  <si>
    <t>飛永豪</t>
  </si>
  <si>
    <t>【退職】【正】09/10 09/17 XFLAG事業本部 飛永 豪</t>
  </si>
  <si>
    <t>【退職】【派】9/28 09/30　山下 礼子</t>
  </si>
  <si>
    <t>呉也魯</t>
  </si>
  <si>
    <t>【退職】【正】09/07 09/30 社長室  呉 也魯</t>
  </si>
  <si>
    <t>【退職】【派】9/28 9/30 北由布子</t>
  </si>
  <si>
    <t>戸田詩織</t>
  </si>
  <si>
    <t>【退職】【業】2018/9/30　2018/10/29　ダイバースグループ　戸田詩織</t>
  </si>
  <si>
    <t>トゥムルハドゥールウーレン</t>
  </si>
  <si>
    <t>【退職】【業】2018/9/14　2018/9/30　ダイバースグループ　トゥムルハドゥールウーレン</t>
  </si>
  <si>
    <t>馬渡琴音</t>
  </si>
  <si>
    <t>【退職】【業】2018/8/29　2018/9/30　ダイバースグループ 馬渡琴音</t>
  </si>
  <si>
    <t>杜偉</t>
  </si>
  <si>
    <t>【退職】【業】8/31 8/31 海外ﾏｰｹﾃｨﾝｸﾞ戦略G 　杜 偉</t>
  </si>
  <si>
    <t>【退職】【正】2018/7/30 2018/9/13 スマートヘルス事業部 松本美奈</t>
  </si>
  <si>
    <t>黒沢恒平</t>
  </si>
  <si>
    <t>【退職】【業】08/31 08/31 事業推進室 黒沢 恒平</t>
  </si>
  <si>
    <t>石合章典</t>
  </si>
  <si>
    <t>【退職】【業】08/31 08/31 事業推進室 石合 章典</t>
  </si>
  <si>
    <t>小山達矢</t>
  </si>
  <si>
    <t>【退職】【業】08/31 08/31 事業推進室 小山 達矢</t>
  </si>
  <si>
    <t>橋本祐</t>
  </si>
  <si>
    <t>【退職】【業】08/30 08/31 事業推進室 橋本 祐</t>
  </si>
  <si>
    <t>小林慧</t>
  </si>
  <si>
    <t>【退職】【ア】9/14　9/30　人事部付　小林 慧</t>
  </si>
  <si>
    <t>益尾輝</t>
  </si>
  <si>
    <t>【退職】【ア】9/27　9/27　人事部付　益尾 輝</t>
  </si>
  <si>
    <t>川口裕汰</t>
  </si>
  <si>
    <t>【退職】【ア】9/27　9/28　人事部付　川口 裕汰</t>
  </si>
  <si>
    <t>川名晴也</t>
  </si>
  <si>
    <t>【退職】【ア】9/28　9/28　人事部付　川名 晴也</t>
  </si>
  <si>
    <t>二又航介</t>
  </si>
  <si>
    <t>【退職】【ア】9/28　9/28　人事部付　二又 航介</t>
  </si>
  <si>
    <t>【退職】【ア】9/28　9/28　人事部付　浅野 大我</t>
  </si>
  <si>
    <t>諏訪孝輔</t>
  </si>
  <si>
    <t>【退職】【業】8/31　8/31　ダイバースグループ 諏訪 孝輔</t>
  </si>
  <si>
    <t>徳永清詩</t>
  </si>
  <si>
    <t>【退職】【業】8/31　8/31　ダイバースグループ 徳永 清詩</t>
  </si>
  <si>
    <t>【退職】【業】08/31 08/31 株式会社ﾐｸｼｨ･ﾘｸﾙｰﾄﾒﾝﾄ 藤岡 浩史</t>
  </si>
  <si>
    <t>麻生あおい</t>
  </si>
  <si>
    <t>【退職】【ア】9/21 9/21　人事部付　麻生あおい</t>
  </si>
  <si>
    <t>【退職/支援解除】【ア】9/25 9/25　人事部付　藤田 朱門</t>
  </si>
  <si>
    <t>【退職】【業】9/28 9/28 ヘカテ 上田 雄登</t>
  </si>
  <si>
    <t>千葉哲也</t>
  </si>
  <si>
    <t>【退職】【業】08/31 08/31 ラーテル 千葉 哲也</t>
  </si>
  <si>
    <t>中村夏実</t>
  </si>
  <si>
    <t>【退職】【ア】8/31 8/31 Vantageスタジオ 新規事業開発室 HomeroomG 中村 夏実</t>
  </si>
  <si>
    <t>【退職】【業】2018/08/22　2018/08/31　スマートヘルス13名</t>
  </si>
  <si>
    <t>松居恵都子</t>
  </si>
  <si>
    <t>【退職】【正】9/7　10/10　 XFLAG ARTS　松居 恵都子</t>
  </si>
  <si>
    <t>エアハルドステファン</t>
  </si>
  <si>
    <t>【退職】【業】8/31 8/31 ライブエクスペリエンス事業本部 エアハルド ステファン</t>
  </si>
  <si>
    <t>藤原理奈</t>
  </si>
  <si>
    <t>【退職】【業】08/22 08/23 XFLAG PICTURES 藤原 理奈</t>
  </si>
  <si>
    <t>【退職】【ア】9/14　9/15 人事部付 太田 一行</t>
  </si>
  <si>
    <t>【退職】【ア】9/14　9/15 人事部付　岡住 和樹</t>
  </si>
  <si>
    <t>柴山太基</t>
  </si>
  <si>
    <t>【退職】【ア】9/28　9/30　Vantageスタジオ 新規事業開発室 KARASTAG 柴山 太基</t>
  </si>
  <si>
    <t>【退職】【業】08/31 08/31 ラーテル 仁藤 敬介</t>
  </si>
  <si>
    <t>【退職】【業】08/31 08/31 ラーテル 杉澤 大輔</t>
  </si>
  <si>
    <t>【退職】【業】08/31 08/31 ラーテル 加藤 亮a</t>
  </si>
  <si>
    <t>【退職】【業】08/31 08/31 ラーテル 小川 隆</t>
  </si>
  <si>
    <t>【退職】【ア】9/14　9/14 人事部付　 瀬戸 和希</t>
  </si>
  <si>
    <t>【退職/支援解除】【ア】9/13 9/13　人事部付 渡辺大貴</t>
  </si>
  <si>
    <t>岩本真美子</t>
  </si>
  <si>
    <t>【退職】【業】8/15　9/14　ダイバースグループ 岩本真美子</t>
  </si>
  <si>
    <t>林大貴</t>
  </si>
  <si>
    <t>【退職】【業】2018/07/22　2018/08/31　林 大貴</t>
  </si>
  <si>
    <t>井上香奈</t>
  </si>
  <si>
    <t>【退職】【業】2018/9/6　2018/9/30　ダイバースグループ 井上香奈</t>
  </si>
  <si>
    <t>林孝依</t>
  </si>
  <si>
    <t>【退職】【業】2018/8/24　2018/8/31　ダイバースグループ 林孝依</t>
  </si>
  <si>
    <t>【退職】【業】8/31 9/1 CS部　吉岡 弥沙樹</t>
  </si>
  <si>
    <t>李光</t>
  </si>
  <si>
    <t>【退職】【業】08/31 08/31 事業推進室 李 光</t>
  </si>
  <si>
    <t>眞貝洋介</t>
  </si>
  <si>
    <t>【退職】【業】08/31 08/31 事業推進室 眞貝 洋介</t>
  </si>
  <si>
    <t>小林大武</t>
  </si>
  <si>
    <t>【退職】【ア】8/21 8/21 ﾃﾞｼﾞﾀﾙｴﾝﾀｰﾃｲﾝﾒﾝﾄ事業本部 小林 大武</t>
  </si>
  <si>
    <t>可児哲郎</t>
  </si>
  <si>
    <t>【退職】【業】08/31 08/31 事業開発室 可児 哲郎</t>
  </si>
  <si>
    <t>荒井裕司</t>
  </si>
  <si>
    <t>【退職】【業】08/29 08/31 XFLAG事業本部 荒井 裕司</t>
  </si>
  <si>
    <t>【退職】【業】8/24 8/24 株式会社ﾐｸｼｨ･ﾘｸﾙｰﾄﾒﾝﾄ 北條 友章</t>
  </si>
  <si>
    <t>江川　淳子</t>
  </si>
  <si>
    <t>【退職】【派】20180808　0831　経理財務部　江川　淳子</t>
  </si>
  <si>
    <t>松橋恵美</t>
  </si>
  <si>
    <t>【退職】【派】20180808　0831　経理財務部　松橋　恵美</t>
  </si>
  <si>
    <t>市川　裕市</t>
  </si>
  <si>
    <t>【退職】【派】20180808　0831　経理財務部　市川　裕市</t>
  </si>
  <si>
    <t>鳥山　元樹</t>
  </si>
  <si>
    <t>【退職】【派】20180808　0831　経理財務部　鳥山　元樹</t>
  </si>
  <si>
    <t>遠藤　涼太</t>
  </si>
  <si>
    <t>【退職】【派】20180808　0831　経理財務部　遠藤　涼太</t>
  </si>
  <si>
    <t>阪本　昌也</t>
  </si>
  <si>
    <t>【退職】【派】20180808　0831　阪本　昌也</t>
  </si>
  <si>
    <t>渡邊　華穂</t>
  </si>
  <si>
    <t>【退職】【派】20180808　0831　渡邊　華穂</t>
  </si>
  <si>
    <t>【退職】【派】0808 0831  川口 浩司</t>
  </si>
  <si>
    <t>都丸翔貴</t>
  </si>
  <si>
    <t>【退職】【業】08/30 08/31 都丸 翔貴</t>
  </si>
  <si>
    <t>池田隆児</t>
  </si>
  <si>
    <t>【退職】【業】08/08 08/08 事業推進室 池田 隆児</t>
  </si>
  <si>
    <t>辻井剛</t>
  </si>
  <si>
    <t>【退職】【業務委託】9/28 9/28 事業推進室 辻井剛</t>
  </si>
  <si>
    <t>【退職】【業務委託】09/03 09/30 事業推進室 三上寛史</t>
  </si>
  <si>
    <t>橋口賢人</t>
  </si>
  <si>
    <t>【退職】【業】08/10 08/10 事業開発室 橋口賢人</t>
  </si>
  <si>
    <t>鹿島正裕</t>
  </si>
  <si>
    <t>【退職】【正】9/10 9/28 Vantageｽﾀｼﾞｵ 鹿島 正裕</t>
  </si>
  <si>
    <t>岡城輝</t>
  </si>
  <si>
    <t>【退職】【契】08/31 08/31 経営推進本部  岡城 輝</t>
  </si>
  <si>
    <t>橋本和典</t>
  </si>
  <si>
    <t xml:space="preserve">【退職】【正】08/31 09/30 経営推進本部 橋本 和典 </t>
  </si>
  <si>
    <t>鴨作愛美</t>
  </si>
  <si>
    <t>【退職】【ア】8/6 8/10 ライブエクスペリエンス事業本部 鴨作 愛美</t>
  </si>
  <si>
    <t>出嶋直美</t>
  </si>
  <si>
    <t>【退職】【正】08/02 08/31 統括管理本部 出嶋 直美</t>
  </si>
  <si>
    <t>久木野滉一</t>
  </si>
  <si>
    <t>【退職】【業】7/31 8/15 ノハナ 久木野 滉一</t>
  </si>
  <si>
    <t>仲間裕子</t>
  </si>
  <si>
    <t>【退職】 【派】 8/1　8/1　mixi事業本部　仲間 裕子</t>
  </si>
  <si>
    <t>平山健太</t>
  </si>
  <si>
    <t>【退職】【ア】8/31　8/31 人事部付 平山 健太</t>
  </si>
  <si>
    <t>本吉友尚</t>
  </si>
  <si>
    <t>【退職】【正】 07/31 07/31 みてね事業部 本吉 友尚</t>
  </si>
  <si>
    <t>中尾涼</t>
  </si>
  <si>
    <t>【退職】【ア】8/31 8/31 人事部付 中尾涼</t>
  </si>
  <si>
    <t>【退職】【ア】8/31　8/31 人事部付 小林 菜摘</t>
  </si>
  <si>
    <t>酒井恒介</t>
  </si>
  <si>
    <t>【退職】【業】07/31 07/31 株式会社ﾐｸｼｨ･ﾘｸﾙｰﾄﾒﾝﾄ 酒井 恒介</t>
  </si>
  <si>
    <t>和田憲幸</t>
  </si>
  <si>
    <t>【退職】【業】07/31 07/31 株式会社ﾐｸｼｨ･ﾘｸﾙｰﾄﾒﾝﾄ 和田 憲幸</t>
  </si>
  <si>
    <t>長澤剛史</t>
  </si>
  <si>
    <t>【退職】【業】07/31 07/31 XFLAG PICTURES 長澤剛史</t>
  </si>
  <si>
    <t>上薗隆浩</t>
  </si>
  <si>
    <t>【退職】【業】08/10 08/10  XFLAG PICTURES 上薗 隆浩</t>
  </si>
  <si>
    <t>菊間英行</t>
  </si>
  <si>
    <t>【退職】【正】8/17 10/15 minimo事業部 菊間 英行</t>
  </si>
  <si>
    <t>遠藤庸将</t>
  </si>
  <si>
    <t>【退職】【業】07/31 07/31 事業推進室MBチーム 遠藤庸将</t>
  </si>
  <si>
    <t>一ノ瀬司</t>
  </si>
  <si>
    <t>【退職】【業】07/31 07/31 ラーテル 一ノ瀬 司</t>
  </si>
  <si>
    <t>小杉未来</t>
  </si>
  <si>
    <t>【退職】【業】07/31 07/31 ラーテル 小杉 未来</t>
  </si>
  <si>
    <t>飯分俊行</t>
  </si>
  <si>
    <t>【退職】【業】07/31 07/31 ラーテル 飯分 俊行</t>
  </si>
  <si>
    <t>横山祐一</t>
  </si>
  <si>
    <t>【退職】【業】07/31 07/31 ラーテル 横山 祐一</t>
  </si>
  <si>
    <t>【退職】【業】07/31 07/31 ラーテル 天野 伸平</t>
  </si>
  <si>
    <t>大下マイケル</t>
  </si>
  <si>
    <t>【退職】【業】07/31 07/31 ラーテル 大下 マイケル</t>
  </si>
  <si>
    <t>佐々木竹充</t>
  </si>
  <si>
    <t>【退職】【業】07/31 07/31 ラーテル 佐々木 竹充</t>
  </si>
  <si>
    <t>矢萩寛人</t>
  </si>
  <si>
    <t>【退職】【業】07/31 07/31 XFLAG MOBILE 矢萩 寛人</t>
  </si>
  <si>
    <t>山下聡子</t>
  </si>
  <si>
    <t>【退職】【正】17/6/22 8/23 Vantageｽﾀｼﾞｵ 山下 聡子</t>
  </si>
  <si>
    <t>松木フランセス</t>
  </si>
  <si>
    <t>【退職】【業】07/15 07/15 ライブエクスペリエンス事業本部 松木フランセス</t>
  </si>
  <si>
    <t>小西壮和</t>
  </si>
  <si>
    <t>【退職】【業】07/31 07/31 事業開発室 小西 壮和</t>
  </si>
  <si>
    <t>孟山嘉起</t>
  </si>
  <si>
    <t>【退職】【業】07/31 07/31 事業開発室 孟山 嘉起</t>
  </si>
  <si>
    <t>【退職】【業】07/31 07/31 ラーテル 三木 俊雄</t>
  </si>
  <si>
    <t>【退職】【派】7/31 7/31 モンスト事業本部　久田 眞由美</t>
  </si>
  <si>
    <t>葛岡仁</t>
  </si>
  <si>
    <t>【退職】【業】07/20　07/31　ﾋﾞｼﾞﾈｽ開発室　葛岡 仁</t>
  </si>
  <si>
    <t xml:space="preserve"> 【退職】【派】07/30  07/31 ｹﾞｰﾑ運営部 イラオウ ジェレミー</t>
  </si>
  <si>
    <t>廣田良歌</t>
  </si>
  <si>
    <t>【退職】【正】8/10 8/15 人事本部 廣田良歌</t>
  </si>
  <si>
    <t>大沼貴子</t>
  </si>
  <si>
    <t>【退職】【業】0706　07/31　社長室　大沼 貴子</t>
  </si>
  <si>
    <t>矢部雅哉</t>
  </si>
  <si>
    <t>【退職】【業】7/27 7/31 ﾃﾞｼﾞﾀﾙｴﾝﾀｰﾃｲﾝﾒﾝﾄ事業本部 矢部 雅哉</t>
  </si>
  <si>
    <t>野上成人</t>
  </si>
  <si>
    <t>【退職】【業】07/24 07/31 ラーテル 野上 成人</t>
  </si>
  <si>
    <t>【退職】【業】7/5 7/13 経営推進本部 小川 将茉</t>
  </si>
  <si>
    <t>【退職】【業】7/7 7/13 経営推進本部 大城 和輝</t>
  </si>
  <si>
    <t>山崎耕典</t>
  </si>
  <si>
    <t>【退職】【業】7/9 7/9　事業推進室　山崎 耕典</t>
  </si>
  <si>
    <t>菊地茉央香</t>
  </si>
  <si>
    <t>【退職】【業】6/8　6/8　ﾃﾞｼﾞﾀﾙｴﾝﾀｰﾃｲﾝﾒﾝﾄ事業本部 事業推進室 DCG ﾃﾞｻﾞｲﾝT　菊地 茉央香</t>
  </si>
  <si>
    <t>日高育孝</t>
  </si>
  <si>
    <t>【退職】【業】07/27 07/31 ラーテル 日高 育孝</t>
  </si>
  <si>
    <t>佐藤章子</t>
  </si>
  <si>
    <t>【退職】【業】07/31 07/31 ラーテル 佐藤 章子</t>
  </si>
  <si>
    <t>加藤宏紀</t>
  </si>
  <si>
    <t>【退職】【正】7/20 8/31 新規事業開発室 ゆずもとG 加藤 宏紀</t>
  </si>
  <si>
    <t>廣瀬智範</t>
  </si>
  <si>
    <t>【退職】【正】07/31 07/31 ノハナ 廣瀬 智範</t>
  </si>
  <si>
    <t>古城大</t>
  </si>
  <si>
    <t>【退職】【正】07/05 07/31 XFLAG事業本部 古城 大</t>
  </si>
  <si>
    <t>鯉沼彩</t>
  </si>
  <si>
    <t>【退職】【業】07/02 07/02 ラーテル 鯉沼 彩</t>
  </si>
  <si>
    <t>小林桃子</t>
  </si>
  <si>
    <t>【退職】【業】06/25 06/25 事業推進室 小林桃子</t>
  </si>
  <si>
    <t>【退職】【業】6/29 6/29　法務部　中田光彦</t>
  </si>
  <si>
    <t>飯野友恵</t>
  </si>
  <si>
    <t>【退職】【業】6/29　6/29　ﾋﾞｼﾞﾈｽ開発室　飯野 友恵</t>
  </si>
  <si>
    <t>馬鴻銘</t>
  </si>
  <si>
    <t>【退職】【業】6/29　7/31　事業推進室　馬 鴻銘</t>
  </si>
  <si>
    <t>阿部将顕</t>
  </si>
  <si>
    <t>【退職】【業】06/29 06/30 ラーテル 阿部 将顕</t>
  </si>
  <si>
    <t>【退職】【業】06/29 06/30 ラーテル  浅利 泰河</t>
  </si>
  <si>
    <t>劉世元</t>
  </si>
  <si>
    <t>【退職】【正】7/19 7/31 マーケティング部　劉世元</t>
  </si>
  <si>
    <t>高野夏子</t>
  </si>
  <si>
    <t>【退職】【業】06/29 06/30 ラーテル 高野 夏子</t>
  </si>
  <si>
    <t>中根えりか</t>
  </si>
  <si>
    <t>【退職】【業】06/29 06/30 ラーテル 中根 えりか</t>
  </si>
  <si>
    <t>日下部実</t>
  </si>
  <si>
    <t>【退職】【業】6/28 6/30 ﾃﾞｼﾞﾀﾙｴﾝﾀｰﾃｲﾝﾒﾝﾄ事業本部  日下部 実</t>
  </si>
  <si>
    <t>千葉岳</t>
  </si>
  <si>
    <t>【退職】【業】6/29 6/30 ﾃﾞｼﾞﾀﾙｴﾝﾀｰﾃｲﾝﾒﾝﾄ事業本部  千葉 岳</t>
  </si>
  <si>
    <t>徳原和人</t>
  </si>
  <si>
    <t>【退職】【業】6/29 6/30 ﾃﾞｼﾞﾀﾙｴﾝﾀｰﾃｲﾝﾒﾝﾄ事業本部   徳原 和人</t>
  </si>
  <si>
    <t>高橋敦弦</t>
  </si>
  <si>
    <t>【退職】【業】6/29 6/30 ﾃﾞｼﾞﾀﾙｴﾝﾀｰﾃｲﾝﾒﾝﾄ事業本部  高橋 敦弦</t>
  </si>
  <si>
    <t>山形維吹</t>
  </si>
  <si>
    <t>【退職】【業】6/29 6/30 ﾃﾞｼﾞﾀﾙｴﾝﾀｰﾃｲﾝﾒﾝﾄ事業本部 山形 維吹</t>
  </si>
  <si>
    <t>寺川亮</t>
  </si>
  <si>
    <t>【退職】【業】6/29 6/30 ﾃﾞｼﾞﾀﾙｴﾝﾀｰﾃｲﾝﾒﾝﾄ事業本部 寺川 亮</t>
  </si>
  <si>
    <t>北口明功</t>
  </si>
  <si>
    <t>【退職】【業】2018/6/29  2018/6/30　ﾃﾞｼﾞﾀﾙｴﾝﾀｰﾃｲﾝﾒﾝﾄ事業本部  北口 明功</t>
  </si>
  <si>
    <t>服部剛</t>
  </si>
  <si>
    <t>【退職】【業】6/29  6/30  ﾃﾞｼﾞﾀﾙｴﾝﾀｰﾃｲﾝﾒﾝﾄ事業本部  服部 剛</t>
  </si>
  <si>
    <t>岡野紗弓</t>
  </si>
  <si>
    <t>【退職】【業】06/29 06/29 社長室　岡野 紗弓</t>
  </si>
  <si>
    <t>福田春薫</t>
  </si>
  <si>
    <t>【退職】【契】06/28 06/30  福田 春薫</t>
  </si>
  <si>
    <t>サンイーシャンアデル</t>
  </si>
  <si>
    <t>【退職】【業】06/29 06/30 ラーテル サン イーシャンアデル</t>
  </si>
  <si>
    <t>【退職】【業】07/13 07/15 ラーテル 小野 智毅</t>
  </si>
  <si>
    <t>【退職】【業】07/13 07/15 ラーテル 細沼 澄</t>
  </si>
  <si>
    <t>【退職】【業】07/13 07/15 ラーテル 馬郡 智弘</t>
  </si>
  <si>
    <t>塚原涼</t>
  </si>
  <si>
    <t>【退職】【業】6/29  6/30 Diverseスタジオ 塚原涼</t>
  </si>
  <si>
    <t>依田大</t>
  </si>
  <si>
    <t>【退職】【業】06/22　06/22　社長室　依田 大</t>
  </si>
  <si>
    <t>鳴海麻祐子</t>
  </si>
  <si>
    <t>【退職】【契】6/28 7/31 Diverseスタジオ 鳴海麻祐子</t>
  </si>
  <si>
    <t>佐藤大輔</t>
  </si>
  <si>
    <t>【退職】【業】06/22 06/22 ﾋﾞｼﾞﾈｽ開発室 佐藤 大輔</t>
  </si>
  <si>
    <t>福田　槙吾</t>
  </si>
  <si>
    <t>【退職】【業】06/22 06/22 ﾋﾞｼﾞﾈｽ開発室 福田 槙吾</t>
  </si>
  <si>
    <t>二村卓弥</t>
  </si>
  <si>
    <t>【退職】【業】06/22 06/22 ﾋﾞｼﾞﾈｽ開発室 二村 卓弥</t>
  </si>
  <si>
    <t>永野雄太</t>
  </si>
  <si>
    <t>【退職】【業】06/22 06/22 ﾋﾞｼﾞﾈｽ開発室 永野 雄太</t>
  </si>
  <si>
    <t>原淳史</t>
  </si>
  <si>
    <t>【退職】【正】 07/12 07/31 AIロボット事業部 原 淳史</t>
  </si>
  <si>
    <t>佐藤裕介a</t>
  </si>
  <si>
    <t>【退職】【正】6/29 7/25 Vantageスタジオ　新規事業開発室　HomeroomG 佐藤 裕介a</t>
  </si>
  <si>
    <t>【退職】2018/6/30 Diverseスタジオ従業員 103名</t>
  </si>
  <si>
    <t>黄韋凱</t>
  </si>
  <si>
    <t>【退職】【正】06/29 07/19　DE本部 事業開発室 黄 韋凱</t>
  </si>
  <si>
    <t>渡邉　芳</t>
  </si>
  <si>
    <t>【退職】【業】2018/06/29　2018/06/29　ラーテル　渡邉 芳</t>
  </si>
  <si>
    <t>佐藤卓也</t>
  </si>
  <si>
    <t>【退職】【業】2018/6/30 ﾃﾞｼﾞﾀﾙｴﾝﾀｰﾃｲﾝﾒﾝﾄ事業本部　佐藤 卓也</t>
  </si>
  <si>
    <t>臼井克之</t>
  </si>
  <si>
    <t>【退職】【業】2018/6/30 ﾃﾞｼﾞﾀﾙｴﾝﾀｰﾃｲﾝﾒﾝﾄ事業本部　臼井 克之</t>
  </si>
  <si>
    <t>白石幸司</t>
  </si>
  <si>
    <t>【退職】【業】2018/6/30 ﾃﾞｼﾞﾀﾙｴﾝﾀｰﾃｲﾝﾒﾝﾄ事業本部　白石 幸司</t>
  </si>
  <si>
    <t>長野剛志</t>
  </si>
  <si>
    <t>【退職】【業】2018/6/30 ﾃﾞｼﾞﾀﾙｴﾝﾀｰﾃｲﾝﾒﾝﾄ事業本部　長野 剛志</t>
  </si>
  <si>
    <t>小川真史</t>
  </si>
  <si>
    <t>【退職】【業】2018/6/30 ﾃﾞｼﾞﾀﾙｴﾝﾀｰﾃｲﾝﾒﾝﾄ事業本部　小川 真史</t>
  </si>
  <si>
    <t>【退職】【業】6/26 6/30 ライブエクスペリエンス事業本部 宋 靜怡</t>
  </si>
  <si>
    <t>井上理沙</t>
  </si>
  <si>
    <t>【退職】【正】06/29 07/13 経営推進本部 井上 理沙</t>
  </si>
  <si>
    <t>住友志帆</t>
  </si>
  <si>
    <t>【退職】【正】06/30 06/30 はたらく環境室 住友 志帆</t>
  </si>
  <si>
    <t>向井　麻里絵</t>
  </si>
  <si>
    <t>【退職】【業】06/29　06/30　ラーテル　向井麻里絵</t>
  </si>
  <si>
    <t>山本　健</t>
  </si>
  <si>
    <t>【退職】【正】06/29　06/30　XFLAG事業本部　山本健</t>
  </si>
  <si>
    <t>和田哲也</t>
  </si>
  <si>
    <t>【退職】【正】07/09 07/15 XFLAG PICTURES 和田哲也</t>
  </si>
  <si>
    <t>小柳吏輝</t>
  </si>
  <si>
    <t>【退職】【業】06/29　06/30　ラーテル　小柳 吏輝</t>
  </si>
  <si>
    <t>佐藤賢司</t>
  </si>
  <si>
    <t>【退職】【正】06/26　06/30　経営推進本部経理財務部　佐藤賢司</t>
  </si>
  <si>
    <t>鈴木祐亮</t>
  </si>
  <si>
    <t>【退職】【業】2018/6/18 2018/6/18　スマートヘルス　鈴木 祐亮</t>
  </si>
  <si>
    <t>能塚正基</t>
  </si>
  <si>
    <t>【退職】【業】2018/6/18　2018/6/18　スマートヘルス　能塚 正基</t>
  </si>
  <si>
    <t>深井龍之介</t>
  </si>
  <si>
    <t>【退職】【業】2018/6/18 2018/6/18　スマートヘルス　深井 龍之介</t>
  </si>
  <si>
    <t>田中尚美</t>
  </si>
  <si>
    <t>【退職】【正】最終出社日6/12 退職日6/30 田中尚美</t>
  </si>
  <si>
    <t>平本侑也</t>
  </si>
  <si>
    <t>【退職】【業】6/15 モンスト事業本部 平本 侑也</t>
  </si>
  <si>
    <t>舟津亘</t>
  </si>
  <si>
    <t>【退職】【正】06/12　07/31　事業推進室　舟津 亘</t>
  </si>
  <si>
    <t>【退職】【業】06/15　06/15　事業開発室　武内 友希</t>
  </si>
  <si>
    <t>【退職】【業】06/15　06/15　事業開発室　星野 剛志</t>
  </si>
  <si>
    <t>熊木美穂</t>
  </si>
  <si>
    <t>【退職】【派】2018/06/30　2018/05/22　統括管理本部　法務部　熊木美穂</t>
  </si>
  <si>
    <t>野中　文彦</t>
  </si>
  <si>
    <t>【退職】【業】04/30　06/04　野中文彦</t>
  </si>
  <si>
    <t>川又靖浩</t>
  </si>
  <si>
    <t>【退職】【ア】06/30 06/30 XFLAG STORE 川又靖浩</t>
  </si>
  <si>
    <t>森田瞳</t>
  </si>
  <si>
    <t>【退職】【ア】04/28 04/28 XFLAG STORE 森田瞳</t>
  </si>
  <si>
    <t>石塚拓郎</t>
  </si>
  <si>
    <t>【退職】【業】06/30 06/30 ダイバースマーケティング室 石塚拓郎</t>
  </si>
  <si>
    <t>宮地香月</t>
  </si>
  <si>
    <t>【退職／出向解除】【ア】4/23 6/30　宮地 香月</t>
  </si>
  <si>
    <t>増田洵</t>
  </si>
  <si>
    <t>【退職】【業】6/1 モンスト事業本部 増田 洵</t>
  </si>
  <si>
    <t>藤田崇英</t>
  </si>
  <si>
    <t>【退職】【正】4/26 6/1 ﾃﾞｼﾞﾀﾙｴﾝﾀｰﾃｲﾝﾒﾝﾄ事業本部 藤田 崇英</t>
  </si>
  <si>
    <t>立澤貴士</t>
  </si>
  <si>
    <t>【退職】【業】5/31 5/31 XFLAG事業本部 立澤 貴士</t>
  </si>
  <si>
    <t>渡邊后</t>
  </si>
  <si>
    <t>【退職】【業】2018/5/31　渡邊后</t>
  </si>
  <si>
    <t>小山剛史</t>
  </si>
  <si>
    <t>【退職】【業】2018/6/29 2018/6/29 XFLAG ARTS　小山 剛史</t>
  </si>
  <si>
    <t>金子和恵</t>
  </si>
  <si>
    <t>【退職】【契】6/13 6/30 Vantageスタジオ minimo事業部  金子 和恵</t>
  </si>
  <si>
    <t>鷹取万里子</t>
  </si>
  <si>
    <t xml:space="preserve">【退職】【正】06/25見込 07/31 Diverseスタジオ 鷹取 万里子 </t>
  </si>
  <si>
    <t>辻良子</t>
  </si>
  <si>
    <t>【退職】【正】6/5 6/30 ライブエクスペリエンス事業本部 辻 良子</t>
  </si>
  <si>
    <t>中森達也</t>
  </si>
  <si>
    <t>【退職】【業】2018/6/29　2018/6/29　XFLAG ARTS　中森達也</t>
  </si>
  <si>
    <t>山口遼</t>
  </si>
  <si>
    <t>【退職】【ア】05/27 05/27 XFLAG STORE 山口遼</t>
  </si>
  <si>
    <t>柏井正朝</t>
  </si>
  <si>
    <t>【退職】【正】6/15  6/15  XFLAG事業本部 柏井 正朝</t>
  </si>
  <si>
    <t>有田佳正</t>
  </si>
  <si>
    <t>【退職】【業】5/31 5/31 XFLAG事業本部 有田 佳正</t>
  </si>
  <si>
    <t>大勝雅通</t>
  </si>
  <si>
    <t>【退職】【業】5/31 5/31 XFLAG事業本部 大勝 雅通</t>
  </si>
  <si>
    <t>【退職】【派】2018/05/31 2018/05/31　本谷朱里</t>
  </si>
  <si>
    <t>太田貴子</t>
  </si>
  <si>
    <t>【退職】【業】05/31 05/31 株式会社ﾐｸｼｨ･ﾘｸﾙｰﾄﾒﾝﾄ 太田 貴子</t>
  </si>
  <si>
    <t>桜井亜沙美</t>
  </si>
  <si>
    <t>【退職】【業】5/31　5/31　モンスト事業本部　桜井 亜沙美</t>
  </si>
  <si>
    <t>土井彬</t>
  </si>
  <si>
    <t>【退職】【ア】05/16 05/24 Diverseスタジオ マッチングサービス事業部 カスタマーサポートG 土井彬</t>
  </si>
  <si>
    <t>兵庫茜</t>
  </si>
  <si>
    <t>【退職／出向解除】【ア】6/27　6/30　兵庫 茜</t>
  </si>
  <si>
    <t>星加江里奈</t>
  </si>
  <si>
    <t>【退職／出向解除】【ア】6/28　6/30　星加 江里奈</t>
  </si>
  <si>
    <t>土橋成美</t>
  </si>
  <si>
    <t>【退職】【正】6/1 6/30 minimo事業部 土橋 成美</t>
  </si>
  <si>
    <t>真銅正孝</t>
  </si>
  <si>
    <t>【退職】【正】6/15 6/15 ダイバース　マーケティング室　真銅正孝</t>
  </si>
  <si>
    <t>望月綺乃</t>
  </si>
  <si>
    <t>【退職】【ア】05/23 06/30  ﾐｸｼｨ･ﾘｸﾙｰﾄﾒﾝﾄ事業部 望月 綺乃</t>
  </si>
  <si>
    <t>永瀬愛美</t>
  </si>
  <si>
    <t>【退職】【派】4/30　5/14　ﾃﾞｼﾞﾀﾙｴﾝﾀｰﾃｲﾝﾒﾝﾄ事業本部 事業開発室　永瀬 愛美</t>
  </si>
  <si>
    <t>井上航太</t>
  </si>
  <si>
    <t>【退職】【業】05/15 05/16 井上 航太</t>
  </si>
  <si>
    <t>肥前洋佑</t>
  </si>
  <si>
    <t>【退職】【業】05/15 05/16 肥前 洋佑</t>
  </si>
  <si>
    <t>鈴木大貴</t>
  </si>
  <si>
    <t>【退職】【業】05/15 05/16 鈴木 大貴</t>
  </si>
  <si>
    <t>龍宇涛</t>
  </si>
  <si>
    <t>【退職】【正】05/30　06/12　龍 宇涛</t>
  </si>
  <si>
    <t>蒲池美月</t>
  </si>
  <si>
    <t>【退職】【正】05/25 6/15 ライブエクスペリエンス事業本部 蒲地 美月</t>
  </si>
  <si>
    <t>北本竣奨</t>
  </si>
  <si>
    <t>【退職】2018/4/1　XFLAG STORE社 北本 竣奨【アルバイト】</t>
  </si>
  <si>
    <t>一ノ瀬　司</t>
  </si>
  <si>
    <t>【退職】【業】05/02　05/02　一ノ瀬 司</t>
  </si>
  <si>
    <t>安藤誠規</t>
  </si>
  <si>
    <t>【退職】【業】04/27 04/30 XFLAG　PICTURES 安藤 誠規</t>
  </si>
  <si>
    <t>石山直美</t>
  </si>
  <si>
    <t>【退職】【業】04/27 04/30 XFLAG　PICTURES 石山 直美</t>
  </si>
  <si>
    <t>河西智哉</t>
  </si>
  <si>
    <t>【退職】【業】5/2 5/4 ノハナ 河西 智哉</t>
  </si>
  <si>
    <t>廣瀬　菊乃</t>
  </si>
  <si>
    <t>【退職】【派】4/27 4/30 廣瀬 菊乃</t>
  </si>
  <si>
    <t>山崎透</t>
  </si>
  <si>
    <t>【退職】【業】04/27 04/30 XFLAG PICTURES 山崎 透</t>
  </si>
  <si>
    <t>田代愛</t>
  </si>
  <si>
    <t>【退職】【正】4/30(育休終了) 6/22 Diverseスタジオ 田代愛</t>
  </si>
  <si>
    <t>【退職】【契】5/18 5/31 minimo事業部 吉田夢</t>
  </si>
  <si>
    <t>伊藤拓</t>
  </si>
  <si>
    <t>【退職】【業】5/1　5/1　minimo事業部 伊藤 拓</t>
  </si>
  <si>
    <t>積田佳代子</t>
  </si>
  <si>
    <t>【退職】【派】4/27 4/30 積田 佳代子</t>
  </si>
  <si>
    <t>加藤　知美</t>
  </si>
  <si>
    <t>【退職】【派】4/27 4/30 加藤 知美</t>
  </si>
  <si>
    <t>駒原敦子</t>
  </si>
  <si>
    <t>【退職】【派】4/24 4/30　駒原 敦子</t>
  </si>
  <si>
    <t>井村麻衣子</t>
  </si>
  <si>
    <t>【退職】【派】4/27 4/30　井村 麻衣子</t>
  </si>
  <si>
    <t>木造恵子</t>
  </si>
  <si>
    <t>【退職】【派】4/27 4/30　木造 恵子</t>
  </si>
  <si>
    <t>鈴木　理恵</t>
  </si>
  <si>
    <t>【退職】【派】4/27 4/30　鈴木 理恵</t>
  </si>
  <si>
    <t>新垣由紀</t>
  </si>
  <si>
    <t>【退職】【業】3/31 3/31 株式会社ﾐｸｼｨ･ﾘｸﾙｰﾄﾒﾝﾄ 新垣 由紀</t>
  </si>
  <si>
    <t>【退職】【業】2/28 2/28 Vantageｽﾀｼﾞｵ 小山 浩之</t>
  </si>
  <si>
    <t>増田優子</t>
  </si>
  <si>
    <t>【退職】【ア】4/28 4/30 Diverseスタジオ結婚支援事業部 増田優子</t>
  </si>
  <si>
    <t>【退職】【業】4/27 4/30 XFLAG事業本部 岡田 直樹</t>
  </si>
  <si>
    <t>【退職】【業】4/30 4/30 株式会社ﾐｸｼｨ・ﾘｸﾙｰﾄﾒﾝﾄ 飯野 広教</t>
  </si>
  <si>
    <t>【退職】【業】04/27 04/30 XFLAG事業本部 22名(ラーテル変更)</t>
  </si>
  <si>
    <t>青木佳彦</t>
  </si>
  <si>
    <t>【退職】【ア】04/27 04/27 XFLAG STORE 青木佳彦</t>
  </si>
  <si>
    <t>保坂椋</t>
  </si>
  <si>
    <t>【退職】【業】4/27 4/30 ヘカテ 保坂 椋</t>
  </si>
  <si>
    <t>姜雄</t>
  </si>
  <si>
    <t>【退職】 【業】 4/27 4/30　XFLAG事業本部　姜 雄</t>
  </si>
  <si>
    <t>若林郁</t>
  </si>
  <si>
    <t>【退職】【契】2018/04/01 XFLAG STORE 若林 郁</t>
  </si>
  <si>
    <t>丸山真司</t>
  </si>
  <si>
    <t>【退職】【派】4/9 4/11 はたらく環境室 丸山 真司</t>
  </si>
  <si>
    <t>柳原繭子</t>
  </si>
  <si>
    <t>【退職】【業】4/27　4/30　ﾃﾞｼﾞﾀﾙｴﾝﾀｰﾃｲﾝﾒﾝﾄ事業本部 事業推進室 sonicG　柳原 繭子</t>
  </si>
  <si>
    <t>遊佐拓哉</t>
  </si>
  <si>
    <t>【退職】【業】4/27 4/27 ﾃﾞｼﾞﾀﾙｴﾝﾀｰﾃｲﾝﾒﾝﾄ事業本部 遊佐 拓哉</t>
  </si>
  <si>
    <t>矢野公宣</t>
  </si>
  <si>
    <t>【退職】【業】4/27 4/27 ﾃﾞｼﾞﾀﾙｴﾝﾀｰﾃｲﾝﾒﾝﾄ事業本部 矢野 公宣</t>
  </si>
  <si>
    <t>山口晴之</t>
  </si>
  <si>
    <t>【退職】【業】4/25 4/26 ﾃﾞｼﾞﾀﾙｴﾝﾀｰﾃｲﾝﾒﾝﾄ事業本部 山口 晴之</t>
  </si>
  <si>
    <t>中山　里紀</t>
  </si>
  <si>
    <t>【退職】【正】5/31 6/15 XFLAG事業本部 XFLAG MOBILE 中山里紀</t>
  </si>
  <si>
    <t>石井瑠美</t>
  </si>
  <si>
    <t>【退職】【業】4/27　4/30　XFLAG ARTS　石井 瑠美</t>
  </si>
  <si>
    <t>時岡正浩</t>
  </si>
  <si>
    <t>【退職】【正】04/13 05/31 XFLAG開発本部 時岡 正浩</t>
  </si>
  <si>
    <t>安藤弘樹</t>
  </si>
  <si>
    <t>【退職】【正】04/10 04/30 モンスト事業本部 マーケティング部 安藤 弘樹</t>
  </si>
  <si>
    <t>本橋江里子</t>
  </si>
  <si>
    <t>【退職】【派】2018/03/30本橋 江里子</t>
  </si>
  <si>
    <t>邵駿</t>
  </si>
  <si>
    <t>【退職】【正】4/16 4/30 XFLAG事業本部 邵 駿</t>
  </si>
  <si>
    <t>粟田聡</t>
  </si>
  <si>
    <t>【退職】【業】4/12　4/13　粟田聡</t>
  </si>
  <si>
    <t>【退職】【業】4/12　4/13　及川貴大</t>
  </si>
  <si>
    <t>木川田正樹</t>
  </si>
  <si>
    <t>【退職】【業】4/2 4/2 XFLAG事業本部 木川田 正樹</t>
  </si>
  <si>
    <t>西川真琴</t>
  </si>
  <si>
    <t>【退職】【ア】03/15 03/31 経営推進本部  西川 真琴</t>
  </si>
  <si>
    <t>黒川智之</t>
  </si>
  <si>
    <t>【退職】【業】03/30 03/31 XFLAG PICTURES 黒川智之</t>
  </si>
  <si>
    <t>平川哲生</t>
  </si>
  <si>
    <t>【退職】【業】03/30 03/31 XFLAG PICTURES 平川 哲生</t>
  </si>
  <si>
    <t>江口健太郎</t>
  </si>
  <si>
    <t>【退職】【契】3/31 3/31 Diverseスタジオ結婚支援事業 江口 健太郎</t>
  </si>
  <si>
    <t>大田健</t>
  </si>
  <si>
    <t>【退職】【業】3/30 3/31 XFLAG事業本部 大田 健</t>
  </si>
  <si>
    <t>【退職】【派】03/30　03/31　 野村 奈都美</t>
  </si>
  <si>
    <t>岡田宗樹</t>
  </si>
  <si>
    <t>【退職】2018/3/31　XFLAG STORE アルバイト　岡田 宗樹</t>
  </si>
  <si>
    <t>奥村郁弥</t>
  </si>
  <si>
    <t xml:space="preserve">【退職】2018/3/31　XFLAG STORE アルバイト　奥村 郁弥 </t>
  </si>
  <si>
    <t>【退職】【ア】3/30　3/31　XFLAG STORE　秋吉 麻里弥</t>
  </si>
  <si>
    <t>【退職】【業】3/30 3/31 ﾓﾝｽﾄ事業本部ﾃﾞｻﾞｲﾝ室ﾓﾝｽﾄｱｰﾄG　山岸雄歩</t>
  </si>
  <si>
    <t>近藤冴香</t>
  </si>
  <si>
    <t>【退職】【業】03/30　03/31　近藤 冴香</t>
  </si>
  <si>
    <t>大泉尚之</t>
  </si>
  <si>
    <t>【退職】【業】03/30　03/31　大泉 尚之</t>
  </si>
  <si>
    <t>横沢文</t>
  </si>
  <si>
    <t>【退職】【業】03/30　03/31　横沢 文</t>
  </si>
  <si>
    <t>山内美裕</t>
  </si>
  <si>
    <t>【退職】【ア】12/26　3/12　山内 美裕</t>
  </si>
  <si>
    <t>平川　亞希</t>
  </si>
  <si>
    <t>【退職】【正】3/16 XFLAG ENTERTAINMENT マーチャンダイジング部 平川 亞希</t>
  </si>
  <si>
    <t>近藤亮一</t>
  </si>
  <si>
    <t>【退職】【業】なし　2018/3/14　事業開発本部 事業推進室 sonicG　近藤 亮一</t>
  </si>
  <si>
    <t>宮弘美</t>
  </si>
  <si>
    <t>【退職】【業】なし　2018/3/14　事業開発本部 事業推進室　sonicG　宮 弘美</t>
  </si>
  <si>
    <t>古市奏文</t>
  </si>
  <si>
    <t>【退職】【正】03/28　03/31　投資事業推進室　古市 奏文</t>
  </si>
  <si>
    <t>生川友哉</t>
  </si>
  <si>
    <t>【退職】【業】0316　0316　ビジネス開発室　生川友哉</t>
  </si>
  <si>
    <t>高山かおり</t>
  </si>
  <si>
    <t>【退職】【業】3/30 3/31 XFLAG事業本部 高山 かおり</t>
  </si>
  <si>
    <t>【退職】【業】3/30 3/31 XFLAG事業本部 小林 億斗</t>
  </si>
  <si>
    <t>海老原佑一</t>
  </si>
  <si>
    <t>【退職】【業】3/30 3/31 XFLAG事業本部 海老原 佑一</t>
  </si>
  <si>
    <t>新里玲奈</t>
  </si>
  <si>
    <t>【退職】【業】3/30 3/31 XFLAG事業本部 新里 玲奈</t>
  </si>
  <si>
    <t>藤巻亮司</t>
  </si>
  <si>
    <t>【退職】【業】3/30 3/31 XFLAG事業本部 藤巻 亮司</t>
  </si>
  <si>
    <t>鶴岡祐子</t>
  </si>
  <si>
    <t>【退職】【業】3/30 3/31 モンスト事業 鶴岡 祐子</t>
  </si>
  <si>
    <t>大城継</t>
  </si>
  <si>
    <t>【退職】【正】3/28 3/31 スマートヘルス事業部 大城継</t>
  </si>
  <si>
    <t>【4/1再入社】【退職】【ア/イ】3/30 3/31 人事部付け 田中 恭友</t>
  </si>
  <si>
    <t>加藤芳樹</t>
  </si>
  <si>
    <t>【退職】2018/3/12　XFLAG STORE アルバイト　加藤 芳樹</t>
  </si>
  <si>
    <t>會田美里</t>
  </si>
  <si>
    <t>【退職】【派遣】3/30 3/31 スタジオフンザ　會田美里</t>
  </si>
  <si>
    <t>岡安脩平</t>
  </si>
  <si>
    <t>【退職】【正】04/09 04/30 コーポレートコミュニケーション室　岡安脩平</t>
  </si>
  <si>
    <t>林静佳</t>
  </si>
  <si>
    <t>【退職】【ア】3/30 3/31 Diverseスタジオ結婚支援事業部 林静佳</t>
  </si>
  <si>
    <t>髙木友輝</t>
  </si>
  <si>
    <t>【退職】【ア】3/22 3/31 Diverseスタジオ結婚支援事業部 髙木友輝</t>
  </si>
  <si>
    <t>倉田怜奈</t>
  </si>
  <si>
    <t>【退職】【ア】3/23 3/31 Diverseスタジオ結婚支援事業部 倉田怜奈</t>
  </si>
  <si>
    <t>廣岡緑</t>
  </si>
  <si>
    <t>【退職】【ア】3/29 3/31 Diverseスタジオ結婚支援事業部 廣岡緑</t>
  </si>
  <si>
    <t>萩原望</t>
  </si>
  <si>
    <t>【退職】【ア】3/21 3/31 Diverseスタジオ結婚支援事業部 萩原望</t>
  </si>
  <si>
    <t>山口正勝</t>
  </si>
  <si>
    <t>【退職】【業】2018/02/23　2018/02/23　ﾓﾝｽﾄ事業本部 事業開発室　DCG　山口 正勝</t>
  </si>
  <si>
    <t>高橋佑貴</t>
  </si>
  <si>
    <t>【退職】【業】3/30 3/31 XFLAG事業本部 高橋 佑貴</t>
  </si>
  <si>
    <t>緒賀岳志</t>
  </si>
  <si>
    <t>【退職】【業】02/28 02/28 XFLAG PICTURES 緒賀 岳志</t>
  </si>
  <si>
    <t>柳沢智之</t>
  </si>
  <si>
    <t>【退職】【正】03/08 03/31 モンスト事業本部 マーケティング部 柳沢 智之</t>
  </si>
  <si>
    <t>大泉みどり</t>
  </si>
  <si>
    <t>【退職】【正】3/30 3/31 スタジオフンザ　大泉みどり</t>
  </si>
  <si>
    <t>小川絢加</t>
  </si>
  <si>
    <t>【退職】【ア】3/31 3/31 Diverseスタジオ　小川 絢加</t>
  </si>
  <si>
    <t>【退職】【業】02/28  02/28 XFLAG MOBILE 依田 大</t>
  </si>
  <si>
    <t>茂木美佑紀</t>
  </si>
  <si>
    <t>【元フンザ】【退職】【ア】02/27 02/27 Vantageｽﾀｼﾞｵ 茂木 美佑紀</t>
  </si>
  <si>
    <t>野澤一貴</t>
  </si>
  <si>
    <t>【退職】【業】2/27 2/28　モンスト事業本部　野澤 一貴</t>
  </si>
  <si>
    <t>木村由梨</t>
  </si>
  <si>
    <t>【退職】【正】3/30 3/31 ダイバース　マーケティング室 木村由梨</t>
  </si>
  <si>
    <t>【4/1再入社】【退職】【ア/イ】3/23 3/31 人事部付け 谷口 太伸</t>
  </si>
  <si>
    <t>【4/1再入社】【退職】【ア/イ】3/23 3/31 人事部付け 藤原 志帆</t>
  </si>
  <si>
    <t xml:space="preserve">【4/1再入社】【退職】【ア/イ】3/30 3/31 人事部付け 岡本 勇太 </t>
  </si>
  <si>
    <t>髙梨麻衣</t>
  </si>
  <si>
    <t>【退職】【業】3/12　3/13　髙梨麻衣</t>
  </si>
  <si>
    <t>渡辺拓</t>
  </si>
  <si>
    <t>【退職】【業】3/12　3/13　渡辺拓</t>
  </si>
  <si>
    <t>野呂竜平</t>
  </si>
  <si>
    <t>【退職】【業】3/12　3/13　野呂竜平</t>
  </si>
  <si>
    <t>【4/1再入社】【退職】【ア/イ】3/30 3/31 人事部付け 土屋 雅</t>
  </si>
  <si>
    <t>【4/1再入社】【退職】【ア/イ】3/30 3/31 人事部付け 押見 太雄</t>
  </si>
  <si>
    <t>【元フンザ】【4/1再入社】【退職】【ア/イ】3/2 3/13 人事部付け 米川 昌杏</t>
  </si>
  <si>
    <t>吉福達矢</t>
  </si>
  <si>
    <t>【退職】【業】2/26 XFLAG事業本部 吉福達矢</t>
  </si>
  <si>
    <t>渡辺純</t>
  </si>
  <si>
    <t>【退職】【業】2/26 XFLAG事業本部 渡辺 純</t>
  </si>
  <si>
    <t>赤川光慶</t>
  </si>
  <si>
    <t>【退職】【業】2018/02/28　2018/02/28　ﾓﾝｽﾄ事業本部 事業開発室 sonicG　赤川 光慶</t>
  </si>
  <si>
    <t>瀧本彩花</t>
  </si>
  <si>
    <t>【退職】【業】2/23 XFLAG事業本部 瀧本 彩花</t>
  </si>
  <si>
    <t>原田芳達</t>
  </si>
  <si>
    <t xml:space="preserve">【退職】【業】2/28 2/28 株式会社ﾐｸｼｨ・ﾘｸﾙｰﾄﾒﾝﾄ 原田 芳達 </t>
  </si>
  <si>
    <t>【4/1再入社】【退職/支援解除】【ア/イ】2/28 3/27 人事部付け 大沼 純平</t>
  </si>
  <si>
    <t>清田　耕一朗</t>
  </si>
  <si>
    <t>【退職】【業】02/20 02/20 XFLAG PICTURES 清田　耕一朗</t>
  </si>
  <si>
    <t>齋藤裕奈</t>
  </si>
  <si>
    <t>【退職】【業】3/30 3/31 XFLAG事業本部  齋藤 裕奈</t>
  </si>
  <si>
    <t>篠原貴英</t>
  </si>
  <si>
    <t>【退職】【業】3/30 3/31 XFLAG事業本部 篠原 貴英</t>
  </si>
  <si>
    <t>内海隼</t>
  </si>
  <si>
    <t>【退職】【ア】2018/03/16 2018/03/31 Vantageスタジオ 内海隼</t>
  </si>
  <si>
    <t>木村進</t>
  </si>
  <si>
    <t>【退職】【業】2/23 2/28 XFLAG事業本部 木村 進</t>
  </si>
  <si>
    <t>阿部文哉</t>
  </si>
  <si>
    <t>【退職 】【業】02/28 02/28　阿部 文哉</t>
  </si>
  <si>
    <t>李相雨</t>
  </si>
  <si>
    <t>【退職 】【業】02/28 02/28　李 相雨</t>
  </si>
  <si>
    <t>倉林豊美</t>
  </si>
  <si>
    <t>【退職】【ア】2018/03/27 2018/03/31 Vantageスタジオ 倉林豊美</t>
  </si>
  <si>
    <t>安藤亜樹</t>
  </si>
  <si>
    <t>【退職】【正】2018/03/20 2018/03/31 XFLAG事業本部 安藤亜樹</t>
  </si>
  <si>
    <t>穗苅美晴</t>
  </si>
  <si>
    <t>【退職】【業】2018/2/23　2018/2/23　XFLAG事業本部 人事戦略室　穗苅 美晴</t>
  </si>
  <si>
    <t>梁婉鈴</t>
  </si>
  <si>
    <t>【退職】【業】2018/2/23　2018/2/23　XFLAG事業本部 人事戦略室　梁 婉鈴</t>
  </si>
  <si>
    <t>布村昌章</t>
  </si>
  <si>
    <t>【退職】【業】2018/2/23　2018/2/23　XFLAG事業本部 人事戦略室　布村 昌章</t>
  </si>
  <si>
    <t>温井豪</t>
  </si>
  <si>
    <t>【退職】【業】2018/2/23　2018/2/23　XFLAG事業本部 人事戦略室　温井 豪</t>
  </si>
  <si>
    <t>楊暁麗</t>
  </si>
  <si>
    <t>【退職】 【契】 3/16 3/31　XFLAG事業本部　楊 暁麗</t>
  </si>
  <si>
    <t>柳井香穂</t>
  </si>
  <si>
    <t>【元フンザ】【退職】【ア】03/02 03/31 Vantageスタジオ 柳井 香穂</t>
  </si>
  <si>
    <t>黄莉莉</t>
  </si>
  <si>
    <t>【退職】 【正】 3/1 3/15　XFLAG事業本部　 黄 莉莉</t>
  </si>
  <si>
    <t>高橋朔</t>
  </si>
  <si>
    <t>【退職】【正】02/28 02/28 Vantageｽﾀｼﾞｵ 高橋 朔</t>
  </si>
  <si>
    <t>金子桃子</t>
  </si>
  <si>
    <t>【元フンザ】【退職】【ア】3/23 3/31 minimo事業部 金子桃子</t>
  </si>
  <si>
    <t>髙野　満梨枝</t>
  </si>
  <si>
    <t>【退職／出向解除】【ア】3/22　3/31　髙野 満梨枝</t>
  </si>
  <si>
    <t>【退職】【業】2/16 2/16 株式会社ﾐｸｼｨ･ﾘｸﾙｰﾄﾒﾝﾄ リーコーリー</t>
  </si>
  <si>
    <t>高宮孝治</t>
  </si>
  <si>
    <t>【退職】【業】0131 0131　ﾓﾝｽﾄ事業本部 事業開発室 DCG　高宮 孝治</t>
  </si>
  <si>
    <t>市村　孝二</t>
  </si>
  <si>
    <t>【退職】【業】0131 0131　ﾓﾝｽﾄ事業本部 事業開発室 DCG　市村 孝二</t>
  </si>
  <si>
    <t>【退職】【正】02/28 03/31 Vantageｽﾀｼﾞｵ 加藤 佳代</t>
  </si>
  <si>
    <t>菊地明貴子</t>
  </si>
  <si>
    <t>【退職】【契】02/26 02/28 XFLAG ENTERTAINMENT 菊地 明貴子</t>
  </si>
  <si>
    <t>黒木純也</t>
  </si>
  <si>
    <t>【退職】【業】2017/11/27　2018/2/2　ﾓﾝｽﾄ事業本部 事業開発室 sonicG　黒木 純也</t>
  </si>
  <si>
    <t>肥沼紘希</t>
  </si>
  <si>
    <t>【退職】【業】2/21 XFLAG事業本部 肥沼 紘希</t>
  </si>
  <si>
    <t>【4/1再入社】【退職】【ア/イ】2/27 2/28 人事部付け 吉岡 美香</t>
  </si>
  <si>
    <t>国分佑樹</t>
  </si>
  <si>
    <t>【退職】【正】02/28 02/28 Diverseスタジオ 新規サービス事業部 swishグループ 国分佑樹</t>
  </si>
  <si>
    <t>北村しゅん</t>
  </si>
  <si>
    <t>【退職】【業】01/31 01/31 XFLAG事業本部　北村 しゅん</t>
  </si>
  <si>
    <t>浜名孝行</t>
  </si>
  <si>
    <t>【退職】【業】01/31 01/31 XFLAG事業本部　浜名 孝行</t>
  </si>
  <si>
    <t>【退職】【正】2018/2/20 2018/2/28 XFLAG事業本部 アコップカン エド</t>
  </si>
  <si>
    <t>真瀬真理子</t>
  </si>
  <si>
    <t>【退職】【正】2018/02/23 2018/02/28 Vantageスタジオ 真瀬真理子</t>
  </si>
  <si>
    <t>北村聖児</t>
  </si>
  <si>
    <t>【退職】【正】2018/02/16 2018/03/31 Vantageスタジオ 北村聖児</t>
  </si>
  <si>
    <t>湯上幸典</t>
  </si>
  <si>
    <t>【退職】【業】1/31 1/31 モンスト事業 湯上 幸典</t>
  </si>
  <si>
    <t>萩原　孝太</t>
  </si>
  <si>
    <t>【退職】2018/1/31　XFLAG STORE 契約社員　萩原孝太</t>
  </si>
  <si>
    <t>吉安陽</t>
  </si>
  <si>
    <t>【退職】【正】 01/19 01/19 吉安 陽</t>
  </si>
  <si>
    <t>高野裕行</t>
  </si>
  <si>
    <t>【退職】【ア】2/20　2/20 Vantageｽﾀｼﾞｵ  高野 裕行</t>
  </si>
  <si>
    <t>田中達弘</t>
  </si>
  <si>
    <t>【退職 】【業】01/31 01/31　田中 達弘</t>
  </si>
  <si>
    <t>小澤宏昭</t>
  </si>
  <si>
    <t>【退職 】【業】01/31 01/31　小澤 宏昭</t>
  </si>
  <si>
    <t>佐々木卓郎</t>
  </si>
  <si>
    <t>【退職 】【業】01/31 01/31　佐々木 卓郎</t>
  </si>
  <si>
    <t>西澤弘</t>
  </si>
  <si>
    <t>【退職 】【業】01/31 01/31　西澤 弘</t>
  </si>
  <si>
    <t>横内寿樹</t>
  </si>
  <si>
    <t>【退職】【正】02/14 02/28 ﾐｸｼｨ・ﾘｸﾙｰﾄﾒﾝﾄ事業部　横内 寿樹</t>
  </si>
  <si>
    <t>岡本好古</t>
  </si>
  <si>
    <t>【退職 】【業】1/31 1/31　岡本 好古</t>
  </si>
  <si>
    <t>【退職】【正】2/2 2/28 Diverseスタジオ インドマーケット部 徳永 清詩</t>
  </si>
  <si>
    <t>祢津亘</t>
  </si>
  <si>
    <t>【退職】【業】2/15　2/15　ﾓﾝｽﾄ事業本部 事業開発室 sonicG　祢津 亘</t>
  </si>
  <si>
    <t>大竹浩介</t>
  </si>
  <si>
    <t>【退職】【正】2/16  2/28 ダイバース　マーケティング室 大竹浩介</t>
  </si>
  <si>
    <t>【退職】【業】1/31 1/31 ヘカテ 笹山 里香</t>
  </si>
  <si>
    <t>二宮尚大</t>
  </si>
  <si>
    <t>【退職】【ア】01/19 01/22 ﾏｰｹﾃｨﾝｸﾞｸﾞﾙｰﾌﾟ ﾏｰｹﾃｨﾝｸﾞﾁｰﾑ 二宮 尚大</t>
  </si>
  <si>
    <t>【退職】【正】2/2 2/28 Diverseスタジオ/インドマーケット部 徳永清詩</t>
  </si>
  <si>
    <t>星静香</t>
  </si>
  <si>
    <t>【退職】【ア】1/28 1/31 Diverseスタジオ結婚支援事業部 星静香</t>
  </si>
  <si>
    <t>四反田浩夢</t>
  </si>
  <si>
    <t>【退職】【業】1/16 モンスト事業本部 四反田 浩夢</t>
  </si>
  <si>
    <t>青木　治夫</t>
  </si>
  <si>
    <t>【退職】【出向解除】【正】1/31 4/30 Diverseスタジオ 青木治夫</t>
  </si>
  <si>
    <t>前島翔子</t>
  </si>
  <si>
    <t>【フンザ】【退職】【契】01/22 01/31 ﾐｸｼｨ・ﾘｸﾙｰﾄﾒﾝﾄ事業部 前島 翔子</t>
  </si>
  <si>
    <t>立野友也</t>
  </si>
  <si>
    <t>【退職】【正】1/31 3/13 Diverseスタジオ/インドマーケット部 立野 友也</t>
  </si>
  <si>
    <t>渡慶次道行</t>
  </si>
  <si>
    <t>【退職】【正】1/26 3/12 ダイバース　マーケティング室 渡慶次 道行</t>
  </si>
  <si>
    <t>大塚杏里</t>
  </si>
  <si>
    <t>【4/1再入社】【退職/支援解除】【ア/イ】1/31　1/31　人事部付け　大塚 杏里</t>
  </si>
  <si>
    <t>【退職】【業】 1/31 XFLAG事業本部 藤田 崇英</t>
  </si>
  <si>
    <t>柏谷隆斗</t>
  </si>
  <si>
    <t>【退職 】【正】1/26　1/31　minimo事業部 柏谷 隆斗</t>
  </si>
  <si>
    <t>関山隆介</t>
  </si>
  <si>
    <t>【退職】【正】1/25 1/25 研究開発部 関山 隆介</t>
  </si>
  <si>
    <t>川崎正裕</t>
  </si>
  <si>
    <t>【退職】【業】1/15　1/15　モンスト事業本部　川崎 正裕</t>
  </si>
  <si>
    <t>近藤　雅之</t>
  </si>
  <si>
    <t>【退職】【業】1/11　1/11　XFLAG ARTS　近藤　雅之</t>
  </si>
  <si>
    <t>田中馨</t>
  </si>
  <si>
    <t>【退職】【業】 1/9 1/15 結婚支援事業部 田中馨</t>
  </si>
  <si>
    <t>岸田純</t>
  </si>
  <si>
    <t>【退職】 【業】 1/5 1/5　XFLAG事業本部　岸田 純</t>
  </si>
  <si>
    <t>錦古里彩人</t>
  </si>
  <si>
    <t>【退職】【正】1/4 1/31 研究開発部 錦古里 彩人</t>
  </si>
  <si>
    <t>高見澤綾美</t>
  </si>
  <si>
    <t>【退職】【業】1/29 1/30 XFLAG事業本部 高見澤 綾美</t>
  </si>
  <si>
    <t>西村久美子</t>
  </si>
  <si>
    <t>【退職】【業】4/27 4/30 XFLAG事業本部 西村 久美子</t>
  </si>
  <si>
    <t>貴瀬大輔</t>
  </si>
  <si>
    <t>【退職】【業】1/29 1/30 XFLAG事業本部 貴瀬 大輔</t>
  </si>
  <si>
    <t>矢土貴一</t>
  </si>
  <si>
    <t>【退職】【業】1/15 1/30 XFLAG事業本部 矢土 貴一</t>
  </si>
  <si>
    <t>宮野祥尚</t>
  </si>
  <si>
    <t>【退職】【派】12/26　12/26　XFLAG事業本部　宮野 祥尚</t>
  </si>
  <si>
    <t>坂下拓斗</t>
  </si>
  <si>
    <t>【退職】2017/12/16　坂下 拓斗</t>
  </si>
  <si>
    <t>森田悟</t>
  </si>
  <si>
    <t>【退職】【業】1/12 1/12 ﾓﾝｽﾄ事業本部 事業開発室 sonicG 森田 悟</t>
  </si>
  <si>
    <t>工藤旭世</t>
  </si>
  <si>
    <t>【退職】【業】12/26　12/26　XFLAG事業本部 工藤 旭世</t>
  </si>
  <si>
    <t>マルチシェヴスキクシシトフ</t>
  </si>
  <si>
    <t>【退職】【業】12/26　12/26　XFLAG事業本部 マルチシェヴスキ クシシトフ</t>
  </si>
  <si>
    <t>日野美翼</t>
  </si>
  <si>
    <t>【退職】【業】12/26　12/26　XFLAG事業本部 日野 美翼</t>
  </si>
  <si>
    <t>永井紀幸</t>
  </si>
  <si>
    <t>【退職】【業】12/26　12/26　XFLAG事業本部 永井 紀幸</t>
  </si>
  <si>
    <t>タイアックアレックサンダー</t>
  </si>
  <si>
    <t>【退職】【正】01/26 01/26 XFLAG事業本部 タイアック アレックサンダー</t>
  </si>
  <si>
    <t>佐々木弘隆</t>
  </si>
  <si>
    <t>【退職】【業】12/22  佐々木 弘隆</t>
  </si>
  <si>
    <t>小林昌彦</t>
  </si>
  <si>
    <t>【退職】【業】12/22 12/31 XFLAG MOBILE 小林 昌彦</t>
  </si>
  <si>
    <t>大橋由佳</t>
  </si>
  <si>
    <t xml:space="preserve">【退職】【業】12/26 12/31 XFLAG事業本部　大橋 由佳　</t>
  </si>
  <si>
    <t>浅野新一</t>
  </si>
  <si>
    <t>【退職】 【業】 12/26　12/31　mixi事業本部　浅野 新一さん</t>
  </si>
  <si>
    <t>小田野遼介</t>
  </si>
  <si>
    <t>【退職】【正】01/25　01/31　経営推進本部　経理財務部　小田野遼介</t>
  </si>
  <si>
    <t>笹森良</t>
  </si>
  <si>
    <t>【退職】【正】12/26 12/27 スタジオフンザ 笹森 良</t>
  </si>
  <si>
    <t>ヴィシャルナヤク</t>
  </si>
  <si>
    <t>【退職】【正】1/12 1/26 XFLAG MOBILE ヴィシャル ナヤク</t>
  </si>
  <si>
    <t>渡邊元輝</t>
  </si>
  <si>
    <t>【退職】【業】12/26 モンスト事業本部  渡邊 元輝</t>
  </si>
  <si>
    <t>藤澤麻衣</t>
  </si>
  <si>
    <t>【退職】【派】11/27 11/27 Diverse　 藤澤 真衣</t>
  </si>
  <si>
    <t>ShouryGupta</t>
  </si>
  <si>
    <t>【退職】【業】2017/12/1　Shoury Gupta</t>
  </si>
  <si>
    <t>下山かすみ</t>
  </si>
  <si>
    <t>【退職】【業】12/26 12/31 XFLAG事業本部 下山 かすみ</t>
  </si>
  <si>
    <t>小川生朔</t>
  </si>
  <si>
    <t>【退職】【業】12/15 12/31 XFLAG事業本部 小川 生朔</t>
  </si>
  <si>
    <t>土岐幸子</t>
  </si>
  <si>
    <t>【退職】【正】12/22 12/26 XFLAG事業本部 土岐 幸子</t>
  </si>
  <si>
    <t>【退職】【業】11/22 11/30 モンスト事業本部 照屋 勇斗</t>
  </si>
  <si>
    <t>森川貴司</t>
  </si>
  <si>
    <t>【退職】 【業】 12/11　XFLAG事業本部　森川 貴司</t>
  </si>
  <si>
    <t>田中聖人</t>
  </si>
  <si>
    <t>【退職】 【業】 12/11　XFLAG事業本部　田中 聖人</t>
  </si>
  <si>
    <t>【退職】【業】12/26 12/31 XFLAG ENTERTAINMENT 保坂 椋</t>
  </si>
  <si>
    <t>【退職】【業】12/26 12/31 XFLAG ENTERTAINMENT 村上 正晃</t>
  </si>
  <si>
    <t>【退職】【業】12/26 12/31 XFLAG ENTERTAINMENT 長谷川 裕樹</t>
  </si>
  <si>
    <t>【退職】【業】12/26 12/31 XFLAG ENTERTAINMENT 上田 雄登</t>
  </si>
  <si>
    <t>【退職】【業】12/26 12/31 XFLAG ENTERTAINMENT 堤 悠希</t>
  </si>
  <si>
    <t>【退職】【業】12/26 12/31 XFLAG ENTERTAINMENT 笹山 里香</t>
  </si>
  <si>
    <t>白正寛</t>
  </si>
  <si>
    <t>【退職】【業】12/14 12/31 XFLAG ENTERTAINMENT 白 正寛</t>
  </si>
  <si>
    <t>【退職 】【正】12/15　01/17　minimo事業部 片瀬 大地</t>
  </si>
  <si>
    <t>光野信雄</t>
  </si>
  <si>
    <t>【退職】 【業】 12/4 12/4　XFLAG事業本部　光野 信雄</t>
  </si>
  <si>
    <t>雪島史也</t>
  </si>
  <si>
    <t>【退職】 【業】 12/4 12/4　XFLAG事業本部　雪島 史也</t>
  </si>
  <si>
    <t>横山紗希</t>
  </si>
  <si>
    <t>【退職】【正】12/1 1/12 Diverseスタジオ/かいはつ室 横山 紗希</t>
  </si>
  <si>
    <t>柯牧霖</t>
  </si>
  <si>
    <t>【退職】【正】12/25 12/31 モンスト事業本部 柯 牧霖</t>
  </si>
  <si>
    <t>寳持優太</t>
  </si>
  <si>
    <t>【退職】 【ア】 12/26  12/31  はたらく環境室　寳持優太</t>
  </si>
  <si>
    <t>【退職】【正】12/22 1/15 XFLAG ENTERTAINMENT 折原 綾平</t>
  </si>
  <si>
    <t>山田勝之</t>
  </si>
  <si>
    <t>【退職】 【業】 12/26　12/31　mixi事業本部　山田 勝之さん</t>
  </si>
  <si>
    <t>山本達也</t>
  </si>
  <si>
    <t>【退職】 【業】 12/26　12/31　mixi事業本部  山本 達也さん</t>
  </si>
  <si>
    <t>岡部一平</t>
  </si>
  <si>
    <t>【退職】【契】12/26 12/31　モンスト事業本部　岡部一平</t>
  </si>
  <si>
    <t>髙橋　美紀</t>
  </si>
  <si>
    <t>【退職】【派】2017/11/30 2017/11/30 髙橋 美紀</t>
  </si>
  <si>
    <t>諸井聖也</t>
  </si>
  <si>
    <t>【退職】 【業】 12/26　12/31　mixi事業本部  諸井 聖也さん</t>
  </si>
  <si>
    <t>品川英雄</t>
  </si>
  <si>
    <t>【退職】【業】11/28 11/30 XFLAG MOBILE 品川 英雄</t>
  </si>
  <si>
    <t>矢野翔太</t>
  </si>
  <si>
    <t>【退職】 【業】 12/19　12/19　XFLAG事業本部　矢野 翔太</t>
  </si>
  <si>
    <t>【退職】【正】12/20 12/31　モンスト事業本部　野澤 一貴</t>
  </si>
  <si>
    <t>高能稚奈</t>
  </si>
  <si>
    <t>【退職】【契】12/31 12/31 Vantageスタジオ  高能 稚奈</t>
  </si>
  <si>
    <t>北原豊</t>
  </si>
  <si>
    <t>【退職】【正】12/13 12/31 人事部 北原 豊</t>
  </si>
  <si>
    <t>木村美香</t>
  </si>
  <si>
    <t>【退職】【ア】12/20 12/22 XFLAG ENTERTAINMENT 木村 美香</t>
  </si>
  <si>
    <t>小峰磨耶</t>
  </si>
  <si>
    <t>【退職】【契】12/26 01/10 minimo事業部 小峰 磨耶</t>
  </si>
  <si>
    <t>【4/1再入社】【退職】【ア/イ】12/21 12/31 人事部付 江藤かな</t>
  </si>
  <si>
    <t>伊東愛香</t>
  </si>
  <si>
    <t>【退職】【ア】9/13 12/31 Vantageｽﾀｼﾞｵ  伊東 愛香</t>
  </si>
  <si>
    <t>古谷理</t>
  </si>
  <si>
    <t>【退職】 【業】 11/16　XFLAG事業本部　古谷理</t>
  </si>
  <si>
    <t>三宅翔</t>
  </si>
  <si>
    <t>【退職】 【業】 11/16　XFLAG事業本部　三宅翔</t>
  </si>
  <si>
    <t>大塚雅美</t>
  </si>
  <si>
    <t>【退職】 【業】 11/16　XFLAG事業本部　大塚雅美</t>
  </si>
  <si>
    <t>【退職】【正】12/14 12/14 Diverseスタジオ かいはつ室 天野智夫</t>
  </si>
  <si>
    <t>細沼雅子</t>
  </si>
  <si>
    <t>【退職】【正】12/8 12/31 Diverseスタジオ　細沼雅子</t>
  </si>
  <si>
    <t>佐藤淳</t>
  </si>
  <si>
    <t>【退職】【業】10/31 10/31  XFLAG ENTERTAINMENT 佐藤 淳</t>
  </si>
  <si>
    <t>舛田寿男</t>
  </si>
  <si>
    <t>【退職】 【業】 11/16 11/16　XFLAG事業本部　舛田 寿男</t>
  </si>
  <si>
    <t>橋本泰彰</t>
  </si>
  <si>
    <t>【退職】 【業】 11/16 11/16　XFLAG事業本部　橋本 泰彰</t>
  </si>
  <si>
    <t>杜志剛</t>
  </si>
  <si>
    <t>【退職】【正】12/15 1/12 ゲーム開発室 杜志剛</t>
  </si>
  <si>
    <t>浦山亜友希</t>
  </si>
  <si>
    <t>【退職】【正】2017/12/1 2017/12/31 Diverseスタジオ/かいはつ室 浦山亜友希</t>
  </si>
  <si>
    <t>小林揚</t>
  </si>
  <si>
    <t>【退職】【ア】12/8 12/14  XFLAG ENTERTAINMENT 小林 揚</t>
  </si>
  <si>
    <t>甲田錠司</t>
  </si>
  <si>
    <t>【退職】【業】 12/26 12/26 XFLAG ENTERTAINMENT 甲田 錠司</t>
  </si>
  <si>
    <t>小林由香子</t>
  </si>
  <si>
    <t>【退職】【ア】11/29 11/30 Diverseスタジオ結婚支援事業部 小林由香子</t>
  </si>
  <si>
    <t>長野絢香</t>
  </si>
  <si>
    <t>【退職】【契】11/15 11/15 結婚支援事業部 長野 絢香</t>
  </si>
  <si>
    <t>【退職】【正】12/8 12/8 みてね事業部 開発グループ 宮下 公武</t>
  </si>
  <si>
    <t>榎本友幸</t>
  </si>
  <si>
    <t>【退職】【正】12/26 12/31 みてね事業部 開発グループ 榎本 友幸</t>
  </si>
  <si>
    <t>ハンプトン委己</t>
  </si>
  <si>
    <t>【退職】【業】10/31 11/01 XFLAG事業本部 ハンプトン 委己</t>
  </si>
  <si>
    <t>鵜飼晃弘</t>
  </si>
  <si>
    <t>【退職】【業】10/31 10/31 株式会社ﾐｸｼｨ・ﾘｸﾙｰﾄﾒﾝﾄ 鵜飼 晃弘</t>
  </si>
  <si>
    <t>小山内洋平</t>
  </si>
  <si>
    <t>【退職】【業】10/31 10/31  XFLAG PICTURES　小山内 洋平</t>
  </si>
  <si>
    <t>千葉統馬</t>
  </si>
  <si>
    <t>【退職】【業】10/31 10/31  XFLAG PICTURES　千葉 統馬</t>
  </si>
  <si>
    <t>ブツケクリスチャン</t>
  </si>
  <si>
    <t>【退職】【業】10/31 10/31 XFLAG PICTURES　ブツケ クリスチャン</t>
  </si>
  <si>
    <t>竹鼻眞吾</t>
  </si>
  <si>
    <t>【退職】【業】10/30 10/31　モンスト事業本部　竹鼻眞吾</t>
  </si>
  <si>
    <t>駒嵐麻亜沙</t>
  </si>
  <si>
    <t>【退職】 【正】 10/31 10/31　XFLAG事業本部　駒嵐 麻亜沙</t>
  </si>
  <si>
    <t>平尾文月</t>
  </si>
  <si>
    <t>【退職】 【業】 10/31 10/31　XFLAG事業本部　平尾 文月</t>
  </si>
  <si>
    <t>石橋安貴子</t>
  </si>
  <si>
    <t>【退職】【ア】 11/4 11/30 結婚支援事業部 石橋 安貴子</t>
  </si>
  <si>
    <t>樋口和樹</t>
  </si>
  <si>
    <t>【退職】 【業】 10/24 10/24　XFLAG事業本部　樋口 和樹</t>
  </si>
  <si>
    <t>岩出悠太</t>
  </si>
  <si>
    <t>【退職】【業】10/31 10/31　XFLAG事業本部　岩出 悠太</t>
  </si>
  <si>
    <t>森川恭平</t>
  </si>
  <si>
    <t>【退職】【業】10/31 10/31　XFLAG事業本部　森川 恭平</t>
  </si>
  <si>
    <t>中島加奈</t>
  </si>
  <si>
    <t>【退職】【業】8/8　10/31　中島加奈</t>
  </si>
  <si>
    <t>長谷川輝</t>
  </si>
  <si>
    <t>【退職】【派】2017/10/31　長谷川 輝</t>
  </si>
  <si>
    <t>池澤哲也</t>
  </si>
  <si>
    <t>【退職】【業】10/31 10/31 ノハナ 池澤 哲也</t>
  </si>
  <si>
    <t>中本善基</t>
  </si>
  <si>
    <t>【退職】【業】10/31 10/31 ノハナ 中本 善基</t>
  </si>
  <si>
    <t>菊地真由</t>
  </si>
  <si>
    <t>【退職】 【業】 10/30 10/31　XFLAG事業本部　菊地 真由</t>
  </si>
  <si>
    <t>越智隆臣</t>
  </si>
  <si>
    <t>【退職】 【業】 10/30 10/31　XFLAG事業本部　越智 隆臣</t>
  </si>
  <si>
    <t>石川みか</t>
  </si>
  <si>
    <t>【退職】【業】10/31 10/31 XFLAG MOBILE 石川 みか</t>
  </si>
  <si>
    <t>唐澤邦彦</t>
  </si>
  <si>
    <t>【退職】【業】10/31 10/31 XFLAG MOBILE 唐澤 邦彦</t>
  </si>
  <si>
    <t>水鳥敬満</t>
  </si>
  <si>
    <t>【退職】【業】10/31 10/31 XFLAG MOBILE 水鳥 敬満</t>
  </si>
  <si>
    <t>小林美香</t>
  </si>
  <si>
    <t>【退職】【契】12/12 12/31 チケットキャンプ事業部 小林 美香</t>
  </si>
  <si>
    <t>【退職】【業】10/31 10/31 XFLAG MOBILE 濱田 知佐</t>
  </si>
  <si>
    <t>林智凱</t>
  </si>
  <si>
    <t>【退職】【正】11/7 11/15 マーケティン部 第三宣伝Group 林 智凱</t>
  </si>
  <si>
    <t>瀬下　みか</t>
  </si>
  <si>
    <t>【退職】【ア】2017/9/30　XFLAG STORE社　瀬下 みか</t>
  </si>
  <si>
    <t>家次美里</t>
  </si>
  <si>
    <t>【退職】【ア】10/31 10/02 経営推進本部 投資事業推進室 家次美里</t>
  </si>
  <si>
    <t>川畑友亮</t>
  </si>
  <si>
    <t>【退職】【業】10/02 10/02 XFLAG MOBILE 川畑 友亮</t>
  </si>
  <si>
    <t>【退職】【業】10/02 10/02 XFLAG MOBILE 野口 敬央</t>
  </si>
  <si>
    <t>松下日昇</t>
  </si>
  <si>
    <t>【退職】【ア/イ】10/19 10/20 人事部付 松下 日昇</t>
  </si>
  <si>
    <t>猪熊貴盛</t>
  </si>
  <si>
    <t>【退職】 【正】10/6　10/15　XFLAG事業本部　猪熊 貴盛</t>
  </si>
  <si>
    <t>青井翔平</t>
  </si>
  <si>
    <t>【退職】【業】9/29 9/30 株式会社ﾐｸｼｨ・ﾘｸﾙｰﾄﾒﾝﾄ 青井 翔平</t>
  </si>
  <si>
    <t>大崎英一</t>
  </si>
  <si>
    <t>【退職】【正】2017/10/31 2017/10/31 Vantageスタジオ 大崎英一</t>
  </si>
  <si>
    <t>丸山将人</t>
  </si>
  <si>
    <t>【退職】【業】9/29 9/30 XFLAG ENTERTAINMENT 丸山将人</t>
  </si>
  <si>
    <t>【退職】 【業】 09/29 09/30　XFLAG事業本部　瀬川 雅智</t>
  </si>
  <si>
    <t>櫻井啓之</t>
  </si>
  <si>
    <t>【退職】【正】11/22 12/31 XFLAG ENTERTAINMENT 櫻井 啓之</t>
  </si>
  <si>
    <t>エリクソン舞花</t>
  </si>
  <si>
    <t>【退職】【正】10/13 10/31 XFLAG MOBILE エリクソン舞花</t>
  </si>
  <si>
    <t>渥美真琴</t>
  </si>
  <si>
    <t>【退職】【派】2017/09/29 2017/09/29 渥美 真琴</t>
  </si>
  <si>
    <t>松本響平</t>
  </si>
  <si>
    <t>【退職】【ア】09/05 09/30 XFLAG事業本部 XFLAG ENTERTAINMENT  松本響平</t>
  </si>
  <si>
    <t>齋藤大輔</t>
  </si>
  <si>
    <t>【退職】【正】10/6 10/31 Vantageスタジオ 齋藤大輔</t>
  </si>
  <si>
    <t>平山貴之</t>
  </si>
  <si>
    <t>【退職】【業】0929 0930 平山貴之</t>
  </si>
  <si>
    <t>朴培成</t>
  </si>
  <si>
    <t>【退職】【業】0929 0930 朴培成</t>
  </si>
  <si>
    <t>猪飼綾</t>
  </si>
  <si>
    <t>【退職】【業】0929 0930 猪飼綾</t>
  </si>
  <si>
    <t>齊藤　実</t>
  </si>
  <si>
    <t>【退職】【業】9/29 9/30 ﾓﾝｽﾄ事業本部ﾃﾞｻﾞｲﾝ室ﾓﾝｽﾄｱｰﾄG　齊藤　実</t>
  </si>
  <si>
    <t>【退職】【業】10/12 1015 Vantageスタジオ 内之倉裕</t>
  </si>
  <si>
    <t>田中友彬</t>
  </si>
  <si>
    <t>【退職】【業】9/29 9/29 DiverseスタジオPoiboy事業部 田中 友彬</t>
  </si>
  <si>
    <t>市川正人</t>
  </si>
  <si>
    <t>【退職】【業】9/29 9/29 DiverseスタジオPoiboy事業部 市川 正人</t>
  </si>
  <si>
    <t>石﨑公久</t>
  </si>
  <si>
    <t>【退職】【業】0914 0914 石﨑 公久</t>
  </si>
  <si>
    <t>市川秋穂</t>
  </si>
  <si>
    <t>【退職】【正】09/26 10/05 XFLAG MOBILE 市川秋穂</t>
  </si>
  <si>
    <t>【退職】【業】09/28 09/30 経営推進本部 澤田 風雅</t>
  </si>
  <si>
    <t>畑　亮輔</t>
  </si>
  <si>
    <t>【退職】【業】09/12 09/12 XFLAG事業本部 新規事業推進室  畑 亮輔</t>
  </si>
  <si>
    <t>大橋　卓矢</t>
  </si>
  <si>
    <t>【退職】【業】09/12 09/12 XFLAG事業本部 新規事業推進室  大橋 卓矢</t>
  </si>
  <si>
    <t>猪口健司</t>
  </si>
  <si>
    <t>【退職】【業】09/12 09/12 XFLAG事業本部 新規事業推進室  猪口 健司</t>
  </si>
  <si>
    <t>河村　浩明</t>
  </si>
  <si>
    <t>【退職】【業】09/12 09/12 XFLAG事業本部 新規事業推進室  河村 浩明</t>
  </si>
  <si>
    <t>渡辺光章</t>
  </si>
  <si>
    <t>【退職】【業】09/12 09/12 XFLAG事業本部 新規事業推進室  渡辺 光章</t>
  </si>
  <si>
    <t>川村梨果</t>
  </si>
  <si>
    <t>【退職】【業】09/27 09/30 人事部 企画G 企画T  川村 梨果</t>
  </si>
  <si>
    <t>北澤七海</t>
  </si>
  <si>
    <t>【退職】【ア】9/2 9/2 結婚支援事業部 北澤七海</t>
  </si>
  <si>
    <t>塚井翼</t>
  </si>
  <si>
    <t>【退職】【業】9/29 9/30 Vantageスタジオ 塚井 翼</t>
  </si>
  <si>
    <t>【退職】【業】2017/09/14 2017/09/30 Vantageスタジオ 戸谷 直之</t>
  </si>
  <si>
    <t>磐長谷亮</t>
  </si>
  <si>
    <t>【退職】【正】8/9 9/4　Diverseスタジオ　磐長谷亮</t>
  </si>
  <si>
    <t>武内采未</t>
  </si>
  <si>
    <t>【退職】【契】09/29 09/30  Diverseスタジオ マーケティング室 AMグループ 武内 采未</t>
  </si>
  <si>
    <t>前田知宏</t>
  </si>
  <si>
    <t>【退職】【業】9/15 9/15 XFLAG事業本部 前田 知宏</t>
  </si>
  <si>
    <t>【4/1再入社】【退職】【ア/イ】9/29 9/29 人事部付 松原 信忠</t>
  </si>
  <si>
    <t>【4/1再入社】【退職/支援解除】【ア/イ】9/29 9/30 人事部付 村井 志帆</t>
  </si>
  <si>
    <t>【4/1再入社】【退職/支援解除】【ア/イ】9/29 9/29 人事部付  源 啓多</t>
  </si>
  <si>
    <t>【4/1再入社】【退職】【ア/イ】9/15 9/15 人事部付 渡辺 莉央</t>
  </si>
  <si>
    <t>後藤小春</t>
  </si>
  <si>
    <t>【退職】【契】09/17 09/30 結婚支援事業部 後藤小春</t>
  </si>
  <si>
    <t>山下敬太</t>
  </si>
  <si>
    <t>【退職】【正】09/27 10/19 経営推進本部経営企画室 山下敬太</t>
  </si>
  <si>
    <t>【10/1再入社】【退職/支援解除】【ア/イ】9/8 9/30 人事部付 佐々木 佑樹</t>
  </si>
  <si>
    <t>城一統</t>
  </si>
  <si>
    <t>【退職】【ア/イ】9/27 9/29 人事部付 城 一統</t>
  </si>
  <si>
    <t>中村泰大</t>
  </si>
  <si>
    <t>【退職】【ア/イ】9/29 9/29 人事部付 中村 泰大</t>
  </si>
  <si>
    <t>伊藤勇希</t>
  </si>
  <si>
    <t>【退職】【ア/イ】9/29 9/29 人事部付 伊藤 勇希</t>
  </si>
  <si>
    <t>佐藤敦也</t>
  </si>
  <si>
    <t>【退職/支援解除】【ア/イ】9/22 9/22 人事部付 佐藤 敦也</t>
  </si>
  <si>
    <t>齊藤正宏</t>
  </si>
  <si>
    <t>【退職/支援解除】【ア/イ】9/22 9/22 人事部付 齊藤 正宏</t>
  </si>
  <si>
    <t>竹永勇真</t>
  </si>
  <si>
    <t>【退職】【ア/イ】9/22 9/22 人事部付 竹永 勇真</t>
  </si>
  <si>
    <t>三軒家佑將</t>
  </si>
  <si>
    <t>【退職】【ア/イ】9/15 9/15 人事部付 三軒家 佑將</t>
  </si>
  <si>
    <t>山本祥太</t>
  </si>
  <si>
    <t>【退職/支援解除】【ア/イ】9/15 9/15 人事部付 山本 祥太</t>
  </si>
  <si>
    <t>前城健太郎</t>
  </si>
  <si>
    <t>【退職】【ア/イ】9/15 9/15 人事部付 前城 健太郎</t>
  </si>
  <si>
    <t>山下聖悟</t>
  </si>
  <si>
    <t>【退職】【業】-/- 7/31 DiverseスタジオPoiboy事業部 山下 聖悟</t>
  </si>
  <si>
    <t>尾熊陸</t>
  </si>
  <si>
    <t>【退職】【ア】 9/25 9/30 XFLAGENTERTAINMENT 尾熊陸</t>
  </si>
  <si>
    <t>李龍珠</t>
  </si>
  <si>
    <t>【退職】【業】0830 0831 李龍珠</t>
  </si>
  <si>
    <t>芝﨑悠記</t>
  </si>
  <si>
    <t>【退職】【業】08/31 08/31 ARTS ｻｳﾝﾄﾞG 芝﨑 悠記</t>
  </si>
  <si>
    <t>三宅なつみ</t>
  </si>
  <si>
    <t>【退職】【派】08/16  08/31 ﾃﾞｻﾞｲﾝ室ﾓﾝｽﾄUIﾃﾞｻﾞｲﾝG 三宅 なつみ</t>
  </si>
  <si>
    <t>王遠詩</t>
  </si>
  <si>
    <t>【退職】【業】0830 0831 王遠詩</t>
  </si>
  <si>
    <t>水野雄二郎</t>
  </si>
  <si>
    <t>【退職】【業】8/29 8/31 XFLAG事業本部 水野 雄二郎</t>
  </si>
  <si>
    <t>齋藤良和</t>
  </si>
  <si>
    <t>【退職】【正】9/28 9/30 人事部 齋藤良和</t>
  </si>
  <si>
    <t>朝部　文太</t>
  </si>
  <si>
    <t>【退職】【ア】9/29 9/30 Vantageスタジオ 朝部 文太</t>
  </si>
  <si>
    <t>石田翔</t>
  </si>
  <si>
    <t>【退職】【正】08/31 09/30 エックスフラッグ事業本部 新規事業推進室 石田翔</t>
  </si>
  <si>
    <t>高橋のぞみ</t>
  </si>
  <si>
    <t>【退職】【契】09/15 09/30 モンスト事業本部  高橋 のぞみ</t>
  </si>
  <si>
    <t>鈴木里奈</t>
  </si>
  <si>
    <t>【退職】【業】08/21 08/21 XFLAG MOBILE 鈴木里奈</t>
  </si>
  <si>
    <t>船本紳也</t>
  </si>
  <si>
    <t>【退職＆出向解除】【正】9/29 9/30 vantageスタジオ 船本紳也</t>
  </si>
  <si>
    <t>【退職】【ア】最終出社日 9/30 Vantageスタジオ 倉林 豊美</t>
  </si>
  <si>
    <t>河村唯</t>
  </si>
  <si>
    <t>【退職】【ア】9/29 9/30 Vantageスタジオ 河村 唯</t>
  </si>
  <si>
    <t>小出啓暉</t>
  </si>
  <si>
    <t>【退職】【ア】9/29 9/30 Vantageスタジオ 小出 啓暉</t>
  </si>
  <si>
    <t>天明屋雄貴</t>
  </si>
  <si>
    <t>【退職】【ア】9/29 9/30 Vantageスタジオ 天明屋 雄貴</t>
  </si>
  <si>
    <t>廣瀬空</t>
  </si>
  <si>
    <t>【退職】【ア】9/1 9/1 DiverseスタジオPoiboy事業部 廣瀬 空</t>
  </si>
  <si>
    <t>角南名英</t>
  </si>
  <si>
    <t>【退職】【ア】8/29 8/29 DiverseスタジオPoiboy事業部 角南 名英</t>
  </si>
  <si>
    <t>板橋萌乃</t>
  </si>
  <si>
    <t>【退職】【ア】6/29 9/30 Vantageスタジオ 板橋 萌乃</t>
  </si>
  <si>
    <t>水上博之</t>
  </si>
  <si>
    <t>【退職】【正】09/08 09/30 ヴァンテージスタジオ みてね事業部 水上博之</t>
  </si>
  <si>
    <t>山口友美</t>
  </si>
  <si>
    <t>【退職】【契】09/06 09/30 チケットキャンプ事業部 山口 友美</t>
  </si>
  <si>
    <t>但馬信太郎</t>
  </si>
  <si>
    <t>【退職】【ア】8/25 8/31 チケットキャンプ事業部 但馬 信太郎</t>
  </si>
  <si>
    <t>金ミンギョン</t>
  </si>
  <si>
    <t>【退職】【ア】2017/8/18 2017/8/18 XFLAG事業本部 金 ミンギョン</t>
  </si>
  <si>
    <t>西尾悠佑</t>
  </si>
  <si>
    <t>【退職】【ア】9/22 9/30 Vantageスタジオ 西尾 悠佑</t>
  </si>
  <si>
    <t>【退職】【ア】最終出社日 9/30 Vantageスタジオ 内海 隼</t>
  </si>
  <si>
    <t>奥澤　雄一郎</t>
  </si>
  <si>
    <t>【退職】【ア】9/22 9/30 Vantageスタジオ 奥澤 雄一郎</t>
  </si>
  <si>
    <t>田中昴</t>
  </si>
  <si>
    <t>【退職】【ア】9/29 9/30 Vantageスタジオ 田中 昴</t>
  </si>
  <si>
    <t>島浩平</t>
  </si>
  <si>
    <t>【退職】【ア】9/29 9/30 Vantageスタジオ 島 浩平</t>
  </si>
  <si>
    <t>安藤祐貴</t>
  </si>
  <si>
    <t>【退職/支援解除】【ア/イ】8/31 8/31 人事部付 安藤 祐貴</t>
  </si>
  <si>
    <t>小松享</t>
  </si>
  <si>
    <t>【退職/支援解除】【ア/イ】8/31 8/31 人事部付 小松 享</t>
  </si>
  <si>
    <t>今瀬広基</t>
  </si>
  <si>
    <t>【退職】【業】08/31 Artsアート2G 今瀬広基</t>
  </si>
  <si>
    <t>渡辺啓太</t>
  </si>
  <si>
    <t>【退職】【業】8/11　8/15　XFLAG ARTS 渡辺啓太</t>
  </si>
  <si>
    <t>原祐貴子</t>
  </si>
  <si>
    <t>【退職】【ア】8/31 8/31 モンスト事業本部　原祐貴子</t>
  </si>
  <si>
    <t>木村有希</t>
  </si>
  <si>
    <t>【退職】【派】08/07 08/07 法務部 木村有希</t>
  </si>
  <si>
    <t>熊岡良美</t>
  </si>
  <si>
    <t>【退職】【ア】*/* 08/31 ダイバーススタジオかいはつ室 熊岡良美</t>
  </si>
  <si>
    <t>宮本望</t>
  </si>
  <si>
    <t>【退職】【契】08/27 08/31 結婚支援事業部 宮本望</t>
  </si>
  <si>
    <t>高橋優人</t>
  </si>
  <si>
    <t>【退職】【業】8/31 8/31 モンスト事業　高橋 優人</t>
  </si>
  <si>
    <t>【退職】【業】8/31 8/31 モンスト事業　古見 政樹</t>
  </si>
  <si>
    <t>加藤直樹</t>
  </si>
  <si>
    <t>【退職】【業】08/31 ﾃｸﾆｶﾙｱｰﾄG 加藤 直樹</t>
  </si>
  <si>
    <t>津田いずみ</t>
  </si>
  <si>
    <t>【退職】【ア】8/25 8/25 ダイバーススタジオ 津田いずみ</t>
  </si>
  <si>
    <t>松本航大</t>
  </si>
  <si>
    <t>【退職】【ア】08/18 08/31 ﾐｸｼｨ・ﾘｸﾙｰﾄﾒﾝﾄ事業部 松本 航大</t>
  </si>
  <si>
    <t>藤井俊亮</t>
  </si>
  <si>
    <t>【退職】【業】0728 0731 藤井 俊亮</t>
  </si>
  <si>
    <t>山尾和浩</t>
  </si>
  <si>
    <t>【退職】【業】07/31 07/31 モンスト事業本部 山尾 和浩</t>
  </si>
  <si>
    <t>【退職】【業】07/28 07/31 mixi事業部 西 周行</t>
  </si>
  <si>
    <t>【退職】【業】08/18 08/31 株式会社ダイバース VEAT事業部 油井大輔</t>
  </si>
  <si>
    <t>【退職】【業】07/31 07/31 XFLAG MOBILE サン イーシャン アデル</t>
  </si>
  <si>
    <t>花渕　茉莉子</t>
  </si>
  <si>
    <t>【退職】【ア】2017/07/08 2017/7/31 XFLAG STORE社　花渕 茉莉子</t>
  </si>
  <si>
    <t>中水　きあ奈</t>
  </si>
  <si>
    <t>【退職】【ア】2017/07/14 2017/7/31　XFLAG STORE社　中水 きあ奈</t>
  </si>
  <si>
    <t>中島崚</t>
  </si>
  <si>
    <t>【退職】【ア】07/19 07/25 ｳﾞｧﾝﾃｰｼﾞｽﾀｼﾞｵ 中島 崚</t>
  </si>
  <si>
    <t>山本浩司</t>
  </si>
  <si>
    <t>【退職】【正】08/04 09/15 マーケティング室　山本浩司</t>
  </si>
  <si>
    <t>【退職】【業】7/31 7/31 モンスト事業本部 中村一夫</t>
  </si>
  <si>
    <t>岡林英里</t>
  </si>
  <si>
    <t>【退職】【派】7/31 7/31 XFLAG事業本部 岡林 英里</t>
  </si>
  <si>
    <t>北尾匡教</t>
  </si>
  <si>
    <t>【退職】【業】07/12 07/12 XFLAG事業本部 北尾 匡教</t>
  </si>
  <si>
    <t>仁張真己子</t>
  </si>
  <si>
    <t>【退職】【業】07/12 07/12 XFLAG事業本部 仁張 真己子</t>
  </si>
  <si>
    <t>【退職】【業】07/12 07/12 XFLAG事業本部 岩崎 博文</t>
  </si>
  <si>
    <t>橋爪沙紀</t>
  </si>
  <si>
    <t>【退職】【業】07/12 07/12 XFLAG事業本部 橋爪 沙紀</t>
  </si>
  <si>
    <t>中井星児</t>
  </si>
  <si>
    <t>【退職】【業】07/12 07/12 XFLAG事業本部 中井 星児</t>
  </si>
  <si>
    <t>村田さつき</t>
  </si>
  <si>
    <t>【退職】【業】07/12 07/12 XFLAG事業本部 村田 さつき</t>
  </si>
  <si>
    <t>須田一樹</t>
  </si>
  <si>
    <t>【退職】【業】07/12 07/12 XFLAG事業本部 須田 一樹</t>
  </si>
  <si>
    <t>糸井美帆</t>
  </si>
  <si>
    <t>【退職】【業】07/12 07/12 XFLAG事業本部 糸井 美帆</t>
  </si>
  <si>
    <t>寺杣晶</t>
  </si>
  <si>
    <t>【退職】【業】07/12 07/12 XFLAG事業本部 寺杣 晶</t>
  </si>
  <si>
    <t>【退職】【業】07/12 07/12 XFLAG事業本部 歌津 義明</t>
  </si>
  <si>
    <t>山本幸助</t>
  </si>
  <si>
    <t>【退職】【業】07/12 07/12 XFLAG事業本部 山本 幸助</t>
  </si>
  <si>
    <t>堀内雅代</t>
  </si>
  <si>
    <t>【退職】【業】07/12 07/12 XFLAG事業本部 堀内 雅代</t>
  </si>
  <si>
    <t>福留理恵</t>
  </si>
  <si>
    <t>【退職】【業】07/12 07/12 XFLAG事業本部 福留 理恵</t>
  </si>
  <si>
    <t>岸本圭司</t>
  </si>
  <si>
    <t>【退職】【業】07/12 07/12 XFLAG事業本部 岸本 圭司</t>
  </si>
  <si>
    <t>秋田麗</t>
  </si>
  <si>
    <t>【退職】【業】07/12 07/12 XFLAG事業本部 秋田 麗</t>
  </si>
  <si>
    <t>高須実</t>
  </si>
  <si>
    <t>【退職】【業】07/12 07/12 XFLAG事業本部 高須 実</t>
  </si>
  <si>
    <t>寺西洋介</t>
  </si>
  <si>
    <t>【退職】【業】07/12 07/12 XFLAG事業本部 寺西 洋介</t>
  </si>
  <si>
    <t>上田義人</t>
  </si>
  <si>
    <t xml:space="preserve">【退職】【業】07/12 07/12 XFLAG事業本部 上田 義人 </t>
  </si>
  <si>
    <t>【退職】【業】7/29 7/31 mixi事業部 中西 舞</t>
  </si>
  <si>
    <t>【退職】【業】07/28 07/31 ヴァンテージスタジオ 西周行</t>
  </si>
  <si>
    <t>【退職】【業】07/14 07/15 大野奈樹沙</t>
  </si>
  <si>
    <t>【退職】【正】7/28 8/31 Vantageスタジオ 木村俊也</t>
  </si>
  <si>
    <t>竹本彩子</t>
  </si>
  <si>
    <t xml:space="preserve">【退職】【ア】 07/31 07/31 DiverseスタジオPoiboy事業部 竹本 彩子 </t>
  </si>
  <si>
    <t>今井健太</t>
  </si>
  <si>
    <t>【退職】【業】6/9 7/31 株式会社Diverse 今井健太</t>
  </si>
  <si>
    <t>真崎佑実</t>
  </si>
  <si>
    <t>【退職】【ア】2017/07/05　 真崎佑実</t>
  </si>
  <si>
    <t>田中日奈子</t>
  </si>
  <si>
    <t>【退職】【業】7/12 7/14 ﾓﾝｽﾄ事業　田中 日奈子</t>
  </si>
  <si>
    <t>堀田昇</t>
  </si>
  <si>
    <t>【退職】【業】4/4 7/4 XFLAG事業本部 堀田昇</t>
  </si>
  <si>
    <t>二木幸生</t>
  </si>
  <si>
    <t>【退職】【業】4/4 7/4 XFLAG事業本部 二木幸生</t>
  </si>
  <si>
    <t>浪越あらた</t>
  </si>
  <si>
    <t>【退職】【正】07/28 08/31 コーポレートコミュニケーション室 浪越あらた</t>
  </si>
  <si>
    <t>松村貴之</t>
  </si>
  <si>
    <t>【退職】【業】07/04 07/04エックスフラッグ事業本部 松村 貴之</t>
  </si>
  <si>
    <t>金宣明</t>
  </si>
  <si>
    <t>【退職】【正】07/31 07/31 開発室 金 宣明</t>
  </si>
  <si>
    <t>大久保　桃子</t>
  </si>
  <si>
    <t xml:space="preserve">【退職】【ア】2017/06/30　大久保　桃子  </t>
  </si>
  <si>
    <t>藪野高雄</t>
  </si>
  <si>
    <t>【退職】【正】モンスト 6/28 6/28 モンスト事業本部　藪野 高雄</t>
  </si>
  <si>
    <t>野澤里紗</t>
  </si>
  <si>
    <t>【退職】【ア】07/27 07/31 ﾐｸｼｨ・ﾘｸﾙｰﾄﾒﾝﾄ事業部 野澤 里紗</t>
  </si>
  <si>
    <t>【退職】【正】07/14 09/12 Diverseスタジオかいはつ室 井村友美子</t>
  </si>
  <si>
    <t>井上康明</t>
  </si>
  <si>
    <t>【退職】【業】6/29 6/30 mixi事業部 井上康明</t>
  </si>
  <si>
    <t>杉光杏菜</t>
  </si>
  <si>
    <t>【退職】【正】06/30 09/07 結婚支援事業部 杉光杏菜</t>
  </si>
  <si>
    <t>萩原洋樹</t>
  </si>
  <si>
    <t>【退職】【業】6/30 6/30  ﾓﾝｽﾄ事業　萩原 洋樹</t>
  </si>
  <si>
    <t>朴頴</t>
  </si>
  <si>
    <t>【退職】【正】07/07 07/10 XFLAG ENTERTAINMENT 朴 頴</t>
  </si>
  <si>
    <t>後藤理香</t>
  </si>
  <si>
    <t>【退職】【派】6/13　6/30　モンスト事業本部　後藤理香</t>
  </si>
  <si>
    <t>坂巻一海</t>
  </si>
  <si>
    <t>【退職】【業】6/30　6/30　XFLAG事業本部　坂巻 一海</t>
  </si>
  <si>
    <t>楊喩晴</t>
  </si>
  <si>
    <t>【退職】【正】06/28 07/15 ブランドデザイングループ　楊 喩晴</t>
  </si>
  <si>
    <t>グエンヴァンチュン</t>
  </si>
  <si>
    <t>【退職】【業】06/22　06/22　グエンヴァン チュン</t>
  </si>
  <si>
    <t>【退職】【業】 06/29 06/30 ｳﾞｧﾝﾃｰｼﾞｽﾀｼﾞｵ 井上 康明</t>
  </si>
  <si>
    <t>大澤信哉</t>
  </si>
  <si>
    <t>【退職】【正】07/14 07/31 ノハナ事業部 大澤 信哉</t>
  </si>
  <si>
    <t>池田　明日香</t>
  </si>
  <si>
    <t>【退職】【正】 2016/09/09  2017/06/30 ｳﾞｧﾝﾃｰｼﾞｽﾀｼﾞｵ 池田 明日香</t>
  </si>
  <si>
    <t>輿水(寺西)麻衣</t>
  </si>
  <si>
    <t>【退職】【正】07/06 06/30 モンスト事業本部 輿水麻衣</t>
  </si>
  <si>
    <t>三田裕也</t>
  </si>
  <si>
    <t>【退職 】【業】6/16 6/30 経理財務部 三田裕也</t>
  </si>
  <si>
    <t>山口隼人</t>
  </si>
  <si>
    <t>【退職】【正】06/23 08/15 結婚支援事業部 山口 隼人</t>
  </si>
  <si>
    <t>石田香織</t>
  </si>
  <si>
    <t>【退職】【派】06/30 06/30 ヴァンテージスタジオ 石田 香織</t>
  </si>
  <si>
    <t>千葉拓実</t>
  </si>
  <si>
    <t>【退職】【ア】6/14 6/30 モンスト事業　千葉 拓実</t>
  </si>
  <si>
    <t>酒井裕美</t>
  </si>
  <si>
    <t>【退職】【ア】6/30 6/30 モンスト事業　酒井 裕美</t>
  </si>
  <si>
    <t>門間美紀</t>
  </si>
  <si>
    <t>【退職】【業】05/31 06/01 mixi事業部 門間美紀</t>
  </si>
  <si>
    <t>【退職】【役員】2017/6/30　2017/6/30　株式会社Diverse　津元啓史</t>
  </si>
  <si>
    <t>島裕晃</t>
  </si>
  <si>
    <t>【退職】【正】6/30 7/31 Vantageスタジオ 島裕晃</t>
  </si>
  <si>
    <t>【退職】【役員】2017/6/30　2017/6/30　株式会社Diverse　小久保知洋</t>
  </si>
  <si>
    <t>横山夏波</t>
  </si>
  <si>
    <t>【退職】【正】06/30 07/20 Diverseスタジオかいはつ室 横山夏波</t>
  </si>
  <si>
    <t>陳ソリン</t>
  </si>
  <si>
    <t>【退職】【正】2017/6/30 2017/7/15 モンスト事業本部 陳ソリン</t>
  </si>
  <si>
    <t>小野亜美</t>
  </si>
  <si>
    <t>【退職】【業】06/09 06/09 株式会社ﾐｸｼｨ・ﾘｸﾙｰﾄﾒﾝﾄ 小野 亜美</t>
  </si>
  <si>
    <t>増子一哉</t>
  </si>
  <si>
    <t>【退職】【業】6/5 6/9 株式会社ﾐｸｼｨ・ﾘｸﾙｰﾄﾒﾝﾄ 増子 一哉</t>
  </si>
  <si>
    <t>津島里美</t>
  </si>
  <si>
    <t>【退職】【正】06/09 06/30 はたらく環境室 津島 里美</t>
  </si>
  <si>
    <t>【退職】【正】06/16 06/30 Diverseスタジオ かいはつ室 笹塚清二</t>
  </si>
  <si>
    <t>栗原一貴</t>
  </si>
  <si>
    <t>【退職 】【業】6/30 6/30 Vantageスタジオ 栗原一貴</t>
  </si>
  <si>
    <t>伊藤七海</t>
  </si>
  <si>
    <t>【退職】【ア】6/30 6/30 結婚支援事業部 伊藤七海</t>
  </si>
  <si>
    <t>和田早那</t>
  </si>
  <si>
    <t>【退職】【ア】6/29 6/30 結婚支援事業部 和田 早那</t>
  </si>
  <si>
    <t>朝倉早由未</t>
  </si>
  <si>
    <t>【退職】【ア】6/28 6/30 結婚支援事業部 朝倉早由未</t>
  </si>
  <si>
    <t>髙澤音</t>
  </si>
  <si>
    <t>【退職】【ア】4/1 6/30 Vantageスタジオ 髙澤 音</t>
  </si>
  <si>
    <t>森田舞姫</t>
  </si>
  <si>
    <t>【退職】【ア】4/30 6/30 Vantageスタジオ 森田舞姫</t>
  </si>
  <si>
    <t>浦田彩美</t>
  </si>
  <si>
    <t>【退職】【ア】6/1 6/30 Vantageスタジオ 浦田彩美</t>
  </si>
  <si>
    <t>髙津公基</t>
  </si>
  <si>
    <t>【退職】【ア】6/13 6/30 チケットキャンプ事業部　髙津 公基</t>
  </si>
  <si>
    <t>江口格</t>
  </si>
  <si>
    <t>【退職】【業】5/26 5/26 ﾓﾝｽﾄ事業本部 江口 格</t>
  </si>
  <si>
    <t>ナサハラフセイン</t>
  </si>
  <si>
    <t>【退職】【業】5/31 5/31 XFLAG事業本部 ナサハラフセイン</t>
  </si>
  <si>
    <t>森幸男</t>
  </si>
  <si>
    <t>【退職】【業】5/31 5/31 XFLAG事業本部 森幸男</t>
  </si>
  <si>
    <t>関玲</t>
  </si>
  <si>
    <t>【退職】【業】5/31 5/31 XFLAG事業本部 関玲</t>
  </si>
  <si>
    <t>福井孝明</t>
  </si>
  <si>
    <t>【退職】【業】5/31 5/31 XFLAG事業本部 福井孝明</t>
  </si>
  <si>
    <t>斎藤悠貴</t>
  </si>
  <si>
    <t>【退職】【業】5/31 5/31 XFLAG事業本部 斎藤悠貴</t>
  </si>
  <si>
    <t>柳田英治</t>
  </si>
  <si>
    <t>【退職】【業】5/31 5/31 XFLAG事業本部 柳田英治</t>
  </si>
  <si>
    <t>斎藤裕</t>
  </si>
  <si>
    <t>【退職】【業】5/31 5/31 XFLAG事業本部 斎藤裕</t>
  </si>
  <si>
    <t>山田さつき</t>
  </si>
  <si>
    <t xml:space="preserve">【退職】【ア】04/26 05/31 経営推進本部 山田 さつき </t>
  </si>
  <si>
    <t>石川誉</t>
  </si>
  <si>
    <t>【退職】【正】6/23 7/31 経営推進本部 石川誉</t>
  </si>
  <si>
    <t>柳田圭太</t>
  </si>
  <si>
    <t>【退職】【業】5/26 5/26 XFLAG事業本部 柳田 圭太</t>
  </si>
  <si>
    <t>岩本拓也</t>
  </si>
  <si>
    <t>【退職】【正】5/15 6/30 Vantageスタジオ 岩本拓也</t>
  </si>
  <si>
    <t>梯雅</t>
  </si>
  <si>
    <t>【退職】【業】5/22 モンスト事業本部　梯雅</t>
  </si>
  <si>
    <t>小田宗一郎</t>
  </si>
  <si>
    <t>【退職】【業】5/29 5/31 XFLAG事業本部 小田 宗一郎</t>
  </si>
  <si>
    <t>【退職】【正】06/09 06/30ミクシィ・リクルートメント事業部飯塚京</t>
  </si>
  <si>
    <t>下元　陽</t>
  </si>
  <si>
    <t>【退職】【正】6/30　6/30　mixiサービス部　下元　陽</t>
  </si>
  <si>
    <t>浅沼　寛樹</t>
  </si>
  <si>
    <t>【退職】【業】5/15 5/15 XFLAG事業本部　浅沼寛樹</t>
  </si>
  <si>
    <t>佐藤智美</t>
  </si>
  <si>
    <t>【退職】【業】05/31 05/31 みてね事業部 佐藤智美</t>
  </si>
  <si>
    <t>李琨龍</t>
  </si>
  <si>
    <t>【退職】【業】5/25  5/31 ﾓﾝｽﾄ事業 李 琨龍</t>
  </si>
  <si>
    <t>大石裕明</t>
  </si>
  <si>
    <t>【退職】【正】05/30 07/31 Diverseスタジオ結婚支援事業部 大石裕明</t>
  </si>
  <si>
    <t>阿部茉莉乃</t>
  </si>
  <si>
    <t>【退職】【契】5/24 5/31 モンスト事業本部 阿部茉莉乃</t>
  </si>
  <si>
    <t>川﨑誠一</t>
  </si>
  <si>
    <t>【退職】【正】6/16 6/30 XFLAG事業本部 川﨑 誠一</t>
  </si>
  <si>
    <t>城之内千秋</t>
  </si>
  <si>
    <t>【退職】【業】5/12 5/12  ﾓﾝｽﾄ事業　城之内 千秋</t>
  </si>
  <si>
    <t>大谷沙織</t>
  </si>
  <si>
    <t>【退職】【ア】5/18 5/31 ﾓﾝｽﾄ事業本部 大谷 沙織</t>
  </si>
  <si>
    <t>難波亮平</t>
  </si>
  <si>
    <t>【退職】【業】04/27 04/28 mixiサービス部 難波亮平</t>
  </si>
  <si>
    <t>奥手良佑</t>
  </si>
  <si>
    <t>【退職】【業】04/28 04/30 株式会社ダイバース VEAT事業部 奥手良佑</t>
  </si>
  <si>
    <t>早戸愛美</t>
  </si>
  <si>
    <t>【退職】【ア】04/21　04/27　XFLAG STORE社　早戸愛美</t>
  </si>
  <si>
    <t>杉山皓亮</t>
  </si>
  <si>
    <t>【退職】【業】4/28 4/30　XFLAG事業本部　杉山 皓亮</t>
  </si>
  <si>
    <t>重谷羅利</t>
  </si>
  <si>
    <t>【退職】【正】05/16　05/20　XFLAGスタジオ　重谷羅利</t>
  </si>
  <si>
    <t>相根美晴</t>
  </si>
  <si>
    <t>【退職】【ア】04/26 04/26 DiverseスタジオPoiboy事業部 相根 美晴</t>
  </si>
  <si>
    <t>小林祐馬</t>
  </si>
  <si>
    <t>【退職】【業】04/28 04/30 小林 祐馬</t>
  </si>
  <si>
    <t>海老名大助</t>
  </si>
  <si>
    <t>【退職】【業】4/27 4/30 Diverseスタジオ Poiboy事業部 海老名 大助</t>
  </si>
  <si>
    <t>五嶋壮晃</t>
  </si>
  <si>
    <t>【退職】【正】4/28 6/19 XFLAG MOBILE 五嶋壮晃</t>
  </si>
  <si>
    <t>西元哲太郎</t>
  </si>
  <si>
    <t>【退職】【業】4/1 4/12 XFLAG事業本部 西元 哲太郎</t>
  </si>
  <si>
    <t>及川望</t>
  </si>
  <si>
    <t>【退職】【業】4/28 4/30　XFLAGスタジオ　及川望</t>
  </si>
  <si>
    <t>ユウティンギョク</t>
  </si>
  <si>
    <t>【退職】 【ア】04/21 05/09 海外運用部 ユウ ティンギョク</t>
  </si>
  <si>
    <t>生井智司</t>
  </si>
  <si>
    <t>【退職】【正】04/21  06/15 みてね事業部 生井智司</t>
  </si>
  <si>
    <t>竹下　優希</t>
  </si>
  <si>
    <t>【退職】【ア】04/30 Diverseスタジオ結婚支援事業部 竹下優希</t>
  </si>
  <si>
    <t>仙波祐太郎</t>
  </si>
  <si>
    <t>【退職】【正】04/13　05/31　経営推進本部　仙波祐太郎</t>
  </si>
  <si>
    <t>【退職】【業】2017/4/28 2017/4/30 栗原 一貴</t>
  </si>
  <si>
    <t>山田真広</t>
  </si>
  <si>
    <t>【退職】【業】4/4 4/4 エックスフラッグスタジオ本部 山田真広</t>
  </si>
  <si>
    <t>小田原優</t>
  </si>
  <si>
    <t>【退職】【業】4/4 4/4 エックスフラッグスタジオ本部 小田原優</t>
  </si>
  <si>
    <t>阿彦裕徳</t>
  </si>
  <si>
    <t>【退職】【業】4/4 4/4 エックスフラッグスタジオ本部 阿彦裕徳</t>
  </si>
  <si>
    <t>松尾一樹</t>
  </si>
  <si>
    <t>【退職】【業】4/4 4/4 エックスフラッグスタジオ本部 松尾一樹</t>
  </si>
  <si>
    <t>水元哲平</t>
  </si>
  <si>
    <t>【退職】【業】03/31 03/31 エックスフラッグスタジオ本部 水元 哲平</t>
  </si>
  <si>
    <t>西部啓明</t>
  </si>
  <si>
    <t>【退職】【業】3/31 3/31 ノハナ 西部 啓明</t>
  </si>
  <si>
    <t>萩原満</t>
  </si>
  <si>
    <t>【退職】 【業】 3/31　3/31　XFLAG MOBILE　萩原 満</t>
  </si>
  <si>
    <t>小島浩道</t>
  </si>
  <si>
    <t>【退職】【正】4/20 4/30 ヴァンテージスタジオ新規事業推進室live4uG 小島 浩道</t>
  </si>
  <si>
    <t>湯祥君</t>
  </si>
  <si>
    <t>【退職】 【業】4/3 4/14 XFLAGスタジオ　湯 祥君</t>
  </si>
  <si>
    <t>バステインスプルーン</t>
  </si>
  <si>
    <t>【退職】【正】4/21 4/30 ｴｯｸｽﾌﾗｯｸﾞｽﾀｼﾞｵ本部海外運用部 バステインス プルーン</t>
  </si>
  <si>
    <t>五十畑昌</t>
  </si>
  <si>
    <t>【退職】【業】03/31 03/31 ゲーム部 五十畑昌</t>
  </si>
  <si>
    <t>高橋妙子</t>
  </si>
  <si>
    <t>【退職】【業】03/31 03/31 ゲーム部 高橋妙子</t>
  </si>
  <si>
    <t>水上光</t>
  </si>
  <si>
    <t>【退職】【業】03/31 03/31 ゲーム部 水上光</t>
  </si>
  <si>
    <t>中丸優美</t>
  </si>
  <si>
    <t>【退職】【業】03/31 03/31 ゲーム部 中丸優美</t>
  </si>
  <si>
    <t>東田貴徳</t>
  </si>
  <si>
    <t>【退職】【業】03/31 03/31 ゲーム部 東田貴徳</t>
  </si>
  <si>
    <t>甲斐翔也</t>
  </si>
  <si>
    <t>【退職】【業】03/31 03/31 ゲーム部 甲斐翔也</t>
  </si>
  <si>
    <t>三上古久根</t>
  </si>
  <si>
    <t>【退職】【業】03/31 03/31 ゲーム部 三上古久根</t>
  </si>
  <si>
    <t>【退職】【業】03/31 03/31 ゲーム部 鵜飼恵輔</t>
  </si>
  <si>
    <t>遠藤昭宏</t>
  </si>
  <si>
    <t>【退職】【業】 03/31 03/31 ゲーム部 遠藤 昭宏</t>
  </si>
  <si>
    <t>渡邉一樹</t>
  </si>
  <si>
    <t>【退職】【業】 03/31 03/31 ゲーム部 渡邉一樹</t>
  </si>
  <si>
    <t>佐久間勇太</t>
  </si>
  <si>
    <t>【退職】 【業】 3/31　3/31　XFLAGスタジオ　佐久間 勇太</t>
  </si>
  <si>
    <t>大塚倫子</t>
  </si>
  <si>
    <t>【退職】【正】3/31 3/31 エックスフラッグスタジオ本部 大塚 倫子</t>
  </si>
  <si>
    <t>黒川崇臣</t>
  </si>
  <si>
    <t>【退職】【業】エックスフラッグスタジオ本部 03/24 03/24 黒川 崇臣</t>
  </si>
  <si>
    <t>杉田陽</t>
  </si>
  <si>
    <t>【退職】【ア】3/30 3/31 ヴァンテージスタジオ新規事業推進室live4uG 杉田 陽</t>
  </si>
  <si>
    <t>岡﨑由真</t>
  </si>
  <si>
    <t>【退職】【契】4/28 4/30 岡﨑 由真</t>
  </si>
  <si>
    <t>【退職】【業】なし 3/22 エックスフラッグスタジオ本部 仁張真己子</t>
  </si>
  <si>
    <t>【退職】【業】なし 3/22 エックスフラッグスタジオ本部 堀内雅代</t>
  </si>
  <si>
    <t>【退職】【業】なし 3/22 エックスフラッグスタジオ本部 岸本圭司</t>
  </si>
  <si>
    <t>徳田雅人</t>
  </si>
  <si>
    <t>【退職】【業】なし 3/22 エックスフラッグスタジオ本部 徳田雅人</t>
  </si>
  <si>
    <t>【退職】【業】なし 3/22 エックスフラッグスタジオ本部 寺西洋介</t>
  </si>
  <si>
    <t>【退職】【業】なし 3/22 エックスフラッグスタジオ本部 上田義人</t>
  </si>
  <si>
    <t>槻田謙和</t>
  </si>
  <si>
    <t>【退職】【業】03/30 03/31 mixiサービス部 槻田謙和</t>
  </si>
  <si>
    <t>相澤夏海</t>
  </si>
  <si>
    <t>【退職】【業】03/31 03/31 mixiサービス部 相澤夏海</t>
  </si>
  <si>
    <t>石川咲</t>
  </si>
  <si>
    <t>【退職】【業】03/29 03/31 mixiサービス部 石川咲</t>
  </si>
  <si>
    <t>加藤俊</t>
  </si>
  <si>
    <t>【退職】【業】03/31 03/31 mixiサービス部 加藤俊</t>
  </si>
  <si>
    <t>米次毅樹</t>
  </si>
  <si>
    <t>【退職】【業】03/31 03/31 mixiサービス部 米次毅樹</t>
  </si>
  <si>
    <t>林偉</t>
  </si>
  <si>
    <t>【退職】【業】03/31 03/31 mixiサービス部 林偉</t>
  </si>
  <si>
    <t>千田恵紀</t>
  </si>
  <si>
    <t>【退職】【業】03/31 03/31 mixiサービス部 千田恵紀</t>
  </si>
  <si>
    <t>清野翔平</t>
  </si>
  <si>
    <t>【退職】【業】03/31 03/31 mixiサービス部 清野翔平</t>
  </si>
  <si>
    <t>佐藤素美</t>
  </si>
  <si>
    <t>【退職】【業】03/31 03/31 mixiサービス部 佐藤素美</t>
  </si>
  <si>
    <t>小林美里</t>
  </si>
  <si>
    <t>【退職】【業】03/30 03/31 mixiサービス部 小林美里</t>
  </si>
  <si>
    <t>秋葉真人</t>
  </si>
  <si>
    <t>【退職】【業】03/30 03/31 mixiサービス部 秋葉真人</t>
  </si>
  <si>
    <t>櫻木裕人</t>
  </si>
  <si>
    <t>【退職】【業】3/31 3/31 株式会社ﾐｸｼｨ・ﾘｸﾙｰﾄﾒﾝﾄ 櫻木 裕人</t>
  </si>
  <si>
    <t>宮本　堯</t>
  </si>
  <si>
    <t>【退職】【ア】03/16 03/31 スタジオフンザ 新規事業推進室 宮本堯</t>
  </si>
  <si>
    <t>知久瑞季</t>
  </si>
  <si>
    <t>【退職】【ア】3/30 3/31 ﾐｸｼｨ・ﾘｸﾙｰﾄﾒﾝﾄ事業部  知久瑞季</t>
  </si>
  <si>
    <t>大滝美菜子</t>
  </si>
  <si>
    <t>【退職】【業】03/08 03/09 mixiサービス部 大滝美菜子</t>
  </si>
  <si>
    <t>横川その美</t>
  </si>
  <si>
    <t>【退職】【ア】3/10 3/31 ヴァンテージスタジオ新規事業推進室live4uG 横川その美</t>
  </si>
  <si>
    <t>谷早蘭</t>
  </si>
  <si>
    <t>【退職】【ア】03/31 03/31 Diverseスタジオ結婚支援事業部 谷早蘭</t>
  </si>
  <si>
    <t>下村叶子</t>
  </si>
  <si>
    <t>【退職】【契】03/30 03/31 Diverseスタジオ結婚支援事業部 下村叶子</t>
  </si>
  <si>
    <t>坂田将吾</t>
  </si>
  <si>
    <t>【退職】【ア】03/31 03/31 経営推進本部 坂田将吾</t>
  </si>
  <si>
    <t>【退職】【正】03/31 03/31 人事部 飯尾 亜紀</t>
  </si>
  <si>
    <t>【退職】【正】03/31 03/31 人事部 藤井 以大</t>
  </si>
  <si>
    <t>【退職】【正】03/31 03/31 人事部 武市 融紀</t>
  </si>
  <si>
    <t>石井允康</t>
  </si>
  <si>
    <t>【退職】【正】03/07 03/31 ﾐｸｼｨ・ﾘｸﾙｰﾄﾒﾝﾄ事業部 石井 允康</t>
  </si>
  <si>
    <t>中澤一樹</t>
  </si>
  <si>
    <t>【退職】【業】2/28 2/28 エックスフラッグスタジオ本部 中澤 一樹</t>
  </si>
  <si>
    <t>一瀬梢平</t>
  </si>
  <si>
    <t>【退職】【ア】3/17 3/31 チケットキャンプ事業部 一瀬梢平</t>
  </si>
  <si>
    <t xml:space="preserve">【4/1再入社】【退職・支援解除】【ア】3/30 3/31 人事部付 金園 美那 </t>
  </si>
  <si>
    <t>中村万理子</t>
  </si>
  <si>
    <t>【退職】【ア】2017/03/31 中村万理子</t>
  </si>
  <si>
    <t>折笠知子</t>
  </si>
  <si>
    <t>【退職】【契】3/13 3/31 チケットキャンプ事業部 折笠知子</t>
  </si>
  <si>
    <t>加屋本孝明</t>
  </si>
  <si>
    <t>【退職】【業】2017/3/31 3/31 人事部  加屋本 孝明</t>
  </si>
  <si>
    <t>佐藤保春</t>
  </si>
  <si>
    <t>【退職】【業】2017/3/31 3/31 人事部  佐藤 保春</t>
  </si>
  <si>
    <t>中島昌孝</t>
  </si>
  <si>
    <t>【退職】【業】2017/3/31 3/31 人事部  中島 昌孝</t>
  </si>
  <si>
    <t>岩切隆之</t>
  </si>
  <si>
    <t>【退職】【業】2017/3/31 3/31 人事部  岩切 隆之</t>
  </si>
  <si>
    <t>土屋昇一</t>
  </si>
  <si>
    <t>【退職】【業】2017/3/31 3/31 人事部  土屋 昇一</t>
  </si>
  <si>
    <t>冬木茂</t>
  </si>
  <si>
    <t>【退職】【業】2017/3/31 3/31 人事部  冬木 茂</t>
  </si>
  <si>
    <t>齋藤真司</t>
  </si>
  <si>
    <t>【退職】【業】2017/3/31 3/31 人事部  齋藤 真司</t>
  </si>
  <si>
    <t>近藤哲也</t>
  </si>
  <si>
    <t>【退職】【業】2017/3/31 3/31 人事部  近藤 哲也</t>
  </si>
  <si>
    <t>近藤厚</t>
  </si>
  <si>
    <t>【退職】【業】2017/3/31 3/31 人事部  近藤厚</t>
  </si>
  <si>
    <t>【4/1再入社】【退職】【ア】3/28 3/31 人事部付 髙山 珠美</t>
  </si>
  <si>
    <t>【4/1再入社】【退職】【ア】3/28 3/31 人事部付 吉原 伶菜</t>
  </si>
  <si>
    <t>大西美華</t>
  </si>
  <si>
    <t>【退職】【派】02/28 02/28 エックスフラッグスタジオ本部 大西 美華</t>
  </si>
  <si>
    <t>【4/1再入社】【退職・支援解除】【ア】3/29 3/31 人事部付 佐藤 良祐</t>
  </si>
  <si>
    <t>澤村萌</t>
  </si>
  <si>
    <t>【退職】【ア】03/30 03/31 Diverseスタジオ VEAT事業部 VEATグループ 澤村萌</t>
  </si>
  <si>
    <t>【4/1再入社】【退職・支援解除】【ア】3/23 3/31 人事部付 近藤 亜里砂</t>
  </si>
  <si>
    <t>【4/1再入社】【退職】【ア】3/31 3/31 人事部付 豊田 佑里香</t>
  </si>
  <si>
    <t>徐志強</t>
  </si>
  <si>
    <t>【退職】【正】3/16 3/31 ゲーム開発室 徐志強</t>
  </si>
  <si>
    <t>菱沼幸太郎</t>
  </si>
  <si>
    <t>【退職】【業】02/28 02/28  菱沼 幸太郎</t>
  </si>
  <si>
    <t>【4/1再入社】【退職】【ア】3/31 3/31 人事部付 林 青青</t>
  </si>
  <si>
    <t>【4/1再入社】【退職】【ア】3/31 3/31 人事部付 大澤 祐太</t>
  </si>
  <si>
    <t>【4/1再入社】【退職】【ア】3/31 3/31 人事部付 渡辺啓太郎</t>
  </si>
  <si>
    <t>金成尚子</t>
  </si>
  <si>
    <t>【退職】 【業】 3/31　3/31　XFLAGスタジオ　金成 尚子</t>
  </si>
  <si>
    <t>【退職】【業】02/22 02/28 株式会社ダイバース VEAT事業部 油井大輔</t>
  </si>
  <si>
    <t>木下瑛裕</t>
  </si>
  <si>
    <t>【退職】 【正】3/2 3/31 新規事業推進室  木下瑛裕</t>
  </si>
  <si>
    <t>川村誠仁</t>
  </si>
  <si>
    <t>【退職】【業】02/28 02/28 エックスフラッグスタジオ本部 川村 誠仁</t>
  </si>
  <si>
    <t>【退職】【業】02/15 02/15 DiverseスタジオPoiboy事業部 角南名英</t>
  </si>
  <si>
    <t>瀬川雅弘</t>
  </si>
  <si>
    <t>【退職】【ア】3/29 3/31  技術研究室 瀬川雅弘</t>
  </si>
  <si>
    <t>荒井友香理</t>
  </si>
  <si>
    <t>【退職】【業】02/06 02/07 mixiサービス部 荒井友香理</t>
  </si>
  <si>
    <t>神林麻衣</t>
  </si>
  <si>
    <t>【退職】【正】02/28 03/31 ヴァンテージスタジオ 新規事業推進室 神林 麻衣</t>
  </si>
  <si>
    <t>【4/1再入社】【退職】【ア】3/17 3/31 人事部付 後藤 紫織</t>
  </si>
  <si>
    <t>落合伸彦</t>
  </si>
  <si>
    <t>【退職】【業】2017/2/14　2017/2/14　落合 伸彦</t>
  </si>
  <si>
    <t>小林由実</t>
  </si>
  <si>
    <t>【退職】【ア】02/28 Diverseスタジオ結婚支援事業部 小林由実</t>
  </si>
  <si>
    <t>小林佳恵</t>
  </si>
  <si>
    <t>【退職】【ア】2/28 2/28 Diverseスタジオ結婚支援事業部 小林 佳恵</t>
  </si>
  <si>
    <t>齊藤和希</t>
  </si>
  <si>
    <t>【退職】【契】02/25 02/28 Diverseスタジオ結婚支援事業部 齊藤和希</t>
  </si>
  <si>
    <t>【4/1再入社】【退職】【ア】3/31 3/31 人事部付 金銅 康成</t>
  </si>
  <si>
    <t>【4/1再入社】【退職】【ア】3/29 3/31 人事部付 園原 聖崇</t>
  </si>
  <si>
    <t>【4/1再入社】【退職】【ア】3/29 3/31 人事部付 伊藤 佑樹</t>
  </si>
  <si>
    <t>【4/1再入社】【退職】【ア】3/16 3/31 人事部付 髙島桃香</t>
  </si>
  <si>
    <t>【4/1再入社】【退職・支援解除】【ア】2/28 2/28 人事部付 佐藤涼平</t>
  </si>
  <si>
    <t>雪本恭生</t>
  </si>
  <si>
    <t>【退職】【業】なし 2/10 エックスフラッグスタジオ本部 雪本 恭生</t>
  </si>
  <si>
    <t>近藤匡祐</t>
  </si>
  <si>
    <t>【退職】【業】なし 2/10 エックスフラッグスタジオ本部 近藤 匡祐</t>
  </si>
  <si>
    <t>雨宮友輝</t>
  </si>
  <si>
    <t>【退職】【業】なし 2/10 エックスフラッグスタジオ本部 雨宮 友輝</t>
  </si>
  <si>
    <t>矢野義久</t>
  </si>
  <si>
    <t>【退職】【業】なし 2/10 エックスフラッグスタジオ本部 矢野 義久</t>
  </si>
  <si>
    <t>髙向保博</t>
  </si>
  <si>
    <t>【退職】【業】なし 2/10 エックスフラッグスタジオ本部 髙向 保博</t>
  </si>
  <si>
    <t>萩原和彦</t>
  </si>
  <si>
    <t>【退職】【業】なし 2/10 エックスフラッグスタジオ本部 萩原 和彦</t>
  </si>
  <si>
    <t>竹原司朗</t>
  </si>
  <si>
    <t>【退職】【業】なし 2/10 エックスフラッグスタジオ本部 竹原 司朗</t>
  </si>
  <si>
    <t>立石武史</t>
  </si>
  <si>
    <t>【退職】【正】2/28 2/28 XFLAGスタジオ本部 立石武史</t>
  </si>
  <si>
    <t>阿部初夏</t>
  </si>
  <si>
    <t xml:space="preserve">【退職】【業】02/06 02/06 人事部 阿部 初夏 </t>
  </si>
  <si>
    <t>兼古亮太</t>
  </si>
  <si>
    <t xml:space="preserve">【退職】【業】02/06 02/06 人事部 兼古 亮太 </t>
  </si>
  <si>
    <t>吉田重幸</t>
  </si>
  <si>
    <t>【退職】【業】02/06 02/06 人事部 吉田 重幸</t>
  </si>
  <si>
    <t>川村信晴</t>
  </si>
  <si>
    <t>【退職】【業】02/06 02/06 人事部 川村 信晴</t>
  </si>
  <si>
    <t>長浜敦子</t>
  </si>
  <si>
    <t>【退職】【業】02/06 02/06 人事部 長浜 敦子</t>
  </si>
  <si>
    <t>関直隆</t>
  </si>
  <si>
    <t>【退職】【業】02/06 02/06 人事部 関 直隆</t>
  </si>
  <si>
    <t>丸岡晃</t>
  </si>
  <si>
    <t>【退職】【業】02/06 02/06 人事部 丸岡 晃</t>
  </si>
  <si>
    <t>亀野円平</t>
  </si>
  <si>
    <t>【退職】【業】02/06 02/06 人事部 亀野 円平</t>
  </si>
  <si>
    <t>【退職】1/31 ミューズコー</t>
  </si>
  <si>
    <t>村山秀幸</t>
  </si>
  <si>
    <t>【退職】【正】01/26 02/08 XFLAG ENTERTAINMENT 村山 秀幸</t>
  </si>
  <si>
    <t>久藤瞬</t>
  </si>
  <si>
    <t>【退職】【正】1/31 1/31 XFLAG PICTURES 久藤瞬</t>
  </si>
  <si>
    <t>白築　可衣</t>
  </si>
  <si>
    <t>【退職】【正】02/28 03/20 白築 可衣</t>
  </si>
  <si>
    <t>岡本拓也</t>
  </si>
  <si>
    <t xml:space="preserve">【退職】【業】1/31 1/31 エックスフラッグスタジオ本部 岡本 拓也 </t>
  </si>
  <si>
    <t>【4/1再入社】【退職】【ア】2/28 3/31 人事部付 石井真奈美</t>
  </si>
  <si>
    <t>尾崎敬之</t>
  </si>
  <si>
    <t>【退職】【業】1/25 エックスフラッグスタジオ本部 尾崎 敬之</t>
  </si>
  <si>
    <t>井谷あいら</t>
  </si>
  <si>
    <t>【退職】【業】1/25 エックスフラッグスタジオ本部 井谷 あいら</t>
  </si>
  <si>
    <t>平良祐稀</t>
  </si>
  <si>
    <t>【退職】【業】1/25 エックスフラッグスタジオ本部 平良 祐稀</t>
  </si>
  <si>
    <t>川成彰</t>
  </si>
  <si>
    <t>【退職】【業】1/25 エックスフラッグスタジオ本部 川成 彰</t>
  </si>
  <si>
    <t>石野敦夫</t>
  </si>
  <si>
    <t>【退職】【業】1/31 1/31 XFLAG PICTURES 石野敦夫</t>
  </si>
  <si>
    <t>相場絵理香</t>
  </si>
  <si>
    <t>【退職】【ア】02/28 02/28 YYC事業部 相場 絵理香</t>
  </si>
  <si>
    <t>藤武侑子</t>
  </si>
  <si>
    <t>【退職】【ア】01/24 01/31 Diverseスタジオ結婚支援事業部 藤武 侑子</t>
  </si>
  <si>
    <t>河内明日見</t>
  </si>
  <si>
    <t>【退職】【派】1/31 1/31 株式会社Diverse 経営管理部採用育成グループ 河内明日見</t>
  </si>
  <si>
    <t>石川尊教</t>
  </si>
  <si>
    <t>【退職】【正】1/31 3/14 XFLAG MOBILE 石川尊教</t>
  </si>
  <si>
    <t>熊田早莉</t>
  </si>
  <si>
    <t>【退職】【ア】1/25 1/25 DiverseスタジオPoiboy事業部 熊田 早莉</t>
  </si>
  <si>
    <t>野田弘毅</t>
  </si>
  <si>
    <t>【退職】【正】02/15 02/15 ヴァンテージスタジオ 野田弘毅</t>
  </si>
  <si>
    <t>増田貴浩</t>
  </si>
  <si>
    <t>【退職】【正】2/17 2/19 人事部 増田 貴浩</t>
  </si>
  <si>
    <t>郡秀幸</t>
  </si>
  <si>
    <t>【退職】 【契】2/17 2/28 チケットキャンプ事業部 郡秀幸</t>
  </si>
  <si>
    <t>柏木郁美</t>
  </si>
  <si>
    <t>【退職】【業】12/30 1/31 mixiサービス部 柏木郁美</t>
  </si>
  <si>
    <t>進藤陽子</t>
  </si>
  <si>
    <t>【退職】【正】01/27 01/31 XFLAG ENTERTAINMENT 進藤陽子</t>
  </si>
  <si>
    <t>永道康彦</t>
  </si>
  <si>
    <t>【退職】【業】1/13 1/13 エックスフラッグスタジオ本部 永道 康彦</t>
  </si>
  <si>
    <t>樋口俊夫</t>
  </si>
  <si>
    <t>【退職】【業】1/13 1/13 エックスフラッグスタジオ本部 樋口 俊夫</t>
  </si>
  <si>
    <t>田川由美子</t>
  </si>
  <si>
    <t>【退職】【業】1/13 1/13 エックスフラッグスタジオ本部 田川 由美子</t>
  </si>
  <si>
    <t>【4/1再入社】【退職】【ア】2/1 2/1 人事部付 服部 一樹</t>
  </si>
  <si>
    <t>石井つかさ</t>
  </si>
  <si>
    <t>【4/1再入社】【退職】【ア】1/27 1/27 人事部付 石井 つかさ</t>
  </si>
  <si>
    <t>�【2/1�再入社】【退職】【ア】1/25 1/26 人事部付 吉岡 美香</t>
  </si>
  <si>
    <t>【退職】【正】01/31 01/31 経営推進本部 平岡 晃</t>
  </si>
  <si>
    <t>須田智美</t>
  </si>
  <si>
    <t>【退職】【正】1/13 1/31 エックスフラッグスタジオ本部 須田 智美</t>
  </si>
  <si>
    <t>【退職】【正】1/20 1/31 エックスフラッグスタジオ本部 八尋 勇太</t>
  </si>
  <si>
    <t>古市満</t>
  </si>
  <si>
    <t>【退職】【業】12/28 12/31 結婚支援事業部 古市満</t>
  </si>
  <si>
    <t>西沢貴子</t>
  </si>
  <si>
    <t>【退職】【業】12/22 12/22 エックスフラッグスタジオ本部 西沢 貴子</t>
  </si>
  <si>
    <t>長野麻喜</t>
  </si>
  <si>
    <t>【退職】【ア】12/22 12/31 Diverseスタジオ 長野麻喜</t>
  </si>
  <si>
    <t>小島直樹</t>
  </si>
  <si>
    <t>【退職】【業】12/28 12/31 小島直樹</t>
  </si>
  <si>
    <t>吉川裕典</t>
  </si>
  <si>
    <t>【退職】【業】12/16 12/31 エックスフラッグスタジオ本部 吉川裕典</t>
  </si>
  <si>
    <t>江崎忠子</t>
  </si>
  <si>
    <t>【退職】【正】12/28 12/31 XFLAG ARTS 江崎 忠子</t>
  </si>
  <si>
    <t>松浦有紗</t>
  </si>
  <si>
    <t xml:space="preserve">【退職】【業】12/28 12/31 XFLAG PICTURES 松浦 有紗 </t>
  </si>
  <si>
    <t>大橋智</t>
  </si>
  <si>
    <t>【退職】【業】12/28 12/31 XFLAG PICTURES 大橋 智</t>
  </si>
  <si>
    <t>斉藤広行</t>
  </si>
  <si>
    <t xml:space="preserve">【退職】【業】12/28 12/31 XFLAG PICTURES 斉藤 広行 </t>
  </si>
  <si>
    <t>菊池祐哉</t>
  </si>
  <si>
    <t xml:space="preserve">【退職】【業】12/28 12/31 XFLAG PICTURES 菊池 祐哉 </t>
  </si>
  <si>
    <t xml:space="preserve">【退職】【業】12/28 12/31 XFLAG PICTURES 鈴木 真一 </t>
  </si>
  <si>
    <t>福島涼太</t>
  </si>
  <si>
    <t>【退職】【業】12/28 12/31 XFLAG PICTURES 福島 涼太</t>
  </si>
  <si>
    <t>高田真理</t>
  </si>
  <si>
    <t>【退職】【業】12/28 12/31 XFLAG PICTURES 高田 真理</t>
  </si>
  <si>
    <t>市川量也</t>
  </si>
  <si>
    <t>【退職】【業】12/28 12/31 XFLAG PICTURES 市川 量也</t>
  </si>
  <si>
    <t>【退職】【ア】12/26 12/31 人事部付 住友志帆</t>
  </si>
  <si>
    <t>髙田玲奈</t>
  </si>
  <si>
    <t>【退職】【ア】11/30 11/30 株式会社Diverse結婚支援事業部 髙田玲奈</t>
  </si>
  <si>
    <t>小堀有香</t>
  </si>
  <si>
    <t>【退職】【業】2016/12/09 12/09 人事部  小堀 有香</t>
  </si>
  <si>
    <t>高橋光彩</t>
  </si>
  <si>
    <t>【退職】【ア】12/22 12/31 結婚支援事業部 高橋 光彩</t>
  </si>
  <si>
    <t>原一史</t>
  </si>
  <si>
    <t>【退職】【正】12/16 12/31 ノハナ 原 一史</t>
  </si>
  <si>
    <t>岡智香</t>
  </si>
  <si>
    <t>【退職】【業】12/15 12/15 事業推進部 岡 智香</t>
  </si>
  <si>
    <t>石川秀美</t>
  </si>
  <si>
    <t>【退職】【業】12/15 12/15 事業推進部 石川 秀美</t>
  </si>
  <si>
    <t>木村美保</t>
  </si>
  <si>
    <t>【退職】【業】12/15 12/15 事業推進部 木村 美保</t>
  </si>
  <si>
    <t>島田進</t>
  </si>
  <si>
    <t>【退職】【正】11/14 01/19 法務部 島田進</t>
  </si>
  <si>
    <t>【退職】【業】11/30 11/30 ノハナ 佐藤 智美</t>
  </si>
  <si>
    <t>山本健太郎</t>
  </si>
  <si>
    <t>【退職】【業】2016/11/30　11/30　人事部　 山本 健太郎</t>
  </si>
  <si>
    <t>國武比奈</t>
  </si>
  <si>
    <t>【退職】【業】なし 11/30 エックスフラッグスタジオ本部 國武 比奈</t>
  </si>
  <si>
    <t>高倉優児</t>
  </si>
  <si>
    <t>【退職】【業】なし 11/30 エックスフラッグスタジオ本部 高倉 優児</t>
  </si>
  <si>
    <t>平宗一郎</t>
  </si>
  <si>
    <t>【退職】【業】なし 11/30 エックスフラッグスタジオ本部 平 宗一郎</t>
  </si>
  <si>
    <t>吉村直也</t>
  </si>
  <si>
    <t>【退職】【業】なし 11/30 エックスフラッグスタジオ本部 吉村 直也</t>
  </si>
  <si>
    <t>阿部竜</t>
  </si>
  <si>
    <t>【退職】【業】なし 11/30 エックスフラッグスタジオ本部 阿部 竜</t>
  </si>
  <si>
    <t>柳内映人</t>
  </si>
  <si>
    <t>【退職】【業】なし 11/30 エックスフラッグスタジオ本部 柳内 映人</t>
  </si>
  <si>
    <t>森尾未莉</t>
  </si>
  <si>
    <t>【退職】【業】なし 11/30 エックスフラッグスタジオ本部 森尾 未莉</t>
  </si>
  <si>
    <t>【退職】【正】12/28 01/31 ヴァンテージスタジオ 島田 茂樹</t>
  </si>
  <si>
    <t>山野凌</t>
  </si>
  <si>
    <t>【退職】【ア】12/22 12/31 XFLAG MOBILE 山野凌</t>
  </si>
  <si>
    <t>平口絢</t>
  </si>
  <si>
    <t>【退職】【正】12/19 12/31 XFLAG MOBILE 平口絢</t>
  </si>
  <si>
    <t>飯塚つぐみ</t>
  </si>
  <si>
    <t>【退職】【ア】12/28 12/31 XFLAG MOBILE 飯塚つぐみ</t>
  </si>
  <si>
    <t>高草木良</t>
  </si>
  <si>
    <t>【退職】【業】11/30 11/30 エックスフラッグスタジオ本部 高草木 良</t>
  </si>
  <si>
    <t>松本紗瑛</t>
  </si>
  <si>
    <t>【退職】【業】11/30 11/30 エックスフラッグスタジオ本部 松本 紗瑛</t>
  </si>
  <si>
    <t>前山知宏</t>
  </si>
  <si>
    <t>【退職】【業】11/30 11/30 エックスフラッグスタジオ本部 前山 知宏</t>
  </si>
  <si>
    <t>松本英幸</t>
  </si>
  <si>
    <t>【退職】【業】11/30 11/30 エックスフラッグスタジオ本部 松本 英幸</t>
  </si>
  <si>
    <t>石黒瑞輝</t>
  </si>
  <si>
    <t>【退職】【業】11/30 11/30 エックスフラッグスタジオ本部 石黒 瑞輝</t>
  </si>
  <si>
    <t>梨本裕美</t>
  </si>
  <si>
    <t>【退職】【業】11/30 11/30 エックスフラッグスタジオ本部 梨本 裕美</t>
  </si>
  <si>
    <t>小林玉枝</t>
  </si>
  <si>
    <t xml:space="preserve">【退職】【業】11/30 11/30 エックスフラッグスタジオ本部 小林 玉枝 </t>
  </si>
  <si>
    <t>木田由香里</t>
  </si>
  <si>
    <t>【退職】【業】11/30 11/30 株式会社ﾐｸｼｨ・ﾘｸﾙｰﾄﾒﾝﾄ 木田由香里</t>
  </si>
  <si>
    <t>兼田昂季</t>
  </si>
  <si>
    <t>【退職】【業】12/28 12/31 XFLAG MOBILE 兼田昂季</t>
  </si>
  <si>
    <t>林優樹</t>
  </si>
  <si>
    <t>【退職】【業】12/28 12/31 XFLAG MOBILE 林優樹</t>
  </si>
  <si>
    <t>加藤亮</t>
  </si>
  <si>
    <t>【退職】【業】12/15 12/31 XFLAG MOBILE 加藤亮</t>
  </si>
  <si>
    <t>【退職】【派】11/25 11/30 エックスフラッグスタジオ本部 佐藤晶</t>
  </si>
  <si>
    <t>田島大輔</t>
  </si>
  <si>
    <t>【退職】【正】12/16 12/31 XFLAG MOBILE 田島 大輔</t>
  </si>
  <si>
    <t>上石真</t>
  </si>
  <si>
    <t>【退職】【業】11/30 11/30 XFLAG MOBILE 上石真</t>
  </si>
  <si>
    <t>【退職】【業】11/30 11/30 経営推進本部 落合伸彦</t>
  </si>
  <si>
    <t>池田龍矢</t>
  </si>
  <si>
    <t>【退職】【正】12/9 12/15 エックスフラッグスタジオ本部 池田龍矢</t>
  </si>
  <si>
    <t>別途添付</t>
  </si>
  <si>
    <t>【退職】【正・契・ア・業】11/30 11/30 Diverse</t>
  </si>
  <si>
    <t>本山淳</t>
  </si>
  <si>
    <t>【退職】【派】11/30 11/30 DiverseYYC事業部 本山 淳</t>
  </si>
  <si>
    <t>金原和美</t>
  </si>
  <si>
    <t>【退職】【ア】11/30 11/30 Diverse結婚支援事業部 金原 和美</t>
  </si>
  <si>
    <t>足木まどか</t>
  </si>
  <si>
    <t xml:space="preserve">【退職】【ア】11/30 11/29 Diverse結婚支援事業部 足木 まどか </t>
  </si>
  <si>
    <t>舘坂瑠衣</t>
  </si>
  <si>
    <t>【退職】【業】なし 11/15 エックスフラッグスタジオ本部 舘坂 瑠衣</t>
  </si>
  <si>
    <t>松本聡</t>
  </si>
  <si>
    <t>【退職】【正】12/15 12/15 XFLAG MOBILE 松本聡</t>
  </si>
  <si>
    <t>【退職】【正】 11/18 12/31 はたらく環境課 足立 淳</t>
  </si>
  <si>
    <t>【退職】 【正】12/28 12/31 ユーザー管理部 奥田匡彦</t>
  </si>
  <si>
    <t>向井健太</t>
  </si>
  <si>
    <t>【退職】【正】11/22 12/15 エックスフラッグスタジオ本部 向井 健太</t>
  </si>
  <si>
    <t>竹迫　仁美</t>
  </si>
  <si>
    <t>【退職】【正】11/18 11/30 事業推進部 竹迫仁美</t>
  </si>
  <si>
    <t>荻田加奈子</t>
  </si>
  <si>
    <t>【退職】【ア】2015/11/09 2016/12/14 DiverseYYC事業部 荻田 加奈子</t>
  </si>
  <si>
    <t>中嶋辰弥</t>
  </si>
  <si>
    <t>【退職】【正】  12/22 12/31 mixiサービス部 中嶋 辰弥</t>
  </si>
  <si>
    <t>一條真由美</t>
  </si>
  <si>
    <t>【退職】【業】11/7 11/7 エックスフラッグスタジオ本部 一條 真由美</t>
  </si>
  <si>
    <t>上條由布子</t>
  </si>
  <si>
    <t>【退職】【業】10/31 10/31 XFLAG MOBILE 上條由布子</t>
  </si>
  <si>
    <t>長谷川慧</t>
  </si>
  <si>
    <t>【退職】【業】10/31 10/31 エックスフラッグスタジオ本部 長谷川 慧</t>
  </si>
  <si>
    <t>水谷翔</t>
  </si>
  <si>
    <t>【退職】 【業】10/31 10/31 エックスフラッグスタジオ本部 水谷 翔</t>
  </si>
  <si>
    <t>水嶋泰一</t>
  </si>
  <si>
    <t>【退職】【正】10/28 11/08 エックスフラッグスタジオ本部 水嶋 泰一</t>
  </si>
  <si>
    <t>【退職】【業】10/28 10/31 エックスフラッグスタジオ本部 有田佳正</t>
  </si>
  <si>
    <t>【退職】【業】10/31 10/31 XFLAG MOBILE 韓貴俊</t>
  </si>
  <si>
    <t>【退職】【業】10/31 10/31 XFLAG MOBILE 湯祥君</t>
  </si>
  <si>
    <t>有川はる菜</t>
  </si>
  <si>
    <t>【退職】【派】10/29 10/31 Diverse結婚支援事業部 有川 はる菜</t>
  </si>
  <si>
    <t>小林千絵</t>
  </si>
  <si>
    <t>【退職】【正】10/31 11/15 ミューズコー事業推進部 小林千絵</t>
  </si>
  <si>
    <t>山田貴大</t>
  </si>
  <si>
    <t>【退職】【業】10/21 10/21 ﾐｸｼｨ・ﾘｸﾙｰﾄﾒﾝﾄ 山田貴大</t>
  </si>
  <si>
    <t>綿引健太</t>
  </si>
  <si>
    <t>【退職】【派】10/06 10/06 Diverse結婚支援事業部 綿引 健太</t>
  </si>
  <si>
    <t>箭内智</t>
  </si>
  <si>
    <t>【退職】【業】11/30 11/30 Diverse経営企画室 箭内智</t>
  </si>
  <si>
    <t>高松竜也</t>
  </si>
  <si>
    <t>【退職】【業】なし 10/17 エックスフラッグスタジオ本部 高松竜也</t>
  </si>
  <si>
    <t>上田真帆</t>
  </si>
  <si>
    <t>【退職】【業】なし 10/17 エックスフラッグスタジオ本部 上田真帆</t>
  </si>
  <si>
    <t>小林良太</t>
  </si>
  <si>
    <t>【退職】【業】10/14 10/17  エックスフラッグスタジオ本部 小林良太</t>
  </si>
  <si>
    <t>上田真</t>
  </si>
  <si>
    <t>【退職】【業】10/14 10/14 ノハナ 上田真</t>
  </si>
  <si>
    <t>鈴木清</t>
  </si>
  <si>
    <t>【退職】【業】9/28 10/7 人事部 鈴木清</t>
  </si>
  <si>
    <t>森田靖彬</t>
  </si>
  <si>
    <t>【退職】【正】10/21 10/31 エックスフラッグスタジオ本部 森田 靖彬</t>
  </si>
  <si>
    <t>矢部俊治</t>
  </si>
  <si>
    <t>【退職】【業】09/30 09/30 ゲーム開発室 矢部俊治</t>
  </si>
  <si>
    <t>渡邉めぐみ</t>
  </si>
  <si>
    <t>【退職】【正】10/15 10/15 ミューズコー事業推進部 渡邉めぐみ</t>
  </si>
  <si>
    <t>【退職】【ア】10/15 10/16 DiversePoiParty 深井 勇樹</t>
  </si>
  <si>
    <t>【退職】【正】10/12 12/11 人事部 玉井 賀子</t>
  </si>
  <si>
    <t>魚住直輝</t>
  </si>
  <si>
    <t>【退職】【業】2016/09/30 2016/09/30 ヴァンテージスタジオ 魚住 直輝</t>
  </si>
  <si>
    <t>阿部竜作</t>
  </si>
  <si>
    <t>【退職】【業】2016/09/30 2016/09/30 ヴァンテージスタジオ 阿部竜作</t>
  </si>
  <si>
    <t>村田真人</t>
  </si>
  <si>
    <t>【退職】【業】09/30 09/28村田真人</t>
  </si>
  <si>
    <t>高橋まどか</t>
  </si>
  <si>
    <t>【退職】【ア】10/15 10/15 ミューズコー 事業推進部部 高橋まどか（業務委託へ切り替え）</t>
  </si>
  <si>
    <t>石丸直人</t>
  </si>
  <si>
    <t>【退職】【業】09/30 09/30 ミューズコー事業推進部 石丸直人</t>
  </si>
  <si>
    <t>寺田　晃大</t>
  </si>
  <si>
    <t>【退職】【業】09/30 09/30 ミューズコー　事業推進部 寺田 晃大</t>
  </si>
  <si>
    <t>中村恭輔</t>
  </si>
  <si>
    <t>【退職】【ア/イ】09/30 09/30 人事部付 中村 恭輔</t>
  </si>
  <si>
    <t>加納英樹</t>
  </si>
  <si>
    <t>【退職】【ア/イ】10/14 10/14 人事部付 加納 英樹</t>
  </si>
  <si>
    <t>桒原仁雄</t>
  </si>
  <si>
    <t>【退職】【ア/イ】10/14 10/14 人事部付 桒原 仁雄</t>
  </si>
  <si>
    <t>周明慧</t>
  </si>
  <si>
    <t>【退職】【契】09/27 09/30 Diverseマーケティング室 周 明慧</t>
  </si>
  <si>
    <t>富田健二</t>
  </si>
  <si>
    <t>【退職】【正】09/30 09/30 DiversePoiParty 富田 健二</t>
  </si>
  <si>
    <t>【退職】【正】09/30 09/30 DiversePoiParty 鍬 のどか</t>
  </si>
  <si>
    <t>【退職】【業】10/14 10/15 XFLAG PICTURES 久藤瞬</t>
  </si>
  <si>
    <t>平沢カレン</t>
  </si>
  <si>
    <t>【退職】【正】10/31 9/30 ミューズコー株式会社　事業推進部 平沢カレン</t>
  </si>
  <si>
    <t>粳田成美</t>
  </si>
  <si>
    <t>【退職】【ア】09/30 09/30 ミューズコー株式会社　事業推進部 粳田成美</t>
  </si>
  <si>
    <t>星野宏太</t>
  </si>
  <si>
    <t>【退職】【業】09/30 09/30 XFLAGMOBILE 星野 宏太</t>
  </si>
  <si>
    <t>田原歩美</t>
  </si>
  <si>
    <t>【退職】【契】2016/07/21 2016/09/11 Diverse経営企画室 田原 歩美</t>
  </si>
  <si>
    <t>目崎美帆</t>
  </si>
  <si>
    <t>【退職】【ア】9/16 9/30 ヴァンテージスタジオ 目崎 美帆</t>
  </si>
  <si>
    <t>須賀一博</t>
  </si>
  <si>
    <t>【退職】【ア】9/15 9/30 ヴァンテージスタジオ 須賀 一博</t>
  </si>
  <si>
    <t>【退職】【ア/イ】09/30 09/30 人事部付 佐藤 涼平</t>
  </si>
  <si>
    <t>石倉まどか</t>
  </si>
  <si>
    <t>【退職】【派】09/23 10/01 Diverse経営企画室 石倉まどか</t>
  </si>
  <si>
    <t>【退職】【ア】09/14 09/30 DiversePoiParty 八木源吾</t>
  </si>
  <si>
    <t>佐藤公彦</t>
  </si>
  <si>
    <t>【退職】【ア】09/16 09/30 DiversePoiParty 佐藤公彦</t>
  </si>
  <si>
    <t>【退職】【ア】09/11 09/30 DiverseYYC事業部 市川正人</t>
  </si>
  <si>
    <t>向平卓矢</t>
  </si>
  <si>
    <t>【支援解除】【退職】【ア/イ】09/23 09/23 人事部付 向平 卓矢</t>
  </si>
  <si>
    <t>武田悠暉</t>
  </si>
  <si>
    <t>【退職】【ア/イ】09/23 09/23 人事部付 武田 悠暉</t>
  </si>
  <si>
    <t>福永彬</t>
  </si>
  <si>
    <t>【退職】【ア/イ】09/21 09/21 人事部付 福永彬</t>
  </si>
  <si>
    <t>【退職】【ア/イ】09/21 09/21 人事部付 萩原 涼介</t>
  </si>
  <si>
    <t>松本和高</t>
  </si>
  <si>
    <t>【支援解除】【退職】【ア/イ】09/30 09/30 人事部付 松本 和高</t>
  </si>
  <si>
    <t>【退職】【ア/イ】09/23 09/23 人事部付 佐々木 佑樹</t>
  </si>
  <si>
    <t>湧川仁貴</t>
  </si>
  <si>
    <t>【退職】【ア/イ】09/23 09/23 人事部付 湧川仁貴</t>
  </si>
  <si>
    <t>照屋のぞみ</t>
  </si>
  <si>
    <t>【退職】【ア/イ】09/30 09/30 人事部付 照屋 のぞみ</t>
  </si>
  <si>
    <t>田沢直人</t>
  </si>
  <si>
    <t>【退職】【ア】09/01 09/30 DiverseYYC事業部 田沢直人</t>
  </si>
  <si>
    <t>茂呂サブリナ</t>
  </si>
  <si>
    <t>【退職】【ア】9/2 9/30 エックスフラッグスタジオ海外運用部 茂呂サブリナ</t>
  </si>
  <si>
    <t>秋庭信也</t>
  </si>
  <si>
    <t>【退職】【正】 9/30 12/31 ヴァンテージスタジオ 秋庭信也</t>
  </si>
  <si>
    <t>【退職】【正】09/02 09/30 Diverse結婚支援事業部 大城 継</t>
  </si>
  <si>
    <t>郡裕一</t>
  </si>
  <si>
    <t>【退職】【業】08/31 08/31 株式会社ﾐｸｼｨ・ﾘｸﾙｰﾄﾒﾝﾄ 郡 裕一</t>
  </si>
  <si>
    <t>内山　雄太</t>
  </si>
  <si>
    <t>【退職】 【正】09/09 09/27 チケットキャンプ事業部 内山雄太</t>
  </si>
  <si>
    <t xml:space="preserve">【退職】【派】09/30 09/30 XFLAGスタジオ 菊地明貴子 </t>
  </si>
  <si>
    <t>遠藤昴</t>
  </si>
  <si>
    <t>【退職】【業】08/31 08/31 XFLAGMOBILE 遠藤 昴</t>
  </si>
  <si>
    <t>小林穂香</t>
  </si>
  <si>
    <t>【退職】【ア/イ】09/16 09/16 人事部付 小林 穂香</t>
  </si>
  <si>
    <t>飯塚昂大</t>
  </si>
  <si>
    <t>【退職】【ア/イ】09/06 09/06 人事部付 飯塚 昂大</t>
  </si>
  <si>
    <t>谷口慶一郎</t>
  </si>
  <si>
    <t>【退職】【ア/イ】09/13 09/13 人事部付 谷口 慶一郎</t>
  </si>
  <si>
    <t>柳橋夏美</t>
  </si>
  <si>
    <t>【退職】【ア】08/31 08/31 XFLAG ARTS 柳橋 夏美</t>
  </si>
  <si>
    <t>片桐拓重</t>
  </si>
  <si>
    <t>【退職】【ア】08/31 08/31 Diverse結婚支援事業部 片桐 拓重</t>
  </si>
  <si>
    <t>望月　武伸</t>
  </si>
  <si>
    <t>【退職】【正】08/23 08/31 事業推進部 望月武伸</t>
  </si>
  <si>
    <t>高屋彰</t>
  </si>
  <si>
    <t>【退職】【業】8/31 8/31 XFLAGスタジオ 高屋 彰</t>
  </si>
  <si>
    <t>有水勇樹</t>
  </si>
  <si>
    <t>【退職】【派】 08/03 08/03 DiverseYYC事業部 有水 勇樹</t>
  </si>
  <si>
    <t>【退職】【ア/イ】08/31 08/31人事部付 吉岡 美香</t>
  </si>
  <si>
    <t>【退職】【ア/イ】08/31 08/26 人事部付 八木 絵莉香</t>
  </si>
  <si>
    <t>池田祥平</t>
  </si>
  <si>
    <t>【退職】【ア/イ】08/31 08/31 人事部付 池田 祥平</t>
  </si>
  <si>
    <t>渡邉光</t>
  </si>
  <si>
    <t>【退職】【ア/イ】08/31 08/31 人事部付 渡邉 光</t>
  </si>
  <si>
    <t>山田雄希</t>
  </si>
  <si>
    <t>【退職】【ア/イ】08/30 08/31 人事部付 山田 雄希</t>
  </si>
  <si>
    <t>林恵子</t>
  </si>
  <si>
    <t>【退職】【業】8/31 8/31 株式会社ﾐｸｼｨ・ﾘｸﾙｰﾄﾒﾝﾄ 林 恵子</t>
  </si>
  <si>
    <t>水島悠介</t>
  </si>
  <si>
    <t>【退職】【業】08/24 08/31オレンジスタジオ 水島 悠介</t>
  </si>
  <si>
    <t>太田太河</t>
  </si>
  <si>
    <t>【退職】【業】 08/05 08/05 XFLAGスタジオ 太田 太河</t>
  </si>
  <si>
    <t>戸塚圭太郎</t>
  </si>
  <si>
    <t>【退職】【業】08/05 08/05 XFLAGスタジオ 戸塚 圭太郎</t>
  </si>
  <si>
    <t>川久保邦彦</t>
  </si>
  <si>
    <t>【退職】【正】08/31 08/31 XFLAGスタジオ 川久保 邦彦</t>
  </si>
  <si>
    <t>【退職】【正】06/24 08/24 人事部 森田 潤也</t>
  </si>
  <si>
    <t>奥村潤平</t>
  </si>
  <si>
    <t>【退職】【契】07/31 08/27 ダイバース 奥村 潤平</t>
  </si>
  <si>
    <t>【退職】【ア】07/30 08/07 ダイバース 田中 友彬</t>
  </si>
  <si>
    <t>宮野章</t>
  </si>
  <si>
    <t>【退職】【ア】07/30 08/14 ダイバース 宮野 章</t>
  </si>
  <si>
    <t>橋本祐樹</t>
  </si>
  <si>
    <t>【退職】【正】08/04 08/31 XFLAGスタジオ 橋本 祐樹</t>
  </si>
  <si>
    <t>柿崎憲</t>
  </si>
  <si>
    <t>【退職】【正】07/29 08/31 XFLAGスタジオ 柿崎 憲</t>
  </si>
  <si>
    <t>名古屋パメラ</t>
  </si>
  <si>
    <t>【退職】【ア】07/08 08/15 ミューズコー 名古屋 パメラ</t>
  </si>
  <si>
    <t>元原逸巳</t>
  </si>
  <si>
    <t>【退職】【正】07/25 08/15 ヴァンテージスタジオ 元原 逸巳</t>
  </si>
  <si>
    <t>北原　梢</t>
  </si>
  <si>
    <t>【退職】【業】08/15 08/31 ノハナ 北原 梢</t>
  </si>
  <si>
    <t>三串　一郎</t>
  </si>
  <si>
    <t>【退職】【正】2016/7/31　三串　一郎（※テストです無視してください）</t>
  </si>
  <si>
    <t>発令日</t>
  </si>
  <si>
    <t>廃止部室</t>
  </si>
  <si>
    <t>新設部室</t>
  </si>
  <si>
    <t>新設</t>
  </si>
  <si>
    <t>変更</t>
  </si>
  <si>
    <t>取締役直下</t>
  </si>
  <si>
    <t>参照元：</t>
  </si>
  <si>
    <t>ファイルサーバー最終更新日付集計.xlsx</t>
  </si>
  <si>
    <t>本部￥部</t>
  </si>
  <si>
    <t>部</t>
  </si>
  <si>
    <t>LastWriteDateTime</t>
  </si>
  <si>
    <t>LastWriteDate</t>
  </si>
  <si>
    <t>GB</t>
  </si>
  <si>
    <t>Usage%</t>
  </si>
  <si>
    <t>内部監査室/810_過去の監査役監査</t>
  </si>
  <si>
    <t>0.08GB</t>
  </si>
  <si>
    <t>ユーザーサービス本部/コマース部</t>
  </si>
  <si>
    <t>0.25GB</t>
  </si>
  <si>
    <t>経営推進本部/本部共有</t>
  </si>
  <si>
    <t>0.00GB</t>
  </si>
  <si>
    <t>イノベーションセンター/室共有</t>
  </si>
  <si>
    <t>0.11GB</t>
  </si>
  <si>
    <t>ユーザーサービス本部/本部共有</t>
  </si>
  <si>
    <t>0.27GB</t>
  </si>
  <si>
    <t>経営企画室/室共有</t>
  </si>
  <si>
    <t>1.44GB</t>
  </si>
  <si>
    <t>ユーザーサービス本部/プロダクト開発部</t>
  </si>
  <si>
    <t>0.02GB</t>
  </si>
  <si>
    <t>イノベーションセンター/イノベーションG</t>
  </si>
  <si>
    <t>2.59GB</t>
  </si>
  <si>
    <t>システム本部/人事部</t>
  </si>
  <si>
    <t>139.39GB</t>
  </si>
  <si>
    <t>社長室/ミクシィ・リサーチG</t>
  </si>
  <si>
    <t>事業デザイン本部/事業デザイン部</t>
  </si>
  <si>
    <t>5.22GB</t>
  </si>
  <si>
    <t>システム本部/本部共有</t>
  </si>
  <si>
    <t>0.18GB</t>
  </si>
  <si>
    <t>ゲーム事業本部/ゲーム事業部</t>
  </si>
  <si>
    <t>8.42GB</t>
  </si>
  <si>
    <t>クロスファンクション本部/イノベーションセンター</t>
  </si>
  <si>
    <t>11.68GB</t>
  </si>
  <si>
    <t>メディアコンテンツ事業本部/mixiマーケティング部</t>
  </si>
  <si>
    <t>2.12GB</t>
  </si>
  <si>
    <t>人事部/人材開発G</t>
  </si>
  <si>
    <t>74.80GB</t>
  </si>
  <si>
    <t>経営推進本部/広報IR室</t>
  </si>
  <si>
    <t>112.23GB</t>
  </si>
  <si>
    <t>モンストスタジオ/マーケティングG</t>
  </si>
  <si>
    <t>20.84GB</t>
  </si>
  <si>
    <t>経営推進本部/人事部</t>
  </si>
  <si>
    <t>386.09GB</t>
  </si>
  <si>
    <t>CS推進室/企画G</t>
  </si>
  <si>
    <t>0.13GB</t>
  </si>
  <si>
    <t>経営推進本部/CS推進部</t>
  </si>
  <si>
    <t>8.34GB</t>
  </si>
  <si>
    <t>会長室/live4uG</t>
  </si>
  <si>
    <t>0.09GB</t>
  </si>
  <si>
    <t>クロスファンクション本部/システム統括室</t>
  </si>
  <si>
    <t>1.62GB</t>
  </si>
  <si>
    <t>経営推進本部/CS推進室</t>
  </si>
  <si>
    <t>5.38GB</t>
  </si>
  <si>
    <t>ユーザーサービス本部/メディア統括部</t>
  </si>
  <si>
    <t>36.58GB</t>
  </si>
  <si>
    <t>メディアコンテンツ事業本部/ビジネス推進部</t>
  </si>
  <si>
    <t>0.43GB</t>
  </si>
  <si>
    <t>メディアコンテンツ事業本部/本部共有</t>
  </si>
  <si>
    <t>0.20GB</t>
  </si>
  <si>
    <t>経営企画本部/事業統括室</t>
  </si>
  <si>
    <t>2.69GB</t>
  </si>
  <si>
    <t>メディアコンテンツ事業本部/アドテク推進部</t>
  </si>
  <si>
    <t>0.23GB</t>
  </si>
  <si>
    <t>モンストスタジオ/新規事業推進室</t>
  </si>
  <si>
    <t>経営企画本部/本部共有</t>
  </si>
  <si>
    <t>経営推進本部/経営推進室</t>
  </si>
  <si>
    <t>モンストスタジオ/メディアミックス部</t>
  </si>
  <si>
    <t>118.03GB</t>
  </si>
  <si>
    <t>MS本部/セキュリティ室</t>
  </si>
  <si>
    <t>0.04GB</t>
  </si>
  <si>
    <t>MS本部/企画開発部</t>
  </si>
  <si>
    <t>1.42GB</t>
  </si>
  <si>
    <t>メディア事業本部/mixiサービス部</t>
  </si>
  <si>
    <t>0.01GB</t>
  </si>
  <si>
    <t>メディア事業本部/mixiゲーム部</t>
  </si>
  <si>
    <t>メディア事業本部/mixiシステム部</t>
  </si>
  <si>
    <t>0.03GB</t>
  </si>
  <si>
    <t>メディアコンテンツ事業本部/mixiサービス部</t>
  </si>
  <si>
    <t>1.90GB</t>
  </si>
  <si>
    <t>エックスフラッグスタジオ本部/アドテク部</t>
  </si>
  <si>
    <t>1.74GB</t>
  </si>
  <si>
    <t>エックスフラッグスタジオ本部/MTP推進室</t>
  </si>
  <si>
    <t>0.05GB</t>
  </si>
  <si>
    <t>オレンジスタジオ/本部共有</t>
  </si>
  <si>
    <t>0.07GB</t>
  </si>
  <si>
    <t>オレンジスタジオ/ゲーム部</t>
  </si>
  <si>
    <t>24.38GB</t>
  </si>
  <si>
    <t>エックスフラッグスタジオ本部/ゲーム開発室</t>
  </si>
  <si>
    <t>システム本部/運用部</t>
  </si>
  <si>
    <t>18.79GB</t>
  </si>
  <si>
    <t>MS本部/CS推進部</t>
  </si>
  <si>
    <t>81.05GB</t>
  </si>
  <si>
    <t>人事部/労務G</t>
  </si>
  <si>
    <t>9.23GB</t>
  </si>
  <si>
    <t>FindJob事業部/移管用</t>
  </si>
  <si>
    <t>82.69GB</t>
  </si>
  <si>
    <t>経営推進本部/総務部</t>
  </si>
  <si>
    <t>22.79GB</t>
  </si>
  <si>
    <t>メディアコンテンツ事業本部/mixiコンテンツ部</t>
  </si>
  <si>
    <t>117.62GB</t>
  </si>
  <si>
    <t>モンストスタジオ/システム開発部</t>
  </si>
  <si>
    <t>0.39GB</t>
  </si>
  <si>
    <t>ミクシィ・リクルートメント/経営企画室</t>
  </si>
  <si>
    <t>0.63GB</t>
  </si>
  <si>
    <t>人事部/はたらく環境G</t>
  </si>
  <si>
    <t>XFLAG事業本部/ビジネス開発室</t>
  </si>
  <si>
    <t>26.41GB</t>
  </si>
  <si>
    <t>エックスフラッグスタジオ本部/メディアミックス部</t>
  </si>
  <si>
    <t>740.99GB</t>
  </si>
  <si>
    <t>経営推進本部/スマートヘルス事業部</t>
  </si>
  <si>
    <t>ヴァンテージスタジオ/事業推進室</t>
  </si>
  <si>
    <t>36.68GB</t>
  </si>
  <si>
    <t>経営推進本部/経理財務部</t>
  </si>
  <si>
    <t>1.21GB</t>
  </si>
  <si>
    <t>システム本部/技術部</t>
  </si>
  <si>
    <t>32.32GB</t>
  </si>
  <si>
    <t>ヴァンテージスタジオ/新規事業推進室</t>
  </si>
  <si>
    <t>エックスフラッグスタジオ本部/海外運用部</t>
  </si>
  <si>
    <t>4.76GB</t>
  </si>
  <si>
    <t>エックスフラッグスタジオ本部/新規事業推進室</t>
  </si>
  <si>
    <t>0.30GB</t>
  </si>
  <si>
    <t>エックスフラッグスタジオ本部/システム開発部</t>
  </si>
  <si>
    <t>6.93GB</t>
  </si>
  <si>
    <t>会長室/みてねG</t>
  </si>
  <si>
    <t>ヴァンテージスタジオ/ミクシィ・リクルートメント事業部</t>
  </si>
  <si>
    <t>0.33GB</t>
  </si>
  <si>
    <t>ヴァンテージスタジオ/minimo事業部</t>
  </si>
  <si>
    <t>0.53GB</t>
  </si>
  <si>
    <t>モンストスタジオ/本部共有</t>
  </si>
  <si>
    <t>484.00GB</t>
  </si>
  <si>
    <t>ヴァンテージスタジオ/mixi事業部</t>
  </si>
  <si>
    <t>44.65GB</t>
  </si>
  <si>
    <t>XFLAG ENTERTAINMENT/新規事業開発部</t>
  </si>
  <si>
    <t>Vantageスタジオ/エンパワーメント推進室</t>
  </si>
  <si>
    <t>XFLAG事業本部/XFLAG ARTS</t>
  </si>
  <si>
    <t>275.58GB</t>
  </si>
  <si>
    <t>オレンジスタジオ/mixiサービス部</t>
  </si>
  <si>
    <t>5.17GB</t>
  </si>
  <si>
    <t>エックスフラッグスタジオ本部/秘書室</t>
  </si>
  <si>
    <t>10.43GB</t>
  </si>
  <si>
    <t>統括管理本部/広報部</t>
  </si>
  <si>
    <t>122.56GB</t>
  </si>
  <si>
    <t>ライブエクスペリエンス事業本部/LX開発室</t>
  </si>
  <si>
    <t>XFLAG事業本部/XFLAG PICTURES</t>
  </si>
  <si>
    <t>7.79GB</t>
  </si>
  <si>
    <t>CS推進室/健全化推進G</t>
  </si>
  <si>
    <t>2.82GB</t>
  </si>
  <si>
    <t>デザイン本部/XFLAGデザイン室</t>
  </si>
  <si>
    <t>経営推進本部/法務部</t>
  </si>
  <si>
    <t>15.05GB</t>
  </si>
  <si>
    <t>ヴァンテージスタジオ/mixiサービス部</t>
  </si>
  <si>
    <t>2.14GB</t>
  </si>
  <si>
    <t>XFLAG ARTS/XFLAGデザイン室</t>
  </si>
  <si>
    <t>353.99GB</t>
  </si>
  <si>
    <t>ヴァンテージスタジオ/みてね事業部</t>
  </si>
  <si>
    <t>Diverseスタジオ/経営管理部</t>
  </si>
  <si>
    <t>24.07GB</t>
  </si>
  <si>
    <t>マーケティング本部/マーケティング戦略室</t>
  </si>
  <si>
    <t>70.61GB</t>
  </si>
  <si>
    <t>デザイン本部/制作室</t>
  </si>
  <si>
    <t>1549.96GB</t>
  </si>
  <si>
    <t>ノハナ/全社共有</t>
  </si>
  <si>
    <t>735.13GB</t>
  </si>
  <si>
    <t>人事部/企画G</t>
  </si>
  <si>
    <t>28.37GB</t>
  </si>
  <si>
    <t>経営推進本部/はたらく環境室</t>
  </si>
  <si>
    <t>ライブエクスペリエンス事業本部/本部共有</t>
  </si>
  <si>
    <t>35.89GB</t>
  </si>
  <si>
    <t>Vantageスタジオ/みてね事業部</t>
  </si>
  <si>
    <t>社長本部/スポーツギフティング部</t>
  </si>
  <si>
    <t>3810.25GB</t>
  </si>
  <si>
    <t>モンスト事業本部/ブランドコミュニケーション室</t>
  </si>
  <si>
    <t>経営推進本部/経営企画室</t>
  </si>
  <si>
    <t>41.59GB</t>
  </si>
  <si>
    <t>デジタルエンターテインメント事業本部/インキュベーション事業部</t>
  </si>
  <si>
    <t>デジタルエンターテインメント事業本部/事業開発室</t>
  </si>
  <si>
    <t>13.65GB</t>
  </si>
  <si>
    <t>デジタルエンターテインメント事業本部/MKP事業部</t>
  </si>
  <si>
    <t>ライブエクスペリエンス事業本部/ライブエンターテインメント事業部</t>
  </si>
  <si>
    <t>モンスト事業本部/マーケティング部</t>
  </si>
  <si>
    <t>517.31GB</t>
  </si>
  <si>
    <t>スマートヘルス/全社共有</t>
  </si>
  <si>
    <t>99.37GB</t>
  </si>
  <si>
    <t>デジタルエンターテインメント事業本部/IP開発室</t>
  </si>
  <si>
    <t>6.91GB</t>
  </si>
  <si>
    <t>モンスト事業本部/デザイン室</t>
  </si>
  <si>
    <t>1180.46GB</t>
  </si>
  <si>
    <t>Vantageスタジオ/新規事業開発室</t>
  </si>
  <si>
    <t>59.83GB</t>
  </si>
  <si>
    <t>ライブエクスペリエンス事業本部/マーチャンダイジング部</t>
  </si>
  <si>
    <t>56.02GB</t>
  </si>
  <si>
    <t>デジタルエンターテインメント事業本部/XFLAG PICTURES</t>
  </si>
  <si>
    <t>390.83GB</t>
  </si>
  <si>
    <t>社長本部/コーポレートコミュニケーション部</t>
  </si>
  <si>
    <t>1.29GB</t>
  </si>
  <si>
    <t>人事本部/人事部</t>
  </si>
  <si>
    <t>20.02GB</t>
  </si>
  <si>
    <t>エックスフラッグスタジオ本部/企画・運用部</t>
  </si>
  <si>
    <t>60.12GB</t>
  </si>
  <si>
    <t>ヴァンテージスタジオ/本部共有</t>
  </si>
  <si>
    <t>12.64GB</t>
  </si>
  <si>
    <t>デジタルエンターテインメント事業本部/事業企画部</t>
  </si>
  <si>
    <t>デジタルエンターテインメント事業本部/本部共有</t>
  </si>
  <si>
    <t>3.17GB</t>
  </si>
  <si>
    <t>スポーツ事業本部/事業戦略室</t>
  </si>
  <si>
    <t>54.96GB</t>
  </si>
  <si>
    <t>社長本部/スポーツマーケティング室</t>
  </si>
  <si>
    <t>モンスト事業本部/本部共有</t>
  </si>
  <si>
    <t>0.06GB</t>
  </si>
  <si>
    <t>XFLAG事業本部/IP開発室</t>
  </si>
  <si>
    <t>331.77GB</t>
  </si>
  <si>
    <t>エックスフラッグスタジオ本部/XFLAG ARTS</t>
  </si>
  <si>
    <t>201.00GB</t>
  </si>
  <si>
    <t>次世代エンターテインメント事業本部/次世代エンターテインメント室</t>
  </si>
  <si>
    <t>1.41GB</t>
  </si>
  <si>
    <t>内部監査室/999_その他</t>
  </si>
  <si>
    <t>0.16GB</t>
  </si>
  <si>
    <t>モンスト事業本部/ゲーム運営部</t>
  </si>
  <si>
    <t>63.44GB</t>
  </si>
  <si>
    <t>モンスト事業本部/ライフコミュニケーション部</t>
  </si>
  <si>
    <t>デザイン本部/XFLAG PICTURES</t>
  </si>
  <si>
    <t>内部監査室/企画G</t>
  </si>
  <si>
    <t>モンスト事業本部/MSスピンオフゲーム事業部</t>
  </si>
  <si>
    <t>51.06GB</t>
  </si>
  <si>
    <t>エックスフラッグスタジオ本部/XFLAG ENTERTAINMENT</t>
  </si>
  <si>
    <t>1404.94GB</t>
  </si>
  <si>
    <t>人事本部/人事企画部</t>
  </si>
  <si>
    <t>メディアコンテンツ事業本部/モンストスタジオ</t>
  </si>
  <si>
    <t>835.54GB</t>
  </si>
  <si>
    <t>統括管理本部/法務部</t>
  </si>
  <si>
    <t>23.31GB</t>
  </si>
  <si>
    <t>XFLAG事業本部/XFLAG MOBILE</t>
  </si>
  <si>
    <t>経営企画本部/経営企画部</t>
  </si>
  <si>
    <t>2.52GB</t>
  </si>
  <si>
    <t>コーポレートサポート本部/ビジネスサポート室</t>
  </si>
  <si>
    <t>50.67GB</t>
  </si>
  <si>
    <t>内部監査室/400_監査法人対応</t>
  </si>
  <si>
    <t>エックスフラッグスタジオ本部/XFLAG MOBILE</t>
  </si>
  <si>
    <t>経営推進本部/ビジネス開発室</t>
  </si>
  <si>
    <t>0.88GB</t>
  </si>
  <si>
    <t>メディア事業本部/本部共有</t>
  </si>
  <si>
    <t>7.72GB</t>
  </si>
  <si>
    <t>CS推進室/ユーザーサポートG</t>
  </si>
  <si>
    <t>4.51GB</t>
  </si>
  <si>
    <t>クロスファンクション本部/CS推進室</t>
  </si>
  <si>
    <t>0.67GB</t>
  </si>
  <si>
    <t>CS推進室/室共有</t>
  </si>
  <si>
    <t>65.38GB</t>
  </si>
  <si>
    <t>次世代エンターテインメント事業本部/ライブ動画ビジネス推進室</t>
  </si>
  <si>
    <t>190.16GB</t>
  </si>
  <si>
    <t>エックスフラッグスタジオ本部/本部共有</t>
  </si>
  <si>
    <t>5286.72GB</t>
  </si>
  <si>
    <t>エックスフラッグスタジオ本部/XFLAG GAMES</t>
  </si>
  <si>
    <t>713.43GB</t>
  </si>
  <si>
    <t>エックスフラッグスタジオ本部/マーケティング部</t>
  </si>
  <si>
    <t>621.66GB</t>
  </si>
  <si>
    <t>モンストスタジオ/マーケティング部</t>
  </si>
  <si>
    <t>1400.35GB</t>
  </si>
  <si>
    <t>XFLAG ENTERTAINMENT/マーチャンダイジング部</t>
  </si>
  <si>
    <t>21.80GB</t>
  </si>
  <si>
    <t>はたらく環境推進本部/社内IT室</t>
  </si>
  <si>
    <t>人事部/部共有</t>
  </si>
  <si>
    <t>290.15GB</t>
  </si>
  <si>
    <t>人事部/採用・育成G</t>
  </si>
  <si>
    <t>56.91GB</t>
  </si>
  <si>
    <t>内部監査室/関係会社監査G</t>
  </si>
  <si>
    <t>人事本部/人材採用部</t>
  </si>
  <si>
    <t>MS本部/本部共有</t>
  </si>
  <si>
    <t>12.08GB</t>
  </si>
  <si>
    <t>デザイン本部/本部共有</t>
  </si>
  <si>
    <t>32.29GB</t>
  </si>
  <si>
    <t>経営推進本部/社長室</t>
  </si>
  <si>
    <t>コーポレートサポート本部/はたらく環境室</t>
  </si>
  <si>
    <t>301.83GB</t>
  </si>
  <si>
    <t>デザイン本部/デザイン戦略室</t>
  </si>
  <si>
    <t>1.59GB</t>
  </si>
  <si>
    <t>人事部/全社人事G</t>
  </si>
  <si>
    <t>ミクシィ・リクルートメント/求人広告事業部</t>
  </si>
  <si>
    <t>93.24GB</t>
  </si>
  <si>
    <t>532.00GB</t>
  </si>
  <si>
    <t>デザイン本部/クリエイティブ室</t>
  </si>
  <si>
    <t>次世代エンターテインメント事業本部/ライブ動画プロダクト開発室</t>
  </si>
  <si>
    <t>ヴァンテージスタジオ/ゲーム部</t>
  </si>
  <si>
    <t>223.85GB</t>
  </si>
  <si>
    <t>ミクシィ・リクルートメント/全社共有</t>
  </si>
  <si>
    <t>285.06GB</t>
  </si>
  <si>
    <t>統括管理本部/CS部</t>
  </si>
  <si>
    <t>3.00GB</t>
  </si>
  <si>
    <t>エックスフラッグスタジオ本部/XFLAG PICTURES</t>
  </si>
  <si>
    <t>モンスト事業本部/開発室</t>
  </si>
  <si>
    <t>1.54GB</t>
  </si>
  <si>
    <t>監査役室/室共有</t>
  </si>
  <si>
    <t>0.85GB</t>
  </si>
  <si>
    <t>デジタルエンターテインメント事業本部/コトダマン事業部</t>
  </si>
  <si>
    <t>246.13GB</t>
  </si>
  <si>
    <t>内部監査室/100_部門監査</t>
  </si>
  <si>
    <t>23.43GB</t>
  </si>
  <si>
    <t>CS本部/CS部</t>
  </si>
  <si>
    <t>163.20GB</t>
  </si>
  <si>
    <t>内部監査室/800_業務改善</t>
  </si>
  <si>
    <t>0.42GB</t>
  </si>
  <si>
    <t>内部監査室/300_子会社監査</t>
  </si>
  <si>
    <t>5.27GB</t>
  </si>
  <si>
    <t>内部監査室/200_テーマ監査</t>
  </si>
  <si>
    <t>4.90GB</t>
  </si>
  <si>
    <t>内部監査室/000_内部監査室全般</t>
  </si>
  <si>
    <t>10.48GB</t>
  </si>
  <si>
    <t>ヴァンテージスタジオ/スタジオ企画室</t>
  </si>
  <si>
    <t>47.97GB</t>
  </si>
  <si>
    <t>人事本部/人事戦略部</t>
  </si>
  <si>
    <t>12.83GB</t>
  </si>
  <si>
    <t>エックスフラッグスタジオ本部/事業戦略室</t>
  </si>
  <si>
    <t>684.70GB</t>
  </si>
  <si>
    <t>はたらく環境推進本部/ビジネスサポート室</t>
  </si>
  <si>
    <t>45.35GB</t>
  </si>
  <si>
    <t>CS本部/CX部</t>
  </si>
  <si>
    <t>0.21GB</t>
  </si>
  <si>
    <t>人事本部/本部共有</t>
  </si>
  <si>
    <t>CS本部/本部共有</t>
  </si>
  <si>
    <t>1.20GB</t>
  </si>
  <si>
    <t>経営推進本部/経営企画部</t>
  </si>
  <si>
    <t>544.91GB</t>
  </si>
  <si>
    <t>モンストスタジオ/企画・運用部</t>
  </si>
  <si>
    <t>321.14GB</t>
  </si>
  <si>
    <t>人事本部/人材開発部</t>
  </si>
  <si>
    <t>6.57GB</t>
  </si>
  <si>
    <t>1.61GB</t>
  </si>
  <si>
    <t>162.73GB</t>
  </si>
  <si>
    <t>経営推進本部/情報セキュリティ室</t>
  </si>
  <si>
    <t>161.46GB</t>
  </si>
  <si>
    <t>経営推進本部/財務企画部</t>
  </si>
  <si>
    <t>26.66GB</t>
  </si>
  <si>
    <t>はたらく環境推進本部/本部共有</t>
  </si>
  <si>
    <t>411.70GB</t>
  </si>
  <si>
    <t>コンプライアンス本部/知財室</t>
  </si>
  <si>
    <t>14.49GB</t>
  </si>
  <si>
    <t>コンプライアンス本部/本部共有</t>
  </si>
  <si>
    <t>75.09GB</t>
  </si>
  <si>
    <t>ProjectName</t>
  </si>
  <si>
    <t>LastWriteTime</t>
  </si>
  <si>
    <t>0.10GB</t>
  </si>
  <si>
    <t>2.27GB</t>
  </si>
  <si>
    <t>5.49GB</t>
  </si>
  <si>
    <t>0.78GB</t>
  </si>
  <si>
    <t>4.64GB</t>
  </si>
  <si>
    <t>1.14GB</t>
  </si>
  <si>
    <t>0.49GB</t>
  </si>
  <si>
    <t>1.70GB</t>
  </si>
  <si>
    <t>3.01GB</t>
  </si>
  <si>
    <t>0.60GB</t>
  </si>
  <si>
    <t>2.05GB</t>
  </si>
  <si>
    <t>0.95GB</t>
  </si>
  <si>
    <t>0.22GB</t>
  </si>
  <si>
    <t>176.47GB</t>
  </si>
  <si>
    <t>1.09GB</t>
  </si>
  <si>
    <t>3.15GB</t>
  </si>
  <si>
    <t>5.82GB</t>
  </si>
  <si>
    <t>0.93GB</t>
  </si>
  <si>
    <t>1.19GB</t>
  </si>
  <si>
    <t>0.35GB</t>
  </si>
  <si>
    <t>5.28GB</t>
  </si>
  <si>
    <t>0.14GB</t>
  </si>
  <si>
    <t>0.46GB</t>
  </si>
  <si>
    <t>5.25GB</t>
  </si>
  <si>
    <t>12.78GB</t>
  </si>
  <si>
    <t>0.61GB</t>
  </si>
  <si>
    <t>19.54GB</t>
  </si>
  <si>
    <t>353.90GB</t>
  </si>
  <si>
    <t>1.86GB</t>
  </si>
  <si>
    <t>1640.74GB</t>
  </si>
  <si>
    <t>0.77GB</t>
  </si>
  <si>
    <t>17.73GB</t>
  </si>
  <si>
    <t>0.34GB</t>
  </si>
  <si>
    <t>1158.40GB</t>
  </si>
  <si>
    <t>149.68GB</t>
  </si>
  <si>
    <t>7.75GB</t>
  </si>
  <si>
    <t>1.24GB</t>
  </si>
  <si>
    <t>2.36GB</t>
  </si>
  <si>
    <t>46.35GB</t>
  </si>
  <si>
    <t>18.33GB</t>
  </si>
  <si>
    <t>0.76GB</t>
  </si>
  <si>
    <t>0.38GB</t>
  </si>
  <si>
    <t>159.19GB</t>
  </si>
  <si>
    <t>102.93GB</t>
  </si>
  <si>
    <t>90.17GB</t>
  </si>
  <si>
    <t>480.28GB</t>
  </si>
  <si>
    <t>1.43GB</t>
  </si>
  <si>
    <t>477.23GB</t>
  </si>
  <si>
    <t>4.02GB</t>
  </si>
  <si>
    <t>3468.91GB</t>
  </si>
  <si>
    <t>206.80GB</t>
  </si>
  <si>
    <t>0.12GB</t>
  </si>
  <si>
    <t>43.05GB</t>
  </si>
  <si>
    <t>19.65GB</t>
  </si>
  <si>
    <t>1.48GB</t>
  </si>
  <si>
    <t>2.84GB</t>
  </si>
  <si>
    <t>0.48GB</t>
  </si>
  <si>
    <t>11.03GB</t>
  </si>
  <si>
    <t>7.34GB</t>
  </si>
  <si>
    <t>0.19GB</t>
  </si>
  <si>
    <t>114.64GB</t>
  </si>
  <si>
    <t>76.53GB</t>
  </si>
  <si>
    <t>79.94GB</t>
  </si>
  <si>
    <t>1596.02GB</t>
  </si>
  <si>
    <t>92.31GB</t>
  </si>
  <si>
    <t>1368.78GB</t>
  </si>
  <si>
    <t>6262.65GB</t>
  </si>
  <si>
    <t>8.02GB</t>
  </si>
  <si>
    <t>1420.86GB</t>
  </si>
  <si>
    <t>32063.28GB</t>
  </si>
  <si>
    <t>3746.40GB</t>
  </si>
  <si>
    <t>45.72GB</t>
  </si>
  <si>
    <t>871.42GB</t>
  </si>
  <si>
    <t>48.40GB</t>
  </si>
  <si>
    <t>1.25GB</t>
  </si>
  <si>
    <t>61.19GB</t>
  </si>
  <si>
    <t>1.17GB</t>
  </si>
  <si>
    <t>27.01GB</t>
  </si>
  <si>
    <t>1175.80GB</t>
  </si>
  <si>
    <t>2.90GB</t>
  </si>
  <si>
    <t>15805.60GB</t>
  </si>
  <si>
    <t>48116.43GB</t>
  </si>
  <si>
    <t>418.02GB</t>
  </si>
  <si>
    <t>13.25GB</t>
  </si>
  <si>
    <t>1230.15GB</t>
  </si>
  <si>
    <t>9922.15GB</t>
  </si>
  <si>
    <t>13579.15GB</t>
  </si>
  <si>
    <t>193.12GB</t>
  </si>
  <si>
    <t>1266.35GB</t>
  </si>
  <si>
    <t>43.89GB</t>
  </si>
  <si>
    <t>17.54GB</t>
  </si>
  <si>
    <t>120.32GB</t>
  </si>
  <si>
    <t>2.58GB</t>
  </si>
  <si>
    <t>2.35GB</t>
  </si>
  <si>
    <t>1.68GB</t>
  </si>
  <si>
    <t>17.04GB</t>
  </si>
  <si>
    <t>90.44GB</t>
  </si>
  <si>
    <t>525.02GB</t>
  </si>
  <si>
    <t>653.44GB</t>
  </si>
  <si>
    <t>4.58GB</t>
  </si>
  <si>
    <t>22.36GB</t>
  </si>
  <si>
    <t>221.86GB</t>
  </si>
  <si>
    <t>4881.30GB</t>
  </si>
  <si>
    <t>9.20GB</t>
  </si>
  <si>
    <t>3.90GB</t>
  </si>
  <si>
    <t>16.61GB</t>
  </si>
  <si>
    <t>210.56GB</t>
  </si>
  <si>
    <t>1149.15GB</t>
  </si>
  <si>
    <t>218.12GB</t>
  </si>
  <si>
    <t>13310.23GB</t>
  </si>
  <si>
    <t>33925.28GB</t>
  </si>
  <si>
    <t>85.19GB</t>
  </si>
  <si>
    <t>1550.04GB</t>
  </si>
  <si>
    <t>306.49GB</t>
  </si>
  <si>
    <t>参照元：merged_div_data</t>
  </si>
  <si>
    <t>path[directory:CS推進室/]</t>
  </si>
  <si>
    <t>CS推進室/開発G</t>
  </si>
  <si>
    <t>CS本部/技術部</t>
  </si>
  <si>
    <t>Diverseスタジオ/Poiboy事業部</t>
  </si>
  <si>
    <t>Diverseスタジオ/VEAT事業部</t>
  </si>
  <si>
    <t>Diverseスタジオ/youbride事業部</t>
  </si>
  <si>
    <t>Diverseスタジオ/YYC事業部</t>
  </si>
  <si>
    <t>Diverseスタジオ/インドマーケット部</t>
  </si>
  <si>
    <t>Diverseスタジオ/かいはつ室</t>
  </si>
  <si>
    <t>Diverseスタジオ/ビジネス推進室</t>
  </si>
  <si>
    <t>Diverseスタジオ/マーケティング室</t>
  </si>
  <si>
    <t>Diverseスタジオ/マッチングサービス事業部</t>
  </si>
  <si>
    <t>Diverseスタジオ/メディア事業部</t>
  </si>
  <si>
    <t>Diverseスタジオ/技術研究所</t>
  </si>
  <si>
    <t>Diverseスタジオ/結婚支援事業部</t>
  </si>
  <si>
    <t>Diverseスタジオ/健全化推進室</t>
  </si>
  <si>
    <t>Diverseスタジオ/新規サービス事業部</t>
  </si>
  <si>
    <t>Diverseスタジオ/本部共有</t>
  </si>
  <si>
    <t>Vantageスタジオ/AI・ロボット事業部</t>
  </si>
  <si>
    <t>Vantageスタジオ/minimo事業部</t>
  </si>
  <si>
    <t>Vantageスタジオ/Romi事業部</t>
  </si>
  <si>
    <t>Vantageスタジオ/システム部</t>
  </si>
  <si>
    <t>Vantageスタジオ/ミクシィ・リクルートメント事業部</t>
  </si>
  <si>
    <t>Vantageスタジオ/みてねプラットフォーム部</t>
  </si>
  <si>
    <t>Vantageスタジオ/みてねプロダクト開発部</t>
  </si>
  <si>
    <t>Vantageスタジオ/みてねマーケティング部</t>
  </si>
  <si>
    <t>Vantageスタジオ/みてね事業開発部</t>
  </si>
  <si>
    <t>Vantageスタジオ/本部共有</t>
  </si>
  <si>
    <t>XFLAG ARTS/モンストデザイン室</t>
  </si>
  <si>
    <t>XFLAG ARTS/本部共有</t>
  </si>
  <si>
    <t>XFLAG ENTERTAINMENT/ビバレッジ事業推進室</t>
  </si>
  <si>
    <t>XFLAG ENTERTAINMENT/本部共有</t>
  </si>
  <si>
    <t>XFLAG開発本部/XFLAG事業推進室</t>
  </si>
  <si>
    <t>XFLAG開発本部/本部共有</t>
  </si>
  <si>
    <t>XFLAG事業本部/XFLAG ENTERTAINMENT</t>
  </si>
  <si>
    <t>XFLAG事業本部/ゲーム開発室</t>
  </si>
  <si>
    <t>XFLAG事業本部/スポーツ事業推進室</t>
  </si>
  <si>
    <t>XFLAG事業本部/ファイトリーグ事業部</t>
  </si>
  <si>
    <t>XFLAG事業本部/フィンテック・エンターテインメント室</t>
  </si>
  <si>
    <t>XFLAG事業本部/事業戦略室</t>
  </si>
  <si>
    <t>XFLAG事業本部/新規事業推進室</t>
  </si>
  <si>
    <t>XFLAG事業本部/人事戦略室</t>
  </si>
  <si>
    <t>アイ・マーキュリーキャピタル/全社共有</t>
  </si>
  <si>
    <t>アドテクスタジオ/アドテクG</t>
  </si>
  <si>
    <t>アドテクスタジオ/開発G</t>
  </si>
  <si>
    <t>アドテクスタジオ/企画G</t>
  </si>
  <si>
    <t>アドテクスタジオ/室共有</t>
  </si>
  <si>
    <t>アライアンス統括本部/アリーナ事業部</t>
  </si>
  <si>
    <t>アライアンス統括本部/システム部</t>
  </si>
  <si>
    <t>アライアンス統括本部/スポーツギフティング部</t>
  </si>
  <si>
    <t>アライアンス統括本部/スポーツ事業部</t>
  </si>
  <si>
    <t>アライアンス統括本部/バスケットボール事業部</t>
  </si>
  <si>
    <t>アライアンス統括本部/ビバレッジ事業推進室</t>
  </si>
  <si>
    <t>アライアンス統括本部/フットボール事業部</t>
  </si>
  <si>
    <t>アライアンス統括本部/事業戦略室</t>
  </si>
  <si>
    <t>アライアンス統括本部/本部共有</t>
  </si>
  <si>
    <t>イノベーションセンター/DeployGateG</t>
  </si>
  <si>
    <t>イノベーションセンター/live4uG</t>
  </si>
  <si>
    <t>イノベーションセンター/minimoG</t>
  </si>
  <si>
    <t>イノベーションセンター/muukG</t>
  </si>
  <si>
    <t>イノベーションセンター/みてねG</t>
  </si>
  <si>
    <t>ヴァンテージスタジオ/Find Job ！事業部</t>
  </si>
  <si>
    <t>ヴァンテージスタジオ/mixiシステム部</t>
  </si>
  <si>
    <t>ヴァンテージスタジオ/システム部</t>
  </si>
  <si>
    <t>エックスフラッグスタジオ本部/XFLAG</t>
  </si>
  <si>
    <t>エックスフラッグスタジオ本部/エックスフラッグ</t>
  </si>
  <si>
    <t>エックスフラッグスタジオ本部/エックスフラッグ ピクチャーズ</t>
  </si>
  <si>
    <t>エックスフラッグスタジオ本部/デザイン室</t>
  </si>
  <si>
    <t>エックスフラッグスタジオ本部/人事戦略室</t>
  </si>
  <si>
    <t>エンターテインメントクリエイション室/室共有</t>
  </si>
  <si>
    <t>オレンジスタジオ/mixiシステム部</t>
  </si>
  <si>
    <t>クト/全社共有</t>
  </si>
  <si>
    <t>クロスファンクション本部/本部共有</t>
  </si>
  <si>
    <t>ゲーム事業本部/本部共有</t>
  </si>
  <si>
    <t>コーポレートサポート本部/本部共有</t>
  </si>
  <si>
    <t>コーポレートデベロップメント本部/Integration Management部</t>
  </si>
  <si>
    <t>コーポレートデベロップメント本部/事業開発部</t>
  </si>
  <si>
    <t>コーポレートデベロップメント本部/事業企画推進部</t>
  </si>
  <si>
    <t>コーポレートデベロップメント本部/投資事業部</t>
  </si>
  <si>
    <t>コーポレートデベロップメント本部/本部共有</t>
  </si>
  <si>
    <t>コーポレートファイナンス本部/財務企画部</t>
  </si>
  <si>
    <t>コーポレートファイナンス本部/本部共有</t>
  </si>
  <si>
    <t>スタジオフンザ/チケットキャンプ事業部</t>
  </si>
  <si>
    <t>スタジオフンザ/ユーザー管理部</t>
  </si>
  <si>
    <t>スタジオフンザ/経営企画室</t>
  </si>
  <si>
    <t>スタジオフンザ/研究開発部</t>
  </si>
  <si>
    <t>スタジオフンザ/新規事業推進室</t>
  </si>
  <si>
    <t>スタジオフンザ/本部共有</t>
  </si>
  <si>
    <t>スポーツ事業本部/システム部</t>
  </si>
  <si>
    <t>スポーツ事業本部/スポーツマーケティング室</t>
  </si>
  <si>
    <t>スポーツ事業本部/バスケットボール事業部</t>
  </si>
  <si>
    <t>スポーツ事業本部/ビバレッジ事業推進室</t>
  </si>
  <si>
    <t>スポーツ事業本部/フットボール事業部</t>
  </si>
  <si>
    <t>スポーツ事業本部/本部共有</t>
  </si>
  <si>
    <t>スマートヘルス事業部/BizDevG</t>
  </si>
  <si>
    <t>スマートヘルス事業部/SalesG</t>
  </si>
  <si>
    <t>スマートヘルス事業部/ウェルネスデザインG</t>
  </si>
  <si>
    <t>スマートヘルス事業部/サービスデザインG</t>
  </si>
  <si>
    <t>スマートヘルス事業部/開発G</t>
  </si>
  <si>
    <t>スマートヘルス事業部/技術G</t>
  </si>
  <si>
    <t>スマートヘルス事業部/事業開発G</t>
  </si>
  <si>
    <t>スマートヘルス事業部/事業推進G</t>
  </si>
  <si>
    <t>スマートヘルス事業部/事業戦略G</t>
  </si>
  <si>
    <t>スマートヘルス事業部/部共有</t>
  </si>
  <si>
    <t>セキュリティ室/セキュリティ管理G</t>
  </si>
  <si>
    <t>セキュリティ室/セキュリティ管理推進G</t>
  </si>
  <si>
    <t>セキュリティ室/セキュリティ技術G</t>
  </si>
  <si>
    <t>セキュリティ室/室共有</t>
  </si>
  <si>
    <t>ソーシャルベッティング事業本部/TIPSTAR事業部</t>
  </si>
  <si>
    <t>ソーシャルベッティング事業本部/チャリ・ロト事業部</t>
  </si>
  <si>
    <t>ソーシャルベッティング事業本部/ネットドリーマーズ事業部</t>
  </si>
  <si>
    <t>ソーシャルベッティング事業本部/価値創造室</t>
  </si>
  <si>
    <t>ソーシャルベッティング事業本部/海外ベッティング事業部</t>
  </si>
  <si>
    <t>ソーシャルベッティング事業本部/開発室</t>
  </si>
  <si>
    <t>ソーシャルベッティング事業本部/事業財務戦略室</t>
  </si>
  <si>
    <t>ソーシャルベッティング事業本部/新規プロダクト開発室</t>
  </si>
  <si>
    <t>ソーシャルベッティング事業本部/戦略室</t>
  </si>
  <si>
    <t>ソーシャルベッティング事業本部/本部共有</t>
  </si>
  <si>
    <t>チケットキャンプ事業部/カスタマーG</t>
  </si>
  <si>
    <t>チケットキャンプ事業部/カスタマーサポートG</t>
  </si>
  <si>
    <t>チケットキャンプ事業部/コンサルティングG</t>
  </si>
  <si>
    <t>チケットキャンプ事業部/サービスG</t>
  </si>
  <si>
    <t>チケットキャンプ事業部/ビジネスデベロップメントG</t>
  </si>
  <si>
    <t>チケットキャンプ事業部/マーケティングG</t>
  </si>
  <si>
    <t>チケットキャンプ事業部/経営企画G</t>
  </si>
  <si>
    <t>チケットキャンプ事業部/研究開発G</t>
  </si>
  <si>
    <t>チケットキャンプ事業部/部共有</t>
  </si>
  <si>
    <t>デザイン本部/デザイン推進室</t>
  </si>
  <si>
    <t>デザイン本部/プロダクトデザイン室</t>
  </si>
  <si>
    <t>デザイン本部/モンストデザイン室</t>
  </si>
  <si>
    <t>デジタルエンターテインメントオペレーションズ本部/コトダマン事業部</t>
  </si>
  <si>
    <t>デジタルエンターテインメントオペレーションズ本部/ファンマーケティング部</t>
  </si>
  <si>
    <t>デジタルエンターテインメントオペレーションズ本部/モンスト開発部</t>
  </si>
  <si>
    <t>デジタルエンターテインメントオペレーションズ本部/事業戦略部</t>
  </si>
  <si>
    <t>デジタルエンターテインメントオペレーションズ本部/宣伝部</t>
  </si>
  <si>
    <t>デジタルエンターテインメントオペレーションズ本部/本部共有</t>
  </si>
  <si>
    <t>デジタルエンターテインメントパブリッシング本部/グローバルモンスト室</t>
  </si>
  <si>
    <t>デジタルエンターテインメントパブリッシング本部/事業戦略室</t>
  </si>
  <si>
    <t>デジタルエンターテインメントパブリッシング本部/事業探索室</t>
  </si>
  <si>
    <t>デジタルエンターテインメントパブリッシング本部/本部共有</t>
  </si>
  <si>
    <t>デジタルエンターテインメント事業本部/honey事業部</t>
  </si>
  <si>
    <t>デジタルエンターテインメント事業本部/HRBP部</t>
  </si>
  <si>
    <t>デジタルエンターテインメント事業本部/Lily事業部</t>
  </si>
  <si>
    <t>デジタルエンターテインメント事業本部/ゲーム開発部</t>
  </si>
  <si>
    <t>デジタルエンターテインメント事業本部/スタースマッシュ事業部</t>
  </si>
  <si>
    <t>デジタルエンターテインメント事業本部/ネクストゲーム事業部</t>
  </si>
  <si>
    <t>デジタルエンターテインメント事業本部/ビジネス開発室</t>
  </si>
  <si>
    <t>デジタルエンターテインメント事業本部/ファイトリーグ事業部</t>
  </si>
  <si>
    <t>デジタルエンターテインメント事業本部/マーケティング部</t>
  </si>
  <si>
    <t>デジタルエンターテインメント事業本部/モンストIPエンハンス部</t>
  </si>
  <si>
    <t>デジタルエンターテインメント事業本部/モンストIPクリエイション部</t>
  </si>
  <si>
    <t>デジタルエンターテインメント事業本部/モンストゲーム運営部</t>
  </si>
  <si>
    <t>デジタルエンターテインメント事業本部/モンストシリーズゲーム事業部</t>
  </si>
  <si>
    <t>デジタルエンターテインメント事業本部/モンストマーケティング部</t>
  </si>
  <si>
    <t>デジタルエンターテインメント事業本部/横断推進部</t>
  </si>
  <si>
    <t>デジタルエンターテインメント事業本部/開発推進部</t>
  </si>
  <si>
    <t>デジタルエンターテインメント事業本部/事業管理部</t>
  </si>
  <si>
    <t>デジタルエンターテインメント事業本部/事業推進室</t>
  </si>
  <si>
    <t>デジタルエンターテインメント事業本部/新規開発領域長室</t>
  </si>
  <si>
    <t>はたらく環境推進本部/コーポレートITサービス部</t>
  </si>
  <si>
    <t>マーケティング本部/PR室</t>
  </si>
  <si>
    <t>マーケティング本部/デジタルマーケティング室</t>
  </si>
  <si>
    <t>マーケティング本部/ブランド戦略室</t>
  </si>
  <si>
    <t>マーケティング本部/マーケティング推進室</t>
  </si>
  <si>
    <t>マーケティング本部/本部共有</t>
  </si>
  <si>
    <t>ミクシィ・リクルートメント/人材紹介事業部</t>
  </si>
  <si>
    <t>ミクシィマーケティング/全社共有</t>
  </si>
  <si>
    <t>みてね事業本部/みてねプラットフォーム部</t>
  </si>
  <si>
    <t>みてね事業本部/みてねプロダクト開発部</t>
  </si>
  <si>
    <t>みてね事業本部/みてねマーケティング部</t>
  </si>
  <si>
    <t>みてね事業本部/みてね事業開発部</t>
  </si>
  <si>
    <t>みてね事業本部/本部共有</t>
  </si>
  <si>
    <t>メディアコンテンツ事業本部/事業推進部</t>
  </si>
  <si>
    <t>メディア事業本部/mixiコンテンツ部</t>
  </si>
  <si>
    <t>モンストスタジオ/事業戦略室</t>
  </si>
  <si>
    <t>モンスト事業本部/IP管理室</t>
  </si>
  <si>
    <t>モンスト事業本部/コンテンツクリエイション室</t>
  </si>
  <si>
    <t>モンスト事業本部/データマーケティング室</t>
  </si>
  <si>
    <t>モンスト事業本部/マーケティングコミュニケーション部</t>
  </si>
  <si>
    <t>モンスト事業本部/マーチャンダイジング部</t>
  </si>
  <si>
    <t>モンスト事業本部/ライブエンターテインメント事業部</t>
  </si>
  <si>
    <t>モンスト事業本部/事業開発室</t>
  </si>
  <si>
    <t>モンスト事業本部/事業支援室</t>
  </si>
  <si>
    <t>モンスト事業本部/新規事業開発部</t>
  </si>
  <si>
    <t>ライブエクスペリエンス事業本部/minimo事業部</t>
  </si>
  <si>
    <t>ライブエクスペリエンス事業本部/アリーナ事業部</t>
  </si>
  <si>
    <t>ライブエクスペリエンス事業本部/システム部</t>
  </si>
  <si>
    <t>ライブエクスペリエンス事業本部/スポーツギフティング部</t>
  </si>
  <si>
    <t>ライブエクスペリエンス事業本部/スポーツマーケティング室</t>
  </si>
  <si>
    <t>ライブエクスペリエンス事業本部/スポーツ事業部</t>
  </si>
  <si>
    <t>ライブエクスペリエンス事業本部/バスケットボール事業部</t>
  </si>
  <si>
    <t>ライブエクスペリエンス事業本部/ビバレッジ事業推進室</t>
  </si>
  <si>
    <t>ライブエクスペリエンス事業本部/ファンコミュニケーション部</t>
  </si>
  <si>
    <t>ライブエクスペリエンス事業本部/フットボール事業部</t>
  </si>
  <si>
    <t>ライブエクスペリエンス事業本部/ライセンス事業部</t>
  </si>
  <si>
    <t>ライブエクスペリエンス事業本部/企画推進部</t>
  </si>
  <si>
    <t>ライブエクスペリエンス事業本部/事業管理部</t>
  </si>
  <si>
    <t>ライブエクスペリエンス事業本部/事業戦略室</t>
  </si>
  <si>
    <t>ライブエクスペリエンス事業本部/新規事業開発部</t>
  </si>
  <si>
    <t>会長室/DeployGateG</t>
  </si>
  <si>
    <t>会長室/minimoG</t>
  </si>
  <si>
    <t>会長室/室共有</t>
  </si>
  <si>
    <t>開発本部/CTO室</t>
  </si>
  <si>
    <t>開発本部/MIXI M 事業部</t>
  </si>
  <si>
    <t>開発本部/XFLAG事業推進室</t>
  </si>
  <si>
    <t>開発本部/セキュリティ室</t>
  </si>
  <si>
    <t>開発本部/たんぽぽ室</t>
  </si>
  <si>
    <t>開発本部/本部共有</t>
  </si>
  <si>
    <t>経営企画本部/IR室</t>
  </si>
  <si>
    <t>経営企画本部/グループ経営企画室</t>
  </si>
  <si>
    <t>経営企画本部/グループ事業推進部</t>
  </si>
  <si>
    <t>経営企画本部/グループ統括室</t>
  </si>
  <si>
    <t>経営企画本部/経営管理部</t>
  </si>
  <si>
    <t>経営企画本部/経営企画室</t>
  </si>
  <si>
    <t>経営企画本部/経理財務部</t>
  </si>
  <si>
    <t>経営企画本部/投資・事業推進部</t>
  </si>
  <si>
    <t>経営推進本部/FP＆Aインテリジェンス部</t>
  </si>
  <si>
    <t>経営推進本部/グループ会社主計部</t>
  </si>
  <si>
    <t>経営推進本部/グループ統括室</t>
  </si>
  <si>
    <t>経営推進本部/ビジネスサポート室</t>
  </si>
  <si>
    <t>経営推進本部/経営管理部</t>
  </si>
  <si>
    <t>経営推進本部/経理税務部</t>
  </si>
  <si>
    <t>経営推進本部/人事部付け</t>
  </si>
  <si>
    <t>経営推進本部/投資・事業推進部</t>
  </si>
  <si>
    <t>経営推進本部/投資事業推進室</t>
  </si>
  <si>
    <t>事業デザイン本部/本部共有</t>
  </si>
  <si>
    <t>事業開発本部/事業開発室</t>
  </si>
  <si>
    <t>事業開発本部/事業推進室</t>
  </si>
  <si>
    <t>事業開発本部/本部共有</t>
  </si>
  <si>
    <t>次世代エンターテインメント事業本部/ID・ペイメント事業部</t>
  </si>
  <si>
    <t>次世代エンターテインメント事業本部/PIST6事業部</t>
  </si>
  <si>
    <t>次世代エンターテインメント事業本部/TIPSTAR開発部</t>
  </si>
  <si>
    <t>次世代エンターテインメント事業本部/TIPSTAR企画運営部</t>
  </si>
  <si>
    <t>次世代エンターテインメント事業本部/TIPSTAR事業企画部</t>
  </si>
  <si>
    <t>次世代エンターテインメント事業本部/TIPSTAR事業部</t>
  </si>
  <si>
    <t>次世代エンターテインメント事業本部/スポーツギフティング部</t>
  </si>
  <si>
    <t>次世代エンターテインメント事業本部/ビジネス開発室</t>
  </si>
  <si>
    <t>次世代エンターテインメント事業本部/ビジネス推進室</t>
  </si>
  <si>
    <t>次世代エンターテインメント事業本部/ブランド戦略室</t>
  </si>
  <si>
    <t>次世代エンターテインメント事業本部/マーケティング室</t>
  </si>
  <si>
    <t>次世代エンターテインメント事業本部/ライブ動画プラットフォーム事業部</t>
  </si>
  <si>
    <t>次世代エンターテインメント事業本部/事業開発部</t>
  </si>
  <si>
    <t>次世代エンターテインメント事業本部/事業企画部</t>
  </si>
  <si>
    <t>次世代エンターテインメント事業本部/社長室</t>
  </si>
  <si>
    <t>次世代エンターテインメント事業本部/戦略室</t>
  </si>
  <si>
    <t>次世代エンターテインメント事業本部/本部共有</t>
  </si>
  <si>
    <t>社長本部/ID・ペイメント事業部</t>
  </si>
  <si>
    <t>社長本部/PR室</t>
  </si>
  <si>
    <t>社長本部/XFLAG MOBILE</t>
  </si>
  <si>
    <t>社長本部/スポーツ事業推進室</t>
  </si>
  <si>
    <t>社長本部/スポーツ事業部</t>
  </si>
  <si>
    <t>社長本部/バスケットボール事業部</t>
  </si>
  <si>
    <t>社長本部/ビジネス開発室</t>
  </si>
  <si>
    <t>社長本部/フットボール事業部</t>
  </si>
  <si>
    <t>社長本部/ブランド戦略室</t>
  </si>
  <si>
    <t>社長本部/ライブ動画プラットフォーム事業部</t>
  </si>
  <si>
    <t>社長本部/次世代エンターテインメント室</t>
  </si>
  <si>
    <t>社長本部/社長室</t>
  </si>
  <si>
    <t>社長本部/本部共有</t>
  </si>
  <si>
    <t>渉外部/グローバルリレーションG</t>
  </si>
  <si>
    <t>渉外部/渉外G</t>
  </si>
  <si>
    <t>渉外部/部共有</t>
  </si>
  <si>
    <t>人事部/企画・労務G</t>
  </si>
  <si>
    <t>人事部/人材採用G</t>
  </si>
  <si>
    <t>人事部付/名称未設定フォルダ</t>
  </si>
  <si>
    <t>人事本部/エンパワーメント推進室</t>
  </si>
  <si>
    <t>人事本部/人材開発部付</t>
  </si>
  <si>
    <t>人事本部/人材採用部付</t>
  </si>
  <si>
    <t>人事本部/人事企画部付</t>
  </si>
  <si>
    <t>人事本部/人事戦略室</t>
  </si>
  <si>
    <t>人事本部/人事戦略部付</t>
  </si>
  <si>
    <t>人事本部/人事部付</t>
  </si>
  <si>
    <t>投資事業推進本部/アライアンス室</t>
  </si>
  <si>
    <t>投資事業推進本部/チャリ・ロト事業部</t>
  </si>
  <si>
    <t>投資事業推進本部/事業開発部</t>
  </si>
  <si>
    <t>投資事業推進本部/事業推進部</t>
  </si>
  <si>
    <t>投資事業推進本部/投資事業推進部</t>
  </si>
  <si>
    <t>投資事業推進本部/投資事業部</t>
  </si>
  <si>
    <t>投資事業推進本部/本部共有</t>
  </si>
  <si>
    <t>統括管理本部/エンパワーメント推進室</t>
  </si>
  <si>
    <t>統括管理本部/コーポレート・コミュニケーション室</t>
  </si>
  <si>
    <t>統括管理本部/本部共有</t>
  </si>
  <si>
    <t>内部監査室/ガバナンス支援G</t>
  </si>
  <si>
    <t>内部監査室/チャリ・ロト監査G</t>
  </si>
  <si>
    <t>内部監査室/内部監査G</t>
  </si>
  <si>
    <t>TopFolder</t>
  </si>
  <si>
    <t>FullName</t>
  </si>
  <si>
    <t>CS推進室\ユーザーサポートG</t>
  </si>
  <si>
    <t>\\file-sv01-nt\pub\div\CS推進室\ユーザーサポートG\東京センター\個人\山崎\最高のサポート\最高のサポート10.pptx</t>
  </si>
  <si>
    <t>CS推進室\企画G</t>
  </si>
  <si>
    <t>\\file-sv01-nt\pub\div\CS推進室\企画G\グループ共有\個人用\saito\【海外】問い合わせフォーム.xlsx</t>
  </si>
  <si>
    <t>CS推進室\健全化推進G</t>
  </si>
  <si>
    <t>\\file-sv01-nt\pub\div\CS推進室\健全化推進G\渉外T\04_佐藤\決済\エクスペンスフォーマット 2018年12月.xlsx</t>
  </si>
  <si>
    <t>CS推進室\室共有</t>
  </si>
  <si>
    <t>\\file-sv01-nt\pub\div\CS推進室\室共有\■移行済※更新不可※\月次発表会\2012年度\201211\発表資料\CS推進部施策方針2012年下期（月次発表会用おまけ）.pptx</t>
  </si>
  <si>
    <t>CS本部\CS部</t>
  </si>
  <si>
    <t>\\file-sv01-nt\pub\div\CS本部\CS部\CSG\健全化T\返金情報\【新ウルバリン】デイリーチェック用.xlsm</t>
  </si>
  <si>
    <t>CS本部\CX部</t>
  </si>
  <si>
    <t>\\file-sv01-nt\pub\div\CS本部\CX部\EnhancementG\グループ共有\Attentive Care T\書面対応\個人情報管理\ユーザー情報（住所+氏名）.xlsx</t>
  </si>
  <si>
    <t>CS本部\本部共有</t>
  </si>
  <si>
    <t>\\file-sv01-nt\pub\div\CS本部\本部共有\FY2026\請求書\Docker\2025年4月\2025-07-03_Docker_in_1Qzus4Ci2Sw6UZ9JsJVw8GqT.pdf</t>
  </si>
  <si>
    <t>Diverseスタジオ\経営管理部</t>
  </si>
  <si>
    <t>\\file-sv01-nt\pub\div\Diverseスタジオ\経営管理部\採用育成G\グループ共有\14_社員情報\シ）清水 麻美\Re  【ミクシィDiverseスタジオ】面接のご連絡（清水麻美様）.eml</t>
  </si>
  <si>
    <t>FindJob事業部\移管用</t>
  </si>
  <si>
    <t>\\file-sv01-nt\pub\div\FindJob事業部\移管用\新規メディアＧ\請求管理表.xlsx</t>
  </si>
  <si>
    <t>MS本部\CS推進部</t>
  </si>
  <si>
    <t>\\file-sv01-nt\pub\div\MS本部\CS推進部\部共有\11_help\「20161205_mixiモバイルSHA-2対応」\161201_MOBILE_招待・新規登録について.xlsx</t>
  </si>
  <si>
    <t>MS本部\セキュリティ室</t>
  </si>
  <si>
    <t>\\file-sv01-nt\pub\div\MS本部\セキュリティ室\室共有\marie.ichikawa\2015年度全社教育\受講確認リスト.xlsx</t>
  </si>
  <si>
    <t>MS本部\企画開発部</t>
  </si>
  <si>
    <t>\\file-sv01-nt\pub\div\MS本部\企画開発部\部共有\契約書・申込書\スカイアーク\ks-51414_個人情報取得のためのコーポレートサイト改修の件.pdf</t>
  </si>
  <si>
    <t>MS本部\本部共有</t>
  </si>
  <si>
    <t>\\file-sv01-nt\pub\div\MS本部\本部共有\01_本部方針\2014年度\FIX_MS本部方針資料.pptx</t>
  </si>
  <si>
    <t>Vantageスタジオ\mixi事業部</t>
  </si>
  <si>
    <t>\\file-sv01-nt\pub\div\Vantageスタジオ\mixi事業部\パートナービジネスG\ゲームT\企画・開拓\自社広告素材(北へ入稿済み)\掲載管理表2024~.xlsx</t>
  </si>
  <si>
    <t>Vantageスタジオ\エンパワーメント推進室</t>
  </si>
  <si>
    <t>\\file-sv01-nt\pub\div\Vantageスタジオ\エンパワーメント推進室\室共有\ExPing.zip</t>
  </si>
  <si>
    <t>Vantageスタジオ\みてね事業部</t>
  </si>
  <si>
    <t>\\file-sv01-nt\pub\div\Vantageスタジオ\みてね事業部\マーケティングG\グループ共有\~$当選者.xlsx</t>
  </si>
  <si>
    <t>Vantageスタジオ\新規事業開発室</t>
  </si>
  <si>
    <t>\\file-sv01-nt\pub\div\Vantageスタジオ\新規事業開発室\SKILASG\グループ共有\Cloud_SQL_Export_2020-01-30 (16_41_50)</t>
  </si>
  <si>
    <t>XFLAG ARTS\XFLAGデザイン室</t>
  </si>
  <si>
    <t>\\file-sv01-nt\pub\div\XFLAG ARTS\XFLAGデザイン室\サウンドG\グループ共有\SOUND IDEAS\Sounds of War -2448\Battle, World War 2_WAR01_71_01.wav</t>
  </si>
  <si>
    <t>XFLAG ENTERTAINMENT\マーチャンダイジング部</t>
  </si>
  <si>
    <t>\\file-sv01-nt\pub\div\XFLAG ENTERTAINMENT\マーチャンダイジング部\XFLAG STORE 店舗G\店舗企画T\峯\desktop.ini</t>
  </si>
  <si>
    <t>XFLAG ENTERTAINMENT\新規事業開発部</t>
  </si>
  <si>
    <t>\\file-sv01-nt\pub\div\XFLAG ENTERTAINMENT\新規事業開発部\部共有\【更新必須】LX事業本部_押印進捗.xlsx</t>
  </si>
  <si>
    <t>XFLAG事業本部\IP開発室</t>
  </si>
  <si>
    <t>\\file-sv01-nt\pub\div\XFLAG事業本部\IP開発室\出版開発G\グループ共有\03 単発もの\モンストぬりえ\~$0802最新台割.xlsx</t>
  </si>
  <si>
    <t>XFLAG事業本部\XFLAG ARTS</t>
  </si>
  <si>
    <t>\\file-sv01-nt\pub\div\XFLAG事業本部\XFLAG ARTS\ブランドデザインG\グループ共有\ウェブサイト\webデザインデータ移動しました.rtf</t>
  </si>
  <si>
    <t>XFLAG事業本部\XFLAG MOBILE</t>
  </si>
  <si>
    <t>\\file-sv01-nt\pub\div\XFLAG事業本部\XFLAG MOBILE\BackofficeG\BackofficeT\アカウント管理(開発)　※コピーやダウンロード禁止.xlsx</t>
  </si>
  <si>
    <t>XFLAG事業本部\XFLAG PICTURES</t>
  </si>
  <si>
    <t>\\file-sv01-nt\pub\div\XFLAG事業本部\XFLAG PICTURES\パートナービジネスG\グループ共有\アニメ設定_181211.zip</t>
  </si>
  <si>
    <t>XFLAG事業本部\ビジネス開発室</t>
  </si>
  <si>
    <t>\\file-sv01-nt\pub\div\XFLAG事業本部\ビジネス開発室\ビジネス開発G\グループ共有\Desktop\売上報告関連\【MARVEL Tsum Tsum】売上報告書（確定）_201704_Disney様.pdf</t>
  </si>
  <si>
    <t>イノベーションセンター\イノベーションG</t>
  </si>
  <si>
    <t>\\file-sv01-nt\pub\div\イノベーションセンター\イノベーションG\2-個別案件\社内ベンチャー制度\1-既存案件\121201_Hanna\nohana借入検討資料\資料\報告（１）_月次\財務分析nohana.pptx</t>
  </si>
  <si>
    <t>イノベーションセンター\室共有</t>
  </si>
  <si>
    <t>\\file-sv01-nt\pub\div\イノベーションセンター\室共有\2013.7.23 TechLion\P7230651.jpg</t>
  </si>
  <si>
    <t>ヴァンテージスタジオ\minimo事業部</t>
  </si>
  <si>
    <t>\\file-sv01-nt\pub\div\ヴァンテージスタジオ\minimo事業部\部共有\data.zip</t>
  </si>
  <si>
    <t>ヴァンテージスタジオ\mixiサービス部</t>
  </si>
  <si>
    <t>\\file-sv01-nt\pub\div\ヴァンテージスタジオ\mixiサービス部\CSG\サポートT\個人\大宮\テンプレ\stryedit.INI</t>
  </si>
  <si>
    <t>ヴァンテージスタジオ\mixi事業部</t>
  </si>
  <si>
    <t>\\file-sv01-nt\pub\div\ヴァンテージスタジオ\mixi事業部\部共有\assistant\請求書（北担）\ピットクルーコアオプス\10370_覚書.pdf</t>
  </si>
  <si>
    <t>ヴァンテージスタジオ\ゲーム部</t>
  </si>
  <si>
    <t>\\file-sv01-nt\pub\div\ヴァンテージスタジオ\ゲーム部\mixiゲームG\グループ共有\jun.ito\独自ドメインゲストプレイ\~$課金API修正案検討.xlsx</t>
  </si>
  <si>
    <t>ヴァンテージスタジオ\スタジオ企画室</t>
  </si>
  <si>
    <t>\\file-sv01-nt\pub\div\ヴァンテージスタジオ\スタジオ企画室\室共有\sowanaka\●色々\111004サービスロードマップv9.pptx</t>
  </si>
  <si>
    <t>ヴァンテージスタジオ\ミクシィ・リクルートメント事業部</t>
  </si>
  <si>
    <t>\\file-sv01-nt\pub\div\ヴァンテージスタジオ\ミクシィ・リクルートメント事業部\Find Job ！G\開発T\SSL証明書\2017-2019\_.find-job.net.zip</t>
  </si>
  <si>
    <t>ヴァンテージスタジオ\みてね事業部</t>
  </si>
  <si>
    <t>\\file-sv01-nt\pub\div\ヴァンテージスタジオ\みてね事業部\部共有\個人情報\バレンタインSNSキャンペーン201902\当選者4.lcx</t>
  </si>
  <si>
    <t>ヴァンテージスタジオ\事業推進室</t>
  </si>
  <si>
    <t>\\file-sv01-nt\pub\div\ヴァンテージスタジオ\事業推進室\live4uG\グループ共有\MOMENT_インタビュー撮影\SNSへの課題感やコミュニケーション上の文化など\170808_2_SNSの使い方など.mp4</t>
  </si>
  <si>
    <t>ヴァンテージスタジオ\新規事業推進室</t>
  </si>
  <si>
    <t>\\file-sv01-nt\pub\div\ヴァンテージスタジオ\新規事業推進室\live4uG\グループ共有\kimidoriクローズ\cash_post\cashpostマニュアル.pdf</t>
  </si>
  <si>
    <t>ヴァンテージスタジオ\本部共有</t>
  </si>
  <si>
    <t>\\file-sv01-nt\pub\div\ヴァンテージスタジオ\本部共有\daichi.katase\月次推移表\PL_20200414.xlsx</t>
  </si>
  <si>
    <t>エックスフラッグスタジオ本部\MTP推進室</t>
  </si>
  <si>
    <t>\\file-sv01-nt\pub\div\エックスフラッグスタジオ本部\MTP推進室\MTプロジェクトG\グループ共有\予算シート\2017年3月期予算シート【XFLAGMツム海外】_下期修正_0901.xlsx</t>
  </si>
  <si>
    <t>エックスフラッグスタジオ本部\XFLAG ARTS</t>
  </si>
  <si>
    <t>\\file-sv01-nt\pub\div\エックスフラッグスタジオ本部\XFLAG ARTS\室共有\サウンド決裁\clibor\clibor\ch\clb_data.dat</t>
  </si>
  <si>
    <t>エックスフラッグスタジオ本部\XFLAG ENTERTAINMENT</t>
  </si>
  <si>
    <t>\\file-sv01-nt\pub\div\エックスフラッグスタジオ本部\XFLAG ENTERTAINMENT\商品企画・開発G\グループ共有\商品開発T共有（アーカイブ)\29.JANコード\（注意）JANコード表　使用済み\JANコード表_458073644.xlsx</t>
  </si>
  <si>
    <t>エックスフラッグスタジオ本部\XFLAG GAMES</t>
  </si>
  <si>
    <t>\\file-sv01-nt\pub\div\エックスフラッグスタジオ本部\XFLAG GAMES\プロモーションG\グループ共有\振り返り\3周年\3周年振り返り＿ドラフト.pptx</t>
  </si>
  <si>
    <t>エックスフラッグスタジオ本部\XFLAG MOBILE</t>
  </si>
  <si>
    <t>\\file-sv01-nt\pub\div\エックスフラッグスタジオ本部\XFLAG MOBILE\室共有\送付状.xlsm</t>
  </si>
  <si>
    <t>エックスフラッグスタジオ本部\XFLAG PICTURES</t>
  </si>
  <si>
    <t>\\file-sv01-nt\pub\div\エックスフラッグスタジオ本部\XFLAG PICTURES\事業推進G\ボイス権利管理\ボイス権利管理DB.accdb</t>
  </si>
  <si>
    <t>エックスフラッグスタジオ本部\アドテク部</t>
  </si>
  <si>
    <t>\\file-sv01-nt\pub\div\エックスフラッグスタジオ本部\アドテク部\企画G\第1T\160705_【CZ監修クリエイティブ】\0705修正.zip</t>
  </si>
  <si>
    <t>エックスフラッグスタジオ本部\ゲーム開発室</t>
  </si>
  <si>
    <t>\\file-sv01-nt\pub\div\エックスフラッグスタジオ本部\ゲーム開発室\System3G\グループ共有\エージング\全体対応：ログ\error_log\[1474624596]_message.log</t>
  </si>
  <si>
    <t>エックスフラッグスタジオ本部\システム開発部</t>
  </si>
  <si>
    <t>\\file-sv01-nt\pub\div\エックスフラッグスタジオ本部\システム開発部\部共有\yuzhe.qian\8.2.13.patch\DragonStrike-Unstable.exe</t>
  </si>
  <si>
    <t>エックスフラッグスタジオ本部\マーケティング部</t>
  </si>
  <si>
    <t>\\file-sv01-nt\pub\div\エックスフラッグスタジオ本部\マーケティング部\プロモーションG\宣伝・PR企画T\Promotion\クリスマスCP2015\20151106クリスマスCPサイトWF.pdf</t>
  </si>
  <si>
    <t>エックスフラッグスタジオ本部\メディアミックス部</t>
  </si>
  <si>
    <t>\\file-sv01-nt\pub\div\エックスフラッグスタジオ本部\メディアミックス部\メディアミックスG\書籍雑誌T\高梨移行用\モンマガ制作費シュミレーション.xlsx</t>
  </si>
  <si>
    <t>エックスフラッグスタジオ本部\海外運用部</t>
  </si>
  <si>
    <t>\\file-sv01-nt\pub\div\エックスフラッグスタジオ本部\海外運用部\中国G\グループ共有\CN_EVA第一弾_ムービー.zip</t>
  </si>
  <si>
    <t>エックスフラッグスタジオ本部\企画・運用部</t>
  </si>
  <si>
    <t>\\file-sv01-nt\pub\div\エックスフラッグスタジオ本部\企画・運用部\モンスト企画G\企画T\mashiko\stage制作\作業\Ver17_0_練習モード\キャプチャ\クエスト追加時.PNG</t>
  </si>
  <si>
    <t>エックスフラッグスタジオ本部\事業戦略室</t>
  </si>
  <si>
    <t>\\file-sv01-nt\pub\div\エックスフラッグスタジオ本部\事業戦略室\室共有\宇佐美\デスクトップリプレイス用\20211201\Desktop\秘書G\レベシェア\【FY25_4Q】MSJP・TWレベシェア支払追加決裁申請資料_202503.xlsx</t>
  </si>
  <si>
    <t>エックスフラッグスタジオ本部\新規事業推進室</t>
  </si>
  <si>
    <t>\\file-sv01-nt\pub\div\エックスフラッグスタジオ本部\新規事業推進室\新規ゲーム推進第一G\グループ共有\契約書等\【エクレア】見積もりまとめ\2017\201711_11月決裁\株式会社RAYLINE STUDIO\11月納品書_レイラインスタジオ.pdf</t>
  </si>
  <si>
    <t>エックスフラッグスタジオ本部\秘書室</t>
  </si>
  <si>
    <t>\\file-sv01-nt\pub\div\エックスフラッグスタジオ本部\秘書室\秘書G\グループ共有\名刺\201810\【201810_2】名刺作成_フォーマット.xlsx</t>
  </si>
  <si>
    <t>エックスフラッグスタジオ本部\本部共有</t>
  </si>
  <si>
    <t>\\file-sv01-nt\pub\div\エックスフラッグスタジオ本部\本部共有\米田共有用\戦略資料\プロモーション戦略資料.pptx</t>
  </si>
  <si>
    <t>オレンジスタジオ\mixiサービス部</t>
  </si>
  <si>
    <t>\\file-sv01-nt\pub\div\オレンジスタジオ\mixiサービス部\CSG\グループ共有\シフト\当番表はこちら.txt</t>
  </si>
  <si>
    <t>オレンジスタジオ\ゲーム部</t>
  </si>
  <si>
    <t>\\file-sv01-nt\pub\div\オレンジスタジオ\ゲーム部\企画G\運用T\個人フォルダ\峯野\新サービス検討\物品交換\画面\20160907\検索_シリーズ名.jpg</t>
  </si>
  <si>
    <t>オレンジスタジオ\本部共有</t>
  </si>
  <si>
    <t>\\file-sv01-nt\pub\div\オレンジスタジオ\本部共有\広報関連\日経MJ_20160716\20160916NRSHF050065742.pdf</t>
  </si>
  <si>
    <t>クロスファンクション本部\CS推進室</t>
  </si>
  <si>
    <t>\\file-sv01-nt\pub\div\クロスファンクション本部\CS推進室\室共有\移行済※更新不可※\15期部門方針\ユーザーサポート\CS推進部15期部門方針【User support戦略】+.pptx</t>
  </si>
  <si>
    <t>クロスファンクション本部\イノベーションセンター</t>
  </si>
  <si>
    <t>\\file-sv01-nt\pub\div\クロスファンクション本部\イノベーションセンター\muukG\グループ共有\muuk2.0ユーザーテスト\04_muuk_Adatchi_20140610.mov</t>
  </si>
  <si>
    <t>クロスファンクション本部\システム統括室</t>
  </si>
  <si>
    <t>\\file-sv01-nt\pub\div\クロスファンクション本部\システム統括室\室共有\マネージャー用\運用部\MISC\AWS\aws_password_master.kdb</t>
  </si>
  <si>
    <t>ゲーム事業本部\ゲーム事業部</t>
  </si>
  <si>
    <t>\\file-sv01-nt\pub\div\ゲーム事業本部\ゲーム事業部\プロダクト推進G\グループ共有\teruuchi\old\発注書\201430mixi様_GartPayment.pdf</t>
  </si>
  <si>
    <t>コーポレートサポート本部\はたらく環境室</t>
  </si>
  <si>
    <t>\\file-sv01-nt\pub\div\コーポレートサポート本部\はたらく環境室\室共有\図面\MIXI様メール室ＨＰ案sbs20230518.docx</t>
  </si>
  <si>
    <t>コーポレートサポート本部\ビジネスサポート室</t>
  </si>
  <si>
    <t>\\file-sv01-nt\pub\div\コーポレートサポート本部\ビジネスサポート室\サウンドライツG\ボイスT\スタスマ\スタスマ_音響制作費.xlsx</t>
  </si>
  <si>
    <t>コンプライアンス本部\知財室</t>
  </si>
  <si>
    <t>\\file-sv01-nt\pub\div\コンプライアンス本部\知財室\特許G\グループ共有\2025\口座振替・発送目録\口座振替_20250318.pdf</t>
  </si>
  <si>
    <t>コンプライアンス本部\法務部</t>
  </si>
  <si>
    <t>\\file-sv01-nt\pub\div\コンプライアンス本部\法務部\コンプライアンスG\コンプライアンスT\リザーブ休暇_就業規則（案）\エキスパート社員就業規則_20220701（リザーブ休暇）_v3大樹コメントイン.docx</t>
  </si>
  <si>
    <t>コンプライアンス本部\本部共有</t>
  </si>
  <si>
    <t>\\file-sv01-nt\pub\div\コンプライアンス本部\本部共有\09子会社・関連会社\038.株式会社TOKYO-BAYアリーナマネジメント\02.取締役会\250326_臨時取締役会\250326_取締役会招集通知_TBAM.docx</t>
  </si>
  <si>
    <t>システム本部\運用部</t>
  </si>
  <si>
    <t>\\file-sv01-nt\pub\div\システム本部\運用部\部共有\検討\2012年度\201207うるう秒障害総務省報告\201207うるう秒障害総務省報告.zip.tmp</t>
  </si>
  <si>
    <t>システム本部\技術部</t>
  </si>
  <si>
    <t>\\file-sv01-nt\pub\div\システム本部\技術部\解析G\グループ共有\20161001_解析基盤システム構成図\構成図.pptx</t>
  </si>
  <si>
    <t>システム本部\人事部</t>
  </si>
  <si>
    <t>\\file-sv01-nt\pub\div\システム本部\人事部\労務G\グループ共有\バックアップ：データを経営推進本部に移動しました。\05.勤怠管理.給与賞与\04.ラクラス\01連絡フォーム\連絡フォーム_131211送付_(M131212_1).xls</t>
  </si>
  <si>
    <t>システム本部\本部共有</t>
  </si>
  <si>
    <t>\\file-sv01-nt\pub\div\システム本部\本部共有\こちらに移行ずみ：システム本部共有 - ショートカット.lnk</t>
  </si>
  <si>
    <t>スポーツ事業本部\事業戦略室</t>
  </si>
  <si>
    <t>\\file-sv01-nt\pub\div\スポーツ事業本部\事業戦略室\ベースボールコミュニケーションG\グループ共有\スワローズ関連\2019\04_燕プロジェクト\球団参考資料\TOmixi様\ビジュアルデータ\2018燕プロビジュアル.zip</t>
  </si>
  <si>
    <t>スマートヘルス\全社共有</t>
  </si>
  <si>
    <t>\\file-sv01-nt\pub\div\スマートヘルス\全社共有\クローズデータ\poriperu\sandbox\logs\juroujin_dev_gce_instance_20190110_20190207.json_.gstmp</t>
  </si>
  <si>
    <t>デザイン本部\XFLAG PICTURES</t>
  </si>
  <si>
    <t>\\file-sv01-nt\pub\div\デザイン本部\XFLAG PICTURES\室共有\00_モンスト映画３情報\オンライン完成披露試写会\完成披露試写会当選者アンケート結果(5名).xlsx</t>
  </si>
  <si>
    <t>デザイン本部\XFLAGデザイン室</t>
  </si>
  <si>
    <t>\\file-sv01-nt\pub\div\デザイン本部\XFLAGデザイン室\XFLAGサウンドG\プランニングT\個人情報.dmg</t>
  </si>
  <si>
    <t>デザイン本部\クリエイティブ室</t>
  </si>
  <si>
    <t>\\file-sv01-nt\pub\div\デザイン本部\クリエイティブ室\マネジメント推進G\グループ共有\業務比率\業務比率FY23.pbix</t>
  </si>
  <si>
    <t>デザイン本部\デザイン戦略室</t>
  </si>
  <si>
    <t>\\file-sv01-nt\pub\div\デザイン本部\デザイン戦略室\バックオフィスG\グループ共有\組織図作成\組織図PDF\コミュニケーションエンジニアリングG_20230601.pdf</t>
  </si>
  <si>
    <t>デザイン本部\ブランドデザイン室</t>
  </si>
  <si>
    <t>\\file-sv01-nt\pub\div\デザイン本部\ブランドデザイン室\プロジェクト推進G\グループ共有\2024 コーポレートブランド調査\ローデータ\20240605ロ―データ_コーポレートブランド調査2023.xlsx</t>
  </si>
  <si>
    <t>デザイン本部\制作室</t>
  </si>
  <si>
    <t>\\file-sv01-nt\pub\div\デザイン本部\制作室\XFLAGサウンドG\グループ共有\SONICWIRE_190319\99217_CARTOON\authorized.txt</t>
  </si>
  <si>
    <t>デザイン本部\本部共有</t>
  </si>
  <si>
    <t>\\file-sv01-nt\pub\div\デザイン本部\本部共有\リール用データ\その他作業風景など\IMG_6374.HEIC</t>
  </si>
  <si>
    <t>デジタルエンターテインメント事業本部\IP開発室</t>
  </si>
  <si>
    <t>\\file-sv01-nt\pub\div\デジタルエンターテインメント事業本部\IP開発室\室共有\個人情報\old\CP_当選者個人情報20200115古い.xlsx</t>
  </si>
  <si>
    <t>デジタルエンターテインメント事業本部\MKP事業部</t>
  </si>
  <si>
    <t>\\file-sv01-nt\pub\div\デジタルエンターテインメント事業本部\MKP事業部\MKP事業管理G\グループ共有\98_年賀状\宛名シール_基本.docx</t>
  </si>
  <si>
    <t>デジタルエンターテインメント事業本部\XFLAG PICTURES</t>
  </si>
  <si>
    <t>\\file-sv01-nt\pub\div\デジタルエンターテインメント事業本部\XFLAG PICTURES\事業運営G\グループ共有\02各書類\15業務報告書\~$【フォーマット】1月度業務報告書（記入例有り）_20190128.xlsx</t>
  </si>
  <si>
    <t>デジタルエンターテインメント事業本部\インキュベーション事業部</t>
  </si>
  <si>
    <t>\\file-sv01-nt\pub\div\デジタルエンターテインメント事業本部\インキュベーション事業部\honeyG\プログラマT\cap30.png</t>
  </si>
  <si>
    <t>デジタルエンターテインメント事業本部\コトダマン事業部</t>
  </si>
  <si>
    <t>\\file-sv01-nt\pub\div\デジタルエンターテインメント事業本部\コトダマン事業部\bearプロデュースG\グループ共有\yamaguchi\PC移行用\AppData\Local\Google\Chrome\User Data\Default\Extensions\nkbihfbeogaeaoehlefnkodbefgpgknn\10.17.0_0\chromereload.js</t>
  </si>
  <si>
    <t>デジタルエンターテインメント事業本部\事業開発室</t>
  </si>
  <si>
    <t>\\file-sv01-nt\pub\div\デジタルエンターテインメント事業本部\事業開発室\新規PJG\PJ推進T\wakamatsu\100CANON\IMG_8993.CR2</t>
  </si>
  <si>
    <t>デジタルエンターテインメント事業本部\事業企画部</t>
  </si>
  <si>
    <t>\\file-sv01-nt\pub\div\デジタルエンターテインメント事業本部\事業企画部\組織開発G\グループ共有\送付状\送付状リスト.xlsx</t>
  </si>
  <si>
    <t>デジタルエンターテインメント事業本部\本部共有</t>
  </si>
  <si>
    <t>\\file-sv01-nt\pub\div\デジタルエンターテインメント事業本部\本部共有\GATE\システム_触れないで\GATE.accdb</t>
  </si>
  <si>
    <t>ノハナ\全社共有</t>
  </si>
  <si>
    <t>\\file-sv01-nt\pub\div\ノハナ\全社共有\個人用\aki.iio\案件管理\印紙立替\決裁申請1901～03.pdf</t>
  </si>
  <si>
    <t>はたらく環境推進本部\コーポレートエンジニアリング部</t>
  </si>
  <si>
    <t>\\file-sv01-nt\pub\div\はたらく環境推進本部\コーポレートエンジニアリング部\補完G\グループ共有\test.txt</t>
  </si>
  <si>
    <t>はたらく環境推進本部\ビジネスサポート室</t>
  </si>
  <si>
    <t>\\file-sv01-nt\pub\div\はたらく環境推進本部\ビジネスサポート室\ミュージックライツG\グループ共有\音楽出版\著作権契約書_広川恵一熱狂Euphoria.pdf</t>
  </si>
  <si>
    <t>はたらく環境推進本部\社内IT室</t>
  </si>
  <si>
    <t>\\file-sv01-nt\pub\div\はたらく環境推進本部\社内IT室\社内IT2G\社内IT ZT\stop-2.csv</t>
  </si>
  <si>
    <t>はたらく環境推進本部\本部共有</t>
  </si>
  <si>
    <t>\\file-sv01-nt\pub\div\はたらく環境推進本部\本部共有\総務\06_出張\202504月分\20250406~0413／オーストラリア／小林・山下\20250406~0413／オーストラリア\TKT_6IT638_KOBAYASHI_IEMITSU_06APR2025_JL+QF①.pdf</t>
  </si>
  <si>
    <t>マーケティング本部\マーケティング戦略室</t>
  </si>
  <si>
    <t>\\file-sv01-nt\pub\div\マーケティング本部\マーケティング戦略室\PRG\PR推進T\過去資料_190314\011_取材・問い合わせ対応\2019\オフィス移転\FY2020オフィス移転広報計画案（仮）_20190315.pptx</t>
  </si>
  <si>
    <t>ミクシィ・リクルートメント\求人広告事業部</t>
  </si>
  <si>
    <t>\\file-sv01-nt\pub\div\ミクシィ・リクルートメント\求人広告事業部\部共有\小林\忘年会用素材\IMG_0274.jpg</t>
  </si>
  <si>
    <t>ミクシィ・リクルートメント\経営企画室</t>
  </si>
  <si>
    <t>\\file-sv01-nt\pub\div\ミクシィ・リクルートメント\経営企画室\室共有\諸橋\規程変更手続き\リクルートメント社\20150401規則・規程変更資料FJ\~$0319_取締役決定書.docx</t>
  </si>
  <si>
    <t>ミクシィ・リクルートメント\全社共有</t>
  </si>
  <si>
    <t>\\file-sv01-nt\pub\div\ミクシィ・リクルートメント\全社共有\採用コンサルティングG\山下\人工知能新規事業 のエイリアス</t>
  </si>
  <si>
    <t>メディアコンテンツ事業本部\mixiコンテンツ部</t>
  </si>
  <si>
    <t>\\file-sv01-nt\pub\div\メディアコンテンツ事業本部\mixiコンテンツ部\ゲーム企画G\運用T\個人フォルダ\峯野\資料・アジェンダ・その他\資料\第一開発情報.txt</t>
  </si>
  <si>
    <t>メディアコンテンツ事業本部\mixiサービス部</t>
  </si>
  <si>
    <t>\\file-sv01-nt\pub\div\メディアコンテンツ事業本部\mixiサービス部\第3サービス開発G\グループ共有\SMS_IVR\2013年度 （コアプロダクト開発G）\01_アグリゲーター情報\TeleSign\20130913 本契約\契約審査申請書_ce-2999.pdf</t>
  </si>
  <si>
    <t>メディアコンテンツ事業本部\mixiマーケティング部</t>
  </si>
  <si>
    <t>\\file-sv01-nt\pub\div\メディアコンテンツ事業本部\mixiマーケティング部\プロモーションG\グループ共有\参考資料\株式会社スクウェア・エニックス御中_戦国IXA案件_純広告パッケージプラン最終レポート_12.1002.xlsx</t>
  </si>
  <si>
    <t>メディアコンテンツ事業本部\アドテク推進部</t>
  </si>
  <si>
    <t>\\file-sv01-nt\pub\div\メディアコンテンツ事業本部\アドテク推進部\アドテクG\グループ共有\日レポート\各SSPレポート\【2015_4月-】各SSPレポート .xlsx</t>
  </si>
  <si>
    <t>メディアコンテンツ事業本部\ビジネス推進部</t>
  </si>
  <si>
    <t>\\file-sv01-nt\pub\div\メディアコンテンツ事業本部\ビジネス推進部\部共有\移転しました.txt</t>
  </si>
  <si>
    <t>メディアコンテンツ事業本部\モンストスタジオ</t>
  </si>
  <si>
    <t>\\file-sv01-nt\pub\div\メディアコンテンツ事業本部\モンストスタジオ\デザインG\キャラT\wada\画像\女　女子\和風\833.jpg</t>
  </si>
  <si>
    <t>メディアコンテンツ事業本部\本部共有</t>
  </si>
  <si>
    <t>\\file-sv01-nt\pub\div\メディアコンテンツ事業本部\本部共有\アドテク\2014_06_月次レポート.xlsx</t>
  </si>
  <si>
    <t>メディア事業本部\mixiゲーム部</t>
  </si>
  <si>
    <t>\\file-sv01-nt\pub\div\メディア事業本部\mixiゲーム部\部共有\移転しました.txt</t>
  </si>
  <si>
    <t>メディア事業本部\mixiサービス部</t>
  </si>
  <si>
    <t>\\file-sv01-nt\pub\div\メディア事業本部\mixiサービス部\メディアG\グループ共有\ニュースアプリ用AWS請求書_2016年2月分.pdf</t>
  </si>
  <si>
    <t>メディア事業本部\mixiシステム部</t>
  </si>
  <si>
    <t>\\file-sv01-nt\pub\div\メディア事業本部\mixiシステム部\部共有\mikiokato\20160519_過去の調査資料\過去の定量データ - ショートカット.lnk</t>
  </si>
  <si>
    <t>メディア事業本部\本部共有</t>
  </si>
  <si>
    <t>\\file-sv01-nt\pub\div\メディア事業本部\本部共有\sowanaka\【本番用】ユーザーサポート_下期施策についてv0.pptx</t>
  </si>
  <si>
    <t>モンストスタジオ\システム開発部</t>
  </si>
  <si>
    <t>\\file-sv01-nt\pub\div\モンストスタジオ\システム開発部\国内QAG\グループ共有\グループ共有 - ショートカット.lnk</t>
  </si>
  <si>
    <t>モンストスタジオ\マーケティングG</t>
  </si>
  <si>
    <t>\\file-sv01-nt\pub\div\モンストスタジオ\マーケティングG\グループ共有\外部出稿\リアルイベント\20141216_モンハン_リアルイベント_事例紹介.pptx</t>
  </si>
  <si>
    <t>モンストスタジオ\マーケティング部</t>
  </si>
  <si>
    <t>\\file-sv01-nt\pub\div\モンストスタジオ\マーケティング部\メディアプランニングG\グループ共有\中村個人用\作成資料\モンスターストライク_カプコンコラボ企画素案.pptx</t>
  </si>
  <si>
    <t>モンストスタジオ\メディアミックス部</t>
  </si>
  <si>
    <t>\\file-sv01-nt\pub\div\モンストスタジオ\メディアミックス部\ライセンスG\グループ共有\02.ノベルティ\ブラナイクリアファイル\バッチ_GooglePlay.psb</t>
  </si>
  <si>
    <t>モンストスタジオ\企画・運用部</t>
  </si>
  <si>
    <t>\\file-sv01-nt\pub\div\モンストスタジオ\企画・運用部\国内パブリッシュG\企画T\yamazaki\モンストメモ.xlsx</t>
  </si>
  <si>
    <t>モンストスタジオ\新規事業推進室</t>
  </si>
  <si>
    <t>\\file-sv01-nt\pub\div\モンストスタジオ\新規事業推進室\新規ゲーム推進第一G\グループ共有\契約書等\ファイルは移しました.txt</t>
  </si>
  <si>
    <t>モンストスタジオ\本部共有</t>
  </si>
  <si>
    <t>\\file-sv01-nt\pub\div\モンストスタジオ\本部共有\鶴見共有用\ファイトリーグ\20180416_TLA vol.4\決勝\TLAvol4_決勝 (33).jpg</t>
  </si>
  <si>
    <t>モンスト事業本部\MSスピンオフゲーム事業部</t>
  </si>
  <si>
    <t>\\file-sv01-nt\pub\div\モンスト事業本部\MSスピンオフゲーム事業部\事業開発G\シードプログラムT\はた環保有アセットリスト_20210415時点\20210415UnityAsset(サイトライセンス)一覧.xlsx</t>
  </si>
  <si>
    <t>モンスト事業本部\ゲーム運営部</t>
  </si>
  <si>
    <t>\\file-sv01-nt\pub\div\モンスト事業本部\ゲーム運営部\第1企画G\Direction BT\store_pv\GooglePlay\GP_20201030_FIX.mp4</t>
  </si>
  <si>
    <t>モンスト事業本部\デザイン室</t>
  </si>
  <si>
    <t>\\file-sv01-nt\pub\div\モンスト事業本部\デザイン室\サウンドG\グループ共有\game\monster_strike_dream_company\_rec\DC20年1月分ボイス作業依頼_2\vch_01160\voice_ch_01160_pss.wav</t>
  </si>
  <si>
    <t>モンスト事業本部\ブランドコミュニケーション室</t>
  </si>
  <si>
    <t>\\file-sv01-nt\pub\div\モンスト事業本部\ブランドコミュニケーション室\モンパスG\モンパスT\XFLAG PARK 2019\プレミアムラウンジ予約サイト\個人情報入りデータ\2019-07-13.csv</t>
  </si>
  <si>
    <t>モンスト事業本部\マーケティング部</t>
  </si>
  <si>
    <t>\\file-sv01-nt\pub\div\モンスト事業本部\マーケティング部\マーケティング戦略G\コミュニケーション戦略T\DAU作業\20200114-\新【ALL】DAUランキング20200114.xlsx</t>
  </si>
  <si>
    <t>モンスト事業本部\ライフコミュニケーション部</t>
  </si>
  <si>
    <t>\\file-sv01-nt\pub\div\モンスト事業本部\ライフコミュニケーション部\営業G\プロダクトセールスT\5大天使が大集合！モンストPOPUP STORE Twitterキャンペーン当選者フォーム（回答）.xlsx</t>
  </si>
  <si>
    <t>モンスト事業本部\開発室</t>
  </si>
  <si>
    <t>\\file-sv01-nt\pub\div\モンスト事業本部\開発室\モンストクライアントG\クライアントT\kaku\※回収済み</t>
  </si>
  <si>
    <t>モンスト事業本部\本部共有</t>
  </si>
  <si>
    <t>\\file-sv01-nt\pub\div\モンスト事業本部\本部共有\GATE\システム_触れないで\GATE.accdb</t>
  </si>
  <si>
    <t>ユーザーサービス本部\コマース部</t>
  </si>
  <si>
    <t>\\file-sv01-nt\pub\div\ユーザーサービス本部\コマース部\部共有\マネージャー\120806_部長定例mtg_fin.pptx</t>
  </si>
  <si>
    <t>ユーザーサービス本部\プロダクト開発部</t>
  </si>
  <si>
    <t>\\file-sv01-nt\pub\div\ユーザーサービス本部\プロダクト開発部\プロフィールU\ユニット共有\2013上期\プロダクト開発部上半期コミットメント結果（プロフィール）ver2.xlsx</t>
  </si>
  <si>
    <t>ユーザーサービス本部\メディア統括部</t>
  </si>
  <si>
    <t>\\file-sv01-nt\pub\div\ユーザーサービス本部\メディア統括部\課金･決済基盤U\ユニット共有\移転しました.txt</t>
  </si>
  <si>
    <t>ユーザーサービス本部\本部共有</t>
  </si>
  <si>
    <t>\\file-sv01-nt\pub\div\ユーザーサービス本部\本部共有\グランドスケジュール\2013年第3～4Q全体スケジュールver0.1.xlsx</t>
  </si>
  <si>
    <t>ライブエクスペリエンス事業本部\LX開発室</t>
  </si>
  <si>
    <t>\\file-sv01-nt\pub\div\ライブエクスペリエンス事業本部\LX開発室\室共有\店舗来店者分析\近郊_心斎橋店.png</t>
  </si>
  <si>
    <t>ライブエクスペリエンス事業本部\マーチャンダイジング部</t>
  </si>
  <si>
    <t>\\file-sv01-nt\pub\div\ライブエクスペリエンス事業本部\マーチャンダイジング部\部共有\02.発注書\各社用ひな型\【ひな型】仕様書兼発注書_検収書.xlsx</t>
  </si>
  <si>
    <t>ライブエクスペリエンス事業本部\ライブエンターテインメント事業部</t>
  </si>
  <si>
    <t>\\file-sv01-nt\pub\div\ライブエクスペリエンス事業本部\ライブエンターテインメント事業部\コンテンツクリエイトG\プランナーT\個人情報保管庫\~$最終版：【応募フォーム】キーワード集めてお年玉GETキャンペーン'19-'20（回答）.xlsx</t>
  </si>
  <si>
    <t>ライブエクスペリエンス事業本部\本部共有</t>
  </si>
  <si>
    <t>\\file-sv01-nt\pub\div\ライブエクスペリエンス事業本部\本部共有\190416tanaka\昼公演\1cam0002.mov</t>
  </si>
  <si>
    <t>会長室\live4uG</t>
  </si>
  <si>
    <t>\\file-sv01-nt\pub\div\会長室\live4uG\グループ共有\かめちゃん\バナー\kimidakelive_jizentouroku.png</t>
  </si>
  <si>
    <t>会長室\みてねG</t>
  </si>
  <si>
    <t>\\file-sv01-nt\pub\div\会長室\みてねG\グループ共有\個人情報\【謝礼のお振込み先】写真・動画素材.xlsx</t>
  </si>
  <si>
    <t>監査役室\室共有</t>
  </si>
  <si>
    <t>\\file-sv01-nt\pub\div\監査役室\室共有\PwC提出用_20190626\14_全般    最新の主要なシステムマップ（営業、会計、人事、その他）\~$2018年度_対象システム選定表＆IT評価単位記述書.xlsx</t>
  </si>
  <si>
    <t>経営企画室\室共有</t>
  </si>
  <si>
    <t>\\file-sv01-nt\pub\div\経営企画室\室共有\ファイナンス情報リスト.xlsx</t>
  </si>
  <si>
    <t>経営企画本部\経営企画部</t>
  </si>
  <si>
    <t>\\file-sv01-nt\pub\div\経営企画本部\経営企画部\経営企画G\企画T\※組織変更後フォルダにファイルコピー済み更新不可※.txt</t>
  </si>
  <si>
    <t>経営企画本部\事業統括室</t>
  </si>
  <si>
    <t>\\file-sv01-nt\pub\div\経営企画本部\事業統括室\事業統括G\グループ共有\009_その他（調査・管理）\調査領域\海外情報\Travel-Data-Strategies-Infographic.pdf</t>
  </si>
  <si>
    <t>経営企画本部\本部共有</t>
  </si>
  <si>
    <t>\\file-sv01-nt\pub\div\経営企画本部\本部共有\YDB\ブライダル年鑑2015.pdf</t>
  </si>
  <si>
    <t>経営推進本部\CS推進室</t>
  </si>
  <si>
    <t>\\file-sv01-nt\pub\div\経営推進本部\CS推進室\室共有\移行済※更新不可※\アシスタント共有\01 予算\B2E8E3DB.tmp</t>
  </si>
  <si>
    <t>経営推進本部\CS推進部</t>
  </si>
  <si>
    <t>\\file-sv01-nt\pub\div\経営推進本部\CS推進部\部共有\移行済※更新不可※\gearツール管理\管理ツール権限一覧（サポート）.xlsx</t>
  </si>
  <si>
    <t>経営推進本部\スマートヘルス事業部</t>
  </si>
  <si>
    <t>\\file-sv01-nt\pub\div\経営推進本部\スマートヘルス事業部\部共有\中途採用\レジュメ\CDS Profile for Mr. Yuhua Hu.doc</t>
  </si>
  <si>
    <t>経営推進本部\はたらく環境室</t>
  </si>
  <si>
    <t>\\file-sv01-nt\pub\div\経営推進本部\はたらく環境室\室共有\室共有フォルダは移動しました - ショートカット.lnk</t>
  </si>
  <si>
    <t>経営推進本部\ビジネス開発室</t>
  </si>
  <si>
    <t>\\file-sv01-nt\pub\div\経営推進本部\ビジネス開発室\秘書G\秘書T\名刺\202203\(株)ミクシィ様　3月度ご請求書.pdf</t>
  </si>
  <si>
    <t>経営推進本部\経営企画室</t>
  </si>
  <si>
    <t>\\file-sv01-nt\pub\div\経営推進本部\経営企画室\経営企画G\企画T\企画T - ショートカット.lnk</t>
  </si>
  <si>
    <t>経営推進本部\経営企画部</t>
  </si>
  <si>
    <t>\\file-sv01-nt\pub\div\経営推進本部\経営企画部\企画G\グループ共有\002_定常業務\05_実効性評価\FY25\01_受領資料（三井住友信託銀行）\20250311_アンケート結果\回答ローデータ_ＭＩＸＩ様.csv</t>
  </si>
  <si>
    <t>経営推進本部\経営推進室</t>
  </si>
  <si>
    <t>\\file-sv01-nt\pub\div\経営推進本部\経営推進室\広報IRG\グループ共有\20160120XFLAG_newsrelease_F前.docx</t>
  </si>
  <si>
    <t>経営推進本部\経理財務部</t>
  </si>
  <si>
    <t>\\file-sv01-nt\pub\div\経営推進本部\経理財務部\財務G\グループ共有\第14回ストックオプション\ストックオプションに関する評価単価の算定報告書.pdf</t>
  </si>
  <si>
    <t>経営推進本部\広報IR室</t>
  </si>
  <si>
    <t>\\file-sv01-nt\pub\div\経営推進本部\広報IR室\室共有\009_コーポレートサイト\004_リニューアル\スカイアーク\mixi_plugin.xlsx</t>
  </si>
  <si>
    <t>経営推進本部\広報部</t>
  </si>
  <si>
    <t>\\file-sv01-nt\pub\div\経営推進本部\広報部\部共有\015_写真素材（役員・オフィス等）\old\オフィス写真資料\office\_MG_3763.JPG</t>
  </si>
  <si>
    <t>経営推進本部\財務企画部</t>
  </si>
  <si>
    <t>\\file-sv01-nt\pub\div\経営推進本部\財務企画部\IRG\グループ共有\セルサイド\~$20250218更新_セルサイドアポ打診先.xlsx</t>
  </si>
  <si>
    <t>経営推進本部\社長室</t>
  </si>
  <si>
    <t>\\file-sv01-nt\pub\div\経営推進本部\社長室\ブランディングG\グループ共有\コーポレート調査2022\集計表\20230228_クロス集計表(性別・年代別・性年代別・興味関心別)_コーポレートブランド調査2023.xls</t>
  </si>
  <si>
    <t>経営推進本部\情報セキュリティ室</t>
  </si>
  <si>
    <t>\\file-sv01-nt\pub\div\経営推進本部\情報セキュリティ室\室共有\marie.ichikawa\☆Mine☆\01.アカウント・名刺\秘.xlsx</t>
  </si>
  <si>
    <t>経営推進本部\人事部</t>
  </si>
  <si>
    <t>\\file-sv01-nt\pub\div\経営推進本部\人事部\労務G\グループ共有\05.勤怠管理.給与賞与\05.出向管理\03.出向契約・覚書\130104.ミクシィ・リサーチ\02.覚書\130601-140531長岡輝(0552)\draft\解約合意書_神林20131225.docx</t>
  </si>
  <si>
    <t>経営推進本部\総務部</t>
  </si>
  <si>
    <t>\\file-sv01-nt\pub\div\経営推進本部\総務部\法務G\契約T\099.ミューズコー譲渡（ミクシィ⇒買主）\04．名義書換関連\②株式譲渡承認決定のお知らせ（MSC⇒M）.pdf</t>
  </si>
  <si>
    <t>経営推進本部\法務部</t>
  </si>
  <si>
    <t>\\file-sv01-nt\pub\div\経営推進本部\法務部\渉外G\グループ共有\LEGAL-10356\2_B工事設計図【変更図】\2_?20181115-kumo_2.pdf</t>
  </si>
  <si>
    <t>経営推進本部\本部共有</t>
  </si>
  <si>
    <t>\\file-sv01-nt\pub\div\経営推進本部\本部共有\グループ会社等対応\1307_ミクシィマーケティング\ヤマトチャーターボックス／見積書(株)ミクシィ.pdf</t>
  </si>
  <si>
    <t>事業デザイン本部\事業デザイン部</t>
  </si>
  <si>
    <t>\\file-sv01-nt\pub\div\事業デザイン本部\事業デザイン部\リサーチG\グループ共有\モニター組織関連\第一期除外者チェック入りリスト\モニターDB1（更新）.xlsx</t>
  </si>
  <si>
    <t>次世代エンターテインメント事業本部\ライブ動画ビジネス推進室</t>
  </si>
  <si>
    <t>\\file-sv01-nt\pub\div\次世代エンターテインメント事業本部\ライブ動画ビジネス推進室\デジタルデベロップメントG\グループ共有\スチル用素材\2_Proxy_Stills\A003_Stills_Proxy\A003C013_210604M6.mov</t>
  </si>
  <si>
    <t>次世代エンターテインメント事業本部\ライブ動画プロダクト開発室</t>
  </si>
  <si>
    <t>\\file-sv01-nt\pub\div\次世代エンターテインメント事業本部\ライブ動画プロダクト開発室\第1企画G\グループ共有\TIPSTAR-25996_KEIRINGP2023 優勝予想山分けチャレンジ\TIPSTAR-25996_KEIRINGP2023 優勝予想山分けチャレンジ.xlsx</t>
  </si>
  <si>
    <t>次世代エンターテインメント事業本部\次世代エンターテインメント室</t>
  </si>
  <si>
    <t>\\file-sv01-nt\pub\div\次世代エンターテインメント事業本部\次世代エンターテインメント室\ゲーム2G\グループ共有\kusui_win\desktop\MAJ\マージャンアカデミア_売上構成比の試算.xlsx</t>
  </si>
  <si>
    <t>社長室\ミクシィ・リサーチG</t>
  </si>
  <si>
    <t>\\file-sv01-nt\pub\div\社長室\ミクシィ・リサーチG\グループ共有\【PJ YUKAI】\モラッポ\9.発注コスト等\mからの発注書\【リアルワールド様】仕様書兼発注書_「モラッポ」メルマガ配信サービス利用月額料5月分.doc</t>
  </si>
  <si>
    <t>社長本部\コーポレートコミュニケーション部</t>
  </si>
  <si>
    <t>\\file-sv01-nt\pub\div\社長本部\コーポレートコミュニケーション部\広報G\グループ共有\054_メディアリスト\20200225_ミクシィグループメディアリスト_【最終更新者：Ozma】 のバックアップ.xlsx</t>
  </si>
  <si>
    <t>社長本部\スポーツギフティング部</t>
  </si>
  <si>
    <t>\\file-sv01-nt\pub\div\社長本部\スポーツギフティング部\部共有\material\material\SWIM\20190620_XFLAG_water\Underwater\CLIP_AM\C0048.MP4 48000.pek</t>
  </si>
  <si>
    <t>社長本部\スポーツマーケティング室</t>
  </si>
  <si>
    <t>\\file-sv01-nt\pub\div\社長本部\スポーツマーケティング室\ベースボールコミュニケーションG\グループ共有\スワローズ関連\2020\スマートニュース\個人情報取得に関する申請\xp690399.pdf</t>
  </si>
  <si>
    <t>人事部\はたらく環境G</t>
  </si>
  <si>
    <t>\\file-sv01-nt\pub\div\人事部\はたらく環境G\グループ共有\2017年6月11日以降はこちらを利用してください.lnk</t>
  </si>
  <si>
    <t>人事部\企画G</t>
  </si>
  <si>
    <t>\\file-sv01-nt\pub\div\人事部\企画G\企画T\マッサージルーム - ショートカット (2).lnk</t>
  </si>
  <si>
    <t>人事部\採用・育成G</t>
  </si>
  <si>
    <t>\\file-sv01-nt\pub\div\人事部\採用・育成G\グループ共有\企画／育成\採用\01：チーム共有\98：個人フォルダ\竹井\全体研修関連\私がミクシィで実現したいこと.pptx</t>
  </si>
  <si>
    <t>人事部\人材開発G</t>
  </si>
  <si>
    <t>\\file-sv01-nt\pub\div\人事部\人材開発G\旧 人材開発G（2014年以前）\旧：採用\02：新卒採用\15新卒採用\50：選考\会議室予約状況.xlsx</t>
  </si>
  <si>
    <t>人事部\全社人事G</t>
  </si>
  <si>
    <t>\\file-sv01-nt\pub\div\人事部\全社人事G\人材開発T\~$新規 Microsoft Excel ワークシート.xlsx</t>
  </si>
  <si>
    <t>人事部\部共有</t>
  </si>
  <si>
    <t>\\file-sv01-nt\pub\div\人事部\部共有\人事部写真・動画\人事部共有\懇親会\201108\DSC_0092.jpg</t>
  </si>
  <si>
    <t>人事部\労務G</t>
  </si>
  <si>
    <t>\\file-sv01-nt\pub\div\人事部\労務G\グループ共有\99.ファイリングラベル\背表紙リスト.xlsx</t>
  </si>
  <si>
    <t>人事本部\人材採用部</t>
  </si>
  <si>
    <t>\\file-sv01-nt\pub\div\人事本部\人材採用部\部共有\02_労働条件通知書\PDF\2025年4月\河原 伯幸様\河原 伯幸様【労働条件通知書】.pdf</t>
  </si>
  <si>
    <t>人事本部\人事企画部</t>
  </si>
  <si>
    <t>\\file-sv01-nt\pub\div\人事本部\人事企画部\戦略サポートG\グループ共有\~$05.リンク属性（本務）エラーチェック.xlsx</t>
  </si>
  <si>
    <t>人事本部\人事戦略部</t>
  </si>
  <si>
    <t>\\file-sv01-nt\pub\div\人事本部\人事戦略部\部共有\契約関連\【クアルトリクス・GR】\FY26\【オータ?ーフォーム】株式会社MIXI御中_20250319.pdf</t>
  </si>
  <si>
    <t>人事本部\人事部</t>
  </si>
  <si>
    <t>\\file-sv01-nt\pub\div\人事本部\人事部\部共有\中途採用関連\派遣運用関連\【派遣】採用決裁\【TEMP】稲本 玲子.pdf</t>
  </si>
  <si>
    <t>人事本部\本部共有</t>
  </si>
  <si>
    <t>\\file-sv01-nt\pub\div\人事本部\本部共有\労働条件通知書\※202504～※ひな型\※2025.4.1より※【労働条件通知書】【契】所定労時間働制（A1~A3）.xlsx</t>
  </si>
  <si>
    <t>統括管理本部\CS部</t>
  </si>
  <si>
    <t>\\file-sv01-nt\pub\div\統括管理本部\CS部\CXG\グループ共有\Attentive Care T\書面対応\運営宛\2019年11月以降\CS_022\IMG_4366 (1).jpg</t>
  </si>
  <si>
    <t>統括管理本部\広報部</t>
  </si>
  <si>
    <t>\\file-sv01-nt\pub\div\統括管理本部\広報部\PAG\グループ共有\スタジアム関連\未来デザイン関連\SIW2018\SIW協賛等申込書_F.docx</t>
  </si>
  <si>
    <t>統括管理本部\法務部</t>
  </si>
  <si>
    <t>\\file-sv01-nt\pub\div\統括管理本部\法務部\部共有\40社内規程管理\Ⅴ-4ポイント発行業務に関するガイドライン\210801ポイント発行業務に関するガイドライン.docx</t>
  </si>
  <si>
    <t>内部監査室\000_内部監査室全般</t>
  </si>
  <si>
    <t>\\file-sv01-nt\pub\div\内部監査室\000_内部監査室全般\XX.改善PJ\01.監査メソドロジー\00.監査業務WBS＆マニュアル\監査実施マニュアル_v4.docx</t>
  </si>
  <si>
    <t>内部監査室\100_部門監査</t>
  </si>
  <si>
    <t>\\file-sv01-nt\pub\div\内部監査室\100_部門監査\2025年3月期（第26期）\01_部門監査資料\02.勤怠データ\【ROUMU-13824】勤怠データ_202501.xlsx</t>
  </si>
  <si>
    <t>内部監査室\200_テーマ監査</t>
  </si>
  <si>
    <t>\\file-sv01-nt\pub\div\内部監査室\200_テーマ監査\2024年3月期（第25期）\02.ファイナライズ\01.資金決済法\02.202404\03.調書\資金決済法監査_総括調書_202403時点.xlsx</t>
  </si>
  <si>
    <t>内部監査室\300_子会社監査</t>
  </si>
  <si>
    <t>\\file-sv01-nt\pub\div\内部監査室\300_子会社監査\2024年3月期（第25期）\ファイナライズ\5.スフィダンテ\02.フィールドワーク\~$修正_監査調書（監査手続書）_スフィダンテfinal_240424.xlsx</t>
  </si>
  <si>
    <t>内部監査室\400_監査法人対応</t>
  </si>
  <si>
    <t>\\file-sv01-nt\pub\div\内部監査室\400_監査法人対応\古いので編集しない→PwCに対する気づき事項まとめ.xlsx</t>
  </si>
  <si>
    <t>内部監査室\800_業務改善</t>
  </si>
  <si>
    <t>\\file-sv01-nt\pub\div\内部監査室\800_業務改善\010業務改善(未使用)\1307労務G\Re! 賞与引当金簡易版の経理提出期限設定のお願い.eml</t>
  </si>
  <si>
    <t>内部監査室\810_過去の監査役監査</t>
  </si>
  <si>
    <t>\\file-sv01-nt\pub\div\内部監査室\810_過去の監査役監査\監査役会議事録等\11期議事録等PDF\20100120監査役会議事録.pdf</t>
  </si>
  <si>
    <t>内部監査室\999_その他</t>
  </si>
  <si>
    <t>\\file-sv01-nt\pub\div\内部監査室\999_その他\~$鈴木編集中_調査用資料_201907.xlsx</t>
  </si>
  <si>
    <t>内部監査室\関係会社監査G</t>
  </si>
  <si>
    <t>\\file-sv01-nt\pub\div\内部監査室\関係会社監査G\グループ共有\MTGメモ\MGB\MGB_返金支払処理について_220905.pptx</t>
  </si>
  <si>
    <t>内部監査室\企画G</t>
  </si>
  <si>
    <t>\\file-sv01-nt\pub\div\内部監査室\企画G\グループ共有\Slacktest_funagakure_custom\Path_setting.py</t>
  </si>
  <si>
    <t>参照元：ファイルサーバー最終更新日付集計.xlsx</t>
  </si>
  <si>
    <t>\\file-sv01-nt\pub\Project\【CS推進部】特別渉外対応\各種書面対応\03. プロ責対応\プロ責関連テンプレ.SEF</t>
  </si>
  <si>
    <t>\\file-sv01-nt\pub\Project\【運用部】【CS推進室】緊急警察照会対応\20140908\21816383\IP_21816383.txt</t>
  </si>
  <si>
    <t>\\file-sv01-nt\pub\Project\【会長室⇔MS本部】共有フォルダ\99_個人用\kayo\99_その他\評価シート_2016上半期_加藤佳代.xlsx</t>
  </si>
  <si>
    <t>\\file-sv01-nt\pub\Project\【機密】LYSITHEAデータ共有\FY2025\202503\202503012_カード再発行.xlsx</t>
  </si>
  <si>
    <t>\\file-sv01-nt\pub\Project\【機密】ストレスチェック\2024年\05.高ストレス者面談\栗林 雅人\面談者事前記入シート_栗林雅人_20250225.xlsx</t>
  </si>
  <si>
    <t>\\file-sv01-nt\pub\Project\【機密】人員データ共有\2023年度\202311\スーパー従業員台帳20231101.xlsx</t>
  </si>
  <si>
    <t>\\file-sv01-nt\pub\Project\【機密】人事戦略・労務_共有\【機密】人員データ共有 - ショートカット.lnk</t>
  </si>
  <si>
    <t>\\file-sv01-nt\pub\Project\【機密】中途・エンパ_共有\契約書・覚書\派遣\過去※現在稼働なし※\ロバートウォルターズ(派遣)※契約締結手続き中※\Worker Dispatch Basic Agreement_Mixi_(J)_20170710+_ミクシィ人事戦略T追記.docx</t>
  </si>
  <si>
    <t>\\file-sv01-nt\pub\Project\【機密】中途採用担当者_共有\09.一括招待\招待済み\【作業用】02_一括招待_20250319_2.csv</t>
  </si>
  <si>
    <t>\\file-sv01-nt\pub\Project\【機密】登用チャレンジ\【人事部長管理 】登用チャレンジ.xlsx</t>
  </si>
  <si>
    <t>\\file-sv01-nt\pub\Project\【機密】入社者データ共有\20240101入社者\弓矢 光春様※回収中\身元保証書_弓矢さん.pdf</t>
  </si>
  <si>
    <t>\\file-sv01-nt\pub\Project\【中途採用】ポートフォリオ保管\デザイン室\ENG0000700585(33歳 女性)様_ポートフォリオ\【ENG0000700585】ポートフォリオ.pdf</t>
  </si>
  <si>
    <t>\\file-sv01-nt\pub\Project\00_共有サーバの使い方\Projectフォルダ一覧.xlsx</t>
  </si>
  <si>
    <t>\\file-sv01-nt\pub\Project\201311GM\201311GM へのショートカット.lnk</t>
  </si>
  <si>
    <t>\\file-sv01-nt\pub\Project\2013MAプロジェクト\02_決裁\02_決裁 - ショートカット (3).lnk</t>
  </si>
  <si>
    <t>\\file-sv01-nt\pub\Project\AM管理\会_NHN\2.業績\1701\ノハナタ?ッシュホ?ート?_170131.xlsx</t>
  </si>
  <si>
    <t>\\file-sv01-nt\pub\Project\App\共分散構造分析ツール\共分散構造分析MXK01-2407-00737分\CD-ROM\vb6jp.dll</t>
  </si>
  <si>
    <t>\\file-sv01-nt\pub\Project\BMW共有\3_Service\11_Dropboxコピー\PJM\201302納品データ\readme.html</t>
  </si>
  <si>
    <t>\\file-sv01-nt\pub\Project\Bonfire\svn_repo\Sound\db\rep-cache.db</t>
  </si>
  <si>
    <t>\\file-sv01-nt\pub\Project\C-039\提出済み\(加工済み)20201203_成田税務署\hunza0330.txt</t>
  </si>
  <si>
    <t>\\file-sv01-nt\pub\Project\C2C\01.経理報告\01.月次報告\201504売上\売上15年4月.csv</t>
  </si>
  <si>
    <t>\\file-sv01-nt\pub\Project\COOPE\11. 契約書\顧問契約\顧問契約の解除_Final.docx</t>
  </si>
  <si>
    <t>\\file-sv01-nt\pub\Project\core-mg\sat\コミュ開放は進める.txt</t>
  </si>
  <si>
    <t>\\file-sv01-nt\pub\Project\C社調査\VIP会員データ（PSS4-5）\~$会員ランク抽出_20190718.xlsx</t>
  </si>
  <si>
    <t>\\file-sv01-nt\pub\Project\Design\個人フォルダ\デザイン\山中史子\2019\XFLAG\XFLAGSTORE\banner\STORE-1925_【1?14掲載】新春特大SALE\01_作成\STORE-1925_年末タイムセール_banner_v6.psd</t>
  </si>
  <si>
    <t>\\file-sv01-nt\pub\Project\DSP\■■個人フォルダ\小山\その他\20140228_引き継ぎ案件リスト.zip</t>
  </si>
  <si>
    <t>\\file-sv01-nt\pub\Project\DVS\matching\user\otake\夏のつくえ\2013机\写真\旧デスクトップ\机的な\机のつくえ\引越し\YYCプレゼントキャンペーン\スマートフォン素材\iphone\01.jpg</t>
  </si>
  <si>
    <t>\\file-sv01-nt\pub\Project\eclair\99_priv\TOSE\doi\obaken\jp\追加\ログインなし招待.png</t>
  </si>
  <si>
    <t>\\file-sv01-nt\pub\Project\Enishi\design\xx_佐久間ローカル\振り返り用デザイン\006_muuk2.0\004_Ver.1st_minimo_UI.sketch</t>
  </si>
  <si>
    <t>\\file-sv01-nt\pub\Project\FJ-DC設備\見積・検討・決裁・契約\【見積書】ミクシィ-R様原状回復費用.pdf</t>
  </si>
  <si>
    <t>\\file-sv01-nt\pub\Project\FJ販売管理関連・経理部共有\04.入金管理\2013年10月\20131031.txt</t>
  </si>
  <si>
    <t>\\file-sv01-nt\pub\Project\ＦＭプロジェクト\017コラボレイアウト\コラボイメージ.ppt</t>
  </si>
  <si>
    <t>\\file-sv01-nt\pub\Project\ＧＫプロジェクト\009　プロジェクト終了事務作業\対：清和・ＣＴＣ\CTC\サテライトオフィス用（プロジェクトマネージメント）検収書.pdf</t>
  </si>
  <si>
    <t>\\file-sv01-nt\pub\Project\group-ip\nohana\管理対象知財一覧_ノハナ.xlsx</t>
  </si>
  <si>
    <t>\\file-sv01-nt\pub\Project\HAMBOURG_PMI\2. 資料\3. セキュリティ\本人確認書類の審査の外部への委託\チケットキャンプ）本人確認業務委託の件：神藤様.txt</t>
  </si>
  <si>
    <t>\\file-sv01-nt\pub\Project\ICHIGO\5. 契約書\5. 吸収分割契約\20131018_Final\~$CHIGO】吸収分割に関する包括合意書_20131018final_clean.doc</t>
  </si>
  <si>
    <t>\\file-sv01-nt\pub\Project\IMC\03_その他\事務資料\★押印申請書兼捺印記録票.xls</t>
  </si>
  <si>
    <t>\\file-sv01-nt\pub\Project\IT部門共有\運用部\契約書\契約書 - ショートカット.lnk</t>
  </si>
  <si>
    <t>\\file-sv01-nt\pub\Project\j-sox\03決算・財務報告プロセス\2025年3月期\01_MIXI\03.Pwc提出\整備+運用評価②\【運用評価②証跡一式】MIXI FCRP（0311時点）①\2503_MIXI_決算・財務報告プロセスRCM_個別_0311.xlsx</t>
  </si>
  <si>
    <t>\\file-sv01-nt\pub\Project\j-sox-it\2024年度（2025年3月期）\01_MIXI\01_ITGC_ExplannerAi\03_PwC提出用\02.運用評価②\【運用評価②証跡一式（評価未了分）】ITGC_Explanner（0317時点）\【2025年3月期】RCM_ITGC_ExplannerAI_20250317.xlsx</t>
  </si>
  <si>
    <t>\\file-sv01-nt\pub\Project\kizuna\個人\川久保\対戦.png</t>
  </si>
  <si>
    <t>\\file-sv01-nt\pub\Project\LE事業本部AM\登記簿謄本\2015-01-16_株式会社ノハナ法人登記簿（全部事項）.PDF</t>
  </si>
  <si>
    <t>\\file-sv01-nt\pub\Project\logo\ロゴガイドライン\2019年4月より運用開始\株式会社ミクシィ_ロゴガイドライン_2019.4.pdf</t>
  </si>
  <si>
    <t>\\file-sv01-nt\pub\Project\marvel-tsumtsum\企画\売上管理\売上報告書\概算\~$7月分数字（移管前と移管後）.xlsx</t>
  </si>
  <si>
    <t>\\file-sv01-nt\pub\Project\MFプロジェクト\000契約関連\東京消防庁 届出書_押印済\NBF防火対象物工事_清和\防火対象物使用開始届-副.pdf</t>
  </si>
  <si>
    <t>\\file-sv01-nt\pub\Project\mixi-mobageKPI共有\【メール】【デイリー更新】mixiゲーム KPIレポート 20141130.xlsx</t>
  </si>
  <si>
    <t>\\file-sv01-nt\pub\Project\mixipark\kusui_tmp\履歴書_川久保様.doc</t>
  </si>
  <si>
    <t>\\file-sv01-nt\pub\Project\mixiアプリ\アプリチェックシート管理\41955（Merge Bistro ）\20250212_MergeBistroチェック一覧表.xlsx</t>
  </si>
  <si>
    <t>\\file-sv01-nt\pub\Project\mixiアプリパートナー登録\new\パートナーアカウント削除情報.xlsx</t>
  </si>
  <si>
    <t>\\file-sv01-nt\pub\Project\mixiアプリ広告検品\disney_gc_banner03.lzh</t>
  </si>
  <si>
    <t>\\file-sv01-nt\pub\Project\mixiイメージ共有ワークショップ\コンフル用画像\._title_0212.psd</t>
  </si>
  <si>
    <t>\\file-sv01-nt\pub\Project\mixiギフト\jpギフト\【更新】ギフト_サービス概要【SBJ様向け】.pptx</t>
  </si>
  <si>
    <t>\\file-sv01-nt\pub\Project\mixiゲーム\案件管理\PAYMENT-3119 クレジットカード決済のトークン化\SBPS質問\~$【mixi】決済トークン化_質問20170602.xlsx</t>
  </si>
  <si>
    <t>\\file-sv01-nt\pub\Project\mixiニュース\編集\ニュース数値\ニュースレポート_2025年4月.xlsx</t>
  </si>
  <si>
    <t>\\file-sv01-nt\pub\Project\mixiプラットフォームイベント\mm2011\各部からの発表内容\Re! meetup発表内容の件（宮田さん）.eml</t>
  </si>
  <si>
    <t>\\file-sv01-nt\pub\Project\mixiプレミアムポイントキャンペーン\4月-9月登録者\MIXISYSTEM-10832.xlsx</t>
  </si>
  <si>
    <t>\\file-sv01-nt\pub\Project\mixiモール\00_関連フォルダ\特集\1340 【mixiモール】GReeeeNタイアップ企画 - ショートカット.lnk</t>
  </si>
  <si>
    <t>\\file-sv01-nt\pub\Project\mixiモールデータ\mixi.zip</t>
  </si>
  <si>
    <t>\\file-sv01-nt\pub\Project\mixi運用\info_old.txt</t>
  </si>
  <si>
    <t>\\file-sv01-nt\pub\Project\mixi広告媒体資料\13年7-9月\SP\※ 内規【mixi Touch】mixiビデオアド掲載ガイド[トライアル]_2013年7月版_ver1.1.pptx</t>
  </si>
  <si>
    <t>\\file-sv01-nt\pub\Project\mixi有料サービスsec\mobile_contents\mixiポイント付与分\キャンペーン\2502_戦国IXAポイントバックキャンペーン_5000pt.jpg</t>
  </si>
  <si>
    <t>\\file-sv01-nt\pub\Project\montoru\デザイン\BK\MT_Recca\send\for_mikuni\fro_anna\fro_anna.animtreeoverrides</t>
  </si>
  <si>
    <t>\\file-sv01-nt\pub\Project\mr-scanner-output\20160419183840763.pdf</t>
  </si>
  <si>
    <t>\\file-sv01-nt\pub\Project\PCミクコレ\02_仕様書\ver_003_PC版スキン管理ツール機能要件.xls</t>
  </si>
  <si>
    <t>\\file-sv01-nt\pub\Project\PC版mixiUIガイドライン策定PJ\契約\ソシオメディア\ks-8452.pdf</t>
  </si>
  <si>
    <t>\\file-sv01-nt\pub\Project\PITCREW\業者対応集計\各種送付状.xls</t>
  </si>
  <si>
    <t>\\file-sv01-nt\pub\Project\PJ Naples\NDA書類\ルック\20100311_NDA_ルック.pdf</t>
  </si>
  <si>
    <t>\\file-sv01-nt\pub\Project\PJ Star\01.Admin（契約書等）\機密保持に関する同意書.pdf</t>
  </si>
  <si>
    <t>\\file-sv01-nt\pub\Project\PJ YUKAI\00.引継定例資料（取り急ぎ格納用）\~$0218更新【モラッポ】ルーティン業務、フロー図.xlsx</t>
  </si>
  <si>
    <t>\\file-sv01-nt\pub\Project\PJ：Diamond\事業譲渡関連の契約書\04.事業譲渡承諾依頼書兼承諾書\ひな型\~$譲渡承諾依頼書兼承諾書（ミクシィ用）_F.doc</t>
  </si>
  <si>
    <t>\\file-sv01-nt\pub\Project\PJ_F1\PW：F12016</t>
  </si>
  <si>
    <t>\\file-sv01-nt\pub\Project\PJ_HAMBOURG\PW：HB2015</t>
  </si>
  <si>
    <t>\\file-sv01-nt\pub\Project\pj_mR\99. Other\PJ Roma_スケジュール_140305.xlsx</t>
  </si>
  <si>
    <t>\\file-sv01-nt\pub\Project\pj_Rabbit\契約書データ\04.契約書データ（ネットマイル名義（NDA以外））\バンダイネットワークス.zip</t>
  </si>
  <si>
    <t>\\file-sv01-nt\pub\Project\pj_Roma\05. Process（プロセスレター、意向表明など）\2. Process Letter\1. Chelsea\~$_Roma_意向表明書提出に関するご案内.docx</t>
  </si>
  <si>
    <t>\\file-sv01-nt\pub\Project\PJ_SWEET\SW2014.txt</t>
  </si>
  <si>
    <t>\\file-sv01-nt\pub\Project\pj-dog\DHM(dog)_20221222Ver\アプリ実装\バイナリ_iOS_MIXI\trf_client_beef_staging_iOS_20221221_172115.ipa</t>
  </si>
  <si>
    <t>\\file-sv01-nt\pub\Project\pj-meme\mm2015.txt</t>
  </si>
  <si>
    <t>\\file-sv01-nt\pub\Project\PJ-mkp\leaf\04_デザイン\000_UI\01_UI_Assets\AssetBundle\banner\Assets\20250207_RT7th第2弾\オリジナル_psd\psd_パック\logo.psd</t>
  </si>
  <si>
    <t>\\file-sv01-nt\pub\Project\PJT：T1\2019資料（PJ_T12019）\004_Googleドライブからの移管資料\PJ_T12019タスク管理表.xlsx</t>
  </si>
  <si>
    <t>\\file-sv01-nt\pub\Project\project-monsterstrike\予実管理票\Nippon_予実管理表\2024年\2024年4月目標_フォーマット_モヒさんこちらを使ってくださいと。.xlsx</t>
  </si>
  <si>
    <t>\\file-sv01-nt\pub\Project\QA_G\02_リリース後テストケース\2011_1H\20110831【菅原】【205_mixiページ_phase4】\報告シート\資料画像\#37_TO_run_page_apps_文言なし.PNG</t>
  </si>
  <si>
    <t>\\file-sv01-nt\pub\Project\SAPインフラ支援\05_業務委託先別資料\01_HB\25_月次報告\Mixi SAP Support Monthly Report201203.pdf</t>
  </si>
  <si>
    <t>\\file-sv01-nt\pub\Project\secretary\社長室\増田祐希さん携帯電話\JIRA.txt</t>
  </si>
  <si>
    <t>\\file-sv01-nt\pub\Project\Shine\100_その他\その他\ネットマイル\解約合意書_20160701_NM修正20160718.docx</t>
  </si>
  <si>
    <t>\\file-sv01-nt\pub\Project\SH人事・労務\ミクシィ様見積書_202205.pdf</t>
  </si>
  <si>
    <t>\\file-sv01-nt\pub\Project\SocialGiftPlatform\退職時備品管理票（デスク整理）（派遣業務委託）20120618.xlsx</t>
  </si>
  <si>
    <t>\\file-sv01-nt\pub\Project\soup_curry\Arts\soup_UI\InGame\20170711_チャージ攻撃\参考\Uchuu20Senkan20Yamato20219920E5AE87E5AE99E688A6E889A6E383A4E3839EE38388219920E7ACAC01E8A9B1E3808CE382A4E382B9E382ABE383B3E38380E383ABE381AEE4BDBFE88085E3808D20(FGTV201280x72020x26420AAC)_030-b7ee7.jpg</t>
  </si>
  <si>
    <t>\\file-sv01-nt\pub\Project\SPgamePF共通化PJ\各プロジェクト\バックエンド\画面仕様\SMS認証の仕様置場.lnk</t>
  </si>
  <si>
    <t>\\file-sv01-nt\pub\Project\STORE労務\◆撤退対応\パソナ（正社員）\05.支援報告\株式会社ＸＦＬＡＧ　ＳＴＯＲＥ__(107685_1)_202202月報.pdf</t>
  </si>
  <si>
    <t>\\file-sv01-nt\pub\Project\SWEET_PMI\2.経営推進\To Doリスト\SWEET_PMIタスク一覧_20150302.xlsx</t>
  </si>
  <si>
    <t>\\file-sv01-nt\pub\Project\USBメモリ等移動用\【重要】こちらのフォルダは廃止します.txt</t>
  </si>
  <si>
    <t>\\file-sv01-nt\pub\Project\US本部案件管理\2013年\payment\Hiveポイントチャージ集計結果\2014年10月\201410_charge_data.xlsx</t>
  </si>
  <si>
    <t>\\file-sv01-nt\pub\Project\UXDワーキンググループ\12新卒UXD研修\12新卒研修_UXD研修案_120413.pptx</t>
  </si>
  <si>
    <t>\\file-sv01-nt\pub\Project\VOLTAGE\スターファクトリー納品物\VOLTAGE\納品物201510\Graphic.zip</t>
  </si>
  <si>
    <t>\\file-sv01-nt\pub\Project\XFLAG_Station\design\ver.1\psd\android\android_71_error_001.psd</t>
  </si>
  <si>
    <t>\\file-sv01-nt\pub\Project\XFLAG_STORE\労働条件通知書\久保瑛則様\作業用\久保瑛則様.xlsx</t>
  </si>
  <si>
    <t>\\file-sv01-nt\pub\Project\XFLAGアシスタント共有\事業レポート\2025\3月\ネイティブアプリレポート【3月】3月17日実績.xlsx</t>
  </si>
  <si>
    <t>\\file-sv01-nt\pub\Project\XFLAG人事戦略室\こちらにデータ移動→部共有.lnk</t>
  </si>
  <si>
    <t>\\file-sv01-nt\pub\Project\x-point管理フォルダ\FY25ミニマム化処理\20240618未使用ユーザー無効化\user-mukouka.csv</t>
  </si>
  <si>
    <t>\\file-sv01-nt\pub\Project\YACHT\PreClosing\8. 契約書\雇用契約\Keyman\~$CHT - 経営委任契約_津元氏_20131007clean.doc</t>
  </si>
  <si>
    <t>\\file-sv01-nt\pub\Project\アライアンス推進本部\00.懇親会\写真\DSC_0780.JPG</t>
  </si>
  <si>
    <t>\\file-sv01-nt\pub\Project\エンパワーメント共有\EMPOP-1165 アクリルパネルイラスト発送\個人情報\~$個人情報(住所氏名).xlsx</t>
  </si>
  <si>
    <t>\\file-sv01-nt\pub\Project\キャリア関連\キャリア申請書類\キャリア申請管理表.xls</t>
  </si>
  <si>
    <t>\\file-sv01-nt\pub\Project\グループ会社共有\01.会社情報\02.役員・執行役員・出向者\ミクシィグループ出向者一覧（15.3.26更新）.xlsx</t>
  </si>
  <si>
    <t>\\file-sv01-nt\pub\Project\ゲームレポート\課金売上\mPP集計シート_20250318.xlsm</t>
  </si>
  <si>
    <t>\\file-sv01-nt\pub\Project\ゲーム案件管理\CS問い合わせ確認用.xlsx</t>
  </si>
  <si>
    <t>\\file-sv01-nt\pub\Project\コラボレーション・ツールバー\経理発行請求書\請求書　NHN Japan様　6月分.pdf</t>
  </si>
  <si>
    <t>\\file-sv01-nt\pub\Project\コンテンツ管理システム\検討資料\コンテンツ管理_シーケンス_アプリ内課金(Android).png</t>
  </si>
  <si>
    <t>\\file-sv01-nt\pub\Project\システム運用G業務委託\入館・搬入申請などDC関係\SUZUYO平和島\B010201-入館申請書_20170914.xls</t>
  </si>
  <si>
    <t>\\file-sv01-nt\pub\Project\システム本部からの共有\2013年度\ファイナル承認\ファイナル承認者の心得.pptx</t>
  </si>
  <si>
    <t>\\file-sv01-nt\pub\Project\ショッパーズアイカンパニー\CMG社-引っ越し用個人フォルダ_20160421\矢内\メールバックアップ\テスト\すべてのメール_20160427-1334\メッセージ\20150826-_$B!Z_75__&amp;IJ9XF~![%_%I%j%`%7%J%A%e%i%k%j%C%A$_;n$7%-%c%s%Z!_%s_(B(8_$B7nJ__(B)_$BM=;;_(B100_$B!sE~C#$N$_CN$i$;_(B-162550.eml</t>
  </si>
  <si>
    <t>\\file-sv01-nt\pub\Project\スマホアプリ数値管理\スマホアプリ数値管理_自動更新.xlsm</t>
  </si>
  <si>
    <t>\\file-sv01-nt\pub\Project\セキュリティ\脆弱性診断\クリックジャッキングサンプル\merge_IE8.html</t>
  </si>
  <si>
    <t>\\file-sv01-nt\pub\Project\ディレクター共有\05業務改善\業務改善PJ_仕様書検討10.xlsx</t>
  </si>
  <si>
    <t>\\file-sv01-nt\pub\Project\データ保全\データ保全フォルダ使用履歴.txt</t>
  </si>
  <si>
    <t>\\file-sv01-nt\pub\Project\デザインG業務委託\keizo_okada\pc_main_03.psd</t>
  </si>
  <si>
    <t>\\file-sv01-nt\pub\Project\デザイン本部アシスタント共有\01_契約・決裁\株式会社千葉ジェッツふなばし\請求書発行（2503_観戦ガイドLP制作）\MIXIグループ請求書_202503千葉ジェッツふなばし（観戦ガイドLP）.xlsx</t>
  </si>
  <si>
    <t>\\file-sv01-nt\pub\Project\ネイティブアプリ売り上げ報告\202502\999999_入金予定と送金回数確認.xlsx</t>
  </si>
  <si>
    <t>\\file-sv01-nt\pub\Project\ノハナサポート\CS対応満足度\CS対応満足度2019年03月（20190220-0320）.xlsx</t>
  </si>
  <si>
    <t>\\file-sv01-nt\pub\Project\ノハナ採用\入社済\神川真穂\Kamikawa_Rireki.pdf</t>
  </si>
  <si>
    <t>\\file-sv01-nt\pub\Project\ノハナ社設立プロジェクト\20130828\【全体】130821_ノハナ社設立プロジェクト.xlsx</t>
  </si>
  <si>
    <t>\\file-sv01-nt\pub\Project\はたらく環境課情報共有\業務委託共有\入退社管理\入退社作業フォルダ\20250401\20250319入社対応一覧.xlsm</t>
  </si>
  <si>
    <t>\\file-sv01-nt\pub\Project\ピコミク\ピコミクなカレンダー.xls</t>
  </si>
  <si>
    <t>\\file-sv01-nt\pub\Project\ブラナイ\design\00_character_illustration\04_user\ueno\モンスト\背景\激獣神祭背景_大晦日_仕上げ_c.psd</t>
  </si>
  <si>
    <t>\\file-sv01-nt\pub\Project\ブランド戦略Tデータ保管用\16.09_XFLAG-Document\01_Project\16.09_XFLAG-Doc_t22_Final.fcp</t>
  </si>
  <si>
    <t>\\file-sv01-nt\pub\Project\プレミアム関連キャンペーン\2013年10月月末3日間施策(ゲリラキャンペーン)\当選者リスト\プレゼント商品当選者リスト.xlsx</t>
  </si>
  <si>
    <t>\\file-sv01-nt\pub\Project\マスプロ効果測定\登録数・退会数\登録数と退会数.xls</t>
  </si>
  <si>
    <t>\\file-sv01-nt\pub\Project\マッサージルーム\カルテ\3000000～3000999\3000444　イシガミ　ヒデノリa.xlsx</t>
  </si>
  <si>
    <t>\\file-sv01-nt\pub\Project\マネージャー共有\2013_07\20130701 部長共有会資料【Final】.pdf</t>
  </si>
  <si>
    <t>\\file-sv01-nt\pub\Project\ミクシィ・リクルートメント経営業務\FY17\002_着地予測_v66.xlsx</t>
  </si>
  <si>
    <t>\\file-sv01-nt\pub\Project\ミクシィグループWebクリッピング\【MIXI御中】2022年12月掲載分(1219-1225).xlsx</t>
  </si>
  <si>
    <t>\\file-sv01-nt\pub\Project\ミクシィリサーチカンパニー\04.技術\85_src\【開発停止】【業務】スマホプロジェクト\playapp-master.zip</t>
  </si>
  <si>
    <t>\\file-sv01-nt\pub\Project\ミクシィリサーチ経営業務\アクセス権.txt</t>
  </si>
  <si>
    <t>\\file-sv01-nt\pub\Project\ミクシィリサーチ経理業務\01.経理業務\11.ショッパーズアイ\02.未収管理\F4FDE895.tmp</t>
  </si>
  <si>
    <t>\\file-sv01-nt\pub\Project\ミクシィリサーチ人事労務\03.人事労務業務\01.ポート社労士\03.給与関係\201604特別賞与\160418_社会保険料一覧表.xls</t>
  </si>
  <si>
    <t>\\file-sv01-nt\pub\Project\ミクシィリサーチ総務業務\02.総務業務\07.契約書一覧\SE\00.契約書一覧（SE）.xlsx</t>
  </si>
  <si>
    <t>\\file-sv01-nt\pub\Project\モンストスタジオ・アドテク共有用\アドテククリエイティブ\Kicfactory\300-250_psd\大人でも_300-250.psd</t>
  </si>
  <si>
    <t>\\file-sv01-nt\pub\Project\ﾕｰｻﾞｰｻﾎﾟｰﾄｸﾞﾙｰﾌﾟ\ユーザーサポートG\グループ共有\コンタクトセンターアワード\【株式会社ミクシィ_ユーザーサポートG】発表資料_ver.2++ケン.pptx</t>
  </si>
  <si>
    <t>\\file-sv01-nt\pub\Project\リサーチ担当者間共有\シェア資料の分類・シェア方法案（ドラフト）.txt</t>
  </si>
  <si>
    <t>\\file-sv01-nt\pub\Project\案件管理\ホームユニット\01.案件\【HOME-915】【Android】ステータスバーから返信できるようにする\【Android】通知領域から返信\Screenshot_2013-10-02-16-55-17.png</t>
  </si>
  <si>
    <t>\\file-sv01-nt\pub\Project\運営者からのお知らせ\2015年1月～12月\1207【運営者のお知らせ】COMMUNITY-4957 副管理人にトピック作成権限（本告知）.docx</t>
  </si>
  <si>
    <t>\\file-sv01-nt\pub\Project\営業案件\tieup旧案件\r1809_パチンコルパン\02.ラフ\【ﾙﾊﾟﾝ】企画枠等_20081124.ppt</t>
  </si>
  <si>
    <t>\\file-sv01-nt\pub\Project\影舞\○リリース済み\345 モバイルコンテンツ課金\有料ミクコレ\old\未登録ミクコレ\2010\201010\20101026\nouhin_mmlm_101029\img\skin.csv</t>
  </si>
  <si>
    <t>\\file-sv01-nt\pub\Project\音源\_SE\3D Sound Effects\BoatRowingConstant 3D030201.aiff.sfk</t>
  </si>
  <si>
    <t>\\file-sv01-nt\pub\Project\仮想PL\仮想PL_KPI検討\05_仮想PL算出\201307\受領データ\product_summary_2013-07-01_2013-07-31.xlsx</t>
  </si>
  <si>
    <t>\\file-sv01-nt\pub\Project\課金対応\録音データ\録音データ管理台帳.xls</t>
  </si>
  <si>
    <t>\\file-sv01-nt\pub\Project\開発マネージャ共有\アプリ開発者名簿_v1.6.xlsm</t>
  </si>
  <si>
    <t>\\file-sv01-nt\pub\Project\確定拠出年金制度\DC教育セミナー2015資料.pdf</t>
  </si>
  <si>
    <t>\\file-sv01-nt\pub\Project\株式会社ミクシィリサーチ\規程類フォルダ\規定類（就業規則など）\目標設定シート_SEテンプレート_v2.0.xlsx</t>
  </si>
  <si>
    <t>\\file-sv01-nt\pub\Project\株式関連\SOP関連\消滅処理（放棄）\20250331_水本敦則\＜水本さん＞新株予約権原簿の異動に関する連絡票.pdf</t>
  </si>
  <si>
    <t>\\file-sv01-nt\pub\Project\株主総会\250626総会関連\99.会場検討\解約申出書_CA2023020741-002押印済.pdf</t>
  </si>
  <si>
    <t>\\file-sv01-nt\pub\Project\企画レポート\分析関連\各サービス数値・分析資料\mixi全体\20200302_ログインできない問い合わせ数推移\ログインできない問い合わせ数予実推移.xlsx</t>
  </si>
  <si>
    <t>\\file-sv01-nt\pub\Project\共有スケジュール\工数管理\2013H1\2013_09.csv</t>
  </si>
  <si>
    <t>\\file-sv01-nt\pub\Project\共有写真（全社）\2013\ゲーム事業部\素敵フォルダ\【2012年度】12新卒の軌跡\ゲーム事業部FY12Q3_締め会.pptx</t>
  </si>
  <si>
    <t>\\file-sv01-nt\pub\Project\業務改善PJ（タイアップ案件）\002金子作業用\2009_営業部タイアップ案件PL管理表_2.0.xls</t>
  </si>
  <si>
    <t>\\file-sv01-nt\pub\Project\契約管理台帳\契約管理台帳(12001-15000).xls</t>
  </si>
  <si>
    <t>\\file-sv01-nt\pub\Project\経営会議\第26期（FY2025）\録画データ保管用\文字起こし（audioベース）\1283.txt</t>
  </si>
  <si>
    <t>\\file-sv01-nt\pub\Project\経営企画・法務共有\Ⅲ-4給与規程\250401給与規程.docx</t>
  </si>
  <si>
    <t>\\file-sv01-nt\pub\Project\経営企画G・IMC\001_Fund・投資先\003_個別投資先\03_SweetTech\~$【決1】Sweettechの募集株式引受けの件_final - コピー.pptx</t>
  </si>
  <si>
    <t>\\file-sv01-nt\pub\Project\経営企画室／投資・事業推進部\経営管理G\02_取締役会報告(PPT)\FY23\202211月 臨時取締役会(11月4日開催）\FY2023決算短信補足資料20221104.pdf</t>
  </si>
  <si>
    <t>\\file-sv01-nt\pub\Project\経営企画室共有\nohana\伝票検索結果_20131016183621_経企加工.xlsx</t>
  </si>
  <si>
    <t>\\file-sv01-nt\pub\Project\経企・労務共有\002.労務→長岡さん\【サンプル3】ノハナ賞与引当金.xlsx</t>
  </si>
  <si>
    <t>\\file-sv01-nt\pub\Project\経理・エンパワーメント共有\202502 MIXI EMPOWERMENT支給給与.xlsx</t>
  </si>
  <si>
    <t>\\file-sv01-nt\pub\Project\経理・スマートヘルス共有\直雇用給与データ\スマートヘルス直雇用者給与 202001.xlsx</t>
  </si>
  <si>
    <t>\\file-sv01-nt\pub\Project\経理・財務共有\経理\01　単体決算\第26期（2025年3月期）\【Lead Sheet】\4Q\2503 J有価証券\有価証券取得資料\5-投資有価証券（営業目的を含む）_有価証券取得証憑および取得関連費用証憑\0131_VOLVE　CREATIVE\【押印済み】VOLVE_投資契約書 (1).pdf</t>
  </si>
  <si>
    <t>\\file-sv01-nt\pub\Project\経理・仙台共有\201407\決裁\ヤマト7月分.pdf</t>
  </si>
  <si>
    <t>\\file-sv01-nt\pub\Project\経理・労務共通\給与\26期\202501\海外子会社請求書\2025年1月度_MGB (修正版).pdf</t>
  </si>
  <si>
    <t>\\file-sv01-nt\pub\Project\警察照会\200_照会対応MDB\照会対応ver4_10.mdb</t>
  </si>
  <si>
    <t>\\file-sv01-nt\pub\Project\決済センター\月次経理報告書\アプリ売上報告書.xlsx</t>
  </si>
  <si>
    <t>\\file-sv01-nt\pub\Project\健全化推進\一時利用フォルダ\50人討議（仮）_0607.pptx</t>
  </si>
  <si>
    <t>\\file-sv01-nt\pub\Project\個人情報開示等請求\注意.txt</t>
  </si>
  <si>
    <t>\\file-sv01-nt\pub\Project\広告ダッシュボード\1全体\ダッシュボードFY12-FY13.xlsx</t>
  </si>
  <si>
    <t>\\file-sv01-nt\pub\Project\広告運用\2014事業譲渡\impAct\Oracle\mixi様Termination Letter捺印の御願い\20150224150850.pdf</t>
  </si>
  <si>
    <t>\\file-sv01-nt\pub\Project\広報IR共有\007_プレスリリース\2022\20221003_商号変更完了のお知らせ\20221001_商号変更完了に関するお知らせ.docx</t>
  </si>
  <si>
    <t>\\file-sv01-nt\pub\Project\財務・イノベーションセンター共有\カード利用管理簿\201400326iTunes_Popolly\201400326iTunes_Popolly.xlsx</t>
  </si>
  <si>
    <t>\\file-sv01-nt\pub\Project\財務・経理・労務共有フォルダ\依頼データ\入退社推移\入退社推移_202304-202403.xlsx</t>
  </si>
  <si>
    <t>\\file-sv01-nt\pub\Project\財務・労務共通\MIXI_10月分住民税納付書.zip</t>
  </si>
  <si>
    <t>\\file-sv01-nt\pub\Project\支援1G\モンスト国内QAチーム\90.個人フォルダ\石原\移行用\2023\モバイル市場レポート_20221111.pdf</t>
  </si>
  <si>
    <t>\\file-sv01-nt\pub\Project\資産・購買管理共有\バックオフィス\月次証憑データ\月次証憑2024\202503\MXK01-2503-01443\MXK01-2503-01443支払申請書.pdf</t>
  </si>
  <si>
    <t>\\file-sv01-nt\pub\Project\事業推進・イノセン\Caribbean\経営会議\第13期\111220\~$会議議事録_111220_draft2+.docx</t>
  </si>
  <si>
    <t>\\file-sv01-nt\pub\Project\社員ID作業用\採番\社員ID一覧.xlsm</t>
  </si>
  <si>
    <t>\\file-sv01-nt\pub\Project\社内システム情報共有\active.csv</t>
  </si>
  <si>
    <t>\\file-sv01-nt\pub\Project\社内システム人事関連情報共有\組織変更\2025年度\20250401\【作業用】MIXI\参考_前月との差分【全社】_20250401.xlsx</t>
  </si>
  <si>
    <t>\\file-sv01-nt\pub\Project\取引先一覧(パートナー)\取引先台帳（パートナー）.xls</t>
  </si>
  <si>
    <t>\\file-sv01-nt\pub\Project\取締役会\02取締役会\03招集通知・議事録\2024年度（FY2025)\250321_定時取締役会\決議1　PJ Essenにおける為替ヘッジの実行の件\【取締役会議】Essenヘッジ対策_20250321.pdf</t>
  </si>
  <si>
    <t>\\file-sv01-nt\pub\Project\人材開発temp\データ関連\人事面談記録\面談記録v2.0.xlsx</t>
  </si>
  <si>
    <t>\\file-sv01-nt\pub\Project\人材採用\01.共通\09.各種イベント名札、賞状データ、ノベルティ\TDD\【TDD#9】名札\学生名札.ai</t>
  </si>
  <si>
    <t>\\file-sv01-nt\pub\Project\人材採用G\HERP\モンストHERP\エージェント一覧.csv</t>
  </si>
  <si>
    <t>\\file-sv01-nt\pub\Project\人事部動画データ\全社共有\月例会・納会\1310月例会.MP4</t>
  </si>
  <si>
    <t>\\file-sv01-nt\pub\Project\組織変更\組織変更（ミクシィ）\【原本】組織変更　異動準備申請【2013年9月1日付全社員一覧】.xlsx</t>
  </si>
  <si>
    <t>\\file-sv01-nt\pub\Project\総務共有\バックアップ用\18　出張\2016年\201605月分\【手配中】20160517-0523上海／大崎、田村、鈴木、朴、黄\新しいブリーフケース\ﾌﾞﾘｰﾌｹｰｽ ﾃﾞｰﾀﾍﾞｰｽ</t>
  </si>
  <si>
    <t>\\file-sv01-nt\pub\Project\大阪営業所移転PJ\11大阪事業所カード\カード管理表.xls</t>
  </si>
  <si>
    <t>\\file-sv01-nt\pub\Project\知財運用支援\CHIZAI-85：親子課金特許化検討\親子課金アイディア130815-1.pptx</t>
  </si>
  <si>
    <t>\\file-sv01-nt\pub\Project\投資案件\10_ネイキッドテクノロジー\22_FY11SO発行\02-02臨時株主総会議事録110912案.pdf</t>
  </si>
  <si>
    <t>\\file-sv01-nt\pub\Project\投資案件共有\SDCフォルダ退避\SDC社内共有サーバ\全社\写真\記念写真\20110318.加藤写真\IMG_0277.jpg</t>
  </si>
  <si>
    <t>\\file-sv01-nt\pub\Project\投資委員会\121210\20121105_投資委員会議事録.txt</t>
  </si>
  <si>
    <t>\\file-sv01-nt\pub\Project\投資事業推進室案件管理\01_Evolution\01_UBIC\UBIC_Evolution調査報告書最終版.pdf</t>
  </si>
  <si>
    <t>\\file-sv01-nt\pub\Project\内部監査\内部監査室 - ショートカット.lnk</t>
  </si>
  <si>
    <t>\\file-sv01-nt\pub\Project\入稿バナー確認用\企画-入稿用\バナー管理\自社広告素材(北へ入稿済み) - ショートカット.lnk</t>
  </si>
  <si>
    <t>\\file-sv01-nt\pub\Project\秘書・アシスタント共有\福森さんへ\01_議事録\20180226_オウンド編集会議.txt</t>
  </si>
  <si>
    <t>\\file-sv01-nt\pub\Project\品質管理\外注管理\2017_11請求書\【ミクシィ様】御請求書_2017年11月分_ソフトウェアテスト常駐支援7名分.pdf</t>
  </si>
  <si>
    <t>\\file-sv01-nt\pub\Project\部室長用人事データ\2014年度\評価会議B\0424更新_【評価会議B】ミクシィ_2014下期.xlsx</t>
  </si>
  <si>
    <t>\\file-sv01-nt\pub\Project\部長共有会議\組織図0801(Final).pptx</t>
  </si>
  <si>
    <t>\\file-sv01-nt\pub\Project\法務渉外対応\法務渉外対応\未使用MDB\照会対応.mdb</t>
  </si>
  <si>
    <t>\\file-sv01-nt\pub\Project\有名人アカウント\【08_集計\【週次】報告\2011年\new_報告0412.xlsx</t>
  </si>
  <si>
    <t>\\file-sv01-nt\pub\Project\予算管理\予算管理者\001_年度予算\19期予算\下期予算\003_管理部\【発番済】2018年3月期予算シート_下期_【はたらく環境室】不動産関連移管.xlsx</t>
  </si>
  <si>
    <t>\\file-sv01-nt\pub\Project\労務・仙台共有\02労務→仙台\組織変更フォーマット2014_04_all（共有用）.xlsx</t>
  </si>
  <si>
    <t>\\file-sv01-nt\pub\Project\労務G\グループ共有\20.就業規則・協定\★次回改定予定（進行中案件）\20250401\海外勤務者規程\250401海外勤務者規程.docx</t>
  </si>
  <si>
    <t>\\file-sv02-nt\pub\Project\anime\13_jigyounei\GATE\システム_触れないで\GATE.accdb</t>
  </si>
  <si>
    <t>\\file-sv02-nt\pub\Project\candy\移動先フォルダのショートカット.lnk</t>
  </si>
  <si>
    <t>\\file-sv02-nt\pub\Project\durian\design\vfx\data\data_sakai02\BakaAfter\Movie\RADAR\ME_RADAR_F.mov</t>
  </si>
  <si>
    <t>\\file-sv02-nt\pub\Project\eclair_art\このフォルダは移動しました.txt</t>
  </si>
  <si>
    <t>\\file-sv02-nt\pub\Project\honey\移動先のショートカット.lnk</t>
  </si>
  <si>
    <t>\\file-sv02-nt\pub\Project\macaron\このフォルダは移動しました.txt</t>
  </si>
  <si>
    <t>\\file-sv02-nt\pub\Project\macaron_経理関連\macaron経費処理資料\macaronタボット経費\201809稼動分\ks-101674.pdf</t>
  </si>
  <si>
    <t>\\file-sv02-nt\pub\Project\mb\users_ng.txt</t>
  </si>
  <si>
    <t>\\file-sv02-nt\pub\Project\monsoni\Designer\サンプル\ibaraki_AvaterSetting_02.fbx</t>
  </si>
  <si>
    <t>\\file-sv02-nt\pub\Project\monst\division\デザインG\イラストT\サポートT\書き出し用素材\コラボ&amp;タイアップ_極秘\2025\202504後半2.5次元の誘惑\cb書き出し用_FIX.psd</t>
  </si>
  <si>
    <t>\\file-sv02-nt\pub\Project\monst_Characterデータ\GJスタンプ_モンストキャラ_極秘\001_モンストキャラ_クリエイター_極秘\00_制作\gj_0646.psd</t>
  </si>
  <si>
    <t>\\file-sv02-nt\pub\Project\monst_system\ゼンリン\3D都市モデルデータ全国一式\doc\README.XLSX</t>
  </si>
  <si>
    <t>\\file-sv02-nt\pub\Project\monst_コラボ関連資料\2025_極秘\2025.06_薬屋のひとりごと\04.進捗定例資料\20250307\20250307_薬屋のひとりごと_進捗定例資料_極秘.pdf</t>
  </si>
  <si>
    <t>\\file-sv02-nt\pub\Project\monst-denki\01.FromKDDI(送付情報)\202111\アイテム付与結果_11月連携.csv</t>
  </si>
  <si>
    <t>\\file-sv02-nt\pub\Project\sample_pack\このフォルダは移動しました.txt</t>
  </si>
  <si>
    <t>\\file-sv02-nt\pub\Project\sg\software\testtokito\install\app_store\tk-shotgun-launchfolder\v0.1.5\app.pyc</t>
  </si>
  <si>
    <t>\\file-sv02-nt\pub\Project\soundgroup_databackup\このフォルダは利用しないようお願いします.txt</t>
  </si>
  <si>
    <t>\\file-sv02-nt\pub\Project\tech\Tools\backup\readme.txt</t>
  </si>
  <si>
    <t>\\file-sv02-nt\pub\Project\tech_tools\creative_ai\stylegan_image_generator\python-3.7.8-amd64.exe</t>
  </si>
  <si>
    <t>\\file-sv02-nt\pub\Project\XFLAG_assistant\ENTERTAINMENT\契約書関連\新規事業開発部\ce-9411_ｶﾘｰｸﾞｽﾞ_秘密保持契約書.pdf</t>
  </si>
  <si>
    <t>\\file-sv02-nt\pub\Project\グッズ売上\在庫表\経理在庫表_202502.xlsx</t>
  </si>
  <si>
    <t>\\file-sv02-nt\pub\Project\ファイトリーグG管理\【エクレア】見積もりまとめ\2018-19\株式会社ひつじぐも\19年5月\【エクレア】5月分_ひつじぐも様_発注書.pdf</t>
  </si>
  <si>
    <t>\\file-sv02-nt\pub\Project\マーケティング戦略G\ビデオ - ショートカット.lnk</t>
  </si>
  <si>
    <t>\\file-sv02-nt\pub\Project\マーケティング部海外宣伝企画\202502転スラコラボシェアキャンペーン（2025年6月30日廃棄）_confidential\2025年2月動畫關於我轉生變成史?姆這?事合作活動報名表單.xlsx</t>
  </si>
  <si>
    <t>\\file-sv02-nt\pub\Project\マーチャンダイジング部PBNB共有\99.一次保存用\米田\バックアップ\名称未設定フォルダ\【MXK01-2210-00486】仕様書兼発注書_グラフィッククリエーション.pdf</t>
  </si>
  <si>
    <t>\\file-sv02-nt\pub\Project\モンストアニメ\01_第1シーズン - ショートカット.lnk</t>
  </si>
  <si>
    <t>\\file-sv02-nt\pub\Project\モンストマーケティングからの共有\モンストbingo\6月振込分\モンストbingo高額当選者_180625.xlsx　→入金対象者情報をご指定のフォーマットにまとめたもの.pdf</t>
  </si>
  <si>
    <t>\\file-sv03-nt\pub\Project\Creative\Web\案件ファイル\ms_stadium\その他\2018\04_【デザイン】インタラクティブな動画配信機能_MC-2228\Material\スクリーンショット 2018-01-30 16.39.28.png</t>
  </si>
  <si>
    <t>\\file-sv03-nt\pub\Project\tech_data\pictures\xani\from_anima\expAuraPT\expAuraPT.0359.ass.gz</t>
  </si>
  <si>
    <t>\\file-sv03-nt\pub\Project\xflag_video\users.txt.lnk</t>
  </si>
  <si>
    <t>割合</t>
  </si>
  <si>
    <t>21.48GB</t>
  </si>
  <si>
    <t>36320.66GB</t>
  </si>
  <si>
    <t>824.96GB</t>
  </si>
  <si>
    <t>137.98GB</t>
  </si>
  <si>
    <t>2108.85GB</t>
  </si>
  <si>
    <t>25.36GB</t>
  </si>
  <si>
    <t>1.02GB</t>
  </si>
  <si>
    <t>8.93GB</t>
  </si>
  <si>
    <t>0.58GB</t>
  </si>
  <si>
    <t>9.45GB</t>
  </si>
  <si>
    <t>19.71GB</t>
  </si>
  <si>
    <t>11.96GB</t>
  </si>
  <si>
    <t>1124.06GB</t>
  </si>
  <si>
    <t>28.96GB</t>
  </si>
  <si>
    <t>0.15GB</t>
  </si>
  <si>
    <t>1408.20GB</t>
  </si>
  <si>
    <t>0.90GB</t>
  </si>
  <si>
    <t>31.27GB</t>
  </si>
  <si>
    <t>3.42GB</t>
  </si>
  <si>
    <t>17.01GB</t>
  </si>
  <si>
    <t>9480.47GB</t>
  </si>
  <si>
    <t>928.42GB</t>
  </si>
  <si>
    <t>89.46GB</t>
  </si>
  <si>
    <t>14.51GB</t>
  </si>
  <si>
    <t>9758.07GB</t>
  </si>
  <si>
    <t>2.45GB</t>
  </si>
  <si>
    <t>1.47GB</t>
  </si>
  <si>
    <t>0.37GB</t>
  </si>
  <si>
    <t>2.03GB</t>
  </si>
  <si>
    <t>299.02GB</t>
  </si>
  <si>
    <t>0.32GB</t>
  </si>
  <si>
    <t>189.59GB</t>
  </si>
  <si>
    <t>0.31GB</t>
  </si>
  <si>
    <t>2822.21GB</t>
  </si>
  <si>
    <t>4104.40GB</t>
  </si>
  <si>
    <t>5.16GB</t>
  </si>
  <si>
    <t>10.40GB</t>
  </si>
  <si>
    <t>5.98GB</t>
  </si>
  <si>
    <t>110.06GB</t>
  </si>
  <si>
    <t>2.78GB</t>
  </si>
  <si>
    <t>2.28GB</t>
  </si>
  <si>
    <t>5.74GB</t>
  </si>
  <si>
    <t>49.26GB</t>
  </si>
  <si>
    <t>2.18GB</t>
  </si>
  <si>
    <t>275741.94GB</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</si>
</sst>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quot;GB&quot;"/>
    <numFmt numFmtId="165" formatCode="yyyy/m/d"/>
    <numFmt numFmtId="166" formatCode="m&quot;月&quot;"/>
    <numFmt numFmtId="167" formatCode="0.000%"/>
  </numFmts>
  <fonts count="32">
    <font>
      <sz val="10.0"/>
      <color rgb="FF000000"/>
      <name val="Arial"/>
      <scheme val="minor"/>
    </font>
    <font>
      <sz val="9.0"/>
      <color rgb="FFFFFFFF"/>
      <name val="&quot;ＭＳ Ｐゴシック&quot;"/>
    </font>
    <font>
      <sz val="11.0"/>
      <color rgb="FF000000"/>
      <name val="&quot;ＭＳ Ｐゴシック&quot;"/>
    </font>
    <font>
      <color rgb="FF000000"/>
      <name val="Arial"/>
      <scheme val="minor"/>
    </font>
    <font>
      <color rgb="FF000000"/>
      <name val="Arial"/>
    </font>
    <font>
      <color theme="1"/>
      <name val="Arial"/>
      <scheme val="minor"/>
    </font>
    <font>
      <color rgb="FFFFFFFF"/>
      <name val="Arial"/>
      <scheme val="minor"/>
    </font>
    <font>
      <color rgb="FFFFFFFF"/>
      <name val="Arial"/>
    </font>
    <font/>
    <font>
      <color theme="1"/>
      <name val="Arial"/>
    </font>
    <font>
      <b/>
      <color theme="1"/>
      <name val="Arial"/>
      <scheme val="minor"/>
    </font>
    <font>
      <u/>
      <color rgb="FF0000FF"/>
    </font>
    <font>
      <color rgb="FFFF0000"/>
      <name val="Arial"/>
    </font>
    <font>
      <color rgb="FFFF0000"/>
      <name val="Arial"/>
      <scheme val="minor"/>
    </font>
    <font>
      <color rgb="FF1F1F1F"/>
      <name val="&quot;Google Sans Mono&quot;"/>
    </font>
    <font>
      <sz val="11.0"/>
      <color theme="1"/>
      <name val="Arial"/>
    </font>
    <font>
      <i/>
      <sz val="11.0"/>
      <color rgb="FF3C4043"/>
      <name val="Roboto"/>
    </font>
    <font>
      <color theme="1"/>
      <name val="&quot;Google Sans Mono&quot;"/>
    </font>
    <font>
      <sz val="11.0"/>
      <color rgb="FF1F1F1F"/>
      <name val="&quot;Google Sans&quot;"/>
    </font>
    <font>
      <b/>
      <color rgb="FFFFFFFF"/>
      <name val="Arial"/>
    </font>
    <font>
      <b/>
      <color theme="1"/>
      <name val="Arial"/>
    </font>
    <font>
      <u/>
      <color rgb="FF0000FF"/>
    </font>
    <font>
      <u/>
      <color rgb="FF0000FF"/>
    </font>
    <font>
      <b/>
      <u/>
      <color theme="1"/>
      <name val="Arial"/>
    </font>
    <font>
      <sz val="11.0"/>
      <color rgb="FF000000"/>
      <name val="游ゴシック"/>
    </font>
    <font>
      <u/>
      <color theme="1"/>
      <name val="Arial"/>
      <scheme val="minor"/>
    </font>
    <font>
      <sz val="11.0"/>
      <color theme="1"/>
      <name val="Aptos Narrow"/>
    </font>
    <font>
      <sz val="9.0"/>
      <color theme="1"/>
      <name val="Arial"/>
    </font>
    <font>
      <sz val="11.0"/>
      <color rgb="FFFF0000"/>
      <name val="Aptos Narrow"/>
    </font>
    <font>
      <b/>
      <sz val="11.0"/>
      <color theme="1"/>
      <name val="Aptos Narrow"/>
    </font>
    <font>
      <b/>
      <sz val="11.0"/>
      <color theme="1"/>
      <name val="Arial"/>
    </font>
    <font>
      <u/>
      <sz val="11.0"/>
      <color theme="1"/>
      <name val="Arial"/>
    </font>
  </fonts>
  <fills count="23">
    <fill>
      <patternFill patternType="none"/>
    </fill>
    <fill>
      <patternFill patternType="lightGray"/>
    </fill>
    <fill>
      <patternFill patternType="solid">
        <fgColor rgb="FF5B9BD5"/>
        <bgColor rgb="FF5B9BD5"/>
      </patternFill>
    </fill>
    <fill>
      <patternFill patternType="solid">
        <fgColor rgb="FFFFFF00"/>
        <bgColor rgb="FFFFFF00"/>
      </patternFill>
    </fill>
    <fill>
      <patternFill patternType="solid">
        <fgColor rgb="FFFFFFFF"/>
        <bgColor rgb="FFFFFFFF"/>
      </patternFill>
    </fill>
    <fill>
      <patternFill patternType="solid">
        <fgColor rgb="FF000000"/>
        <bgColor rgb="FF000000"/>
      </patternFill>
    </fill>
    <fill>
      <patternFill patternType="solid">
        <fgColor rgb="FFB7B7B7"/>
        <bgColor rgb="FFB7B7B7"/>
      </patternFill>
    </fill>
    <fill>
      <patternFill patternType="solid">
        <fgColor rgb="FFFFF2CC"/>
        <bgColor rgb="FFFFF2CC"/>
      </patternFill>
    </fill>
    <fill>
      <patternFill patternType="solid">
        <fgColor rgb="FFCCCCCC"/>
        <bgColor rgb="FFCCCCCC"/>
      </patternFill>
    </fill>
    <fill>
      <patternFill patternType="solid">
        <fgColor rgb="FFFCE5CD"/>
        <bgColor rgb="FFFCE5CD"/>
      </patternFill>
    </fill>
    <fill>
      <patternFill patternType="solid">
        <fgColor rgb="FFCFE2F3"/>
        <bgColor rgb="FFCFE2F3"/>
      </patternFill>
    </fill>
    <fill>
      <patternFill patternType="solid">
        <fgColor rgb="FFF4CCCC"/>
        <bgColor rgb="FFF4CCCC"/>
      </patternFill>
    </fill>
    <fill>
      <patternFill patternType="solid">
        <fgColor rgb="FFF9CB9C"/>
        <bgColor rgb="FFF9CB9C"/>
      </patternFill>
    </fill>
    <fill>
      <patternFill patternType="solid">
        <fgColor rgb="FFF0F4F9"/>
        <bgColor rgb="FFF0F4F9"/>
      </patternFill>
    </fill>
    <fill>
      <patternFill patternType="solid">
        <fgColor rgb="FFB6D7A8"/>
        <bgColor rgb="FFB6D7A8"/>
      </patternFill>
    </fill>
    <fill>
      <patternFill patternType="solid">
        <fgColor rgb="FFEAD1DC"/>
        <bgColor rgb="FFEAD1DC"/>
      </patternFill>
    </fill>
    <fill>
      <patternFill patternType="solid">
        <fgColor rgb="FFE6B8AF"/>
        <bgColor rgb="FFE6B8AF"/>
      </patternFill>
    </fill>
    <fill>
      <patternFill patternType="solid">
        <fgColor rgb="FFD9D2E9"/>
        <bgColor rgb="FFD9D2E9"/>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00B0F0"/>
        <bgColor rgb="FF00B0F0"/>
      </patternFill>
    </fill>
    <fill>
      <patternFill patternType="solid">
        <fgColor rgb="FFFF0000"/>
        <bgColor rgb="FFFF0000"/>
      </patternFill>
    </fill>
  </fills>
  <borders count="13">
    <border/>
    <border>
      <left style="thin">
        <color rgb="FF808080"/>
      </left>
      <right style="thin">
        <color rgb="FF808080"/>
      </right>
      <top style="thin">
        <color rgb="FF808080"/>
      </top>
      <bottom style="thin">
        <color rgb="FF80808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top style="thick">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1" fillId="2" fontId="1" numFmtId="0" xfId="0" applyAlignment="1" applyBorder="1" applyFont="1">
      <alignment readingOrder="0" shrinkToFit="0" wrapText="0"/>
    </xf>
    <xf borderId="0" fillId="0" fontId="2" numFmtId="0" xfId="0" applyAlignment="1" applyFont="1">
      <alignment readingOrder="0" shrinkToFit="0" wrapText="0"/>
    </xf>
    <xf borderId="0" fillId="3" fontId="2" numFmtId="0" xfId="0" applyAlignment="1" applyFill="1" applyFont="1">
      <alignment readingOrder="0" shrinkToFit="0" wrapText="0"/>
    </xf>
    <xf borderId="0" fillId="4" fontId="3" numFmtId="0" xfId="0" applyAlignment="1" applyFill="1" applyFont="1">
      <alignment readingOrder="0"/>
    </xf>
    <xf borderId="0" fillId="4" fontId="4" numFmtId="0" xfId="0" applyAlignment="1" applyFont="1">
      <alignment readingOrder="0" shrinkToFit="0" vertical="bottom" wrapText="0"/>
    </xf>
    <xf borderId="0" fillId="0" fontId="5" numFmtId="0" xfId="0" applyAlignment="1" applyFont="1">
      <alignment readingOrder="0"/>
    </xf>
    <xf borderId="0" fillId="0" fontId="4" numFmtId="0" xfId="0" applyAlignment="1" applyFont="1">
      <alignment readingOrder="0" shrinkToFit="0" vertical="bottom" wrapText="0"/>
    </xf>
    <xf borderId="2" fillId="5" fontId="6" numFmtId="0" xfId="0" applyAlignment="1" applyBorder="1" applyFill="1" applyFont="1">
      <alignment readingOrder="0"/>
    </xf>
    <xf borderId="0" fillId="5" fontId="6" numFmtId="0" xfId="0" applyAlignment="1" applyFont="1">
      <alignment readingOrder="0"/>
    </xf>
    <xf borderId="0" fillId="5" fontId="7" numFmtId="0" xfId="0" applyAlignment="1" applyFont="1">
      <alignment readingOrder="0" shrinkToFit="0" vertical="bottom" wrapText="0"/>
    </xf>
    <xf borderId="2" fillId="0" fontId="5" numFmtId="0" xfId="0" applyAlignment="1" applyBorder="1" applyFont="1">
      <alignment readingOrder="0"/>
    </xf>
    <xf borderId="3" fillId="5" fontId="6" numFmtId="0" xfId="0" applyAlignment="1" applyBorder="1" applyFont="1">
      <alignment readingOrder="0"/>
    </xf>
    <xf borderId="3" fillId="5" fontId="7" numFmtId="0" xfId="0" applyAlignment="1" applyBorder="1" applyFont="1">
      <alignment readingOrder="0" shrinkToFit="0" vertical="bottom" wrapText="0"/>
    </xf>
    <xf borderId="4" fillId="0" fontId="5" numFmtId="0" xfId="0" applyAlignment="1" applyBorder="1" applyFont="1">
      <alignment readingOrder="0"/>
    </xf>
    <xf borderId="3" fillId="0" fontId="5" numFmtId="0" xfId="0" applyAlignment="1" applyBorder="1" applyFont="1">
      <alignment readingOrder="0"/>
    </xf>
    <xf borderId="3" fillId="0" fontId="4" numFmtId="0" xfId="0" applyAlignment="1" applyBorder="1" applyFont="1">
      <alignment readingOrder="0" shrinkToFit="0" vertical="bottom" wrapText="0"/>
    </xf>
    <xf borderId="5" fillId="0" fontId="5" numFmtId="0" xfId="0" applyAlignment="1" applyBorder="1" applyFont="1">
      <alignment readingOrder="0"/>
    </xf>
    <xf borderId="5" fillId="0" fontId="5" numFmtId="0" xfId="0" applyBorder="1" applyFont="1"/>
    <xf borderId="6" fillId="0" fontId="5" numFmtId="0" xfId="0" applyBorder="1" applyFont="1"/>
    <xf borderId="6" fillId="0" fontId="5" numFmtId="0" xfId="0" applyAlignment="1" applyBorder="1" applyFont="1">
      <alignment readingOrder="0"/>
    </xf>
    <xf borderId="7" fillId="0" fontId="5" numFmtId="0" xfId="0" applyAlignment="1" applyBorder="1" applyFont="1">
      <alignment readingOrder="0"/>
    </xf>
    <xf borderId="8" fillId="0" fontId="8" numFmtId="0" xfId="0" applyBorder="1" applyFont="1"/>
    <xf borderId="9" fillId="0" fontId="8" numFmtId="0" xfId="0" applyBorder="1" applyFont="1"/>
    <xf borderId="10" fillId="0" fontId="5" numFmtId="0" xfId="0" applyBorder="1" applyFont="1"/>
    <xf borderId="2" fillId="6" fontId="5" numFmtId="0" xfId="0" applyAlignment="1" applyBorder="1" applyFill="1" applyFont="1">
      <alignment readingOrder="0"/>
    </xf>
    <xf borderId="2" fillId="4" fontId="9" numFmtId="0" xfId="0" applyAlignment="1" applyBorder="1" applyFont="1">
      <alignment readingOrder="0" vertical="bottom"/>
    </xf>
    <xf borderId="2" fillId="4" fontId="9" numFmtId="0" xfId="0" applyAlignment="1" applyBorder="1" applyFont="1">
      <alignment readingOrder="0" shrinkToFit="0" vertical="bottom" wrapText="1"/>
    </xf>
    <xf borderId="2" fillId="0" fontId="5" numFmtId="0" xfId="0" applyAlignment="1" applyBorder="1" applyFont="1">
      <alignment readingOrder="0" shrinkToFit="0" wrapText="1"/>
    </xf>
    <xf borderId="0" fillId="0" fontId="9" numFmtId="0" xfId="0" applyAlignment="1" applyFont="1">
      <alignment vertical="bottom"/>
    </xf>
    <xf borderId="0" fillId="0" fontId="9" numFmtId="0" xfId="0" applyAlignment="1" applyFont="1">
      <alignment vertical="bottom"/>
    </xf>
    <xf borderId="0" fillId="7" fontId="5" numFmtId="0" xfId="0" applyAlignment="1" applyFill="1" applyFont="1">
      <alignment readingOrder="0"/>
    </xf>
    <xf borderId="0" fillId="7" fontId="5" numFmtId="0" xfId="0" applyFont="1"/>
    <xf borderId="2" fillId="0" fontId="5" numFmtId="0" xfId="0" applyBorder="1" applyFont="1"/>
    <xf borderId="0" fillId="8" fontId="4" numFmtId="0" xfId="0" applyAlignment="1" applyFill="1" applyFont="1">
      <alignment readingOrder="0" shrinkToFit="0" vertical="bottom" wrapText="0"/>
    </xf>
    <xf borderId="0" fillId="0" fontId="4" numFmtId="0" xfId="0" applyAlignment="1" applyFont="1">
      <alignment shrinkToFit="0" vertical="bottom" wrapText="0"/>
    </xf>
    <xf borderId="0" fillId="0" fontId="5" numFmtId="0" xfId="0" applyFont="1"/>
    <xf borderId="0" fillId="0" fontId="5" numFmtId="0" xfId="0" applyFont="1"/>
    <xf borderId="0" fillId="8" fontId="4" numFmtId="0" xfId="0" applyAlignment="1" applyFont="1">
      <alignment shrinkToFit="0" vertical="bottom" wrapText="0"/>
    </xf>
    <xf borderId="0" fillId="0" fontId="3" numFmtId="0" xfId="0" applyAlignment="1" applyFont="1">
      <alignment readingOrder="0"/>
    </xf>
    <xf borderId="0" fillId="0" fontId="3" numFmtId="0" xfId="0" applyFont="1"/>
    <xf borderId="0" fillId="0" fontId="9" numFmtId="0" xfId="0" applyAlignment="1" applyFont="1">
      <alignment readingOrder="0" shrinkToFit="0" vertical="bottom" wrapText="0"/>
    </xf>
    <xf borderId="0" fillId="9" fontId="3" numFmtId="0" xfId="0" applyAlignment="1" applyFill="1" applyFont="1">
      <alignment readingOrder="0"/>
    </xf>
    <xf borderId="0" fillId="10" fontId="5" numFmtId="0" xfId="0" applyAlignment="1" applyFill="1" applyFont="1">
      <alignment readingOrder="0"/>
    </xf>
    <xf borderId="0" fillId="9" fontId="5" numFmtId="0" xfId="0" applyAlignment="1" applyFont="1">
      <alignment readingOrder="0"/>
    </xf>
    <xf borderId="0" fillId="6" fontId="5" numFmtId="0" xfId="0" applyAlignment="1" applyFont="1">
      <alignment readingOrder="0"/>
    </xf>
    <xf borderId="0" fillId="11" fontId="5" numFmtId="0" xfId="0" applyAlignment="1" applyFill="1" applyFont="1">
      <alignment readingOrder="0"/>
    </xf>
    <xf borderId="0" fillId="0" fontId="10" numFmtId="0" xfId="0" applyAlignment="1" applyFont="1">
      <alignment readingOrder="0"/>
    </xf>
    <xf borderId="0" fillId="0" fontId="11" numFmtId="0" xfId="0" applyAlignment="1" applyFont="1">
      <alignment readingOrder="0"/>
    </xf>
    <xf borderId="0" fillId="0" fontId="5" numFmtId="0" xfId="0" applyAlignment="1" applyFont="1">
      <alignment readingOrder="0"/>
    </xf>
    <xf borderId="0" fillId="0" fontId="5" numFmtId="3" xfId="0" applyAlignment="1" applyFont="1" applyNumberFormat="1">
      <alignment readingOrder="0"/>
    </xf>
    <xf borderId="0" fillId="6" fontId="4" numFmtId="0" xfId="0" applyAlignment="1" applyFont="1">
      <alignment readingOrder="0" shrinkToFit="0" vertical="bottom" wrapText="0"/>
    </xf>
    <xf borderId="0" fillId="6" fontId="5" numFmtId="3" xfId="0" applyFont="1" applyNumberFormat="1"/>
    <xf borderId="0" fillId="0" fontId="5" numFmtId="0" xfId="0" applyAlignment="1" applyFont="1">
      <alignment horizontal="right"/>
    </xf>
    <xf borderId="0" fillId="6" fontId="5" numFmtId="0" xfId="0" applyFont="1"/>
    <xf borderId="0" fillId="0" fontId="5" numFmtId="3" xfId="0" applyFont="1" applyNumberFormat="1"/>
    <xf borderId="0" fillId="0" fontId="5" numFmtId="164" xfId="0" applyFont="1" applyNumberFormat="1"/>
    <xf borderId="0" fillId="0" fontId="5" numFmtId="164" xfId="0" applyAlignment="1" applyFont="1" applyNumberFormat="1">
      <alignment readingOrder="0"/>
    </xf>
    <xf borderId="0" fillId="0" fontId="12" numFmtId="0" xfId="0" applyAlignment="1" applyFont="1">
      <alignment readingOrder="0" shrinkToFit="0" vertical="bottom" wrapText="0"/>
    </xf>
    <xf borderId="0" fillId="0" fontId="13" numFmtId="3" xfId="0" applyFont="1" applyNumberFormat="1"/>
    <xf borderId="0" fillId="0" fontId="14" numFmtId="164" xfId="0" applyFont="1" applyNumberFormat="1"/>
    <xf borderId="0" fillId="6" fontId="15" numFmtId="0" xfId="0" applyAlignment="1" applyFont="1">
      <alignment readingOrder="0" vertical="bottom"/>
    </xf>
    <xf borderId="0" fillId="0" fontId="15" numFmtId="0" xfId="0" applyAlignment="1" applyFont="1">
      <alignment vertical="bottom"/>
    </xf>
    <xf borderId="0" fillId="0" fontId="15" numFmtId="0" xfId="0" applyAlignment="1" applyFont="1">
      <alignment vertical="bottom"/>
    </xf>
    <xf borderId="0" fillId="0" fontId="2" numFmtId="0" xfId="0" applyAlignment="1" applyFont="1">
      <alignment shrinkToFit="0" wrapText="0"/>
    </xf>
    <xf borderId="0" fillId="6" fontId="2" numFmtId="0" xfId="0" applyAlignment="1" applyFont="1">
      <alignment shrinkToFit="0" wrapText="0"/>
    </xf>
    <xf borderId="2" fillId="12" fontId="10" numFmtId="0" xfId="0" applyBorder="1" applyFill="1" applyFont="1"/>
    <xf borderId="2" fillId="0" fontId="5" numFmtId="3" xfId="0" applyBorder="1" applyFont="1" applyNumberFormat="1"/>
    <xf borderId="0" fillId="4" fontId="16" numFmtId="0" xfId="0" applyAlignment="1" applyFont="1">
      <alignment readingOrder="0"/>
    </xf>
    <xf borderId="0" fillId="13" fontId="17" numFmtId="0" xfId="0" applyFill="1" applyFont="1"/>
    <xf borderId="0" fillId="4" fontId="18" numFmtId="0" xfId="0" applyFont="1"/>
    <xf borderId="0" fillId="0" fontId="9" numFmtId="3" xfId="0" applyAlignment="1" applyFont="1" applyNumberFormat="1">
      <alignment vertical="bottom"/>
    </xf>
    <xf borderId="0" fillId="0" fontId="9" numFmtId="0" xfId="0" applyAlignment="1" applyFont="1">
      <alignment horizontal="right" vertical="bottom"/>
    </xf>
    <xf borderId="0" fillId="5" fontId="19" numFmtId="0" xfId="0" applyAlignment="1" applyFont="1">
      <alignment vertical="bottom"/>
    </xf>
    <xf borderId="0" fillId="0" fontId="20" numFmtId="0" xfId="0" applyAlignment="1" applyFont="1">
      <alignment vertical="bottom"/>
    </xf>
    <xf borderId="0" fillId="0" fontId="20" numFmtId="3" xfId="0" applyAlignment="1" applyFont="1" applyNumberFormat="1">
      <alignment vertical="bottom"/>
    </xf>
    <xf borderId="0" fillId="7" fontId="20" numFmtId="0" xfId="0" applyAlignment="1" applyFont="1">
      <alignment vertical="bottom"/>
    </xf>
    <xf borderId="0" fillId="0" fontId="9" numFmtId="3" xfId="0" applyAlignment="1" applyFont="1" applyNumberFormat="1">
      <alignment horizontal="right" vertical="bottom"/>
    </xf>
    <xf borderId="0" fillId="0" fontId="9" numFmtId="164" xfId="0" applyAlignment="1" applyFont="1" applyNumberFormat="1">
      <alignment vertical="bottom"/>
    </xf>
    <xf borderId="0" fillId="0" fontId="9" numFmtId="0" xfId="0" applyAlignment="1" applyFont="1">
      <alignment horizontal="center" vertical="bottom"/>
    </xf>
    <xf borderId="0" fillId="3" fontId="9" numFmtId="0" xfId="0" applyAlignment="1" applyFont="1">
      <alignment vertical="bottom"/>
    </xf>
    <xf borderId="0" fillId="3" fontId="9" numFmtId="0" xfId="0" applyAlignment="1" applyFont="1">
      <alignment vertical="bottom"/>
    </xf>
    <xf borderId="0" fillId="14" fontId="9" numFmtId="0" xfId="0" applyAlignment="1" applyFill="1" applyFont="1">
      <alignment vertical="bottom"/>
    </xf>
    <xf borderId="0" fillId="7" fontId="9" numFmtId="0" xfId="0" applyAlignment="1" applyFont="1">
      <alignment horizontal="center" vertical="bottom"/>
    </xf>
    <xf borderId="0" fillId="0" fontId="5" numFmtId="14" xfId="0" applyAlignment="1" applyFont="1" applyNumberFormat="1">
      <alignment readingOrder="0"/>
    </xf>
    <xf borderId="0" fillId="0" fontId="5" numFmtId="0" xfId="0" applyAlignment="1" applyFont="1">
      <alignment horizontal="left" readingOrder="0" shrinkToFit="0" vertical="center" wrapText="0"/>
    </xf>
    <xf borderId="0" fillId="0" fontId="4" numFmtId="0" xfId="0" applyAlignment="1" applyFont="1">
      <alignment readingOrder="0" shrinkToFit="0" vertical="bottom" wrapText="0"/>
    </xf>
    <xf borderId="0" fillId="15" fontId="5" numFmtId="0" xfId="0" applyAlignment="1" applyFill="1" applyFont="1">
      <alignment readingOrder="0"/>
    </xf>
    <xf borderId="0" fillId="16" fontId="5" numFmtId="0" xfId="0" applyAlignment="1" applyFill="1" applyFont="1">
      <alignment readingOrder="0"/>
    </xf>
    <xf borderId="0" fillId="17" fontId="5" numFmtId="0" xfId="0" applyAlignment="1" applyFill="1" applyFont="1">
      <alignment readingOrder="0"/>
    </xf>
    <xf borderId="0" fillId="18" fontId="5" numFmtId="0" xfId="0" applyAlignment="1" applyFill="1" applyFont="1">
      <alignment readingOrder="0"/>
    </xf>
    <xf borderId="0" fillId="19" fontId="5" numFmtId="0" xfId="0" applyAlignment="1" applyFill="1" applyFont="1">
      <alignment readingOrder="0"/>
    </xf>
    <xf borderId="2" fillId="12" fontId="10" numFmtId="0" xfId="0" applyAlignment="1" applyBorder="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2" fillId="0" fontId="5" numFmtId="0" xfId="0" applyAlignment="1" applyBorder="1" applyFont="1">
      <alignment horizontal="center" readingOrder="0" shrinkToFit="0" vertical="center" wrapText="1"/>
    </xf>
    <xf borderId="2" fillId="0" fontId="5" numFmtId="0" xfId="0" applyAlignment="1" applyBorder="1" applyFont="1">
      <alignment readingOrder="0" shrinkToFit="0" vertical="center" wrapText="1"/>
    </xf>
    <xf borderId="2" fillId="0" fontId="21"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0" fillId="0" fontId="22" numFmtId="0" xfId="0" applyAlignment="1" applyFont="1">
      <alignment readingOrder="0" shrinkToFit="0" vertical="center" wrapText="1"/>
    </xf>
    <xf borderId="0" fillId="0" fontId="23" numFmtId="0" xfId="0" applyAlignment="1" applyFont="1">
      <alignment readingOrder="0" vertical="bottom"/>
    </xf>
    <xf borderId="0" fillId="0" fontId="20" numFmtId="2" xfId="0" applyAlignment="1" applyFont="1" applyNumberFormat="1">
      <alignment vertical="bottom"/>
    </xf>
    <xf borderId="0" fillId="0" fontId="24" numFmtId="0" xfId="0" applyAlignment="1" applyFont="1">
      <alignment readingOrder="0" shrinkToFit="0" wrapText="0"/>
    </xf>
    <xf borderId="2" fillId="12" fontId="20" numFmtId="0" xfId="0" applyAlignment="1" applyBorder="1" applyFont="1">
      <alignment vertical="bottom"/>
    </xf>
    <xf borderId="2" fillId="12" fontId="20" numFmtId="3" xfId="0" applyAlignment="1" applyBorder="1" applyFont="1" applyNumberFormat="1">
      <alignment vertical="bottom"/>
    </xf>
    <xf borderId="2" fillId="12" fontId="20" numFmtId="2" xfId="0" applyAlignment="1" applyBorder="1" applyFont="1" applyNumberFormat="1">
      <alignment readingOrder="0" vertical="bottom"/>
    </xf>
    <xf borderId="2" fillId="0" fontId="9" numFmtId="0" xfId="0" applyAlignment="1" applyBorder="1" applyFont="1">
      <alignment vertical="bottom"/>
    </xf>
    <xf borderId="2" fillId="0" fontId="9" numFmtId="3" xfId="0" applyAlignment="1" applyBorder="1" applyFont="1" applyNumberFormat="1">
      <alignment horizontal="right" vertical="bottom"/>
    </xf>
    <xf borderId="2" fillId="0" fontId="9" numFmtId="2" xfId="0" applyAlignment="1" applyBorder="1" applyFont="1" applyNumberFormat="1">
      <alignment horizontal="right" vertical="bottom"/>
    </xf>
    <xf borderId="2" fillId="0" fontId="9" numFmtId="0" xfId="0" applyAlignment="1" applyBorder="1" applyFont="1">
      <alignment horizontal="right" vertical="bottom"/>
    </xf>
    <xf borderId="0" fillId="0" fontId="24" numFmtId="0" xfId="0" applyAlignment="1" applyFont="1">
      <alignment shrinkToFit="0" wrapText="0"/>
    </xf>
    <xf borderId="0" fillId="0" fontId="24" numFmtId="2" xfId="0" applyAlignment="1" applyFont="1" applyNumberFormat="1">
      <alignment readingOrder="0" shrinkToFit="0" wrapText="0"/>
    </xf>
    <xf borderId="0" fillId="0" fontId="5" numFmtId="2" xfId="0" applyFont="1" applyNumberFormat="1"/>
    <xf borderId="0" fillId="13" fontId="14" numFmtId="0" xfId="0" applyFont="1"/>
    <xf borderId="2" fillId="0" fontId="10" numFmtId="0" xfId="0" applyAlignment="1" applyBorder="1" applyFont="1">
      <alignment readingOrder="0"/>
    </xf>
    <xf borderId="9" fillId="0" fontId="5" numFmtId="0" xfId="0" applyAlignment="1" applyBorder="1" applyFont="1">
      <alignment readingOrder="0"/>
    </xf>
    <xf borderId="11" fillId="0" fontId="5" numFmtId="0" xfId="0" applyBorder="1" applyFont="1"/>
    <xf borderId="0" fillId="20" fontId="5" numFmtId="0" xfId="0" applyFill="1" applyFont="1"/>
    <xf borderId="0" fillId="0" fontId="5" numFmtId="165" xfId="0" applyAlignment="1" applyFont="1" applyNumberFormat="1">
      <alignment readingOrder="0"/>
    </xf>
    <xf borderId="0" fillId="0" fontId="20" numFmtId="0" xfId="0" applyAlignment="1" applyFont="1">
      <alignment vertical="bottom"/>
    </xf>
    <xf borderId="0" fillId="0" fontId="9" numFmtId="0" xfId="0" applyAlignment="1" applyFont="1">
      <alignment horizontal="right" vertical="bottom"/>
    </xf>
    <xf borderId="0" fillId="0" fontId="9" numFmtId="165" xfId="0" applyAlignment="1" applyFont="1" applyNumberFormat="1">
      <alignment horizontal="right" vertical="bottom"/>
    </xf>
    <xf borderId="0" fillId="0" fontId="5" numFmtId="165" xfId="0" applyFont="1" applyNumberFormat="1"/>
    <xf borderId="12" fillId="0" fontId="5" numFmtId="0" xfId="0" applyAlignment="1" applyBorder="1" applyFont="1">
      <alignment readingOrder="0"/>
    </xf>
    <xf borderId="12" fillId="0" fontId="25" numFmtId="0" xfId="0" applyAlignment="1" applyBorder="1" applyFont="1">
      <alignment readingOrder="0"/>
    </xf>
    <xf borderId="12" fillId="0" fontId="26" numFmtId="0" xfId="0" applyBorder="1" applyFont="1"/>
    <xf borderId="12" fillId="0" fontId="15" numFmtId="0" xfId="0" applyAlignment="1" applyBorder="1" applyFont="1">
      <alignment horizontal="center"/>
    </xf>
    <xf borderId="12" fillId="0" fontId="8" numFmtId="0" xfId="0" applyBorder="1" applyFont="1"/>
    <xf borderId="5" fillId="0" fontId="26" numFmtId="0" xfId="0" applyBorder="1" applyFont="1"/>
    <xf borderId="5" fillId="0" fontId="15" numFmtId="0" xfId="0" applyAlignment="1" applyBorder="1" applyFont="1">
      <alignment readingOrder="0"/>
    </xf>
    <xf borderId="5" fillId="0" fontId="27" numFmtId="166" xfId="0" applyAlignment="1" applyBorder="1" applyFont="1" applyNumberFormat="1">
      <alignment horizontal="right"/>
    </xf>
    <xf borderId="2" fillId="0" fontId="26" numFmtId="0" xfId="0" applyAlignment="1" applyBorder="1" applyFont="1">
      <alignment readingOrder="0"/>
    </xf>
    <xf borderId="2" fillId="0" fontId="26" numFmtId="0" xfId="0" applyBorder="1" applyFont="1"/>
    <xf borderId="2" fillId="0" fontId="15" numFmtId="22" xfId="0" applyAlignment="1" applyBorder="1" applyFont="1" applyNumberFormat="1">
      <alignment horizontal="right"/>
    </xf>
    <xf borderId="2" fillId="0" fontId="15" numFmtId="164" xfId="0" applyAlignment="1" applyBorder="1" applyFont="1" applyNumberFormat="1">
      <alignment horizontal="right"/>
    </xf>
    <xf borderId="2" fillId="0" fontId="15" numFmtId="164" xfId="0" applyAlignment="1" applyBorder="1" applyFont="1" applyNumberFormat="1">
      <alignment horizontal="right" readingOrder="0"/>
    </xf>
    <xf borderId="2" fillId="0" fontId="15" numFmtId="167" xfId="0" applyAlignment="1" applyBorder="1" applyFont="1" applyNumberFormat="1">
      <alignment horizontal="right" readingOrder="0"/>
    </xf>
    <xf borderId="2" fillId="21" fontId="27" numFmtId="166" xfId="0" applyAlignment="1" applyBorder="1" applyFill="1" applyFont="1" applyNumberFormat="1">
      <alignment horizontal="right"/>
    </xf>
    <xf borderId="2" fillId="22" fontId="27" numFmtId="166" xfId="0" applyAlignment="1" applyBorder="1" applyFill="1" applyFont="1" applyNumberFormat="1">
      <alignment horizontal="right"/>
    </xf>
    <xf borderId="2" fillId="0" fontId="15" numFmtId="0" xfId="0" applyAlignment="1" applyBorder="1" applyFont="1">
      <alignment readingOrder="0"/>
    </xf>
    <xf borderId="2" fillId="0" fontId="28" numFmtId="0" xfId="0" applyAlignment="1" applyBorder="1" applyFont="1">
      <alignment readingOrder="0"/>
    </xf>
    <xf borderId="2" fillId="0" fontId="28" numFmtId="0" xfId="0" applyBorder="1" applyFont="1"/>
    <xf borderId="0" fillId="0" fontId="26" numFmtId="0" xfId="0" applyFont="1"/>
    <xf borderId="0" fillId="0" fontId="26" numFmtId="22" xfId="0" applyFont="1" applyNumberFormat="1"/>
    <xf borderId="0" fillId="0" fontId="26" numFmtId="164" xfId="0" applyFont="1" applyNumberFormat="1"/>
    <xf borderId="0" fillId="0" fontId="26" numFmtId="167" xfId="0" applyFont="1" applyNumberFormat="1"/>
    <xf borderId="0" fillId="0" fontId="26" numFmtId="166" xfId="0" applyFont="1" applyNumberFormat="1"/>
    <xf borderId="0" fillId="0" fontId="15" numFmtId="164" xfId="0" applyAlignment="1" applyFont="1" applyNumberFormat="1">
      <alignment horizontal="right"/>
    </xf>
    <xf borderId="5" fillId="0" fontId="29" numFmtId="0" xfId="0" applyBorder="1" applyFont="1"/>
    <xf borderId="5" fillId="0" fontId="30" numFmtId="0" xfId="0" applyAlignment="1" applyBorder="1" applyFont="1">
      <alignment readingOrder="0"/>
    </xf>
    <xf borderId="2" fillId="0" fontId="15" numFmtId="9" xfId="0" applyAlignment="1" applyBorder="1" applyFont="1" applyNumberFormat="1">
      <alignment horizontal="right" readingOrder="0"/>
    </xf>
    <xf borderId="2" fillId="12" fontId="20" numFmtId="0" xfId="0" applyAlignment="1" applyBorder="1" applyFont="1">
      <alignment readingOrder="0" vertical="bottom"/>
    </xf>
    <xf borderId="2" fillId="12" fontId="20" numFmtId="0" xfId="0" applyAlignment="1" applyBorder="1" applyFont="1">
      <alignment vertical="bottom"/>
    </xf>
    <xf borderId="2" fillId="0" fontId="9" numFmtId="0" xfId="0" applyAlignment="1" applyBorder="1" applyFont="1">
      <alignment readingOrder="0" vertical="bottom"/>
    </xf>
    <xf borderId="2" fillId="0" fontId="9" numFmtId="0" xfId="0" applyAlignment="1" applyBorder="1" applyFont="1">
      <alignment horizontal="right" vertical="bottom"/>
    </xf>
    <xf borderId="2" fillId="0" fontId="9" numFmtId="0" xfId="0" applyAlignment="1" applyBorder="1" applyFont="1">
      <alignment vertical="bottom"/>
    </xf>
    <xf borderId="0" fillId="0" fontId="15" numFmtId="22" xfId="0" applyAlignment="1" applyFont="1" applyNumberFormat="1">
      <alignment horizontal="right"/>
    </xf>
    <xf borderId="0" fillId="0" fontId="15" numFmtId="0" xfId="0" applyAlignment="1" applyFont="1">
      <alignment readingOrder="0"/>
    </xf>
    <xf borderId="0" fillId="0" fontId="31" numFmtId="0" xfId="0" applyAlignment="1" applyFont="1">
      <alignment readingOrder="0"/>
    </xf>
    <xf borderId="0" fillId="0" fontId="5" numFmtId="10" xfId="0" applyAlignment="1" applyFont="1" applyNumberFormat="1">
      <alignment readingOrder="0"/>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B7B7"/>
          <bgColor rgb="FFB7B7B7"/>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808080"/>
          <bgColor rgb="FF808080"/>
        </patternFill>
      </fill>
      <border/>
    </dxf>
  </dxfs>
  <tableStyles count="2">
    <tableStyle count="2" pivot="0" name="概要-style">
      <tableStyleElement dxfId="1" type="firstRowStripe"/>
      <tableStyleElement dxfId="2" type="secondRowStripe"/>
    </tableStyle>
    <tableStyle count="4" pivot="0" name="（新）project_bk-style">
      <tableStyleElement dxfId="4" type="headerRow"/>
      <tableStyleElement dxfId="1" type="firstRowStripe"/>
      <tableStyleElement dxfId="2" type="secondRowStripe"/>
      <tableStyleElement dxfId="5"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9:B21" displayName="Table_1" name="Table_1" id="1">
  <tableColumns count="2">
    <tableColumn name="Column1" id="1"/>
    <tableColumn name="Column2" id="2"/>
  </tableColumns>
  <tableStyleInfo name="概要-style" showColumnStripes="0" showFirstColumn="1" showLastColumn="1" showRowStripes="1"/>
</table>
</file>

<file path=xl/tables/table2.xml><?xml version="1.0" encoding="utf-8"?>
<table xmlns="http://schemas.openxmlformats.org/spreadsheetml/2006/main" ref="A1:B2" displayName="表_1" name="表_1" id="2">
  <tableColumns count="2">
    <tableColumn name="管理者不明＝管理者がわからない" id="1"/>
    <tableColumn name="在籍＝管理者が判明しており、現在も在籍" id="2"/>
  </tableColumns>
  <tableStyleInfo name="（新）project_b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spreadsheets/d/108M2QptLhuXEcn-P6g-rPdSAMZ4vtMPcfeztKqKoOQw/edit" TargetMode="External"/><Relationship Id="rId20" Type="http://schemas.openxmlformats.org/officeDocument/2006/relationships/hyperlink" Target="https://docs.google.com/spreadsheets/d/1gjGa_29Jt2P0pByW8lBHgulRJ6o_db2aV-uv9RemZgI/edit" TargetMode="External"/><Relationship Id="rId42" Type="http://schemas.openxmlformats.org/officeDocument/2006/relationships/hyperlink" Target="https://docs.google.com/spreadsheets/d/18rc5q5tbZA8gTaNmbLEpbqrWZ5Qbnbkn58GRihbArIE/edit" TargetMode="External"/><Relationship Id="rId41" Type="http://schemas.openxmlformats.org/officeDocument/2006/relationships/hyperlink" Target="https://docs.google.com/spreadsheets/d/1uI00mh7uL6hWESaNzFKy7ipvWb-3ngnDjnWKg6XnFso/edit" TargetMode="External"/><Relationship Id="rId22" Type="http://schemas.openxmlformats.org/officeDocument/2006/relationships/hyperlink" Target="https://docs.google.com/spreadsheets/d/1rLe6TYkJ83eGAyKL3hPC8X2RD-6NaK0hLetkQe3ziUc/edit" TargetMode="External"/><Relationship Id="rId44" Type="http://schemas.openxmlformats.org/officeDocument/2006/relationships/drawing" Target="../drawings/drawing9.xml"/><Relationship Id="rId21" Type="http://schemas.openxmlformats.org/officeDocument/2006/relationships/hyperlink" Target="https://docs.google.com/spreadsheets/d/1hgohIBDLFaXSr-D2RGfMUbwtdLDbPE94lKSzoAC5fyg/edit" TargetMode="External"/><Relationship Id="rId43" Type="http://schemas.openxmlformats.org/officeDocument/2006/relationships/hyperlink" Target="https://docs.google.com/spreadsheets/d/1DwpFEZ4f8P6Obxtdd6OB5tjjtth5liWQaXvwvNz6r-8/edit" TargetMode="External"/><Relationship Id="rId24" Type="http://schemas.openxmlformats.org/officeDocument/2006/relationships/hyperlink" Target="https://docs.google.com/spreadsheets/d/1m0zuru1C4TLPrsZuhvQD6mNkOO1pJ46qqJ4KYxtTGzA/edit" TargetMode="External"/><Relationship Id="rId23" Type="http://schemas.openxmlformats.org/officeDocument/2006/relationships/hyperlink" Target="https://docs.google.com/spreadsheets/d/1aDvTcYaj4q8wxeQ5aR6x2ur0SCa2x_Ym_u_Dfx3fibk/edit" TargetMode="External"/><Relationship Id="rId1" Type="http://schemas.openxmlformats.org/officeDocument/2006/relationships/hyperlink" Target="https://docs.google.com/spreadsheets/d/1nwdJm_GfdQ1mcJ2ioPHTpKfA3jFL6Blrp61iAHbQq-c/edit" TargetMode="External"/><Relationship Id="rId2" Type="http://schemas.openxmlformats.org/officeDocument/2006/relationships/hyperlink" Target="https://docs.google.com/spreadsheets/d/1UTgk-a5mWckfGHmzn_hf00PInd0E0gt1VwiCmDn6Uuc/edit" TargetMode="External"/><Relationship Id="rId3" Type="http://schemas.openxmlformats.org/officeDocument/2006/relationships/hyperlink" Target="https://docs.google.com/spreadsheets/d/1_3QaojSh1OFHSnWqh0FLKul75t-aTpo21dF3aIh9tY8/edit" TargetMode="External"/><Relationship Id="rId4" Type="http://schemas.openxmlformats.org/officeDocument/2006/relationships/hyperlink" Target="https://docs.google.com/spreadsheets/d/1gK_f1y2An-sgoKBeFe6btEDLSqxQ_2RZg4KRoRMXbqw/edit" TargetMode="External"/><Relationship Id="rId9" Type="http://schemas.openxmlformats.org/officeDocument/2006/relationships/hyperlink" Target="https://docs.google.com/spreadsheets/d/1w8zBslU49e2rqaezMVBA-oZv6Kg9-sw_uL14ui46wck/edit" TargetMode="External"/><Relationship Id="rId26" Type="http://schemas.openxmlformats.org/officeDocument/2006/relationships/hyperlink" Target="https://docs.google.com/spreadsheets/d/1zU9nn-xOm7Fwn5Nu8MrCWAaxntelgyv2KnH2JUSo9t4/edit" TargetMode="External"/><Relationship Id="rId25" Type="http://schemas.openxmlformats.org/officeDocument/2006/relationships/hyperlink" Target="https://docs.google.com/spreadsheets/d/19cdxnoo11g0K3uaTHXy0uIcrd0_fqbAgP6Mf5FXXewc/edit" TargetMode="External"/><Relationship Id="rId28" Type="http://schemas.openxmlformats.org/officeDocument/2006/relationships/hyperlink" Target="https://docs.google.com/spreadsheets/d/1uFvKJXE4dSb27DRCiZkX2b0qy94Om1FjNhNQsdsr55Q/edit" TargetMode="External"/><Relationship Id="rId27" Type="http://schemas.openxmlformats.org/officeDocument/2006/relationships/hyperlink" Target="https://docs.google.com/spreadsheets/d/1tV5rnueEjweo2ECC1GyL-Qe5u8HqycSVa3HX8-eqtzA/edit" TargetMode="External"/><Relationship Id="rId5" Type="http://schemas.openxmlformats.org/officeDocument/2006/relationships/hyperlink" Target="https://docs.google.com/spreadsheets/d/1dODR5r7IHQs_bBrnoAAFSNDXLRruZN-RMagTfP3qFLk/edit" TargetMode="External"/><Relationship Id="rId6" Type="http://schemas.openxmlformats.org/officeDocument/2006/relationships/hyperlink" Target="https://docs.google.com/spreadsheets/d/1cLWKrRc_FAfJGmNFDGTAwVG_SLS1TbFIyBMUouoody0/edit" TargetMode="External"/><Relationship Id="rId29" Type="http://schemas.openxmlformats.org/officeDocument/2006/relationships/hyperlink" Target="https://docs.google.com/spreadsheets/d/1E8C6PmTW7KSX0tE7bOuiA8jUYH0wSnbbM4g0RFsSsBY/edit" TargetMode="External"/><Relationship Id="rId7" Type="http://schemas.openxmlformats.org/officeDocument/2006/relationships/hyperlink" Target="https://docs.google.com/spreadsheets/d/19DE5eeNf5sI0lMc68eIG_RaDD1__D-CDnCY2D-hJQOI/edit" TargetMode="External"/><Relationship Id="rId8" Type="http://schemas.openxmlformats.org/officeDocument/2006/relationships/hyperlink" Target="https://docs.google.com/spreadsheets/d/1fuiSwtPkqEMOKFjLpSFKPv3fXVsy__MDJUzC_nUk23A/edit" TargetMode="External"/><Relationship Id="rId31" Type="http://schemas.openxmlformats.org/officeDocument/2006/relationships/hyperlink" Target="https://docs.google.com/spreadsheets/d/1iVcLSyYYIOiHO7xCnSYD1gpYJf0-2YA-OOYFaD7adHQ/edit" TargetMode="External"/><Relationship Id="rId30" Type="http://schemas.openxmlformats.org/officeDocument/2006/relationships/hyperlink" Target="https://docs.google.com/spreadsheets/d/1My9DG1vdK38VYIuCJaM0KnS89z3lQZdquS5XZv1xje4/edit" TargetMode="External"/><Relationship Id="rId11" Type="http://schemas.openxmlformats.org/officeDocument/2006/relationships/hyperlink" Target="https://docs.google.com/spreadsheets/d/1uxA1q_ItA1ql8CLzdvoi-bSamIO6-cscLDpaMms0Tts/edit" TargetMode="External"/><Relationship Id="rId33" Type="http://schemas.openxmlformats.org/officeDocument/2006/relationships/hyperlink" Target="https://docs.google.com/spreadsheets/d/1W5djJPsT-ZlUYjY3mMuqeIXapXLFxjmpJJuqz395Ojk/edit" TargetMode="External"/><Relationship Id="rId10" Type="http://schemas.openxmlformats.org/officeDocument/2006/relationships/hyperlink" Target="https://docs.google.com/spreadsheets/d/1za6ZHPnww1HLwYW674Eds8fg-tIe40_e4AmQHlL0bus/edit" TargetMode="External"/><Relationship Id="rId32" Type="http://schemas.openxmlformats.org/officeDocument/2006/relationships/hyperlink" Target="https://docs.google.com/spreadsheets/d/1VwFI7BLQbMsNbRZgdII-pNjIpOYAQOyQEfFtrBTCaeQ/edit" TargetMode="External"/><Relationship Id="rId13" Type="http://schemas.openxmlformats.org/officeDocument/2006/relationships/hyperlink" Target="https://docs.google.com/spreadsheets/d/1GbcPJ28RbR1UwM4TkpMvkcIPVEk1iVjjbuzIY02p6pc/edit" TargetMode="External"/><Relationship Id="rId35" Type="http://schemas.openxmlformats.org/officeDocument/2006/relationships/hyperlink" Target="https://docs.google.com/spreadsheets/d/1iuswbOrqhxpYAFkplxdVaf6e8nYYu2u9UlQWFHkSVeA/edit" TargetMode="External"/><Relationship Id="rId12" Type="http://schemas.openxmlformats.org/officeDocument/2006/relationships/hyperlink" Target="https://docs.google.com/spreadsheets/d/1ACC2Z-s-EYf4tJg_Vwfqmwgu7nypM_daoXlVfG60ybM/edit" TargetMode="External"/><Relationship Id="rId34" Type="http://schemas.openxmlformats.org/officeDocument/2006/relationships/hyperlink" Target="https://docs.google.com/spreadsheets/d/16paDHR4DSh37yV6krw5wXrfO9w4pppeIcsFr3qyLHIU/edit" TargetMode="External"/><Relationship Id="rId15" Type="http://schemas.openxmlformats.org/officeDocument/2006/relationships/hyperlink" Target="https://docs.google.com/spreadsheets/d/1B8b_95oU7lzA80OXy9Cvo-ALlFJzKDXsSkALfLiXa0U/edit" TargetMode="External"/><Relationship Id="rId37" Type="http://schemas.openxmlformats.org/officeDocument/2006/relationships/hyperlink" Target="https://docs.google.com/spreadsheets/d/1E80I0sJrBPrncJv0Rfdqb3jFQM-Cu_BLsz-iTD6JFjM/edit" TargetMode="External"/><Relationship Id="rId14" Type="http://schemas.openxmlformats.org/officeDocument/2006/relationships/hyperlink" Target="https://docs.google.com/spreadsheets/d/19WKGOWdJHw34g9GxopHQUa6IU_-p7H4bEdUq1pVSp80/edit" TargetMode="External"/><Relationship Id="rId36" Type="http://schemas.openxmlformats.org/officeDocument/2006/relationships/hyperlink" Target="https://docs.google.com/spreadsheets/d/1BbWr-VlWSi1xOZ8xJYtDJGsfc9QDl7iQoDJbsrl02MM/edit" TargetMode="External"/><Relationship Id="rId17" Type="http://schemas.openxmlformats.org/officeDocument/2006/relationships/hyperlink" Target="https://docs.google.com/spreadsheets/d/1pTd1h3UATJxp4TyWHu6NCrIpg7D-E9SCdwORKoAFLy8/edit" TargetMode="External"/><Relationship Id="rId39" Type="http://schemas.openxmlformats.org/officeDocument/2006/relationships/hyperlink" Target="https://docs.google.com/spreadsheets/d/1tK0PppZIpLLvOKv1ObsD9gFRE_SuFzDb9P3PnDeGpYI/edit" TargetMode="External"/><Relationship Id="rId16" Type="http://schemas.openxmlformats.org/officeDocument/2006/relationships/hyperlink" Target="https://docs.google.com/spreadsheets/d/1l8TIVbBO1rJwua0j9ooRvYxqlHO7xt_Tp30d56jaTT4/edit" TargetMode="External"/><Relationship Id="rId38" Type="http://schemas.openxmlformats.org/officeDocument/2006/relationships/hyperlink" Target="https://docs.google.com/spreadsheets/d/1tjZNuRWJGKR7gwtX0WzFVaG57NBrDjIlU6UOVYCV2ms/edit" TargetMode="External"/><Relationship Id="rId19" Type="http://schemas.openxmlformats.org/officeDocument/2006/relationships/hyperlink" Target="https://docs.google.com/spreadsheets/d/1E-GCIcvSLoHyA_B8-bnD0IIB9BZrCs_tx9bksd0hdgY/edit" TargetMode="External"/><Relationship Id="rId18" Type="http://schemas.openxmlformats.org/officeDocument/2006/relationships/hyperlink" Target="https://docs.google.com/spreadsheets/d/1ILllUei2t_V0XMARIKMsLWLwAnfZGmqanLm3FwHVFLg/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CcjRFBFG7iOiqTD2fTfX3OMgml3WL0QjCSl6NYf1H7Y/edit"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hyperlink" Target="https://support.google.com/a/users/answer/13022292?hl=ja" TargetMode="External"/><Relationship Id="rId2" Type="http://schemas.openxmlformats.org/officeDocument/2006/relationships/hyperlink" Target="https://support.google.com/a/users/answer/13022292?hl=ja" TargetMode="External"/><Relationship Id="rId3" Type="http://schemas.openxmlformats.org/officeDocument/2006/relationships/hyperlink" Target="https://movfax.jp/"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qCqiIzk0ETuS6OzI-ZHf4iegw_EVxDBsyzvmTCkh1J8/edit?gid=385666246"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google.com/spreadsheets/d/1IBwdzD4W6PFAXJPwPXbURndJLUg7OTYV/edit?gid=687478976"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spreadsheets/d/1IBwdzD4W6PFAXJPwPXbURndJLUg7OTYV/edit?gid=687478976"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ocs.google.com/spreadsheets/d/1qCqiIzk0ETuS6OzI-ZHf4iegw_EVxDBsyzvmTCkh1J8/edit?gid=385666246"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ocs.google.com/spreadsheets/d/1IBwdzD4W6PFAXJPwPXbURndJLUg7OTYV/edit?gid=1294514721"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row>
    <row r="2">
      <c r="A2" s="3" t="s">
        <v>3</v>
      </c>
      <c r="B2" s="3" t="s">
        <v>4</v>
      </c>
      <c r="C2" s="3" t="s">
        <v>5</v>
      </c>
    </row>
    <row r="3">
      <c r="A3" s="3" t="s">
        <v>3</v>
      </c>
      <c r="B3" s="3" t="s">
        <v>6</v>
      </c>
      <c r="C3" s="3" t="s">
        <v>7</v>
      </c>
    </row>
    <row r="4">
      <c r="A4" s="3" t="s">
        <v>3</v>
      </c>
      <c r="B4" s="3" t="s">
        <v>4</v>
      </c>
      <c r="C4" s="3" t="s">
        <v>8</v>
      </c>
    </row>
    <row r="5">
      <c r="A5" s="3" t="s">
        <v>3</v>
      </c>
      <c r="B5" s="3" t="s">
        <v>4</v>
      </c>
      <c r="C5" s="3" t="s">
        <v>8</v>
      </c>
    </row>
    <row r="6">
      <c r="A6" s="3" t="s">
        <v>3</v>
      </c>
      <c r="B6" s="3" t="s">
        <v>6</v>
      </c>
      <c r="C6" s="3" t="s">
        <v>7</v>
      </c>
    </row>
    <row r="7">
      <c r="A7" s="3" t="s">
        <v>3</v>
      </c>
      <c r="B7" s="3" t="s">
        <v>4</v>
      </c>
      <c r="C7" s="3" t="s">
        <v>5</v>
      </c>
    </row>
    <row r="8">
      <c r="A8" s="3" t="s">
        <v>3</v>
      </c>
      <c r="B8" s="3" t="s">
        <v>4</v>
      </c>
      <c r="C8" s="3" t="s">
        <v>8</v>
      </c>
    </row>
    <row r="9">
      <c r="A9" s="3" t="s">
        <v>3</v>
      </c>
      <c r="B9" s="3" t="s">
        <v>9</v>
      </c>
      <c r="C9" s="3" t="s">
        <v>10</v>
      </c>
    </row>
    <row r="10">
      <c r="A10" s="3" t="s">
        <v>3</v>
      </c>
      <c r="B10" s="3" t="s">
        <v>9</v>
      </c>
      <c r="C10" s="3" t="s">
        <v>11</v>
      </c>
    </row>
    <row r="11">
      <c r="A11" s="3" t="s">
        <v>3</v>
      </c>
      <c r="B11" s="3" t="s">
        <v>4</v>
      </c>
      <c r="C11" s="3" t="s">
        <v>5</v>
      </c>
    </row>
    <row r="12">
      <c r="A12" s="3" t="s">
        <v>3</v>
      </c>
      <c r="B12" s="3" t="s">
        <v>9</v>
      </c>
      <c r="C12" s="3" t="s">
        <v>11</v>
      </c>
    </row>
    <row r="13">
      <c r="A13" s="3" t="s">
        <v>3</v>
      </c>
      <c r="B13" s="3" t="s">
        <v>9</v>
      </c>
      <c r="C13" s="3" t="s">
        <v>11</v>
      </c>
    </row>
    <row r="14">
      <c r="A14" s="3" t="s">
        <v>3</v>
      </c>
      <c r="B14" s="3" t="s">
        <v>4</v>
      </c>
      <c r="C14" s="3" t="s">
        <v>8</v>
      </c>
    </row>
    <row r="15">
      <c r="A15" s="3" t="s">
        <v>3</v>
      </c>
      <c r="B15" s="3" t="s">
        <v>4</v>
      </c>
      <c r="C15" s="3" t="s">
        <v>12</v>
      </c>
    </row>
    <row r="16">
      <c r="A16" s="3" t="s">
        <v>3</v>
      </c>
      <c r="B16" s="3" t="s">
        <v>4</v>
      </c>
      <c r="C16" s="3" t="s">
        <v>5</v>
      </c>
    </row>
    <row r="17">
      <c r="A17" s="3" t="s">
        <v>3</v>
      </c>
      <c r="B17" s="3" t="s">
        <v>4</v>
      </c>
      <c r="C17" s="3" t="s">
        <v>13</v>
      </c>
    </row>
    <row r="18">
      <c r="A18" s="3" t="s">
        <v>3</v>
      </c>
      <c r="B18" s="3" t="s">
        <v>6</v>
      </c>
      <c r="C18" s="3" t="s">
        <v>7</v>
      </c>
    </row>
    <row r="19">
      <c r="A19" s="3" t="s">
        <v>3</v>
      </c>
      <c r="B19" s="3" t="s">
        <v>9</v>
      </c>
      <c r="C19" s="3" t="s">
        <v>14</v>
      </c>
    </row>
    <row r="20">
      <c r="A20" s="3" t="s">
        <v>3</v>
      </c>
      <c r="B20" s="3" t="s">
        <v>9</v>
      </c>
      <c r="C20" s="3" t="s">
        <v>10</v>
      </c>
    </row>
    <row r="21">
      <c r="A21" s="3" t="s">
        <v>3</v>
      </c>
      <c r="B21" s="3" t="s">
        <v>9</v>
      </c>
      <c r="C21" s="3" t="s">
        <v>11</v>
      </c>
    </row>
    <row r="22">
      <c r="A22" s="3" t="s">
        <v>3</v>
      </c>
      <c r="B22" s="3" t="s">
        <v>6</v>
      </c>
      <c r="C22" s="3" t="s">
        <v>7</v>
      </c>
    </row>
    <row r="23">
      <c r="A23" s="3" t="s">
        <v>3</v>
      </c>
      <c r="B23" s="3" t="s">
        <v>4</v>
      </c>
      <c r="C23" s="3" t="s">
        <v>13</v>
      </c>
    </row>
    <row r="24">
      <c r="A24" s="3" t="s">
        <v>3</v>
      </c>
      <c r="B24" s="3" t="s">
        <v>4</v>
      </c>
      <c r="C24" s="3" t="s">
        <v>13</v>
      </c>
    </row>
    <row r="25">
      <c r="A25" s="3" t="s">
        <v>3</v>
      </c>
      <c r="B25" s="3" t="s">
        <v>9</v>
      </c>
      <c r="C25" s="3" t="s">
        <v>11</v>
      </c>
    </row>
    <row r="26">
      <c r="A26" s="3" t="s">
        <v>3</v>
      </c>
      <c r="B26" s="3" t="s">
        <v>4</v>
      </c>
      <c r="C26" s="3" t="s">
        <v>8</v>
      </c>
    </row>
    <row r="27">
      <c r="A27" s="3" t="s">
        <v>3</v>
      </c>
      <c r="B27" s="3" t="s">
        <v>4</v>
      </c>
      <c r="C27" s="3" t="s">
        <v>12</v>
      </c>
    </row>
    <row r="28">
      <c r="A28" s="3" t="s">
        <v>3</v>
      </c>
      <c r="B28" s="3" t="s">
        <v>4</v>
      </c>
      <c r="C28" s="3" t="s">
        <v>5</v>
      </c>
    </row>
    <row r="29">
      <c r="A29" s="3" t="s">
        <v>3</v>
      </c>
      <c r="B29" s="3" t="s">
        <v>4</v>
      </c>
      <c r="C29" s="3" t="s">
        <v>13</v>
      </c>
    </row>
    <row r="30">
      <c r="A30" s="3" t="s">
        <v>3</v>
      </c>
      <c r="B30" s="3" t="s">
        <v>6</v>
      </c>
      <c r="C30" s="3" t="s">
        <v>7</v>
      </c>
    </row>
    <row r="31">
      <c r="A31" s="3" t="s">
        <v>3</v>
      </c>
      <c r="B31" s="3" t="s">
        <v>9</v>
      </c>
      <c r="C31" s="3" t="s">
        <v>14</v>
      </c>
    </row>
    <row r="32">
      <c r="A32" s="3" t="s">
        <v>3</v>
      </c>
      <c r="B32" s="3" t="s">
        <v>9</v>
      </c>
      <c r="C32" s="3" t="s">
        <v>10</v>
      </c>
    </row>
    <row r="33">
      <c r="A33" s="3" t="s">
        <v>3</v>
      </c>
      <c r="B33" s="3" t="s">
        <v>4</v>
      </c>
      <c r="C33" s="3" t="s">
        <v>13</v>
      </c>
    </row>
    <row r="34">
      <c r="A34" s="3" t="s">
        <v>3</v>
      </c>
      <c r="B34" s="3" t="s">
        <v>4</v>
      </c>
      <c r="C34" s="3" t="s">
        <v>12</v>
      </c>
    </row>
    <row r="35">
      <c r="A35" s="3" t="s">
        <v>3</v>
      </c>
      <c r="B35" s="3" t="s">
        <v>9</v>
      </c>
      <c r="C35" s="3" t="s">
        <v>14</v>
      </c>
    </row>
    <row r="36">
      <c r="A36" s="3" t="s">
        <v>3</v>
      </c>
      <c r="B36" s="3" t="s">
        <v>9</v>
      </c>
      <c r="C36" s="3" t="s">
        <v>14</v>
      </c>
    </row>
    <row r="37">
      <c r="A37" s="3" t="s">
        <v>3</v>
      </c>
      <c r="B37" s="3" t="s">
        <v>9</v>
      </c>
      <c r="C37" s="3" t="s">
        <v>14</v>
      </c>
    </row>
    <row r="38">
      <c r="A38" s="3" t="s">
        <v>3</v>
      </c>
      <c r="B38" s="3" t="s">
        <v>9</v>
      </c>
      <c r="C38" s="3" t="s">
        <v>14</v>
      </c>
    </row>
    <row r="39">
      <c r="A39" s="3" t="s">
        <v>3</v>
      </c>
      <c r="B39" s="3" t="s">
        <v>4</v>
      </c>
      <c r="C39" s="3" t="s">
        <v>5</v>
      </c>
    </row>
    <row r="40">
      <c r="A40" s="3" t="s">
        <v>3</v>
      </c>
      <c r="B40" s="3" t="s">
        <v>9</v>
      </c>
      <c r="C40" s="3" t="s">
        <v>14</v>
      </c>
    </row>
    <row r="41">
      <c r="A41" s="3" t="s">
        <v>3</v>
      </c>
      <c r="B41" s="3" t="s">
        <v>4</v>
      </c>
      <c r="C41" s="3" t="s">
        <v>13</v>
      </c>
    </row>
    <row r="42">
      <c r="A42" s="3" t="s">
        <v>3</v>
      </c>
      <c r="B42" s="3" t="s">
        <v>9</v>
      </c>
      <c r="C42" s="3" t="s">
        <v>14</v>
      </c>
    </row>
    <row r="43">
      <c r="A43" s="3" t="s">
        <v>3</v>
      </c>
      <c r="B43" s="3" t="s">
        <v>4</v>
      </c>
      <c r="C43" s="3" t="s">
        <v>5</v>
      </c>
    </row>
    <row r="44">
      <c r="A44" s="3" t="s">
        <v>3</v>
      </c>
      <c r="B44" s="3" t="s">
        <v>4</v>
      </c>
      <c r="C44" s="3" t="s">
        <v>5</v>
      </c>
    </row>
    <row r="45">
      <c r="A45" s="3" t="s">
        <v>3</v>
      </c>
      <c r="B45" s="3" t="s">
        <v>9</v>
      </c>
      <c r="C45" s="3" t="s">
        <v>14</v>
      </c>
    </row>
    <row r="46">
      <c r="A46" s="3" t="s">
        <v>3</v>
      </c>
      <c r="B46" s="3" t="s">
        <v>9</v>
      </c>
      <c r="C46" s="3" t="s">
        <v>14</v>
      </c>
    </row>
    <row r="47">
      <c r="A47" s="3" t="s">
        <v>3</v>
      </c>
      <c r="B47" s="3" t="s">
        <v>4</v>
      </c>
      <c r="C47" s="3" t="s">
        <v>8</v>
      </c>
    </row>
    <row r="48">
      <c r="A48" s="3" t="s">
        <v>3</v>
      </c>
      <c r="B48" s="3" t="s">
        <v>4</v>
      </c>
      <c r="C48" s="3" t="s">
        <v>12</v>
      </c>
    </row>
    <row r="49">
      <c r="A49" s="3" t="s">
        <v>3</v>
      </c>
      <c r="B49" s="3" t="s">
        <v>4</v>
      </c>
      <c r="C49" s="3" t="s">
        <v>5</v>
      </c>
    </row>
    <row r="50">
      <c r="A50" s="3" t="s">
        <v>3</v>
      </c>
      <c r="B50" s="3" t="s">
        <v>4</v>
      </c>
      <c r="C50" s="3" t="s">
        <v>13</v>
      </c>
    </row>
    <row r="51">
      <c r="A51" s="3" t="s">
        <v>3</v>
      </c>
      <c r="B51" s="3" t="s">
        <v>6</v>
      </c>
      <c r="C51" s="3" t="s">
        <v>7</v>
      </c>
    </row>
    <row r="52">
      <c r="A52" s="3" t="s">
        <v>3</v>
      </c>
      <c r="B52" s="3" t="s">
        <v>9</v>
      </c>
      <c r="C52" s="3" t="s">
        <v>14</v>
      </c>
    </row>
    <row r="53">
      <c r="A53" s="3" t="s">
        <v>3</v>
      </c>
      <c r="B53" s="3" t="s">
        <v>9</v>
      </c>
      <c r="C53" s="3" t="s">
        <v>10</v>
      </c>
    </row>
    <row r="54">
      <c r="A54" s="3" t="s">
        <v>3</v>
      </c>
      <c r="B54" s="3" t="s">
        <v>9</v>
      </c>
      <c r="C54" s="3" t="s">
        <v>11</v>
      </c>
    </row>
    <row r="55">
      <c r="A55" s="3" t="s">
        <v>3</v>
      </c>
      <c r="B55" s="3" t="s">
        <v>4</v>
      </c>
      <c r="C55" s="3" t="s">
        <v>5</v>
      </c>
    </row>
    <row r="56">
      <c r="A56" s="3" t="s">
        <v>3</v>
      </c>
      <c r="B56" s="3" t="s">
        <v>9</v>
      </c>
      <c r="C56" s="3" t="s">
        <v>14</v>
      </c>
    </row>
    <row r="57">
      <c r="A57" s="3" t="s">
        <v>3</v>
      </c>
      <c r="B57" s="3" t="s">
        <v>4</v>
      </c>
      <c r="C57" s="3" t="s">
        <v>5</v>
      </c>
    </row>
    <row r="58">
      <c r="A58" s="3" t="s">
        <v>3</v>
      </c>
      <c r="B58" s="3" t="s">
        <v>9</v>
      </c>
      <c r="C58" s="3" t="s">
        <v>14</v>
      </c>
    </row>
    <row r="59">
      <c r="A59" s="3" t="s">
        <v>3</v>
      </c>
      <c r="B59" s="3" t="s">
        <v>9</v>
      </c>
      <c r="C59" s="3" t="s">
        <v>14</v>
      </c>
    </row>
    <row r="60">
      <c r="A60" s="3" t="s">
        <v>3</v>
      </c>
      <c r="B60" s="3" t="s">
        <v>4</v>
      </c>
      <c r="C60" s="3" t="s">
        <v>8</v>
      </c>
    </row>
    <row r="61">
      <c r="A61" s="3" t="s">
        <v>3</v>
      </c>
      <c r="B61" s="3" t="s">
        <v>9</v>
      </c>
      <c r="C61" s="3" t="s">
        <v>14</v>
      </c>
    </row>
    <row r="62">
      <c r="A62" s="3" t="s">
        <v>3</v>
      </c>
      <c r="B62" s="3" t="s">
        <v>9</v>
      </c>
      <c r="C62" s="3" t="s">
        <v>14</v>
      </c>
    </row>
    <row r="63">
      <c r="A63" s="3" t="s">
        <v>3</v>
      </c>
      <c r="B63" s="3" t="s">
        <v>9</v>
      </c>
      <c r="C63" s="3" t="s">
        <v>14</v>
      </c>
    </row>
    <row r="64">
      <c r="A64" s="3" t="s">
        <v>3</v>
      </c>
      <c r="B64" s="3" t="s">
        <v>9</v>
      </c>
      <c r="C64" s="3" t="s">
        <v>14</v>
      </c>
    </row>
    <row r="65">
      <c r="A65" s="3" t="s">
        <v>3</v>
      </c>
      <c r="B65" s="3" t="s">
        <v>4</v>
      </c>
      <c r="C65" s="3" t="s">
        <v>13</v>
      </c>
    </row>
    <row r="66">
      <c r="A66" s="3" t="s">
        <v>3</v>
      </c>
      <c r="B66" s="3" t="s">
        <v>9</v>
      </c>
      <c r="C66" s="3" t="s">
        <v>11</v>
      </c>
    </row>
    <row r="67">
      <c r="A67" s="3" t="s">
        <v>3</v>
      </c>
      <c r="B67" s="3" t="s">
        <v>6</v>
      </c>
      <c r="C67" s="3" t="s">
        <v>7</v>
      </c>
    </row>
    <row r="68">
      <c r="A68" s="3" t="s">
        <v>3</v>
      </c>
      <c r="B68" s="3" t="s">
        <v>6</v>
      </c>
      <c r="C68" s="3" t="s">
        <v>7</v>
      </c>
    </row>
    <row r="69">
      <c r="A69" s="3" t="s">
        <v>3</v>
      </c>
      <c r="B69" s="3" t="s">
        <v>9</v>
      </c>
      <c r="C69" s="3" t="s">
        <v>14</v>
      </c>
    </row>
    <row r="70">
      <c r="A70" s="3" t="s">
        <v>3</v>
      </c>
      <c r="B70" s="3" t="s">
        <v>4</v>
      </c>
      <c r="C70" s="3" t="s">
        <v>8</v>
      </c>
    </row>
    <row r="71">
      <c r="A71" s="3" t="s">
        <v>3</v>
      </c>
      <c r="B71" s="3" t="s">
        <v>4</v>
      </c>
      <c r="C71" s="3" t="s">
        <v>8</v>
      </c>
    </row>
    <row r="72">
      <c r="A72" s="3" t="s">
        <v>3</v>
      </c>
      <c r="B72" s="3" t="s">
        <v>9</v>
      </c>
      <c r="C72" s="3" t="s">
        <v>14</v>
      </c>
    </row>
    <row r="73">
      <c r="A73" s="3" t="s">
        <v>3</v>
      </c>
      <c r="B73" s="3" t="s">
        <v>9</v>
      </c>
      <c r="C73" s="3" t="s">
        <v>14</v>
      </c>
    </row>
    <row r="74">
      <c r="A74" s="3" t="s">
        <v>3</v>
      </c>
      <c r="B74" s="3" t="s">
        <v>9</v>
      </c>
      <c r="C74" s="3" t="s">
        <v>14</v>
      </c>
    </row>
    <row r="75">
      <c r="A75" s="3" t="s">
        <v>3</v>
      </c>
      <c r="B75" s="3" t="s">
        <v>9</v>
      </c>
      <c r="C75" s="3" t="s">
        <v>14</v>
      </c>
    </row>
    <row r="76">
      <c r="A76" s="3" t="s">
        <v>3</v>
      </c>
      <c r="B76" s="3" t="s">
        <v>9</v>
      </c>
      <c r="C76" s="3" t="s">
        <v>14</v>
      </c>
    </row>
    <row r="77">
      <c r="A77" s="3" t="s">
        <v>15</v>
      </c>
      <c r="B77" s="3" t="s">
        <v>16</v>
      </c>
      <c r="C77" s="3" t="s">
        <v>17</v>
      </c>
    </row>
    <row r="78">
      <c r="A78" s="3" t="s">
        <v>15</v>
      </c>
      <c r="B78" s="3" t="s">
        <v>18</v>
      </c>
      <c r="C78" s="3" t="s">
        <v>19</v>
      </c>
    </row>
    <row r="79">
      <c r="A79" s="3" t="s">
        <v>15</v>
      </c>
      <c r="B79" s="3" t="s">
        <v>16</v>
      </c>
      <c r="C79" s="3" t="s">
        <v>20</v>
      </c>
    </row>
    <row r="80">
      <c r="A80" s="3" t="s">
        <v>15</v>
      </c>
      <c r="B80" s="3" t="s">
        <v>18</v>
      </c>
      <c r="C80" s="3" t="s">
        <v>19</v>
      </c>
    </row>
    <row r="81">
      <c r="A81" s="3" t="s">
        <v>15</v>
      </c>
      <c r="B81" s="3" t="s">
        <v>16</v>
      </c>
      <c r="C81" s="3" t="s">
        <v>21</v>
      </c>
    </row>
    <row r="82">
      <c r="A82" s="3" t="s">
        <v>15</v>
      </c>
      <c r="B82" s="3" t="s">
        <v>18</v>
      </c>
      <c r="C82" s="3" t="s">
        <v>19</v>
      </c>
    </row>
    <row r="83">
      <c r="A83" s="3" t="s">
        <v>15</v>
      </c>
      <c r="B83" s="3" t="s">
        <v>16</v>
      </c>
      <c r="C83" s="3" t="s">
        <v>20</v>
      </c>
    </row>
    <row r="84">
      <c r="A84" s="3" t="s">
        <v>15</v>
      </c>
      <c r="B84" s="3" t="s">
        <v>18</v>
      </c>
      <c r="C84" s="3" t="s">
        <v>19</v>
      </c>
    </row>
    <row r="85">
      <c r="A85" s="3" t="s">
        <v>15</v>
      </c>
      <c r="B85" s="3" t="s">
        <v>16</v>
      </c>
      <c r="C85" s="3" t="s">
        <v>21</v>
      </c>
    </row>
    <row r="86">
      <c r="A86" s="3" t="s">
        <v>15</v>
      </c>
      <c r="B86" s="3" t="s">
        <v>18</v>
      </c>
      <c r="C86" s="3" t="s">
        <v>19</v>
      </c>
    </row>
    <row r="87">
      <c r="A87" s="3" t="s">
        <v>15</v>
      </c>
      <c r="B87" s="3" t="s">
        <v>16</v>
      </c>
      <c r="C87" s="3" t="s">
        <v>20</v>
      </c>
    </row>
    <row r="88">
      <c r="A88" s="3" t="s">
        <v>15</v>
      </c>
      <c r="B88" s="3" t="s">
        <v>18</v>
      </c>
      <c r="C88" s="3" t="s">
        <v>19</v>
      </c>
    </row>
    <row r="89">
      <c r="A89" s="3" t="s">
        <v>15</v>
      </c>
      <c r="B89" s="3" t="s">
        <v>16</v>
      </c>
      <c r="C89" s="3" t="s">
        <v>20</v>
      </c>
    </row>
    <row r="90">
      <c r="A90" s="3" t="s">
        <v>15</v>
      </c>
      <c r="B90" s="3" t="s">
        <v>18</v>
      </c>
      <c r="C90" s="3" t="s">
        <v>19</v>
      </c>
    </row>
    <row r="91">
      <c r="A91" s="3" t="s">
        <v>15</v>
      </c>
      <c r="B91" s="3" t="s">
        <v>18</v>
      </c>
      <c r="C91" s="3" t="s">
        <v>19</v>
      </c>
    </row>
    <row r="92">
      <c r="A92" s="3" t="s">
        <v>15</v>
      </c>
      <c r="B92" s="3" t="s">
        <v>16</v>
      </c>
      <c r="C92" s="3" t="s">
        <v>20</v>
      </c>
    </row>
    <row r="93">
      <c r="A93" s="3" t="s">
        <v>15</v>
      </c>
      <c r="B93" s="3" t="s">
        <v>18</v>
      </c>
      <c r="C93" s="3" t="s">
        <v>19</v>
      </c>
    </row>
    <row r="94">
      <c r="A94" s="3" t="s">
        <v>15</v>
      </c>
      <c r="B94" s="3" t="s">
        <v>16</v>
      </c>
      <c r="C94" s="3" t="s">
        <v>20</v>
      </c>
    </row>
    <row r="95">
      <c r="A95" s="3" t="s">
        <v>15</v>
      </c>
      <c r="B95" s="3" t="s">
        <v>18</v>
      </c>
      <c r="C95" s="3" t="s">
        <v>19</v>
      </c>
    </row>
    <row r="96">
      <c r="A96" s="3" t="s">
        <v>15</v>
      </c>
      <c r="B96" s="3" t="s">
        <v>16</v>
      </c>
      <c r="C96" s="3" t="s">
        <v>20</v>
      </c>
    </row>
    <row r="97">
      <c r="A97" s="3" t="s">
        <v>15</v>
      </c>
      <c r="B97" s="3" t="s">
        <v>18</v>
      </c>
      <c r="C97" s="3" t="s">
        <v>19</v>
      </c>
    </row>
    <row r="98">
      <c r="A98" s="3" t="s">
        <v>15</v>
      </c>
      <c r="B98" s="3" t="s">
        <v>16</v>
      </c>
      <c r="C98" s="3" t="s">
        <v>20</v>
      </c>
    </row>
    <row r="99">
      <c r="A99" s="3" t="s">
        <v>15</v>
      </c>
      <c r="B99" s="3" t="s">
        <v>18</v>
      </c>
      <c r="C99" s="3" t="s">
        <v>19</v>
      </c>
    </row>
    <row r="100">
      <c r="A100" s="3" t="s">
        <v>15</v>
      </c>
      <c r="B100" s="3" t="s">
        <v>16</v>
      </c>
      <c r="C100" s="3" t="s">
        <v>20</v>
      </c>
    </row>
    <row r="101">
      <c r="A101" s="3" t="s">
        <v>15</v>
      </c>
      <c r="B101" s="3" t="s">
        <v>18</v>
      </c>
      <c r="C101" s="3" t="s">
        <v>19</v>
      </c>
    </row>
    <row r="102">
      <c r="A102" s="3" t="s">
        <v>15</v>
      </c>
      <c r="B102" s="3" t="s">
        <v>16</v>
      </c>
      <c r="C102" s="3" t="s">
        <v>20</v>
      </c>
    </row>
    <row r="103">
      <c r="A103" s="3" t="s">
        <v>15</v>
      </c>
      <c r="B103" s="3" t="s">
        <v>18</v>
      </c>
      <c r="C103" s="3" t="s">
        <v>19</v>
      </c>
    </row>
    <row r="104">
      <c r="A104" s="3" t="s">
        <v>15</v>
      </c>
      <c r="B104" s="3" t="s">
        <v>16</v>
      </c>
      <c r="C104" s="3" t="s">
        <v>20</v>
      </c>
    </row>
    <row r="105">
      <c r="A105" s="3" t="s">
        <v>15</v>
      </c>
      <c r="B105" s="3" t="s">
        <v>16</v>
      </c>
      <c r="C105" s="3" t="s">
        <v>20</v>
      </c>
    </row>
    <row r="106">
      <c r="A106" s="3" t="s">
        <v>15</v>
      </c>
      <c r="B106" s="3" t="s">
        <v>18</v>
      </c>
      <c r="C106" s="3" t="s">
        <v>19</v>
      </c>
    </row>
    <row r="107">
      <c r="A107" s="3" t="s">
        <v>15</v>
      </c>
      <c r="B107" s="3" t="s">
        <v>16</v>
      </c>
      <c r="C107" s="3" t="s">
        <v>21</v>
      </c>
    </row>
    <row r="108">
      <c r="A108" s="3" t="s">
        <v>15</v>
      </c>
      <c r="B108" s="3" t="s">
        <v>16</v>
      </c>
      <c r="C108" s="3" t="s">
        <v>17</v>
      </c>
    </row>
    <row r="109">
      <c r="A109" s="3" t="s">
        <v>15</v>
      </c>
      <c r="B109" s="3" t="s">
        <v>18</v>
      </c>
      <c r="C109" s="3" t="s">
        <v>19</v>
      </c>
    </row>
    <row r="110">
      <c r="A110" s="3" t="s">
        <v>15</v>
      </c>
      <c r="B110" s="3" t="s">
        <v>16</v>
      </c>
      <c r="C110" s="3" t="s">
        <v>20</v>
      </c>
    </row>
    <row r="111">
      <c r="A111" s="3" t="s">
        <v>15</v>
      </c>
      <c r="B111" s="3" t="s">
        <v>18</v>
      </c>
      <c r="C111" s="3" t="s">
        <v>19</v>
      </c>
    </row>
    <row r="112">
      <c r="A112" s="3" t="s">
        <v>15</v>
      </c>
      <c r="B112" s="3" t="s">
        <v>16</v>
      </c>
      <c r="C112" s="3" t="s">
        <v>20</v>
      </c>
    </row>
    <row r="113">
      <c r="A113" s="3" t="s">
        <v>15</v>
      </c>
      <c r="B113" s="3" t="s">
        <v>16</v>
      </c>
      <c r="C113" s="3" t="s">
        <v>20</v>
      </c>
    </row>
    <row r="114">
      <c r="A114" s="3" t="s">
        <v>15</v>
      </c>
      <c r="B114" s="3" t="s">
        <v>16</v>
      </c>
      <c r="C114" s="3" t="s">
        <v>20</v>
      </c>
    </row>
    <row r="115">
      <c r="A115" s="3" t="s">
        <v>22</v>
      </c>
      <c r="B115" s="3" t="s">
        <v>23</v>
      </c>
      <c r="C115" s="3" t="s">
        <v>24</v>
      </c>
    </row>
    <row r="116">
      <c r="A116" s="3" t="s">
        <v>22</v>
      </c>
      <c r="B116" s="3" t="s">
        <v>25</v>
      </c>
      <c r="C116" s="3" t="s">
        <v>26</v>
      </c>
    </row>
    <row r="117">
      <c r="A117" s="3" t="s">
        <v>22</v>
      </c>
      <c r="B117" s="3" t="s">
        <v>23</v>
      </c>
      <c r="C117" s="3" t="s">
        <v>24</v>
      </c>
    </row>
    <row r="118">
      <c r="A118" s="3" t="s">
        <v>22</v>
      </c>
      <c r="B118" s="3" t="s">
        <v>25</v>
      </c>
      <c r="C118" s="3" t="s">
        <v>26</v>
      </c>
    </row>
    <row r="119">
      <c r="A119" s="3" t="s">
        <v>22</v>
      </c>
      <c r="B119" s="3" t="s">
        <v>25</v>
      </c>
      <c r="C119" s="3" t="s">
        <v>26</v>
      </c>
    </row>
    <row r="120">
      <c r="A120" s="3" t="s">
        <v>22</v>
      </c>
      <c r="B120" s="3" t="s">
        <v>27</v>
      </c>
      <c r="C120" s="3" t="s">
        <v>28</v>
      </c>
    </row>
    <row r="121">
      <c r="A121" s="3" t="s">
        <v>22</v>
      </c>
      <c r="B121" s="3" t="s">
        <v>25</v>
      </c>
      <c r="C121" s="3" t="s">
        <v>26</v>
      </c>
    </row>
    <row r="122">
      <c r="A122" s="3" t="s">
        <v>22</v>
      </c>
      <c r="B122" s="3" t="s">
        <v>27</v>
      </c>
      <c r="C122" s="3" t="s">
        <v>28</v>
      </c>
    </row>
    <row r="123">
      <c r="A123" s="3" t="s">
        <v>22</v>
      </c>
      <c r="B123" s="3" t="s">
        <v>25</v>
      </c>
      <c r="C123" s="3" t="s">
        <v>26</v>
      </c>
    </row>
    <row r="124">
      <c r="A124" s="3" t="s">
        <v>22</v>
      </c>
      <c r="B124" s="3" t="s">
        <v>25</v>
      </c>
      <c r="C124" s="3" t="s">
        <v>26</v>
      </c>
    </row>
    <row r="125">
      <c r="A125" s="3" t="s">
        <v>22</v>
      </c>
      <c r="B125" s="3" t="s">
        <v>29</v>
      </c>
      <c r="C125" s="3" t="s">
        <v>30</v>
      </c>
    </row>
    <row r="126">
      <c r="A126" s="3" t="s">
        <v>22</v>
      </c>
      <c r="B126" s="3" t="s">
        <v>25</v>
      </c>
      <c r="C126" s="3" t="s">
        <v>26</v>
      </c>
    </row>
    <row r="127">
      <c r="A127" s="3" t="s">
        <v>22</v>
      </c>
      <c r="B127" s="3" t="s">
        <v>23</v>
      </c>
      <c r="C127" s="3" t="s">
        <v>24</v>
      </c>
    </row>
    <row r="128">
      <c r="A128" s="3" t="s">
        <v>22</v>
      </c>
      <c r="B128" s="3" t="s">
        <v>29</v>
      </c>
      <c r="C128" s="3" t="s">
        <v>31</v>
      </c>
    </row>
    <row r="129">
      <c r="A129" s="3" t="s">
        <v>22</v>
      </c>
      <c r="B129" s="3" t="s">
        <v>25</v>
      </c>
      <c r="C129" s="3" t="s">
        <v>26</v>
      </c>
    </row>
    <row r="130">
      <c r="A130" s="3" t="s">
        <v>22</v>
      </c>
      <c r="B130" s="3" t="s">
        <v>25</v>
      </c>
      <c r="C130" s="3" t="s">
        <v>26</v>
      </c>
    </row>
    <row r="131">
      <c r="A131" s="3" t="s">
        <v>22</v>
      </c>
      <c r="B131" s="3" t="s">
        <v>23</v>
      </c>
      <c r="C131" s="3" t="s">
        <v>24</v>
      </c>
    </row>
    <row r="132">
      <c r="A132" s="3" t="s">
        <v>22</v>
      </c>
      <c r="B132" s="3" t="s">
        <v>25</v>
      </c>
      <c r="C132" s="3" t="s">
        <v>26</v>
      </c>
    </row>
    <row r="133">
      <c r="A133" s="3" t="s">
        <v>22</v>
      </c>
      <c r="B133" s="3" t="s">
        <v>32</v>
      </c>
      <c r="C133" s="3" t="s">
        <v>33</v>
      </c>
    </row>
    <row r="134">
      <c r="A134" s="3" t="s">
        <v>22</v>
      </c>
      <c r="B134" s="3" t="s">
        <v>25</v>
      </c>
      <c r="C134" s="3" t="s">
        <v>26</v>
      </c>
    </row>
    <row r="135">
      <c r="A135" s="3" t="s">
        <v>22</v>
      </c>
      <c r="B135" s="3" t="s">
        <v>32</v>
      </c>
      <c r="C135" s="3" t="s">
        <v>34</v>
      </c>
    </row>
    <row r="136">
      <c r="A136" s="3" t="s">
        <v>22</v>
      </c>
      <c r="B136" s="3" t="s">
        <v>25</v>
      </c>
      <c r="C136" s="3" t="s">
        <v>26</v>
      </c>
    </row>
    <row r="137">
      <c r="A137" s="3" t="s">
        <v>22</v>
      </c>
      <c r="B137" s="3" t="s">
        <v>23</v>
      </c>
      <c r="C137" s="3" t="s">
        <v>24</v>
      </c>
    </row>
    <row r="138">
      <c r="A138" s="3" t="s">
        <v>22</v>
      </c>
      <c r="B138" s="3" t="s">
        <v>25</v>
      </c>
      <c r="C138" s="3" t="s">
        <v>26</v>
      </c>
    </row>
    <row r="139">
      <c r="A139" s="3" t="s">
        <v>22</v>
      </c>
      <c r="B139" s="3" t="s">
        <v>27</v>
      </c>
      <c r="C139" s="3" t="s">
        <v>28</v>
      </c>
    </row>
    <row r="140">
      <c r="A140" s="3" t="s">
        <v>22</v>
      </c>
      <c r="B140" s="3" t="s">
        <v>25</v>
      </c>
      <c r="C140" s="3" t="s">
        <v>26</v>
      </c>
    </row>
    <row r="141">
      <c r="A141" s="3" t="s">
        <v>22</v>
      </c>
      <c r="B141" s="3" t="s">
        <v>35</v>
      </c>
      <c r="C141" s="3" t="s">
        <v>36</v>
      </c>
    </row>
    <row r="142">
      <c r="A142" s="3" t="s">
        <v>22</v>
      </c>
      <c r="B142" s="3" t="s">
        <v>25</v>
      </c>
      <c r="C142" s="3" t="s">
        <v>26</v>
      </c>
    </row>
    <row r="143">
      <c r="A143" s="3" t="s">
        <v>22</v>
      </c>
      <c r="B143" s="3" t="s">
        <v>32</v>
      </c>
      <c r="C143" s="3" t="s">
        <v>37</v>
      </c>
    </row>
    <row r="144">
      <c r="A144" s="3" t="s">
        <v>22</v>
      </c>
      <c r="B144" s="3" t="s">
        <v>25</v>
      </c>
      <c r="C144" s="3" t="s">
        <v>26</v>
      </c>
    </row>
    <row r="145">
      <c r="A145" s="3" t="s">
        <v>22</v>
      </c>
      <c r="B145" s="3" t="s">
        <v>27</v>
      </c>
      <c r="C145" s="3" t="s">
        <v>28</v>
      </c>
    </row>
    <row r="146">
      <c r="A146" s="3" t="s">
        <v>22</v>
      </c>
      <c r="B146" s="3" t="s">
        <v>25</v>
      </c>
      <c r="C146" s="3" t="s">
        <v>26</v>
      </c>
    </row>
    <row r="147">
      <c r="A147" s="3" t="s">
        <v>22</v>
      </c>
      <c r="B147" s="3" t="s">
        <v>23</v>
      </c>
      <c r="C147" s="3" t="s">
        <v>24</v>
      </c>
    </row>
    <row r="148">
      <c r="A148" s="3" t="s">
        <v>22</v>
      </c>
      <c r="B148" s="3" t="s">
        <v>25</v>
      </c>
      <c r="C148" s="3" t="s">
        <v>26</v>
      </c>
    </row>
    <row r="149">
      <c r="A149" s="3" t="s">
        <v>22</v>
      </c>
      <c r="B149" s="3" t="s">
        <v>29</v>
      </c>
      <c r="C149" s="3" t="s">
        <v>31</v>
      </c>
    </row>
    <row r="150">
      <c r="A150" s="3" t="s">
        <v>22</v>
      </c>
      <c r="B150" s="3" t="s">
        <v>25</v>
      </c>
      <c r="C150" s="3" t="s">
        <v>26</v>
      </c>
    </row>
    <row r="151">
      <c r="A151" s="3" t="s">
        <v>22</v>
      </c>
      <c r="B151" s="3" t="s">
        <v>25</v>
      </c>
      <c r="C151" s="3" t="s">
        <v>26</v>
      </c>
    </row>
    <row r="152">
      <c r="A152" s="3" t="s">
        <v>22</v>
      </c>
      <c r="B152" s="3" t="s">
        <v>32</v>
      </c>
      <c r="C152" s="3" t="s">
        <v>34</v>
      </c>
    </row>
    <row r="153">
      <c r="A153" s="3" t="s">
        <v>22</v>
      </c>
      <c r="B153" s="3" t="s">
        <v>25</v>
      </c>
      <c r="C153" s="3" t="s">
        <v>26</v>
      </c>
    </row>
    <row r="154">
      <c r="A154" s="3" t="s">
        <v>22</v>
      </c>
      <c r="B154" s="3" t="s">
        <v>35</v>
      </c>
      <c r="C154" s="3" t="s">
        <v>36</v>
      </c>
    </row>
    <row r="155">
      <c r="A155" s="3" t="s">
        <v>22</v>
      </c>
      <c r="B155" s="3" t="s">
        <v>25</v>
      </c>
      <c r="C155" s="3" t="s">
        <v>26</v>
      </c>
    </row>
    <row r="156">
      <c r="A156" s="3" t="s">
        <v>22</v>
      </c>
      <c r="B156" s="3" t="s">
        <v>29</v>
      </c>
      <c r="C156" s="3" t="s">
        <v>31</v>
      </c>
    </row>
    <row r="157">
      <c r="A157" s="3" t="s">
        <v>22</v>
      </c>
      <c r="B157" s="3" t="s">
        <v>25</v>
      </c>
      <c r="C157" s="3" t="s">
        <v>26</v>
      </c>
    </row>
    <row r="158">
      <c r="A158" s="3" t="s">
        <v>22</v>
      </c>
      <c r="B158" s="3" t="s">
        <v>23</v>
      </c>
      <c r="C158" s="3" t="s">
        <v>24</v>
      </c>
    </row>
    <row r="159">
      <c r="A159" s="3" t="s">
        <v>22</v>
      </c>
      <c r="B159" s="3" t="s">
        <v>25</v>
      </c>
      <c r="C159" s="3" t="s">
        <v>26</v>
      </c>
    </row>
    <row r="160">
      <c r="A160" s="3" t="s">
        <v>22</v>
      </c>
      <c r="B160" s="3" t="s">
        <v>23</v>
      </c>
      <c r="C160" s="3" t="s">
        <v>24</v>
      </c>
    </row>
    <row r="161">
      <c r="A161" s="3" t="s">
        <v>22</v>
      </c>
      <c r="B161" s="3" t="s">
        <v>25</v>
      </c>
      <c r="C161" s="3" t="s">
        <v>26</v>
      </c>
    </row>
    <row r="162">
      <c r="A162" s="3" t="s">
        <v>22</v>
      </c>
      <c r="B162" s="3" t="s">
        <v>32</v>
      </c>
      <c r="C162" s="3" t="s">
        <v>34</v>
      </c>
    </row>
    <row r="163">
      <c r="A163" s="3" t="s">
        <v>22</v>
      </c>
      <c r="B163" s="3" t="s">
        <v>32</v>
      </c>
      <c r="C163" s="3" t="s">
        <v>34</v>
      </c>
    </row>
    <row r="164">
      <c r="A164" s="3" t="s">
        <v>22</v>
      </c>
      <c r="B164" s="3" t="s">
        <v>25</v>
      </c>
      <c r="C164" s="3" t="s">
        <v>26</v>
      </c>
    </row>
    <row r="165">
      <c r="A165" s="3" t="s">
        <v>22</v>
      </c>
      <c r="B165" s="3" t="s">
        <v>32</v>
      </c>
      <c r="C165" s="3" t="s">
        <v>37</v>
      </c>
    </row>
    <row r="166">
      <c r="A166" s="3" t="s">
        <v>22</v>
      </c>
      <c r="B166" s="3" t="s">
        <v>25</v>
      </c>
      <c r="C166" s="3" t="s">
        <v>26</v>
      </c>
    </row>
    <row r="167">
      <c r="A167" s="3" t="s">
        <v>22</v>
      </c>
      <c r="B167" s="3" t="s">
        <v>27</v>
      </c>
      <c r="C167" s="3" t="s">
        <v>28</v>
      </c>
    </row>
    <row r="168">
      <c r="A168" s="3" t="s">
        <v>22</v>
      </c>
      <c r="B168" s="3" t="s">
        <v>25</v>
      </c>
      <c r="C168" s="3" t="s">
        <v>26</v>
      </c>
    </row>
    <row r="169">
      <c r="A169" s="3" t="s">
        <v>22</v>
      </c>
      <c r="B169" s="3" t="s">
        <v>29</v>
      </c>
      <c r="C169" s="3" t="s">
        <v>31</v>
      </c>
    </row>
    <row r="170">
      <c r="A170" s="3" t="s">
        <v>22</v>
      </c>
      <c r="B170" s="3" t="s">
        <v>25</v>
      </c>
      <c r="C170" s="3" t="s">
        <v>26</v>
      </c>
    </row>
    <row r="171">
      <c r="A171" s="3" t="s">
        <v>22</v>
      </c>
      <c r="B171" s="3" t="s">
        <v>23</v>
      </c>
      <c r="C171" s="3" t="s">
        <v>24</v>
      </c>
    </row>
    <row r="172">
      <c r="A172" s="3" t="s">
        <v>22</v>
      </c>
      <c r="B172" s="3" t="s">
        <v>32</v>
      </c>
      <c r="C172" s="3" t="s">
        <v>37</v>
      </c>
    </row>
    <row r="173">
      <c r="A173" s="3" t="s">
        <v>22</v>
      </c>
      <c r="B173" s="3" t="s">
        <v>25</v>
      </c>
      <c r="C173" s="3" t="s">
        <v>26</v>
      </c>
    </row>
    <row r="174">
      <c r="A174" s="3" t="s">
        <v>22</v>
      </c>
      <c r="B174" s="3" t="s">
        <v>25</v>
      </c>
      <c r="C174" s="3" t="s">
        <v>26</v>
      </c>
    </row>
    <row r="175">
      <c r="A175" s="3" t="s">
        <v>22</v>
      </c>
      <c r="B175" s="3" t="s">
        <v>23</v>
      </c>
      <c r="C175" s="3" t="s">
        <v>24</v>
      </c>
    </row>
    <row r="176">
      <c r="A176" s="3" t="s">
        <v>22</v>
      </c>
      <c r="B176" s="3" t="s">
        <v>23</v>
      </c>
      <c r="C176" s="3" t="s">
        <v>24</v>
      </c>
    </row>
    <row r="177">
      <c r="A177" s="3" t="s">
        <v>22</v>
      </c>
      <c r="B177" s="3" t="s">
        <v>23</v>
      </c>
      <c r="C177" s="3" t="s">
        <v>24</v>
      </c>
    </row>
    <row r="178">
      <c r="A178" s="3" t="s">
        <v>22</v>
      </c>
      <c r="B178" s="3" t="s">
        <v>25</v>
      </c>
      <c r="C178" s="3" t="s">
        <v>26</v>
      </c>
    </row>
    <row r="179">
      <c r="A179" s="3" t="s">
        <v>22</v>
      </c>
      <c r="B179" s="3" t="s">
        <v>23</v>
      </c>
      <c r="C179" s="3" t="s">
        <v>24</v>
      </c>
    </row>
    <row r="180">
      <c r="A180" s="3" t="s">
        <v>22</v>
      </c>
      <c r="B180" s="3" t="s">
        <v>25</v>
      </c>
      <c r="C180" s="3" t="s">
        <v>26</v>
      </c>
    </row>
    <row r="181">
      <c r="A181" s="3" t="s">
        <v>22</v>
      </c>
      <c r="B181" s="3" t="s">
        <v>23</v>
      </c>
      <c r="C181" s="3" t="s">
        <v>24</v>
      </c>
    </row>
    <row r="182">
      <c r="A182" s="3" t="s">
        <v>22</v>
      </c>
      <c r="B182" s="3" t="s">
        <v>25</v>
      </c>
      <c r="C182" s="3" t="s">
        <v>26</v>
      </c>
    </row>
    <row r="183">
      <c r="A183" s="3" t="s">
        <v>22</v>
      </c>
      <c r="B183" s="3" t="s">
        <v>23</v>
      </c>
      <c r="C183" s="3" t="s">
        <v>24</v>
      </c>
    </row>
    <row r="184">
      <c r="A184" s="3" t="s">
        <v>22</v>
      </c>
      <c r="B184" s="3" t="s">
        <v>23</v>
      </c>
      <c r="C184" s="3" t="s">
        <v>24</v>
      </c>
    </row>
    <row r="185">
      <c r="A185" s="3" t="s">
        <v>22</v>
      </c>
      <c r="B185" s="3" t="s">
        <v>25</v>
      </c>
      <c r="C185" s="3" t="s">
        <v>26</v>
      </c>
    </row>
    <row r="186">
      <c r="A186" s="3" t="s">
        <v>22</v>
      </c>
      <c r="B186" s="3" t="s">
        <v>27</v>
      </c>
      <c r="C186" s="3" t="s">
        <v>28</v>
      </c>
    </row>
    <row r="187">
      <c r="A187" s="3" t="s">
        <v>22</v>
      </c>
      <c r="B187" s="3" t="s">
        <v>23</v>
      </c>
      <c r="C187" s="3" t="s">
        <v>24</v>
      </c>
    </row>
    <row r="188">
      <c r="A188" s="3" t="s">
        <v>22</v>
      </c>
      <c r="B188" s="3" t="s">
        <v>23</v>
      </c>
      <c r="C188" s="3" t="s">
        <v>24</v>
      </c>
    </row>
    <row r="189">
      <c r="A189" s="3" t="s">
        <v>22</v>
      </c>
      <c r="B189" s="3" t="s">
        <v>35</v>
      </c>
      <c r="C189" s="3" t="s">
        <v>36</v>
      </c>
    </row>
    <row r="190">
      <c r="A190" s="3" t="s">
        <v>22</v>
      </c>
      <c r="B190" s="3" t="s">
        <v>25</v>
      </c>
      <c r="C190" s="3" t="s">
        <v>26</v>
      </c>
    </row>
    <row r="191">
      <c r="A191" s="3" t="s">
        <v>22</v>
      </c>
      <c r="B191" s="3" t="s">
        <v>23</v>
      </c>
      <c r="C191" s="3" t="s">
        <v>24</v>
      </c>
    </row>
    <row r="192">
      <c r="A192" s="3" t="s">
        <v>22</v>
      </c>
      <c r="B192" s="3" t="s">
        <v>35</v>
      </c>
      <c r="C192" s="3" t="s">
        <v>36</v>
      </c>
    </row>
    <row r="193">
      <c r="A193" s="3" t="s">
        <v>22</v>
      </c>
      <c r="B193" s="3" t="s">
        <v>25</v>
      </c>
      <c r="C193" s="3" t="s">
        <v>26</v>
      </c>
    </row>
    <row r="194">
      <c r="A194" s="3" t="s">
        <v>22</v>
      </c>
      <c r="B194" s="3" t="s">
        <v>32</v>
      </c>
      <c r="C194" s="3" t="s">
        <v>37</v>
      </c>
    </row>
    <row r="195">
      <c r="A195" s="3" t="s">
        <v>22</v>
      </c>
      <c r="B195" s="3" t="s">
        <v>27</v>
      </c>
      <c r="C195" s="3" t="s">
        <v>28</v>
      </c>
    </row>
    <row r="196">
      <c r="A196" s="3" t="s">
        <v>22</v>
      </c>
      <c r="B196" s="3" t="s">
        <v>25</v>
      </c>
      <c r="C196" s="3" t="s">
        <v>26</v>
      </c>
    </row>
    <row r="197">
      <c r="A197" s="3" t="s">
        <v>22</v>
      </c>
      <c r="B197" s="3" t="s">
        <v>29</v>
      </c>
      <c r="C197" s="3" t="s">
        <v>31</v>
      </c>
    </row>
    <row r="198">
      <c r="A198" s="3" t="s">
        <v>22</v>
      </c>
      <c r="B198" s="3" t="s">
        <v>35</v>
      </c>
      <c r="C198" s="3" t="s">
        <v>36</v>
      </c>
    </row>
    <row r="199">
      <c r="A199" s="3" t="s">
        <v>22</v>
      </c>
      <c r="B199" s="3" t="s">
        <v>25</v>
      </c>
      <c r="C199" s="3" t="s">
        <v>26</v>
      </c>
    </row>
    <row r="200">
      <c r="A200" s="3" t="s">
        <v>22</v>
      </c>
      <c r="B200" s="3" t="s">
        <v>35</v>
      </c>
      <c r="C200" s="3" t="s">
        <v>36</v>
      </c>
    </row>
    <row r="201">
      <c r="A201" s="3" t="s">
        <v>22</v>
      </c>
      <c r="B201" s="3" t="s">
        <v>23</v>
      </c>
      <c r="C201" s="3" t="s">
        <v>24</v>
      </c>
    </row>
    <row r="202">
      <c r="A202" s="3" t="s">
        <v>22</v>
      </c>
      <c r="B202" s="3" t="s">
        <v>25</v>
      </c>
      <c r="C202" s="3" t="s">
        <v>26</v>
      </c>
    </row>
    <row r="203">
      <c r="A203" s="3" t="s">
        <v>22</v>
      </c>
      <c r="B203" s="3" t="s">
        <v>25</v>
      </c>
      <c r="C203" s="3" t="s">
        <v>26</v>
      </c>
    </row>
    <row r="204">
      <c r="A204" s="3" t="s">
        <v>22</v>
      </c>
      <c r="B204" s="3" t="s">
        <v>29</v>
      </c>
      <c r="C204" s="3" t="s">
        <v>31</v>
      </c>
    </row>
    <row r="205">
      <c r="A205" s="3" t="s">
        <v>22</v>
      </c>
      <c r="B205" s="3" t="s">
        <v>25</v>
      </c>
      <c r="C205" s="3" t="s">
        <v>26</v>
      </c>
    </row>
    <row r="206">
      <c r="A206" s="3" t="s">
        <v>22</v>
      </c>
      <c r="B206" s="3" t="s">
        <v>29</v>
      </c>
      <c r="C206" s="3" t="s">
        <v>30</v>
      </c>
    </row>
    <row r="207">
      <c r="A207" s="3" t="s">
        <v>22</v>
      </c>
      <c r="B207" s="3" t="s">
        <v>35</v>
      </c>
      <c r="C207" s="3" t="s">
        <v>36</v>
      </c>
    </row>
    <row r="208">
      <c r="A208" s="3" t="s">
        <v>22</v>
      </c>
      <c r="B208" s="3" t="s">
        <v>32</v>
      </c>
      <c r="C208" s="3" t="s">
        <v>34</v>
      </c>
    </row>
    <row r="209">
      <c r="A209" s="3" t="s">
        <v>22</v>
      </c>
      <c r="B209" s="3" t="s">
        <v>27</v>
      </c>
      <c r="C209" s="3" t="s">
        <v>28</v>
      </c>
    </row>
    <row r="210">
      <c r="A210" s="3" t="s">
        <v>22</v>
      </c>
      <c r="B210" s="3" t="s">
        <v>25</v>
      </c>
      <c r="C210" s="3" t="s">
        <v>26</v>
      </c>
    </row>
    <row r="211">
      <c r="A211" s="3" t="s">
        <v>22</v>
      </c>
      <c r="B211" s="3" t="s">
        <v>35</v>
      </c>
      <c r="C211" s="3" t="s">
        <v>36</v>
      </c>
    </row>
    <row r="212">
      <c r="A212" s="3" t="s">
        <v>22</v>
      </c>
      <c r="B212" s="3" t="s">
        <v>25</v>
      </c>
      <c r="C212" s="3" t="s">
        <v>26</v>
      </c>
    </row>
    <row r="213">
      <c r="A213" s="3" t="s">
        <v>22</v>
      </c>
      <c r="B213" s="3" t="s">
        <v>23</v>
      </c>
      <c r="C213" s="3" t="s">
        <v>24</v>
      </c>
    </row>
    <row r="214">
      <c r="A214" s="3" t="s">
        <v>38</v>
      </c>
      <c r="B214" s="3" t="s">
        <v>39</v>
      </c>
      <c r="C214" s="3" t="s">
        <v>40</v>
      </c>
    </row>
    <row r="215">
      <c r="A215" s="3" t="s">
        <v>38</v>
      </c>
      <c r="B215" s="3" t="s">
        <v>41</v>
      </c>
      <c r="C215" s="3" t="s">
        <v>42</v>
      </c>
    </row>
    <row r="216">
      <c r="A216" s="3" t="s">
        <v>38</v>
      </c>
      <c r="B216" s="3" t="s">
        <v>43</v>
      </c>
      <c r="C216" s="3" t="s">
        <v>44</v>
      </c>
    </row>
    <row r="217">
      <c r="A217" s="3" t="s">
        <v>38</v>
      </c>
      <c r="B217" s="3" t="s">
        <v>43</v>
      </c>
      <c r="C217" s="3" t="s">
        <v>45</v>
      </c>
    </row>
    <row r="218">
      <c r="A218" s="3" t="s">
        <v>38</v>
      </c>
      <c r="B218" s="3" t="s">
        <v>43</v>
      </c>
      <c r="C218" s="3" t="s">
        <v>46</v>
      </c>
    </row>
    <row r="219">
      <c r="A219" s="3" t="s">
        <v>38</v>
      </c>
      <c r="B219" s="3" t="s">
        <v>43</v>
      </c>
      <c r="C219" s="3" t="s">
        <v>47</v>
      </c>
    </row>
    <row r="220">
      <c r="A220" s="3" t="s">
        <v>38</v>
      </c>
      <c r="B220" s="3" t="s">
        <v>43</v>
      </c>
      <c r="C220" s="3" t="s">
        <v>46</v>
      </c>
    </row>
    <row r="221">
      <c r="A221" s="3" t="s">
        <v>38</v>
      </c>
      <c r="B221" s="3" t="s">
        <v>43</v>
      </c>
      <c r="C221" s="3" t="s">
        <v>44</v>
      </c>
    </row>
    <row r="222">
      <c r="A222" s="3" t="s">
        <v>38</v>
      </c>
      <c r="B222" s="3" t="s">
        <v>43</v>
      </c>
      <c r="C222" s="3" t="s">
        <v>45</v>
      </c>
    </row>
    <row r="223">
      <c r="A223" s="3" t="s">
        <v>38</v>
      </c>
      <c r="B223" s="3" t="s">
        <v>48</v>
      </c>
      <c r="C223" s="3" t="s">
        <v>49</v>
      </c>
    </row>
    <row r="224">
      <c r="A224" s="3" t="s">
        <v>38</v>
      </c>
      <c r="B224" s="3" t="s">
        <v>48</v>
      </c>
      <c r="C224" s="3" t="s">
        <v>50</v>
      </c>
    </row>
    <row r="225">
      <c r="A225" s="3" t="s">
        <v>38</v>
      </c>
      <c r="B225" s="3" t="s">
        <v>48</v>
      </c>
      <c r="C225" s="3" t="s">
        <v>49</v>
      </c>
    </row>
    <row r="226">
      <c r="A226" s="3" t="s">
        <v>38</v>
      </c>
      <c r="B226" s="3" t="s">
        <v>48</v>
      </c>
      <c r="C226" s="3" t="s">
        <v>49</v>
      </c>
    </row>
    <row r="227">
      <c r="A227" s="3" t="s">
        <v>38</v>
      </c>
      <c r="B227" s="3" t="s">
        <v>48</v>
      </c>
      <c r="C227" s="3" t="s">
        <v>49</v>
      </c>
    </row>
    <row r="228">
      <c r="A228" s="3" t="s">
        <v>38</v>
      </c>
      <c r="B228" s="3" t="s">
        <v>43</v>
      </c>
      <c r="C228" s="3" t="s">
        <v>45</v>
      </c>
    </row>
    <row r="229">
      <c r="A229" s="3" t="s">
        <v>38</v>
      </c>
      <c r="B229" s="3" t="s">
        <v>43</v>
      </c>
      <c r="C229" s="3" t="s">
        <v>45</v>
      </c>
    </row>
    <row r="230">
      <c r="A230" s="3" t="s">
        <v>38</v>
      </c>
      <c r="B230" s="3" t="s">
        <v>48</v>
      </c>
      <c r="C230" s="3" t="s">
        <v>50</v>
      </c>
    </row>
    <row r="231">
      <c r="A231" s="3" t="s">
        <v>38</v>
      </c>
      <c r="B231" s="3" t="s">
        <v>51</v>
      </c>
      <c r="C231" s="3" t="s">
        <v>52</v>
      </c>
    </row>
    <row r="232">
      <c r="A232" s="3" t="s">
        <v>38</v>
      </c>
      <c r="B232" s="3" t="s">
        <v>48</v>
      </c>
      <c r="C232" s="3" t="s">
        <v>53</v>
      </c>
    </row>
    <row r="233">
      <c r="A233" s="3" t="s">
        <v>38</v>
      </c>
      <c r="B233" s="3" t="s">
        <v>48</v>
      </c>
      <c r="C233" s="3" t="s">
        <v>49</v>
      </c>
    </row>
    <row r="234">
      <c r="A234" s="3" t="s">
        <v>38</v>
      </c>
      <c r="B234" s="3" t="s">
        <v>48</v>
      </c>
      <c r="C234" s="3" t="s">
        <v>54</v>
      </c>
    </row>
    <row r="235">
      <c r="A235" s="3" t="s">
        <v>38</v>
      </c>
      <c r="B235" s="3" t="s">
        <v>43</v>
      </c>
      <c r="C235" s="3" t="s">
        <v>45</v>
      </c>
    </row>
    <row r="236">
      <c r="A236" s="3" t="s">
        <v>38</v>
      </c>
      <c r="B236" s="3" t="s">
        <v>48</v>
      </c>
      <c r="C236" s="3" t="s">
        <v>53</v>
      </c>
    </row>
    <row r="237">
      <c r="A237" s="3" t="s">
        <v>38</v>
      </c>
      <c r="B237" s="3" t="s">
        <v>48</v>
      </c>
      <c r="C237" s="3" t="s">
        <v>49</v>
      </c>
    </row>
    <row r="238">
      <c r="A238" s="3" t="s">
        <v>38</v>
      </c>
      <c r="B238" s="3" t="s">
        <v>48</v>
      </c>
      <c r="C238" s="3" t="s">
        <v>49</v>
      </c>
    </row>
    <row r="239">
      <c r="A239" s="3" t="s">
        <v>38</v>
      </c>
      <c r="B239" s="3" t="s">
        <v>39</v>
      </c>
      <c r="C239" s="3" t="s">
        <v>55</v>
      </c>
    </row>
    <row r="240">
      <c r="A240" s="3" t="s">
        <v>38</v>
      </c>
      <c r="B240" s="3" t="s">
        <v>39</v>
      </c>
      <c r="C240" s="3" t="s">
        <v>56</v>
      </c>
    </row>
    <row r="241">
      <c r="A241" s="3" t="s">
        <v>38</v>
      </c>
      <c r="B241" s="3" t="s">
        <v>48</v>
      </c>
      <c r="C241" s="3" t="s">
        <v>50</v>
      </c>
    </row>
    <row r="242">
      <c r="A242" s="3" t="s">
        <v>38</v>
      </c>
      <c r="B242" s="3" t="s">
        <v>48</v>
      </c>
      <c r="C242" s="3" t="s">
        <v>54</v>
      </c>
    </row>
    <row r="243">
      <c r="A243" s="3" t="s">
        <v>38</v>
      </c>
      <c r="B243" s="3" t="s">
        <v>39</v>
      </c>
      <c r="C243" s="3" t="s">
        <v>55</v>
      </c>
    </row>
    <row r="244">
      <c r="A244" s="3" t="s">
        <v>38</v>
      </c>
      <c r="B244" s="3" t="s">
        <v>43</v>
      </c>
      <c r="C244" s="3" t="s">
        <v>45</v>
      </c>
    </row>
    <row r="245">
      <c r="A245" s="3" t="s">
        <v>38</v>
      </c>
      <c r="B245" s="3" t="s">
        <v>48</v>
      </c>
      <c r="C245" s="3" t="s">
        <v>53</v>
      </c>
    </row>
    <row r="246">
      <c r="A246" s="3" t="s">
        <v>38</v>
      </c>
      <c r="B246" s="3" t="s">
        <v>51</v>
      </c>
      <c r="C246" s="3" t="s">
        <v>57</v>
      </c>
    </row>
    <row r="247">
      <c r="A247" s="3" t="s">
        <v>38</v>
      </c>
      <c r="B247" s="3" t="s">
        <v>51</v>
      </c>
      <c r="C247" s="3" t="s">
        <v>57</v>
      </c>
    </row>
    <row r="248">
      <c r="A248" s="3" t="s">
        <v>38</v>
      </c>
      <c r="B248" s="3" t="s">
        <v>39</v>
      </c>
      <c r="C248" s="3" t="s">
        <v>56</v>
      </c>
    </row>
    <row r="249">
      <c r="A249" s="3" t="s">
        <v>38</v>
      </c>
      <c r="B249" s="3" t="s">
        <v>39</v>
      </c>
      <c r="C249" s="3" t="s">
        <v>56</v>
      </c>
    </row>
    <row r="250">
      <c r="A250" s="3" t="s">
        <v>38</v>
      </c>
      <c r="B250" s="3" t="s">
        <v>39</v>
      </c>
      <c r="C250" s="3" t="s">
        <v>56</v>
      </c>
    </row>
    <row r="251">
      <c r="A251" s="3" t="s">
        <v>38</v>
      </c>
      <c r="B251" s="3" t="s">
        <v>48</v>
      </c>
      <c r="C251" s="3" t="s">
        <v>53</v>
      </c>
    </row>
    <row r="252">
      <c r="A252" s="3" t="s">
        <v>38</v>
      </c>
      <c r="B252" s="3" t="s">
        <v>51</v>
      </c>
      <c r="C252" s="3" t="s">
        <v>58</v>
      </c>
    </row>
    <row r="253">
      <c r="A253" s="3" t="s">
        <v>38</v>
      </c>
      <c r="B253" s="3" t="s">
        <v>48</v>
      </c>
      <c r="C253" s="3" t="s">
        <v>49</v>
      </c>
    </row>
    <row r="254">
      <c r="A254" s="3" t="s">
        <v>38</v>
      </c>
      <c r="B254" s="3" t="s">
        <v>48</v>
      </c>
      <c r="C254" s="3" t="s">
        <v>54</v>
      </c>
    </row>
    <row r="255">
      <c r="A255" s="3" t="s">
        <v>38</v>
      </c>
      <c r="B255" s="3" t="s">
        <v>43</v>
      </c>
      <c r="C255" s="3" t="s">
        <v>46</v>
      </c>
    </row>
    <row r="256">
      <c r="A256" s="3" t="s">
        <v>38</v>
      </c>
      <c r="B256" s="3" t="s">
        <v>43</v>
      </c>
      <c r="C256" s="3" t="s">
        <v>45</v>
      </c>
    </row>
    <row r="257">
      <c r="A257" s="3" t="s">
        <v>38</v>
      </c>
      <c r="B257" s="3" t="s">
        <v>43</v>
      </c>
      <c r="C257" s="3" t="s">
        <v>46</v>
      </c>
    </row>
    <row r="258">
      <c r="A258" s="3" t="s">
        <v>38</v>
      </c>
      <c r="B258" s="3" t="s">
        <v>51</v>
      </c>
      <c r="C258" s="3" t="s">
        <v>59</v>
      </c>
    </row>
    <row r="259">
      <c r="A259" s="3" t="s">
        <v>38</v>
      </c>
      <c r="B259" s="3" t="s">
        <v>51</v>
      </c>
      <c r="C259" s="3" t="s">
        <v>52</v>
      </c>
    </row>
    <row r="260">
      <c r="A260" s="3" t="s">
        <v>38</v>
      </c>
      <c r="B260" s="3" t="s">
        <v>51</v>
      </c>
      <c r="C260" s="3" t="s">
        <v>60</v>
      </c>
    </row>
    <row r="261">
      <c r="A261" s="3" t="s">
        <v>38</v>
      </c>
      <c r="B261" s="3" t="s">
        <v>51</v>
      </c>
      <c r="C261" s="3" t="s">
        <v>57</v>
      </c>
    </row>
    <row r="262">
      <c r="A262" s="3" t="s">
        <v>38</v>
      </c>
      <c r="B262" s="3" t="s">
        <v>51</v>
      </c>
      <c r="C262" s="3" t="s">
        <v>61</v>
      </c>
    </row>
    <row r="263">
      <c r="A263" s="3" t="s">
        <v>38</v>
      </c>
      <c r="B263" s="3" t="s">
        <v>51</v>
      </c>
      <c r="C263" s="3" t="s">
        <v>58</v>
      </c>
    </row>
    <row r="264">
      <c r="A264" s="3" t="s">
        <v>38</v>
      </c>
      <c r="B264" s="3" t="s">
        <v>51</v>
      </c>
      <c r="C264" s="3" t="s">
        <v>62</v>
      </c>
    </row>
    <row r="265">
      <c r="A265" s="3" t="s">
        <v>38</v>
      </c>
      <c r="B265" s="3" t="s">
        <v>48</v>
      </c>
      <c r="C265" s="3" t="s">
        <v>54</v>
      </c>
    </row>
    <row r="266">
      <c r="A266" s="3" t="s">
        <v>38</v>
      </c>
      <c r="B266" s="3" t="s">
        <v>48</v>
      </c>
      <c r="C266" s="3" t="s">
        <v>49</v>
      </c>
    </row>
    <row r="267">
      <c r="A267" s="3" t="s">
        <v>38</v>
      </c>
      <c r="B267" s="3" t="s">
        <v>39</v>
      </c>
      <c r="C267" s="3" t="s">
        <v>55</v>
      </c>
    </row>
    <row r="268">
      <c r="A268" s="3" t="s">
        <v>38</v>
      </c>
      <c r="B268" s="3" t="s">
        <v>39</v>
      </c>
      <c r="C268" s="3" t="s">
        <v>56</v>
      </c>
    </row>
    <row r="269">
      <c r="A269" s="3" t="s">
        <v>38</v>
      </c>
      <c r="B269" s="3" t="s">
        <v>43</v>
      </c>
      <c r="C269" s="3" t="s">
        <v>63</v>
      </c>
    </row>
    <row r="270">
      <c r="A270" s="3" t="s">
        <v>38</v>
      </c>
      <c r="B270" s="3" t="s">
        <v>43</v>
      </c>
      <c r="C270" s="3" t="s">
        <v>45</v>
      </c>
    </row>
    <row r="271">
      <c r="A271" s="3" t="s">
        <v>38</v>
      </c>
      <c r="B271" s="3" t="s">
        <v>43</v>
      </c>
      <c r="C271" s="3" t="s">
        <v>46</v>
      </c>
    </row>
    <row r="272">
      <c r="A272" s="3" t="s">
        <v>38</v>
      </c>
      <c r="B272" s="3" t="s">
        <v>43</v>
      </c>
      <c r="C272" s="3" t="s">
        <v>47</v>
      </c>
    </row>
    <row r="273">
      <c r="A273" s="3" t="s">
        <v>38</v>
      </c>
      <c r="B273" s="3" t="s">
        <v>39</v>
      </c>
      <c r="C273" s="3" t="s">
        <v>55</v>
      </c>
    </row>
    <row r="274">
      <c r="A274" s="3" t="s">
        <v>38</v>
      </c>
      <c r="B274" s="3" t="s">
        <v>48</v>
      </c>
      <c r="C274" s="3" t="s">
        <v>49</v>
      </c>
    </row>
    <row r="275">
      <c r="A275" s="3" t="s">
        <v>38</v>
      </c>
      <c r="B275" s="3" t="s">
        <v>51</v>
      </c>
      <c r="C275" s="3" t="s">
        <v>57</v>
      </c>
    </row>
    <row r="276">
      <c r="A276" s="3" t="s">
        <v>38</v>
      </c>
      <c r="B276" s="3" t="s">
        <v>48</v>
      </c>
      <c r="C276" s="3" t="s">
        <v>49</v>
      </c>
    </row>
    <row r="277">
      <c r="A277" s="3" t="s">
        <v>38</v>
      </c>
      <c r="B277" s="3" t="s">
        <v>48</v>
      </c>
      <c r="C277" s="3" t="s">
        <v>49</v>
      </c>
    </row>
    <row r="278">
      <c r="A278" s="3" t="s">
        <v>38</v>
      </c>
      <c r="B278" s="3" t="s">
        <v>43</v>
      </c>
      <c r="C278" s="3" t="s">
        <v>46</v>
      </c>
    </row>
    <row r="279">
      <c r="A279" s="3" t="s">
        <v>38</v>
      </c>
      <c r="B279" s="3" t="s">
        <v>48</v>
      </c>
      <c r="C279" s="3" t="s">
        <v>49</v>
      </c>
    </row>
    <row r="280">
      <c r="A280" s="3" t="s">
        <v>38</v>
      </c>
      <c r="B280" s="3" t="s">
        <v>39</v>
      </c>
      <c r="C280" s="3" t="s">
        <v>55</v>
      </c>
    </row>
    <row r="281">
      <c r="A281" s="3" t="s">
        <v>38</v>
      </c>
      <c r="B281" s="3" t="s">
        <v>51</v>
      </c>
      <c r="C281" s="3" t="s">
        <v>59</v>
      </c>
    </row>
    <row r="282">
      <c r="A282" s="3" t="s">
        <v>38</v>
      </c>
      <c r="B282" s="3" t="s">
        <v>43</v>
      </c>
      <c r="C282" s="3" t="s">
        <v>63</v>
      </c>
    </row>
    <row r="283">
      <c r="A283" s="3" t="s">
        <v>38</v>
      </c>
      <c r="B283" s="3" t="s">
        <v>51</v>
      </c>
      <c r="C283" s="3" t="s">
        <v>64</v>
      </c>
    </row>
    <row r="284">
      <c r="A284" s="3" t="s">
        <v>38</v>
      </c>
      <c r="B284" s="3" t="s">
        <v>51</v>
      </c>
      <c r="C284" s="3" t="s">
        <v>61</v>
      </c>
    </row>
    <row r="285">
      <c r="A285" s="3" t="s">
        <v>38</v>
      </c>
      <c r="B285" s="3" t="s">
        <v>39</v>
      </c>
      <c r="C285" s="3" t="s">
        <v>55</v>
      </c>
    </row>
    <row r="286">
      <c r="A286" s="3" t="s">
        <v>38</v>
      </c>
      <c r="B286" s="3" t="s">
        <v>39</v>
      </c>
      <c r="C286" s="3" t="s">
        <v>65</v>
      </c>
    </row>
    <row r="287">
      <c r="A287" s="3" t="s">
        <v>38</v>
      </c>
      <c r="B287" s="3" t="s">
        <v>39</v>
      </c>
      <c r="C287" s="3" t="s">
        <v>56</v>
      </c>
    </row>
    <row r="288">
      <c r="A288" s="3" t="s">
        <v>38</v>
      </c>
      <c r="B288" s="3" t="s">
        <v>39</v>
      </c>
      <c r="C288" s="3" t="s">
        <v>55</v>
      </c>
    </row>
    <row r="289">
      <c r="A289" s="3" t="s">
        <v>38</v>
      </c>
      <c r="B289" s="3" t="s">
        <v>39</v>
      </c>
      <c r="C289" s="3" t="s">
        <v>65</v>
      </c>
    </row>
    <row r="290">
      <c r="A290" s="3" t="s">
        <v>38</v>
      </c>
      <c r="B290" s="3" t="s">
        <v>43</v>
      </c>
      <c r="C290" s="3" t="s">
        <v>63</v>
      </c>
    </row>
    <row r="291">
      <c r="A291" s="3" t="s">
        <v>38</v>
      </c>
      <c r="B291" s="3" t="s">
        <v>51</v>
      </c>
      <c r="C291" s="3" t="s">
        <v>52</v>
      </c>
    </row>
    <row r="292">
      <c r="A292" s="3" t="s">
        <v>38</v>
      </c>
      <c r="B292" s="3" t="s">
        <v>39</v>
      </c>
      <c r="C292" s="3" t="s">
        <v>65</v>
      </c>
    </row>
    <row r="293">
      <c r="A293" s="3" t="s">
        <v>38</v>
      </c>
      <c r="B293" s="3" t="s">
        <v>51</v>
      </c>
      <c r="C293" s="3" t="s">
        <v>64</v>
      </c>
    </row>
    <row r="294">
      <c r="A294" s="3" t="s">
        <v>38</v>
      </c>
      <c r="B294" s="3" t="s">
        <v>51</v>
      </c>
      <c r="C294" s="3" t="s">
        <v>57</v>
      </c>
    </row>
    <row r="295">
      <c r="A295" s="3" t="s">
        <v>38</v>
      </c>
      <c r="B295" s="3" t="s">
        <v>51</v>
      </c>
      <c r="C295" s="3" t="s">
        <v>58</v>
      </c>
    </row>
    <row r="296">
      <c r="A296" s="3" t="s">
        <v>38</v>
      </c>
      <c r="B296" s="3" t="s">
        <v>51</v>
      </c>
      <c r="C296" s="3" t="s">
        <v>61</v>
      </c>
    </row>
    <row r="297">
      <c r="A297" s="3" t="s">
        <v>38</v>
      </c>
      <c r="B297" s="3" t="s">
        <v>51</v>
      </c>
      <c r="C297" s="3" t="s">
        <v>58</v>
      </c>
    </row>
    <row r="298">
      <c r="A298" s="3" t="s">
        <v>38</v>
      </c>
      <c r="B298" s="3" t="s">
        <v>51</v>
      </c>
      <c r="C298" s="3" t="s">
        <v>58</v>
      </c>
    </row>
    <row r="299">
      <c r="A299" s="3" t="s">
        <v>38</v>
      </c>
      <c r="B299" s="3" t="s">
        <v>43</v>
      </c>
      <c r="C299" s="3" t="s">
        <v>45</v>
      </c>
    </row>
    <row r="300">
      <c r="A300" s="3" t="s">
        <v>38</v>
      </c>
      <c r="B300" s="3" t="s">
        <v>51</v>
      </c>
      <c r="C300" s="3" t="s">
        <v>61</v>
      </c>
    </row>
    <row r="301">
      <c r="A301" s="3" t="s">
        <v>38</v>
      </c>
      <c r="B301" s="3" t="s">
        <v>51</v>
      </c>
      <c r="C301" s="3" t="s">
        <v>62</v>
      </c>
    </row>
    <row r="302">
      <c r="A302" s="3" t="s">
        <v>38</v>
      </c>
      <c r="B302" s="3" t="s">
        <v>43</v>
      </c>
      <c r="C302" s="3" t="s">
        <v>45</v>
      </c>
    </row>
    <row r="303">
      <c r="A303" s="3" t="s">
        <v>38</v>
      </c>
      <c r="B303" s="3" t="s">
        <v>43</v>
      </c>
      <c r="C303" s="3" t="s">
        <v>63</v>
      </c>
    </row>
    <row r="304">
      <c r="A304" s="3" t="s">
        <v>38</v>
      </c>
      <c r="B304" s="3" t="s">
        <v>48</v>
      </c>
      <c r="C304" s="3" t="s">
        <v>53</v>
      </c>
    </row>
    <row r="305">
      <c r="A305" s="3" t="s">
        <v>38</v>
      </c>
      <c r="B305" s="3" t="s">
        <v>51</v>
      </c>
      <c r="C305" s="3" t="s">
        <v>52</v>
      </c>
    </row>
    <row r="306">
      <c r="A306" s="3" t="s">
        <v>38</v>
      </c>
      <c r="B306" s="3" t="s">
        <v>51</v>
      </c>
      <c r="C306" s="3" t="s">
        <v>57</v>
      </c>
    </row>
    <row r="307">
      <c r="A307" s="3" t="s">
        <v>38</v>
      </c>
      <c r="B307" s="3" t="s">
        <v>39</v>
      </c>
      <c r="C307" s="3" t="s">
        <v>56</v>
      </c>
    </row>
    <row r="308">
      <c r="A308" s="3" t="s">
        <v>38</v>
      </c>
      <c r="B308" s="3" t="s">
        <v>43</v>
      </c>
      <c r="C308" s="3" t="s">
        <v>46</v>
      </c>
    </row>
    <row r="309">
      <c r="A309" s="3" t="s">
        <v>38</v>
      </c>
      <c r="B309" s="3" t="s">
        <v>43</v>
      </c>
      <c r="C309" s="3" t="s">
        <v>46</v>
      </c>
    </row>
    <row r="310">
      <c r="A310" s="3" t="s">
        <v>38</v>
      </c>
      <c r="B310" s="3" t="s">
        <v>51</v>
      </c>
      <c r="C310" s="3" t="s">
        <v>59</v>
      </c>
    </row>
    <row r="311">
      <c r="A311" s="3" t="s">
        <v>38</v>
      </c>
      <c r="B311" s="3" t="s">
        <v>51</v>
      </c>
      <c r="C311" s="3" t="s">
        <v>52</v>
      </c>
    </row>
    <row r="312">
      <c r="A312" s="3" t="s">
        <v>38</v>
      </c>
      <c r="B312" s="3" t="s">
        <v>51</v>
      </c>
      <c r="C312" s="3" t="s">
        <v>52</v>
      </c>
    </row>
    <row r="313">
      <c r="A313" s="3" t="s">
        <v>38</v>
      </c>
      <c r="B313" s="3" t="s">
        <v>51</v>
      </c>
      <c r="C313" s="3" t="s">
        <v>60</v>
      </c>
    </row>
    <row r="314">
      <c r="A314" s="3" t="s">
        <v>38</v>
      </c>
      <c r="B314" s="3" t="s">
        <v>51</v>
      </c>
      <c r="C314" s="3" t="s">
        <v>57</v>
      </c>
    </row>
    <row r="315">
      <c r="A315" s="3" t="s">
        <v>38</v>
      </c>
      <c r="B315" s="3" t="s">
        <v>51</v>
      </c>
      <c r="C315" s="3" t="s">
        <v>61</v>
      </c>
    </row>
    <row r="316">
      <c r="A316" s="3" t="s">
        <v>38</v>
      </c>
      <c r="B316" s="3" t="s">
        <v>51</v>
      </c>
      <c r="C316" s="3" t="s">
        <v>58</v>
      </c>
    </row>
    <row r="317">
      <c r="A317" s="3" t="s">
        <v>38</v>
      </c>
      <c r="B317" s="3" t="s">
        <v>51</v>
      </c>
      <c r="C317" s="3" t="s">
        <v>62</v>
      </c>
    </row>
    <row r="318">
      <c r="A318" s="3" t="s">
        <v>38</v>
      </c>
      <c r="B318" s="3" t="s">
        <v>48</v>
      </c>
      <c r="C318" s="3" t="s">
        <v>54</v>
      </c>
    </row>
    <row r="319">
      <c r="A319" s="3" t="s">
        <v>38</v>
      </c>
      <c r="B319" s="3" t="s">
        <v>48</v>
      </c>
      <c r="C319" s="3" t="s">
        <v>49</v>
      </c>
    </row>
    <row r="320">
      <c r="A320" s="3" t="s">
        <v>38</v>
      </c>
      <c r="B320" s="3" t="s">
        <v>39</v>
      </c>
      <c r="C320" s="3" t="s">
        <v>55</v>
      </c>
    </row>
    <row r="321">
      <c r="A321" s="3" t="s">
        <v>38</v>
      </c>
      <c r="B321" s="3" t="s">
        <v>39</v>
      </c>
      <c r="C321" s="3" t="s">
        <v>56</v>
      </c>
    </row>
    <row r="322">
      <c r="A322" s="3" t="s">
        <v>38</v>
      </c>
      <c r="B322" s="3" t="s">
        <v>43</v>
      </c>
      <c r="C322" s="3" t="s">
        <v>63</v>
      </c>
    </row>
    <row r="323">
      <c r="A323" s="3" t="s">
        <v>38</v>
      </c>
      <c r="B323" s="3" t="s">
        <v>43</v>
      </c>
      <c r="C323" s="3" t="s">
        <v>45</v>
      </c>
    </row>
    <row r="324">
      <c r="A324" s="3" t="s">
        <v>38</v>
      </c>
      <c r="B324" s="3" t="s">
        <v>43</v>
      </c>
      <c r="C324" s="3" t="s">
        <v>46</v>
      </c>
    </row>
    <row r="325">
      <c r="A325" s="3" t="s">
        <v>38</v>
      </c>
      <c r="B325" s="3" t="s">
        <v>43</v>
      </c>
      <c r="C325" s="3" t="s">
        <v>47</v>
      </c>
    </row>
    <row r="326">
      <c r="A326" s="3" t="s">
        <v>38</v>
      </c>
      <c r="B326" s="3" t="s">
        <v>43</v>
      </c>
      <c r="C326" s="3" t="s">
        <v>45</v>
      </c>
    </row>
    <row r="327">
      <c r="A327" s="3" t="s">
        <v>38</v>
      </c>
      <c r="B327" s="3" t="s">
        <v>39</v>
      </c>
      <c r="C327" s="3" t="s">
        <v>55</v>
      </c>
    </row>
    <row r="328">
      <c r="A328" s="3" t="s">
        <v>38</v>
      </c>
      <c r="B328" s="3" t="s">
        <v>51</v>
      </c>
      <c r="C328" s="3" t="s">
        <v>57</v>
      </c>
    </row>
    <row r="329">
      <c r="A329" s="3" t="s">
        <v>38</v>
      </c>
      <c r="B329" s="3" t="s">
        <v>51</v>
      </c>
      <c r="C329" s="3" t="s">
        <v>58</v>
      </c>
    </row>
    <row r="330">
      <c r="A330" s="3" t="s">
        <v>38</v>
      </c>
      <c r="B330" s="3" t="s">
        <v>51</v>
      </c>
      <c r="C330" s="3" t="s">
        <v>57</v>
      </c>
    </row>
    <row r="331">
      <c r="A331" s="3" t="s">
        <v>38</v>
      </c>
      <c r="B331" s="3" t="s">
        <v>43</v>
      </c>
      <c r="C331" s="3" t="s">
        <v>45</v>
      </c>
    </row>
    <row r="332">
      <c r="A332" s="3" t="s">
        <v>38</v>
      </c>
      <c r="B332" s="3" t="s">
        <v>48</v>
      </c>
      <c r="C332" s="3" t="s">
        <v>50</v>
      </c>
    </row>
    <row r="333">
      <c r="A333" s="3" t="s">
        <v>38</v>
      </c>
      <c r="B333" s="3" t="s">
        <v>51</v>
      </c>
      <c r="C333" s="3" t="s">
        <v>61</v>
      </c>
    </row>
    <row r="334">
      <c r="A334" s="3" t="s">
        <v>38</v>
      </c>
      <c r="B334" s="3" t="s">
        <v>51</v>
      </c>
      <c r="C334" s="3" t="s">
        <v>58</v>
      </c>
    </row>
    <row r="335">
      <c r="A335" s="3" t="s">
        <v>38</v>
      </c>
      <c r="B335" s="3" t="s">
        <v>51</v>
      </c>
      <c r="C335" s="3" t="s">
        <v>57</v>
      </c>
    </row>
    <row r="336">
      <c r="A336" s="3" t="s">
        <v>38</v>
      </c>
      <c r="B336" s="3" t="s">
        <v>51</v>
      </c>
      <c r="C336" s="3" t="s">
        <v>58</v>
      </c>
    </row>
    <row r="337">
      <c r="A337" s="3" t="s">
        <v>38</v>
      </c>
      <c r="B337" s="3" t="s">
        <v>51</v>
      </c>
      <c r="C337" s="3" t="s">
        <v>64</v>
      </c>
    </row>
    <row r="338">
      <c r="A338" s="3" t="s">
        <v>38</v>
      </c>
      <c r="B338" s="3" t="s">
        <v>39</v>
      </c>
      <c r="C338" s="3" t="s">
        <v>56</v>
      </c>
    </row>
    <row r="339">
      <c r="A339" s="3" t="s">
        <v>38</v>
      </c>
      <c r="B339" s="3" t="s">
        <v>51</v>
      </c>
      <c r="C339" s="3" t="s">
        <v>57</v>
      </c>
    </row>
    <row r="340">
      <c r="A340" s="3" t="s">
        <v>38</v>
      </c>
      <c r="B340" s="3" t="s">
        <v>51</v>
      </c>
      <c r="C340" s="3" t="s">
        <v>57</v>
      </c>
    </row>
    <row r="341">
      <c r="A341" s="3" t="s">
        <v>38</v>
      </c>
      <c r="B341" s="3" t="s">
        <v>51</v>
      </c>
      <c r="C341" s="3" t="s">
        <v>58</v>
      </c>
    </row>
    <row r="342">
      <c r="A342" s="3" t="s">
        <v>38</v>
      </c>
      <c r="B342" s="3" t="s">
        <v>51</v>
      </c>
      <c r="C342" s="3" t="s">
        <v>58</v>
      </c>
    </row>
    <row r="343">
      <c r="A343" s="3" t="s">
        <v>38</v>
      </c>
      <c r="B343" s="3" t="s">
        <v>51</v>
      </c>
      <c r="C343" s="3" t="s">
        <v>52</v>
      </c>
    </row>
    <row r="344">
      <c r="A344" s="3" t="s">
        <v>38</v>
      </c>
      <c r="B344" s="3" t="s">
        <v>43</v>
      </c>
      <c r="C344" s="3" t="s">
        <v>45</v>
      </c>
    </row>
    <row r="345">
      <c r="A345" s="3" t="s">
        <v>38</v>
      </c>
      <c r="B345" s="3" t="s">
        <v>39</v>
      </c>
      <c r="C345" s="3" t="s">
        <v>56</v>
      </c>
    </row>
    <row r="346">
      <c r="A346" s="3" t="s">
        <v>38</v>
      </c>
      <c r="B346" s="3" t="s">
        <v>51</v>
      </c>
      <c r="C346" s="3" t="s">
        <v>52</v>
      </c>
    </row>
    <row r="347">
      <c r="A347" s="3" t="s">
        <v>38</v>
      </c>
      <c r="B347" s="3" t="s">
        <v>51</v>
      </c>
      <c r="C347" s="3" t="s">
        <v>52</v>
      </c>
    </row>
    <row r="348">
      <c r="A348" s="3" t="s">
        <v>38</v>
      </c>
      <c r="B348" s="3" t="s">
        <v>43</v>
      </c>
      <c r="C348" s="3" t="s">
        <v>45</v>
      </c>
    </row>
    <row r="349">
      <c r="A349" s="3" t="s">
        <v>38</v>
      </c>
      <c r="B349" s="3" t="s">
        <v>51</v>
      </c>
      <c r="C349" s="3" t="s">
        <v>58</v>
      </c>
    </row>
    <row r="350">
      <c r="A350" s="3" t="s">
        <v>38</v>
      </c>
      <c r="B350" s="3" t="s">
        <v>39</v>
      </c>
      <c r="C350" s="3" t="s">
        <v>65</v>
      </c>
    </row>
    <row r="351">
      <c r="A351" s="3" t="s">
        <v>38</v>
      </c>
      <c r="B351" s="3" t="s">
        <v>51</v>
      </c>
      <c r="C351" s="3" t="s">
        <v>60</v>
      </c>
    </row>
    <row r="352">
      <c r="A352" s="3" t="s">
        <v>38</v>
      </c>
      <c r="B352" s="3" t="s">
        <v>51</v>
      </c>
      <c r="C352" s="3" t="s">
        <v>52</v>
      </c>
    </row>
    <row r="353">
      <c r="A353" s="3" t="s">
        <v>38</v>
      </c>
      <c r="B353" s="3" t="s">
        <v>51</v>
      </c>
      <c r="C353" s="3" t="s">
        <v>57</v>
      </c>
    </row>
    <row r="354">
      <c r="A354" s="3" t="s">
        <v>38</v>
      </c>
      <c r="B354" s="3" t="s">
        <v>51</v>
      </c>
      <c r="C354" s="3" t="s">
        <v>61</v>
      </c>
    </row>
    <row r="355">
      <c r="A355" s="3" t="s">
        <v>38</v>
      </c>
      <c r="B355" s="3" t="s">
        <v>51</v>
      </c>
      <c r="C355" s="3" t="s">
        <v>61</v>
      </c>
    </row>
    <row r="356">
      <c r="A356" s="3" t="s">
        <v>38</v>
      </c>
      <c r="B356" s="3" t="s">
        <v>51</v>
      </c>
      <c r="C356" s="3" t="s">
        <v>57</v>
      </c>
    </row>
    <row r="357">
      <c r="A357" s="3" t="s">
        <v>38</v>
      </c>
      <c r="B357" s="3" t="s">
        <v>43</v>
      </c>
      <c r="C357" s="3" t="s">
        <v>46</v>
      </c>
    </row>
    <row r="358">
      <c r="A358" s="3" t="s">
        <v>38</v>
      </c>
      <c r="B358" s="3" t="s">
        <v>51</v>
      </c>
      <c r="C358" s="3" t="s">
        <v>64</v>
      </c>
    </row>
    <row r="359">
      <c r="A359" s="3" t="s">
        <v>38</v>
      </c>
      <c r="B359" s="3" t="s">
        <v>51</v>
      </c>
      <c r="C359" s="3" t="s">
        <v>61</v>
      </c>
    </row>
    <row r="360">
      <c r="A360" s="3" t="s">
        <v>38</v>
      </c>
      <c r="B360" s="3" t="s">
        <v>51</v>
      </c>
      <c r="C360" s="3" t="s">
        <v>57</v>
      </c>
    </row>
    <row r="361">
      <c r="A361" s="3" t="s">
        <v>38</v>
      </c>
      <c r="B361" s="3" t="s">
        <v>51</v>
      </c>
      <c r="C361" s="3" t="s">
        <v>62</v>
      </c>
    </row>
    <row r="362">
      <c r="A362" s="3" t="s">
        <v>38</v>
      </c>
      <c r="B362" s="3" t="s">
        <v>43</v>
      </c>
      <c r="C362" s="3" t="s">
        <v>45</v>
      </c>
    </row>
    <row r="363">
      <c r="A363" s="3" t="s">
        <v>38</v>
      </c>
      <c r="B363" s="3" t="s">
        <v>51</v>
      </c>
      <c r="C363" s="3" t="s">
        <v>61</v>
      </c>
    </row>
    <row r="364">
      <c r="A364" s="3" t="s">
        <v>38</v>
      </c>
      <c r="B364" s="3" t="s">
        <v>51</v>
      </c>
      <c r="C364" s="3" t="s">
        <v>61</v>
      </c>
    </row>
    <row r="365">
      <c r="A365" s="3" t="s">
        <v>38</v>
      </c>
      <c r="B365" s="3" t="s">
        <v>51</v>
      </c>
      <c r="C365" s="3" t="s">
        <v>62</v>
      </c>
    </row>
    <row r="366">
      <c r="A366" s="3" t="s">
        <v>38</v>
      </c>
      <c r="B366" s="3" t="s">
        <v>39</v>
      </c>
      <c r="C366" s="3" t="s">
        <v>55</v>
      </c>
    </row>
    <row r="367">
      <c r="A367" s="3" t="s">
        <v>38</v>
      </c>
      <c r="B367" s="3" t="s">
        <v>51</v>
      </c>
      <c r="C367" s="3" t="s">
        <v>58</v>
      </c>
    </row>
    <row r="368">
      <c r="A368" s="3" t="s">
        <v>38</v>
      </c>
      <c r="B368" s="3" t="s">
        <v>51</v>
      </c>
      <c r="C368" s="3" t="s">
        <v>58</v>
      </c>
    </row>
    <row r="369">
      <c r="A369" s="3" t="s">
        <v>38</v>
      </c>
      <c r="B369" s="3" t="s">
        <v>39</v>
      </c>
      <c r="C369" s="3" t="s">
        <v>55</v>
      </c>
    </row>
    <row r="370">
      <c r="A370" s="3" t="s">
        <v>38</v>
      </c>
      <c r="B370" s="3" t="s">
        <v>51</v>
      </c>
      <c r="C370" s="3" t="s">
        <v>62</v>
      </c>
    </row>
    <row r="371">
      <c r="A371" s="3" t="s">
        <v>38</v>
      </c>
      <c r="B371" s="3" t="s">
        <v>51</v>
      </c>
      <c r="C371" s="3" t="s">
        <v>60</v>
      </c>
    </row>
    <row r="372">
      <c r="A372" s="3" t="s">
        <v>38</v>
      </c>
      <c r="B372" s="3" t="s">
        <v>51</v>
      </c>
      <c r="C372" s="3" t="s">
        <v>61</v>
      </c>
    </row>
    <row r="373">
      <c r="A373" s="3" t="s">
        <v>38</v>
      </c>
      <c r="B373" s="3" t="s">
        <v>51</v>
      </c>
      <c r="C373" s="3" t="s">
        <v>59</v>
      </c>
    </row>
    <row r="374">
      <c r="A374" s="3" t="s">
        <v>38</v>
      </c>
      <c r="B374" s="3" t="s">
        <v>39</v>
      </c>
      <c r="C374" s="3" t="s">
        <v>65</v>
      </c>
    </row>
    <row r="375">
      <c r="A375" s="3" t="s">
        <v>38</v>
      </c>
      <c r="B375" s="3" t="s">
        <v>39</v>
      </c>
      <c r="C375" s="3" t="s">
        <v>56</v>
      </c>
    </row>
    <row r="376">
      <c r="A376" s="3" t="s">
        <v>38</v>
      </c>
      <c r="B376" s="3" t="s">
        <v>39</v>
      </c>
      <c r="C376" s="3" t="s">
        <v>55</v>
      </c>
    </row>
    <row r="377">
      <c r="A377" s="3" t="s">
        <v>38</v>
      </c>
      <c r="B377" s="3" t="s">
        <v>51</v>
      </c>
      <c r="C377" s="3" t="s">
        <v>62</v>
      </c>
    </row>
    <row r="378">
      <c r="A378" s="3" t="s">
        <v>38</v>
      </c>
      <c r="B378" s="3" t="s">
        <v>43</v>
      </c>
      <c r="C378" s="3" t="s">
        <v>45</v>
      </c>
    </row>
    <row r="379">
      <c r="A379" s="3" t="s">
        <v>38</v>
      </c>
      <c r="B379" s="3" t="s">
        <v>51</v>
      </c>
      <c r="C379" s="3" t="s">
        <v>57</v>
      </c>
    </row>
    <row r="380">
      <c r="A380" s="3" t="s">
        <v>38</v>
      </c>
      <c r="B380" s="3" t="s">
        <v>51</v>
      </c>
      <c r="C380" s="3" t="s">
        <v>62</v>
      </c>
    </row>
    <row r="381">
      <c r="A381" s="3" t="s">
        <v>38</v>
      </c>
      <c r="B381" s="3" t="s">
        <v>51</v>
      </c>
      <c r="C381" s="3" t="s">
        <v>58</v>
      </c>
    </row>
    <row r="382">
      <c r="A382" s="3" t="s">
        <v>38</v>
      </c>
      <c r="B382" s="3" t="s">
        <v>39</v>
      </c>
      <c r="C382" s="3" t="s">
        <v>65</v>
      </c>
    </row>
    <row r="383">
      <c r="A383" s="3" t="s">
        <v>38</v>
      </c>
      <c r="B383" s="3" t="s">
        <v>39</v>
      </c>
      <c r="C383" s="3" t="s">
        <v>65</v>
      </c>
    </row>
    <row r="384">
      <c r="A384" s="3" t="s">
        <v>38</v>
      </c>
      <c r="B384" s="3" t="s">
        <v>51</v>
      </c>
      <c r="C384" s="3" t="s">
        <v>58</v>
      </c>
    </row>
    <row r="385">
      <c r="A385" s="3" t="s">
        <v>38</v>
      </c>
      <c r="B385" s="3" t="s">
        <v>48</v>
      </c>
      <c r="C385" s="3" t="s">
        <v>50</v>
      </c>
    </row>
    <row r="386">
      <c r="A386" s="3" t="s">
        <v>38</v>
      </c>
      <c r="B386" s="3" t="s">
        <v>39</v>
      </c>
      <c r="C386" s="3" t="s">
        <v>65</v>
      </c>
    </row>
    <row r="387">
      <c r="A387" s="3" t="s">
        <v>38</v>
      </c>
      <c r="B387" s="3" t="s">
        <v>39</v>
      </c>
      <c r="C387" s="3" t="s">
        <v>56</v>
      </c>
    </row>
    <row r="388">
      <c r="A388" s="3" t="s">
        <v>38</v>
      </c>
      <c r="B388" s="3" t="s">
        <v>39</v>
      </c>
      <c r="C388" s="3" t="s">
        <v>65</v>
      </c>
    </row>
    <row r="389">
      <c r="A389" s="3" t="s">
        <v>38</v>
      </c>
      <c r="B389" s="3" t="s">
        <v>39</v>
      </c>
      <c r="C389" s="3" t="s">
        <v>56</v>
      </c>
    </row>
    <row r="390">
      <c r="A390" s="3" t="s">
        <v>38</v>
      </c>
      <c r="B390" s="3" t="s">
        <v>51</v>
      </c>
      <c r="C390" s="3" t="s">
        <v>58</v>
      </c>
    </row>
    <row r="391">
      <c r="A391" s="3" t="s">
        <v>38</v>
      </c>
      <c r="B391" s="3" t="s">
        <v>39</v>
      </c>
      <c r="C391" s="3" t="s">
        <v>65</v>
      </c>
    </row>
    <row r="392">
      <c r="A392" s="3" t="s">
        <v>38</v>
      </c>
      <c r="B392" s="3" t="s">
        <v>43</v>
      </c>
      <c r="C392" s="3" t="s">
        <v>45</v>
      </c>
    </row>
    <row r="393">
      <c r="A393" s="3" t="s">
        <v>38</v>
      </c>
      <c r="B393" s="3" t="s">
        <v>43</v>
      </c>
      <c r="C393" s="3" t="s">
        <v>45</v>
      </c>
    </row>
    <row r="394">
      <c r="A394" s="3" t="s">
        <v>38</v>
      </c>
      <c r="B394" s="3" t="s">
        <v>51</v>
      </c>
      <c r="C394" s="3" t="s">
        <v>59</v>
      </c>
    </row>
    <row r="395">
      <c r="A395" s="3" t="s">
        <v>38</v>
      </c>
      <c r="B395" s="3" t="s">
        <v>51</v>
      </c>
      <c r="C395" s="3" t="s">
        <v>58</v>
      </c>
    </row>
    <row r="396">
      <c r="A396" s="3" t="s">
        <v>38</v>
      </c>
      <c r="B396" s="3" t="s">
        <v>51</v>
      </c>
      <c r="C396" s="3" t="s">
        <v>61</v>
      </c>
    </row>
    <row r="397">
      <c r="A397" s="3" t="s">
        <v>38</v>
      </c>
      <c r="B397" s="3" t="s">
        <v>39</v>
      </c>
      <c r="C397" s="3" t="s">
        <v>65</v>
      </c>
    </row>
    <row r="398">
      <c r="A398" s="3" t="s">
        <v>38</v>
      </c>
      <c r="B398" s="3" t="s">
        <v>51</v>
      </c>
      <c r="C398" s="3" t="s">
        <v>59</v>
      </c>
    </row>
    <row r="399">
      <c r="A399" s="3" t="s">
        <v>38</v>
      </c>
      <c r="B399" s="3" t="s">
        <v>51</v>
      </c>
      <c r="C399" s="3" t="s">
        <v>62</v>
      </c>
    </row>
    <row r="400">
      <c r="A400" s="3" t="s">
        <v>38</v>
      </c>
      <c r="B400" s="3" t="s">
        <v>51</v>
      </c>
      <c r="C400" s="3" t="s">
        <v>64</v>
      </c>
    </row>
    <row r="401">
      <c r="A401" s="3" t="s">
        <v>38</v>
      </c>
      <c r="B401" s="3" t="s">
        <v>51</v>
      </c>
      <c r="C401" s="3" t="s">
        <v>57</v>
      </c>
    </row>
    <row r="402">
      <c r="A402" s="3" t="s">
        <v>38</v>
      </c>
      <c r="B402" s="3" t="s">
        <v>39</v>
      </c>
      <c r="C402" s="3" t="s">
        <v>65</v>
      </c>
    </row>
    <row r="403">
      <c r="A403" s="3" t="s">
        <v>38</v>
      </c>
      <c r="B403" s="3" t="s">
        <v>39</v>
      </c>
      <c r="C403" s="3" t="s">
        <v>55</v>
      </c>
    </row>
    <row r="404">
      <c r="A404" s="3" t="s">
        <v>38</v>
      </c>
      <c r="B404" s="3" t="s">
        <v>43</v>
      </c>
      <c r="C404" s="3" t="s">
        <v>44</v>
      </c>
    </row>
    <row r="405">
      <c r="A405" s="3" t="s">
        <v>38</v>
      </c>
      <c r="B405" s="3" t="s">
        <v>51</v>
      </c>
      <c r="C405" s="3" t="s">
        <v>62</v>
      </c>
    </row>
    <row r="406">
      <c r="A406" s="3" t="s">
        <v>38</v>
      </c>
      <c r="B406" s="3" t="s">
        <v>51</v>
      </c>
      <c r="C406" s="3" t="s">
        <v>58</v>
      </c>
    </row>
    <row r="407">
      <c r="A407" s="3" t="s">
        <v>38</v>
      </c>
      <c r="B407" s="3" t="s">
        <v>51</v>
      </c>
      <c r="C407" s="3" t="s">
        <v>64</v>
      </c>
    </row>
    <row r="408">
      <c r="A408" s="3" t="s">
        <v>38</v>
      </c>
      <c r="B408" s="3" t="s">
        <v>43</v>
      </c>
      <c r="C408" s="3" t="s">
        <v>45</v>
      </c>
    </row>
    <row r="409">
      <c r="A409" s="3" t="s">
        <v>38</v>
      </c>
      <c r="B409" s="3" t="s">
        <v>43</v>
      </c>
      <c r="C409" s="3" t="s">
        <v>46</v>
      </c>
    </row>
    <row r="410">
      <c r="A410" s="3" t="s">
        <v>38</v>
      </c>
      <c r="B410" s="3" t="s">
        <v>51</v>
      </c>
      <c r="C410" s="3" t="s">
        <v>58</v>
      </c>
    </row>
    <row r="411">
      <c r="A411" s="3" t="s">
        <v>38</v>
      </c>
      <c r="B411" s="3" t="s">
        <v>43</v>
      </c>
      <c r="C411" s="3" t="s">
        <v>46</v>
      </c>
    </row>
    <row r="412">
      <c r="A412" s="3" t="s">
        <v>38</v>
      </c>
      <c r="B412" s="3" t="s">
        <v>39</v>
      </c>
      <c r="C412" s="3" t="s">
        <v>56</v>
      </c>
    </row>
    <row r="413">
      <c r="A413" s="3" t="s">
        <v>38</v>
      </c>
      <c r="B413" s="3" t="s">
        <v>39</v>
      </c>
      <c r="C413" s="3" t="s">
        <v>56</v>
      </c>
    </row>
    <row r="414">
      <c r="A414" s="3" t="s">
        <v>38</v>
      </c>
      <c r="B414" s="3" t="s">
        <v>51</v>
      </c>
      <c r="C414" s="3" t="s">
        <v>57</v>
      </c>
    </row>
    <row r="415">
      <c r="A415" s="3" t="s">
        <v>38</v>
      </c>
      <c r="B415" s="3" t="s">
        <v>43</v>
      </c>
      <c r="C415" s="3" t="s">
        <v>46</v>
      </c>
    </row>
    <row r="416">
      <c r="A416" s="3" t="s">
        <v>38</v>
      </c>
      <c r="B416" s="3" t="s">
        <v>51</v>
      </c>
      <c r="C416" s="3" t="s">
        <v>57</v>
      </c>
    </row>
    <row r="417">
      <c r="A417" s="3" t="s">
        <v>38</v>
      </c>
      <c r="B417" s="3" t="s">
        <v>51</v>
      </c>
      <c r="C417" s="3" t="s">
        <v>57</v>
      </c>
    </row>
    <row r="418">
      <c r="A418" s="3" t="s">
        <v>38</v>
      </c>
      <c r="B418" s="3" t="s">
        <v>51</v>
      </c>
      <c r="C418" s="3" t="s">
        <v>58</v>
      </c>
    </row>
    <row r="419">
      <c r="A419" s="3" t="s">
        <v>38</v>
      </c>
      <c r="B419" s="3" t="s">
        <v>51</v>
      </c>
      <c r="C419" s="3" t="s">
        <v>58</v>
      </c>
    </row>
    <row r="420">
      <c r="A420" s="3" t="s">
        <v>38</v>
      </c>
      <c r="B420" s="3" t="s">
        <v>51</v>
      </c>
      <c r="C420" s="3" t="s">
        <v>62</v>
      </c>
    </row>
    <row r="421">
      <c r="A421" s="3" t="s">
        <v>38</v>
      </c>
      <c r="B421" s="3" t="s">
        <v>51</v>
      </c>
      <c r="C421" s="3" t="s">
        <v>62</v>
      </c>
    </row>
    <row r="422">
      <c r="A422" s="3" t="s">
        <v>38</v>
      </c>
      <c r="B422" s="3" t="s">
        <v>51</v>
      </c>
      <c r="C422" s="3" t="s">
        <v>62</v>
      </c>
    </row>
    <row r="423">
      <c r="A423" s="3" t="s">
        <v>38</v>
      </c>
      <c r="B423" s="3" t="s">
        <v>51</v>
      </c>
      <c r="C423" s="3" t="s">
        <v>58</v>
      </c>
    </row>
    <row r="424">
      <c r="A424" s="3" t="s">
        <v>38</v>
      </c>
      <c r="B424" s="3" t="s">
        <v>51</v>
      </c>
      <c r="C424" s="3" t="s">
        <v>58</v>
      </c>
    </row>
    <row r="425">
      <c r="A425" s="3" t="s">
        <v>38</v>
      </c>
      <c r="B425" s="3" t="s">
        <v>51</v>
      </c>
      <c r="C425" s="3" t="s">
        <v>58</v>
      </c>
    </row>
    <row r="426">
      <c r="A426" s="3" t="s">
        <v>38</v>
      </c>
      <c r="B426" s="3" t="s">
        <v>51</v>
      </c>
      <c r="C426" s="3" t="s">
        <v>58</v>
      </c>
    </row>
    <row r="427">
      <c r="A427" s="3" t="s">
        <v>38</v>
      </c>
      <c r="B427" s="3" t="s">
        <v>51</v>
      </c>
      <c r="C427" s="3" t="s">
        <v>64</v>
      </c>
    </row>
    <row r="428">
      <c r="A428" s="3" t="s">
        <v>38</v>
      </c>
      <c r="B428" s="3" t="s">
        <v>51</v>
      </c>
      <c r="C428" s="3" t="s">
        <v>58</v>
      </c>
    </row>
    <row r="429">
      <c r="A429" s="3" t="s">
        <v>38</v>
      </c>
      <c r="B429" s="3" t="s">
        <v>51</v>
      </c>
      <c r="C429" s="3" t="s">
        <v>52</v>
      </c>
    </row>
    <row r="430">
      <c r="A430" s="3" t="s">
        <v>38</v>
      </c>
      <c r="B430" s="3" t="s">
        <v>43</v>
      </c>
      <c r="C430" s="3" t="s">
        <v>46</v>
      </c>
    </row>
    <row r="431">
      <c r="A431" s="3" t="s">
        <v>38</v>
      </c>
      <c r="B431" s="3" t="s">
        <v>51</v>
      </c>
      <c r="C431" s="3" t="s">
        <v>59</v>
      </c>
    </row>
    <row r="432">
      <c r="A432" s="3" t="s">
        <v>38</v>
      </c>
      <c r="B432" s="3" t="s">
        <v>51</v>
      </c>
      <c r="C432" s="3" t="s">
        <v>52</v>
      </c>
    </row>
    <row r="433">
      <c r="A433" s="3" t="s">
        <v>38</v>
      </c>
      <c r="B433" s="3" t="s">
        <v>51</v>
      </c>
      <c r="C433" s="3" t="s">
        <v>52</v>
      </c>
    </row>
    <row r="434">
      <c r="A434" s="3" t="s">
        <v>38</v>
      </c>
      <c r="B434" s="3" t="s">
        <v>51</v>
      </c>
      <c r="C434" s="3" t="s">
        <v>60</v>
      </c>
    </row>
    <row r="435">
      <c r="A435" s="3" t="s">
        <v>38</v>
      </c>
      <c r="B435" s="3" t="s">
        <v>51</v>
      </c>
      <c r="C435" s="3" t="s">
        <v>57</v>
      </c>
    </row>
    <row r="436">
      <c r="A436" s="3" t="s">
        <v>38</v>
      </c>
      <c r="B436" s="3" t="s">
        <v>51</v>
      </c>
      <c r="C436" s="3" t="s">
        <v>61</v>
      </c>
    </row>
    <row r="437">
      <c r="A437" s="3" t="s">
        <v>38</v>
      </c>
      <c r="B437" s="3" t="s">
        <v>51</v>
      </c>
      <c r="C437" s="3" t="s">
        <v>58</v>
      </c>
    </row>
    <row r="438">
      <c r="A438" s="3" t="s">
        <v>38</v>
      </c>
      <c r="B438" s="3" t="s">
        <v>51</v>
      </c>
      <c r="C438" s="3" t="s">
        <v>62</v>
      </c>
    </row>
    <row r="439">
      <c r="A439" s="3" t="s">
        <v>38</v>
      </c>
      <c r="B439" s="3" t="s">
        <v>48</v>
      </c>
      <c r="C439" s="3" t="s">
        <v>54</v>
      </c>
    </row>
    <row r="440">
      <c r="A440" s="3" t="s">
        <v>38</v>
      </c>
      <c r="B440" s="3" t="s">
        <v>48</v>
      </c>
      <c r="C440" s="3" t="s">
        <v>49</v>
      </c>
    </row>
    <row r="441">
      <c r="A441" s="3" t="s">
        <v>38</v>
      </c>
      <c r="B441" s="3" t="s">
        <v>39</v>
      </c>
      <c r="C441" s="3" t="s">
        <v>55</v>
      </c>
    </row>
    <row r="442">
      <c r="A442" s="3" t="s">
        <v>38</v>
      </c>
      <c r="B442" s="3" t="s">
        <v>39</v>
      </c>
      <c r="C442" s="3" t="s">
        <v>56</v>
      </c>
    </row>
    <row r="443">
      <c r="A443" s="3" t="s">
        <v>38</v>
      </c>
      <c r="B443" s="3" t="s">
        <v>43</v>
      </c>
      <c r="C443" s="3" t="s">
        <v>63</v>
      </c>
    </row>
    <row r="444">
      <c r="A444" s="3" t="s">
        <v>38</v>
      </c>
      <c r="B444" s="3" t="s">
        <v>43</v>
      </c>
      <c r="C444" s="3" t="s">
        <v>45</v>
      </c>
    </row>
    <row r="445">
      <c r="A445" s="3" t="s">
        <v>38</v>
      </c>
      <c r="B445" s="3" t="s">
        <v>43</v>
      </c>
      <c r="C445" s="3" t="s">
        <v>46</v>
      </c>
    </row>
    <row r="446">
      <c r="A446" s="3" t="s">
        <v>38</v>
      </c>
      <c r="B446" s="3" t="s">
        <v>43</v>
      </c>
      <c r="C446" s="3" t="s">
        <v>47</v>
      </c>
    </row>
    <row r="447">
      <c r="A447" s="3" t="s">
        <v>38</v>
      </c>
      <c r="B447" s="3" t="s">
        <v>51</v>
      </c>
      <c r="C447" s="3" t="s">
        <v>58</v>
      </c>
    </row>
    <row r="448">
      <c r="A448" s="3" t="s">
        <v>38</v>
      </c>
      <c r="B448" s="3" t="s">
        <v>51</v>
      </c>
      <c r="C448" s="3" t="s">
        <v>58</v>
      </c>
    </row>
    <row r="449">
      <c r="A449" s="3" t="s">
        <v>38</v>
      </c>
      <c r="B449" s="3" t="s">
        <v>43</v>
      </c>
      <c r="C449" s="3" t="s">
        <v>45</v>
      </c>
    </row>
    <row r="450">
      <c r="A450" s="3" t="s">
        <v>38</v>
      </c>
      <c r="B450" s="3" t="s">
        <v>51</v>
      </c>
      <c r="C450" s="3" t="s">
        <v>61</v>
      </c>
    </row>
    <row r="451">
      <c r="A451" s="3" t="s">
        <v>38</v>
      </c>
      <c r="B451" s="3" t="s">
        <v>51</v>
      </c>
      <c r="C451" s="3" t="s">
        <v>61</v>
      </c>
    </row>
    <row r="452">
      <c r="A452" s="3" t="s">
        <v>38</v>
      </c>
      <c r="B452" s="3" t="s">
        <v>51</v>
      </c>
      <c r="C452" s="3" t="s">
        <v>61</v>
      </c>
    </row>
    <row r="453">
      <c r="A453" s="3" t="s">
        <v>38</v>
      </c>
      <c r="B453" s="3" t="s">
        <v>51</v>
      </c>
      <c r="C453" s="3" t="s">
        <v>61</v>
      </c>
    </row>
    <row r="454">
      <c r="A454" s="3" t="s">
        <v>38</v>
      </c>
      <c r="B454" s="3" t="s">
        <v>51</v>
      </c>
      <c r="C454" s="3" t="s">
        <v>61</v>
      </c>
    </row>
    <row r="455">
      <c r="A455" s="3" t="s">
        <v>38</v>
      </c>
      <c r="B455" s="3" t="s">
        <v>51</v>
      </c>
      <c r="C455" s="3" t="s">
        <v>58</v>
      </c>
    </row>
    <row r="456">
      <c r="A456" s="3" t="s">
        <v>38</v>
      </c>
      <c r="B456" s="3" t="s">
        <v>51</v>
      </c>
      <c r="C456" s="3" t="s">
        <v>61</v>
      </c>
    </row>
    <row r="457">
      <c r="A457" s="3" t="s">
        <v>38</v>
      </c>
      <c r="B457" s="3" t="s">
        <v>51</v>
      </c>
      <c r="C457" s="3" t="s">
        <v>59</v>
      </c>
    </row>
    <row r="458">
      <c r="A458" s="3" t="s">
        <v>38</v>
      </c>
      <c r="B458" s="3" t="s">
        <v>51</v>
      </c>
      <c r="C458" s="3" t="s">
        <v>52</v>
      </c>
    </row>
    <row r="459">
      <c r="A459" s="3" t="s">
        <v>38</v>
      </c>
      <c r="B459" s="3" t="s">
        <v>51</v>
      </c>
      <c r="C459" s="3" t="s">
        <v>57</v>
      </c>
    </row>
    <row r="460">
      <c r="A460" s="3" t="s">
        <v>38</v>
      </c>
      <c r="B460" s="3" t="s">
        <v>51</v>
      </c>
      <c r="C460" s="3" t="s">
        <v>61</v>
      </c>
    </row>
    <row r="461">
      <c r="A461" s="3" t="s">
        <v>38</v>
      </c>
      <c r="B461" s="3" t="s">
        <v>51</v>
      </c>
      <c r="C461" s="3" t="s">
        <v>58</v>
      </c>
    </row>
    <row r="462">
      <c r="A462" s="3" t="s">
        <v>38</v>
      </c>
      <c r="B462" s="3" t="s">
        <v>51</v>
      </c>
      <c r="C462" s="3" t="s">
        <v>64</v>
      </c>
    </row>
    <row r="463">
      <c r="A463" s="3" t="s">
        <v>38</v>
      </c>
      <c r="B463" s="3" t="s">
        <v>51</v>
      </c>
      <c r="C463" s="3" t="s">
        <v>62</v>
      </c>
    </row>
    <row r="464">
      <c r="A464" s="3" t="s">
        <v>38</v>
      </c>
      <c r="B464" s="3" t="s">
        <v>39</v>
      </c>
      <c r="C464" s="3" t="s">
        <v>65</v>
      </c>
    </row>
    <row r="465">
      <c r="A465" s="3" t="s">
        <v>38</v>
      </c>
      <c r="B465" s="3" t="s">
        <v>39</v>
      </c>
      <c r="C465" s="3" t="s">
        <v>55</v>
      </c>
    </row>
    <row r="466">
      <c r="A466" s="3" t="s">
        <v>38</v>
      </c>
      <c r="B466" s="3" t="s">
        <v>51</v>
      </c>
      <c r="C466" s="3" t="s">
        <v>58</v>
      </c>
    </row>
    <row r="467">
      <c r="A467" s="3" t="s">
        <v>38</v>
      </c>
      <c r="B467" s="3" t="s">
        <v>51</v>
      </c>
      <c r="C467" s="3" t="s">
        <v>57</v>
      </c>
    </row>
    <row r="468">
      <c r="A468" s="3" t="s">
        <v>38</v>
      </c>
      <c r="B468" s="3" t="s">
        <v>51</v>
      </c>
      <c r="C468" s="3" t="s">
        <v>58</v>
      </c>
    </row>
    <row r="469">
      <c r="A469" s="3" t="s">
        <v>38</v>
      </c>
      <c r="B469" s="3" t="s">
        <v>39</v>
      </c>
      <c r="C469" s="3" t="s">
        <v>56</v>
      </c>
    </row>
    <row r="470">
      <c r="A470" s="3" t="s">
        <v>38</v>
      </c>
      <c r="B470" s="3" t="s">
        <v>51</v>
      </c>
      <c r="C470" s="3" t="s">
        <v>61</v>
      </c>
    </row>
    <row r="471">
      <c r="A471" s="3" t="s">
        <v>38</v>
      </c>
      <c r="B471" s="3" t="s">
        <v>51</v>
      </c>
      <c r="C471" s="3" t="s">
        <v>58</v>
      </c>
    </row>
    <row r="472">
      <c r="A472" s="3" t="s">
        <v>38</v>
      </c>
      <c r="B472" s="3" t="s">
        <v>39</v>
      </c>
      <c r="C472" s="3" t="s">
        <v>65</v>
      </c>
    </row>
    <row r="473">
      <c r="A473" s="3" t="s">
        <v>38</v>
      </c>
      <c r="B473" s="3" t="s">
        <v>51</v>
      </c>
      <c r="C473" s="3" t="s">
        <v>59</v>
      </c>
    </row>
    <row r="474">
      <c r="A474" s="3" t="s">
        <v>38</v>
      </c>
      <c r="B474" s="3" t="s">
        <v>51</v>
      </c>
      <c r="C474" s="3" t="s">
        <v>52</v>
      </c>
    </row>
    <row r="475">
      <c r="A475" s="3" t="s">
        <v>38</v>
      </c>
      <c r="B475" s="3" t="s">
        <v>51</v>
      </c>
      <c r="C475" s="3" t="s">
        <v>57</v>
      </c>
    </row>
    <row r="476">
      <c r="A476" s="3" t="s">
        <v>38</v>
      </c>
      <c r="B476" s="3" t="s">
        <v>51</v>
      </c>
      <c r="C476" s="3" t="s">
        <v>61</v>
      </c>
    </row>
    <row r="477">
      <c r="A477" s="3" t="s">
        <v>38</v>
      </c>
      <c r="B477" s="3" t="s">
        <v>51</v>
      </c>
      <c r="C477" s="3" t="s">
        <v>57</v>
      </c>
    </row>
    <row r="478">
      <c r="A478" s="3" t="s">
        <v>38</v>
      </c>
      <c r="B478" s="3" t="s">
        <v>51</v>
      </c>
      <c r="C478" s="3" t="s">
        <v>58</v>
      </c>
    </row>
    <row r="479">
      <c r="A479" s="3" t="s">
        <v>38</v>
      </c>
      <c r="B479" s="3" t="s">
        <v>51</v>
      </c>
      <c r="C479" s="3" t="s">
        <v>58</v>
      </c>
    </row>
    <row r="480">
      <c r="A480" s="3" t="s">
        <v>38</v>
      </c>
      <c r="B480" s="3" t="s">
        <v>51</v>
      </c>
      <c r="C480" s="3" t="s">
        <v>60</v>
      </c>
    </row>
    <row r="481">
      <c r="A481" s="3" t="s">
        <v>66</v>
      </c>
      <c r="B481" s="3" t="s">
        <v>67</v>
      </c>
      <c r="C481" s="3" t="s">
        <v>68</v>
      </c>
    </row>
    <row r="482">
      <c r="A482" s="3" t="s">
        <v>66</v>
      </c>
      <c r="B482" s="3" t="s">
        <v>67</v>
      </c>
      <c r="C482" s="3" t="s">
        <v>68</v>
      </c>
    </row>
    <row r="483">
      <c r="A483" s="3" t="s">
        <v>66</v>
      </c>
      <c r="B483" s="3" t="s">
        <v>69</v>
      </c>
      <c r="C483" s="3" t="s">
        <v>70</v>
      </c>
    </row>
    <row r="484">
      <c r="A484" s="3" t="s">
        <v>66</v>
      </c>
      <c r="B484" s="3" t="s">
        <v>67</v>
      </c>
      <c r="C484" s="3" t="s">
        <v>68</v>
      </c>
    </row>
    <row r="485">
      <c r="A485" s="3" t="s">
        <v>71</v>
      </c>
      <c r="B485" s="3" t="s">
        <v>72</v>
      </c>
      <c r="C485" s="3" t="s">
        <v>46</v>
      </c>
    </row>
    <row r="486">
      <c r="A486" s="3" t="s">
        <v>71</v>
      </c>
      <c r="B486" s="3" t="s">
        <v>72</v>
      </c>
      <c r="C486" s="3" t="s">
        <v>46</v>
      </c>
    </row>
    <row r="487">
      <c r="A487" s="3" t="s">
        <v>71</v>
      </c>
      <c r="B487" s="3" t="s">
        <v>72</v>
      </c>
      <c r="C487" s="3" t="s">
        <v>46</v>
      </c>
    </row>
    <row r="488">
      <c r="A488" s="3" t="s">
        <v>71</v>
      </c>
      <c r="B488" s="3" t="s">
        <v>72</v>
      </c>
      <c r="C488" s="3" t="s">
        <v>73</v>
      </c>
    </row>
    <row r="489">
      <c r="A489" s="3" t="s">
        <v>71</v>
      </c>
      <c r="B489" s="3" t="s">
        <v>74</v>
      </c>
      <c r="C489" s="3" t="s">
        <v>75</v>
      </c>
    </row>
    <row r="490">
      <c r="A490" s="3" t="s">
        <v>71</v>
      </c>
      <c r="B490" s="3" t="s">
        <v>76</v>
      </c>
      <c r="C490" s="3" t="s">
        <v>77</v>
      </c>
    </row>
    <row r="491">
      <c r="A491" s="3" t="s">
        <v>71</v>
      </c>
      <c r="B491" s="3" t="s">
        <v>74</v>
      </c>
      <c r="C491" s="3" t="s">
        <v>78</v>
      </c>
    </row>
    <row r="492">
      <c r="A492" s="3" t="s">
        <v>71</v>
      </c>
      <c r="B492" s="3" t="s">
        <v>74</v>
      </c>
      <c r="C492" s="3" t="s">
        <v>75</v>
      </c>
    </row>
    <row r="493">
      <c r="A493" s="3" t="s">
        <v>71</v>
      </c>
      <c r="B493" s="3" t="s">
        <v>74</v>
      </c>
      <c r="C493" s="3" t="s">
        <v>75</v>
      </c>
    </row>
    <row r="494">
      <c r="A494" s="3" t="s">
        <v>71</v>
      </c>
      <c r="B494" s="3" t="s">
        <v>72</v>
      </c>
      <c r="C494" s="3" t="s">
        <v>46</v>
      </c>
    </row>
    <row r="495">
      <c r="A495" s="3" t="s">
        <v>71</v>
      </c>
      <c r="B495" s="3" t="s">
        <v>74</v>
      </c>
      <c r="C495" s="3" t="s">
        <v>79</v>
      </c>
    </row>
    <row r="496">
      <c r="A496" s="3" t="s">
        <v>71</v>
      </c>
      <c r="B496" s="3" t="s">
        <v>72</v>
      </c>
      <c r="C496" s="3" t="s">
        <v>73</v>
      </c>
    </row>
    <row r="497">
      <c r="A497" s="3" t="s">
        <v>71</v>
      </c>
      <c r="B497" s="3" t="s">
        <v>74</v>
      </c>
      <c r="C497" s="3" t="s">
        <v>75</v>
      </c>
    </row>
    <row r="498">
      <c r="A498" s="3" t="s">
        <v>71</v>
      </c>
      <c r="B498" s="3" t="s">
        <v>76</v>
      </c>
      <c r="C498" s="3" t="s">
        <v>77</v>
      </c>
    </row>
    <row r="499">
      <c r="A499" s="3" t="s">
        <v>71</v>
      </c>
      <c r="B499" s="3" t="s">
        <v>74</v>
      </c>
      <c r="C499" s="3" t="s">
        <v>78</v>
      </c>
    </row>
    <row r="500">
      <c r="A500" s="3" t="s">
        <v>71</v>
      </c>
      <c r="B500" s="3" t="s">
        <v>74</v>
      </c>
      <c r="C500" s="3" t="s">
        <v>75</v>
      </c>
    </row>
    <row r="501">
      <c r="A501" s="3" t="s">
        <v>71</v>
      </c>
      <c r="B501" s="3" t="s">
        <v>74</v>
      </c>
      <c r="C501" s="3" t="s">
        <v>75</v>
      </c>
    </row>
    <row r="502">
      <c r="A502" s="3" t="s">
        <v>71</v>
      </c>
      <c r="B502" s="3" t="s">
        <v>74</v>
      </c>
      <c r="C502" s="3" t="s">
        <v>80</v>
      </c>
    </row>
    <row r="503">
      <c r="A503" s="3" t="s">
        <v>71</v>
      </c>
      <c r="B503" s="3" t="s">
        <v>72</v>
      </c>
      <c r="C503" s="3" t="s">
        <v>46</v>
      </c>
    </row>
    <row r="504">
      <c r="A504" s="3" t="s">
        <v>71</v>
      </c>
      <c r="B504" s="3" t="s">
        <v>81</v>
      </c>
      <c r="C504" s="3" t="s">
        <v>82</v>
      </c>
    </row>
    <row r="505">
      <c r="A505" s="3" t="s">
        <v>71</v>
      </c>
      <c r="B505" s="3" t="s">
        <v>74</v>
      </c>
      <c r="C505" s="3" t="s">
        <v>83</v>
      </c>
    </row>
    <row r="506">
      <c r="A506" s="3" t="s">
        <v>71</v>
      </c>
      <c r="B506" s="3" t="s">
        <v>74</v>
      </c>
      <c r="C506" s="3" t="s">
        <v>83</v>
      </c>
    </row>
    <row r="507">
      <c r="A507" s="3" t="s">
        <v>71</v>
      </c>
      <c r="B507" s="3" t="s">
        <v>74</v>
      </c>
      <c r="C507" s="3" t="s">
        <v>84</v>
      </c>
    </row>
    <row r="508">
      <c r="A508" s="3" t="s">
        <v>71</v>
      </c>
      <c r="B508" s="3" t="s">
        <v>74</v>
      </c>
      <c r="C508" s="3" t="s">
        <v>83</v>
      </c>
    </row>
    <row r="509">
      <c r="A509" s="3" t="s">
        <v>71</v>
      </c>
      <c r="B509" s="3" t="s">
        <v>74</v>
      </c>
      <c r="C509" s="3" t="s">
        <v>80</v>
      </c>
    </row>
    <row r="510">
      <c r="A510" s="3" t="s">
        <v>71</v>
      </c>
      <c r="B510" s="3" t="s">
        <v>72</v>
      </c>
      <c r="C510" s="3" t="s">
        <v>73</v>
      </c>
    </row>
    <row r="511">
      <c r="A511" s="3" t="s">
        <v>71</v>
      </c>
      <c r="B511" s="3" t="s">
        <v>74</v>
      </c>
      <c r="C511" s="3" t="s">
        <v>79</v>
      </c>
    </row>
    <row r="512">
      <c r="A512" s="3" t="s">
        <v>71</v>
      </c>
      <c r="B512" s="3" t="s">
        <v>74</v>
      </c>
      <c r="C512" s="3" t="s">
        <v>83</v>
      </c>
    </row>
    <row r="513">
      <c r="A513" s="3" t="s">
        <v>71</v>
      </c>
      <c r="B513" s="3" t="s">
        <v>76</v>
      </c>
      <c r="C513" s="3" t="s">
        <v>77</v>
      </c>
    </row>
    <row r="514">
      <c r="A514" s="3" t="s">
        <v>71</v>
      </c>
      <c r="B514" s="3" t="s">
        <v>74</v>
      </c>
      <c r="C514" s="3" t="s">
        <v>80</v>
      </c>
    </row>
    <row r="515">
      <c r="A515" s="3" t="s">
        <v>71</v>
      </c>
      <c r="B515" s="3" t="s">
        <v>72</v>
      </c>
      <c r="C515" s="3" t="s">
        <v>46</v>
      </c>
    </row>
    <row r="516">
      <c r="A516" s="3" t="s">
        <v>71</v>
      </c>
      <c r="B516" s="3" t="s">
        <v>74</v>
      </c>
      <c r="C516" s="3" t="s">
        <v>83</v>
      </c>
    </row>
    <row r="517">
      <c r="A517" s="3" t="s">
        <v>71</v>
      </c>
      <c r="B517" s="3" t="s">
        <v>72</v>
      </c>
      <c r="C517" s="3" t="s">
        <v>46</v>
      </c>
    </row>
    <row r="518">
      <c r="A518" s="3" t="s">
        <v>71</v>
      </c>
      <c r="B518" s="3" t="s">
        <v>72</v>
      </c>
      <c r="C518" s="3" t="s">
        <v>73</v>
      </c>
    </row>
    <row r="519">
      <c r="A519" s="3" t="s">
        <v>71</v>
      </c>
      <c r="B519" s="3" t="s">
        <v>72</v>
      </c>
      <c r="C519" s="3" t="s">
        <v>85</v>
      </c>
    </row>
    <row r="520">
      <c r="A520" s="3" t="s">
        <v>71</v>
      </c>
      <c r="B520" s="3" t="s">
        <v>72</v>
      </c>
      <c r="C520" s="3" t="s">
        <v>85</v>
      </c>
    </row>
    <row r="521">
      <c r="A521" s="3" t="s">
        <v>71</v>
      </c>
      <c r="B521" s="3" t="s">
        <v>72</v>
      </c>
      <c r="C521" s="3" t="s">
        <v>85</v>
      </c>
    </row>
    <row r="522">
      <c r="A522" s="3" t="s">
        <v>71</v>
      </c>
      <c r="B522" s="3" t="s">
        <v>72</v>
      </c>
      <c r="C522" s="3" t="s">
        <v>85</v>
      </c>
    </row>
    <row r="523">
      <c r="A523" s="3" t="s">
        <v>71</v>
      </c>
      <c r="B523" s="3" t="s">
        <v>72</v>
      </c>
      <c r="C523" s="3" t="s">
        <v>85</v>
      </c>
    </row>
    <row r="524">
      <c r="A524" s="3" t="s">
        <v>71</v>
      </c>
      <c r="B524" s="3" t="s">
        <v>81</v>
      </c>
      <c r="C524" s="3" t="s">
        <v>82</v>
      </c>
    </row>
    <row r="525">
      <c r="A525" s="3" t="s">
        <v>71</v>
      </c>
      <c r="B525" s="3" t="s">
        <v>81</v>
      </c>
      <c r="C525" s="3" t="s">
        <v>82</v>
      </c>
    </row>
    <row r="526">
      <c r="A526" s="3" t="s">
        <v>71</v>
      </c>
      <c r="B526" s="3" t="s">
        <v>76</v>
      </c>
      <c r="C526" s="3" t="s">
        <v>77</v>
      </c>
    </row>
    <row r="527">
      <c r="A527" s="3" t="s">
        <v>71</v>
      </c>
      <c r="B527" s="3" t="s">
        <v>72</v>
      </c>
      <c r="C527" s="3" t="s">
        <v>85</v>
      </c>
    </row>
    <row r="528">
      <c r="A528" s="3" t="s">
        <v>71</v>
      </c>
      <c r="B528" s="3" t="s">
        <v>74</v>
      </c>
      <c r="C528" s="3" t="s">
        <v>78</v>
      </c>
    </row>
    <row r="529">
      <c r="A529" s="3" t="s">
        <v>71</v>
      </c>
      <c r="B529" s="3" t="s">
        <v>74</v>
      </c>
      <c r="C529" s="3" t="s">
        <v>80</v>
      </c>
    </row>
    <row r="530">
      <c r="A530" s="3" t="s">
        <v>71</v>
      </c>
      <c r="B530" s="3" t="s">
        <v>74</v>
      </c>
      <c r="C530" s="3" t="s">
        <v>75</v>
      </c>
    </row>
    <row r="531">
      <c r="A531" s="3" t="s">
        <v>71</v>
      </c>
      <c r="B531" s="3" t="s">
        <v>72</v>
      </c>
      <c r="C531" s="3" t="s">
        <v>73</v>
      </c>
    </row>
    <row r="532">
      <c r="A532" s="3" t="s">
        <v>71</v>
      </c>
      <c r="B532" s="3" t="s">
        <v>72</v>
      </c>
      <c r="C532" s="3" t="s">
        <v>73</v>
      </c>
    </row>
    <row r="533">
      <c r="A533" s="3" t="s">
        <v>71</v>
      </c>
      <c r="B533" s="3" t="s">
        <v>74</v>
      </c>
      <c r="C533" s="3" t="s">
        <v>75</v>
      </c>
    </row>
    <row r="534">
      <c r="A534" s="3" t="s">
        <v>71</v>
      </c>
      <c r="B534" s="3" t="s">
        <v>74</v>
      </c>
      <c r="C534" s="3" t="s">
        <v>75</v>
      </c>
    </row>
    <row r="535">
      <c r="A535" s="3" t="s">
        <v>71</v>
      </c>
      <c r="B535" s="3" t="s">
        <v>72</v>
      </c>
      <c r="C535" s="3" t="s">
        <v>73</v>
      </c>
    </row>
    <row r="536">
      <c r="A536" s="3" t="s">
        <v>71</v>
      </c>
      <c r="B536" s="3" t="s">
        <v>72</v>
      </c>
      <c r="C536" s="3" t="s">
        <v>46</v>
      </c>
    </row>
    <row r="537">
      <c r="A537" s="3" t="s">
        <v>71</v>
      </c>
      <c r="B537" s="3" t="s">
        <v>74</v>
      </c>
      <c r="C537" s="3" t="s">
        <v>86</v>
      </c>
    </row>
    <row r="538">
      <c r="A538" s="3" t="s">
        <v>71</v>
      </c>
      <c r="B538" s="3" t="s">
        <v>76</v>
      </c>
      <c r="C538" s="3" t="s">
        <v>77</v>
      </c>
    </row>
    <row r="539">
      <c r="A539" s="3" t="s">
        <v>71</v>
      </c>
      <c r="B539" s="3" t="s">
        <v>72</v>
      </c>
      <c r="C539" s="3" t="s">
        <v>85</v>
      </c>
    </row>
    <row r="540">
      <c r="A540" s="3" t="s">
        <v>71</v>
      </c>
      <c r="B540" s="3" t="s">
        <v>74</v>
      </c>
      <c r="C540" s="3" t="s">
        <v>75</v>
      </c>
    </row>
    <row r="541">
      <c r="A541" s="3" t="s">
        <v>71</v>
      </c>
      <c r="B541" s="3" t="s">
        <v>74</v>
      </c>
      <c r="C541" s="3" t="s">
        <v>75</v>
      </c>
    </row>
    <row r="542">
      <c r="A542" s="3" t="s">
        <v>71</v>
      </c>
      <c r="B542" s="3" t="s">
        <v>74</v>
      </c>
      <c r="C542" s="3" t="s">
        <v>75</v>
      </c>
    </row>
    <row r="543">
      <c r="A543" s="3" t="s">
        <v>71</v>
      </c>
      <c r="B543" s="3" t="s">
        <v>74</v>
      </c>
      <c r="C543" s="3" t="s">
        <v>87</v>
      </c>
    </row>
    <row r="544">
      <c r="A544" s="3" t="s">
        <v>71</v>
      </c>
      <c r="B544" s="3" t="s">
        <v>74</v>
      </c>
      <c r="C544" s="3" t="s">
        <v>78</v>
      </c>
    </row>
    <row r="545">
      <c r="A545" s="3" t="s">
        <v>71</v>
      </c>
      <c r="B545" s="3" t="s">
        <v>72</v>
      </c>
      <c r="C545" s="3" t="s">
        <v>46</v>
      </c>
    </row>
    <row r="546">
      <c r="A546" s="3" t="s">
        <v>71</v>
      </c>
      <c r="B546" s="3" t="s">
        <v>72</v>
      </c>
      <c r="C546" s="3" t="s">
        <v>73</v>
      </c>
    </row>
    <row r="547">
      <c r="A547" s="3" t="s">
        <v>71</v>
      </c>
      <c r="B547" s="3" t="s">
        <v>74</v>
      </c>
      <c r="C547" s="3" t="s">
        <v>83</v>
      </c>
    </row>
    <row r="548">
      <c r="A548" s="3" t="s">
        <v>71</v>
      </c>
      <c r="B548" s="3" t="s">
        <v>72</v>
      </c>
      <c r="C548" s="3" t="s">
        <v>73</v>
      </c>
    </row>
    <row r="549">
      <c r="A549" s="3" t="s">
        <v>71</v>
      </c>
      <c r="B549" s="3" t="s">
        <v>74</v>
      </c>
      <c r="C549" s="3" t="s">
        <v>83</v>
      </c>
    </row>
    <row r="550">
      <c r="A550" s="3" t="s">
        <v>71</v>
      </c>
      <c r="B550" s="3" t="s">
        <v>74</v>
      </c>
      <c r="C550" s="3" t="s">
        <v>87</v>
      </c>
    </row>
    <row r="551">
      <c r="A551" s="3" t="s">
        <v>71</v>
      </c>
      <c r="B551" s="3" t="s">
        <v>74</v>
      </c>
      <c r="C551" s="3" t="s">
        <v>86</v>
      </c>
    </row>
    <row r="552">
      <c r="A552" s="3" t="s">
        <v>71</v>
      </c>
      <c r="B552" s="3" t="s">
        <v>74</v>
      </c>
      <c r="C552" s="3" t="s">
        <v>80</v>
      </c>
    </row>
    <row r="553">
      <c r="A553" s="3" t="s">
        <v>71</v>
      </c>
      <c r="B553" s="3" t="s">
        <v>74</v>
      </c>
      <c r="C553" s="3" t="s">
        <v>80</v>
      </c>
    </row>
    <row r="554">
      <c r="A554" s="3" t="s">
        <v>71</v>
      </c>
      <c r="B554" s="3" t="s">
        <v>74</v>
      </c>
      <c r="C554" s="3" t="s">
        <v>84</v>
      </c>
    </row>
    <row r="555">
      <c r="A555" s="3" t="s">
        <v>71</v>
      </c>
      <c r="B555" s="3" t="s">
        <v>72</v>
      </c>
      <c r="C555" s="3" t="s">
        <v>85</v>
      </c>
    </row>
    <row r="556">
      <c r="A556" s="3" t="s">
        <v>71</v>
      </c>
      <c r="B556" s="3" t="s">
        <v>72</v>
      </c>
      <c r="C556" s="3" t="s">
        <v>73</v>
      </c>
    </row>
    <row r="557">
      <c r="A557" s="3" t="s">
        <v>71</v>
      </c>
      <c r="B557" s="3" t="s">
        <v>72</v>
      </c>
      <c r="C557" s="3" t="s">
        <v>46</v>
      </c>
    </row>
    <row r="558">
      <c r="A558" s="3" t="s">
        <v>71</v>
      </c>
      <c r="B558" s="3" t="s">
        <v>72</v>
      </c>
      <c r="C558" s="3" t="s">
        <v>73</v>
      </c>
    </row>
    <row r="559">
      <c r="A559" s="3" t="s">
        <v>71</v>
      </c>
      <c r="B559" s="3" t="s">
        <v>74</v>
      </c>
      <c r="C559" s="3" t="s">
        <v>86</v>
      </c>
    </row>
    <row r="560">
      <c r="A560" s="3" t="s">
        <v>71</v>
      </c>
      <c r="B560" s="3" t="s">
        <v>72</v>
      </c>
      <c r="C560" s="3" t="s">
        <v>46</v>
      </c>
    </row>
    <row r="561">
      <c r="A561" s="3" t="s">
        <v>71</v>
      </c>
      <c r="B561" s="3" t="s">
        <v>72</v>
      </c>
      <c r="C561" s="3" t="s">
        <v>46</v>
      </c>
    </row>
    <row r="562">
      <c r="A562" s="3" t="s">
        <v>71</v>
      </c>
      <c r="B562" s="3" t="s">
        <v>72</v>
      </c>
      <c r="C562" s="3" t="s">
        <v>73</v>
      </c>
    </row>
    <row r="563">
      <c r="A563" s="3" t="s">
        <v>71</v>
      </c>
      <c r="B563" s="3" t="s">
        <v>74</v>
      </c>
      <c r="C563" s="3" t="s">
        <v>79</v>
      </c>
    </row>
    <row r="564">
      <c r="A564" s="3" t="s">
        <v>71</v>
      </c>
      <c r="B564" s="3" t="s">
        <v>74</v>
      </c>
      <c r="C564" s="3" t="s">
        <v>86</v>
      </c>
    </row>
    <row r="565">
      <c r="A565" s="3" t="s">
        <v>71</v>
      </c>
      <c r="B565" s="3" t="s">
        <v>74</v>
      </c>
      <c r="C565" s="3" t="s">
        <v>88</v>
      </c>
    </row>
    <row r="566">
      <c r="A566" s="3" t="s">
        <v>71</v>
      </c>
      <c r="B566" s="3" t="s">
        <v>74</v>
      </c>
      <c r="C566" s="3" t="s">
        <v>75</v>
      </c>
    </row>
    <row r="567">
      <c r="A567" s="3" t="s">
        <v>71</v>
      </c>
      <c r="B567" s="3" t="s">
        <v>72</v>
      </c>
      <c r="C567" s="3" t="s">
        <v>46</v>
      </c>
    </row>
    <row r="568">
      <c r="A568" s="3" t="s">
        <v>71</v>
      </c>
      <c r="B568" s="3" t="s">
        <v>74</v>
      </c>
      <c r="C568" s="3" t="s">
        <v>80</v>
      </c>
    </row>
    <row r="569">
      <c r="A569" s="3" t="s">
        <v>71</v>
      </c>
      <c r="B569" s="3" t="s">
        <v>74</v>
      </c>
      <c r="C569" s="3" t="s">
        <v>79</v>
      </c>
    </row>
    <row r="570">
      <c r="A570" s="3" t="s">
        <v>71</v>
      </c>
      <c r="B570" s="3" t="s">
        <v>72</v>
      </c>
      <c r="C570" s="3" t="s">
        <v>73</v>
      </c>
    </row>
    <row r="571">
      <c r="A571" s="3" t="s">
        <v>71</v>
      </c>
      <c r="B571" s="3" t="s">
        <v>74</v>
      </c>
      <c r="C571" s="3" t="s">
        <v>75</v>
      </c>
    </row>
    <row r="572">
      <c r="A572" s="3" t="s">
        <v>71</v>
      </c>
      <c r="B572" s="3" t="s">
        <v>74</v>
      </c>
      <c r="C572" s="3" t="s">
        <v>75</v>
      </c>
    </row>
    <row r="573">
      <c r="A573" s="3" t="s">
        <v>71</v>
      </c>
      <c r="B573" s="3" t="s">
        <v>74</v>
      </c>
      <c r="C573" s="3" t="s">
        <v>75</v>
      </c>
    </row>
    <row r="574">
      <c r="A574" s="3" t="s">
        <v>71</v>
      </c>
      <c r="B574" s="3" t="s">
        <v>74</v>
      </c>
      <c r="C574" s="3" t="s">
        <v>87</v>
      </c>
    </row>
    <row r="575">
      <c r="A575" s="3" t="s">
        <v>71</v>
      </c>
      <c r="B575" s="3" t="s">
        <v>74</v>
      </c>
      <c r="C575" s="3" t="s">
        <v>88</v>
      </c>
    </row>
    <row r="576">
      <c r="A576" s="3" t="s">
        <v>71</v>
      </c>
      <c r="B576" s="3" t="s">
        <v>74</v>
      </c>
      <c r="C576" s="3" t="s">
        <v>75</v>
      </c>
    </row>
    <row r="577">
      <c r="A577" s="3" t="s">
        <v>71</v>
      </c>
      <c r="B577" s="3" t="s">
        <v>74</v>
      </c>
      <c r="C577" s="3" t="s">
        <v>86</v>
      </c>
    </row>
    <row r="578">
      <c r="A578" s="3" t="s">
        <v>71</v>
      </c>
      <c r="B578" s="3" t="s">
        <v>76</v>
      </c>
      <c r="C578" s="3" t="s">
        <v>77</v>
      </c>
    </row>
    <row r="579">
      <c r="A579" s="3" t="s">
        <v>71</v>
      </c>
      <c r="B579" s="3" t="s">
        <v>74</v>
      </c>
      <c r="C579" s="3" t="s">
        <v>86</v>
      </c>
    </row>
    <row r="580">
      <c r="A580" s="3" t="s">
        <v>71</v>
      </c>
      <c r="B580" s="3" t="s">
        <v>74</v>
      </c>
      <c r="C580" s="3" t="s">
        <v>75</v>
      </c>
    </row>
    <row r="581">
      <c r="A581" s="3" t="s">
        <v>71</v>
      </c>
      <c r="B581" s="3" t="s">
        <v>76</v>
      </c>
      <c r="C581" s="3" t="s">
        <v>77</v>
      </c>
    </row>
    <row r="582">
      <c r="A582" s="3" t="s">
        <v>71</v>
      </c>
      <c r="B582" s="3" t="s">
        <v>74</v>
      </c>
      <c r="C582" s="3" t="s">
        <v>83</v>
      </c>
    </row>
    <row r="583">
      <c r="A583" s="3" t="s">
        <v>71</v>
      </c>
      <c r="B583" s="3" t="s">
        <v>74</v>
      </c>
      <c r="C583" s="3" t="s">
        <v>86</v>
      </c>
    </row>
    <row r="584">
      <c r="A584" s="3" t="s">
        <v>71</v>
      </c>
      <c r="B584" s="3" t="s">
        <v>74</v>
      </c>
      <c r="C584" s="3" t="s">
        <v>88</v>
      </c>
    </row>
    <row r="585">
      <c r="A585" s="3" t="s">
        <v>71</v>
      </c>
      <c r="B585" s="3" t="s">
        <v>74</v>
      </c>
      <c r="C585" s="3" t="s">
        <v>79</v>
      </c>
    </row>
    <row r="586">
      <c r="A586" s="3" t="s">
        <v>71</v>
      </c>
      <c r="B586" s="3" t="s">
        <v>74</v>
      </c>
      <c r="C586" s="3" t="s">
        <v>75</v>
      </c>
    </row>
    <row r="587">
      <c r="A587" s="3" t="s">
        <v>71</v>
      </c>
      <c r="B587" s="3" t="s">
        <v>74</v>
      </c>
      <c r="C587" s="3" t="s">
        <v>75</v>
      </c>
    </row>
    <row r="588">
      <c r="A588" s="3" t="s">
        <v>71</v>
      </c>
      <c r="B588" s="3" t="s">
        <v>74</v>
      </c>
      <c r="C588" s="3" t="s">
        <v>80</v>
      </c>
    </row>
    <row r="589">
      <c r="A589" s="3" t="s">
        <v>71</v>
      </c>
      <c r="B589" s="3" t="s">
        <v>74</v>
      </c>
      <c r="C589" s="3" t="s">
        <v>87</v>
      </c>
    </row>
    <row r="590">
      <c r="A590" s="3" t="s">
        <v>71</v>
      </c>
      <c r="B590" s="3" t="s">
        <v>74</v>
      </c>
      <c r="C590" s="3" t="s">
        <v>75</v>
      </c>
    </row>
    <row r="591">
      <c r="A591" s="3" t="s">
        <v>71</v>
      </c>
      <c r="B591" s="3" t="s">
        <v>74</v>
      </c>
      <c r="C591" s="3" t="s">
        <v>75</v>
      </c>
    </row>
    <row r="592">
      <c r="A592" s="3" t="s">
        <v>71</v>
      </c>
      <c r="B592" s="3" t="s">
        <v>74</v>
      </c>
      <c r="C592" s="3" t="s">
        <v>75</v>
      </c>
    </row>
    <row r="593">
      <c r="A593" s="3" t="s">
        <v>71</v>
      </c>
      <c r="B593" s="3" t="s">
        <v>74</v>
      </c>
      <c r="C593" s="3" t="s">
        <v>80</v>
      </c>
    </row>
    <row r="594">
      <c r="A594" s="3" t="s">
        <v>71</v>
      </c>
      <c r="B594" s="3" t="s">
        <v>74</v>
      </c>
      <c r="C594" s="3" t="s">
        <v>75</v>
      </c>
    </row>
    <row r="595">
      <c r="A595" s="3" t="s">
        <v>71</v>
      </c>
      <c r="B595" s="3" t="s">
        <v>74</v>
      </c>
      <c r="C595" s="3" t="s">
        <v>75</v>
      </c>
    </row>
    <row r="596">
      <c r="A596" s="3" t="s">
        <v>71</v>
      </c>
      <c r="B596" s="3" t="s">
        <v>74</v>
      </c>
      <c r="C596" s="3" t="s">
        <v>75</v>
      </c>
    </row>
    <row r="597">
      <c r="A597" s="3" t="s">
        <v>71</v>
      </c>
      <c r="B597" s="3" t="s">
        <v>81</v>
      </c>
      <c r="C597" s="3" t="s">
        <v>82</v>
      </c>
    </row>
    <row r="598">
      <c r="A598" s="3" t="s">
        <v>71</v>
      </c>
      <c r="B598" s="3" t="s">
        <v>74</v>
      </c>
      <c r="C598" s="3" t="s">
        <v>80</v>
      </c>
    </row>
    <row r="599">
      <c r="A599" s="3" t="s">
        <v>71</v>
      </c>
      <c r="B599" s="3" t="s">
        <v>72</v>
      </c>
      <c r="C599" s="3" t="s">
        <v>46</v>
      </c>
    </row>
    <row r="600">
      <c r="A600" s="3" t="s">
        <v>71</v>
      </c>
      <c r="B600" s="3" t="s">
        <v>74</v>
      </c>
      <c r="C600" s="3" t="s">
        <v>87</v>
      </c>
    </row>
    <row r="601">
      <c r="A601" s="3" t="s">
        <v>71</v>
      </c>
      <c r="B601" s="3" t="s">
        <v>74</v>
      </c>
      <c r="C601" s="3" t="s">
        <v>88</v>
      </c>
    </row>
    <row r="602">
      <c r="A602" s="3" t="s">
        <v>71</v>
      </c>
      <c r="B602" s="3" t="s">
        <v>74</v>
      </c>
      <c r="C602" s="3" t="s">
        <v>79</v>
      </c>
    </row>
    <row r="603">
      <c r="A603" s="3" t="s">
        <v>71</v>
      </c>
      <c r="B603" s="3" t="s">
        <v>74</v>
      </c>
      <c r="C603" s="3" t="s">
        <v>87</v>
      </c>
    </row>
    <row r="604">
      <c r="A604" s="3" t="s">
        <v>71</v>
      </c>
      <c r="B604" s="3" t="s">
        <v>81</v>
      </c>
      <c r="C604" s="3" t="s">
        <v>82</v>
      </c>
    </row>
    <row r="605">
      <c r="A605" s="3" t="s">
        <v>71</v>
      </c>
      <c r="B605" s="3" t="s">
        <v>74</v>
      </c>
      <c r="C605" s="3" t="s">
        <v>75</v>
      </c>
    </row>
    <row r="606">
      <c r="A606" s="3" t="s">
        <v>71</v>
      </c>
      <c r="B606" s="3" t="s">
        <v>81</v>
      </c>
      <c r="C606" s="3" t="s">
        <v>82</v>
      </c>
    </row>
    <row r="607">
      <c r="A607" s="3" t="s">
        <v>71</v>
      </c>
      <c r="B607" s="3" t="s">
        <v>81</v>
      </c>
      <c r="C607" s="3" t="s">
        <v>82</v>
      </c>
    </row>
    <row r="608">
      <c r="A608" s="3" t="s">
        <v>71</v>
      </c>
      <c r="B608" s="3" t="s">
        <v>76</v>
      </c>
      <c r="C608" s="3" t="s">
        <v>77</v>
      </c>
    </row>
    <row r="609">
      <c r="A609" s="3" t="s">
        <v>71</v>
      </c>
      <c r="B609" s="3" t="s">
        <v>74</v>
      </c>
      <c r="C609" s="3" t="s">
        <v>86</v>
      </c>
    </row>
    <row r="610">
      <c r="A610" s="3" t="s">
        <v>71</v>
      </c>
      <c r="B610" s="3" t="s">
        <v>81</v>
      </c>
      <c r="C610" s="3" t="s">
        <v>82</v>
      </c>
    </row>
    <row r="611">
      <c r="A611" s="3" t="s">
        <v>71</v>
      </c>
      <c r="B611" s="3" t="s">
        <v>74</v>
      </c>
      <c r="C611" s="3" t="s">
        <v>87</v>
      </c>
    </row>
    <row r="612">
      <c r="A612" s="3" t="s">
        <v>71</v>
      </c>
      <c r="B612" s="3" t="s">
        <v>74</v>
      </c>
      <c r="C612" s="3" t="s">
        <v>87</v>
      </c>
    </row>
    <row r="613">
      <c r="A613" s="3" t="s">
        <v>71</v>
      </c>
      <c r="B613" s="3" t="s">
        <v>74</v>
      </c>
      <c r="C613" s="3" t="s">
        <v>88</v>
      </c>
    </row>
    <row r="614">
      <c r="A614" s="3" t="s">
        <v>71</v>
      </c>
      <c r="B614" s="3" t="s">
        <v>74</v>
      </c>
      <c r="C614" s="3" t="s">
        <v>75</v>
      </c>
    </row>
    <row r="615">
      <c r="A615" s="3" t="s">
        <v>71</v>
      </c>
      <c r="B615" s="3" t="s">
        <v>81</v>
      </c>
      <c r="C615" s="3" t="s">
        <v>82</v>
      </c>
    </row>
    <row r="616">
      <c r="A616" s="3" t="s">
        <v>71</v>
      </c>
      <c r="B616" s="3" t="s">
        <v>74</v>
      </c>
      <c r="C616" s="3" t="s">
        <v>80</v>
      </c>
    </row>
    <row r="617">
      <c r="A617" s="3" t="s">
        <v>71</v>
      </c>
      <c r="B617" s="3" t="s">
        <v>81</v>
      </c>
      <c r="C617" s="3" t="s">
        <v>82</v>
      </c>
    </row>
    <row r="618">
      <c r="A618" s="3" t="s">
        <v>71</v>
      </c>
      <c r="B618" s="3" t="s">
        <v>74</v>
      </c>
      <c r="C618" s="3" t="s">
        <v>80</v>
      </c>
    </row>
    <row r="619">
      <c r="A619" s="3" t="s">
        <v>71</v>
      </c>
      <c r="B619" s="3" t="s">
        <v>74</v>
      </c>
      <c r="C619" s="3" t="s">
        <v>83</v>
      </c>
    </row>
    <row r="620">
      <c r="A620" s="3" t="s">
        <v>71</v>
      </c>
      <c r="B620" s="3" t="s">
        <v>74</v>
      </c>
      <c r="C620" s="3" t="s">
        <v>80</v>
      </c>
    </row>
    <row r="621">
      <c r="A621" s="3" t="s">
        <v>71</v>
      </c>
      <c r="B621" s="3" t="s">
        <v>74</v>
      </c>
      <c r="C621" s="3" t="s">
        <v>75</v>
      </c>
    </row>
    <row r="622">
      <c r="A622" s="3" t="s">
        <v>71</v>
      </c>
      <c r="B622" s="3" t="s">
        <v>76</v>
      </c>
      <c r="C622" s="3" t="s">
        <v>77</v>
      </c>
    </row>
    <row r="623">
      <c r="A623" s="3" t="s">
        <v>71</v>
      </c>
      <c r="B623" s="3" t="s">
        <v>72</v>
      </c>
      <c r="C623" s="3" t="s">
        <v>73</v>
      </c>
    </row>
    <row r="624">
      <c r="A624" s="3" t="s">
        <v>71</v>
      </c>
      <c r="B624" s="3" t="s">
        <v>72</v>
      </c>
      <c r="C624" s="3" t="s">
        <v>85</v>
      </c>
    </row>
    <row r="625">
      <c r="A625" s="3" t="s">
        <v>71</v>
      </c>
      <c r="B625" s="3" t="s">
        <v>72</v>
      </c>
      <c r="C625" s="3" t="s">
        <v>46</v>
      </c>
    </row>
    <row r="626">
      <c r="A626" s="3" t="s">
        <v>71</v>
      </c>
      <c r="B626" s="3" t="s">
        <v>74</v>
      </c>
      <c r="C626" s="3" t="s">
        <v>78</v>
      </c>
    </row>
    <row r="627">
      <c r="A627" s="3" t="s">
        <v>71</v>
      </c>
      <c r="B627" s="3" t="s">
        <v>74</v>
      </c>
      <c r="C627" s="3" t="s">
        <v>80</v>
      </c>
    </row>
    <row r="628">
      <c r="A628" s="3" t="s">
        <v>71</v>
      </c>
      <c r="B628" s="3" t="s">
        <v>74</v>
      </c>
      <c r="C628" s="3" t="s">
        <v>87</v>
      </c>
    </row>
    <row r="629">
      <c r="A629" s="3" t="s">
        <v>71</v>
      </c>
      <c r="B629" s="3" t="s">
        <v>74</v>
      </c>
      <c r="C629" s="3" t="s">
        <v>88</v>
      </c>
    </row>
    <row r="630">
      <c r="A630" s="3" t="s">
        <v>71</v>
      </c>
      <c r="B630" s="3" t="s">
        <v>74</v>
      </c>
      <c r="C630" s="3" t="s">
        <v>86</v>
      </c>
    </row>
    <row r="631">
      <c r="A631" s="3" t="s">
        <v>71</v>
      </c>
      <c r="B631" s="3" t="s">
        <v>81</v>
      </c>
      <c r="C631" s="3" t="s">
        <v>82</v>
      </c>
    </row>
    <row r="632">
      <c r="A632" s="3" t="s">
        <v>71</v>
      </c>
      <c r="B632" s="3" t="s">
        <v>74</v>
      </c>
      <c r="C632" s="3" t="s">
        <v>80</v>
      </c>
    </row>
    <row r="633">
      <c r="A633" s="3" t="s">
        <v>71</v>
      </c>
      <c r="B633" s="3" t="s">
        <v>81</v>
      </c>
      <c r="C633" s="3" t="s">
        <v>82</v>
      </c>
    </row>
    <row r="634">
      <c r="A634" s="3" t="s">
        <v>71</v>
      </c>
      <c r="B634" s="3" t="s">
        <v>74</v>
      </c>
      <c r="C634" s="3" t="s">
        <v>80</v>
      </c>
    </row>
    <row r="635">
      <c r="A635" s="3" t="s">
        <v>71</v>
      </c>
      <c r="B635" s="3" t="s">
        <v>74</v>
      </c>
      <c r="C635" s="3" t="s">
        <v>80</v>
      </c>
    </row>
    <row r="636">
      <c r="A636" s="3" t="s">
        <v>71</v>
      </c>
      <c r="B636" s="3" t="s">
        <v>81</v>
      </c>
      <c r="C636" s="3" t="s">
        <v>82</v>
      </c>
    </row>
    <row r="637">
      <c r="A637" s="3" t="s">
        <v>71</v>
      </c>
      <c r="B637" s="3" t="s">
        <v>74</v>
      </c>
      <c r="C637" s="3" t="s">
        <v>80</v>
      </c>
    </row>
    <row r="638">
      <c r="A638" s="3" t="s">
        <v>71</v>
      </c>
      <c r="B638" s="3" t="s">
        <v>74</v>
      </c>
      <c r="C638" s="3" t="s">
        <v>86</v>
      </c>
    </row>
    <row r="639">
      <c r="A639" s="3" t="s">
        <v>71</v>
      </c>
      <c r="B639" s="3" t="s">
        <v>74</v>
      </c>
      <c r="C639" s="3" t="s">
        <v>75</v>
      </c>
    </row>
    <row r="640">
      <c r="A640" s="3" t="s">
        <v>71</v>
      </c>
      <c r="B640" s="3" t="s">
        <v>81</v>
      </c>
      <c r="C640" s="3" t="s">
        <v>82</v>
      </c>
    </row>
    <row r="641">
      <c r="A641" s="3" t="s">
        <v>71</v>
      </c>
      <c r="B641" s="3" t="s">
        <v>74</v>
      </c>
      <c r="C641" s="3" t="s">
        <v>75</v>
      </c>
    </row>
    <row r="642">
      <c r="A642" s="3" t="s">
        <v>71</v>
      </c>
      <c r="B642" s="3" t="s">
        <v>74</v>
      </c>
      <c r="C642" s="3" t="s">
        <v>79</v>
      </c>
    </row>
    <row r="643">
      <c r="A643" s="3" t="s">
        <v>89</v>
      </c>
      <c r="B643" s="3" t="s">
        <v>90</v>
      </c>
      <c r="C643" s="3" t="s">
        <v>91</v>
      </c>
    </row>
    <row r="644">
      <c r="A644" s="3" t="s">
        <v>89</v>
      </c>
      <c r="B644" s="3" t="s">
        <v>90</v>
      </c>
      <c r="C644" s="3" t="s">
        <v>91</v>
      </c>
    </row>
    <row r="645">
      <c r="A645" s="3" t="s">
        <v>89</v>
      </c>
      <c r="B645" s="3" t="s">
        <v>90</v>
      </c>
      <c r="C645" s="3" t="s">
        <v>92</v>
      </c>
    </row>
    <row r="646">
      <c r="A646" s="3" t="s">
        <v>89</v>
      </c>
      <c r="B646" s="3" t="s">
        <v>90</v>
      </c>
      <c r="C646" s="3" t="s">
        <v>91</v>
      </c>
    </row>
    <row r="647">
      <c r="A647" s="3" t="s">
        <v>89</v>
      </c>
      <c r="B647" s="3" t="s">
        <v>93</v>
      </c>
      <c r="C647" s="3" t="s">
        <v>94</v>
      </c>
    </row>
    <row r="648">
      <c r="A648" s="3" t="s">
        <v>89</v>
      </c>
      <c r="B648" s="3" t="s">
        <v>90</v>
      </c>
      <c r="C648" s="3" t="s">
        <v>95</v>
      </c>
    </row>
    <row r="649">
      <c r="A649" s="3" t="s">
        <v>89</v>
      </c>
      <c r="B649" s="3" t="s">
        <v>90</v>
      </c>
      <c r="C649" s="3" t="s">
        <v>91</v>
      </c>
    </row>
    <row r="650">
      <c r="A650" s="3" t="s">
        <v>89</v>
      </c>
      <c r="B650" s="3" t="s">
        <v>90</v>
      </c>
      <c r="C650" s="3" t="s">
        <v>96</v>
      </c>
    </row>
    <row r="651">
      <c r="A651" s="3" t="s">
        <v>89</v>
      </c>
      <c r="B651" s="3" t="s">
        <v>93</v>
      </c>
      <c r="C651" s="3" t="s">
        <v>94</v>
      </c>
    </row>
    <row r="652">
      <c r="A652" s="3" t="s">
        <v>89</v>
      </c>
      <c r="B652" s="3" t="s">
        <v>97</v>
      </c>
      <c r="C652" s="3" t="s">
        <v>98</v>
      </c>
    </row>
    <row r="653">
      <c r="A653" s="3" t="s">
        <v>89</v>
      </c>
      <c r="B653" s="3" t="s">
        <v>90</v>
      </c>
      <c r="C653" s="3" t="s">
        <v>96</v>
      </c>
    </row>
    <row r="654">
      <c r="A654" s="3" t="s">
        <v>89</v>
      </c>
      <c r="B654" s="3" t="s">
        <v>90</v>
      </c>
      <c r="C654" s="3" t="s">
        <v>91</v>
      </c>
    </row>
    <row r="655">
      <c r="A655" s="3" t="s">
        <v>89</v>
      </c>
      <c r="B655" s="3" t="s">
        <v>97</v>
      </c>
      <c r="C655" s="3" t="s">
        <v>99</v>
      </c>
    </row>
    <row r="656">
      <c r="A656" s="3" t="s">
        <v>89</v>
      </c>
      <c r="B656" s="3" t="s">
        <v>90</v>
      </c>
      <c r="C656" s="3" t="s">
        <v>95</v>
      </c>
    </row>
    <row r="657">
      <c r="A657" s="3" t="s">
        <v>89</v>
      </c>
      <c r="B657" s="3" t="s">
        <v>90</v>
      </c>
      <c r="C657" s="3" t="s">
        <v>91</v>
      </c>
    </row>
    <row r="658">
      <c r="A658" s="3" t="s">
        <v>89</v>
      </c>
      <c r="B658" s="3" t="s">
        <v>90</v>
      </c>
      <c r="C658" s="3" t="s">
        <v>96</v>
      </c>
    </row>
    <row r="659">
      <c r="A659" s="3" t="s">
        <v>89</v>
      </c>
      <c r="B659" s="3" t="s">
        <v>90</v>
      </c>
      <c r="C659" s="3" t="s">
        <v>96</v>
      </c>
    </row>
    <row r="660">
      <c r="A660" s="3" t="s">
        <v>89</v>
      </c>
      <c r="B660" s="3" t="s">
        <v>97</v>
      </c>
      <c r="C660" s="3" t="s">
        <v>100</v>
      </c>
    </row>
    <row r="661">
      <c r="A661" s="3" t="s">
        <v>89</v>
      </c>
      <c r="B661" s="3" t="s">
        <v>90</v>
      </c>
      <c r="C661" s="3" t="s">
        <v>96</v>
      </c>
    </row>
    <row r="662">
      <c r="A662" s="3" t="s">
        <v>89</v>
      </c>
      <c r="B662" s="3" t="s">
        <v>90</v>
      </c>
      <c r="C662" s="3" t="s">
        <v>91</v>
      </c>
    </row>
    <row r="663">
      <c r="A663" s="3" t="s">
        <v>89</v>
      </c>
      <c r="B663" s="3" t="s">
        <v>90</v>
      </c>
      <c r="C663" s="3" t="s">
        <v>91</v>
      </c>
    </row>
    <row r="664">
      <c r="A664" s="3" t="s">
        <v>89</v>
      </c>
      <c r="B664" s="3" t="s">
        <v>97</v>
      </c>
      <c r="C664" s="3" t="s">
        <v>100</v>
      </c>
    </row>
    <row r="665">
      <c r="A665" s="3" t="s">
        <v>89</v>
      </c>
      <c r="B665" s="3" t="s">
        <v>97</v>
      </c>
      <c r="C665" s="3" t="s">
        <v>99</v>
      </c>
    </row>
    <row r="666">
      <c r="A666" s="3" t="s">
        <v>89</v>
      </c>
      <c r="B666" s="3" t="s">
        <v>90</v>
      </c>
      <c r="C666" s="3" t="s">
        <v>95</v>
      </c>
    </row>
    <row r="667">
      <c r="A667" s="3" t="s">
        <v>89</v>
      </c>
      <c r="B667" s="3" t="s">
        <v>90</v>
      </c>
      <c r="C667" s="3" t="s">
        <v>96</v>
      </c>
    </row>
    <row r="668">
      <c r="A668" s="3" t="s">
        <v>89</v>
      </c>
      <c r="B668" s="3" t="s">
        <v>97</v>
      </c>
      <c r="C668" s="3" t="s">
        <v>99</v>
      </c>
    </row>
    <row r="669">
      <c r="A669" s="3" t="s">
        <v>89</v>
      </c>
      <c r="B669" s="3" t="s">
        <v>90</v>
      </c>
      <c r="C669" s="3" t="s">
        <v>91</v>
      </c>
    </row>
    <row r="670">
      <c r="A670" s="3" t="s">
        <v>89</v>
      </c>
      <c r="B670" s="3" t="s">
        <v>90</v>
      </c>
      <c r="C670" s="3" t="s">
        <v>95</v>
      </c>
    </row>
    <row r="671">
      <c r="A671" s="3" t="s">
        <v>89</v>
      </c>
      <c r="B671" s="3" t="s">
        <v>90</v>
      </c>
      <c r="C671" s="3" t="s">
        <v>91</v>
      </c>
    </row>
    <row r="672">
      <c r="A672" s="3" t="s">
        <v>89</v>
      </c>
      <c r="B672" s="3" t="s">
        <v>90</v>
      </c>
      <c r="C672" s="3" t="s">
        <v>96</v>
      </c>
    </row>
    <row r="673">
      <c r="A673" s="3" t="s">
        <v>89</v>
      </c>
      <c r="B673" s="3" t="s">
        <v>97</v>
      </c>
      <c r="C673" s="3" t="s">
        <v>100</v>
      </c>
    </row>
    <row r="674">
      <c r="A674" s="3" t="s">
        <v>89</v>
      </c>
      <c r="B674" s="3" t="s">
        <v>90</v>
      </c>
      <c r="C674" s="3" t="s">
        <v>91</v>
      </c>
    </row>
    <row r="675">
      <c r="A675" s="3" t="s">
        <v>89</v>
      </c>
      <c r="B675" s="3" t="s">
        <v>90</v>
      </c>
      <c r="C675" s="3" t="s">
        <v>91</v>
      </c>
    </row>
    <row r="676">
      <c r="A676" s="3" t="s">
        <v>89</v>
      </c>
      <c r="B676" s="3" t="s">
        <v>90</v>
      </c>
      <c r="C676" s="3" t="s">
        <v>91</v>
      </c>
    </row>
    <row r="677">
      <c r="A677" s="3" t="s">
        <v>89</v>
      </c>
      <c r="B677" s="3" t="s">
        <v>90</v>
      </c>
      <c r="C677" s="3" t="s">
        <v>96</v>
      </c>
    </row>
    <row r="678">
      <c r="A678" s="3" t="s">
        <v>89</v>
      </c>
      <c r="B678" s="3" t="s">
        <v>97</v>
      </c>
      <c r="C678" s="3" t="s">
        <v>100</v>
      </c>
    </row>
    <row r="679">
      <c r="A679" s="3" t="s">
        <v>89</v>
      </c>
      <c r="B679" s="3" t="s">
        <v>97</v>
      </c>
      <c r="C679" s="3" t="s">
        <v>99</v>
      </c>
    </row>
    <row r="680">
      <c r="A680" s="3" t="s">
        <v>89</v>
      </c>
      <c r="B680" s="3" t="s">
        <v>90</v>
      </c>
      <c r="C680" s="3" t="s">
        <v>95</v>
      </c>
    </row>
    <row r="681">
      <c r="A681" s="3" t="s">
        <v>89</v>
      </c>
      <c r="B681" s="3" t="s">
        <v>90</v>
      </c>
      <c r="C681" s="3" t="s">
        <v>91</v>
      </c>
    </row>
    <row r="682">
      <c r="A682" s="3" t="s">
        <v>89</v>
      </c>
      <c r="B682" s="3" t="s">
        <v>90</v>
      </c>
      <c r="C682" s="3" t="s">
        <v>91</v>
      </c>
    </row>
    <row r="683">
      <c r="A683" s="3" t="s">
        <v>89</v>
      </c>
      <c r="B683" s="3" t="s">
        <v>90</v>
      </c>
      <c r="C683" s="3" t="s">
        <v>91</v>
      </c>
    </row>
    <row r="684">
      <c r="A684" s="3" t="s">
        <v>89</v>
      </c>
      <c r="B684" s="3" t="s">
        <v>90</v>
      </c>
      <c r="C684" s="3" t="s">
        <v>91</v>
      </c>
    </row>
    <row r="685">
      <c r="A685" s="3" t="s">
        <v>89</v>
      </c>
      <c r="B685" s="3" t="s">
        <v>97</v>
      </c>
      <c r="C685" s="3" t="s">
        <v>100</v>
      </c>
    </row>
    <row r="686">
      <c r="A686" s="3" t="s">
        <v>89</v>
      </c>
      <c r="B686" s="3" t="s">
        <v>97</v>
      </c>
      <c r="C686" s="3" t="s">
        <v>98</v>
      </c>
    </row>
    <row r="687">
      <c r="A687" s="3" t="s">
        <v>101</v>
      </c>
      <c r="B687" s="3" t="s">
        <v>102</v>
      </c>
      <c r="C687" s="3" t="s">
        <v>103</v>
      </c>
    </row>
    <row r="688">
      <c r="A688" s="3" t="s">
        <v>101</v>
      </c>
      <c r="B688" s="3" t="s">
        <v>104</v>
      </c>
      <c r="C688" s="3" t="s">
        <v>105</v>
      </c>
    </row>
    <row r="689">
      <c r="A689" s="3" t="s">
        <v>101</v>
      </c>
      <c r="B689" s="3" t="s">
        <v>106</v>
      </c>
      <c r="C689" s="3" t="s">
        <v>107</v>
      </c>
    </row>
    <row r="690">
      <c r="A690" s="3" t="s">
        <v>101</v>
      </c>
      <c r="B690" s="3" t="s">
        <v>104</v>
      </c>
      <c r="C690" s="3" t="s">
        <v>108</v>
      </c>
    </row>
    <row r="691">
      <c r="A691" s="3" t="s">
        <v>101</v>
      </c>
      <c r="B691" s="3" t="s">
        <v>104</v>
      </c>
      <c r="C691" s="3" t="s">
        <v>108</v>
      </c>
    </row>
    <row r="692">
      <c r="A692" s="3" t="s">
        <v>101</v>
      </c>
      <c r="B692" s="3" t="s">
        <v>104</v>
      </c>
      <c r="C692" s="3" t="s">
        <v>105</v>
      </c>
    </row>
    <row r="693">
      <c r="A693" s="3" t="s">
        <v>101</v>
      </c>
      <c r="B693" s="3" t="s">
        <v>104</v>
      </c>
      <c r="C693" s="3" t="s">
        <v>109</v>
      </c>
    </row>
    <row r="694">
      <c r="A694" s="3" t="s">
        <v>101</v>
      </c>
      <c r="B694" s="3" t="s">
        <v>104</v>
      </c>
      <c r="C694" s="3" t="s">
        <v>110</v>
      </c>
    </row>
    <row r="695">
      <c r="A695" s="3" t="s">
        <v>101</v>
      </c>
      <c r="B695" s="3" t="s">
        <v>104</v>
      </c>
      <c r="C695" s="3" t="s">
        <v>105</v>
      </c>
    </row>
    <row r="696">
      <c r="A696" s="3" t="s">
        <v>101</v>
      </c>
      <c r="B696" s="3" t="s">
        <v>102</v>
      </c>
      <c r="C696" s="3" t="s">
        <v>103</v>
      </c>
    </row>
    <row r="697">
      <c r="A697" s="3" t="s">
        <v>101</v>
      </c>
      <c r="B697" s="3" t="s">
        <v>104</v>
      </c>
      <c r="C697" s="3" t="s">
        <v>111</v>
      </c>
    </row>
    <row r="698">
      <c r="A698" s="3" t="s">
        <v>101</v>
      </c>
      <c r="B698" s="3" t="s">
        <v>104</v>
      </c>
      <c r="C698" s="3" t="s">
        <v>105</v>
      </c>
    </row>
    <row r="699">
      <c r="A699" s="3" t="s">
        <v>101</v>
      </c>
      <c r="B699" s="3" t="s">
        <v>106</v>
      </c>
      <c r="C699" s="3" t="s">
        <v>112</v>
      </c>
    </row>
    <row r="700">
      <c r="A700" s="3" t="s">
        <v>101</v>
      </c>
      <c r="B700" s="3" t="s">
        <v>106</v>
      </c>
      <c r="C700" s="3" t="s">
        <v>113</v>
      </c>
    </row>
    <row r="701">
      <c r="A701" s="3" t="s">
        <v>101</v>
      </c>
      <c r="B701" s="3" t="s">
        <v>104</v>
      </c>
      <c r="C701" s="3" t="s">
        <v>114</v>
      </c>
    </row>
    <row r="702">
      <c r="A702" s="3" t="s">
        <v>101</v>
      </c>
      <c r="B702" s="3" t="s">
        <v>104</v>
      </c>
      <c r="C702" s="3" t="s">
        <v>105</v>
      </c>
    </row>
    <row r="703">
      <c r="A703" s="3" t="s">
        <v>101</v>
      </c>
      <c r="B703" s="3" t="s">
        <v>106</v>
      </c>
      <c r="C703" s="3" t="s">
        <v>107</v>
      </c>
    </row>
    <row r="704">
      <c r="A704" s="3" t="s">
        <v>101</v>
      </c>
      <c r="B704" s="3" t="s">
        <v>104</v>
      </c>
      <c r="C704" s="3" t="s">
        <v>105</v>
      </c>
    </row>
    <row r="705">
      <c r="A705" s="3" t="s">
        <v>101</v>
      </c>
      <c r="B705" s="3" t="s">
        <v>104</v>
      </c>
      <c r="C705" s="3" t="s">
        <v>108</v>
      </c>
    </row>
    <row r="706">
      <c r="A706" s="3" t="s">
        <v>101</v>
      </c>
      <c r="B706" s="3" t="s">
        <v>102</v>
      </c>
      <c r="C706" s="3" t="s">
        <v>103</v>
      </c>
    </row>
    <row r="707">
      <c r="A707" s="3" t="s">
        <v>101</v>
      </c>
      <c r="B707" s="3" t="s">
        <v>104</v>
      </c>
      <c r="C707" s="3" t="s">
        <v>105</v>
      </c>
    </row>
    <row r="708">
      <c r="A708" s="3" t="s">
        <v>101</v>
      </c>
      <c r="B708" s="3" t="s">
        <v>104</v>
      </c>
      <c r="C708" s="3" t="s">
        <v>105</v>
      </c>
    </row>
    <row r="709">
      <c r="A709" s="3" t="s">
        <v>101</v>
      </c>
      <c r="B709" s="3" t="s">
        <v>104</v>
      </c>
      <c r="C709" s="3" t="s">
        <v>105</v>
      </c>
    </row>
    <row r="710">
      <c r="A710" s="3" t="s">
        <v>101</v>
      </c>
      <c r="B710" s="3" t="s">
        <v>104</v>
      </c>
      <c r="C710" s="3" t="s">
        <v>105</v>
      </c>
    </row>
    <row r="711">
      <c r="A711" s="3" t="s">
        <v>101</v>
      </c>
      <c r="B711" s="3" t="s">
        <v>104</v>
      </c>
      <c r="C711" s="3" t="s">
        <v>105</v>
      </c>
    </row>
    <row r="712">
      <c r="A712" s="3" t="s">
        <v>101</v>
      </c>
      <c r="B712" s="3" t="s">
        <v>106</v>
      </c>
      <c r="C712" s="3" t="s">
        <v>107</v>
      </c>
    </row>
    <row r="713">
      <c r="A713" s="3" t="s">
        <v>101</v>
      </c>
      <c r="B713" s="3" t="s">
        <v>104</v>
      </c>
      <c r="C713" s="3" t="s">
        <v>109</v>
      </c>
    </row>
    <row r="714">
      <c r="A714" s="3" t="s">
        <v>101</v>
      </c>
      <c r="B714" s="3" t="s">
        <v>104</v>
      </c>
      <c r="C714" s="3" t="s">
        <v>108</v>
      </c>
    </row>
    <row r="715">
      <c r="A715" s="3" t="s">
        <v>101</v>
      </c>
      <c r="B715" s="3" t="s">
        <v>104</v>
      </c>
      <c r="C715" s="3" t="s">
        <v>105</v>
      </c>
    </row>
    <row r="716">
      <c r="A716" s="3" t="s">
        <v>101</v>
      </c>
      <c r="B716" s="3" t="s">
        <v>106</v>
      </c>
      <c r="C716" s="3" t="s">
        <v>113</v>
      </c>
    </row>
    <row r="717">
      <c r="A717" s="3" t="s">
        <v>101</v>
      </c>
      <c r="B717" s="3" t="s">
        <v>106</v>
      </c>
      <c r="C717" s="3" t="s">
        <v>112</v>
      </c>
    </row>
    <row r="718">
      <c r="A718" s="3" t="s">
        <v>101</v>
      </c>
      <c r="B718" s="3" t="s">
        <v>106</v>
      </c>
      <c r="C718" s="3" t="s">
        <v>107</v>
      </c>
    </row>
    <row r="719">
      <c r="A719" s="3" t="s">
        <v>101</v>
      </c>
      <c r="B719" s="3" t="s">
        <v>106</v>
      </c>
      <c r="C719" s="3" t="s">
        <v>113</v>
      </c>
    </row>
    <row r="720">
      <c r="A720" s="3" t="s">
        <v>101</v>
      </c>
      <c r="B720" s="3" t="s">
        <v>104</v>
      </c>
      <c r="C720" s="3" t="s">
        <v>110</v>
      </c>
    </row>
    <row r="721">
      <c r="A721" s="3" t="s">
        <v>101</v>
      </c>
      <c r="B721" s="3" t="s">
        <v>104</v>
      </c>
      <c r="C721" s="3" t="s">
        <v>105</v>
      </c>
    </row>
    <row r="722">
      <c r="A722" s="3" t="s">
        <v>101</v>
      </c>
      <c r="B722" s="3" t="s">
        <v>104</v>
      </c>
      <c r="C722" s="3" t="s">
        <v>109</v>
      </c>
    </row>
    <row r="723">
      <c r="A723" s="3" t="s">
        <v>101</v>
      </c>
      <c r="B723" s="3" t="s">
        <v>104</v>
      </c>
      <c r="C723" s="3" t="s">
        <v>108</v>
      </c>
    </row>
    <row r="724">
      <c r="A724" s="3" t="s">
        <v>101</v>
      </c>
      <c r="B724" s="3" t="s">
        <v>106</v>
      </c>
      <c r="C724" s="3" t="s">
        <v>113</v>
      </c>
    </row>
    <row r="725">
      <c r="A725" s="3" t="s">
        <v>101</v>
      </c>
      <c r="B725" s="3" t="s">
        <v>104</v>
      </c>
      <c r="C725" s="3" t="s">
        <v>110</v>
      </c>
    </row>
    <row r="726">
      <c r="A726" s="3" t="s">
        <v>101</v>
      </c>
      <c r="B726" s="3" t="s">
        <v>104</v>
      </c>
      <c r="C726" s="3" t="s">
        <v>105</v>
      </c>
    </row>
    <row r="727">
      <c r="A727" s="3" t="s">
        <v>101</v>
      </c>
      <c r="B727" s="3" t="s">
        <v>104</v>
      </c>
      <c r="C727" s="3" t="s">
        <v>105</v>
      </c>
    </row>
    <row r="728">
      <c r="A728" s="3" t="s">
        <v>101</v>
      </c>
      <c r="B728" s="3" t="s">
        <v>104</v>
      </c>
      <c r="C728" s="3" t="s">
        <v>108</v>
      </c>
    </row>
    <row r="729">
      <c r="A729" s="3" t="s">
        <v>101</v>
      </c>
      <c r="B729" s="3" t="s">
        <v>106</v>
      </c>
      <c r="C729" s="3" t="s">
        <v>107</v>
      </c>
    </row>
    <row r="730">
      <c r="A730" s="3" t="s">
        <v>101</v>
      </c>
      <c r="B730" s="3" t="s">
        <v>106</v>
      </c>
      <c r="C730" s="3" t="s">
        <v>107</v>
      </c>
    </row>
    <row r="731">
      <c r="A731" s="3" t="s">
        <v>101</v>
      </c>
      <c r="B731" s="3" t="s">
        <v>106</v>
      </c>
      <c r="C731" s="3" t="s">
        <v>107</v>
      </c>
    </row>
    <row r="732">
      <c r="A732" s="3" t="s">
        <v>101</v>
      </c>
      <c r="B732" s="3" t="s">
        <v>106</v>
      </c>
      <c r="C732" s="3" t="s">
        <v>107</v>
      </c>
    </row>
    <row r="733">
      <c r="A733" s="3" t="s">
        <v>101</v>
      </c>
      <c r="B733" s="3" t="s">
        <v>106</v>
      </c>
      <c r="C733" s="3" t="s">
        <v>107</v>
      </c>
    </row>
    <row r="734">
      <c r="A734" s="3" t="s">
        <v>101</v>
      </c>
      <c r="B734" s="3" t="s">
        <v>106</v>
      </c>
      <c r="C734" s="3" t="s">
        <v>107</v>
      </c>
    </row>
    <row r="735">
      <c r="A735" s="3" t="s">
        <v>101</v>
      </c>
      <c r="B735" s="3" t="s">
        <v>104</v>
      </c>
      <c r="C735" s="3" t="s">
        <v>110</v>
      </c>
    </row>
    <row r="736">
      <c r="A736" s="3" t="s">
        <v>101</v>
      </c>
      <c r="B736" s="3" t="s">
        <v>104</v>
      </c>
      <c r="C736" s="3" t="s">
        <v>110</v>
      </c>
    </row>
    <row r="737">
      <c r="A737" s="3" t="s">
        <v>101</v>
      </c>
      <c r="B737" s="3" t="s">
        <v>104</v>
      </c>
      <c r="C737" s="3" t="s">
        <v>105</v>
      </c>
    </row>
    <row r="738">
      <c r="A738" s="3" t="s">
        <v>101</v>
      </c>
      <c r="B738" s="3" t="s">
        <v>106</v>
      </c>
      <c r="C738" s="3" t="s">
        <v>113</v>
      </c>
    </row>
    <row r="739">
      <c r="A739" s="3" t="s">
        <v>101</v>
      </c>
      <c r="B739" s="3" t="s">
        <v>106</v>
      </c>
      <c r="C739" s="3" t="s">
        <v>113</v>
      </c>
    </row>
    <row r="740">
      <c r="A740" s="3" t="s">
        <v>101</v>
      </c>
      <c r="B740" s="3" t="s">
        <v>106</v>
      </c>
      <c r="C740" s="3" t="s">
        <v>107</v>
      </c>
    </row>
    <row r="741">
      <c r="A741" s="3" t="s">
        <v>101</v>
      </c>
      <c r="B741" s="3" t="s">
        <v>106</v>
      </c>
      <c r="C741" s="3" t="s">
        <v>107</v>
      </c>
    </row>
    <row r="742">
      <c r="A742" s="3" t="s">
        <v>101</v>
      </c>
      <c r="B742" s="3" t="s">
        <v>104</v>
      </c>
      <c r="C742" s="3" t="s">
        <v>111</v>
      </c>
    </row>
    <row r="743">
      <c r="A743" s="3" t="s">
        <v>101</v>
      </c>
      <c r="B743" s="3" t="s">
        <v>106</v>
      </c>
      <c r="C743" s="3" t="s">
        <v>107</v>
      </c>
    </row>
    <row r="744">
      <c r="A744" s="3" t="s">
        <v>115</v>
      </c>
      <c r="B744" s="3" t="s">
        <v>116</v>
      </c>
      <c r="C744" s="3" t="s">
        <v>52</v>
      </c>
    </row>
    <row r="745">
      <c r="A745" s="3" t="s">
        <v>115</v>
      </c>
      <c r="B745" s="3" t="s">
        <v>116</v>
      </c>
      <c r="C745" s="3" t="s">
        <v>52</v>
      </c>
    </row>
    <row r="746">
      <c r="A746" s="3" t="s">
        <v>115</v>
      </c>
      <c r="B746" s="3" t="s">
        <v>116</v>
      </c>
      <c r="C746" s="3" t="s">
        <v>52</v>
      </c>
    </row>
    <row r="747">
      <c r="A747" s="3" t="s">
        <v>115</v>
      </c>
      <c r="B747" s="3" t="s">
        <v>116</v>
      </c>
      <c r="C747" s="3" t="s">
        <v>117</v>
      </c>
    </row>
    <row r="748">
      <c r="A748" s="3" t="s">
        <v>115</v>
      </c>
      <c r="B748" s="3" t="s">
        <v>116</v>
      </c>
      <c r="C748" s="3" t="s">
        <v>52</v>
      </c>
    </row>
    <row r="749">
      <c r="A749" s="3" t="s">
        <v>115</v>
      </c>
      <c r="B749" s="3" t="s">
        <v>118</v>
      </c>
      <c r="C749" s="3" t="s">
        <v>119</v>
      </c>
    </row>
    <row r="750">
      <c r="A750" s="3" t="s">
        <v>115</v>
      </c>
      <c r="B750" s="3" t="s">
        <v>120</v>
      </c>
      <c r="C750" s="3" t="s">
        <v>121</v>
      </c>
    </row>
    <row r="751">
      <c r="A751" s="3" t="s">
        <v>115</v>
      </c>
      <c r="B751" s="3" t="s">
        <v>118</v>
      </c>
      <c r="C751" s="3" t="s">
        <v>119</v>
      </c>
    </row>
    <row r="752">
      <c r="A752" s="3" t="s">
        <v>115</v>
      </c>
      <c r="B752" s="3" t="s">
        <v>120</v>
      </c>
      <c r="C752" s="3" t="s">
        <v>121</v>
      </c>
    </row>
    <row r="753">
      <c r="A753" s="3" t="s">
        <v>115</v>
      </c>
      <c r="B753" s="3" t="s">
        <v>116</v>
      </c>
      <c r="C753" s="3" t="s">
        <v>122</v>
      </c>
    </row>
    <row r="754">
      <c r="A754" s="3" t="s">
        <v>115</v>
      </c>
      <c r="B754" s="3" t="s">
        <v>120</v>
      </c>
      <c r="C754" s="3" t="s">
        <v>121</v>
      </c>
    </row>
    <row r="755">
      <c r="A755" s="3" t="s">
        <v>115</v>
      </c>
      <c r="B755" s="3" t="s">
        <v>118</v>
      </c>
      <c r="C755" s="3" t="s">
        <v>123</v>
      </c>
    </row>
    <row r="756">
      <c r="A756" s="3" t="s">
        <v>115</v>
      </c>
      <c r="B756" s="3" t="s">
        <v>120</v>
      </c>
      <c r="C756" s="3" t="s">
        <v>121</v>
      </c>
    </row>
    <row r="757">
      <c r="A757" s="3" t="s">
        <v>115</v>
      </c>
      <c r="B757" s="3" t="s">
        <v>124</v>
      </c>
      <c r="C757" s="3" t="s">
        <v>125</v>
      </c>
    </row>
    <row r="758">
      <c r="A758" s="3" t="s">
        <v>115</v>
      </c>
      <c r="B758" s="3" t="s">
        <v>120</v>
      </c>
      <c r="C758" s="3" t="s">
        <v>121</v>
      </c>
    </row>
    <row r="759">
      <c r="A759" s="3" t="s">
        <v>115</v>
      </c>
      <c r="B759" s="3" t="s">
        <v>124</v>
      </c>
      <c r="C759" s="3" t="s">
        <v>61</v>
      </c>
    </row>
    <row r="760">
      <c r="A760" s="3" t="s">
        <v>115</v>
      </c>
      <c r="B760" s="3" t="s">
        <v>116</v>
      </c>
      <c r="C760" s="3" t="s">
        <v>52</v>
      </c>
    </row>
    <row r="761">
      <c r="A761" s="3" t="s">
        <v>115</v>
      </c>
      <c r="B761" s="3" t="s">
        <v>120</v>
      </c>
      <c r="C761" s="3" t="s">
        <v>121</v>
      </c>
    </row>
    <row r="762">
      <c r="A762" s="3" t="s">
        <v>115</v>
      </c>
      <c r="B762" s="3" t="s">
        <v>124</v>
      </c>
      <c r="C762" s="3" t="s">
        <v>126</v>
      </c>
    </row>
    <row r="763">
      <c r="A763" s="3" t="s">
        <v>115</v>
      </c>
      <c r="B763" s="3" t="s">
        <v>120</v>
      </c>
      <c r="C763" s="3" t="s">
        <v>121</v>
      </c>
    </row>
    <row r="764">
      <c r="A764" s="3" t="s">
        <v>115</v>
      </c>
      <c r="B764" s="3" t="s">
        <v>116</v>
      </c>
      <c r="C764" s="3" t="s">
        <v>127</v>
      </c>
    </row>
    <row r="765">
      <c r="A765" s="3" t="s">
        <v>115</v>
      </c>
      <c r="B765" s="3" t="s">
        <v>120</v>
      </c>
      <c r="C765" s="3" t="s">
        <v>121</v>
      </c>
    </row>
    <row r="766">
      <c r="A766" s="3" t="s">
        <v>115</v>
      </c>
      <c r="B766" s="3" t="s">
        <v>116</v>
      </c>
      <c r="C766" s="3" t="s">
        <v>52</v>
      </c>
    </row>
    <row r="767">
      <c r="A767" s="3" t="s">
        <v>115</v>
      </c>
      <c r="B767" s="3" t="s">
        <v>116</v>
      </c>
      <c r="C767" s="3" t="s">
        <v>128</v>
      </c>
    </row>
    <row r="768">
      <c r="A768" s="3" t="s">
        <v>115</v>
      </c>
      <c r="B768" s="3" t="s">
        <v>116</v>
      </c>
      <c r="C768" s="3" t="s">
        <v>122</v>
      </c>
    </row>
    <row r="769">
      <c r="A769" s="3" t="s">
        <v>115</v>
      </c>
      <c r="B769" s="3" t="s">
        <v>120</v>
      </c>
      <c r="C769" s="3" t="s">
        <v>121</v>
      </c>
    </row>
    <row r="770">
      <c r="A770" s="3" t="s">
        <v>115</v>
      </c>
      <c r="B770" s="3" t="s">
        <v>124</v>
      </c>
      <c r="C770" s="3" t="s">
        <v>126</v>
      </c>
    </row>
    <row r="771">
      <c r="A771" s="3" t="s">
        <v>115</v>
      </c>
      <c r="B771" s="3" t="s">
        <v>120</v>
      </c>
      <c r="C771" s="3" t="s">
        <v>121</v>
      </c>
    </row>
    <row r="772">
      <c r="A772" s="3" t="s">
        <v>115</v>
      </c>
      <c r="B772" s="3" t="s">
        <v>116</v>
      </c>
      <c r="C772" s="3" t="s">
        <v>122</v>
      </c>
    </row>
    <row r="773">
      <c r="A773" s="3" t="s">
        <v>115</v>
      </c>
      <c r="B773" s="3" t="s">
        <v>120</v>
      </c>
      <c r="C773" s="3" t="s">
        <v>121</v>
      </c>
    </row>
    <row r="774">
      <c r="A774" s="3" t="s">
        <v>115</v>
      </c>
      <c r="B774" s="3" t="s">
        <v>116</v>
      </c>
      <c r="C774" s="3" t="s">
        <v>52</v>
      </c>
    </row>
    <row r="775">
      <c r="A775" s="3" t="s">
        <v>115</v>
      </c>
      <c r="B775" s="3" t="s">
        <v>120</v>
      </c>
      <c r="C775" s="3" t="s">
        <v>121</v>
      </c>
    </row>
    <row r="776">
      <c r="A776" s="3" t="s">
        <v>115</v>
      </c>
      <c r="B776" s="3" t="s">
        <v>116</v>
      </c>
      <c r="C776" s="3" t="s">
        <v>128</v>
      </c>
    </row>
    <row r="777">
      <c r="A777" s="3" t="s">
        <v>115</v>
      </c>
      <c r="B777" s="3" t="s">
        <v>120</v>
      </c>
      <c r="C777" s="3" t="s">
        <v>121</v>
      </c>
    </row>
    <row r="778">
      <c r="A778" s="3" t="s">
        <v>115</v>
      </c>
      <c r="B778" s="3" t="s">
        <v>118</v>
      </c>
      <c r="C778" s="3" t="s">
        <v>129</v>
      </c>
    </row>
    <row r="779">
      <c r="A779" s="3" t="s">
        <v>115</v>
      </c>
      <c r="B779" s="3" t="s">
        <v>120</v>
      </c>
      <c r="C779" s="3" t="s">
        <v>121</v>
      </c>
    </row>
    <row r="780">
      <c r="A780" s="3" t="s">
        <v>115</v>
      </c>
      <c r="B780" s="3" t="s">
        <v>120</v>
      </c>
      <c r="C780" s="3" t="s">
        <v>121</v>
      </c>
    </row>
    <row r="781">
      <c r="A781" s="3" t="s">
        <v>115</v>
      </c>
      <c r="B781" s="3" t="s">
        <v>118</v>
      </c>
      <c r="C781" s="3" t="s">
        <v>130</v>
      </c>
    </row>
    <row r="782">
      <c r="A782" s="3" t="s">
        <v>115</v>
      </c>
      <c r="B782" s="3" t="s">
        <v>118</v>
      </c>
      <c r="C782" s="3" t="s">
        <v>131</v>
      </c>
    </row>
    <row r="783">
      <c r="A783" s="3" t="s">
        <v>115</v>
      </c>
      <c r="B783" s="3" t="s">
        <v>118</v>
      </c>
      <c r="C783" s="3" t="s">
        <v>123</v>
      </c>
    </row>
    <row r="784">
      <c r="A784" s="3" t="s">
        <v>115</v>
      </c>
      <c r="B784" s="3" t="s">
        <v>120</v>
      </c>
      <c r="C784" s="3" t="s">
        <v>121</v>
      </c>
    </row>
    <row r="785">
      <c r="A785" s="3" t="s">
        <v>115</v>
      </c>
      <c r="B785" s="3" t="s">
        <v>118</v>
      </c>
      <c r="C785" s="3" t="s">
        <v>132</v>
      </c>
    </row>
    <row r="786">
      <c r="A786" s="3" t="s">
        <v>115</v>
      </c>
      <c r="B786" s="3" t="s">
        <v>120</v>
      </c>
      <c r="C786" s="3" t="s">
        <v>121</v>
      </c>
    </row>
    <row r="787">
      <c r="A787" s="3" t="s">
        <v>115</v>
      </c>
      <c r="B787" s="3" t="s">
        <v>116</v>
      </c>
      <c r="C787" s="3" t="s">
        <v>122</v>
      </c>
    </row>
    <row r="788">
      <c r="A788" s="3" t="s">
        <v>115</v>
      </c>
      <c r="B788" s="3" t="s">
        <v>120</v>
      </c>
      <c r="C788" s="3" t="s">
        <v>121</v>
      </c>
    </row>
    <row r="789">
      <c r="A789" s="3" t="s">
        <v>115</v>
      </c>
      <c r="B789" s="3" t="s">
        <v>120</v>
      </c>
      <c r="C789" s="3" t="s">
        <v>121</v>
      </c>
    </row>
    <row r="790">
      <c r="A790" s="3" t="s">
        <v>115</v>
      </c>
      <c r="B790" s="3" t="s">
        <v>118</v>
      </c>
      <c r="C790" s="3" t="s">
        <v>132</v>
      </c>
    </row>
    <row r="791">
      <c r="A791" s="3" t="s">
        <v>115</v>
      </c>
      <c r="B791" s="3" t="s">
        <v>120</v>
      </c>
      <c r="C791" s="3" t="s">
        <v>121</v>
      </c>
    </row>
    <row r="792">
      <c r="A792" s="3" t="s">
        <v>115</v>
      </c>
      <c r="B792" s="3" t="s">
        <v>118</v>
      </c>
      <c r="C792" s="3" t="s">
        <v>132</v>
      </c>
    </row>
    <row r="793">
      <c r="A793" s="3" t="s">
        <v>115</v>
      </c>
      <c r="B793" s="3" t="s">
        <v>120</v>
      </c>
      <c r="C793" s="3" t="s">
        <v>121</v>
      </c>
    </row>
    <row r="794">
      <c r="A794" s="3" t="s">
        <v>115</v>
      </c>
      <c r="B794" s="3" t="s">
        <v>118</v>
      </c>
      <c r="C794" s="3" t="s">
        <v>129</v>
      </c>
    </row>
    <row r="795">
      <c r="A795" s="3" t="s">
        <v>115</v>
      </c>
      <c r="B795" s="3" t="s">
        <v>120</v>
      </c>
      <c r="C795" s="3" t="s">
        <v>121</v>
      </c>
    </row>
    <row r="796">
      <c r="A796" s="3" t="s">
        <v>115</v>
      </c>
      <c r="B796" s="3" t="s">
        <v>116</v>
      </c>
      <c r="C796" s="3" t="s">
        <v>117</v>
      </c>
    </row>
    <row r="797">
      <c r="A797" s="3" t="s">
        <v>115</v>
      </c>
      <c r="B797" s="3" t="s">
        <v>120</v>
      </c>
      <c r="C797" s="3" t="s">
        <v>121</v>
      </c>
    </row>
    <row r="798">
      <c r="A798" s="3" t="s">
        <v>115</v>
      </c>
      <c r="B798" s="3" t="s">
        <v>124</v>
      </c>
      <c r="C798" s="3" t="s">
        <v>61</v>
      </c>
    </row>
    <row r="799">
      <c r="A799" s="3" t="s">
        <v>115</v>
      </c>
      <c r="B799" s="3" t="s">
        <v>120</v>
      </c>
      <c r="C799" s="3" t="s">
        <v>121</v>
      </c>
    </row>
    <row r="800">
      <c r="A800" s="3" t="s">
        <v>115</v>
      </c>
      <c r="B800" s="3" t="s">
        <v>116</v>
      </c>
      <c r="C800" s="3" t="s">
        <v>117</v>
      </c>
    </row>
    <row r="801">
      <c r="A801" s="3" t="s">
        <v>115</v>
      </c>
      <c r="B801" s="3" t="s">
        <v>120</v>
      </c>
      <c r="C801" s="3" t="s">
        <v>121</v>
      </c>
    </row>
    <row r="802">
      <c r="A802" s="3" t="s">
        <v>115</v>
      </c>
      <c r="B802" s="3" t="s">
        <v>124</v>
      </c>
      <c r="C802" s="3" t="s">
        <v>61</v>
      </c>
    </row>
    <row r="803">
      <c r="A803" s="3" t="s">
        <v>115</v>
      </c>
      <c r="B803" s="3" t="s">
        <v>118</v>
      </c>
      <c r="C803" s="3" t="s">
        <v>129</v>
      </c>
    </row>
    <row r="804">
      <c r="A804" s="3" t="s">
        <v>115</v>
      </c>
      <c r="B804" s="3" t="s">
        <v>118</v>
      </c>
      <c r="C804" s="3" t="s">
        <v>130</v>
      </c>
    </row>
    <row r="805">
      <c r="A805" s="3" t="s">
        <v>115</v>
      </c>
      <c r="B805" s="3" t="s">
        <v>116</v>
      </c>
      <c r="C805" s="3" t="s">
        <v>52</v>
      </c>
    </row>
    <row r="806">
      <c r="A806" s="3" t="s">
        <v>115</v>
      </c>
      <c r="B806" s="3" t="s">
        <v>116</v>
      </c>
      <c r="C806" s="3" t="s">
        <v>128</v>
      </c>
    </row>
    <row r="807">
      <c r="A807" s="3" t="s">
        <v>115</v>
      </c>
      <c r="B807" s="3" t="s">
        <v>124</v>
      </c>
      <c r="C807" s="3" t="s">
        <v>126</v>
      </c>
    </row>
    <row r="808">
      <c r="A808" s="3" t="s">
        <v>115</v>
      </c>
      <c r="B808" s="3" t="s">
        <v>120</v>
      </c>
      <c r="C808" s="3" t="s">
        <v>121</v>
      </c>
    </row>
    <row r="809">
      <c r="A809" s="3" t="s">
        <v>115</v>
      </c>
      <c r="B809" s="3" t="s">
        <v>124</v>
      </c>
      <c r="C809" s="3" t="s">
        <v>126</v>
      </c>
    </row>
    <row r="810">
      <c r="A810" s="3" t="s">
        <v>115</v>
      </c>
      <c r="B810" s="3" t="s">
        <v>116</v>
      </c>
      <c r="C810" s="3" t="s">
        <v>122</v>
      </c>
    </row>
    <row r="811">
      <c r="A811" s="3" t="s">
        <v>115</v>
      </c>
      <c r="B811" s="3" t="s">
        <v>118</v>
      </c>
      <c r="C811" s="3" t="s">
        <v>123</v>
      </c>
    </row>
    <row r="812">
      <c r="A812" s="3" t="s">
        <v>115</v>
      </c>
      <c r="B812" s="3" t="s">
        <v>116</v>
      </c>
      <c r="C812" s="3" t="s">
        <v>52</v>
      </c>
    </row>
    <row r="813">
      <c r="A813" s="3" t="s">
        <v>115</v>
      </c>
      <c r="B813" s="3" t="s">
        <v>118</v>
      </c>
      <c r="C813" s="3" t="s">
        <v>130</v>
      </c>
    </row>
    <row r="814">
      <c r="A814" s="3" t="s">
        <v>115</v>
      </c>
      <c r="B814" s="3" t="s">
        <v>120</v>
      </c>
      <c r="C814" s="3" t="s">
        <v>121</v>
      </c>
    </row>
    <row r="815">
      <c r="A815" s="3" t="s">
        <v>115</v>
      </c>
      <c r="B815" s="3" t="s">
        <v>116</v>
      </c>
      <c r="C815" s="3" t="s">
        <v>122</v>
      </c>
    </row>
    <row r="816">
      <c r="A816" s="3" t="s">
        <v>115</v>
      </c>
      <c r="B816" s="3" t="s">
        <v>118</v>
      </c>
      <c r="C816" s="3" t="s">
        <v>123</v>
      </c>
    </row>
    <row r="817">
      <c r="A817" s="3" t="s">
        <v>115</v>
      </c>
      <c r="B817" s="3" t="s">
        <v>120</v>
      </c>
      <c r="C817" s="3" t="s">
        <v>121</v>
      </c>
    </row>
    <row r="818">
      <c r="A818" s="3" t="s">
        <v>115</v>
      </c>
      <c r="B818" s="3" t="s">
        <v>116</v>
      </c>
      <c r="C818" s="3" t="s">
        <v>122</v>
      </c>
    </row>
    <row r="819">
      <c r="A819" s="3" t="s">
        <v>115</v>
      </c>
      <c r="B819" s="3" t="s">
        <v>116</v>
      </c>
      <c r="C819" s="3" t="s">
        <v>122</v>
      </c>
    </row>
    <row r="820">
      <c r="A820" s="3" t="s">
        <v>115</v>
      </c>
      <c r="B820" s="3" t="s">
        <v>116</v>
      </c>
      <c r="C820" s="3" t="s">
        <v>122</v>
      </c>
    </row>
    <row r="821">
      <c r="A821" s="3" t="s">
        <v>115</v>
      </c>
      <c r="B821" s="3" t="s">
        <v>124</v>
      </c>
      <c r="C821" s="3" t="s">
        <v>61</v>
      </c>
    </row>
    <row r="822">
      <c r="A822" s="3" t="s">
        <v>115</v>
      </c>
      <c r="B822" s="3" t="s">
        <v>120</v>
      </c>
      <c r="C822" s="3" t="s">
        <v>121</v>
      </c>
    </row>
    <row r="823">
      <c r="A823" s="3" t="s">
        <v>115</v>
      </c>
      <c r="B823" s="3" t="s">
        <v>118</v>
      </c>
      <c r="C823" s="3" t="s">
        <v>119</v>
      </c>
    </row>
    <row r="824">
      <c r="A824" s="3" t="s">
        <v>115</v>
      </c>
      <c r="B824" s="3" t="s">
        <v>120</v>
      </c>
      <c r="C824" s="3" t="s">
        <v>121</v>
      </c>
    </row>
    <row r="825">
      <c r="A825" s="3" t="s">
        <v>115</v>
      </c>
      <c r="B825" s="3" t="s">
        <v>116</v>
      </c>
      <c r="C825" s="3" t="s">
        <v>52</v>
      </c>
    </row>
    <row r="826">
      <c r="A826" s="3" t="s">
        <v>115</v>
      </c>
      <c r="B826" s="3" t="s">
        <v>118</v>
      </c>
      <c r="C826" s="3" t="s">
        <v>119</v>
      </c>
    </row>
    <row r="827">
      <c r="A827" s="3" t="s">
        <v>115</v>
      </c>
      <c r="B827" s="3" t="s">
        <v>116</v>
      </c>
      <c r="C827" s="3" t="s">
        <v>128</v>
      </c>
    </row>
    <row r="828">
      <c r="A828" s="3" t="s">
        <v>115</v>
      </c>
      <c r="B828" s="3" t="s">
        <v>118</v>
      </c>
      <c r="C828" s="3" t="s">
        <v>123</v>
      </c>
    </row>
    <row r="829">
      <c r="A829" s="3" t="s">
        <v>115</v>
      </c>
      <c r="B829" s="3" t="s">
        <v>120</v>
      </c>
      <c r="C829" s="3" t="s">
        <v>121</v>
      </c>
    </row>
    <row r="830">
      <c r="A830" s="3" t="s">
        <v>115</v>
      </c>
      <c r="B830" s="3" t="s">
        <v>116</v>
      </c>
      <c r="C830" s="3" t="s">
        <v>122</v>
      </c>
    </row>
    <row r="831">
      <c r="A831" s="3" t="s">
        <v>115</v>
      </c>
      <c r="B831" s="3" t="s">
        <v>118</v>
      </c>
      <c r="C831" s="3" t="s">
        <v>132</v>
      </c>
    </row>
    <row r="832">
      <c r="A832" s="3" t="s">
        <v>115</v>
      </c>
      <c r="B832" s="3" t="s">
        <v>118</v>
      </c>
      <c r="C832" s="3" t="s">
        <v>130</v>
      </c>
    </row>
    <row r="833">
      <c r="A833" s="3" t="s">
        <v>115</v>
      </c>
      <c r="B833" s="3" t="s">
        <v>116</v>
      </c>
      <c r="C833" s="3" t="s">
        <v>117</v>
      </c>
    </row>
    <row r="834">
      <c r="A834" s="3" t="s">
        <v>115</v>
      </c>
      <c r="B834" s="3" t="s">
        <v>116</v>
      </c>
      <c r="C834" s="3" t="s">
        <v>122</v>
      </c>
    </row>
    <row r="835">
      <c r="A835" s="3" t="s">
        <v>115</v>
      </c>
      <c r="B835" s="3" t="s">
        <v>118</v>
      </c>
      <c r="C835" s="3" t="s">
        <v>123</v>
      </c>
    </row>
    <row r="836">
      <c r="A836" s="3" t="s">
        <v>115</v>
      </c>
      <c r="B836" s="3" t="s">
        <v>120</v>
      </c>
      <c r="C836" s="3" t="s">
        <v>121</v>
      </c>
    </row>
    <row r="837">
      <c r="A837" s="3" t="s">
        <v>115</v>
      </c>
      <c r="B837" s="3" t="s">
        <v>116</v>
      </c>
      <c r="C837" s="3" t="s">
        <v>122</v>
      </c>
    </row>
    <row r="838">
      <c r="A838" s="3" t="s">
        <v>115</v>
      </c>
      <c r="B838" s="3" t="s">
        <v>124</v>
      </c>
      <c r="C838" s="3" t="s">
        <v>126</v>
      </c>
    </row>
    <row r="839">
      <c r="A839" s="3" t="s">
        <v>115</v>
      </c>
      <c r="B839" s="3" t="s">
        <v>116</v>
      </c>
      <c r="C839" s="3" t="s">
        <v>122</v>
      </c>
    </row>
    <row r="840">
      <c r="A840" s="3" t="s">
        <v>115</v>
      </c>
      <c r="B840" s="3" t="s">
        <v>118</v>
      </c>
      <c r="C840" s="3" t="s">
        <v>129</v>
      </c>
    </row>
    <row r="841">
      <c r="A841" s="3" t="s">
        <v>115</v>
      </c>
      <c r="B841" s="3" t="s">
        <v>118</v>
      </c>
      <c r="C841" s="3" t="s">
        <v>130</v>
      </c>
    </row>
    <row r="842">
      <c r="A842" s="3" t="s">
        <v>115</v>
      </c>
      <c r="B842" s="3" t="s">
        <v>120</v>
      </c>
      <c r="C842" s="3" t="s">
        <v>121</v>
      </c>
    </row>
    <row r="843">
      <c r="A843" s="3" t="s">
        <v>115</v>
      </c>
      <c r="B843" s="3" t="s">
        <v>118</v>
      </c>
      <c r="C843" s="3" t="s">
        <v>119</v>
      </c>
    </row>
    <row r="844">
      <c r="A844" s="3" t="s">
        <v>115</v>
      </c>
      <c r="B844" s="3" t="s">
        <v>118</v>
      </c>
      <c r="C844" s="3" t="s">
        <v>130</v>
      </c>
    </row>
    <row r="845">
      <c r="A845" s="3" t="s">
        <v>115</v>
      </c>
      <c r="B845" s="3" t="s">
        <v>120</v>
      </c>
      <c r="C845" s="3" t="s">
        <v>121</v>
      </c>
    </row>
    <row r="846">
      <c r="A846" s="3" t="s">
        <v>115</v>
      </c>
      <c r="B846" s="3" t="s">
        <v>118</v>
      </c>
      <c r="C846" s="3" t="s">
        <v>132</v>
      </c>
    </row>
    <row r="847">
      <c r="A847" s="3" t="s">
        <v>115</v>
      </c>
      <c r="B847" s="3" t="s">
        <v>116</v>
      </c>
      <c r="C847" s="3" t="s">
        <v>117</v>
      </c>
    </row>
    <row r="848">
      <c r="A848" s="3" t="s">
        <v>115</v>
      </c>
      <c r="B848" s="3" t="s">
        <v>116</v>
      </c>
      <c r="C848" s="3" t="s">
        <v>122</v>
      </c>
    </row>
    <row r="849">
      <c r="A849" s="3" t="s">
        <v>115</v>
      </c>
      <c r="B849" s="3" t="s">
        <v>118</v>
      </c>
      <c r="C849" s="3" t="s">
        <v>119</v>
      </c>
    </row>
    <row r="850">
      <c r="A850" s="3" t="s">
        <v>115</v>
      </c>
      <c r="B850" s="3" t="s">
        <v>118</v>
      </c>
      <c r="C850" s="3" t="s">
        <v>123</v>
      </c>
    </row>
    <row r="851">
      <c r="A851" s="3" t="s">
        <v>115</v>
      </c>
      <c r="B851" s="3" t="s">
        <v>116</v>
      </c>
      <c r="C851" s="3" t="s">
        <v>122</v>
      </c>
    </row>
    <row r="852">
      <c r="A852" s="3" t="s">
        <v>115</v>
      </c>
      <c r="B852" s="3" t="s">
        <v>116</v>
      </c>
      <c r="C852" s="3" t="s">
        <v>122</v>
      </c>
    </row>
    <row r="853">
      <c r="A853" s="3" t="s">
        <v>115</v>
      </c>
      <c r="B853" s="3" t="s">
        <v>116</v>
      </c>
      <c r="C853" s="3" t="s">
        <v>122</v>
      </c>
    </row>
    <row r="854">
      <c r="A854" s="3" t="s">
        <v>115</v>
      </c>
      <c r="B854" s="3" t="s">
        <v>116</v>
      </c>
      <c r="C854" s="3" t="s">
        <v>122</v>
      </c>
    </row>
    <row r="855">
      <c r="A855" s="3" t="s">
        <v>115</v>
      </c>
      <c r="B855" s="3" t="s">
        <v>116</v>
      </c>
      <c r="C855" s="3" t="s">
        <v>122</v>
      </c>
    </row>
    <row r="856">
      <c r="A856" s="3" t="s">
        <v>115</v>
      </c>
      <c r="B856" s="3" t="s">
        <v>118</v>
      </c>
      <c r="C856" s="3" t="s">
        <v>119</v>
      </c>
    </row>
    <row r="857">
      <c r="A857" s="3" t="s">
        <v>115</v>
      </c>
      <c r="B857" s="3" t="s">
        <v>120</v>
      </c>
      <c r="C857" s="3" t="s">
        <v>121</v>
      </c>
    </row>
    <row r="858">
      <c r="A858" s="3" t="s">
        <v>115</v>
      </c>
      <c r="B858" s="3" t="s">
        <v>116</v>
      </c>
      <c r="C858" s="3" t="s">
        <v>122</v>
      </c>
    </row>
    <row r="859">
      <c r="A859" s="3" t="s">
        <v>115</v>
      </c>
      <c r="B859" s="3" t="s">
        <v>118</v>
      </c>
      <c r="C859" s="3" t="s">
        <v>132</v>
      </c>
    </row>
    <row r="860">
      <c r="A860" s="3" t="s">
        <v>115</v>
      </c>
      <c r="B860" s="3" t="s">
        <v>118</v>
      </c>
      <c r="C860" s="3" t="s">
        <v>129</v>
      </c>
    </row>
    <row r="861">
      <c r="A861" s="3" t="s">
        <v>115</v>
      </c>
      <c r="B861" s="3" t="s">
        <v>120</v>
      </c>
      <c r="C861" s="3" t="s">
        <v>121</v>
      </c>
    </row>
    <row r="862">
      <c r="A862" s="3" t="s">
        <v>115</v>
      </c>
      <c r="B862" s="3" t="s">
        <v>124</v>
      </c>
      <c r="C862" s="3" t="s">
        <v>61</v>
      </c>
    </row>
    <row r="863">
      <c r="A863" s="3" t="s">
        <v>115</v>
      </c>
      <c r="B863" s="3" t="s">
        <v>118</v>
      </c>
      <c r="C863" s="3" t="s">
        <v>123</v>
      </c>
    </row>
    <row r="864">
      <c r="A864" s="3" t="s">
        <v>115</v>
      </c>
      <c r="B864" s="3" t="s">
        <v>116</v>
      </c>
      <c r="C864" s="3" t="s">
        <v>122</v>
      </c>
    </row>
    <row r="865">
      <c r="A865" s="3" t="s">
        <v>115</v>
      </c>
      <c r="B865" s="3" t="s">
        <v>118</v>
      </c>
      <c r="C865" s="3" t="s">
        <v>123</v>
      </c>
    </row>
    <row r="866">
      <c r="A866" s="3" t="s">
        <v>115</v>
      </c>
      <c r="B866" s="3" t="s">
        <v>118</v>
      </c>
      <c r="C866" s="3" t="s">
        <v>132</v>
      </c>
    </row>
    <row r="867">
      <c r="A867" s="3" t="s">
        <v>115</v>
      </c>
      <c r="B867" s="3" t="s">
        <v>116</v>
      </c>
      <c r="C867" s="3" t="s">
        <v>122</v>
      </c>
    </row>
    <row r="868">
      <c r="A868" s="3" t="s">
        <v>115</v>
      </c>
      <c r="B868" s="3" t="s">
        <v>118</v>
      </c>
      <c r="C868" s="3" t="s">
        <v>130</v>
      </c>
    </row>
    <row r="869">
      <c r="A869" s="3" t="s">
        <v>115</v>
      </c>
      <c r="B869" s="3" t="s">
        <v>120</v>
      </c>
      <c r="C869" s="3" t="s">
        <v>121</v>
      </c>
    </row>
    <row r="870">
      <c r="A870" s="3" t="s">
        <v>115</v>
      </c>
      <c r="B870" s="3" t="s">
        <v>116</v>
      </c>
      <c r="C870" s="3" t="s">
        <v>122</v>
      </c>
    </row>
    <row r="871">
      <c r="A871" s="3" t="s">
        <v>115</v>
      </c>
      <c r="B871" s="3" t="s">
        <v>120</v>
      </c>
      <c r="C871" s="3" t="s">
        <v>121</v>
      </c>
    </row>
    <row r="872">
      <c r="A872" s="3" t="s">
        <v>115</v>
      </c>
      <c r="B872" s="3" t="s">
        <v>124</v>
      </c>
      <c r="C872" s="3" t="s">
        <v>126</v>
      </c>
    </row>
    <row r="873">
      <c r="A873" s="3" t="s">
        <v>115</v>
      </c>
      <c r="B873" s="3" t="s">
        <v>116</v>
      </c>
      <c r="C873" s="3" t="s">
        <v>122</v>
      </c>
    </row>
    <row r="874">
      <c r="A874" s="3" t="s">
        <v>115</v>
      </c>
      <c r="B874" s="3" t="s">
        <v>120</v>
      </c>
      <c r="C874" s="3" t="s">
        <v>121</v>
      </c>
    </row>
    <row r="875">
      <c r="A875" s="3" t="s">
        <v>115</v>
      </c>
      <c r="B875" s="3" t="s">
        <v>116</v>
      </c>
      <c r="C875" s="3" t="s">
        <v>52</v>
      </c>
    </row>
    <row r="876">
      <c r="A876" s="3" t="s">
        <v>115</v>
      </c>
      <c r="B876" s="3" t="s">
        <v>120</v>
      </c>
      <c r="C876" s="3" t="s">
        <v>121</v>
      </c>
    </row>
    <row r="877">
      <c r="A877" s="3" t="s">
        <v>115</v>
      </c>
      <c r="B877" s="3" t="s">
        <v>124</v>
      </c>
      <c r="C877" s="3" t="s">
        <v>61</v>
      </c>
    </row>
    <row r="878">
      <c r="A878" s="3" t="s">
        <v>115</v>
      </c>
      <c r="B878" s="3" t="s">
        <v>120</v>
      </c>
      <c r="C878" s="3" t="s">
        <v>121</v>
      </c>
    </row>
    <row r="879">
      <c r="A879" s="3" t="s">
        <v>115</v>
      </c>
      <c r="B879" s="3" t="s">
        <v>124</v>
      </c>
      <c r="C879" s="3" t="s">
        <v>61</v>
      </c>
    </row>
    <row r="880">
      <c r="A880" s="3" t="s">
        <v>115</v>
      </c>
      <c r="B880" s="3" t="s">
        <v>120</v>
      </c>
      <c r="C880" s="3" t="s">
        <v>121</v>
      </c>
    </row>
    <row r="881">
      <c r="A881" s="3" t="s">
        <v>115</v>
      </c>
      <c r="B881" s="3" t="s">
        <v>124</v>
      </c>
      <c r="C881" s="3" t="s">
        <v>61</v>
      </c>
    </row>
    <row r="882">
      <c r="A882" s="3" t="s">
        <v>115</v>
      </c>
      <c r="B882" s="3" t="s">
        <v>120</v>
      </c>
      <c r="C882" s="3" t="s">
        <v>121</v>
      </c>
    </row>
    <row r="883">
      <c r="A883" s="3" t="s">
        <v>115</v>
      </c>
      <c r="B883" s="3" t="s">
        <v>116</v>
      </c>
      <c r="C883" s="3" t="s">
        <v>122</v>
      </c>
    </row>
    <row r="884">
      <c r="A884" s="3" t="s">
        <v>115</v>
      </c>
      <c r="B884" s="3" t="s">
        <v>120</v>
      </c>
      <c r="C884" s="3" t="s">
        <v>121</v>
      </c>
    </row>
    <row r="885">
      <c r="A885" s="3" t="s">
        <v>133</v>
      </c>
      <c r="B885" s="3" t="s">
        <v>134</v>
      </c>
      <c r="C885" s="3" t="s">
        <v>135</v>
      </c>
    </row>
    <row r="886">
      <c r="A886" s="3" t="s">
        <v>133</v>
      </c>
      <c r="B886" s="3" t="s">
        <v>136</v>
      </c>
      <c r="C886" s="3" t="s">
        <v>137</v>
      </c>
    </row>
    <row r="887">
      <c r="A887" s="3" t="s">
        <v>133</v>
      </c>
      <c r="B887" s="3" t="s">
        <v>136</v>
      </c>
      <c r="C887" s="3" t="s">
        <v>137</v>
      </c>
    </row>
    <row r="888">
      <c r="A888" s="3" t="s">
        <v>133</v>
      </c>
      <c r="B888" s="3" t="s">
        <v>136</v>
      </c>
      <c r="C888" s="3" t="s">
        <v>138</v>
      </c>
    </row>
    <row r="889">
      <c r="A889" s="3" t="s">
        <v>133</v>
      </c>
      <c r="B889" s="3" t="s">
        <v>136</v>
      </c>
      <c r="C889" s="3" t="s">
        <v>139</v>
      </c>
    </row>
    <row r="890">
      <c r="A890" s="3" t="s">
        <v>133</v>
      </c>
      <c r="B890" s="3" t="s">
        <v>136</v>
      </c>
      <c r="C890" s="3" t="s">
        <v>137</v>
      </c>
    </row>
    <row r="891">
      <c r="A891" s="3" t="s">
        <v>133</v>
      </c>
      <c r="B891" s="3" t="s">
        <v>136</v>
      </c>
      <c r="C891" s="3" t="s">
        <v>139</v>
      </c>
    </row>
    <row r="892">
      <c r="A892" s="3" t="s">
        <v>133</v>
      </c>
      <c r="B892" s="3" t="s">
        <v>136</v>
      </c>
      <c r="C892" s="3" t="s">
        <v>139</v>
      </c>
    </row>
    <row r="893">
      <c r="A893" s="3" t="s">
        <v>133</v>
      </c>
      <c r="B893" s="3" t="s">
        <v>136</v>
      </c>
      <c r="C893" s="3" t="s">
        <v>139</v>
      </c>
    </row>
    <row r="894">
      <c r="A894" s="3" t="s">
        <v>133</v>
      </c>
      <c r="B894" s="3" t="s">
        <v>136</v>
      </c>
      <c r="C894" s="3" t="s">
        <v>138</v>
      </c>
    </row>
    <row r="895">
      <c r="A895" s="3" t="s">
        <v>133</v>
      </c>
      <c r="B895" s="3" t="s">
        <v>136</v>
      </c>
      <c r="C895" s="3" t="s">
        <v>138</v>
      </c>
    </row>
    <row r="896">
      <c r="A896" s="3" t="s">
        <v>133</v>
      </c>
      <c r="B896" s="3" t="s">
        <v>136</v>
      </c>
      <c r="C896" s="3" t="s">
        <v>138</v>
      </c>
    </row>
    <row r="897">
      <c r="A897" s="3" t="s">
        <v>133</v>
      </c>
      <c r="B897" s="3" t="s">
        <v>136</v>
      </c>
      <c r="C897" s="3" t="s">
        <v>138</v>
      </c>
    </row>
    <row r="898">
      <c r="A898" s="3" t="s">
        <v>133</v>
      </c>
      <c r="B898" s="3" t="s">
        <v>136</v>
      </c>
      <c r="C898" s="3" t="s">
        <v>139</v>
      </c>
    </row>
    <row r="899">
      <c r="A899" s="3" t="s">
        <v>140</v>
      </c>
      <c r="B899" s="3" t="s">
        <v>141</v>
      </c>
      <c r="C899" s="3" t="s">
        <v>142</v>
      </c>
    </row>
    <row r="900">
      <c r="A900" s="3" t="s">
        <v>140</v>
      </c>
      <c r="B900" s="3" t="s">
        <v>143</v>
      </c>
      <c r="C900" s="3" t="s">
        <v>122</v>
      </c>
    </row>
    <row r="901">
      <c r="A901" s="3" t="s">
        <v>140</v>
      </c>
      <c r="B901" s="3" t="s">
        <v>144</v>
      </c>
      <c r="C901" s="3" t="s">
        <v>21</v>
      </c>
    </row>
    <row r="902">
      <c r="A902" s="3" t="s">
        <v>140</v>
      </c>
      <c r="B902" s="3" t="s">
        <v>141</v>
      </c>
      <c r="C902" s="3" t="s">
        <v>142</v>
      </c>
    </row>
    <row r="903">
      <c r="A903" s="3" t="s">
        <v>140</v>
      </c>
      <c r="B903" s="3" t="s">
        <v>143</v>
      </c>
      <c r="C903" s="3" t="s">
        <v>145</v>
      </c>
    </row>
    <row r="904">
      <c r="A904" s="3" t="s">
        <v>140</v>
      </c>
      <c r="B904" s="3" t="s">
        <v>144</v>
      </c>
      <c r="C904" s="3" t="s">
        <v>146</v>
      </c>
    </row>
    <row r="905">
      <c r="A905" s="3" t="s">
        <v>140</v>
      </c>
      <c r="B905" s="3" t="s">
        <v>141</v>
      </c>
      <c r="C905" s="3" t="s">
        <v>147</v>
      </c>
    </row>
    <row r="906">
      <c r="A906" s="3" t="s">
        <v>140</v>
      </c>
      <c r="B906" s="3" t="s">
        <v>148</v>
      </c>
      <c r="C906" s="3" t="s">
        <v>149</v>
      </c>
    </row>
    <row r="907">
      <c r="A907" s="3" t="s">
        <v>140</v>
      </c>
      <c r="B907" s="3" t="s">
        <v>144</v>
      </c>
      <c r="C907" s="3" t="s">
        <v>21</v>
      </c>
    </row>
    <row r="908">
      <c r="A908" s="3" t="s">
        <v>140</v>
      </c>
      <c r="B908" s="3" t="s">
        <v>141</v>
      </c>
      <c r="C908" s="3" t="s">
        <v>142</v>
      </c>
    </row>
    <row r="909">
      <c r="A909" s="3" t="s">
        <v>140</v>
      </c>
      <c r="B909" s="3" t="s">
        <v>141</v>
      </c>
      <c r="C909" s="3" t="s">
        <v>142</v>
      </c>
    </row>
    <row r="910">
      <c r="A910" s="3" t="s">
        <v>140</v>
      </c>
      <c r="B910" s="3" t="s">
        <v>143</v>
      </c>
      <c r="C910" s="3" t="s">
        <v>56</v>
      </c>
    </row>
    <row r="911">
      <c r="A911" s="3" t="s">
        <v>140</v>
      </c>
      <c r="B911" s="3" t="s">
        <v>143</v>
      </c>
      <c r="C911" s="3" t="s">
        <v>150</v>
      </c>
    </row>
    <row r="912">
      <c r="A912" s="3" t="s">
        <v>140</v>
      </c>
      <c r="B912" s="3" t="s">
        <v>143</v>
      </c>
      <c r="C912" s="3" t="s">
        <v>61</v>
      </c>
    </row>
    <row r="913">
      <c r="A913" s="3" t="s">
        <v>140</v>
      </c>
      <c r="B913" s="3" t="s">
        <v>143</v>
      </c>
      <c r="C913" s="3" t="s">
        <v>56</v>
      </c>
    </row>
    <row r="914">
      <c r="A914" s="3" t="s">
        <v>140</v>
      </c>
      <c r="B914" s="3" t="s">
        <v>143</v>
      </c>
      <c r="C914" s="3" t="s">
        <v>150</v>
      </c>
    </row>
    <row r="915">
      <c r="A915" s="3" t="s">
        <v>140</v>
      </c>
      <c r="B915" s="3" t="s">
        <v>143</v>
      </c>
      <c r="C915" s="3" t="s">
        <v>61</v>
      </c>
    </row>
    <row r="916">
      <c r="A916" s="3" t="s">
        <v>140</v>
      </c>
      <c r="B916" s="3" t="s">
        <v>143</v>
      </c>
      <c r="C916" s="3" t="s">
        <v>56</v>
      </c>
    </row>
    <row r="917">
      <c r="A917" s="3" t="s">
        <v>140</v>
      </c>
      <c r="B917" s="3" t="s">
        <v>141</v>
      </c>
      <c r="C917" s="3" t="s">
        <v>142</v>
      </c>
    </row>
    <row r="918">
      <c r="A918" s="3" t="s">
        <v>140</v>
      </c>
      <c r="B918" s="3" t="s">
        <v>144</v>
      </c>
      <c r="C918" s="3" t="s">
        <v>146</v>
      </c>
    </row>
    <row r="919">
      <c r="A919" s="3" t="s">
        <v>140</v>
      </c>
      <c r="B919" s="3" t="s">
        <v>151</v>
      </c>
      <c r="C919" s="3" t="s">
        <v>152</v>
      </c>
    </row>
    <row r="920">
      <c r="A920" s="3" t="s">
        <v>140</v>
      </c>
      <c r="B920" s="3" t="s">
        <v>148</v>
      </c>
      <c r="C920" s="3" t="s">
        <v>153</v>
      </c>
    </row>
    <row r="921">
      <c r="A921" s="3" t="s">
        <v>140</v>
      </c>
      <c r="B921" s="3" t="s">
        <v>148</v>
      </c>
      <c r="C921" s="3" t="s">
        <v>149</v>
      </c>
    </row>
    <row r="922">
      <c r="A922" s="3" t="s">
        <v>140</v>
      </c>
      <c r="B922" s="3" t="s">
        <v>143</v>
      </c>
      <c r="C922" s="3" t="s">
        <v>145</v>
      </c>
    </row>
    <row r="923">
      <c r="A923" s="3" t="s">
        <v>140</v>
      </c>
      <c r="B923" s="3" t="s">
        <v>141</v>
      </c>
      <c r="C923" s="3" t="s">
        <v>142</v>
      </c>
    </row>
    <row r="924">
      <c r="A924" s="3" t="s">
        <v>140</v>
      </c>
      <c r="B924" s="3" t="s">
        <v>143</v>
      </c>
      <c r="C924" s="3" t="s">
        <v>56</v>
      </c>
    </row>
    <row r="925">
      <c r="A925" s="3" t="s">
        <v>140</v>
      </c>
      <c r="B925" s="3" t="s">
        <v>144</v>
      </c>
      <c r="C925" s="3" t="s">
        <v>21</v>
      </c>
    </row>
    <row r="926">
      <c r="A926" s="3" t="s">
        <v>140</v>
      </c>
      <c r="B926" s="3" t="s">
        <v>141</v>
      </c>
      <c r="C926" s="3" t="s">
        <v>154</v>
      </c>
    </row>
    <row r="927">
      <c r="A927" s="3" t="s">
        <v>140</v>
      </c>
      <c r="B927" s="3" t="s">
        <v>141</v>
      </c>
      <c r="C927" s="3" t="s">
        <v>147</v>
      </c>
    </row>
    <row r="928">
      <c r="A928" s="3" t="s">
        <v>140</v>
      </c>
      <c r="B928" s="3" t="s">
        <v>155</v>
      </c>
      <c r="C928" s="3" t="s">
        <v>46</v>
      </c>
    </row>
    <row r="929">
      <c r="A929" s="3" t="s">
        <v>140</v>
      </c>
      <c r="B929" s="3" t="s">
        <v>141</v>
      </c>
      <c r="C929" s="3" t="s">
        <v>147</v>
      </c>
    </row>
    <row r="930">
      <c r="A930" s="3" t="s">
        <v>140</v>
      </c>
      <c r="B930" s="3" t="s">
        <v>148</v>
      </c>
      <c r="C930" s="3" t="s">
        <v>149</v>
      </c>
    </row>
    <row r="931">
      <c r="A931" s="3" t="s">
        <v>140</v>
      </c>
      <c r="B931" s="3" t="s">
        <v>141</v>
      </c>
      <c r="C931" s="3" t="s">
        <v>142</v>
      </c>
    </row>
    <row r="932">
      <c r="A932" s="3" t="s">
        <v>140</v>
      </c>
      <c r="B932" s="3" t="s">
        <v>141</v>
      </c>
      <c r="C932" s="3" t="s">
        <v>142</v>
      </c>
    </row>
    <row r="933">
      <c r="A933" s="3" t="s">
        <v>140</v>
      </c>
      <c r="B933" s="3" t="s">
        <v>141</v>
      </c>
      <c r="C933" s="3" t="s">
        <v>142</v>
      </c>
    </row>
    <row r="934">
      <c r="A934" s="3" t="s">
        <v>140</v>
      </c>
      <c r="B934" s="3" t="s">
        <v>144</v>
      </c>
      <c r="C934" s="3" t="s">
        <v>146</v>
      </c>
    </row>
    <row r="935">
      <c r="A935" s="3" t="s">
        <v>140</v>
      </c>
      <c r="B935" s="3" t="s">
        <v>144</v>
      </c>
      <c r="C935" s="3" t="s">
        <v>156</v>
      </c>
    </row>
    <row r="936">
      <c r="A936" s="3" t="s">
        <v>140</v>
      </c>
      <c r="B936" s="3" t="s">
        <v>143</v>
      </c>
      <c r="C936" s="3" t="s">
        <v>122</v>
      </c>
    </row>
    <row r="937">
      <c r="A937" s="3" t="s">
        <v>140</v>
      </c>
      <c r="B937" s="3" t="s">
        <v>143</v>
      </c>
      <c r="C937" s="3" t="s">
        <v>122</v>
      </c>
    </row>
    <row r="938">
      <c r="A938" s="3" t="s">
        <v>140</v>
      </c>
      <c r="B938" s="3" t="s">
        <v>143</v>
      </c>
      <c r="C938" s="3" t="s">
        <v>122</v>
      </c>
    </row>
    <row r="939">
      <c r="A939" s="3" t="s">
        <v>140</v>
      </c>
      <c r="B939" s="3" t="s">
        <v>144</v>
      </c>
      <c r="C939" s="3" t="s">
        <v>21</v>
      </c>
    </row>
    <row r="940">
      <c r="A940" s="3" t="s">
        <v>140</v>
      </c>
      <c r="B940" s="3" t="s">
        <v>141</v>
      </c>
      <c r="C940" s="3" t="s">
        <v>142</v>
      </c>
    </row>
    <row r="941">
      <c r="A941" s="3" t="s">
        <v>140</v>
      </c>
      <c r="B941" s="3" t="s">
        <v>157</v>
      </c>
      <c r="C941" s="3" t="s">
        <v>146</v>
      </c>
    </row>
    <row r="942">
      <c r="A942" s="3" t="s">
        <v>140</v>
      </c>
      <c r="B942" s="3" t="s">
        <v>144</v>
      </c>
      <c r="C942" s="3" t="s">
        <v>146</v>
      </c>
    </row>
    <row r="943">
      <c r="A943" s="3" t="s">
        <v>140</v>
      </c>
      <c r="B943" s="3" t="s">
        <v>141</v>
      </c>
      <c r="C943" s="3" t="s">
        <v>154</v>
      </c>
    </row>
    <row r="944">
      <c r="A944" s="3" t="s">
        <v>140</v>
      </c>
      <c r="B944" s="3" t="s">
        <v>148</v>
      </c>
      <c r="C944" s="3" t="s">
        <v>158</v>
      </c>
    </row>
    <row r="945">
      <c r="A945" s="3" t="s">
        <v>140</v>
      </c>
      <c r="B945" s="3" t="s">
        <v>144</v>
      </c>
      <c r="C945" s="3" t="s">
        <v>146</v>
      </c>
    </row>
    <row r="946">
      <c r="A946" s="3" t="s">
        <v>140</v>
      </c>
      <c r="B946" s="3" t="s">
        <v>144</v>
      </c>
      <c r="C946" s="3" t="s">
        <v>21</v>
      </c>
    </row>
    <row r="947">
      <c r="A947" s="3" t="s">
        <v>140</v>
      </c>
      <c r="B947" s="3" t="s">
        <v>143</v>
      </c>
      <c r="C947" s="3" t="s">
        <v>56</v>
      </c>
    </row>
    <row r="948">
      <c r="A948" s="3" t="s">
        <v>140</v>
      </c>
      <c r="B948" s="3" t="s">
        <v>143</v>
      </c>
      <c r="C948" s="3" t="s">
        <v>150</v>
      </c>
    </row>
    <row r="949">
      <c r="A949" s="3" t="s">
        <v>140</v>
      </c>
      <c r="B949" s="3" t="s">
        <v>144</v>
      </c>
      <c r="C949" s="3" t="s">
        <v>21</v>
      </c>
    </row>
    <row r="950">
      <c r="A950" s="3" t="s">
        <v>140</v>
      </c>
      <c r="B950" s="3" t="s">
        <v>144</v>
      </c>
      <c r="C950" s="3" t="s">
        <v>146</v>
      </c>
    </row>
    <row r="951">
      <c r="A951" s="3" t="s">
        <v>140</v>
      </c>
      <c r="B951" s="3" t="s">
        <v>144</v>
      </c>
      <c r="C951" s="3" t="s">
        <v>146</v>
      </c>
    </row>
    <row r="952">
      <c r="A952" s="3" t="s">
        <v>140</v>
      </c>
      <c r="B952" s="3" t="s">
        <v>143</v>
      </c>
      <c r="C952" s="3" t="s">
        <v>150</v>
      </c>
    </row>
    <row r="953">
      <c r="A953" s="3" t="s">
        <v>140</v>
      </c>
      <c r="B953" s="3" t="s">
        <v>148</v>
      </c>
      <c r="C953" s="3" t="s">
        <v>149</v>
      </c>
    </row>
    <row r="954">
      <c r="A954" s="3" t="s">
        <v>140</v>
      </c>
      <c r="B954" s="3" t="s">
        <v>148</v>
      </c>
      <c r="C954" s="3" t="s">
        <v>149</v>
      </c>
    </row>
    <row r="955">
      <c r="A955" s="3" t="s">
        <v>140</v>
      </c>
      <c r="B955" s="3" t="s">
        <v>148</v>
      </c>
      <c r="C955" s="3" t="s">
        <v>149</v>
      </c>
    </row>
    <row r="956">
      <c r="A956" s="3" t="s">
        <v>140</v>
      </c>
      <c r="B956" s="3" t="s">
        <v>141</v>
      </c>
      <c r="C956" s="3" t="s">
        <v>147</v>
      </c>
    </row>
    <row r="957">
      <c r="A957" s="3" t="s">
        <v>140</v>
      </c>
      <c r="B957" s="3" t="s">
        <v>143</v>
      </c>
      <c r="C957" s="3" t="s">
        <v>56</v>
      </c>
    </row>
    <row r="958">
      <c r="A958" s="3" t="s">
        <v>140</v>
      </c>
      <c r="B958" s="3" t="s">
        <v>143</v>
      </c>
      <c r="C958" s="3" t="s">
        <v>61</v>
      </c>
    </row>
    <row r="959">
      <c r="A959" s="3" t="s">
        <v>140</v>
      </c>
      <c r="B959" s="3" t="s">
        <v>143</v>
      </c>
      <c r="C959" s="3" t="s">
        <v>46</v>
      </c>
    </row>
    <row r="960">
      <c r="A960" s="3" t="s">
        <v>140</v>
      </c>
      <c r="B960" s="3" t="s">
        <v>141</v>
      </c>
      <c r="C960" s="3" t="s">
        <v>142</v>
      </c>
    </row>
    <row r="961">
      <c r="A961" s="3" t="s">
        <v>140</v>
      </c>
      <c r="B961" s="3" t="s">
        <v>141</v>
      </c>
      <c r="C961" s="3" t="s">
        <v>154</v>
      </c>
    </row>
    <row r="962">
      <c r="A962" s="3" t="s">
        <v>140</v>
      </c>
      <c r="B962" s="3" t="s">
        <v>143</v>
      </c>
      <c r="C962" s="3" t="s">
        <v>145</v>
      </c>
    </row>
    <row r="963">
      <c r="A963" s="3" t="s">
        <v>140</v>
      </c>
      <c r="B963" s="3" t="s">
        <v>148</v>
      </c>
      <c r="C963" s="3" t="s">
        <v>158</v>
      </c>
    </row>
    <row r="964">
      <c r="A964" s="3" t="s">
        <v>140</v>
      </c>
      <c r="B964" s="3" t="s">
        <v>141</v>
      </c>
      <c r="C964" s="3" t="s">
        <v>154</v>
      </c>
    </row>
    <row r="965">
      <c r="A965" s="3" t="s">
        <v>140</v>
      </c>
      <c r="B965" s="3" t="s">
        <v>143</v>
      </c>
      <c r="C965" s="3" t="s">
        <v>159</v>
      </c>
    </row>
    <row r="966">
      <c r="A966" s="3" t="s">
        <v>140</v>
      </c>
      <c r="B966" s="3" t="s">
        <v>144</v>
      </c>
      <c r="C966" s="3" t="s">
        <v>156</v>
      </c>
    </row>
    <row r="967">
      <c r="A967" s="3" t="s">
        <v>140</v>
      </c>
      <c r="B967" s="3" t="s">
        <v>157</v>
      </c>
      <c r="C967" s="3" t="s">
        <v>160</v>
      </c>
    </row>
    <row r="968">
      <c r="A968" s="3" t="s">
        <v>140</v>
      </c>
      <c r="B968" s="3" t="s">
        <v>157</v>
      </c>
      <c r="C968" s="3" t="s">
        <v>146</v>
      </c>
    </row>
    <row r="969">
      <c r="A969" s="3" t="s">
        <v>140</v>
      </c>
      <c r="B969" s="3" t="s">
        <v>157</v>
      </c>
      <c r="C969" s="3" t="s">
        <v>161</v>
      </c>
    </row>
    <row r="970">
      <c r="A970" s="3" t="s">
        <v>140</v>
      </c>
      <c r="B970" s="3" t="s">
        <v>148</v>
      </c>
      <c r="C970" s="3" t="s">
        <v>153</v>
      </c>
    </row>
    <row r="971">
      <c r="A971" s="3" t="s">
        <v>140</v>
      </c>
      <c r="B971" s="3" t="s">
        <v>155</v>
      </c>
      <c r="C971" s="3" t="s">
        <v>162</v>
      </c>
    </row>
    <row r="972">
      <c r="A972" s="3" t="s">
        <v>140</v>
      </c>
      <c r="B972" s="3" t="s">
        <v>151</v>
      </c>
      <c r="C972" s="3" t="s">
        <v>152</v>
      </c>
    </row>
    <row r="973">
      <c r="A973" s="3" t="s">
        <v>140</v>
      </c>
      <c r="B973" s="3" t="s">
        <v>144</v>
      </c>
      <c r="C973" s="3" t="s">
        <v>156</v>
      </c>
    </row>
    <row r="974">
      <c r="A974" s="3" t="s">
        <v>140</v>
      </c>
      <c r="B974" s="3" t="s">
        <v>148</v>
      </c>
      <c r="C974" s="3" t="s">
        <v>158</v>
      </c>
    </row>
    <row r="975">
      <c r="A975" s="3" t="s">
        <v>140</v>
      </c>
      <c r="B975" s="3" t="s">
        <v>143</v>
      </c>
      <c r="C975" s="3" t="s">
        <v>122</v>
      </c>
    </row>
    <row r="976">
      <c r="A976" s="3" t="s">
        <v>140</v>
      </c>
      <c r="B976" s="3" t="s">
        <v>143</v>
      </c>
      <c r="C976" s="3" t="s">
        <v>56</v>
      </c>
    </row>
    <row r="977">
      <c r="A977" s="3" t="s">
        <v>140</v>
      </c>
      <c r="B977" s="3" t="s">
        <v>143</v>
      </c>
      <c r="C977" s="3" t="s">
        <v>150</v>
      </c>
    </row>
    <row r="978">
      <c r="A978" s="3" t="s">
        <v>140</v>
      </c>
      <c r="B978" s="3" t="s">
        <v>143</v>
      </c>
      <c r="C978" s="3" t="s">
        <v>159</v>
      </c>
    </row>
    <row r="979">
      <c r="A979" s="3" t="s">
        <v>140</v>
      </c>
      <c r="B979" s="3" t="s">
        <v>143</v>
      </c>
      <c r="C979" s="3" t="s">
        <v>56</v>
      </c>
    </row>
    <row r="980">
      <c r="A980" s="3" t="s">
        <v>140</v>
      </c>
      <c r="B980" s="3" t="s">
        <v>148</v>
      </c>
      <c r="C980" s="3" t="s">
        <v>149</v>
      </c>
    </row>
    <row r="981">
      <c r="A981" s="3" t="s">
        <v>140</v>
      </c>
      <c r="B981" s="3" t="s">
        <v>148</v>
      </c>
      <c r="C981" s="3" t="s">
        <v>158</v>
      </c>
    </row>
    <row r="982">
      <c r="A982" s="3" t="s">
        <v>140</v>
      </c>
      <c r="B982" s="3" t="s">
        <v>143</v>
      </c>
      <c r="C982" s="3" t="s">
        <v>122</v>
      </c>
    </row>
    <row r="983">
      <c r="A983" s="3" t="s">
        <v>140</v>
      </c>
      <c r="B983" s="3" t="s">
        <v>148</v>
      </c>
      <c r="C983" s="3" t="s">
        <v>158</v>
      </c>
    </row>
    <row r="984">
      <c r="A984" s="3" t="s">
        <v>140</v>
      </c>
      <c r="B984" s="3" t="s">
        <v>143</v>
      </c>
      <c r="C984" s="3" t="s">
        <v>56</v>
      </c>
    </row>
    <row r="985">
      <c r="A985" s="3" t="s">
        <v>140</v>
      </c>
      <c r="B985" s="3" t="s">
        <v>143</v>
      </c>
      <c r="C985" s="3" t="s">
        <v>145</v>
      </c>
    </row>
    <row r="986">
      <c r="A986" s="3" t="s">
        <v>140</v>
      </c>
      <c r="B986" s="3" t="s">
        <v>141</v>
      </c>
      <c r="C986" s="3" t="s">
        <v>147</v>
      </c>
    </row>
    <row r="987">
      <c r="A987" s="3" t="s">
        <v>140</v>
      </c>
      <c r="B987" s="3" t="s">
        <v>151</v>
      </c>
      <c r="C987" s="3" t="s">
        <v>152</v>
      </c>
    </row>
    <row r="988">
      <c r="A988" s="3" t="s">
        <v>140</v>
      </c>
      <c r="B988" s="3" t="s">
        <v>148</v>
      </c>
      <c r="C988" s="3" t="s">
        <v>149</v>
      </c>
    </row>
    <row r="989">
      <c r="A989" s="3" t="s">
        <v>140</v>
      </c>
      <c r="B989" s="3" t="s">
        <v>157</v>
      </c>
      <c r="C989" s="3" t="s">
        <v>146</v>
      </c>
    </row>
    <row r="990">
      <c r="A990" s="3" t="s">
        <v>140</v>
      </c>
      <c r="B990" s="3" t="s">
        <v>141</v>
      </c>
      <c r="C990" s="3" t="s">
        <v>147</v>
      </c>
    </row>
    <row r="991">
      <c r="A991" s="3" t="s">
        <v>140</v>
      </c>
      <c r="B991" s="3" t="s">
        <v>143</v>
      </c>
      <c r="C991" s="3" t="s">
        <v>150</v>
      </c>
    </row>
    <row r="992">
      <c r="A992" s="3" t="s">
        <v>140</v>
      </c>
      <c r="B992" s="3" t="s">
        <v>143</v>
      </c>
      <c r="C992" s="3" t="s">
        <v>46</v>
      </c>
    </row>
    <row r="993">
      <c r="A993" s="3" t="s">
        <v>140</v>
      </c>
      <c r="B993" s="3" t="s">
        <v>155</v>
      </c>
      <c r="C993" s="3" t="s">
        <v>162</v>
      </c>
    </row>
    <row r="994">
      <c r="A994" s="3" t="s">
        <v>140</v>
      </c>
      <c r="B994" s="3" t="s">
        <v>143</v>
      </c>
      <c r="C994" s="3" t="s">
        <v>145</v>
      </c>
    </row>
    <row r="995">
      <c r="A995" s="3" t="s">
        <v>140</v>
      </c>
      <c r="B995" s="3" t="s">
        <v>143</v>
      </c>
      <c r="C995" s="3" t="s">
        <v>56</v>
      </c>
    </row>
    <row r="996">
      <c r="A996" s="3" t="s">
        <v>140</v>
      </c>
      <c r="B996" s="3" t="s">
        <v>143</v>
      </c>
      <c r="C996" s="3" t="s">
        <v>145</v>
      </c>
    </row>
    <row r="997">
      <c r="A997" s="3" t="s">
        <v>140</v>
      </c>
      <c r="B997" s="3" t="s">
        <v>143</v>
      </c>
      <c r="C997" s="3" t="s">
        <v>145</v>
      </c>
    </row>
    <row r="998">
      <c r="A998" s="3" t="s">
        <v>140</v>
      </c>
      <c r="B998" s="3" t="s">
        <v>143</v>
      </c>
      <c r="C998" s="3" t="s">
        <v>150</v>
      </c>
    </row>
    <row r="999">
      <c r="A999" s="3" t="s">
        <v>140</v>
      </c>
      <c r="B999" s="3" t="s">
        <v>148</v>
      </c>
      <c r="C999" s="3" t="s">
        <v>158</v>
      </c>
    </row>
    <row r="1000">
      <c r="A1000" s="3" t="s">
        <v>140</v>
      </c>
      <c r="B1000" s="3" t="s">
        <v>144</v>
      </c>
      <c r="C1000" s="3" t="s">
        <v>21</v>
      </c>
    </row>
    <row r="1001">
      <c r="A1001" s="3" t="s">
        <v>140</v>
      </c>
      <c r="B1001" s="3" t="s">
        <v>144</v>
      </c>
      <c r="C1001" s="3" t="s">
        <v>21</v>
      </c>
    </row>
    <row r="1002">
      <c r="A1002" s="3" t="s">
        <v>140</v>
      </c>
      <c r="B1002" s="3" t="s">
        <v>155</v>
      </c>
      <c r="C1002" s="3" t="s">
        <v>46</v>
      </c>
    </row>
    <row r="1003">
      <c r="A1003" s="3" t="s">
        <v>140</v>
      </c>
      <c r="B1003" s="3" t="s">
        <v>148</v>
      </c>
      <c r="C1003" s="3" t="s">
        <v>158</v>
      </c>
    </row>
    <row r="1004">
      <c r="A1004" s="3" t="s">
        <v>140</v>
      </c>
      <c r="B1004" s="3" t="s">
        <v>143</v>
      </c>
      <c r="C1004" s="3" t="s">
        <v>56</v>
      </c>
    </row>
    <row r="1005">
      <c r="A1005" s="3" t="s">
        <v>140</v>
      </c>
      <c r="B1005" s="3" t="s">
        <v>148</v>
      </c>
      <c r="C1005" s="3" t="s">
        <v>158</v>
      </c>
    </row>
    <row r="1006">
      <c r="A1006" s="3" t="s">
        <v>140</v>
      </c>
      <c r="B1006" s="3" t="s">
        <v>143</v>
      </c>
      <c r="C1006" s="3" t="s">
        <v>56</v>
      </c>
    </row>
    <row r="1007">
      <c r="A1007" s="3" t="s">
        <v>140</v>
      </c>
      <c r="B1007" s="3" t="s">
        <v>148</v>
      </c>
      <c r="C1007" s="3" t="s">
        <v>149</v>
      </c>
    </row>
    <row r="1008">
      <c r="A1008" s="3" t="s">
        <v>140</v>
      </c>
      <c r="B1008" s="3" t="s">
        <v>143</v>
      </c>
      <c r="C1008" s="3" t="s">
        <v>61</v>
      </c>
    </row>
    <row r="1009">
      <c r="A1009" s="3" t="s">
        <v>140</v>
      </c>
      <c r="B1009" s="3" t="s">
        <v>141</v>
      </c>
      <c r="C1009" s="3" t="s">
        <v>147</v>
      </c>
    </row>
    <row r="1010">
      <c r="A1010" s="3" t="s">
        <v>140</v>
      </c>
      <c r="B1010" s="3" t="s">
        <v>144</v>
      </c>
      <c r="C1010" s="3" t="s">
        <v>21</v>
      </c>
    </row>
    <row r="1011">
      <c r="A1011" s="3" t="s">
        <v>140</v>
      </c>
      <c r="B1011" s="3" t="s">
        <v>141</v>
      </c>
      <c r="C1011" s="3" t="s">
        <v>154</v>
      </c>
    </row>
    <row r="1012">
      <c r="A1012" s="3" t="s">
        <v>140</v>
      </c>
      <c r="B1012" s="3" t="s">
        <v>148</v>
      </c>
      <c r="C1012" s="3" t="s">
        <v>158</v>
      </c>
    </row>
    <row r="1013">
      <c r="A1013" s="3" t="s">
        <v>140</v>
      </c>
      <c r="B1013" s="3" t="s">
        <v>148</v>
      </c>
      <c r="C1013" s="3" t="s">
        <v>158</v>
      </c>
    </row>
    <row r="1014">
      <c r="A1014" s="3" t="s">
        <v>140</v>
      </c>
      <c r="B1014" s="3" t="s">
        <v>144</v>
      </c>
      <c r="C1014" s="3" t="s">
        <v>21</v>
      </c>
    </row>
    <row r="1015">
      <c r="A1015" s="3" t="s">
        <v>140</v>
      </c>
      <c r="B1015" s="3" t="s">
        <v>148</v>
      </c>
      <c r="C1015" s="3" t="s">
        <v>149</v>
      </c>
    </row>
    <row r="1016">
      <c r="A1016" s="3" t="s">
        <v>140</v>
      </c>
      <c r="B1016" s="3" t="s">
        <v>148</v>
      </c>
      <c r="C1016" s="3" t="s">
        <v>158</v>
      </c>
    </row>
    <row r="1017">
      <c r="A1017" s="3" t="s">
        <v>140</v>
      </c>
      <c r="B1017" s="3" t="s">
        <v>143</v>
      </c>
      <c r="C1017" s="3" t="s">
        <v>145</v>
      </c>
    </row>
    <row r="1018">
      <c r="A1018" s="3" t="s">
        <v>140</v>
      </c>
      <c r="B1018" s="3" t="s">
        <v>143</v>
      </c>
      <c r="C1018" s="3" t="s">
        <v>145</v>
      </c>
    </row>
    <row r="1019">
      <c r="A1019" s="3" t="s">
        <v>140</v>
      </c>
      <c r="B1019" s="3" t="s">
        <v>148</v>
      </c>
      <c r="C1019" s="3" t="s">
        <v>153</v>
      </c>
    </row>
    <row r="1020">
      <c r="A1020" s="3" t="s">
        <v>140</v>
      </c>
      <c r="B1020" s="3" t="s">
        <v>148</v>
      </c>
      <c r="C1020" s="3" t="s">
        <v>149</v>
      </c>
    </row>
    <row r="1021">
      <c r="A1021" s="3" t="s">
        <v>140</v>
      </c>
      <c r="B1021" s="3" t="s">
        <v>148</v>
      </c>
      <c r="C1021" s="3" t="s">
        <v>158</v>
      </c>
    </row>
    <row r="1022">
      <c r="A1022" s="3" t="s">
        <v>140</v>
      </c>
      <c r="B1022" s="3" t="s">
        <v>144</v>
      </c>
      <c r="C1022" s="3" t="s">
        <v>21</v>
      </c>
    </row>
    <row r="1023">
      <c r="A1023" s="3" t="s">
        <v>140</v>
      </c>
      <c r="B1023" s="3" t="s">
        <v>143</v>
      </c>
      <c r="C1023" s="3" t="s">
        <v>56</v>
      </c>
    </row>
    <row r="1024">
      <c r="A1024" s="3" t="s">
        <v>140</v>
      </c>
      <c r="B1024" s="3" t="s">
        <v>144</v>
      </c>
      <c r="C1024" s="3" t="s">
        <v>146</v>
      </c>
    </row>
    <row r="1025">
      <c r="A1025" s="3" t="s">
        <v>140</v>
      </c>
      <c r="B1025" s="3" t="s">
        <v>143</v>
      </c>
      <c r="C1025" s="3" t="s">
        <v>61</v>
      </c>
    </row>
    <row r="1026">
      <c r="A1026" s="3" t="s">
        <v>140</v>
      </c>
      <c r="B1026" s="3" t="s">
        <v>143</v>
      </c>
      <c r="C1026" s="3" t="s">
        <v>145</v>
      </c>
    </row>
    <row r="1027">
      <c r="A1027" s="3" t="s">
        <v>140</v>
      </c>
      <c r="B1027" s="3" t="s">
        <v>141</v>
      </c>
      <c r="C1027" s="3" t="s">
        <v>154</v>
      </c>
    </row>
    <row r="1028">
      <c r="A1028" s="3" t="s">
        <v>140</v>
      </c>
      <c r="B1028" s="3" t="s">
        <v>151</v>
      </c>
      <c r="C1028" s="3" t="s">
        <v>152</v>
      </c>
    </row>
    <row r="1029">
      <c r="A1029" s="3" t="s">
        <v>140</v>
      </c>
      <c r="B1029" s="3" t="s">
        <v>141</v>
      </c>
      <c r="C1029" s="3" t="s">
        <v>142</v>
      </c>
    </row>
    <row r="1030">
      <c r="A1030" s="3" t="s">
        <v>140</v>
      </c>
      <c r="B1030" s="3" t="s">
        <v>143</v>
      </c>
      <c r="C1030" s="3" t="s">
        <v>56</v>
      </c>
    </row>
    <row r="1031">
      <c r="A1031" s="3" t="s">
        <v>140</v>
      </c>
      <c r="B1031" s="3" t="s">
        <v>141</v>
      </c>
      <c r="C1031" s="3" t="s">
        <v>154</v>
      </c>
    </row>
    <row r="1032">
      <c r="A1032" s="3" t="s">
        <v>140</v>
      </c>
      <c r="B1032" s="3" t="s">
        <v>144</v>
      </c>
      <c r="C1032" s="3" t="s">
        <v>156</v>
      </c>
    </row>
    <row r="1033">
      <c r="A1033" s="3" t="s">
        <v>140</v>
      </c>
      <c r="B1033" s="3" t="s">
        <v>148</v>
      </c>
      <c r="C1033" s="3" t="s">
        <v>158</v>
      </c>
    </row>
    <row r="1034">
      <c r="A1034" s="3" t="s">
        <v>140</v>
      </c>
      <c r="B1034" s="3" t="s">
        <v>148</v>
      </c>
      <c r="C1034" s="3" t="s">
        <v>158</v>
      </c>
    </row>
    <row r="1035">
      <c r="A1035" s="3" t="s">
        <v>140</v>
      </c>
      <c r="B1035" s="3" t="s">
        <v>148</v>
      </c>
      <c r="C1035" s="3" t="s">
        <v>158</v>
      </c>
    </row>
    <row r="1036">
      <c r="A1036" s="3" t="s">
        <v>140</v>
      </c>
      <c r="B1036" s="3" t="s">
        <v>143</v>
      </c>
      <c r="C1036" s="3" t="s">
        <v>150</v>
      </c>
    </row>
    <row r="1037">
      <c r="A1037" s="3" t="s">
        <v>140</v>
      </c>
      <c r="B1037" s="3" t="s">
        <v>141</v>
      </c>
      <c r="C1037" s="3" t="s">
        <v>154</v>
      </c>
    </row>
    <row r="1038">
      <c r="A1038" s="3" t="s">
        <v>140</v>
      </c>
      <c r="B1038" s="3" t="s">
        <v>155</v>
      </c>
      <c r="C1038" s="3" t="s">
        <v>46</v>
      </c>
    </row>
    <row r="1039">
      <c r="A1039" s="3" t="s">
        <v>140</v>
      </c>
      <c r="B1039" s="3" t="s">
        <v>163</v>
      </c>
      <c r="C1039" s="3" t="s">
        <v>164</v>
      </c>
    </row>
    <row r="1040">
      <c r="A1040" s="3" t="s">
        <v>140</v>
      </c>
      <c r="B1040" s="3" t="s">
        <v>141</v>
      </c>
      <c r="C1040" s="3" t="s">
        <v>147</v>
      </c>
    </row>
    <row r="1041">
      <c r="A1041" s="3" t="s">
        <v>140</v>
      </c>
      <c r="B1041" s="3" t="s">
        <v>143</v>
      </c>
      <c r="C1041" s="3" t="s">
        <v>122</v>
      </c>
    </row>
    <row r="1042">
      <c r="A1042" s="3" t="s">
        <v>140</v>
      </c>
      <c r="B1042" s="3" t="s">
        <v>141</v>
      </c>
      <c r="C1042" s="3" t="s">
        <v>142</v>
      </c>
    </row>
    <row r="1043">
      <c r="A1043" s="3" t="s">
        <v>140</v>
      </c>
      <c r="B1043" s="3" t="s">
        <v>155</v>
      </c>
      <c r="C1043" s="3" t="s">
        <v>162</v>
      </c>
    </row>
    <row r="1044">
      <c r="A1044" s="3" t="s">
        <v>140</v>
      </c>
      <c r="B1044" s="3" t="s">
        <v>141</v>
      </c>
      <c r="C1044" s="3" t="s">
        <v>154</v>
      </c>
    </row>
    <row r="1045">
      <c r="A1045" s="3" t="s">
        <v>140</v>
      </c>
      <c r="B1045" s="3" t="s">
        <v>143</v>
      </c>
      <c r="C1045" s="3" t="s">
        <v>61</v>
      </c>
    </row>
    <row r="1046">
      <c r="A1046" s="3" t="s">
        <v>140</v>
      </c>
      <c r="B1046" s="3" t="s">
        <v>143</v>
      </c>
      <c r="C1046" s="3" t="s">
        <v>150</v>
      </c>
    </row>
    <row r="1047">
      <c r="A1047" s="3" t="s">
        <v>140</v>
      </c>
      <c r="B1047" s="3" t="s">
        <v>148</v>
      </c>
      <c r="C1047" s="3" t="s">
        <v>158</v>
      </c>
    </row>
    <row r="1048">
      <c r="A1048" s="3" t="s">
        <v>140</v>
      </c>
      <c r="B1048" s="3" t="s">
        <v>143</v>
      </c>
      <c r="C1048" s="3" t="s">
        <v>61</v>
      </c>
    </row>
    <row r="1049">
      <c r="A1049" s="3" t="s">
        <v>140</v>
      </c>
      <c r="B1049" s="3" t="s">
        <v>148</v>
      </c>
      <c r="C1049" s="3" t="s">
        <v>149</v>
      </c>
    </row>
    <row r="1050">
      <c r="A1050" s="3" t="s">
        <v>140</v>
      </c>
      <c r="B1050" s="3" t="s">
        <v>148</v>
      </c>
      <c r="C1050" s="3" t="s">
        <v>149</v>
      </c>
    </row>
    <row r="1051">
      <c r="A1051" s="3" t="s">
        <v>140</v>
      </c>
      <c r="B1051" s="3" t="s">
        <v>141</v>
      </c>
      <c r="C1051" s="3" t="s">
        <v>142</v>
      </c>
    </row>
    <row r="1052">
      <c r="A1052" s="3" t="s">
        <v>140</v>
      </c>
      <c r="B1052" s="3" t="s">
        <v>141</v>
      </c>
      <c r="C1052" s="3" t="s">
        <v>154</v>
      </c>
    </row>
    <row r="1053">
      <c r="A1053" s="3" t="s">
        <v>140</v>
      </c>
      <c r="B1053" s="3" t="s">
        <v>143</v>
      </c>
      <c r="C1053" s="3" t="s">
        <v>145</v>
      </c>
    </row>
    <row r="1054">
      <c r="A1054" s="3" t="s">
        <v>140</v>
      </c>
      <c r="B1054" s="3" t="s">
        <v>143</v>
      </c>
      <c r="C1054" s="3" t="s">
        <v>150</v>
      </c>
    </row>
    <row r="1055">
      <c r="A1055" s="3" t="s">
        <v>140</v>
      </c>
      <c r="B1055" s="3" t="s">
        <v>155</v>
      </c>
      <c r="C1055" s="3" t="s">
        <v>162</v>
      </c>
    </row>
    <row r="1056">
      <c r="A1056" s="3" t="s">
        <v>140</v>
      </c>
      <c r="B1056" s="3" t="s">
        <v>148</v>
      </c>
      <c r="C1056" s="3" t="s">
        <v>158</v>
      </c>
    </row>
    <row r="1057">
      <c r="A1057" s="3" t="s">
        <v>140</v>
      </c>
      <c r="B1057" s="3" t="s">
        <v>143</v>
      </c>
      <c r="C1057" s="3" t="s">
        <v>145</v>
      </c>
    </row>
    <row r="1058">
      <c r="A1058" s="3" t="s">
        <v>140</v>
      </c>
      <c r="B1058" s="3" t="s">
        <v>148</v>
      </c>
      <c r="C1058" s="3" t="s">
        <v>149</v>
      </c>
    </row>
    <row r="1059">
      <c r="A1059" s="3" t="s">
        <v>140</v>
      </c>
      <c r="B1059" s="3" t="s">
        <v>143</v>
      </c>
      <c r="C1059" s="3" t="s">
        <v>56</v>
      </c>
    </row>
    <row r="1060">
      <c r="A1060" s="3" t="s">
        <v>140</v>
      </c>
      <c r="B1060" s="3" t="s">
        <v>143</v>
      </c>
      <c r="C1060" s="3" t="s">
        <v>56</v>
      </c>
    </row>
    <row r="1061">
      <c r="A1061" s="3" t="s">
        <v>140</v>
      </c>
      <c r="B1061" s="3" t="s">
        <v>143</v>
      </c>
      <c r="C1061" s="3" t="s">
        <v>56</v>
      </c>
    </row>
    <row r="1062">
      <c r="A1062" s="3" t="s">
        <v>140</v>
      </c>
      <c r="B1062" s="3" t="s">
        <v>143</v>
      </c>
      <c r="C1062" s="3" t="s">
        <v>61</v>
      </c>
    </row>
    <row r="1063">
      <c r="A1063" s="3" t="s">
        <v>140</v>
      </c>
      <c r="B1063" s="3" t="s">
        <v>143</v>
      </c>
      <c r="C1063" s="3" t="s">
        <v>145</v>
      </c>
    </row>
    <row r="1064">
      <c r="A1064" s="3" t="s">
        <v>140</v>
      </c>
      <c r="B1064" s="3" t="s">
        <v>157</v>
      </c>
      <c r="C1064" s="3" t="s">
        <v>160</v>
      </c>
    </row>
    <row r="1065">
      <c r="A1065" s="3" t="s">
        <v>140</v>
      </c>
      <c r="B1065" s="3" t="s">
        <v>157</v>
      </c>
      <c r="C1065" s="3" t="s">
        <v>146</v>
      </c>
    </row>
    <row r="1066">
      <c r="A1066" s="3" t="s">
        <v>140</v>
      </c>
      <c r="B1066" s="3" t="s">
        <v>157</v>
      </c>
      <c r="C1066" s="3" t="s">
        <v>161</v>
      </c>
    </row>
    <row r="1067">
      <c r="A1067" s="3" t="s">
        <v>140</v>
      </c>
      <c r="B1067" s="3" t="s">
        <v>141</v>
      </c>
      <c r="C1067" s="3" t="s">
        <v>154</v>
      </c>
    </row>
    <row r="1068">
      <c r="A1068" s="3" t="s">
        <v>140</v>
      </c>
      <c r="B1068" s="3" t="s">
        <v>143</v>
      </c>
      <c r="C1068" s="3" t="s">
        <v>46</v>
      </c>
    </row>
    <row r="1069">
      <c r="A1069" s="3" t="s">
        <v>140</v>
      </c>
      <c r="B1069" s="3" t="s">
        <v>144</v>
      </c>
      <c r="C1069" s="3" t="s">
        <v>156</v>
      </c>
    </row>
    <row r="1070">
      <c r="A1070" s="3" t="s">
        <v>140</v>
      </c>
      <c r="B1070" s="3" t="s">
        <v>141</v>
      </c>
      <c r="C1070" s="3" t="s">
        <v>142</v>
      </c>
    </row>
    <row r="1071">
      <c r="A1071" s="3" t="s">
        <v>140</v>
      </c>
      <c r="B1071" s="3" t="s">
        <v>155</v>
      </c>
      <c r="C1071" s="3" t="s">
        <v>162</v>
      </c>
    </row>
    <row r="1072">
      <c r="A1072" s="3" t="s">
        <v>140</v>
      </c>
      <c r="B1072" s="3" t="s">
        <v>151</v>
      </c>
      <c r="C1072" s="3" t="s">
        <v>152</v>
      </c>
    </row>
    <row r="1073">
      <c r="A1073" s="3" t="s">
        <v>140</v>
      </c>
      <c r="B1073" s="3" t="s">
        <v>143</v>
      </c>
      <c r="C1073" s="3" t="s">
        <v>61</v>
      </c>
    </row>
    <row r="1074">
      <c r="A1074" s="3" t="s">
        <v>140</v>
      </c>
      <c r="B1074" s="3" t="s">
        <v>143</v>
      </c>
      <c r="C1074" s="3" t="s">
        <v>56</v>
      </c>
    </row>
    <row r="1075">
      <c r="A1075" s="3" t="s">
        <v>140</v>
      </c>
      <c r="B1075" s="3" t="s">
        <v>148</v>
      </c>
      <c r="C1075" s="3" t="s">
        <v>158</v>
      </c>
    </row>
    <row r="1076">
      <c r="A1076" s="3" t="s">
        <v>140</v>
      </c>
      <c r="B1076" s="3" t="s">
        <v>143</v>
      </c>
      <c r="C1076" s="3" t="s">
        <v>56</v>
      </c>
    </row>
    <row r="1077">
      <c r="A1077" s="3" t="s">
        <v>140</v>
      </c>
      <c r="B1077" s="3" t="s">
        <v>151</v>
      </c>
      <c r="C1077" s="3" t="s">
        <v>152</v>
      </c>
    </row>
    <row r="1078">
      <c r="A1078" s="3" t="s">
        <v>140</v>
      </c>
      <c r="B1078" s="3" t="s">
        <v>141</v>
      </c>
      <c r="C1078" s="3" t="s">
        <v>142</v>
      </c>
    </row>
    <row r="1079">
      <c r="A1079" s="3" t="s">
        <v>140</v>
      </c>
      <c r="B1079" s="3" t="s">
        <v>141</v>
      </c>
      <c r="C1079" s="3" t="s">
        <v>154</v>
      </c>
    </row>
    <row r="1080">
      <c r="A1080" s="3" t="s">
        <v>140</v>
      </c>
      <c r="B1080" s="3" t="s">
        <v>148</v>
      </c>
      <c r="C1080" s="3" t="s">
        <v>158</v>
      </c>
    </row>
    <row r="1081">
      <c r="A1081" s="3" t="s">
        <v>140</v>
      </c>
      <c r="B1081" s="3" t="s">
        <v>148</v>
      </c>
      <c r="C1081" s="3" t="s">
        <v>149</v>
      </c>
    </row>
    <row r="1082">
      <c r="A1082" s="3" t="s">
        <v>140</v>
      </c>
      <c r="B1082" s="3" t="s">
        <v>148</v>
      </c>
      <c r="C1082" s="3" t="s">
        <v>158</v>
      </c>
    </row>
    <row r="1083">
      <c r="A1083" s="3" t="s">
        <v>140</v>
      </c>
      <c r="B1083" s="3" t="s">
        <v>148</v>
      </c>
      <c r="C1083" s="3" t="s">
        <v>158</v>
      </c>
    </row>
    <row r="1084">
      <c r="A1084" s="3" t="s">
        <v>140</v>
      </c>
      <c r="B1084" s="3" t="s">
        <v>143</v>
      </c>
      <c r="C1084" s="3" t="s">
        <v>145</v>
      </c>
    </row>
    <row r="1085">
      <c r="A1085" s="3" t="s">
        <v>140</v>
      </c>
      <c r="B1085" s="3" t="s">
        <v>148</v>
      </c>
      <c r="C1085" s="3" t="s">
        <v>149</v>
      </c>
    </row>
    <row r="1086">
      <c r="A1086" s="3" t="s">
        <v>140</v>
      </c>
      <c r="B1086" s="3" t="s">
        <v>143</v>
      </c>
      <c r="C1086" s="3" t="s">
        <v>56</v>
      </c>
    </row>
    <row r="1087">
      <c r="A1087" s="3" t="s">
        <v>140</v>
      </c>
      <c r="B1087" s="3" t="s">
        <v>143</v>
      </c>
      <c r="C1087" s="3" t="s">
        <v>56</v>
      </c>
    </row>
    <row r="1088">
      <c r="A1088" s="3" t="s">
        <v>140</v>
      </c>
      <c r="B1088" s="3" t="s">
        <v>141</v>
      </c>
      <c r="C1088" s="3" t="s">
        <v>154</v>
      </c>
    </row>
    <row r="1089">
      <c r="A1089" s="3" t="s">
        <v>140</v>
      </c>
      <c r="B1089" s="3" t="s">
        <v>151</v>
      </c>
      <c r="C1089" s="3" t="s">
        <v>152</v>
      </c>
    </row>
    <row r="1090">
      <c r="A1090" s="3" t="s">
        <v>140</v>
      </c>
      <c r="B1090" s="3" t="s">
        <v>155</v>
      </c>
      <c r="C1090" s="3" t="s">
        <v>162</v>
      </c>
    </row>
    <row r="1091">
      <c r="A1091" s="3" t="s">
        <v>140</v>
      </c>
      <c r="B1091" s="3" t="s">
        <v>155</v>
      </c>
      <c r="C1091" s="3" t="s">
        <v>46</v>
      </c>
    </row>
    <row r="1092">
      <c r="A1092" s="3" t="s">
        <v>140</v>
      </c>
      <c r="B1092" s="3" t="s">
        <v>155</v>
      </c>
      <c r="C1092" s="3" t="s">
        <v>46</v>
      </c>
    </row>
    <row r="1093">
      <c r="A1093" s="3" t="s">
        <v>140</v>
      </c>
      <c r="B1093" s="3" t="s">
        <v>143</v>
      </c>
      <c r="C1093" s="3" t="s">
        <v>56</v>
      </c>
    </row>
    <row r="1094">
      <c r="A1094" s="3" t="s">
        <v>140</v>
      </c>
      <c r="B1094" s="3" t="s">
        <v>148</v>
      </c>
      <c r="C1094" s="3" t="s">
        <v>158</v>
      </c>
    </row>
    <row r="1095">
      <c r="A1095" s="3" t="s">
        <v>165</v>
      </c>
      <c r="B1095" s="3" t="s">
        <v>166</v>
      </c>
      <c r="C1095" s="3" t="s">
        <v>167</v>
      </c>
    </row>
    <row r="1096">
      <c r="A1096" s="3" t="s">
        <v>165</v>
      </c>
      <c r="B1096" s="3" t="s">
        <v>166</v>
      </c>
      <c r="C1096" s="3" t="s">
        <v>167</v>
      </c>
    </row>
    <row r="1097">
      <c r="A1097" s="3" t="s">
        <v>165</v>
      </c>
      <c r="B1097" s="3" t="s">
        <v>166</v>
      </c>
      <c r="C1097" s="3" t="s">
        <v>167</v>
      </c>
    </row>
    <row r="1098">
      <c r="A1098" s="3" t="s">
        <v>165</v>
      </c>
      <c r="B1098" s="3" t="s">
        <v>166</v>
      </c>
      <c r="C1098" s="3" t="s">
        <v>167</v>
      </c>
    </row>
    <row r="1099">
      <c r="A1099" s="3" t="s">
        <v>165</v>
      </c>
      <c r="B1099" s="3" t="s">
        <v>166</v>
      </c>
      <c r="C1099" s="3" t="s">
        <v>167</v>
      </c>
    </row>
    <row r="1100">
      <c r="A1100" s="3" t="s">
        <v>165</v>
      </c>
      <c r="B1100" s="3" t="s">
        <v>166</v>
      </c>
      <c r="C1100" s="3" t="s">
        <v>167</v>
      </c>
    </row>
    <row r="1101">
      <c r="A1101" s="3" t="s">
        <v>165</v>
      </c>
      <c r="B1101" s="3" t="s">
        <v>166</v>
      </c>
      <c r="C1101" s="3" t="s">
        <v>167</v>
      </c>
    </row>
    <row r="1102">
      <c r="A1102" s="3" t="s">
        <v>168</v>
      </c>
      <c r="B1102" s="3" t="s">
        <v>169</v>
      </c>
      <c r="C1102" s="3" t="s">
        <v>170</v>
      </c>
    </row>
    <row r="1103">
      <c r="A1103" s="3" t="s">
        <v>168</v>
      </c>
      <c r="B1103" s="3" t="s">
        <v>171</v>
      </c>
      <c r="C1103" s="3" t="s">
        <v>172</v>
      </c>
    </row>
    <row r="1104">
      <c r="A1104" s="3" t="s">
        <v>168</v>
      </c>
      <c r="B1104" s="3" t="s">
        <v>169</v>
      </c>
      <c r="C1104" s="3" t="s">
        <v>170</v>
      </c>
    </row>
    <row r="1105">
      <c r="A1105" s="3" t="s">
        <v>168</v>
      </c>
      <c r="B1105" s="3" t="s">
        <v>169</v>
      </c>
      <c r="C1105" s="3" t="s">
        <v>170</v>
      </c>
    </row>
    <row r="1106">
      <c r="A1106" s="3" t="s">
        <v>168</v>
      </c>
      <c r="B1106" s="3" t="s">
        <v>169</v>
      </c>
      <c r="C1106" s="3" t="s">
        <v>170</v>
      </c>
    </row>
    <row r="1107">
      <c r="A1107" s="3" t="s">
        <v>168</v>
      </c>
      <c r="B1107" s="3" t="s">
        <v>169</v>
      </c>
      <c r="C1107" s="3" t="s">
        <v>170</v>
      </c>
    </row>
    <row r="1108">
      <c r="A1108" s="3" t="s">
        <v>168</v>
      </c>
      <c r="B1108" s="3" t="s">
        <v>169</v>
      </c>
      <c r="C1108" s="3" t="s">
        <v>170</v>
      </c>
    </row>
    <row r="1109">
      <c r="A1109" s="3" t="s">
        <v>168</v>
      </c>
      <c r="B1109" s="3" t="s">
        <v>169</v>
      </c>
      <c r="C1109" s="3" t="s">
        <v>170</v>
      </c>
    </row>
    <row r="1110">
      <c r="A1110" s="3" t="s">
        <v>168</v>
      </c>
      <c r="B1110" s="3" t="s">
        <v>173</v>
      </c>
      <c r="C1110" s="3" t="s">
        <v>174</v>
      </c>
    </row>
    <row r="1111">
      <c r="A1111" s="3" t="s">
        <v>168</v>
      </c>
      <c r="B1111" s="3" t="s">
        <v>173</v>
      </c>
      <c r="C1111" s="3" t="s">
        <v>174</v>
      </c>
    </row>
    <row r="1112">
      <c r="A1112" s="3" t="s">
        <v>168</v>
      </c>
      <c r="B1112" s="3" t="s">
        <v>169</v>
      </c>
      <c r="C1112" s="3" t="s">
        <v>175</v>
      </c>
    </row>
    <row r="1113">
      <c r="A1113" s="3" t="s">
        <v>168</v>
      </c>
      <c r="B1113" s="3" t="s">
        <v>169</v>
      </c>
      <c r="C1113" s="3" t="s">
        <v>170</v>
      </c>
    </row>
    <row r="1114">
      <c r="A1114" s="3" t="s">
        <v>168</v>
      </c>
      <c r="B1114" s="3" t="s">
        <v>169</v>
      </c>
      <c r="C1114" s="3" t="s">
        <v>170</v>
      </c>
    </row>
    <row r="1115">
      <c r="A1115" s="3" t="s">
        <v>168</v>
      </c>
      <c r="B1115" s="3" t="s">
        <v>169</v>
      </c>
      <c r="C1115" s="3" t="s">
        <v>170</v>
      </c>
    </row>
    <row r="1116">
      <c r="A1116" s="3" t="s">
        <v>168</v>
      </c>
      <c r="B1116" s="3" t="s">
        <v>169</v>
      </c>
      <c r="C1116" s="3" t="s">
        <v>170</v>
      </c>
    </row>
    <row r="1117">
      <c r="A1117" s="3" t="s">
        <v>168</v>
      </c>
      <c r="B1117" s="3" t="s">
        <v>169</v>
      </c>
      <c r="C1117" s="3" t="s">
        <v>170</v>
      </c>
    </row>
    <row r="1118">
      <c r="A1118" s="3" t="s">
        <v>168</v>
      </c>
      <c r="B1118" s="3" t="s">
        <v>169</v>
      </c>
      <c r="C1118" s="3" t="s">
        <v>170</v>
      </c>
    </row>
    <row r="1119">
      <c r="A1119" s="3" t="s">
        <v>168</v>
      </c>
      <c r="B1119" s="3" t="s">
        <v>169</v>
      </c>
      <c r="C1119" s="3" t="s">
        <v>170</v>
      </c>
    </row>
    <row r="1120">
      <c r="A1120" s="3" t="s">
        <v>168</v>
      </c>
      <c r="B1120" s="3" t="s">
        <v>169</v>
      </c>
      <c r="C1120" s="3" t="s">
        <v>170</v>
      </c>
    </row>
    <row r="1121">
      <c r="A1121" s="3" t="s">
        <v>168</v>
      </c>
      <c r="B1121" s="3" t="s">
        <v>169</v>
      </c>
      <c r="C1121" s="3" t="s">
        <v>170</v>
      </c>
    </row>
    <row r="1122">
      <c r="A1122" s="3" t="s">
        <v>168</v>
      </c>
      <c r="B1122" s="3" t="s">
        <v>169</v>
      </c>
      <c r="C1122" s="3" t="s">
        <v>170</v>
      </c>
    </row>
    <row r="1123">
      <c r="A1123" s="3" t="s">
        <v>168</v>
      </c>
      <c r="B1123" s="3" t="s">
        <v>171</v>
      </c>
      <c r="C1123" s="3" t="s">
        <v>172</v>
      </c>
    </row>
    <row r="1124">
      <c r="A1124" s="3" t="s">
        <v>168</v>
      </c>
      <c r="B1124" s="3" t="s">
        <v>173</v>
      </c>
      <c r="C1124" s="3" t="s">
        <v>176</v>
      </c>
    </row>
    <row r="1125">
      <c r="A1125" s="3" t="s">
        <v>168</v>
      </c>
      <c r="B1125" s="3" t="s">
        <v>169</v>
      </c>
      <c r="C1125" s="3" t="s">
        <v>170</v>
      </c>
    </row>
    <row r="1126">
      <c r="A1126" s="3" t="s">
        <v>168</v>
      </c>
      <c r="B1126" s="3" t="s">
        <v>169</v>
      </c>
      <c r="C1126" s="3" t="s">
        <v>170</v>
      </c>
    </row>
    <row r="1127">
      <c r="A1127" s="3" t="s">
        <v>168</v>
      </c>
      <c r="B1127" s="3" t="s">
        <v>169</v>
      </c>
      <c r="C1127" s="3" t="s">
        <v>170</v>
      </c>
    </row>
    <row r="1128">
      <c r="A1128" s="3" t="s">
        <v>168</v>
      </c>
      <c r="B1128" s="3" t="s">
        <v>169</v>
      </c>
      <c r="C1128" s="3" t="s">
        <v>170</v>
      </c>
    </row>
    <row r="1129">
      <c r="A1129" s="3" t="s">
        <v>168</v>
      </c>
      <c r="B1129" s="3" t="s">
        <v>169</v>
      </c>
      <c r="C1129" s="3" t="s">
        <v>170</v>
      </c>
    </row>
    <row r="1130">
      <c r="A1130" s="3" t="s">
        <v>168</v>
      </c>
      <c r="B1130" s="3" t="s">
        <v>169</v>
      </c>
      <c r="C1130" s="3" t="s">
        <v>170</v>
      </c>
    </row>
    <row r="1131">
      <c r="A1131" s="3" t="s">
        <v>168</v>
      </c>
      <c r="B1131" s="3" t="s">
        <v>169</v>
      </c>
      <c r="C1131" s="3" t="s">
        <v>170</v>
      </c>
    </row>
    <row r="1132">
      <c r="A1132" s="3" t="s">
        <v>168</v>
      </c>
      <c r="B1132" s="3" t="s">
        <v>169</v>
      </c>
      <c r="C1132" s="3" t="s">
        <v>170</v>
      </c>
    </row>
    <row r="1133">
      <c r="A1133" s="3" t="s">
        <v>168</v>
      </c>
      <c r="B1133" s="3" t="s">
        <v>169</v>
      </c>
      <c r="C1133" s="3" t="s">
        <v>170</v>
      </c>
    </row>
    <row r="1134">
      <c r="A1134" s="3" t="s">
        <v>168</v>
      </c>
      <c r="B1134" s="3" t="s">
        <v>169</v>
      </c>
      <c r="C1134" s="3" t="s">
        <v>170</v>
      </c>
    </row>
    <row r="1135">
      <c r="A1135" s="3" t="s">
        <v>168</v>
      </c>
      <c r="B1135" s="3" t="s">
        <v>169</v>
      </c>
      <c r="C1135" s="3" t="s">
        <v>170</v>
      </c>
    </row>
    <row r="1136">
      <c r="A1136" s="3" t="s">
        <v>168</v>
      </c>
      <c r="B1136" s="3" t="s">
        <v>169</v>
      </c>
      <c r="C1136" s="3" t="s">
        <v>170</v>
      </c>
    </row>
    <row r="1137">
      <c r="A1137" s="3" t="s">
        <v>168</v>
      </c>
      <c r="B1137" s="3" t="s">
        <v>169</v>
      </c>
      <c r="C1137" s="3" t="s">
        <v>170</v>
      </c>
    </row>
    <row r="1138">
      <c r="A1138" s="3" t="s">
        <v>168</v>
      </c>
      <c r="B1138" s="3" t="s">
        <v>169</v>
      </c>
      <c r="C1138" s="3" t="s">
        <v>170</v>
      </c>
    </row>
    <row r="1139">
      <c r="A1139" s="3" t="s">
        <v>168</v>
      </c>
      <c r="B1139" s="3" t="s">
        <v>169</v>
      </c>
      <c r="C1139" s="3" t="s">
        <v>170</v>
      </c>
    </row>
    <row r="1140">
      <c r="A1140" s="3" t="s">
        <v>168</v>
      </c>
      <c r="B1140" s="3" t="s">
        <v>169</v>
      </c>
      <c r="C1140" s="3" t="s">
        <v>170</v>
      </c>
    </row>
    <row r="1141">
      <c r="A1141" s="3" t="s">
        <v>168</v>
      </c>
      <c r="B1141" s="3" t="s">
        <v>169</v>
      </c>
      <c r="C1141" s="3" t="s">
        <v>170</v>
      </c>
    </row>
    <row r="1142">
      <c r="A1142" s="3" t="s">
        <v>168</v>
      </c>
      <c r="B1142" s="3" t="s">
        <v>169</v>
      </c>
      <c r="C1142" s="3" t="s">
        <v>170</v>
      </c>
    </row>
    <row r="1143">
      <c r="A1143" s="3" t="s">
        <v>168</v>
      </c>
      <c r="B1143" s="3" t="s">
        <v>169</v>
      </c>
      <c r="C1143" s="3" t="s">
        <v>170</v>
      </c>
    </row>
    <row r="1144">
      <c r="A1144" s="3" t="s">
        <v>168</v>
      </c>
      <c r="B1144" s="3" t="s">
        <v>169</v>
      </c>
      <c r="C1144" s="3" t="s">
        <v>170</v>
      </c>
    </row>
    <row r="1145">
      <c r="A1145" s="3" t="s">
        <v>168</v>
      </c>
      <c r="B1145" s="3" t="s">
        <v>169</v>
      </c>
      <c r="C1145" s="3" t="s">
        <v>170</v>
      </c>
    </row>
    <row r="1146">
      <c r="A1146" s="3" t="s">
        <v>168</v>
      </c>
      <c r="B1146" s="3" t="s">
        <v>169</v>
      </c>
      <c r="C1146" s="3" t="s">
        <v>170</v>
      </c>
    </row>
    <row r="1147">
      <c r="A1147" s="3" t="s">
        <v>168</v>
      </c>
      <c r="B1147" s="3" t="s">
        <v>169</v>
      </c>
      <c r="C1147" s="3" t="s">
        <v>170</v>
      </c>
    </row>
    <row r="1148">
      <c r="A1148" s="3" t="s">
        <v>168</v>
      </c>
      <c r="B1148" s="3" t="s">
        <v>169</v>
      </c>
      <c r="C1148" s="3" t="s">
        <v>170</v>
      </c>
    </row>
    <row r="1149">
      <c r="A1149" s="3" t="s">
        <v>168</v>
      </c>
      <c r="B1149" s="3" t="s">
        <v>169</v>
      </c>
      <c r="C1149" s="3" t="s">
        <v>170</v>
      </c>
    </row>
    <row r="1150">
      <c r="A1150" s="3" t="s">
        <v>177</v>
      </c>
      <c r="B1150" s="3" t="s">
        <v>178</v>
      </c>
      <c r="C1150" s="3" t="s">
        <v>179</v>
      </c>
    </row>
    <row r="1151">
      <c r="A1151" s="3" t="s">
        <v>177</v>
      </c>
      <c r="B1151" s="3" t="s">
        <v>178</v>
      </c>
      <c r="C1151" s="3" t="s">
        <v>179</v>
      </c>
    </row>
    <row r="1152">
      <c r="A1152" s="3" t="s">
        <v>177</v>
      </c>
      <c r="B1152" s="3" t="s">
        <v>178</v>
      </c>
      <c r="C1152" s="3" t="s">
        <v>179</v>
      </c>
    </row>
    <row r="1153">
      <c r="A1153" s="3" t="s">
        <v>177</v>
      </c>
      <c r="B1153" s="3" t="s">
        <v>178</v>
      </c>
      <c r="C1153" s="3" t="s">
        <v>179</v>
      </c>
    </row>
    <row r="1154">
      <c r="A1154" s="3" t="s">
        <v>177</v>
      </c>
      <c r="B1154" s="3" t="s">
        <v>178</v>
      </c>
      <c r="C1154" s="3" t="s">
        <v>179</v>
      </c>
    </row>
    <row r="1155">
      <c r="A1155" s="3" t="s">
        <v>177</v>
      </c>
      <c r="B1155" s="3" t="s">
        <v>178</v>
      </c>
      <c r="C1155" s="3" t="s">
        <v>179</v>
      </c>
    </row>
    <row r="1156">
      <c r="A1156" s="3" t="s">
        <v>177</v>
      </c>
      <c r="B1156" s="3" t="s">
        <v>178</v>
      </c>
      <c r="C1156" s="3" t="s">
        <v>179</v>
      </c>
    </row>
    <row r="1157">
      <c r="A1157" s="3" t="s">
        <v>177</v>
      </c>
      <c r="B1157" s="3" t="s">
        <v>178</v>
      </c>
      <c r="C1157" s="3" t="s">
        <v>179</v>
      </c>
    </row>
    <row r="1158">
      <c r="A1158" s="3" t="s">
        <v>180</v>
      </c>
      <c r="B1158" s="3" t="s">
        <v>181</v>
      </c>
      <c r="C1158" s="3" t="s">
        <v>182</v>
      </c>
    </row>
    <row r="1159">
      <c r="A1159" s="3" t="s">
        <v>180</v>
      </c>
      <c r="B1159" s="3" t="s">
        <v>181</v>
      </c>
      <c r="C1159" s="3" t="s">
        <v>182</v>
      </c>
    </row>
    <row r="1160">
      <c r="A1160" s="3" t="s">
        <v>180</v>
      </c>
      <c r="B1160" s="3" t="s">
        <v>181</v>
      </c>
      <c r="C1160" s="3" t="s">
        <v>182</v>
      </c>
    </row>
    <row r="1161">
      <c r="A1161" s="3" t="s">
        <v>180</v>
      </c>
      <c r="B1161" s="3" t="s">
        <v>181</v>
      </c>
      <c r="C1161" s="3" t="s">
        <v>182</v>
      </c>
    </row>
    <row r="1162">
      <c r="A1162" s="3" t="s">
        <v>180</v>
      </c>
      <c r="B1162" s="3" t="s">
        <v>181</v>
      </c>
      <c r="C1162" s="3" t="s">
        <v>182</v>
      </c>
    </row>
    <row r="1163">
      <c r="A1163" s="3" t="s">
        <v>180</v>
      </c>
      <c r="B1163" s="3" t="s">
        <v>181</v>
      </c>
      <c r="C1163" s="3" t="s">
        <v>182</v>
      </c>
    </row>
    <row r="1164">
      <c r="A1164" s="3" t="s">
        <v>180</v>
      </c>
      <c r="B1164" s="3" t="s">
        <v>181</v>
      </c>
      <c r="C1164" s="3" t="s">
        <v>182</v>
      </c>
    </row>
    <row r="1165">
      <c r="A1165" s="3" t="s">
        <v>180</v>
      </c>
      <c r="B1165" s="3" t="s">
        <v>181</v>
      </c>
      <c r="C1165" s="3" t="s">
        <v>182</v>
      </c>
    </row>
    <row r="1166">
      <c r="A1166" s="3" t="s">
        <v>180</v>
      </c>
      <c r="B1166" s="3" t="s">
        <v>181</v>
      </c>
      <c r="C1166" s="3" t="s">
        <v>182</v>
      </c>
    </row>
    <row r="1167">
      <c r="A1167" s="3" t="s">
        <v>180</v>
      </c>
      <c r="B1167" s="3" t="s">
        <v>181</v>
      </c>
      <c r="C1167" s="3" t="s">
        <v>182</v>
      </c>
    </row>
    <row r="1168">
      <c r="A1168" s="3" t="s">
        <v>180</v>
      </c>
      <c r="B1168" s="3" t="s">
        <v>181</v>
      </c>
      <c r="C1168" s="3" t="s">
        <v>182</v>
      </c>
    </row>
    <row r="1169">
      <c r="A1169" s="3" t="s">
        <v>180</v>
      </c>
      <c r="B1169" s="3" t="s">
        <v>181</v>
      </c>
      <c r="C1169" s="3" t="s">
        <v>182</v>
      </c>
    </row>
    <row r="1170">
      <c r="A1170" s="3" t="s">
        <v>180</v>
      </c>
      <c r="B1170" s="3" t="s">
        <v>181</v>
      </c>
      <c r="C1170" s="3" t="s">
        <v>182</v>
      </c>
    </row>
    <row r="1171">
      <c r="A1171" s="3" t="s">
        <v>180</v>
      </c>
      <c r="B1171" s="3" t="s">
        <v>181</v>
      </c>
      <c r="C1171" s="3" t="s">
        <v>182</v>
      </c>
    </row>
    <row r="1172">
      <c r="A1172" s="3" t="s">
        <v>180</v>
      </c>
      <c r="B1172" s="3" t="s">
        <v>181</v>
      </c>
      <c r="C1172" s="3" t="s">
        <v>182</v>
      </c>
    </row>
    <row r="1173">
      <c r="A1173" s="3" t="s">
        <v>180</v>
      </c>
      <c r="B1173" s="3" t="s">
        <v>181</v>
      </c>
      <c r="C1173" s="3" t="s">
        <v>182</v>
      </c>
    </row>
    <row r="1174">
      <c r="A1174" s="3" t="s">
        <v>180</v>
      </c>
      <c r="B1174" s="3" t="s">
        <v>181</v>
      </c>
      <c r="C1174" s="3" t="s">
        <v>182</v>
      </c>
    </row>
    <row r="1175">
      <c r="A1175" s="3" t="s">
        <v>180</v>
      </c>
      <c r="B1175" s="3" t="s">
        <v>181</v>
      </c>
      <c r="C1175" s="3" t="s">
        <v>182</v>
      </c>
    </row>
    <row r="1176">
      <c r="A1176" s="3" t="s">
        <v>180</v>
      </c>
      <c r="B1176" s="3" t="s">
        <v>181</v>
      </c>
      <c r="C1176" s="3" t="s">
        <v>182</v>
      </c>
    </row>
    <row r="1177">
      <c r="A1177" s="3" t="s">
        <v>180</v>
      </c>
      <c r="B1177" s="3" t="s">
        <v>181</v>
      </c>
      <c r="C1177" s="3" t="s">
        <v>182</v>
      </c>
    </row>
    <row r="1178">
      <c r="A1178" s="3" t="s">
        <v>180</v>
      </c>
      <c r="B1178" s="3" t="s">
        <v>181</v>
      </c>
      <c r="C1178" s="3" t="s">
        <v>182</v>
      </c>
    </row>
    <row r="1179">
      <c r="A1179" s="3" t="s">
        <v>180</v>
      </c>
      <c r="B1179" s="3" t="s">
        <v>181</v>
      </c>
      <c r="C1179" s="3" t="s">
        <v>182</v>
      </c>
    </row>
    <row r="1180">
      <c r="A1180" s="3" t="s">
        <v>180</v>
      </c>
      <c r="B1180" s="3" t="s">
        <v>181</v>
      </c>
      <c r="C1180" s="3" t="s">
        <v>182</v>
      </c>
    </row>
    <row r="1181">
      <c r="A1181" s="3" t="s">
        <v>180</v>
      </c>
      <c r="B1181" s="3" t="s">
        <v>181</v>
      </c>
      <c r="C1181" s="3" t="s">
        <v>182</v>
      </c>
    </row>
    <row r="1182">
      <c r="A1182" s="3" t="s">
        <v>180</v>
      </c>
      <c r="B1182" s="3" t="s">
        <v>181</v>
      </c>
      <c r="C1182" s="3" t="s">
        <v>182</v>
      </c>
    </row>
    <row r="1183">
      <c r="A1183" s="3" t="s">
        <v>180</v>
      </c>
      <c r="B1183" s="3" t="s">
        <v>181</v>
      </c>
      <c r="C1183" s="3" t="s">
        <v>182</v>
      </c>
    </row>
    <row r="1184">
      <c r="A1184" s="3" t="s">
        <v>180</v>
      </c>
      <c r="B1184" s="3" t="s">
        <v>181</v>
      </c>
      <c r="C1184" s="3" t="s">
        <v>182</v>
      </c>
    </row>
    <row r="1185">
      <c r="A1185" s="3" t="s">
        <v>180</v>
      </c>
      <c r="B1185" s="3" t="s">
        <v>181</v>
      </c>
      <c r="C1185" s="3" t="s">
        <v>182</v>
      </c>
    </row>
    <row r="1186">
      <c r="A1186" s="3" t="s">
        <v>180</v>
      </c>
      <c r="B1186" s="3" t="s">
        <v>181</v>
      </c>
      <c r="C1186" s="3" t="s">
        <v>182</v>
      </c>
    </row>
    <row r="1187">
      <c r="A1187" s="3" t="s">
        <v>180</v>
      </c>
      <c r="B1187" s="3" t="s">
        <v>181</v>
      </c>
      <c r="C1187" s="3" t="s">
        <v>182</v>
      </c>
    </row>
    <row r="1188">
      <c r="A1188" s="3" t="s">
        <v>180</v>
      </c>
      <c r="B1188" s="3" t="s">
        <v>181</v>
      </c>
      <c r="C1188" s="3" t="s">
        <v>182</v>
      </c>
    </row>
    <row r="1189">
      <c r="A1189" s="3" t="s">
        <v>180</v>
      </c>
      <c r="B1189" s="3" t="s">
        <v>181</v>
      </c>
      <c r="C1189" s="3" t="s">
        <v>182</v>
      </c>
    </row>
    <row r="1190">
      <c r="A1190" s="3" t="s">
        <v>180</v>
      </c>
      <c r="B1190" s="3" t="s">
        <v>181</v>
      </c>
      <c r="C1190" s="3" t="s">
        <v>182</v>
      </c>
    </row>
    <row r="1191">
      <c r="A1191" s="3" t="s">
        <v>180</v>
      </c>
      <c r="B1191" s="3" t="s">
        <v>181</v>
      </c>
      <c r="C1191" s="3" t="s">
        <v>182</v>
      </c>
    </row>
    <row r="1192">
      <c r="A1192" s="3" t="s">
        <v>180</v>
      </c>
      <c r="B1192" s="3" t="s">
        <v>181</v>
      </c>
      <c r="C1192" s="3" t="s">
        <v>182</v>
      </c>
    </row>
    <row r="1193">
      <c r="A1193" s="3" t="s">
        <v>180</v>
      </c>
      <c r="B1193" s="3" t="s">
        <v>181</v>
      </c>
      <c r="C1193" s="3" t="s">
        <v>182</v>
      </c>
    </row>
    <row r="1194">
      <c r="A1194" s="3" t="s">
        <v>180</v>
      </c>
      <c r="B1194" s="3" t="s">
        <v>181</v>
      </c>
      <c r="C1194" s="3" t="s">
        <v>182</v>
      </c>
    </row>
    <row r="1195">
      <c r="A1195" s="3" t="s">
        <v>180</v>
      </c>
      <c r="B1195" s="3" t="s">
        <v>181</v>
      </c>
      <c r="C1195" s="3" t="s">
        <v>182</v>
      </c>
    </row>
    <row r="1196">
      <c r="A1196" s="3" t="s">
        <v>180</v>
      </c>
      <c r="B1196" s="3" t="s">
        <v>181</v>
      </c>
      <c r="C1196" s="3" t="s">
        <v>182</v>
      </c>
    </row>
    <row r="1197">
      <c r="A1197" s="3" t="s">
        <v>180</v>
      </c>
      <c r="B1197" s="3" t="s">
        <v>181</v>
      </c>
      <c r="C1197" s="3" t="s">
        <v>182</v>
      </c>
    </row>
    <row r="1198">
      <c r="A1198" s="3" t="s">
        <v>180</v>
      </c>
      <c r="B1198" s="3" t="s">
        <v>181</v>
      </c>
      <c r="C1198" s="3" t="s">
        <v>182</v>
      </c>
    </row>
    <row r="1199">
      <c r="A1199" s="3" t="s">
        <v>180</v>
      </c>
      <c r="B1199" s="3" t="s">
        <v>181</v>
      </c>
      <c r="C1199" s="3" t="s">
        <v>182</v>
      </c>
    </row>
    <row r="1200">
      <c r="A1200" s="3" t="s">
        <v>180</v>
      </c>
      <c r="B1200" s="3" t="s">
        <v>181</v>
      </c>
      <c r="C1200" s="3" t="s">
        <v>182</v>
      </c>
    </row>
    <row r="1201">
      <c r="A1201" s="3" t="s">
        <v>180</v>
      </c>
      <c r="B1201" s="3" t="s">
        <v>181</v>
      </c>
      <c r="C1201" s="3" t="s">
        <v>182</v>
      </c>
    </row>
    <row r="1202">
      <c r="A1202" s="3" t="s">
        <v>180</v>
      </c>
      <c r="B1202" s="3" t="s">
        <v>181</v>
      </c>
      <c r="C1202" s="3" t="s">
        <v>182</v>
      </c>
    </row>
    <row r="1203">
      <c r="A1203" s="3" t="s">
        <v>180</v>
      </c>
      <c r="B1203" s="3" t="s">
        <v>181</v>
      </c>
      <c r="C1203" s="3" t="s">
        <v>182</v>
      </c>
    </row>
    <row r="1204">
      <c r="A1204" s="3" t="s">
        <v>180</v>
      </c>
      <c r="B1204" s="3" t="s">
        <v>181</v>
      </c>
      <c r="C1204" s="3" t="s">
        <v>182</v>
      </c>
    </row>
    <row r="1205">
      <c r="A1205" s="3" t="s">
        <v>180</v>
      </c>
      <c r="B1205" s="3" t="s">
        <v>181</v>
      </c>
      <c r="C1205" s="3" t="s">
        <v>182</v>
      </c>
    </row>
    <row r="1206">
      <c r="A1206" s="3" t="s">
        <v>180</v>
      </c>
      <c r="B1206" s="3" t="s">
        <v>181</v>
      </c>
      <c r="C1206" s="3" t="s">
        <v>182</v>
      </c>
    </row>
    <row r="1207">
      <c r="A1207" s="3" t="s">
        <v>180</v>
      </c>
      <c r="B1207" s="3" t="s">
        <v>181</v>
      </c>
      <c r="C1207" s="3" t="s">
        <v>182</v>
      </c>
    </row>
    <row r="1208">
      <c r="A1208" s="3" t="s">
        <v>180</v>
      </c>
      <c r="B1208" s="3" t="s">
        <v>181</v>
      </c>
      <c r="C1208" s="3" t="s">
        <v>182</v>
      </c>
    </row>
    <row r="1209">
      <c r="A1209" s="3" t="s">
        <v>180</v>
      </c>
      <c r="B1209" s="3" t="s">
        <v>181</v>
      </c>
      <c r="C1209" s="3" t="s">
        <v>182</v>
      </c>
    </row>
    <row r="1210">
      <c r="A1210" s="3" t="s">
        <v>180</v>
      </c>
      <c r="B1210" s="3" t="s">
        <v>181</v>
      </c>
      <c r="C1210" s="3" t="s">
        <v>182</v>
      </c>
    </row>
    <row r="1211">
      <c r="A1211" s="3" t="s">
        <v>180</v>
      </c>
      <c r="B1211" s="3" t="s">
        <v>181</v>
      </c>
      <c r="C1211" s="3" t="s">
        <v>182</v>
      </c>
    </row>
    <row r="1212">
      <c r="A1212" s="3" t="s">
        <v>180</v>
      </c>
      <c r="B1212" s="3" t="s">
        <v>181</v>
      </c>
      <c r="C1212" s="3" t="s">
        <v>182</v>
      </c>
    </row>
    <row r="1213">
      <c r="A1213" s="3" t="s">
        <v>180</v>
      </c>
      <c r="B1213" s="3" t="s">
        <v>181</v>
      </c>
      <c r="C1213" s="3" t="s">
        <v>182</v>
      </c>
    </row>
    <row r="1214">
      <c r="A1214" s="3" t="s">
        <v>180</v>
      </c>
      <c r="B1214" s="3" t="s">
        <v>181</v>
      </c>
      <c r="C1214" s="3" t="s">
        <v>182</v>
      </c>
    </row>
    <row r="1215">
      <c r="A1215" s="3" t="s">
        <v>180</v>
      </c>
      <c r="B1215" s="3" t="s">
        <v>181</v>
      </c>
      <c r="C1215" s="3" t="s">
        <v>182</v>
      </c>
    </row>
    <row r="1216">
      <c r="A1216" s="3" t="s">
        <v>180</v>
      </c>
      <c r="B1216" s="3" t="s">
        <v>181</v>
      </c>
      <c r="C1216" s="3" t="s">
        <v>182</v>
      </c>
    </row>
    <row r="1217">
      <c r="A1217" s="3" t="s">
        <v>180</v>
      </c>
      <c r="B1217" s="3" t="s">
        <v>181</v>
      </c>
      <c r="C1217" s="3" t="s">
        <v>182</v>
      </c>
    </row>
    <row r="1218">
      <c r="A1218" s="3" t="s">
        <v>180</v>
      </c>
      <c r="B1218" s="3" t="s">
        <v>181</v>
      </c>
      <c r="C1218" s="3" t="s">
        <v>182</v>
      </c>
    </row>
    <row r="1219">
      <c r="A1219" s="3" t="s">
        <v>180</v>
      </c>
      <c r="B1219" s="3" t="s">
        <v>181</v>
      </c>
      <c r="C1219" s="3" t="s">
        <v>182</v>
      </c>
    </row>
    <row r="1220">
      <c r="A1220" s="3" t="s">
        <v>180</v>
      </c>
      <c r="B1220" s="3" t="s">
        <v>181</v>
      </c>
      <c r="C1220" s="3" t="s">
        <v>182</v>
      </c>
    </row>
    <row r="1221">
      <c r="A1221" s="3" t="s">
        <v>180</v>
      </c>
      <c r="B1221" s="3" t="s">
        <v>181</v>
      </c>
      <c r="C1221" s="3" t="s">
        <v>182</v>
      </c>
    </row>
    <row r="1222">
      <c r="A1222" s="3" t="s">
        <v>180</v>
      </c>
      <c r="B1222" s="3" t="s">
        <v>181</v>
      </c>
      <c r="C1222" s="3" t="s">
        <v>182</v>
      </c>
    </row>
    <row r="1223">
      <c r="A1223" s="3" t="s">
        <v>180</v>
      </c>
      <c r="B1223" s="3" t="s">
        <v>181</v>
      </c>
      <c r="C1223" s="3" t="s">
        <v>182</v>
      </c>
    </row>
    <row r="1224">
      <c r="A1224" s="3" t="s">
        <v>180</v>
      </c>
      <c r="B1224" s="3" t="s">
        <v>181</v>
      </c>
      <c r="C1224" s="3" t="s">
        <v>182</v>
      </c>
    </row>
    <row r="1225">
      <c r="A1225" s="3" t="s">
        <v>180</v>
      </c>
      <c r="B1225" s="3" t="s">
        <v>181</v>
      </c>
      <c r="C1225" s="3" t="s">
        <v>182</v>
      </c>
    </row>
    <row r="1226">
      <c r="A1226" s="3" t="s">
        <v>180</v>
      </c>
      <c r="B1226" s="3" t="s">
        <v>181</v>
      </c>
      <c r="C1226" s="3" t="s">
        <v>182</v>
      </c>
    </row>
    <row r="1227">
      <c r="A1227" s="3" t="s">
        <v>180</v>
      </c>
      <c r="B1227" s="3" t="s">
        <v>181</v>
      </c>
      <c r="C1227" s="3" t="s">
        <v>182</v>
      </c>
    </row>
    <row r="1228">
      <c r="A1228" s="3" t="s">
        <v>180</v>
      </c>
      <c r="B1228" s="3" t="s">
        <v>181</v>
      </c>
      <c r="C1228" s="3" t="s">
        <v>182</v>
      </c>
    </row>
    <row r="1229">
      <c r="A1229" s="3" t="s">
        <v>180</v>
      </c>
      <c r="B1229" s="3" t="s">
        <v>181</v>
      </c>
      <c r="C1229" s="3" t="s">
        <v>182</v>
      </c>
    </row>
    <row r="1230">
      <c r="A1230" s="3" t="s">
        <v>180</v>
      </c>
      <c r="B1230" s="3" t="s">
        <v>181</v>
      </c>
      <c r="C1230" s="3" t="s">
        <v>182</v>
      </c>
    </row>
    <row r="1231">
      <c r="A1231" s="3" t="s">
        <v>180</v>
      </c>
      <c r="B1231" s="3" t="s">
        <v>181</v>
      </c>
      <c r="C1231" s="3" t="s">
        <v>182</v>
      </c>
    </row>
    <row r="1232">
      <c r="A1232" s="3" t="s">
        <v>180</v>
      </c>
      <c r="B1232" s="3" t="s">
        <v>181</v>
      </c>
      <c r="C1232" s="3" t="s">
        <v>182</v>
      </c>
    </row>
    <row r="1233">
      <c r="A1233" s="3" t="s">
        <v>180</v>
      </c>
      <c r="B1233" s="3" t="s">
        <v>181</v>
      </c>
      <c r="C1233" s="3" t="s">
        <v>182</v>
      </c>
    </row>
    <row r="1234">
      <c r="A1234" s="3" t="s">
        <v>180</v>
      </c>
      <c r="B1234" s="3" t="s">
        <v>181</v>
      </c>
      <c r="C1234" s="3" t="s">
        <v>182</v>
      </c>
    </row>
    <row r="1235">
      <c r="A1235" s="3" t="s">
        <v>180</v>
      </c>
      <c r="B1235" s="3" t="s">
        <v>181</v>
      </c>
      <c r="C1235" s="3" t="s">
        <v>182</v>
      </c>
    </row>
    <row r="1236">
      <c r="A1236" s="3" t="s">
        <v>180</v>
      </c>
      <c r="B1236" s="3" t="s">
        <v>181</v>
      </c>
      <c r="C1236" s="3" t="s">
        <v>182</v>
      </c>
    </row>
    <row r="1237">
      <c r="A1237" s="3" t="s">
        <v>180</v>
      </c>
      <c r="B1237" s="3" t="s">
        <v>181</v>
      </c>
      <c r="C1237" s="3" t="s">
        <v>182</v>
      </c>
    </row>
    <row r="1238">
      <c r="A1238" s="3" t="s">
        <v>180</v>
      </c>
      <c r="B1238" s="3" t="s">
        <v>181</v>
      </c>
      <c r="C1238" s="3" t="s">
        <v>182</v>
      </c>
    </row>
    <row r="1239">
      <c r="A1239" s="3" t="s">
        <v>180</v>
      </c>
      <c r="B1239" s="3" t="s">
        <v>181</v>
      </c>
      <c r="C1239" s="3" t="s">
        <v>182</v>
      </c>
    </row>
    <row r="1240">
      <c r="A1240" s="3" t="s">
        <v>180</v>
      </c>
      <c r="B1240" s="3" t="s">
        <v>181</v>
      </c>
      <c r="C1240" s="3" t="s">
        <v>182</v>
      </c>
    </row>
    <row r="1241">
      <c r="A1241" s="3" t="s">
        <v>180</v>
      </c>
      <c r="B1241" s="3" t="s">
        <v>181</v>
      </c>
      <c r="C1241" s="3" t="s">
        <v>182</v>
      </c>
    </row>
    <row r="1242">
      <c r="A1242" s="3" t="s">
        <v>180</v>
      </c>
      <c r="B1242" s="3" t="s">
        <v>181</v>
      </c>
      <c r="C1242" s="3" t="s">
        <v>182</v>
      </c>
    </row>
    <row r="1243">
      <c r="A1243" s="3" t="s">
        <v>180</v>
      </c>
      <c r="B1243" s="3" t="s">
        <v>181</v>
      </c>
      <c r="C1243" s="3" t="s">
        <v>182</v>
      </c>
    </row>
    <row r="1244">
      <c r="A1244" s="3" t="s">
        <v>180</v>
      </c>
      <c r="B1244" s="3" t="s">
        <v>181</v>
      </c>
      <c r="C1244" s="3" t="s">
        <v>182</v>
      </c>
    </row>
    <row r="1245">
      <c r="A1245" s="3" t="s">
        <v>180</v>
      </c>
      <c r="B1245" s="3" t="s">
        <v>181</v>
      </c>
      <c r="C1245" s="3" t="s">
        <v>182</v>
      </c>
    </row>
    <row r="1246">
      <c r="A1246" s="3" t="s">
        <v>180</v>
      </c>
      <c r="B1246" s="3" t="s">
        <v>181</v>
      </c>
      <c r="C1246" s="3" t="s">
        <v>182</v>
      </c>
    </row>
    <row r="1247">
      <c r="A1247" s="3" t="s">
        <v>180</v>
      </c>
      <c r="B1247" s="3" t="s">
        <v>181</v>
      </c>
      <c r="C1247" s="3" t="s">
        <v>182</v>
      </c>
    </row>
    <row r="1248">
      <c r="A1248" s="3" t="s">
        <v>180</v>
      </c>
      <c r="B1248" s="3" t="s">
        <v>181</v>
      </c>
      <c r="C1248" s="3" t="s">
        <v>182</v>
      </c>
    </row>
    <row r="1249">
      <c r="A1249" s="3" t="s">
        <v>180</v>
      </c>
      <c r="B1249" s="3" t="s">
        <v>181</v>
      </c>
      <c r="C1249" s="3" t="s">
        <v>182</v>
      </c>
    </row>
    <row r="1250">
      <c r="A1250" s="3" t="s">
        <v>180</v>
      </c>
      <c r="B1250" s="3" t="s">
        <v>181</v>
      </c>
      <c r="C1250" s="3" t="s">
        <v>182</v>
      </c>
    </row>
    <row r="1251">
      <c r="A1251" s="3" t="s">
        <v>180</v>
      </c>
      <c r="B1251" s="3" t="s">
        <v>181</v>
      </c>
      <c r="C1251" s="3" t="s">
        <v>182</v>
      </c>
    </row>
    <row r="1252">
      <c r="A1252" s="3" t="s">
        <v>180</v>
      </c>
      <c r="B1252" s="3" t="s">
        <v>181</v>
      </c>
      <c r="C1252" s="3" t="s">
        <v>182</v>
      </c>
    </row>
    <row r="1253">
      <c r="A1253" s="3" t="s">
        <v>180</v>
      </c>
      <c r="B1253" s="3" t="s">
        <v>181</v>
      </c>
      <c r="C1253" s="3" t="s">
        <v>182</v>
      </c>
    </row>
    <row r="1254">
      <c r="A1254" s="3" t="s">
        <v>180</v>
      </c>
      <c r="B1254" s="3" t="s">
        <v>181</v>
      </c>
      <c r="C1254" s="3" t="s">
        <v>182</v>
      </c>
    </row>
    <row r="1255">
      <c r="A1255" s="3" t="s">
        <v>180</v>
      </c>
      <c r="B1255" s="3" t="s">
        <v>181</v>
      </c>
      <c r="C1255" s="3" t="s">
        <v>182</v>
      </c>
    </row>
    <row r="1256">
      <c r="A1256" s="3" t="s">
        <v>180</v>
      </c>
      <c r="B1256" s="3" t="s">
        <v>181</v>
      </c>
      <c r="C1256" s="3" t="s">
        <v>182</v>
      </c>
    </row>
    <row r="1257">
      <c r="A1257" s="3" t="s">
        <v>180</v>
      </c>
      <c r="B1257" s="3" t="s">
        <v>181</v>
      </c>
      <c r="C1257" s="3" t="s">
        <v>182</v>
      </c>
    </row>
    <row r="1258">
      <c r="A1258" s="3" t="s">
        <v>180</v>
      </c>
      <c r="B1258" s="3" t="s">
        <v>181</v>
      </c>
      <c r="C1258" s="3" t="s">
        <v>182</v>
      </c>
    </row>
    <row r="1259">
      <c r="A1259" s="3" t="s">
        <v>180</v>
      </c>
      <c r="B1259" s="3" t="s">
        <v>181</v>
      </c>
      <c r="C1259" s="3" t="s">
        <v>182</v>
      </c>
    </row>
    <row r="1260">
      <c r="A1260" s="3" t="s">
        <v>180</v>
      </c>
      <c r="B1260" s="3" t="s">
        <v>181</v>
      </c>
      <c r="C1260" s="3" t="s">
        <v>182</v>
      </c>
    </row>
    <row r="1261">
      <c r="A1261" s="3" t="s">
        <v>180</v>
      </c>
      <c r="B1261" s="3" t="s">
        <v>181</v>
      </c>
      <c r="C1261" s="3" t="s">
        <v>182</v>
      </c>
    </row>
    <row r="1262">
      <c r="A1262" s="3" t="s">
        <v>180</v>
      </c>
      <c r="B1262" s="3" t="s">
        <v>181</v>
      </c>
      <c r="C1262" s="3" t="s">
        <v>182</v>
      </c>
    </row>
    <row r="1263">
      <c r="A1263" s="3" t="s">
        <v>180</v>
      </c>
      <c r="B1263" s="3" t="s">
        <v>181</v>
      </c>
      <c r="C1263" s="3" t="s">
        <v>182</v>
      </c>
    </row>
    <row r="1264">
      <c r="A1264" s="3" t="s">
        <v>180</v>
      </c>
      <c r="B1264" s="3" t="s">
        <v>181</v>
      </c>
      <c r="C1264" s="3" t="s">
        <v>182</v>
      </c>
    </row>
    <row r="1265">
      <c r="A1265" s="3" t="s">
        <v>180</v>
      </c>
      <c r="B1265" s="3" t="s">
        <v>181</v>
      </c>
      <c r="C1265" s="3" t="s">
        <v>182</v>
      </c>
    </row>
    <row r="1266">
      <c r="A1266" s="3" t="s">
        <v>180</v>
      </c>
      <c r="B1266" s="3" t="s">
        <v>181</v>
      </c>
      <c r="C1266" s="3" t="s">
        <v>182</v>
      </c>
    </row>
    <row r="1267">
      <c r="A1267" s="3" t="s">
        <v>180</v>
      </c>
      <c r="B1267" s="3" t="s">
        <v>181</v>
      </c>
      <c r="C1267" s="3" t="s">
        <v>182</v>
      </c>
    </row>
    <row r="1268">
      <c r="A1268" s="3" t="s">
        <v>180</v>
      </c>
      <c r="B1268" s="3" t="s">
        <v>181</v>
      </c>
      <c r="C1268" s="3" t="s">
        <v>182</v>
      </c>
    </row>
    <row r="1269">
      <c r="A1269" s="3" t="s">
        <v>180</v>
      </c>
      <c r="B1269" s="3" t="s">
        <v>181</v>
      </c>
      <c r="C1269" s="3" t="s">
        <v>182</v>
      </c>
    </row>
    <row r="1270">
      <c r="A1270" s="3" t="s">
        <v>180</v>
      </c>
      <c r="B1270" s="3" t="s">
        <v>181</v>
      </c>
      <c r="C1270" s="3" t="s">
        <v>182</v>
      </c>
    </row>
    <row r="1271">
      <c r="A1271" s="3" t="s">
        <v>180</v>
      </c>
      <c r="B1271" s="3" t="s">
        <v>181</v>
      </c>
      <c r="C1271" s="3" t="s">
        <v>182</v>
      </c>
    </row>
    <row r="1272">
      <c r="A1272" s="3" t="s">
        <v>180</v>
      </c>
      <c r="B1272" s="3" t="s">
        <v>181</v>
      </c>
      <c r="C1272" s="3" t="s">
        <v>182</v>
      </c>
    </row>
    <row r="1273">
      <c r="A1273" s="3" t="s">
        <v>180</v>
      </c>
      <c r="B1273" s="3" t="s">
        <v>181</v>
      </c>
      <c r="C1273" s="3" t="s">
        <v>182</v>
      </c>
    </row>
    <row r="1274">
      <c r="A1274" s="3" t="s">
        <v>180</v>
      </c>
      <c r="B1274" s="3" t="s">
        <v>181</v>
      </c>
      <c r="C1274" s="3" t="s">
        <v>182</v>
      </c>
    </row>
    <row r="1275">
      <c r="A1275" s="3" t="s">
        <v>180</v>
      </c>
      <c r="B1275" s="3" t="s">
        <v>181</v>
      </c>
      <c r="C1275" s="3" t="s">
        <v>182</v>
      </c>
    </row>
    <row r="1276">
      <c r="A1276" s="3" t="s">
        <v>180</v>
      </c>
      <c r="B1276" s="3" t="s">
        <v>181</v>
      </c>
      <c r="C1276" s="3" t="s">
        <v>182</v>
      </c>
    </row>
    <row r="1277">
      <c r="A1277" s="3" t="s">
        <v>180</v>
      </c>
      <c r="B1277" s="3" t="s">
        <v>181</v>
      </c>
      <c r="C1277" s="3" t="s">
        <v>182</v>
      </c>
    </row>
    <row r="1278">
      <c r="A1278" s="3" t="s">
        <v>180</v>
      </c>
      <c r="B1278" s="3" t="s">
        <v>181</v>
      </c>
      <c r="C1278" s="3" t="s">
        <v>182</v>
      </c>
    </row>
    <row r="1279">
      <c r="A1279" s="3" t="s">
        <v>180</v>
      </c>
      <c r="B1279" s="3" t="s">
        <v>181</v>
      </c>
      <c r="C1279" s="3" t="s">
        <v>182</v>
      </c>
    </row>
    <row r="1280">
      <c r="A1280" s="3" t="s">
        <v>180</v>
      </c>
      <c r="B1280" s="3" t="s">
        <v>181</v>
      </c>
      <c r="C1280" s="3" t="s">
        <v>182</v>
      </c>
    </row>
    <row r="1281">
      <c r="A1281" s="3" t="s">
        <v>180</v>
      </c>
      <c r="B1281" s="3" t="s">
        <v>181</v>
      </c>
      <c r="C1281" s="3" t="s">
        <v>182</v>
      </c>
    </row>
    <row r="1282">
      <c r="A1282" s="3" t="s">
        <v>180</v>
      </c>
      <c r="B1282" s="3" t="s">
        <v>181</v>
      </c>
      <c r="C1282" s="3" t="s">
        <v>182</v>
      </c>
    </row>
    <row r="1283">
      <c r="A1283" s="3" t="s">
        <v>180</v>
      </c>
      <c r="B1283" s="3" t="s">
        <v>181</v>
      </c>
      <c r="C1283" s="3" t="s">
        <v>182</v>
      </c>
    </row>
    <row r="1284">
      <c r="A1284" s="3" t="s">
        <v>180</v>
      </c>
      <c r="B1284" s="3" t="s">
        <v>181</v>
      </c>
      <c r="C1284" s="3" t="s">
        <v>182</v>
      </c>
    </row>
    <row r="1285">
      <c r="A1285" s="3" t="s">
        <v>180</v>
      </c>
      <c r="B1285" s="3" t="s">
        <v>181</v>
      </c>
      <c r="C1285" s="3" t="s">
        <v>182</v>
      </c>
    </row>
    <row r="1286">
      <c r="A1286" s="3" t="s">
        <v>180</v>
      </c>
      <c r="B1286" s="3" t="s">
        <v>181</v>
      </c>
      <c r="C1286" s="3" t="s">
        <v>182</v>
      </c>
    </row>
    <row r="1287">
      <c r="A1287" s="3" t="s">
        <v>180</v>
      </c>
      <c r="B1287" s="3" t="s">
        <v>181</v>
      </c>
      <c r="C1287" s="3" t="s">
        <v>182</v>
      </c>
    </row>
    <row r="1288">
      <c r="A1288" s="3" t="s">
        <v>180</v>
      </c>
      <c r="B1288" s="3" t="s">
        <v>181</v>
      </c>
      <c r="C1288" s="3" t="s">
        <v>182</v>
      </c>
    </row>
    <row r="1289">
      <c r="A1289" s="3" t="s">
        <v>180</v>
      </c>
      <c r="B1289" s="3" t="s">
        <v>181</v>
      </c>
      <c r="C1289" s="3" t="s">
        <v>182</v>
      </c>
    </row>
    <row r="1290">
      <c r="A1290" s="3" t="s">
        <v>180</v>
      </c>
      <c r="B1290" s="3" t="s">
        <v>181</v>
      </c>
      <c r="C1290" s="3" t="s">
        <v>182</v>
      </c>
    </row>
    <row r="1291">
      <c r="A1291" s="3" t="s">
        <v>180</v>
      </c>
      <c r="B1291" s="3" t="s">
        <v>181</v>
      </c>
      <c r="C1291" s="3" t="s">
        <v>182</v>
      </c>
    </row>
    <row r="1292">
      <c r="A1292" s="3" t="s">
        <v>180</v>
      </c>
      <c r="B1292" s="3" t="s">
        <v>181</v>
      </c>
      <c r="C1292" s="3" t="s">
        <v>182</v>
      </c>
    </row>
    <row r="1293">
      <c r="A1293" s="3" t="s">
        <v>180</v>
      </c>
      <c r="B1293" s="3" t="s">
        <v>181</v>
      </c>
      <c r="C1293" s="3" t="s">
        <v>182</v>
      </c>
    </row>
    <row r="1294">
      <c r="A1294" s="3" t="s">
        <v>180</v>
      </c>
      <c r="B1294" s="3" t="s">
        <v>181</v>
      </c>
      <c r="C1294" s="3" t="s">
        <v>182</v>
      </c>
    </row>
    <row r="1295">
      <c r="A1295" s="3" t="s">
        <v>180</v>
      </c>
      <c r="B1295" s="3" t="s">
        <v>181</v>
      </c>
      <c r="C1295" s="3" t="s">
        <v>182</v>
      </c>
    </row>
    <row r="1296">
      <c r="A1296" s="3" t="s">
        <v>180</v>
      </c>
      <c r="B1296" s="3" t="s">
        <v>181</v>
      </c>
      <c r="C1296" s="3" t="s">
        <v>182</v>
      </c>
    </row>
    <row r="1297">
      <c r="A1297" s="3" t="s">
        <v>180</v>
      </c>
      <c r="B1297" s="3" t="s">
        <v>181</v>
      </c>
      <c r="C1297" s="3" t="s">
        <v>182</v>
      </c>
    </row>
    <row r="1298">
      <c r="A1298" s="3" t="s">
        <v>180</v>
      </c>
      <c r="B1298" s="3" t="s">
        <v>181</v>
      </c>
      <c r="C1298" s="3" t="s">
        <v>182</v>
      </c>
    </row>
    <row r="1299">
      <c r="A1299" s="3" t="s">
        <v>180</v>
      </c>
      <c r="B1299" s="3" t="s">
        <v>181</v>
      </c>
      <c r="C1299" s="3" t="s">
        <v>182</v>
      </c>
    </row>
    <row r="1300">
      <c r="A1300" s="3" t="s">
        <v>180</v>
      </c>
      <c r="B1300" s="3" t="s">
        <v>181</v>
      </c>
      <c r="C1300" s="3" t="s">
        <v>182</v>
      </c>
    </row>
    <row r="1301">
      <c r="A1301" s="3" t="s">
        <v>180</v>
      </c>
      <c r="B1301" s="3" t="s">
        <v>181</v>
      </c>
      <c r="C1301" s="3" t="s">
        <v>182</v>
      </c>
    </row>
    <row r="1302">
      <c r="A1302" s="3" t="s">
        <v>180</v>
      </c>
      <c r="B1302" s="3" t="s">
        <v>181</v>
      </c>
      <c r="C1302" s="3" t="s">
        <v>182</v>
      </c>
    </row>
    <row r="1303">
      <c r="A1303" s="3" t="s">
        <v>180</v>
      </c>
      <c r="B1303" s="3" t="s">
        <v>181</v>
      </c>
      <c r="C1303" s="3" t="s">
        <v>182</v>
      </c>
    </row>
    <row r="1304">
      <c r="A1304" s="3" t="s">
        <v>180</v>
      </c>
      <c r="B1304" s="3" t="s">
        <v>181</v>
      </c>
      <c r="C1304" s="3" t="s">
        <v>182</v>
      </c>
    </row>
    <row r="1305">
      <c r="A1305" s="3" t="s">
        <v>180</v>
      </c>
      <c r="B1305" s="3" t="s">
        <v>181</v>
      </c>
      <c r="C1305" s="3" t="s">
        <v>182</v>
      </c>
    </row>
    <row r="1306">
      <c r="A1306" s="3" t="s">
        <v>180</v>
      </c>
      <c r="B1306" s="3" t="s">
        <v>181</v>
      </c>
      <c r="C1306" s="3" t="s">
        <v>182</v>
      </c>
    </row>
    <row r="1307">
      <c r="A1307" s="3" t="s">
        <v>180</v>
      </c>
      <c r="B1307" s="3" t="s">
        <v>181</v>
      </c>
      <c r="C1307" s="3" t="s">
        <v>182</v>
      </c>
    </row>
    <row r="1308">
      <c r="A1308" s="3" t="s">
        <v>180</v>
      </c>
      <c r="B1308" s="3" t="s">
        <v>181</v>
      </c>
      <c r="C1308" s="3" t="s">
        <v>182</v>
      </c>
    </row>
    <row r="1309">
      <c r="A1309" s="3" t="s">
        <v>180</v>
      </c>
      <c r="B1309" s="3" t="s">
        <v>181</v>
      </c>
      <c r="C1309" s="3" t="s">
        <v>182</v>
      </c>
    </row>
    <row r="1310">
      <c r="A1310" s="3" t="s">
        <v>180</v>
      </c>
      <c r="B1310" s="3" t="s">
        <v>181</v>
      </c>
      <c r="C1310" s="3" t="s">
        <v>182</v>
      </c>
    </row>
    <row r="1311">
      <c r="A1311" s="3" t="s">
        <v>180</v>
      </c>
      <c r="B1311" s="3" t="s">
        <v>181</v>
      </c>
      <c r="C1311" s="3" t="s">
        <v>182</v>
      </c>
    </row>
    <row r="1312">
      <c r="A1312" s="3" t="s">
        <v>180</v>
      </c>
      <c r="B1312" s="3" t="s">
        <v>181</v>
      </c>
      <c r="C1312" s="3" t="s">
        <v>182</v>
      </c>
    </row>
    <row r="1313">
      <c r="A1313" s="3" t="s">
        <v>180</v>
      </c>
      <c r="B1313" s="3" t="s">
        <v>181</v>
      </c>
      <c r="C1313" s="3" t="s">
        <v>182</v>
      </c>
    </row>
    <row r="1314">
      <c r="A1314" s="3" t="s">
        <v>180</v>
      </c>
      <c r="B1314" s="3" t="s">
        <v>181</v>
      </c>
      <c r="C1314" s="3" t="s">
        <v>182</v>
      </c>
    </row>
    <row r="1315">
      <c r="A1315" s="3" t="s">
        <v>180</v>
      </c>
      <c r="B1315" s="3" t="s">
        <v>181</v>
      </c>
      <c r="C1315" s="3" t="s">
        <v>182</v>
      </c>
    </row>
    <row r="1316">
      <c r="A1316" s="3" t="s">
        <v>180</v>
      </c>
      <c r="B1316" s="3" t="s">
        <v>181</v>
      </c>
      <c r="C1316" s="3" t="s">
        <v>182</v>
      </c>
    </row>
    <row r="1317">
      <c r="A1317" s="3" t="s">
        <v>180</v>
      </c>
      <c r="B1317" s="3" t="s">
        <v>181</v>
      </c>
      <c r="C1317" s="3" t="s">
        <v>182</v>
      </c>
    </row>
    <row r="1318">
      <c r="A1318" s="3" t="s">
        <v>180</v>
      </c>
      <c r="B1318" s="3" t="s">
        <v>181</v>
      </c>
      <c r="C1318" s="3" t="s">
        <v>182</v>
      </c>
    </row>
    <row r="1319">
      <c r="A1319" s="3" t="s">
        <v>180</v>
      </c>
      <c r="B1319" s="3" t="s">
        <v>181</v>
      </c>
      <c r="C1319" s="3" t="s">
        <v>182</v>
      </c>
    </row>
    <row r="1320">
      <c r="A1320" s="3" t="s">
        <v>180</v>
      </c>
      <c r="B1320" s="3" t="s">
        <v>181</v>
      </c>
      <c r="C1320" s="3" t="s">
        <v>182</v>
      </c>
    </row>
    <row r="1321">
      <c r="A1321" s="3" t="s">
        <v>180</v>
      </c>
      <c r="B1321" s="3" t="s">
        <v>181</v>
      </c>
      <c r="C1321" s="3" t="s">
        <v>182</v>
      </c>
    </row>
    <row r="1322">
      <c r="A1322" s="3" t="s">
        <v>180</v>
      </c>
      <c r="B1322" s="3" t="s">
        <v>181</v>
      </c>
      <c r="C1322" s="3" t="s">
        <v>182</v>
      </c>
    </row>
    <row r="1323">
      <c r="A1323" s="3" t="s">
        <v>180</v>
      </c>
      <c r="B1323" s="3" t="s">
        <v>181</v>
      </c>
      <c r="C1323" s="3" t="s">
        <v>182</v>
      </c>
    </row>
    <row r="1324">
      <c r="A1324" s="3" t="s">
        <v>180</v>
      </c>
      <c r="B1324" s="3" t="s">
        <v>181</v>
      </c>
      <c r="C1324" s="3" t="s">
        <v>182</v>
      </c>
    </row>
    <row r="1325">
      <c r="A1325" s="3" t="s">
        <v>180</v>
      </c>
      <c r="B1325" s="3" t="s">
        <v>181</v>
      </c>
      <c r="C1325" s="3" t="s">
        <v>182</v>
      </c>
    </row>
    <row r="1326">
      <c r="A1326" s="3" t="s">
        <v>180</v>
      </c>
      <c r="B1326" s="3" t="s">
        <v>181</v>
      </c>
      <c r="C1326" s="3" t="s">
        <v>182</v>
      </c>
    </row>
    <row r="1327">
      <c r="A1327" s="3" t="s">
        <v>180</v>
      </c>
      <c r="B1327" s="3" t="s">
        <v>181</v>
      </c>
      <c r="C1327" s="3" t="s">
        <v>182</v>
      </c>
    </row>
    <row r="1328">
      <c r="A1328" s="3" t="s">
        <v>180</v>
      </c>
      <c r="B1328" s="3" t="s">
        <v>181</v>
      </c>
      <c r="C1328" s="3" t="s">
        <v>182</v>
      </c>
    </row>
    <row r="1329">
      <c r="A1329" s="3" t="s">
        <v>180</v>
      </c>
      <c r="B1329" s="3" t="s">
        <v>181</v>
      </c>
      <c r="C1329" s="3" t="s">
        <v>182</v>
      </c>
    </row>
    <row r="1330">
      <c r="A1330" s="3" t="s">
        <v>180</v>
      </c>
      <c r="B1330" s="3" t="s">
        <v>181</v>
      </c>
      <c r="C1330" s="3" t="s">
        <v>182</v>
      </c>
    </row>
    <row r="1331">
      <c r="A1331" s="3" t="s">
        <v>180</v>
      </c>
      <c r="B1331" s="3" t="s">
        <v>181</v>
      </c>
      <c r="C1331" s="3" t="s">
        <v>182</v>
      </c>
    </row>
    <row r="1332">
      <c r="A1332" s="3" t="s">
        <v>180</v>
      </c>
      <c r="B1332" s="3" t="s">
        <v>181</v>
      </c>
      <c r="C1332" s="3" t="s">
        <v>182</v>
      </c>
    </row>
    <row r="1333">
      <c r="A1333" s="3" t="s">
        <v>180</v>
      </c>
      <c r="B1333" s="3" t="s">
        <v>181</v>
      </c>
      <c r="C1333" s="3" t="s">
        <v>182</v>
      </c>
    </row>
    <row r="1334">
      <c r="A1334" s="3" t="s">
        <v>180</v>
      </c>
      <c r="B1334" s="3" t="s">
        <v>181</v>
      </c>
      <c r="C1334" s="3" t="s">
        <v>182</v>
      </c>
    </row>
    <row r="1335">
      <c r="A1335" s="3" t="s">
        <v>180</v>
      </c>
      <c r="B1335" s="3" t="s">
        <v>181</v>
      </c>
      <c r="C1335" s="3" t="s">
        <v>182</v>
      </c>
    </row>
    <row r="1336">
      <c r="A1336" s="3" t="s">
        <v>180</v>
      </c>
      <c r="B1336" s="3" t="s">
        <v>181</v>
      </c>
      <c r="C1336" s="3" t="s">
        <v>182</v>
      </c>
    </row>
    <row r="1337">
      <c r="A1337" s="3" t="s">
        <v>180</v>
      </c>
      <c r="B1337" s="3" t="s">
        <v>181</v>
      </c>
      <c r="C1337" s="3" t="s">
        <v>182</v>
      </c>
    </row>
    <row r="1338">
      <c r="A1338" s="3" t="s">
        <v>180</v>
      </c>
      <c r="B1338" s="3" t="s">
        <v>181</v>
      </c>
      <c r="C1338" s="3" t="s">
        <v>182</v>
      </c>
    </row>
    <row r="1339">
      <c r="A1339" s="3" t="s">
        <v>180</v>
      </c>
      <c r="B1339" s="3" t="s">
        <v>181</v>
      </c>
      <c r="C1339" s="3" t="s">
        <v>182</v>
      </c>
    </row>
    <row r="1340">
      <c r="A1340" s="3" t="s">
        <v>180</v>
      </c>
      <c r="B1340" s="3" t="s">
        <v>181</v>
      </c>
      <c r="C1340" s="3" t="s">
        <v>182</v>
      </c>
    </row>
    <row r="1341">
      <c r="A1341" s="3" t="s">
        <v>180</v>
      </c>
      <c r="B1341" s="3" t="s">
        <v>181</v>
      </c>
      <c r="C1341" s="3" t="s">
        <v>182</v>
      </c>
    </row>
    <row r="1342">
      <c r="A1342" s="3" t="s">
        <v>180</v>
      </c>
      <c r="B1342" s="3" t="s">
        <v>181</v>
      </c>
      <c r="C1342" s="3" t="s">
        <v>182</v>
      </c>
    </row>
    <row r="1343">
      <c r="A1343" s="3" t="s">
        <v>180</v>
      </c>
      <c r="B1343" s="3" t="s">
        <v>181</v>
      </c>
      <c r="C1343" s="3" t="s">
        <v>182</v>
      </c>
    </row>
    <row r="1344">
      <c r="A1344" s="3" t="s">
        <v>180</v>
      </c>
      <c r="B1344" s="3" t="s">
        <v>181</v>
      </c>
      <c r="C1344" s="3" t="s">
        <v>182</v>
      </c>
    </row>
    <row r="1345">
      <c r="A1345" s="3" t="s">
        <v>180</v>
      </c>
      <c r="B1345" s="3" t="s">
        <v>181</v>
      </c>
      <c r="C1345" s="3" t="s">
        <v>182</v>
      </c>
    </row>
    <row r="1346">
      <c r="A1346" s="3" t="s">
        <v>180</v>
      </c>
      <c r="B1346" s="3" t="s">
        <v>181</v>
      </c>
      <c r="C1346" s="3" t="s">
        <v>182</v>
      </c>
    </row>
    <row r="1347">
      <c r="A1347" s="3" t="s">
        <v>180</v>
      </c>
      <c r="B1347" s="3" t="s">
        <v>181</v>
      </c>
      <c r="C1347" s="3" t="s">
        <v>182</v>
      </c>
    </row>
    <row r="1348">
      <c r="A1348" s="3" t="s">
        <v>180</v>
      </c>
      <c r="B1348" s="3" t="s">
        <v>181</v>
      </c>
      <c r="C1348" s="3" t="s">
        <v>182</v>
      </c>
    </row>
    <row r="1349">
      <c r="A1349" s="3" t="s">
        <v>180</v>
      </c>
      <c r="B1349" s="3" t="s">
        <v>181</v>
      </c>
      <c r="C1349" s="3" t="s">
        <v>182</v>
      </c>
    </row>
    <row r="1350">
      <c r="A1350" s="3" t="s">
        <v>180</v>
      </c>
      <c r="B1350" s="3" t="s">
        <v>181</v>
      </c>
      <c r="C1350" s="3" t="s">
        <v>182</v>
      </c>
    </row>
    <row r="1351">
      <c r="A1351" s="3" t="s">
        <v>180</v>
      </c>
      <c r="B1351" s="3" t="s">
        <v>181</v>
      </c>
      <c r="C1351" s="3" t="s">
        <v>182</v>
      </c>
    </row>
    <row r="1352">
      <c r="A1352" s="3" t="s">
        <v>180</v>
      </c>
      <c r="B1352" s="3" t="s">
        <v>181</v>
      </c>
      <c r="C1352" s="3" t="s">
        <v>182</v>
      </c>
    </row>
    <row r="1353">
      <c r="A1353" s="3" t="s">
        <v>180</v>
      </c>
      <c r="B1353" s="3" t="s">
        <v>181</v>
      </c>
      <c r="C1353" s="3" t="s">
        <v>182</v>
      </c>
    </row>
    <row r="1354">
      <c r="A1354" s="3" t="s">
        <v>180</v>
      </c>
      <c r="B1354" s="3" t="s">
        <v>181</v>
      </c>
      <c r="C1354" s="3" t="s">
        <v>182</v>
      </c>
    </row>
    <row r="1355">
      <c r="A1355" s="3" t="s">
        <v>180</v>
      </c>
      <c r="B1355" s="3" t="s">
        <v>181</v>
      </c>
      <c r="C1355" s="3" t="s">
        <v>182</v>
      </c>
    </row>
    <row r="1356">
      <c r="A1356" s="3" t="s">
        <v>180</v>
      </c>
      <c r="B1356" s="3" t="s">
        <v>181</v>
      </c>
      <c r="C1356" s="3" t="s">
        <v>182</v>
      </c>
    </row>
    <row r="1357">
      <c r="A1357" s="3" t="s">
        <v>180</v>
      </c>
      <c r="B1357" s="3" t="s">
        <v>181</v>
      </c>
      <c r="C1357" s="3" t="s">
        <v>182</v>
      </c>
    </row>
    <row r="1358">
      <c r="A1358" s="3" t="s">
        <v>180</v>
      </c>
      <c r="B1358" s="3" t="s">
        <v>181</v>
      </c>
      <c r="C1358" s="3" t="s">
        <v>182</v>
      </c>
    </row>
    <row r="1359">
      <c r="A1359" s="3" t="s">
        <v>180</v>
      </c>
      <c r="B1359" s="3" t="s">
        <v>181</v>
      </c>
      <c r="C1359" s="3" t="s">
        <v>182</v>
      </c>
    </row>
    <row r="1360">
      <c r="A1360" s="3" t="s">
        <v>180</v>
      </c>
      <c r="B1360" s="3" t="s">
        <v>181</v>
      </c>
      <c r="C1360" s="3" t="s">
        <v>182</v>
      </c>
    </row>
    <row r="1361">
      <c r="A1361" s="3" t="s">
        <v>183</v>
      </c>
      <c r="B1361" s="3" t="s">
        <v>184</v>
      </c>
      <c r="C1361" s="3" t="s">
        <v>185</v>
      </c>
    </row>
    <row r="1362">
      <c r="A1362" s="3" t="s">
        <v>183</v>
      </c>
      <c r="B1362" s="3" t="s">
        <v>184</v>
      </c>
      <c r="C1362" s="3" t="s">
        <v>185</v>
      </c>
    </row>
    <row r="1363">
      <c r="A1363" s="3" t="s">
        <v>183</v>
      </c>
      <c r="B1363" s="3" t="s">
        <v>184</v>
      </c>
      <c r="C1363" s="3" t="s">
        <v>185</v>
      </c>
    </row>
    <row r="1364">
      <c r="A1364" s="3" t="s">
        <v>183</v>
      </c>
      <c r="B1364" s="3" t="s">
        <v>184</v>
      </c>
      <c r="C1364" s="3" t="s">
        <v>185</v>
      </c>
    </row>
    <row r="1365">
      <c r="A1365" s="3" t="s">
        <v>183</v>
      </c>
      <c r="B1365" s="3" t="s">
        <v>184</v>
      </c>
      <c r="C1365" s="3" t="s">
        <v>185</v>
      </c>
    </row>
    <row r="1366">
      <c r="A1366" s="3" t="s">
        <v>183</v>
      </c>
      <c r="B1366" s="3" t="s">
        <v>186</v>
      </c>
      <c r="C1366" s="3" t="s">
        <v>187</v>
      </c>
    </row>
    <row r="1367">
      <c r="A1367" s="3" t="s">
        <v>183</v>
      </c>
      <c r="B1367" s="3" t="s">
        <v>184</v>
      </c>
      <c r="C1367" s="3" t="s">
        <v>185</v>
      </c>
    </row>
    <row r="1368">
      <c r="A1368" s="3" t="s">
        <v>183</v>
      </c>
      <c r="B1368" s="3" t="s">
        <v>184</v>
      </c>
      <c r="C1368" s="3" t="s">
        <v>185</v>
      </c>
    </row>
    <row r="1369">
      <c r="A1369" s="3" t="s">
        <v>183</v>
      </c>
      <c r="B1369" s="3" t="s">
        <v>184</v>
      </c>
      <c r="C1369" s="3" t="s">
        <v>185</v>
      </c>
    </row>
    <row r="1370">
      <c r="A1370" s="3" t="s">
        <v>183</v>
      </c>
      <c r="B1370" s="3" t="s">
        <v>184</v>
      </c>
      <c r="C1370" s="3" t="s">
        <v>185</v>
      </c>
    </row>
    <row r="1371">
      <c r="A1371" s="3" t="s">
        <v>183</v>
      </c>
      <c r="B1371" s="3" t="s">
        <v>188</v>
      </c>
      <c r="C1371" s="3" t="s">
        <v>189</v>
      </c>
    </row>
    <row r="1372">
      <c r="A1372" s="3" t="s">
        <v>183</v>
      </c>
      <c r="B1372" s="3" t="s">
        <v>188</v>
      </c>
      <c r="C1372" s="3" t="s">
        <v>189</v>
      </c>
    </row>
    <row r="1373">
      <c r="A1373" s="3" t="s">
        <v>183</v>
      </c>
      <c r="B1373" s="3" t="s">
        <v>184</v>
      </c>
      <c r="C1373" s="3" t="s">
        <v>185</v>
      </c>
    </row>
    <row r="1374">
      <c r="A1374" s="3" t="s">
        <v>183</v>
      </c>
      <c r="B1374" s="3" t="s">
        <v>184</v>
      </c>
      <c r="C1374" s="3" t="s">
        <v>185</v>
      </c>
    </row>
    <row r="1375">
      <c r="A1375" s="3" t="s">
        <v>183</v>
      </c>
      <c r="B1375" s="3" t="s">
        <v>184</v>
      </c>
      <c r="C1375" s="3" t="s">
        <v>185</v>
      </c>
    </row>
    <row r="1376">
      <c r="A1376" s="3" t="s">
        <v>183</v>
      </c>
      <c r="B1376" s="3" t="s">
        <v>186</v>
      </c>
      <c r="C1376" s="3" t="s">
        <v>187</v>
      </c>
    </row>
    <row r="1377">
      <c r="A1377" s="3" t="s">
        <v>183</v>
      </c>
      <c r="B1377" s="3" t="s">
        <v>184</v>
      </c>
      <c r="C1377" s="3" t="s">
        <v>185</v>
      </c>
    </row>
    <row r="1378">
      <c r="A1378" s="3" t="s">
        <v>183</v>
      </c>
      <c r="B1378" s="3" t="s">
        <v>184</v>
      </c>
      <c r="C1378" s="3" t="s">
        <v>185</v>
      </c>
    </row>
    <row r="1379">
      <c r="A1379" s="3" t="s">
        <v>183</v>
      </c>
      <c r="B1379" s="3" t="s">
        <v>184</v>
      </c>
      <c r="C1379" s="3" t="s">
        <v>185</v>
      </c>
    </row>
    <row r="1380">
      <c r="A1380" s="3" t="s">
        <v>183</v>
      </c>
      <c r="B1380" s="3" t="s">
        <v>184</v>
      </c>
      <c r="C1380" s="3" t="s">
        <v>185</v>
      </c>
    </row>
    <row r="1381">
      <c r="A1381" s="3" t="s">
        <v>183</v>
      </c>
      <c r="B1381" s="3" t="s">
        <v>184</v>
      </c>
      <c r="C1381" s="3" t="s">
        <v>185</v>
      </c>
    </row>
    <row r="1382">
      <c r="A1382" s="3" t="s">
        <v>183</v>
      </c>
      <c r="B1382" s="3" t="s">
        <v>184</v>
      </c>
      <c r="C1382" s="3" t="s">
        <v>185</v>
      </c>
    </row>
    <row r="1383">
      <c r="A1383" s="3" t="s">
        <v>183</v>
      </c>
      <c r="B1383" s="3" t="s">
        <v>184</v>
      </c>
      <c r="C1383" s="3" t="s">
        <v>185</v>
      </c>
    </row>
    <row r="1384">
      <c r="A1384" s="3" t="s">
        <v>183</v>
      </c>
      <c r="B1384" s="3" t="s">
        <v>184</v>
      </c>
      <c r="C1384" s="3" t="s">
        <v>185</v>
      </c>
    </row>
    <row r="1385">
      <c r="A1385" s="3" t="s">
        <v>183</v>
      </c>
      <c r="B1385" s="3" t="s">
        <v>184</v>
      </c>
      <c r="C1385" s="3" t="s">
        <v>185</v>
      </c>
    </row>
    <row r="1386">
      <c r="A1386" s="3" t="s">
        <v>183</v>
      </c>
      <c r="B1386" s="3" t="s">
        <v>184</v>
      </c>
      <c r="C1386" s="3" t="s">
        <v>185</v>
      </c>
    </row>
    <row r="1387">
      <c r="A1387" s="3" t="s">
        <v>183</v>
      </c>
      <c r="B1387" s="3" t="s">
        <v>190</v>
      </c>
      <c r="C1387" s="3" t="s">
        <v>191</v>
      </c>
    </row>
    <row r="1388">
      <c r="A1388" s="3" t="s">
        <v>183</v>
      </c>
      <c r="B1388" s="3" t="s">
        <v>184</v>
      </c>
      <c r="C1388" s="3" t="s">
        <v>185</v>
      </c>
    </row>
    <row r="1389">
      <c r="A1389" s="3" t="s">
        <v>183</v>
      </c>
      <c r="B1389" s="3" t="s">
        <v>184</v>
      </c>
      <c r="C1389" s="3" t="s">
        <v>185</v>
      </c>
    </row>
    <row r="1390">
      <c r="A1390" s="3" t="s">
        <v>183</v>
      </c>
      <c r="B1390" s="3" t="s">
        <v>184</v>
      </c>
      <c r="C1390" s="3" t="s">
        <v>185</v>
      </c>
    </row>
    <row r="1391">
      <c r="A1391" s="3" t="s">
        <v>192</v>
      </c>
      <c r="B1391" s="3" t="s">
        <v>193</v>
      </c>
      <c r="C1391" s="3" t="s">
        <v>194</v>
      </c>
    </row>
    <row r="1392">
      <c r="A1392" s="3" t="s">
        <v>192</v>
      </c>
      <c r="B1392" s="3" t="s">
        <v>195</v>
      </c>
      <c r="C1392" s="3" t="s">
        <v>196</v>
      </c>
    </row>
    <row r="1393">
      <c r="A1393" s="3" t="s">
        <v>192</v>
      </c>
      <c r="B1393" s="3" t="s">
        <v>195</v>
      </c>
      <c r="C1393" s="3" t="s">
        <v>196</v>
      </c>
    </row>
    <row r="1394">
      <c r="A1394" s="3" t="s">
        <v>192</v>
      </c>
      <c r="B1394" s="3" t="s">
        <v>197</v>
      </c>
      <c r="C1394" s="3" t="s">
        <v>198</v>
      </c>
    </row>
    <row r="1395">
      <c r="A1395" s="3" t="s">
        <v>192</v>
      </c>
      <c r="B1395" s="3" t="s">
        <v>197</v>
      </c>
      <c r="C1395" s="3" t="s">
        <v>199</v>
      </c>
    </row>
    <row r="1396">
      <c r="A1396" s="3" t="s">
        <v>192</v>
      </c>
      <c r="B1396" s="3" t="s">
        <v>200</v>
      </c>
      <c r="C1396" s="3" t="s">
        <v>201</v>
      </c>
    </row>
    <row r="1397">
      <c r="A1397" s="3" t="s">
        <v>192</v>
      </c>
      <c r="B1397" s="3" t="s">
        <v>202</v>
      </c>
      <c r="C1397" s="3" t="s">
        <v>203</v>
      </c>
    </row>
    <row r="1398">
      <c r="A1398" s="3" t="s">
        <v>192</v>
      </c>
      <c r="B1398" s="3" t="s">
        <v>202</v>
      </c>
      <c r="C1398" s="3" t="s">
        <v>204</v>
      </c>
    </row>
    <row r="1399">
      <c r="A1399" s="3" t="s">
        <v>192</v>
      </c>
      <c r="B1399" s="3" t="s">
        <v>202</v>
      </c>
      <c r="C1399" s="3" t="s">
        <v>205</v>
      </c>
    </row>
    <row r="1400">
      <c r="A1400" s="3" t="s">
        <v>192</v>
      </c>
      <c r="B1400" s="3" t="s">
        <v>202</v>
      </c>
      <c r="C1400" s="3" t="s">
        <v>206</v>
      </c>
    </row>
    <row r="1401">
      <c r="A1401" s="3" t="s">
        <v>192</v>
      </c>
      <c r="B1401" s="3" t="s">
        <v>193</v>
      </c>
      <c r="C1401" s="3" t="s">
        <v>194</v>
      </c>
    </row>
    <row r="1402">
      <c r="A1402" s="3" t="s">
        <v>192</v>
      </c>
      <c r="B1402" s="3" t="s">
        <v>200</v>
      </c>
      <c r="C1402" s="3" t="s">
        <v>207</v>
      </c>
    </row>
    <row r="1403">
      <c r="A1403" s="3" t="s">
        <v>192</v>
      </c>
      <c r="B1403" s="3" t="s">
        <v>200</v>
      </c>
      <c r="C1403" s="3" t="s">
        <v>61</v>
      </c>
    </row>
    <row r="1404">
      <c r="A1404" s="3" t="s">
        <v>192</v>
      </c>
      <c r="B1404" s="3" t="s">
        <v>200</v>
      </c>
      <c r="C1404" s="3" t="s">
        <v>208</v>
      </c>
    </row>
    <row r="1405">
      <c r="A1405" s="3" t="s">
        <v>192</v>
      </c>
      <c r="B1405" s="3" t="s">
        <v>200</v>
      </c>
      <c r="C1405" s="3" t="s">
        <v>209</v>
      </c>
    </row>
    <row r="1406">
      <c r="A1406" s="3" t="s">
        <v>192</v>
      </c>
      <c r="B1406" s="3" t="s">
        <v>200</v>
      </c>
      <c r="C1406" s="3" t="s">
        <v>201</v>
      </c>
    </row>
    <row r="1407">
      <c r="A1407" s="3" t="s">
        <v>192</v>
      </c>
      <c r="B1407" s="3" t="s">
        <v>195</v>
      </c>
      <c r="C1407" s="3" t="s">
        <v>210</v>
      </c>
    </row>
    <row r="1408">
      <c r="A1408" s="3" t="s">
        <v>192</v>
      </c>
      <c r="B1408" s="3" t="s">
        <v>195</v>
      </c>
      <c r="C1408" s="3" t="s">
        <v>196</v>
      </c>
    </row>
    <row r="1409">
      <c r="A1409" s="3" t="s">
        <v>192</v>
      </c>
      <c r="B1409" s="3" t="s">
        <v>195</v>
      </c>
      <c r="C1409" s="3" t="s">
        <v>211</v>
      </c>
    </row>
    <row r="1410">
      <c r="A1410" s="3" t="s">
        <v>192</v>
      </c>
      <c r="B1410" s="3" t="s">
        <v>195</v>
      </c>
      <c r="C1410" s="3" t="s">
        <v>61</v>
      </c>
    </row>
    <row r="1411">
      <c r="A1411" s="3" t="s">
        <v>192</v>
      </c>
      <c r="B1411" s="3" t="s">
        <v>195</v>
      </c>
      <c r="C1411" s="3" t="s">
        <v>212</v>
      </c>
    </row>
    <row r="1412">
      <c r="A1412" s="3" t="s">
        <v>192</v>
      </c>
      <c r="B1412" s="3" t="s">
        <v>197</v>
      </c>
      <c r="C1412" s="3" t="s">
        <v>213</v>
      </c>
    </row>
    <row r="1413">
      <c r="A1413" s="3" t="s">
        <v>192</v>
      </c>
      <c r="B1413" s="3" t="s">
        <v>197</v>
      </c>
      <c r="C1413" s="3" t="s">
        <v>198</v>
      </c>
    </row>
    <row r="1414">
      <c r="A1414" s="3" t="s">
        <v>192</v>
      </c>
      <c r="B1414" s="3" t="s">
        <v>197</v>
      </c>
      <c r="C1414" s="3" t="s">
        <v>199</v>
      </c>
    </row>
    <row r="1415">
      <c r="A1415" s="3" t="s">
        <v>192</v>
      </c>
      <c r="B1415" s="3" t="s">
        <v>197</v>
      </c>
      <c r="C1415" s="3" t="s">
        <v>214</v>
      </c>
    </row>
    <row r="1416">
      <c r="A1416" s="3" t="s">
        <v>192</v>
      </c>
      <c r="B1416" s="3" t="s">
        <v>197</v>
      </c>
      <c r="C1416" s="3" t="s">
        <v>61</v>
      </c>
    </row>
    <row r="1417">
      <c r="A1417" s="3" t="s">
        <v>192</v>
      </c>
      <c r="B1417" s="3" t="s">
        <v>197</v>
      </c>
      <c r="C1417" s="3" t="s">
        <v>215</v>
      </c>
    </row>
    <row r="1418">
      <c r="A1418" s="3" t="s">
        <v>192</v>
      </c>
      <c r="B1418" s="3" t="s">
        <v>195</v>
      </c>
      <c r="C1418" s="3" t="s">
        <v>210</v>
      </c>
    </row>
    <row r="1419">
      <c r="A1419" s="3" t="s">
        <v>192</v>
      </c>
      <c r="B1419" s="3" t="s">
        <v>200</v>
      </c>
      <c r="C1419" s="3" t="s">
        <v>201</v>
      </c>
    </row>
    <row r="1420">
      <c r="A1420" s="3" t="s">
        <v>192</v>
      </c>
      <c r="B1420" s="3" t="s">
        <v>197</v>
      </c>
      <c r="C1420" s="3" t="s">
        <v>215</v>
      </c>
    </row>
    <row r="1421">
      <c r="A1421" s="3" t="s">
        <v>192</v>
      </c>
      <c r="B1421" s="3" t="s">
        <v>195</v>
      </c>
      <c r="C1421" s="3" t="s">
        <v>211</v>
      </c>
    </row>
    <row r="1422">
      <c r="A1422" s="3" t="s">
        <v>192</v>
      </c>
      <c r="B1422" s="3" t="s">
        <v>202</v>
      </c>
      <c r="C1422" s="3" t="s">
        <v>203</v>
      </c>
    </row>
    <row r="1423">
      <c r="A1423" s="3" t="s">
        <v>192</v>
      </c>
      <c r="B1423" s="3" t="s">
        <v>195</v>
      </c>
      <c r="C1423" s="3" t="s">
        <v>210</v>
      </c>
    </row>
    <row r="1424">
      <c r="A1424" s="3" t="s">
        <v>192</v>
      </c>
      <c r="B1424" s="3" t="s">
        <v>195</v>
      </c>
      <c r="C1424" s="3" t="s">
        <v>61</v>
      </c>
    </row>
    <row r="1425">
      <c r="A1425" s="3" t="s">
        <v>192</v>
      </c>
      <c r="B1425" s="3" t="s">
        <v>202</v>
      </c>
      <c r="C1425" s="3" t="s">
        <v>206</v>
      </c>
    </row>
    <row r="1426">
      <c r="A1426" s="3" t="s">
        <v>192</v>
      </c>
      <c r="B1426" s="3" t="s">
        <v>197</v>
      </c>
      <c r="C1426" s="3" t="s">
        <v>215</v>
      </c>
    </row>
    <row r="1427">
      <c r="A1427" s="3" t="s">
        <v>192</v>
      </c>
      <c r="B1427" s="3" t="s">
        <v>202</v>
      </c>
      <c r="C1427" s="3" t="s">
        <v>203</v>
      </c>
    </row>
    <row r="1428">
      <c r="A1428" s="3" t="s">
        <v>192</v>
      </c>
      <c r="B1428" s="3" t="s">
        <v>202</v>
      </c>
      <c r="C1428" s="3" t="s">
        <v>206</v>
      </c>
    </row>
    <row r="1429">
      <c r="A1429" s="3" t="s">
        <v>192</v>
      </c>
      <c r="B1429" s="3" t="s">
        <v>197</v>
      </c>
      <c r="C1429" s="3" t="s">
        <v>61</v>
      </c>
    </row>
    <row r="1430">
      <c r="A1430" s="3" t="s">
        <v>192</v>
      </c>
      <c r="B1430" s="3" t="s">
        <v>197</v>
      </c>
      <c r="C1430" s="3" t="s">
        <v>61</v>
      </c>
    </row>
    <row r="1431">
      <c r="A1431" s="3" t="s">
        <v>192</v>
      </c>
      <c r="B1431" s="3" t="s">
        <v>195</v>
      </c>
      <c r="C1431" s="3" t="s">
        <v>211</v>
      </c>
    </row>
    <row r="1432">
      <c r="A1432" s="3" t="s">
        <v>192</v>
      </c>
      <c r="B1432" s="3" t="s">
        <v>202</v>
      </c>
      <c r="C1432" s="3" t="s">
        <v>206</v>
      </c>
    </row>
    <row r="1433">
      <c r="A1433" s="3" t="s">
        <v>192</v>
      </c>
      <c r="B1433" s="3" t="s">
        <v>197</v>
      </c>
      <c r="C1433" s="3" t="s">
        <v>213</v>
      </c>
    </row>
    <row r="1434">
      <c r="A1434" s="3" t="s">
        <v>192</v>
      </c>
      <c r="B1434" s="3" t="s">
        <v>197</v>
      </c>
      <c r="C1434" s="3" t="s">
        <v>198</v>
      </c>
    </row>
    <row r="1435">
      <c r="A1435" s="3" t="s">
        <v>192</v>
      </c>
      <c r="B1435" s="3" t="s">
        <v>195</v>
      </c>
      <c r="C1435" s="3" t="s">
        <v>211</v>
      </c>
    </row>
    <row r="1436">
      <c r="A1436" s="3" t="s">
        <v>192</v>
      </c>
      <c r="B1436" s="3" t="s">
        <v>202</v>
      </c>
      <c r="C1436" s="3" t="s">
        <v>206</v>
      </c>
    </row>
    <row r="1437">
      <c r="A1437" s="3" t="s">
        <v>192</v>
      </c>
      <c r="B1437" s="3" t="s">
        <v>195</v>
      </c>
      <c r="C1437" s="3" t="s">
        <v>210</v>
      </c>
    </row>
    <row r="1438">
      <c r="A1438" s="3" t="s">
        <v>192</v>
      </c>
      <c r="B1438" s="3" t="s">
        <v>197</v>
      </c>
      <c r="C1438" s="3" t="s">
        <v>61</v>
      </c>
    </row>
    <row r="1439">
      <c r="A1439" s="3" t="s">
        <v>192</v>
      </c>
      <c r="B1439" s="3" t="s">
        <v>202</v>
      </c>
      <c r="C1439" s="3" t="s">
        <v>204</v>
      </c>
    </row>
    <row r="1440">
      <c r="A1440" s="3" t="s">
        <v>192</v>
      </c>
      <c r="B1440" s="3" t="s">
        <v>197</v>
      </c>
      <c r="C1440" s="3" t="s">
        <v>61</v>
      </c>
    </row>
    <row r="1441">
      <c r="A1441" s="3" t="s">
        <v>192</v>
      </c>
      <c r="B1441" s="3" t="s">
        <v>197</v>
      </c>
      <c r="C1441" s="3" t="s">
        <v>215</v>
      </c>
    </row>
    <row r="1442">
      <c r="A1442" s="3" t="s">
        <v>192</v>
      </c>
      <c r="B1442" s="3" t="s">
        <v>197</v>
      </c>
      <c r="C1442" s="3" t="s">
        <v>199</v>
      </c>
    </row>
    <row r="1443">
      <c r="A1443" s="3" t="s">
        <v>192</v>
      </c>
      <c r="B1443" s="3" t="s">
        <v>202</v>
      </c>
      <c r="C1443" s="3" t="s">
        <v>203</v>
      </c>
    </row>
    <row r="1444">
      <c r="A1444" s="3" t="s">
        <v>192</v>
      </c>
      <c r="B1444" s="3" t="s">
        <v>197</v>
      </c>
      <c r="C1444" s="3" t="s">
        <v>61</v>
      </c>
    </row>
    <row r="1445">
      <c r="A1445" s="3" t="s">
        <v>192</v>
      </c>
      <c r="B1445" s="3" t="s">
        <v>200</v>
      </c>
      <c r="C1445" s="3" t="s">
        <v>209</v>
      </c>
    </row>
    <row r="1446">
      <c r="A1446" s="3" t="s">
        <v>192</v>
      </c>
      <c r="B1446" s="3" t="s">
        <v>200</v>
      </c>
      <c r="C1446" s="3" t="s">
        <v>208</v>
      </c>
    </row>
    <row r="1447">
      <c r="A1447" s="3" t="s">
        <v>192</v>
      </c>
      <c r="B1447" s="3" t="s">
        <v>200</v>
      </c>
      <c r="C1447" s="3" t="s">
        <v>209</v>
      </c>
    </row>
    <row r="1448">
      <c r="A1448" s="3" t="s">
        <v>192</v>
      </c>
      <c r="B1448" s="3" t="s">
        <v>197</v>
      </c>
      <c r="C1448" s="3" t="s">
        <v>199</v>
      </c>
    </row>
    <row r="1449">
      <c r="A1449" s="3" t="s">
        <v>192</v>
      </c>
      <c r="B1449" s="3" t="s">
        <v>202</v>
      </c>
      <c r="C1449" s="3" t="s">
        <v>203</v>
      </c>
    </row>
    <row r="1450">
      <c r="A1450" s="3" t="s">
        <v>192</v>
      </c>
      <c r="B1450" s="3" t="s">
        <v>195</v>
      </c>
      <c r="C1450" s="3" t="s">
        <v>211</v>
      </c>
    </row>
    <row r="1451">
      <c r="A1451" s="3" t="s">
        <v>192</v>
      </c>
      <c r="B1451" s="3" t="s">
        <v>197</v>
      </c>
      <c r="C1451" s="3" t="s">
        <v>199</v>
      </c>
    </row>
    <row r="1452">
      <c r="A1452" s="3" t="s">
        <v>192</v>
      </c>
      <c r="B1452" s="3" t="s">
        <v>195</v>
      </c>
      <c r="C1452" s="3" t="s">
        <v>61</v>
      </c>
    </row>
    <row r="1453">
      <c r="A1453" s="3" t="s">
        <v>192</v>
      </c>
      <c r="B1453" s="3" t="s">
        <v>202</v>
      </c>
      <c r="C1453" s="3" t="s">
        <v>206</v>
      </c>
    </row>
    <row r="1454">
      <c r="A1454" s="3" t="s">
        <v>192</v>
      </c>
      <c r="B1454" s="3" t="s">
        <v>202</v>
      </c>
      <c r="C1454" s="3" t="s">
        <v>206</v>
      </c>
    </row>
    <row r="1455">
      <c r="A1455" s="3" t="s">
        <v>192</v>
      </c>
      <c r="B1455" s="3" t="s">
        <v>195</v>
      </c>
      <c r="C1455" s="3" t="s">
        <v>61</v>
      </c>
    </row>
    <row r="1456">
      <c r="A1456" s="3" t="s">
        <v>192</v>
      </c>
      <c r="B1456" s="3" t="s">
        <v>197</v>
      </c>
      <c r="C1456" s="3" t="s">
        <v>198</v>
      </c>
    </row>
    <row r="1457">
      <c r="A1457" s="3" t="s">
        <v>192</v>
      </c>
      <c r="B1457" s="3" t="s">
        <v>200</v>
      </c>
      <c r="C1457" s="3" t="s">
        <v>207</v>
      </c>
    </row>
    <row r="1458">
      <c r="A1458" s="3" t="s">
        <v>192</v>
      </c>
      <c r="B1458" s="3" t="s">
        <v>200</v>
      </c>
      <c r="C1458" s="3" t="s">
        <v>201</v>
      </c>
    </row>
    <row r="1459">
      <c r="A1459" s="3" t="s">
        <v>192</v>
      </c>
      <c r="B1459" s="3" t="s">
        <v>195</v>
      </c>
      <c r="C1459" s="3" t="s">
        <v>210</v>
      </c>
    </row>
    <row r="1460">
      <c r="A1460" s="3" t="s">
        <v>192</v>
      </c>
      <c r="B1460" s="3" t="s">
        <v>202</v>
      </c>
      <c r="C1460" s="3" t="s">
        <v>205</v>
      </c>
    </row>
    <row r="1461">
      <c r="A1461" s="3" t="s">
        <v>192</v>
      </c>
      <c r="B1461" s="3" t="s">
        <v>202</v>
      </c>
      <c r="C1461" s="3" t="s">
        <v>204</v>
      </c>
    </row>
    <row r="1462">
      <c r="A1462" s="3" t="s">
        <v>192</v>
      </c>
      <c r="B1462" s="3" t="s">
        <v>202</v>
      </c>
      <c r="C1462" s="3" t="s">
        <v>206</v>
      </c>
    </row>
    <row r="1463">
      <c r="A1463" s="3" t="s">
        <v>192</v>
      </c>
      <c r="B1463" s="3" t="s">
        <v>193</v>
      </c>
      <c r="C1463" s="3" t="s">
        <v>194</v>
      </c>
    </row>
    <row r="1464">
      <c r="A1464" s="3" t="s">
        <v>192</v>
      </c>
      <c r="B1464" s="3" t="s">
        <v>200</v>
      </c>
      <c r="C1464" s="3" t="s">
        <v>207</v>
      </c>
    </row>
    <row r="1465">
      <c r="A1465" s="3" t="s">
        <v>192</v>
      </c>
      <c r="B1465" s="3" t="s">
        <v>193</v>
      </c>
      <c r="C1465" s="3" t="s">
        <v>194</v>
      </c>
    </row>
    <row r="1466">
      <c r="A1466" s="3" t="s">
        <v>192</v>
      </c>
      <c r="B1466" s="3" t="s">
        <v>195</v>
      </c>
      <c r="C1466" s="3" t="s">
        <v>212</v>
      </c>
    </row>
    <row r="1467">
      <c r="A1467" s="3" t="s">
        <v>192</v>
      </c>
      <c r="B1467" s="3" t="s">
        <v>193</v>
      </c>
      <c r="C1467" s="3" t="s">
        <v>194</v>
      </c>
    </row>
    <row r="1468">
      <c r="A1468" s="3" t="s">
        <v>192</v>
      </c>
      <c r="B1468" s="3" t="s">
        <v>202</v>
      </c>
      <c r="C1468" s="3" t="s">
        <v>206</v>
      </c>
    </row>
    <row r="1469">
      <c r="A1469" s="3" t="s">
        <v>192</v>
      </c>
      <c r="B1469" s="3" t="s">
        <v>197</v>
      </c>
      <c r="C1469" s="3" t="s">
        <v>213</v>
      </c>
    </row>
    <row r="1470">
      <c r="A1470" s="3" t="s">
        <v>192</v>
      </c>
      <c r="B1470" s="3" t="s">
        <v>197</v>
      </c>
      <c r="C1470" s="3" t="s">
        <v>198</v>
      </c>
    </row>
    <row r="1471">
      <c r="A1471" s="3" t="s">
        <v>192</v>
      </c>
      <c r="B1471" s="3" t="s">
        <v>200</v>
      </c>
      <c r="C1471" s="3" t="s">
        <v>201</v>
      </c>
    </row>
    <row r="1472">
      <c r="A1472" s="3" t="s">
        <v>192</v>
      </c>
      <c r="B1472" s="3" t="s">
        <v>202</v>
      </c>
      <c r="C1472" s="3" t="s">
        <v>203</v>
      </c>
    </row>
    <row r="1473">
      <c r="A1473" s="3" t="s">
        <v>192</v>
      </c>
      <c r="B1473" s="3" t="s">
        <v>202</v>
      </c>
      <c r="C1473" s="3" t="s">
        <v>204</v>
      </c>
    </row>
    <row r="1474">
      <c r="A1474" s="3" t="s">
        <v>192</v>
      </c>
      <c r="B1474" s="3" t="s">
        <v>202</v>
      </c>
      <c r="C1474" s="3" t="s">
        <v>205</v>
      </c>
    </row>
    <row r="1475">
      <c r="A1475" s="3" t="s">
        <v>192</v>
      </c>
      <c r="B1475" s="3" t="s">
        <v>202</v>
      </c>
      <c r="C1475" s="3" t="s">
        <v>206</v>
      </c>
    </row>
    <row r="1476">
      <c r="A1476" s="3" t="s">
        <v>192</v>
      </c>
      <c r="B1476" s="3" t="s">
        <v>193</v>
      </c>
      <c r="C1476" s="3" t="s">
        <v>194</v>
      </c>
    </row>
    <row r="1477">
      <c r="A1477" s="3" t="s">
        <v>192</v>
      </c>
      <c r="B1477" s="3" t="s">
        <v>200</v>
      </c>
      <c r="C1477" s="3" t="s">
        <v>207</v>
      </c>
    </row>
    <row r="1478">
      <c r="A1478" s="3" t="s">
        <v>192</v>
      </c>
      <c r="B1478" s="3" t="s">
        <v>200</v>
      </c>
      <c r="C1478" s="3" t="s">
        <v>61</v>
      </c>
    </row>
    <row r="1479">
      <c r="A1479" s="3" t="s">
        <v>192</v>
      </c>
      <c r="B1479" s="3" t="s">
        <v>200</v>
      </c>
      <c r="C1479" s="3" t="s">
        <v>208</v>
      </c>
    </row>
    <row r="1480">
      <c r="A1480" s="3" t="s">
        <v>192</v>
      </c>
      <c r="B1480" s="3" t="s">
        <v>200</v>
      </c>
      <c r="C1480" s="3" t="s">
        <v>209</v>
      </c>
    </row>
    <row r="1481">
      <c r="A1481" s="3" t="s">
        <v>192</v>
      </c>
      <c r="B1481" s="3" t="s">
        <v>200</v>
      </c>
      <c r="C1481" s="3" t="s">
        <v>201</v>
      </c>
    </row>
    <row r="1482">
      <c r="A1482" s="3" t="s">
        <v>192</v>
      </c>
      <c r="B1482" s="3" t="s">
        <v>195</v>
      </c>
      <c r="C1482" s="3" t="s">
        <v>210</v>
      </c>
    </row>
    <row r="1483">
      <c r="A1483" s="3" t="s">
        <v>192</v>
      </c>
      <c r="B1483" s="3" t="s">
        <v>195</v>
      </c>
      <c r="C1483" s="3" t="s">
        <v>196</v>
      </c>
    </row>
    <row r="1484">
      <c r="A1484" s="3" t="s">
        <v>192</v>
      </c>
      <c r="B1484" s="3" t="s">
        <v>195</v>
      </c>
      <c r="C1484" s="3" t="s">
        <v>211</v>
      </c>
    </row>
    <row r="1485">
      <c r="A1485" s="3" t="s">
        <v>192</v>
      </c>
      <c r="B1485" s="3" t="s">
        <v>195</v>
      </c>
      <c r="C1485" s="3" t="s">
        <v>61</v>
      </c>
    </row>
    <row r="1486">
      <c r="A1486" s="3" t="s">
        <v>192</v>
      </c>
      <c r="B1486" s="3" t="s">
        <v>195</v>
      </c>
      <c r="C1486" s="3" t="s">
        <v>212</v>
      </c>
    </row>
    <row r="1487">
      <c r="A1487" s="3" t="s">
        <v>192</v>
      </c>
      <c r="B1487" s="3" t="s">
        <v>197</v>
      </c>
      <c r="C1487" s="3" t="s">
        <v>213</v>
      </c>
    </row>
    <row r="1488">
      <c r="A1488" s="3" t="s">
        <v>192</v>
      </c>
      <c r="B1488" s="3" t="s">
        <v>197</v>
      </c>
      <c r="C1488" s="3" t="s">
        <v>198</v>
      </c>
    </row>
    <row r="1489">
      <c r="A1489" s="3" t="s">
        <v>192</v>
      </c>
      <c r="B1489" s="3" t="s">
        <v>197</v>
      </c>
      <c r="C1489" s="3" t="s">
        <v>199</v>
      </c>
    </row>
    <row r="1490">
      <c r="A1490" s="3" t="s">
        <v>192</v>
      </c>
      <c r="B1490" s="3" t="s">
        <v>197</v>
      </c>
      <c r="C1490" s="3" t="s">
        <v>214</v>
      </c>
    </row>
    <row r="1491">
      <c r="A1491" s="3" t="s">
        <v>192</v>
      </c>
      <c r="B1491" s="3" t="s">
        <v>197</v>
      </c>
      <c r="C1491" s="3" t="s">
        <v>61</v>
      </c>
    </row>
    <row r="1492">
      <c r="A1492" s="3" t="s">
        <v>192</v>
      </c>
      <c r="B1492" s="3" t="s">
        <v>197</v>
      </c>
      <c r="C1492" s="3" t="s">
        <v>215</v>
      </c>
    </row>
    <row r="1493">
      <c r="A1493" s="3" t="s">
        <v>192</v>
      </c>
      <c r="B1493" s="3" t="s">
        <v>200</v>
      </c>
      <c r="C1493" s="3" t="s">
        <v>207</v>
      </c>
    </row>
    <row r="1494">
      <c r="A1494" s="3" t="s">
        <v>192</v>
      </c>
      <c r="B1494" s="3" t="s">
        <v>200</v>
      </c>
      <c r="C1494" s="3" t="s">
        <v>208</v>
      </c>
    </row>
    <row r="1495">
      <c r="A1495" s="3" t="s">
        <v>192</v>
      </c>
      <c r="B1495" s="3" t="s">
        <v>202</v>
      </c>
      <c r="C1495" s="3" t="s">
        <v>206</v>
      </c>
    </row>
    <row r="1496">
      <c r="A1496" s="3" t="s">
        <v>192</v>
      </c>
      <c r="B1496" s="3" t="s">
        <v>202</v>
      </c>
      <c r="C1496" s="3" t="s">
        <v>206</v>
      </c>
    </row>
    <row r="1497">
      <c r="A1497" s="3" t="s">
        <v>192</v>
      </c>
      <c r="B1497" s="3" t="s">
        <v>202</v>
      </c>
      <c r="C1497" s="3" t="s">
        <v>206</v>
      </c>
    </row>
    <row r="1498">
      <c r="A1498" s="3" t="s">
        <v>192</v>
      </c>
      <c r="B1498" s="3" t="s">
        <v>197</v>
      </c>
      <c r="C1498" s="3" t="s">
        <v>214</v>
      </c>
    </row>
    <row r="1499">
      <c r="A1499" s="3" t="s">
        <v>192</v>
      </c>
      <c r="B1499" s="3" t="s">
        <v>202</v>
      </c>
      <c r="C1499" s="3" t="s">
        <v>206</v>
      </c>
    </row>
    <row r="1500">
      <c r="A1500" s="3" t="s">
        <v>192</v>
      </c>
      <c r="B1500" s="3" t="s">
        <v>197</v>
      </c>
      <c r="C1500" s="3" t="s">
        <v>213</v>
      </c>
    </row>
    <row r="1501">
      <c r="A1501" s="3" t="s">
        <v>192</v>
      </c>
      <c r="B1501" s="3" t="s">
        <v>197</v>
      </c>
      <c r="C1501" s="3" t="s">
        <v>198</v>
      </c>
    </row>
    <row r="1502">
      <c r="A1502" s="3" t="s">
        <v>192</v>
      </c>
      <c r="B1502" s="3" t="s">
        <v>202</v>
      </c>
      <c r="C1502" s="3" t="s">
        <v>206</v>
      </c>
    </row>
    <row r="1503">
      <c r="A1503" s="3" t="s">
        <v>192</v>
      </c>
      <c r="B1503" s="3" t="s">
        <v>202</v>
      </c>
      <c r="C1503" s="3" t="s">
        <v>206</v>
      </c>
    </row>
    <row r="1504">
      <c r="A1504" s="3" t="s">
        <v>192</v>
      </c>
      <c r="B1504" s="3" t="s">
        <v>197</v>
      </c>
      <c r="C1504" s="3" t="s">
        <v>199</v>
      </c>
    </row>
    <row r="1505">
      <c r="A1505" s="3" t="s">
        <v>192</v>
      </c>
      <c r="B1505" s="3" t="s">
        <v>197</v>
      </c>
      <c r="C1505" s="3" t="s">
        <v>198</v>
      </c>
    </row>
    <row r="1506">
      <c r="A1506" s="3" t="s">
        <v>192</v>
      </c>
      <c r="B1506" s="3" t="s">
        <v>200</v>
      </c>
      <c r="C1506" s="3" t="s">
        <v>61</v>
      </c>
    </row>
    <row r="1507">
      <c r="A1507" s="3" t="s">
        <v>192</v>
      </c>
      <c r="B1507" s="3" t="s">
        <v>195</v>
      </c>
      <c r="C1507" s="3" t="s">
        <v>210</v>
      </c>
    </row>
    <row r="1508">
      <c r="A1508" s="3" t="s">
        <v>192</v>
      </c>
      <c r="B1508" s="3" t="s">
        <v>197</v>
      </c>
      <c r="C1508" s="3" t="s">
        <v>214</v>
      </c>
    </row>
    <row r="1509">
      <c r="A1509" s="3" t="s">
        <v>192</v>
      </c>
      <c r="B1509" s="3" t="s">
        <v>202</v>
      </c>
      <c r="C1509" s="3" t="s">
        <v>206</v>
      </c>
    </row>
    <row r="1510">
      <c r="A1510" s="3" t="s">
        <v>192</v>
      </c>
      <c r="B1510" s="3" t="s">
        <v>197</v>
      </c>
      <c r="C1510" s="3" t="s">
        <v>199</v>
      </c>
    </row>
    <row r="1511">
      <c r="A1511" s="3" t="s">
        <v>192</v>
      </c>
      <c r="B1511" s="3" t="s">
        <v>202</v>
      </c>
      <c r="C1511" s="3" t="s">
        <v>203</v>
      </c>
    </row>
    <row r="1512">
      <c r="A1512" s="3" t="s">
        <v>192</v>
      </c>
      <c r="B1512" s="3" t="s">
        <v>195</v>
      </c>
      <c r="C1512" s="3" t="s">
        <v>61</v>
      </c>
    </row>
    <row r="1513">
      <c r="A1513" s="3" t="s">
        <v>192</v>
      </c>
      <c r="B1513" s="3" t="s">
        <v>202</v>
      </c>
      <c r="C1513" s="3" t="s">
        <v>206</v>
      </c>
    </row>
    <row r="1514">
      <c r="A1514" s="3" t="s">
        <v>192</v>
      </c>
      <c r="B1514" s="3" t="s">
        <v>197</v>
      </c>
      <c r="C1514" s="3" t="s">
        <v>213</v>
      </c>
    </row>
    <row r="1515">
      <c r="A1515" s="3" t="s">
        <v>192</v>
      </c>
      <c r="B1515" s="3" t="s">
        <v>197</v>
      </c>
      <c r="C1515" s="3" t="s">
        <v>214</v>
      </c>
    </row>
    <row r="1516">
      <c r="A1516" s="3" t="s">
        <v>192</v>
      </c>
      <c r="B1516" s="3" t="s">
        <v>197</v>
      </c>
      <c r="C1516" s="3" t="s">
        <v>198</v>
      </c>
    </row>
    <row r="1517">
      <c r="A1517" s="3" t="s">
        <v>192</v>
      </c>
      <c r="B1517" s="3" t="s">
        <v>197</v>
      </c>
      <c r="C1517" s="3" t="s">
        <v>198</v>
      </c>
    </row>
    <row r="1518">
      <c r="A1518" s="3" t="s">
        <v>192</v>
      </c>
      <c r="B1518" s="3" t="s">
        <v>202</v>
      </c>
      <c r="C1518" s="3" t="s">
        <v>206</v>
      </c>
    </row>
    <row r="1519">
      <c r="A1519" s="3" t="s">
        <v>192</v>
      </c>
      <c r="B1519" s="3" t="s">
        <v>202</v>
      </c>
      <c r="C1519" s="3" t="s">
        <v>206</v>
      </c>
    </row>
    <row r="1520">
      <c r="A1520" s="3" t="s">
        <v>192</v>
      </c>
      <c r="B1520" s="3" t="s">
        <v>195</v>
      </c>
      <c r="C1520" s="3" t="s">
        <v>196</v>
      </c>
    </row>
    <row r="1521">
      <c r="A1521" s="3" t="s">
        <v>192</v>
      </c>
      <c r="B1521" s="3" t="s">
        <v>197</v>
      </c>
      <c r="C1521" s="3" t="s">
        <v>199</v>
      </c>
    </row>
    <row r="1522">
      <c r="A1522" s="3" t="s">
        <v>192</v>
      </c>
      <c r="B1522" s="3" t="s">
        <v>197</v>
      </c>
      <c r="C1522" s="3" t="s">
        <v>198</v>
      </c>
    </row>
    <row r="1523">
      <c r="A1523" s="3" t="s">
        <v>192</v>
      </c>
      <c r="B1523" s="3" t="s">
        <v>195</v>
      </c>
      <c r="C1523" s="3" t="s">
        <v>196</v>
      </c>
    </row>
    <row r="1524">
      <c r="A1524" s="3" t="s">
        <v>192</v>
      </c>
      <c r="B1524" s="3" t="s">
        <v>202</v>
      </c>
      <c r="C1524" s="3" t="s">
        <v>204</v>
      </c>
    </row>
    <row r="1525">
      <c r="A1525" s="3" t="s">
        <v>192</v>
      </c>
      <c r="B1525" s="3" t="s">
        <v>197</v>
      </c>
      <c r="C1525" s="3" t="s">
        <v>198</v>
      </c>
    </row>
    <row r="1526">
      <c r="A1526" s="3" t="s">
        <v>192</v>
      </c>
      <c r="B1526" s="3" t="s">
        <v>197</v>
      </c>
      <c r="C1526" s="3" t="s">
        <v>213</v>
      </c>
    </row>
    <row r="1527">
      <c r="A1527" s="3" t="s">
        <v>192</v>
      </c>
      <c r="B1527" s="3" t="s">
        <v>197</v>
      </c>
      <c r="C1527" s="3" t="s">
        <v>214</v>
      </c>
    </row>
    <row r="1528">
      <c r="A1528" s="3" t="s">
        <v>192</v>
      </c>
      <c r="B1528" s="3" t="s">
        <v>195</v>
      </c>
      <c r="C1528" s="3" t="s">
        <v>211</v>
      </c>
    </row>
    <row r="1529">
      <c r="A1529" s="3" t="s">
        <v>192</v>
      </c>
      <c r="B1529" s="3" t="s">
        <v>197</v>
      </c>
      <c r="C1529" s="3" t="s">
        <v>213</v>
      </c>
    </row>
    <row r="1530">
      <c r="A1530" s="3" t="s">
        <v>192</v>
      </c>
      <c r="B1530" s="3" t="s">
        <v>197</v>
      </c>
      <c r="C1530" s="3" t="s">
        <v>213</v>
      </c>
    </row>
    <row r="1531">
      <c r="A1531" s="3" t="s">
        <v>192</v>
      </c>
      <c r="B1531" s="3" t="s">
        <v>197</v>
      </c>
      <c r="C1531" s="3" t="s">
        <v>213</v>
      </c>
    </row>
    <row r="1532">
      <c r="A1532" s="3" t="s">
        <v>192</v>
      </c>
      <c r="B1532" s="3" t="s">
        <v>195</v>
      </c>
      <c r="C1532" s="3" t="s">
        <v>196</v>
      </c>
    </row>
    <row r="1533">
      <c r="A1533" s="3" t="s">
        <v>192</v>
      </c>
      <c r="B1533" s="3" t="s">
        <v>195</v>
      </c>
      <c r="C1533" s="3" t="s">
        <v>211</v>
      </c>
    </row>
    <row r="1534">
      <c r="A1534" s="3" t="s">
        <v>192</v>
      </c>
      <c r="B1534" s="3" t="s">
        <v>197</v>
      </c>
      <c r="C1534" s="3" t="s">
        <v>213</v>
      </c>
    </row>
    <row r="1535">
      <c r="A1535" s="3" t="s">
        <v>192</v>
      </c>
      <c r="B1535" s="3" t="s">
        <v>197</v>
      </c>
      <c r="C1535" s="3" t="s">
        <v>214</v>
      </c>
    </row>
    <row r="1536">
      <c r="A1536" s="3" t="s">
        <v>192</v>
      </c>
      <c r="B1536" s="3" t="s">
        <v>200</v>
      </c>
      <c r="C1536" s="3" t="s">
        <v>201</v>
      </c>
    </row>
    <row r="1537">
      <c r="A1537" s="3" t="s">
        <v>192</v>
      </c>
      <c r="B1537" s="3" t="s">
        <v>202</v>
      </c>
      <c r="C1537" s="3" t="s">
        <v>203</v>
      </c>
    </row>
    <row r="1538">
      <c r="A1538" s="3" t="s">
        <v>192</v>
      </c>
      <c r="B1538" s="3" t="s">
        <v>202</v>
      </c>
      <c r="C1538" s="3" t="s">
        <v>204</v>
      </c>
    </row>
    <row r="1539">
      <c r="A1539" s="3" t="s">
        <v>192</v>
      </c>
      <c r="B1539" s="3" t="s">
        <v>202</v>
      </c>
      <c r="C1539" s="3" t="s">
        <v>205</v>
      </c>
    </row>
    <row r="1540">
      <c r="A1540" s="3" t="s">
        <v>192</v>
      </c>
      <c r="B1540" s="3" t="s">
        <v>202</v>
      </c>
      <c r="C1540" s="3" t="s">
        <v>206</v>
      </c>
    </row>
    <row r="1541">
      <c r="A1541" s="3" t="s">
        <v>192</v>
      </c>
      <c r="B1541" s="3" t="s">
        <v>193</v>
      </c>
      <c r="C1541" s="3" t="s">
        <v>194</v>
      </c>
    </row>
    <row r="1542">
      <c r="A1542" s="3" t="s">
        <v>192</v>
      </c>
      <c r="B1542" s="3" t="s">
        <v>200</v>
      </c>
      <c r="C1542" s="3" t="s">
        <v>207</v>
      </c>
    </row>
    <row r="1543">
      <c r="A1543" s="3" t="s">
        <v>192</v>
      </c>
      <c r="B1543" s="3" t="s">
        <v>200</v>
      </c>
      <c r="C1543" s="3" t="s">
        <v>61</v>
      </c>
    </row>
    <row r="1544">
      <c r="A1544" s="3" t="s">
        <v>192</v>
      </c>
      <c r="B1544" s="3" t="s">
        <v>200</v>
      </c>
      <c r="C1544" s="3" t="s">
        <v>208</v>
      </c>
    </row>
    <row r="1545">
      <c r="A1545" s="3" t="s">
        <v>192</v>
      </c>
      <c r="B1545" s="3" t="s">
        <v>200</v>
      </c>
      <c r="C1545" s="3" t="s">
        <v>209</v>
      </c>
    </row>
    <row r="1546">
      <c r="A1546" s="3" t="s">
        <v>192</v>
      </c>
      <c r="B1546" s="3" t="s">
        <v>200</v>
      </c>
      <c r="C1546" s="3" t="s">
        <v>201</v>
      </c>
    </row>
    <row r="1547">
      <c r="A1547" s="3" t="s">
        <v>192</v>
      </c>
      <c r="B1547" s="3" t="s">
        <v>195</v>
      </c>
      <c r="C1547" s="3" t="s">
        <v>210</v>
      </c>
    </row>
    <row r="1548">
      <c r="A1548" s="3" t="s">
        <v>192</v>
      </c>
      <c r="B1548" s="3" t="s">
        <v>195</v>
      </c>
      <c r="C1548" s="3" t="s">
        <v>196</v>
      </c>
    </row>
    <row r="1549">
      <c r="A1549" s="3" t="s">
        <v>192</v>
      </c>
      <c r="B1549" s="3" t="s">
        <v>195</v>
      </c>
      <c r="C1549" s="3" t="s">
        <v>211</v>
      </c>
    </row>
    <row r="1550">
      <c r="A1550" s="3" t="s">
        <v>192</v>
      </c>
      <c r="B1550" s="3" t="s">
        <v>195</v>
      </c>
      <c r="C1550" s="3" t="s">
        <v>61</v>
      </c>
    </row>
    <row r="1551">
      <c r="A1551" s="3" t="s">
        <v>192</v>
      </c>
      <c r="B1551" s="3" t="s">
        <v>195</v>
      </c>
      <c r="C1551" s="3" t="s">
        <v>212</v>
      </c>
    </row>
    <row r="1552">
      <c r="A1552" s="3" t="s">
        <v>192</v>
      </c>
      <c r="B1552" s="3" t="s">
        <v>197</v>
      </c>
      <c r="C1552" s="3" t="s">
        <v>213</v>
      </c>
    </row>
    <row r="1553">
      <c r="A1553" s="3" t="s">
        <v>192</v>
      </c>
      <c r="B1553" s="3" t="s">
        <v>197</v>
      </c>
      <c r="C1553" s="3" t="s">
        <v>198</v>
      </c>
    </row>
    <row r="1554">
      <c r="A1554" s="3" t="s">
        <v>192</v>
      </c>
      <c r="B1554" s="3" t="s">
        <v>197</v>
      </c>
      <c r="C1554" s="3" t="s">
        <v>199</v>
      </c>
    </row>
    <row r="1555">
      <c r="A1555" s="3" t="s">
        <v>192</v>
      </c>
      <c r="B1555" s="3" t="s">
        <v>197</v>
      </c>
      <c r="C1555" s="3" t="s">
        <v>214</v>
      </c>
    </row>
    <row r="1556">
      <c r="A1556" s="3" t="s">
        <v>192</v>
      </c>
      <c r="B1556" s="3" t="s">
        <v>197</v>
      </c>
      <c r="C1556" s="3" t="s">
        <v>61</v>
      </c>
    </row>
    <row r="1557">
      <c r="A1557" s="3" t="s">
        <v>192</v>
      </c>
      <c r="B1557" s="3" t="s">
        <v>197</v>
      </c>
      <c r="C1557" s="3" t="s">
        <v>215</v>
      </c>
    </row>
    <row r="1558">
      <c r="A1558" s="3" t="s">
        <v>192</v>
      </c>
      <c r="B1558" s="3" t="s">
        <v>197</v>
      </c>
      <c r="C1558" s="3" t="s">
        <v>61</v>
      </c>
    </row>
    <row r="1559">
      <c r="A1559" s="3" t="s">
        <v>192</v>
      </c>
      <c r="B1559" s="3" t="s">
        <v>197</v>
      </c>
      <c r="C1559" s="3" t="s">
        <v>214</v>
      </c>
    </row>
    <row r="1560">
      <c r="A1560" s="3" t="s">
        <v>192</v>
      </c>
      <c r="B1560" s="3" t="s">
        <v>202</v>
      </c>
      <c r="C1560" s="3" t="s">
        <v>206</v>
      </c>
    </row>
    <row r="1561">
      <c r="A1561" s="3" t="s">
        <v>192</v>
      </c>
      <c r="B1561" s="3" t="s">
        <v>200</v>
      </c>
      <c r="C1561" s="3" t="s">
        <v>61</v>
      </c>
    </row>
    <row r="1562">
      <c r="A1562" s="3" t="s">
        <v>192</v>
      </c>
      <c r="B1562" s="3" t="s">
        <v>197</v>
      </c>
      <c r="C1562" s="3" t="s">
        <v>213</v>
      </c>
    </row>
    <row r="1563">
      <c r="A1563" s="3" t="s">
        <v>192</v>
      </c>
      <c r="B1563" s="3" t="s">
        <v>200</v>
      </c>
      <c r="C1563" s="3" t="s">
        <v>208</v>
      </c>
    </row>
    <row r="1564">
      <c r="A1564" s="3" t="s">
        <v>192</v>
      </c>
      <c r="B1564" s="3" t="s">
        <v>197</v>
      </c>
      <c r="C1564" s="3" t="s">
        <v>198</v>
      </c>
    </row>
    <row r="1565">
      <c r="A1565" s="3" t="s">
        <v>192</v>
      </c>
      <c r="B1565" s="3" t="s">
        <v>197</v>
      </c>
      <c r="C1565" s="3" t="s">
        <v>61</v>
      </c>
    </row>
    <row r="1566">
      <c r="A1566" s="3" t="s">
        <v>192</v>
      </c>
      <c r="B1566" s="3" t="s">
        <v>200</v>
      </c>
      <c r="C1566" s="3" t="s">
        <v>207</v>
      </c>
    </row>
    <row r="1567">
      <c r="A1567" s="3" t="s">
        <v>192</v>
      </c>
      <c r="B1567" s="3" t="s">
        <v>202</v>
      </c>
      <c r="C1567" s="3" t="s">
        <v>206</v>
      </c>
    </row>
    <row r="1568">
      <c r="A1568" s="3" t="s">
        <v>192</v>
      </c>
      <c r="B1568" s="3" t="s">
        <v>202</v>
      </c>
      <c r="C1568" s="3" t="s">
        <v>204</v>
      </c>
    </row>
    <row r="1569">
      <c r="A1569" s="3" t="s">
        <v>192</v>
      </c>
      <c r="B1569" s="3" t="s">
        <v>200</v>
      </c>
      <c r="C1569" s="3" t="s">
        <v>201</v>
      </c>
    </row>
    <row r="1570">
      <c r="A1570" s="3" t="s">
        <v>192</v>
      </c>
      <c r="B1570" s="3" t="s">
        <v>202</v>
      </c>
      <c r="C1570" s="3" t="s">
        <v>203</v>
      </c>
    </row>
    <row r="1571">
      <c r="A1571" s="3" t="s">
        <v>192</v>
      </c>
      <c r="B1571" s="3" t="s">
        <v>202</v>
      </c>
      <c r="C1571" s="3" t="s">
        <v>204</v>
      </c>
    </row>
    <row r="1572">
      <c r="A1572" s="3" t="s">
        <v>192</v>
      </c>
      <c r="B1572" s="3" t="s">
        <v>202</v>
      </c>
      <c r="C1572" s="3" t="s">
        <v>205</v>
      </c>
    </row>
    <row r="1573">
      <c r="A1573" s="3" t="s">
        <v>192</v>
      </c>
      <c r="B1573" s="3" t="s">
        <v>202</v>
      </c>
      <c r="C1573" s="3" t="s">
        <v>206</v>
      </c>
    </row>
    <row r="1574">
      <c r="A1574" s="3" t="s">
        <v>192</v>
      </c>
      <c r="B1574" s="3" t="s">
        <v>193</v>
      </c>
      <c r="C1574" s="3" t="s">
        <v>194</v>
      </c>
    </row>
    <row r="1575">
      <c r="A1575" s="3" t="s">
        <v>192</v>
      </c>
      <c r="B1575" s="3" t="s">
        <v>200</v>
      </c>
      <c r="C1575" s="3" t="s">
        <v>207</v>
      </c>
    </row>
    <row r="1576">
      <c r="A1576" s="3" t="s">
        <v>192</v>
      </c>
      <c r="B1576" s="3" t="s">
        <v>200</v>
      </c>
      <c r="C1576" s="3" t="s">
        <v>61</v>
      </c>
    </row>
    <row r="1577">
      <c r="A1577" s="3" t="s">
        <v>192</v>
      </c>
      <c r="B1577" s="3" t="s">
        <v>200</v>
      </c>
      <c r="C1577" s="3" t="s">
        <v>208</v>
      </c>
    </row>
    <row r="1578">
      <c r="A1578" s="3" t="s">
        <v>192</v>
      </c>
      <c r="B1578" s="3" t="s">
        <v>200</v>
      </c>
      <c r="C1578" s="3" t="s">
        <v>209</v>
      </c>
    </row>
    <row r="1579">
      <c r="A1579" s="3" t="s">
        <v>192</v>
      </c>
      <c r="B1579" s="3" t="s">
        <v>200</v>
      </c>
      <c r="C1579" s="3" t="s">
        <v>201</v>
      </c>
    </row>
    <row r="1580">
      <c r="A1580" s="3" t="s">
        <v>192</v>
      </c>
      <c r="B1580" s="3" t="s">
        <v>195</v>
      </c>
      <c r="C1580" s="3" t="s">
        <v>210</v>
      </c>
    </row>
    <row r="1581">
      <c r="A1581" s="3" t="s">
        <v>192</v>
      </c>
      <c r="B1581" s="3" t="s">
        <v>195</v>
      </c>
      <c r="C1581" s="3" t="s">
        <v>196</v>
      </c>
    </row>
    <row r="1582">
      <c r="A1582" s="3" t="s">
        <v>192</v>
      </c>
      <c r="B1582" s="3" t="s">
        <v>195</v>
      </c>
      <c r="C1582" s="3" t="s">
        <v>211</v>
      </c>
    </row>
    <row r="1583">
      <c r="A1583" s="3" t="s">
        <v>192</v>
      </c>
      <c r="B1583" s="3" t="s">
        <v>195</v>
      </c>
      <c r="C1583" s="3" t="s">
        <v>61</v>
      </c>
    </row>
    <row r="1584">
      <c r="A1584" s="3" t="s">
        <v>192</v>
      </c>
      <c r="B1584" s="3" t="s">
        <v>195</v>
      </c>
      <c r="C1584" s="3" t="s">
        <v>212</v>
      </c>
    </row>
    <row r="1585">
      <c r="A1585" s="3" t="s">
        <v>192</v>
      </c>
      <c r="B1585" s="3" t="s">
        <v>197</v>
      </c>
      <c r="C1585" s="3" t="s">
        <v>213</v>
      </c>
    </row>
    <row r="1586">
      <c r="A1586" s="3" t="s">
        <v>192</v>
      </c>
      <c r="B1586" s="3" t="s">
        <v>197</v>
      </c>
      <c r="C1586" s="3" t="s">
        <v>198</v>
      </c>
    </row>
    <row r="1587">
      <c r="A1587" s="3" t="s">
        <v>192</v>
      </c>
      <c r="B1587" s="3" t="s">
        <v>197</v>
      </c>
      <c r="C1587" s="3" t="s">
        <v>199</v>
      </c>
    </row>
    <row r="1588">
      <c r="A1588" s="3" t="s">
        <v>192</v>
      </c>
      <c r="B1588" s="3" t="s">
        <v>197</v>
      </c>
      <c r="C1588" s="3" t="s">
        <v>214</v>
      </c>
    </row>
    <row r="1589">
      <c r="A1589" s="3" t="s">
        <v>192</v>
      </c>
      <c r="B1589" s="3" t="s">
        <v>197</v>
      </c>
      <c r="C1589" s="3" t="s">
        <v>61</v>
      </c>
    </row>
    <row r="1590">
      <c r="A1590" s="3" t="s">
        <v>192</v>
      </c>
      <c r="B1590" s="3" t="s">
        <v>197</v>
      </c>
      <c r="C1590" s="3" t="s">
        <v>215</v>
      </c>
    </row>
    <row r="1591">
      <c r="A1591" s="3" t="s">
        <v>192</v>
      </c>
      <c r="B1591" s="3" t="s">
        <v>202</v>
      </c>
      <c r="C1591" s="3" t="s">
        <v>204</v>
      </c>
    </row>
    <row r="1592">
      <c r="A1592" s="3" t="s">
        <v>192</v>
      </c>
      <c r="B1592" s="3" t="s">
        <v>197</v>
      </c>
      <c r="C1592" s="3" t="s">
        <v>61</v>
      </c>
    </row>
    <row r="1593">
      <c r="A1593" s="3" t="s">
        <v>192</v>
      </c>
      <c r="B1593" s="3" t="s">
        <v>197</v>
      </c>
      <c r="C1593" s="3" t="s">
        <v>213</v>
      </c>
    </row>
    <row r="1594">
      <c r="A1594" s="3" t="s">
        <v>192</v>
      </c>
      <c r="B1594" s="3" t="s">
        <v>197</v>
      </c>
      <c r="C1594" s="3" t="s">
        <v>199</v>
      </c>
    </row>
    <row r="1595">
      <c r="A1595" s="3" t="s">
        <v>192</v>
      </c>
      <c r="B1595" s="3" t="s">
        <v>197</v>
      </c>
      <c r="C1595" s="3" t="s">
        <v>213</v>
      </c>
    </row>
    <row r="1596">
      <c r="A1596" s="3" t="s">
        <v>192</v>
      </c>
      <c r="B1596" s="3" t="s">
        <v>200</v>
      </c>
      <c r="C1596" s="3" t="s">
        <v>201</v>
      </c>
    </row>
    <row r="1597">
      <c r="A1597" s="3" t="s">
        <v>192</v>
      </c>
      <c r="B1597" s="3" t="s">
        <v>200</v>
      </c>
      <c r="C1597" s="3" t="s">
        <v>208</v>
      </c>
    </row>
    <row r="1598">
      <c r="A1598" s="3" t="s">
        <v>192</v>
      </c>
      <c r="B1598" s="3" t="s">
        <v>195</v>
      </c>
      <c r="C1598" s="3" t="s">
        <v>196</v>
      </c>
    </row>
    <row r="1599">
      <c r="A1599" s="3" t="s">
        <v>192</v>
      </c>
      <c r="B1599" s="3" t="s">
        <v>195</v>
      </c>
      <c r="C1599" s="3" t="s">
        <v>61</v>
      </c>
    </row>
    <row r="1600">
      <c r="A1600" s="3" t="s">
        <v>192</v>
      </c>
      <c r="B1600" s="3" t="s">
        <v>202</v>
      </c>
      <c r="C1600" s="3" t="s">
        <v>203</v>
      </c>
    </row>
    <row r="1601">
      <c r="A1601" s="3" t="s">
        <v>192</v>
      </c>
      <c r="B1601" s="3" t="s">
        <v>202</v>
      </c>
      <c r="C1601" s="3" t="s">
        <v>204</v>
      </c>
    </row>
    <row r="1602">
      <c r="A1602" s="3" t="s">
        <v>192</v>
      </c>
      <c r="B1602" s="3" t="s">
        <v>202</v>
      </c>
      <c r="C1602" s="3" t="s">
        <v>204</v>
      </c>
    </row>
    <row r="1603">
      <c r="A1603" s="3" t="s">
        <v>192</v>
      </c>
      <c r="B1603" s="3" t="s">
        <v>200</v>
      </c>
      <c r="C1603" s="3" t="s">
        <v>61</v>
      </c>
    </row>
    <row r="1604">
      <c r="A1604" s="3" t="s">
        <v>192</v>
      </c>
      <c r="B1604" s="3" t="s">
        <v>200</v>
      </c>
      <c r="C1604" s="3" t="s">
        <v>61</v>
      </c>
    </row>
    <row r="1605">
      <c r="A1605" s="3" t="s">
        <v>192</v>
      </c>
      <c r="B1605" s="3" t="s">
        <v>197</v>
      </c>
      <c r="C1605" s="3" t="s">
        <v>214</v>
      </c>
    </row>
    <row r="1606">
      <c r="A1606" s="3" t="s">
        <v>192</v>
      </c>
      <c r="B1606" s="3" t="s">
        <v>195</v>
      </c>
      <c r="C1606" s="3" t="s">
        <v>196</v>
      </c>
    </row>
    <row r="1607">
      <c r="A1607" s="3" t="s">
        <v>192</v>
      </c>
      <c r="B1607" s="3" t="s">
        <v>197</v>
      </c>
      <c r="C1607" s="3" t="s">
        <v>214</v>
      </c>
    </row>
    <row r="1608">
      <c r="A1608" s="3" t="s">
        <v>192</v>
      </c>
      <c r="B1608" s="3" t="s">
        <v>195</v>
      </c>
      <c r="C1608" s="3" t="s">
        <v>61</v>
      </c>
    </row>
    <row r="1609">
      <c r="A1609" s="3" t="s">
        <v>192</v>
      </c>
      <c r="B1609" s="3" t="s">
        <v>195</v>
      </c>
      <c r="C1609" s="3" t="s">
        <v>211</v>
      </c>
    </row>
    <row r="1610">
      <c r="A1610" s="3" t="s">
        <v>192</v>
      </c>
      <c r="B1610" s="3" t="s">
        <v>200</v>
      </c>
      <c r="C1610" s="3" t="s">
        <v>201</v>
      </c>
    </row>
    <row r="1611">
      <c r="A1611" s="3" t="s">
        <v>192</v>
      </c>
      <c r="B1611" s="3" t="s">
        <v>200</v>
      </c>
      <c r="C1611" s="3" t="s">
        <v>207</v>
      </c>
    </row>
    <row r="1612">
      <c r="A1612" s="3" t="s">
        <v>192</v>
      </c>
      <c r="B1612" s="3" t="s">
        <v>195</v>
      </c>
      <c r="C1612" s="3" t="s">
        <v>211</v>
      </c>
    </row>
    <row r="1613">
      <c r="A1613" s="3" t="s">
        <v>192</v>
      </c>
      <c r="B1613" s="3" t="s">
        <v>195</v>
      </c>
      <c r="C1613" s="3" t="s">
        <v>211</v>
      </c>
    </row>
    <row r="1614">
      <c r="A1614" s="3" t="s">
        <v>192</v>
      </c>
      <c r="B1614" s="3" t="s">
        <v>197</v>
      </c>
      <c r="C1614" s="3" t="s">
        <v>61</v>
      </c>
    </row>
    <row r="1615">
      <c r="A1615" s="3" t="s">
        <v>192</v>
      </c>
      <c r="B1615" s="3" t="s">
        <v>200</v>
      </c>
      <c r="C1615" s="3" t="s">
        <v>208</v>
      </c>
    </row>
    <row r="1616">
      <c r="A1616" s="3" t="s">
        <v>192</v>
      </c>
      <c r="B1616" s="3" t="s">
        <v>200</v>
      </c>
      <c r="C1616" s="3" t="s">
        <v>208</v>
      </c>
    </row>
    <row r="1617">
      <c r="A1617" s="3" t="s">
        <v>192</v>
      </c>
      <c r="B1617" s="3" t="s">
        <v>202</v>
      </c>
      <c r="C1617" s="3" t="s">
        <v>206</v>
      </c>
    </row>
    <row r="1618">
      <c r="A1618" s="3" t="s">
        <v>192</v>
      </c>
      <c r="B1618" s="3" t="s">
        <v>197</v>
      </c>
      <c r="C1618" s="3" t="s">
        <v>214</v>
      </c>
    </row>
    <row r="1619">
      <c r="A1619" s="3" t="s">
        <v>192</v>
      </c>
      <c r="B1619" s="3" t="s">
        <v>202</v>
      </c>
      <c r="C1619" s="3" t="s">
        <v>206</v>
      </c>
    </row>
    <row r="1620">
      <c r="A1620" s="3" t="s">
        <v>192</v>
      </c>
      <c r="B1620" s="3" t="s">
        <v>195</v>
      </c>
      <c r="C1620" s="3" t="s">
        <v>196</v>
      </c>
    </row>
    <row r="1621">
      <c r="A1621" s="3" t="s">
        <v>192</v>
      </c>
      <c r="B1621" s="3" t="s">
        <v>195</v>
      </c>
      <c r="C1621" s="3" t="s">
        <v>211</v>
      </c>
    </row>
    <row r="1622">
      <c r="A1622" s="3" t="s">
        <v>192</v>
      </c>
      <c r="B1622" s="3" t="s">
        <v>200</v>
      </c>
      <c r="C1622" s="3" t="s">
        <v>208</v>
      </c>
    </row>
    <row r="1623">
      <c r="A1623" s="3" t="s">
        <v>192</v>
      </c>
      <c r="B1623" s="3" t="s">
        <v>202</v>
      </c>
      <c r="C1623" s="3" t="s">
        <v>206</v>
      </c>
    </row>
    <row r="1624">
      <c r="A1624" s="3" t="s">
        <v>192</v>
      </c>
      <c r="B1624" s="3" t="s">
        <v>197</v>
      </c>
      <c r="C1624" s="3" t="s">
        <v>214</v>
      </c>
    </row>
    <row r="1625">
      <c r="A1625" s="3" t="s">
        <v>192</v>
      </c>
      <c r="B1625" s="3" t="s">
        <v>195</v>
      </c>
      <c r="C1625" s="3" t="s">
        <v>210</v>
      </c>
    </row>
    <row r="1626">
      <c r="A1626" s="3" t="s">
        <v>192</v>
      </c>
      <c r="B1626" s="3" t="s">
        <v>195</v>
      </c>
      <c r="C1626" s="3" t="s">
        <v>196</v>
      </c>
    </row>
    <row r="1627">
      <c r="A1627" s="3" t="s">
        <v>192</v>
      </c>
      <c r="B1627" s="3" t="s">
        <v>197</v>
      </c>
      <c r="C1627" s="3" t="s">
        <v>213</v>
      </c>
    </row>
    <row r="1628">
      <c r="A1628" s="3" t="s">
        <v>192</v>
      </c>
      <c r="B1628" s="3" t="s">
        <v>195</v>
      </c>
      <c r="C1628" s="3" t="s">
        <v>196</v>
      </c>
    </row>
    <row r="1629">
      <c r="A1629" s="3" t="s">
        <v>192</v>
      </c>
      <c r="B1629" s="3" t="s">
        <v>200</v>
      </c>
      <c r="C1629" s="3" t="s">
        <v>207</v>
      </c>
    </row>
    <row r="1630">
      <c r="A1630" s="3" t="s">
        <v>192</v>
      </c>
      <c r="B1630" s="3" t="s">
        <v>200</v>
      </c>
      <c r="C1630" s="3" t="s">
        <v>207</v>
      </c>
    </row>
    <row r="1631">
      <c r="A1631" s="3" t="s">
        <v>192</v>
      </c>
      <c r="B1631" s="3" t="s">
        <v>197</v>
      </c>
      <c r="C1631" s="3" t="s">
        <v>61</v>
      </c>
    </row>
    <row r="1632">
      <c r="A1632" s="3" t="s">
        <v>192</v>
      </c>
      <c r="B1632" s="3" t="s">
        <v>193</v>
      </c>
      <c r="C1632" s="3" t="s">
        <v>194</v>
      </c>
    </row>
    <row r="1633">
      <c r="A1633" s="3" t="s">
        <v>192</v>
      </c>
      <c r="B1633" s="3" t="s">
        <v>197</v>
      </c>
      <c r="C1633" s="3" t="s">
        <v>199</v>
      </c>
    </row>
    <row r="1634">
      <c r="A1634" s="3" t="s">
        <v>192</v>
      </c>
      <c r="B1634" s="3" t="s">
        <v>202</v>
      </c>
      <c r="C1634" s="3" t="s">
        <v>206</v>
      </c>
    </row>
    <row r="1635">
      <c r="A1635" s="3" t="s">
        <v>192</v>
      </c>
      <c r="B1635" s="3" t="s">
        <v>195</v>
      </c>
      <c r="C1635" s="3" t="s">
        <v>210</v>
      </c>
    </row>
    <row r="1636">
      <c r="A1636" s="3" t="s">
        <v>192</v>
      </c>
      <c r="B1636" s="3" t="s">
        <v>202</v>
      </c>
      <c r="C1636" s="3" t="s">
        <v>204</v>
      </c>
    </row>
    <row r="1637">
      <c r="A1637" s="3" t="s">
        <v>192</v>
      </c>
      <c r="B1637" s="3" t="s">
        <v>202</v>
      </c>
      <c r="C1637" s="3" t="s">
        <v>204</v>
      </c>
    </row>
    <row r="1638">
      <c r="A1638" s="3" t="s">
        <v>192</v>
      </c>
      <c r="B1638" s="3" t="s">
        <v>193</v>
      </c>
      <c r="C1638" s="3" t="s">
        <v>194</v>
      </c>
    </row>
    <row r="1639">
      <c r="A1639" s="3" t="s">
        <v>192</v>
      </c>
      <c r="B1639" s="3" t="s">
        <v>200</v>
      </c>
      <c r="C1639" s="3" t="s">
        <v>208</v>
      </c>
    </row>
    <row r="1640">
      <c r="A1640" s="3" t="s">
        <v>192</v>
      </c>
      <c r="B1640" s="3" t="s">
        <v>195</v>
      </c>
      <c r="C1640" s="3" t="s">
        <v>210</v>
      </c>
    </row>
    <row r="1641">
      <c r="A1641" s="3" t="s">
        <v>192</v>
      </c>
      <c r="B1641" s="3" t="s">
        <v>202</v>
      </c>
      <c r="C1641" s="3" t="s">
        <v>203</v>
      </c>
    </row>
    <row r="1642">
      <c r="A1642" s="3" t="s">
        <v>192</v>
      </c>
      <c r="B1642" s="3" t="s">
        <v>195</v>
      </c>
      <c r="C1642" s="3" t="s">
        <v>196</v>
      </c>
    </row>
    <row r="1643">
      <c r="A1643" s="3" t="s">
        <v>192</v>
      </c>
      <c r="B1643" s="3" t="s">
        <v>195</v>
      </c>
      <c r="C1643" s="3" t="s">
        <v>61</v>
      </c>
    </row>
    <row r="1644">
      <c r="A1644" s="3" t="s">
        <v>192</v>
      </c>
      <c r="B1644" s="3" t="s">
        <v>197</v>
      </c>
      <c r="C1644" s="3" t="s">
        <v>61</v>
      </c>
    </row>
    <row r="1645">
      <c r="A1645" s="3" t="s">
        <v>216</v>
      </c>
      <c r="B1645" s="3" t="s">
        <v>217</v>
      </c>
      <c r="C1645" s="3" t="s">
        <v>218</v>
      </c>
    </row>
    <row r="1646">
      <c r="A1646" s="3" t="s">
        <v>216</v>
      </c>
      <c r="B1646" s="3" t="s">
        <v>219</v>
      </c>
      <c r="C1646" s="3" t="s">
        <v>220</v>
      </c>
    </row>
    <row r="1647">
      <c r="A1647" s="3" t="s">
        <v>216</v>
      </c>
      <c r="B1647" s="3" t="s">
        <v>221</v>
      </c>
      <c r="C1647" s="3" t="s">
        <v>222</v>
      </c>
    </row>
    <row r="1648">
      <c r="A1648" s="3" t="s">
        <v>216</v>
      </c>
      <c r="B1648" s="3" t="s">
        <v>223</v>
      </c>
      <c r="C1648" s="3" t="s">
        <v>224</v>
      </c>
    </row>
    <row r="1649">
      <c r="A1649" s="3" t="s">
        <v>216</v>
      </c>
      <c r="B1649" s="3" t="s">
        <v>225</v>
      </c>
      <c r="C1649" s="3" t="s">
        <v>158</v>
      </c>
    </row>
    <row r="1650">
      <c r="A1650" s="3" t="s">
        <v>216</v>
      </c>
      <c r="B1650" s="3" t="s">
        <v>225</v>
      </c>
      <c r="C1650" s="3" t="s">
        <v>226</v>
      </c>
    </row>
    <row r="1651">
      <c r="A1651" s="3" t="s">
        <v>216</v>
      </c>
      <c r="B1651" s="3" t="s">
        <v>223</v>
      </c>
      <c r="C1651" s="3" t="s">
        <v>227</v>
      </c>
    </row>
    <row r="1652">
      <c r="A1652" s="3" t="s">
        <v>216</v>
      </c>
      <c r="B1652" s="3" t="s">
        <v>225</v>
      </c>
      <c r="C1652" s="3" t="s">
        <v>228</v>
      </c>
    </row>
    <row r="1653">
      <c r="A1653" s="3" t="s">
        <v>216</v>
      </c>
      <c r="B1653" s="3" t="s">
        <v>217</v>
      </c>
      <c r="C1653" s="3" t="s">
        <v>229</v>
      </c>
    </row>
    <row r="1654">
      <c r="A1654" s="3" t="s">
        <v>216</v>
      </c>
      <c r="B1654" s="3" t="s">
        <v>230</v>
      </c>
      <c r="C1654" s="3" t="s">
        <v>231</v>
      </c>
    </row>
    <row r="1655">
      <c r="A1655" s="3" t="s">
        <v>216</v>
      </c>
      <c r="B1655" s="3" t="s">
        <v>230</v>
      </c>
      <c r="C1655" s="3" t="s">
        <v>231</v>
      </c>
    </row>
    <row r="1656">
      <c r="A1656" s="3" t="s">
        <v>216</v>
      </c>
      <c r="B1656" s="3" t="s">
        <v>225</v>
      </c>
      <c r="C1656" s="3" t="s">
        <v>228</v>
      </c>
    </row>
    <row r="1657">
      <c r="A1657" s="3" t="s">
        <v>216</v>
      </c>
      <c r="B1657" s="3" t="s">
        <v>217</v>
      </c>
      <c r="C1657" s="3" t="s">
        <v>232</v>
      </c>
    </row>
    <row r="1658">
      <c r="A1658" s="3" t="s">
        <v>216</v>
      </c>
      <c r="B1658" s="3" t="s">
        <v>225</v>
      </c>
      <c r="C1658" s="3" t="s">
        <v>228</v>
      </c>
    </row>
    <row r="1659">
      <c r="A1659" s="3" t="s">
        <v>216</v>
      </c>
      <c r="B1659" s="3" t="s">
        <v>223</v>
      </c>
      <c r="C1659" s="3" t="s">
        <v>233</v>
      </c>
    </row>
    <row r="1660">
      <c r="A1660" s="3" t="s">
        <v>216</v>
      </c>
      <c r="B1660" s="3" t="s">
        <v>234</v>
      </c>
      <c r="C1660" s="3" t="s">
        <v>235</v>
      </c>
    </row>
    <row r="1661">
      <c r="A1661" s="3" t="s">
        <v>216</v>
      </c>
      <c r="B1661" s="3" t="s">
        <v>223</v>
      </c>
      <c r="C1661" s="3" t="s">
        <v>46</v>
      </c>
    </row>
    <row r="1662">
      <c r="A1662" s="3" t="s">
        <v>216</v>
      </c>
      <c r="B1662" s="3" t="s">
        <v>219</v>
      </c>
      <c r="C1662" s="3" t="s">
        <v>236</v>
      </c>
    </row>
    <row r="1663">
      <c r="A1663" s="3" t="s">
        <v>216</v>
      </c>
      <c r="B1663" s="3" t="s">
        <v>219</v>
      </c>
      <c r="C1663" s="3" t="s">
        <v>236</v>
      </c>
    </row>
    <row r="1664">
      <c r="A1664" s="3" t="s">
        <v>216</v>
      </c>
      <c r="B1664" s="3" t="s">
        <v>221</v>
      </c>
      <c r="C1664" s="3" t="s">
        <v>237</v>
      </c>
    </row>
    <row r="1665">
      <c r="A1665" s="3" t="s">
        <v>216</v>
      </c>
      <c r="B1665" s="3" t="s">
        <v>238</v>
      </c>
      <c r="C1665" s="3" t="s">
        <v>239</v>
      </c>
    </row>
    <row r="1666">
      <c r="A1666" s="3" t="s">
        <v>216</v>
      </c>
      <c r="B1666" s="3" t="s">
        <v>238</v>
      </c>
      <c r="C1666" s="3" t="s">
        <v>240</v>
      </c>
    </row>
    <row r="1667">
      <c r="A1667" s="3" t="s">
        <v>216</v>
      </c>
      <c r="B1667" s="3" t="s">
        <v>238</v>
      </c>
      <c r="C1667" s="3" t="s">
        <v>241</v>
      </c>
    </row>
    <row r="1668">
      <c r="A1668" s="3" t="s">
        <v>216</v>
      </c>
      <c r="B1668" s="3" t="s">
        <v>238</v>
      </c>
      <c r="C1668" s="3" t="s">
        <v>242</v>
      </c>
    </row>
    <row r="1669">
      <c r="A1669" s="3" t="s">
        <v>216</v>
      </c>
      <c r="B1669" s="3" t="s">
        <v>238</v>
      </c>
      <c r="C1669" s="3" t="s">
        <v>243</v>
      </c>
    </row>
    <row r="1670">
      <c r="A1670" s="3" t="s">
        <v>216</v>
      </c>
      <c r="B1670" s="3" t="s">
        <v>238</v>
      </c>
      <c r="C1670" s="3" t="s">
        <v>244</v>
      </c>
    </row>
    <row r="1671">
      <c r="A1671" s="3" t="s">
        <v>216</v>
      </c>
      <c r="B1671" s="3" t="s">
        <v>238</v>
      </c>
      <c r="C1671" s="3" t="s">
        <v>145</v>
      </c>
    </row>
    <row r="1672">
      <c r="A1672" s="3" t="s">
        <v>216</v>
      </c>
      <c r="B1672" s="3" t="s">
        <v>238</v>
      </c>
      <c r="C1672" s="3" t="s">
        <v>62</v>
      </c>
    </row>
    <row r="1673">
      <c r="A1673" s="3" t="s">
        <v>216</v>
      </c>
      <c r="B1673" s="3" t="s">
        <v>238</v>
      </c>
      <c r="C1673" s="3" t="s">
        <v>245</v>
      </c>
    </row>
    <row r="1674">
      <c r="A1674" s="3" t="s">
        <v>216</v>
      </c>
      <c r="B1674" s="3" t="s">
        <v>221</v>
      </c>
      <c r="C1674" s="3" t="s">
        <v>246</v>
      </c>
    </row>
    <row r="1675">
      <c r="A1675" s="3" t="s">
        <v>216</v>
      </c>
      <c r="B1675" s="3" t="s">
        <v>221</v>
      </c>
      <c r="C1675" s="3" t="s">
        <v>247</v>
      </c>
    </row>
    <row r="1676">
      <c r="A1676" s="3" t="s">
        <v>216</v>
      </c>
      <c r="B1676" s="3" t="s">
        <v>221</v>
      </c>
      <c r="C1676" s="3" t="s">
        <v>248</v>
      </c>
    </row>
    <row r="1677">
      <c r="A1677" s="3" t="s">
        <v>216</v>
      </c>
      <c r="B1677" s="3" t="s">
        <v>221</v>
      </c>
      <c r="C1677" s="3" t="s">
        <v>249</v>
      </c>
    </row>
    <row r="1678">
      <c r="A1678" s="3" t="s">
        <v>216</v>
      </c>
      <c r="B1678" s="3" t="s">
        <v>221</v>
      </c>
      <c r="C1678" s="3" t="s">
        <v>250</v>
      </c>
    </row>
    <row r="1679">
      <c r="A1679" s="3" t="s">
        <v>216</v>
      </c>
      <c r="B1679" s="3" t="s">
        <v>251</v>
      </c>
      <c r="C1679" s="3" t="s">
        <v>252</v>
      </c>
    </row>
    <row r="1680">
      <c r="A1680" s="3" t="s">
        <v>216</v>
      </c>
      <c r="B1680" s="3" t="s">
        <v>230</v>
      </c>
      <c r="C1680" s="3" t="s">
        <v>253</v>
      </c>
    </row>
    <row r="1681">
      <c r="A1681" s="3" t="s">
        <v>216</v>
      </c>
      <c r="B1681" s="3" t="s">
        <v>225</v>
      </c>
      <c r="C1681" s="3" t="s">
        <v>226</v>
      </c>
    </row>
    <row r="1682">
      <c r="A1682" s="3" t="s">
        <v>216</v>
      </c>
      <c r="B1682" s="3" t="s">
        <v>225</v>
      </c>
      <c r="C1682" s="3" t="s">
        <v>228</v>
      </c>
    </row>
    <row r="1683">
      <c r="A1683" s="3" t="s">
        <v>216</v>
      </c>
      <c r="B1683" s="3" t="s">
        <v>225</v>
      </c>
      <c r="C1683" s="3" t="s">
        <v>228</v>
      </c>
    </row>
    <row r="1684">
      <c r="A1684" s="3" t="s">
        <v>216</v>
      </c>
      <c r="B1684" s="3" t="s">
        <v>225</v>
      </c>
      <c r="C1684" s="3" t="s">
        <v>228</v>
      </c>
    </row>
    <row r="1685">
      <c r="A1685" s="3" t="s">
        <v>216</v>
      </c>
      <c r="B1685" s="3" t="s">
        <v>234</v>
      </c>
      <c r="C1685" s="3" t="s">
        <v>235</v>
      </c>
    </row>
    <row r="1686">
      <c r="A1686" s="3" t="s">
        <v>216</v>
      </c>
      <c r="B1686" s="3" t="s">
        <v>234</v>
      </c>
      <c r="C1686" s="3" t="s">
        <v>235</v>
      </c>
    </row>
    <row r="1687">
      <c r="A1687" s="3" t="s">
        <v>216</v>
      </c>
      <c r="B1687" s="3" t="s">
        <v>251</v>
      </c>
      <c r="C1687" s="3" t="s">
        <v>254</v>
      </c>
    </row>
    <row r="1688">
      <c r="A1688" s="3" t="s">
        <v>216</v>
      </c>
      <c r="B1688" s="3" t="s">
        <v>225</v>
      </c>
      <c r="C1688" s="3" t="s">
        <v>228</v>
      </c>
    </row>
    <row r="1689">
      <c r="A1689" s="3" t="s">
        <v>216</v>
      </c>
      <c r="B1689" s="3" t="s">
        <v>225</v>
      </c>
      <c r="C1689" s="3" t="s">
        <v>228</v>
      </c>
    </row>
    <row r="1690">
      <c r="A1690" s="3" t="s">
        <v>216</v>
      </c>
      <c r="B1690" s="3" t="s">
        <v>219</v>
      </c>
      <c r="C1690" s="3" t="s">
        <v>255</v>
      </c>
    </row>
    <row r="1691">
      <c r="A1691" s="3" t="s">
        <v>216</v>
      </c>
      <c r="B1691" s="3" t="s">
        <v>225</v>
      </c>
      <c r="C1691" s="3" t="s">
        <v>256</v>
      </c>
    </row>
    <row r="1692">
      <c r="A1692" s="3" t="s">
        <v>216</v>
      </c>
      <c r="B1692" s="3" t="s">
        <v>225</v>
      </c>
      <c r="C1692" s="3" t="s">
        <v>256</v>
      </c>
    </row>
    <row r="1693">
      <c r="A1693" s="3" t="s">
        <v>216</v>
      </c>
      <c r="B1693" s="3" t="s">
        <v>251</v>
      </c>
      <c r="C1693" s="3" t="s">
        <v>257</v>
      </c>
    </row>
    <row r="1694">
      <c r="A1694" s="3" t="s">
        <v>216</v>
      </c>
      <c r="B1694" s="3" t="s">
        <v>217</v>
      </c>
      <c r="C1694" s="3" t="s">
        <v>232</v>
      </c>
    </row>
    <row r="1695">
      <c r="A1695" s="3" t="s">
        <v>216</v>
      </c>
      <c r="B1695" s="3" t="s">
        <v>219</v>
      </c>
      <c r="C1695" s="3" t="s">
        <v>258</v>
      </c>
    </row>
    <row r="1696">
      <c r="A1696" s="3" t="s">
        <v>216</v>
      </c>
      <c r="B1696" s="3" t="s">
        <v>223</v>
      </c>
      <c r="C1696" s="3" t="s">
        <v>227</v>
      </c>
    </row>
    <row r="1697">
      <c r="A1697" s="3" t="s">
        <v>216</v>
      </c>
      <c r="B1697" s="3" t="s">
        <v>223</v>
      </c>
      <c r="C1697" s="3" t="s">
        <v>227</v>
      </c>
    </row>
    <row r="1698">
      <c r="A1698" s="3" t="s">
        <v>216</v>
      </c>
      <c r="B1698" s="3" t="s">
        <v>230</v>
      </c>
      <c r="C1698" s="3" t="s">
        <v>259</v>
      </c>
    </row>
    <row r="1699">
      <c r="A1699" s="3" t="s">
        <v>216</v>
      </c>
      <c r="B1699" s="3" t="s">
        <v>219</v>
      </c>
      <c r="C1699" s="3" t="s">
        <v>258</v>
      </c>
    </row>
    <row r="1700">
      <c r="A1700" s="3" t="s">
        <v>216</v>
      </c>
      <c r="B1700" s="3" t="s">
        <v>230</v>
      </c>
      <c r="C1700" s="3" t="s">
        <v>260</v>
      </c>
    </row>
    <row r="1701">
      <c r="A1701" s="3" t="s">
        <v>216</v>
      </c>
      <c r="B1701" s="3" t="s">
        <v>219</v>
      </c>
      <c r="C1701" s="3" t="s">
        <v>261</v>
      </c>
    </row>
    <row r="1702">
      <c r="A1702" s="3" t="s">
        <v>216</v>
      </c>
      <c r="B1702" s="3" t="s">
        <v>225</v>
      </c>
      <c r="C1702" s="3" t="s">
        <v>158</v>
      </c>
    </row>
    <row r="1703">
      <c r="A1703" s="3" t="s">
        <v>216</v>
      </c>
      <c r="B1703" s="3" t="s">
        <v>223</v>
      </c>
      <c r="C1703" s="3" t="s">
        <v>227</v>
      </c>
    </row>
    <row r="1704">
      <c r="A1704" s="3" t="s">
        <v>216</v>
      </c>
      <c r="B1704" s="3" t="s">
        <v>223</v>
      </c>
      <c r="C1704" s="3" t="s">
        <v>227</v>
      </c>
    </row>
    <row r="1705">
      <c r="A1705" s="3" t="s">
        <v>216</v>
      </c>
      <c r="B1705" s="3" t="s">
        <v>219</v>
      </c>
      <c r="C1705" s="3" t="s">
        <v>220</v>
      </c>
    </row>
    <row r="1706">
      <c r="A1706" s="3" t="s">
        <v>216</v>
      </c>
      <c r="B1706" s="3" t="s">
        <v>230</v>
      </c>
      <c r="C1706" s="3" t="s">
        <v>260</v>
      </c>
    </row>
    <row r="1707">
      <c r="A1707" s="3" t="s">
        <v>216</v>
      </c>
      <c r="B1707" s="3" t="s">
        <v>219</v>
      </c>
      <c r="C1707" s="3" t="s">
        <v>220</v>
      </c>
    </row>
    <row r="1708">
      <c r="A1708" s="3" t="s">
        <v>216</v>
      </c>
      <c r="B1708" s="3" t="s">
        <v>219</v>
      </c>
      <c r="C1708" s="3" t="s">
        <v>262</v>
      </c>
    </row>
    <row r="1709">
      <c r="A1709" s="3" t="s">
        <v>216</v>
      </c>
      <c r="B1709" s="3" t="s">
        <v>251</v>
      </c>
      <c r="C1709" s="3" t="s">
        <v>263</v>
      </c>
    </row>
    <row r="1710">
      <c r="A1710" s="3" t="s">
        <v>216</v>
      </c>
      <c r="B1710" s="3" t="s">
        <v>219</v>
      </c>
      <c r="C1710" s="3" t="s">
        <v>261</v>
      </c>
    </row>
    <row r="1711">
      <c r="A1711" s="3" t="s">
        <v>216</v>
      </c>
      <c r="B1711" s="3" t="s">
        <v>219</v>
      </c>
      <c r="C1711" s="3" t="s">
        <v>261</v>
      </c>
    </row>
    <row r="1712">
      <c r="A1712" s="3" t="s">
        <v>216</v>
      </c>
      <c r="B1712" s="3" t="s">
        <v>225</v>
      </c>
      <c r="C1712" s="3" t="s">
        <v>226</v>
      </c>
    </row>
    <row r="1713">
      <c r="A1713" s="3" t="s">
        <v>216</v>
      </c>
      <c r="B1713" s="3" t="s">
        <v>219</v>
      </c>
      <c r="C1713" s="3" t="s">
        <v>261</v>
      </c>
    </row>
    <row r="1714">
      <c r="A1714" s="3" t="s">
        <v>216</v>
      </c>
      <c r="B1714" s="3" t="s">
        <v>217</v>
      </c>
      <c r="C1714" s="3" t="s">
        <v>232</v>
      </c>
    </row>
    <row r="1715">
      <c r="A1715" s="3" t="s">
        <v>216</v>
      </c>
      <c r="B1715" s="3" t="s">
        <v>223</v>
      </c>
      <c r="C1715" s="3" t="s">
        <v>227</v>
      </c>
    </row>
    <row r="1716">
      <c r="A1716" s="3" t="s">
        <v>216</v>
      </c>
      <c r="B1716" s="3" t="s">
        <v>217</v>
      </c>
      <c r="C1716" s="3" t="s">
        <v>264</v>
      </c>
    </row>
    <row r="1717">
      <c r="A1717" s="3" t="s">
        <v>216</v>
      </c>
      <c r="B1717" s="3" t="s">
        <v>217</v>
      </c>
      <c r="C1717" s="3" t="s">
        <v>265</v>
      </c>
    </row>
    <row r="1718">
      <c r="A1718" s="3" t="s">
        <v>216</v>
      </c>
      <c r="B1718" s="3" t="s">
        <v>219</v>
      </c>
      <c r="C1718" s="3" t="s">
        <v>255</v>
      </c>
    </row>
    <row r="1719">
      <c r="A1719" s="3" t="s">
        <v>216</v>
      </c>
      <c r="B1719" s="3" t="s">
        <v>223</v>
      </c>
      <c r="C1719" s="3" t="s">
        <v>227</v>
      </c>
    </row>
    <row r="1720">
      <c r="A1720" s="3" t="s">
        <v>216</v>
      </c>
      <c r="B1720" s="3" t="s">
        <v>217</v>
      </c>
      <c r="C1720" s="3" t="s">
        <v>266</v>
      </c>
    </row>
    <row r="1721">
      <c r="A1721" s="3" t="s">
        <v>216</v>
      </c>
      <c r="B1721" s="3" t="s">
        <v>251</v>
      </c>
      <c r="C1721" s="3" t="s">
        <v>267</v>
      </c>
    </row>
    <row r="1722">
      <c r="A1722" s="3" t="s">
        <v>216</v>
      </c>
      <c r="B1722" s="3" t="s">
        <v>219</v>
      </c>
      <c r="C1722" s="3" t="s">
        <v>261</v>
      </c>
    </row>
    <row r="1723">
      <c r="A1723" s="3" t="s">
        <v>216</v>
      </c>
      <c r="B1723" s="3" t="s">
        <v>230</v>
      </c>
      <c r="C1723" s="3" t="s">
        <v>253</v>
      </c>
    </row>
    <row r="1724">
      <c r="A1724" s="3" t="s">
        <v>216</v>
      </c>
      <c r="B1724" s="3" t="s">
        <v>219</v>
      </c>
      <c r="C1724" s="3" t="s">
        <v>268</v>
      </c>
    </row>
    <row r="1725">
      <c r="A1725" s="3" t="s">
        <v>216</v>
      </c>
      <c r="B1725" s="3" t="s">
        <v>223</v>
      </c>
      <c r="C1725" s="3" t="s">
        <v>233</v>
      </c>
    </row>
    <row r="1726">
      <c r="A1726" s="3" t="s">
        <v>216</v>
      </c>
      <c r="B1726" s="3" t="s">
        <v>251</v>
      </c>
      <c r="C1726" s="3" t="s">
        <v>269</v>
      </c>
    </row>
    <row r="1727">
      <c r="A1727" s="3" t="s">
        <v>216</v>
      </c>
      <c r="B1727" s="3" t="s">
        <v>238</v>
      </c>
      <c r="C1727" s="3" t="s">
        <v>145</v>
      </c>
    </row>
    <row r="1728">
      <c r="A1728" s="3" t="s">
        <v>216</v>
      </c>
      <c r="B1728" s="3" t="s">
        <v>221</v>
      </c>
      <c r="C1728" s="3" t="s">
        <v>246</v>
      </c>
    </row>
    <row r="1729">
      <c r="A1729" s="3" t="s">
        <v>216</v>
      </c>
      <c r="B1729" s="3" t="s">
        <v>217</v>
      </c>
      <c r="C1729" s="3" t="s">
        <v>264</v>
      </c>
    </row>
    <row r="1730">
      <c r="A1730" s="3" t="s">
        <v>216</v>
      </c>
      <c r="B1730" s="3" t="s">
        <v>221</v>
      </c>
      <c r="C1730" s="3" t="s">
        <v>246</v>
      </c>
    </row>
    <row r="1731">
      <c r="A1731" s="3" t="s">
        <v>216</v>
      </c>
      <c r="B1731" s="3" t="s">
        <v>238</v>
      </c>
      <c r="C1731" s="3" t="s">
        <v>240</v>
      </c>
    </row>
    <row r="1732">
      <c r="A1732" s="3" t="s">
        <v>216</v>
      </c>
      <c r="B1732" s="3" t="s">
        <v>221</v>
      </c>
      <c r="C1732" s="3" t="s">
        <v>249</v>
      </c>
    </row>
    <row r="1733">
      <c r="A1733" s="3" t="s">
        <v>216</v>
      </c>
      <c r="B1733" s="3" t="s">
        <v>221</v>
      </c>
      <c r="C1733" s="3" t="s">
        <v>249</v>
      </c>
    </row>
    <row r="1734">
      <c r="A1734" s="3" t="s">
        <v>216</v>
      </c>
      <c r="B1734" s="3" t="s">
        <v>217</v>
      </c>
      <c r="C1734" s="3" t="s">
        <v>232</v>
      </c>
    </row>
    <row r="1735">
      <c r="A1735" s="3" t="s">
        <v>216</v>
      </c>
      <c r="B1735" s="3" t="s">
        <v>217</v>
      </c>
      <c r="C1735" s="3" t="s">
        <v>232</v>
      </c>
    </row>
    <row r="1736">
      <c r="A1736" s="3" t="s">
        <v>216</v>
      </c>
      <c r="B1736" s="3" t="s">
        <v>219</v>
      </c>
      <c r="C1736" s="3" t="s">
        <v>258</v>
      </c>
    </row>
    <row r="1737">
      <c r="A1737" s="3" t="s">
        <v>216</v>
      </c>
      <c r="B1737" s="3" t="s">
        <v>230</v>
      </c>
      <c r="C1737" s="3" t="s">
        <v>231</v>
      </c>
    </row>
    <row r="1738">
      <c r="A1738" s="3" t="s">
        <v>216</v>
      </c>
      <c r="B1738" s="3" t="s">
        <v>225</v>
      </c>
      <c r="C1738" s="3" t="s">
        <v>158</v>
      </c>
    </row>
    <row r="1739">
      <c r="A1739" s="3" t="s">
        <v>216</v>
      </c>
      <c r="B1739" s="3" t="s">
        <v>219</v>
      </c>
      <c r="C1739" s="3" t="s">
        <v>262</v>
      </c>
    </row>
    <row r="1740">
      <c r="A1740" s="3" t="s">
        <v>216</v>
      </c>
      <c r="B1740" s="3" t="s">
        <v>219</v>
      </c>
      <c r="C1740" s="3" t="s">
        <v>262</v>
      </c>
    </row>
    <row r="1741">
      <c r="A1741" s="3" t="s">
        <v>216</v>
      </c>
      <c r="B1741" s="3" t="s">
        <v>225</v>
      </c>
      <c r="C1741" s="3" t="s">
        <v>158</v>
      </c>
    </row>
    <row r="1742">
      <c r="A1742" s="3" t="s">
        <v>216</v>
      </c>
      <c r="B1742" s="3" t="s">
        <v>225</v>
      </c>
      <c r="C1742" s="3" t="s">
        <v>158</v>
      </c>
    </row>
    <row r="1743">
      <c r="A1743" s="3" t="s">
        <v>216</v>
      </c>
      <c r="B1743" s="3" t="s">
        <v>225</v>
      </c>
      <c r="C1743" s="3" t="s">
        <v>270</v>
      </c>
    </row>
    <row r="1744">
      <c r="A1744" s="3" t="s">
        <v>216</v>
      </c>
      <c r="B1744" s="3" t="s">
        <v>225</v>
      </c>
      <c r="C1744" s="3" t="s">
        <v>256</v>
      </c>
    </row>
    <row r="1745">
      <c r="A1745" s="3" t="s">
        <v>216</v>
      </c>
      <c r="B1745" s="3" t="s">
        <v>217</v>
      </c>
      <c r="C1745" s="3" t="s">
        <v>265</v>
      </c>
    </row>
    <row r="1746">
      <c r="A1746" s="3" t="s">
        <v>216</v>
      </c>
      <c r="B1746" s="3" t="s">
        <v>219</v>
      </c>
      <c r="C1746" s="3" t="s">
        <v>220</v>
      </c>
    </row>
    <row r="1747">
      <c r="A1747" s="3" t="s">
        <v>216</v>
      </c>
      <c r="B1747" s="3" t="s">
        <v>225</v>
      </c>
      <c r="C1747" s="3" t="s">
        <v>270</v>
      </c>
    </row>
    <row r="1748">
      <c r="A1748" s="3" t="s">
        <v>216</v>
      </c>
      <c r="B1748" s="3" t="s">
        <v>219</v>
      </c>
      <c r="C1748" s="3" t="s">
        <v>220</v>
      </c>
    </row>
    <row r="1749">
      <c r="A1749" s="3" t="s">
        <v>216</v>
      </c>
      <c r="B1749" s="3" t="s">
        <v>219</v>
      </c>
      <c r="C1749" s="3" t="s">
        <v>220</v>
      </c>
    </row>
    <row r="1750">
      <c r="A1750" s="3" t="s">
        <v>216</v>
      </c>
      <c r="B1750" s="3" t="s">
        <v>225</v>
      </c>
      <c r="C1750" s="3" t="s">
        <v>226</v>
      </c>
    </row>
    <row r="1751">
      <c r="A1751" s="3" t="s">
        <v>216</v>
      </c>
      <c r="B1751" s="3" t="s">
        <v>219</v>
      </c>
      <c r="C1751" s="3" t="s">
        <v>220</v>
      </c>
    </row>
    <row r="1752">
      <c r="A1752" s="3" t="s">
        <v>216</v>
      </c>
      <c r="B1752" s="3" t="s">
        <v>225</v>
      </c>
      <c r="C1752" s="3" t="s">
        <v>158</v>
      </c>
    </row>
    <row r="1753">
      <c r="A1753" s="3" t="s">
        <v>216</v>
      </c>
      <c r="B1753" s="3" t="s">
        <v>217</v>
      </c>
      <c r="C1753" s="3" t="s">
        <v>232</v>
      </c>
    </row>
    <row r="1754">
      <c r="A1754" s="3" t="s">
        <v>216</v>
      </c>
      <c r="B1754" s="3" t="s">
        <v>219</v>
      </c>
      <c r="C1754" s="3" t="s">
        <v>220</v>
      </c>
    </row>
    <row r="1755">
      <c r="A1755" s="3" t="s">
        <v>216</v>
      </c>
      <c r="B1755" s="3" t="s">
        <v>219</v>
      </c>
      <c r="C1755" s="3" t="s">
        <v>262</v>
      </c>
    </row>
    <row r="1756">
      <c r="A1756" s="3" t="s">
        <v>216</v>
      </c>
      <c r="B1756" s="3" t="s">
        <v>219</v>
      </c>
      <c r="C1756" s="3" t="s">
        <v>220</v>
      </c>
    </row>
    <row r="1757">
      <c r="A1757" s="3" t="s">
        <v>216</v>
      </c>
      <c r="B1757" s="3" t="s">
        <v>225</v>
      </c>
      <c r="C1757" s="3" t="s">
        <v>270</v>
      </c>
    </row>
    <row r="1758">
      <c r="A1758" s="3" t="s">
        <v>216</v>
      </c>
      <c r="B1758" s="3" t="s">
        <v>221</v>
      </c>
      <c r="C1758" s="3" t="s">
        <v>247</v>
      </c>
    </row>
    <row r="1759">
      <c r="A1759" s="3" t="s">
        <v>216</v>
      </c>
      <c r="B1759" s="3" t="s">
        <v>219</v>
      </c>
      <c r="C1759" s="3" t="s">
        <v>271</v>
      </c>
    </row>
    <row r="1760">
      <c r="A1760" s="3" t="s">
        <v>216</v>
      </c>
      <c r="B1760" s="3" t="s">
        <v>225</v>
      </c>
      <c r="C1760" s="3" t="s">
        <v>256</v>
      </c>
    </row>
    <row r="1761">
      <c r="A1761" s="3" t="s">
        <v>216</v>
      </c>
      <c r="B1761" s="3" t="s">
        <v>230</v>
      </c>
      <c r="C1761" s="3" t="s">
        <v>259</v>
      </c>
    </row>
    <row r="1762">
      <c r="A1762" s="3" t="s">
        <v>216</v>
      </c>
      <c r="B1762" s="3" t="s">
        <v>225</v>
      </c>
      <c r="C1762" s="3" t="s">
        <v>158</v>
      </c>
    </row>
    <row r="1763">
      <c r="A1763" s="3" t="s">
        <v>216</v>
      </c>
      <c r="B1763" s="3" t="s">
        <v>225</v>
      </c>
      <c r="C1763" s="3" t="s">
        <v>158</v>
      </c>
    </row>
    <row r="1764">
      <c r="A1764" s="3" t="s">
        <v>216</v>
      </c>
      <c r="B1764" s="3" t="s">
        <v>217</v>
      </c>
      <c r="C1764" s="3" t="s">
        <v>264</v>
      </c>
    </row>
    <row r="1765">
      <c r="A1765" s="3" t="s">
        <v>216</v>
      </c>
      <c r="B1765" s="3" t="s">
        <v>219</v>
      </c>
      <c r="C1765" s="3" t="s">
        <v>271</v>
      </c>
    </row>
    <row r="1766">
      <c r="A1766" s="3" t="s">
        <v>216</v>
      </c>
      <c r="B1766" s="3" t="s">
        <v>225</v>
      </c>
      <c r="C1766" s="3" t="s">
        <v>270</v>
      </c>
    </row>
    <row r="1767">
      <c r="A1767" s="3" t="s">
        <v>216</v>
      </c>
      <c r="B1767" s="3" t="s">
        <v>217</v>
      </c>
      <c r="C1767" s="3" t="s">
        <v>264</v>
      </c>
    </row>
    <row r="1768">
      <c r="A1768" s="3" t="s">
        <v>216</v>
      </c>
      <c r="B1768" s="3" t="s">
        <v>251</v>
      </c>
      <c r="C1768" s="3" t="s">
        <v>263</v>
      </c>
    </row>
    <row r="1769">
      <c r="A1769" s="3" t="s">
        <v>216</v>
      </c>
      <c r="B1769" s="3" t="s">
        <v>251</v>
      </c>
      <c r="C1769" s="3" t="s">
        <v>252</v>
      </c>
    </row>
    <row r="1770">
      <c r="A1770" s="3" t="s">
        <v>216</v>
      </c>
      <c r="B1770" s="3" t="s">
        <v>221</v>
      </c>
      <c r="C1770" s="3" t="s">
        <v>222</v>
      </c>
    </row>
    <row r="1771">
      <c r="A1771" s="3" t="s">
        <v>216</v>
      </c>
      <c r="B1771" s="3" t="s">
        <v>238</v>
      </c>
      <c r="C1771" s="3" t="s">
        <v>239</v>
      </c>
    </row>
    <row r="1772">
      <c r="A1772" s="3" t="s">
        <v>216</v>
      </c>
      <c r="B1772" s="3" t="s">
        <v>238</v>
      </c>
      <c r="C1772" s="3" t="s">
        <v>240</v>
      </c>
    </row>
    <row r="1773">
      <c r="A1773" s="3" t="s">
        <v>216</v>
      </c>
      <c r="B1773" s="3" t="s">
        <v>238</v>
      </c>
      <c r="C1773" s="3" t="s">
        <v>241</v>
      </c>
    </row>
    <row r="1774">
      <c r="A1774" s="3" t="s">
        <v>216</v>
      </c>
      <c r="B1774" s="3" t="s">
        <v>238</v>
      </c>
      <c r="C1774" s="3" t="s">
        <v>242</v>
      </c>
    </row>
    <row r="1775">
      <c r="A1775" s="3" t="s">
        <v>216</v>
      </c>
      <c r="B1775" s="3" t="s">
        <v>238</v>
      </c>
      <c r="C1775" s="3" t="s">
        <v>243</v>
      </c>
    </row>
    <row r="1776">
      <c r="A1776" s="3" t="s">
        <v>216</v>
      </c>
      <c r="B1776" s="3" t="s">
        <v>238</v>
      </c>
      <c r="C1776" s="3" t="s">
        <v>244</v>
      </c>
    </row>
    <row r="1777">
      <c r="A1777" s="3" t="s">
        <v>216</v>
      </c>
      <c r="B1777" s="3" t="s">
        <v>238</v>
      </c>
      <c r="C1777" s="3" t="s">
        <v>145</v>
      </c>
    </row>
    <row r="1778">
      <c r="A1778" s="3" t="s">
        <v>216</v>
      </c>
      <c r="B1778" s="3" t="s">
        <v>238</v>
      </c>
      <c r="C1778" s="3" t="s">
        <v>62</v>
      </c>
    </row>
    <row r="1779">
      <c r="A1779" s="3" t="s">
        <v>216</v>
      </c>
      <c r="B1779" s="3" t="s">
        <v>238</v>
      </c>
      <c r="C1779" s="3" t="s">
        <v>245</v>
      </c>
    </row>
    <row r="1780">
      <c r="A1780" s="3" t="s">
        <v>216</v>
      </c>
      <c r="B1780" s="3" t="s">
        <v>221</v>
      </c>
      <c r="C1780" s="3" t="s">
        <v>246</v>
      </c>
    </row>
    <row r="1781">
      <c r="A1781" s="3" t="s">
        <v>216</v>
      </c>
      <c r="B1781" s="3" t="s">
        <v>221</v>
      </c>
      <c r="C1781" s="3" t="s">
        <v>247</v>
      </c>
    </row>
    <row r="1782">
      <c r="A1782" s="3" t="s">
        <v>216</v>
      </c>
      <c r="B1782" s="3" t="s">
        <v>221</v>
      </c>
      <c r="C1782" s="3" t="s">
        <v>248</v>
      </c>
    </row>
    <row r="1783">
      <c r="A1783" s="3" t="s">
        <v>216</v>
      </c>
      <c r="B1783" s="3" t="s">
        <v>221</v>
      </c>
      <c r="C1783" s="3" t="s">
        <v>237</v>
      </c>
    </row>
    <row r="1784">
      <c r="A1784" s="3" t="s">
        <v>216</v>
      </c>
      <c r="B1784" s="3" t="s">
        <v>221</v>
      </c>
      <c r="C1784" s="3" t="s">
        <v>249</v>
      </c>
    </row>
    <row r="1785">
      <c r="A1785" s="3" t="s">
        <v>216</v>
      </c>
      <c r="B1785" s="3" t="s">
        <v>221</v>
      </c>
      <c r="C1785" s="3" t="s">
        <v>250</v>
      </c>
    </row>
    <row r="1786">
      <c r="A1786" s="3" t="s">
        <v>216</v>
      </c>
      <c r="B1786" s="3" t="s">
        <v>221</v>
      </c>
      <c r="C1786" s="3" t="s">
        <v>222</v>
      </c>
    </row>
    <row r="1787">
      <c r="A1787" s="3" t="s">
        <v>216</v>
      </c>
      <c r="B1787" s="3" t="s">
        <v>223</v>
      </c>
      <c r="C1787" s="3" t="s">
        <v>227</v>
      </c>
    </row>
    <row r="1788">
      <c r="A1788" s="3" t="s">
        <v>216</v>
      </c>
      <c r="B1788" s="3" t="s">
        <v>225</v>
      </c>
      <c r="C1788" s="3" t="s">
        <v>158</v>
      </c>
    </row>
    <row r="1789">
      <c r="A1789" s="3" t="s">
        <v>216</v>
      </c>
      <c r="B1789" s="3" t="s">
        <v>225</v>
      </c>
      <c r="C1789" s="3" t="s">
        <v>158</v>
      </c>
    </row>
    <row r="1790">
      <c r="A1790" s="3" t="s">
        <v>216</v>
      </c>
      <c r="B1790" s="3" t="s">
        <v>225</v>
      </c>
      <c r="C1790" s="3" t="s">
        <v>158</v>
      </c>
    </row>
    <row r="1791">
      <c r="A1791" s="3" t="s">
        <v>216</v>
      </c>
      <c r="B1791" s="3" t="s">
        <v>219</v>
      </c>
      <c r="C1791" s="3" t="s">
        <v>220</v>
      </c>
    </row>
    <row r="1792">
      <c r="A1792" s="3" t="s">
        <v>216</v>
      </c>
      <c r="B1792" s="3" t="s">
        <v>225</v>
      </c>
      <c r="C1792" s="3" t="s">
        <v>158</v>
      </c>
    </row>
    <row r="1793">
      <c r="A1793" s="3" t="s">
        <v>216</v>
      </c>
      <c r="B1793" s="3" t="s">
        <v>219</v>
      </c>
      <c r="C1793" s="3" t="s">
        <v>261</v>
      </c>
    </row>
    <row r="1794">
      <c r="A1794" s="3" t="s">
        <v>216</v>
      </c>
      <c r="B1794" s="3" t="s">
        <v>219</v>
      </c>
      <c r="C1794" s="3" t="s">
        <v>258</v>
      </c>
    </row>
    <row r="1795">
      <c r="A1795" s="3" t="s">
        <v>216</v>
      </c>
      <c r="B1795" s="3" t="s">
        <v>217</v>
      </c>
      <c r="C1795" s="3" t="s">
        <v>264</v>
      </c>
    </row>
    <row r="1796">
      <c r="A1796" s="3" t="s">
        <v>216</v>
      </c>
      <c r="B1796" s="3" t="s">
        <v>217</v>
      </c>
      <c r="C1796" s="3" t="s">
        <v>272</v>
      </c>
    </row>
    <row r="1797">
      <c r="A1797" s="3" t="s">
        <v>216</v>
      </c>
      <c r="B1797" s="3" t="s">
        <v>223</v>
      </c>
      <c r="C1797" s="3" t="s">
        <v>227</v>
      </c>
    </row>
    <row r="1798">
      <c r="A1798" s="3" t="s">
        <v>216</v>
      </c>
      <c r="B1798" s="3" t="s">
        <v>223</v>
      </c>
      <c r="C1798" s="3" t="s">
        <v>227</v>
      </c>
    </row>
    <row r="1799">
      <c r="A1799" s="3" t="s">
        <v>216</v>
      </c>
      <c r="B1799" s="3" t="s">
        <v>230</v>
      </c>
      <c r="C1799" s="3" t="s">
        <v>260</v>
      </c>
    </row>
    <row r="1800">
      <c r="A1800" s="3" t="s">
        <v>216</v>
      </c>
      <c r="B1800" s="3" t="s">
        <v>225</v>
      </c>
      <c r="C1800" s="3" t="s">
        <v>158</v>
      </c>
    </row>
    <row r="1801">
      <c r="A1801" s="3" t="s">
        <v>216</v>
      </c>
      <c r="B1801" s="3" t="s">
        <v>219</v>
      </c>
      <c r="C1801" s="3" t="s">
        <v>268</v>
      </c>
    </row>
    <row r="1802">
      <c r="A1802" s="3" t="s">
        <v>216</v>
      </c>
      <c r="B1802" s="3" t="s">
        <v>230</v>
      </c>
      <c r="C1802" s="3" t="s">
        <v>231</v>
      </c>
    </row>
    <row r="1803">
      <c r="A1803" s="3" t="s">
        <v>216</v>
      </c>
      <c r="B1803" s="3" t="s">
        <v>219</v>
      </c>
      <c r="C1803" s="3" t="s">
        <v>258</v>
      </c>
    </row>
    <row r="1804">
      <c r="A1804" s="3" t="s">
        <v>216</v>
      </c>
      <c r="B1804" s="3" t="s">
        <v>251</v>
      </c>
      <c r="C1804" s="3" t="s">
        <v>252</v>
      </c>
    </row>
    <row r="1805">
      <c r="A1805" s="3" t="s">
        <v>216</v>
      </c>
      <c r="B1805" s="3" t="s">
        <v>221</v>
      </c>
      <c r="C1805" s="3" t="s">
        <v>249</v>
      </c>
    </row>
    <row r="1806">
      <c r="A1806" s="3" t="s">
        <v>216</v>
      </c>
      <c r="B1806" s="3" t="s">
        <v>221</v>
      </c>
      <c r="C1806" s="3" t="s">
        <v>249</v>
      </c>
    </row>
    <row r="1807">
      <c r="A1807" s="3" t="s">
        <v>216</v>
      </c>
      <c r="B1807" s="3" t="s">
        <v>219</v>
      </c>
      <c r="C1807" s="3" t="s">
        <v>271</v>
      </c>
    </row>
    <row r="1808">
      <c r="A1808" s="3" t="s">
        <v>216</v>
      </c>
      <c r="B1808" s="3" t="s">
        <v>219</v>
      </c>
      <c r="C1808" s="3" t="s">
        <v>236</v>
      </c>
    </row>
    <row r="1809">
      <c r="A1809" s="3" t="s">
        <v>216</v>
      </c>
      <c r="B1809" s="3" t="s">
        <v>230</v>
      </c>
      <c r="C1809" s="3" t="s">
        <v>259</v>
      </c>
    </row>
    <row r="1810">
      <c r="A1810" s="3" t="s">
        <v>216</v>
      </c>
      <c r="B1810" s="3" t="s">
        <v>230</v>
      </c>
      <c r="C1810" s="3" t="s">
        <v>259</v>
      </c>
    </row>
    <row r="1811">
      <c r="A1811" s="3" t="s">
        <v>216</v>
      </c>
      <c r="B1811" s="3" t="s">
        <v>223</v>
      </c>
      <c r="C1811" s="3" t="s">
        <v>273</v>
      </c>
    </row>
    <row r="1812">
      <c r="A1812" s="3" t="s">
        <v>216</v>
      </c>
      <c r="B1812" s="3" t="s">
        <v>223</v>
      </c>
      <c r="C1812" s="3" t="s">
        <v>224</v>
      </c>
    </row>
    <row r="1813">
      <c r="A1813" s="3" t="s">
        <v>216</v>
      </c>
      <c r="B1813" s="3" t="s">
        <v>251</v>
      </c>
      <c r="C1813" s="3" t="s">
        <v>263</v>
      </c>
    </row>
    <row r="1814">
      <c r="A1814" s="3" t="s">
        <v>216</v>
      </c>
      <c r="B1814" s="3" t="s">
        <v>238</v>
      </c>
      <c r="C1814" s="3" t="s">
        <v>242</v>
      </c>
    </row>
    <row r="1815">
      <c r="A1815" s="3" t="s">
        <v>216</v>
      </c>
      <c r="B1815" s="3" t="s">
        <v>219</v>
      </c>
      <c r="C1815" s="3" t="s">
        <v>258</v>
      </c>
    </row>
    <row r="1816">
      <c r="A1816" s="3" t="s">
        <v>216</v>
      </c>
      <c r="B1816" s="3" t="s">
        <v>217</v>
      </c>
      <c r="C1816" s="3" t="s">
        <v>266</v>
      </c>
    </row>
    <row r="1817">
      <c r="A1817" s="3" t="s">
        <v>216</v>
      </c>
      <c r="B1817" s="3" t="s">
        <v>217</v>
      </c>
      <c r="C1817" s="3" t="s">
        <v>266</v>
      </c>
    </row>
    <row r="1818">
      <c r="A1818" s="3" t="s">
        <v>216</v>
      </c>
      <c r="B1818" s="3" t="s">
        <v>251</v>
      </c>
      <c r="C1818" s="3" t="s">
        <v>252</v>
      </c>
    </row>
    <row r="1819">
      <c r="A1819" s="3" t="s">
        <v>216</v>
      </c>
      <c r="B1819" s="3" t="s">
        <v>251</v>
      </c>
      <c r="C1819" s="3" t="s">
        <v>257</v>
      </c>
    </row>
    <row r="1820">
      <c r="A1820" s="3" t="s">
        <v>216</v>
      </c>
      <c r="B1820" s="3" t="s">
        <v>217</v>
      </c>
      <c r="C1820" s="3" t="s">
        <v>264</v>
      </c>
    </row>
    <row r="1821">
      <c r="A1821" s="3" t="s">
        <v>216</v>
      </c>
      <c r="B1821" s="3" t="s">
        <v>221</v>
      </c>
      <c r="C1821" s="3" t="s">
        <v>246</v>
      </c>
    </row>
    <row r="1822">
      <c r="A1822" s="3" t="s">
        <v>216</v>
      </c>
      <c r="B1822" s="3" t="s">
        <v>217</v>
      </c>
      <c r="C1822" s="3" t="s">
        <v>264</v>
      </c>
    </row>
    <row r="1823">
      <c r="A1823" s="3" t="s">
        <v>216</v>
      </c>
      <c r="B1823" s="3" t="s">
        <v>223</v>
      </c>
      <c r="C1823" s="3" t="s">
        <v>227</v>
      </c>
    </row>
    <row r="1824">
      <c r="A1824" s="3" t="s">
        <v>216</v>
      </c>
      <c r="B1824" s="3" t="s">
        <v>230</v>
      </c>
      <c r="C1824" s="3" t="s">
        <v>274</v>
      </c>
    </row>
    <row r="1825">
      <c r="A1825" s="3" t="s">
        <v>216</v>
      </c>
      <c r="B1825" s="3" t="s">
        <v>230</v>
      </c>
      <c r="C1825" s="3" t="s">
        <v>274</v>
      </c>
    </row>
    <row r="1826">
      <c r="A1826" s="3" t="s">
        <v>216</v>
      </c>
      <c r="B1826" s="3" t="s">
        <v>230</v>
      </c>
      <c r="C1826" s="3" t="s">
        <v>231</v>
      </c>
    </row>
    <row r="1827">
      <c r="A1827" s="3" t="s">
        <v>216</v>
      </c>
      <c r="B1827" s="3" t="s">
        <v>225</v>
      </c>
      <c r="C1827" s="3" t="s">
        <v>275</v>
      </c>
    </row>
    <row r="1828">
      <c r="A1828" s="3" t="s">
        <v>216</v>
      </c>
      <c r="B1828" s="3" t="s">
        <v>230</v>
      </c>
      <c r="C1828" s="3" t="s">
        <v>260</v>
      </c>
    </row>
    <row r="1829">
      <c r="A1829" s="3" t="s">
        <v>216</v>
      </c>
      <c r="B1829" s="3" t="s">
        <v>251</v>
      </c>
      <c r="C1829" s="3" t="s">
        <v>267</v>
      </c>
    </row>
    <row r="1830">
      <c r="A1830" s="3" t="s">
        <v>216</v>
      </c>
      <c r="B1830" s="3" t="s">
        <v>221</v>
      </c>
      <c r="C1830" s="3" t="s">
        <v>246</v>
      </c>
    </row>
    <row r="1831">
      <c r="A1831" s="3" t="s">
        <v>216</v>
      </c>
      <c r="B1831" s="3" t="s">
        <v>225</v>
      </c>
      <c r="C1831" s="3" t="s">
        <v>158</v>
      </c>
    </row>
    <row r="1832">
      <c r="A1832" s="3" t="s">
        <v>216</v>
      </c>
      <c r="B1832" s="3" t="s">
        <v>223</v>
      </c>
      <c r="C1832" s="3" t="s">
        <v>276</v>
      </c>
    </row>
    <row r="1833">
      <c r="A1833" s="3" t="s">
        <v>216</v>
      </c>
      <c r="B1833" s="3" t="s">
        <v>230</v>
      </c>
      <c r="C1833" s="3" t="s">
        <v>259</v>
      </c>
    </row>
    <row r="1834">
      <c r="A1834" s="3" t="s">
        <v>216</v>
      </c>
      <c r="B1834" s="3" t="s">
        <v>217</v>
      </c>
      <c r="C1834" s="3" t="s">
        <v>265</v>
      </c>
    </row>
    <row r="1835">
      <c r="A1835" s="3" t="s">
        <v>216</v>
      </c>
      <c r="B1835" s="3" t="s">
        <v>219</v>
      </c>
      <c r="C1835" s="3" t="s">
        <v>258</v>
      </c>
    </row>
    <row r="1836">
      <c r="A1836" s="3" t="s">
        <v>216</v>
      </c>
      <c r="B1836" s="3" t="s">
        <v>230</v>
      </c>
      <c r="C1836" s="3" t="s">
        <v>231</v>
      </c>
    </row>
    <row r="1837">
      <c r="A1837" s="3" t="s">
        <v>216</v>
      </c>
      <c r="B1837" s="3" t="s">
        <v>251</v>
      </c>
      <c r="C1837" s="3" t="s">
        <v>252</v>
      </c>
    </row>
    <row r="1838">
      <c r="A1838" s="3" t="s">
        <v>216</v>
      </c>
      <c r="B1838" s="3" t="s">
        <v>217</v>
      </c>
      <c r="C1838" s="3" t="s">
        <v>232</v>
      </c>
    </row>
    <row r="1839">
      <c r="A1839" s="3" t="s">
        <v>216</v>
      </c>
      <c r="B1839" s="3" t="s">
        <v>230</v>
      </c>
      <c r="C1839" s="3" t="s">
        <v>260</v>
      </c>
    </row>
    <row r="1840">
      <c r="A1840" s="3" t="s">
        <v>216</v>
      </c>
      <c r="B1840" s="3" t="s">
        <v>230</v>
      </c>
      <c r="C1840" s="3" t="s">
        <v>231</v>
      </c>
    </row>
    <row r="1841">
      <c r="A1841" s="3" t="s">
        <v>216</v>
      </c>
      <c r="B1841" s="3" t="s">
        <v>221</v>
      </c>
      <c r="C1841" s="3" t="s">
        <v>250</v>
      </c>
    </row>
    <row r="1842">
      <c r="A1842" s="3" t="s">
        <v>216</v>
      </c>
      <c r="B1842" s="3" t="s">
        <v>238</v>
      </c>
      <c r="C1842" s="3" t="s">
        <v>145</v>
      </c>
    </row>
    <row r="1843">
      <c r="A1843" s="3" t="s">
        <v>216</v>
      </c>
      <c r="B1843" s="3" t="s">
        <v>251</v>
      </c>
      <c r="C1843" s="3" t="s">
        <v>263</v>
      </c>
    </row>
    <row r="1844">
      <c r="A1844" s="3" t="s">
        <v>216</v>
      </c>
      <c r="B1844" s="3" t="s">
        <v>217</v>
      </c>
      <c r="C1844" s="3" t="s">
        <v>232</v>
      </c>
    </row>
    <row r="1845">
      <c r="A1845" s="3" t="s">
        <v>216</v>
      </c>
      <c r="B1845" s="3" t="s">
        <v>223</v>
      </c>
      <c r="C1845" s="3" t="s">
        <v>227</v>
      </c>
    </row>
    <row r="1846">
      <c r="A1846" s="3" t="s">
        <v>216</v>
      </c>
      <c r="B1846" s="3" t="s">
        <v>217</v>
      </c>
      <c r="C1846" s="3" t="s">
        <v>265</v>
      </c>
    </row>
    <row r="1847">
      <c r="A1847" s="3" t="s">
        <v>216</v>
      </c>
      <c r="B1847" s="3" t="s">
        <v>219</v>
      </c>
      <c r="C1847" s="3" t="s">
        <v>258</v>
      </c>
    </row>
    <row r="1848">
      <c r="A1848" s="3" t="s">
        <v>216</v>
      </c>
      <c r="B1848" s="3" t="s">
        <v>217</v>
      </c>
      <c r="C1848" s="3" t="s">
        <v>229</v>
      </c>
    </row>
    <row r="1849">
      <c r="A1849" s="3" t="s">
        <v>216</v>
      </c>
      <c r="B1849" s="3" t="s">
        <v>217</v>
      </c>
      <c r="C1849" s="3" t="s">
        <v>266</v>
      </c>
    </row>
    <row r="1850">
      <c r="A1850" s="3" t="s">
        <v>216</v>
      </c>
      <c r="B1850" s="3" t="s">
        <v>219</v>
      </c>
      <c r="C1850" s="3" t="s">
        <v>268</v>
      </c>
    </row>
    <row r="1851">
      <c r="A1851" s="3" t="s">
        <v>216</v>
      </c>
      <c r="B1851" s="3" t="s">
        <v>238</v>
      </c>
      <c r="C1851" s="3" t="s">
        <v>62</v>
      </c>
    </row>
    <row r="1852">
      <c r="A1852" s="3" t="s">
        <v>216</v>
      </c>
      <c r="B1852" s="3" t="s">
        <v>238</v>
      </c>
      <c r="C1852" s="3" t="s">
        <v>145</v>
      </c>
    </row>
    <row r="1853">
      <c r="A1853" s="3" t="s">
        <v>216</v>
      </c>
      <c r="B1853" s="3" t="s">
        <v>230</v>
      </c>
      <c r="C1853" s="3" t="s">
        <v>231</v>
      </c>
    </row>
    <row r="1854">
      <c r="A1854" s="3" t="s">
        <v>216</v>
      </c>
      <c r="B1854" s="3" t="s">
        <v>251</v>
      </c>
      <c r="C1854" s="3" t="s">
        <v>267</v>
      </c>
    </row>
    <row r="1855">
      <c r="A1855" s="3" t="s">
        <v>216</v>
      </c>
      <c r="B1855" s="3" t="s">
        <v>223</v>
      </c>
      <c r="C1855" s="3" t="s">
        <v>227</v>
      </c>
    </row>
    <row r="1856">
      <c r="A1856" s="3" t="s">
        <v>216</v>
      </c>
      <c r="B1856" s="3" t="s">
        <v>225</v>
      </c>
      <c r="C1856" s="3" t="s">
        <v>158</v>
      </c>
    </row>
    <row r="1857">
      <c r="A1857" s="3" t="s">
        <v>216</v>
      </c>
      <c r="B1857" s="3" t="s">
        <v>225</v>
      </c>
      <c r="C1857" s="3" t="s">
        <v>158</v>
      </c>
    </row>
    <row r="1858">
      <c r="A1858" s="3" t="s">
        <v>216</v>
      </c>
      <c r="B1858" s="3" t="s">
        <v>225</v>
      </c>
      <c r="C1858" s="3" t="s">
        <v>158</v>
      </c>
    </row>
    <row r="1859">
      <c r="A1859" s="3" t="s">
        <v>216</v>
      </c>
      <c r="B1859" s="3" t="s">
        <v>219</v>
      </c>
      <c r="C1859" s="3" t="s">
        <v>220</v>
      </c>
    </row>
    <row r="1860">
      <c r="A1860" s="3" t="s">
        <v>216</v>
      </c>
      <c r="B1860" s="3" t="s">
        <v>219</v>
      </c>
      <c r="C1860" s="3" t="s">
        <v>261</v>
      </c>
    </row>
    <row r="1861">
      <c r="A1861" s="3" t="s">
        <v>216</v>
      </c>
      <c r="B1861" s="3" t="s">
        <v>221</v>
      </c>
      <c r="C1861" s="3" t="s">
        <v>246</v>
      </c>
    </row>
    <row r="1862">
      <c r="A1862" s="3" t="s">
        <v>216</v>
      </c>
      <c r="B1862" s="3" t="s">
        <v>225</v>
      </c>
      <c r="C1862" s="3" t="s">
        <v>158</v>
      </c>
    </row>
    <row r="1863">
      <c r="A1863" s="3" t="s">
        <v>216</v>
      </c>
      <c r="B1863" s="3" t="s">
        <v>251</v>
      </c>
      <c r="C1863" s="3" t="s">
        <v>257</v>
      </c>
    </row>
    <row r="1864">
      <c r="A1864" s="3" t="s">
        <v>216</v>
      </c>
      <c r="B1864" s="3" t="s">
        <v>251</v>
      </c>
      <c r="C1864" s="3" t="s">
        <v>254</v>
      </c>
    </row>
    <row r="1865">
      <c r="A1865" s="3" t="s">
        <v>216</v>
      </c>
      <c r="B1865" s="3" t="s">
        <v>219</v>
      </c>
      <c r="C1865" s="3" t="s">
        <v>220</v>
      </c>
    </row>
    <row r="1866">
      <c r="A1866" s="3" t="s">
        <v>216</v>
      </c>
      <c r="B1866" s="3" t="s">
        <v>219</v>
      </c>
      <c r="C1866" s="3" t="s">
        <v>271</v>
      </c>
    </row>
    <row r="1867">
      <c r="A1867" s="3" t="s">
        <v>216</v>
      </c>
      <c r="B1867" s="3" t="s">
        <v>225</v>
      </c>
      <c r="C1867" s="3" t="s">
        <v>277</v>
      </c>
    </row>
    <row r="1868">
      <c r="A1868" s="3" t="s">
        <v>216</v>
      </c>
      <c r="B1868" s="3" t="s">
        <v>225</v>
      </c>
      <c r="C1868" s="3" t="s">
        <v>278</v>
      </c>
    </row>
    <row r="1869">
      <c r="A1869" s="3" t="s">
        <v>216</v>
      </c>
      <c r="B1869" s="3" t="s">
        <v>225</v>
      </c>
      <c r="C1869" s="3" t="s">
        <v>275</v>
      </c>
    </row>
    <row r="1870">
      <c r="A1870" s="3" t="s">
        <v>216</v>
      </c>
      <c r="B1870" s="3" t="s">
        <v>219</v>
      </c>
      <c r="C1870" s="3" t="s">
        <v>268</v>
      </c>
    </row>
    <row r="1871">
      <c r="A1871" s="3" t="s">
        <v>216</v>
      </c>
      <c r="B1871" s="3" t="s">
        <v>238</v>
      </c>
      <c r="C1871" s="3" t="s">
        <v>242</v>
      </c>
    </row>
    <row r="1872">
      <c r="A1872" s="3" t="s">
        <v>216</v>
      </c>
      <c r="B1872" s="3" t="s">
        <v>238</v>
      </c>
      <c r="C1872" s="3" t="s">
        <v>145</v>
      </c>
    </row>
    <row r="1873">
      <c r="A1873" s="3" t="s">
        <v>216</v>
      </c>
      <c r="B1873" s="3" t="s">
        <v>223</v>
      </c>
      <c r="C1873" s="3" t="s">
        <v>279</v>
      </c>
    </row>
    <row r="1874">
      <c r="A1874" s="3" t="s">
        <v>216</v>
      </c>
      <c r="B1874" s="3" t="s">
        <v>225</v>
      </c>
      <c r="C1874" s="3" t="s">
        <v>226</v>
      </c>
    </row>
    <row r="1875">
      <c r="A1875" s="3" t="s">
        <v>216</v>
      </c>
      <c r="B1875" s="3" t="s">
        <v>225</v>
      </c>
      <c r="C1875" s="3" t="s">
        <v>275</v>
      </c>
    </row>
    <row r="1876">
      <c r="A1876" s="3" t="s">
        <v>216</v>
      </c>
      <c r="B1876" s="3" t="s">
        <v>230</v>
      </c>
      <c r="C1876" s="3" t="s">
        <v>259</v>
      </c>
    </row>
    <row r="1877">
      <c r="A1877" s="3" t="s">
        <v>216</v>
      </c>
      <c r="B1877" s="3" t="s">
        <v>217</v>
      </c>
      <c r="C1877" s="3" t="s">
        <v>264</v>
      </c>
    </row>
    <row r="1878">
      <c r="A1878" s="3" t="s">
        <v>216</v>
      </c>
      <c r="B1878" s="3" t="s">
        <v>217</v>
      </c>
      <c r="C1878" s="3" t="s">
        <v>264</v>
      </c>
    </row>
    <row r="1879">
      <c r="A1879" s="3" t="s">
        <v>216</v>
      </c>
      <c r="B1879" s="3" t="s">
        <v>217</v>
      </c>
      <c r="C1879" s="3" t="s">
        <v>265</v>
      </c>
    </row>
    <row r="1880">
      <c r="A1880" s="3" t="s">
        <v>216</v>
      </c>
      <c r="B1880" s="3" t="s">
        <v>225</v>
      </c>
      <c r="C1880" s="3" t="s">
        <v>228</v>
      </c>
    </row>
    <row r="1881">
      <c r="A1881" s="3" t="s">
        <v>216</v>
      </c>
      <c r="B1881" s="3" t="s">
        <v>225</v>
      </c>
      <c r="C1881" s="3" t="s">
        <v>158</v>
      </c>
    </row>
    <row r="1882">
      <c r="A1882" s="3" t="s">
        <v>216</v>
      </c>
      <c r="B1882" s="3" t="s">
        <v>219</v>
      </c>
      <c r="C1882" s="3" t="s">
        <v>271</v>
      </c>
    </row>
    <row r="1883">
      <c r="A1883" s="3" t="s">
        <v>216</v>
      </c>
      <c r="B1883" s="3" t="s">
        <v>230</v>
      </c>
      <c r="C1883" s="3" t="s">
        <v>260</v>
      </c>
    </row>
    <row r="1884">
      <c r="A1884" s="3" t="s">
        <v>216</v>
      </c>
      <c r="B1884" s="3" t="s">
        <v>238</v>
      </c>
      <c r="C1884" s="3" t="s">
        <v>240</v>
      </c>
    </row>
    <row r="1885">
      <c r="A1885" s="3" t="s">
        <v>216</v>
      </c>
      <c r="B1885" s="3" t="s">
        <v>219</v>
      </c>
      <c r="C1885" s="3" t="s">
        <v>220</v>
      </c>
    </row>
    <row r="1886">
      <c r="A1886" s="3" t="s">
        <v>216</v>
      </c>
      <c r="B1886" s="3" t="s">
        <v>217</v>
      </c>
      <c r="C1886" s="3" t="s">
        <v>232</v>
      </c>
    </row>
    <row r="1887">
      <c r="A1887" s="3" t="s">
        <v>216</v>
      </c>
      <c r="B1887" s="3" t="s">
        <v>217</v>
      </c>
      <c r="C1887" s="3" t="s">
        <v>229</v>
      </c>
    </row>
    <row r="1888">
      <c r="A1888" s="3" t="s">
        <v>216</v>
      </c>
      <c r="B1888" s="3" t="s">
        <v>223</v>
      </c>
      <c r="C1888" s="3" t="s">
        <v>224</v>
      </c>
    </row>
    <row r="1889">
      <c r="A1889" s="3" t="s">
        <v>216</v>
      </c>
      <c r="B1889" s="3" t="s">
        <v>223</v>
      </c>
      <c r="C1889" s="3" t="s">
        <v>224</v>
      </c>
    </row>
    <row r="1890">
      <c r="A1890" s="3" t="s">
        <v>216</v>
      </c>
      <c r="B1890" s="3" t="s">
        <v>221</v>
      </c>
      <c r="C1890" s="3" t="s">
        <v>250</v>
      </c>
    </row>
    <row r="1891">
      <c r="A1891" s="3" t="s">
        <v>216</v>
      </c>
      <c r="B1891" s="3" t="s">
        <v>223</v>
      </c>
      <c r="C1891" s="3" t="s">
        <v>227</v>
      </c>
    </row>
    <row r="1892">
      <c r="A1892" s="3" t="s">
        <v>216</v>
      </c>
      <c r="B1892" s="3" t="s">
        <v>225</v>
      </c>
      <c r="C1892" s="3" t="s">
        <v>228</v>
      </c>
    </row>
    <row r="1893">
      <c r="A1893" s="3" t="s">
        <v>216</v>
      </c>
      <c r="B1893" s="3" t="s">
        <v>238</v>
      </c>
      <c r="C1893" s="3" t="s">
        <v>242</v>
      </c>
    </row>
    <row r="1894">
      <c r="A1894" s="3" t="s">
        <v>216</v>
      </c>
      <c r="B1894" s="3" t="s">
        <v>217</v>
      </c>
      <c r="C1894" s="3" t="s">
        <v>265</v>
      </c>
    </row>
    <row r="1895">
      <c r="A1895" s="3" t="s">
        <v>216</v>
      </c>
      <c r="B1895" s="3" t="s">
        <v>251</v>
      </c>
      <c r="C1895" s="3" t="s">
        <v>269</v>
      </c>
    </row>
    <row r="1896">
      <c r="A1896" s="3" t="s">
        <v>216</v>
      </c>
      <c r="B1896" s="3" t="s">
        <v>219</v>
      </c>
      <c r="C1896" s="3" t="s">
        <v>255</v>
      </c>
    </row>
    <row r="1897">
      <c r="A1897" s="3" t="s">
        <v>216</v>
      </c>
      <c r="B1897" s="3" t="s">
        <v>223</v>
      </c>
      <c r="C1897" s="3" t="s">
        <v>227</v>
      </c>
    </row>
    <row r="1898">
      <c r="A1898" s="3" t="s">
        <v>216</v>
      </c>
      <c r="B1898" s="3" t="s">
        <v>238</v>
      </c>
      <c r="C1898" s="3" t="s">
        <v>245</v>
      </c>
    </row>
    <row r="1899">
      <c r="A1899" s="3" t="s">
        <v>216</v>
      </c>
      <c r="B1899" s="3" t="s">
        <v>230</v>
      </c>
      <c r="C1899" s="3" t="s">
        <v>260</v>
      </c>
    </row>
    <row r="1900">
      <c r="A1900" s="3" t="s">
        <v>216</v>
      </c>
      <c r="B1900" s="3" t="s">
        <v>217</v>
      </c>
      <c r="C1900" s="3" t="s">
        <v>266</v>
      </c>
    </row>
    <row r="1901">
      <c r="A1901" s="3" t="s">
        <v>216</v>
      </c>
      <c r="B1901" s="3" t="s">
        <v>225</v>
      </c>
      <c r="C1901" s="3" t="s">
        <v>158</v>
      </c>
    </row>
    <row r="1902">
      <c r="A1902" s="3" t="s">
        <v>216</v>
      </c>
      <c r="B1902" s="3" t="s">
        <v>225</v>
      </c>
      <c r="C1902" s="3" t="s">
        <v>275</v>
      </c>
    </row>
    <row r="1903">
      <c r="A1903" s="3" t="s">
        <v>216</v>
      </c>
      <c r="B1903" s="3" t="s">
        <v>225</v>
      </c>
      <c r="C1903" s="3" t="s">
        <v>256</v>
      </c>
    </row>
    <row r="1904">
      <c r="A1904" s="3" t="s">
        <v>216</v>
      </c>
      <c r="B1904" s="3" t="s">
        <v>225</v>
      </c>
      <c r="C1904" s="3" t="s">
        <v>270</v>
      </c>
    </row>
    <row r="1905">
      <c r="A1905" s="3" t="s">
        <v>216</v>
      </c>
      <c r="B1905" s="3" t="s">
        <v>225</v>
      </c>
      <c r="C1905" s="3" t="s">
        <v>226</v>
      </c>
    </row>
    <row r="1906">
      <c r="A1906" s="3" t="s">
        <v>216</v>
      </c>
      <c r="B1906" s="3" t="s">
        <v>225</v>
      </c>
      <c r="C1906" s="3" t="s">
        <v>228</v>
      </c>
    </row>
    <row r="1907">
      <c r="A1907" s="3" t="s">
        <v>216</v>
      </c>
      <c r="B1907" s="3" t="s">
        <v>225</v>
      </c>
      <c r="C1907" s="3" t="s">
        <v>277</v>
      </c>
    </row>
    <row r="1908">
      <c r="A1908" s="3" t="s">
        <v>216</v>
      </c>
      <c r="B1908" s="3" t="s">
        <v>223</v>
      </c>
      <c r="C1908" s="3" t="s">
        <v>227</v>
      </c>
    </row>
    <row r="1909">
      <c r="A1909" s="3" t="s">
        <v>216</v>
      </c>
      <c r="B1909" s="3" t="s">
        <v>221</v>
      </c>
      <c r="C1909" s="3" t="s">
        <v>247</v>
      </c>
    </row>
    <row r="1910">
      <c r="A1910" s="3" t="s">
        <v>216</v>
      </c>
      <c r="B1910" s="3" t="s">
        <v>225</v>
      </c>
      <c r="C1910" s="3" t="s">
        <v>158</v>
      </c>
    </row>
    <row r="1911">
      <c r="A1911" s="3" t="s">
        <v>216</v>
      </c>
      <c r="B1911" s="3" t="s">
        <v>219</v>
      </c>
      <c r="C1911" s="3" t="s">
        <v>268</v>
      </c>
    </row>
    <row r="1912">
      <c r="A1912" s="3" t="s">
        <v>216</v>
      </c>
      <c r="B1912" s="3" t="s">
        <v>225</v>
      </c>
      <c r="C1912" s="3" t="s">
        <v>256</v>
      </c>
    </row>
    <row r="1913">
      <c r="A1913" s="3" t="s">
        <v>216</v>
      </c>
      <c r="B1913" s="3" t="s">
        <v>223</v>
      </c>
      <c r="C1913" s="3" t="s">
        <v>46</v>
      </c>
    </row>
    <row r="1914">
      <c r="A1914" s="3" t="s">
        <v>216</v>
      </c>
      <c r="B1914" s="3" t="s">
        <v>234</v>
      </c>
      <c r="C1914" s="3" t="s">
        <v>235</v>
      </c>
    </row>
    <row r="1915">
      <c r="A1915" s="3" t="s">
        <v>216</v>
      </c>
      <c r="B1915" s="3" t="s">
        <v>223</v>
      </c>
      <c r="C1915" s="3" t="s">
        <v>227</v>
      </c>
    </row>
    <row r="1916">
      <c r="A1916" s="3" t="s">
        <v>216</v>
      </c>
      <c r="B1916" s="3" t="s">
        <v>223</v>
      </c>
      <c r="C1916" s="3" t="s">
        <v>279</v>
      </c>
    </row>
    <row r="1917">
      <c r="A1917" s="3" t="s">
        <v>216</v>
      </c>
      <c r="B1917" s="3" t="s">
        <v>225</v>
      </c>
      <c r="C1917" s="3" t="s">
        <v>256</v>
      </c>
    </row>
    <row r="1918">
      <c r="A1918" s="3" t="s">
        <v>216</v>
      </c>
      <c r="B1918" s="3" t="s">
        <v>230</v>
      </c>
      <c r="C1918" s="3" t="s">
        <v>259</v>
      </c>
    </row>
    <row r="1919">
      <c r="A1919" s="3" t="s">
        <v>216</v>
      </c>
      <c r="B1919" s="3" t="s">
        <v>219</v>
      </c>
      <c r="C1919" s="3" t="s">
        <v>220</v>
      </c>
    </row>
    <row r="1920">
      <c r="A1920" s="3" t="s">
        <v>216</v>
      </c>
      <c r="B1920" s="3" t="s">
        <v>217</v>
      </c>
      <c r="C1920" s="3" t="s">
        <v>264</v>
      </c>
    </row>
    <row r="1921">
      <c r="A1921" s="3" t="s">
        <v>216</v>
      </c>
      <c r="B1921" s="3" t="s">
        <v>221</v>
      </c>
      <c r="C1921" s="3" t="s">
        <v>222</v>
      </c>
    </row>
    <row r="1922">
      <c r="A1922" s="3" t="s">
        <v>216</v>
      </c>
      <c r="B1922" s="3" t="s">
        <v>238</v>
      </c>
      <c r="C1922" s="3" t="s">
        <v>239</v>
      </c>
    </row>
    <row r="1923">
      <c r="A1923" s="3" t="s">
        <v>216</v>
      </c>
      <c r="B1923" s="3" t="s">
        <v>238</v>
      </c>
      <c r="C1923" s="3" t="s">
        <v>240</v>
      </c>
    </row>
    <row r="1924">
      <c r="A1924" s="3" t="s">
        <v>216</v>
      </c>
      <c r="B1924" s="3" t="s">
        <v>238</v>
      </c>
      <c r="C1924" s="3" t="s">
        <v>241</v>
      </c>
    </row>
    <row r="1925">
      <c r="A1925" s="3" t="s">
        <v>216</v>
      </c>
      <c r="B1925" s="3" t="s">
        <v>238</v>
      </c>
      <c r="C1925" s="3" t="s">
        <v>242</v>
      </c>
    </row>
    <row r="1926">
      <c r="A1926" s="3" t="s">
        <v>216</v>
      </c>
      <c r="B1926" s="3" t="s">
        <v>238</v>
      </c>
      <c r="C1926" s="3" t="s">
        <v>243</v>
      </c>
    </row>
    <row r="1927">
      <c r="A1927" s="3" t="s">
        <v>216</v>
      </c>
      <c r="B1927" s="3" t="s">
        <v>238</v>
      </c>
      <c r="C1927" s="3" t="s">
        <v>244</v>
      </c>
    </row>
    <row r="1928">
      <c r="A1928" s="3" t="s">
        <v>216</v>
      </c>
      <c r="B1928" s="3" t="s">
        <v>238</v>
      </c>
      <c r="C1928" s="3" t="s">
        <v>145</v>
      </c>
    </row>
    <row r="1929">
      <c r="A1929" s="3" t="s">
        <v>216</v>
      </c>
      <c r="B1929" s="3" t="s">
        <v>238</v>
      </c>
      <c r="C1929" s="3" t="s">
        <v>62</v>
      </c>
    </row>
    <row r="1930">
      <c r="A1930" s="3" t="s">
        <v>216</v>
      </c>
      <c r="B1930" s="3" t="s">
        <v>238</v>
      </c>
      <c r="C1930" s="3" t="s">
        <v>245</v>
      </c>
    </row>
    <row r="1931">
      <c r="A1931" s="3" t="s">
        <v>216</v>
      </c>
      <c r="B1931" s="3" t="s">
        <v>221</v>
      </c>
      <c r="C1931" s="3" t="s">
        <v>246</v>
      </c>
    </row>
    <row r="1932">
      <c r="A1932" s="3" t="s">
        <v>216</v>
      </c>
      <c r="B1932" s="3" t="s">
        <v>221</v>
      </c>
      <c r="C1932" s="3" t="s">
        <v>247</v>
      </c>
    </row>
    <row r="1933">
      <c r="A1933" s="3" t="s">
        <v>216</v>
      </c>
      <c r="B1933" s="3" t="s">
        <v>221</v>
      </c>
      <c r="C1933" s="3" t="s">
        <v>248</v>
      </c>
    </row>
    <row r="1934">
      <c r="A1934" s="3" t="s">
        <v>216</v>
      </c>
      <c r="B1934" s="3" t="s">
        <v>221</v>
      </c>
      <c r="C1934" s="3" t="s">
        <v>237</v>
      </c>
    </row>
    <row r="1935">
      <c r="A1935" s="3" t="s">
        <v>216</v>
      </c>
      <c r="B1935" s="3" t="s">
        <v>221</v>
      </c>
      <c r="C1935" s="3" t="s">
        <v>249</v>
      </c>
    </row>
    <row r="1936">
      <c r="A1936" s="3" t="s">
        <v>216</v>
      </c>
      <c r="B1936" s="3" t="s">
        <v>221</v>
      </c>
      <c r="C1936" s="3" t="s">
        <v>250</v>
      </c>
    </row>
    <row r="1937">
      <c r="A1937" s="3" t="s">
        <v>216</v>
      </c>
      <c r="B1937" s="3" t="s">
        <v>221</v>
      </c>
      <c r="C1937" s="3" t="s">
        <v>222</v>
      </c>
    </row>
    <row r="1938">
      <c r="A1938" s="3" t="s">
        <v>216</v>
      </c>
      <c r="B1938" s="3" t="s">
        <v>223</v>
      </c>
      <c r="C1938" s="3" t="s">
        <v>227</v>
      </c>
    </row>
    <row r="1939">
      <c r="A1939" s="3" t="s">
        <v>216</v>
      </c>
      <c r="B1939" s="3" t="s">
        <v>219</v>
      </c>
      <c r="C1939" s="3" t="s">
        <v>268</v>
      </c>
    </row>
    <row r="1940">
      <c r="A1940" s="3" t="s">
        <v>216</v>
      </c>
      <c r="B1940" s="3" t="s">
        <v>230</v>
      </c>
      <c r="C1940" s="3" t="s">
        <v>280</v>
      </c>
    </row>
    <row r="1941">
      <c r="A1941" s="3" t="s">
        <v>216</v>
      </c>
      <c r="B1941" s="3" t="s">
        <v>225</v>
      </c>
      <c r="C1941" s="3" t="s">
        <v>270</v>
      </c>
    </row>
    <row r="1942">
      <c r="A1942" s="3" t="s">
        <v>216</v>
      </c>
      <c r="B1942" s="3" t="s">
        <v>225</v>
      </c>
      <c r="C1942" s="3" t="s">
        <v>270</v>
      </c>
    </row>
    <row r="1943">
      <c r="A1943" s="3" t="s">
        <v>216</v>
      </c>
      <c r="B1943" s="3" t="s">
        <v>225</v>
      </c>
      <c r="C1943" s="3" t="s">
        <v>270</v>
      </c>
    </row>
    <row r="1944">
      <c r="A1944" s="3" t="s">
        <v>216</v>
      </c>
      <c r="B1944" s="3" t="s">
        <v>230</v>
      </c>
      <c r="C1944" s="3" t="s">
        <v>260</v>
      </c>
    </row>
    <row r="1945">
      <c r="A1945" s="3" t="s">
        <v>216</v>
      </c>
      <c r="B1945" s="3" t="s">
        <v>230</v>
      </c>
      <c r="C1945" s="3" t="s">
        <v>280</v>
      </c>
    </row>
    <row r="1946">
      <c r="A1946" s="3" t="s">
        <v>216</v>
      </c>
      <c r="B1946" s="3" t="s">
        <v>223</v>
      </c>
      <c r="C1946" s="3" t="s">
        <v>273</v>
      </c>
    </row>
    <row r="1947">
      <c r="A1947" s="3" t="s">
        <v>216</v>
      </c>
      <c r="B1947" s="3" t="s">
        <v>219</v>
      </c>
      <c r="C1947" s="3" t="s">
        <v>261</v>
      </c>
    </row>
    <row r="1948">
      <c r="A1948" s="3" t="s">
        <v>216</v>
      </c>
      <c r="B1948" s="3" t="s">
        <v>223</v>
      </c>
      <c r="C1948" s="3" t="s">
        <v>227</v>
      </c>
    </row>
    <row r="1949">
      <c r="A1949" s="3" t="s">
        <v>216</v>
      </c>
      <c r="B1949" s="3" t="s">
        <v>219</v>
      </c>
      <c r="C1949" s="3" t="s">
        <v>258</v>
      </c>
    </row>
    <row r="1950">
      <c r="A1950" s="3" t="s">
        <v>216</v>
      </c>
      <c r="B1950" s="3" t="s">
        <v>238</v>
      </c>
      <c r="C1950" s="3" t="s">
        <v>145</v>
      </c>
    </row>
    <row r="1951">
      <c r="A1951" s="3" t="s">
        <v>216</v>
      </c>
      <c r="B1951" s="3" t="s">
        <v>230</v>
      </c>
      <c r="C1951" s="3" t="s">
        <v>260</v>
      </c>
    </row>
    <row r="1952">
      <c r="A1952" s="3" t="s">
        <v>216</v>
      </c>
      <c r="B1952" s="3" t="s">
        <v>223</v>
      </c>
      <c r="C1952" s="3" t="s">
        <v>276</v>
      </c>
    </row>
    <row r="1953">
      <c r="A1953" s="3" t="s">
        <v>216</v>
      </c>
      <c r="B1953" s="3" t="s">
        <v>251</v>
      </c>
      <c r="C1953" s="3" t="s">
        <v>257</v>
      </c>
    </row>
    <row r="1954">
      <c r="A1954" s="3" t="s">
        <v>216</v>
      </c>
      <c r="B1954" s="3" t="s">
        <v>219</v>
      </c>
      <c r="C1954" s="3" t="s">
        <v>268</v>
      </c>
    </row>
    <row r="1955">
      <c r="A1955" s="3" t="s">
        <v>216</v>
      </c>
      <c r="B1955" s="3" t="s">
        <v>251</v>
      </c>
      <c r="C1955" s="3" t="s">
        <v>257</v>
      </c>
    </row>
    <row r="1956">
      <c r="A1956" s="3" t="s">
        <v>216</v>
      </c>
      <c r="B1956" s="3" t="s">
        <v>251</v>
      </c>
      <c r="C1956" s="3" t="s">
        <v>257</v>
      </c>
    </row>
    <row r="1957">
      <c r="A1957" s="3" t="s">
        <v>216</v>
      </c>
      <c r="B1957" s="3" t="s">
        <v>223</v>
      </c>
      <c r="C1957" s="3" t="s">
        <v>279</v>
      </c>
    </row>
    <row r="1958">
      <c r="A1958" s="3" t="s">
        <v>216</v>
      </c>
      <c r="B1958" s="3" t="s">
        <v>223</v>
      </c>
      <c r="C1958" s="3" t="s">
        <v>279</v>
      </c>
    </row>
    <row r="1959">
      <c r="A1959" s="3" t="s">
        <v>216</v>
      </c>
      <c r="B1959" s="3" t="s">
        <v>230</v>
      </c>
      <c r="C1959" s="3" t="s">
        <v>280</v>
      </c>
    </row>
    <row r="1960">
      <c r="A1960" s="3" t="s">
        <v>216</v>
      </c>
      <c r="B1960" s="3" t="s">
        <v>223</v>
      </c>
      <c r="C1960" s="3" t="s">
        <v>46</v>
      </c>
    </row>
    <row r="1961">
      <c r="A1961" s="3" t="s">
        <v>216</v>
      </c>
      <c r="B1961" s="3" t="s">
        <v>234</v>
      </c>
      <c r="C1961" s="3" t="s">
        <v>235</v>
      </c>
    </row>
    <row r="1962">
      <c r="A1962" s="3" t="s">
        <v>216</v>
      </c>
      <c r="B1962" s="3" t="s">
        <v>223</v>
      </c>
      <c r="C1962" s="3" t="s">
        <v>227</v>
      </c>
    </row>
    <row r="1963">
      <c r="A1963" s="3" t="s">
        <v>216</v>
      </c>
      <c r="B1963" s="3" t="s">
        <v>225</v>
      </c>
      <c r="C1963" s="3" t="s">
        <v>158</v>
      </c>
    </row>
    <row r="1964">
      <c r="A1964" s="3" t="s">
        <v>216</v>
      </c>
      <c r="B1964" s="3" t="s">
        <v>238</v>
      </c>
      <c r="C1964" s="3" t="s">
        <v>244</v>
      </c>
    </row>
    <row r="1965">
      <c r="A1965" s="3" t="s">
        <v>216</v>
      </c>
      <c r="B1965" s="3" t="s">
        <v>238</v>
      </c>
      <c r="C1965" s="3" t="s">
        <v>245</v>
      </c>
    </row>
    <row r="1966">
      <c r="A1966" s="3" t="s">
        <v>216</v>
      </c>
      <c r="B1966" s="3" t="s">
        <v>238</v>
      </c>
      <c r="C1966" s="3" t="s">
        <v>245</v>
      </c>
    </row>
    <row r="1967">
      <c r="A1967" s="3" t="s">
        <v>216</v>
      </c>
      <c r="B1967" s="3" t="s">
        <v>238</v>
      </c>
      <c r="C1967" s="3" t="s">
        <v>242</v>
      </c>
    </row>
    <row r="1968">
      <c r="A1968" s="3" t="s">
        <v>216</v>
      </c>
      <c r="B1968" s="3" t="s">
        <v>238</v>
      </c>
      <c r="C1968" s="3" t="s">
        <v>243</v>
      </c>
    </row>
    <row r="1969">
      <c r="A1969" s="3" t="s">
        <v>216</v>
      </c>
      <c r="B1969" s="3" t="s">
        <v>225</v>
      </c>
      <c r="C1969" s="3" t="s">
        <v>158</v>
      </c>
    </row>
    <row r="1970">
      <c r="A1970" s="3" t="s">
        <v>216</v>
      </c>
      <c r="B1970" s="3" t="s">
        <v>219</v>
      </c>
      <c r="C1970" s="3" t="s">
        <v>220</v>
      </c>
    </row>
    <row r="1971">
      <c r="A1971" s="3" t="s">
        <v>216</v>
      </c>
      <c r="B1971" s="3" t="s">
        <v>221</v>
      </c>
      <c r="C1971" s="3" t="s">
        <v>248</v>
      </c>
    </row>
    <row r="1972">
      <c r="A1972" s="3" t="s">
        <v>216</v>
      </c>
      <c r="B1972" s="3" t="s">
        <v>221</v>
      </c>
      <c r="C1972" s="3" t="s">
        <v>246</v>
      </c>
    </row>
    <row r="1973">
      <c r="A1973" s="3" t="s">
        <v>216</v>
      </c>
      <c r="B1973" s="3" t="s">
        <v>219</v>
      </c>
      <c r="C1973" s="3" t="s">
        <v>220</v>
      </c>
    </row>
    <row r="1974">
      <c r="A1974" s="3" t="s">
        <v>216</v>
      </c>
      <c r="B1974" s="3" t="s">
        <v>238</v>
      </c>
      <c r="C1974" s="3" t="s">
        <v>245</v>
      </c>
    </row>
    <row r="1975">
      <c r="A1975" s="3" t="s">
        <v>216</v>
      </c>
      <c r="B1975" s="3" t="s">
        <v>217</v>
      </c>
      <c r="C1975" s="3" t="s">
        <v>272</v>
      </c>
    </row>
    <row r="1976">
      <c r="A1976" s="3" t="s">
        <v>216</v>
      </c>
      <c r="B1976" s="3" t="s">
        <v>225</v>
      </c>
      <c r="C1976" s="3" t="s">
        <v>228</v>
      </c>
    </row>
    <row r="1977">
      <c r="A1977" s="3" t="s">
        <v>216</v>
      </c>
      <c r="B1977" s="3" t="s">
        <v>219</v>
      </c>
      <c r="C1977" s="3" t="s">
        <v>236</v>
      </c>
    </row>
    <row r="1978">
      <c r="A1978" s="3" t="s">
        <v>216</v>
      </c>
      <c r="B1978" s="3" t="s">
        <v>234</v>
      </c>
      <c r="C1978" s="3" t="s">
        <v>235</v>
      </c>
    </row>
    <row r="1979">
      <c r="A1979" s="3" t="s">
        <v>216</v>
      </c>
      <c r="B1979" s="3" t="s">
        <v>219</v>
      </c>
      <c r="C1979" s="3" t="s">
        <v>268</v>
      </c>
    </row>
    <row r="1980">
      <c r="A1980" s="3" t="s">
        <v>216</v>
      </c>
      <c r="B1980" s="3" t="s">
        <v>219</v>
      </c>
      <c r="C1980" s="3" t="s">
        <v>258</v>
      </c>
    </row>
    <row r="1981">
      <c r="A1981" s="3" t="s">
        <v>216</v>
      </c>
      <c r="B1981" s="3" t="s">
        <v>219</v>
      </c>
      <c r="C1981" s="3" t="s">
        <v>220</v>
      </c>
    </row>
    <row r="1982">
      <c r="A1982" s="3" t="s">
        <v>216</v>
      </c>
      <c r="B1982" s="3" t="s">
        <v>219</v>
      </c>
      <c r="C1982" s="3" t="s">
        <v>271</v>
      </c>
    </row>
    <row r="1983">
      <c r="A1983" s="3" t="s">
        <v>216</v>
      </c>
      <c r="B1983" s="3" t="s">
        <v>219</v>
      </c>
      <c r="C1983" s="3" t="s">
        <v>262</v>
      </c>
    </row>
    <row r="1984">
      <c r="A1984" s="3" t="s">
        <v>216</v>
      </c>
      <c r="B1984" s="3" t="s">
        <v>219</v>
      </c>
      <c r="C1984" s="3" t="s">
        <v>261</v>
      </c>
    </row>
    <row r="1985">
      <c r="A1985" s="3" t="s">
        <v>216</v>
      </c>
      <c r="B1985" s="3" t="s">
        <v>219</v>
      </c>
      <c r="C1985" s="3" t="s">
        <v>255</v>
      </c>
    </row>
    <row r="1986">
      <c r="A1986" s="3" t="s">
        <v>216</v>
      </c>
      <c r="B1986" s="3" t="s">
        <v>238</v>
      </c>
      <c r="C1986" s="3" t="s">
        <v>62</v>
      </c>
    </row>
    <row r="1987">
      <c r="A1987" s="3" t="s">
        <v>216</v>
      </c>
      <c r="B1987" s="3" t="s">
        <v>219</v>
      </c>
      <c r="C1987" s="3" t="s">
        <v>271</v>
      </c>
    </row>
    <row r="1988">
      <c r="A1988" s="3" t="s">
        <v>216</v>
      </c>
      <c r="B1988" s="3" t="s">
        <v>223</v>
      </c>
      <c r="C1988" s="3" t="s">
        <v>233</v>
      </c>
    </row>
    <row r="1989">
      <c r="A1989" s="3" t="s">
        <v>216</v>
      </c>
      <c r="B1989" s="3" t="s">
        <v>230</v>
      </c>
      <c r="C1989" s="3" t="s">
        <v>260</v>
      </c>
    </row>
    <row r="1990">
      <c r="A1990" s="3" t="s">
        <v>216</v>
      </c>
      <c r="B1990" s="3" t="s">
        <v>230</v>
      </c>
      <c r="C1990" s="3" t="s">
        <v>260</v>
      </c>
    </row>
    <row r="1991">
      <c r="A1991" s="3" t="s">
        <v>216</v>
      </c>
      <c r="B1991" s="3" t="s">
        <v>230</v>
      </c>
      <c r="C1991" s="3" t="s">
        <v>260</v>
      </c>
    </row>
    <row r="1992">
      <c r="A1992" s="3" t="s">
        <v>216</v>
      </c>
      <c r="B1992" s="3" t="s">
        <v>230</v>
      </c>
      <c r="C1992" s="3" t="s">
        <v>260</v>
      </c>
    </row>
    <row r="1993">
      <c r="A1993" s="3" t="s">
        <v>216</v>
      </c>
      <c r="B1993" s="3" t="s">
        <v>230</v>
      </c>
      <c r="C1993" s="3" t="s">
        <v>259</v>
      </c>
    </row>
    <row r="1994">
      <c r="A1994" s="3" t="s">
        <v>216</v>
      </c>
      <c r="B1994" s="3" t="s">
        <v>230</v>
      </c>
      <c r="C1994" s="3" t="s">
        <v>259</v>
      </c>
    </row>
    <row r="1995">
      <c r="A1995" s="3" t="s">
        <v>216</v>
      </c>
      <c r="B1995" s="3" t="s">
        <v>230</v>
      </c>
      <c r="C1995" s="3" t="s">
        <v>259</v>
      </c>
    </row>
    <row r="1996">
      <c r="A1996" s="3" t="s">
        <v>216</v>
      </c>
      <c r="B1996" s="3" t="s">
        <v>230</v>
      </c>
      <c r="C1996" s="3" t="s">
        <v>280</v>
      </c>
    </row>
    <row r="1997">
      <c r="A1997" s="3" t="s">
        <v>216</v>
      </c>
      <c r="B1997" s="3" t="s">
        <v>230</v>
      </c>
      <c r="C1997" s="3" t="s">
        <v>274</v>
      </c>
    </row>
    <row r="1998">
      <c r="A1998" s="3" t="s">
        <v>216</v>
      </c>
      <c r="B1998" s="3" t="s">
        <v>230</v>
      </c>
      <c r="C1998" s="3" t="s">
        <v>274</v>
      </c>
    </row>
    <row r="1999">
      <c r="A1999" s="3" t="s">
        <v>216</v>
      </c>
      <c r="B1999" s="3" t="s">
        <v>230</v>
      </c>
      <c r="C1999" s="3" t="s">
        <v>274</v>
      </c>
    </row>
    <row r="2000">
      <c r="A2000" s="3" t="s">
        <v>216</v>
      </c>
      <c r="B2000" s="3" t="s">
        <v>230</v>
      </c>
      <c r="C2000" s="3" t="s">
        <v>253</v>
      </c>
    </row>
    <row r="2001">
      <c r="A2001" s="3" t="s">
        <v>216</v>
      </c>
      <c r="B2001" s="3" t="s">
        <v>230</v>
      </c>
      <c r="C2001" s="3" t="s">
        <v>231</v>
      </c>
    </row>
    <row r="2002">
      <c r="A2002" s="3" t="s">
        <v>216</v>
      </c>
      <c r="B2002" s="3" t="s">
        <v>230</v>
      </c>
      <c r="C2002" s="3" t="s">
        <v>231</v>
      </c>
    </row>
    <row r="2003">
      <c r="A2003" s="3" t="s">
        <v>216</v>
      </c>
      <c r="B2003" s="3" t="s">
        <v>230</v>
      </c>
      <c r="C2003" s="3" t="s">
        <v>231</v>
      </c>
    </row>
    <row r="2004">
      <c r="A2004" s="3" t="s">
        <v>216</v>
      </c>
      <c r="B2004" s="3" t="s">
        <v>219</v>
      </c>
      <c r="C2004" s="3" t="s">
        <v>261</v>
      </c>
    </row>
    <row r="2005">
      <c r="A2005" s="3" t="s">
        <v>216</v>
      </c>
      <c r="B2005" s="3" t="s">
        <v>223</v>
      </c>
      <c r="C2005" s="3" t="s">
        <v>227</v>
      </c>
    </row>
    <row r="2006">
      <c r="A2006" s="3" t="s">
        <v>216</v>
      </c>
      <c r="B2006" s="3" t="s">
        <v>223</v>
      </c>
      <c r="C2006" s="3" t="s">
        <v>227</v>
      </c>
    </row>
    <row r="2007">
      <c r="A2007" s="3" t="s">
        <v>216</v>
      </c>
      <c r="B2007" s="3" t="s">
        <v>223</v>
      </c>
      <c r="C2007" s="3" t="s">
        <v>227</v>
      </c>
    </row>
    <row r="2008">
      <c r="A2008" s="3" t="s">
        <v>216</v>
      </c>
      <c r="B2008" s="3" t="s">
        <v>223</v>
      </c>
      <c r="C2008" s="3" t="s">
        <v>276</v>
      </c>
    </row>
    <row r="2009">
      <c r="A2009" s="3" t="s">
        <v>216</v>
      </c>
      <c r="B2009" s="3" t="s">
        <v>223</v>
      </c>
      <c r="C2009" s="3" t="s">
        <v>279</v>
      </c>
    </row>
    <row r="2010">
      <c r="A2010" s="3" t="s">
        <v>216</v>
      </c>
      <c r="B2010" s="3" t="s">
        <v>223</v>
      </c>
      <c r="C2010" s="3" t="s">
        <v>279</v>
      </c>
    </row>
    <row r="2011">
      <c r="A2011" s="3" t="s">
        <v>216</v>
      </c>
      <c r="B2011" s="3" t="s">
        <v>223</v>
      </c>
      <c r="C2011" s="3" t="s">
        <v>279</v>
      </c>
    </row>
    <row r="2012">
      <c r="A2012" s="3" t="s">
        <v>216</v>
      </c>
      <c r="B2012" s="3" t="s">
        <v>223</v>
      </c>
      <c r="C2012" s="3" t="s">
        <v>224</v>
      </c>
    </row>
    <row r="2013">
      <c r="A2013" s="3" t="s">
        <v>216</v>
      </c>
      <c r="B2013" s="3" t="s">
        <v>223</v>
      </c>
      <c r="C2013" s="3" t="s">
        <v>273</v>
      </c>
    </row>
    <row r="2014">
      <c r="A2014" s="3" t="s">
        <v>216</v>
      </c>
      <c r="B2014" s="3" t="s">
        <v>223</v>
      </c>
      <c r="C2014" s="3" t="s">
        <v>273</v>
      </c>
    </row>
    <row r="2015">
      <c r="A2015" s="3" t="s">
        <v>216</v>
      </c>
      <c r="B2015" s="3" t="s">
        <v>223</v>
      </c>
      <c r="C2015" s="3" t="s">
        <v>273</v>
      </c>
    </row>
    <row r="2016">
      <c r="A2016" s="3" t="s">
        <v>216</v>
      </c>
      <c r="B2016" s="3" t="s">
        <v>223</v>
      </c>
      <c r="C2016" s="3" t="s">
        <v>46</v>
      </c>
    </row>
    <row r="2017">
      <c r="A2017" s="3" t="s">
        <v>216</v>
      </c>
      <c r="B2017" s="3" t="s">
        <v>223</v>
      </c>
      <c r="C2017" s="3" t="s">
        <v>46</v>
      </c>
    </row>
    <row r="2018">
      <c r="A2018" s="3" t="s">
        <v>216</v>
      </c>
      <c r="B2018" s="3" t="s">
        <v>251</v>
      </c>
      <c r="C2018" s="3" t="s">
        <v>263</v>
      </c>
    </row>
    <row r="2019">
      <c r="A2019" s="3" t="s">
        <v>216</v>
      </c>
      <c r="B2019" s="3" t="s">
        <v>251</v>
      </c>
      <c r="C2019" s="3" t="s">
        <v>263</v>
      </c>
    </row>
    <row r="2020">
      <c r="A2020" s="3" t="s">
        <v>216</v>
      </c>
      <c r="B2020" s="3" t="s">
        <v>251</v>
      </c>
      <c r="C2020" s="3" t="s">
        <v>263</v>
      </c>
    </row>
    <row r="2021">
      <c r="A2021" s="3" t="s">
        <v>216</v>
      </c>
      <c r="B2021" s="3" t="s">
        <v>251</v>
      </c>
      <c r="C2021" s="3" t="s">
        <v>263</v>
      </c>
    </row>
    <row r="2022">
      <c r="A2022" s="3" t="s">
        <v>216</v>
      </c>
      <c r="B2022" s="3" t="s">
        <v>251</v>
      </c>
      <c r="C2022" s="3" t="s">
        <v>252</v>
      </c>
    </row>
    <row r="2023">
      <c r="A2023" s="3" t="s">
        <v>216</v>
      </c>
      <c r="B2023" s="3" t="s">
        <v>251</v>
      </c>
      <c r="C2023" s="3" t="s">
        <v>252</v>
      </c>
    </row>
    <row r="2024">
      <c r="A2024" s="3" t="s">
        <v>216</v>
      </c>
      <c r="B2024" s="3" t="s">
        <v>251</v>
      </c>
      <c r="C2024" s="3" t="s">
        <v>252</v>
      </c>
    </row>
    <row r="2025">
      <c r="A2025" s="3" t="s">
        <v>216</v>
      </c>
      <c r="B2025" s="3" t="s">
        <v>251</v>
      </c>
      <c r="C2025" s="3" t="s">
        <v>252</v>
      </c>
    </row>
    <row r="2026">
      <c r="A2026" s="3" t="s">
        <v>216</v>
      </c>
      <c r="B2026" s="3" t="s">
        <v>251</v>
      </c>
      <c r="C2026" s="3" t="s">
        <v>252</v>
      </c>
    </row>
    <row r="2027">
      <c r="A2027" s="3" t="s">
        <v>216</v>
      </c>
      <c r="B2027" s="3" t="s">
        <v>251</v>
      </c>
      <c r="C2027" s="3" t="s">
        <v>267</v>
      </c>
    </row>
    <row r="2028">
      <c r="A2028" s="3" t="s">
        <v>216</v>
      </c>
      <c r="B2028" s="3" t="s">
        <v>251</v>
      </c>
      <c r="C2028" s="3" t="s">
        <v>267</v>
      </c>
    </row>
    <row r="2029">
      <c r="A2029" s="3" t="s">
        <v>216</v>
      </c>
      <c r="B2029" s="3" t="s">
        <v>251</v>
      </c>
      <c r="C2029" s="3" t="s">
        <v>257</v>
      </c>
    </row>
    <row r="2030">
      <c r="A2030" s="3" t="s">
        <v>216</v>
      </c>
      <c r="B2030" s="3" t="s">
        <v>251</v>
      </c>
      <c r="C2030" s="3" t="s">
        <v>257</v>
      </c>
    </row>
    <row r="2031">
      <c r="A2031" s="3" t="s">
        <v>216</v>
      </c>
      <c r="B2031" s="3" t="s">
        <v>251</v>
      </c>
      <c r="C2031" s="3" t="s">
        <v>257</v>
      </c>
    </row>
    <row r="2032">
      <c r="A2032" s="3" t="s">
        <v>216</v>
      </c>
      <c r="B2032" s="3" t="s">
        <v>251</v>
      </c>
      <c r="C2032" s="3" t="s">
        <v>269</v>
      </c>
    </row>
    <row r="2033">
      <c r="A2033" s="3" t="s">
        <v>216</v>
      </c>
      <c r="B2033" s="3" t="s">
        <v>251</v>
      </c>
      <c r="C2033" s="3" t="s">
        <v>254</v>
      </c>
    </row>
    <row r="2034">
      <c r="A2034" s="3" t="s">
        <v>216</v>
      </c>
      <c r="B2034" s="3" t="s">
        <v>251</v>
      </c>
      <c r="C2034" s="3" t="s">
        <v>267</v>
      </c>
    </row>
    <row r="2035">
      <c r="A2035" s="3" t="s">
        <v>216</v>
      </c>
      <c r="B2035" s="3" t="s">
        <v>251</v>
      </c>
      <c r="C2035" s="3" t="s">
        <v>252</v>
      </c>
    </row>
    <row r="2036">
      <c r="A2036" s="3" t="s">
        <v>216</v>
      </c>
      <c r="B2036" s="3" t="s">
        <v>225</v>
      </c>
      <c r="C2036" s="3" t="s">
        <v>228</v>
      </c>
    </row>
    <row r="2037">
      <c r="A2037" s="3" t="s">
        <v>216</v>
      </c>
      <c r="B2037" s="3" t="s">
        <v>219</v>
      </c>
      <c r="C2037" s="3" t="s">
        <v>271</v>
      </c>
    </row>
    <row r="2038">
      <c r="A2038" s="3" t="s">
        <v>216</v>
      </c>
      <c r="B2038" s="3" t="s">
        <v>238</v>
      </c>
      <c r="C2038" s="3" t="s">
        <v>244</v>
      </c>
    </row>
    <row r="2039">
      <c r="A2039" s="3" t="s">
        <v>216</v>
      </c>
      <c r="B2039" s="3" t="s">
        <v>225</v>
      </c>
      <c r="C2039" s="3" t="s">
        <v>158</v>
      </c>
    </row>
    <row r="2040">
      <c r="A2040" s="3" t="s">
        <v>216</v>
      </c>
      <c r="B2040" s="3" t="s">
        <v>238</v>
      </c>
      <c r="C2040" s="3" t="s">
        <v>239</v>
      </c>
    </row>
    <row r="2041">
      <c r="A2041" s="3" t="s">
        <v>216</v>
      </c>
      <c r="B2041" s="3" t="s">
        <v>251</v>
      </c>
      <c r="C2041" s="3" t="s">
        <v>257</v>
      </c>
    </row>
    <row r="2042">
      <c r="A2042" s="3" t="s">
        <v>216</v>
      </c>
      <c r="B2042" s="3" t="s">
        <v>219</v>
      </c>
      <c r="C2042" s="3" t="s">
        <v>271</v>
      </c>
    </row>
    <row r="2043">
      <c r="A2043" s="3" t="s">
        <v>216</v>
      </c>
      <c r="B2043" s="3" t="s">
        <v>219</v>
      </c>
      <c r="C2043" s="3" t="s">
        <v>262</v>
      </c>
    </row>
    <row r="2044">
      <c r="A2044" s="3" t="s">
        <v>216</v>
      </c>
      <c r="B2044" s="3" t="s">
        <v>238</v>
      </c>
      <c r="C2044" s="3" t="s">
        <v>243</v>
      </c>
    </row>
    <row r="2045">
      <c r="A2045" s="3" t="s">
        <v>216</v>
      </c>
      <c r="B2045" s="3" t="s">
        <v>217</v>
      </c>
      <c r="C2045" s="3" t="s">
        <v>232</v>
      </c>
    </row>
    <row r="2046">
      <c r="A2046" s="3" t="s">
        <v>216</v>
      </c>
      <c r="B2046" s="3" t="s">
        <v>225</v>
      </c>
      <c r="C2046" s="3" t="s">
        <v>226</v>
      </c>
    </row>
    <row r="2047">
      <c r="A2047" s="3" t="s">
        <v>216</v>
      </c>
      <c r="B2047" s="3" t="s">
        <v>238</v>
      </c>
      <c r="C2047" s="3" t="s">
        <v>145</v>
      </c>
    </row>
    <row r="2048">
      <c r="A2048" s="3" t="s">
        <v>216</v>
      </c>
      <c r="B2048" s="3" t="s">
        <v>221</v>
      </c>
      <c r="C2048" s="3" t="s">
        <v>250</v>
      </c>
    </row>
    <row r="2049">
      <c r="A2049" s="3" t="s">
        <v>216</v>
      </c>
      <c r="B2049" s="3" t="s">
        <v>238</v>
      </c>
      <c r="C2049" s="3" t="s">
        <v>244</v>
      </c>
    </row>
    <row r="2050">
      <c r="A2050" s="3" t="s">
        <v>216</v>
      </c>
      <c r="B2050" s="3" t="s">
        <v>238</v>
      </c>
      <c r="C2050" s="3" t="s">
        <v>244</v>
      </c>
    </row>
    <row r="2051">
      <c r="A2051" s="3" t="s">
        <v>216</v>
      </c>
      <c r="B2051" s="3" t="s">
        <v>238</v>
      </c>
      <c r="C2051" s="3" t="s">
        <v>145</v>
      </c>
    </row>
    <row r="2052">
      <c r="A2052" s="3" t="s">
        <v>216</v>
      </c>
      <c r="B2052" s="3" t="s">
        <v>225</v>
      </c>
      <c r="C2052" s="3" t="s">
        <v>228</v>
      </c>
    </row>
    <row r="2053">
      <c r="A2053" s="3" t="s">
        <v>216</v>
      </c>
      <c r="B2053" s="3" t="s">
        <v>251</v>
      </c>
      <c r="C2053" s="3" t="s">
        <v>263</v>
      </c>
    </row>
    <row r="2054">
      <c r="A2054" s="3" t="s">
        <v>216</v>
      </c>
      <c r="B2054" s="3" t="s">
        <v>225</v>
      </c>
      <c r="C2054" s="3" t="s">
        <v>270</v>
      </c>
    </row>
    <row r="2055">
      <c r="A2055" s="3" t="s">
        <v>216</v>
      </c>
      <c r="B2055" s="3" t="s">
        <v>221</v>
      </c>
      <c r="C2055" s="3" t="s">
        <v>248</v>
      </c>
    </row>
    <row r="2056">
      <c r="A2056" s="3" t="s">
        <v>216</v>
      </c>
      <c r="B2056" s="3" t="s">
        <v>225</v>
      </c>
      <c r="C2056" s="3" t="s">
        <v>158</v>
      </c>
    </row>
    <row r="2057">
      <c r="A2057" s="3" t="s">
        <v>216</v>
      </c>
      <c r="B2057" s="3" t="s">
        <v>217</v>
      </c>
      <c r="C2057" s="3" t="s">
        <v>264</v>
      </c>
    </row>
    <row r="2058">
      <c r="A2058" s="3" t="s">
        <v>216</v>
      </c>
      <c r="B2058" s="3" t="s">
        <v>225</v>
      </c>
      <c r="C2058" s="3" t="s">
        <v>256</v>
      </c>
    </row>
    <row r="2059">
      <c r="A2059" s="3" t="s">
        <v>216</v>
      </c>
      <c r="B2059" s="3" t="s">
        <v>251</v>
      </c>
      <c r="C2059" s="3" t="s">
        <v>252</v>
      </c>
    </row>
    <row r="2060">
      <c r="A2060" s="3" t="s">
        <v>216</v>
      </c>
      <c r="B2060" s="3" t="s">
        <v>251</v>
      </c>
      <c r="C2060" s="3" t="s">
        <v>263</v>
      </c>
    </row>
    <row r="2061">
      <c r="A2061" s="3" t="s">
        <v>216</v>
      </c>
      <c r="B2061" s="3" t="s">
        <v>223</v>
      </c>
      <c r="C2061" s="3" t="s">
        <v>273</v>
      </c>
    </row>
    <row r="2062">
      <c r="A2062" s="3" t="s">
        <v>216</v>
      </c>
      <c r="B2062" s="3" t="s">
        <v>221</v>
      </c>
      <c r="C2062" s="3" t="s">
        <v>250</v>
      </c>
    </row>
    <row r="2063">
      <c r="A2063" s="3" t="s">
        <v>216</v>
      </c>
      <c r="B2063" s="3" t="s">
        <v>221</v>
      </c>
      <c r="C2063" s="3" t="s">
        <v>247</v>
      </c>
    </row>
    <row r="2064">
      <c r="A2064" s="3" t="s">
        <v>216</v>
      </c>
      <c r="B2064" s="3" t="s">
        <v>238</v>
      </c>
      <c r="C2064" s="3" t="s">
        <v>145</v>
      </c>
    </row>
    <row r="2065">
      <c r="A2065" s="3" t="s">
        <v>216</v>
      </c>
      <c r="B2065" s="3" t="s">
        <v>221</v>
      </c>
      <c r="C2065" s="3" t="s">
        <v>247</v>
      </c>
    </row>
    <row r="2066">
      <c r="A2066" s="3" t="s">
        <v>216</v>
      </c>
      <c r="B2066" s="3" t="s">
        <v>221</v>
      </c>
      <c r="C2066" s="3" t="s">
        <v>222</v>
      </c>
    </row>
    <row r="2067">
      <c r="A2067" s="3" t="s">
        <v>216</v>
      </c>
      <c r="B2067" s="3" t="s">
        <v>219</v>
      </c>
      <c r="C2067" s="3" t="s">
        <v>258</v>
      </c>
    </row>
    <row r="2068">
      <c r="A2068" s="3" t="s">
        <v>216</v>
      </c>
      <c r="B2068" s="3" t="s">
        <v>238</v>
      </c>
      <c r="C2068" s="3" t="s">
        <v>245</v>
      </c>
    </row>
    <row r="2069">
      <c r="A2069" s="3" t="s">
        <v>216</v>
      </c>
      <c r="B2069" s="3" t="s">
        <v>225</v>
      </c>
      <c r="C2069" s="3" t="s">
        <v>226</v>
      </c>
    </row>
    <row r="2070">
      <c r="A2070" s="3" t="s">
        <v>216</v>
      </c>
      <c r="B2070" s="3" t="s">
        <v>238</v>
      </c>
      <c r="C2070" s="3" t="s">
        <v>62</v>
      </c>
    </row>
    <row r="2071">
      <c r="A2071" s="3" t="s">
        <v>216</v>
      </c>
      <c r="B2071" s="3" t="s">
        <v>238</v>
      </c>
      <c r="C2071" s="3" t="s">
        <v>145</v>
      </c>
    </row>
    <row r="2072">
      <c r="A2072" s="3" t="s">
        <v>216</v>
      </c>
      <c r="B2072" s="3" t="s">
        <v>219</v>
      </c>
      <c r="C2072" s="3" t="s">
        <v>258</v>
      </c>
    </row>
    <row r="2073">
      <c r="A2073" s="3" t="s">
        <v>216</v>
      </c>
      <c r="B2073" s="3" t="s">
        <v>217</v>
      </c>
      <c r="C2073" s="3" t="s">
        <v>265</v>
      </c>
    </row>
    <row r="2074">
      <c r="A2074" s="3" t="s">
        <v>216</v>
      </c>
      <c r="B2074" s="3" t="s">
        <v>217</v>
      </c>
      <c r="C2074" s="3" t="s">
        <v>264</v>
      </c>
    </row>
    <row r="2075">
      <c r="A2075" s="3" t="s">
        <v>216</v>
      </c>
      <c r="B2075" s="3" t="s">
        <v>223</v>
      </c>
      <c r="C2075" s="3" t="s">
        <v>227</v>
      </c>
    </row>
    <row r="2076">
      <c r="A2076" s="3" t="s">
        <v>216</v>
      </c>
      <c r="B2076" s="3" t="s">
        <v>225</v>
      </c>
      <c r="C2076" s="3" t="s">
        <v>158</v>
      </c>
    </row>
    <row r="2077">
      <c r="A2077" s="3" t="s">
        <v>216</v>
      </c>
      <c r="B2077" s="3" t="s">
        <v>225</v>
      </c>
      <c r="C2077" s="3" t="s">
        <v>256</v>
      </c>
    </row>
    <row r="2078">
      <c r="A2078" s="3" t="s">
        <v>216</v>
      </c>
      <c r="B2078" s="3" t="s">
        <v>234</v>
      </c>
      <c r="C2078" s="3" t="s">
        <v>235</v>
      </c>
    </row>
    <row r="2079">
      <c r="A2079" s="3" t="s">
        <v>216</v>
      </c>
      <c r="B2079" s="3" t="s">
        <v>217</v>
      </c>
      <c r="C2079" s="3" t="s">
        <v>265</v>
      </c>
    </row>
    <row r="2080">
      <c r="A2080" s="3" t="s">
        <v>216</v>
      </c>
      <c r="B2080" s="3" t="s">
        <v>219</v>
      </c>
      <c r="C2080" s="3" t="s">
        <v>258</v>
      </c>
    </row>
    <row r="2081">
      <c r="A2081" s="3" t="s">
        <v>216</v>
      </c>
      <c r="B2081" s="3" t="s">
        <v>238</v>
      </c>
      <c r="C2081" s="3" t="s">
        <v>245</v>
      </c>
    </row>
    <row r="2082">
      <c r="A2082" s="3" t="s">
        <v>216</v>
      </c>
      <c r="B2082" s="3" t="s">
        <v>238</v>
      </c>
      <c r="C2082" s="3" t="s">
        <v>245</v>
      </c>
    </row>
    <row r="2083">
      <c r="A2083" s="3" t="s">
        <v>216</v>
      </c>
      <c r="B2083" s="3" t="s">
        <v>238</v>
      </c>
      <c r="C2083" s="3" t="s">
        <v>242</v>
      </c>
    </row>
    <row r="2084">
      <c r="A2084" s="3" t="s">
        <v>216</v>
      </c>
      <c r="B2084" s="3" t="s">
        <v>238</v>
      </c>
      <c r="C2084" s="3" t="s">
        <v>245</v>
      </c>
    </row>
    <row r="2085">
      <c r="A2085" s="3" t="s">
        <v>216</v>
      </c>
      <c r="B2085" s="3" t="s">
        <v>223</v>
      </c>
      <c r="C2085" s="3" t="s">
        <v>276</v>
      </c>
    </row>
    <row r="2086">
      <c r="A2086" s="3" t="s">
        <v>216</v>
      </c>
      <c r="B2086" s="3" t="s">
        <v>225</v>
      </c>
      <c r="C2086" s="3" t="s">
        <v>270</v>
      </c>
    </row>
    <row r="2087">
      <c r="A2087" s="3" t="s">
        <v>216</v>
      </c>
      <c r="B2087" s="3" t="s">
        <v>238</v>
      </c>
      <c r="C2087" s="3" t="s">
        <v>145</v>
      </c>
    </row>
    <row r="2088">
      <c r="A2088" s="3" t="s">
        <v>216</v>
      </c>
      <c r="B2088" s="3" t="s">
        <v>223</v>
      </c>
      <c r="C2088" s="3" t="s">
        <v>227</v>
      </c>
    </row>
    <row r="2089">
      <c r="A2089" s="3" t="s">
        <v>216</v>
      </c>
      <c r="B2089" s="3" t="s">
        <v>217</v>
      </c>
      <c r="C2089" s="3" t="s">
        <v>232</v>
      </c>
    </row>
    <row r="2090">
      <c r="A2090" s="3" t="s">
        <v>216</v>
      </c>
      <c r="B2090" s="3" t="s">
        <v>225</v>
      </c>
      <c r="C2090" s="3" t="s">
        <v>256</v>
      </c>
    </row>
    <row r="2091">
      <c r="A2091" s="3" t="s">
        <v>216</v>
      </c>
      <c r="B2091" s="3" t="s">
        <v>225</v>
      </c>
      <c r="C2091" s="3" t="s">
        <v>158</v>
      </c>
    </row>
    <row r="2092">
      <c r="A2092" s="3" t="s">
        <v>216</v>
      </c>
      <c r="B2092" s="3" t="s">
        <v>217</v>
      </c>
      <c r="C2092" s="3" t="s">
        <v>264</v>
      </c>
    </row>
    <row r="2093">
      <c r="A2093" s="3" t="s">
        <v>216</v>
      </c>
      <c r="B2093" s="3" t="s">
        <v>217</v>
      </c>
      <c r="C2093" s="3" t="s">
        <v>272</v>
      </c>
    </row>
    <row r="2094">
      <c r="A2094" s="3" t="s">
        <v>216</v>
      </c>
      <c r="B2094" s="3" t="s">
        <v>217</v>
      </c>
      <c r="C2094" s="3" t="s">
        <v>264</v>
      </c>
    </row>
    <row r="2095">
      <c r="A2095" s="3" t="s">
        <v>216</v>
      </c>
      <c r="B2095" s="3" t="s">
        <v>225</v>
      </c>
      <c r="C2095" s="3" t="s">
        <v>228</v>
      </c>
    </row>
    <row r="2096">
      <c r="A2096" s="3" t="s">
        <v>216</v>
      </c>
      <c r="B2096" s="3" t="s">
        <v>238</v>
      </c>
      <c r="C2096" s="3" t="s">
        <v>242</v>
      </c>
    </row>
    <row r="2097">
      <c r="A2097" s="3" t="s">
        <v>216</v>
      </c>
      <c r="B2097" s="3" t="s">
        <v>217</v>
      </c>
      <c r="C2097" s="3" t="s">
        <v>265</v>
      </c>
    </row>
    <row r="2098">
      <c r="A2098" s="3" t="s">
        <v>216</v>
      </c>
      <c r="B2098" s="3" t="s">
        <v>221</v>
      </c>
      <c r="C2098" s="3" t="s">
        <v>246</v>
      </c>
    </row>
    <row r="2099">
      <c r="A2099" s="3" t="s">
        <v>216</v>
      </c>
      <c r="B2099" s="3" t="s">
        <v>225</v>
      </c>
      <c r="C2099" s="3" t="s">
        <v>158</v>
      </c>
    </row>
    <row r="2100">
      <c r="A2100" s="3" t="s">
        <v>216</v>
      </c>
      <c r="B2100" s="3" t="s">
        <v>225</v>
      </c>
      <c r="C2100" s="3" t="s">
        <v>158</v>
      </c>
    </row>
    <row r="2101">
      <c r="A2101" s="3" t="s">
        <v>216</v>
      </c>
      <c r="B2101" s="3" t="s">
        <v>217</v>
      </c>
      <c r="C2101" s="3" t="s">
        <v>265</v>
      </c>
    </row>
    <row r="2102">
      <c r="A2102" s="3" t="s">
        <v>216</v>
      </c>
      <c r="B2102" s="3" t="s">
        <v>223</v>
      </c>
      <c r="C2102" s="3" t="s">
        <v>279</v>
      </c>
    </row>
    <row r="2103">
      <c r="A2103" s="3" t="s">
        <v>216</v>
      </c>
      <c r="B2103" s="3" t="s">
        <v>225</v>
      </c>
      <c r="C2103" s="3" t="s">
        <v>158</v>
      </c>
    </row>
    <row r="2104">
      <c r="A2104" s="3" t="s">
        <v>216</v>
      </c>
      <c r="B2104" s="3" t="s">
        <v>225</v>
      </c>
      <c r="C2104" s="3" t="s">
        <v>158</v>
      </c>
    </row>
    <row r="2105">
      <c r="A2105" s="3" t="s">
        <v>216</v>
      </c>
      <c r="B2105" s="3" t="s">
        <v>219</v>
      </c>
      <c r="C2105" s="3" t="s">
        <v>258</v>
      </c>
    </row>
    <row r="2106">
      <c r="A2106" s="3" t="s">
        <v>216</v>
      </c>
      <c r="B2106" s="3" t="s">
        <v>217</v>
      </c>
      <c r="C2106" s="3" t="s">
        <v>265</v>
      </c>
    </row>
    <row r="2107">
      <c r="A2107" s="3" t="s">
        <v>216</v>
      </c>
      <c r="B2107" s="3" t="s">
        <v>221</v>
      </c>
      <c r="C2107" s="3" t="s">
        <v>237</v>
      </c>
    </row>
    <row r="2108">
      <c r="A2108" s="3" t="s">
        <v>216</v>
      </c>
      <c r="B2108" s="3" t="s">
        <v>238</v>
      </c>
      <c r="C2108" s="3" t="s">
        <v>239</v>
      </c>
    </row>
    <row r="2109">
      <c r="A2109" s="3" t="s">
        <v>216</v>
      </c>
      <c r="B2109" s="3" t="s">
        <v>238</v>
      </c>
      <c r="C2109" s="3" t="s">
        <v>240</v>
      </c>
    </row>
    <row r="2110">
      <c r="A2110" s="3" t="s">
        <v>216</v>
      </c>
      <c r="B2110" s="3" t="s">
        <v>238</v>
      </c>
      <c r="C2110" s="3" t="s">
        <v>241</v>
      </c>
    </row>
    <row r="2111">
      <c r="A2111" s="3" t="s">
        <v>216</v>
      </c>
      <c r="B2111" s="3" t="s">
        <v>238</v>
      </c>
      <c r="C2111" s="3" t="s">
        <v>242</v>
      </c>
    </row>
    <row r="2112">
      <c r="A2112" s="3" t="s">
        <v>216</v>
      </c>
      <c r="B2112" s="3" t="s">
        <v>238</v>
      </c>
      <c r="C2112" s="3" t="s">
        <v>243</v>
      </c>
    </row>
    <row r="2113">
      <c r="A2113" s="3" t="s">
        <v>216</v>
      </c>
      <c r="B2113" s="3" t="s">
        <v>238</v>
      </c>
      <c r="C2113" s="3" t="s">
        <v>244</v>
      </c>
    </row>
    <row r="2114">
      <c r="A2114" s="3" t="s">
        <v>216</v>
      </c>
      <c r="B2114" s="3" t="s">
        <v>238</v>
      </c>
      <c r="C2114" s="3" t="s">
        <v>145</v>
      </c>
    </row>
    <row r="2115">
      <c r="A2115" s="3" t="s">
        <v>216</v>
      </c>
      <c r="B2115" s="3" t="s">
        <v>238</v>
      </c>
      <c r="C2115" s="3" t="s">
        <v>62</v>
      </c>
    </row>
    <row r="2116">
      <c r="A2116" s="3" t="s">
        <v>216</v>
      </c>
      <c r="B2116" s="3" t="s">
        <v>238</v>
      </c>
      <c r="C2116" s="3" t="s">
        <v>245</v>
      </c>
    </row>
    <row r="2117">
      <c r="A2117" s="3" t="s">
        <v>216</v>
      </c>
      <c r="B2117" s="3" t="s">
        <v>221</v>
      </c>
      <c r="C2117" s="3" t="s">
        <v>222</v>
      </c>
    </row>
    <row r="2118">
      <c r="A2118" s="3" t="s">
        <v>216</v>
      </c>
      <c r="B2118" s="3" t="s">
        <v>221</v>
      </c>
      <c r="C2118" s="3" t="s">
        <v>222</v>
      </c>
    </row>
    <row r="2119">
      <c r="A2119" s="3" t="s">
        <v>216</v>
      </c>
      <c r="B2119" s="3" t="s">
        <v>251</v>
      </c>
      <c r="C2119" s="3" t="s">
        <v>263</v>
      </c>
    </row>
    <row r="2120">
      <c r="A2120" s="3" t="s">
        <v>216</v>
      </c>
      <c r="B2120" s="3" t="s">
        <v>225</v>
      </c>
      <c r="C2120" s="3" t="s">
        <v>270</v>
      </c>
    </row>
    <row r="2121">
      <c r="A2121" s="3" t="s">
        <v>216</v>
      </c>
      <c r="B2121" s="3" t="s">
        <v>230</v>
      </c>
      <c r="C2121" s="3" t="s">
        <v>259</v>
      </c>
    </row>
    <row r="2122">
      <c r="A2122" s="3" t="s">
        <v>216</v>
      </c>
      <c r="B2122" s="3" t="s">
        <v>217</v>
      </c>
      <c r="C2122" s="3" t="s">
        <v>232</v>
      </c>
    </row>
    <row r="2123">
      <c r="A2123" s="3" t="s">
        <v>216</v>
      </c>
      <c r="B2123" s="3" t="s">
        <v>238</v>
      </c>
      <c r="C2123" s="3" t="s">
        <v>243</v>
      </c>
    </row>
    <row r="2124">
      <c r="A2124" s="3" t="s">
        <v>216</v>
      </c>
      <c r="B2124" s="3" t="s">
        <v>223</v>
      </c>
      <c r="C2124" s="3" t="s">
        <v>273</v>
      </c>
    </row>
    <row r="2125">
      <c r="A2125" s="3" t="s">
        <v>216</v>
      </c>
      <c r="B2125" s="3" t="s">
        <v>217</v>
      </c>
      <c r="C2125" s="3" t="s">
        <v>265</v>
      </c>
    </row>
    <row r="2126">
      <c r="A2126" s="3" t="s">
        <v>216</v>
      </c>
      <c r="B2126" s="3" t="s">
        <v>238</v>
      </c>
      <c r="C2126" s="3" t="s">
        <v>245</v>
      </c>
    </row>
    <row r="2127">
      <c r="A2127" s="3" t="s">
        <v>216</v>
      </c>
      <c r="B2127" s="3" t="s">
        <v>223</v>
      </c>
      <c r="C2127" s="3" t="s">
        <v>233</v>
      </c>
    </row>
    <row r="2128">
      <c r="A2128" s="3" t="s">
        <v>216</v>
      </c>
      <c r="B2128" s="3" t="s">
        <v>230</v>
      </c>
      <c r="C2128" s="3" t="s">
        <v>260</v>
      </c>
    </row>
    <row r="2129">
      <c r="A2129" s="3" t="s">
        <v>216</v>
      </c>
      <c r="B2129" s="3" t="s">
        <v>230</v>
      </c>
      <c r="C2129" s="3" t="s">
        <v>260</v>
      </c>
    </row>
    <row r="2130">
      <c r="A2130" s="3" t="s">
        <v>216</v>
      </c>
      <c r="B2130" s="3" t="s">
        <v>230</v>
      </c>
      <c r="C2130" s="3" t="s">
        <v>260</v>
      </c>
    </row>
    <row r="2131">
      <c r="A2131" s="3" t="s">
        <v>216</v>
      </c>
      <c r="B2131" s="3" t="s">
        <v>230</v>
      </c>
      <c r="C2131" s="3" t="s">
        <v>260</v>
      </c>
    </row>
    <row r="2132">
      <c r="A2132" s="3" t="s">
        <v>216</v>
      </c>
      <c r="B2132" s="3" t="s">
        <v>230</v>
      </c>
      <c r="C2132" s="3" t="s">
        <v>259</v>
      </c>
    </row>
    <row r="2133">
      <c r="A2133" s="3" t="s">
        <v>216</v>
      </c>
      <c r="B2133" s="3" t="s">
        <v>230</v>
      </c>
      <c r="C2133" s="3" t="s">
        <v>259</v>
      </c>
    </row>
    <row r="2134">
      <c r="A2134" s="3" t="s">
        <v>216</v>
      </c>
      <c r="B2134" s="3" t="s">
        <v>230</v>
      </c>
      <c r="C2134" s="3" t="s">
        <v>259</v>
      </c>
    </row>
    <row r="2135">
      <c r="A2135" s="3" t="s">
        <v>216</v>
      </c>
      <c r="B2135" s="3" t="s">
        <v>230</v>
      </c>
      <c r="C2135" s="3" t="s">
        <v>280</v>
      </c>
    </row>
    <row r="2136">
      <c r="A2136" s="3" t="s">
        <v>216</v>
      </c>
      <c r="B2136" s="3" t="s">
        <v>230</v>
      </c>
      <c r="C2136" s="3" t="s">
        <v>274</v>
      </c>
    </row>
    <row r="2137">
      <c r="A2137" s="3" t="s">
        <v>216</v>
      </c>
      <c r="B2137" s="3" t="s">
        <v>230</v>
      </c>
      <c r="C2137" s="3" t="s">
        <v>274</v>
      </c>
    </row>
    <row r="2138">
      <c r="A2138" s="3" t="s">
        <v>216</v>
      </c>
      <c r="B2138" s="3" t="s">
        <v>230</v>
      </c>
      <c r="C2138" s="3" t="s">
        <v>274</v>
      </c>
    </row>
    <row r="2139">
      <c r="A2139" s="3" t="s">
        <v>216</v>
      </c>
      <c r="B2139" s="3" t="s">
        <v>230</v>
      </c>
      <c r="C2139" s="3" t="s">
        <v>253</v>
      </c>
    </row>
    <row r="2140">
      <c r="A2140" s="3" t="s">
        <v>216</v>
      </c>
      <c r="B2140" s="3" t="s">
        <v>230</v>
      </c>
      <c r="C2140" s="3" t="s">
        <v>231</v>
      </c>
    </row>
    <row r="2141">
      <c r="A2141" s="3" t="s">
        <v>216</v>
      </c>
      <c r="B2141" s="3" t="s">
        <v>230</v>
      </c>
      <c r="C2141" s="3" t="s">
        <v>231</v>
      </c>
    </row>
    <row r="2142">
      <c r="A2142" s="3" t="s">
        <v>216</v>
      </c>
      <c r="B2142" s="3" t="s">
        <v>230</v>
      </c>
      <c r="C2142" s="3" t="s">
        <v>231</v>
      </c>
    </row>
    <row r="2143">
      <c r="A2143" s="3" t="s">
        <v>216</v>
      </c>
      <c r="B2143" s="3" t="s">
        <v>219</v>
      </c>
      <c r="C2143" s="3" t="s">
        <v>268</v>
      </c>
    </row>
    <row r="2144">
      <c r="A2144" s="3" t="s">
        <v>216</v>
      </c>
      <c r="B2144" s="3" t="s">
        <v>219</v>
      </c>
      <c r="C2144" s="3" t="s">
        <v>261</v>
      </c>
    </row>
    <row r="2145">
      <c r="A2145" s="3" t="s">
        <v>216</v>
      </c>
      <c r="B2145" s="3" t="s">
        <v>223</v>
      </c>
      <c r="C2145" s="3" t="s">
        <v>227</v>
      </c>
    </row>
    <row r="2146">
      <c r="A2146" s="3" t="s">
        <v>216</v>
      </c>
      <c r="B2146" s="3" t="s">
        <v>223</v>
      </c>
      <c r="C2146" s="3" t="s">
        <v>227</v>
      </c>
    </row>
    <row r="2147">
      <c r="A2147" s="3" t="s">
        <v>216</v>
      </c>
      <c r="B2147" s="3" t="s">
        <v>223</v>
      </c>
      <c r="C2147" s="3" t="s">
        <v>227</v>
      </c>
    </row>
    <row r="2148">
      <c r="A2148" s="3" t="s">
        <v>216</v>
      </c>
      <c r="B2148" s="3" t="s">
        <v>223</v>
      </c>
      <c r="C2148" s="3" t="s">
        <v>276</v>
      </c>
    </row>
    <row r="2149">
      <c r="A2149" s="3" t="s">
        <v>216</v>
      </c>
      <c r="B2149" s="3" t="s">
        <v>223</v>
      </c>
      <c r="C2149" s="3" t="s">
        <v>279</v>
      </c>
    </row>
    <row r="2150">
      <c r="A2150" s="3" t="s">
        <v>216</v>
      </c>
      <c r="B2150" s="3" t="s">
        <v>223</v>
      </c>
      <c r="C2150" s="3" t="s">
        <v>279</v>
      </c>
    </row>
    <row r="2151">
      <c r="A2151" s="3" t="s">
        <v>216</v>
      </c>
      <c r="B2151" s="3" t="s">
        <v>223</v>
      </c>
      <c r="C2151" s="3" t="s">
        <v>279</v>
      </c>
    </row>
    <row r="2152">
      <c r="A2152" s="3" t="s">
        <v>216</v>
      </c>
      <c r="B2152" s="3" t="s">
        <v>223</v>
      </c>
      <c r="C2152" s="3" t="s">
        <v>224</v>
      </c>
    </row>
    <row r="2153">
      <c r="A2153" s="3" t="s">
        <v>216</v>
      </c>
      <c r="B2153" s="3" t="s">
        <v>223</v>
      </c>
      <c r="C2153" s="3" t="s">
        <v>273</v>
      </c>
    </row>
    <row r="2154">
      <c r="A2154" s="3" t="s">
        <v>216</v>
      </c>
      <c r="B2154" s="3" t="s">
        <v>223</v>
      </c>
      <c r="C2154" s="3" t="s">
        <v>273</v>
      </c>
    </row>
    <row r="2155">
      <c r="A2155" s="3" t="s">
        <v>216</v>
      </c>
      <c r="B2155" s="3" t="s">
        <v>223</v>
      </c>
      <c r="C2155" s="3" t="s">
        <v>273</v>
      </c>
    </row>
    <row r="2156">
      <c r="A2156" s="3" t="s">
        <v>216</v>
      </c>
      <c r="B2156" s="3" t="s">
        <v>223</v>
      </c>
      <c r="C2156" s="3" t="s">
        <v>46</v>
      </c>
    </row>
    <row r="2157">
      <c r="A2157" s="3" t="s">
        <v>216</v>
      </c>
      <c r="B2157" s="3" t="s">
        <v>223</v>
      </c>
      <c r="C2157" s="3" t="s">
        <v>46</v>
      </c>
    </row>
    <row r="2158">
      <c r="A2158" s="3" t="s">
        <v>216</v>
      </c>
      <c r="B2158" s="3" t="s">
        <v>251</v>
      </c>
      <c r="C2158" s="3" t="s">
        <v>263</v>
      </c>
    </row>
    <row r="2159">
      <c r="A2159" s="3" t="s">
        <v>216</v>
      </c>
      <c r="B2159" s="3" t="s">
        <v>251</v>
      </c>
      <c r="C2159" s="3" t="s">
        <v>263</v>
      </c>
    </row>
    <row r="2160">
      <c r="A2160" s="3" t="s">
        <v>216</v>
      </c>
      <c r="B2160" s="3" t="s">
        <v>251</v>
      </c>
      <c r="C2160" s="3" t="s">
        <v>263</v>
      </c>
    </row>
    <row r="2161">
      <c r="A2161" s="3" t="s">
        <v>216</v>
      </c>
      <c r="B2161" s="3" t="s">
        <v>251</v>
      </c>
      <c r="C2161" s="3" t="s">
        <v>263</v>
      </c>
    </row>
    <row r="2162">
      <c r="A2162" s="3" t="s">
        <v>216</v>
      </c>
      <c r="B2162" s="3" t="s">
        <v>251</v>
      </c>
      <c r="C2162" s="3" t="s">
        <v>252</v>
      </c>
    </row>
    <row r="2163">
      <c r="A2163" s="3" t="s">
        <v>216</v>
      </c>
      <c r="B2163" s="3" t="s">
        <v>251</v>
      </c>
      <c r="C2163" s="3" t="s">
        <v>252</v>
      </c>
    </row>
    <row r="2164">
      <c r="A2164" s="3" t="s">
        <v>216</v>
      </c>
      <c r="B2164" s="3" t="s">
        <v>251</v>
      </c>
      <c r="C2164" s="3" t="s">
        <v>252</v>
      </c>
    </row>
    <row r="2165">
      <c r="A2165" s="3" t="s">
        <v>216</v>
      </c>
      <c r="B2165" s="3" t="s">
        <v>251</v>
      </c>
      <c r="C2165" s="3" t="s">
        <v>252</v>
      </c>
    </row>
    <row r="2166">
      <c r="A2166" s="3" t="s">
        <v>216</v>
      </c>
      <c r="B2166" s="3" t="s">
        <v>251</v>
      </c>
      <c r="C2166" s="3" t="s">
        <v>252</v>
      </c>
    </row>
    <row r="2167">
      <c r="A2167" s="3" t="s">
        <v>216</v>
      </c>
      <c r="B2167" s="3" t="s">
        <v>251</v>
      </c>
      <c r="C2167" s="3" t="s">
        <v>267</v>
      </c>
    </row>
    <row r="2168">
      <c r="A2168" s="3" t="s">
        <v>216</v>
      </c>
      <c r="B2168" s="3" t="s">
        <v>251</v>
      </c>
      <c r="C2168" s="3" t="s">
        <v>267</v>
      </c>
    </row>
    <row r="2169">
      <c r="A2169" s="3" t="s">
        <v>216</v>
      </c>
      <c r="B2169" s="3" t="s">
        <v>251</v>
      </c>
      <c r="C2169" s="3" t="s">
        <v>257</v>
      </c>
    </row>
    <row r="2170">
      <c r="A2170" s="3" t="s">
        <v>216</v>
      </c>
      <c r="B2170" s="3" t="s">
        <v>251</v>
      </c>
      <c r="C2170" s="3" t="s">
        <v>257</v>
      </c>
    </row>
    <row r="2171">
      <c r="A2171" s="3" t="s">
        <v>216</v>
      </c>
      <c r="B2171" s="3" t="s">
        <v>251</v>
      </c>
      <c r="C2171" s="3" t="s">
        <v>257</v>
      </c>
    </row>
    <row r="2172">
      <c r="A2172" s="3" t="s">
        <v>216</v>
      </c>
      <c r="B2172" s="3" t="s">
        <v>251</v>
      </c>
      <c r="C2172" s="3" t="s">
        <v>269</v>
      </c>
    </row>
    <row r="2173">
      <c r="A2173" s="3" t="s">
        <v>216</v>
      </c>
      <c r="B2173" s="3" t="s">
        <v>251</v>
      </c>
      <c r="C2173" s="3" t="s">
        <v>254</v>
      </c>
    </row>
    <row r="2174">
      <c r="A2174" s="3" t="s">
        <v>216</v>
      </c>
      <c r="B2174" s="3" t="s">
        <v>217</v>
      </c>
      <c r="C2174" s="3" t="s">
        <v>264</v>
      </c>
    </row>
    <row r="2175">
      <c r="A2175" s="3" t="s">
        <v>216</v>
      </c>
      <c r="B2175" s="3" t="s">
        <v>225</v>
      </c>
      <c r="C2175" s="3" t="s">
        <v>270</v>
      </c>
    </row>
    <row r="2176">
      <c r="A2176" s="3" t="s">
        <v>216</v>
      </c>
      <c r="B2176" s="3" t="s">
        <v>219</v>
      </c>
      <c r="C2176" s="3" t="s">
        <v>258</v>
      </c>
    </row>
    <row r="2177">
      <c r="A2177" s="3" t="s">
        <v>216</v>
      </c>
      <c r="B2177" s="3" t="s">
        <v>225</v>
      </c>
      <c r="C2177" s="3" t="s">
        <v>158</v>
      </c>
    </row>
    <row r="2178">
      <c r="A2178" s="3" t="s">
        <v>216</v>
      </c>
      <c r="B2178" s="3" t="s">
        <v>251</v>
      </c>
      <c r="C2178" s="3" t="s">
        <v>257</v>
      </c>
    </row>
    <row r="2179">
      <c r="A2179" s="3" t="s">
        <v>216</v>
      </c>
      <c r="B2179" s="3" t="s">
        <v>223</v>
      </c>
      <c r="C2179" s="3" t="s">
        <v>227</v>
      </c>
    </row>
    <row r="2180">
      <c r="A2180" s="3" t="s">
        <v>216</v>
      </c>
      <c r="B2180" s="3" t="s">
        <v>217</v>
      </c>
      <c r="C2180" s="3" t="s">
        <v>232</v>
      </c>
    </row>
    <row r="2181">
      <c r="A2181" s="3" t="s">
        <v>216</v>
      </c>
      <c r="B2181" s="3" t="s">
        <v>217</v>
      </c>
      <c r="C2181" s="3" t="s">
        <v>265</v>
      </c>
    </row>
    <row r="2182">
      <c r="A2182" s="3" t="s">
        <v>216</v>
      </c>
      <c r="B2182" s="3" t="s">
        <v>251</v>
      </c>
      <c r="C2182" s="3" t="s">
        <v>254</v>
      </c>
    </row>
    <row r="2183">
      <c r="A2183" s="3" t="s">
        <v>216</v>
      </c>
      <c r="B2183" s="3" t="s">
        <v>225</v>
      </c>
      <c r="C2183" s="3" t="s">
        <v>158</v>
      </c>
    </row>
    <row r="2184">
      <c r="A2184" s="3" t="s">
        <v>216</v>
      </c>
      <c r="B2184" s="3" t="s">
        <v>225</v>
      </c>
      <c r="C2184" s="3" t="s">
        <v>158</v>
      </c>
    </row>
    <row r="2185">
      <c r="A2185" s="3" t="s">
        <v>216</v>
      </c>
      <c r="B2185" s="3" t="s">
        <v>238</v>
      </c>
      <c r="C2185" s="3" t="s">
        <v>243</v>
      </c>
    </row>
    <row r="2186">
      <c r="A2186" s="3" t="s">
        <v>216</v>
      </c>
      <c r="B2186" s="3" t="s">
        <v>225</v>
      </c>
      <c r="C2186" s="3" t="s">
        <v>275</v>
      </c>
    </row>
    <row r="2187">
      <c r="A2187" s="3" t="s">
        <v>216</v>
      </c>
      <c r="B2187" s="3" t="s">
        <v>238</v>
      </c>
      <c r="C2187" s="3" t="s">
        <v>243</v>
      </c>
    </row>
    <row r="2188">
      <c r="A2188" s="3" t="s">
        <v>216</v>
      </c>
      <c r="B2188" s="3" t="s">
        <v>219</v>
      </c>
      <c r="C2188" s="3" t="s">
        <v>261</v>
      </c>
    </row>
    <row r="2189">
      <c r="A2189" s="3" t="s">
        <v>216</v>
      </c>
      <c r="B2189" s="3" t="s">
        <v>238</v>
      </c>
      <c r="C2189" s="3" t="s">
        <v>245</v>
      </c>
    </row>
    <row r="2190">
      <c r="A2190" s="3" t="s">
        <v>216</v>
      </c>
      <c r="B2190" s="3" t="s">
        <v>238</v>
      </c>
      <c r="C2190" s="3" t="s">
        <v>239</v>
      </c>
    </row>
    <row r="2191">
      <c r="A2191" s="3" t="s">
        <v>216</v>
      </c>
      <c r="B2191" s="3" t="s">
        <v>223</v>
      </c>
      <c r="C2191" s="3" t="s">
        <v>227</v>
      </c>
    </row>
    <row r="2192">
      <c r="A2192" s="3" t="s">
        <v>216</v>
      </c>
      <c r="B2192" s="3" t="s">
        <v>225</v>
      </c>
      <c r="C2192" s="3" t="s">
        <v>228</v>
      </c>
    </row>
    <row r="2193">
      <c r="A2193" s="3" t="s">
        <v>216</v>
      </c>
      <c r="B2193" s="3" t="s">
        <v>217</v>
      </c>
      <c r="C2193" s="3" t="s">
        <v>272</v>
      </c>
    </row>
    <row r="2194">
      <c r="A2194" s="3" t="s">
        <v>216</v>
      </c>
      <c r="B2194" s="3" t="s">
        <v>238</v>
      </c>
      <c r="C2194" s="3" t="s">
        <v>245</v>
      </c>
    </row>
    <row r="2195">
      <c r="A2195" s="3" t="s">
        <v>216</v>
      </c>
      <c r="B2195" s="3" t="s">
        <v>238</v>
      </c>
      <c r="C2195" s="3" t="s">
        <v>245</v>
      </c>
    </row>
    <row r="2196">
      <c r="A2196" s="3" t="s">
        <v>216</v>
      </c>
      <c r="B2196" s="3" t="s">
        <v>234</v>
      </c>
      <c r="C2196" s="3" t="s">
        <v>235</v>
      </c>
    </row>
    <row r="2197">
      <c r="A2197" s="3" t="s">
        <v>216</v>
      </c>
      <c r="B2197" s="3" t="s">
        <v>219</v>
      </c>
      <c r="C2197" s="3" t="s">
        <v>258</v>
      </c>
    </row>
    <row r="2198">
      <c r="A2198" s="3" t="s">
        <v>216</v>
      </c>
      <c r="B2198" s="3" t="s">
        <v>225</v>
      </c>
      <c r="C2198" s="3" t="s">
        <v>270</v>
      </c>
    </row>
    <row r="2199">
      <c r="A2199" s="3" t="s">
        <v>216</v>
      </c>
      <c r="B2199" s="3" t="s">
        <v>217</v>
      </c>
      <c r="C2199" s="3" t="s">
        <v>266</v>
      </c>
    </row>
    <row r="2200">
      <c r="A2200" s="3" t="s">
        <v>216</v>
      </c>
      <c r="B2200" s="3" t="s">
        <v>217</v>
      </c>
      <c r="C2200" s="3" t="s">
        <v>272</v>
      </c>
    </row>
    <row r="2201">
      <c r="A2201" s="3" t="s">
        <v>216</v>
      </c>
      <c r="B2201" s="3" t="s">
        <v>225</v>
      </c>
      <c r="C2201" s="3" t="s">
        <v>228</v>
      </c>
    </row>
    <row r="2202">
      <c r="A2202" s="3" t="s">
        <v>216</v>
      </c>
      <c r="B2202" s="3" t="s">
        <v>238</v>
      </c>
      <c r="C2202" s="3" t="s">
        <v>241</v>
      </c>
    </row>
    <row r="2203">
      <c r="A2203" s="3" t="s">
        <v>216</v>
      </c>
      <c r="B2203" s="3" t="s">
        <v>238</v>
      </c>
      <c r="C2203" s="3" t="s">
        <v>145</v>
      </c>
    </row>
    <row r="2204">
      <c r="A2204" s="3" t="s">
        <v>216</v>
      </c>
      <c r="B2204" s="3" t="s">
        <v>217</v>
      </c>
      <c r="C2204" s="3" t="s">
        <v>265</v>
      </c>
    </row>
    <row r="2205">
      <c r="A2205" s="3" t="s">
        <v>216</v>
      </c>
      <c r="B2205" s="3" t="s">
        <v>221</v>
      </c>
      <c r="C2205" s="3" t="s">
        <v>248</v>
      </c>
    </row>
    <row r="2206">
      <c r="A2206" s="3" t="s">
        <v>216</v>
      </c>
      <c r="B2206" s="3" t="s">
        <v>221</v>
      </c>
      <c r="C2206" s="3" t="s">
        <v>248</v>
      </c>
    </row>
    <row r="2207">
      <c r="A2207" s="3" t="s">
        <v>216</v>
      </c>
      <c r="B2207" s="3" t="s">
        <v>225</v>
      </c>
      <c r="C2207" s="3" t="s">
        <v>228</v>
      </c>
    </row>
    <row r="2208">
      <c r="A2208" s="3" t="s">
        <v>216</v>
      </c>
      <c r="B2208" s="3" t="s">
        <v>221</v>
      </c>
      <c r="C2208" s="3" t="s">
        <v>247</v>
      </c>
    </row>
    <row r="2209">
      <c r="A2209" s="3" t="s">
        <v>216</v>
      </c>
      <c r="B2209" s="3" t="s">
        <v>251</v>
      </c>
      <c r="C2209" s="3" t="s">
        <v>252</v>
      </c>
    </row>
    <row r="2210">
      <c r="A2210" s="3" t="s">
        <v>216</v>
      </c>
      <c r="B2210" s="3" t="s">
        <v>221</v>
      </c>
      <c r="C2210" s="3" t="s">
        <v>246</v>
      </c>
    </row>
    <row r="2211">
      <c r="A2211" s="3" t="s">
        <v>216</v>
      </c>
      <c r="B2211" s="3" t="s">
        <v>221</v>
      </c>
      <c r="C2211" s="3" t="s">
        <v>246</v>
      </c>
    </row>
    <row r="2212">
      <c r="A2212" s="3" t="s">
        <v>216</v>
      </c>
      <c r="B2212" s="3" t="s">
        <v>221</v>
      </c>
      <c r="C2212" s="3" t="s">
        <v>248</v>
      </c>
    </row>
    <row r="2213">
      <c r="A2213" s="3" t="s">
        <v>216</v>
      </c>
      <c r="B2213" s="3" t="s">
        <v>217</v>
      </c>
      <c r="C2213" s="3" t="s">
        <v>265</v>
      </c>
    </row>
    <row r="2214">
      <c r="A2214" s="3" t="s">
        <v>216</v>
      </c>
      <c r="B2214" s="3" t="s">
        <v>238</v>
      </c>
      <c r="C2214" s="3" t="s">
        <v>244</v>
      </c>
    </row>
    <row r="2215">
      <c r="A2215" s="3" t="s">
        <v>216</v>
      </c>
      <c r="B2215" s="3" t="s">
        <v>238</v>
      </c>
      <c r="C2215" s="3" t="s">
        <v>245</v>
      </c>
    </row>
    <row r="2216">
      <c r="A2216" s="3" t="s">
        <v>216</v>
      </c>
      <c r="B2216" s="3" t="s">
        <v>221</v>
      </c>
      <c r="C2216" s="3" t="s">
        <v>246</v>
      </c>
    </row>
    <row r="2217">
      <c r="A2217" s="3" t="s">
        <v>216</v>
      </c>
      <c r="B2217" s="3" t="s">
        <v>219</v>
      </c>
      <c r="C2217" s="3" t="s">
        <v>262</v>
      </c>
    </row>
    <row r="2218">
      <c r="A2218" s="3" t="s">
        <v>216</v>
      </c>
      <c r="B2218" s="3" t="s">
        <v>238</v>
      </c>
      <c r="C2218" s="3" t="s">
        <v>242</v>
      </c>
    </row>
    <row r="2219">
      <c r="A2219" s="3" t="s">
        <v>216</v>
      </c>
      <c r="B2219" s="3" t="s">
        <v>238</v>
      </c>
      <c r="C2219" s="3" t="s">
        <v>240</v>
      </c>
    </row>
    <row r="2220">
      <c r="A2220" s="3" t="s">
        <v>216</v>
      </c>
      <c r="B2220" s="3" t="s">
        <v>238</v>
      </c>
      <c r="C2220" s="3" t="s">
        <v>243</v>
      </c>
    </row>
    <row r="2221">
      <c r="A2221" s="3" t="s">
        <v>216</v>
      </c>
      <c r="B2221" s="3" t="s">
        <v>221</v>
      </c>
      <c r="C2221" s="3" t="s">
        <v>246</v>
      </c>
    </row>
    <row r="2222">
      <c r="A2222" s="3" t="s">
        <v>216</v>
      </c>
      <c r="B2222" s="3" t="s">
        <v>217</v>
      </c>
      <c r="C2222" s="3" t="s">
        <v>232</v>
      </c>
    </row>
    <row r="2223">
      <c r="A2223" s="3" t="s">
        <v>216</v>
      </c>
      <c r="B2223" s="3" t="s">
        <v>225</v>
      </c>
      <c r="C2223" s="3" t="s">
        <v>256</v>
      </c>
    </row>
    <row r="2224">
      <c r="A2224" s="3" t="s">
        <v>216</v>
      </c>
      <c r="B2224" s="3" t="s">
        <v>217</v>
      </c>
      <c r="C2224" s="3" t="s">
        <v>229</v>
      </c>
    </row>
    <row r="2225">
      <c r="A2225" s="3" t="s">
        <v>216</v>
      </c>
      <c r="B2225" s="3" t="s">
        <v>217</v>
      </c>
      <c r="C2225" s="3" t="s">
        <v>264</v>
      </c>
    </row>
    <row r="2226">
      <c r="A2226" s="3" t="s">
        <v>216</v>
      </c>
      <c r="B2226" s="3" t="s">
        <v>217</v>
      </c>
      <c r="C2226" s="3" t="s">
        <v>265</v>
      </c>
    </row>
    <row r="2227">
      <c r="A2227" s="3" t="s">
        <v>216</v>
      </c>
      <c r="B2227" s="3" t="s">
        <v>217</v>
      </c>
      <c r="C2227" s="3" t="s">
        <v>232</v>
      </c>
    </row>
    <row r="2228">
      <c r="A2228" s="3" t="s">
        <v>216</v>
      </c>
      <c r="B2228" s="3" t="s">
        <v>217</v>
      </c>
      <c r="C2228" s="3" t="s">
        <v>272</v>
      </c>
    </row>
    <row r="2229">
      <c r="A2229" s="3" t="s">
        <v>216</v>
      </c>
      <c r="B2229" s="3" t="s">
        <v>217</v>
      </c>
      <c r="C2229" s="3" t="s">
        <v>218</v>
      </c>
    </row>
    <row r="2230">
      <c r="A2230" s="3" t="s">
        <v>216</v>
      </c>
      <c r="B2230" s="3" t="s">
        <v>217</v>
      </c>
      <c r="C2230" s="3" t="s">
        <v>266</v>
      </c>
    </row>
    <row r="2231">
      <c r="A2231" s="3" t="s">
        <v>216</v>
      </c>
      <c r="B2231" s="3" t="s">
        <v>219</v>
      </c>
      <c r="C2231" s="3" t="s">
        <v>220</v>
      </c>
    </row>
    <row r="2232">
      <c r="A2232" s="3" t="s">
        <v>216</v>
      </c>
      <c r="B2232" s="3" t="s">
        <v>238</v>
      </c>
      <c r="C2232" s="3" t="s">
        <v>245</v>
      </c>
    </row>
    <row r="2233">
      <c r="A2233" s="3" t="s">
        <v>216</v>
      </c>
      <c r="B2233" s="3" t="s">
        <v>217</v>
      </c>
      <c r="C2233" s="3" t="s">
        <v>264</v>
      </c>
    </row>
    <row r="2234">
      <c r="A2234" s="3" t="s">
        <v>216</v>
      </c>
      <c r="B2234" s="3" t="s">
        <v>238</v>
      </c>
      <c r="C2234" s="3" t="s">
        <v>242</v>
      </c>
    </row>
    <row r="2235">
      <c r="A2235" s="3" t="s">
        <v>216</v>
      </c>
      <c r="B2235" s="3" t="s">
        <v>225</v>
      </c>
      <c r="C2235" s="3" t="s">
        <v>226</v>
      </c>
    </row>
    <row r="2236">
      <c r="A2236" s="3" t="s">
        <v>216</v>
      </c>
      <c r="B2236" s="3" t="s">
        <v>221</v>
      </c>
      <c r="C2236" s="3" t="s">
        <v>246</v>
      </c>
    </row>
    <row r="2237">
      <c r="A2237" s="3" t="s">
        <v>216</v>
      </c>
      <c r="B2237" s="3" t="s">
        <v>225</v>
      </c>
      <c r="C2237" s="3" t="s">
        <v>256</v>
      </c>
    </row>
    <row r="2238">
      <c r="A2238" s="3" t="s">
        <v>216</v>
      </c>
      <c r="B2238" s="3" t="s">
        <v>217</v>
      </c>
      <c r="C2238" s="3" t="s">
        <v>264</v>
      </c>
    </row>
    <row r="2239">
      <c r="A2239" s="3" t="s">
        <v>216</v>
      </c>
      <c r="B2239" s="3" t="s">
        <v>251</v>
      </c>
      <c r="C2239" s="3" t="s">
        <v>263</v>
      </c>
    </row>
    <row r="2240">
      <c r="A2240" s="3" t="s">
        <v>216</v>
      </c>
      <c r="B2240" s="3" t="s">
        <v>219</v>
      </c>
      <c r="C2240" s="3" t="s">
        <v>262</v>
      </c>
    </row>
    <row r="2241">
      <c r="A2241" s="3" t="s">
        <v>216</v>
      </c>
      <c r="B2241" s="3" t="s">
        <v>225</v>
      </c>
      <c r="C2241" s="3" t="s">
        <v>228</v>
      </c>
    </row>
    <row r="2242">
      <c r="A2242" s="3" t="s">
        <v>216</v>
      </c>
      <c r="B2242" s="3" t="s">
        <v>223</v>
      </c>
      <c r="C2242" s="3" t="s">
        <v>227</v>
      </c>
    </row>
    <row r="2243">
      <c r="A2243" s="3" t="s">
        <v>216</v>
      </c>
      <c r="B2243" s="3" t="s">
        <v>219</v>
      </c>
      <c r="C2243" s="3" t="s">
        <v>258</v>
      </c>
    </row>
    <row r="2244">
      <c r="A2244" s="3" t="s">
        <v>216</v>
      </c>
      <c r="B2244" s="3" t="s">
        <v>251</v>
      </c>
      <c r="C2244" s="3" t="s">
        <v>252</v>
      </c>
    </row>
    <row r="2245">
      <c r="A2245" s="3" t="s">
        <v>216</v>
      </c>
      <c r="B2245" s="3" t="s">
        <v>251</v>
      </c>
      <c r="C2245" s="3" t="s">
        <v>252</v>
      </c>
    </row>
    <row r="2246">
      <c r="A2246" s="3" t="s">
        <v>216</v>
      </c>
      <c r="B2246" s="3" t="s">
        <v>217</v>
      </c>
      <c r="C2246" s="3" t="s">
        <v>265</v>
      </c>
    </row>
    <row r="2247">
      <c r="A2247" s="3" t="s">
        <v>216</v>
      </c>
      <c r="B2247" s="3" t="s">
        <v>238</v>
      </c>
      <c r="C2247" s="3" t="s">
        <v>243</v>
      </c>
    </row>
    <row r="2248">
      <c r="A2248" s="3" t="s">
        <v>216</v>
      </c>
      <c r="B2248" s="3" t="s">
        <v>251</v>
      </c>
      <c r="C2248" s="3" t="s">
        <v>252</v>
      </c>
    </row>
    <row r="2249">
      <c r="A2249" s="3" t="s">
        <v>216</v>
      </c>
      <c r="B2249" s="3" t="s">
        <v>221</v>
      </c>
      <c r="C2249" s="3" t="s">
        <v>249</v>
      </c>
    </row>
    <row r="2250">
      <c r="A2250" s="3" t="s">
        <v>216</v>
      </c>
      <c r="B2250" s="3" t="s">
        <v>221</v>
      </c>
      <c r="C2250" s="3" t="s">
        <v>249</v>
      </c>
    </row>
    <row r="2251">
      <c r="A2251" s="3" t="s">
        <v>216</v>
      </c>
      <c r="B2251" s="3" t="s">
        <v>225</v>
      </c>
      <c r="C2251" s="3" t="s">
        <v>228</v>
      </c>
    </row>
    <row r="2252">
      <c r="A2252" s="3" t="s">
        <v>216</v>
      </c>
      <c r="B2252" s="3" t="s">
        <v>223</v>
      </c>
      <c r="C2252" s="3" t="s">
        <v>227</v>
      </c>
    </row>
    <row r="2253">
      <c r="A2253" s="3" t="s">
        <v>216</v>
      </c>
      <c r="B2253" s="3" t="s">
        <v>221</v>
      </c>
      <c r="C2253" s="3" t="s">
        <v>249</v>
      </c>
    </row>
    <row r="2254">
      <c r="A2254" s="3" t="s">
        <v>216</v>
      </c>
      <c r="B2254" s="3" t="s">
        <v>238</v>
      </c>
      <c r="C2254" s="3" t="s">
        <v>145</v>
      </c>
    </row>
    <row r="2255">
      <c r="A2255" s="3" t="s">
        <v>216</v>
      </c>
      <c r="B2255" s="3" t="s">
        <v>217</v>
      </c>
      <c r="C2255" s="3" t="s">
        <v>264</v>
      </c>
    </row>
    <row r="2256">
      <c r="A2256" s="3" t="s">
        <v>216</v>
      </c>
      <c r="B2256" s="3" t="s">
        <v>217</v>
      </c>
      <c r="C2256" s="3" t="s">
        <v>264</v>
      </c>
    </row>
    <row r="2257">
      <c r="A2257" s="3" t="s">
        <v>216</v>
      </c>
      <c r="B2257" s="3" t="s">
        <v>219</v>
      </c>
      <c r="C2257" s="3" t="s">
        <v>220</v>
      </c>
    </row>
    <row r="2258">
      <c r="A2258" s="3" t="s">
        <v>216</v>
      </c>
      <c r="B2258" s="3" t="s">
        <v>238</v>
      </c>
      <c r="C2258" s="3" t="s">
        <v>62</v>
      </c>
    </row>
    <row r="2259">
      <c r="A2259" s="3" t="s">
        <v>216</v>
      </c>
      <c r="B2259" s="3" t="s">
        <v>230</v>
      </c>
      <c r="C2259" s="3" t="s">
        <v>259</v>
      </c>
    </row>
    <row r="2260">
      <c r="A2260" s="3" t="s">
        <v>216</v>
      </c>
      <c r="B2260" s="3" t="s">
        <v>238</v>
      </c>
      <c r="C2260" s="3" t="s">
        <v>243</v>
      </c>
    </row>
    <row r="2261">
      <c r="A2261" s="3" t="s">
        <v>216</v>
      </c>
      <c r="B2261" s="3" t="s">
        <v>230</v>
      </c>
      <c r="C2261" s="3" t="s">
        <v>274</v>
      </c>
    </row>
    <row r="2262">
      <c r="A2262" s="3" t="s">
        <v>216</v>
      </c>
      <c r="B2262" s="3" t="s">
        <v>238</v>
      </c>
      <c r="C2262" s="3" t="s">
        <v>242</v>
      </c>
    </row>
    <row r="2263">
      <c r="A2263" s="3" t="s">
        <v>216</v>
      </c>
      <c r="B2263" s="3" t="s">
        <v>223</v>
      </c>
      <c r="C2263" s="3" t="s">
        <v>276</v>
      </c>
    </row>
    <row r="2264">
      <c r="A2264" s="3" t="s">
        <v>216</v>
      </c>
      <c r="B2264" s="3" t="s">
        <v>225</v>
      </c>
      <c r="C2264" s="3" t="s">
        <v>270</v>
      </c>
    </row>
    <row r="2265">
      <c r="A2265" s="3" t="s">
        <v>216</v>
      </c>
      <c r="B2265" s="3" t="s">
        <v>217</v>
      </c>
      <c r="C2265" s="3" t="s">
        <v>265</v>
      </c>
    </row>
    <row r="2266">
      <c r="A2266" s="3" t="s">
        <v>216</v>
      </c>
      <c r="B2266" s="3" t="s">
        <v>217</v>
      </c>
      <c r="C2266" s="3" t="s">
        <v>266</v>
      </c>
    </row>
    <row r="2267">
      <c r="A2267" s="3" t="s">
        <v>216</v>
      </c>
      <c r="B2267" s="3" t="s">
        <v>225</v>
      </c>
      <c r="C2267" s="3" t="s">
        <v>158</v>
      </c>
    </row>
    <row r="2268">
      <c r="A2268" s="3" t="s">
        <v>216</v>
      </c>
      <c r="B2268" s="3" t="s">
        <v>225</v>
      </c>
      <c r="C2268" s="3" t="s">
        <v>228</v>
      </c>
    </row>
    <row r="2269">
      <c r="A2269" s="3" t="s">
        <v>216</v>
      </c>
      <c r="B2269" s="3" t="s">
        <v>219</v>
      </c>
      <c r="C2269" s="3" t="s">
        <v>258</v>
      </c>
    </row>
    <row r="2270">
      <c r="A2270" s="3" t="s">
        <v>216</v>
      </c>
      <c r="B2270" s="3" t="s">
        <v>238</v>
      </c>
      <c r="C2270" s="3" t="s">
        <v>245</v>
      </c>
    </row>
    <row r="2271">
      <c r="A2271" s="3" t="s">
        <v>216</v>
      </c>
      <c r="B2271" s="3" t="s">
        <v>225</v>
      </c>
      <c r="C2271" s="3" t="s">
        <v>158</v>
      </c>
    </row>
    <row r="2272">
      <c r="A2272" s="3" t="s">
        <v>216</v>
      </c>
      <c r="B2272" s="3" t="s">
        <v>221</v>
      </c>
      <c r="C2272" s="3" t="s">
        <v>247</v>
      </c>
    </row>
    <row r="2273">
      <c r="A2273" s="3" t="s">
        <v>216</v>
      </c>
      <c r="B2273" s="3" t="s">
        <v>225</v>
      </c>
      <c r="C2273" s="3" t="s">
        <v>270</v>
      </c>
    </row>
    <row r="2274">
      <c r="A2274" s="3" t="s">
        <v>216</v>
      </c>
      <c r="B2274" s="3" t="s">
        <v>217</v>
      </c>
      <c r="C2274" s="3" t="s">
        <v>265</v>
      </c>
    </row>
    <row r="2275">
      <c r="A2275" s="3" t="s">
        <v>216</v>
      </c>
      <c r="B2275" s="3" t="s">
        <v>219</v>
      </c>
      <c r="C2275" s="3" t="s">
        <v>258</v>
      </c>
    </row>
    <row r="2276">
      <c r="A2276" s="3" t="s">
        <v>216</v>
      </c>
      <c r="B2276" s="3" t="s">
        <v>238</v>
      </c>
      <c r="C2276" s="3" t="s">
        <v>62</v>
      </c>
    </row>
    <row r="2277">
      <c r="A2277" s="3" t="s">
        <v>216</v>
      </c>
      <c r="B2277" s="3" t="s">
        <v>223</v>
      </c>
      <c r="C2277" s="3" t="s">
        <v>273</v>
      </c>
    </row>
    <row r="2278">
      <c r="A2278" s="3" t="s">
        <v>216</v>
      </c>
      <c r="B2278" s="3" t="s">
        <v>223</v>
      </c>
      <c r="C2278" s="3" t="s">
        <v>279</v>
      </c>
    </row>
    <row r="2279">
      <c r="A2279" s="3" t="s">
        <v>216</v>
      </c>
      <c r="B2279" s="3" t="s">
        <v>225</v>
      </c>
      <c r="C2279" s="3" t="s">
        <v>270</v>
      </c>
    </row>
    <row r="2280">
      <c r="A2280" s="3" t="s">
        <v>216</v>
      </c>
      <c r="B2280" s="3" t="s">
        <v>217</v>
      </c>
      <c r="C2280" s="3" t="s">
        <v>264</v>
      </c>
    </row>
    <row r="2281">
      <c r="A2281" s="3" t="s">
        <v>216</v>
      </c>
      <c r="B2281" s="3" t="s">
        <v>225</v>
      </c>
      <c r="C2281" s="3" t="s">
        <v>158</v>
      </c>
    </row>
    <row r="2282">
      <c r="A2282" s="3" t="s">
        <v>216</v>
      </c>
      <c r="B2282" s="3" t="s">
        <v>238</v>
      </c>
      <c r="C2282" s="3" t="s">
        <v>62</v>
      </c>
    </row>
    <row r="2283">
      <c r="A2283" s="3" t="s">
        <v>216</v>
      </c>
      <c r="B2283" s="3" t="s">
        <v>217</v>
      </c>
      <c r="C2283" s="3" t="s">
        <v>265</v>
      </c>
    </row>
    <row r="2284">
      <c r="A2284" s="3" t="s">
        <v>216</v>
      </c>
      <c r="B2284" s="3" t="s">
        <v>225</v>
      </c>
      <c r="C2284" s="3" t="s">
        <v>158</v>
      </c>
    </row>
    <row r="2285">
      <c r="A2285" s="3" t="s">
        <v>216</v>
      </c>
      <c r="B2285" s="3" t="s">
        <v>238</v>
      </c>
      <c r="C2285" s="3" t="s">
        <v>145</v>
      </c>
    </row>
    <row r="2286">
      <c r="A2286" s="3" t="s">
        <v>216</v>
      </c>
      <c r="B2286" s="3" t="s">
        <v>217</v>
      </c>
      <c r="C2286" s="3" t="s">
        <v>264</v>
      </c>
    </row>
    <row r="2287">
      <c r="A2287" s="3" t="s">
        <v>216</v>
      </c>
      <c r="B2287" s="3" t="s">
        <v>230</v>
      </c>
      <c r="C2287" s="3" t="s">
        <v>260</v>
      </c>
    </row>
    <row r="2288">
      <c r="A2288" s="3" t="s">
        <v>216</v>
      </c>
      <c r="B2288" s="3" t="s">
        <v>238</v>
      </c>
      <c r="C2288" s="3" t="s">
        <v>245</v>
      </c>
    </row>
    <row r="2289">
      <c r="A2289" s="3" t="s">
        <v>216</v>
      </c>
      <c r="B2289" s="3" t="s">
        <v>221</v>
      </c>
      <c r="C2289" s="3" t="s">
        <v>247</v>
      </c>
    </row>
    <row r="2290">
      <c r="A2290" s="3" t="s">
        <v>216</v>
      </c>
      <c r="B2290" s="3" t="s">
        <v>238</v>
      </c>
      <c r="C2290" s="3" t="s">
        <v>245</v>
      </c>
    </row>
    <row r="2291">
      <c r="A2291" s="3" t="s">
        <v>216</v>
      </c>
      <c r="B2291" s="3" t="s">
        <v>238</v>
      </c>
      <c r="C2291" s="3" t="s">
        <v>243</v>
      </c>
    </row>
    <row r="2292">
      <c r="A2292" s="3" t="s">
        <v>216</v>
      </c>
      <c r="B2292" s="3" t="s">
        <v>238</v>
      </c>
      <c r="C2292" s="3" t="s">
        <v>245</v>
      </c>
    </row>
    <row r="2293">
      <c r="A2293" s="3" t="s">
        <v>216</v>
      </c>
      <c r="B2293" s="3" t="s">
        <v>238</v>
      </c>
      <c r="C2293" s="3" t="s">
        <v>245</v>
      </c>
    </row>
    <row r="2294">
      <c r="A2294" s="3" t="s">
        <v>216</v>
      </c>
      <c r="B2294" s="3" t="s">
        <v>225</v>
      </c>
      <c r="C2294" s="3" t="s">
        <v>158</v>
      </c>
    </row>
    <row r="2295">
      <c r="A2295" s="3" t="s">
        <v>216</v>
      </c>
      <c r="B2295" s="3" t="s">
        <v>230</v>
      </c>
      <c r="C2295" s="3" t="s">
        <v>260</v>
      </c>
    </row>
    <row r="2296">
      <c r="A2296" s="3" t="s">
        <v>216</v>
      </c>
      <c r="B2296" s="3" t="s">
        <v>225</v>
      </c>
      <c r="C2296" s="3" t="s">
        <v>158</v>
      </c>
    </row>
    <row r="2297">
      <c r="A2297" s="3" t="s">
        <v>216</v>
      </c>
      <c r="B2297" s="3" t="s">
        <v>230</v>
      </c>
      <c r="C2297" s="3" t="s">
        <v>259</v>
      </c>
    </row>
    <row r="2298">
      <c r="A2298" s="3" t="s">
        <v>216</v>
      </c>
      <c r="B2298" s="3" t="s">
        <v>223</v>
      </c>
      <c r="C2298" s="3" t="s">
        <v>227</v>
      </c>
    </row>
    <row r="2299">
      <c r="A2299" s="3" t="s">
        <v>216</v>
      </c>
      <c r="B2299" s="3" t="s">
        <v>238</v>
      </c>
      <c r="C2299" s="3" t="s">
        <v>243</v>
      </c>
    </row>
    <row r="2300">
      <c r="A2300" s="3" t="s">
        <v>216</v>
      </c>
      <c r="B2300" s="3" t="s">
        <v>238</v>
      </c>
      <c r="C2300" s="3" t="s">
        <v>145</v>
      </c>
    </row>
    <row r="2301">
      <c r="A2301" s="3" t="s">
        <v>216</v>
      </c>
      <c r="B2301" s="3" t="s">
        <v>238</v>
      </c>
      <c r="C2301" s="3" t="s">
        <v>243</v>
      </c>
    </row>
    <row r="2302">
      <c r="A2302" s="3" t="s">
        <v>216</v>
      </c>
      <c r="B2302" s="3" t="s">
        <v>230</v>
      </c>
      <c r="C2302" s="3" t="s">
        <v>274</v>
      </c>
    </row>
    <row r="2303">
      <c r="A2303" s="3" t="s">
        <v>216</v>
      </c>
      <c r="B2303" s="3" t="s">
        <v>238</v>
      </c>
      <c r="C2303" s="3" t="s">
        <v>245</v>
      </c>
    </row>
    <row r="2304">
      <c r="A2304" s="3" t="s">
        <v>216</v>
      </c>
      <c r="B2304" s="3" t="s">
        <v>225</v>
      </c>
      <c r="C2304" s="3" t="s">
        <v>158</v>
      </c>
    </row>
    <row r="2305">
      <c r="A2305" s="3" t="s">
        <v>216</v>
      </c>
      <c r="B2305" s="3" t="s">
        <v>238</v>
      </c>
      <c r="C2305" s="3" t="s">
        <v>245</v>
      </c>
    </row>
    <row r="2306">
      <c r="A2306" s="3" t="s">
        <v>216</v>
      </c>
      <c r="B2306" s="3" t="s">
        <v>225</v>
      </c>
      <c r="C2306" s="3" t="s">
        <v>158</v>
      </c>
    </row>
    <row r="2307">
      <c r="A2307" s="3" t="s">
        <v>216</v>
      </c>
      <c r="B2307" s="3" t="s">
        <v>217</v>
      </c>
      <c r="C2307" s="3" t="s">
        <v>272</v>
      </c>
    </row>
    <row r="2308">
      <c r="A2308" s="3" t="s">
        <v>216</v>
      </c>
      <c r="B2308" s="3" t="s">
        <v>238</v>
      </c>
      <c r="C2308" s="3" t="s">
        <v>243</v>
      </c>
    </row>
    <row r="2309">
      <c r="A2309" s="3" t="s">
        <v>216</v>
      </c>
      <c r="B2309" s="3" t="s">
        <v>223</v>
      </c>
      <c r="C2309" s="3" t="s">
        <v>224</v>
      </c>
    </row>
    <row r="2310">
      <c r="A2310" s="3" t="s">
        <v>216</v>
      </c>
      <c r="B2310" s="3" t="s">
        <v>225</v>
      </c>
      <c r="C2310" s="3" t="s">
        <v>275</v>
      </c>
    </row>
    <row r="2311">
      <c r="A2311" s="3" t="s">
        <v>216</v>
      </c>
      <c r="B2311" s="3" t="s">
        <v>221</v>
      </c>
      <c r="C2311" s="3" t="s">
        <v>247</v>
      </c>
    </row>
    <row r="2312">
      <c r="A2312" s="3" t="s">
        <v>216</v>
      </c>
      <c r="B2312" s="3" t="s">
        <v>221</v>
      </c>
      <c r="C2312" s="3" t="s">
        <v>247</v>
      </c>
    </row>
    <row r="2313">
      <c r="A2313" s="3" t="s">
        <v>216</v>
      </c>
      <c r="B2313" s="3" t="s">
        <v>219</v>
      </c>
      <c r="C2313" s="3" t="s">
        <v>220</v>
      </c>
    </row>
    <row r="2314">
      <c r="A2314" s="3" t="s">
        <v>216</v>
      </c>
      <c r="B2314" s="3" t="s">
        <v>223</v>
      </c>
      <c r="C2314" s="3" t="s">
        <v>227</v>
      </c>
    </row>
    <row r="2315">
      <c r="A2315" s="3" t="s">
        <v>216</v>
      </c>
      <c r="B2315" s="3" t="s">
        <v>223</v>
      </c>
      <c r="C2315" s="3" t="s">
        <v>227</v>
      </c>
    </row>
    <row r="2316">
      <c r="A2316" s="3" t="s">
        <v>216</v>
      </c>
      <c r="B2316" s="3" t="s">
        <v>221</v>
      </c>
      <c r="C2316" s="3" t="s">
        <v>248</v>
      </c>
    </row>
    <row r="2317">
      <c r="A2317" s="3" t="s">
        <v>216</v>
      </c>
      <c r="B2317" s="3" t="s">
        <v>238</v>
      </c>
      <c r="C2317" s="3" t="s">
        <v>245</v>
      </c>
    </row>
    <row r="2318">
      <c r="A2318" s="3" t="s">
        <v>216</v>
      </c>
      <c r="B2318" s="3" t="s">
        <v>225</v>
      </c>
      <c r="C2318" s="3" t="s">
        <v>158</v>
      </c>
    </row>
    <row r="2319">
      <c r="A2319" s="3" t="s">
        <v>216</v>
      </c>
      <c r="B2319" s="3" t="s">
        <v>230</v>
      </c>
      <c r="C2319" s="3" t="s">
        <v>260</v>
      </c>
    </row>
    <row r="2320">
      <c r="A2320" s="3" t="s">
        <v>216</v>
      </c>
      <c r="B2320" s="3" t="s">
        <v>230</v>
      </c>
      <c r="C2320" s="3" t="s">
        <v>260</v>
      </c>
    </row>
    <row r="2321">
      <c r="A2321" s="3" t="s">
        <v>216</v>
      </c>
      <c r="B2321" s="3" t="s">
        <v>230</v>
      </c>
      <c r="C2321" s="3" t="s">
        <v>260</v>
      </c>
    </row>
    <row r="2322">
      <c r="A2322" s="3" t="s">
        <v>216</v>
      </c>
      <c r="B2322" s="3" t="s">
        <v>230</v>
      </c>
      <c r="C2322" s="3" t="s">
        <v>260</v>
      </c>
    </row>
    <row r="2323">
      <c r="A2323" s="3" t="s">
        <v>216</v>
      </c>
      <c r="B2323" s="3" t="s">
        <v>217</v>
      </c>
      <c r="C2323" s="3" t="s">
        <v>265</v>
      </c>
    </row>
    <row r="2324">
      <c r="A2324" s="3" t="s">
        <v>216</v>
      </c>
      <c r="B2324" s="3" t="s">
        <v>238</v>
      </c>
      <c r="C2324" s="3" t="s">
        <v>241</v>
      </c>
    </row>
    <row r="2325">
      <c r="A2325" s="3" t="s">
        <v>216</v>
      </c>
      <c r="B2325" s="3" t="s">
        <v>217</v>
      </c>
      <c r="C2325" s="3" t="s">
        <v>232</v>
      </c>
    </row>
    <row r="2326">
      <c r="A2326" s="3" t="s">
        <v>216</v>
      </c>
      <c r="B2326" s="3" t="s">
        <v>238</v>
      </c>
      <c r="C2326" s="3" t="s">
        <v>243</v>
      </c>
    </row>
    <row r="2327">
      <c r="A2327" s="3" t="s">
        <v>216</v>
      </c>
      <c r="B2327" s="3" t="s">
        <v>225</v>
      </c>
      <c r="C2327" s="3" t="s">
        <v>158</v>
      </c>
    </row>
    <row r="2328">
      <c r="A2328" s="3" t="s">
        <v>216</v>
      </c>
      <c r="B2328" s="3" t="s">
        <v>225</v>
      </c>
      <c r="C2328" s="3" t="s">
        <v>275</v>
      </c>
    </row>
    <row r="2329">
      <c r="A2329" s="3" t="s">
        <v>216</v>
      </c>
      <c r="B2329" s="3" t="s">
        <v>225</v>
      </c>
      <c r="C2329" s="3" t="s">
        <v>256</v>
      </c>
    </row>
    <row r="2330">
      <c r="A2330" s="3" t="s">
        <v>216</v>
      </c>
      <c r="B2330" s="3" t="s">
        <v>225</v>
      </c>
      <c r="C2330" s="3" t="s">
        <v>270</v>
      </c>
    </row>
    <row r="2331">
      <c r="A2331" s="3" t="s">
        <v>216</v>
      </c>
      <c r="B2331" s="3" t="s">
        <v>225</v>
      </c>
      <c r="C2331" s="3" t="s">
        <v>226</v>
      </c>
    </row>
    <row r="2332">
      <c r="A2332" s="3" t="s">
        <v>216</v>
      </c>
      <c r="B2332" s="3" t="s">
        <v>225</v>
      </c>
      <c r="C2332" s="3" t="s">
        <v>228</v>
      </c>
    </row>
    <row r="2333">
      <c r="A2333" s="3" t="s">
        <v>216</v>
      </c>
      <c r="B2333" s="3" t="s">
        <v>225</v>
      </c>
      <c r="C2333" s="3" t="s">
        <v>277</v>
      </c>
    </row>
    <row r="2334">
      <c r="A2334" s="3" t="s">
        <v>216</v>
      </c>
      <c r="B2334" s="3" t="s">
        <v>238</v>
      </c>
      <c r="C2334" s="3" t="s">
        <v>240</v>
      </c>
    </row>
    <row r="2335">
      <c r="A2335" s="3" t="s">
        <v>216</v>
      </c>
      <c r="B2335" s="3" t="s">
        <v>251</v>
      </c>
      <c r="C2335" s="3" t="s">
        <v>269</v>
      </c>
    </row>
    <row r="2336">
      <c r="A2336" s="3" t="s">
        <v>216</v>
      </c>
      <c r="B2336" s="3" t="s">
        <v>219</v>
      </c>
      <c r="C2336" s="3" t="s">
        <v>258</v>
      </c>
    </row>
    <row r="2337">
      <c r="A2337" s="3" t="s">
        <v>216</v>
      </c>
      <c r="B2337" s="3" t="s">
        <v>238</v>
      </c>
      <c r="C2337" s="3" t="s">
        <v>243</v>
      </c>
    </row>
    <row r="2338">
      <c r="A2338" s="3" t="s">
        <v>216</v>
      </c>
      <c r="B2338" s="3" t="s">
        <v>221</v>
      </c>
      <c r="C2338" s="3" t="s">
        <v>247</v>
      </c>
    </row>
    <row r="2339">
      <c r="A2339" s="3" t="s">
        <v>216</v>
      </c>
      <c r="B2339" s="3" t="s">
        <v>217</v>
      </c>
      <c r="C2339" s="3" t="s">
        <v>232</v>
      </c>
    </row>
    <row r="2340">
      <c r="A2340" s="3" t="s">
        <v>216</v>
      </c>
      <c r="B2340" s="3" t="s">
        <v>225</v>
      </c>
      <c r="C2340" s="3" t="s">
        <v>158</v>
      </c>
    </row>
    <row r="2341">
      <c r="A2341" s="3" t="s">
        <v>216</v>
      </c>
      <c r="B2341" s="3" t="s">
        <v>219</v>
      </c>
      <c r="C2341" s="3" t="s">
        <v>258</v>
      </c>
    </row>
    <row r="2342">
      <c r="A2342" s="3" t="s">
        <v>216</v>
      </c>
      <c r="B2342" s="3" t="s">
        <v>223</v>
      </c>
      <c r="C2342" s="3" t="s">
        <v>227</v>
      </c>
    </row>
    <row r="2343">
      <c r="A2343" s="3" t="s">
        <v>216</v>
      </c>
      <c r="B2343" s="3" t="s">
        <v>225</v>
      </c>
      <c r="C2343" s="3" t="s">
        <v>158</v>
      </c>
    </row>
    <row r="2344">
      <c r="A2344" s="3" t="s">
        <v>216</v>
      </c>
      <c r="B2344" s="3" t="s">
        <v>217</v>
      </c>
      <c r="C2344" s="3" t="s">
        <v>232</v>
      </c>
    </row>
    <row r="2345">
      <c r="A2345" s="3" t="s">
        <v>216</v>
      </c>
      <c r="B2345" s="3" t="s">
        <v>225</v>
      </c>
      <c r="C2345" s="3" t="s">
        <v>256</v>
      </c>
    </row>
    <row r="2346">
      <c r="A2346" s="3" t="s">
        <v>216</v>
      </c>
      <c r="B2346" s="3" t="s">
        <v>238</v>
      </c>
      <c r="C2346" s="3" t="s">
        <v>240</v>
      </c>
    </row>
    <row r="2347">
      <c r="A2347" s="3" t="s">
        <v>216</v>
      </c>
      <c r="B2347" s="3" t="s">
        <v>217</v>
      </c>
      <c r="C2347" s="3" t="s">
        <v>264</v>
      </c>
    </row>
    <row r="2348">
      <c r="A2348" s="3" t="s">
        <v>216</v>
      </c>
      <c r="B2348" s="3" t="s">
        <v>221</v>
      </c>
      <c r="C2348" s="3" t="s">
        <v>249</v>
      </c>
    </row>
    <row r="2349">
      <c r="A2349" s="3" t="s">
        <v>216</v>
      </c>
      <c r="B2349" s="3" t="s">
        <v>221</v>
      </c>
      <c r="C2349" s="3" t="s">
        <v>249</v>
      </c>
    </row>
    <row r="2350">
      <c r="A2350" s="3" t="s">
        <v>216</v>
      </c>
      <c r="B2350" s="3" t="s">
        <v>225</v>
      </c>
      <c r="C2350" s="3" t="s">
        <v>158</v>
      </c>
    </row>
    <row r="2351">
      <c r="A2351" s="3" t="s">
        <v>216</v>
      </c>
      <c r="B2351" s="3" t="s">
        <v>217</v>
      </c>
      <c r="C2351" s="3" t="s">
        <v>264</v>
      </c>
    </row>
    <row r="2352">
      <c r="A2352" s="3" t="s">
        <v>216</v>
      </c>
      <c r="B2352" s="3" t="s">
        <v>219</v>
      </c>
      <c r="C2352" s="3" t="s">
        <v>220</v>
      </c>
    </row>
    <row r="2353">
      <c r="A2353" s="3" t="s">
        <v>216</v>
      </c>
      <c r="B2353" s="3" t="s">
        <v>217</v>
      </c>
      <c r="C2353" s="3" t="s">
        <v>265</v>
      </c>
    </row>
    <row r="2354">
      <c r="A2354" s="3" t="s">
        <v>216</v>
      </c>
      <c r="B2354" s="3" t="s">
        <v>217</v>
      </c>
      <c r="C2354" s="3" t="s">
        <v>232</v>
      </c>
    </row>
    <row r="2355">
      <c r="A2355" s="3" t="s">
        <v>216</v>
      </c>
      <c r="B2355" s="3" t="s">
        <v>217</v>
      </c>
      <c r="C2355" s="3" t="s">
        <v>232</v>
      </c>
    </row>
    <row r="2356">
      <c r="A2356" s="3" t="s">
        <v>216</v>
      </c>
      <c r="B2356" s="3" t="s">
        <v>225</v>
      </c>
      <c r="C2356" s="3" t="s">
        <v>158</v>
      </c>
    </row>
    <row r="2357">
      <c r="A2357" s="3" t="s">
        <v>216</v>
      </c>
      <c r="B2357" s="3" t="s">
        <v>221</v>
      </c>
      <c r="C2357" s="3" t="s">
        <v>248</v>
      </c>
    </row>
    <row r="2358">
      <c r="A2358" s="3" t="s">
        <v>216</v>
      </c>
      <c r="B2358" s="3" t="s">
        <v>225</v>
      </c>
      <c r="C2358" s="3" t="s">
        <v>275</v>
      </c>
    </row>
    <row r="2359">
      <c r="A2359" s="3" t="s">
        <v>216</v>
      </c>
      <c r="B2359" s="3" t="s">
        <v>225</v>
      </c>
      <c r="C2359" s="3" t="s">
        <v>158</v>
      </c>
    </row>
    <row r="2360">
      <c r="A2360" s="3" t="s">
        <v>216</v>
      </c>
      <c r="B2360" s="3" t="s">
        <v>225</v>
      </c>
      <c r="C2360" s="3" t="s">
        <v>158</v>
      </c>
    </row>
    <row r="2361">
      <c r="A2361" s="3" t="s">
        <v>216</v>
      </c>
      <c r="B2361" s="3" t="s">
        <v>225</v>
      </c>
      <c r="C2361" s="3" t="s">
        <v>158</v>
      </c>
    </row>
    <row r="2362">
      <c r="A2362" s="3" t="s">
        <v>216</v>
      </c>
      <c r="B2362" s="3" t="s">
        <v>217</v>
      </c>
      <c r="C2362" s="3" t="s">
        <v>265</v>
      </c>
    </row>
    <row r="2363">
      <c r="A2363" s="3" t="s">
        <v>216</v>
      </c>
      <c r="B2363" s="3" t="s">
        <v>219</v>
      </c>
      <c r="C2363" s="3" t="s">
        <v>220</v>
      </c>
    </row>
    <row r="2364">
      <c r="A2364" s="3" t="s">
        <v>216</v>
      </c>
      <c r="B2364" s="3" t="s">
        <v>225</v>
      </c>
      <c r="C2364" s="3" t="s">
        <v>270</v>
      </c>
    </row>
    <row r="2365">
      <c r="A2365" s="3" t="s">
        <v>216</v>
      </c>
      <c r="B2365" s="3" t="s">
        <v>219</v>
      </c>
      <c r="C2365" s="3" t="s">
        <v>220</v>
      </c>
    </row>
    <row r="2366">
      <c r="A2366" s="3" t="s">
        <v>216</v>
      </c>
      <c r="B2366" s="3" t="s">
        <v>221</v>
      </c>
      <c r="C2366" s="3" t="s">
        <v>248</v>
      </c>
    </row>
    <row r="2367">
      <c r="A2367" s="3" t="s">
        <v>216</v>
      </c>
      <c r="B2367" s="3" t="s">
        <v>217</v>
      </c>
      <c r="C2367" s="3" t="s">
        <v>264</v>
      </c>
    </row>
    <row r="2368">
      <c r="A2368" s="3" t="s">
        <v>216</v>
      </c>
      <c r="B2368" s="3" t="s">
        <v>217</v>
      </c>
      <c r="C2368" s="3" t="s">
        <v>264</v>
      </c>
    </row>
    <row r="2369">
      <c r="A2369" s="3" t="s">
        <v>216</v>
      </c>
      <c r="B2369" s="3" t="s">
        <v>217</v>
      </c>
      <c r="C2369" s="3" t="s">
        <v>264</v>
      </c>
    </row>
    <row r="2370">
      <c r="A2370" s="3" t="s">
        <v>216</v>
      </c>
      <c r="B2370" s="3" t="s">
        <v>217</v>
      </c>
      <c r="C2370" s="3" t="s">
        <v>264</v>
      </c>
    </row>
    <row r="2371">
      <c r="A2371" s="3" t="s">
        <v>216</v>
      </c>
      <c r="B2371" s="3" t="s">
        <v>217</v>
      </c>
      <c r="C2371" s="3" t="s">
        <v>264</v>
      </c>
    </row>
    <row r="2372">
      <c r="A2372" s="3" t="s">
        <v>216</v>
      </c>
      <c r="B2372" s="3" t="s">
        <v>217</v>
      </c>
      <c r="C2372" s="3" t="s">
        <v>264</v>
      </c>
    </row>
    <row r="2373">
      <c r="A2373" s="3" t="s">
        <v>216</v>
      </c>
      <c r="B2373" s="3" t="s">
        <v>217</v>
      </c>
      <c r="C2373" s="3" t="s">
        <v>264</v>
      </c>
    </row>
    <row r="2374">
      <c r="A2374" s="3" t="s">
        <v>216</v>
      </c>
      <c r="B2374" s="3" t="s">
        <v>217</v>
      </c>
      <c r="C2374" s="3" t="s">
        <v>264</v>
      </c>
    </row>
    <row r="2375">
      <c r="A2375" s="3" t="s">
        <v>216</v>
      </c>
      <c r="B2375" s="3" t="s">
        <v>217</v>
      </c>
      <c r="C2375" s="3" t="s">
        <v>265</v>
      </c>
    </row>
    <row r="2376">
      <c r="A2376" s="3" t="s">
        <v>216</v>
      </c>
      <c r="B2376" s="3" t="s">
        <v>238</v>
      </c>
      <c r="C2376" s="3" t="s">
        <v>241</v>
      </c>
    </row>
    <row r="2377">
      <c r="A2377" s="3" t="s">
        <v>216</v>
      </c>
      <c r="B2377" s="3" t="s">
        <v>238</v>
      </c>
      <c r="C2377" s="3" t="s">
        <v>145</v>
      </c>
    </row>
    <row r="2378">
      <c r="A2378" s="3" t="s">
        <v>216</v>
      </c>
      <c r="B2378" s="3" t="s">
        <v>223</v>
      </c>
      <c r="C2378" s="3" t="s">
        <v>273</v>
      </c>
    </row>
    <row r="2379">
      <c r="A2379" s="3" t="s">
        <v>216</v>
      </c>
      <c r="B2379" s="3" t="s">
        <v>230</v>
      </c>
      <c r="C2379" s="3" t="s">
        <v>260</v>
      </c>
    </row>
    <row r="2380">
      <c r="A2380" s="3" t="s">
        <v>216</v>
      </c>
      <c r="B2380" s="3" t="s">
        <v>217</v>
      </c>
      <c r="C2380" s="3" t="s">
        <v>266</v>
      </c>
    </row>
    <row r="2381">
      <c r="A2381" s="3" t="s">
        <v>216</v>
      </c>
      <c r="B2381" s="3" t="s">
        <v>225</v>
      </c>
      <c r="C2381" s="3" t="s">
        <v>158</v>
      </c>
    </row>
    <row r="2382">
      <c r="A2382" s="3" t="s">
        <v>216</v>
      </c>
      <c r="B2382" s="3" t="s">
        <v>238</v>
      </c>
      <c r="C2382" s="3" t="s">
        <v>243</v>
      </c>
    </row>
    <row r="2383">
      <c r="A2383" s="3" t="s">
        <v>216</v>
      </c>
      <c r="B2383" s="3" t="s">
        <v>223</v>
      </c>
      <c r="C2383" s="3" t="s">
        <v>227</v>
      </c>
    </row>
    <row r="2384">
      <c r="A2384" s="3" t="s">
        <v>216</v>
      </c>
      <c r="B2384" s="3" t="s">
        <v>217</v>
      </c>
      <c r="C2384" s="3" t="s">
        <v>264</v>
      </c>
    </row>
    <row r="2385">
      <c r="A2385" s="3" t="s">
        <v>216</v>
      </c>
      <c r="B2385" s="3" t="s">
        <v>219</v>
      </c>
      <c r="C2385" s="3" t="s">
        <v>220</v>
      </c>
    </row>
    <row r="2386">
      <c r="A2386" s="3" t="s">
        <v>216</v>
      </c>
      <c r="B2386" s="3" t="s">
        <v>219</v>
      </c>
      <c r="C2386" s="3" t="s">
        <v>220</v>
      </c>
    </row>
    <row r="2387">
      <c r="A2387" s="3" t="s">
        <v>216</v>
      </c>
      <c r="B2387" s="3" t="s">
        <v>221</v>
      </c>
      <c r="C2387" s="3" t="s">
        <v>247</v>
      </c>
    </row>
    <row r="2388">
      <c r="A2388" s="3" t="s">
        <v>216</v>
      </c>
      <c r="B2388" s="3" t="s">
        <v>225</v>
      </c>
      <c r="C2388" s="3" t="s">
        <v>158</v>
      </c>
    </row>
    <row r="2389">
      <c r="A2389" s="3" t="s">
        <v>216</v>
      </c>
      <c r="B2389" s="3" t="s">
        <v>225</v>
      </c>
      <c r="C2389" s="3" t="s">
        <v>158</v>
      </c>
    </row>
    <row r="2390">
      <c r="A2390" s="3" t="s">
        <v>216</v>
      </c>
      <c r="B2390" s="3" t="s">
        <v>225</v>
      </c>
      <c r="C2390" s="3" t="s">
        <v>158</v>
      </c>
    </row>
    <row r="2391">
      <c r="A2391" s="3" t="s">
        <v>216</v>
      </c>
      <c r="B2391" s="3" t="s">
        <v>223</v>
      </c>
      <c r="C2391" s="3" t="s">
        <v>279</v>
      </c>
    </row>
    <row r="2392">
      <c r="A2392" s="3" t="s">
        <v>216</v>
      </c>
      <c r="B2392" s="3" t="s">
        <v>225</v>
      </c>
      <c r="C2392" s="3" t="s">
        <v>278</v>
      </c>
    </row>
    <row r="2393">
      <c r="A2393" s="3" t="s">
        <v>216</v>
      </c>
      <c r="B2393" s="3" t="s">
        <v>225</v>
      </c>
      <c r="C2393" s="3" t="s">
        <v>228</v>
      </c>
    </row>
    <row r="2394">
      <c r="A2394" s="3" t="s">
        <v>216</v>
      </c>
      <c r="B2394" s="3" t="s">
        <v>217</v>
      </c>
      <c r="C2394" s="3" t="s">
        <v>265</v>
      </c>
    </row>
    <row r="2395">
      <c r="A2395" s="3" t="s">
        <v>216</v>
      </c>
      <c r="B2395" s="3" t="s">
        <v>217</v>
      </c>
      <c r="C2395" s="3" t="s">
        <v>232</v>
      </c>
    </row>
    <row r="2396">
      <c r="A2396" s="3" t="s">
        <v>216</v>
      </c>
      <c r="B2396" s="3" t="s">
        <v>221</v>
      </c>
      <c r="C2396" s="3" t="s">
        <v>248</v>
      </c>
    </row>
    <row r="2397">
      <c r="A2397" s="3" t="s">
        <v>216</v>
      </c>
      <c r="B2397" s="3" t="s">
        <v>238</v>
      </c>
      <c r="C2397" s="3" t="s">
        <v>243</v>
      </c>
    </row>
    <row r="2398">
      <c r="A2398" s="3" t="s">
        <v>216</v>
      </c>
      <c r="B2398" s="3" t="s">
        <v>238</v>
      </c>
      <c r="C2398" s="3" t="s">
        <v>245</v>
      </c>
    </row>
    <row r="2399">
      <c r="A2399" s="3" t="s">
        <v>216</v>
      </c>
      <c r="B2399" s="3" t="s">
        <v>238</v>
      </c>
      <c r="C2399" s="3" t="s">
        <v>240</v>
      </c>
    </row>
    <row r="2400">
      <c r="A2400" s="3" t="s">
        <v>216</v>
      </c>
      <c r="B2400" s="3" t="s">
        <v>221</v>
      </c>
      <c r="C2400" s="3" t="s">
        <v>247</v>
      </c>
    </row>
    <row r="2401">
      <c r="A2401" s="3" t="s">
        <v>216</v>
      </c>
      <c r="B2401" s="3" t="s">
        <v>230</v>
      </c>
      <c r="C2401" s="3" t="s">
        <v>274</v>
      </c>
    </row>
    <row r="2402">
      <c r="A2402" s="3" t="s">
        <v>216</v>
      </c>
      <c r="B2402" s="3" t="s">
        <v>238</v>
      </c>
      <c r="C2402" s="3" t="s">
        <v>243</v>
      </c>
    </row>
    <row r="2403">
      <c r="A2403" s="3" t="s">
        <v>216</v>
      </c>
      <c r="B2403" s="3" t="s">
        <v>223</v>
      </c>
      <c r="C2403" s="3" t="s">
        <v>227</v>
      </c>
    </row>
    <row r="2404">
      <c r="A2404" s="3" t="s">
        <v>216</v>
      </c>
      <c r="B2404" s="3" t="s">
        <v>238</v>
      </c>
      <c r="C2404" s="3" t="s">
        <v>245</v>
      </c>
    </row>
    <row r="2405">
      <c r="A2405" s="3" t="s">
        <v>216</v>
      </c>
      <c r="B2405" s="3" t="s">
        <v>217</v>
      </c>
      <c r="C2405" s="3" t="s">
        <v>229</v>
      </c>
    </row>
    <row r="2406">
      <c r="A2406" s="3" t="s">
        <v>216</v>
      </c>
      <c r="B2406" s="3" t="s">
        <v>217</v>
      </c>
      <c r="C2406" s="3" t="s">
        <v>264</v>
      </c>
    </row>
    <row r="2407">
      <c r="A2407" s="3" t="s">
        <v>216</v>
      </c>
      <c r="B2407" s="3" t="s">
        <v>217</v>
      </c>
      <c r="C2407" s="3" t="s">
        <v>265</v>
      </c>
    </row>
    <row r="2408">
      <c r="A2408" s="3" t="s">
        <v>216</v>
      </c>
      <c r="B2408" s="3" t="s">
        <v>217</v>
      </c>
      <c r="C2408" s="3" t="s">
        <v>232</v>
      </c>
    </row>
    <row r="2409">
      <c r="A2409" s="3" t="s">
        <v>216</v>
      </c>
      <c r="B2409" s="3" t="s">
        <v>217</v>
      </c>
      <c r="C2409" s="3" t="s">
        <v>272</v>
      </c>
    </row>
    <row r="2410">
      <c r="A2410" s="3" t="s">
        <v>216</v>
      </c>
      <c r="B2410" s="3" t="s">
        <v>217</v>
      </c>
      <c r="C2410" s="3" t="s">
        <v>218</v>
      </c>
    </row>
    <row r="2411">
      <c r="A2411" s="3" t="s">
        <v>216</v>
      </c>
      <c r="B2411" s="3" t="s">
        <v>217</v>
      </c>
      <c r="C2411" s="3" t="s">
        <v>266</v>
      </c>
    </row>
    <row r="2412">
      <c r="A2412" s="3" t="s">
        <v>216</v>
      </c>
      <c r="B2412" s="3" t="s">
        <v>225</v>
      </c>
      <c r="C2412" s="3" t="s">
        <v>275</v>
      </c>
    </row>
    <row r="2413">
      <c r="A2413" s="3" t="s">
        <v>216</v>
      </c>
      <c r="B2413" s="3" t="s">
        <v>238</v>
      </c>
      <c r="C2413" s="3" t="s">
        <v>145</v>
      </c>
    </row>
    <row r="2414">
      <c r="A2414" s="3" t="s">
        <v>216</v>
      </c>
      <c r="B2414" s="3" t="s">
        <v>221</v>
      </c>
      <c r="C2414" s="3" t="s">
        <v>248</v>
      </c>
    </row>
    <row r="2415">
      <c r="A2415" s="3" t="s">
        <v>216</v>
      </c>
      <c r="B2415" s="3" t="s">
        <v>223</v>
      </c>
      <c r="C2415" s="3" t="s">
        <v>227</v>
      </c>
    </row>
    <row r="2416">
      <c r="A2416" s="3" t="s">
        <v>216</v>
      </c>
      <c r="B2416" s="3" t="s">
        <v>223</v>
      </c>
      <c r="C2416" s="3" t="s">
        <v>227</v>
      </c>
    </row>
    <row r="2417">
      <c r="A2417" s="3" t="s">
        <v>216</v>
      </c>
      <c r="B2417" s="3" t="s">
        <v>251</v>
      </c>
      <c r="C2417" s="3" t="s">
        <v>252</v>
      </c>
    </row>
    <row r="2418">
      <c r="A2418" s="3" t="s">
        <v>216</v>
      </c>
      <c r="B2418" s="3" t="s">
        <v>217</v>
      </c>
      <c r="C2418" s="3" t="s">
        <v>265</v>
      </c>
    </row>
    <row r="2419">
      <c r="A2419" s="3" t="s">
        <v>216</v>
      </c>
      <c r="B2419" s="3" t="s">
        <v>225</v>
      </c>
      <c r="C2419" s="3" t="s">
        <v>158</v>
      </c>
    </row>
    <row r="2420">
      <c r="A2420" s="3" t="s">
        <v>216</v>
      </c>
      <c r="B2420" s="3" t="s">
        <v>221</v>
      </c>
      <c r="C2420" s="3" t="s">
        <v>247</v>
      </c>
    </row>
    <row r="2421">
      <c r="A2421" s="3" t="s">
        <v>216</v>
      </c>
      <c r="B2421" s="3" t="s">
        <v>221</v>
      </c>
      <c r="C2421" s="3" t="s">
        <v>249</v>
      </c>
    </row>
    <row r="2422">
      <c r="A2422" s="3" t="s">
        <v>216</v>
      </c>
      <c r="B2422" s="3" t="s">
        <v>221</v>
      </c>
      <c r="C2422" s="3" t="s">
        <v>249</v>
      </c>
    </row>
    <row r="2423">
      <c r="A2423" s="3" t="s">
        <v>216</v>
      </c>
      <c r="B2423" s="3" t="s">
        <v>217</v>
      </c>
      <c r="C2423" s="3" t="s">
        <v>232</v>
      </c>
    </row>
    <row r="2424">
      <c r="A2424" s="3" t="s">
        <v>216</v>
      </c>
      <c r="B2424" s="3" t="s">
        <v>221</v>
      </c>
      <c r="C2424" s="3" t="s">
        <v>247</v>
      </c>
    </row>
    <row r="2425">
      <c r="A2425" s="3" t="s">
        <v>216</v>
      </c>
      <c r="B2425" s="3" t="s">
        <v>217</v>
      </c>
      <c r="C2425" s="3" t="s">
        <v>264</v>
      </c>
    </row>
    <row r="2426">
      <c r="A2426" s="3" t="s">
        <v>216</v>
      </c>
      <c r="B2426" s="3" t="s">
        <v>225</v>
      </c>
      <c r="C2426" s="3" t="s">
        <v>270</v>
      </c>
    </row>
    <row r="2427">
      <c r="A2427" s="3" t="s">
        <v>216</v>
      </c>
      <c r="B2427" s="3" t="s">
        <v>219</v>
      </c>
      <c r="C2427" s="3" t="s">
        <v>258</v>
      </c>
    </row>
    <row r="2428">
      <c r="A2428" s="3" t="s">
        <v>216</v>
      </c>
      <c r="B2428" s="3" t="s">
        <v>219</v>
      </c>
      <c r="C2428" s="3" t="s">
        <v>262</v>
      </c>
    </row>
    <row r="2429">
      <c r="A2429" s="3" t="s">
        <v>216</v>
      </c>
      <c r="B2429" s="3" t="s">
        <v>230</v>
      </c>
      <c r="C2429" s="3" t="s">
        <v>274</v>
      </c>
    </row>
    <row r="2430">
      <c r="A2430" s="3" t="s">
        <v>216</v>
      </c>
      <c r="B2430" s="3" t="s">
        <v>219</v>
      </c>
      <c r="C2430" s="3" t="s">
        <v>220</v>
      </c>
    </row>
    <row r="2431">
      <c r="A2431" s="3" t="s">
        <v>216</v>
      </c>
      <c r="B2431" s="3" t="s">
        <v>219</v>
      </c>
      <c r="C2431" s="3" t="s">
        <v>258</v>
      </c>
    </row>
    <row r="2432">
      <c r="A2432" s="3" t="s">
        <v>216</v>
      </c>
      <c r="B2432" s="3" t="s">
        <v>217</v>
      </c>
      <c r="C2432" s="3" t="s">
        <v>272</v>
      </c>
    </row>
    <row r="2433">
      <c r="A2433" s="3" t="s">
        <v>216</v>
      </c>
      <c r="B2433" s="3" t="s">
        <v>221</v>
      </c>
      <c r="C2433" s="3" t="s">
        <v>246</v>
      </c>
    </row>
    <row r="2434">
      <c r="A2434" s="3" t="s">
        <v>216</v>
      </c>
      <c r="B2434" s="3" t="s">
        <v>217</v>
      </c>
      <c r="C2434" s="3" t="s">
        <v>272</v>
      </c>
    </row>
    <row r="2435">
      <c r="A2435" s="3" t="s">
        <v>216</v>
      </c>
      <c r="B2435" s="3" t="s">
        <v>225</v>
      </c>
      <c r="C2435" s="3" t="s">
        <v>158</v>
      </c>
    </row>
    <row r="2436">
      <c r="A2436" s="3" t="s">
        <v>216</v>
      </c>
      <c r="B2436" s="3" t="s">
        <v>219</v>
      </c>
      <c r="C2436" s="3" t="s">
        <v>258</v>
      </c>
    </row>
    <row r="2437">
      <c r="A2437" s="3" t="s">
        <v>216</v>
      </c>
      <c r="B2437" s="3" t="s">
        <v>217</v>
      </c>
      <c r="C2437" s="3" t="s">
        <v>264</v>
      </c>
    </row>
    <row r="2438">
      <c r="A2438" s="3" t="s">
        <v>216</v>
      </c>
      <c r="B2438" s="3" t="s">
        <v>219</v>
      </c>
      <c r="C2438" s="3" t="s">
        <v>268</v>
      </c>
    </row>
    <row r="2439">
      <c r="A2439" s="3" t="s">
        <v>216</v>
      </c>
      <c r="B2439" s="3" t="s">
        <v>251</v>
      </c>
      <c r="C2439" s="3" t="s">
        <v>257</v>
      </c>
    </row>
    <row r="2440">
      <c r="A2440" s="3" t="s">
        <v>216</v>
      </c>
      <c r="B2440" s="3" t="s">
        <v>251</v>
      </c>
      <c r="C2440" s="3" t="s">
        <v>252</v>
      </c>
    </row>
    <row r="2441">
      <c r="A2441" s="3" t="s">
        <v>216</v>
      </c>
      <c r="B2441" s="3" t="s">
        <v>217</v>
      </c>
      <c r="C2441" s="3" t="s">
        <v>272</v>
      </c>
    </row>
    <row r="2442">
      <c r="A2442" s="3" t="s">
        <v>216</v>
      </c>
      <c r="B2442" s="3" t="s">
        <v>238</v>
      </c>
      <c r="C2442" s="3" t="s">
        <v>243</v>
      </c>
    </row>
    <row r="2443">
      <c r="A2443" s="3" t="s">
        <v>216</v>
      </c>
      <c r="B2443" s="3" t="s">
        <v>230</v>
      </c>
      <c r="C2443" s="3" t="s">
        <v>274</v>
      </c>
    </row>
    <row r="2444">
      <c r="A2444" s="3" t="s">
        <v>216</v>
      </c>
      <c r="B2444" s="3" t="s">
        <v>251</v>
      </c>
      <c r="C2444" s="3" t="s">
        <v>254</v>
      </c>
    </row>
    <row r="2445">
      <c r="A2445" s="3" t="s">
        <v>216</v>
      </c>
      <c r="B2445" s="3" t="s">
        <v>217</v>
      </c>
      <c r="C2445" s="3" t="s">
        <v>266</v>
      </c>
    </row>
    <row r="2446">
      <c r="A2446" s="3" t="s">
        <v>216</v>
      </c>
      <c r="B2446" s="3" t="s">
        <v>223</v>
      </c>
      <c r="C2446" s="3" t="s">
        <v>227</v>
      </c>
    </row>
    <row r="2447">
      <c r="A2447" s="3" t="s">
        <v>216</v>
      </c>
      <c r="B2447" s="3" t="s">
        <v>217</v>
      </c>
      <c r="C2447" s="3" t="s">
        <v>265</v>
      </c>
    </row>
    <row r="2448">
      <c r="A2448" s="3" t="s">
        <v>216</v>
      </c>
      <c r="B2448" s="3" t="s">
        <v>221</v>
      </c>
      <c r="C2448" s="3" t="s">
        <v>222</v>
      </c>
    </row>
    <row r="2449">
      <c r="A2449" s="3" t="s">
        <v>216</v>
      </c>
      <c r="B2449" s="3" t="s">
        <v>238</v>
      </c>
      <c r="C2449" s="3" t="s">
        <v>239</v>
      </c>
    </row>
    <row r="2450">
      <c r="A2450" s="3" t="s">
        <v>216</v>
      </c>
      <c r="B2450" s="3" t="s">
        <v>238</v>
      </c>
      <c r="C2450" s="3" t="s">
        <v>240</v>
      </c>
    </row>
    <row r="2451">
      <c r="A2451" s="3" t="s">
        <v>216</v>
      </c>
      <c r="B2451" s="3" t="s">
        <v>238</v>
      </c>
      <c r="C2451" s="3" t="s">
        <v>241</v>
      </c>
    </row>
    <row r="2452">
      <c r="A2452" s="3" t="s">
        <v>216</v>
      </c>
      <c r="B2452" s="3" t="s">
        <v>238</v>
      </c>
      <c r="C2452" s="3" t="s">
        <v>242</v>
      </c>
    </row>
    <row r="2453">
      <c r="A2453" s="3" t="s">
        <v>216</v>
      </c>
      <c r="B2453" s="3" t="s">
        <v>238</v>
      </c>
      <c r="C2453" s="3" t="s">
        <v>243</v>
      </c>
    </row>
    <row r="2454">
      <c r="A2454" s="3" t="s">
        <v>216</v>
      </c>
      <c r="B2454" s="3" t="s">
        <v>238</v>
      </c>
      <c r="C2454" s="3" t="s">
        <v>244</v>
      </c>
    </row>
    <row r="2455">
      <c r="A2455" s="3" t="s">
        <v>216</v>
      </c>
      <c r="B2455" s="3" t="s">
        <v>238</v>
      </c>
      <c r="C2455" s="3" t="s">
        <v>145</v>
      </c>
    </row>
    <row r="2456">
      <c r="A2456" s="3" t="s">
        <v>216</v>
      </c>
      <c r="B2456" s="3" t="s">
        <v>238</v>
      </c>
      <c r="C2456" s="3" t="s">
        <v>62</v>
      </c>
    </row>
    <row r="2457">
      <c r="A2457" s="3" t="s">
        <v>216</v>
      </c>
      <c r="B2457" s="3" t="s">
        <v>238</v>
      </c>
      <c r="C2457" s="3" t="s">
        <v>245</v>
      </c>
    </row>
    <row r="2458">
      <c r="A2458" s="3" t="s">
        <v>216</v>
      </c>
      <c r="B2458" s="3" t="s">
        <v>221</v>
      </c>
      <c r="C2458" s="3" t="s">
        <v>246</v>
      </c>
    </row>
    <row r="2459">
      <c r="A2459" s="3" t="s">
        <v>216</v>
      </c>
      <c r="B2459" s="3" t="s">
        <v>221</v>
      </c>
      <c r="C2459" s="3" t="s">
        <v>247</v>
      </c>
    </row>
    <row r="2460">
      <c r="A2460" s="3" t="s">
        <v>216</v>
      </c>
      <c r="B2460" s="3" t="s">
        <v>221</v>
      </c>
      <c r="C2460" s="3" t="s">
        <v>248</v>
      </c>
    </row>
    <row r="2461">
      <c r="A2461" s="3" t="s">
        <v>216</v>
      </c>
      <c r="B2461" s="3" t="s">
        <v>221</v>
      </c>
      <c r="C2461" s="3" t="s">
        <v>237</v>
      </c>
    </row>
    <row r="2462">
      <c r="A2462" s="3" t="s">
        <v>216</v>
      </c>
      <c r="B2462" s="3" t="s">
        <v>221</v>
      </c>
      <c r="C2462" s="3" t="s">
        <v>249</v>
      </c>
    </row>
    <row r="2463">
      <c r="A2463" s="3" t="s">
        <v>216</v>
      </c>
      <c r="B2463" s="3" t="s">
        <v>221</v>
      </c>
      <c r="C2463" s="3" t="s">
        <v>250</v>
      </c>
    </row>
    <row r="2464">
      <c r="A2464" s="3" t="s">
        <v>216</v>
      </c>
      <c r="B2464" s="3" t="s">
        <v>221</v>
      </c>
      <c r="C2464" s="3" t="s">
        <v>222</v>
      </c>
    </row>
    <row r="2465">
      <c r="A2465" s="3" t="s">
        <v>216</v>
      </c>
      <c r="B2465" s="3" t="s">
        <v>225</v>
      </c>
      <c r="C2465" s="3" t="s">
        <v>158</v>
      </c>
    </row>
    <row r="2466">
      <c r="A2466" s="3" t="s">
        <v>216</v>
      </c>
      <c r="B2466" s="3" t="s">
        <v>221</v>
      </c>
      <c r="C2466" s="3" t="s">
        <v>250</v>
      </c>
    </row>
    <row r="2467">
      <c r="A2467" s="3" t="s">
        <v>216</v>
      </c>
      <c r="B2467" s="3" t="s">
        <v>219</v>
      </c>
      <c r="C2467" s="3" t="s">
        <v>258</v>
      </c>
    </row>
    <row r="2468">
      <c r="A2468" s="3" t="s">
        <v>216</v>
      </c>
      <c r="B2468" s="3" t="s">
        <v>230</v>
      </c>
      <c r="C2468" s="3" t="s">
        <v>231</v>
      </c>
    </row>
    <row r="2469">
      <c r="A2469" s="3" t="s">
        <v>216</v>
      </c>
      <c r="B2469" s="3" t="s">
        <v>219</v>
      </c>
      <c r="C2469" s="3" t="s">
        <v>271</v>
      </c>
    </row>
    <row r="2470">
      <c r="A2470" s="3" t="s">
        <v>216</v>
      </c>
      <c r="B2470" s="3" t="s">
        <v>225</v>
      </c>
      <c r="C2470" s="3" t="s">
        <v>226</v>
      </c>
    </row>
    <row r="2471">
      <c r="A2471" s="3" t="s">
        <v>216</v>
      </c>
      <c r="B2471" s="3" t="s">
        <v>230</v>
      </c>
      <c r="C2471" s="3" t="s">
        <v>259</v>
      </c>
    </row>
    <row r="2472">
      <c r="A2472" s="3" t="s">
        <v>216</v>
      </c>
      <c r="B2472" s="3" t="s">
        <v>238</v>
      </c>
      <c r="C2472" s="3" t="s">
        <v>62</v>
      </c>
    </row>
    <row r="2473">
      <c r="A2473" s="3" t="s">
        <v>216</v>
      </c>
      <c r="B2473" s="3" t="s">
        <v>223</v>
      </c>
      <c r="C2473" s="3" t="s">
        <v>224</v>
      </c>
    </row>
    <row r="2474">
      <c r="A2474" s="3" t="s">
        <v>216</v>
      </c>
      <c r="B2474" s="3" t="s">
        <v>238</v>
      </c>
      <c r="C2474" s="3" t="s">
        <v>62</v>
      </c>
    </row>
    <row r="2475">
      <c r="A2475" s="3" t="s">
        <v>216</v>
      </c>
      <c r="B2475" s="3" t="s">
        <v>251</v>
      </c>
      <c r="C2475" s="3" t="s">
        <v>252</v>
      </c>
    </row>
    <row r="2476">
      <c r="A2476" s="3" t="s">
        <v>216</v>
      </c>
      <c r="B2476" s="3" t="s">
        <v>217</v>
      </c>
      <c r="C2476" s="3" t="s">
        <v>265</v>
      </c>
    </row>
    <row r="2477">
      <c r="A2477" s="3" t="s">
        <v>216</v>
      </c>
      <c r="B2477" s="3" t="s">
        <v>223</v>
      </c>
      <c r="C2477" s="3" t="s">
        <v>227</v>
      </c>
    </row>
    <row r="2478">
      <c r="A2478" s="3" t="s">
        <v>216</v>
      </c>
      <c r="B2478" s="3" t="s">
        <v>223</v>
      </c>
      <c r="C2478" s="3" t="s">
        <v>279</v>
      </c>
    </row>
    <row r="2479">
      <c r="A2479" s="3" t="s">
        <v>216</v>
      </c>
      <c r="B2479" s="3" t="s">
        <v>225</v>
      </c>
      <c r="C2479" s="3" t="s">
        <v>158</v>
      </c>
    </row>
    <row r="2480">
      <c r="A2480" s="3" t="s">
        <v>216</v>
      </c>
      <c r="B2480" s="3" t="s">
        <v>230</v>
      </c>
      <c r="C2480" s="3" t="s">
        <v>274</v>
      </c>
    </row>
    <row r="2481">
      <c r="A2481" s="3" t="s">
        <v>216</v>
      </c>
      <c r="B2481" s="3" t="s">
        <v>223</v>
      </c>
      <c r="C2481" s="3" t="s">
        <v>227</v>
      </c>
    </row>
    <row r="2482">
      <c r="A2482" s="3" t="s">
        <v>216</v>
      </c>
      <c r="B2482" s="3" t="s">
        <v>225</v>
      </c>
      <c r="C2482" s="3" t="s">
        <v>158</v>
      </c>
    </row>
    <row r="2483">
      <c r="A2483" s="3" t="s">
        <v>216</v>
      </c>
      <c r="B2483" s="3" t="s">
        <v>225</v>
      </c>
      <c r="C2483" s="3" t="s">
        <v>275</v>
      </c>
    </row>
    <row r="2484">
      <c r="A2484" s="3" t="s">
        <v>216</v>
      </c>
      <c r="B2484" s="3" t="s">
        <v>225</v>
      </c>
      <c r="C2484" s="3" t="s">
        <v>256</v>
      </c>
    </row>
    <row r="2485">
      <c r="A2485" s="3" t="s">
        <v>216</v>
      </c>
      <c r="B2485" s="3" t="s">
        <v>225</v>
      </c>
      <c r="C2485" s="3" t="s">
        <v>270</v>
      </c>
    </row>
    <row r="2486">
      <c r="A2486" s="3" t="s">
        <v>216</v>
      </c>
      <c r="B2486" s="3" t="s">
        <v>225</v>
      </c>
      <c r="C2486" s="3" t="s">
        <v>226</v>
      </c>
    </row>
    <row r="2487">
      <c r="A2487" s="3" t="s">
        <v>216</v>
      </c>
      <c r="B2487" s="3" t="s">
        <v>225</v>
      </c>
      <c r="C2487" s="3" t="s">
        <v>228</v>
      </c>
    </row>
    <row r="2488">
      <c r="A2488" s="3" t="s">
        <v>216</v>
      </c>
      <c r="B2488" s="3" t="s">
        <v>225</v>
      </c>
      <c r="C2488" s="3" t="s">
        <v>277</v>
      </c>
    </row>
    <row r="2489">
      <c r="A2489" s="3" t="s">
        <v>216</v>
      </c>
      <c r="B2489" s="3" t="s">
        <v>225</v>
      </c>
      <c r="C2489" s="3" t="s">
        <v>158</v>
      </c>
    </row>
    <row r="2490">
      <c r="A2490" s="3" t="s">
        <v>216</v>
      </c>
      <c r="B2490" s="3" t="s">
        <v>225</v>
      </c>
      <c r="C2490" s="3" t="s">
        <v>275</v>
      </c>
    </row>
    <row r="2491">
      <c r="A2491" s="3" t="s">
        <v>216</v>
      </c>
      <c r="B2491" s="3" t="s">
        <v>225</v>
      </c>
      <c r="C2491" s="3" t="s">
        <v>256</v>
      </c>
    </row>
    <row r="2492">
      <c r="A2492" s="3" t="s">
        <v>216</v>
      </c>
      <c r="B2492" s="3" t="s">
        <v>225</v>
      </c>
      <c r="C2492" s="3" t="s">
        <v>270</v>
      </c>
    </row>
    <row r="2493">
      <c r="A2493" s="3" t="s">
        <v>216</v>
      </c>
      <c r="B2493" s="3" t="s">
        <v>225</v>
      </c>
      <c r="C2493" s="3" t="s">
        <v>226</v>
      </c>
    </row>
    <row r="2494">
      <c r="A2494" s="3" t="s">
        <v>216</v>
      </c>
      <c r="B2494" s="3" t="s">
        <v>225</v>
      </c>
      <c r="C2494" s="3" t="s">
        <v>228</v>
      </c>
    </row>
    <row r="2495">
      <c r="A2495" s="3" t="s">
        <v>216</v>
      </c>
      <c r="B2495" s="3" t="s">
        <v>225</v>
      </c>
      <c r="C2495" s="3" t="s">
        <v>277</v>
      </c>
    </row>
    <row r="2496">
      <c r="A2496" s="3" t="s">
        <v>216</v>
      </c>
      <c r="B2496" s="3" t="s">
        <v>219</v>
      </c>
      <c r="C2496" s="3" t="s">
        <v>268</v>
      </c>
    </row>
    <row r="2497">
      <c r="A2497" s="3" t="s">
        <v>216</v>
      </c>
      <c r="B2497" s="3" t="s">
        <v>238</v>
      </c>
      <c r="C2497" s="3" t="s">
        <v>243</v>
      </c>
    </row>
    <row r="2498">
      <c r="A2498" s="3" t="s">
        <v>216</v>
      </c>
      <c r="B2498" s="3" t="s">
        <v>217</v>
      </c>
      <c r="C2498" s="3" t="s">
        <v>265</v>
      </c>
    </row>
    <row r="2499">
      <c r="A2499" s="3" t="s">
        <v>216</v>
      </c>
      <c r="B2499" s="3" t="s">
        <v>238</v>
      </c>
      <c r="C2499" s="3" t="s">
        <v>243</v>
      </c>
    </row>
    <row r="2500">
      <c r="A2500" s="3" t="s">
        <v>216</v>
      </c>
      <c r="B2500" s="3" t="s">
        <v>225</v>
      </c>
      <c r="C2500" s="3" t="s">
        <v>158</v>
      </c>
    </row>
    <row r="2501">
      <c r="A2501" s="3" t="s">
        <v>216</v>
      </c>
      <c r="B2501" s="3" t="s">
        <v>225</v>
      </c>
      <c r="C2501" s="3" t="s">
        <v>158</v>
      </c>
    </row>
    <row r="2502">
      <c r="A2502" s="3" t="s">
        <v>216</v>
      </c>
      <c r="B2502" s="3" t="s">
        <v>225</v>
      </c>
      <c r="C2502" s="3" t="s">
        <v>270</v>
      </c>
    </row>
    <row r="2503">
      <c r="A2503" s="3" t="s">
        <v>216</v>
      </c>
      <c r="B2503" s="3" t="s">
        <v>238</v>
      </c>
      <c r="C2503" s="3" t="s">
        <v>242</v>
      </c>
    </row>
    <row r="2504">
      <c r="A2504" s="3" t="s">
        <v>216</v>
      </c>
      <c r="B2504" s="3" t="s">
        <v>230</v>
      </c>
      <c r="C2504" s="3" t="s">
        <v>260</v>
      </c>
    </row>
    <row r="2505">
      <c r="A2505" s="3" t="s">
        <v>216</v>
      </c>
      <c r="B2505" s="3" t="s">
        <v>225</v>
      </c>
      <c r="C2505" s="3" t="s">
        <v>256</v>
      </c>
    </row>
    <row r="2506">
      <c r="A2506" s="3" t="s">
        <v>216</v>
      </c>
      <c r="B2506" s="3" t="s">
        <v>225</v>
      </c>
      <c r="C2506" s="3" t="s">
        <v>158</v>
      </c>
    </row>
    <row r="2507">
      <c r="A2507" s="3" t="s">
        <v>216</v>
      </c>
      <c r="B2507" s="3" t="s">
        <v>238</v>
      </c>
      <c r="C2507" s="3" t="s">
        <v>245</v>
      </c>
    </row>
    <row r="2508">
      <c r="A2508" s="3" t="s">
        <v>216</v>
      </c>
      <c r="B2508" s="3" t="s">
        <v>225</v>
      </c>
      <c r="C2508" s="3" t="s">
        <v>256</v>
      </c>
    </row>
    <row r="2509">
      <c r="A2509" s="3" t="s">
        <v>216</v>
      </c>
      <c r="B2509" s="3" t="s">
        <v>251</v>
      </c>
      <c r="C2509" s="3" t="s">
        <v>263</v>
      </c>
    </row>
    <row r="2510">
      <c r="A2510" s="3" t="s">
        <v>216</v>
      </c>
      <c r="B2510" s="3" t="s">
        <v>223</v>
      </c>
      <c r="C2510" s="3" t="s">
        <v>279</v>
      </c>
    </row>
    <row r="2511">
      <c r="A2511" s="3" t="s">
        <v>216</v>
      </c>
      <c r="B2511" s="3" t="s">
        <v>230</v>
      </c>
      <c r="C2511" s="3" t="s">
        <v>274</v>
      </c>
    </row>
    <row r="2512">
      <c r="A2512" s="3" t="s">
        <v>216</v>
      </c>
      <c r="B2512" s="3" t="s">
        <v>217</v>
      </c>
      <c r="C2512" s="3" t="s">
        <v>266</v>
      </c>
    </row>
    <row r="2513">
      <c r="A2513" s="3" t="s">
        <v>216</v>
      </c>
      <c r="B2513" s="3" t="s">
        <v>219</v>
      </c>
      <c r="C2513" s="3" t="s">
        <v>220</v>
      </c>
    </row>
    <row r="2514">
      <c r="A2514" s="3" t="s">
        <v>216</v>
      </c>
      <c r="B2514" s="3" t="s">
        <v>225</v>
      </c>
      <c r="C2514" s="3" t="s">
        <v>270</v>
      </c>
    </row>
    <row r="2515">
      <c r="A2515" s="3" t="s">
        <v>216</v>
      </c>
      <c r="B2515" s="3" t="s">
        <v>217</v>
      </c>
      <c r="C2515" s="3" t="s">
        <v>232</v>
      </c>
    </row>
    <row r="2516">
      <c r="A2516" s="3" t="s">
        <v>216</v>
      </c>
      <c r="B2516" s="3" t="s">
        <v>238</v>
      </c>
      <c r="C2516" s="3" t="s">
        <v>243</v>
      </c>
    </row>
    <row r="2517">
      <c r="A2517" s="3" t="s">
        <v>216</v>
      </c>
      <c r="B2517" s="3" t="s">
        <v>217</v>
      </c>
      <c r="C2517" s="3" t="s">
        <v>232</v>
      </c>
    </row>
    <row r="2518">
      <c r="A2518" s="3" t="s">
        <v>216</v>
      </c>
      <c r="B2518" s="3" t="s">
        <v>230</v>
      </c>
      <c r="C2518" s="3" t="s">
        <v>260</v>
      </c>
    </row>
    <row r="2519">
      <c r="A2519" s="3" t="s">
        <v>216</v>
      </c>
      <c r="B2519" s="3" t="s">
        <v>217</v>
      </c>
      <c r="C2519" s="3" t="s">
        <v>266</v>
      </c>
    </row>
    <row r="2520">
      <c r="A2520" s="3" t="s">
        <v>216</v>
      </c>
      <c r="B2520" s="3" t="s">
        <v>225</v>
      </c>
      <c r="C2520" s="3" t="s">
        <v>158</v>
      </c>
    </row>
    <row r="2521">
      <c r="A2521" s="3" t="s">
        <v>216</v>
      </c>
      <c r="B2521" s="3" t="s">
        <v>225</v>
      </c>
      <c r="C2521" s="3" t="s">
        <v>228</v>
      </c>
    </row>
    <row r="2522">
      <c r="A2522" s="3" t="s">
        <v>216</v>
      </c>
      <c r="B2522" s="3" t="s">
        <v>219</v>
      </c>
      <c r="C2522" s="3" t="s">
        <v>258</v>
      </c>
    </row>
    <row r="2523">
      <c r="A2523" s="3" t="s">
        <v>216</v>
      </c>
      <c r="B2523" s="3" t="s">
        <v>225</v>
      </c>
      <c r="C2523" s="3" t="s">
        <v>256</v>
      </c>
    </row>
    <row r="2524">
      <c r="A2524" s="3" t="s">
        <v>216</v>
      </c>
      <c r="B2524" s="3" t="s">
        <v>251</v>
      </c>
      <c r="C2524" s="3" t="s">
        <v>267</v>
      </c>
    </row>
    <row r="2525">
      <c r="A2525" s="3" t="s">
        <v>216</v>
      </c>
      <c r="B2525" s="3" t="s">
        <v>251</v>
      </c>
      <c r="C2525" s="3" t="s">
        <v>267</v>
      </c>
    </row>
    <row r="2526">
      <c r="A2526" s="3" t="s">
        <v>216</v>
      </c>
      <c r="B2526" s="3" t="s">
        <v>230</v>
      </c>
      <c r="C2526" s="3" t="s">
        <v>280</v>
      </c>
    </row>
    <row r="2527">
      <c r="A2527" s="3" t="s">
        <v>216</v>
      </c>
      <c r="B2527" s="3" t="s">
        <v>219</v>
      </c>
      <c r="C2527" s="3" t="s">
        <v>258</v>
      </c>
    </row>
    <row r="2528">
      <c r="A2528" s="3" t="s">
        <v>216</v>
      </c>
      <c r="B2528" s="3" t="s">
        <v>225</v>
      </c>
      <c r="C2528" s="3" t="s">
        <v>158</v>
      </c>
    </row>
    <row r="2529">
      <c r="A2529" s="3" t="s">
        <v>216</v>
      </c>
      <c r="B2529" s="3" t="s">
        <v>225</v>
      </c>
      <c r="C2529" s="3" t="s">
        <v>228</v>
      </c>
    </row>
    <row r="2530">
      <c r="A2530" s="3" t="s">
        <v>216</v>
      </c>
      <c r="B2530" s="3" t="s">
        <v>225</v>
      </c>
      <c r="C2530" s="3" t="s">
        <v>228</v>
      </c>
    </row>
    <row r="2531">
      <c r="A2531" s="3" t="s">
        <v>216</v>
      </c>
      <c r="B2531" s="3" t="s">
        <v>219</v>
      </c>
      <c r="C2531" s="3" t="s">
        <v>262</v>
      </c>
    </row>
    <row r="2532">
      <c r="A2532" s="3" t="s">
        <v>216</v>
      </c>
      <c r="B2532" s="3" t="s">
        <v>230</v>
      </c>
      <c r="C2532" s="3" t="s">
        <v>280</v>
      </c>
    </row>
    <row r="2533">
      <c r="A2533" s="3" t="s">
        <v>216</v>
      </c>
      <c r="B2533" s="3" t="s">
        <v>251</v>
      </c>
      <c r="C2533" s="3" t="s">
        <v>257</v>
      </c>
    </row>
    <row r="2534">
      <c r="A2534" s="3" t="s">
        <v>216</v>
      </c>
      <c r="B2534" s="3" t="s">
        <v>219</v>
      </c>
      <c r="C2534" s="3" t="s">
        <v>268</v>
      </c>
    </row>
    <row r="2535">
      <c r="A2535" s="3" t="s">
        <v>216</v>
      </c>
      <c r="B2535" s="3" t="s">
        <v>225</v>
      </c>
      <c r="C2535" s="3" t="s">
        <v>270</v>
      </c>
    </row>
    <row r="2536">
      <c r="A2536" s="3" t="s">
        <v>216</v>
      </c>
      <c r="B2536" s="3" t="s">
        <v>225</v>
      </c>
      <c r="C2536" s="3" t="s">
        <v>158</v>
      </c>
    </row>
    <row r="2537">
      <c r="A2537" s="3" t="s">
        <v>216</v>
      </c>
      <c r="B2537" s="3" t="s">
        <v>219</v>
      </c>
      <c r="C2537" s="3" t="s">
        <v>258</v>
      </c>
    </row>
    <row r="2538">
      <c r="A2538" s="3" t="s">
        <v>216</v>
      </c>
      <c r="B2538" s="3" t="s">
        <v>219</v>
      </c>
      <c r="C2538" s="3" t="s">
        <v>258</v>
      </c>
    </row>
    <row r="2539">
      <c r="A2539" s="3" t="s">
        <v>216</v>
      </c>
      <c r="B2539" s="3" t="s">
        <v>223</v>
      </c>
      <c r="C2539" s="3" t="s">
        <v>273</v>
      </c>
    </row>
    <row r="2540">
      <c r="A2540" s="3" t="s">
        <v>216</v>
      </c>
      <c r="B2540" s="3" t="s">
        <v>217</v>
      </c>
      <c r="C2540" s="3" t="s">
        <v>272</v>
      </c>
    </row>
    <row r="2541">
      <c r="A2541" s="3" t="s">
        <v>216</v>
      </c>
      <c r="B2541" s="3" t="s">
        <v>230</v>
      </c>
      <c r="C2541" s="3" t="s">
        <v>259</v>
      </c>
    </row>
    <row r="2542">
      <c r="A2542" s="3" t="s">
        <v>216</v>
      </c>
      <c r="B2542" s="3" t="s">
        <v>219</v>
      </c>
      <c r="C2542" s="3" t="s">
        <v>258</v>
      </c>
    </row>
    <row r="2543">
      <c r="A2543" s="3" t="s">
        <v>216</v>
      </c>
      <c r="B2543" s="3" t="s">
        <v>219</v>
      </c>
      <c r="C2543" s="3" t="s">
        <v>258</v>
      </c>
    </row>
    <row r="2544">
      <c r="A2544" s="3" t="s">
        <v>216</v>
      </c>
      <c r="B2544" s="3" t="s">
        <v>219</v>
      </c>
      <c r="C2544" s="3" t="s">
        <v>258</v>
      </c>
    </row>
    <row r="2545">
      <c r="A2545" s="3" t="s">
        <v>216</v>
      </c>
      <c r="B2545" s="3" t="s">
        <v>219</v>
      </c>
      <c r="C2545" s="3" t="s">
        <v>258</v>
      </c>
    </row>
    <row r="2546">
      <c r="A2546" s="3" t="s">
        <v>216</v>
      </c>
      <c r="B2546" s="3" t="s">
        <v>238</v>
      </c>
      <c r="C2546" s="3" t="s">
        <v>145</v>
      </c>
    </row>
    <row r="2547">
      <c r="A2547" s="3" t="s">
        <v>216</v>
      </c>
      <c r="B2547" s="3" t="s">
        <v>238</v>
      </c>
      <c r="C2547" s="3" t="s">
        <v>245</v>
      </c>
    </row>
    <row r="2548">
      <c r="A2548" s="3" t="s">
        <v>216</v>
      </c>
      <c r="B2548" s="3" t="s">
        <v>230</v>
      </c>
      <c r="C2548" s="3" t="s">
        <v>259</v>
      </c>
    </row>
    <row r="2549">
      <c r="A2549" s="3" t="s">
        <v>216</v>
      </c>
      <c r="B2549" s="3" t="s">
        <v>217</v>
      </c>
      <c r="C2549" s="3" t="s">
        <v>265</v>
      </c>
    </row>
    <row r="2550">
      <c r="A2550" s="3" t="s">
        <v>216</v>
      </c>
      <c r="B2550" s="3" t="s">
        <v>217</v>
      </c>
      <c r="C2550" s="3" t="s">
        <v>265</v>
      </c>
    </row>
    <row r="2551">
      <c r="A2551" s="3" t="s">
        <v>216</v>
      </c>
      <c r="B2551" s="3" t="s">
        <v>217</v>
      </c>
      <c r="C2551" s="3" t="s">
        <v>264</v>
      </c>
    </row>
    <row r="2552">
      <c r="A2552" s="3" t="s">
        <v>216</v>
      </c>
      <c r="B2552" s="3" t="s">
        <v>219</v>
      </c>
      <c r="C2552" s="3" t="s">
        <v>220</v>
      </c>
    </row>
    <row r="2553">
      <c r="A2553" s="3" t="s">
        <v>216</v>
      </c>
      <c r="B2553" s="3" t="s">
        <v>238</v>
      </c>
      <c r="C2553" s="3" t="s">
        <v>245</v>
      </c>
    </row>
    <row r="2554">
      <c r="A2554" s="3" t="s">
        <v>216</v>
      </c>
      <c r="B2554" s="3" t="s">
        <v>225</v>
      </c>
      <c r="C2554" s="3" t="s">
        <v>158</v>
      </c>
    </row>
    <row r="2555">
      <c r="A2555" s="3" t="s">
        <v>216</v>
      </c>
      <c r="B2555" s="3" t="s">
        <v>217</v>
      </c>
      <c r="C2555" s="3" t="s">
        <v>266</v>
      </c>
    </row>
    <row r="2556">
      <c r="A2556" s="3" t="s">
        <v>216</v>
      </c>
      <c r="B2556" s="3" t="s">
        <v>223</v>
      </c>
      <c r="C2556" s="3" t="s">
        <v>224</v>
      </c>
    </row>
    <row r="2557">
      <c r="A2557" s="3" t="s">
        <v>216</v>
      </c>
      <c r="B2557" s="3" t="s">
        <v>221</v>
      </c>
      <c r="C2557" s="3" t="s">
        <v>249</v>
      </c>
    </row>
    <row r="2558">
      <c r="A2558" s="3" t="s">
        <v>216</v>
      </c>
      <c r="B2558" s="3" t="s">
        <v>217</v>
      </c>
      <c r="C2558" s="3" t="s">
        <v>266</v>
      </c>
    </row>
    <row r="2559">
      <c r="A2559" s="3" t="s">
        <v>216</v>
      </c>
      <c r="B2559" s="3" t="s">
        <v>230</v>
      </c>
      <c r="C2559" s="3" t="s">
        <v>274</v>
      </c>
    </row>
    <row r="2560">
      <c r="A2560" s="3" t="s">
        <v>216</v>
      </c>
      <c r="B2560" s="3" t="s">
        <v>230</v>
      </c>
      <c r="C2560" s="3" t="s">
        <v>259</v>
      </c>
    </row>
    <row r="2561">
      <c r="A2561" s="3" t="s">
        <v>216</v>
      </c>
      <c r="B2561" s="3" t="s">
        <v>219</v>
      </c>
      <c r="C2561" s="3" t="s">
        <v>258</v>
      </c>
    </row>
    <row r="2562">
      <c r="A2562" s="3" t="s">
        <v>216</v>
      </c>
      <c r="B2562" s="3" t="s">
        <v>217</v>
      </c>
      <c r="C2562" s="3" t="s">
        <v>265</v>
      </c>
    </row>
    <row r="2563">
      <c r="A2563" s="3" t="s">
        <v>216</v>
      </c>
      <c r="B2563" s="3" t="s">
        <v>219</v>
      </c>
      <c r="C2563" s="3" t="s">
        <v>258</v>
      </c>
    </row>
    <row r="2564">
      <c r="A2564" s="3" t="s">
        <v>216</v>
      </c>
      <c r="B2564" s="3" t="s">
        <v>223</v>
      </c>
      <c r="C2564" s="3" t="s">
        <v>276</v>
      </c>
    </row>
    <row r="2565">
      <c r="A2565" s="3" t="s">
        <v>216</v>
      </c>
      <c r="B2565" s="3" t="s">
        <v>219</v>
      </c>
      <c r="C2565" s="3" t="s">
        <v>220</v>
      </c>
    </row>
    <row r="2566">
      <c r="A2566" s="3" t="s">
        <v>216</v>
      </c>
      <c r="B2566" s="3" t="s">
        <v>219</v>
      </c>
      <c r="C2566" s="3" t="s">
        <v>220</v>
      </c>
    </row>
    <row r="2567">
      <c r="A2567" s="3" t="s">
        <v>216</v>
      </c>
      <c r="B2567" s="3" t="s">
        <v>219</v>
      </c>
      <c r="C2567" s="3" t="s">
        <v>220</v>
      </c>
    </row>
    <row r="2568">
      <c r="A2568" s="3" t="s">
        <v>216</v>
      </c>
      <c r="B2568" s="3" t="s">
        <v>219</v>
      </c>
      <c r="C2568" s="3" t="s">
        <v>220</v>
      </c>
    </row>
    <row r="2569">
      <c r="A2569" s="3" t="s">
        <v>216</v>
      </c>
      <c r="B2569" s="3" t="s">
        <v>219</v>
      </c>
      <c r="C2569" s="3" t="s">
        <v>220</v>
      </c>
    </row>
    <row r="2570">
      <c r="A2570" s="3" t="s">
        <v>216</v>
      </c>
      <c r="B2570" s="3" t="s">
        <v>219</v>
      </c>
      <c r="C2570" s="3" t="s">
        <v>220</v>
      </c>
    </row>
    <row r="2571">
      <c r="A2571" s="3" t="s">
        <v>216</v>
      </c>
      <c r="B2571" s="3" t="s">
        <v>219</v>
      </c>
      <c r="C2571" s="3" t="s">
        <v>220</v>
      </c>
    </row>
    <row r="2572">
      <c r="A2572" s="3" t="s">
        <v>216</v>
      </c>
      <c r="B2572" s="3" t="s">
        <v>219</v>
      </c>
      <c r="C2572" s="3" t="s">
        <v>220</v>
      </c>
    </row>
    <row r="2573">
      <c r="A2573" s="3" t="s">
        <v>216</v>
      </c>
      <c r="B2573" s="3" t="s">
        <v>221</v>
      </c>
      <c r="C2573" s="3" t="s">
        <v>248</v>
      </c>
    </row>
    <row r="2574">
      <c r="A2574" s="3" t="s">
        <v>216</v>
      </c>
      <c r="B2574" s="3" t="s">
        <v>230</v>
      </c>
      <c r="C2574" s="3" t="s">
        <v>253</v>
      </c>
    </row>
    <row r="2575">
      <c r="A2575" s="3" t="s">
        <v>216</v>
      </c>
      <c r="B2575" s="3" t="s">
        <v>230</v>
      </c>
      <c r="C2575" s="3" t="s">
        <v>253</v>
      </c>
    </row>
    <row r="2576">
      <c r="A2576" s="3" t="s">
        <v>216</v>
      </c>
      <c r="B2576" s="3" t="s">
        <v>223</v>
      </c>
      <c r="C2576" s="3" t="s">
        <v>273</v>
      </c>
    </row>
    <row r="2577">
      <c r="A2577" s="3" t="s">
        <v>216</v>
      </c>
      <c r="B2577" s="3" t="s">
        <v>219</v>
      </c>
      <c r="C2577" s="3" t="s">
        <v>258</v>
      </c>
    </row>
    <row r="2578">
      <c r="A2578" s="3" t="s">
        <v>216</v>
      </c>
      <c r="B2578" s="3" t="s">
        <v>217</v>
      </c>
      <c r="C2578" s="3" t="s">
        <v>265</v>
      </c>
    </row>
    <row r="2579">
      <c r="A2579" s="3" t="s">
        <v>216</v>
      </c>
      <c r="B2579" s="3" t="s">
        <v>217</v>
      </c>
      <c r="C2579" s="3" t="s">
        <v>272</v>
      </c>
    </row>
    <row r="2580">
      <c r="A2580" s="3" t="s">
        <v>216</v>
      </c>
      <c r="B2580" s="3" t="s">
        <v>217</v>
      </c>
      <c r="C2580" s="3" t="s">
        <v>272</v>
      </c>
    </row>
    <row r="2581">
      <c r="A2581" s="3" t="s">
        <v>216</v>
      </c>
      <c r="B2581" s="3" t="s">
        <v>223</v>
      </c>
      <c r="C2581" s="3" t="s">
        <v>46</v>
      </c>
    </row>
    <row r="2582">
      <c r="A2582" s="3" t="s">
        <v>216</v>
      </c>
      <c r="B2582" s="3" t="s">
        <v>221</v>
      </c>
      <c r="C2582" s="3" t="s">
        <v>249</v>
      </c>
    </row>
    <row r="2583">
      <c r="A2583" s="3" t="s">
        <v>216</v>
      </c>
      <c r="B2583" s="3" t="s">
        <v>219</v>
      </c>
      <c r="C2583" s="3" t="s">
        <v>220</v>
      </c>
    </row>
    <row r="2584">
      <c r="A2584" s="3" t="s">
        <v>216</v>
      </c>
      <c r="B2584" s="3" t="s">
        <v>238</v>
      </c>
      <c r="C2584" s="3" t="s">
        <v>243</v>
      </c>
    </row>
    <row r="2585">
      <c r="A2585" s="3" t="s">
        <v>216</v>
      </c>
      <c r="B2585" s="3" t="s">
        <v>238</v>
      </c>
      <c r="C2585" s="3" t="s">
        <v>243</v>
      </c>
    </row>
    <row r="2586">
      <c r="A2586" s="3" t="s">
        <v>216</v>
      </c>
      <c r="B2586" s="3" t="s">
        <v>217</v>
      </c>
      <c r="C2586" s="3" t="s">
        <v>232</v>
      </c>
    </row>
    <row r="2587">
      <c r="A2587" s="3" t="s">
        <v>216</v>
      </c>
      <c r="B2587" s="3" t="s">
        <v>217</v>
      </c>
      <c r="C2587" s="3" t="s">
        <v>232</v>
      </c>
    </row>
    <row r="2588">
      <c r="A2588" s="3" t="s">
        <v>216</v>
      </c>
      <c r="B2588" s="3" t="s">
        <v>225</v>
      </c>
      <c r="C2588" s="3" t="s">
        <v>158</v>
      </c>
    </row>
    <row r="2589">
      <c r="A2589" s="3" t="s">
        <v>216</v>
      </c>
      <c r="B2589" s="3" t="s">
        <v>225</v>
      </c>
      <c r="C2589" s="3" t="s">
        <v>228</v>
      </c>
    </row>
    <row r="2590">
      <c r="A2590" s="3" t="s">
        <v>216</v>
      </c>
      <c r="B2590" s="3" t="s">
        <v>238</v>
      </c>
      <c r="C2590" s="3" t="s">
        <v>245</v>
      </c>
    </row>
    <row r="2591">
      <c r="A2591" s="3" t="s">
        <v>216</v>
      </c>
      <c r="B2591" s="3" t="s">
        <v>221</v>
      </c>
      <c r="C2591" s="3" t="s">
        <v>249</v>
      </c>
    </row>
    <row r="2592">
      <c r="A2592" s="3" t="s">
        <v>216</v>
      </c>
      <c r="B2592" s="3" t="s">
        <v>221</v>
      </c>
      <c r="C2592" s="3" t="s">
        <v>249</v>
      </c>
    </row>
    <row r="2593">
      <c r="A2593" s="3" t="s">
        <v>216</v>
      </c>
      <c r="B2593" s="3" t="s">
        <v>217</v>
      </c>
      <c r="C2593" s="3" t="s">
        <v>264</v>
      </c>
    </row>
    <row r="2594">
      <c r="A2594" s="3" t="s">
        <v>216</v>
      </c>
      <c r="B2594" s="3" t="s">
        <v>219</v>
      </c>
      <c r="C2594" s="3" t="s">
        <v>258</v>
      </c>
    </row>
    <row r="2595">
      <c r="A2595" s="3" t="s">
        <v>216</v>
      </c>
      <c r="B2595" s="3" t="s">
        <v>225</v>
      </c>
      <c r="C2595" s="3" t="s">
        <v>158</v>
      </c>
    </row>
    <row r="2596">
      <c r="A2596" s="3" t="s">
        <v>216</v>
      </c>
      <c r="B2596" s="3" t="s">
        <v>225</v>
      </c>
      <c r="C2596" s="3" t="s">
        <v>158</v>
      </c>
    </row>
    <row r="2597">
      <c r="A2597" s="3" t="s">
        <v>216</v>
      </c>
      <c r="B2597" s="3" t="s">
        <v>225</v>
      </c>
      <c r="C2597" s="3" t="s">
        <v>158</v>
      </c>
    </row>
    <row r="2598">
      <c r="A2598" s="3" t="s">
        <v>216</v>
      </c>
      <c r="B2598" s="3" t="s">
        <v>251</v>
      </c>
      <c r="C2598" s="3" t="s">
        <v>254</v>
      </c>
    </row>
    <row r="2599">
      <c r="A2599" s="3" t="s">
        <v>216</v>
      </c>
      <c r="B2599" s="3" t="s">
        <v>238</v>
      </c>
      <c r="C2599" s="3" t="s">
        <v>243</v>
      </c>
    </row>
    <row r="2600">
      <c r="A2600" s="3" t="s">
        <v>216</v>
      </c>
      <c r="B2600" s="3" t="s">
        <v>238</v>
      </c>
      <c r="C2600" s="3" t="s">
        <v>243</v>
      </c>
    </row>
    <row r="2601">
      <c r="A2601" s="3" t="s">
        <v>216</v>
      </c>
      <c r="B2601" s="3" t="s">
        <v>238</v>
      </c>
      <c r="C2601" s="3" t="s">
        <v>245</v>
      </c>
    </row>
    <row r="2602">
      <c r="A2602" s="3" t="s">
        <v>216</v>
      </c>
      <c r="B2602" s="3" t="s">
        <v>225</v>
      </c>
      <c r="C2602" s="3" t="s">
        <v>158</v>
      </c>
    </row>
    <row r="2603">
      <c r="A2603" s="3" t="s">
        <v>281</v>
      </c>
      <c r="B2603" s="3" t="s">
        <v>282</v>
      </c>
      <c r="C2603" s="3" t="s">
        <v>283</v>
      </c>
    </row>
    <row r="2604">
      <c r="A2604" s="3" t="s">
        <v>281</v>
      </c>
      <c r="B2604" s="3" t="s">
        <v>284</v>
      </c>
      <c r="C2604" s="3" t="s">
        <v>285</v>
      </c>
    </row>
    <row r="2605">
      <c r="A2605" s="3" t="s">
        <v>281</v>
      </c>
      <c r="B2605" s="3" t="s">
        <v>286</v>
      </c>
      <c r="C2605" s="3" t="s">
        <v>287</v>
      </c>
    </row>
    <row r="2606">
      <c r="A2606" s="3" t="s">
        <v>281</v>
      </c>
      <c r="B2606" s="3" t="s">
        <v>284</v>
      </c>
      <c r="C2606" s="3" t="s">
        <v>288</v>
      </c>
    </row>
    <row r="2607">
      <c r="A2607" s="3" t="s">
        <v>281</v>
      </c>
      <c r="B2607" s="3" t="s">
        <v>289</v>
      </c>
      <c r="C2607" s="3" t="s">
        <v>290</v>
      </c>
    </row>
    <row r="2608">
      <c r="A2608" s="3" t="s">
        <v>281</v>
      </c>
      <c r="B2608" s="3" t="s">
        <v>284</v>
      </c>
      <c r="C2608" s="3" t="s">
        <v>291</v>
      </c>
    </row>
    <row r="2609">
      <c r="A2609" s="3" t="s">
        <v>281</v>
      </c>
      <c r="B2609" s="3" t="s">
        <v>289</v>
      </c>
      <c r="C2609" s="3" t="s">
        <v>290</v>
      </c>
    </row>
    <row r="2610">
      <c r="A2610" s="3" t="s">
        <v>281</v>
      </c>
      <c r="B2610" s="3" t="s">
        <v>286</v>
      </c>
      <c r="C2610" s="3" t="s">
        <v>292</v>
      </c>
    </row>
    <row r="2611">
      <c r="A2611" s="3" t="s">
        <v>281</v>
      </c>
      <c r="B2611" s="3" t="s">
        <v>284</v>
      </c>
      <c r="C2611" s="3" t="s">
        <v>291</v>
      </c>
    </row>
    <row r="2612">
      <c r="A2612" s="3" t="s">
        <v>281</v>
      </c>
      <c r="B2612" s="3" t="s">
        <v>284</v>
      </c>
      <c r="C2612" s="3" t="s">
        <v>288</v>
      </c>
    </row>
    <row r="2613">
      <c r="A2613" s="3" t="s">
        <v>281</v>
      </c>
      <c r="B2613" s="3" t="s">
        <v>289</v>
      </c>
      <c r="C2613" s="3" t="s">
        <v>290</v>
      </c>
    </row>
    <row r="2614">
      <c r="A2614" s="3" t="s">
        <v>281</v>
      </c>
      <c r="B2614" s="3" t="s">
        <v>289</v>
      </c>
      <c r="C2614" s="3" t="s">
        <v>293</v>
      </c>
    </row>
    <row r="2615">
      <c r="A2615" s="3" t="s">
        <v>281</v>
      </c>
      <c r="B2615" s="3" t="s">
        <v>289</v>
      </c>
      <c r="C2615" s="3" t="s">
        <v>290</v>
      </c>
    </row>
    <row r="2616">
      <c r="A2616" s="3" t="s">
        <v>281</v>
      </c>
      <c r="B2616" s="3" t="s">
        <v>289</v>
      </c>
      <c r="C2616" s="3" t="s">
        <v>290</v>
      </c>
    </row>
    <row r="2617">
      <c r="A2617" s="3" t="s">
        <v>281</v>
      </c>
      <c r="B2617" s="3" t="s">
        <v>284</v>
      </c>
      <c r="C2617" s="3" t="s">
        <v>291</v>
      </c>
    </row>
    <row r="2618">
      <c r="A2618" s="3" t="s">
        <v>281</v>
      </c>
      <c r="B2618" s="3" t="s">
        <v>284</v>
      </c>
      <c r="C2618" s="3" t="s">
        <v>291</v>
      </c>
    </row>
    <row r="2619">
      <c r="A2619" s="3" t="s">
        <v>281</v>
      </c>
      <c r="B2619" s="3" t="s">
        <v>284</v>
      </c>
      <c r="C2619" s="3" t="s">
        <v>291</v>
      </c>
    </row>
    <row r="2620">
      <c r="A2620" s="3" t="s">
        <v>281</v>
      </c>
      <c r="B2620" s="3" t="s">
        <v>289</v>
      </c>
      <c r="C2620" s="3" t="s">
        <v>294</v>
      </c>
    </row>
    <row r="2621">
      <c r="A2621" s="3" t="s">
        <v>281</v>
      </c>
      <c r="B2621" s="3" t="s">
        <v>289</v>
      </c>
      <c r="C2621" s="3" t="s">
        <v>295</v>
      </c>
    </row>
    <row r="2622">
      <c r="A2622" s="3" t="s">
        <v>281</v>
      </c>
      <c r="B2622" s="3" t="s">
        <v>289</v>
      </c>
      <c r="C2622" s="3" t="s">
        <v>293</v>
      </c>
    </row>
    <row r="2623">
      <c r="A2623" s="3" t="s">
        <v>281</v>
      </c>
      <c r="B2623" s="3" t="s">
        <v>289</v>
      </c>
      <c r="C2623" s="3" t="s">
        <v>293</v>
      </c>
    </row>
    <row r="2624">
      <c r="A2624" s="3" t="s">
        <v>281</v>
      </c>
      <c r="B2624" s="3" t="s">
        <v>289</v>
      </c>
      <c r="C2624" s="3" t="s">
        <v>290</v>
      </c>
    </row>
    <row r="2625">
      <c r="A2625" s="3" t="s">
        <v>281</v>
      </c>
      <c r="B2625" s="3" t="s">
        <v>289</v>
      </c>
      <c r="C2625" s="3" t="s">
        <v>294</v>
      </c>
    </row>
    <row r="2626">
      <c r="A2626" s="3" t="s">
        <v>281</v>
      </c>
      <c r="B2626" s="3" t="s">
        <v>284</v>
      </c>
      <c r="C2626" s="3" t="s">
        <v>296</v>
      </c>
    </row>
    <row r="2627">
      <c r="A2627" s="3" t="s">
        <v>281</v>
      </c>
      <c r="B2627" s="3" t="s">
        <v>289</v>
      </c>
      <c r="C2627" s="3" t="s">
        <v>290</v>
      </c>
    </row>
    <row r="2628">
      <c r="A2628" s="3" t="s">
        <v>281</v>
      </c>
      <c r="B2628" s="3" t="s">
        <v>289</v>
      </c>
      <c r="C2628" s="3" t="s">
        <v>293</v>
      </c>
    </row>
    <row r="2629">
      <c r="A2629" s="3" t="s">
        <v>281</v>
      </c>
      <c r="B2629" s="3" t="s">
        <v>284</v>
      </c>
      <c r="C2629" s="3" t="s">
        <v>285</v>
      </c>
    </row>
    <row r="2630">
      <c r="A2630" s="3" t="s">
        <v>281</v>
      </c>
      <c r="B2630" s="3" t="s">
        <v>286</v>
      </c>
      <c r="C2630" s="3" t="s">
        <v>292</v>
      </c>
    </row>
    <row r="2631">
      <c r="A2631" s="3" t="s">
        <v>281</v>
      </c>
      <c r="B2631" s="3" t="s">
        <v>282</v>
      </c>
      <c r="C2631" s="3" t="s">
        <v>283</v>
      </c>
    </row>
    <row r="2632">
      <c r="A2632" s="3" t="s">
        <v>281</v>
      </c>
      <c r="B2632" s="3" t="s">
        <v>289</v>
      </c>
      <c r="C2632" s="3" t="s">
        <v>297</v>
      </c>
    </row>
    <row r="2633">
      <c r="A2633" s="3" t="s">
        <v>281</v>
      </c>
      <c r="B2633" s="3" t="s">
        <v>289</v>
      </c>
      <c r="C2633" s="3" t="s">
        <v>297</v>
      </c>
    </row>
    <row r="2634">
      <c r="A2634" s="3" t="s">
        <v>281</v>
      </c>
      <c r="B2634" s="3" t="s">
        <v>289</v>
      </c>
      <c r="C2634" s="3" t="s">
        <v>293</v>
      </c>
    </row>
    <row r="2635">
      <c r="A2635" s="3" t="s">
        <v>281</v>
      </c>
      <c r="B2635" s="3" t="s">
        <v>284</v>
      </c>
      <c r="C2635" s="3" t="s">
        <v>285</v>
      </c>
    </row>
    <row r="2636">
      <c r="A2636" s="3" t="s">
        <v>281</v>
      </c>
      <c r="B2636" s="3" t="s">
        <v>289</v>
      </c>
      <c r="C2636" s="3" t="s">
        <v>290</v>
      </c>
    </row>
    <row r="2637">
      <c r="A2637" s="3" t="s">
        <v>281</v>
      </c>
      <c r="B2637" s="3" t="s">
        <v>289</v>
      </c>
      <c r="C2637" s="3" t="s">
        <v>297</v>
      </c>
    </row>
    <row r="2638">
      <c r="A2638" s="3" t="s">
        <v>281</v>
      </c>
      <c r="B2638" s="3" t="s">
        <v>289</v>
      </c>
      <c r="C2638" s="3" t="s">
        <v>297</v>
      </c>
    </row>
    <row r="2639">
      <c r="A2639" s="3" t="s">
        <v>281</v>
      </c>
      <c r="B2639" s="3" t="s">
        <v>289</v>
      </c>
      <c r="C2639" s="3" t="s">
        <v>297</v>
      </c>
    </row>
    <row r="2640">
      <c r="A2640" s="3" t="s">
        <v>281</v>
      </c>
      <c r="B2640" s="3" t="s">
        <v>284</v>
      </c>
      <c r="C2640" s="3" t="s">
        <v>285</v>
      </c>
    </row>
    <row r="2641">
      <c r="A2641" s="3" t="s">
        <v>281</v>
      </c>
      <c r="B2641" s="3" t="s">
        <v>289</v>
      </c>
      <c r="C2641" s="3" t="s">
        <v>294</v>
      </c>
    </row>
    <row r="2642">
      <c r="A2642" s="3" t="s">
        <v>281</v>
      </c>
      <c r="B2642" s="3" t="s">
        <v>289</v>
      </c>
      <c r="C2642" s="3" t="s">
        <v>294</v>
      </c>
    </row>
    <row r="2643">
      <c r="A2643" s="3" t="s">
        <v>281</v>
      </c>
      <c r="B2643" s="3" t="s">
        <v>284</v>
      </c>
      <c r="C2643" s="3" t="s">
        <v>291</v>
      </c>
    </row>
    <row r="2644">
      <c r="A2644" s="3" t="s">
        <v>281</v>
      </c>
      <c r="B2644" s="3" t="s">
        <v>289</v>
      </c>
      <c r="C2644" s="3" t="s">
        <v>294</v>
      </c>
    </row>
    <row r="2645">
      <c r="A2645" s="3" t="s">
        <v>281</v>
      </c>
      <c r="B2645" s="3" t="s">
        <v>289</v>
      </c>
      <c r="C2645" s="3" t="s">
        <v>62</v>
      </c>
    </row>
    <row r="2646">
      <c r="A2646" s="3" t="s">
        <v>281</v>
      </c>
      <c r="B2646" s="3" t="s">
        <v>284</v>
      </c>
      <c r="C2646" s="3" t="s">
        <v>296</v>
      </c>
    </row>
    <row r="2647">
      <c r="A2647" s="3" t="s">
        <v>281</v>
      </c>
      <c r="B2647" s="3" t="s">
        <v>289</v>
      </c>
      <c r="C2647" s="3" t="s">
        <v>297</v>
      </c>
    </row>
    <row r="2648">
      <c r="A2648" s="3" t="s">
        <v>281</v>
      </c>
      <c r="B2648" s="3" t="s">
        <v>289</v>
      </c>
      <c r="C2648" s="3" t="s">
        <v>294</v>
      </c>
    </row>
    <row r="2649">
      <c r="A2649" s="3" t="s">
        <v>281</v>
      </c>
      <c r="B2649" s="3" t="s">
        <v>289</v>
      </c>
      <c r="C2649" s="3" t="s">
        <v>297</v>
      </c>
    </row>
    <row r="2650">
      <c r="A2650" s="3" t="s">
        <v>281</v>
      </c>
      <c r="B2650" s="3" t="s">
        <v>289</v>
      </c>
      <c r="C2650" s="3" t="s">
        <v>294</v>
      </c>
    </row>
    <row r="2651">
      <c r="A2651" s="3" t="s">
        <v>281</v>
      </c>
      <c r="B2651" s="3" t="s">
        <v>289</v>
      </c>
      <c r="C2651" s="3" t="s">
        <v>293</v>
      </c>
    </row>
    <row r="2652">
      <c r="A2652" s="3" t="s">
        <v>281</v>
      </c>
      <c r="B2652" s="3" t="s">
        <v>284</v>
      </c>
      <c r="C2652" s="3" t="s">
        <v>291</v>
      </c>
    </row>
    <row r="2653">
      <c r="A2653" s="3" t="s">
        <v>281</v>
      </c>
      <c r="B2653" s="3" t="s">
        <v>289</v>
      </c>
      <c r="C2653" s="3" t="s">
        <v>294</v>
      </c>
    </row>
    <row r="2654">
      <c r="A2654" s="3" t="s">
        <v>281</v>
      </c>
      <c r="B2654" s="3" t="s">
        <v>282</v>
      </c>
      <c r="C2654" s="3" t="s">
        <v>283</v>
      </c>
    </row>
    <row r="2655">
      <c r="A2655" s="3" t="s">
        <v>281</v>
      </c>
      <c r="B2655" s="3" t="s">
        <v>289</v>
      </c>
      <c r="C2655" s="3" t="s">
        <v>62</v>
      </c>
    </row>
    <row r="2656">
      <c r="A2656" s="3" t="s">
        <v>281</v>
      </c>
      <c r="B2656" s="3" t="s">
        <v>289</v>
      </c>
      <c r="C2656" s="3" t="s">
        <v>297</v>
      </c>
    </row>
    <row r="2657">
      <c r="A2657" s="3" t="s">
        <v>281</v>
      </c>
      <c r="B2657" s="3" t="s">
        <v>289</v>
      </c>
      <c r="C2657" s="3" t="s">
        <v>290</v>
      </c>
    </row>
    <row r="2658">
      <c r="A2658" s="3" t="s">
        <v>281</v>
      </c>
      <c r="B2658" s="3" t="s">
        <v>289</v>
      </c>
      <c r="C2658" s="3" t="s">
        <v>294</v>
      </c>
    </row>
    <row r="2659">
      <c r="A2659" s="3" t="s">
        <v>281</v>
      </c>
      <c r="B2659" s="3" t="s">
        <v>284</v>
      </c>
      <c r="C2659" s="3" t="s">
        <v>296</v>
      </c>
    </row>
    <row r="2660">
      <c r="A2660" s="3" t="s">
        <v>281</v>
      </c>
      <c r="B2660" s="3" t="s">
        <v>289</v>
      </c>
      <c r="C2660" s="3" t="s">
        <v>62</v>
      </c>
    </row>
    <row r="2661">
      <c r="A2661" s="3" t="s">
        <v>281</v>
      </c>
      <c r="B2661" s="3" t="s">
        <v>284</v>
      </c>
      <c r="C2661" s="3" t="s">
        <v>285</v>
      </c>
    </row>
    <row r="2662">
      <c r="A2662" s="3" t="s">
        <v>281</v>
      </c>
      <c r="B2662" s="3" t="s">
        <v>289</v>
      </c>
      <c r="C2662" s="3" t="s">
        <v>290</v>
      </c>
    </row>
    <row r="2663">
      <c r="A2663" s="3" t="s">
        <v>281</v>
      </c>
      <c r="B2663" s="3" t="s">
        <v>289</v>
      </c>
      <c r="C2663" s="3" t="s">
        <v>290</v>
      </c>
    </row>
    <row r="2664">
      <c r="A2664" s="3" t="s">
        <v>281</v>
      </c>
      <c r="B2664" s="3" t="s">
        <v>284</v>
      </c>
      <c r="C2664" s="3" t="s">
        <v>285</v>
      </c>
    </row>
    <row r="2665">
      <c r="A2665" s="3" t="s">
        <v>281</v>
      </c>
      <c r="B2665" s="3" t="s">
        <v>284</v>
      </c>
      <c r="C2665" s="3" t="s">
        <v>285</v>
      </c>
    </row>
    <row r="2666">
      <c r="A2666" s="3" t="s">
        <v>281</v>
      </c>
      <c r="B2666" s="3" t="s">
        <v>289</v>
      </c>
      <c r="C2666" s="3" t="s">
        <v>294</v>
      </c>
    </row>
    <row r="2667">
      <c r="A2667" s="3" t="s">
        <v>281</v>
      </c>
      <c r="B2667" s="3" t="s">
        <v>284</v>
      </c>
      <c r="C2667" s="3" t="s">
        <v>296</v>
      </c>
    </row>
    <row r="2668">
      <c r="A2668" s="3" t="s">
        <v>281</v>
      </c>
      <c r="B2668" s="3" t="s">
        <v>289</v>
      </c>
      <c r="C2668" s="3" t="s">
        <v>290</v>
      </c>
    </row>
    <row r="2669">
      <c r="A2669" s="3" t="s">
        <v>281</v>
      </c>
      <c r="B2669" s="3" t="s">
        <v>284</v>
      </c>
      <c r="C2669" s="3" t="s">
        <v>296</v>
      </c>
    </row>
    <row r="2670">
      <c r="A2670" s="3" t="s">
        <v>281</v>
      </c>
      <c r="B2670" s="3" t="s">
        <v>286</v>
      </c>
      <c r="C2670" s="3" t="s">
        <v>292</v>
      </c>
    </row>
    <row r="2671">
      <c r="A2671" s="3" t="s">
        <v>281</v>
      </c>
      <c r="B2671" s="3" t="s">
        <v>289</v>
      </c>
      <c r="C2671" s="3" t="s">
        <v>290</v>
      </c>
    </row>
    <row r="2672">
      <c r="A2672" s="3" t="s">
        <v>281</v>
      </c>
      <c r="B2672" s="3" t="s">
        <v>289</v>
      </c>
      <c r="C2672" s="3" t="s">
        <v>297</v>
      </c>
    </row>
    <row r="2673">
      <c r="A2673" s="3" t="s">
        <v>281</v>
      </c>
      <c r="B2673" s="3" t="s">
        <v>289</v>
      </c>
      <c r="C2673" s="3" t="s">
        <v>294</v>
      </c>
    </row>
    <row r="2674">
      <c r="A2674" s="3" t="s">
        <v>281</v>
      </c>
      <c r="B2674" s="3" t="s">
        <v>289</v>
      </c>
      <c r="C2674" s="3" t="s">
        <v>295</v>
      </c>
    </row>
    <row r="2675">
      <c r="A2675" s="3" t="s">
        <v>281</v>
      </c>
      <c r="B2675" s="3" t="s">
        <v>289</v>
      </c>
      <c r="C2675" s="3" t="s">
        <v>62</v>
      </c>
    </row>
    <row r="2676">
      <c r="A2676" s="3" t="s">
        <v>281</v>
      </c>
      <c r="B2676" s="3" t="s">
        <v>289</v>
      </c>
      <c r="C2676" s="3" t="s">
        <v>293</v>
      </c>
    </row>
    <row r="2677">
      <c r="A2677" s="3" t="s">
        <v>281</v>
      </c>
      <c r="B2677" s="3" t="s">
        <v>282</v>
      </c>
      <c r="C2677" s="3" t="s">
        <v>283</v>
      </c>
    </row>
    <row r="2678">
      <c r="A2678" s="3" t="s">
        <v>281</v>
      </c>
      <c r="B2678" s="3" t="s">
        <v>286</v>
      </c>
      <c r="C2678" s="3" t="s">
        <v>287</v>
      </c>
    </row>
    <row r="2679">
      <c r="A2679" s="3" t="s">
        <v>281</v>
      </c>
      <c r="B2679" s="3" t="s">
        <v>284</v>
      </c>
      <c r="C2679" s="3" t="s">
        <v>296</v>
      </c>
    </row>
    <row r="2680">
      <c r="A2680" s="3" t="s">
        <v>281</v>
      </c>
      <c r="B2680" s="3" t="s">
        <v>284</v>
      </c>
      <c r="C2680" s="3" t="s">
        <v>291</v>
      </c>
    </row>
    <row r="2681">
      <c r="A2681" s="3" t="s">
        <v>281</v>
      </c>
      <c r="B2681" s="3" t="s">
        <v>284</v>
      </c>
      <c r="C2681" s="3" t="s">
        <v>285</v>
      </c>
    </row>
    <row r="2682">
      <c r="A2682" s="3" t="s">
        <v>281</v>
      </c>
      <c r="B2682" s="3" t="s">
        <v>284</v>
      </c>
      <c r="C2682" s="3" t="s">
        <v>288</v>
      </c>
    </row>
    <row r="2683">
      <c r="A2683" s="3" t="s">
        <v>281</v>
      </c>
      <c r="B2683" s="3" t="s">
        <v>284</v>
      </c>
      <c r="C2683" s="3" t="s">
        <v>296</v>
      </c>
    </row>
    <row r="2684">
      <c r="A2684" s="3" t="s">
        <v>281</v>
      </c>
      <c r="B2684" s="3" t="s">
        <v>289</v>
      </c>
      <c r="C2684" s="3" t="s">
        <v>62</v>
      </c>
    </row>
    <row r="2685">
      <c r="A2685" s="3" t="s">
        <v>281</v>
      </c>
      <c r="B2685" s="3" t="s">
        <v>284</v>
      </c>
      <c r="C2685" s="3" t="s">
        <v>291</v>
      </c>
    </row>
    <row r="2686">
      <c r="A2686" s="3" t="s">
        <v>281</v>
      </c>
      <c r="B2686" s="3" t="s">
        <v>284</v>
      </c>
      <c r="C2686" s="3" t="s">
        <v>285</v>
      </c>
    </row>
    <row r="2687">
      <c r="A2687" s="3" t="s">
        <v>281</v>
      </c>
      <c r="B2687" s="3" t="s">
        <v>289</v>
      </c>
      <c r="C2687" s="3" t="s">
        <v>297</v>
      </c>
    </row>
    <row r="2688">
      <c r="A2688" s="3" t="s">
        <v>281</v>
      </c>
      <c r="B2688" s="3" t="s">
        <v>284</v>
      </c>
      <c r="C2688" s="3" t="s">
        <v>296</v>
      </c>
    </row>
    <row r="2689">
      <c r="A2689" s="3" t="s">
        <v>281</v>
      </c>
      <c r="B2689" s="3" t="s">
        <v>289</v>
      </c>
      <c r="C2689" s="3" t="s">
        <v>294</v>
      </c>
    </row>
    <row r="2690">
      <c r="A2690" s="3" t="s">
        <v>281</v>
      </c>
      <c r="B2690" s="3" t="s">
        <v>284</v>
      </c>
      <c r="C2690" s="3" t="s">
        <v>291</v>
      </c>
    </row>
    <row r="2691">
      <c r="A2691" s="3" t="s">
        <v>281</v>
      </c>
      <c r="B2691" s="3" t="s">
        <v>289</v>
      </c>
      <c r="C2691" s="3" t="s">
        <v>290</v>
      </c>
    </row>
    <row r="2692">
      <c r="A2692" s="3" t="s">
        <v>281</v>
      </c>
      <c r="B2692" s="3" t="s">
        <v>284</v>
      </c>
      <c r="C2692" s="3" t="s">
        <v>285</v>
      </c>
    </row>
    <row r="2693">
      <c r="A2693" s="3" t="s">
        <v>281</v>
      </c>
      <c r="B2693" s="3" t="s">
        <v>289</v>
      </c>
      <c r="C2693" s="3" t="s">
        <v>293</v>
      </c>
    </row>
    <row r="2694">
      <c r="A2694" s="3" t="s">
        <v>281</v>
      </c>
      <c r="B2694" s="3" t="s">
        <v>289</v>
      </c>
      <c r="C2694" s="3" t="s">
        <v>62</v>
      </c>
    </row>
    <row r="2695">
      <c r="A2695" s="3" t="s">
        <v>281</v>
      </c>
      <c r="B2695" s="3" t="s">
        <v>289</v>
      </c>
      <c r="C2695" s="3" t="s">
        <v>294</v>
      </c>
    </row>
    <row r="2696">
      <c r="A2696" s="3" t="s">
        <v>281</v>
      </c>
      <c r="B2696" s="3" t="s">
        <v>289</v>
      </c>
      <c r="C2696" s="3" t="s">
        <v>294</v>
      </c>
    </row>
    <row r="2697">
      <c r="A2697" s="3" t="s">
        <v>281</v>
      </c>
      <c r="B2697" s="3" t="s">
        <v>289</v>
      </c>
      <c r="C2697" s="3" t="s">
        <v>294</v>
      </c>
    </row>
    <row r="2698">
      <c r="A2698" s="3" t="s">
        <v>281</v>
      </c>
      <c r="B2698" s="3" t="s">
        <v>289</v>
      </c>
      <c r="C2698" s="3" t="s">
        <v>297</v>
      </c>
    </row>
    <row r="2699">
      <c r="A2699" s="3" t="s">
        <v>281</v>
      </c>
      <c r="B2699" s="3" t="s">
        <v>284</v>
      </c>
      <c r="C2699" s="3" t="s">
        <v>291</v>
      </c>
    </row>
    <row r="2700">
      <c r="A2700" s="3" t="s">
        <v>281</v>
      </c>
      <c r="B2700" s="3" t="s">
        <v>289</v>
      </c>
      <c r="C2700" s="3" t="s">
        <v>294</v>
      </c>
    </row>
    <row r="2701">
      <c r="A2701" s="3" t="s">
        <v>281</v>
      </c>
      <c r="B2701" s="3" t="s">
        <v>289</v>
      </c>
      <c r="C2701" s="3" t="s">
        <v>290</v>
      </c>
    </row>
    <row r="2702">
      <c r="A2702" s="3" t="s">
        <v>281</v>
      </c>
      <c r="B2702" s="3" t="s">
        <v>289</v>
      </c>
      <c r="C2702" s="3" t="s">
        <v>297</v>
      </c>
    </row>
    <row r="2703">
      <c r="A2703" s="3" t="s">
        <v>281</v>
      </c>
      <c r="B2703" s="3" t="s">
        <v>289</v>
      </c>
      <c r="C2703" s="3" t="s">
        <v>297</v>
      </c>
    </row>
    <row r="2704">
      <c r="A2704" s="3" t="s">
        <v>281</v>
      </c>
      <c r="B2704" s="3" t="s">
        <v>289</v>
      </c>
      <c r="C2704" s="3" t="s">
        <v>297</v>
      </c>
    </row>
    <row r="2705">
      <c r="A2705" s="3" t="s">
        <v>281</v>
      </c>
      <c r="B2705" s="3" t="s">
        <v>289</v>
      </c>
      <c r="C2705" s="3" t="s">
        <v>294</v>
      </c>
    </row>
    <row r="2706">
      <c r="A2706" s="3" t="s">
        <v>281</v>
      </c>
      <c r="B2706" s="3" t="s">
        <v>289</v>
      </c>
      <c r="C2706" s="3" t="s">
        <v>297</v>
      </c>
    </row>
    <row r="2707">
      <c r="A2707" s="3" t="s">
        <v>281</v>
      </c>
      <c r="B2707" s="3" t="s">
        <v>289</v>
      </c>
      <c r="C2707" s="3" t="s">
        <v>62</v>
      </c>
    </row>
    <row r="2708">
      <c r="A2708" s="3" t="s">
        <v>281</v>
      </c>
      <c r="B2708" s="3" t="s">
        <v>289</v>
      </c>
      <c r="C2708" s="3" t="s">
        <v>62</v>
      </c>
    </row>
    <row r="2709">
      <c r="A2709" s="3" t="s">
        <v>281</v>
      </c>
      <c r="B2709" s="3" t="s">
        <v>289</v>
      </c>
      <c r="C2709" s="3" t="s">
        <v>294</v>
      </c>
    </row>
    <row r="2710">
      <c r="A2710" s="3" t="s">
        <v>281</v>
      </c>
      <c r="B2710" s="3" t="s">
        <v>284</v>
      </c>
      <c r="C2710" s="3" t="s">
        <v>296</v>
      </c>
    </row>
    <row r="2711">
      <c r="A2711" s="3" t="s">
        <v>281</v>
      </c>
      <c r="B2711" s="3" t="s">
        <v>289</v>
      </c>
      <c r="C2711" s="3" t="s">
        <v>297</v>
      </c>
    </row>
    <row r="2712">
      <c r="A2712" s="3" t="s">
        <v>281</v>
      </c>
      <c r="B2712" s="3" t="s">
        <v>289</v>
      </c>
      <c r="C2712" s="3" t="s">
        <v>290</v>
      </c>
    </row>
    <row r="2713">
      <c r="A2713" s="3" t="s">
        <v>281</v>
      </c>
      <c r="B2713" s="3" t="s">
        <v>289</v>
      </c>
      <c r="C2713" s="3" t="s">
        <v>290</v>
      </c>
    </row>
    <row r="2714">
      <c r="A2714" s="3" t="s">
        <v>281</v>
      </c>
      <c r="B2714" s="3" t="s">
        <v>289</v>
      </c>
      <c r="C2714" s="3" t="s">
        <v>294</v>
      </c>
    </row>
    <row r="2715">
      <c r="A2715" s="3" t="s">
        <v>281</v>
      </c>
      <c r="B2715" s="3" t="s">
        <v>289</v>
      </c>
      <c r="C2715" s="3" t="s">
        <v>290</v>
      </c>
    </row>
    <row r="2716">
      <c r="A2716" s="3" t="s">
        <v>281</v>
      </c>
      <c r="B2716" s="3" t="s">
        <v>289</v>
      </c>
      <c r="C2716" s="3" t="s">
        <v>295</v>
      </c>
    </row>
    <row r="2717">
      <c r="A2717" s="3" t="s">
        <v>281</v>
      </c>
      <c r="B2717" s="3" t="s">
        <v>289</v>
      </c>
      <c r="C2717" s="3" t="s">
        <v>295</v>
      </c>
    </row>
    <row r="2718">
      <c r="A2718" s="3" t="s">
        <v>281</v>
      </c>
      <c r="B2718" s="3" t="s">
        <v>289</v>
      </c>
      <c r="C2718" s="3" t="s">
        <v>295</v>
      </c>
    </row>
    <row r="2719">
      <c r="A2719" s="3" t="s">
        <v>281</v>
      </c>
      <c r="B2719" s="3" t="s">
        <v>289</v>
      </c>
      <c r="C2719" s="3" t="s">
        <v>294</v>
      </c>
    </row>
    <row r="2720">
      <c r="A2720" s="3" t="s">
        <v>281</v>
      </c>
      <c r="B2720" s="3" t="s">
        <v>286</v>
      </c>
      <c r="C2720" s="3" t="s">
        <v>292</v>
      </c>
    </row>
    <row r="2721">
      <c r="A2721" s="3" t="s">
        <v>281</v>
      </c>
      <c r="B2721" s="3" t="s">
        <v>289</v>
      </c>
      <c r="C2721" s="3" t="s">
        <v>290</v>
      </c>
    </row>
    <row r="2722">
      <c r="A2722" s="3" t="s">
        <v>281</v>
      </c>
      <c r="B2722" s="3" t="s">
        <v>289</v>
      </c>
      <c r="C2722" s="3" t="s">
        <v>297</v>
      </c>
    </row>
    <row r="2723">
      <c r="A2723" s="3" t="s">
        <v>281</v>
      </c>
      <c r="B2723" s="3" t="s">
        <v>289</v>
      </c>
      <c r="C2723" s="3" t="s">
        <v>294</v>
      </c>
    </row>
    <row r="2724">
      <c r="A2724" s="3" t="s">
        <v>281</v>
      </c>
      <c r="B2724" s="3" t="s">
        <v>284</v>
      </c>
      <c r="C2724" s="3" t="s">
        <v>285</v>
      </c>
    </row>
    <row r="2725">
      <c r="A2725" s="3" t="s">
        <v>281</v>
      </c>
      <c r="B2725" s="3" t="s">
        <v>289</v>
      </c>
      <c r="C2725" s="3" t="s">
        <v>62</v>
      </c>
    </row>
    <row r="2726">
      <c r="A2726" s="3" t="s">
        <v>281</v>
      </c>
      <c r="B2726" s="3" t="s">
        <v>289</v>
      </c>
      <c r="C2726" s="3" t="s">
        <v>297</v>
      </c>
    </row>
    <row r="2727">
      <c r="A2727" s="3" t="s">
        <v>281</v>
      </c>
      <c r="B2727" s="3" t="s">
        <v>289</v>
      </c>
      <c r="C2727" s="3" t="s">
        <v>297</v>
      </c>
    </row>
    <row r="2728">
      <c r="A2728" s="3" t="s">
        <v>281</v>
      </c>
      <c r="B2728" s="3" t="s">
        <v>289</v>
      </c>
      <c r="C2728" s="3" t="s">
        <v>297</v>
      </c>
    </row>
    <row r="2729">
      <c r="A2729" s="3" t="s">
        <v>281</v>
      </c>
      <c r="B2729" s="3" t="s">
        <v>289</v>
      </c>
      <c r="C2729" s="3" t="s">
        <v>297</v>
      </c>
    </row>
    <row r="2730">
      <c r="A2730" s="3" t="s">
        <v>281</v>
      </c>
      <c r="B2730" s="3" t="s">
        <v>286</v>
      </c>
      <c r="C2730" s="3" t="s">
        <v>292</v>
      </c>
    </row>
    <row r="2731">
      <c r="A2731" s="3" t="s">
        <v>281</v>
      </c>
      <c r="B2731" s="3" t="s">
        <v>289</v>
      </c>
      <c r="C2731" s="3" t="s">
        <v>297</v>
      </c>
    </row>
    <row r="2732">
      <c r="A2732" s="3" t="s">
        <v>281</v>
      </c>
      <c r="B2732" s="3" t="s">
        <v>284</v>
      </c>
      <c r="C2732" s="3" t="s">
        <v>288</v>
      </c>
    </row>
    <row r="2733">
      <c r="A2733" s="3" t="s">
        <v>281</v>
      </c>
      <c r="B2733" s="3" t="s">
        <v>289</v>
      </c>
      <c r="C2733" s="3" t="s">
        <v>297</v>
      </c>
    </row>
    <row r="2734">
      <c r="A2734" s="3" t="s">
        <v>281</v>
      </c>
      <c r="B2734" s="3" t="s">
        <v>284</v>
      </c>
      <c r="C2734" s="3" t="s">
        <v>291</v>
      </c>
    </row>
    <row r="2735">
      <c r="A2735" s="3" t="s">
        <v>281</v>
      </c>
      <c r="B2735" s="3" t="s">
        <v>284</v>
      </c>
      <c r="C2735" s="3" t="s">
        <v>285</v>
      </c>
    </row>
    <row r="2736">
      <c r="A2736" s="3" t="s">
        <v>281</v>
      </c>
      <c r="B2736" s="3" t="s">
        <v>284</v>
      </c>
      <c r="C2736" s="3" t="s">
        <v>285</v>
      </c>
    </row>
    <row r="2737">
      <c r="A2737" s="3" t="s">
        <v>281</v>
      </c>
      <c r="B2737" s="3" t="s">
        <v>289</v>
      </c>
      <c r="C2737" s="3" t="s">
        <v>297</v>
      </c>
    </row>
    <row r="2738">
      <c r="A2738" s="3" t="s">
        <v>281</v>
      </c>
      <c r="B2738" s="3" t="s">
        <v>289</v>
      </c>
      <c r="C2738" s="3" t="s">
        <v>294</v>
      </c>
    </row>
    <row r="2739">
      <c r="A2739" s="3" t="s">
        <v>281</v>
      </c>
      <c r="B2739" s="3" t="s">
        <v>289</v>
      </c>
      <c r="C2739" s="3" t="s">
        <v>294</v>
      </c>
    </row>
    <row r="2740">
      <c r="A2740" s="3" t="s">
        <v>281</v>
      </c>
      <c r="B2740" s="3" t="s">
        <v>289</v>
      </c>
      <c r="C2740" s="3" t="s">
        <v>290</v>
      </c>
    </row>
    <row r="2741">
      <c r="A2741" s="3" t="s">
        <v>281</v>
      </c>
      <c r="B2741" s="3" t="s">
        <v>289</v>
      </c>
      <c r="C2741" s="3" t="s">
        <v>290</v>
      </c>
    </row>
    <row r="2742">
      <c r="A2742" s="3" t="s">
        <v>281</v>
      </c>
      <c r="B2742" s="3" t="s">
        <v>289</v>
      </c>
      <c r="C2742" s="3" t="s">
        <v>290</v>
      </c>
    </row>
    <row r="2743">
      <c r="A2743" s="3" t="s">
        <v>281</v>
      </c>
      <c r="B2743" s="3" t="s">
        <v>289</v>
      </c>
      <c r="C2743" s="3" t="s">
        <v>297</v>
      </c>
    </row>
    <row r="2744">
      <c r="A2744" s="3" t="s">
        <v>281</v>
      </c>
      <c r="B2744" s="3" t="s">
        <v>289</v>
      </c>
      <c r="C2744" s="3" t="s">
        <v>295</v>
      </c>
    </row>
    <row r="2745">
      <c r="A2745" s="3" t="s">
        <v>281</v>
      </c>
      <c r="B2745" s="3" t="s">
        <v>289</v>
      </c>
      <c r="C2745" s="3" t="s">
        <v>295</v>
      </c>
    </row>
    <row r="2746">
      <c r="A2746" s="3" t="s">
        <v>281</v>
      </c>
      <c r="B2746" s="3" t="s">
        <v>289</v>
      </c>
      <c r="C2746" s="3" t="s">
        <v>295</v>
      </c>
    </row>
    <row r="2747">
      <c r="A2747" s="3" t="s">
        <v>281</v>
      </c>
      <c r="B2747" s="3" t="s">
        <v>289</v>
      </c>
      <c r="C2747" s="3" t="s">
        <v>290</v>
      </c>
    </row>
    <row r="2748">
      <c r="A2748" s="3" t="s">
        <v>281</v>
      </c>
      <c r="B2748" s="3" t="s">
        <v>289</v>
      </c>
      <c r="C2748" s="3" t="s">
        <v>295</v>
      </c>
    </row>
    <row r="2749">
      <c r="A2749" s="3" t="s">
        <v>281</v>
      </c>
      <c r="B2749" s="3" t="s">
        <v>289</v>
      </c>
      <c r="C2749" s="3" t="s">
        <v>294</v>
      </c>
    </row>
    <row r="2750">
      <c r="A2750" s="3" t="s">
        <v>281</v>
      </c>
      <c r="B2750" s="3" t="s">
        <v>289</v>
      </c>
      <c r="C2750" s="3" t="s">
        <v>294</v>
      </c>
    </row>
    <row r="2751">
      <c r="A2751" s="3" t="s">
        <v>281</v>
      </c>
      <c r="B2751" s="3" t="s">
        <v>289</v>
      </c>
      <c r="C2751" s="3" t="s">
        <v>294</v>
      </c>
    </row>
    <row r="2752">
      <c r="A2752" s="3" t="s">
        <v>281</v>
      </c>
      <c r="B2752" s="3" t="s">
        <v>289</v>
      </c>
      <c r="C2752" s="3" t="s">
        <v>295</v>
      </c>
    </row>
    <row r="2753">
      <c r="A2753" s="3" t="s">
        <v>281</v>
      </c>
      <c r="B2753" s="3" t="s">
        <v>289</v>
      </c>
      <c r="C2753" s="3" t="s">
        <v>295</v>
      </c>
    </row>
    <row r="2754">
      <c r="A2754" s="3" t="s">
        <v>281</v>
      </c>
      <c r="B2754" s="3" t="s">
        <v>289</v>
      </c>
      <c r="C2754" s="3" t="s">
        <v>294</v>
      </c>
    </row>
    <row r="2755">
      <c r="A2755" s="3" t="s">
        <v>298</v>
      </c>
      <c r="B2755" s="3" t="s">
        <v>299</v>
      </c>
      <c r="C2755" s="3" t="s">
        <v>300</v>
      </c>
    </row>
    <row r="2756">
      <c r="A2756" s="3" t="s">
        <v>298</v>
      </c>
      <c r="B2756" s="3" t="s">
        <v>299</v>
      </c>
      <c r="C2756" s="3" t="s">
        <v>301</v>
      </c>
    </row>
    <row r="2757">
      <c r="A2757" s="3" t="s">
        <v>298</v>
      </c>
      <c r="B2757" s="3" t="s">
        <v>302</v>
      </c>
      <c r="C2757" s="3" t="s">
        <v>303</v>
      </c>
    </row>
    <row r="2758">
      <c r="A2758" s="3" t="s">
        <v>298</v>
      </c>
      <c r="B2758" s="3" t="s">
        <v>304</v>
      </c>
      <c r="C2758" s="3" t="s">
        <v>305</v>
      </c>
    </row>
    <row r="2759">
      <c r="A2759" s="3" t="s">
        <v>298</v>
      </c>
      <c r="B2759" s="3" t="s">
        <v>304</v>
      </c>
      <c r="C2759" s="3" t="s">
        <v>306</v>
      </c>
    </row>
    <row r="2760">
      <c r="A2760" s="3" t="s">
        <v>298</v>
      </c>
      <c r="B2760" s="3" t="s">
        <v>307</v>
      </c>
      <c r="C2760" s="3" t="s">
        <v>308</v>
      </c>
    </row>
    <row r="2761">
      <c r="A2761" s="3" t="s">
        <v>298</v>
      </c>
      <c r="B2761" s="3" t="s">
        <v>309</v>
      </c>
      <c r="C2761" s="3" t="s">
        <v>310</v>
      </c>
    </row>
    <row r="2762">
      <c r="A2762" s="3" t="s">
        <v>298</v>
      </c>
      <c r="B2762" s="3" t="s">
        <v>307</v>
      </c>
      <c r="C2762" s="3" t="s">
        <v>311</v>
      </c>
    </row>
    <row r="2763">
      <c r="A2763" s="3" t="s">
        <v>298</v>
      </c>
      <c r="B2763" s="3" t="s">
        <v>307</v>
      </c>
      <c r="C2763" s="3" t="s">
        <v>311</v>
      </c>
    </row>
    <row r="2764">
      <c r="A2764" s="3" t="s">
        <v>298</v>
      </c>
      <c r="B2764" s="3" t="s">
        <v>299</v>
      </c>
      <c r="C2764" s="3" t="s">
        <v>312</v>
      </c>
    </row>
    <row r="2765">
      <c r="A2765" s="3" t="s">
        <v>298</v>
      </c>
      <c r="B2765" s="3" t="s">
        <v>302</v>
      </c>
      <c r="C2765" s="3" t="s">
        <v>303</v>
      </c>
    </row>
    <row r="2766">
      <c r="A2766" s="3" t="s">
        <v>298</v>
      </c>
      <c r="B2766" s="3" t="s">
        <v>302</v>
      </c>
      <c r="C2766" s="3" t="s">
        <v>303</v>
      </c>
    </row>
    <row r="2767">
      <c r="A2767" s="3" t="s">
        <v>298</v>
      </c>
      <c r="B2767" s="3" t="s">
        <v>309</v>
      </c>
      <c r="C2767" s="3" t="s">
        <v>310</v>
      </c>
    </row>
    <row r="2768">
      <c r="A2768" s="3" t="s">
        <v>298</v>
      </c>
      <c r="B2768" s="3" t="s">
        <v>307</v>
      </c>
      <c r="C2768" s="3" t="s">
        <v>313</v>
      </c>
    </row>
    <row r="2769">
      <c r="A2769" s="3" t="s">
        <v>298</v>
      </c>
      <c r="B2769" s="3" t="s">
        <v>304</v>
      </c>
      <c r="C2769" s="3" t="s">
        <v>314</v>
      </c>
    </row>
    <row r="2770">
      <c r="A2770" s="3" t="s">
        <v>298</v>
      </c>
      <c r="B2770" s="3" t="s">
        <v>307</v>
      </c>
      <c r="C2770" s="3" t="s">
        <v>315</v>
      </c>
    </row>
    <row r="2771">
      <c r="A2771" s="3" t="s">
        <v>298</v>
      </c>
      <c r="B2771" s="3" t="s">
        <v>299</v>
      </c>
      <c r="C2771" s="3" t="s">
        <v>316</v>
      </c>
    </row>
    <row r="2772">
      <c r="A2772" s="3" t="s">
        <v>298</v>
      </c>
      <c r="B2772" s="3" t="s">
        <v>304</v>
      </c>
      <c r="C2772" s="3" t="s">
        <v>314</v>
      </c>
    </row>
    <row r="2773">
      <c r="A2773" s="3" t="s">
        <v>298</v>
      </c>
      <c r="B2773" s="3" t="s">
        <v>299</v>
      </c>
      <c r="C2773" s="3" t="s">
        <v>300</v>
      </c>
    </row>
    <row r="2774">
      <c r="A2774" s="3" t="s">
        <v>298</v>
      </c>
      <c r="B2774" s="3" t="s">
        <v>299</v>
      </c>
      <c r="C2774" s="3" t="s">
        <v>301</v>
      </c>
    </row>
    <row r="2775">
      <c r="A2775" s="3" t="s">
        <v>298</v>
      </c>
      <c r="B2775" s="3" t="s">
        <v>307</v>
      </c>
      <c r="C2775" s="3" t="s">
        <v>315</v>
      </c>
    </row>
    <row r="2776">
      <c r="A2776" s="3" t="s">
        <v>298</v>
      </c>
      <c r="B2776" s="3" t="s">
        <v>307</v>
      </c>
      <c r="C2776" s="3" t="s">
        <v>311</v>
      </c>
    </row>
    <row r="2777">
      <c r="A2777" s="3" t="s">
        <v>298</v>
      </c>
      <c r="B2777" s="3" t="s">
        <v>307</v>
      </c>
      <c r="C2777" s="3" t="s">
        <v>311</v>
      </c>
    </row>
    <row r="2778">
      <c r="A2778" s="3" t="s">
        <v>298</v>
      </c>
      <c r="B2778" s="3" t="s">
        <v>307</v>
      </c>
      <c r="C2778" s="3" t="s">
        <v>317</v>
      </c>
    </row>
    <row r="2779">
      <c r="A2779" s="3" t="s">
        <v>298</v>
      </c>
      <c r="B2779" s="3" t="s">
        <v>307</v>
      </c>
      <c r="C2779" s="3" t="s">
        <v>318</v>
      </c>
    </row>
    <row r="2780">
      <c r="A2780" s="3" t="s">
        <v>298</v>
      </c>
      <c r="B2780" s="3" t="s">
        <v>307</v>
      </c>
      <c r="C2780" s="3" t="s">
        <v>311</v>
      </c>
    </row>
    <row r="2781">
      <c r="A2781" s="3" t="s">
        <v>298</v>
      </c>
      <c r="B2781" s="3" t="s">
        <v>307</v>
      </c>
      <c r="C2781" s="3" t="s">
        <v>315</v>
      </c>
    </row>
    <row r="2782">
      <c r="A2782" s="3" t="s">
        <v>298</v>
      </c>
      <c r="B2782" s="3" t="s">
        <v>307</v>
      </c>
      <c r="C2782" s="3" t="s">
        <v>311</v>
      </c>
    </row>
    <row r="2783">
      <c r="A2783" s="3" t="s">
        <v>298</v>
      </c>
      <c r="B2783" s="3" t="s">
        <v>299</v>
      </c>
      <c r="C2783" s="3" t="s">
        <v>301</v>
      </c>
    </row>
    <row r="2784">
      <c r="A2784" s="3" t="s">
        <v>298</v>
      </c>
      <c r="B2784" s="3" t="s">
        <v>307</v>
      </c>
      <c r="C2784" s="3" t="s">
        <v>313</v>
      </c>
    </row>
    <row r="2785">
      <c r="A2785" s="3" t="s">
        <v>298</v>
      </c>
      <c r="B2785" s="3" t="s">
        <v>309</v>
      </c>
      <c r="C2785" s="3" t="s">
        <v>310</v>
      </c>
    </row>
    <row r="2786">
      <c r="A2786" s="3" t="s">
        <v>298</v>
      </c>
      <c r="B2786" s="3" t="s">
        <v>307</v>
      </c>
      <c r="C2786" s="3" t="s">
        <v>311</v>
      </c>
    </row>
    <row r="2787">
      <c r="A2787" s="3" t="s">
        <v>298</v>
      </c>
      <c r="B2787" s="3" t="s">
        <v>307</v>
      </c>
      <c r="C2787" s="3" t="s">
        <v>311</v>
      </c>
    </row>
    <row r="2788">
      <c r="A2788" s="3" t="s">
        <v>298</v>
      </c>
      <c r="B2788" s="3" t="s">
        <v>304</v>
      </c>
      <c r="C2788" s="3" t="s">
        <v>305</v>
      </c>
    </row>
    <row r="2789">
      <c r="A2789" s="3" t="s">
        <v>298</v>
      </c>
      <c r="B2789" s="3" t="s">
        <v>307</v>
      </c>
      <c r="C2789" s="3" t="s">
        <v>313</v>
      </c>
    </row>
    <row r="2790">
      <c r="A2790" s="3" t="s">
        <v>298</v>
      </c>
      <c r="B2790" s="3" t="s">
        <v>307</v>
      </c>
      <c r="C2790" s="3" t="s">
        <v>313</v>
      </c>
    </row>
    <row r="2791">
      <c r="A2791" s="3" t="s">
        <v>298</v>
      </c>
      <c r="B2791" s="3" t="s">
        <v>304</v>
      </c>
      <c r="C2791" s="3" t="s">
        <v>305</v>
      </c>
    </row>
    <row r="2792">
      <c r="A2792" s="3" t="s">
        <v>298</v>
      </c>
      <c r="B2792" s="3" t="s">
        <v>299</v>
      </c>
      <c r="C2792" s="3" t="s">
        <v>312</v>
      </c>
    </row>
    <row r="2793">
      <c r="A2793" s="3" t="s">
        <v>298</v>
      </c>
      <c r="B2793" s="3" t="s">
        <v>307</v>
      </c>
      <c r="C2793" s="3" t="s">
        <v>319</v>
      </c>
    </row>
    <row r="2794">
      <c r="A2794" s="3" t="s">
        <v>298</v>
      </c>
      <c r="B2794" s="3" t="s">
        <v>307</v>
      </c>
      <c r="C2794" s="3" t="s">
        <v>308</v>
      </c>
    </row>
    <row r="2795">
      <c r="A2795" s="3" t="s">
        <v>298</v>
      </c>
      <c r="B2795" s="3" t="s">
        <v>307</v>
      </c>
      <c r="C2795" s="3" t="s">
        <v>313</v>
      </c>
    </row>
    <row r="2796">
      <c r="A2796" s="3" t="s">
        <v>298</v>
      </c>
      <c r="B2796" s="3" t="s">
        <v>307</v>
      </c>
      <c r="C2796" s="3" t="s">
        <v>317</v>
      </c>
    </row>
    <row r="2797">
      <c r="A2797" s="3" t="s">
        <v>298</v>
      </c>
      <c r="B2797" s="3" t="s">
        <v>307</v>
      </c>
      <c r="C2797" s="3" t="s">
        <v>313</v>
      </c>
    </row>
    <row r="2798">
      <c r="A2798" s="3" t="s">
        <v>298</v>
      </c>
      <c r="B2798" s="3" t="s">
        <v>307</v>
      </c>
      <c r="C2798" s="3" t="s">
        <v>313</v>
      </c>
    </row>
    <row r="2799">
      <c r="A2799" s="3" t="s">
        <v>298</v>
      </c>
      <c r="B2799" s="3" t="s">
        <v>307</v>
      </c>
      <c r="C2799" s="3" t="s">
        <v>313</v>
      </c>
    </row>
    <row r="2800">
      <c r="A2800" s="3" t="s">
        <v>298</v>
      </c>
      <c r="B2800" s="3" t="s">
        <v>307</v>
      </c>
      <c r="C2800" s="3" t="s">
        <v>320</v>
      </c>
    </row>
    <row r="2801">
      <c r="A2801" s="3" t="s">
        <v>298</v>
      </c>
      <c r="B2801" s="3" t="s">
        <v>307</v>
      </c>
      <c r="C2801" s="3" t="s">
        <v>315</v>
      </c>
    </row>
    <row r="2802">
      <c r="A2802" s="3" t="s">
        <v>298</v>
      </c>
      <c r="B2802" s="3" t="s">
        <v>307</v>
      </c>
      <c r="C2802" s="3" t="s">
        <v>311</v>
      </c>
    </row>
    <row r="2803">
      <c r="A2803" s="3" t="s">
        <v>298</v>
      </c>
      <c r="B2803" s="3" t="s">
        <v>299</v>
      </c>
      <c r="C2803" s="3" t="s">
        <v>321</v>
      </c>
    </row>
    <row r="2804">
      <c r="A2804" s="3" t="s">
        <v>298</v>
      </c>
      <c r="B2804" s="3" t="s">
        <v>299</v>
      </c>
      <c r="C2804" s="3" t="s">
        <v>301</v>
      </c>
    </row>
    <row r="2805">
      <c r="A2805" s="3" t="s">
        <v>298</v>
      </c>
      <c r="B2805" s="3" t="s">
        <v>299</v>
      </c>
      <c r="C2805" s="3" t="s">
        <v>321</v>
      </c>
    </row>
    <row r="2806">
      <c r="A2806" s="3" t="s">
        <v>298</v>
      </c>
      <c r="B2806" s="3" t="s">
        <v>299</v>
      </c>
      <c r="C2806" s="3" t="s">
        <v>321</v>
      </c>
    </row>
    <row r="2807">
      <c r="A2807" s="3" t="s">
        <v>298</v>
      </c>
      <c r="B2807" s="3" t="s">
        <v>307</v>
      </c>
      <c r="C2807" s="3" t="s">
        <v>319</v>
      </c>
    </row>
    <row r="2808">
      <c r="A2808" s="3" t="s">
        <v>298</v>
      </c>
      <c r="B2808" s="3" t="s">
        <v>302</v>
      </c>
      <c r="C2808" s="3" t="s">
        <v>322</v>
      </c>
    </row>
    <row r="2809">
      <c r="A2809" s="3" t="s">
        <v>298</v>
      </c>
      <c r="B2809" s="3" t="s">
        <v>299</v>
      </c>
      <c r="C2809" s="3" t="s">
        <v>301</v>
      </c>
    </row>
    <row r="2810">
      <c r="A2810" s="3" t="s">
        <v>298</v>
      </c>
      <c r="B2810" s="3" t="s">
        <v>304</v>
      </c>
      <c r="C2810" s="3" t="s">
        <v>314</v>
      </c>
    </row>
    <row r="2811">
      <c r="A2811" s="3" t="s">
        <v>298</v>
      </c>
      <c r="B2811" s="3" t="s">
        <v>307</v>
      </c>
      <c r="C2811" s="3" t="s">
        <v>319</v>
      </c>
    </row>
    <row r="2812">
      <c r="A2812" s="3" t="s">
        <v>298</v>
      </c>
      <c r="B2812" s="3" t="s">
        <v>302</v>
      </c>
      <c r="C2812" s="3" t="s">
        <v>322</v>
      </c>
    </row>
    <row r="2813">
      <c r="A2813" s="3" t="s">
        <v>298</v>
      </c>
      <c r="B2813" s="3" t="s">
        <v>299</v>
      </c>
      <c r="C2813" s="3" t="s">
        <v>300</v>
      </c>
    </row>
    <row r="2814">
      <c r="A2814" s="3" t="s">
        <v>298</v>
      </c>
      <c r="B2814" s="3" t="s">
        <v>304</v>
      </c>
      <c r="C2814" s="3" t="s">
        <v>314</v>
      </c>
    </row>
    <row r="2815">
      <c r="A2815" s="3" t="s">
        <v>298</v>
      </c>
      <c r="B2815" s="3" t="s">
        <v>299</v>
      </c>
      <c r="C2815" s="3" t="s">
        <v>301</v>
      </c>
    </row>
    <row r="2816">
      <c r="A2816" s="3" t="s">
        <v>298</v>
      </c>
      <c r="B2816" s="3" t="s">
        <v>299</v>
      </c>
      <c r="C2816" s="3" t="s">
        <v>300</v>
      </c>
    </row>
    <row r="2817">
      <c r="A2817" s="3" t="s">
        <v>298</v>
      </c>
      <c r="B2817" s="3" t="s">
        <v>299</v>
      </c>
      <c r="C2817" s="3" t="s">
        <v>301</v>
      </c>
    </row>
    <row r="2818">
      <c r="A2818" s="3" t="s">
        <v>298</v>
      </c>
      <c r="B2818" s="3" t="s">
        <v>299</v>
      </c>
      <c r="C2818" s="3" t="s">
        <v>301</v>
      </c>
    </row>
    <row r="2819">
      <c r="A2819" s="3" t="s">
        <v>298</v>
      </c>
      <c r="B2819" s="3" t="s">
        <v>299</v>
      </c>
      <c r="C2819" s="3" t="s">
        <v>300</v>
      </c>
    </row>
    <row r="2820">
      <c r="A2820" s="3" t="s">
        <v>298</v>
      </c>
      <c r="B2820" s="3" t="s">
        <v>299</v>
      </c>
      <c r="C2820" s="3" t="s">
        <v>301</v>
      </c>
    </row>
    <row r="2821">
      <c r="A2821" s="3" t="s">
        <v>298</v>
      </c>
      <c r="B2821" s="3" t="s">
        <v>307</v>
      </c>
      <c r="C2821" s="3" t="s">
        <v>308</v>
      </c>
    </row>
    <row r="2822">
      <c r="A2822" s="3" t="s">
        <v>298</v>
      </c>
      <c r="B2822" s="3" t="s">
        <v>307</v>
      </c>
      <c r="C2822" s="3" t="s">
        <v>313</v>
      </c>
    </row>
    <row r="2823">
      <c r="A2823" s="3" t="s">
        <v>298</v>
      </c>
      <c r="B2823" s="3" t="s">
        <v>299</v>
      </c>
      <c r="C2823" s="3" t="s">
        <v>301</v>
      </c>
    </row>
    <row r="2824">
      <c r="A2824" s="3" t="s">
        <v>298</v>
      </c>
      <c r="B2824" s="3" t="s">
        <v>302</v>
      </c>
      <c r="C2824" s="3" t="s">
        <v>303</v>
      </c>
    </row>
    <row r="2825">
      <c r="A2825" s="3" t="s">
        <v>298</v>
      </c>
      <c r="B2825" s="3" t="s">
        <v>299</v>
      </c>
      <c r="C2825" s="3" t="s">
        <v>321</v>
      </c>
    </row>
    <row r="2826">
      <c r="A2826" s="3" t="s">
        <v>298</v>
      </c>
      <c r="B2826" s="3" t="s">
        <v>299</v>
      </c>
      <c r="C2826" s="3" t="s">
        <v>321</v>
      </c>
    </row>
    <row r="2827">
      <c r="A2827" s="3" t="s">
        <v>298</v>
      </c>
      <c r="B2827" s="3" t="s">
        <v>304</v>
      </c>
      <c r="C2827" s="3" t="s">
        <v>314</v>
      </c>
    </row>
    <row r="2828">
      <c r="A2828" s="3" t="s">
        <v>298</v>
      </c>
      <c r="B2828" s="3" t="s">
        <v>299</v>
      </c>
      <c r="C2828" s="3" t="s">
        <v>301</v>
      </c>
    </row>
    <row r="2829">
      <c r="A2829" s="3" t="s">
        <v>298</v>
      </c>
      <c r="B2829" s="3" t="s">
        <v>299</v>
      </c>
      <c r="C2829" s="3" t="s">
        <v>321</v>
      </c>
    </row>
    <row r="2830">
      <c r="A2830" s="3" t="s">
        <v>298</v>
      </c>
      <c r="B2830" s="3" t="s">
        <v>299</v>
      </c>
      <c r="C2830" s="3" t="s">
        <v>321</v>
      </c>
    </row>
    <row r="2831">
      <c r="A2831" s="3" t="s">
        <v>298</v>
      </c>
      <c r="B2831" s="3" t="s">
        <v>299</v>
      </c>
      <c r="C2831" s="3" t="s">
        <v>321</v>
      </c>
    </row>
    <row r="2832">
      <c r="A2832" s="3" t="s">
        <v>298</v>
      </c>
      <c r="B2832" s="3" t="s">
        <v>304</v>
      </c>
      <c r="C2832" s="3" t="s">
        <v>306</v>
      </c>
    </row>
    <row r="2833">
      <c r="A2833" s="3" t="s">
        <v>298</v>
      </c>
      <c r="B2833" s="3" t="s">
        <v>304</v>
      </c>
      <c r="C2833" s="3" t="s">
        <v>306</v>
      </c>
    </row>
    <row r="2834">
      <c r="A2834" s="3" t="s">
        <v>298</v>
      </c>
      <c r="B2834" s="3" t="s">
        <v>299</v>
      </c>
      <c r="C2834" s="3" t="s">
        <v>321</v>
      </c>
    </row>
    <row r="2835">
      <c r="A2835" s="3" t="s">
        <v>298</v>
      </c>
      <c r="B2835" s="3" t="s">
        <v>307</v>
      </c>
      <c r="C2835" s="3" t="s">
        <v>317</v>
      </c>
    </row>
    <row r="2836">
      <c r="A2836" s="3" t="s">
        <v>298</v>
      </c>
      <c r="B2836" s="3" t="s">
        <v>304</v>
      </c>
      <c r="C2836" s="3" t="s">
        <v>306</v>
      </c>
    </row>
    <row r="2837">
      <c r="A2837" s="3" t="s">
        <v>298</v>
      </c>
      <c r="B2837" s="3" t="s">
        <v>299</v>
      </c>
      <c r="C2837" s="3" t="s">
        <v>300</v>
      </c>
    </row>
    <row r="2838">
      <c r="A2838" s="3" t="s">
        <v>298</v>
      </c>
      <c r="B2838" s="3" t="s">
        <v>299</v>
      </c>
      <c r="C2838" s="3" t="s">
        <v>301</v>
      </c>
    </row>
    <row r="2839">
      <c r="A2839" s="3" t="s">
        <v>298</v>
      </c>
      <c r="B2839" s="3" t="s">
        <v>307</v>
      </c>
      <c r="C2839" s="3" t="s">
        <v>313</v>
      </c>
    </row>
    <row r="2840">
      <c r="A2840" s="3" t="s">
        <v>298</v>
      </c>
      <c r="B2840" s="3" t="s">
        <v>307</v>
      </c>
      <c r="C2840" s="3" t="s">
        <v>313</v>
      </c>
    </row>
    <row r="2841">
      <c r="A2841" s="3" t="s">
        <v>298</v>
      </c>
      <c r="B2841" s="3" t="s">
        <v>299</v>
      </c>
      <c r="C2841" s="3" t="s">
        <v>321</v>
      </c>
    </row>
    <row r="2842">
      <c r="A2842" s="3" t="s">
        <v>298</v>
      </c>
      <c r="B2842" s="3" t="s">
        <v>304</v>
      </c>
      <c r="C2842" s="3" t="s">
        <v>306</v>
      </c>
    </row>
    <row r="2843">
      <c r="A2843" s="3" t="s">
        <v>298</v>
      </c>
      <c r="B2843" s="3" t="s">
        <v>304</v>
      </c>
      <c r="C2843" s="3" t="s">
        <v>305</v>
      </c>
    </row>
    <row r="2844">
      <c r="A2844" s="3" t="s">
        <v>298</v>
      </c>
      <c r="B2844" s="3" t="s">
        <v>299</v>
      </c>
      <c r="C2844" s="3" t="s">
        <v>301</v>
      </c>
    </row>
    <row r="2845">
      <c r="A2845" s="3" t="s">
        <v>298</v>
      </c>
      <c r="B2845" s="3" t="s">
        <v>299</v>
      </c>
      <c r="C2845" s="3" t="s">
        <v>301</v>
      </c>
    </row>
    <row r="2846">
      <c r="A2846" s="3" t="s">
        <v>298</v>
      </c>
      <c r="B2846" s="3" t="s">
        <v>299</v>
      </c>
      <c r="C2846" s="3" t="s">
        <v>321</v>
      </c>
    </row>
    <row r="2847">
      <c r="A2847" s="3" t="s">
        <v>298</v>
      </c>
      <c r="B2847" s="3" t="s">
        <v>299</v>
      </c>
      <c r="C2847" s="3" t="s">
        <v>312</v>
      </c>
    </row>
    <row r="2848">
      <c r="A2848" s="3" t="s">
        <v>298</v>
      </c>
      <c r="B2848" s="3" t="s">
        <v>299</v>
      </c>
      <c r="C2848" s="3" t="s">
        <v>321</v>
      </c>
    </row>
    <row r="2849">
      <c r="A2849" s="3" t="s">
        <v>298</v>
      </c>
      <c r="B2849" s="3" t="s">
        <v>299</v>
      </c>
      <c r="C2849" s="3" t="s">
        <v>301</v>
      </c>
    </row>
    <row r="2850">
      <c r="A2850" s="3" t="s">
        <v>298</v>
      </c>
      <c r="B2850" s="3" t="s">
        <v>299</v>
      </c>
      <c r="C2850" s="3" t="s">
        <v>301</v>
      </c>
    </row>
    <row r="2851">
      <c r="A2851" s="3" t="s">
        <v>298</v>
      </c>
      <c r="B2851" s="3" t="s">
        <v>299</v>
      </c>
      <c r="C2851" s="3" t="s">
        <v>301</v>
      </c>
    </row>
    <row r="2852">
      <c r="A2852" s="3" t="s">
        <v>298</v>
      </c>
      <c r="B2852" s="3" t="s">
        <v>304</v>
      </c>
      <c r="C2852" s="3" t="s">
        <v>306</v>
      </c>
    </row>
    <row r="2853">
      <c r="A2853" s="3" t="s">
        <v>298</v>
      </c>
      <c r="B2853" s="3" t="s">
        <v>299</v>
      </c>
      <c r="C2853" s="3" t="s">
        <v>321</v>
      </c>
    </row>
    <row r="2854">
      <c r="A2854" s="3" t="s">
        <v>298</v>
      </c>
      <c r="B2854" s="3" t="s">
        <v>299</v>
      </c>
      <c r="C2854" s="3" t="s">
        <v>321</v>
      </c>
    </row>
    <row r="2855">
      <c r="A2855" s="3" t="s">
        <v>298</v>
      </c>
      <c r="B2855" s="3" t="s">
        <v>299</v>
      </c>
      <c r="C2855" s="3" t="s">
        <v>321</v>
      </c>
    </row>
    <row r="2856">
      <c r="A2856" s="3" t="s">
        <v>298</v>
      </c>
      <c r="B2856" s="3" t="s">
        <v>307</v>
      </c>
      <c r="C2856" s="3" t="s">
        <v>313</v>
      </c>
    </row>
    <row r="2857">
      <c r="A2857" s="3" t="s">
        <v>298</v>
      </c>
      <c r="B2857" s="3" t="s">
        <v>304</v>
      </c>
      <c r="C2857" s="3" t="s">
        <v>305</v>
      </c>
    </row>
    <row r="2858">
      <c r="A2858" s="3" t="s">
        <v>298</v>
      </c>
      <c r="B2858" s="3" t="s">
        <v>302</v>
      </c>
      <c r="C2858" s="3" t="s">
        <v>303</v>
      </c>
    </row>
    <row r="2859">
      <c r="A2859" s="3" t="s">
        <v>298</v>
      </c>
      <c r="B2859" s="3" t="s">
        <v>299</v>
      </c>
      <c r="C2859" s="3" t="s">
        <v>301</v>
      </c>
    </row>
    <row r="2860">
      <c r="A2860" s="3" t="s">
        <v>298</v>
      </c>
      <c r="B2860" s="3" t="s">
        <v>302</v>
      </c>
      <c r="C2860" s="3" t="s">
        <v>322</v>
      </c>
    </row>
    <row r="2861">
      <c r="A2861" s="3" t="s">
        <v>298</v>
      </c>
      <c r="B2861" s="3" t="s">
        <v>299</v>
      </c>
      <c r="C2861" s="3" t="s">
        <v>321</v>
      </c>
    </row>
    <row r="2862">
      <c r="A2862" s="3" t="s">
        <v>298</v>
      </c>
      <c r="B2862" s="3" t="s">
        <v>299</v>
      </c>
      <c r="C2862" s="3" t="s">
        <v>301</v>
      </c>
    </row>
    <row r="2863">
      <c r="A2863" s="3" t="s">
        <v>298</v>
      </c>
      <c r="B2863" s="3" t="s">
        <v>299</v>
      </c>
      <c r="C2863" s="3" t="s">
        <v>321</v>
      </c>
    </row>
    <row r="2864">
      <c r="A2864" s="3" t="s">
        <v>298</v>
      </c>
      <c r="B2864" s="3" t="s">
        <v>302</v>
      </c>
      <c r="C2864" s="3" t="s">
        <v>322</v>
      </c>
    </row>
    <row r="2865">
      <c r="A2865" s="3" t="s">
        <v>298</v>
      </c>
      <c r="B2865" s="3" t="s">
        <v>302</v>
      </c>
      <c r="C2865" s="3" t="s">
        <v>322</v>
      </c>
    </row>
    <row r="2866">
      <c r="A2866" s="3" t="s">
        <v>298</v>
      </c>
      <c r="B2866" s="3" t="s">
        <v>302</v>
      </c>
      <c r="C2866" s="3" t="s">
        <v>322</v>
      </c>
    </row>
    <row r="2867">
      <c r="A2867" s="3" t="s">
        <v>298</v>
      </c>
      <c r="B2867" s="3" t="s">
        <v>299</v>
      </c>
      <c r="C2867" s="3" t="s">
        <v>321</v>
      </c>
    </row>
    <row r="2868">
      <c r="A2868" s="3" t="s">
        <v>298</v>
      </c>
      <c r="B2868" s="3" t="s">
        <v>299</v>
      </c>
      <c r="C2868" s="3" t="s">
        <v>301</v>
      </c>
    </row>
    <row r="2869">
      <c r="A2869" s="3" t="s">
        <v>298</v>
      </c>
      <c r="B2869" s="3" t="s">
        <v>302</v>
      </c>
      <c r="C2869" s="3" t="s">
        <v>322</v>
      </c>
    </row>
    <row r="2870">
      <c r="A2870" s="3" t="s">
        <v>298</v>
      </c>
      <c r="B2870" s="3" t="s">
        <v>302</v>
      </c>
      <c r="C2870" s="3" t="s">
        <v>322</v>
      </c>
    </row>
    <row r="2871">
      <c r="A2871" s="3" t="s">
        <v>298</v>
      </c>
      <c r="B2871" s="3" t="s">
        <v>299</v>
      </c>
      <c r="C2871" s="3" t="s">
        <v>321</v>
      </c>
    </row>
    <row r="2872">
      <c r="A2872" s="3" t="s">
        <v>298</v>
      </c>
      <c r="B2872" s="3" t="s">
        <v>307</v>
      </c>
      <c r="C2872" s="3" t="s">
        <v>320</v>
      </c>
    </row>
    <row r="2873">
      <c r="A2873" s="3" t="s">
        <v>298</v>
      </c>
      <c r="B2873" s="3" t="s">
        <v>299</v>
      </c>
      <c r="C2873" s="3" t="s">
        <v>321</v>
      </c>
    </row>
    <row r="2874">
      <c r="A2874" s="3" t="s">
        <v>298</v>
      </c>
      <c r="B2874" s="3" t="s">
        <v>299</v>
      </c>
      <c r="C2874" s="3" t="s">
        <v>301</v>
      </c>
    </row>
    <row r="2875">
      <c r="A2875" s="3" t="s">
        <v>298</v>
      </c>
      <c r="B2875" s="3" t="s">
        <v>299</v>
      </c>
      <c r="C2875" s="3" t="s">
        <v>301</v>
      </c>
    </row>
    <row r="2876">
      <c r="A2876" s="3" t="s">
        <v>298</v>
      </c>
      <c r="B2876" s="3" t="s">
        <v>299</v>
      </c>
      <c r="C2876" s="3" t="s">
        <v>321</v>
      </c>
    </row>
    <row r="2877">
      <c r="A2877" s="3" t="s">
        <v>298</v>
      </c>
      <c r="B2877" s="3" t="s">
        <v>299</v>
      </c>
      <c r="C2877" s="3" t="s">
        <v>300</v>
      </c>
    </row>
    <row r="2878">
      <c r="A2878" s="3" t="s">
        <v>298</v>
      </c>
      <c r="B2878" s="3" t="s">
        <v>299</v>
      </c>
      <c r="C2878" s="3" t="s">
        <v>321</v>
      </c>
    </row>
    <row r="2879">
      <c r="A2879" s="3" t="s">
        <v>298</v>
      </c>
      <c r="B2879" s="3" t="s">
        <v>302</v>
      </c>
      <c r="C2879" s="3" t="s">
        <v>303</v>
      </c>
    </row>
    <row r="2880">
      <c r="A2880" s="3" t="s">
        <v>298</v>
      </c>
      <c r="B2880" s="3" t="s">
        <v>299</v>
      </c>
      <c r="C2880" s="3" t="s">
        <v>316</v>
      </c>
    </row>
    <row r="2881">
      <c r="A2881" s="3" t="s">
        <v>298</v>
      </c>
      <c r="B2881" s="3" t="s">
        <v>299</v>
      </c>
      <c r="C2881" s="3" t="s">
        <v>301</v>
      </c>
    </row>
    <row r="2882">
      <c r="A2882" s="3" t="s">
        <v>298</v>
      </c>
      <c r="B2882" s="3" t="s">
        <v>299</v>
      </c>
      <c r="C2882" s="3" t="s">
        <v>321</v>
      </c>
    </row>
    <row r="2883">
      <c r="A2883" s="3" t="s">
        <v>298</v>
      </c>
      <c r="B2883" s="3" t="s">
        <v>299</v>
      </c>
      <c r="C2883" s="3" t="s">
        <v>321</v>
      </c>
    </row>
    <row r="2884">
      <c r="A2884" s="3" t="s">
        <v>298</v>
      </c>
      <c r="B2884" s="3" t="s">
        <v>299</v>
      </c>
      <c r="C2884" s="3" t="s">
        <v>321</v>
      </c>
    </row>
    <row r="2885">
      <c r="A2885" s="3" t="s">
        <v>298</v>
      </c>
      <c r="B2885" s="3" t="s">
        <v>307</v>
      </c>
      <c r="C2885" s="3" t="s">
        <v>311</v>
      </c>
    </row>
    <row r="2886">
      <c r="A2886" s="3" t="s">
        <v>298</v>
      </c>
      <c r="B2886" s="3" t="s">
        <v>302</v>
      </c>
      <c r="C2886" s="3" t="s">
        <v>322</v>
      </c>
    </row>
    <row r="2887">
      <c r="A2887" s="3" t="s">
        <v>298</v>
      </c>
      <c r="B2887" s="3" t="s">
        <v>302</v>
      </c>
      <c r="C2887" s="3" t="s">
        <v>322</v>
      </c>
    </row>
    <row r="2888">
      <c r="A2888" s="3" t="s">
        <v>298</v>
      </c>
      <c r="B2888" s="3" t="s">
        <v>299</v>
      </c>
      <c r="C2888" s="3" t="s">
        <v>301</v>
      </c>
    </row>
    <row r="2889">
      <c r="A2889" s="3" t="s">
        <v>298</v>
      </c>
      <c r="B2889" s="3" t="s">
        <v>299</v>
      </c>
      <c r="C2889" s="3" t="s">
        <v>301</v>
      </c>
    </row>
    <row r="2890">
      <c r="A2890" s="3" t="s">
        <v>298</v>
      </c>
      <c r="B2890" s="3" t="s">
        <v>299</v>
      </c>
      <c r="C2890" s="3" t="s">
        <v>301</v>
      </c>
    </row>
    <row r="2891">
      <c r="A2891" s="3" t="s">
        <v>298</v>
      </c>
      <c r="B2891" s="3" t="s">
        <v>299</v>
      </c>
      <c r="C2891" s="3" t="s">
        <v>300</v>
      </c>
    </row>
    <row r="2892">
      <c r="A2892" s="3" t="s">
        <v>298</v>
      </c>
      <c r="B2892" s="3" t="s">
        <v>299</v>
      </c>
      <c r="C2892" s="3" t="s">
        <v>300</v>
      </c>
    </row>
    <row r="2893">
      <c r="A2893" s="3" t="s">
        <v>298</v>
      </c>
      <c r="B2893" s="3" t="s">
        <v>304</v>
      </c>
      <c r="C2893" s="3" t="s">
        <v>305</v>
      </c>
    </row>
    <row r="2894">
      <c r="A2894" s="3" t="s">
        <v>298</v>
      </c>
      <c r="B2894" s="3" t="s">
        <v>304</v>
      </c>
      <c r="C2894" s="3" t="s">
        <v>306</v>
      </c>
    </row>
    <row r="2895">
      <c r="A2895" s="3" t="s">
        <v>298</v>
      </c>
      <c r="B2895" s="3" t="s">
        <v>299</v>
      </c>
      <c r="C2895" s="3" t="s">
        <v>312</v>
      </c>
    </row>
    <row r="2896">
      <c r="A2896" s="3" t="s">
        <v>298</v>
      </c>
      <c r="B2896" s="3" t="s">
        <v>304</v>
      </c>
      <c r="C2896" s="3" t="s">
        <v>314</v>
      </c>
    </row>
    <row r="2897">
      <c r="A2897" s="3" t="s">
        <v>298</v>
      </c>
      <c r="B2897" s="3" t="s">
        <v>299</v>
      </c>
      <c r="C2897" s="3" t="s">
        <v>300</v>
      </c>
    </row>
    <row r="2898">
      <c r="A2898" s="3" t="s">
        <v>298</v>
      </c>
      <c r="B2898" s="3" t="s">
        <v>299</v>
      </c>
      <c r="C2898" s="3" t="s">
        <v>321</v>
      </c>
    </row>
    <row r="2899">
      <c r="A2899" s="3" t="s">
        <v>298</v>
      </c>
      <c r="B2899" s="3" t="s">
        <v>302</v>
      </c>
      <c r="C2899" s="3" t="s">
        <v>303</v>
      </c>
    </row>
    <row r="2900">
      <c r="A2900" s="3" t="s">
        <v>298</v>
      </c>
      <c r="B2900" s="3" t="s">
        <v>299</v>
      </c>
      <c r="C2900" s="3" t="s">
        <v>312</v>
      </c>
    </row>
    <row r="2901">
      <c r="A2901" s="3" t="s">
        <v>298</v>
      </c>
      <c r="B2901" s="3" t="s">
        <v>299</v>
      </c>
      <c r="C2901" s="3" t="s">
        <v>312</v>
      </c>
    </row>
    <row r="2902">
      <c r="A2902" s="3" t="s">
        <v>298</v>
      </c>
      <c r="B2902" s="3" t="s">
        <v>304</v>
      </c>
      <c r="C2902" s="3" t="s">
        <v>306</v>
      </c>
    </row>
    <row r="2903">
      <c r="A2903" s="3" t="s">
        <v>298</v>
      </c>
      <c r="B2903" s="3" t="s">
        <v>299</v>
      </c>
      <c r="C2903" s="3" t="s">
        <v>301</v>
      </c>
    </row>
    <row r="2904">
      <c r="A2904" s="3" t="s">
        <v>298</v>
      </c>
      <c r="B2904" s="3" t="s">
        <v>299</v>
      </c>
      <c r="C2904" s="3" t="s">
        <v>301</v>
      </c>
    </row>
    <row r="2905">
      <c r="A2905" s="3" t="s">
        <v>298</v>
      </c>
      <c r="B2905" s="3" t="s">
        <v>299</v>
      </c>
      <c r="C2905" s="3" t="s">
        <v>300</v>
      </c>
    </row>
    <row r="2906">
      <c r="A2906" s="3" t="s">
        <v>298</v>
      </c>
      <c r="B2906" s="3" t="s">
        <v>299</v>
      </c>
      <c r="C2906" s="3" t="s">
        <v>301</v>
      </c>
    </row>
    <row r="2907">
      <c r="A2907" s="3" t="s">
        <v>298</v>
      </c>
      <c r="B2907" s="3" t="s">
        <v>299</v>
      </c>
      <c r="C2907" s="3" t="s">
        <v>301</v>
      </c>
    </row>
    <row r="2908">
      <c r="A2908" s="3" t="s">
        <v>298</v>
      </c>
      <c r="B2908" s="3" t="s">
        <v>302</v>
      </c>
      <c r="C2908" s="3" t="s">
        <v>322</v>
      </c>
    </row>
    <row r="2909">
      <c r="A2909" s="3" t="s">
        <v>298</v>
      </c>
      <c r="B2909" s="3" t="s">
        <v>302</v>
      </c>
      <c r="C2909" s="3" t="s">
        <v>322</v>
      </c>
    </row>
    <row r="2910">
      <c r="A2910" s="3" t="s">
        <v>298</v>
      </c>
      <c r="B2910" s="3" t="s">
        <v>299</v>
      </c>
      <c r="C2910" s="3" t="s">
        <v>321</v>
      </c>
    </row>
    <row r="2911">
      <c r="A2911" s="3" t="s">
        <v>298</v>
      </c>
      <c r="B2911" s="3" t="s">
        <v>307</v>
      </c>
      <c r="C2911" s="3" t="s">
        <v>313</v>
      </c>
    </row>
    <row r="2912">
      <c r="A2912" s="3" t="s">
        <v>298</v>
      </c>
      <c r="B2912" s="3" t="s">
        <v>302</v>
      </c>
      <c r="C2912" s="3" t="s">
        <v>303</v>
      </c>
    </row>
    <row r="2913">
      <c r="A2913" s="3" t="s">
        <v>298</v>
      </c>
      <c r="B2913" s="3" t="s">
        <v>299</v>
      </c>
      <c r="C2913" s="3" t="s">
        <v>300</v>
      </c>
    </row>
    <row r="2914">
      <c r="A2914" s="3" t="s">
        <v>298</v>
      </c>
      <c r="B2914" s="3" t="s">
        <v>299</v>
      </c>
      <c r="C2914" s="3" t="s">
        <v>300</v>
      </c>
    </row>
    <row r="2915">
      <c r="A2915" s="3" t="s">
        <v>298</v>
      </c>
      <c r="B2915" s="3" t="s">
        <v>299</v>
      </c>
      <c r="C2915" s="3" t="s">
        <v>300</v>
      </c>
    </row>
    <row r="2916">
      <c r="A2916" s="3" t="s">
        <v>298</v>
      </c>
      <c r="B2916" s="3" t="s">
        <v>299</v>
      </c>
      <c r="C2916" s="3" t="s">
        <v>300</v>
      </c>
    </row>
    <row r="2917">
      <c r="A2917" s="3" t="s">
        <v>298</v>
      </c>
      <c r="B2917" s="3" t="s">
        <v>299</v>
      </c>
      <c r="C2917" s="3" t="s">
        <v>300</v>
      </c>
    </row>
    <row r="2918">
      <c r="A2918" s="3" t="s">
        <v>298</v>
      </c>
      <c r="B2918" s="3" t="s">
        <v>299</v>
      </c>
      <c r="C2918" s="3" t="s">
        <v>300</v>
      </c>
    </row>
    <row r="2919">
      <c r="A2919" s="3" t="s">
        <v>298</v>
      </c>
      <c r="B2919" s="3" t="s">
        <v>299</v>
      </c>
      <c r="C2919" s="3" t="s">
        <v>300</v>
      </c>
    </row>
    <row r="2920">
      <c r="A2920" s="3" t="s">
        <v>298</v>
      </c>
      <c r="B2920" s="3" t="s">
        <v>299</v>
      </c>
      <c r="C2920" s="3" t="s">
        <v>300</v>
      </c>
    </row>
    <row r="2921">
      <c r="A2921" s="3" t="s">
        <v>298</v>
      </c>
      <c r="B2921" s="3" t="s">
        <v>299</v>
      </c>
      <c r="C2921" s="3" t="s">
        <v>300</v>
      </c>
    </row>
    <row r="2922">
      <c r="A2922" s="3" t="s">
        <v>298</v>
      </c>
      <c r="B2922" s="3" t="s">
        <v>299</v>
      </c>
      <c r="C2922" s="3" t="s">
        <v>300</v>
      </c>
    </row>
    <row r="2923">
      <c r="A2923" s="3" t="s">
        <v>298</v>
      </c>
      <c r="B2923" s="3" t="s">
        <v>299</v>
      </c>
      <c r="C2923" s="3" t="s">
        <v>301</v>
      </c>
    </row>
    <row r="2924">
      <c r="A2924" s="3" t="s">
        <v>298</v>
      </c>
      <c r="B2924" s="3" t="s">
        <v>299</v>
      </c>
      <c r="C2924" s="3" t="s">
        <v>312</v>
      </c>
    </row>
    <row r="2925">
      <c r="A2925" s="3" t="s">
        <v>298</v>
      </c>
      <c r="B2925" s="3" t="s">
        <v>302</v>
      </c>
      <c r="C2925" s="3" t="s">
        <v>322</v>
      </c>
    </row>
    <row r="2926">
      <c r="A2926" s="3" t="s">
        <v>298</v>
      </c>
      <c r="B2926" s="3" t="s">
        <v>302</v>
      </c>
      <c r="C2926" s="3" t="s">
        <v>322</v>
      </c>
    </row>
    <row r="2927">
      <c r="A2927" s="3" t="s">
        <v>298</v>
      </c>
      <c r="B2927" s="3" t="s">
        <v>299</v>
      </c>
      <c r="C2927" s="3" t="s">
        <v>321</v>
      </c>
    </row>
    <row r="2928">
      <c r="A2928" s="3" t="s">
        <v>298</v>
      </c>
      <c r="B2928" s="3" t="s">
        <v>299</v>
      </c>
      <c r="C2928" s="3" t="s">
        <v>321</v>
      </c>
    </row>
    <row r="2929">
      <c r="A2929" s="3" t="s">
        <v>298</v>
      </c>
      <c r="B2929" s="3" t="s">
        <v>299</v>
      </c>
      <c r="C2929" s="3" t="s">
        <v>301</v>
      </c>
    </row>
    <row r="2930">
      <c r="A2930" s="3" t="s">
        <v>298</v>
      </c>
      <c r="B2930" s="3" t="s">
        <v>299</v>
      </c>
      <c r="C2930" s="3" t="s">
        <v>321</v>
      </c>
    </row>
    <row r="2931">
      <c r="A2931" s="3" t="s">
        <v>298</v>
      </c>
      <c r="B2931" s="3" t="s">
        <v>299</v>
      </c>
      <c r="C2931" s="3" t="s">
        <v>300</v>
      </c>
    </row>
    <row r="2932">
      <c r="A2932" s="3" t="s">
        <v>298</v>
      </c>
      <c r="B2932" s="3" t="s">
        <v>299</v>
      </c>
      <c r="C2932" s="3" t="s">
        <v>301</v>
      </c>
    </row>
    <row r="2933">
      <c r="A2933" s="3" t="s">
        <v>298</v>
      </c>
      <c r="B2933" s="3" t="s">
        <v>299</v>
      </c>
      <c r="C2933" s="3" t="s">
        <v>301</v>
      </c>
    </row>
    <row r="2934">
      <c r="A2934" s="3" t="s">
        <v>298</v>
      </c>
      <c r="B2934" s="3" t="s">
        <v>299</v>
      </c>
      <c r="C2934" s="3" t="s">
        <v>300</v>
      </c>
    </row>
    <row r="2935">
      <c r="A2935" s="3" t="s">
        <v>298</v>
      </c>
      <c r="B2935" s="3" t="s">
        <v>299</v>
      </c>
      <c r="C2935" s="3" t="s">
        <v>300</v>
      </c>
    </row>
    <row r="2936">
      <c r="A2936" s="3" t="s">
        <v>298</v>
      </c>
      <c r="B2936" s="3" t="s">
        <v>299</v>
      </c>
      <c r="C2936" s="3" t="s">
        <v>300</v>
      </c>
    </row>
    <row r="2937">
      <c r="A2937" s="3" t="s">
        <v>298</v>
      </c>
      <c r="B2937" s="3" t="s">
        <v>299</v>
      </c>
      <c r="C2937" s="3" t="s">
        <v>321</v>
      </c>
    </row>
    <row r="2938">
      <c r="A2938" s="3" t="s">
        <v>298</v>
      </c>
      <c r="B2938" s="3" t="s">
        <v>299</v>
      </c>
      <c r="C2938" s="3" t="s">
        <v>321</v>
      </c>
    </row>
    <row r="2939">
      <c r="A2939" s="3" t="s">
        <v>323</v>
      </c>
      <c r="B2939" s="3" t="s">
        <v>324</v>
      </c>
      <c r="C2939" s="3" t="s">
        <v>325</v>
      </c>
    </row>
    <row r="2940">
      <c r="A2940" s="3" t="s">
        <v>323</v>
      </c>
      <c r="B2940" s="3" t="s">
        <v>324</v>
      </c>
      <c r="C2940" s="3" t="s">
        <v>52</v>
      </c>
    </row>
    <row r="2941">
      <c r="A2941" s="3" t="s">
        <v>323</v>
      </c>
      <c r="B2941" s="3" t="s">
        <v>326</v>
      </c>
      <c r="C2941" s="3" t="s">
        <v>267</v>
      </c>
    </row>
    <row r="2942">
      <c r="A2942" s="3" t="s">
        <v>323</v>
      </c>
      <c r="B2942" s="3" t="s">
        <v>324</v>
      </c>
      <c r="C2942" s="3" t="s">
        <v>325</v>
      </c>
    </row>
    <row r="2943">
      <c r="A2943" s="3" t="s">
        <v>323</v>
      </c>
      <c r="B2943" s="3" t="s">
        <v>326</v>
      </c>
      <c r="C2943" s="3" t="s">
        <v>327</v>
      </c>
    </row>
    <row r="2944">
      <c r="A2944" s="3" t="s">
        <v>323</v>
      </c>
      <c r="B2944" s="3" t="s">
        <v>324</v>
      </c>
      <c r="C2944" s="3" t="s">
        <v>52</v>
      </c>
    </row>
    <row r="2945">
      <c r="A2945" s="3" t="s">
        <v>323</v>
      </c>
      <c r="B2945" s="3" t="s">
        <v>324</v>
      </c>
      <c r="C2945" s="3" t="s">
        <v>52</v>
      </c>
    </row>
    <row r="2946">
      <c r="A2946" s="3" t="s">
        <v>323</v>
      </c>
      <c r="B2946" s="3" t="s">
        <v>326</v>
      </c>
      <c r="C2946" s="3" t="s">
        <v>267</v>
      </c>
    </row>
    <row r="2947">
      <c r="A2947" s="3" t="s">
        <v>323</v>
      </c>
      <c r="B2947" s="3" t="s">
        <v>324</v>
      </c>
      <c r="C2947" s="3" t="s">
        <v>325</v>
      </c>
    </row>
    <row r="2948">
      <c r="A2948" s="3" t="s">
        <v>323</v>
      </c>
      <c r="B2948" s="3" t="s">
        <v>324</v>
      </c>
      <c r="C2948" s="3" t="s">
        <v>52</v>
      </c>
    </row>
    <row r="2949">
      <c r="A2949" s="3" t="s">
        <v>323</v>
      </c>
      <c r="B2949" s="3" t="s">
        <v>328</v>
      </c>
      <c r="C2949" s="3" t="s">
        <v>329</v>
      </c>
    </row>
    <row r="2950">
      <c r="A2950" s="3" t="s">
        <v>323</v>
      </c>
      <c r="B2950" s="3" t="s">
        <v>324</v>
      </c>
      <c r="C2950" s="3" t="s">
        <v>325</v>
      </c>
    </row>
    <row r="2951">
      <c r="A2951" s="3" t="s">
        <v>323</v>
      </c>
      <c r="B2951" s="3" t="s">
        <v>328</v>
      </c>
      <c r="C2951" s="3" t="s">
        <v>330</v>
      </c>
    </row>
    <row r="2952">
      <c r="A2952" s="3" t="s">
        <v>323</v>
      </c>
      <c r="B2952" s="3" t="s">
        <v>331</v>
      </c>
      <c r="C2952" s="3" t="s">
        <v>332</v>
      </c>
    </row>
    <row r="2953">
      <c r="A2953" s="3" t="s">
        <v>323</v>
      </c>
      <c r="B2953" s="3" t="s">
        <v>324</v>
      </c>
      <c r="C2953" s="3" t="s">
        <v>325</v>
      </c>
    </row>
    <row r="2954">
      <c r="A2954" s="3" t="s">
        <v>323</v>
      </c>
      <c r="B2954" s="3" t="s">
        <v>331</v>
      </c>
      <c r="C2954" s="3" t="s">
        <v>332</v>
      </c>
    </row>
    <row r="2955">
      <c r="A2955" s="3" t="s">
        <v>323</v>
      </c>
      <c r="B2955" s="3" t="s">
        <v>324</v>
      </c>
      <c r="C2955" s="3" t="s">
        <v>325</v>
      </c>
    </row>
    <row r="2956">
      <c r="A2956" s="3" t="s">
        <v>323</v>
      </c>
      <c r="B2956" s="3" t="s">
        <v>331</v>
      </c>
      <c r="C2956" s="3" t="s">
        <v>332</v>
      </c>
    </row>
    <row r="2957">
      <c r="A2957" s="3" t="s">
        <v>323</v>
      </c>
      <c r="B2957" s="3" t="s">
        <v>331</v>
      </c>
      <c r="C2957" s="3" t="s">
        <v>333</v>
      </c>
    </row>
    <row r="2958">
      <c r="A2958" s="3" t="s">
        <v>323</v>
      </c>
      <c r="B2958" s="3" t="s">
        <v>324</v>
      </c>
      <c r="C2958" s="3" t="s">
        <v>325</v>
      </c>
    </row>
    <row r="2959">
      <c r="A2959" s="3" t="s">
        <v>323</v>
      </c>
      <c r="B2959" s="3" t="s">
        <v>328</v>
      </c>
      <c r="C2959" s="3" t="s">
        <v>334</v>
      </c>
    </row>
    <row r="2960">
      <c r="A2960" s="3" t="s">
        <v>323</v>
      </c>
      <c r="B2960" s="3" t="s">
        <v>324</v>
      </c>
      <c r="C2960" s="3" t="s">
        <v>325</v>
      </c>
    </row>
    <row r="2961">
      <c r="A2961" s="3" t="s">
        <v>323</v>
      </c>
      <c r="B2961" s="3" t="s">
        <v>331</v>
      </c>
      <c r="C2961" s="3" t="s">
        <v>335</v>
      </c>
    </row>
    <row r="2962">
      <c r="A2962" s="3" t="s">
        <v>323</v>
      </c>
      <c r="B2962" s="3" t="s">
        <v>331</v>
      </c>
      <c r="C2962" s="3" t="s">
        <v>336</v>
      </c>
    </row>
    <row r="2963">
      <c r="A2963" s="3" t="s">
        <v>323</v>
      </c>
      <c r="B2963" s="3" t="s">
        <v>324</v>
      </c>
      <c r="C2963" s="3" t="s">
        <v>325</v>
      </c>
    </row>
    <row r="2964">
      <c r="A2964" s="3" t="s">
        <v>323</v>
      </c>
      <c r="B2964" s="3" t="s">
        <v>324</v>
      </c>
      <c r="C2964" s="3" t="s">
        <v>337</v>
      </c>
    </row>
    <row r="2965">
      <c r="A2965" s="3" t="s">
        <v>323</v>
      </c>
      <c r="B2965" s="3" t="s">
        <v>328</v>
      </c>
      <c r="C2965" s="3" t="s">
        <v>329</v>
      </c>
    </row>
    <row r="2966">
      <c r="A2966" s="3" t="s">
        <v>323</v>
      </c>
      <c r="B2966" s="3" t="s">
        <v>331</v>
      </c>
      <c r="C2966" s="3" t="s">
        <v>335</v>
      </c>
    </row>
    <row r="2967">
      <c r="A2967" s="3" t="s">
        <v>323</v>
      </c>
      <c r="B2967" s="3" t="s">
        <v>326</v>
      </c>
      <c r="C2967" s="3" t="s">
        <v>338</v>
      </c>
    </row>
    <row r="2968">
      <c r="A2968" s="3" t="s">
        <v>323</v>
      </c>
      <c r="B2968" s="3" t="s">
        <v>324</v>
      </c>
      <c r="C2968" s="3" t="s">
        <v>339</v>
      </c>
    </row>
    <row r="2969">
      <c r="A2969" s="3" t="s">
        <v>323</v>
      </c>
      <c r="B2969" s="3" t="s">
        <v>331</v>
      </c>
      <c r="C2969" s="3" t="s">
        <v>336</v>
      </c>
    </row>
    <row r="2970">
      <c r="A2970" s="3" t="s">
        <v>323</v>
      </c>
      <c r="B2970" s="3" t="s">
        <v>324</v>
      </c>
      <c r="C2970" s="3" t="s">
        <v>325</v>
      </c>
    </row>
    <row r="2971">
      <c r="A2971" s="3" t="s">
        <v>323</v>
      </c>
      <c r="B2971" s="3" t="s">
        <v>326</v>
      </c>
      <c r="C2971" s="3" t="s">
        <v>267</v>
      </c>
    </row>
    <row r="2972">
      <c r="A2972" s="3" t="s">
        <v>323</v>
      </c>
      <c r="B2972" s="3" t="s">
        <v>324</v>
      </c>
      <c r="C2972" s="3" t="s">
        <v>325</v>
      </c>
    </row>
    <row r="2973">
      <c r="A2973" s="3" t="s">
        <v>323</v>
      </c>
      <c r="B2973" s="3" t="s">
        <v>324</v>
      </c>
      <c r="C2973" s="3" t="s">
        <v>52</v>
      </c>
    </row>
    <row r="2974">
      <c r="A2974" s="3" t="s">
        <v>323</v>
      </c>
      <c r="B2974" s="3" t="s">
        <v>328</v>
      </c>
      <c r="C2974" s="3" t="s">
        <v>334</v>
      </c>
    </row>
    <row r="2975">
      <c r="A2975" s="3" t="s">
        <v>323</v>
      </c>
      <c r="B2975" s="3" t="s">
        <v>324</v>
      </c>
      <c r="C2975" s="3" t="s">
        <v>325</v>
      </c>
    </row>
    <row r="2976">
      <c r="A2976" s="3" t="s">
        <v>323</v>
      </c>
      <c r="B2976" s="3" t="s">
        <v>324</v>
      </c>
      <c r="C2976" s="3" t="s">
        <v>340</v>
      </c>
    </row>
    <row r="2977">
      <c r="A2977" s="3" t="s">
        <v>323</v>
      </c>
      <c r="B2977" s="3" t="s">
        <v>331</v>
      </c>
      <c r="C2977" s="3" t="s">
        <v>341</v>
      </c>
    </row>
    <row r="2978">
      <c r="A2978" s="3" t="s">
        <v>323</v>
      </c>
      <c r="B2978" s="3" t="s">
        <v>331</v>
      </c>
      <c r="C2978" s="3" t="s">
        <v>342</v>
      </c>
    </row>
    <row r="2979">
      <c r="A2979" s="3" t="s">
        <v>323</v>
      </c>
      <c r="B2979" s="3" t="s">
        <v>324</v>
      </c>
      <c r="C2979" s="3" t="s">
        <v>325</v>
      </c>
    </row>
    <row r="2980">
      <c r="A2980" s="3" t="s">
        <v>323</v>
      </c>
      <c r="B2980" s="3" t="s">
        <v>331</v>
      </c>
      <c r="C2980" s="3" t="s">
        <v>332</v>
      </c>
    </row>
    <row r="2981">
      <c r="A2981" s="3" t="s">
        <v>323</v>
      </c>
      <c r="B2981" s="3" t="s">
        <v>324</v>
      </c>
      <c r="C2981" s="3" t="s">
        <v>325</v>
      </c>
    </row>
    <row r="2982">
      <c r="A2982" s="3" t="s">
        <v>323</v>
      </c>
      <c r="B2982" s="3" t="s">
        <v>331</v>
      </c>
      <c r="C2982" s="3" t="s">
        <v>342</v>
      </c>
    </row>
    <row r="2983">
      <c r="A2983" s="3" t="s">
        <v>323</v>
      </c>
      <c r="B2983" s="3" t="s">
        <v>324</v>
      </c>
      <c r="C2983" s="3" t="s">
        <v>325</v>
      </c>
    </row>
    <row r="2984">
      <c r="A2984" s="3" t="s">
        <v>323</v>
      </c>
      <c r="B2984" s="3" t="s">
        <v>331</v>
      </c>
      <c r="C2984" s="3" t="s">
        <v>333</v>
      </c>
    </row>
    <row r="2985">
      <c r="A2985" s="3" t="s">
        <v>323</v>
      </c>
      <c r="B2985" s="3" t="s">
        <v>324</v>
      </c>
      <c r="C2985" s="3" t="s">
        <v>325</v>
      </c>
    </row>
    <row r="2986">
      <c r="A2986" s="3" t="s">
        <v>323</v>
      </c>
      <c r="B2986" s="3" t="s">
        <v>331</v>
      </c>
      <c r="C2986" s="3" t="s">
        <v>342</v>
      </c>
    </row>
    <row r="2987">
      <c r="A2987" s="3" t="s">
        <v>323</v>
      </c>
      <c r="B2987" s="3" t="s">
        <v>324</v>
      </c>
      <c r="C2987" s="3" t="s">
        <v>325</v>
      </c>
    </row>
    <row r="2988">
      <c r="A2988" s="3" t="s">
        <v>323</v>
      </c>
      <c r="B2988" s="3" t="s">
        <v>331</v>
      </c>
      <c r="C2988" s="3" t="s">
        <v>343</v>
      </c>
    </row>
    <row r="2989">
      <c r="A2989" s="3" t="s">
        <v>323</v>
      </c>
      <c r="B2989" s="3" t="s">
        <v>324</v>
      </c>
      <c r="C2989" s="3" t="s">
        <v>325</v>
      </c>
    </row>
    <row r="2990">
      <c r="A2990" s="3" t="s">
        <v>323</v>
      </c>
      <c r="B2990" s="3" t="s">
        <v>344</v>
      </c>
      <c r="C2990" s="3" t="s">
        <v>345</v>
      </c>
    </row>
    <row r="2991">
      <c r="A2991" s="3" t="s">
        <v>323</v>
      </c>
      <c r="B2991" s="3" t="s">
        <v>324</v>
      </c>
      <c r="C2991" s="3" t="s">
        <v>325</v>
      </c>
    </row>
    <row r="2992">
      <c r="A2992" s="3" t="s">
        <v>323</v>
      </c>
      <c r="B2992" s="3" t="s">
        <v>324</v>
      </c>
      <c r="C2992" s="3" t="s">
        <v>346</v>
      </c>
    </row>
    <row r="2993">
      <c r="A2993" s="3" t="s">
        <v>323</v>
      </c>
      <c r="B2993" s="3" t="s">
        <v>331</v>
      </c>
      <c r="C2993" s="3" t="s">
        <v>347</v>
      </c>
    </row>
    <row r="2994">
      <c r="A2994" s="3" t="s">
        <v>323</v>
      </c>
      <c r="B2994" s="3" t="s">
        <v>324</v>
      </c>
      <c r="C2994" s="3" t="s">
        <v>325</v>
      </c>
    </row>
    <row r="2995">
      <c r="A2995" s="3" t="s">
        <v>323</v>
      </c>
      <c r="B2995" s="3" t="s">
        <v>331</v>
      </c>
      <c r="C2995" s="3" t="s">
        <v>348</v>
      </c>
    </row>
    <row r="2996">
      <c r="A2996" s="3" t="s">
        <v>323</v>
      </c>
      <c r="B2996" s="3" t="s">
        <v>326</v>
      </c>
      <c r="C2996" s="3" t="s">
        <v>338</v>
      </c>
    </row>
    <row r="2997">
      <c r="A2997" s="3" t="s">
        <v>323</v>
      </c>
      <c r="B2997" s="3" t="s">
        <v>324</v>
      </c>
      <c r="C2997" s="3" t="s">
        <v>325</v>
      </c>
    </row>
    <row r="2998">
      <c r="A2998" s="3" t="s">
        <v>323</v>
      </c>
      <c r="B2998" s="3" t="s">
        <v>331</v>
      </c>
      <c r="C2998" s="3" t="s">
        <v>341</v>
      </c>
    </row>
    <row r="2999">
      <c r="A2999" s="3" t="s">
        <v>323</v>
      </c>
      <c r="B2999" s="3" t="s">
        <v>324</v>
      </c>
      <c r="C2999" s="3" t="s">
        <v>325</v>
      </c>
    </row>
    <row r="3000">
      <c r="A3000" s="3" t="s">
        <v>323</v>
      </c>
      <c r="B3000" s="3" t="s">
        <v>324</v>
      </c>
      <c r="C3000" s="3" t="s">
        <v>337</v>
      </c>
    </row>
    <row r="3001">
      <c r="A3001" s="3" t="s">
        <v>323</v>
      </c>
      <c r="B3001" s="3" t="s">
        <v>328</v>
      </c>
      <c r="C3001" s="3" t="s">
        <v>329</v>
      </c>
    </row>
    <row r="3002">
      <c r="A3002" s="3" t="s">
        <v>323</v>
      </c>
      <c r="B3002" s="3" t="s">
        <v>331</v>
      </c>
      <c r="C3002" s="3" t="s">
        <v>335</v>
      </c>
    </row>
    <row r="3003">
      <c r="A3003" s="3" t="s">
        <v>323</v>
      </c>
      <c r="B3003" s="3" t="s">
        <v>326</v>
      </c>
      <c r="C3003" s="3" t="s">
        <v>338</v>
      </c>
    </row>
    <row r="3004">
      <c r="A3004" s="3" t="s">
        <v>323</v>
      </c>
      <c r="B3004" s="3" t="s">
        <v>324</v>
      </c>
      <c r="C3004" s="3" t="s">
        <v>346</v>
      </c>
    </row>
    <row r="3005">
      <c r="A3005" s="3" t="s">
        <v>323</v>
      </c>
      <c r="B3005" s="3" t="s">
        <v>324</v>
      </c>
      <c r="C3005" s="3" t="s">
        <v>349</v>
      </c>
    </row>
    <row r="3006">
      <c r="A3006" s="3" t="s">
        <v>323</v>
      </c>
      <c r="B3006" s="3" t="s">
        <v>324</v>
      </c>
      <c r="C3006" s="3" t="s">
        <v>52</v>
      </c>
    </row>
    <row r="3007">
      <c r="A3007" s="3" t="s">
        <v>323</v>
      </c>
      <c r="B3007" s="3" t="s">
        <v>324</v>
      </c>
      <c r="C3007" s="3" t="s">
        <v>346</v>
      </c>
    </row>
    <row r="3008">
      <c r="A3008" s="3" t="s">
        <v>323</v>
      </c>
      <c r="B3008" s="3" t="s">
        <v>331</v>
      </c>
      <c r="C3008" s="3" t="s">
        <v>336</v>
      </c>
    </row>
    <row r="3009">
      <c r="A3009" s="3" t="s">
        <v>323</v>
      </c>
      <c r="B3009" s="3" t="s">
        <v>324</v>
      </c>
      <c r="C3009" s="3" t="s">
        <v>325</v>
      </c>
    </row>
    <row r="3010">
      <c r="A3010" s="3" t="s">
        <v>323</v>
      </c>
      <c r="B3010" s="3" t="s">
        <v>326</v>
      </c>
      <c r="C3010" s="3" t="s">
        <v>327</v>
      </c>
    </row>
    <row r="3011">
      <c r="A3011" s="3" t="s">
        <v>323</v>
      </c>
      <c r="B3011" s="3" t="s">
        <v>324</v>
      </c>
      <c r="C3011" s="3" t="s">
        <v>325</v>
      </c>
    </row>
    <row r="3012">
      <c r="A3012" s="3" t="s">
        <v>323</v>
      </c>
      <c r="B3012" s="3" t="s">
        <v>324</v>
      </c>
      <c r="C3012" s="3" t="s">
        <v>346</v>
      </c>
    </row>
    <row r="3013">
      <c r="A3013" s="3" t="s">
        <v>323</v>
      </c>
      <c r="B3013" s="3" t="s">
        <v>324</v>
      </c>
      <c r="C3013" s="3" t="s">
        <v>349</v>
      </c>
    </row>
    <row r="3014">
      <c r="A3014" s="3" t="s">
        <v>323</v>
      </c>
      <c r="B3014" s="3" t="s">
        <v>324</v>
      </c>
      <c r="C3014" s="3" t="s">
        <v>52</v>
      </c>
    </row>
    <row r="3015">
      <c r="A3015" s="3" t="s">
        <v>323</v>
      </c>
      <c r="B3015" s="3" t="s">
        <v>324</v>
      </c>
      <c r="C3015" s="3" t="s">
        <v>340</v>
      </c>
    </row>
    <row r="3016">
      <c r="A3016" s="3" t="s">
        <v>323</v>
      </c>
      <c r="B3016" s="3" t="s">
        <v>324</v>
      </c>
      <c r="C3016" s="3" t="s">
        <v>340</v>
      </c>
    </row>
    <row r="3017">
      <c r="A3017" s="3" t="s">
        <v>323</v>
      </c>
      <c r="B3017" s="3" t="s">
        <v>324</v>
      </c>
      <c r="C3017" s="3" t="s">
        <v>346</v>
      </c>
    </row>
    <row r="3018">
      <c r="A3018" s="3" t="s">
        <v>323</v>
      </c>
      <c r="B3018" s="3" t="s">
        <v>324</v>
      </c>
      <c r="C3018" s="3" t="s">
        <v>52</v>
      </c>
    </row>
    <row r="3019">
      <c r="A3019" s="3" t="s">
        <v>323</v>
      </c>
      <c r="B3019" s="3" t="s">
        <v>324</v>
      </c>
      <c r="C3019" s="3" t="s">
        <v>325</v>
      </c>
    </row>
    <row r="3020">
      <c r="A3020" s="3" t="s">
        <v>323</v>
      </c>
      <c r="B3020" s="3" t="s">
        <v>324</v>
      </c>
      <c r="C3020" s="3" t="s">
        <v>325</v>
      </c>
    </row>
    <row r="3021">
      <c r="A3021" s="3" t="s">
        <v>323</v>
      </c>
      <c r="B3021" s="3" t="s">
        <v>324</v>
      </c>
      <c r="C3021" s="3" t="s">
        <v>325</v>
      </c>
    </row>
    <row r="3022">
      <c r="A3022" s="3" t="s">
        <v>323</v>
      </c>
      <c r="B3022" s="3" t="s">
        <v>324</v>
      </c>
      <c r="C3022" s="3" t="s">
        <v>325</v>
      </c>
    </row>
    <row r="3023">
      <c r="A3023" s="3" t="s">
        <v>323</v>
      </c>
      <c r="B3023" s="3" t="s">
        <v>331</v>
      </c>
      <c r="C3023" s="3" t="s">
        <v>347</v>
      </c>
    </row>
    <row r="3024">
      <c r="A3024" s="3" t="s">
        <v>323</v>
      </c>
      <c r="B3024" s="3" t="s">
        <v>324</v>
      </c>
      <c r="C3024" s="3" t="s">
        <v>325</v>
      </c>
    </row>
    <row r="3025">
      <c r="A3025" s="3" t="s">
        <v>323</v>
      </c>
      <c r="B3025" s="3" t="s">
        <v>324</v>
      </c>
      <c r="C3025" s="3" t="s">
        <v>52</v>
      </c>
    </row>
    <row r="3026">
      <c r="A3026" s="3" t="s">
        <v>323</v>
      </c>
      <c r="B3026" s="3" t="s">
        <v>331</v>
      </c>
      <c r="C3026" s="3" t="s">
        <v>332</v>
      </c>
    </row>
    <row r="3027">
      <c r="A3027" s="3" t="s">
        <v>323</v>
      </c>
      <c r="B3027" s="3" t="s">
        <v>324</v>
      </c>
      <c r="C3027" s="3" t="s">
        <v>340</v>
      </c>
    </row>
    <row r="3028">
      <c r="A3028" s="3" t="s">
        <v>323</v>
      </c>
      <c r="B3028" s="3" t="s">
        <v>331</v>
      </c>
      <c r="C3028" s="3" t="s">
        <v>333</v>
      </c>
    </row>
    <row r="3029">
      <c r="A3029" s="3" t="s">
        <v>323</v>
      </c>
      <c r="B3029" s="3" t="s">
        <v>324</v>
      </c>
      <c r="C3029" s="3" t="s">
        <v>325</v>
      </c>
    </row>
    <row r="3030">
      <c r="A3030" s="3" t="s">
        <v>323</v>
      </c>
      <c r="B3030" s="3" t="s">
        <v>324</v>
      </c>
      <c r="C3030" s="3" t="s">
        <v>340</v>
      </c>
    </row>
    <row r="3031">
      <c r="A3031" s="3" t="s">
        <v>323</v>
      </c>
      <c r="B3031" s="3" t="s">
        <v>331</v>
      </c>
      <c r="C3031" s="3" t="s">
        <v>348</v>
      </c>
    </row>
    <row r="3032">
      <c r="A3032" s="3" t="s">
        <v>323</v>
      </c>
      <c r="B3032" s="3" t="s">
        <v>326</v>
      </c>
      <c r="C3032" s="3" t="s">
        <v>338</v>
      </c>
    </row>
    <row r="3033">
      <c r="A3033" s="3" t="s">
        <v>323</v>
      </c>
      <c r="B3033" s="3" t="s">
        <v>324</v>
      </c>
      <c r="C3033" s="3" t="s">
        <v>325</v>
      </c>
    </row>
    <row r="3034">
      <c r="A3034" s="3" t="s">
        <v>323</v>
      </c>
      <c r="B3034" s="3" t="s">
        <v>331</v>
      </c>
      <c r="C3034" s="3" t="s">
        <v>348</v>
      </c>
    </row>
    <row r="3035">
      <c r="A3035" s="3" t="s">
        <v>323</v>
      </c>
      <c r="B3035" s="3" t="s">
        <v>324</v>
      </c>
      <c r="C3035" s="3" t="s">
        <v>325</v>
      </c>
    </row>
    <row r="3036">
      <c r="A3036" s="3" t="s">
        <v>323</v>
      </c>
      <c r="B3036" s="3" t="s">
        <v>331</v>
      </c>
      <c r="C3036" s="3" t="s">
        <v>332</v>
      </c>
    </row>
    <row r="3037">
      <c r="A3037" s="3" t="s">
        <v>323</v>
      </c>
      <c r="B3037" s="3" t="s">
        <v>324</v>
      </c>
      <c r="C3037" s="3" t="s">
        <v>346</v>
      </c>
    </row>
    <row r="3038">
      <c r="A3038" s="3" t="s">
        <v>323</v>
      </c>
      <c r="B3038" s="3" t="s">
        <v>324</v>
      </c>
      <c r="C3038" s="3" t="s">
        <v>325</v>
      </c>
    </row>
    <row r="3039">
      <c r="A3039" s="3" t="s">
        <v>323</v>
      </c>
      <c r="B3039" s="3" t="s">
        <v>324</v>
      </c>
      <c r="C3039" s="3" t="s">
        <v>325</v>
      </c>
    </row>
    <row r="3040">
      <c r="A3040" s="3" t="s">
        <v>323</v>
      </c>
      <c r="B3040" s="3" t="s">
        <v>324</v>
      </c>
      <c r="C3040" s="3" t="s">
        <v>325</v>
      </c>
    </row>
    <row r="3041">
      <c r="A3041" s="3" t="s">
        <v>323</v>
      </c>
      <c r="B3041" s="3" t="s">
        <v>331</v>
      </c>
      <c r="C3041" s="3" t="s">
        <v>347</v>
      </c>
    </row>
    <row r="3042">
      <c r="A3042" s="3" t="s">
        <v>323</v>
      </c>
      <c r="B3042" s="3" t="s">
        <v>324</v>
      </c>
      <c r="C3042" s="3" t="s">
        <v>346</v>
      </c>
    </row>
    <row r="3043">
      <c r="A3043" s="3" t="s">
        <v>323</v>
      </c>
      <c r="B3043" s="3" t="s">
        <v>331</v>
      </c>
      <c r="C3043" s="3" t="s">
        <v>350</v>
      </c>
    </row>
    <row r="3044">
      <c r="A3044" s="3" t="s">
        <v>323</v>
      </c>
      <c r="B3044" s="3" t="s">
        <v>324</v>
      </c>
      <c r="C3044" s="3" t="s">
        <v>325</v>
      </c>
    </row>
    <row r="3045">
      <c r="A3045" s="3" t="s">
        <v>323</v>
      </c>
      <c r="B3045" s="3" t="s">
        <v>324</v>
      </c>
      <c r="C3045" s="3" t="s">
        <v>325</v>
      </c>
    </row>
    <row r="3046">
      <c r="A3046" s="3" t="s">
        <v>323</v>
      </c>
      <c r="B3046" s="3" t="s">
        <v>324</v>
      </c>
      <c r="C3046" s="3" t="s">
        <v>325</v>
      </c>
    </row>
    <row r="3047">
      <c r="A3047" s="3" t="s">
        <v>323</v>
      </c>
      <c r="B3047" s="3" t="s">
        <v>324</v>
      </c>
      <c r="C3047" s="3" t="s">
        <v>325</v>
      </c>
    </row>
    <row r="3048">
      <c r="A3048" s="3" t="s">
        <v>323</v>
      </c>
      <c r="B3048" s="3" t="s">
        <v>331</v>
      </c>
      <c r="C3048" s="3" t="s">
        <v>333</v>
      </c>
    </row>
    <row r="3049">
      <c r="A3049" s="3" t="s">
        <v>323</v>
      </c>
      <c r="B3049" s="3" t="s">
        <v>324</v>
      </c>
      <c r="C3049" s="3" t="s">
        <v>325</v>
      </c>
    </row>
    <row r="3050">
      <c r="A3050" s="3" t="s">
        <v>323</v>
      </c>
      <c r="B3050" s="3" t="s">
        <v>326</v>
      </c>
      <c r="C3050" s="3" t="s">
        <v>327</v>
      </c>
    </row>
    <row r="3051">
      <c r="A3051" s="3" t="s">
        <v>323</v>
      </c>
      <c r="B3051" s="3" t="s">
        <v>324</v>
      </c>
      <c r="C3051" s="3" t="s">
        <v>325</v>
      </c>
    </row>
    <row r="3052">
      <c r="A3052" s="3" t="s">
        <v>323</v>
      </c>
      <c r="B3052" s="3" t="s">
        <v>328</v>
      </c>
      <c r="C3052" s="3" t="s">
        <v>334</v>
      </c>
    </row>
    <row r="3053">
      <c r="A3053" s="3" t="s">
        <v>323</v>
      </c>
      <c r="B3053" s="3" t="s">
        <v>324</v>
      </c>
      <c r="C3053" s="3" t="s">
        <v>325</v>
      </c>
    </row>
    <row r="3054">
      <c r="A3054" s="3" t="s">
        <v>323</v>
      </c>
      <c r="B3054" s="3" t="s">
        <v>324</v>
      </c>
      <c r="C3054" s="3" t="s">
        <v>52</v>
      </c>
    </row>
    <row r="3055">
      <c r="A3055" s="3" t="s">
        <v>323</v>
      </c>
      <c r="B3055" s="3" t="s">
        <v>331</v>
      </c>
      <c r="C3055" s="3" t="s">
        <v>332</v>
      </c>
    </row>
    <row r="3056">
      <c r="A3056" s="3" t="s">
        <v>323</v>
      </c>
      <c r="B3056" s="3" t="s">
        <v>331</v>
      </c>
      <c r="C3056" s="3" t="s">
        <v>347</v>
      </c>
    </row>
    <row r="3057">
      <c r="A3057" s="3" t="s">
        <v>323</v>
      </c>
      <c r="B3057" s="3" t="s">
        <v>324</v>
      </c>
      <c r="C3057" s="3" t="s">
        <v>325</v>
      </c>
    </row>
    <row r="3058">
      <c r="A3058" s="3" t="s">
        <v>323</v>
      </c>
      <c r="B3058" s="3" t="s">
        <v>328</v>
      </c>
      <c r="C3058" s="3" t="s">
        <v>334</v>
      </c>
    </row>
    <row r="3059">
      <c r="A3059" s="3" t="s">
        <v>323</v>
      </c>
      <c r="B3059" s="3" t="s">
        <v>324</v>
      </c>
      <c r="C3059" s="3" t="s">
        <v>325</v>
      </c>
    </row>
    <row r="3060">
      <c r="A3060" s="3" t="s">
        <v>323</v>
      </c>
      <c r="B3060" s="3" t="s">
        <v>326</v>
      </c>
      <c r="C3060" s="3" t="s">
        <v>327</v>
      </c>
    </row>
    <row r="3061">
      <c r="A3061" s="3" t="s">
        <v>323</v>
      </c>
      <c r="B3061" s="3" t="s">
        <v>324</v>
      </c>
      <c r="C3061" s="3" t="s">
        <v>325</v>
      </c>
    </row>
    <row r="3062">
      <c r="A3062" s="3" t="s">
        <v>323</v>
      </c>
      <c r="B3062" s="3" t="s">
        <v>331</v>
      </c>
      <c r="C3062" s="3" t="s">
        <v>348</v>
      </c>
    </row>
    <row r="3063">
      <c r="A3063" s="3" t="s">
        <v>323</v>
      </c>
      <c r="B3063" s="3" t="s">
        <v>331</v>
      </c>
      <c r="C3063" s="3" t="s">
        <v>332</v>
      </c>
    </row>
    <row r="3064">
      <c r="A3064" s="3" t="s">
        <v>323</v>
      </c>
      <c r="B3064" s="3" t="s">
        <v>324</v>
      </c>
      <c r="C3064" s="3" t="s">
        <v>325</v>
      </c>
    </row>
    <row r="3065">
      <c r="A3065" s="3" t="s">
        <v>323</v>
      </c>
      <c r="B3065" s="3" t="s">
        <v>331</v>
      </c>
      <c r="C3065" s="3" t="s">
        <v>332</v>
      </c>
    </row>
    <row r="3066">
      <c r="A3066" s="3" t="s">
        <v>323</v>
      </c>
      <c r="B3066" s="3" t="s">
        <v>326</v>
      </c>
      <c r="C3066" s="3" t="s">
        <v>267</v>
      </c>
    </row>
    <row r="3067">
      <c r="A3067" s="3" t="s">
        <v>323</v>
      </c>
      <c r="B3067" s="3" t="s">
        <v>324</v>
      </c>
      <c r="C3067" s="3" t="s">
        <v>325</v>
      </c>
    </row>
    <row r="3068">
      <c r="A3068" s="3" t="s">
        <v>323</v>
      </c>
      <c r="B3068" s="3" t="s">
        <v>331</v>
      </c>
      <c r="C3068" s="3" t="s">
        <v>341</v>
      </c>
    </row>
    <row r="3069">
      <c r="A3069" s="3" t="s">
        <v>323</v>
      </c>
      <c r="B3069" s="3" t="s">
        <v>326</v>
      </c>
      <c r="C3069" s="3" t="s">
        <v>338</v>
      </c>
    </row>
    <row r="3070">
      <c r="A3070" s="3" t="s">
        <v>323</v>
      </c>
      <c r="B3070" s="3" t="s">
        <v>324</v>
      </c>
      <c r="C3070" s="3" t="s">
        <v>325</v>
      </c>
    </row>
    <row r="3071">
      <c r="A3071" s="3" t="s">
        <v>323</v>
      </c>
      <c r="B3071" s="3" t="s">
        <v>326</v>
      </c>
      <c r="C3071" s="3" t="s">
        <v>338</v>
      </c>
    </row>
    <row r="3072">
      <c r="A3072" s="3" t="s">
        <v>323</v>
      </c>
      <c r="B3072" s="3" t="s">
        <v>324</v>
      </c>
      <c r="C3072" s="3" t="s">
        <v>325</v>
      </c>
    </row>
    <row r="3073">
      <c r="A3073" s="3" t="s">
        <v>323</v>
      </c>
      <c r="B3073" s="3" t="s">
        <v>331</v>
      </c>
      <c r="C3073" s="3" t="s">
        <v>341</v>
      </c>
    </row>
    <row r="3074">
      <c r="A3074" s="3" t="s">
        <v>323</v>
      </c>
      <c r="B3074" s="3" t="s">
        <v>331</v>
      </c>
      <c r="C3074" s="3" t="s">
        <v>351</v>
      </c>
    </row>
    <row r="3075">
      <c r="A3075" s="3" t="s">
        <v>323</v>
      </c>
      <c r="B3075" s="3" t="s">
        <v>324</v>
      </c>
      <c r="C3075" s="3" t="s">
        <v>325</v>
      </c>
    </row>
    <row r="3076">
      <c r="A3076" s="3" t="s">
        <v>323</v>
      </c>
      <c r="B3076" s="3" t="s">
        <v>331</v>
      </c>
      <c r="C3076" s="3" t="s">
        <v>335</v>
      </c>
    </row>
    <row r="3077">
      <c r="A3077" s="3" t="s">
        <v>323</v>
      </c>
      <c r="B3077" s="3" t="s">
        <v>324</v>
      </c>
      <c r="C3077" s="3" t="s">
        <v>325</v>
      </c>
    </row>
    <row r="3078">
      <c r="A3078" s="3" t="s">
        <v>323</v>
      </c>
      <c r="B3078" s="3" t="s">
        <v>331</v>
      </c>
      <c r="C3078" s="3" t="s">
        <v>343</v>
      </c>
    </row>
    <row r="3079">
      <c r="A3079" s="3" t="s">
        <v>323</v>
      </c>
      <c r="B3079" s="3" t="s">
        <v>331</v>
      </c>
      <c r="C3079" s="3" t="s">
        <v>336</v>
      </c>
    </row>
    <row r="3080">
      <c r="A3080" s="3" t="s">
        <v>323</v>
      </c>
      <c r="B3080" s="3" t="s">
        <v>324</v>
      </c>
      <c r="C3080" s="3" t="s">
        <v>325</v>
      </c>
    </row>
    <row r="3081">
      <c r="A3081" s="3" t="s">
        <v>323</v>
      </c>
      <c r="B3081" s="3" t="s">
        <v>331</v>
      </c>
      <c r="C3081" s="3" t="s">
        <v>333</v>
      </c>
    </row>
    <row r="3082">
      <c r="A3082" s="3" t="s">
        <v>323</v>
      </c>
      <c r="B3082" s="3" t="s">
        <v>324</v>
      </c>
      <c r="C3082" s="3" t="s">
        <v>325</v>
      </c>
    </row>
    <row r="3083">
      <c r="A3083" s="3" t="s">
        <v>323</v>
      </c>
      <c r="B3083" s="3" t="s">
        <v>324</v>
      </c>
      <c r="C3083" s="3" t="s">
        <v>52</v>
      </c>
    </row>
    <row r="3084">
      <c r="A3084" s="3" t="s">
        <v>323</v>
      </c>
      <c r="B3084" s="3" t="s">
        <v>331</v>
      </c>
      <c r="C3084" s="3" t="s">
        <v>332</v>
      </c>
    </row>
    <row r="3085">
      <c r="A3085" s="3" t="s">
        <v>323</v>
      </c>
      <c r="B3085" s="3" t="s">
        <v>324</v>
      </c>
      <c r="C3085" s="3" t="s">
        <v>325</v>
      </c>
    </row>
    <row r="3086">
      <c r="A3086" s="3" t="s">
        <v>323</v>
      </c>
      <c r="B3086" s="3" t="s">
        <v>331</v>
      </c>
      <c r="C3086" s="3" t="s">
        <v>333</v>
      </c>
    </row>
    <row r="3087">
      <c r="A3087" s="3" t="s">
        <v>323</v>
      </c>
      <c r="B3087" s="3" t="s">
        <v>324</v>
      </c>
      <c r="C3087" s="3" t="s">
        <v>325</v>
      </c>
    </row>
    <row r="3088">
      <c r="A3088" s="3" t="s">
        <v>323</v>
      </c>
      <c r="B3088" s="3" t="s">
        <v>324</v>
      </c>
      <c r="C3088" s="3" t="s">
        <v>52</v>
      </c>
    </row>
    <row r="3089">
      <c r="A3089" s="3" t="s">
        <v>323</v>
      </c>
      <c r="B3089" s="3" t="s">
        <v>331</v>
      </c>
      <c r="C3089" s="3" t="s">
        <v>332</v>
      </c>
    </row>
    <row r="3090">
      <c r="A3090" s="3" t="s">
        <v>323</v>
      </c>
      <c r="B3090" s="3" t="s">
        <v>324</v>
      </c>
      <c r="C3090" s="3" t="s">
        <v>325</v>
      </c>
    </row>
    <row r="3091">
      <c r="A3091" s="3" t="s">
        <v>323</v>
      </c>
      <c r="B3091" s="3" t="s">
        <v>331</v>
      </c>
      <c r="C3091" s="3" t="s">
        <v>336</v>
      </c>
    </row>
    <row r="3092">
      <c r="A3092" s="3" t="s">
        <v>323</v>
      </c>
      <c r="B3092" s="3" t="s">
        <v>324</v>
      </c>
      <c r="C3092" s="3" t="s">
        <v>52</v>
      </c>
    </row>
    <row r="3093">
      <c r="A3093" s="3" t="s">
        <v>323</v>
      </c>
      <c r="B3093" s="3" t="s">
        <v>331</v>
      </c>
      <c r="C3093" s="3" t="s">
        <v>347</v>
      </c>
    </row>
    <row r="3094">
      <c r="A3094" s="3" t="s">
        <v>323</v>
      </c>
      <c r="B3094" s="3" t="s">
        <v>324</v>
      </c>
      <c r="C3094" s="3" t="s">
        <v>325</v>
      </c>
    </row>
    <row r="3095">
      <c r="A3095" s="3" t="s">
        <v>323</v>
      </c>
      <c r="B3095" s="3" t="s">
        <v>331</v>
      </c>
      <c r="C3095" s="3" t="s">
        <v>347</v>
      </c>
    </row>
    <row r="3096">
      <c r="A3096" s="3" t="s">
        <v>323</v>
      </c>
      <c r="B3096" s="3" t="s">
        <v>331</v>
      </c>
      <c r="C3096" s="3" t="s">
        <v>341</v>
      </c>
    </row>
    <row r="3097">
      <c r="A3097" s="3" t="s">
        <v>323</v>
      </c>
      <c r="B3097" s="3" t="s">
        <v>331</v>
      </c>
      <c r="C3097" s="3" t="s">
        <v>343</v>
      </c>
    </row>
    <row r="3098">
      <c r="A3098" s="3" t="s">
        <v>323</v>
      </c>
      <c r="B3098" s="3" t="s">
        <v>324</v>
      </c>
      <c r="C3098" s="3" t="s">
        <v>325</v>
      </c>
    </row>
    <row r="3099">
      <c r="A3099" s="3" t="s">
        <v>323</v>
      </c>
      <c r="B3099" s="3" t="s">
        <v>331</v>
      </c>
      <c r="C3099" s="3" t="s">
        <v>336</v>
      </c>
    </row>
    <row r="3100">
      <c r="A3100" s="3" t="s">
        <v>323</v>
      </c>
      <c r="B3100" s="3" t="s">
        <v>324</v>
      </c>
      <c r="C3100" s="3" t="s">
        <v>325</v>
      </c>
    </row>
    <row r="3101">
      <c r="A3101" s="3" t="s">
        <v>323</v>
      </c>
      <c r="B3101" s="3" t="s">
        <v>331</v>
      </c>
      <c r="C3101" s="3" t="s">
        <v>332</v>
      </c>
    </row>
    <row r="3102">
      <c r="A3102" s="3" t="s">
        <v>323</v>
      </c>
      <c r="B3102" s="3" t="s">
        <v>324</v>
      </c>
      <c r="C3102" s="3" t="s">
        <v>325</v>
      </c>
    </row>
    <row r="3103">
      <c r="A3103" s="3" t="s">
        <v>323</v>
      </c>
      <c r="B3103" s="3" t="s">
        <v>324</v>
      </c>
      <c r="C3103" s="3" t="s">
        <v>339</v>
      </c>
    </row>
    <row r="3104">
      <c r="A3104" s="3" t="s">
        <v>323</v>
      </c>
      <c r="B3104" s="3" t="s">
        <v>328</v>
      </c>
      <c r="C3104" s="3" t="s">
        <v>329</v>
      </c>
    </row>
    <row r="3105">
      <c r="A3105" s="3" t="s">
        <v>323</v>
      </c>
      <c r="B3105" s="3" t="s">
        <v>331</v>
      </c>
      <c r="C3105" s="3" t="s">
        <v>335</v>
      </c>
    </row>
    <row r="3106">
      <c r="A3106" s="3" t="s">
        <v>323</v>
      </c>
      <c r="B3106" s="3" t="s">
        <v>326</v>
      </c>
      <c r="C3106" s="3" t="s">
        <v>338</v>
      </c>
    </row>
    <row r="3107">
      <c r="A3107" s="3" t="s">
        <v>323</v>
      </c>
      <c r="B3107" s="3" t="s">
        <v>331</v>
      </c>
      <c r="C3107" s="3" t="s">
        <v>341</v>
      </c>
    </row>
    <row r="3108">
      <c r="A3108" s="3" t="s">
        <v>323</v>
      </c>
      <c r="B3108" s="3" t="s">
        <v>324</v>
      </c>
      <c r="C3108" s="3" t="s">
        <v>325</v>
      </c>
    </row>
    <row r="3109">
      <c r="A3109" s="3" t="s">
        <v>323</v>
      </c>
      <c r="B3109" s="3" t="s">
        <v>324</v>
      </c>
      <c r="C3109" s="3" t="s">
        <v>349</v>
      </c>
    </row>
    <row r="3110">
      <c r="A3110" s="3" t="s">
        <v>323</v>
      </c>
      <c r="B3110" s="3" t="s">
        <v>331</v>
      </c>
      <c r="C3110" s="3" t="s">
        <v>351</v>
      </c>
    </row>
    <row r="3111">
      <c r="A3111" s="3" t="s">
        <v>323</v>
      </c>
      <c r="B3111" s="3" t="s">
        <v>324</v>
      </c>
      <c r="C3111" s="3" t="s">
        <v>325</v>
      </c>
    </row>
    <row r="3112">
      <c r="A3112" s="3" t="s">
        <v>323</v>
      </c>
      <c r="B3112" s="3" t="s">
        <v>331</v>
      </c>
      <c r="C3112" s="3" t="s">
        <v>342</v>
      </c>
    </row>
    <row r="3113">
      <c r="A3113" s="3" t="s">
        <v>323</v>
      </c>
      <c r="B3113" s="3" t="s">
        <v>324</v>
      </c>
      <c r="C3113" s="3" t="s">
        <v>325</v>
      </c>
    </row>
    <row r="3114">
      <c r="A3114" s="3" t="s">
        <v>323</v>
      </c>
      <c r="B3114" s="3" t="s">
        <v>331</v>
      </c>
      <c r="C3114" s="3" t="s">
        <v>351</v>
      </c>
    </row>
    <row r="3115">
      <c r="A3115" s="3" t="s">
        <v>323</v>
      </c>
      <c r="B3115" s="3" t="s">
        <v>331</v>
      </c>
      <c r="C3115" s="3" t="s">
        <v>341</v>
      </c>
    </row>
    <row r="3116">
      <c r="A3116" s="3" t="s">
        <v>323</v>
      </c>
      <c r="B3116" s="3" t="s">
        <v>331</v>
      </c>
      <c r="C3116" s="3" t="s">
        <v>348</v>
      </c>
    </row>
    <row r="3117">
      <c r="A3117" s="3" t="s">
        <v>323</v>
      </c>
      <c r="B3117" s="3" t="s">
        <v>324</v>
      </c>
      <c r="C3117" s="3" t="s">
        <v>325</v>
      </c>
    </row>
    <row r="3118">
      <c r="A3118" s="3" t="s">
        <v>323</v>
      </c>
      <c r="B3118" s="3" t="s">
        <v>331</v>
      </c>
      <c r="C3118" s="3" t="s">
        <v>351</v>
      </c>
    </row>
    <row r="3119">
      <c r="A3119" s="3" t="s">
        <v>323</v>
      </c>
      <c r="B3119" s="3" t="s">
        <v>324</v>
      </c>
      <c r="C3119" s="3" t="s">
        <v>325</v>
      </c>
    </row>
    <row r="3120">
      <c r="A3120" s="3" t="s">
        <v>323</v>
      </c>
      <c r="B3120" s="3" t="s">
        <v>331</v>
      </c>
      <c r="C3120" s="3" t="s">
        <v>336</v>
      </c>
    </row>
    <row r="3121">
      <c r="A3121" s="3" t="s">
        <v>323</v>
      </c>
      <c r="B3121" s="3" t="s">
        <v>324</v>
      </c>
      <c r="C3121" s="3" t="s">
        <v>325</v>
      </c>
    </row>
    <row r="3122">
      <c r="A3122" s="3" t="s">
        <v>323</v>
      </c>
      <c r="B3122" s="3" t="s">
        <v>328</v>
      </c>
      <c r="C3122" s="3" t="s">
        <v>330</v>
      </c>
    </row>
    <row r="3123">
      <c r="A3123" s="3" t="s">
        <v>323</v>
      </c>
      <c r="B3123" s="3" t="s">
        <v>324</v>
      </c>
      <c r="C3123" s="3" t="s">
        <v>325</v>
      </c>
    </row>
    <row r="3124">
      <c r="A3124" s="3" t="s">
        <v>323</v>
      </c>
      <c r="B3124" s="3" t="s">
        <v>326</v>
      </c>
      <c r="C3124" s="3" t="s">
        <v>327</v>
      </c>
    </row>
    <row r="3125">
      <c r="A3125" s="3" t="s">
        <v>323</v>
      </c>
      <c r="B3125" s="3" t="s">
        <v>324</v>
      </c>
      <c r="C3125" s="3" t="s">
        <v>325</v>
      </c>
    </row>
    <row r="3126">
      <c r="A3126" s="3" t="s">
        <v>323</v>
      </c>
      <c r="B3126" s="3" t="s">
        <v>331</v>
      </c>
      <c r="C3126" s="3" t="s">
        <v>342</v>
      </c>
    </row>
    <row r="3127">
      <c r="A3127" s="3" t="s">
        <v>323</v>
      </c>
      <c r="B3127" s="3" t="s">
        <v>324</v>
      </c>
      <c r="C3127" s="3" t="s">
        <v>325</v>
      </c>
    </row>
    <row r="3128">
      <c r="A3128" s="3" t="s">
        <v>323</v>
      </c>
      <c r="B3128" s="3" t="s">
        <v>331</v>
      </c>
      <c r="C3128" s="3" t="s">
        <v>350</v>
      </c>
    </row>
    <row r="3129">
      <c r="A3129" s="3" t="s">
        <v>323</v>
      </c>
      <c r="B3129" s="3" t="s">
        <v>331</v>
      </c>
      <c r="C3129" s="3" t="s">
        <v>336</v>
      </c>
    </row>
    <row r="3130">
      <c r="A3130" s="3" t="s">
        <v>323</v>
      </c>
      <c r="B3130" s="3" t="s">
        <v>324</v>
      </c>
      <c r="C3130" s="3" t="s">
        <v>325</v>
      </c>
    </row>
    <row r="3131">
      <c r="A3131" s="3" t="s">
        <v>323</v>
      </c>
      <c r="B3131" s="3" t="s">
        <v>328</v>
      </c>
      <c r="C3131" s="3" t="s">
        <v>8</v>
      </c>
    </row>
    <row r="3132">
      <c r="A3132" s="3" t="s">
        <v>323</v>
      </c>
      <c r="B3132" s="3" t="s">
        <v>324</v>
      </c>
      <c r="C3132" s="3" t="s">
        <v>325</v>
      </c>
    </row>
    <row r="3133">
      <c r="A3133" s="3" t="s">
        <v>323</v>
      </c>
      <c r="B3133" s="3" t="s">
        <v>331</v>
      </c>
      <c r="C3133" s="3" t="s">
        <v>333</v>
      </c>
    </row>
    <row r="3134">
      <c r="A3134" s="3" t="s">
        <v>323</v>
      </c>
      <c r="B3134" s="3" t="s">
        <v>324</v>
      </c>
      <c r="C3134" s="3" t="s">
        <v>325</v>
      </c>
    </row>
    <row r="3135">
      <c r="A3135" s="3" t="s">
        <v>323</v>
      </c>
      <c r="B3135" s="3" t="s">
        <v>331</v>
      </c>
      <c r="C3135" s="3" t="s">
        <v>336</v>
      </c>
    </row>
    <row r="3136">
      <c r="A3136" s="3" t="s">
        <v>323</v>
      </c>
      <c r="B3136" s="3" t="s">
        <v>324</v>
      </c>
      <c r="C3136" s="3" t="s">
        <v>346</v>
      </c>
    </row>
    <row r="3137">
      <c r="A3137" s="3" t="s">
        <v>323</v>
      </c>
      <c r="B3137" s="3" t="s">
        <v>326</v>
      </c>
      <c r="C3137" s="3" t="s">
        <v>327</v>
      </c>
    </row>
    <row r="3138">
      <c r="A3138" s="3" t="s">
        <v>323</v>
      </c>
      <c r="B3138" s="3" t="s">
        <v>324</v>
      </c>
      <c r="C3138" s="3" t="s">
        <v>325</v>
      </c>
    </row>
    <row r="3139">
      <c r="A3139" s="3" t="s">
        <v>323</v>
      </c>
      <c r="B3139" s="3" t="s">
        <v>326</v>
      </c>
      <c r="C3139" s="3" t="s">
        <v>327</v>
      </c>
    </row>
    <row r="3140">
      <c r="A3140" s="3" t="s">
        <v>323</v>
      </c>
      <c r="B3140" s="3" t="s">
        <v>324</v>
      </c>
      <c r="C3140" s="3" t="s">
        <v>325</v>
      </c>
    </row>
    <row r="3141">
      <c r="A3141" s="3" t="s">
        <v>323</v>
      </c>
      <c r="B3141" s="3" t="s">
        <v>328</v>
      </c>
      <c r="C3141" s="3" t="s">
        <v>8</v>
      </c>
    </row>
    <row r="3142">
      <c r="A3142" s="3" t="s">
        <v>323</v>
      </c>
      <c r="B3142" s="3" t="s">
        <v>324</v>
      </c>
      <c r="C3142" s="3" t="s">
        <v>325</v>
      </c>
    </row>
    <row r="3143">
      <c r="A3143" s="3" t="s">
        <v>323</v>
      </c>
      <c r="B3143" s="3" t="s">
        <v>328</v>
      </c>
      <c r="C3143" s="3" t="s">
        <v>8</v>
      </c>
    </row>
    <row r="3144">
      <c r="A3144" s="3" t="s">
        <v>323</v>
      </c>
      <c r="B3144" s="3" t="s">
        <v>324</v>
      </c>
      <c r="C3144" s="3" t="s">
        <v>325</v>
      </c>
    </row>
    <row r="3145">
      <c r="A3145" s="3" t="s">
        <v>323</v>
      </c>
      <c r="B3145" s="3" t="s">
        <v>331</v>
      </c>
      <c r="C3145" s="3" t="s">
        <v>347</v>
      </c>
    </row>
    <row r="3146">
      <c r="A3146" s="3" t="s">
        <v>323</v>
      </c>
      <c r="B3146" s="3" t="s">
        <v>324</v>
      </c>
      <c r="C3146" s="3" t="s">
        <v>325</v>
      </c>
    </row>
    <row r="3147">
      <c r="A3147" s="3" t="s">
        <v>323</v>
      </c>
      <c r="B3147" s="3" t="s">
        <v>331</v>
      </c>
      <c r="C3147" s="3" t="s">
        <v>352</v>
      </c>
    </row>
    <row r="3148">
      <c r="A3148" s="3" t="s">
        <v>323</v>
      </c>
      <c r="B3148" s="3" t="s">
        <v>324</v>
      </c>
      <c r="C3148" s="3" t="s">
        <v>346</v>
      </c>
    </row>
    <row r="3149">
      <c r="A3149" s="3" t="s">
        <v>323</v>
      </c>
      <c r="B3149" s="3" t="s">
        <v>324</v>
      </c>
      <c r="C3149" s="3" t="s">
        <v>325</v>
      </c>
    </row>
    <row r="3150">
      <c r="A3150" s="3" t="s">
        <v>323</v>
      </c>
      <c r="B3150" s="3" t="s">
        <v>331</v>
      </c>
      <c r="C3150" s="3" t="s">
        <v>352</v>
      </c>
    </row>
    <row r="3151">
      <c r="A3151" s="3" t="s">
        <v>323</v>
      </c>
      <c r="B3151" s="3" t="s">
        <v>324</v>
      </c>
      <c r="C3151" s="3" t="s">
        <v>325</v>
      </c>
    </row>
    <row r="3152">
      <c r="A3152" s="3" t="s">
        <v>323</v>
      </c>
      <c r="B3152" s="3" t="s">
        <v>326</v>
      </c>
      <c r="C3152" s="3" t="s">
        <v>327</v>
      </c>
    </row>
    <row r="3153">
      <c r="A3153" s="3" t="s">
        <v>323</v>
      </c>
      <c r="B3153" s="3" t="s">
        <v>324</v>
      </c>
      <c r="C3153" s="3" t="s">
        <v>325</v>
      </c>
    </row>
    <row r="3154">
      <c r="A3154" s="3" t="s">
        <v>323</v>
      </c>
      <c r="B3154" s="3" t="s">
        <v>324</v>
      </c>
      <c r="C3154" s="3" t="s">
        <v>325</v>
      </c>
    </row>
    <row r="3155">
      <c r="A3155" s="3" t="s">
        <v>323</v>
      </c>
      <c r="B3155" s="3" t="s">
        <v>331</v>
      </c>
      <c r="C3155" s="3" t="s">
        <v>332</v>
      </c>
    </row>
    <row r="3156">
      <c r="A3156" s="3" t="s">
        <v>323</v>
      </c>
      <c r="B3156" s="3" t="s">
        <v>324</v>
      </c>
      <c r="C3156" s="3" t="s">
        <v>325</v>
      </c>
    </row>
    <row r="3157">
      <c r="A3157" s="3" t="s">
        <v>323</v>
      </c>
      <c r="B3157" s="3" t="s">
        <v>324</v>
      </c>
      <c r="C3157" s="3" t="s">
        <v>339</v>
      </c>
    </row>
    <row r="3158">
      <c r="A3158" s="3" t="s">
        <v>323</v>
      </c>
      <c r="B3158" s="3" t="s">
        <v>324</v>
      </c>
      <c r="C3158" s="3" t="s">
        <v>340</v>
      </c>
    </row>
    <row r="3159">
      <c r="A3159" s="3" t="s">
        <v>323</v>
      </c>
      <c r="B3159" s="3" t="s">
        <v>326</v>
      </c>
      <c r="C3159" s="3" t="s">
        <v>267</v>
      </c>
    </row>
    <row r="3160">
      <c r="A3160" s="3" t="s">
        <v>323</v>
      </c>
      <c r="B3160" s="3" t="s">
        <v>331</v>
      </c>
      <c r="C3160" s="3" t="s">
        <v>348</v>
      </c>
    </row>
    <row r="3161">
      <c r="A3161" s="3" t="s">
        <v>323</v>
      </c>
      <c r="B3161" s="3" t="s">
        <v>324</v>
      </c>
      <c r="C3161" s="3" t="s">
        <v>325</v>
      </c>
    </row>
    <row r="3162">
      <c r="A3162" s="3" t="s">
        <v>323</v>
      </c>
      <c r="B3162" s="3" t="s">
        <v>324</v>
      </c>
      <c r="C3162" s="3" t="s">
        <v>340</v>
      </c>
    </row>
    <row r="3163">
      <c r="A3163" s="3" t="s">
        <v>323</v>
      </c>
      <c r="B3163" s="3" t="s">
        <v>324</v>
      </c>
      <c r="C3163" s="3" t="s">
        <v>339</v>
      </c>
    </row>
    <row r="3164">
      <c r="A3164" s="3" t="s">
        <v>323</v>
      </c>
      <c r="B3164" s="3" t="s">
        <v>328</v>
      </c>
      <c r="C3164" s="3" t="s">
        <v>329</v>
      </c>
    </row>
    <row r="3165">
      <c r="A3165" s="3" t="s">
        <v>323</v>
      </c>
      <c r="B3165" s="3" t="s">
        <v>331</v>
      </c>
      <c r="C3165" s="3" t="s">
        <v>335</v>
      </c>
    </row>
    <row r="3166">
      <c r="A3166" s="3" t="s">
        <v>323</v>
      </c>
      <c r="B3166" s="3" t="s">
        <v>326</v>
      </c>
      <c r="C3166" s="3" t="s">
        <v>338</v>
      </c>
    </row>
    <row r="3167">
      <c r="A3167" s="3" t="s">
        <v>323</v>
      </c>
      <c r="B3167" s="3" t="s">
        <v>328</v>
      </c>
      <c r="C3167" s="3" t="s">
        <v>334</v>
      </c>
    </row>
    <row r="3168">
      <c r="A3168" s="3" t="s">
        <v>323</v>
      </c>
      <c r="B3168" s="3" t="s">
        <v>324</v>
      </c>
      <c r="C3168" s="3" t="s">
        <v>325</v>
      </c>
    </row>
    <row r="3169">
      <c r="A3169" s="3" t="s">
        <v>323</v>
      </c>
      <c r="B3169" s="3" t="s">
        <v>331</v>
      </c>
      <c r="C3169" s="3" t="s">
        <v>347</v>
      </c>
    </row>
    <row r="3170">
      <c r="A3170" s="3" t="s">
        <v>323</v>
      </c>
      <c r="B3170" s="3" t="s">
        <v>324</v>
      </c>
      <c r="C3170" s="3" t="s">
        <v>325</v>
      </c>
    </row>
    <row r="3171">
      <c r="A3171" s="3" t="s">
        <v>323</v>
      </c>
      <c r="B3171" s="3" t="s">
        <v>326</v>
      </c>
      <c r="C3171" s="3" t="s">
        <v>327</v>
      </c>
    </row>
    <row r="3172">
      <c r="A3172" s="3" t="s">
        <v>323</v>
      </c>
      <c r="B3172" s="3" t="s">
        <v>324</v>
      </c>
      <c r="C3172" s="3" t="s">
        <v>325</v>
      </c>
    </row>
    <row r="3173">
      <c r="A3173" s="3" t="s">
        <v>323</v>
      </c>
      <c r="B3173" s="3" t="s">
        <v>331</v>
      </c>
      <c r="C3173" s="3" t="s">
        <v>332</v>
      </c>
    </row>
    <row r="3174">
      <c r="A3174" s="3" t="s">
        <v>323</v>
      </c>
      <c r="B3174" s="3" t="s">
        <v>331</v>
      </c>
      <c r="C3174" s="3" t="s">
        <v>332</v>
      </c>
    </row>
    <row r="3175">
      <c r="A3175" s="3" t="s">
        <v>323</v>
      </c>
      <c r="B3175" s="3" t="s">
        <v>324</v>
      </c>
      <c r="C3175" s="3" t="s">
        <v>325</v>
      </c>
    </row>
    <row r="3176">
      <c r="A3176" s="3" t="s">
        <v>323</v>
      </c>
      <c r="B3176" s="3" t="s">
        <v>331</v>
      </c>
      <c r="C3176" s="3" t="s">
        <v>335</v>
      </c>
    </row>
    <row r="3177">
      <c r="A3177" s="3" t="s">
        <v>323</v>
      </c>
      <c r="B3177" s="3" t="s">
        <v>324</v>
      </c>
      <c r="C3177" s="3" t="s">
        <v>349</v>
      </c>
    </row>
    <row r="3178">
      <c r="A3178" s="3" t="s">
        <v>323</v>
      </c>
      <c r="B3178" s="3" t="s">
        <v>331</v>
      </c>
      <c r="C3178" s="3" t="s">
        <v>351</v>
      </c>
    </row>
    <row r="3179">
      <c r="A3179" s="3" t="s">
        <v>323</v>
      </c>
      <c r="B3179" s="3" t="s">
        <v>331</v>
      </c>
      <c r="C3179" s="3" t="s">
        <v>350</v>
      </c>
    </row>
    <row r="3180">
      <c r="A3180" s="3" t="s">
        <v>323</v>
      </c>
      <c r="B3180" s="3" t="s">
        <v>324</v>
      </c>
      <c r="C3180" s="3" t="s">
        <v>325</v>
      </c>
    </row>
    <row r="3181">
      <c r="A3181" s="3" t="s">
        <v>323</v>
      </c>
      <c r="B3181" s="3" t="s">
        <v>324</v>
      </c>
      <c r="C3181" s="3" t="s">
        <v>339</v>
      </c>
    </row>
    <row r="3182">
      <c r="A3182" s="3" t="s">
        <v>323</v>
      </c>
      <c r="B3182" s="3" t="s">
        <v>324</v>
      </c>
      <c r="C3182" s="3" t="s">
        <v>349</v>
      </c>
    </row>
    <row r="3183">
      <c r="A3183" s="3" t="s">
        <v>323</v>
      </c>
      <c r="B3183" s="3" t="s">
        <v>324</v>
      </c>
      <c r="C3183" s="3" t="s">
        <v>349</v>
      </c>
    </row>
    <row r="3184">
      <c r="A3184" s="3" t="s">
        <v>323</v>
      </c>
      <c r="B3184" s="3" t="s">
        <v>331</v>
      </c>
      <c r="C3184" s="3" t="s">
        <v>341</v>
      </c>
    </row>
    <row r="3185">
      <c r="A3185" s="3" t="s">
        <v>323</v>
      </c>
      <c r="B3185" s="3" t="s">
        <v>331</v>
      </c>
      <c r="C3185" s="3" t="s">
        <v>351</v>
      </c>
    </row>
    <row r="3186">
      <c r="A3186" s="3" t="s">
        <v>323</v>
      </c>
      <c r="B3186" s="3" t="s">
        <v>324</v>
      </c>
      <c r="C3186" s="3" t="s">
        <v>325</v>
      </c>
    </row>
    <row r="3187">
      <c r="A3187" s="3" t="s">
        <v>323</v>
      </c>
      <c r="B3187" s="3" t="s">
        <v>331</v>
      </c>
      <c r="C3187" s="3" t="s">
        <v>348</v>
      </c>
    </row>
    <row r="3188">
      <c r="A3188" s="3" t="s">
        <v>323</v>
      </c>
      <c r="B3188" s="3" t="s">
        <v>331</v>
      </c>
      <c r="C3188" s="3" t="s">
        <v>351</v>
      </c>
    </row>
    <row r="3189">
      <c r="A3189" s="3" t="s">
        <v>323</v>
      </c>
      <c r="B3189" s="3" t="s">
        <v>324</v>
      </c>
      <c r="C3189" s="3" t="s">
        <v>349</v>
      </c>
    </row>
    <row r="3190">
      <c r="A3190" s="3" t="s">
        <v>323</v>
      </c>
      <c r="B3190" s="3" t="s">
        <v>324</v>
      </c>
      <c r="C3190" s="3" t="s">
        <v>349</v>
      </c>
    </row>
    <row r="3191">
      <c r="A3191" s="3" t="s">
        <v>323</v>
      </c>
      <c r="B3191" s="3" t="s">
        <v>324</v>
      </c>
      <c r="C3191" s="3" t="s">
        <v>346</v>
      </c>
    </row>
    <row r="3192">
      <c r="A3192" s="3" t="s">
        <v>323</v>
      </c>
      <c r="B3192" s="3" t="s">
        <v>331</v>
      </c>
      <c r="C3192" s="3" t="s">
        <v>341</v>
      </c>
    </row>
    <row r="3193">
      <c r="A3193" s="3" t="s">
        <v>323</v>
      </c>
      <c r="B3193" s="3" t="s">
        <v>324</v>
      </c>
      <c r="C3193" s="3" t="s">
        <v>325</v>
      </c>
    </row>
    <row r="3194">
      <c r="A3194" s="3" t="s">
        <v>323</v>
      </c>
      <c r="B3194" s="3" t="s">
        <v>331</v>
      </c>
      <c r="C3194" s="3" t="s">
        <v>341</v>
      </c>
    </row>
    <row r="3195">
      <c r="A3195" s="3" t="s">
        <v>323</v>
      </c>
      <c r="B3195" s="3" t="s">
        <v>324</v>
      </c>
      <c r="C3195" s="3" t="s">
        <v>325</v>
      </c>
    </row>
    <row r="3196">
      <c r="A3196" s="3" t="s">
        <v>323</v>
      </c>
      <c r="B3196" s="3" t="s">
        <v>331</v>
      </c>
      <c r="C3196" s="3" t="s">
        <v>332</v>
      </c>
    </row>
    <row r="3197">
      <c r="A3197" s="3" t="s">
        <v>323</v>
      </c>
      <c r="B3197" s="3" t="s">
        <v>324</v>
      </c>
      <c r="C3197" s="3" t="s">
        <v>346</v>
      </c>
    </row>
    <row r="3198">
      <c r="A3198" s="3" t="s">
        <v>323</v>
      </c>
      <c r="B3198" s="3" t="s">
        <v>324</v>
      </c>
      <c r="C3198" s="3" t="s">
        <v>346</v>
      </c>
    </row>
    <row r="3199">
      <c r="A3199" s="3" t="s">
        <v>323</v>
      </c>
      <c r="B3199" s="3" t="s">
        <v>331</v>
      </c>
      <c r="C3199" s="3" t="s">
        <v>350</v>
      </c>
    </row>
    <row r="3200">
      <c r="A3200" s="3" t="s">
        <v>323</v>
      </c>
      <c r="B3200" s="3" t="s">
        <v>324</v>
      </c>
      <c r="C3200" s="3" t="s">
        <v>325</v>
      </c>
    </row>
    <row r="3201">
      <c r="A3201" s="3" t="s">
        <v>323</v>
      </c>
      <c r="B3201" s="3" t="s">
        <v>331</v>
      </c>
      <c r="C3201" s="3" t="s">
        <v>352</v>
      </c>
    </row>
    <row r="3202">
      <c r="A3202" s="3" t="s">
        <v>323</v>
      </c>
      <c r="B3202" s="3" t="s">
        <v>324</v>
      </c>
      <c r="C3202" s="3" t="s">
        <v>325</v>
      </c>
    </row>
    <row r="3203">
      <c r="A3203" s="3" t="s">
        <v>323</v>
      </c>
      <c r="B3203" s="3" t="s">
        <v>324</v>
      </c>
      <c r="C3203" s="3" t="s">
        <v>346</v>
      </c>
    </row>
    <row r="3204">
      <c r="A3204" s="3" t="s">
        <v>323</v>
      </c>
      <c r="B3204" s="3" t="s">
        <v>331</v>
      </c>
      <c r="C3204" s="3" t="s">
        <v>350</v>
      </c>
    </row>
    <row r="3205">
      <c r="A3205" s="3" t="s">
        <v>323</v>
      </c>
      <c r="B3205" s="3" t="s">
        <v>324</v>
      </c>
      <c r="C3205" s="3" t="s">
        <v>346</v>
      </c>
    </row>
    <row r="3206">
      <c r="A3206" s="3" t="s">
        <v>323</v>
      </c>
      <c r="B3206" s="3" t="s">
        <v>331</v>
      </c>
      <c r="C3206" s="3" t="s">
        <v>341</v>
      </c>
    </row>
    <row r="3207">
      <c r="A3207" s="3" t="s">
        <v>323</v>
      </c>
      <c r="B3207" s="3" t="s">
        <v>324</v>
      </c>
      <c r="C3207" s="3" t="s">
        <v>349</v>
      </c>
    </row>
    <row r="3208">
      <c r="A3208" s="3" t="s">
        <v>323</v>
      </c>
      <c r="B3208" s="3" t="s">
        <v>324</v>
      </c>
      <c r="C3208" s="3" t="s">
        <v>349</v>
      </c>
    </row>
    <row r="3209">
      <c r="A3209" s="3" t="s">
        <v>323</v>
      </c>
      <c r="B3209" s="3" t="s">
        <v>331</v>
      </c>
      <c r="C3209" s="3" t="s">
        <v>333</v>
      </c>
    </row>
    <row r="3210">
      <c r="A3210" s="3" t="s">
        <v>323</v>
      </c>
      <c r="B3210" s="3" t="s">
        <v>324</v>
      </c>
      <c r="C3210" s="3" t="s">
        <v>346</v>
      </c>
    </row>
    <row r="3211">
      <c r="A3211" s="3" t="s">
        <v>323</v>
      </c>
      <c r="B3211" s="3" t="s">
        <v>331</v>
      </c>
      <c r="C3211" s="3" t="s">
        <v>351</v>
      </c>
    </row>
    <row r="3212">
      <c r="A3212" s="3" t="s">
        <v>353</v>
      </c>
      <c r="B3212" s="3" t="s">
        <v>354</v>
      </c>
      <c r="C3212" s="3" t="s">
        <v>355</v>
      </c>
    </row>
    <row r="3213">
      <c r="A3213" s="3" t="s">
        <v>353</v>
      </c>
      <c r="B3213" s="3" t="s">
        <v>356</v>
      </c>
      <c r="C3213" s="3" t="s">
        <v>357</v>
      </c>
    </row>
    <row r="3214">
      <c r="A3214" s="3" t="s">
        <v>353</v>
      </c>
      <c r="B3214" s="3" t="s">
        <v>356</v>
      </c>
      <c r="C3214" s="3" t="s">
        <v>358</v>
      </c>
    </row>
    <row r="3215">
      <c r="A3215" s="3" t="s">
        <v>353</v>
      </c>
      <c r="B3215" s="3" t="s">
        <v>354</v>
      </c>
      <c r="C3215" s="3" t="s">
        <v>355</v>
      </c>
    </row>
    <row r="3216">
      <c r="A3216" s="3" t="s">
        <v>353</v>
      </c>
      <c r="B3216" s="3" t="s">
        <v>354</v>
      </c>
      <c r="C3216" s="3" t="s">
        <v>355</v>
      </c>
    </row>
    <row r="3217">
      <c r="A3217" s="3" t="s">
        <v>353</v>
      </c>
      <c r="B3217" s="3" t="s">
        <v>356</v>
      </c>
      <c r="C3217" s="3" t="s">
        <v>357</v>
      </c>
    </row>
    <row r="3218">
      <c r="A3218" s="3" t="s">
        <v>353</v>
      </c>
      <c r="B3218" s="3" t="s">
        <v>354</v>
      </c>
      <c r="C3218" s="3" t="s">
        <v>355</v>
      </c>
    </row>
    <row r="3219">
      <c r="A3219" s="3" t="s">
        <v>353</v>
      </c>
      <c r="B3219" s="3" t="s">
        <v>356</v>
      </c>
      <c r="C3219" s="3" t="s">
        <v>357</v>
      </c>
    </row>
    <row r="3220">
      <c r="A3220" s="3" t="s">
        <v>353</v>
      </c>
      <c r="B3220" s="3" t="s">
        <v>359</v>
      </c>
      <c r="C3220" s="3" t="s">
        <v>360</v>
      </c>
    </row>
    <row r="3221">
      <c r="A3221" s="3" t="s">
        <v>353</v>
      </c>
      <c r="B3221" s="3" t="s">
        <v>354</v>
      </c>
      <c r="C3221" s="3" t="s">
        <v>355</v>
      </c>
    </row>
    <row r="3222">
      <c r="A3222" s="3" t="s">
        <v>353</v>
      </c>
      <c r="B3222" s="3" t="s">
        <v>354</v>
      </c>
      <c r="C3222" s="3" t="s">
        <v>355</v>
      </c>
    </row>
    <row r="3223">
      <c r="A3223" s="3" t="s">
        <v>353</v>
      </c>
      <c r="B3223" s="3" t="s">
        <v>359</v>
      </c>
      <c r="C3223" s="3" t="s">
        <v>360</v>
      </c>
    </row>
    <row r="3224">
      <c r="A3224" s="3" t="s">
        <v>353</v>
      </c>
      <c r="B3224" s="3" t="s">
        <v>354</v>
      </c>
      <c r="C3224" s="3" t="s">
        <v>355</v>
      </c>
    </row>
    <row r="3225">
      <c r="A3225" s="3" t="s">
        <v>353</v>
      </c>
      <c r="B3225" s="3" t="s">
        <v>356</v>
      </c>
      <c r="C3225" s="3" t="s">
        <v>357</v>
      </c>
    </row>
    <row r="3226">
      <c r="A3226" s="3" t="s">
        <v>353</v>
      </c>
      <c r="B3226" s="3" t="s">
        <v>354</v>
      </c>
      <c r="C3226" s="3" t="s">
        <v>355</v>
      </c>
    </row>
    <row r="3227">
      <c r="A3227" s="3" t="s">
        <v>353</v>
      </c>
      <c r="B3227" s="3" t="s">
        <v>356</v>
      </c>
      <c r="C3227" s="3" t="s">
        <v>357</v>
      </c>
    </row>
    <row r="3228">
      <c r="A3228" s="3" t="s">
        <v>353</v>
      </c>
      <c r="B3228" s="3" t="s">
        <v>359</v>
      </c>
      <c r="C3228" s="3" t="s">
        <v>361</v>
      </c>
    </row>
    <row r="3229">
      <c r="A3229" s="3" t="s">
        <v>353</v>
      </c>
      <c r="B3229" s="3" t="s">
        <v>356</v>
      </c>
      <c r="C3229" s="3" t="s">
        <v>362</v>
      </c>
    </row>
    <row r="3230">
      <c r="A3230" s="3" t="s">
        <v>353</v>
      </c>
      <c r="B3230" s="3" t="s">
        <v>356</v>
      </c>
      <c r="C3230" s="3" t="s">
        <v>358</v>
      </c>
    </row>
    <row r="3231">
      <c r="A3231" s="3" t="s">
        <v>353</v>
      </c>
      <c r="B3231" s="3" t="s">
        <v>354</v>
      </c>
      <c r="C3231" s="3" t="s">
        <v>355</v>
      </c>
    </row>
    <row r="3232">
      <c r="A3232" s="3" t="s">
        <v>353</v>
      </c>
      <c r="B3232" s="3" t="s">
        <v>354</v>
      </c>
      <c r="C3232" s="3" t="s">
        <v>355</v>
      </c>
    </row>
    <row r="3233">
      <c r="A3233" s="3" t="s">
        <v>353</v>
      </c>
      <c r="B3233" s="3" t="s">
        <v>356</v>
      </c>
      <c r="C3233" s="3" t="s">
        <v>358</v>
      </c>
    </row>
    <row r="3234">
      <c r="A3234" s="3" t="s">
        <v>353</v>
      </c>
      <c r="B3234" s="3" t="s">
        <v>356</v>
      </c>
      <c r="C3234" s="3" t="s">
        <v>362</v>
      </c>
    </row>
    <row r="3235">
      <c r="A3235" s="3" t="s">
        <v>353</v>
      </c>
      <c r="B3235" s="3" t="s">
        <v>356</v>
      </c>
      <c r="C3235" s="3" t="s">
        <v>357</v>
      </c>
    </row>
    <row r="3236">
      <c r="A3236" s="3" t="s">
        <v>353</v>
      </c>
      <c r="B3236" s="3" t="s">
        <v>354</v>
      </c>
      <c r="C3236" s="3" t="s">
        <v>355</v>
      </c>
    </row>
    <row r="3237">
      <c r="A3237" s="3" t="s">
        <v>353</v>
      </c>
      <c r="B3237" s="3" t="s">
        <v>356</v>
      </c>
      <c r="C3237" s="3" t="s">
        <v>357</v>
      </c>
    </row>
    <row r="3238">
      <c r="A3238" s="3" t="s">
        <v>353</v>
      </c>
      <c r="B3238" s="3" t="s">
        <v>354</v>
      </c>
      <c r="C3238" s="3" t="s">
        <v>355</v>
      </c>
    </row>
    <row r="3239">
      <c r="A3239" s="3" t="s">
        <v>353</v>
      </c>
      <c r="B3239" s="3" t="s">
        <v>354</v>
      </c>
      <c r="C3239" s="3" t="s">
        <v>355</v>
      </c>
    </row>
    <row r="3240">
      <c r="A3240" s="3" t="s">
        <v>353</v>
      </c>
      <c r="B3240" s="3" t="s">
        <v>356</v>
      </c>
      <c r="C3240" s="3" t="s">
        <v>358</v>
      </c>
    </row>
    <row r="3241">
      <c r="A3241" s="3" t="s">
        <v>353</v>
      </c>
      <c r="B3241" s="3" t="s">
        <v>354</v>
      </c>
      <c r="C3241" s="3" t="s">
        <v>355</v>
      </c>
    </row>
    <row r="3242">
      <c r="A3242" s="3" t="s">
        <v>353</v>
      </c>
      <c r="B3242" s="3" t="s">
        <v>359</v>
      </c>
      <c r="C3242" s="3" t="s">
        <v>360</v>
      </c>
    </row>
    <row r="3243">
      <c r="A3243" s="3" t="s">
        <v>353</v>
      </c>
      <c r="B3243" s="3" t="s">
        <v>356</v>
      </c>
      <c r="C3243" s="3" t="s">
        <v>357</v>
      </c>
    </row>
    <row r="3244">
      <c r="A3244" s="3" t="s">
        <v>353</v>
      </c>
      <c r="B3244" s="3" t="s">
        <v>356</v>
      </c>
      <c r="C3244" s="3" t="s">
        <v>362</v>
      </c>
    </row>
    <row r="3245">
      <c r="A3245" s="3" t="s">
        <v>353</v>
      </c>
      <c r="B3245" s="3" t="s">
        <v>356</v>
      </c>
      <c r="C3245" s="3" t="s">
        <v>358</v>
      </c>
    </row>
    <row r="3246">
      <c r="A3246" s="3" t="s">
        <v>353</v>
      </c>
      <c r="B3246" s="3" t="s">
        <v>354</v>
      </c>
      <c r="C3246" s="3" t="s">
        <v>355</v>
      </c>
    </row>
    <row r="3247">
      <c r="A3247" s="3" t="s">
        <v>353</v>
      </c>
      <c r="B3247" s="3" t="s">
        <v>356</v>
      </c>
      <c r="C3247" s="3" t="s">
        <v>358</v>
      </c>
    </row>
    <row r="3248">
      <c r="A3248" s="3" t="s">
        <v>353</v>
      </c>
      <c r="B3248" s="3" t="s">
        <v>356</v>
      </c>
      <c r="C3248" s="3" t="s">
        <v>358</v>
      </c>
    </row>
    <row r="3249">
      <c r="A3249" s="3" t="s">
        <v>353</v>
      </c>
      <c r="B3249" s="3" t="s">
        <v>356</v>
      </c>
      <c r="C3249" s="3" t="s">
        <v>357</v>
      </c>
    </row>
    <row r="3250">
      <c r="A3250" s="3" t="s">
        <v>363</v>
      </c>
      <c r="B3250" s="3" t="s">
        <v>364</v>
      </c>
      <c r="C3250" s="3" t="s">
        <v>365</v>
      </c>
    </row>
    <row r="3251">
      <c r="A3251" s="3" t="s">
        <v>363</v>
      </c>
      <c r="B3251" s="3" t="s">
        <v>366</v>
      </c>
      <c r="C3251" s="3" t="s">
        <v>367</v>
      </c>
    </row>
    <row r="3252">
      <c r="A3252" s="3" t="s">
        <v>363</v>
      </c>
      <c r="B3252" s="3" t="s">
        <v>173</v>
      </c>
      <c r="C3252" s="3" t="s">
        <v>176</v>
      </c>
    </row>
    <row r="3253">
      <c r="A3253" s="3" t="s">
        <v>363</v>
      </c>
      <c r="B3253" s="3" t="s">
        <v>368</v>
      </c>
      <c r="C3253" s="3" t="s">
        <v>369</v>
      </c>
    </row>
    <row r="3254">
      <c r="A3254" s="3" t="s">
        <v>363</v>
      </c>
      <c r="B3254" s="3" t="s">
        <v>364</v>
      </c>
      <c r="C3254" s="3" t="s">
        <v>365</v>
      </c>
    </row>
    <row r="3255">
      <c r="A3255" s="3" t="s">
        <v>363</v>
      </c>
      <c r="B3255" s="3" t="s">
        <v>370</v>
      </c>
      <c r="C3255" s="3" t="s">
        <v>371</v>
      </c>
    </row>
    <row r="3256">
      <c r="A3256" s="3" t="s">
        <v>363</v>
      </c>
      <c r="B3256" s="3" t="s">
        <v>173</v>
      </c>
      <c r="C3256" s="3" t="s">
        <v>372</v>
      </c>
    </row>
    <row r="3257">
      <c r="A3257" s="3" t="s">
        <v>363</v>
      </c>
      <c r="B3257" s="3" t="s">
        <v>370</v>
      </c>
      <c r="C3257" s="3" t="s">
        <v>371</v>
      </c>
    </row>
    <row r="3258">
      <c r="A3258" s="3" t="s">
        <v>363</v>
      </c>
      <c r="B3258" s="3" t="s">
        <v>373</v>
      </c>
      <c r="C3258" s="3" t="s">
        <v>161</v>
      </c>
    </row>
    <row r="3259">
      <c r="A3259" s="3" t="s">
        <v>363</v>
      </c>
      <c r="B3259" s="3" t="s">
        <v>173</v>
      </c>
      <c r="C3259" s="3" t="s">
        <v>372</v>
      </c>
    </row>
    <row r="3260">
      <c r="A3260" s="3" t="s">
        <v>363</v>
      </c>
      <c r="B3260" s="3" t="s">
        <v>173</v>
      </c>
      <c r="C3260" s="3" t="s">
        <v>374</v>
      </c>
    </row>
    <row r="3261">
      <c r="A3261" s="3" t="s">
        <v>363</v>
      </c>
      <c r="B3261" s="3" t="s">
        <v>173</v>
      </c>
      <c r="C3261" s="3" t="s">
        <v>372</v>
      </c>
    </row>
    <row r="3262">
      <c r="A3262" s="3" t="s">
        <v>363</v>
      </c>
      <c r="B3262" s="3" t="s">
        <v>173</v>
      </c>
      <c r="C3262" s="3" t="s">
        <v>374</v>
      </c>
    </row>
    <row r="3263">
      <c r="A3263" s="3" t="s">
        <v>363</v>
      </c>
      <c r="B3263" s="3" t="s">
        <v>368</v>
      </c>
      <c r="C3263" s="3" t="s">
        <v>46</v>
      </c>
    </row>
    <row r="3264">
      <c r="A3264" s="3" t="s">
        <v>363</v>
      </c>
      <c r="B3264" s="3" t="s">
        <v>373</v>
      </c>
      <c r="C3264" s="3" t="s">
        <v>375</v>
      </c>
    </row>
    <row r="3265">
      <c r="A3265" s="3" t="s">
        <v>363</v>
      </c>
      <c r="B3265" s="3" t="s">
        <v>173</v>
      </c>
      <c r="C3265" s="3" t="s">
        <v>376</v>
      </c>
    </row>
    <row r="3266">
      <c r="A3266" s="3" t="s">
        <v>363</v>
      </c>
      <c r="B3266" s="3" t="s">
        <v>173</v>
      </c>
      <c r="C3266" s="3" t="s">
        <v>372</v>
      </c>
    </row>
    <row r="3267">
      <c r="A3267" s="3" t="s">
        <v>363</v>
      </c>
      <c r="B3267" s="3" t="s">
        <v>366</v>
      </c>
      <c r="C3267" s="3" t="s">
        <v>62</v>
      </c>
    </row>
    <row r="3268">
      <c r="A3268" s="3" t="s">
        <v>363</v>
      </c>
      <c r="B3268" s="3" t="s">
        <v>366</v>
      </c>
      <c r="C3268" s="3" t="s">
        <v>377</v>
      </c>
    </row>
    <row r="3269">
      <c r="A3269" s="3" t="s">
        <v>363</v>
      </c>
      <c r="B3269" s="3" t="s">
        <v>366</v>
      </c>
      <c r="C3269" s="3" t="s">
        <v>62</v>
      </c>
    </row>
    <row r="3270">
      <c r="A3270" s="3" t="s">
        <v>363</v>
      </c>
      <c r="B3270" s="3" t="s">
        <v>370</v>
      </c>
      <c r="C3270" s="3" t="s">
        <v>378</v>
      </c>
    </row>
    <row r="3271">
      <c r="A3271" s="3" t="s">
        <v>363</v>
      </c>
      <c r="B3271" s="3" t="s">
        <v>173</v>
      </c>
      <c r="C3271" s="3" t="s">
        <v>376</v>
      </c>
    </row>
    <row r="3272">
      <c r="A3272" s="3" t="s">
        <v>363</v>
      </c>
      <c r="B3272" s="3" t="s">
        <v>366</v>
      </c>
      <c r="C3272" s="3" t="s">
        <v>62</v>
      </c>
    </row>
    <row r="3273">
      <c r="A3273" s="3" t="s">
        <v>363</v>
      </c>
      <c r="B3273" s="3" t="s">
        <v>373</v>
      </c>
      <c r="C3273" s="3" t="s">
        <v>86</v>
      </c>
    </row>
    <row r="3274">
      <c r="A3274" s="3" t="s">
        <v>363</v>
      </c>
      <c r="B3274" s="3" t="s">
        <v>370</v>
      </c>
      <c r="C3274" s="3" t="s">
        <v>379</v>
      </c>
    </row>
    <row r="3275">
      <c r="A3275" s="3" t="s">
        <v>363</v>
      </c>
      <c r="B3275" s="3" t="s">
        <v>370</v>
      </c>
      <c r="C3275" s="3" t="s">
        <v>380</v>
      </c>
    </row>
    <row r="3276">
      <c r="A3276" s="3" t="s">
        <v>363</v>
      </c>
      <c r="B3276" s="3" t="s">
        <v>173</v>
      </c>
      <c r="C3276" s="3" t="s">
        <v>46</v>
      </c>
    </row>
    <row r="3277">
      <c r="A3277" s="3" t="s">
        <v>363</v>
      </c>
      <c r="B3277" s="3" t="s">
        <v>368</v>
      </c>
      <c r="C3277" s="3" t="s">
        <v>381</v>
      </c>
    </row>
    <row r="3278">
      <c r="A3278" s="3" t="s">
        <v>363</v>
      </c>
      <c r="B3278" s="3" t="s">
        <v>366</v>
      </c>
      <c r="C3278" s="3" t="s">
        <v>62</v>
      </c>
    </row>
    <row r="3279">
      <c r="A3279" s="3" t="s">
        <v>363</v>
      </c>
      <c r="B3279" s="3" t="s">
        <v>373</v>
      </c>
      <c r="C3279" s="3" t="s">
        <v>382</v>
      </c>
    </row>
    <row r="3280">
      <c r="A3280" s="3" t="s">
        <v>363</v>
      </c>
      <c r="B3280" s="3" t="s">
        <v>373</v>
      </c>
      <c r="C3280" s="3" t="s">
        <v>86</v>
      </c>
    </row>
    <row r="3281">
      <c r="A3281" s="3" t="s">
        <v>363</v>
      </c>
      <c r="B3281" s="3" t="s">
        <v>373</v>
      </c>
      <c r="C3281" s="3" t="s">
        <v>86</v>
      </c>
    </row>
    <row r="3282">
      <c r="A3282" s="3" t="s">
        <v>363</v>
      </c>
      <c r="B3282" s="3" t="s">
        <v>370</v>
      </c>
      <c r="C3282" s="3" t="s">
        <v>379</v>
      </c>
    </row>
    <row r="3283">
      <c r="A3283" s="3" t="s">
        <v>363</v>
      </c>
      <c r="B3283" s="3" t="s">
        <v>368</v>
      </c>
      <c r="C3283" s="3" t="s">
        <v>46</v>
      </c>
    </row>
    <row r="3284">
      <c r="A3284" s="3" t="s">
        <v>363</v>
      </c>
      <c r="B3284" s="3" t="s">
        <v>173</v>
      </c>
      <c r="C3284" s="3" t="s">
        <v>46</v>
      </c>
    </row>
    <row r="3285">
      <c r="A3285" s="3" t="s">
        <v>363</v>
      </c>
      <c r="B3285" s="3" t="s">
        <v>173</v>
      </c>
      <c r="C3285" s="3" t="s">
        <v>372</v>
      </c>
    </row>
    <row r="3286">
      <c r="A3286" s="3" t="s">
        <v>363</v>
      </c>
      <c r="B3286" s="3" t="s">
        <v>370</v>
      </c>
      <c r="C3286" s="3" t="s">
        <v>379</v>
      </c>
    </row>
    <row r="3287">
      <c r="A3287" s="3" t="s">
        <v>363</v>
      </c>
      <c r="B3287" s="3" t="s">
        <v>370</v>
      </c>
      <c r="C3287" s="3" t="s">
        <v>378</v>
      </c>
    </row>
    <row r="3288">
      <c r="A3288" s="3" t="s">
        <v>363</v>
      </c>
      <c r="B3288" s="3" t="s">
        <v>370</v>
      </c>
      <c r="C3288" s="3" t="s">
        <v>379</v>
      </c>
    </row>
    <row r="3289">
      <c r="A3289" s="3" t="s">
        <v>363</v>
      </c>
      <c r="B3289" s="3" t="s">
        <v>173</v>
      </c>
      <c r="C3289" s="3" t="s">
        <v>383</v>
      </c>
    </row>
    <row r="3290">
      <c r="A3290" s="3" t="s">
        <v>363</v>
      </c>
      <c r="B3290" s="3" t="s">
        <v>366</v>
      </c>
      <c r="C3290" s="3" t="s">
        <v>62</v>
      </c>
    </row>
    <row r="3291">
      <c r="A3291" s="3" t="s">
        <v>363</v>
      </c>
      <c r="B3291" s="3" t="s">
        <v>368</v>
      </c>
      <c r="C3291" s="3" t="s">
        <v>46</v>
      </c>
    </row>
    <row r="3292">
      <c r="A3292" s="3" t="s">
        <v>363</v>
      </c>
      <c r="B3292" s="3" t="s">
        <v>368</v>
      </c>
      <c r="C3292" s="3" t="s">
        <v>46</v>
      </c>
    </row>
    <row r="3293">
      <c r="A3293" s="3" t="s">
        <v>363</v>
      </c>
      <c r="B3293" s="3" t="s">
        <v>370</v>
      </c>
      <c r="C3293" s="3" t="s">
        <v>371</v>
      </c>
    </row>
    <row r="3294">
      <c r="A3294" s="3" t="s">
        <v>363</v>
      </c>
      <c r="B3294" s="3" t="s">
        <v>366</v>
      </c>
      <c r="C3294" s="3" t="s">
        <v>384</v>
      </c>
    </row>
    <row r="3295">
      <c r="A3295" s="3" t="s">
        <v>363</v>
      </c>
      <c r="B3295" s="3" t="s">
        <v>368</v>
      </c>
      <c r="C3295" s="3" t="s">
        <v>385</v>
      </c>
    </row>
    <row r="3296">
      <c r="A3296" s="3" t="s">
        <v>363</v>
      </c>
      <c r="B3296" s="3" t="s">
        <v>173</v>
      </c>
      <c r="C3296" s="3" t="s">
        <v>383</v>
      </c>
    </row>
    <row r="3297">
      <c r="A3297" s="3" t="s">
        <v>363</v>
      </c>
      <c r="B3297" s="3" t="s">
        <v>366</v>
      </c>
      <c r="C3297" s="3" t="s">
        <v>62</v>
      </c>
    </row>
    <row r="3298">
      <c r="A3298" s="3" t="s">
        <v>363</v>
      </c>
      <c r="B3298" s="3" t="s">
        <v>370</v>
      </c>
      <c r="C3298" s="3" t="s">
        <v>379</v>
      </c>
    </row>
    <row r="3299">
      <c r="A3299" s="3" t="s">
        <v>363</v>
      </c>
      <c r="B3299" s="3" t="s">
        <v>173</v>
      </c>
      <c r="C3299" s="3" t="s">
        <v>376</v>
      </c>
    </row>
    <row r="3300">
      <c r="A3300" s="3" t="s">
        <v>363</v>
      </c>
      <c r="B3300" s="3" t="s">
        <v>173</v>
      </c>
      <c r="C3300" s="3" t="s">
        <v>372</v>
      </c>
    </row>
    <row r="3301">
      <c r="A3301" s="3" t="s">
        <v>363</v>
      </c>
      <c r="B3301" s="3" t="s">
        <v>173</v>
      </c>
      <c r="C3301" s="3" t="s">
        <v>372</v>
      </c>
    </row>
    <row r="3302">
      <c r="A3302" s="3" t="s">
        <v>363</v>
      </c>
      <c r="B3302" s="3" t="s">
        <v>368</v>
      </c>
      <c r="C3302" s="3" t="s">
        <v>381</v>
      </c>
    </row>
    <row r="3303">
      <c r="A3303" s="3" t="s">
        <v>363</v>
      </c>
      <c r="B3303" s="3" t="s">
        <v>368</v>
      </c>
      <c r="C3303" s="3" t="s">
        <v>46</v>
      </c>
    </row>
    <row r="3304">
      <c r="A3304" s="3" t="s">
        <v>363</v>
      </c>
      <c r="B3304" s="3" t="s">
        <v>373</v>
      </c>
      <c r="C3304" s="3" t="s">
        <v>375</v>
      </c>
    </row>
    <row r="3305">
      <c r="A3305" s="3" t="s">
        <v>363</v>
      </c>
      <c r="B3305" s="3" t="s">
        <v>373</v>
      </c>
      <c r="C3305" s="3" t="s">
        <v>161</v>
      </c>
    </row>
    <row r="3306">
      <c r="A3306" s="3" t="s">
        <v>363</v>
      </c>
      <c r="B3306" s="3" t="s">
        <v>368</v>
      </c>
      <c r="C3306" s="3" t="s">
        <v>369</v>
      </c>
    </row>
    <row r="3307">
      <c r="A3307" s="3" t="s">
        <v>363</v>
      </c>
      <c r="B3307" s="3" t="s">
        <v>366</v>
      </c>
      <c r="C3307" s="3" t="s">
        <v>384</v>
      </c>
    </row>
    <row r="3308">
      <c r="A3308" s="3" t="s">
        <v>363</v>
      </c>
      <c r="B3308" s="3" t="s">
        <v>373</v>
      </c>
      <c r="C3308" s="3" t="s">
        <v>375</v>
      </c>
    </row>
    <row r="3309">
      <c r="A3309" s="3" t="s">
        <v>363</v>
      </c>
      <c r="B3309" s="3" t="s">
        <v>368</v>
      </c>
      <c r="C3309" s="3" t="s">
        <v>46</v>
      </c>
    </row>
    <row r="3310">
      <c r="A3310" s="3" t="s">
        <v>363</v>
      </c>
      <c r="B3310" s="3" t="s">
        <v>366</v>
      </c>
      <c r="C3310" s="3" t="s">
        <v>62</v>
      </c>
    </row>
    <row r="3311">
      <c r="A3311" s="3" t="s">
        <v>363</v>
      </c>
      <c r="B3311" s="3" t="s">
        <v>373</v>
      </c>
      <c r="C3311" s="3" t="s">
        <v>161</v>
      </c>
    </row>
    <row r="3312">
      <c r="A3312" s="3" t="s">
        <v>363</v>
      </c>
      <c r="B3312" s="3" t="s">
        <v>370</v>
      </c>
      <c r="C3312" s="3" t="s">
        <v>378</v>
      </c>
    </row>
    <row r="3313">
      <c r="A3313" s="3" t="s">
        <v>363</v>
      </c>
      <c r="B3313" s="3" t="s">
        <v>370</v>
      </c>
      <c r="C3313" s="3" t="s">
        <v>379</v>
      </c>
    </row>
    <row r="3314">
      <c r="A3314" s="3" t="s">
        <v>363</v>
      </c>
      <c r="B3314" s="3" t="s">
        <v>364</v>
      </c>
      <c r="C3314" s="3" t="s">
        <v>365</v>
      </c>
    </row>
    <row r="3315">
      <c r="A3315" s="3" t="s">
        <v>363</v>
      </c>
      <c r="B3315" s="3" t="s">
        <v>173</v>
      </c>
      <c r="C3315" s="3" t="s">
        <v>176</v>
      </c>
    </row>
    <row r="3316">
      <c r="A3316" s="3" t="s">
        <v>363</v>
      </c>
      <c r="B3316" s="3" t="s">
        <v>368</v>
      </c>
      <c r="C3316" s="3" t="s">
        <v>381</v>
      </c>
    </row>
    <row r="3317">
      <c r="A3317" s="3" t="s">
        <v>363</v>
      </c>
      <c r="B3317" s="3" t="s">
        <v>370</v>
      </c>
      <c r="C3317" s="3" t="s">
        <v>371</v>
      </c>
    </row>
    <row r="3318">
      <c r="A3318" s="3" t="s">
        <v>363</v>
      </c>
      <c r="B3318" s="3" t="s">
        <v>370</v>
      </c>
      <c r="C3318" s="3" t="s">
        <v>378</v>
      </c>
    </row>
    <row r="3319">
      <c r="A3319" s="3" t="s">
        <v>363</v>
      </c>
      <c r="B3319" s="3" t="s">
        <v>370</v>
      </c>
      <c r="C3319" s="3" t="s">
        <v>378</v>
      </c>
    </row>
    <row r="3320">
      <c r="A3320" s="3" t="s">
        <v>363</v>
      </c>
      <c r="B3320" s="3" t="s">
        <v>368</v>
      </c>
      <c r="C3320" s="3" t="s">
        <v>46</v>
      </c>
    </row>
    <row r="3321">
      <c r="A3321" s="3" t="s">
        <v>363</v>
      </c>
      <c r="B3321" s="3" t="s">
        <v>370</v>
      </c>
      <c r="C3321" s="3" t="s">
        <v>380</v>
      </c>
    </row>
    <row r="3322">
      <c r="A3322" s="3" t="s">
        <v>363</v>
      </c>
      <c r="B3322" s="3" t="s">
        <v>368</v>
      </c>
      <c r="C3322" s="3" t="s">
        <v>385</v>
      </c>
    </row>
    <row r="3323">
      <c r="A3323" s="3" t="s">
        <v>363</v>
      </c>
      <c r="B3323" s="3" t="s">
        <v>173</v>
      </c>
      <c r="C3323" s="3" t="s">
        <v>383</v>
      </c>
    </row>
    <row r="3324">
      <c r="A3324" s="3" t="s">
        <v>363</v>
      </c>
      <c r="B3324" s="3" t="s">
        <v>366</v>
      </c>
      <c r="C3324" s="3" t="s">
        <v>367</v>
      </c>
    </row>
    <row r="3325">
      <c r="A3325" s="3" t="s">
        <v>363</v>
      </c>
      <c r="B3325" s="3" t="s">
        <v>366</v>
      </c>
      <c r="C3325" s="3" t="s">
        <v>367</v>
      </c>
    </row>
    <row r="3326">
      <c r="A3326" s="3" t="s">
        <v>363</v>
      </c>
      <c r="B3326" s="3" t="s">
        <v>366</v>
      </c>
      <c r="C3326" s="3" t="s">
        <v>367</v>
      </c>
    </row>
    <row r="3327">
      <c r="A3327" s="3" t="s">
        <v>363</v>
      </c>
      <c r="B3327" s="3" t="s">
        <v>366</v>
      </c>
      <c r="C3327" s="3" t="s">
        <v>367</v>
      </c>
    </row>
    <row r="3328">
      <c r="A3328" s="3" t="s">
        <v>363</v>
      </c>
      <c r="B3328" s="3" t="s">
        <v>366</v>
      </c>
      <c r="C3328" s="3" t="s">
        <v>367</v>
      </c>
    </row>
    <row r="3329">
      <c r="A3329" s="3" t="s">
        <v>363</v>
      </c>
      <c r="B3329" s="3" t="s">
        <v>173</v>
      </c>
      <c r="C3329" s="3" t="s">
        <v>376</v>
      </c>
    </row>
    <row r="3330">
      <c r="A3330" s="3" t="s">
        <v>363</v>
      </c>
      <c r="B3330" s="3" t="s">
        <v>370</v>
      </c>
      <c r="C3330" s="3" t="s">
        <v>380</v>
      </c>
    </row>
    <row r="3331">
      <c r="A3331" s="3" t="s">
        <v>363</v>
      </c>
      <c r="B3331" s="3" t="s">
        <v>370</v>
      </c>
      <c r="C3331" s="3" t="s">
        <v>371</v>
      </c>
    </row>
    <row r="3332">
      <c r="A3332" s="3" t="s">
        <v>363</v>
      </c>
      <c r="B3332" s="3" t="s">
        <v>368</v>
      </c>
      <c r="C3332" s="3" t="s">
        <v>385</v>
      </c>
    </row>
    <row r="3333">
      <c r="A3333" s="3" t="s">
        <v>363</v>
      </c>
      <c r="B3333" s="3" t="s">
        <v>370</v>
      </c>
      <c r="C3333" s="3" t="s">
        <v>371</v>
      </c>
    </row>
    <row r="3334">
      <c r="A3334" s="3" t="s">
        <v>363</v>
      </c>
      <c r="B3334" s="3" t="s">
        <v>373</v>
      </c>
      <c r="C3334" s="3" t="s">
        <v>86</v>
      </c>
    </row>
    <row r="3335">
      <c r="A3335" s="3" t="s">
        <v>363</v>
      </c>
      <c r="B3335" s="3" t="s">
        <v>373</v>
      </c>
      <c r="C3335" s="3" t="s">
        <v>86</v>
      </c>
    </row>
    <row r="3336">
      <c r="A3336" s="3" t="s">
        <v>363</v>
      </c>
      <c r="B3336" s="3" t="s">
        <v>373</v>
      </c>
      <c r="C3336" s="3" t="s">
        <v>375</v>
      </c>
    </row>
    <row r="3337">
      <c r="A3337" s="3" t="s">
        <v>363</v>
      </c>
      <c r="B3337" s="3" t="s">
        <v>366</v>
      </c>
      <c r="C3337" s="3" t="s">
        <v>367</v>
      </c>
    </row>
    <row r="3338">
      <c r="A3338" s="3" t="s">
        <v>363</v>
      </c>
      <c r="B3338" s="3" t="s">
        <v>173</v>
      </c>
      <c r="C3338" s="3" t="s">
        <v>372</v>
      </c>
    </row>
    <row r="3339">
      <c r="A3339" s="3" t="s">
        <v>363</v>
      </c>
      <c r="B3339" s="3" t="s">
        <v>370</v>
      </c>
      <c r="C3339" s="3" t="s">
        <v>378</v>
      </c>
    </row>
    <row r="3340">
      <c r="A3340" s="3" t="s">
        <v>363</v>
      </c>
      <c r="B3340" s="3" t="s">
        <v>173</v>
      </c>
      <c r="C3340" s="3" t="s">
        <v>372</v>
      </c>
    </row>
    <row r="3341">
      <c r="A3341" s="3" t="s">
        <v>363</v>
      </c>
      <c r="B3341" s="3" t="s">
        <v>370</v>
      </c>
      <c r="C3341" s="3" t="s">
        <v>379</v>
      </c>
    </row>
    <row r="3342">
      <c r="A3342" s="3" t="s">
        <v>363</v>
      </c>
      <c r="B3342" s="3" t="s">
        <v>370</v>
      </c>
      <c r="C3342" s="3" t="s">
        <v>380</v>
      </c>
    </row>
    <row r="3343">
      <c r="A3343" s="3" t="s">
        <v>363</v>
      </c>
      <c r="B3343" s="3" t="s">
        <v>368</v>
      </c>
      <c r="C3343" s="3" t="s">
        <v>381</v>
      </c>
    </row>
    <row r="3344">
      <c r="A3344" s="3" t="s">
        <v>363</v>
      </c>
      <c r="B3344" s="3" t="s">
        <v>368</v>
      </c>
      <c r="C3344" s="3" t="s">
        <v>381</v>
      </c>
    </row>
    <row r="3345">
      <c r="A3345" s="3" t="s">
        <v>363</v>
      </c>
      <c r="B3345" s="3" t="s">
        <v>368</v>
      </c>
      <c r="C3345" s="3" t="s">
        <v>381</v>
      </c>
    </row>
    <row r="3346">
      <c r="A3346" s="3" t="s">
        <v>363</v>
      </c>
      <c r="B3346" s="3" t="s">
        <v>368</v>
      </c>
      <c r="C3346" s="3" t="s">
        <v>381</v>
      </c>
    </row>
    <row r="3347">
      <c r="A3347" s="3" t="s">
        <v>363</v>
      </c>
      <c r="B3347" s="3" t="s">
        <v>368</v>
      </c>
      <c r="C3347" s="3" t="s">
        <v>381</v>
      </c>
    </row>
    <row r="3348">
      <c r="A3348" s="3" t="s">
        <v>363</v>
      </c>
      <c r="B3348" s="3" t="s">
        <v>173</v>
      </c>
      <c r="C3348" s="3" t="s">
        <v>376</v>
      </c>
    </row>
    <row r="3349">
      <c r="A3349" s="3" t="s">
        <v>363</v>
      </c>
      <c r="B3349" s="3" t="s">
        <v>173</v>
      </c>
      <c r="C3349" s="3" t="s">
        <v>372</v>
      </c>
    </row>
    <row r="3350">
      <c r="A3350" s="3" t="s">
        <v>363</v>
      </c>
      <c r="B3350" s="3" t="s">
        <v>370</v>
      </c>
      <c r="C3350" s="3" t="s">
        <v>379</v>
      </c>
    </row>
    <row r="3351">
      <c r="A3351" s="3" t="s">
        <v>363</v>
      </c>
      <c r="B3351" s="3" t="s">
        <v>173</v>
      </c>
      <c r="C3351" s="3" t="s">
        <v>46</v>
      </c>
    </row>
    <row r="3352">
      <c r="A3352" s="3" t="s">
        <v>363</v>
      </c>
      <c r="B3352" s="3" t="s">
        <v>373</v>
      </c>
      <c r="C3352" s="3" t="s">
        <v>382</v>
      </c>
    </row>
    <row r="3353">
      <c r="A3353" s="3" t="s">
        <v>363</v>
      </c>
      <c r="B3353" s="3" t="s">
        <v>366</v>
      </c>
      <c r="C3353" s="3" t="s">
        <v>367</v>
      </c>
    </row>
    <row r="3354">
      <c r="A3354" s="3" t="s">
        <v>363</v>
      </c>
      <c r="B3354" s="3" t="s">
        <v>370</v>
      </c>
      <c r="C3354" s="3" t="s">
        <v>380</v>
      </c>
    </row>
    <row r="3355">
      <c r="A3355" s="3" t="s">
        <v>363</v>
      </c>
      <c r="B3355" s="3" t="s">
        <v>370</v>
      </c>
      <c r="C3355" s="3" t="s">
        <v>378</v>
      </c>
    </row>
    <row r="3356">
      <c r="A3356" s="3" t="s">
        <v>363</v>
      </c>
      <c r="B3356" s="3" t="s">
        <v>370</v>
      </c>
      <c r="C3356" s="3" t="s">
        <v>379</v>
      </c>
    </row>
    <row r="3357">
      <c r="A3357" s="3" t="s">
        <v>363</v>
      </c>
      <c r="B3357" s="3" t="s">
        <v>370</v>
      </c>
      <c r="C3357" s="3" t="s">
        <v>371</v>
      </c>
    </row>
    <row r="3358">
      <c r="A3358" s="3" t="s">
        <v>363</v>
      </c>
      <c r="B3358" s="3" t="s">
        <v>368</v>
      </c>
      <c r="C3358" s="3" t="s">
        <v>381</v>
      </c>
    </row>
    <row r="3359">
      <c r="A3359" s="3" t="s">
        <v>363</v>
      </c>
      <c r="B3359" s="3" t="s">
        <v>368</v>
      </c>
      <c r="C3359" s="3" t="s">
        <v>369</v>
      </c>
    </row>
    <row r="3360">
      <c r="A3360" s="3" t="s">
        <v>363</v>
      </c>
      <c r="B3360" s="3" t="s">
        <v>368</v>
      </c>
      <c r="C3360" s="3" t="s">
        <v>46</v>
      </c>
    </row>
    <row r="3361">
      <c r="A3361" s="3" t="s">
        <v>363</v>
      </c>
      <c r="B3361" s="3" t="s">
        <v>364</v>
      </c>
      <c r="C3361" s="3" t="s">
        <v>365</v>
      </c>
    </row>
    <row r="3362">
      <c r="A3362" s="3" t="s">
        <v>363</v>
      </c>
      <c r="B3362" s="3" t="s">
        <v>173</v>
      </c>
      <c r="C3362" s="3" t="s">
        <v>374</v>
      </c>
    </row>
    <row r="3363">
      <c r="A3363" s="3" t="s">
        <v>363</v>
      </c>
      <c r="B3363" s="3" t="s">
        <v>173</v>
      </c>
      <c r="C3363" s="3" t="s">
        <v>376</v>
      </c>
    </row>
    <row r="3364">
      <c r="A3364" s="3" t="s">
        <v>363</v>
      </c>
      <c r="B3364" s="3" t="s">
        <v>173</v>
      </c>
      <c r="C3364" s="3" t="s">
        <v>372</v>
      </c>
    </row>
    <row r="3365">
      <c r="A3365" s="3" t="s">
        <v>363</v>
      </c>
      <c r="B3365" s="3" t="s">
        <v>173</v>
      </c>
      <c r="C3365" s="3" t="s">
        <v>383</v>
      </c>
    </row>
    <row r="3366">
      <c r="A3366" s="3" t="s">
        <v>363</v>
      </c>
      <c r="B3366" s="3" t="s">
        <v>173</v>
      </c>
      <c r="C3366" s="3" t="s">
        <v>176</v>
      </c>
    </row>
    <row r="3367">
      <c r="A3367" s="3" t="s">
        <v>363</v>
      </c>
      <c r="B3367" s="3" t="s">
        <v>173</v>
      </c>
      <c r="C3367" s="3" t="s">
        <v>46</v>
      </c>
    </row>
    <row r="3368">
      <c r="A3368" s="3" t="s">
        <v>363</v>
      </c>
      <c r="B3368" s="3" t="s">
        <v>368</v>
      </c>
      <c r="C3368" s="3" t="s">
        <v>381</v>
      </c>
    </row>
    <row r="3369">
      <c r="A3369" s="3" t="s">
        <v>363</v>
      </c>
      <c r="B3369" s="3" t="s">
        <v>368</v>
      </c>
      <c r="C3369" s="3" t="s">
        <v>381</v>
      </c>
    </row>
    <row r="3370">
      <c r="A3370" s="3" t="s">
        <v>363</v>
      </c>
      <c r="B3370" s="3" t="s">
        <v>368</v>
      </c>
      <c r="C3370" s="3" t="s">
        <v>381</v>
      </c>
    </row>
    <row r="3371">
      <c r="A3371" s="3" t="s">
        <v>363</v>
      </c>
      <c r="B3371" s="3" t="s">
        <v>368</v>
      </c>
      <c r="C3371" s="3" t="s">
        <v>381</v>
      </c>
    </row>
    <row r="3372">
      <c r="A3372" s="3" t="s">
        <v>363</v>
      </c>
      <c r="B3372" s="3" t="s">
        <v>368</v>
      </c>
      <c r="C3372" s="3" t="s">
        <v>381</v>
      </c>
    </row>
    <row r="3373">
      <c r="A3373" s="3" t="s">
        <v>363</v>
      </c>
      <c r="B3373" s="3" t="s">
        <v>368</v>
      </c>
      <c r="C3373" s="3" t="s">
        <v>381</v>
      </c>
    </row>
    <row r="3374">
      <c r="A3374" s="3" t="s">
        <v>363</v>
      </c>
      <c r="B3374" s="3" t="s">
        <v>368</v>
      </c>
      <c r="C3374" s="3" t="s">
        <v>381</v>
      </c>
    </row>
    <row r="3375">
      <c r="A3375" s="3" t="s">
        <v>363</v>
      </c>
      <c r="B3375" s="3" t="s">
        <v>173</v>
      </c>
      <c r="C3375" s="3" t="s">
        <v>46</v>
      </c>
    </row>
    <row r="3376">
      <c r="A3376" s="3" t="s">
        <v>363</v>
      </c>
      <c r="B3376" s="3" t="s">
        <v>368</v>
      </c>
      <c r="C3376" s="3" t="s">
        <v>381</v>
      </c>
    </row>
    <row r="3377">
      <c r="A3377" s="3" t="s">
        <v>363</v>
      </c>
      <c r="B3377" s="3" t="s">
        <v>370</v>
      </c>
      <c r="C3377" s="3" t="s">
        <v>379</v>
      </c>
    </row>
    <row r="3378">
      <c r="A3378" s="3" t="s">
        <v>363</v>
      </c>
      <c r="B3378" s="3" t="s">
        <v>368</v>
      </c>
      <c r="C3378" s="3" t="s">
        <v>381</v>
      </c>
    </row>
    <row r="3379">
      <c r="A3379" s="3" t="s">
        <v>363</v>
      </c>
      <c r="B3379" s="3" t="s">
        <v>368</v>
      </c>
      <c r="C3379" s="3" t="s">
        <v>381</v>
      </c>
    </row>
    <row r="3380">
      <c r="A3380" s="3" t="s">
        <v>363</v>
      </c>
      <c r="B3380" s="3" t="s">
        <v>368</v>
      </c>
      <c r="C3380" s="3" t="s">
        <v>381</v>
      </c>
    </row>
    <row r="3381">
      <c r="A3381" s="3" t="s">
        <v>363</v>
      </c>
      <c r="B3381" s="3" t="s">
        <v>173</v>
      </c>
      <c r="C3381" s="3" t="s">
        <v>372</v>
      </c>
    </row>
    <row r="3382">
      <c r="A3382" s="3" t="s">
        <v>363</v>
      </c>
      <c r="B3382" s="3" t="s">
        <v>173</v>
      </c>
      <c r="C3382" s="3" t="s">
        <v>376</v>
      </c>
    </row>
    <row r="3383">
      <c r="A3383" s="3" t="s">
        <v>363</v>
      </c>
      <c r="B3383" s="3" t="s">
        <v>370</v>
      </c>
      <c r="C3383" s="3" t="s">
        <v>371</v>
      </c>
    </row>
    <row r="3384">
      <c r="A3384" s="3" t="s">
        <v>363</v>
      </c>
      <c r="B3384" s="3" t="s">
        <v>368</v>
      </c>
      <c r="C3384" s="3" t="s">
        <v>381</v>
      </c>
    </row>
    <row r="3385">
      <c r="A3385" s="3" t="s">
        <v>363</v>
      </c>
      <c r="B3385" s="3" t="s">
        <v>373</v>
      </c>
      <c r="C3385" s="3" t="s">
        <v>375</v>
      </c>
    </row>
    <row r="3386">
      <c r="A3386" s="3" t="s">
        <v>363</v>
      </c>
      <c r="B3386" s="3" t="s">
        <v>368</v>
      </c>
      <c r="C3386" s="3" t="s">
        <v>381</v>
      </c>
    </row>
    <row r="3387">
      <c r="A3387" s="3" t="s">
        <v>363</v>
      </c>
      <c r="B3387" s="3" t="s">
        <v>368</v>
      </c>
      <c r="C3387" s="3" t="s">
        <v>381</v>
      </c>
    </row>
    <row r="3388">
      <c r="A3388" s="3" t="s">
        <v>363</v>
      </c>
      <c r="B3388" s="3" t="s">
        <v>370</v>
      </c>
      <c r="C3388" s="3" t="s">
        <v>379</v>
      </c>
    </row>
    <row r="3389">
      <c r="A3389" s="3" t="s">
        <v>363</v>
      </c>
      <c r="B3389" s="3" t="s">
        <v>368</v>
      </c>
      <c r="C3389" s="3" t="s">
        <v>381</v>
      </c>
    </row>
    <row r="3390">
      <c r="A3390" s="3" t="s">
        <v>363</v>
      </c>
      <c r="B3390" s="3" t="s">
        <v>373</v>
      </c>
      <c r="C3390" s="3" t="s">
        <v>86</v>
      </c>
    </row>
    <row r="3391">
      <c r="A3391" s="3" t="s">
        <v>363</v>
      </c>
      <c r="B3391" s="3" t="s">
        <v>373</v>
      </c>
      <c r="C3391" s="3" t="s">
        <v>375</v>
      </c>
    </row>
    <row r="3392">
      <c r="A3392" s="3" t="s">
        <v>363</v>
      </c>
      <c r="B3392" s="3" t="s">
        <v>368</v>
      </c>
      <c r="C3392" s="3" t="s">
        <v>381</v>
      </c>
    </row>
    <row r="3393">
      <c r="A3393" s="3" t="s">
        <v>363</v>
      </c>
      <c r="B3393" s="3" t="s">
        <v>368</v>
      </c>
      <c r="C3393" s="3" t="s">
        <v>381</v>
      </c>
    </row>
    <row r="3394">
      <c r="A3394" s="3" t="s">
        <v>363</v>
      </c>
      <c r="B3394" s="3" t="s">
        <v>370</v>
      </c>
      <c r="C3394" s="3" t="s">
        <v>379</v>
      </c>
    </row>
    <row r="3395">
      <c r="A3395" s="3" t="s">
        <v>363</v>
      </c>
      <c r="B3395" s="3" t="s">
        <v>368</v>
      </c>
      <c r="C3395" s="3" t="s">
        <v>381</v>
      </c>
    </row>
    <row r="3396">
      <c r="A3396" s="3" t="s">
        <v>363</v>
      </c>
      <c r="B3396" s="3" t="s">
        <v>368</v>
      </c>
      <c r="C3396" s="3" t="s">
        <v>381</v>
      </c>
    </row>
    <row r="3397">
      <c r="A3397" s="3" t="s">
        <v>363</v>
      </c>
      <c r="B3397" s="3" t="s">
        <v>368</v>
      </c>
      <c r="C3397" s="3" t="s">
        <v>381</v>
      </c>
    </row>
    <row r="3398">
      <c r="A3398" s="3" t="s">
        <v>363</v>
      </c>
      <c r="B3398" s="3" t="s">
        <v>173</v>
      </c>
      <c r="C3398" s="3" t="s">
        <v>372</v>
      </c>
    </row>
    <row r="3399">
      <c r="A3399" s="3" t="s">
        <v>363</v>
      </c>
      <c r="B3399" s="3" t="s">
        <v>368</v>
      </c>
      <c r="C3399" s="3" t="s">
        <v>381</v>
      </c>
    </row>
    <row r="3400">
      <c r="A3400" s="3" t="s">
        <v>363</v>
      </c>
      <c r="B3400" s="3" t="s">
        <v>366</v>
      </c>
      <c r="C3400" s="3" t="s">
        <v>367</v>
      </c>
    </row>
    <row r="3401">
      <c r="A3401" s="3" t="s">
        <v>363</v>
      </c>
      <c r="B3401" s="3" t="s">
        <v>366</v>
      </c>
      <c r="C3401" s="3" t="s">
        <v>367</v>
      </c>
    </row>
    <row r="3402">
      <c r="A3402" s="3" t="s">
        <v>363</v>
      </c>
      <c r="B3402" s="3" t="s">
        <v>366</v>
      </c>
      <c r="C3402" s="3" t="s">
        <v>367</v>
      </c>
    </row>
    <row r="3403">
      <c r="A3403" s="3" t="s">
        <v>363</v>
      </c>
      <c r="B3403" s="3" t="s">
        <v>368</v>
      </c>
      <c r="C3403" s="3" t="s">
        <v>381</v>
      </c>
    </row>
    <row r="3404">
      <c r="A3404" s="3" t="s">
        <v>363</v>
      </c>
      <c r="B3404" s="3" t="s">
        <v>368</v>
      </c>
      <c r="C3404" s="3" t="s">
        <v>369</v>
      </c>
    </row>
    <row r="3405">
      <c r="A3405" s="3" t="s">
        <v>363</v>
      </c>
      <c r="B3405" s="3" t="s">
        <v>370</v>
      </c>
      <c r="C3405" s="3" t="s">
        <v>371</v>
      </c>
    </row>
    <row r="3406">
      <c r="A3406" s="3" t="s">
        <v>363</v>
      </c>
      <c r="B3406" s="3" t="s">
        <v>370</v>
      </c>
      <c r="C3406" s="3" t="s">
        <v>378</v>
      </c>
    </row>
    <row r="3407">
      <c r="A3407" s="3" t="s">
        <v>363</v>
      </c>
      <c r="B3407" s="3" t="s">
        <v>366</v>
      </c>
      <c r="C3407" s="3" t="s">
        <v>367</v>
      </c>
    </row>
    <row r="3408">
      <c r="A3408" s="3" t="s">
        <v>363</v>
      </c>
      <c r="B3408" s="3" t="s">
        <v>368</v>
      </c>
      <c r="C3408" s="3" t="s">
        <v>381</v>
      </c>
    </row>
    <row r="3409">
      <c r="A3409" s="3" t="s">
        <v>363</v>
      </c>
      <c r="B3409" s="3" t="s">
        <v>373</v>
      </c>
      <c r="C3409" s="3" t="s">
        <v>375</v>
      </c>
    </row>
    <row r="3410">
      <c r="A3410" s="3" t="s">
        <v>363</v>
      </c>
      <c r="B3410" s="3" t="s">
        <v>173</v>
      </c>
      <c r="C3410" s="3" t="s">
        <v>372</v>
      </c>
    </row>
    <row r="3411">
      <c r="A3411" s="3" t="s">
        <v>363</v>
      </c>
      <c r="B3411" s="3" t="s">
        <v>368</v>
      </c>
      <c r="C3411" s="3" t="s">
        <v>381</v>
      </c>
    </row>
    <row r="3412">
      <c r="A3412" s="3" t="s">
        <v>363</v>
      </c>
      <c r="B3412" s="3" t="s">
        <v>368</v>
      </c>
      <c r="C3412" s="3" t="s">
        <v>381</v>
      </c>
    </row>
    <row r="3413">
      <c r="A3413" s="3" t="s">
        <v>386</v>
      </c>
      <c r="B3413" s="3" t="s">
        <v>387</v>
      </c>
      <c r="C3413" s="3" t="s">
        <v>388</v>
      </c>
    </row>
    <row r="3414">
      <c r="A3414" s="3" t="s">
        <v>386</v>
      </c>
      <c r="B3414" s="3" t="s">
        <v>387</v>
      </c>
      <c r="C3414" s="3" t="s">
        <v>388</v>
      </c>
    </row>
    <row r="3415">
      <c r="A3415" s="3" t="s">
        <v>386</v>
      </c>
      <c r="B3415" s="3" t="s">
        <v>387</v>
      </c>
      <c r="C3415" s="3" t="s">
        <v>388</v>
      </c>
    </row>
    <row r="3416">
      <c r="A3416" s="3" t="s">
        <v>386</v>
      </c>
      <c r="B3416" s="3" t="s">
        <v>387</v>
      </c>
      <c r="C3416" s="3" t="s">
        <v>388</v>
      </c>
    </row>
    <row r="3417">
      <c r="A3417" s="3" t="s">
        <v>386</v>
      </c>
      <c r="B3417" s="3" t="s">
        <v>387</v>
      </c>
      <c r="C3417" s="3" t="s">
        <v>388</v>
      </c>
    </row>
    <row r="3418">
      <c r="A3418" s="3" t="s">
        <v>386</v>
      </c>
      <c r="B3418" s="3" t="s">
        <v>387</v>
      </c>
      <c r="C3418" s="3" t="s">
        <v>388</v>
      </c>
    </row>
    <row r="3419">
      <c r="A3419" s="3" t="s">
        <v>386</v>
      </c>
      <c r="B3419" s="3" t="s">
        <v>387</v>
      </c>
      <c r="C3419" s="3" t="s">
        <v>388</v>
      </c>
    </row>
    <row r="3420">
      <c r="A3420" s="3" t="s">
        <v>386</v>
      </c>
      <c r="B3420" s="3" t="s">
        <v>387</v>
      </c>
      <c r="C3420" s="3" t="s">
        <v>388</v>
      </c>
    </row>
    <row r="3421">
      <c r="A3421" s="3" t="s">
        <v>386</v>
      </c>
      <c r="B3421" s="3" t="s">
        <v>387</v>
      </c>
      <c r="C3421" s="3" t="s">
        <v>388</v>
      </c>
    </row>
    <row r="3422">
      <c r="A3422" s="3" t="s">
        <v>386</v>
      </c>
      <c r="B3422" s="3" t="s">
        <v>389</v>
      </c>
      <c r="C3422" s="3" t="s">
        <v>390</v>
      </c>
    </row>
    <row r="3423">
      <c r="A3423" s="3" t="s">
        <v>386</v>
      </c>
      <c r="B3423" s="3" t="s">
        <v>387</v>
      </c>
      <c r="C3423" s="3" t="s">
        <v>388</v>
      </c>
    </row>
    <row r="3424">
      <c r="A3424" s="3" t="s">
        <v>386</v>
      </c>
      <c r="B3424" s="3" t="s">
        <v>387</v>
      </c>
      <c r="C3424" s="3" t="s">
        <v>388</v>
      </c>
    </row>
    <row r="3425">
      <c r="A3425" s="3" t="s">
        <v>386</v>
      </c>
      <c r="B3425" s="3" t="s">
        <v>387</v>
      </c>
      <c r="C3425" s="3" t="s">
        <v>388</v>
      </c>
    </row>
    <row r="3426">
      <c r="A3426" s="3" t="s">
        <v>386</v>
      </c>
      <c r="B3426" s="3" t="s">
        <v>387</v>
      </c>
      <c r="C3426" s="3" t="s">
        <v>388</v>
      </c>
    </row>
    <row r="3427">
      <c r="A3427" s="3" t="s">
        <v>386</v>
      </c>
      <c r="B3427" s="3" t="s">
        <v>387</v>
      </c>
      <c r="C3427" s="3" t="s">
        <v>388</v>
      </c>
    </row>
    <row r="3428">
      <c r="A3428" s="3" t="s">
        <v>391</v>
      </c>
      <c r="B3428" s="3" t="s">
        <v>392</v>
      </c>
      <c r="C3428" s="3" t="s">
        <v>393</v>
      </c>
    </row>
    <row r="3429">
      <c r="A3429" s="3" t="s">
        <v>391</v>
      </c>
      <c r="B3429" s="3" t="s">
        <v>392</v>
      </c>
      <c r="C3429" s="3" t="s">
        <v>394</v>
      </c>
    </row>
    <row r="3430">
      <c r="A3430" s="3" t="s">
        <v>391</v>
      </c>
      <c r="B3430" s="3" t="s">
        <v>395</v>
      </c>
      <c r="C3430" s="3" t="s">
        <v>396</v>
      </c>
    </row>
    <row r="3431">
      <c r="A3431" s="3" t="s">
        <v>391</v>
      </c>
      <c r="B3431" s="3" t="s">
        <v>392</v>
      </c>
      <c r="C3431" s="3" t="s">
        <v>397</v>
      </c>
    </row>
    <row r="3432">
      <c r="A3432" s="3" t="s">
        <v>391</v>
      </c>
      <c r="B3432" s="3" t="s">
        <v>392</v>
      </c>
      <c r="C3432" s="3" t="s">
        <v>398</v>
      </c>
    </row>
    <row r="3433">
      <c r="A3433" s="3" t="s">
        <v>391</v>
      </c>
      <c r="B3433" s="3" t="s">
        <v>399</v>
      </c>
      <c r="C3433" s="3" t="s">
        <v>400</v>
      </c>
    </row>
    <row r="3434">
      <c r="A3434" s="3" t="s">
        <v>391</v>
      </c>
      <c r="B3434" s="3" t="s">
        <v>399</v>
      </c>
      <c r="C3434" s="3" t="s">
        <v>334</v>
      </c>
    </row>
    <row r="3435">
      <c r="A3435" s="3" t="s">
        <v>391</v>
      </c>
      <c r="B3435" s="3" t="s">
        <v>401</v>
      </c>
      <c r="C3435" s="3" t="s">
        <v>402</v>
      </c>
    </row>
    <row r="3436">
      <c r="A3436" s="3" t="s">
        <v>391</v>
      </c>
      <c r="B3436" s="3" t="s">
        <v>401</v>
      </c>
      <c r="C3436" s="3" t="s">
        <v>402</v>
      </c>
    </row>
    <row r="3437">
      <c r="A3437" s="3" t="s">
        <v>391</v>
      </c>
      <c r="B3437" s="3" t="s">
        <v>403</v>
      </c>
      <c r="C3437" s="3" t="s">
        <v>404</v>
      </c>
    </row>
    <row r="3438">
      <c r="A3438" s="3" t="s">
        <v>391</v>
      </c>
      <c r="B3438" s="3" t="s">
        <v>403</v>
      </c>
      <c r="C3438" s="3" t="s">
        <v>405</v>
      </c>
    </row>
    <row r="3439">
      <c r="A3439" s="3" t="s">
        <v>391</v>
      </c>
      <c r="B3439" s="3" t="s">
        <v>392</v>
      </c>
      <c r="C3439" s="3" t="s">
        <v>406</v>
      </c>
    </row>
    <row r="3440">
      <c r="A3440" s="3" t="s">
        <v>391</v>
      </c>
      <c r="B3440" s="3" t="s">
        <v>403</v>
      </c>
      <c r="C3440" s="3" t="s">
        <v>407</v>
      </c>
    </row>
    <row r="3441">
      <c r="A3441" s="3" t="s">
        <v>391</v>
      </c>
      <c r="B3441" s="3" t="s">
        <v>399</v>
      </c>
      <c r="C3441" s="3" t="s">
        <v>400</v>
      </c>
    </row>
    <row r="3442">
      <c r="A3442" s="3" t="s">
        <v>391</v>
      </c>
      <c r="B3442" s="3" t="s">
        <v>395</v>
      </c>
      <c r="C3442" s="3" t="s">
        <v>396</v>
      </c>
    </row>
    <row r="3443">
      <c r="A3443" s="3" t="s">
        <v>391</v>
      </c>
      <c r="B3443" s="3" t="s">
        <v>392</v>
      </c>
      <c r="C3443" s="3" t="s">
        <v>394</v>
      </c>
    </row>
    <row r="3444">
      <c r="A3444" s="3" t="s">
        <v>391</v>
      </c>
      <c r="B3444" s="3" t="s">
        <v>392</v>
      </c>
      <c r="C3444" s="3" t="s">
        <v>408</v>
      </c>
    </row>
    <row r="3445">
      <c r="A3445" s="3" t="s">
        <v>391</v>
      </c>
      <c r="B3445" s="3" t="s">
        <v>392</v>
      </c>
      <c r="C3445" s="3" t="s">
        <v>397</v>
      </c>
    </row>
    <row r="3446">
      <c r="A3446" s="3" t="s">
        <v>391</v>
      </c>
      <c r="B3446" s="3" t="s">
        <v>395</v>
      </c>
      <c r="C3446" s="3" t="s">
        <v>409</v>
      </c>
    </row>
    <row r="3447">
      <c r="A3447" s="3" t="s">
        <v>391</v>
      </c>
      <c r="B3447" s="3" t="s">
        <v>392</v>
      </c>
      <c r="C3447" s="3" t="s">
        <v>406</v>
      </c>
    </row>
    <row r="3448">
      <c r="A3448" s="3" t="s">
        <v>391</v>
      </c>
      <c r="B3448" s="3" t="s">
        <v>392</v>
      </c>
      <c r="C3448" s="3" t="s">
        <v>397</v>
      </c>
    </row>
    <row r="3449">
      <c r="A3449" s="3" t="s">
        <v>391</v>
      </c>
      <c r="B3449" s="3" t="s">
        <v>395</v>
      </c>
      <c r="C3449" s="3" t="s">
        <v>410</v>
      </c>
    </row>
    <row r="3450">
      <c r="A3450" s="3" t="s">
        <v>391</v>
      </c>
      <c r="B3450" s="3" t="s">
        <v>392</v>
      </c>
      <c r="C3450" s="3" t="s">
        <v>411</v>
      </c>
    </row>
    <row r="3451">
      <c r="A3451" s="3" t="s">
        <v>391</v>
      </c>
      <c r="B3451" s="3" t="s">
        <v>392</v>
      </c>
      <c r="C3451" s="3" t="s">
        <v>397</v>
      </c>
    </row>
    <row r="3452">
      <c r="A3452" s="3" t="s">
        <v>391</v>
      </c>
      <c r="B3452" s="3" t="s">
        <v>392</v>
      </c>
      <c r="C3452" s="3" t="s">
        <v>412</v>
      </c>
    </row>
    <row r="3453">
      <c r="A3453" s="3" t="s">
        <v>391</v>
      </c>
      <c r="B3453" s="3" t="s">
        <v>392</v>
      </c>
      <c r="C3453" s="3" t="s">
        <v>397</v>
      </c>
    </row>
    <row r="3454">
      <c r="A3454" s="3" t="s">
        <v>391</v>
      </c>
      <c r="B3454" s="3" t="s">
        <v>392</v>
      </c>
      <c r="C3454" s="3" t="s">
        <v>412</v>
      </c>
    </row>
    <row r="3455">
      <c r="A3455" s="3" t="s">
        <v>391</v>
      </c>
      <c r="B3455" s="3" t="s">
        <v>392</v>
      </c>
      <c r="C3455" s="3" t="s">
        <v>412</v>
      </c>
    </row>
    <row r="3456">
      <c r="A3456" s="3" t="s">
        <v>391</v>
      </c>
      <c r="B3456" s="3" t="s">
        <v>399</v>
      </c>
      <c r="C3456" s="3" t="s">
        <v>413</v>
      </c>
    </row>
    <row r="3457">
      <c r="A3457" s="3" t="s">
        <v>391</v>
      </c>
      <c r="B3457" s="3" t="s">
        <v>392</v>
      </c>
      <c r="C3457" s="3" t="s">
        <v>409</v>
      </c>
    </row>
    <row r="3458">
      <c r="A3458" s="3" t="s">
        <v>391</v>
      </c>
      <c r="B3458" s="3" t="s">
        <v>395</v>
      </c>
      <c r="C3458" s="3" t="s">
        <v>410</v>
      </c>
    </row>
    <row r="3459">
      <c r="A3459" s="3" t="s">
        <v>391</v>
      </c>
      <c r="B3459" s="3" t="s">
        <v>392</v>
      </c>
      <c r="C3459" s="3" t="s">
        <v>406</v>
      </c>
    </row>
    <row r="3460">
      <c r="A3460" s="3" t="s">
        <v>391</v>
      </c>
      <c r="B3460" s="3" t="s">
        <v>399</v>
      </c>
      <c r="C3460" s="3" t="s">
        <v>413</v>
      </c>
    </row>
    <row r="3461">
      <c r="A3461" s="3" t="s">
        <v>391</v>
      </c>
      <c r="B3461" s="3" t="s">
        <v>392</v>
      </c>
      <c r="C3461" s="3" t="s">
        <v>409</v>
      </c>
    </row>
    <row r="3462">
      <c r="A3462" s="3" t="s">
        <v>391</v>
      </c>
      <c r="B3462" s="3" t="s">
        <v>395</v>
      </c>
      <c r="C3462" s="3" t="s">
        <v>410</v>
      </c>
    </row>
    <row r="3463">
      <c r="A3463" s="3" t="s">
        <v>391</v>
      </c>
      <c r="B3463" s="3" t="s">
        <v>392</v>
      </c>
      <c r="C3463" s="3" t="s">
        <v>394</v>
      </c>
    </row>
    <row r="3464">
      <c r="A3464" s="3" t="s">
        <v>391</v>
      </c>
      <c r="B3464" s="3" t="s">
        <v>399</v>
      </c>
      <c r="C3464" s="3" t="s">
        <v>400</v>
      </c>
    </row>
    <row r="3465">
      <c r="A3465" s="3" t="s">
        <v>391</v>
      </c>
      <c r="B3465" s="3" t="s">
        <v>395</v>
      </c>
      <c r="C3465" s="3" t="s">
        <v>396</v>
      </c>
    </row>
    <row r="3466">
      <c r="A3466" s="3" t="s">
        <v>391</v>
      </c>
      <c r="B3466" s="3" t="s">
        <v>403</v>
      </c>
      <c r="C3466" s="3" t="s">
        <v>407</v>
      </c>
    </row>
    <row r="3467">
      <c r="A3467" s="3" t="s">
        <v>391</v>
      </c>
      <c r="B3467" s="3" t="s">
        <v>392</v>
      </c>
      <c r="C3467" s="3" t="s">
        <v>409</v>
      </c>
    </row>
    <row r="3468">
      <c r="A3468" s="3" t="s">
        <v>391</v>
      </c>
      <c r="B3468" s="3" t="s">
        <v>395</v>
      </c>
      <c r="C3468" s="3" t="s">
        <v>410</v>
      </c>
    </row>
    <row r="3469">
      <c r="A3469" s="3" t="s">
        <v>391</v>
      </c>
      <c r="B3469" s="3" t="s">
        <v>403</v>
      </c>
      <c r="C3469" s="3" t="s">
        <v>404</v>
      </c>
    </row>
    <row r="3470">
      <c r="A3470" s="3" t="s">
        <v>391</v>
      </c>
      <c r="B3470" s="3" t="s">
        <v>403</v>
      </c>
      <c r="C3470" s="3" t="s">
        <v>404</v>
      </c>
    </row>
    <row r="3471">
      <c r="A3471" s="3" t="s">
        <v>391</v>
      </c>
      <c r="B3471" s="3" t="s">
        <v>403</v>
      </c>
      <c r="C3471" s="3" t="s">
        <v>404</v>
      </c>
    </row>
    <row r="3472">
      <c r="A3472" s="3" t="s">
        <v>391</v>
      </c>
      <c r="B3472" s="3" t="s">
        <v>392</v>
      </c>
      <c r="C3472" s="3" t="s">
        <v>409</v>
      </c>
    </row>
    <row r="3473">
      <c r="A3473" s="3" t="s">
        <v>391</v>
      </c>
      <c r="B3473" s="3" t="s">
        <v>395</v>
      </c>
      <c r="C3473" s="3" t="s">
        <v>409</v>
      </c>
    </row>
    <row r="3474">
      <c r="A3474" s="3" t="s">
        <v>391</v>
      </c>
      <c r="B3474" s="3" t="s">
        <v>403</v>
      </c>
      <c r="C3474" s="3" t="s">
        <v>405</v>
      </c>
    </row>
    <row r="3475">
      <c r="A3475" s="3" t="s">
        <v>391</v>
      </c>
      <c r="B3475" s="3" t="s">
        <v>399</v>
      </c>
      <c r="C3475" s="3" t="s">
        <v>413</v>
      </c>
    </row>
    <row r="3476">
      <c r="A3476" s="3" t="s">
        <v>391</v>
      </c>
      <c r="B3476" s="3" t="s">
        <v>399</v>
      </c>
      <c r="C3476" s="3" t="s">
        <v>400</v>
      </c>
    </row>
    <row r="3477">
      <c r="A3477" s="3" t="s">
        <v>391</v>
      </c>
      <c r="B3477" s="3" t="s">
        <v>392</v>
      </c>
      <c r="C3477" s="3" t="s">
        <v>397</v>
      </c>
    </row>
    <row r="3478">
      <c r="A3478" s="3" t="s">
        <v>391</v>
      </c>
      <c r="B3478" s="3" t="s">
        <v>392</v>
      </c>
      <c r="C3478" s="3" t="s">
        <v>409</v>
      </c>
    </row>
    <row r="3479">
      <c r="A3479" s="3" t="s">
        <v>391</v>
      </c>
      <c r="B3479" s="3" t="s">
        <v>395</v>
      </c>
      <c r="C3479" s="3" t="s">
        <v>409</v>
      </c>
    </row>
    <row r="3480">
      <c r="A3480" s="3" t="s">
        <v>391</v>
      </c>
      <c r="B3480" s="3" t="s">
        <v>403</v>
      </c>
      <c r="C3480" s="3" t="s">
        <v>404</v>
      </c>
    </row>
    <row r="3481">
      <c r="A3481" s="3" t="s">
        <v>391</v>
      </c>
      <c r="B3481" s="3" t="s">
        <v>392</v>
      </c>
      <c r="C3481" s="3" t="s">
        <v>398</v>
      </c>
    </row>
    <row r="3482">
      <c r="A3482" s="3" t="s">
        <v>391</v>
      </c>
      <c r="B3482" s="3" t="s">
        <v>399</v>
      </c>
      <c r="C3482" s="3" t="s">
        <v>400</v>
      </c>
    </row>
    <row r="3483">
      <c r="A3483" s="3" t="s">
        <v>391</v>
      </c>
      <c r="B3483" s="3" t="s">
        <v>392</v>
      </c>
      <c r="C3483" s="3" t="s">
        <v>406</v>
      </c>
    </row>
    <row r="3484">
      <c r="A3484" s="3" t="s">
        <v>391</v>
      </c>
      <c r="B3484" s="3" t="s">
        <v>392</v>
      </c>
      <c r="C3484" s="3" t="s">
        <v>411</v>
      </c>
    </row>
    <row r="3485">
      <c r="A3485" s="3" t="s">
        <v>391</v>
      </c>
      <c r="B3485" s="3" t="s">
        <v>392</v>
      </c>
      <c r="C3485" s="3" t="s">
        <v>406</v>
      </c>
    </row>
    <row r="3486">
      <c r="A3486" s="3" t="s">
        <v>391</v>
      </c>
      <c r="B3486" s="3" t="s">
        <v>399</v>
      </c>
      <c r="C3486" s="3" t="s">
        <v>400</v>
      </c>
    </row>
    <row r="3487">
      <c r="A3487" s="3" t="s">
        <v>391</v>
      </c>
      <c r="B3487" s="3" t="s">
        <v>392</v>
      </c>
      <c r="C3487" s="3" t="s">
        <v>393</v>
      </c>
    </row>
    <row r="3488">
      <c r="A3488" s="3" t="s">
        <v>391</v>
      </c>
      <c r="B3488" s="3" t="s">
        <v>401</v>
      </c>
      <c r="C3488" s="3" t="s">
        <v>402</v>
      </c>
    </row>
    <row r="3489">
      <c r="A3489" s="3" t="s">
        <v>391</v>
      </c>
      <c r="B3489" s="3" t="s">
        <v>403</v>
      </c>
      <c r="C3489" s="3" t="s">
        <v>404</v>
      </c>
    </row>
    <row r="3490">
      <c r="A3490" s="3" t="s">
        <v>391</v>
      </c>
      <c r="B3490" s="3" t="s">
        <v>392</v>
      </c>
      <c r="C3490" s="3" t="s">
        <v>412</v>
      </c>
    </row>
    <row r="3491">
      <c r="A3491" s="3" t="s">
        <v>391</v>
      </c>
      <c r="B3491" s="3" t="s">
        <v>399</v>
      </c>
      <c r="C3491" s="3" t="s">
        <v>413</v>
      </c>
    </row>
    <row r="3492">
      <c r="A3492" s="3" t="s">
        <v>391</v>
      </c>
      <c r="B3492" s="3" t="s">
        <v>392</v>
      </c>
      <c r="C3492" s="3" t="s">
        <v>397</v>
      </c>
    </row>
    <row r="3493">
      <c r="A3493" s="3" t="s">
        <v>391</v>
      </c>
      <c r="B3493" s="3" t="s">
        <v>392</v>
      </c>
      <c r="C3493" s="3" t="s">
        <v>398</v>
      </c>
    </row>
    <row r="3494">
      <c r="A3494" s="3" t="s">
        <v>391</v>
      </c>
      <c r="B3494" s="3" t="s">
        <v>401</v>
      </c>
      <c r="C3494" s="3" t="s">
        <v>402</v>
      </c>
    </row>
    <row r="3495">
      <c r="A3495" s="3" t="s">
        <v>391</v>
      </c>
      <c r="B3495" s="3" t="s">
        <v>399</v>
      </c>
      <c r="C3495" s="3" t="s">
        <v>413</v>
      </c>
    </row>
    <row r="3496">
      <c r="A3496" s="3" t="s">
        <v>391</v>
      </c>
      <c r="B3496" s="3" t="s">
        <v>399</v>
      </c>
      <c r="C3496" s="3" t="s">
        <v>414</v>
      </c>
    </row>
    <row r="3497">
      <c r="A3497" s="3" t="s">
        <v>391</v>
      </c>
      <c r="B3497" s="3" t="s">
        <v>399</v>
      </c>
      <c r="C3497" s="3" t="s">
        <v>413</v>
      </c>
    </row>
    <row r="3498">
      <c r="A3498" s="3" t="s">
        <v>391</v>
      </c>
      <c r="B3498" s="3" t="s">
        <v>392</v>
      </c>
      <c r="C3498" s="3" t="s">
        <v>409</v>
      </c>
    </row>
    <row r="3499">
      <c r="A3499" s="3" t="s">
        <v>391</v>
      </c>
      <c r="B3499" s="3" t="s">
        <v>395</v>
      </c>
      <c r="C3499" s="3" t="s">
        <v>410</v>
      </c>
    </row>
    <row r="3500">
      <c r="A3500" s="3" t="s">
        <v>391</v>
      </c>
      <c r="B3500" s="3" t="s">
        <v>403</v>
      </c>
      <c r="C3500" s="3" t="s">
        <v>407</v>
      </c>
    </row>
    <row r="3501">
      <c r="A3501" s="3" t="s">
        <v>391</v>
      </c>
      <c r="B3501" s="3" t="s">
        <v>403</v>
      </c>
      <c r="C3501" s="3" t="s">
        <v>404</v>
      </c>
    </row>
    <row r="3502">
      <c r="A3502" s="3" t="s">
        <v>391</v>
      </c>
      <c r="B3502" s="3" t="s">
        <v>403</v>
      </c>
      <c r="C3502" s="3" t="s">
        <v>405</v>
      </c>
    </row>
    <row r="3503">
      <c r="A3503" s="3" t="s">
        <v>391</v>
      </c>
      <c r="B3503" s="3" t="s">
        <v>403</v>
      </c>
      <c r="C3503" s="3" t="s">
        <v>405</v>
      </c>
    </row>
    <row r="3504">
      <c r="A3504" s="3" t="s">
        <v>391</v>
      </c>
      <c r="B3504" s="3" t="s">
        <v>403</v>
      </c>
      <c r="C3504" s="3" t="s">
        <v>404</v>
      </c>
    </row>
    <row r="3505">
      <c r="A3505" s="3" t="s">
        <v>391</v>
      </c>
      <c r="B3505" s="3" t="s">
        <v>392</v>
      </c>
      <c r="C3505" s="3" t="s">
        <v>411</v>
      </c>
    </row>
    <row r="3506">
      <c r="A3506" s="3" t="s">
        <v>391</v>
      </c>
      <c r="B3506" s="3" t="s">
        <v>399</v>
      </c>
      <c r="C3506" s="3" t="s">
        <v>415</v>
      </c>
    </row>
    <row r="3507">
      <c r="A3507" s="3" t="s">
        <v>391</v>
      </c>
      <c r="B3507" s="3" t="s">
        <v>392</v>
      </c>
      <c r="C3507" s="3" t="s">
        <v>411</v>
      </c>
    </row>
    <row r="3508">
      <c r="A3508" s="3" t="s">
        <v>391</v>
      </c>
      <c r="B3508" s="3" t="s">
        <v>399</v>
      </c>
      <c r="C3508" s="3" t="s">
        <v>414</v>
      </c>
    </row>
    <row r="3509">
      <c r="A3509" s="3" t="s">
        <v>391</v>
      </c>
      <c r="B3509" s="3" t="s">
        <v>392</v>
      </c>
      <c r="C3509" s="3" t="s">
        <v>416</v>
      </c>
    </row>
    <row r="3510">
      <c r="A3510" s="3" t="s">
        <v>391</v>
      </c>
      <c r="B3510" s="3" t="s">
        <v>401</v>
      </c>
      <c r="C3510" s="3" t="s">
        <v>402</v>
      </c>
    </row>
    <row r="3511">
      <c r="A3511" s="3" t="s">
        <v>391</v>
      </c>
      <c r="B3511" s="3" t="s">
        <v>399</v>
      </c>
      <c r="C3511" s="3" t="s">
        <v>415</v>
      </c>
    </row>
    <row r="3512">
      <c r="A3512" s="3" t="s">
        <v>391</v>
      </c>
      <c r="B3512" s="3" t="s">
        <v>403</v>
      </c>
      <c r="C3512" s="3" t="s">
        <v>405</v>
      </c>
    </row>
    <row r="3513">
      <c r="A3513" s="3" t="s">
        <v>391</v>
      </c>
      <c r="B3513" s="3" t="s">
        <v>403</v>
      </c>
      <c r="C3513" s="3" t="s">
        <v>404</v>
      </c>
    </row>
    <row r="3514">
      <c r="A3514" s="3" t="s">
        <v>391</v>
      </c>
      <c r="B3514" s="3" t="s">
        <v>399</v>
      </c>
      <c r="C3514" s="3" t="s">
        <v>415</v>
      </c>
    </row>
    <row r="3515">
      <c r="A3515" s="3" t="s">
        <v>391</v>
      </c>
      <c r="B3515" s="3" t="s">
        <v>399</v>
      </c>
      <c r="C3515" s="3" t="s">
        <v>414</v>
      </c>
    </row>
    <row r="3516">
      <c r="A3516" s="3" t="s">
        <v>391</v>
      </c>
      <c r="B3516" s="3" t="s">
        <v>392</v>
      </c>
      <c r="C3516" s="3" t="s">
        <v>416</v>
      </c>
    </row>
    <row r="3517">
      <c r="A3517" s="3" t="s">
        <v>391</v>
      </c>
      <c r="B3517" s="3" t="s">
        <v>392</v>
      </c>
      <c r="C3517" s="3" t="s">
        <v>398</v>
      </c>
    </row>
    <row r="3518">
      <c r="A3518" s="3" t="s">
        <v>391</v>
      </c>
      <c r="B3518" s="3" t="s">
        <v>399</v>
      </c>
      <c r="C3518" s="3" t="s">
        <v>414</v>
      </c>
    </row>
    <row r="3519">
      <c r="A3519" s="3" t="s">
        <v>391</v>
      </c>
      <c r="B3519" s="3" t="s">
        <v>399</v>
      </c>
      <c r="C3519" s="3" t="s">
        <v>414</v>
      </c>
    </row>
    <row r="3520">
      <c r="A3520" s="3" t="s">
        <v>391</v>
      </c>
      <c r="B3520" s="3" t="s">
        <v>403</v>
      </c>
      <c r="C3520" s="3" t="s">
        <v>405</v>
      </c>
    </row>
    <row r="3521">
      <c r="A3521" s="3" t="s">
        <v>391</v>
      </c>
      <c r="B3521" s="3" t="s">
        <v>392</v>
      </c>
      <c r="C3521" s="3" t="s">
        <v>398</v>
      </c>
    </row>
    <row r="3522">
      <c r="A3522" s="3" t="s">
        <v>391</v>
      </c>
      <c r="B3522" s="3" t="s">
        <v>399</v>
      </c>
      <c r="C3522" s="3" t="s">
        <v>413</v>
      </c>
    </row>
    <row r="3523">
      <c r="A3523" s="3" t="s">
        <v>391</v>
      </c>
      <c r="B3523" s="3" t="s">
        <v>399</v>
      </c>
      <c r="C3523" s="3" t="s">
        <v>413</v>
      </c>
    </row>
    <row r="3524">
      <c r="A3524" s="3" t="s">
        <v>391</v>
      </c>
      <c r="B3524" s="3" t="s">
        <v>392</v>
      </c>
      <c r="C3524" s="3" t="s">
        <v>409</v>
      </c>
    </row>
    <row r="3525">
      <c r="A3525" s="3" t="s">
        <v>391</v>
      </c>
      <c r="B3525" s="3" t="s">
        <v>395</v>
      </c>
      <c r="C3525" s="3" t="s">
        <v>409</v>
      </c>
    </row>
    <row r="3526">
      <c r="A3526" s="3" t="s">
        <v>391</v>
      </c>
      <c r="B3526" s="3" t="s">
        <v>399</v>
      </c>
      <c r="C3526" s="3" t="s">
        <v>414</v>
      </c>
    </row>
    <row r="3527">
      <c r="A3527" s="3" t="s">
        <v>391</v>
      </c>
      <c r="B3527" s="3" t="s">
        <v>399</v>
      </c>
      <c r="C3527" s="3" t="s">
        <v>417</v>
      </c>
    </row>
    <row r="3528">
      <c r="A3528" s="3" t="s">
        <v>391</v>
      </c>
      <c r="B3528" s="3" t="s">
        <v>399</v>
      </c>
      <c r="C3528" s="3" t="s">
        <v>414</v>
      </c>
    </row>
    <row r="3529">
      <c r="A3529" s="3" t="s">
        <v>391</v>
      </c>
      <c r="B3529" s="3" t="s">
        <v>392</v>
      </c>
      <c r="C3529" s="3" t="s">
        <v>394</v>
      </c>
    </row>
    <row r="3530">
      <c r="A3530" s="3" t="s">
        <v>391</v>
      </c>
      <c r="B3530" s="3" t="s">
        <v>399</v>
      </c>
      <c r="C3530" s="3" t="s">
        <v>400</v>
      </c>
    </row>
    <row r="3531">
      <c r="A3531" s="3" t="s">
        <v>391</v>
      </c>
      <c r="B3531" s="3" t="s">
        <v>395</v>
      </c>
      <c r="C3531" s="3" t="s">
        <v>396</v>
      </c>
    </row>
    <row r="3532">
      <c r="A3532" s="3" t="s">
        <v>391</v>
      </c>
      <c r="B3532" s="3" t="s">
        <v>403</v>
      </c>
      <c r="C3532" s="3" t="s">
        <v>407</v>
      </c>
    </row>
    <row r="3533">
      <c r="A3533" s="3" t="s">
        <v>391</v>
      </c>
      <c r="B3533" s="3" t="s">
        <v>401</v>
      </c>
      <c r="C3533" s="3" t="s">
        <v>402</v>
      </c>
    </row>
    <row r="3534">
      <c r="A3534" s="3" t="s">
        <v>391</v>
      </c>
      <c r="B3534" s="3" t="s">
        <v>392</v>
      </c>
      <c r="C3534" s="3" t="s">
        <v>409</v>
      </c>
    </row>
    <row r="3535">
      <c r="A3535" s="3" t="s">
        <v>391</v>
      </c>
      <c r="B3535" s="3" t="s">
        <v>395</v>
      </c>
      <c r="C3535" s="3" t="s">
        <v>409</v>
      </c>
    </row>
    <row r="3536">
      <c r="A3536" s="3" t="s">
        <v>391</v>
      </c>
      <c r="B3536" s="3" t="s">
        <v>392</v>
      </c>
      <c r="C3536" s="3" t="s">
        <v>398</v>
      </c>
    </row>
    <row r="3537">
      <c r="A3537" s="3" t="s">
        <v>391</v>
      </c>
      <c r="B3537" s="3" t="s">
        <v>399</v>
      </c>
      <c r="C3537" s="3" t="s">
        <v>413</v>
      </c>
    </row>
    <row r="3538">
      <c r="A3538" s="3" t="s">
        <v>391</v>
      </c>
      <c r="B3538" s="3" t="s">
        <v>392</v>
      </c>
      <c r="C3538" s="3" t="s">
        <v>411</v>
      </c>
    </row>
    <row r="3539">
      <c r="A3539" s="3" t="s">
        <v>391</v>
      </c>
      <c r="B3539" s="3" t="s">
        <v>399</v>
      </c>
      <c r="C3539" s="3" t="s">
        <v>418</v>
      </c>
    </row>
    <row r="3540">
      <c r="A3540" s="3" t="s">
        <v>391</v>
      </c>
      <c r="B3540" s="3" t="s">
        <v>399</v>
      </c>
      <c r="C3540" s="3" t="s">
        <v>418</v>
      </c>
    </row>
    <row r="3541">
      <c r="A3541" s="3" t="s">
        <v>391</v>
      </c>
      <c r="B3541" s="3" t="s">
        <v>392</v>
      </c>
      <c r="C3541" s="3" t="s">
        <v>412</v>
      </c>
    </row>
    <row r="3542">
      <c r="A3542" s="3" t="s">
        <v>391</v>
      </c>
      <c r="B3542" s="3" t="s">
        <v>392</v>
      </c>
      <c r="C3542" s="3" t="s">
        <v>397</v>
      </c>
    </row>
    <row r="3543">
      <c r="A3543" s="3" t="s">
        <v>391</v>
      </c>
      <c r="B3543" s="3" t="s">
        <v>395</v>
      </c>
      <c r="C3543" s="3" t="s">
        <v>409</v>
      </c>
    </row>
    <row r="3544">
      <c r="A3544" s="3" t="s">
        <v>391</v>
      </c>
      <c r="B3544" s="3" t="s">
        <v>392</v>
      </c>
      <c r="C3544" s="3" t="s">
        <v>412</v>
      </c>
    </row>
    <row r="3545">
      <c r="A3545" s="3" t="s">
        <v>391</v>
      </c>
      <c r="B3545" s="3" t="s">
        <v>399</v>
      </c>
      <c r="C3545" s="3" t="s">
        <v>414</v>
      </c>
    </row>
    <row r="3546">
      <c r="A3546" s="3" t="s">
        <v>391</v>
      </c>
      <c r="B3546" s="3" t="s">
        <v>392</v>
      </c>
      <c r="C3546" s="3" t="s">
        <v>409</v>
      </c>
    </row>
    <row r="3547">
      <c r="A3547" s="3" t="s">
        <v>391</v>
      </c>
      <c r="B3547" s="3" t="s">
        <v>395</v>
      </c>
      <c r="C3547" s="3" t="s">
        <v>409</v>
      </c>
    </row>
    <row r="3548">
      <c r="A3548" s="3" t="s">
        <v>391</v>
      </c>
      <c r="B3548" s="3" t="s">
        <v>392</v>
      </c>
      <c r="C3548" s="3" t="s">
        <v>409</v>
      </c>
    </row>
    <row r="3549">
      <c r="A3549" s="3" t="s">
        <v>391</v>
      </c>
      <c r="B3549" s="3" t="s">
        <v>395</v>
      </c>
      <c r="C3549" s="3" t="s">
        <v>409</v>
      </c>
    </row>
    <row r="3550">
      <c r="A3550" s="3" t="s">
        <v>391</v>
      </c>
      <c r="B3550" s="3" t="s">
        <v>399</v>
      </c>
      <c r="C3550" s="3" t="s">
        <v>414</v>
      </c>
    </row>
    <row r="3551">
      <c r="A3551" s="3" t="s">
        <v>391</v>
      </c>
      <c r="B3551" s="3" t="s">
        <v>399</v>
      </c>
      <c r="C3551" s="3" t="s">
        <v>413</v>
      </c>
    </row>
    <row r="3552">
      <c r="A3552" s="3" t="s">
        <v>391</v>
      </c>
      <c r="B3552" s="3" t="s">
        <v>403</v>
      </c>
      <c r="C3552" s="3" t="s">
        <v>405</v>
      </c>
    </row>
    <row r="3553">
      <c r="A3553" s="3" t="s">
        <v>391</v>
      </c>
      <c r="B3553" s="3" t="s">
        <v>392</v>
      </c>
      <c r="C3553" s="3" t="s">
        <v>398</v>
      </c>
    </row>
    <row r="3554">
      <c r="A3554" s="3" t="s">
        <v>391</v>
      </c>
      <c r="B3554" s="3" t="s">
        <v>392</v>
      </c>
      <c r="C3554" s="3" t="s">
        <v>412</v>
      </c>
    </row>
    <row r="3555">
      <c r="A3555" s="3" t="s">
        <v>391</v>
      </c>
      <c r="B3555" s="3" t="s">
        <v>399</v>
      </c>
      <c r="C3555" s="3" t="s">
        <v>414</v>
      </c>
    </row>
    <row r="3556">
      <c r="A3556" s="3" t="s">
        <v>391</v>
      </c>
      <c r="B3556" s="3" t="s">
        <v>399</v>
      </c>
      <c r="C3556" s="3" t="s">
        <v>414</v>
      </c>
    </row>
    <row r="3557">
      <c r="A3557" s="3" t="s">
        <v>391</v>
      </c>
      <c r="B3557" s="3" t="s">
        <v>403</v>
      </c>
      <c r="C3557" s="3" t="s">
        <v>404</v>
      </c>
    </row>
    <row r="3558">
      <c r="A3558" s="3" t="s">
        <v>391</v>
      </c>
      <c r="B3558" s="3" t="s">
        <v>403</v>
      </c>
      <c r="C3558" s="3" t="s">
        <v>404</v>
      </c>
    </row>
    <row r="3559">
      <c r="A3559" s="3" t="s">
        <v>391</v>
      </c>
      <c r="B3559" s="3" t="s">
        <v>392</v>
      </c>
      <c r="C3559" s="3" t="s">
        <v>409</v>
      </c>
    </row>
    <row r="3560">
      <c r="A3560" s="3" t="s">
        <v>391</v>
      </c>
      <c r="B3560" s="3" t="s">
        <v>395</v>
      </c>
      <c r="C3560" s="3" t="s">
        <v>409</v>
      </c>
    </row>
    <row r="3561">
      <c r="A3561" s="3" t="s">
        <v>391</v>
      </c>
      <c r="B3561" s="3" t="s">
        <v>392</v>
      </c>
      <c r="C3561" s="3" t="s">
        <v>412</v>
      </c>
    </row>
    <row r="3562">
      <c r="A3562" s="3" t="s">
        <v>391</v>
      </c>
      <c r="B3562" s="3" t="s">
        <v>399</v>
      </c>
      <c r="C3562" s="3" t="s">
        <v>414</v>
      </c>
    </row>
    <row r="3563">
      <c r="A3563" s="3" t="s">
        <v>391</v>
      </c>
      <c r="B3563" s="3" t="s">
        <v>403</v>
      </c>
      <c r="C3563" s="3" t="s">
        <v>404</v>
      </c>
    </row>
    <row r="3564">
      <c r="A3564" s="3" t="s">
        <v>391</v>
      </c>
      <c r="B3564" s="3" t="s">
        <v>392</v>
      </c>
      <c r="C3564" s="3" t="s">
        <v>397</v>
      </c>
    </row>
    <row r="3565">
      <c r="A3565" s="3" t="s">
        <v>391</v>
      </c>
      <c r="B3565" s="3" t="s">
        <v>399</v>
      </c>
      <c r="C3565" s="3" t="s">
        <v>400</v>
      </c>
    </row>
    <row r="3566">
      <c r="A3566" s="3" t="s">
        <v>391</v>
      </c>
      <c r="B3566" s="3" t="s">
        <v>399</v>
      </c>
      <c r="C3566" s="3" t="s">
        <v>418</v>
      </c>
    </row>
    <row r="3567">
      <c r="A3567" s="3" t="s">
        <v>391</v>
      </c>
      <c r="B3567" s="3" t="s">
        <v>403</v>
      </c>
      <c r="C3567" s="3" t="s">
        <v>405</v>
      </c>
    </row>
    <row r="3568">
      <c r="A3568" s="3" t="s">
        <v>391</v>
      </c>
      <c r="B3568" s="3" t="s">
        <v>399</v>
      </c>
      <c r="C3568" s="3" t="s">
        <v>414</v>
      </c>
    </row>
    <row r="3569">
      <c r="A3569" s="3" t="s">
        <v>391</v>
      </c>
      <c r="B3569" s="3" t="s">
        <v>392</v>
      </c>
      <c r="C3569" s="3" t="s">
        <v>397</v>
      </c>
    </row>
    <row r="3570">
      <c r="A3570" s="3" t="s">
        <v>391</v>
      </c>
      <c r="B3570" s="3" t="s">
        <v>392</v>
      </c>
      <c r="C3570" s="3" t="s">
        <v>398</v>
      </c>
    </row>
    <row r="3571">
      <c r="A3571" s="3" t="s">
        <v>391</v>
      </c>
      <c r="B3571" s="3" t="s">
        <v>392</v>
      </c>
      <c r="C3571" s="3" t="s">
        <v>397</v>
      </c>
    </row>
    <row r="3572">
      <c r="A3572" s="3" t="s">
        <v>391</v>
      </c>
      <c r="B3572" s="3" t="s">
        <v>392</v>
      </c>
      <c r="C3572" s="3" t="s">
        <v>398</v>
      </c>
    </row>
    <row r="3573">
      <c r="A3573" s="3" t="s">
        <v>391</v>
      </c>
      <c r="B3573" s="3" t="s">
        <v>399</v>
      </c>
      <c r="C3573" s="3" t="s">
        <v>415</v>
      </c>
    </row>
    <row r="3574">
      <c r="A3574" s="3" t="s">
        <v>391</v>
      </c>
      <c r="B3574" s="3" t="s">
        <v>399</v>
      </c>
      <c r="C3574" s="3" t="s">
        <v>417</v>
      </c>
    </row>
    <row r="3575">
      <c r="A3575" s="3" t="s">
        <v>391</v>
      </c>
      <c r="B3575" s="3" t="s">
        <v>399</v>
      </c>
      <c r="C3575" s="3" t="s">
        <v>414</v>
      </c>
    </row>
    <row r="3576">
      <c r="A3576" s="3" t="s">
        <v>391</v>
      </c>
      <c r="B3576" s="3" t="s">
        <v>399</v>
      </c>
      <c r="C3576" s="3" t="s">
        <v>418</v>
      </c>
    </row>
    <row r="3577">
      <c r="A3577" s="3" t="s">
        <v>391</v>
      </c>
      <c r="B3577" s="3" t="s">
        <v>399</v>
      </c>
      <c r="C3577" s="3" t="s">
        <v>400</v>
      </c>
    </row>
    <row r="3578">
      <c r="A3578" s="3" t="s">
        <v>391</v>
      </c>
      <c r="B3578" s="3" t="s">
        <v>403</v>
      </c>
      <c r="C3578" s="3" t="s">
        <v>404</v>
      </c>
    </row>
    <row r="3579">
      <c r="A3579" s="3" t="s">
        <v>391</v>
      </c>
      <c r="B3579" s="3" t="s">
        <v>392</v>
      </c>
      <c r="C3579" s="3" t="s">
        <v>408</v>
      </c>
    </row>
    <row r="3580">
      <c r="A3580" s="3" t="s">
        <v>391</v>
      </c>
      <c r="B3580" s="3" t="s">
        <v>392</v>
      </c>
      <c r="C3580" s="3" t="s">
        <v>398</v>
      </c>
    </row>
    <row r="3581">
      <c r="A3581" s="3" t="s">
        <v>391</v>
      </c>
      <c r="B3581" s="3" t="s">
        <v>392</v>
      </c>
      <c r="C3581" s="3" t="s">
        <v>398</v>
      </c>
    </row>
    <row r="3582">
      <c r="A3582" s="3" t="s">
        <v>391</v>
      </c>
      <c r="B3582" s="3" t="s">
        <v>399</v>
      </c>
      <c r="C3582" s="3" t="s">
        <v>415</v>
      </c>
    </row>
    <row r="3583">
      <c r="A3583" s="3" t="s">
        <v>391</v>
      </c>
      <c r="B3583" s="3" t="s">
        <v>399</v>
      </c>
      <c r="C3583" s="3" t="s">
        <v>417</v>
      </c>
    </row>
    <row r="3584">
      <c r="A3584" s="3" t="s">
        <v>391</v>
      </c>
      <c r="B3584" s="3" t="s">
        <v>401</v>
      </c>
      <c r="C3584" s="3" t="s">
        <v>402</v>
      </c>
    </row>
    <row r="3585">
      <c r="A3585" s="3" t="s">
        <v>391</v>
      </c>
      <c r="B3585" s="3" t="s">
        <v>392</v>
      </c>
      <c r="C3585" s="3" t="s">
        <v>411</v>
      </c>
    </row>
    <row r="3586">
      <c r="A3586" s="3" t="s">
        <v>391</v>
      </c>
      <c r="B3586" s="3" t="s">
        <v>392</v>
      </c>
      <c r="C3586" s="3" t="s">
        <v>409</v>
      </c>
    </row>
    <row r="3587">
      <c r="A3587" s="3" t="s">
        <v>391</v>
      </c>
      <c r="B3587" s="3" t="s">
        <v>395</v>
      </c>
      <c r="C3587" s="3" t="s">
        <v>409</v>
      </c>
    </row>
    <row r="3588">
      <c r="A3588" s="3" t="s">
        <v>391</v>
      </c>
      <c r="B3588" s="3" t="s">
        <v>392</v>
      </c>
      <c r="C3588" s="3" t="s">
        <v>411</v>
      </c>
    </row>
    <row r="3589">
      <c r="A3589" s="3" t="s">
        <v>391</v>
      </c>
      <c r="B3589" s="3" t="s">
        <v>392</v>
      </c>
      <c r="C3589" s="3" t="s">
        <v>394</v>
      </c>
    </row>
    <row r="3590">
      <c r="A3590" s="3" t="s">
        <v>391</v>
      </c>
      <c r="B3590" s="3" t="s">
        <v>399</v>
      </c>
      <c r="C3590" s="3" t="s">
        <v>400</v>
      </c>
    </row>
    <row r="3591">
      <c r="A3591" s="3" t="s">
        <v>391</v>
      </c>
      <c r="B3591" s="3" t="s">
        <v>395</v>
      </c>
      <c r="C3591" s="3" t="s">
        <v>396</v>
      </c>
    </row>
    <row r="3592">
      <c r="A3592" s="3" t="s">
        <v>391</v>
      </c>
      <c r="B3592" s="3" t="s">
        <v>403</v>
      </c>
      <c r="C3592" s="3" t="s">
        <v>407</v>
      </c>
    </row>
    <row r="3593">
      <c r="A3593" s="3" t="s">
        <v>391</v>
      </c>
      <c r="B3593" s="3" t="s">
        <v>399</v>
      </c>
      <c r="C3593" s="3" t="s">
        <v>414</v>
      </c>
    </row>
    <row r="3594">
      <c r="A3594" s="3" t="s">
        <v>391</v>
      </c>
      <c r="B3594" s="3" t="s">
        <v>392</v>
      </c>
      <c r="C3594" s="3" t="s">
        <v>397</v>
      </c>
    </row>
    <row r="3595">
      <c r="A3595" s="3" t="s">
        <v>391</v>
      </c>
      <c r="B3595" s="3" t="s">
        <v>395</v>
      </c>
      <c r="C3595" s="3" t="s">
        <v>410</v>
      </c>
    </row>
    <row r="3596">
      <c r="A3596" s="3" t="s">
        <v>391</v>
      </c>
      <c r="B3596" s="3" t="s">
        <v>392</v>
      </c>
      <c r="C3596" s="3" t="s">
        <v>409</v>
      </c>
    </row>
    <row r="3597">
      <c r="A3597" s="3" t="s">
        <v>391</v>
      </c>
      <c r="B3597" s="3" t="s">
        <v>395</v>
      </c>
      <c r="C3597" s="3" t="s">
        <v>409</v>
      </c>
    </row>
    <row r="3598">
      <c r="A3598" s="3" t="s">
        <v>391</v>
      </c>
      <c r="B3598" s="3" t="s">
        <v>392</v>
      </c>
      <c r="C3598" s="3" t="s">
        <v>393</v>
      </c>
    </row>
    <row r="3599">
      <c r="A3599" s="3" t="s">
        <v>391</v>
      </c>
      <c r="B3599" s="3" t="s">
        <v>401</v>
      </c>
      <c r="C3599" s="3" t="s">
        <v>402</v>
      </c>
    </row>
    <row r="3600">
      <c r="A3600" s="3" t="s">
        <v>391</v>
      </c>
      <c r="B3600" s="3" t="s">
        <v>401</v>
      </c>
      <c r="C3600" s="3" t="s">
        <v>402</v>
      </c>
    </row>
    <row r="3601">
      <c r="A3601" s="3" t="s">
        <v>391</v>
      </c>
      <c r="B3601" s="3" t="s">
        <v>392</v>
      </c>
      <c r="C3601" s="3" t="s">
        <v>412</v>
      </c>
    </row>
    <row r="3602">
      <c r="A3602" s="3" t="s">
        <v>391</v>
      </c>
      <c r="B3602" s="3" t="s">
        <v>401</v>
      </c>
      <c r="C3602" s="3" t="s">
        <v>402</v>
      </c>
    </row>
    <row r="3603">
      <c r="A3603" s="3" t="s">
        <v>391</v>
      </c>
      <c r="B3603" s="3" t="s">
        <v>399</v>
      </c>
      <c r="C3603" s="3" t="s">
        <v>414</v>
      </c>
    </row>
    <row r="3604">
      <c r="A3604" s="3" t="s">
        <v>391</v>
      </c>
      <c r="B3604" s="3" t="s">
        <v>392</v>
      </c>
      <c r="C3604" s="3" t="s">
        <v>412</v>
      </c>
    </row>
    <row r="3605">
      <c r="A3605" s="3" t="s">
        <v>391</v>
      </c>
      <c r="B3605" s="3" t="s">
        <v>392</v>
      </c>
      <c r="C3605" s="3" t="s">
        <v>412</v>
      </c>
    </row>
    <row r="3606">
      <c r="A3606" s="3" t="s">
        <v>391</v>
      </c>
      <c r="B3606" s="3" t="s">
        <v>392</v>
      </c>
      <c r="C3606" s="3" t="s">
        <v>411</v>
      </c>
    </row>
    <row r="3607">
      <c r="A3607" s="3" t="s">
        <v>391</v>
      </c>
      <c r="B3607" s="3" t="s">
        <v>392</v>
      </c>
      <c r="C3607" s="3" t="s">
        <v>411</v>
      </c>
    </row>
    <row r="3608">
      <c r="A3608" s="3" t="s">
        <v>391</v>
      </c>
      <c r="B3608" s="3" t="s">
        <v>399</v>
      </c>
      <c r="C3608" s="3" t="s">
        <v>414</v>
      </c>
    </row>
    <row r="3609">
      <c r="A3609" s="3" t="s">
        <v>391</v>
      </c>
      <c r="B3609" s="3" t="s">
        <v>399</v>
      </c>
      <c r="C3609" s="3" t="s">
        <v>414</v>
      </c>
    </row>
    <row r="3610">
      <c r="A3610" s="3" t="s">
        <v>391</v>
      </c>
      <c r="B3610" s="3" t="s">
        <v>399</v>
      </c>
      <c r="C3610" s="3" t="s">
        <v>414</v>
      </c>
    </row>
    <row r="3611">
      <c r="A3611" s="3" t="s">
        <v>391</v>
      </c>
      <c r="B3611" s="3" t="s">
        <v>399</v>
      </c>
      <c r="C3611" s="3" t="s">
        <v>414</v>
      </c>
    </row>
    <row r="3612">
      <c r="A3612" s="3" t="s">
        <v>391</v>
      </c>
      <c r="B3612" s="3" t="s">
        <v>392</v>
      </c>
      <c r="C3612" s="3" t="s">
        <v>398</v>
      </c>
    </row>
    <row r="3613">
      <c r="A3613" s="3" t="s">
        <v>391</v>
      </c>
      <c r="B3613" s="3" t="s">
        <v>392</v>
      </c>
      <c r="C3613" s="3" t="s">
        <v>398</v>
      </c>
    </row>
    <row r="3614">
      <c r="A3614" s="3" t="s">
        <v>391</v>
      </c>
      <c r="B3614" s="3" t="s">
        <v>392</v>
      </c>
      <c r="C3614" s="3" t="s">
        <v>409</v>
      </c>
    </row>
    <row r="3615">
      <c r="A3615" s="3" t="s">
        <v>391</v>
      </c>
      <c r="B3615" s="3" t="s">
        <v>392</v>
      </c>
      <c r="C3615" s="3" t="s">
        <v>411</v>
      </c>
    </row>
    <row r="3616">
      <c r="A3616" s="3" t="s">
        <v>391</v>
      </c>
      <c r="B3616" s="3" t="s">
        <v>403</v>
      </c>
      <c r="C3616" s="3" t="s">
        <v>404</v>
      </c>
    </row>
    <row r="3617">
      <c r="A3617" s="3" t="s">
        <v>391</v>
      </c>
      <c r="B3617" s="3" t="s">
        <v>399</v>
      </c>
      <c r="C3617" s="3" t="s">
        <v>400</v>
      </c>
    </row>
    <row r="3618">
      <c r="A3618" s="3" t="s">
        <v>419</v>
      </c>
      <c r="B3618" s="3" t="s">
        <v>420</v>
      </c>
      <c r="C3618" s="3" t="s">
        <v>421</v>
      </c>
    </row>
    <row r="3619">
      <c r="A3619" s="3" t="s">
        <v>419</v>
      </c>
      <c r="B3619" s="3" t="s">
        <v>422</v>
      </c>
      <c r="C3619" s="3" t="s">
        <v>423</v>
      </c>
    </row>
    <row r="3620">
      <c r="A3620" s="3" t="s">
        <v>419</v>
      </c>
      <c r="B3620" s="3" t="s">
        <v>422</v>
      </c>
      <c r="C3620" s="3" t="s">
        <v>423</v>
      </c>
    </row>
    <row r="3621">
      <c r="A3621" s="3" t="s">
        <v>419</v>
      </c>
      <c r="B3621" s="3" t="s">
        <v>420</v>
      </c>
      <c r="C3621" s="3" t="s">
        <v>421</v>
      </c>
    </row>
    <row r="3622">
      <c r="A3622" s="3" t="s">
        <v>419</v>
      </c>
      <c r="B3622" s="3" t="s">
        <v>422</v>
      </c>
      <c r="C3622" s="3" t="s">
        <v>423</v>
      </c>
    </row>
    <row r="3623">
      <c r="A3623" s="3" t="s">
        <v>419</v>
      </c>
      <c r="B3623" s="3" t="s">
        <v>420</v>
      </c>
      <c r="C3623" s="3" t="s">
        <v>421</v>
      </c>
    </row>
    <row r="3624">
      <c r="A3624" s="3" t="s">
        <v>419</v>
      </c>
      <c r="B3624" s="3" t="s">
        <v>422</v>
      </c>
      <c r="C3624" s="3" t="s">
        <v>423</v>
      </c>
    </row>
    <row r="3625">
      <c r="A3625" s="3" t="s">
        <v>419</v>
      </c>
      <c r="B3625" s="3" t="s">
        <v>420</v>
      </c>
      <c r="C3625" s="3" t="s">
        <v>421</v>
      </c>
    </row>
    <row r="3626">
      <c r="A3626" s="3" t="s">
        <v>419</v>
      </c>
      <c r="B3626" s="3" t="s">
        <v>422</v>
      </c>
      <c r="C3626" s="3" t="s">
        <v>423</v>
      </c>
    </row>
    <row r="3627">
      <c r="A3627" s="3" t="s">
        <v>419</v>
      </c>
      <c r="B3627" s="3" t="s">
        <v>422</v>
      </c>
      <c r="C3627" s="3" t="s">
        <v>423</v>
      </c>
    </row>
    <row r="3628">
      <c r="A3628" s="3" t="s">
        <v>419</v>
      </c>
      <c r="B3628" s="3" t="s">
        <v>424</v>
      </c>
      <c r="C3628" s="3" t="s">
        <v>425</v>
      </c>
    </row>
    <row r="3629">
      <c r="A3629" s="3" t="s">
        <v>419</v>
      </c>
      <c r="B3629" s="3" t="s">
        <v>424</v>
      </c>
      <c r="C3629" s="3" t="s">
        <v>425</v>
      </c>
    </row>
    <row r="3630">
      <c r="A3630" s="3" t="s">
        <v>419</v>
      </c>
      <c r="B3630" s="3" t="s">
        <v>420</v>
      </c>
      <c r="C3630" s="3" t="s">
        <v>421</v>
      </c>
    </row>
    <row r="3631">
      <c r="A3631" s="3" t="s">
        <v>419</v>
      </c>
      <c r="B3631" s="3" t="s">
        <v>420</v>
      </c>
      <c r="C3631" s="3" t="s">
        <v>421</v>
      </c>
    </row>
    <row r="3632">
      <c r="A3632" s="3" t="s">
        <v>419</v>
      </c>
      <c r="B3632" s="3" t="s">
        <v>424</v>
      </c>
      <c r="C3632" s="3" t="s">
        <v>425</v>
      </c>
    </row>
    <row r="3633">
      <c r="A3633" s="3" t="s">
        <v>419</v>
      </c>
      <c r="B3633" s="3" t="s">
        <v>420</v>
      </c>
      <c r="C3633" s="3" t="s">
        <v>421</v>
      </c>
    </row>
    <row r="3634">
      <c r="A3634" s="3" t="s">
        <v>426</v>
      </c>
      <c r="B3634" s="3" t="s">
        <v>427</v>
      </c>
      <c r="C3634" s="3" t="s">
        <v>428</v>
      </c>
    </row>
    <row r="3635">
      <c r="A3635" s="3" t="s">
        <v>426</v>
      </c>
      <c r="B3635" s="3" t="s">
        <v>427</v>
      </c>
      <c r="C3635" s="3" t="s">
        <v>428</v>
      </c>
    </row>
    <row r="3636">
      <c r="A3636" s="3" t="s">
        <v>429</v>
      </c>
      <c r="B3636" s="3" t="s">
        <v>430</v>
      </c>
      <c r="C3636" s="3" t="s">
        <v>431</v>
      </c>
    </row>
    <row r="3637">
      <c r="A3637" s="3" t="s">
        <v>429</v>
      </c>
      <c r="B3637" s="3" t="s">
        <v>432</v>
      </c>
      <c r="C3637" s="3" t="s">
        <v>433</v>
      </c>
    </row>
    <row r="3638">
      <c r="A3638" s="3" t="s">
        <v>429</v>
      </c>
      <c r="B3638" s="3" t="s">
        <v>432</v>
      </c>
      <c r="C3638" s="3" t="s">
        <v>433</v>
      </c>
    </row>
    <row r="3639">
      <c r="A3639" s="3" t="s">
        <v>429</v>
      </c>
      <c r="B3639" s="3" t="s">
        <v>432</v>
      </c>
      <c r="C3639" s="3" t="s">
        <v>433</v>
      </c>
    </row>
    <row r="3640">
      <c r="A3640" s="3" t="s">
        <v>429</v>
      </c>
      <c r="B3640" s="3" t="s">
        <v>434</v>
      </c>
      <c r="C3640" s="3" t="s">
        <v>435</v>
      </c>
    </row>
    <row r="3641">
      <c r="A3641" s="3" t="s">
        <v>429</v>
      </c>
      <c r="B3641" s="3" t="s">
        <v>436</v>
      </c>
      <c r="C3641" s="3" t="s">
        <v>437</v>
      </c>
    </row>
    <row r="3642">
      <c r="A3642" s="3" t="s">
        <v>429</v>
      </c>
      <c r="B3642" s="3" t="s">
        <v>436</v>
      </c>
      <c r="C3642" s="3" t="s">
        <v>438</v>
      </c>
    </row>
    <row r="3643">
      <c r="A3643" s="3" t="s">
        <v>429</v>
      </c>
      <c r="B3643" s="3" t="s">
        <v>436</v>
      </c>
      <c r="C3643" s="3" t="s">
        <v>439</v>
      </c>
    </row>
    <row r="3644">
      <c r="A3644" s="3" t="s">
        <v>429</v>
      </c>
      <c r="B3644" s="3" t="s">
        <v>434</v>
      </c>
      <c r="C3644" s="3" t="s">
        <v>435</v>
      </c>
    </row>
    <row r="3645">
      <c r="A3645" s="3" t="s">
        <v>429</v>
      </c>
      <c r="B3645" s="3" t="s">
        <v>432</v>
      </c>
      <c r="C3645" s="3" t="s">
        <v>433</v>
      </c>
    </row>
    <row r="3646">
      <c r="A3646" s="3" t="s">
        <v>429</v>
      </c>
      <c r="B3646" s="3" t="s">
        <v>430</v>
      </c>
      <c r="C3646" s="3" t="s">
        <v>431</v>
      </c>
    </row>
    <row r="3647">
      <c r="A3647" s="3" t="s">
        <v>429</v>
      </c>
      <c r="B3647" s="3" t="s">
        <v>434</v>
      </c>
      <c r="C3647" s="3" t="s">
        <v>435</v>
      </c>
    </row>
    <row r="3648">
      <c r="A3648" s="3" t="s">
        <v>429</v>
      </c>
      <c r="B3648" s="3" t="s">
        <v>430</v>
      </c>
      <c r="C3648" s="3" t="s">
        <v>431</v>
      </c>
    </row>
    <row r="3649">
      <c r="A3649" s="3" t="s">
        <v>429</v>
      </c>
      <c r="B3649" s="3" t="s">
        <v>436</v>
      </c>
      <c r="C3649" s="3" t="s">
        <v>439</v>
      </c>
    </row>
    <row r="3650">
      <c r="A3650" s="3" t="s">
        <v>429</v>
      </c>
      <c r="B3650" s="3" t="s">
        <v>430</v>
      </c>
      <c r="C3650" s="3" t="s">
        <v>431</v>
      </c>
    </row>
    <row r="3651">
      <c r="A3651" s="3" t="s">
        <v>429</v>
      </c>
      <c r="B3651" s="3" t="s">
        <v>432</v>
      </c>
      <c r="C3651" s="3" t="s">
        <v>433</v>
      </c>
    </row>
    <row r="3652">
      <c r="A3652" s="3" t="s">
        <v>429</v>
      </c>
      <c r="B3652" s="3" t="s">
        <v>432</v>
      </c>
      <c r="C3652" s="3" t="s">
        <v>433</v>
      </c>
    </row>
    <row r="3653">
      <c r="A3653" s="3" t="s">
        <v>429</v>
      </c>
      <c r="B3653" s="3" t="s">
        <v>436</v>
      </c>
      <c r="C3653" s="3" t="s">
        <v>439</v>
      </c>
    </row>
    <row r="3654">
      <c r="A3654" s="3" t="s">
        <v>429</v>
      </c>
      <c r="B3654" s="3" t="s">
        <v>436</v>
      </c>
      <c r="C3654" s="3" t="s">
        <v>439</v>
      </c>
    </row>
    <row r="3655">
      <c r="A3655" s="3" t="s">
        <v>429</v>
      </c>
      <c r="B3655" s="3" t="s">
        <v>436</v>
      </c>
      <c r="C3655" s="3" t="s">
        <v>439</v>
      </c>
    </row>
    <row r="3656">
      <c r="A3656" s="3" t="s">
        <v>429</v>
      </c>
      <c r="B3656" s="3" t="s">
        <v>436</v>
      </c>
      <c r="C3656" s="3" t="s">
        <v>437</v>
      </c>
    </row>
    <row r="3657">
      <c r="A3657" s="3" t="s">
        <v>429</v>
      </c>
      <c r="B3657" s="3" t="s">
        <v>434</v>
      </c>
      <c r="C3657" s="3" t="s">
        <v>435</v>
      </c>
    </row>
    <row r="3658">
      <c r="A3658" s="3" t="s">
        <v>429</v>
      </c>
      <c r="B3658" s="3" t="s">
        <v>430</v>
      </c>
      <c r="C3658" s="3" t="s">
        <v>431</v>
      </c>
    </row>
    <row r="3659">
      <c r="A3659" s="3" t="s">
        <v>429</v>
      </c>
      <c r="B3659" s="3" t="s">
        <v>436</v>
      </c>
      <c r="C3659" s="3" t="s">
        <v>439</v>
      </c>
    </row>
    <row r="3660">
      <c r="A3660" s="3" t="s">
        <v>429</v>
      </c>
      <c r="B3660" s="3" t="s">
        <v>430</v>
      </c>
      <c r="C3660" s="3" t="s">
        <v>431</v>
      </c>
    </row>
    <row r="3661">
      <c r="A3661" s="3" t="s">
        <v>429</v>
      </c>
      <c r="B3661" s="3" t="s">
        <v>432</v>
      </c>
      <c r="C3661" s="3" t="s">
        <v>433</v>
      </c>
    </row>
    <row r="3662">
      <c r="A3662" s="3" t="s">
        <v>429</v>
      </c>
      <c r="B3662" s="3" t="s">
        <v>432</v>
      </c>
      <c r="C3662" s="3" t="s">
        <v>433</v>
      </c>
    </row>
    <row r="3663">
      <c r="A3663" s="3" t="s">
        <v>429</v>
      </c>
      <c r="B3663" s="3" t="s">
        <v>436</v>
      </c>
      <c r="C3663" s="3" t="s">
        <v>438</v>
      </c>
    </row>
    <row r="3664">
      <c r="A3664" s="3" t="s">
        <v>429</v>
      </c>
      <c r="B3664" s="3" t="s">
        <v>432</v>
      </c>
      <c r="C3664" s="3" t="s">
        <v>433</v>
      </c>
    </row>
    <row r="3665">
      <c r="A3665" s="3" t="s">
        <v>429</v>
      </c>
      <c r="B3665" s="3" t="s">
        <v>430</v>
      </c>
      <c r="C3665" s="3" t="s">
        <v>431</v>
      </c>
    </row>
    <row r="3666">
      <c r="A3666" s="3" t="s">
        <v>429</v>
      </c>
      <c r="B3666" s="3" t="s">
        <v>436</v>
      </c>
      <c r="C3666" s="3" t="s">
        <v>438</v>
      </c>
    </row>
    <row r="3667">
      <c r="A3667" s="3" t="s">
        <v>429</v>
      </c>
      <c r="B3667" s="3" t="s">
        <v>436</v>
      </c>
      <c r="C3667" s="3" t="s">
        <v>438</v>
      </c>
    </row>
    <row r="3668">
      <c r="A3668" s="3" t="s">
        <v>429</v>
      </c>
      <c r="B3668" s="3" t="s">
        <v>436</v>
      </c>
      <c r="C3668" s="3" t="s">
        <v>439</v>
      </c>
    </row>
    <row r="3669">
      <c r="A3669" s="3" t="s">
        <v>429</v>
      </c>
      <c r="B3669" s="3" t="s">
        <v>436</v>
      </c>
      <c r="C3669" s="3" t="s">
        <v>439</v>
      </c>
    </row>
    <row r="3670">
      <c r="A3670" s="3" t="s">
        <v>429</v>
      </c>
      <c r="B3670" s="3" t="s">
        <v>436</v>
      </c>
      <c r="C3670" s="3" t="s">
        <v>439</v>
      </c>
    </row>
    <row r="3671">
      <c r="A3671" s="3" t="s">
        <v>440</v>
      </c>
      <c r="B3671" s="3" t="s">
        <v>441</v>
      </c>
      <c r="C3671" s="3" t="s">
        <v>442</v>
      </c>
    </row>
    <row r="3672">
      <c r="A3672" s="3" t="s">
        <v>440</v>
      </c>
      <c r="B3672" s="3" t="s">
        <v>441</v>
      </c>
      <c r="C3672" s="3" t="s">
        <v>442</v>
      </c>
    </row>
    <row r="3673">
      <c r="A3673" s="3" t="s">
        <v>440</v>
      </c>
      <c r="B3673" s="3" t="s">
        <v>443</v>
      </c>
      <c r="C3673" s="3" t="s">
        <v>444</v>
      </c>
    </row>
    <row r="3674">
      <c r="A3674" s="3" t="s">
        <v>440</v>
      </c>
      <c r="B3674" s="3" t="s">
        <v>443</v>
      </c>
      <c r="C3674" s="3" t="s">
        <v>445</v>
      </c>
    </row>
    <row r="3675">
      <c r="A3675" s="3" t="s">
        <v>440</v>
      </c>
      <c r="B3675" s="3" t="s">
        <v>443</v>
      </c>
      <c r="C3675" s="3" t="s">
        <v>446</v>
      </c>
    </row>
    <row r="3676">
      <c r="A3676" s="3" t="s">
        <v>440</v>
      </c>
      <c r="B3676" s="3" t="s">
        <v>443</v>
      </c>
      <c r="C3676" s="3" t="s">
        <v>444</v>
      </c>
    </row>
    <row r="3677">
      <c r="A3677" s="3" t="s">
        <v>440</v>
      </c>
      <c r="B3677" s="3" t="s">
        <v>441</v>
      </c>
      <c r="C3677" s="3" t="s">
        <v>447</v>
      </c>
    </row>
    <row r="3678">
      <c r="A3678" s="3" t="s">
        <v>440</v>
      </c>
      <c r="B3678" s="3" t="s">
        <v>441</v>
      </c>
      <c r="C3678" s="3" t="s">
        <v>448</v>
      </c>
    </row>
    <row r="3679">
      <c r="A3679" s="3" t="s">
        <v>440</v>
      </c>
      <c r="B3679" s="3" t="s">
        <v>443</v>
      </c>
      <c r="C3679" s="3" t="s">
        <v>445</v>
      </c>
    </row>
    <row r="3680">
      <c r="A3680" s="3" t="s">
        <v>440</v>
      </c>
      <c r="B3680" s="3" t="s">
        <v>449</v>
      </c>
      <c r="C3680" s="3" t="s">
        <v>450</v>
      </c>
    </row>
    <row r="3681">
      <c r="A3681" s="3" t="s">
        <v>440</v>
      </c>
      <c r="B3681" s="3" t="s">
        <v>449</v>
      </c>
      <c r="C3681" s="3" t="s">
        <v>451</v>
      </c>
    </row>
    <row r="3682">
      <c r="A3682" s="3" t="s">
        <v>440</v>
      </c>
      <c r="B3682" s="3" t="s">
        <v>441</v>
      </c>
      <c r="C3682" s="3" t="s">
        <v>452</v>
      </c>
    </row>
    <row r="3683">
      <c r="A3683" s="3" t="s">
        <v>440</v>
      </c>
      <c r="B3683" s="3" t="s">
        <v>441</v>
      </c>
      <c r="C3683" s="3" t="s">
        <v>447</v>
      </c>
    </row>
    <row r="3684">
      <c r="A3684" s="3" t="s">
        <v>440</v>
      </c>
      <c r="B3684" s="3" t="s">
        <v>441</v>
      </c>
      <c r="C3684" s="3" t="s">
        <v>442</v>
      </c>
    </row>
    <row r="3685">
      <c r="A3685" s="3" t="s">
        <v>440</v>
      </c>
      <c r="B3685" s="3" t="s">
        <v>441</v>
      </c>
      <c r="C3685" s="3" t="s">
        <v>447</v>
      </c>
    </row>
    <row r="3686">
      <c r="A3686" s="3" t="s">
        <v>440</v>
      </c>
      <c r="B3686" s="3" t="s">
        <v>441</v>
      </c>
      <c r="C3686" s="3" t="s">
        <v>452</v>
      </c>
    </row>
    <row r="3687">
      <c r="A3687" s="3" t="s">
        <v>440</v>
      </c>
      <c r="B3687" s="3" t="s">
        <v>441</v>
      </c>
      <c r="C3687" s="3" t="s">
        <v>453</v>
      </c>
    </row>
    <row r="3688">
      <c r="A3688" s="3" t="s">
        <v>440</v>
      </c>
      <c r="B3688" s="3" t="s">
        <v>441</v>
      </c>
      <c r="C3688" s="3" t="s">
        <v>442</v>
      </c>
    </row>
    <row r="3689">
      <c r="A3689" s="3" t="s">
        <v>440</v>
      </c>
      <c r="B3689" s="3" t="s">
        <v>441</v>
      </c>
      <c r="C3689" s="3" t="s">
        <v>447</v>
      </c>
    </row>
    <row r="3690">
      <c r="A3690" s="3" t="s">
        <v>440</v>
      </c>
      <c r="B3690" s="3" t="s">
        <v>454</v>
      </c>
      <c r="C3690" s="3" t="s">
        <v>455</v>
      </c>
    </row>
    <row r="3691">
      <c r="A3691" s="3" t="s">
        <v>440</v>
      </c>
      <c r="B3691" s="3" t="s">
        <v>454</v>
      </c>
      <c r="C3691" s="3" t="s">
        <v>456</v>
      </c>
    </row>
    <row r="3692">
      <c r="A3692" s="3" t="s">
        <v>440</v>
      </c>
      <c r="B3692" s="3" t="s">
        <v>441</v>
      </c>
      <c r="C3692" s="3" t="s">
        <v>448</v>
      </c>
    </row>
    <row r="3693">
      <c r="A3693" s="3" t="s">
        <v>440</v>
      </c>
      <c r="B3693" s="3" t="s">
        <v>441</v>
      </c>
      <c r="C3693" s="3" t="s">
        <v>447</v>
      </c>
    </row>
    <row r="3694">
      <c r="A3694" s="3" t="s">
        <v>440</v>
      </c>
      <c r="B3694" s="3" t="s">
        <v>443</v>
      </c>
      <c r="C3694" s="3" t="s">
        <v>445</v>
      </c>
    </row>
    <row r="3695">
      <c r="A3695" s="3" t="s">
        <v>440</v>
      </c>
      <c r="B3695" s="3" t="s">
        <v>449</v>
      </c>
      <c r="C3695" s="3" t="s">
        <v>457</v>
      </c>
    </row>
    <row r="3696">
      <c r="A3696" s="3" t="s">
        <v>440</v>
      </c>
      <c r="B3696" s="3" t="s">
        <v>449</v>
      </c>
      <c r="C3696" s="3" t="s">
        <v>458</v>
      </c>
    </row>
    <row r="3697">
      <c r="A3697" s="3" t="s">
        <v>440</v>
      </c>
      <c r="B3697" s="3" t="s">
        <v>449</v>
      </c>
      <c r="C3697" s="3" t="s">
        <v>458</v>
      </c>
    </row>
    <row r="3698">
      <c r="A3698" s="3" t="s">
        <v>440</v>
      </c>
      <c r="B3698" s="3" t="s">
        <v>459</v>
      </c>
      <c r="C3698" s="3" t="s">
        <v>460</v>
      </c>
    </row>
    <row r="3699">
      <c r="A3699" s="3" t="s">
        <v>440</v>
      </c>
      <c r="B3699" s="3" t="s">
        <v>459</v>
      </c>
      <c r="C3699" s="3" t="s">
        <v>460</v>
      </c>
    </row>
    <row r="3700">
      <c r="A3700" s="3" t="s">
        <v>440</v>
      </c>
      <c r="B3700" s="3" t="s">
        <v>443</v>
      </c>
      <c r="C3700" s="3" t="s">
        <v>446</v>
      </c>
    </row>
    <row r="3701">
      <c r="A3701" s="3" t="s">
        <v>440</v>
      </c>
      <c r="B3701" s="3" t="s">
        <v>443</v>
      </c>
      <c r="C3701" s="3" t="s">
        <v>461</v>
      </c>
    </row>
    <row r="3702">
      <c r="A3702" s="3" t="s">
        <v>440</v>
      </c>
      <c r="B3702" s="3" t="s">
        <v>443</v>
      </c>
      <c r="C3702" s="3" t="s">
        <v>462</v>
      </c>
    </row>
    <row r="3703">
      <c r="A3703" s="3" t="s">
        <v>440</v>
      </c>
      <c r="B3703" s="3" t="s">
        <v>441</v>
      </c>
      <c r="C3703" s="3" t="s">
        <v>442</v>
      </c>
    </row>
    <row r="3704">
      <c r="A3704" s="3" t="s">
        <v>440</v>
      </c>
      <c r="B3704" s="3" t="s">
        <v>441</v>
      </c>
      <c r="C3704" s="3" t="s">
        <v>447</v>
      </c>
    </row>
    <row r="3705">
      <c r="A3705" s="3" t="s">
        <v>440</v>
      </c>
      <c r="B3705" s="3" t="s">
        <v>441</v>
      </c>
      <c r="C3705" s="3" t="s">
        <v>452</v>
      </c>
    </row>
    <row r="3706">
      <c r="A3706" s="3" t="s">
        <v>440</v>
      </c>
      <c r="B3706" s="3" t="s">
        <v>449</v>
      </c>
      <c r="C3706" s="3" t="s">
        <v>451</v>
      </c>
    </row>
    <row r="3707">
      <c r="A3707" s="3" t="s">
        <v>440</v>
      </c>
      <c r="B3707" s="3" t="s">
        <v>454</v>
      </c>
      <c r="C3707" s="3" t="s">
        <v>463</v>
      </c>
    </row>
    <row r="3708">
      <c r="A3708" s="3" t="s">
        <v>440</v>
      </c>
      <c r="B3708" s="3" t="s">
        <v>441</v>
      </c>
      <c r="C3708" s="3" t="s">
        <v>452</v>
      </c>
    </row>
    <row r="3709">
      <c r="A3709" s="3" t="s">
        <v>440</v>
      </c>
      <c r="B3709" s="3" t="s">
        <v>441</v>
      </c>
      <c r="C3709" s="3" t="s">
        <v>447</v>
      </c>
    </row>
    <row r="3710">
      <c r="A3710" s="3" t="s">
        <v>440</v>
      </c>
      <c r="B3710" s="3" t="s">
        <v>443</v>
      </c>
      <c r="C3710" s="3" t="s">
        <v>462</v>
      </c>
    </row>
    <row r="3711">
      <c r="A3711" s="3" t="s">
        <v>440</v>
      </c>
      <c r="B3711" s="3" t="s">
        <v>443</v>
      </c>
      <c r="C3711" s="3" t="s">
        <v>462</v>
      </c>
    </row>
    <row r="3712">
      <c r="A3712" s="3" t="s">
        <v>440</v>
      </c>
      <c r="B3712" s="3" t="s">
        <v>449</v>
      </c>
      <c r="C3712" s="3" t="s">
        <v>451</v>
      </c>
    </row>
    <row r="3713">
      <c r="A3713" s="3" t="s">
        <v>440</v>
      </c>
      <c r="B3713" s="3" t="s">
        <v>441</v>
      </c>
      <c r="C3713" s="3" t="s">
        <v>447</v>
      </c>
    </row>
    <row r="3714">
      <c r="A3714" s="3" t="s">
        <v>440</v>
      </c>
      <c r="B3714" s="3" t="s">
        <v>441</v>
      </c>
      <c r="C3714" s="3" t="s">
        <v>448</v>
      </c>
    </row>
    <row r="3715">
      <c r="A3715" s="3" t="s">
        <v>440</v>
      </c>
      <c r="B3715" s="3" t="s">
        <v>441</v>
      </c>
      <c r="C3715" s="3" t="s">
        <v>447</v>
      </c>
    </row>
    <row r="3716">
      <c r="A3716" s="3" t="s">
        <v>440</v>
      </c>
      <c r="B3716" s="3" t="s">
        <v>441</v>
      </c>
      <c r="C3716" s="3" t="s">
        <v>448</v>
      </c>
    </row>
    <row r="3717">
      <c r="A3717" s="3" t="s">
        <v>440</v>
      </c>
      <c r="B3717" s="3" t="s">
        <v>449</v>
      </c>
      <c r="C3717" s="3" t="s">
        <v>457</v>
      </c>
    </row>
    <row r="3718">
      <c r="A3718" s="3" t="s">
        <v>440</v>
      </c>
      <c r="B3718" s="3" t="s">
        <v>454</v>
      </c>
      <c r="C3718" s="3" t="s">
        <v>455</v>
      </c>
    </row>
    <row r="3719">
      <c r="A3719" s="3" t="s">
        <v>440</v>
      </c>
      <c r="B3719" s="3" t="s">
        <v>459</v>
      </c>
      <c r="C3719" s="3" t="s">
        <v>460</v>
      </c>
    </row>
    <row r="3720">
      <c r="A3720" s="3" t="s">
        <v>440</v>
      </c>
      <c r="B3720" s="3" t="s">
        <v>449</v>
      </c>
      <c r="C3720" s="3" t="s">
        <v>451</v>
      </c>
    </row>
    <row r="3721">
      <c r="A3721" s="3" t="s">
        <v>440</v>
      </c>
      <c r="B3721" s="3" t="s">
        <v>443</v>
      </c>
      <c r="C3721" s="3" t="s">
        <v>445</v>
      </c>
    </row>
    <row r="3722">
      <c r="A3722" s="3" t="s">
        <v>440</v>
      </c>
      <c r="B3722" s="3" t="s">
        <v>449</v>
      </c>
      <c r="C3722" s="3" t="s">
        <v>458</v>
      </c>
    </row>
    <row r="3723">
      <c r="A3723" s="3" t="s">
        <v>440</v>
      </c>
      <c r="B3723" s="3" t="s">
        <v>459</v>
      </c>
      <c r="C3723" s="3" t="s">
        <v>460</v>
      </c>
    </row>
    <row r="3724">
      <c r="A3724" s="3" t="s">
        <v>440</v>
      </c>
      <c r="B3724" s="3" t="s">
        <v>449</v>
      </c>
      <c r="C3724" s="3" t="s">
        <v>451</v>
      </c>
    </row>
    <row r="3725">
      <c r="A3725" s="3" t="s">
        <v>440</v>
      </c>
      <c r="B3725" s="3" t="s">
        <v>449</v>
      </c>
      <c r="C3725" s="3" t="s">
        <v>450</v>
      </c>
    </row>
    <row r="3726">
      <c r="A3726" s="3" t="s">
        <v>440</v>
      </c>
      <c r="B3726" s="3" t="s">
        <v>454</v>
      </c>
      <c r="C3726" s="3" t="s">
        <v>456</v>
      </c>
    </row>
    <row r="3727">
      <c r="A3727" s="3" t="s">
        <v>440</v>
      </c>
      <c r="B3727" s="3" t="s">
        <v>454</v>
      </c>
      <c r="C3727" s="3" t="s">
        <v>455</v>
      </c>
    </row>
    <row r="3728">
      <c r="A3728" s="3" t="s">
        <v>440</v>
      </c>
      <c r="B3728" s="3" t="s">
        <v>449</v>
      </c>
      <c r="C3728" s="3" t="s">
        <v>451</v>
      </c>
    </row>
    <row r="3729">
      <c r="A3729" s="3" t="s">
        <v>440</v>
      </c>
      <c r="B3729" s="3" t="s">
        <v>441</v>
      </c>
      <c r="C3729" s="3" t="s">
        <v>442</v>
      </c>
    </row>
    <row r="3730">
      <c r="A3730" s="3" t="s">
        <v>440</v>
      </c>
      <c r="B3730" s="3" t="s">
        <v>441</v>
      </c>
      <c r="C3730" s="3" t="s">
        <v>447</v>
      </c>
    </row>
    <row r="3731">
      <c r="A3731" s="3" t="s">
        <v>440</v>
      </c>
      <c r="B3731" s="3" t="s">
        <v>454</v>
      </c>
      <c r="C3731" s="3" t="s">
        <v>456</v>
      </c>
    </row>
    <row r="3732">
      <c r="A3732" s="3" t="s">
        <v>440</v>
      </c>
      <c r="B3732" s="3" t="s">
        <v>449</v>
      </c>
      <c r="C3732" s="3" t="s">
        <v>458</v>
      </c>
    </row>
    <row r="3733">
      <c r="A3733" s="3" t="s">
        <v>440</v>
      </c>
      <c r="B3733" s="3" t="s">
        <v>441</v>
      </c>
      <c r="C3733" s="3" t="s">
        <v>452</v>
      </c>
    </row>
    <row r="3734">
      <c r="A3734" s="3" t="s">
        <v>440</v>
      </c>
      <c r="B3734" s="3" t="s">
        <v>441</v>
      </c>
      <c r="C3734" s="3" t="s">
        <v>447</v>
      </c>
    </row>
    <row r="3735">
      <c r="A3735" s="3" t="s">
        <v>440</v>
      </c>
      <c r="B3735" s="3" t="s">
        <v>449</v>
      </c>
      <c r="C3735" s="3" t="s">
        <v>451</v>
      </c>
    </row>
    <row r="3736">
      <c r="A3736" s="3" t="s">
        <v>440</v>
      </c>
      <c r="B3736" s="3" t="s">
        <v>441</v>
      </c>
      <c r="C3736" s="3" t="s">
        <v>442</v>
      </c>
    </row>
    <row r="3737">
      <c r="A3737" s="3" t="s">
        <v>440</v>
      </c>
      <c r="B3737" s="3" t="s">
        <v>443</v>
      </c>
      <c r="C3737" s="3" t="s">
        <v>462</v>
      </c>
    </row>
    <row r="3738">
      <c r="A3738" s="3" t="s">
        <v>440</v>
      </c>
      <c r="B3738" s="3" t="s">
        <v>454</v>
      </c>
      <c r="C3738" s="3" t="s">
        <v>464</v>
      </c>
    </row>
    <row r="3739">
      <c r="A3739" s="3" t="s">
        <v>440</v>
      </c>
      <c r="B3739" s="3" t="s">
        <v>454</v>
      </c>
      <c r="C3739" s="3" t="s">
        <v>463</v>
      </c>
    </row>
    <row r="3740">
      <c r="A3740" s="3" t="s">
        <v>440</v>
      </c>
      <c r="B3740" s="3" t="s">
        <v>449</v>
      </c>
      <c r="C3740" s="3" t="s">
        <v>450</v>
      </c>
    </row>
    <row r="3741">
      <c r="A3741" s="3" t="s">
        <v>440</v>
      </c>
      <c r="B3741" s="3" t="s">
        <v>443</v>
      </c>
      <c r="C3741" s="3" t="s">
        <v>444</v>
      </c>
    </row>
    <row r="3742">
      <c r="A3742" s="3" t="s">
        <v>440</v>
      </c>
      <c r="B3742" s="3" t="s">
        <v>449</v>
      </c>
      <c r="C3742" s="3" t="s">
        <v>450</v>
      </c>
    </row>
    <row r="3743">
      <c r="A3743" s="3" t="s">
        <v>440</v>
      </c>
      <c r="B3743" s="3" t="s">
        <v>454</v>
      </c>
      <c r="C3743" s="3" t="s">
        <v>455</v>
      </c>
    </row>
    <row r="3744">
      <c r="A3744" s="3" t="s">
        <v>440</v>
      </c>
      <c r="B3744" s="3" t="s">
        <v>449</v>
      </c>
      <c r="C3744" s="3" t="s">
        <v>458</v>
      </c>
    </row>
    <row r="3745">
      <c r="A3745" s="3" t="s">
        <v>440</v>
      </c>
      <c r="B3745" s="3" t="s">
        <v>443</v>
      </c>
      <c r="C3745" s="3" t="s">
        <v>462</v>
      </c>
    </row>
    <row r="3746">
      <c r="A3746" s="3" t="s">
        <v>440</v>
      </c>
      <c r="B3746" s="3" t="s">
        <v>454</v>
      </c>
      <c r="C3746" s="3" t="s">
        <v>463</v>
      </c>
    </row>
    <row r="3747">
      <c r="A3747" s="3" t="s">
        <v>440</v>
      </c>
      <c r="B3747" s="3" t="s">
        <v>443</v>
      </c>
      <c r="C3747" s="3" t="s">
        <v>446</v>
      </c>
    </row>
    <row r="3748">
      <c r="A3748" s="3" t="s">
        <v>440</v>
      </c>
      <c r="B3748" s="3" t="s">
        <v>449</v>
      </c>
      <c r="C3748" s="3" t="s">
        <v>458</v>
      </c>
    </row>
    <row r="3749">
      <c r="A3749" s="3" t="s">
        <v>440</v>
      </c>
      <c r="B3749" s="3" t="s">
        <v>443</v>
      </c>
      <c r="C3749" s="3" t="s">
        <v>461</v>
      </c>
    </row>
    <row r="3750">
      <c r="A3750" s="3" t="s">
        <v>440</v>
      </c>
      <c r="B3750" s="3" t="s">
        <v>454</v>
      </c>
      <c r="C3750" s="3" t="s">
        <v>463</v>
      </c>
    </row>
    <row r="3751">
      <c r="A3751" s="3" t="s">
        <v>440</v>
      </c>
      <c r="B3751" s="3" t="s">
        <v>443</v>
      </c>
      <c r="C3751" s="3" t="s">
        <v>462</v>
      </c>
    </row>
    <row r="3752">
      <c r="A3752" s="3" t="s">
        <v>440</v>
      </c>
      <c r="B3752" s="3" t="s">
        <v>443</v>
      </c>
      <c r="C3752" s="3" t="s">
        <v>462</v>
      </c>
    </row>
    <row r="3753">
      <c r="A3753" s="3" t="s">
        <v>440</v>
      </c>
      <c r="B3753" s="3" t="s">
        <v>454</v>
      </c>
      <c r="C3753" s="3" t="s">
        <v>456</v>
      </c>
    </row>
    <row r="3754">
      <c r="A3754" s="3" t="s">
        <v>440</v>
      </c>
      <c r="B3754" s="3" t="s">
        <v>449</v>
      </c>
      <c r="C3754" s="3" t="s">
        <v>458</v>
      </c>
    </row>
    <row r="3755">
      <c r="A3755" s="3" t="s">
        <v>440</v>
      </c>
      <c r="B3755" s="3" t="s">
        <v>449</v>
      </c>
      <c r="C3755" s="3" t="s">
        <v>451</v>
      </c>
    </row>
    <row r="3756">
      <c r="A3756" s="3" t="s">
        <v>440</v>
      </c>
      <c r="B3756" s="3" t="s">
        <v>454</v>
      </c>
      <c r="C3756" s="3" t="s">
        <v>463</v>
      </c>
    </row>
    <row r="3757">
      <c r="A3757" s="3" t="s">
        <v>440</v>
      </c>
      <c r="B3757" s="3" t="s">
        <v>454</v>
      </c>
      <c r="C3757" s="3" t="s">
        <v>455</v>
      </c>
    </row>
    <row r="3758">
      <c r="A3758" s="3" t="s">
        <v>440</v>
      </c>
      <c r="B3758" s="3" t="s">
        <v>454</v>
      </c>
      <c r="C3758" s="3" t="s">
        <v>464</v>
      </c>
    </row>
    <row r="3759">
      <c r="A3759" s="3" t="s">
        <v>440</v>
      </c>
      <c r="B3759" s="3" t="s">
        <v>454</v>
      </c>
      <c r="C3759" s="3" t="s">
        <v>464</v>
      </c>
    </row>
    <row r="3760">
      <c r="A3760" s="3" t="s">
        <v>440</v>
      </c>
      <c r="B3760" s="3" t="s">
        <v>441</v>
      </c>
      <c r="C3760" s="3" t="s">
        <v>448</v>
      </c>
    </row>
    <row r="3761">
      <c r="A3761" s="3" t="s">
        <v>440</v>
      </c>
      <c r="B3761" s="3" t="s">
        <v>454</v>
      </c>
      <c r="C3761" s="3" t="s">
        <v>464</v>
      </c>
    </row>
    <row r="3762">
      <c r="A3762" s="3" t="s">
        <v>440</v>
      </c>
      <c r="B3762" s="3" t="s">
        <v>454</v>
      </c>
      <c r="C3762" s="3" t="s">
        <v>464</v>
      </c>
    </row>
    <row r="3763">
      <c r="A3763" s="3" t="s">
        <v>440</v>
      </c>
      <c r="B3763" s="3" t="s">
        <v>443</v>
      </c>
      <c r="C3763" s="3" t="s">
        <v>444</v>
      </c>
    </row>
    <row r="3764">
      <c r="A3764" s="3" t="s">
        <v>440</v>
      </c>
      <c r="B3764" s="3" t="s">
        <v>454</v>
      </c>
      <c r="C3764" s="3" t="s">
        <v>464</v>
      </c>
    </row>
    <row r="3765">
      <c r="A3765" s="3" t="s">
        <v>440</v>
      </c>
      <c r="B3765" s="3" t="s">
        <v>449</v>
      </c>
      <c r="C3765" s="3" t="s">
        <v>457</v>
      </c>
    </row>
    <row r="3766">
      <c r="A3766" s="3" t="s">
        <v>440</v>
      </c>
      <c r="B3766" s="3" t="s">
        <v>443</v>
      </c>
      <c r="C3766" s="3" t="s">
        <v>461</v>
      </c>
    </row>
    <row r="3767">
      <c r="A3767" s="3" t="s">
        <v>440</v>
      </c>
      <c r="B3767" s="3" t="s">
        <v>454</v>
      </c>
      <c r="C3767" s="3" t="s">
        <v>464</v>
      </c>
    </row>
    <row r="3768">
      <c r="A3768" s="3" t="s">
        <v>440</v>
      </c>
      <c r="B3768" s="3" t="s">
        <v>454</v>
      </c>
      <c r="C3768" s="3" t="s">
        <v>464</v>
      </c>
    </row>
    <row r="3769">
      <c r="A3769" s="3" t="s">
        <v>465</v>
      </c>
      <c r="B3769" s="3" t="s">
        <v>466</v>
      </c>
      <c r="C3769" s="3" t="s">
        <v>467</v>
      </c>
    </row>
    <row r="3770">
      <c r="A3770" s="3" t="s">
        <v>465</v>
      </c>
      <c r="B3770" s="3" t="s">
        <v>466</v>
      </c>
      <c r="C3770" s="3" t="s">
        <v>467</v>
      </c>
    </row>
    <row r="3771">
      <c r="A3771" s="3" t="s">
        <v>465</v>
      </c>
      <c r="B3771" s="3" t="s">
        <v>468</v>
      </c>
      <c r="C3771" s="3" t="s">
        <v>469</v>
      </c>
    </row>
    <row r="3772">
      <c r="A3772" s="3" t="s">
        <v>465</v>
      </c>
      <c r="B3772" s="3" t="s">
        <v>466</v>
      </c>
      <c r="C3772" s="3" t="s">
        <v>467</v>
      </c>
    </row>
    <row r="3773">
      <c r="A3773" s="3" t="s">
        <v>465</v>
      </c>
      <c r="B3773" s="3" t="s">
        <v>466</v>
      </c>
      <c r="C3773" s="3" t="s">
        <v>467</v>
      </c>
    </row>
    <row r="3774">
      <c r="A3774" s="3" t="s">
        <v>465</v>
      </c>
      <c r="B3774" s="3" t="s">
        <v>466</v>
      </c>
      <c r="C3774" s="3" t="s">
        <v>467</v>
      </c>
    </row>
    <row r="3775">
      <c r="A3775" s="3" t="s">
        <v>465</v>
      </c>
      <c r="B3775" s="3" t="s">
        <v>466</v>
      </c>
      <c r="C3775" s="3" t="s">
        <v>467</v>
      </c>
    </row>
    <row r="3776">
      <c r="A3776" s="3" t="s">
        <v>465</v>
      </c>
      <c r="B3776" s="3" t="s">
        <v>466</v>
      </c>
      <c r="C3776" s="3" t="s">
        <v>467</v>
      </c>
    </row>
    <row r="3777">
      <c r="A3777" s="3" t="s">
        <v>465</v>
      </c>
      <c r="B3777" s="3" t="s">
        <v>466</v>
      </c>
      <c r="C3777" s="3" t="s">
        <v>467</v>
      </c>
    </row>
    <row r="3778">
      <c r="A3778" s="3" t="s">
        <v>470</v>
      </c>
      <c r="B3778" s="3" t="s">
        <v>188</v>
      </c>
      <c r="C3778" s="3" t="s">
        <v>471</v>
      </c>
    </row>
    <row r="3779">
      <c r="A3779" s="3" t="s">
        <v>470</v>
      </c>
      <c r="B3779" s="3" t="s">
        <v>188</v>
      </c>
      <c r="C3779" s="3" t="s">
        <v>472</v>
      </c>
    </row>
    <row r="3780">
      <c r="A3780" s="3" t="s">
        <v>470</v>
      </c>
      <c r="B3780" s="3" t="s">
        <v>188</v>
      </c>
      <c r="C3780" s="3" t="s">
        <v>471</v>
      </c>
    </row>
    <row r="3781">
      <c r="A3781" s="3" t="s">
        <v>470</v>
      </c>
      <c r="B3781" s="3" t="s">
        <v>188</v>
      </c>
      <c r="C3781" s="3" t="s">
        <v>472</v>
      </c>
    </row>
    <row r="3782">
      <c r="A3782" s="3" t="s">
        <v>470</v>
      </c>
      <c r="B3782" s="3" t="s">
        <v>188</v>
      </c>
      <c r="C3782" s="3" t="s">
        <v>471</v>
      </c>
    </row>
    <row r="3783">
      <c r="A3783" s="3" t="s">
        <v>470</v>
      </c>
      <c r="B3783" s="3" t="s">
        <v>188</v>
      </c>
      <c r="C3783" s="3" t="s">
        <v>473</v>
      </c>
    </row>
    <row r="3784">
      <c r="A3784" s="3" t="s">
        <v>470</v>
      </c>
      <c r="B3784" s="3" t="s">
        <v>188</v>
      </c>
      <c r="C3784" s="3" t="s">
        <v>189</v>
      </c>
    </row>
    <row r="3785">
      <c r="A3785" s="3" t="s">
        <v>470</v>
      </c>
      <c r="B3785" s="3" t="s">
        <v>188</v>
      </c>
      <c r="C3785" s="3" t="s">
        <v>473</v>
      </c>
    </row>
    <row r="3786">
      <c r="A3786" s="3" t="s">
        <v>470</v>
      </c>
      <c r="B3786" s="3" t="s">
        <v>188</v>
      </c>
      <c r="C3786" s="3" t="s">
        <v>471</v>
      </c>
    </row>
    <row r="3787">
      <c r="A3787" s="3" t="s">
        <v>470</v>
      </c>
      <c r="B3787" s="3" t="s">
        <v>188</v>
      </c>
      <c r="C3787" s="3" t="s">
        <v>473</v>
      </c>
    </row>
    <row r="3788">
      <c r="A3788" s="3" t="s">
        <v>470</v>
      </c>
      <c r="B3788" s="3" t="s">
        <v>188</v>
      </c>
      <c r="C3788" s="3" t="s">
        <v>189</v>
      </c>
    </row>
    <row r="3789">
      <c r="A3789" s="3" t="s">
        <v>470</v>
      </c>
      <c r="B3789" s="3" t="s">
        <v>188</v>
      </c>
      <c r="C3789" s="3" t="s">
        <v>472</v>
      </c>
    </row>
    <row r="3790">
      <c r="A3790" s="3" t="s">
        <v>474</v>
      </c>
      <c r="B3790" s="3" t="s">
        <v>475</v>
      </c>
      <c r="C3790" s="3" t="s">
        <v>476</v>
      </c>
    </row>
    <row r="3791">
      <c r="A3791" s="3" t="s">
        <v>474</v>
      </c>
      <c r="B3791" s="3" t="s">
        <v>475</v>
      </c>
      <c r="C3791" s="3" t="s">
        <v>476</v>
      </c>
    </row>
    <row r="3792">
      <c r="A3792" s="3" t="s">
        <v>474</v>
      </c>
      <c r="B3792" s="3" t="s">
        <v>475</v>
      </c>
      <c r="C3792" s="3" t="s">
        <v>477</v>
      </c>
    </row>
    <row r="3793">
      <c r="A3793" s="3" t="s">
        <v>474</v>
      </c>
      <c r="B3793" s="3" t="s">
        <v>475</v>
      </c>
      <c r="C3793" s="3" t="s">
        <v>476</v>
      </c>
    </row>
    <row r="3794">
      <c r="A3794" s="3" t="s">
        <v>474</v>
      </c>
      <c r="B3794" s="3" t="s">
        <v>475</v>
      </c>
      <c r="C3794" s="3" t="s">
        <v>477</v>
      </c>
    </row>
    <row r="3795">
      <c r="A3795" s="3" t="s">
        <v>474</v>
      </c>
      <c r="B3795" s="3" t="s">
        <v>475</v>
      </c>
      <c r="C3795" s="3" t="s">
        <v>476</v>
      </c>
    </row>
    <row r="3796">
      <c r="A3796" s="3" t="s">
        <v>474</v>
      </c>
      <c r="B3796" s="3" t="s">
        <v>475</v>
      </c>
      <c r="C3796" s="3" t="s">
        <v>114</v>
      </c>
    </row>
    <row r="3797">
      <c r="A3797" s="3" t="s">
        <v>474</v>
      </c>
      <c r="B3797" s="3" t="s">
        <v>475</v>
      </c>
      <c r="C3797" s="3" t="s">
        <v>477</v>
      </c>
    </row>
    <row r="3798">
      <c r="A3798" s="3" t="s">
        <v>474</v>
      </c>
      <c r="B3798" s="3" t="s">
        <v>475</v>
      </c>
      <c r="C3798" s="3" t="s">
        <v>114</v>
      </c>
    </row>
    <row r="3799">
      <c r="A3799" s="3" t="s">
        <v>474</v>
      </c>
      <c r="B3799" s="3" t="s">
        <v>475</v>
      </c>
      <c r="C3799" s="3" t="s">
        <v>477</v>
      </c>
    </row>
    <row r="3800">
      <c r="A3800" s="3" t="s">
        <v>478</v>
      </c>
      <c r="B3800" s="3" t="s">
        <v>479</v>
      </c>
      <c r="C3800" s="3" t="s">
        <v>480</v>
      </c>
    </row>
    <row r="3801">
      <c r="A3801" s="3" t="s">
        <v>478</v>
      </c>
      <c r="B3801" s="3" t="s">
        <v>479</v>
      </c>
      <c r="C3801" s="3" t="s">
        <v>481</v>
      </c>
    </row>
    <row r="3802">
      <c r="A3802" s="3" t="s">
        <v>478</v>
      </c>
      <c r="B3802" s="3" t="s">
        <v>482</v>
      </c>
      <c r="C3802" s="3" t="s">
        <v>483</v>
      </c>
    </row>
    <row r="3803">
      <c r="A3803" s="3" t="s">
        <v>478</v>
      </c>
      <c r="B3803" s="3" t="s">
        <v>484</v>
      </c>
      <c r="C3803" s="3" t="s">
        <v>485</v>
      </c>
    </row>
    <row r="3804">
      <c r="A3804" s="3" t="s">
        <v>478</v>
      </c>
      <c r="B3804" s="3" t="s">
        <v>486</v>
      </c>
      <c r="C3804" s="3" t="s">
        <v>170</v>
      </c>
    </row>
    <row r="3805">
      <c r="A3805" s="3" t="s">
        <v>478</v>
      </c>
      <c r="B3805" s="3" t="s">
        <v>487</v>
      </c>
      <c r="C3805" s="3" t="s">
        <v>488</v>
      </c>
    </row>
    <row r="3806">
      <c r="A3806" s="3" t="s">
        <v>478</v>
      </c>
      <c r="B3806" s="3" t="s">
        <v>487</v>
      </c>
      <c r="C3806" s="3" t="s">
        <v>489</v>
      </c>
    </row>
    <row r="3807">
      <c r="A3807" s="3" t="s">
        <v>478</v>
      </c>
      <c r="B3807" s="3" t="s">
        <v>484</v>
      </c>
      <c r="C3807" s="3" t="s">
        <v>490</v>
      </c>
    </row>
    <row r="3808">
      <c r="A3808" s="3" t="s">
        <v>478</v>
      </c>
      <c r="B3808" s="3" t="s">
        <v>482</v>
      </c>
      <c r="C3808" s="3" t="s">
        <v>483</v>
      </c>
    </row>
    <row r="3809">
      <c r="A3809" s="3" t="s">
        <v>478</v>
      </c>
      <c r="B3809" s="3" t="s">
        <v>491</v>
      </c>
      <c r="C3809" s="3" t="s">
        <v>492</v>
      </c>
    </row>
    <row r="3810">
      <c r="A3810" s="3" t="s">
        <v>478</v>
      </c>
      <c r="B3810" s="3" t="s">
        <v>487</v>
      </c>
      <c r="C3810" s="3" t="s">
        <v>489</v>
      </c>
    </row>
    <row r="3811">
      <c r="A3811" s="3" t="s">
        <v>478</v>
      </c>
      <c r="B3811" s="3" t="s">
        <v>493</v>
      </c>
      <c r="C3811" s="3" t="s">
        <v>494</v>
      </c>
    </row>
    <row r="3812">
      <c r="A3812" s="3" t="s">
        <v>478</v>
      </c>
      <c r="B3812" s="3" t="s">
        <v>486</v>
      </c>
      <c r="C3812" s="3" t="s">
        <v>495</v>
      </c>
    </row>
    <row r="3813">
      <c r="A3813" s="3" t="s">
        <v>478</v>
      </c>
      <c r="B3813" s="3" t="s">
        <v>484</v>
      </c>
      <c r="C3813" s="3" t="s">
        <v>496</v>
      </c>
    </row>
    <row r="3814">
      <c r="A3814" s="3" t="s">
        <v>478</v>
      </c>
      <c r="B3814" s="3" t="s">
        <v>493</v>
      </c>
      <c r="C3814" s="3" t="s">
        <v>497</v>
      </c>
    </row>
    <row r="3815">
      <c r="A3815" s="3" t="s">
        <v>478</v>
      </c>
      <c r="B3815" s="3" t="s">
        <v>491</v>
      </c>
      <c r="C3815" s="3" t="s">
        <v>492</v>
      </c>
    </row>
    <row r="3816">
      <c r="A3816" s="3" t="s">
        <v>478</v>
      </c>
      <c r="B3816" s="3" t="s">
        <v>491</v>
      </c>
      <c r="C3816" s="3" t="s">
        <v>498</v>
      </c>
    </row>
    <row r="3817">
      <c r="A3817" s="3" t="s">
        <v>478</v>
      </c>
      <c r="B3817" s="3" t="s">
        <v>491</v>
      </c>
      <c r="C3817" s="3" t="s">
        <v>499</v>
      </c>
    </row>
    <row r="3818">
      <c r="A3818" s="3" t="s">
        <v>478</v>
      </c>
      <c r="B3818" s="3" t="s">
        <v>487</v>
      </c>
      <c r="C3818" s="3" t="s">
        <v>489</v>
      </c>
    </row>
    <row r="3819">
      <c r="A3819" s="3" t="s">
        <v>478</v>
      </c>
      <c r="B3819" s="3" t="s">
        <v>491</v>
      </c>
      <c r="C3819" s="3" t="s">
        <v>492</v>
      </c>
    </row>
    <row r="3820">
      <c r="A3820" s="3" t="s">
        <v>478</v>
      </c>
      <c r="B3820" s="3" t="s">
        <v>491</v>
      </c>
      <c r="C3820" s="3" t="s">
        <v>498</v>
      </c>
    </row>
    <row r="3821">
      <c r="A3821" s="3" t="s">
        <v>478</v>
      </c>
      <c r="B3821" s="3" t="s">
        <v>484</v>
      </c>
      <c r="C3821" s="3" t="s">
        <v>500</v>
      </c>
    </row>
    <row r="3822">
      <c r="A3822" s="3" t="s">
        <v>478</v>
      </c>
      <c r="B3822" s="3" t="s">
        <v>491</v>
      </c>
      <c r="C3822" s="3" t="s">
        <v>501</v>
      </c>
    </row>
    <row r="3823">
      <c r="A3823" s="3" t="s">
        <v>478</v>
      </c>
      <c r="B3823" s="3" t="s">
        <v>491</v>
      </c>
      <c r="C3823" s="3" t="s">
        <v>498</v>
      </c>
    </row>
    <row r="3824">
      <c r="A3824" s="3" t="s">
        <v>478</v>
      </c>
      <c r="B3824" s="3" t="s">
        <v>491</v>
      </c>
      <c r="C3824" s="3" t="s">
        <v>502</v>
      </c>
    </row>
    <row r="3825">
      <c r="A3825" s="3" t="s">
        <v>478</v>
      </c>
      <c r="B3825" s="3" t="s">
        <v>491</v>
      </c>
      <c r="C3825" s="3" t="s">
        <v>499</v>
      </c>
    </row>
    <row r="3826">
      <c r="A3826" s="3" t="s">
        <v>478</v>
      </c>
      <c r="B3826" s="3" t="s">
        <v>493</v>
      </c>
      <c r="C3826" s="3" t="s">
        <v>439</v>
      </c>
    </row>
    <row r="3827">
      <c r="A3827" s="3" t="s">
        <v>478</v>
      </c>
      <c r="B3827" s="3" t="s">
        <v>493</v>
      </c>
      <c r="C3827" s="3" t="s">
        <v>497</v>
      </c>
    </row>
    <row r="3828">
      <c r="A3828" s="3" t="s">
        <v>478</v>
      </c>
      <c r="B3828" s="3" t="s">
        <v>484</v>
      </c>
      <c r="C3828" s="3" t="s">
        <v>503</v>
      </c>
    </row>
    <row r="3829">
      <c r="A3829" s="3" t="s">
        <v>478</v>
      </c>
      <c r="B3829" s="3" t="s">
        <v>484</v>
      </c>
      <c r="C3829" s="3" t="s">
        <v>496</v>
      </c>
    </row>
    <row r="3830">
      <c r="A3830" s="3" t="s">
        <v>478</v>
      </c>
      <c r="B3830" s="3" t="s">
        <v>487</v>
      </c>
      <c r="C3830" s="3" t="s">
        <v>489</v>
      </c>
    </row>
    <row r="3831">
      <c r="A3831" s="3" t="s">
        <v>478</v>
      </c>
      <c r="B3831" s="3" t="s">
        <v>482</v>
      </c>
      <c r="C3831" s="3" t="s">
        <v>504</v>
      </c>
    </row>
    <row r="3832">
      <c r="A3832" s="3" t="s">
        <v>478</v>
      </c>
      <c r="B3832" s="3" t="s">
        <v>487</v>
      </c>
      <c r="C3832" s="3" t="s">
        <v>505</v>
      </c>
    </row>
    <row r="3833">
      <c r="A3833" s="3" t="s">
        <v>478</v>
      </c>
      <c r="B3833" s="3" t="s">
        <v>484</v>
      </c>
      <c r="C3833" s="3" t="s">
        <v>500</v>
      </c>
    </row>
    <row r="3834">
      <c r="A3834" s="3" t="s">
        <v>478</v>
      </c>
      <c r="B3834" s="3" t="s">
        <v>506</v>
      </c>
      <c r="C3834" s="3" t="s">
        <v>507</v>
      </c>
    </row>
    <row r="3835">
      <c r="A3835" s="3" t="s">
        <v>478</v>
      </c>
      <c r="B3835" s="3" t="s">
        <v>493</v>
      </c>
      <c r="C3835" s="3" t="s">
        <v>439</v>
      </c>
    </row>
    <row r="3836">
      <c r="A3836" s="3" t="s">
        <v>478</v>
      </c>
      <c r="B3836" s="3" t="s">
        <v>493</v>
      </c>
      <c r="C3836" s="3" t="s">
        <v>497</v>
      </c>
    </row>
    <row r="3837">
      <c r="A3837" s="3" t="s">
        <v>478</v>
      </c>
      <c r="B3837" s="3" t="s">
        <v>484</v>
      </c>
      <c r="C3837" s="3" t="s">
        <v>496</v>
      </c>
    </row>
    <row r="3838">
      <c r="A3838" s="3" t="s">
        <v>478</v>
      </c>
      <c r="B3838" s="3" t="s">
        <v>484</v>
      </c>
      <c r="C3838" s="3" t="s">
        <v>500</v>
      </c>
    </row>
    <row r="3839">
      <c r="A3839" s="3" t="s">
        <v>478</v>
      </c>
      <c r="B3839" s="3" t="s">
        <v>482</v>
      </c>
      <c r="C3839" s="3" t="s">
        <v>504</v>
      </c>
    </row>
    <row r="3840">
      <c r="A3840" s="3" t="s">
        <v>478</v>
      </c>
      <c r="B3840" s="3" t="s">
        <v>482</v>
      </c>
      <c r="C3840" s="3" t="s">
        <v>483</v>
      </c>
    </row>
    <row r="3841">
      <c r="A3841" s="3" t="s">
        <v>478</v>
      </c>
      <c r="B3841" s="3" t="s">
        <v>484</v>
      </c>
      <c r="C3841" s="3" t="s">
        <v>496</v>
      </c>
    </row>
    <row r="3842">
      <c r="A3842" s="3" t="s">
        <v>478</v>
      </c>
      <c r="B3842" s="3" t="s">
        <v>484</v>
      </c>
      <c r="C3842" s="3" t="s">
        <v>485</v>
      </c>
    </row>
    <row r="3843">
      <c r="A3843" s="3" t="s">
        <v>478</v>
      </c>
      <c r="B3843" s="3" t="s">
        <v>482</v>
      </c>
      <c r="C3843" s="3" t="s">
        <v>504</v>
      </c>
    </row>
    <row r="3844">
      <c r="A3844" s="3" t="s">
        <v>478</v>
      </c>
      <c r="B3844" s="3" t="s">
        <v>484</v>
      </c>
      <c r="C3844" s="3" t="s">
        <v>496</v>
      </c>
    </row>
    <row r="3845">
      <c r="A3845" s="3" t="s">
        <v>478</v>
      </c>
      <c r="B3845" s="3" t="s">
        <v>487</v>
      </c>
      <c r="C3845" s="3" t="s">
        <v>505</v>
      </c>
    </row>
    <row r="3846">
      <c r="A3846" s="3" t="s">
        <v>478</v>
      </c>
      <c r="B3846" s="3" t="s">
        <v>506</v>
      </c>
      <c r="C3846" s="3" t="s">
        <v>507</v>
      </c>
    </row>
    <row r="3847">
      <c r="A3847" s="3" t="s">
        <v>478</v>
      </c>
      <c r="B3847" s="3" t="s">
        <v>487</v>
      </c>
      <c r="C3847" s="3" t="s">
        <v>505</v>
      </c>
    </row>
    <row r="3848">
      <c r="A3848" s="3" t="s">
        <v>478</v>
      </c>
      <c r="B3848" s="3" t="s">
        <v>508</v>
      </c>
      <c r="C3848" s="3" t="s">
        <v>509</v>
      </c>
    </row>
    <row r="3849">
      <c r="A3849" s="3" t="s">
        <v>478</v>
      </c>
      <c r="B3849" s="3" t="s">
        <v>487</v>
      </c>
      <c r="C3849" s="3" t="s">
        <v>510</v>
      </c>
    </row>
    <row r="3850">
      <c r="A3850" s="3" t="s">
        <v>478</v>
      </c>
      <c r="B3850" s="3" t="s">
        <v>487</v>
      </c>
      <c r="C3850" s="3" t="s">
        <v>511</v>
      </c>
    </row>
    <row r="3851">
      <c r="A3851" s="3" t="s">
        <v>478</v>
      </c>
      <c r="B3851" s="3" t="s">
        <v>491</v>
      </c>
      <c r="C3851" s="3" t="s">
        <v>499</v>
      </c>
    </row>
    <row r="3852">
      <c r="A3852" s="3" t="s">
        <v>478</v>
      </c>
      <c r="B3852" s="3" t="s">
        <v>486</v>
      </c>
      <c r="C3852" s="3" t="s">
        <v>512</v>
      </c>
    </row>
    <row r="3853">
      <c r="A3853" s="3" t="s">
        <v>478</v>
      </c>
      <c r="B3853" s="3" t="s">
        <v>484</v>
      </c>
      <c r="C3853" s="3" t="s">
        <v>500</v>
      </c>
    </row>
    <row r="3854">
      <c r="A3854" s="3" t="s">
        <v>478</v>
      </c>
      <c r="B3854" s="3" t="s">
        <v>486</v>
      </c>
      <c r="C3854" s="3" t="s">
        <v>512</v>
      </c>
    </row>
    <row r="3855">
      <c r="A3855" s="3" t="s">
        <v>478</v>
      </c>
      <c r="B3855" s="3" t="s">
        <v>484</v>
      </c>
      <c r="C3855" s="3" t="s">
        <v>485</v>
      </c>
    </row>
    <row r="3856">
      <c r="A3856" s="3" t="s">
        <v>478</v>
      </c>
      <c r="B3856" s="3" t="s">
        <v>491</v>
      </c>
      <c r="C3856" s="3" t="s">
        <v>502</v>
      </c>
    </row>
    <row r="3857">
      <c r="A3857" s="3" t="s">
        <v>478</v>
      </c>
      <c r="B3857" s="3" t="s">
        <v>486</v>
      </c>
      <c r="C3857" s="3" t="s">
        <v>170</v>
      </c>
    </row>
    <row r="3858">
      <c r="A3858" s="3" t="s">
        <v>478</v>
      </c>
      <c r="B3858" s="3" t="s">
        <v>486</v>
      </c>
      <c r="C3858" s="3" t="s">
        <v>170</v>
      </c>
    </row>
    <row r="3859">
      <c r="A3859" s="3" t="s">
        <v>478</v>
      </c>
      <c r="B3859" s="3" t="s">
        <v>484</v>
      </c>
      <c r="C3859" s="3" t="s">
        <v>503</v>
      </c>
    </row>
    <row r="3860">
      <c r="A3860" s="3" t="s">
        <v>478</v>
      </c>
      <c r="B3860" s="3" t="s">
        <v>491</v>
      </c>
      <c r="C3860" s="3" t="s">
        <v>492</v>
      </c>
    </row>
    <row r="3861">
      <c r="A3861" s="3" t="s">
        <v>478</v>
      </c>
      <c r="B3861" s="3" t="s">
        <v>484</v>
      </c>
      <c r="C3861" s="3" t="s">
        <v>496</v>
      </c>
    </row>
    <row r="3862">
      <c r="A3862" s="3" t="s">
        <v>478</v>
      </c>
      <c r="B3862" s="3" t="s">
        <v>482</v>
      </c>
      <c r="C3862" s="3" t="s">
        <v>504</v>
      </c>
    </row>
    <row r="3863">
      <c r="A3863" s="3" t="s">
        <v>478</v>
      </c>
      <c r="B3863" s="3" t="s">
        <v>484</v>
      </c>
      <c r="C3863" s="3" t="s">
        <v>503</v>
      </c>
    </row>
    <row r="3864">
      <c r="A3864" s="3" t="s">
        <v>478</v>
      </c>
      <c r="B3864" s="3" t="s">
        <v>482</v>
      </c>
      <c r="C3864" s="3" t="s">
        <v>513</v>
      </c>
    </row>
    <row r="3865">
      <c r="A3865" s="3" t="s">
        <v>478</v>
      </c>
      <c r="B3865" s="3" t="s">
        <v>479</v>
      </c>
      <c r="C3865" s="3" t="s">
        <v>481</v>
      </c>
    </row>
    <row r="3866">
      <c r="A3866" s="3" t="s">
        <v>478</v>
      </c>
      <c r="B3866" s="3" t="s">
        <v>482</v>
      </c>
      <c r="C3866" s="3" t="s">
        <v>514</v>
      </c>
    </row>
    <row r="3867">
      <c r="A3867" s="3" t="s">
        <v>478</v>
      </c>
      <c r="B3867" s="3" t="s">
        <v>487</v>
      </c>
      <c r="C3867" s="3" t="s">
        <v>515</v>
      </c>
    </row>
    <row r="3868">
      <c r="A3868" s="3" t="s">
        <v>478</v>
      </c>
      <c r="B3868" s="3" t="s">
        <v>491</v>
      </c>
      <c r="C3868" s="3" t="s">
        <v>499</v>
      </c>
    </row>
    <row r="3869">
      <c r="A3869" s="3" t="s">
        <v>478</v>
      </c>
      <c r="B3869" s="3" t="s">
        <v>487</v>
      </c>
      <c r="C3869" s="3" t="s">
        <v>510</v>
      </c>
    </row>
    <row r="3870">
      <c r="A3870" s="3" t="s">
        <v>478</v>
      </c>
      <c r="B3870" s="3" t="s">
        <v>487</v>
      </c>
      <c r="C3870" s="3" t="s">
        <v>511</v>
      </c>
    </row>
    <row r="3871">
      <c r="A3871" s="3" t="s">
        <v>478</v>
      </c>
      <c r="B3871" s="3" t="s">
        <v>487</v>
      </c>
      <c r="C3871" s="3" t="s">
        <v>510</v>
      </c>
    </row>
    <row r="3872">
      <c r="A3872" s="3" t="s">
        <v>478</v>
      </c>
      <c r="B3872" s="3" t="s">
        <v>487</v>
      </c>
      <c r="C3872" s="3" t="s">
        <v>510</v>
      </c>
    </row>
    <row r="3873">
      <c r="A3873" s="3" t="s">
        <v>478</v>
      </c>
      <c r="B3873" s="3" t="s">
        <v>487</v>
      </c>
      <c r="C3873" s="3" t="s">
        <v>510</v>
      </c>
    </row>
    <row r="3874">
      <c r="A3874" s="3" t="s">
        <v>478</v>
      </c>
      <c r="B3874" s="3" t="s">
        <v>491</v>
      </c>
      <c r="C3874" s="3" t="s">
        <v>499</v>
      </c>
    </row>
    <row r="3875">
      <c r="A3875" s="3" t="s">
        <v>478</v>
      </c>
      <c r="B3875" s="3" t="s">
        <v>493</v>
      </c>
      <c r="C3875" s="3" t="s">
        <v>439</v>
      </c>
    </row>
    <row r="3876">
      <c r="A3876" s="3" t="s">
        <v>478</v>
      </c>
      <c r="B3876" s="3" t="s">
        <v>493</v>
      </c>
      <c r="C3876" s="3" t="s">
        <v>497</v>
      </c>
    </row>
    <row r="3877">
      <c r="A3877" s="3" t="s">
        <v>478</v>
      </c>
      <c r="B3877" s="3" t="s">
        <v>484</v>
      </c>
      <c r="C3877" s="3" t="s">
        <v>496</v>
      </c>
    </row>
    <row r="3878">
      <c r="A3878" s="3" t="s">
        <v>478</v>
      </c>
      <c r="B3878" s="3" t="s">
        <v>491</v>
      </c>
      <c r="C3878" s="3" t="s">
        <v>499</v>
      </c>
    </row>
    <row r="3879">
      <c r="A3879" s="3" t="s">
        <v>478</v>
      </c>
      <c r="B3879" s="3" t="s">
        <v>491</v>
      </c>
      <c r="C3879" s="3" t="s">
        <v>499</v>
      </c>
    </row>
    <row r="3880">
      <c r="A3880" s="3" t="s">
        <v>478</v>
      </c>
      <c r="B3880" s="3" t="s">
        <v>487</v>
      </c>
      <c r="C3880" s="3" t="s">
        <v>510</v>
      </c>
    </row>
    <row r="3881">
      <c r="A3881" s="3" t="s">
        <v>478</v>
      </c>
      <c r="B3881" s="3" t="s">
        <v>486</v>
      </c>
      <c r="C3881" s="3" t="s">
        <v>512</v>
      </c>
    </row>
    <row r="3882">
      <c r="A3882" s="3" t="s">
        <v>478</v>
      </c>
      <c r="B3882" s="3" t="s">
        <v>487</v>
      </c>
      <c r="C3882" s="3" t="s">
        <v>510</v>
      </c>
    </row>
    <row r="3883">
      <c r="A3883" s="3" t="s">
        <v>478</v>
      </c>
      <c r="B3883" s="3" t="s">
        <v>484</v>
      </c>
      <c r="C3883" s="3" t="s">
        <v>500</v>
      </c>
    </row>
    <row r="3884">
      <c r="A3884" s="3" t="s">
        <v>478</v>
      </c>
      <c r="B3884" s="3" t="s">
        <v>487</v>
      </c>
      <c r="C3884" s="3" t="s">
        <v>511</v>
      </c>
    </row>
    <row r="3885">
      <c r="A3885" s="3" t="s">
        <v>478</v>
      </c>
      <c r="B3885" s="3" t="s">
        <v>484</v>
      </c>
      <c r="C3885" s="3" t="s">
        <v>485</v>
      </c>
    </row>
    <row r="3886">
      <c r="A3886" s="3" t="s">
        <v>478</v>
      </c>
      <c r="B3886" s="3" t="s">
        <v>484</v>
      </c>
      <c r="C3886" s="3" t="s">
        <v>503</v>
      </c>
    </row>
    <row r="3887">
      <c r="A3887" s="3" t="s">
        <v>478</v>
      </c>
      <c r="B3887" s="3" t="s">
        <v>486</v>
      </c>
      <c r="C3887" s="3" t="s">
        <v>495</v>
      </c>
    </row>
    <row r="3888">
      <c r="A3888" s="3" t="s">
        <v>478</v>
      </c>
      <c r="B3888" s="3" t="s">
        <v>482</v>
      </c>
      <c r="C3888" s="3" t="s">
        <v>514</v>
      </c>
    </row>
    <row r="3889">
      <c r="A3889" s="3" t="s">
        <v>478</v>
      </c>
      <c r="B3889" s="3" t="s">
        <v>482</v>
      </c>
      <c r="C3889" s="3" t="s">
        <v>483</v>
      </c>
    </row>
    <row r="3890">
      <c r="A3890" s="3" t="s">
        <v>478</v>
      </c>
      <c r="B3890" s="3" t="s">
        <v>486</v>
      </c>
      <c r="C3890" s="3" t="s">
        <v>170</v>
      </c>
    </row>
    <row r="3891">
      <c r="A3891" s="3" t="s">
        <v>478</v>
      </c>
      <c r="B3891" s="3" t="s">
        <v>484</v>
      </c>
      <c r="C3891" s="3" t="s">
        <v>490</v>
      </c>
    </row>
    <row r="3892">
      <c r="A3892" s="3" t="s">
        <v>478</v>
      </c>
      <c r="B3892" s="3" t="s">
        <v>487</v>
      </c>
      <c r="C3892" s="3" t="s">
        <v>489</v>
      </c>
    </row>
    <row r="3893">
      <c r="A3893" s="3" t="s">
        <v>478</v>
      </c>
      <c r="B3893" s="3" t="s">
        <v>479</v>
      </c>
      <c r="C3893" s="3" t="s">
        <v>480</v>
      </c>
    </row>
    <row r="3894">
      <c r="A3894" s="3" t="s">
        <v>478</v>
      </c>
      <c r="B3894" s="3" t="s">
        <v>482</v>
      </c>
      <c r="C3894" s="3" t="s">
        <v>483</v>
      </c>
    </row>
    <row r="3895">
      <c r="A3895" s="3" t="s">
        <v>478</v>
      </c>
      <c r="B3895" s="3" t="s">
        <v>482</v>
      </c>
      <c r="C3895" s="3" t="s">
        <v>514</v>
      </c>
    </row>
    <row r="3896">
      <c r="A3896" s="3" t="s">
        <v>478</v>
      </c>
      <c r="B3896" s="3" t="s">
        <v>482</v>
      </c>
      <c r="C3896" s="3" t="s">
        <v>504</v>
      </c>
    </row>
    <row r="3897">
      <c r="A3897" s="3" t="s">
        <v>478</v>
      </c>
      <c r="B3897" s="3" t="s">
        <v>491</v>
      </c>
      <c r="C3897" s="3" t="s">
        <v>502</v>
      </c>
    </row>
    <row r="3898">
      <c r="A3898" s="3" t="s">
        <v>478</v>
      </c>
      <c r="B3898" s="3" t="s">
        <v>484</v>
      </c>
      <c r="C3898" s="3" t="s">
        <v>490</v>
      </c>
    </row>
    <row r="3899">
      <c r="A3899" s="3" t="s">
        <v>478</v>
      </c>
      <c r="B3899" s="3" t="s">
        <v>484</v>
      </c>
      <c r="C3899" s="3" t="s">
        <v>496</v>
      </c>
    </row>
    <row r="3900">
      <c r="A3900" s="3" t="s">
        <v>478</v>
      </c>
      <c r="B3900" s="3" t="s">
        <v>487</v>
      </c>
      <c r="C3900" s="3" t="s">
        <v>505</v>
      </c>
    </row>
    <row r="3901">
      <c r="A3901" s="3" t="s">
        <v>478</v>
      </c>
      <c r="B3901" s="3" t="s">
        <v>491</v>
      </c>
      <c r="C3901" s="3" t="s">
        <v>492</v>
      </c>
    </row>
    <row r="3902">
      <c r="A3902" s="3" t="s">
        <v>478</v>
      </c>
      <c r="B3902" s="3" t="s">
        <v>487</v>
      </c>
      <c r="C3902" s="3" t="s">
        <v>515</v>
      </c>
    </row>
    <row r="3903">
      <c r="A3903" s="3" t="s">
        <v>478</v>
      </c>
      <c r="B3903" s="3" t="s">
        <v>484</v>
      </c>
      <c r="C3903" s="3" t="s">
        <v>496</v>
      </c>
    </row>
    <row r="3904">
      <c r="A3904" s="3" t="s">
        <v>478</v>
      </c>
      <c r="B3904" s="3" t="s">
        <v>482</v>
      </c>
      <c r="C3904" s="3" t="s">
        <v>483</v>
      </c>
    </row>
    <row r="3905">
      <c r="A3905" s="3" t="s">
        <v>478</v>
      </c>
      <c r="B3905" s="3" t="s">
        <v>482</v>
      </c>
      <c r="C3905" s="3" t="s">
        <v>504</v>
      </c>
    </row>
    <row r="3906">
      <c r="A3906" s="3" t="s">
        <v>478</v>
      </c>
      <c r="B3906" s="3" t="s">
        <v>484</v>
      </c>
      <c r="C3906" s="3" t="s">
        <v>503</v>
      </c>
    </row>
    <row r="3907">
      <c r="A3907" s="3" t="s">
        <v>478</v>
      </c>
      <c r="B3907" s="3" t="s">
        <v>487</v>
      </c>
      <c r="C3907" s="3" t="s">
        <v>488</v>
      </c>
    </row>
    <row r="3908">
      <c r="A3908" s="3" t="s">
        <v>478</v>
      </c>
      <c r="B3908" s="3" t="s">
        <v>491</v>
      </c>
      <c r="C3908" s="3" t="s">
        <v>501</v>
      </c>
    </row>
    <row r="3909">
      <c r="A3909" s="3" t="s">
        <v>478</v>
      </c>
      <c r="B3909" s="3" t="s">
        <v>491</v>
      </c>
      <c r="C3909" s="3" t="s">
        <v>498</v>
      </c>
    </row>
    <row r="3910">
      <c r="A3910" s="3" t="s">
        <v>478</v>
      </c>
      <c r="B3910" s="3" t="s">
        <v>491</v>
      </c>
      <c r="C3910" s="3" t="s">
        <v>502</v>
      </c>
    </row>
    <row r="3911">
      <c r="A3911" s="3" t="s">
        <v>478</v>
      </c>
      <c r="B3911" s="3" t="s">
        <v>491</v>
      </c>
      <c r="C3911" s="3" t="s">
        <v>499</v>
      </c>
    </row>
    <row r="3912">
      <c r="A3912" s="3" t="s">
        <v>478</v>
      </c>
      <c r="B3912" s="3" t="s">
        <v>487</v>
      </c>
      <c r="C3912" s="3" t="s">
        <v>510</v>
      </c>
    </row>
    <row r="3913">
      <c r="A3913" s="3" t="s">
        <v>478</v>
      </c>
      <c r="B3913" s="3" t="s">
        <v>487</v>
      </c>
      <c r="C3913" s="3" t="s">
        <v>510</v>
      </c>
    </row>
    <row r="3914">
      <c r="A3914" s="3" t="s">
        <v>478</v>
      </c>
      <c r="B3914" s="3" t="s">
        <v>484</v>
      </c>
      <c r="C3914" s="3" t="s">
        <v>503</v>
      </c>
    </row>
    <row r="3915">
      <c r="A3915" s="3" t="s">
        <v>478</v>
      </c>
      <c r="B3915" s="3" t="s">
        <v>491</v>
      </c>
      <c r="C3915" s="3" t="s">
        <v>498</v>
      </c>
    </row>
    <row r="3916">
      <c r="A3916" s="3" t="s">
        <v>478</v>
      </c>
      <c r="B3916" s="3" t="s">
        <v>487</v>
      </c>
      <c r="C3916" s="3" t="s">
        <v>488</v>
      </c>
    </row>
    <row r="3917">
      <c r="A3917" s="3" t="s">
        <v>478</v>
      </c>
      <c r="B3917" s="3" t="s">
        <v>491</v>
      </c>
      <c r="C3917" s="3" t="s">
        <v>501</v>
      </c>
    </row>
    <row r="3918">
      <c r="A3918" s="3" t="s">
        <v>478</v>
      </c>
      <c r="B3918" s="3" t="s">
        <v>491</v>
      </c>
      <c r="C3918" s="3" t="s">
        <v>498</v>
      </c>
    </row>
    <row r="3919">
      <c r="A3919" s="3" t="s">
        <v>478</v>
      </c>
      <c r="B3919" s="3" t="s">
        <v>491</v>
      </c>
      <c r="C3919" s="3" t="s">
        <v>502</v>
      </c>
    </row>
    <row r="3920">
      <c r="A3920" s="3" t="s">
        <v>478</v>
      </c>
      <c r="B3920" s="3" t="s">
        <v>491</v>
      </c>
      <c r="C3920" s="3" t="s">
        <v>499</v>
      </c>
    </row>
    <row r="3921">
      <c r="A3921" s="3" t="s">
        <v>478</v>
      </c>
      <c r="B3921" s="3" t="s">
        <v>491</v>
      </c>
      <c r="C3921" s="3" t="s">
        <v>501</v>
      </c>
    </row>
    <row r="3922">
      <c r="A3922" s="3" t="s">
        <v>478</v>
      </c>
      <c r="B3922" s="3" t="s">
        <v>482</v>
      </c>
      <c r="C3922" s="3" t="s">
        <v>504</v>
      </c>
    </row>
    <row r="3923">
      <c r="A3923" s="3" t="s">
        <v>478</v>
      </c>
      <c r="B3923" s="3" t="s">
        <v>491</v>
      </c>
      <c r="C3923" s="3" t="s">
        <v>498</v>
      </c>
    </row>
    <row r="3924">
      <c r="A3924" s="3" t="s">
        <v>478</v>
      </c>
      <c r="B3924" s="3" t="s">
        <v>491</v>
      </c>
      <c r="C3924" s="3" t="s">
        <v>502</v>
      </c>
    </row>
    <row r="3925">
      <c r="A3925" s="3" t="s">
        <v>478</v>
      </c>
      <c r="B3925" s="3" t="s">
        <v>491</v>
      </c>
      <c r="C3925" s="3" t="s">
        <v>499</v>
      </c>
    </row>
    <row r="3926">
      <c r="A3926" s="3" t="s">
        <v>478</v>
      </c>
      <c r="B3926" s="3" t="s">
        <v>491</v>
      </c>
      <c r="C3926" s="3" t="s">
        <v>498</v>
      </c>
    </row>
    <row r="3927">
      <c r="A3927" s="3" t="s">
        <v>478</v>
      </c>
      <c r="B3927" s="3" t="s">
        <v>491</v>
      </c>
      <c r="C3927" s="3" t="s">
        <v>498</v>
      </c>
    </row>
    <row r="3928">
      <c r="A3928" s="3" t="s">
        <v>478</v>
      </c>
      <c r="B3928" s="3" t="s">
        <v>493</v>
      </c>
      <c r="C3928" s="3" t="s">
        <v>497</v>
      </c>
    </row>
    <row r="3929">
      <c r="A3929" s="3" t="s">
        <v>478</v>
      </c>
      <c r="B3929" s="3" t="s">
        <v>487</v>
      </c>
      <c r="C3929" s="3" t="s">
        <v>510</v>
      </c>
    </row>
    <row r="3930">
      <c r="A3930" s="3" t="s">
        <v>478</v>
      </c>
      <c r="B3930" s="3" t="s">
        <v>487</v>
      </c>
      <c r="C3930" s="3" t="s">
        <v>510</v>
      </c>
    </row>
    <row r="3931">
      <c r="A3931" s="3" t="s">
        <v>478</v>
      </c>
      <c r="B3931" s="3" t="s">
        <v>484</v>
      </c>
      <c r="C3931" s="3" t="s">
        <v>490</v>
      </c>
    </row>
    <row r="3932">
      <c r="A3932" s="3" t="s">
        <v>478</v>
      </c>
      <c r="B3932" s="3" t="s">
        <v>482</v>
      </c>
      <c r="C3932" s="3" t="s">
        <v>504</v>
      </c>
    </row>
    <row r="3933">
      <c r="A3933" s="3" t="s">
        <v>478</v>
      </c>
      <c r="B3933" s="3" t="s">
        <v>484</v>
      </c>
      <c r="C3933" s="3" t="s">
        <v>496</v>
      </c>
    </row>
    <row r="3934">
      <c r="A3934" s="3" t="s">
        <v>478</v>
      </c>
      <c r="B3934" s="3" t="s">
        <v>508</v>
      </c>
      <c r="C3934" s="3" t="s">
        <v>509</v>
      </c>
    </row>
    <row r="3935">
      <c r="A3935" s="3" t="s">
        <v>478</v>
      </c>
      <c r="B3935" s="3" t="s">
        <v>491</v>
      </c>
      <c r="C3935" s="3" t="s">
        <v>492</v>
      </c>
    </row>
    <row r="3936">
      <c r="A3936" s="3" t="s">
        <v>478</v>
      </c>
      <c r="B3936" s="3" t="s">
        <v>508</v>
      </c>
      <c r="C3936" s="3" t="s">
        <v>509</v>
      </c>
    </row>
    <row r="3937">
      <c r="A3937" s="3" t="s">
        <v>478</v>
      </c>
      <c r="B3937" s="3" t="s">
        <v>484</v>
      </c>
      <c r="C3937" s="3" t="s">
        <v>503</v>
      </c>
    </row>
    <row r="3938">
      <c r="A3938" s="3" t="s">
        <v>478</v>
      </c>
      <c r="B3938" s="3" t="s">
        <v>487</v>
      </c>
      <c r="C3938" s="3" t="s">
        <v>489</v>
      </c>
    </row>
    <row r="3939">
      <c r="A3939" s="3" t="s">
        <v>478</v>
      </c>
      <c r="B3939" s="3" t="s">
        <v>479</v>
      </c>
      <c r="C3939" s="3" t="s">
        <v>480</v>
      </c>
    </row>
    <row r="3940">
      <c r="A3940" s="3" t="s">
        <v>478</v>
      </c>
      <c r="B3940" s="3" t="s">
        <v>487</v>
      </c>
      <c r="C3940" s="3" t="s">
        <v>488</v>
      </c>
    </row>
    <row r="3941">
      <c r="A3941" s="3" t="s">
        <v>478</v>
      </c>
      <c r="B3941" s="3" t="s">
        <v>487</v>
      </c>
      <c r="C3941" s="3" t="s">
        <v>515</v>
      </c>
    </row>
    <row r="3942">
      <c r="A3942" s="3" t="s">
        <v>478</v>
      </c>
      <c r="B3942" s="3" t="s">
        <v>482</v>
      </c>
      <c r="C3942" s="3" t="s">
        <v>483</v>
      </c>
    </row>
    <row r="3943">
      <c r="A3943" s="3" t="s">
        <v>478</v>
      </c>
      <c r="B3943" s="3" t="s">
        <v>482</v>
      </c>
      <c r="C3943" s="3" t="s">
        <v>514</v>
      </c>
    </row>
    <row r="3944">
      <c r="A3944" s="3" t="s">
        <v>478</v>
      </c>
      <c r="B3944" s="3" t="s">
        <v>482</v>
      </c>
      <c r="C3944" s="3" t="s">
        <v>504</v>
      </c>
    </row>
    <row r="3945">
      <c r="A3945" s="3" t="s">
        <v>478</v>
      </c>
      <c r="B3945" s="3" t="s">
        <v>484</v>
      </c>
      <c r="C3945" s="3" t="s">
        <v>503</v>
      </c>
    </row>
    <row r="3946">
      <c r="A3946" s="3" t="s">
        <v>478</v>
      </c>
      <c r="B3946" s="3" t="s">
        <v>487</v>
      </c>
      <c r="C3946" s="3" t="s">
        <v>510</v>
      </c>
    </row>
    <row r="3947">
      <c r="A3947" s="3" t="s">
        <v>478</v>
      </c>
      <c r="B3947" s="3" t="s">
        <v>482</v>
      </c>
      <c r="C3947" s="3" t="s">
        <v>514</v>
      </c>
    </row>
    <row r="3948">
      <c r="A3948" s="3" t="s">
        <v>478</v>
      </c>
      <c r="B3948" s="3" t="s">
        <v>479</v>
      </c>
      <c r="C3948" s="3" t="s">
        <v>480</v>
      </c>
    </row>
    <row r="3949">
      <c r="A3949" s="3" t="s">
        <v>478</v>
      </c>
      <c r="B3949" s="3" t="s">
        <v>487</v>
      </c>
      <c r="C3949" s="3" t="s">
        <v>515</v>
      </c>
    </row>
    <row r="3950">
      <c r="A3950" s="3" t="s">
        <v>478</v>
      </c>
      <c r="B3950" s="3" t="s">
        <v>484</v>
      </c>
      <c r="C3950" s="3" t="s">
        <v>490</v>
      </c>
    </row>
    <row r="3951">
      <c r="A3951" s="3" t="s">
        <v>478</v>
      </c>
      <c r="B3951" s="3" t="s">
        <v>484</v>
      </c>
      <c r="C3951" s="3" t="s">
        <v>485</v>
      </c>
    </row>
    <row r="3952">
      <c r="A3952" s="3" t="s">
        <v>478</v>
      </c>
      <c r="B3952" s="3" t="s">
        <v>482</v>
      </c>
      <c r="C3952" s="3" t="s">
        <v>513</v>
      </c>
    </row>
    <row r="3953">
      <c r="A3953" s="3" t="s">
        <v>478</v>
      </c>
      <c r="B3953" s="3" t="s">
        <v>484</v>
      </c>
      <c r="C3953" s="3" t="s">
        <v>500</v>
      </c>
    </row>
    <row r="3954">
      <c r="A3954" s="3" t="s">
        <v>478</v>
      </c>
      <c r="B3954" s="3" t="s">
        <v>484</v>
      </c>
      <c r="C3954" s="3" t="s">
        <v>485</v>
      </c>
    </row>
    <row r="3955">
      <c r="A3955" s="3" t="s">
        <v>478</v>
      </c>
      <c r="B3955" s="3" t="s">
        <v>491</v>
      </c>
      <c r="C3955" s="3" t="s">
        <v>499</v>
      </c>
    </row>
    <row r="3956">
      <c r="A3956" s="3" t="s">
        <v>478</v>
      </c>
      <c r="B3956" s="3" t="s">
        <v>484</v>
      </c>
      <c r="C3956" s="3" t="s">
        <v>503</v>
      </c>
    </row>
    <row r="3957">
      <c r="A3957" s="3" t="s">
        <v>478</v>
      </c>
      <c r="B3957" s="3" t="s">
        <v>491</v>
      </c>
      <c r="C3957" s="3" t="s">
        <v>501</v>
      </c>
    </row>
    <row r="3958">
      <c r="A3958" s="3" t="s">
        <v>478</v>
      </c>
      <c r="B3958" s="3" t="s">
        <v>491</v>
      </c>
      <c r="C3958" s="3" t="s">
        <v>498</v>
      </c>
    </row>
    <row r="3959">
      <c r="A3959" s="3" t="s">
        <v>478</v>
      </c>
      <c r="B3959" s="3" t="s">
        <v>491</v>
      </c>
      <c r="C3959" s="3" t="s">
        <v>502</v>
      </c>
    </row>
    <row r="3960">
      <c r="A3960" s="3" t="s">
        <v>478</v>
      </c>
      <c r="B3960" s="3" t="s">
        <v>491</v>
      </c>
      <c r="C3960" s="3" t="s">
        <v>499</v>
      </c>
    </row>
    <row r="3961">
      <c r="A3961" s="3" t="s">
        <v>478</v>
      </c>
      <c r="B3961" s="3" t="s">
        <v>487</v>
      </c>
      <c r="C3961" s="3" t="s">
        <v>489</v>
      </c>
    </row>
    <row r="3962">
      <c r="A3962" s="3" t="s">
        <v>478</v>
      </c>
      <c r="B3962" s="3" t="s">
        <v>479</v>
      </c>
      <c r="C3962" s="3" t="s">
        <v>480</v>
      </c>
    </row>
    <row r="3963">
      <c r="A3963" s="3" t="s">
        <v>478</v>
      </c>
      <c r="B3963" s="3" t="s">
        <v>487</v>
      </c>
      <c r="C3963" s="3" t="s">
        <v>510</v>
      </c>
    </row>
    <row r="3964">
      <c r="A3964" s="3" t="s">
        <v>478</v>
      </c>
      <c r="B3964" s="3" t="s">
        <v>487</v>
      </c>
      <c r="C3964" s="3" t="s">
        <v>488</v>
      </c>
    </row>
    <row r="3965">
      <c r="A3965" s="3" t="s">
        <v>478</v>
      </c>
      <c r="B3965" s="3" t="s">
        <v>487</v>
      </c>
      <c r="C3965" s="3" t="s">
        <v>515</v>
      </c>
    </row>
    <row r="3966">
      <c r="A3966" s="3" t="s">
        <v>478</v>
      </c>
      <c r="B3966" s="3" t="s">
        <v>482</v>
      </c>
      <c r="C3966" s="3" t="s">
        <v>483</v>
      </c>
    </row>
    <row r="3967">
      <c r="A3967" s="3" t="s">
        <v>478</v>
      </c>
      <c r="B3967" s="3" t="s">
        <v>482</v>
      </c>
      <c r="C3967" s="3" t="s">
        <v>514</v>
      </c>
    </row>
    <row r="3968">
      <c r="A3968" s="3" t="s">
        <v>478</v>
      </c>
      <c r="B3968" s="3" t="s">
        <v>482</v>
      </c>
      <c r="C3968" s="3" t="s">
        <v>504</v>
      </c>
    </row>
    <row r="3969">
      <c r="A3969" s="3" t="s">
        <v>478</v>
      </c>
      <c r="B3969" s="3" t="s">
        <v>506</v>
      </c>
      <c r="C3969" s="3" t="s">
        <v>507</v>
      </c>
    </row>
    <row r="3970">
      <c r="A3970" s="3" t="s">
        <v>478</v>
      </c>
      <c r="B3970" s="3" t="s">
        <v>491</v>
      </c>
      <c r="C3970" s="3" t="s">
        <v>492</v>
      </c>
    </row>
    <row r="3971">
      <c r="A3971" s="3" t="s">
        <v>478</v>
      </c>
      <c r="B3971" s="3" t="s">
        <v>508</v>
      </c>
      <c r="C3971" s="3" t="s">
        <v>509</v>
      </c>
    </row>
    <row r="3972">
      <c r="A3972" s="3" t="s">
        <v>478</v>
      </c>
      <c r="B3972" s="3" t="s">
        <v>491</v>
      </c>
      <c r="C3972" s="3" t="s">
        <v>502</v>
      </c>
    </row>
    <row r="3973">
      <c r="A3973" s="3" t="s">
        <v>478</v>
      </c>
      <c r="B3973" s="3" t="s">
        <v>484</v>
      </c>
      <c r="C3973" s="3" t="s">
        <v>490</v>
      </c>
    </row>
    <row r="3974">
      <c r="A3974" s="3" t="s">
        <v>478</v>
      </c>
      <c r="B3974" s="3" t="s">
        <v>491</v>
      </c>
      <c r="C3974" s="3" t="s">
        <v>492</v>
      </c>
    </row>
    <row r="3975">
      <c r="A3975" s="3" t="s">
        <v>478</v>
      </c>
      <c r="B3975" s="3" t="s">
        <v>491</v>
      </c>
      <c r="C3975" s="3" t="s">
        <v>492</v>
      </c>
    </row>
    <row r="3976">
      <c r="A3976" s="3" t="s">
        <v>478</v>
      </c>
      <c r="B3976" s="3" t="s">
        <v>486</v>
      </c>
      <c r="C3976" s="3" t="s">
        <v>170</v>
      </c>
    </row>
    <row r="3977">
      <c r="A3977" s="3" t="s">
        <v>478</v>
      </c>
      <c r="B3977" s="3" t="s">
        <v>493</v>
      </c>
      <c r="C3977" s="3" t="s">
        <v>439</v>
      </c>
    </row>
    <row r="3978">
      <c r="A3978" s="3" t="s">
        <v>478</v>
      </c>
      <c r="B3978" s="3" t="s">
        <v>493</v>
      </c>
      <c r="C3978" s="3" t="s">
        <v>497</v>
      </c>
    </row>
    <row r="3979">
      <c r="A3979" s="3" t="s">
        <v>478</v>
      </c>
      <c r="B3979" s="3" t="s">
        <v>484</v>
      </c>
      <c r="C3979" s="3" t="s">
        <v>490</v>
      </c>
    </row>
    <row r="3980">
      <c r="A3980" s="3" t="s">
        <v>478</v>
      </c>
      <c r="B3980" s="3" t="s">
        <v>484</v>
      </c>
      <c r="C3980" s="3" t="s">
        <v>500</v>
      </c>
    </row>
    <row r="3981">
      <c r="A3981" s="3" t="s">
        <v>478</v>
      </c>
      <c r="B3981" s="3" t="s">
        <v>484</v>
      </c>
      <c r="C3981" s="3" t="s">
        <v>496</v>
      </c>
    </row>
    <row r="3982">
      <c r="A3982" s="3" t="s">
        <v>478</v>
      </c>
      <c r="B3982" s="3" t="s">
        <v>484</v>
      </c>
      <c r="C3982" s="3" t="s">
        <v>485</v>
      </c>
    </row>
    <row r="3983">
      <c r="A3983" s="3" t="s">
        <v>478</v>
      </c>
      <c r="B3983" s="3" t="s">
        <v>484</v>
      </c>
      <c r="C3983" s="3" t="s">
        <v>496</v>
      </c>
    </row>
    <row r="3984">
      <c r="A3984" s="3" t="s">
        <v>478</v>
      </c>
      <c r="B3984" s="3" t="s">
        <v>508</v>
      </c>
      <c r="C3984" s="3" t="s">
        <v>509</v>
      </c>
    </row>
    <row r="3985">
      <c r="A3985" s="3" t="s">
        <v>478</v>
      </c>
      <c r="B3985" s="3" t="s">
        <v>484</v>
      </c>
      <c r="C3985" s="3" t="s">
        <v>496</v>
      </c>
    </row>
    <row r="3986">
      <c r="A3986" s="3" t="s">
        <v>478</v>
      </c>
      <c r="B3986" s="3" t="s">
        <v>482</v>
      </c>
      <c r="C3986" s="3" t="s">
        <v>504</v>
      </c>
    </row>
    <row r="3987">
      <c r="A3987" s="3" t="s">
        <v>478</v>
      </c>
      <c r="B3987" s="3" t="s">
        <v>508</v>
      </c>
      <c r="C3987" s="3" t="s">
        <v>509</v>
      </c>
    </row>
    <row r="3988">
      <c r="A3988" s="3" t="s">
        <v>478</v>
      </c>
      <c r="B3988" s="3" t="s">
        <v>508</v>
      </c>
      <c r="C3988" s="3" t="s">
        <v>509</v>
      </c>
    </row>
    <row r="3989">
      <c r="A3989" s="3" t="s">
        <v>478</v>
      </c>
      <c r="B3989" s="3" t="s">
        <v>508</v>
      </c>
      <c r="C3989" s="3" t="s">
        <v>509</v>
      </c>
    </row>
    <row r="3990">
      <c r="A3990" s="3" t="s">
        <v>478</v>
      </c>
      <c r="B3990" s="3" t="s">
        <v>484</v>
      </c>
      <c r="C3990" s="3" t="s">
        <v>500</v>
      </c>
    </row>
    <row r="3991">
      <c r="A3991" s="3" t="s">
        <v>478</v>
      </c>
      <c r="B3991" s="3" t="s">
        <v>484</v>
      </c>
      <c r="C3991" s="3" t="s">
        <v>485</v>
      </c>
    </row>
    <row r="3992">
      <c r="A3992" s="3" t="s">
        <v>478</v>
      </c>
      <c r="B3992" s="3" t="s">
        <v>487</v>
      </c>
      <c r="C3992" s="3" t="s">
        <v>505</v>
      </c>
    </row>
    <row r="3993">
      <c r="A3993" s="3" t="s">
        <v>478</v>
      </c>
      <c r="B3993" s="3" t="s">
        <v>508</v>
      </c>
      <c r="C3993" s="3" t="s">
        <v>509</v>
      </c>
    </row>
    <row r="3994">
      <c r="A3994" s="3" t="s">
        <v>478</v>
      </c>
      <c r="B3994" s="3" t="s">
        <v>508</v>
      </c>
      <c r="C3994" s="3" t="s">
        <v>509</v>
      </c>
    </row>
    <row r="3995">
      <c r="A3995" s="3" t="s">
        <v>478</v>
      </c>
      <c r="B3995" s="3" t="s">
        <v>487</v>
      </c>
      <c r="C3995" s="3" t="s">
        <v>515</v>
      </c>
    </row>
    <row r="3996">
      <c r="A3996" s="3" t="s">
        <v>478</v>
      </c>
      <c r="B3996" s="3" t="s">
        <v>508</v>
      </c>
      <c r="C3996" s="3" t="s">
        <v>509</v>
      </c>
    </row>
    <row r="3997">
      <c r="A3997" s="3" t="s">
        <v>478</v>
      </c>
      <c r="B3997" s="3" t="s">
        <v>482</v>
      </c>
      <c r="C3997" s="3" t="s">
        <v>483</v>
      </c>
    </row>
    <row r="3998">
      <c r="A3998" s="3" t="s">
        <v>478</v>
      </c>
      <c r="B3998" s="3" t="s">
        <v>508</v>
      </c>
      <c r="C3998" s="3" t="s">
        <v>509</v>
      </c>
    </row>
    <row r="3999">
      <c r="A3999" s="3" t="s">
        <v>478</v>
      </c>
      <c r="B3999" s="3" t="s">
        <v>508</v>
      </c>
      <c r="C3999" s="3" t="s">
        <v>509</v>
      </c>
    </row>
    <row r="4000">
      <c r="A4000" s="3" t="s">
        <v>478</v>
      </c>
      <c r="B4000" s="3" t="s">
        <v>487</v>
      </c>
      <c r="C4000" s="3" t="s">
        <v>510</v>
      </c>
    </row>
    <row r="4001">
      <c r="A4001" s="3" t="s">
        <v>478</v>
      </c>
      <c r="B4001" s="3" t="s">
        <v>486</v>
      </c>
      <c r="C4001" s="3" t="s">
        <v>170</v>
      </c>
    </row>
    <row r="4002">
      <c r="A4002" s="3" t="s">
        <v>478</v>
      </c>
      <c r="B4002" s="3" t="s">
        <v>493</v>
      </c>
      <c r="C4002" s="3" t="s">
        <v>497</v>
      </c>
    </row>
    <row r="4003">
      <c r="A4003" s="3" t="s">
        <v>478</v>
      </c>
      <c r="B4003" s="3" t="s">
        <v>493</v>
      </c>
      <c r="C4003" s="3" t="s">
        <v>439</v>
      </c>
    </row>
    <row r="4004">
      <c r="A4004" s="3" t="s">
        <v>478</v>
      </c>
      <c r="B4004" s="3" t="s">
        <v>484</v>
      </c>
      <c r="C4004" s="3" t="s">
        <v>485</v>
      </c>
    </row>
    <row r="4005">
      <c r="A4005" s="3" t="s">
        <v>478</v>
      </c>
      <c r="B4005" s="3" t="s">
        <v>508</v>
      </c>
      <c r="C4005" s="3" t="s">
        <v>509</v>
      </c>
    </row>
    <row r="4006">
      <c r="A4006" s="3" t="s">
        <v>478</v>
      </c>
      <c r="B4006" s="3" t="s">
        <v>508</v>
      </c>
      <c r="C4006" s="3" t="s">
        <v>509</v>
      </c>
    </row>
    <row r="4007">
      <c r="A4007" s="3" t="s">
        <v>478</v>
      </c>
      <c r="B4007" s="3" t="s">
        <v>508</v>
      </c>
      <c r="C4007" s="3" t="s">
        <v>509</v>
      </c>
    </row>
    <row r="4008">
      <c r="A4008" s="3" t="s">
        <v>478</v>
      </c>
      <c r="B4008" s="3" t="s">
        <v>487</v>
      </c>
      <c r="C4008" s="3" t="s">
        <v>489</v>
      </c>
    </row>
    <row r="4009">
      <c r="A4009" s="3" t="s">
        <v>478</v>
      </c>
      <c r="B4009" s="3" t="s">
        <v>487</v>
      </c>
      <c r="C4009" s="3" t="s">
        <v>488</v>
      </c>
    </row>
    <row r="4010">
      <c r="A4010" s="3" t="s">
        <v>478</v>
      </c>
      <c r="B4010" s="3" t="s">
        <v>487</v>
      </c>
      <c r="C4010" s="3" t="s">
        <v>515</v>
      </c>
    </row>
    <row r="4011">
      <c r="A4011" s="3" t="s">
        <v>478</v>
      </c>
      <c r="B4011" s="3" t="s">
        <v>484</v>
      </c>
      <c r="C4011" s="3" t="s">
        <v>503</v>
      </c>
    </row>
    <row r="4012">
      <c r="A4012" s="3" t="s">
        <v>478</v>
      </c>
      <c r="B4012" s="3" t="s">
        <v>484</v>
      </c>
      <c r="C4012" s="3" t="s">
        <v>503</v>
      </c>
    </row>
    <row r="4013">
      <c r="A4013" s="3" t="s">
        <v>478</v>
      </c>
      <c r="B4013" s="3" t="s">
        <v>508</v>
      </c>
      <c r="C4013" s="3" t="s">
        <v>509</v>
      </c>
    </row>
    <row r="4014">
      <c r="A4014" s="3" t="s">
        <v>478</v>
      </c>
      <c r="B4014" s="3" t="s">
        <v>484</v>
      </c>
      <c r="C4014" s="3" t="s">
        <v>485</v>
      </c>
    </row>
    <row r="4015">
      <c r="A4015" s="3" t="s">
        <v>478</v>
      </c>
      <c r="B4015" s="3" t="s">
        <v>484</v>
      </c>
      <c r="C4015" s="3" t="s">
        <v>485</v>
      </c>
    </row>
    <row r="4016">
      <c r="A4016" s="3" t="s">
        <v>478</v>
      </c>
      <c r="B4016" s="3" t="s">
        <v>508</v>
      </c>
      <c r="C4016" s="3" t="s">
        <v>509</v>
      </c>
    </row>
    <row r="4017">
      <c r="A4017" s="3" t="s">
        <v>478</v>
      </c>
      <c r="B4017" s="3" t="s">
        <v>508</v>
      </c>
      <c r="C4017" s="3" t="s">
        <v>509</v>
      </c>
    </row>
    <row r="4018">
      <c r="A4018" s="3" t="s">
        <v>478</v>
      </c>
      <c r="B4018" s="3" t="s">
        <v>508</v>
      </c>
      <c r="C4018" s="3" t="s">
        <v>509</v>
      </c>
    </row>
    <row r="4019">
      <c r="A4019" s="3" t="s">
        <v>478</v>
      </c>
      <c r="B4019" s="3" t="s">
        <v>491</v>
      </c>
      <c r="C4019" s="3" t="s">
        <v>492</v>
      </c>
    </row>
    <row r="4020">
      <c r="A4020" s="3" t="s">
        <v>516</v>
      </c>
      <c r="B4020" s="3" t="s">
        <v>186</v>
      </c>
      <c r="C4020" s="3" t="s">
        <v>187</v>
      </c>
    </row>
    <row r="4021">
      <c r="A4021" s="3" t="s">
        <v>516</v>
      </c>
      <c r="B4021" s="3" t="s">
        <v>186</v>
      </c>
      <c r="C4021" s="3" t="s">
        <v>517</v>
      </c>
    </row>
    <row r="4022">
      <c r="A4022" s="3" t="s">
        <v>516</v>
      </c>
      <c r="B4022" s="3" t="s">
        <v>186</v>
      </c>
      <c r="C4022" s="3" t="s">
        <v>187</v>
      </c>
    </row>
    <row r="4023">
      <c r="A4023" s="3" t="s">
        <v>516</v>
      </c>
      <c r="B4023" s="3" t="s">
        <v>186</v>
      </c>
      <c r="C4023" s="3" t="s">
        <v>187</v>
      </c>
    </row>
    <row r="4024">
      <c r="A4024" s="3" t="s">
        <v>516</v>
      </c>
      <c r="B4024" s="3" t="s">
        <v>186</v>
      </c>
      <c r="C4024" s="3" t="s">
        <v>518</v>
      </c>
    </row>
    <row r="4025">
      <c r="A4025" s="3" t="s">
        <v>516</v>
      </c>
      <c r="B4025" s="3" t="s">
        <v>186</v>
      </c>
      <c r="C4025" s="3" t="s">
        <v>517</v>
      </c>
    </row>
    <row r="4026">
      <c r="A4026" s="3" t="s">
        <v>516</v>
      </c>
      <c r="B4026" s="3" t="s">
        <v>186</v>
      </c>
      <c r="C4026" s="3" t="s">
        <v>518</v>
      </c>
    </row>
    <row r="4027">
      <c r="A4027" s="3" t="s">
        <v>516</v>
      </c>
      <c r="B4027" s="3" t="s">
        <v>186</v>
      </c>
      <c r="C4027" s="3" t="s">
        <v>518</v>
      </c>
    </row>
    <row r="4028">
      <c r="A4028" s="3" t="s">
        <v>516</v>
      </c>
      <c r="B4028" s="3" t="s">
        <v>186</v>
      </c>
      <c r="C4028" s="3" t="s">
        <v>518</v>
      </c>
    </row>
    <row r="4029">
      <c r="A4029" s="3" t="s">
        <v>516</v>
      </c>
      <c r="B4029" s="3" t="s">
        <v>186</v>
      </c>
      <c r="C4029" s="3" t="s">
        <v>187</v>
      </c>
    </row>
    <row r="4030">
      <c r="A4030" s="3" t="s">
        <v>516</v>
      </c>
      <c r="B4030" s="3" t="s">
        <v>186</v>
      </c>
      <c r="C4030" s="3" t="s">
        <v>517</v>
      </c>
    </row>
    <row r="4031">
      <c r="A4031" s="3" t="s">
        <v>516</v>
      </c>
      <c r="B4031" s="3" t="s">
        <v>186</v>
      </c>
      <c r="C4031" s="3" t="s">
        <v>518</v>
      </c>
    </row>
    <row r="4032">
      <c r="A4032" s="3"/>
      <c r="B4032" s="3"/>
      <c r="C4032" s="3"/>
    </row>
    <row r="4033">
      <c r="A4033" s="4" t="s">
        <v>519</v>
      </c>
      <c r="B4033" s="4"/>
      <c r="C4033" s="4"/>
    </row>
    <row r="4034">
      <c r="A4034" s="3" t="s">
        <v>520</v>
      </c>
      <c r="B4034" s="3" t="s">
        <v>521</v>
      </c>
      <c r="C4034" s="3" t="s">
        <v>522</v>
      </c>
    </row>
    <row r="4035">
      <c r="A4035" s="3" t="s">
        <v>520</v>
      </c>
      <c r="B4035" s="3" t="s">
        <v>523</v>
      </c>
      <c r="C4035" s="3" t="s">
        <v>524</v>
      </c>
    </row>
    <row r="4036">
      <c r="A4036" s="3" t="s">
        <v>520</v>
      </c>
      <c r="B4036" s="3" t="s">
        <v>521</v>
      </c>
      <c r="C4036" s="3" t="s">
        <v>525</v>
      </c>
    </row>
    <row r="4037">
      <c r="A4037" s="3" t="s">
        <v>520</v>
      </c>
      <c r="B4037" s="3" t="s">
        <v>521</v>
      </c>
      <c r="C4037" s="3" t="s">
        <v>525</v>
      </c>
    </row>
    <row r="4038">
      <c r="A4038" s="3" t="s">
        <v>520</v>
      </c>
      <c r="B4038" s="3" t="s">
        <v>523</v>
      </c>
      <c r="C4038" s="3" t="s">
        <v>524</v>
      </c>
    </row>
    <row r="4039">
      <c r="A4039" s="3" t="s">
        <v>520</v>
      </c>
      <c r="B4039" s="3" t="s">
        <v>521</v>
      </c>
      <c r="C4039" s="3" t="s">
        <v>522</v>
      </c>
    </row>
    <row r="4040">
      <c r="A4040" s="3" t="s">
        <v>520</v>
      </c>
      <c r="B4040" s="3" t="s">
        <v>521</v>
      </c>
      <c r="C4040" s="3" t="s">
        <v>525</v>
      </c>
    </row>
    <row r="4041">
      <c r="A4041" s="3" t="s">
        <v>520</v>
      </c>
      <c r="B4041" s="3" t="s">
        <v>526</v>
      </c>
      <c r="C4041" s="3" t="s">
        <v>527</v>
      </c>
    </row>
    <row r="4042">
      <c r="A4042" s="3" t="s">
        <v>520</v>
      </c>
      <c r="B4042" s="3" t="s">
        <v>526</v>
      </c>
      <c r="C4042" s="3" t="s">
        <v>528</v>
      </c>
    </row>
    <row r="4043">
      <c r="A4043" s="3" t="s">
        <v>520</v>
      </c>
      <c r="B4043" s="3" t="s">
        <v>521</v>
      </c>
      <c r="C4043" s="3" t="s">
        <v>522</v>
      </c>
    </row>
    <row r="4044">
      <c r="A4044" s="3" t="s">
        <v>520</v>
      </c>
      <c r="B4044" s="3" t="s">
        <v>526</v>
      </c>
      <c r="C4044" s="3" t="s">
        <v>528</v>
      </c>
    </row>
    <row r="4045">
      <c r="A4045" s="3" t="s">
        <v>520</v>
      </c>
      <c r="B4045" s="3" t="s">
        <v>526</v>
      </c>
      <c r="C4045" s="3" t="s">
        <v>528</v>
      </c>
    </row>
    <row r="4046">
      <c r="A4046" s="3" t="s">
        <v>520</v>
      </c>
      <c r="B4046" s="3" t="s">
        <v>521</v>
      </c>
      <c r="C4046" s="3" t="s">
        <v>525</v>
      </c>
    </row>
    <row r="4047">
      <c r="A4047" s="3" t="s">
        <v>520</v>
      </c>
      <c r="B4047" s="3" t="s">
        <v>521</v>
      </c>
      <c r="C4047" s="3" t="s">
        <v>529</v>
      </c>
    </row>
    <row r="4048">
      <c r="A4048" s="3" t="s">
        <v>520</v>
      </c>
      <c r="B4048" s="3" t="s">
        <v>521</v>
      </c>
      <c r="C4048" s="3" t="s">
        <v>522</v>
      </c>
    </row>
    <row r="4049">
      <c r="A4049" s="3" t="s">
        <v>520</v>
      </c>
      <c r="B4049" s="3" t="s">
        <v>521</v>
      </c>
      <c r="C4049" s="3" t="s">
        <v>530</v>
      </c>
    </row>
    <row r="4050">
      <c r="A4050" s="3" t="s">
        <v>520</v>
      </c>
      <c r="B4050" s="3" t="s">
        <v>523</v>
      </c>
      <c r="C4050" s="3" t="s">
        <v>524</v>
      </c>
    </row>
    <row r="4051">
      <c r="A4051" s="3" t="s">
        <v>520</v>
      </c>
      <c r="B4051" s="3" t="s">
        <v>526</v>
      </c>
      <c r="C4051" s="3" t="s">
        <v>531</v>
      </c>
    </row>
    <row r="4052">
      <c r="A4052" s="3" t="s">
        <v>520</v>
      </c>
      <c r="B4052" s="3" t="s">
        <v>526</v>
      </c>
      <c r="C4052" s="3" t="s">
        <v>527</v>
      </c>
    </row>
    <row r="4053">
      <c r="A4053" s="3" t="s">
        <v>520</v>
      </c>
      <c r="B4053" s="3" t="s">
        <v>526</v>
      </c>
      <c r="C4053" s="3" t="s">
        <v>528</v>
      </c>
    </row>
    <row r="4054">
      <c r="A4054" s="3" t="s">
        <v>520</v>
      </c>
      <c r="B4054" s="3" t="s">
        <v>523</v>
      </c>
      <c r="C4054" s="3" t="s">
        <v>524</v>
      </c>
    </row>
    <row r="4055">
      <c r="A4055" s="3" t="s">
        <v>520</v>
      </c>
      <c r="B4055" s="3" t="s">
        <v>521</v>
      </c>
      <c r="C4055" s="3" t="s">
        <v>530</v>
      </c>
    </row>
    <row r="4056">
      <c r="A4056" s="3" t="s">
        <v>520</v>
      </c>
      <c r="B4056" s="3" t="s">
        <v>521</v>
      </c>
      <c r="C4056" s="3" t="s">
        <v>530</v>
      </c>
    </row>
    <row r="4057">
      <c r="A4057" s="3" t="s">
        <v>520</v>
      </c>
      <c r="B4057" s="3" t="s">
        <v>526</v>
      </c>
      <c r="C4057" s="3" t="s">
        <v>528</v>
      </c>
    </row>
    <row r="4058">
      <c r="A4058" s="3" t="s">
        <v>520</v>
      </c>
      <c r="B4058" s="3" t="s">
        <v>521</v>
      </c>
      <c r="C4058" s="3" t="s">
        <v>525</v>
      </c>
    </row>
    <row r="4059">
      <c r="A4059" s="3" t="s">
        <v>520</v>
      </c>
      <c r="B4059" s="3" t="s">
        <v>521</v>
      </c>
      <c r="C4059" s="3" t="s">
        <v>529</v>
      </c>
    </row>
    <row r="4060">
      <c r="A4060" s="3" t="s">
        <v>520</v>
      </c>
      <c r="B4060" s="3" t="s">
        <v>521</v>
      </c>
      <c r="C4060" s="3" t="s">
        <v>522</v>
      </c>
    </row>
    <row r="4061">
      <c r="A4061" s="3" t="s">
        <v>520</v>
      </c>
      <c r="B4061" s="3" t="s">
        <v>521</v>
      </c>
      <c r="C4061" s="3" t="s">
        <v>530</v>
      </c>
    </row>
    <row r="4062">
      <c r="A4062" s="3" t="s">
        <v>520</v>
      </c>
      <c r="B4062" s="3" t="s">
        <v>523</v>
      </c>
      <c r="C4062" s="3" t="s">
        <v>524</v>
      </c>
    </row>
    <row r="4063">
      <c r="A4063" s="3" t="s">
        <v>520</v>
      </c>
      <c r="B4063" s="3" t="s">
        <v>526</v>
      </c>
      <c r="C4063" s="3" t="s">
        <v>531</v>
      </c>
    </row>
    <row r="4064">
      <c r="A4064" s="3" t="s">
        <v>520</v>
      </c>
      <c r="B4064" s="3" t="s">
        <v>526</v>
      </c>
      <c r="C4064" s="3" t="s">
        <v>527</v>
      </c>
    </row>
    <row r="4065">
      <c r="A4065" s="3" t="s">
        <v>520</v>
      </c>
      <c r="B4065" s="3" t="s">
        <v>521</v>
      </c>
      <c r="C4065" s="3" t="s">
        <v>530</v>
      </c>
    </row>
    <row r="4066">
      <c r="A4066" s="3" t="s">
        <v>520</v>
      </c>
      <c r="B4066" s="3" t="s">
        <v>521</v>
      </c>
      <c r="C4066" s="3" t="s">
        <v>529</v>
      </c>
    </row>
    <row r="4067">
      <c r="A4067" s="3" t="s">
        <v>520</v>
      </c>
      <c r="B4067" s="3" t="s">
        <v>526</v>
      </c>
      <c r="C4067" s="3" t="s">
        <v>531</v>
      </c>
    </row>
    <row r="4068">
      <c r="A4068" s="3" t="s">
        <v>520</v>
      </c>
      <c r="B4068" s="3" t="s">
        <v>526</v>
      </c>
      <c r="C4068" s="3" t="s">
        <v>531</v>
      </c>
    </row>
    <row r="4069">
      <c r="A4069" s="3" t="s">
        <v>520</v>
      </c>
      <c r="B4069" s="3" t="s">
        <v>526</v>
      </c>
      <c r="C4069" s="3" t="s">
        <v>531</v>
      </c>
    </row>
    <row r="4070">
      <c r="A4070" s="3" t="s">
        <v>520</v>
      </c>
      <c r="B4070" s="3" t="s">
        <v>526</v>
      </c>
      <c r="C4070" s="3" t="s">
        <v>531</v>
      </c>
    </row>
    <row r="4071">
      <c r="A4071" s="3" t="s">
        <v>520</v>
      </c>
      <c r="B4071" s="3" t="s">
        <v>521</v>
      </c>
      <c r="C4071" s="3" t="s">
        <v>522</v>
      </c>
    </row>
    <row r="4072">
      <c r="A4072" s="3" t="s">
        <v>520</v>
      </c>
      <c r="B4072" s="3" t="s">
        <v>526</v>
      </c>
      <c r="C4072" s="3" t="s">
        <v>531</v>
      </c>
    </row>
    <row r="4073">
      <c r="A4073" s="3" t="s">
        <v>520</v>
      </c>
      <c r="B4073" s="3" t="s">
        <v>521</v>
      </c>
      <c r="C4073" s="3" t="s">
        <v>530</v>
      </c>
    </row>
    <row r="4074">
      <c r="A4074" s="3" t="s">
        <v>520</v>
      </c>
      <c r="B4074" s="3" t="s">
        <v>526</v>
      </c>
      <c r="C4074" s="3" t="s">
        <v>531</v>
      </c>
    </row>
    <row r="4075">
      <c r="A4075" s="3" t="s">
        <v>520</v>
      </c>
      <c r="B4075" s="3" t="s">
        <v>521</v>
      </c>
      <c r="C4075" s="3" t="s">
        <v>522</v>
      </c>
    </row>
    <row r="4076">
      <c r="A4076" s="3" t="s">
        <v>520</v>
      </c>
      <c r="B4076" s="3" t="s">
        <v>521</v>
      </c>
      <c r="C4076" s="3" t="s">
        <v>522</v>
      </c>
    </row>
    <row r="4077">
      <c r="A4077" s="3" t="s">
        <v>520</v>
      </c>
      <c r="B4077" s="3" t="s">
        <v>526</v>
      </c>
      <c r="C4077" s="3" t="s">
        <v>531</v>
      </c>
    </row>
    <row r="4078">
      <c r="A4078" s="3" t="s">
        <v>520</v>
      </c>
      <c r="B4078" s="3" t="s">
        <v>526</v>
      </c>
      <c r="C4078" s="3" t="s">
        <v>531</v>
      </c>
    </row>
    <row r="4079">
      <c r="A4079" s="3" t="s">
        <v>520</v>
      </c>
      <c r="B4079" s="3" t="s">
        <v>521</v>
      </c>
      <c r="C4079" s="3" t="s">
        <v>525</v>
      </c>
    </row>
    <row r="4080">
      <c r="A4080" s="3" t="s">
        <v>520</v>
      </c>
      <c r="B4080" s="3" t="s">
        <v>521</v>
      </c>
      <c r="C4080" s="3" t="s">
        <v>529</v>
      </c>
    </row>
    <row r="4081">
      <c r="A4081" s="3" t="s">
        <v>520</v>
      </c>
      <c r="B4081" s="3" t="s">
        <v>521</v>
      </c>
      <c r="C4081" s="3" t="s">
        <v>522</v>
      </c>
    </row>
    <row r="4082">
      <c r="A4082" s="3" t="s">
        <v>520</v>
      </c>
      <c r="B4082" s="3" t="s">
        <v>521</v>
      </c>
      <c r="C4082" s="3" t="s">
        <v>530</v>
      </c>
    </row>
    <row r="4083">
      <c r="A4083" s="3" t="s">
        <v>520</v>
      </c>
      <c r="B4083" s="3" t="s">
        <v>523</v>
      </c>
      <c r="C4083" s="3" t="s">
        <v>524</v>
      </c>
    </row>
    <row r="4084">
      <c r="A4084" s="3" t="s">
        <v>520</v>
      </c>
      <c r="B4084" s="3" t="s">
        <v>526</v>
      </c>
      <c r="C4084" s="3" t="s">
        <v>531</v>
      </c>
    </row>
    <row r="4085">
      <c r="A4085" s="3" t="s">
        <v>520</v>
      </c>
      <c r="B4085" s="3" t="s">
        <v>526</v>
      </c>
      <c r="C4085" s="3" t="s">
        <v>527</v>
      </c>
    </row>
    <row r="4086">
      <c r="A4086" s="3" t="s">
        <v>520</v>
      </c>
      <c r="B4086" s="3" t="s">
        <v>526</v>
      </c>
      <c r="C4086" s="3" t="s">
        <v>528</v>
      </c>
    </row>
    <row r="4087">
      <c r="A4087" s="3" t="s">
        <v>520</v>
      </c>
      <c r="B4087" s="3" t="s">
        <v>521</v>
      </c>
      <c r="C4087" s="3" t="s">
        <v>522</v>
      </c>
    </row>
    <row r="4088">
      <c r="A4088" s="3" t="s">
        <v>520</v>
      </c>
      <c r="B4088" s="3" t="s">
        <v>526</v>
      </c>
      <c r="C4088" s="3" t="s">
        <v>531</v>
      </c>
    </row>
    <row r="4089">
      <c r="A4089" s="3" t="s">
        <v>520</v>
      </c>
      <c r="B4089" s="3" t="s">
        <v>521</v>
      </c>
      <c r="C4089" s="3" t="s">
        <v>522</v>
      </c>
    </row>
    <row r="4090">
      <c r="A4090" s="3" t="s">
        <v>520</v>
      </c>
      <c r="B4090" s="3" t="s">
        <v>526</v>
      </c>
      <c r="C4090" s="3" t="s">
        <v>531</v>
      </c>
    </row>
    <row r="4091">
      <c r="A4091" s="3" t="s">
        <v>520</v>
      </c>
      <c r="B4091" s="3" t="s">
        <v>526</v>
      </c>
      <c r="C4091" s="3" t="s">
        <v>531</v>
      </c>
    </row>
    <row r="4092">
      <c r="A4092" s="3" t="s">
        <v>520</v>
      </c>
      <c r="B4092" s="3" t="s">
        <v>521</v>
      </c>
      <c r="C4092" s="3" t="s">
        <v>525</v>
      </c>
    </row>
    <row r="4093">
      <c r="A4093" s="3" t="s">
        <v>520</v>
      </c>
      <c r="B4093" s="3" t="s">
        <v>526</v>
      </c>
      <c r="C4093" s="3" t="s">
        <v>531</v>
      </c>
    </row>
    <row r="4094">
      <c r="A4094" s="3" t="s">
        <v>520</v>
      </c>
      <c r="B4094" s="3" t="s">
        <v>526</v>
      </c>
      <c r="C4094" s="3" t="s">
        <v>531</v>
      </c>
    </row>
    <row r="4095">
      <c r="A4095" s="3" t="s">
        <v>520</v>
      </c>
      <c r="B4095" s="3" t="s">
        <v>526</v>
      </c>
      <c r="C4095" s="3" t="s">
        <v>531</v>
      </c>
    </row>
    <row r="4096">
      <c r="A4096" s="3" t="s">
        <v>520</v>
      </c>
      <c r="B4096" s="3" t="s">
        <v>526</v>
      </c>
      <c r="C4096" s="3" t="s">
        <v>531</v>
      </c>
    </row>
    <row r="4097">
      <c r="A4097" s="3" t="s">
        <v>520</v>
      </c>
      <c r="B4097" s="3" t="s">
        <v>521</v>
      </c>
      <c r="C4097" s="3" t="s">
        <v>530</v>
      </c>
    </row>
    <row r="4098">
      <c r="A4098" s="3" t="s">
        <v>520</v>
      </c>
      <c r="B4098" s="3" t="s">
        <v>526</v>
      </c>
      <c r="C4098" s="3" t="s">
        <v>528</v>
      </c>
    </row>
    <row r="4099">
      <c r="A4099" s="3" t="s">
        <v>520</v>
      </c>
      <c r="B4099" s="3" t="s">
        <v>523</v>
      </c>
      <c r="C4099" s="3" t="s">
        <v>524</v>
      </c>
    </row>
    <row r="4100">
      <c r="A4100" s="3" t="s">
        <v>520</v>
      </c>
      <c r="B4100" s="3" t="s">
        <v>523</v>
      </c>
      <c r="C4100" s="3" t="s">
        <v>524</v>
      </c>
    </row>
    <row r="4101">
      <c r="A4101" s="3" t="s">
        <v>520</v>
      </c>
      <c r="B4101" s="3" t="s">
        <v>526</v>
      </c>
      <c r="C4101" s="3" t="s">
        <v>531</v>
      </c>
    </row>
    <row r="4102">
      <c r="A4102" s="3" t="s">
        <v>520</v>
      </c>
      <c r="B4102" s="3" t="s">
        <v>521</v>
      </c>
      <c r="C4102" s="3" t="s">
        <v>525</v>
      </c>
    </row>
    <row r="4103">
      <c r="A4103" s="3" t="s">
        <v>520</v>
      </c>
      <c r="B4103" s="3" t="s">
        <v>521</v>
      </c>
      <c r="C4103" s="3" t="s">
        <v>525</v>
      </c>
    </row>
    <row r="4104">
      <c r="A4104" s="3" t="s">
        <v>520</v>
      </c>
      <c r="B4104" s="3" t="s">
        <v>526</v>
      </c>
      <c r="C4104" s="3" t="s">
        <v>531</v>
      </c>
    </row>
    <row r="4105">
      <c r="A4105" s="3" t="s">
        <v>520</v>
      </c>
      <c r="B4105" s="3" t="s">
        <v>526</v>
      </c>
      <c r="C4105" s="3" t="s">
        <v>531</v>
      </c>
    </row>
    <row r="4106">
      <c r="A4106" s="3" t="s">
        <v>520</v>
      </c>
      <c r="B4106" s="3" t="s">
        <v>526</v>
      </c>
      <c r="C4106" s="3" t="s">
        <v>531</v>
      </c>
    </row>
    <row r="4107">
      <c r="A4107" s="3" t="s">
        <v>520</v>
      </c>
      <c r="B4107" s="3" t="s">
        <v>526</v>
      </c>
      <c r="C4107" s="3" t="s">
        <v>531</v>
      </c>
    </row>
    <row r="4108">
      <c r="A4108" s="3" t="s">
        <v>520</v>
      </c>
      <c r="B4108" s="3" t="s">
        <v>526</v>
      </c>
      <c r="C4108" s="3" t="s">
        <v>531</v>
      </c>
    </row>
    <row r="4109">
      <c r="A4109" s="3" t="s">
        <v>532</v>
      </c>
      <c r="B4109" s="3" t="s">
        <v>533</v>
      </c>
      <c r="C4109" s="3" t="s">
        <v>534</v>
      </c>
    </row>
    <row r="4110">
      <c r="A4110" s="3" t="s">
        <v>532</v>
      </c>
      <c r="B4110" s="3" t="s">
        <v>535</v>
      </c>
      <c r="C4110" s="3" t="s">
        <v>536</v>
      </c>
    </row>
    <row r="4111">
      <c r="A4111" s="3" t="s">
        <v>532</v>
      </c>
      <c r="B4111" s="3" t="s">
        <v>533</v>
      </c>
      <c r="C4111" s="3" t="s">
        <v>537</v>
      </c>
    </row>
    <row r="4112">
      <c r="A4112" s="3" t="s">
        <v>532</v>
      </c>
      <c r="B4112" s="3" t="s">
        <v>535</v>
      </c>
      <c r="C4112" s="3" t="s">
        <v>536</v>
      </c>
    </row>
    <row r="4113">
      <c r="A4113" s="3" t="s">
        <v>532</v>
      </c>
      <c r="B4113" s="3" t="s">
        <v>533</v>
      </c>
      <c r="C4113" s="3" t="s">
        <v>538</v>
      </c>
    </row>
    <row r="4114">
      <c r="A4114" s="3" t="s">
        <v>532</v>
      </c>
      <c r="B4114" s="3" t="s">
        <v>535</v>
      </c>
      <c r="C4114" s="3" t="s">
        <v>536</v>
      </c>
    </row>
    <row r="4115">
      <c r="A4115" s="3" t="s">
        <v>532</v>
      </c>
      <c r="B4115" s="3" t="s">
        <v>533</v>
      </c>
      <c r="C4115" s="3" t="s">
        <v>537</v>
      </c>
    </row>
    <row r="4116">
      <c r="A4116" s="3" t="s">
        <v>532</v>
      </c>
      <c r="B4116" s="3" t="s">
        <v>535</v>
      </c>
      <c r="C4116" s="3" t="s">
        <v>536</v>
      </c>
    </row>
    <row r="4117">
      <c r="A4117" s="3" t="s">
        <v>532</v>
      </c>
      <c r="B4117" s="3" t="s">
        <v>533</v>
      </c>
      <c r="C4117" s="3" t="s">
        <v>538</v>
      </c>
    </row>
    <row r="4118">
      <c r="A4118" s="3" t="s">
        <v>532</v>
      </c>
      <c r="B4118" s="3" t="s">
        <v>535</v>
      </c>
      <c r="C4118" s="3" t="s">
        <v>536</v>
      </c>
    </row>
    <row r="4119">
      <c r="A4119" s="3" t="s">
        <v>532</v>
      </c>
      <c r="B4119" s="3" t="s">
        <v>533</v>
      </c>
      <c r="C4119" s="3" t="s">
        <v>537</v>
      </c>
    </row>
    <row r="4120">
      <c r="A4120" s="3" t="s">
        <v>532</v>
      </c>
      <c r="B4120" s="3" t="s">
        <v>535</v>
      </c>
      <c r="C4120" s="3" t="s">
        <v>536</v>
      </c>
    </row>
    <row r="4121">
      <c r="A4121" s="3" t="s">
        <v>532</v>
      </c>
      <c r="B4121" s="3" t="s">
        <v>533</v>
      </c>
      <c r="C4121" s="3" t="s">
        <v>537</v>
      </c>
    </row>
    <row r="4122">
      <c r="A4122" s="3" t="s">
        <v>532</v>
      </c>
      <c r="B4122" s="3" t="s">
        <v>535</v>
      </c>
      <c r="C4122" s="3" t="s">
        <v>536</v>
      </c>
    </row>
    <row r="4123">
      <c r="A4123" s="3" t="s">
        <v>532</v>
      </c>
      <c r="B4123" s="3" t="s">
        <v>535</v>
      </c>
      <c r="C4123" s="3" t="s">
        <v>536</v>
      </c>
    </row>
    <row r="4124">
      <c r="A4124" s="3" t="s">
        <v>532</v>
      </c>
      <c r="B4124" s="3" t="s">
        <v>533</v>
      </c>
      <c r="C4124" s="3" t="s">
        <v>537</v>
      </c>
    </row>
    <row r="4125">
      <c r="A4125" s="3" t="s">
        <v>532</v>
      </c>
      <c r="B4125" s="3" t="s">
        <v>535</v>
      </c>
      <c r="C4125" s="3" t="s">
        <v>536</v>
      </c>
    </row>
    <row r="4126">
      <c r="A4126" s="3" t="s">
        <v>532</v>
      </c>
      <c r="B4126" s="3" t="s">
        <v>533</v>
      </c>
      <c r="C4126" s="3" t="s">
        <v>537</v>
      </c>
    </row>
    <row r="4127">
      <c r="A4127" s="3" t="s">
        <v>532</v>
      </c>
      <c r="B4127" s="3" t="s">
        <v>535</v>
      </c>
      <c r="C4127" s="3" t="s">
        <v>536</v>
      </c>
    </row>
    <row r="4128">
      <c r="A4128" s="3" t="s">
        <v>532</v>
      </c>
      <c r="B4128" s="3" t="s">
        <v>533</v>
      </c>
      <c r="C4128" s="3" t="s">
        <v>537</v>
      </c>
    </row>
    <row r="4129">
      <c r="A4129" s="3" t="s">
        <v>532</v>
      </c>
      <c r="B4129" s="3" t="s">
        <v>535</v>
      </c>
      <c r="C4129" s="3" t="s">
        <v>536</v>
      </c>
    </row>
    <row r="4130">
      <c r="A4130" s="3" t="s">
        <v>532</v>
      </c>
      <c r="B4130" s="3" t="s">
        <v>533</v>
      </c>
      <c r="C4130" s="3" t="s">
        <v>537</v>
      </c>
    </row>
    <row r="4131">
      <c r="A4131" s="3" t="s">
        <v>532</v>
      </c>
      <c r="B4131" s="3" t="s">
        <v>535</v>
      </c>
      <c r="C4131" s="3" t="s">
        <v>536</v>
      </c>
    </row>
    <row r="4132">
      <c r="A4132" s="3" t="s">
        <v>532</v>
      </c>
      <c r="B4132" s="3" t="s">
        <v>533</v>
      </c>
      <c r="C4132" s="3" t="s">
        <v>537</v>
      </c>
    </row>
    <row r="4133">
      <c r="A4133" s="3" t="s">
        <v>532</v>
      </c>
      <c r="B4133" s="3" t="s">
        <v>535</v>
      </c>
      <c r="C4133" s="3" t="s">
        <v>536</v>
      </c>
    </row>
    <row r="4134">
      <c r="A4134" s="3" t="s">
        <v>532</v>
      </c>
      <c r="B4134" s="3" t="s">
        <v>533</v>
      </c>
      <c r="C4134" s="3" t="s">
        <v>537</v>
      </c>
    </row>
    <row r="4135">
      <c r="A4135" s="3" t="s">
        <v>532</v>
      </c>
      <c r="B4135" s="3" t="s">
        <v>535</v>
      </c>
      <c r="C4135" s="3" t="s">
        <v>536</v>
      </c>
    </row>
    <row r="4136">
      <c r="A4136" s="3" t="s">
        <v>532</v>
      </c>
      <c r="B4136" s="3" t="s">
        <v>533</v>
      </c>
      <c r="C4136" s="3" t="s">
        <v>537</v>
      </c>
    </row>
    <row r="4137">
      <c r="A4137" s="3" t="s">
        <v>532</v>
      </c>
      <c r="B4137" s="3" t="s">
        <v>533</v>
      </c>
      <c r="C4137" s="3" t="s">
        <v>537</v>
      </c>
    </row>
    <row r="4138">
      <c r="A4138" s="3" t="s">
        <v>532</v>
      </c>
      <c r="B4138" s="3" t="s">
        <v>535</v>
      </c>
      <c r="C4138" s="3" t="s">
        <v>536</v>
      </c>
    </row>
    <row r="4139">
      <c r="A4139" s="3" t="s">
        <v>532</v>
      </c>
      <c r="B4139" s="3" t="s">
        <v>533</v>
      </c>
      <c r="C4139" s="3" t="s">
        <v>538</v>
      </c>
    </row>
    <row r="4140">
      <c r="A4140" s="3" t="s">
        <v>532</v>
      </c>
      <c r="B4140" s="3" t="s">
        <v>533</v>
      </c>
      <c r="C4140" s="3" t="s">
        <v>534</v>
      </c>
    </row>
    <row r="4141">
      <c r="A4141" s="3" t="s">
        <v>532</v>
      </c>
      <c r="B4141" s="3" t="s">
        <v>535</v>
      </c>
      <c r="C4141" s="3" t="s">
        <v>536</v>
      </c>
    </row>
    <row r="4142">
      <c r="A4142" s="3" t="s">
        <v>532</v>
      </c>
      <c r="B4142" s="3" t="s">
        <v>533</v>
      </c>
      <c r="C4142" s="3" t="s">
        <v>537</v>
      </c>
    </row>
    <row r="4143">
      <c r="A4143" s="3" t="s">
        <v>532</v>
      </c>
      <c r="B4143" s="3" t="s">
        <v>535</v>
      </c>
      <c r="C4143" s="3" t="s">
        <v>536</v>
      </c>
    </row>
    <row r="4144">
      <c r="A4144" s="3" t="s">
        <v>532</v>
      </c>
      <c r="B4144" s="3" t="s">
        <v>533</v>
      </c>
      <c r="C4144" s="3" t="s">
        <v>537</v>
      </c>
    </row>
    <row r="4145">
      <c r="A4145" s="3" t="s">
        <v>532</v>
      </c>
      <c r="B4145" s="3" t="s">
        <v>533</v>
      </c>
      <c r="C4145" s="3" t="s">
        <v>537</v>
      </c>
    </row>
    <row r="4146">
      <c r="A4146" s="3" t="s">
        <v>532</v>
      </c>
      <c r="B4146" s="3" t="s">
        <v>533</v>
      </c>
      <c r="C4146" s="3" t="s">
        <v>537</v>
      </c>
    </row>
    <row r="4147">
      <c r="A4147" s="3" t="s">
        <v>539</v>
      </c>
      <c r="B4147" s="3" t="s">
        <v>540</v>
      </c>
      <c r="C4147" s="3" t="s">
        <v>541</v>
      </c>
    </row>
    <row r="4148">
      <c r="A4148" s="3" t="s">
        <v>539</v>
      </c>
      <c r="B4148" s="3" t="s">
        <v>542</v>
      </c>
      <c r="C4148" s="3" t="s">
        <v>543</v>
      </c>
    </row>
    <row r="4149">
      <c r="A4149" s="3" t="s">
        <v>539</v>
      </c>
      <c r="B4149" s="3" t="s">
        <v>540</v>
      </c>
      <c r="C4149" s="3" t="s">
        <v>541</v>
      </c>
    </row>
    <row r="4150">
      <c r="A4150" s="3" t="s">
        <v>539</v>
      </c>
      <c r="B4150" s="3" t="s">
        <v>542</v>
      </c>
      <c r="C4150" s="3" t="s">
        <v>543</v>
      </c>
    </row>
    <row r="4151">
      <c r="A4151" s="3" t="s">
        <v>539</v>
      </c>
      <c r="B4151" s="3" t="s">
        <v>542</v>
      </c>
      <c r="C4151" s="3" t="s">
        <v>543</v>
      </c>
    </row>
    <row r="4152">
      <c r="A4152" s="3" t="s">
        <v>539</v>
      </c>
      <c r="B4152" s="3" t="s">
        <v>544</v>
      </c>
      <c r="C4152" s="3" t="s">
        <v>545</v>
      </c>
    </row>
    <row r="4153">
      <c r="A4153" s="3" t="s">
        <v>539</v>
      </c>
      <c r="B4153" s="3" t="s">
        <v>542</v>
      </c>
      <c r="C4153" s="3" t="s">
        <v>543</v>
      </c>
    </row>
    <row r="4154">
      <c r="A4154" s="3" t="s">
        <v>539</v>
      </c>
      <c r="B4154" s="3" t="s">
        <v>544</v>
      </c>
      <c r="C4154" s="3" t="s">
        <v>545</v>
      </c>
    </row>
    <row r="4155">
      <c r="A4155" s="3" t="s">
        <v>539</v>
      </c>
      <c r="B4155" s="3" t="s">
        <v>542</v>
      </c>
      <c r="C4155" s="3" t="s">
        <v>543</v>
      </c>
    </row>
    <row r="4156">
      <c r="A4156" s="3" t="s">
        <v>539</v>
      </c>
      <c r="B4156" s="3" t="s">
        <v>542</v>
      </c>
      <c r="C4156" s="3" t="s">
        <v>543</v>
      </c>
    </row>
    <row r="4157">
      <c r="A4157" s="3" t="s">
        <v>539</v>
      </c>
      <c r="B4157" s="3" t="s">
        <v>546</v>
      </c>
      <c r="C4157" s="3" t="s">
        <v>547</v>
      </c>
    </row>
    <row r="4158">
      <c r="A4158" s="3" t="s">
        <v>539</v>
      </c>
      <c r="B4158" s="3" t="s">
        <v>542</v>
      </c>
      <c r="C4158" s="3" t="s">
        <v>543</v>
      </c>
    </row>
    <row r="4159">
      <c r="A4159" s="3" t="s">
        <v>539</v>
      </c>
      <c r="B4159" s="3" t="s">
        <v>540</v>
      </c>
      <c r="C4159" s="3" t="s">
        <v>541</v>
      </c>
    </row>
    <row r="4160">
      <c r="A4160" s="3" t="s">
        <v>539</v>
      </c>
      <c r="B4160" s="3" t="s">
        <v>546</v>
      </c>
      <c r="C4160" s="3" t="s">
        <v>548</v>
      </c>
    </row>
    <row r="4161">
      <c r="A4161" s="3" t="s">
        <v>539</v>
      </c>
      <c r="B4161" s="3" t="s">
        <v>542</v>
      </c>
      <c r="C4161" s="3" t="s">
        <v>543</v>
      </c>
    </row>
    <row r="4162">
      <c r="A4162" s="3" t="s">
        <v>539</v>
      </c>
      <c r="B4162" s="3" t="s">
        <v>542</v>
      </c>
      <c r="C4162" s="3" t="s">
        <v>543</v>
      </c>
    </row>
    <row r="4163">
      <c r="A4163" s="3" t="s">
        <v>539</v>
      </c>
      <c r="B4163" s="3" t="s">
        <v>540</v>
      </c>
      <c r="C4163" s="3" t="s">
        <v>541</v>
      </c>
    </row>
    <row r="4164">
      <c r="A4164" s="3" t="s">
        <v>539</v>
      </c>
      <c r="B4164" s="3" t="s">
        <v>542</v>
      </c>
      <c r="C4164" s="3" t="s">
        <v>543</v>
      </c>
    </row>
    <row r="4165">
      <c r="A4165" s="3" t="s">
        <v>539</v>
      </c>
      <c r="B4165" s="3" t="s">
        <v>549</v>
      </c>
      <c r="C4165" s="3" t="s">
        <v>550</v>
      </c>
    </row>
    <row r="4166">
      <c r="A4166" s="3" t="s">
        <v>539</v>
      </c>
      <c r="B4166" s="3" t="s">
        <v>542</v>
      </c>
      <c r="C4166" s="3" t="s">
        <v>543</v>
      </c>
    </row>
    <row r="4167">
      <c r="A4167" s="3" t="s">
        <v>539</v>
      </c>
      <c r="B4167" s="3" t="s">
        <v>549</v>
      </c>
      <c r="C4167" s="3" t="s">
        <v>551</v>
      </c>
    </row>
    <row r="4168">
      <c r="A4168" s="3" t="s">
        <v>539</v>
      </c>
      <c r="B4168" s="3" t="s">
        <v>542</v>
      </c>
      <c r="C4168" s="3" t="s">
        <v>543</v>
      </c>
    </row>
    <row r="4169">
      <c r="A4169" s="3" t="s">
        <v>539</v>
      </c>
      <c r="B4169" s="3" t="s">
        <v>540</v>
      </c>
      <c r="C4169" s="3" t="s">
        <v>541</v>
      </c>
    </row>
    <row r="4170">
      <c r="A4170" s="3" t="s">
        <v>539</v>
      </c>
      <c r="B4170" s="3" t="s">
        <v>542</v>
      </c>
      <c r="C4170" s="3" t="s">
        <v>543</v>
      </c>
    </row>
    <row r="4171">
      <c r="A4171" s="3" t="s">
        <v>539</v>
      </c>
      <c r="B4171" s="3" t="s">
        <v>544</v>
      </c>
      <c r="C4171" s="3" t="s">
        <v>545</v>
      </c>
    </row>
    <row r="4172">
      <c r="A4172" s="3" t="s">
        <v>539</v>
      </c>
      <c r="B4172" s="3" t="s">
        <v>542</v>
      </c>
      <c r="C4172" s="3" t="s">
        <v>543</v>
      </c>
    </row>
    <row r="4173">
      <c r="A4173" s="3" t="s">
        <v>539</v>
      </c>
      <c r="B4173" s="3" t="s">
        <v>552</v>
      </c>
      <c r="C4173" s="3" t="s">
        <v>553</v>
      </c>
    </row>
    <row r="4174">
      <c r="A4174" s="3" t="s">
        <v>539</v>
      </c>
      <c r="B4174" s="3" t="s">
        <v>542</v>
      </c>
      <c r="C4174" s="3" t="s">
        <v>543</v>
      </c>
    </row>
    <row r="4175">
      <c r="A4175" s="3" t="s">
        <v>539</v>
      </c>
      <c r="B4175" s="3" t="s">
        <v>549</v>
      </c>
      <c r="C4175" s="3" t="s">
        <v>554</v>
      </c>
    </row>
    <row r="4176">
      <c r="A4176" s="3" t="s">
        <v>539</v>
      </c>
      <c r="B4176" s="3" t="s">
        <v>542</v>
      </c>
      <c r="C4176" s="3" t="s">
        <v>543</v>
      </c>
    </row>
    <row r="4177">
      <c r="A4177" s="3" t="s">
        <v>539</v>
      </c>
      <c r="B4177" s="3" t="s">
        <v>544</v>
      </c>
      <c r="C4177" s="3" t="s">
        <v>545</v>
      </c>
    </row>
    <row r="4178">
      <c r="A4178" s="3" t="s">
        <v>539</v>
      </c>
      <c r="B4178" s="3" t="s">
        <v>542</v>
      </c>
      <c r="C4178" s="3" t="s">
        <v>543</v>
      </c>
    </row>
    <row r="4179">
      <c r="A4179" s="3" t="s">
        <v>539</v>
      </c>
      <c r="B4179" s="3" t="s">
        <v>540</v>
      </c>
      <c r="C4179" s="3" t="s">
        <v>541</v>
      </c>
    </row>
    <row r="4180">
      <c r="A4180" s="3" t="s">
        <v>539</v>
      </c>
      <c r="B4180" s="3" t="s">
        <v>542</v>
      </c>
      <c r="C4180" s="3" t="s">
        <v>543</v>
      </c>
    </row>
    <row r="4181">
      <c r="A4181" s="3" t="s">
        <v>539</v>
      </c>
      <c r="B4181" s="3" t="s">
        <v>546</v>
      </c>
      <c r="C4181" s="3" t="s">
        <v>548</v>
      </c>
    </row>
    <row r="4182">
      <c r="A4182" s="3" t="s">
        <v>539</v>
      </c>
      <c r="B4182" s="3" t="s">
        <v>542</v>
      </c>
      <c r="C4182" s="3" t="s">
        <v>543</v>
      </c>
    </row>
    <row r="4183">
      <c r="A4183" s="3" t="s">
        <v>539</v>
      </c>
      <c r="B4183" s="3" t="s">
        <v>542</v>
      </c>
      <c r="C4183" s="3" t="s">
        <v>543</v>
      </c>
    </row>
    <row r="4184">
      <c r="A4184" s="3" t="s">
        <v>539</v>
      </c>
      <c r="B4184" s="3" t="s">
        <v>549</v>
      </c>
      <c r="C4184" s="3" t="s">
        <v>551</v>
      </c>
    </row>
    <row r="4185">
      <c r="A4185" s="3" t="s">
        <v>539</v>
      </c>
      <c r="B4185" s="3" t="s">
        <v>542</v>
      </c>
      <c r="C4185" s="3" t="s">
        <v>543</v>
      </c>
    </row>
    <row r="4186">
      <c r="A4186" s="3" t="s">
        <v>539</v>
      </c>
      <c r="B4186" s="3" t="s">
        <v>552</v>
      </c>
      <c r="C4186" s="3" t="s">
        <v>553</v>
      </c>
    </row>
    <row r="4187">
      <c r="A4187" s="3" t="s">
        <v>539</v>
      </c>
      <c r="B4187" s="3" t="s">
        <v>542</v>
      </c>
      <c r="C4187" s="3" t="s">
        <v>543</v>
      </c>
    </row>
    <row r="4188">
      <c r="A4188" s="3" t="s">
        <v>539</v>
      </c>
      <c r="B4188" s="3" t="s">
        <v>546</v>
      </c>
      <c r="C4188" s="3" t="s">
        <v>548</v>
      </c>
    </row>
    <row r="4189">
      <c r="A4189" s="3" t="s">
        <v>539</v>
      </c>
      <c r="B4189" s="3" t="s">
        <v>542</v>
      </c>
      <c r="C4189" s="3" t="s">
        <v>543</v>
      </c>
    </row>
    <row r="4190">
      <c r="A4190" s="3" t="s">
        <v>539</v>
      </c>
      <c r="B4190" s="3" t="s">
        <v>540</v>
      </c>
      <c r="C4190" s="3" t="s">
        <v>541</v>
      </c>
    </row>
    <row r="4191">
      <c r="A4191" s="3" t="s">
        <v>539</v>
      </c>
      <c r="B4191" s="3" t="s">
        <v>542</v>
      </c>
      <c r="C4191" s="3" t="s">
        <v>543</v>
      </c>
    </row>
    <row r="4192">
      <c r="A4192" s="3" t="s">
        <v>539</v>
      </c>
      <c r="B4192" s="3" t="s">
        <v>540</v>
      </c>
      <c r="C4192" s="3" t="s">
        <v>541</v>
      </c>
    </row>
    <row r="4193">
      <c r="A4193" s="3" t="s">
        <v>539</v>
      </c>
      <c r="B4193" s="3" t="s">
        <v>542</v>
      </c>
      <c r="C4193" s="3" t="s">
        <v>543</v>
      </c>
    </row>
    <row r="4194">
      <c r="A4194" s="3" t="s">
        <v>539</v>
      </c>
      <c r="B4194" s="3" t="s">
        <v>549</v>
      </c>
      <c r="C4194" s="3" t="s">
        <v>551</v>
      </c>
    </row>
    <row r="4195">
      <c r="A4195" s="3" t="s">
        <v>539</v>
      </c>
      <c r="B4195" s="3" t="s">
        <v>549</v>
      </c>
      <c r="C4195" s="3" t="s">
        <v>551</v>
      </c>
    </row>
    <row r="4196">
      <c r="A4196" s="3" t="s">
        <v>539</v>
      </c>
      <c r="B4196" s="3" t="s">
        <v>542</v>
      </c>
      <c r="C4196" s="3" t="s">
        <v>543</v>
      </c>
    </row>
    <row r="4197">
      <c r="A4197" s="3" t="s">
        <v>539</v>
      </c>
      <c r="B4197" s="3" t="s">
        <v>549</v>
      </c>
      <c r="C4197" s="3" t="s">
        <v>554</v>
      </c>
    </row>
    <row r="4198">
      <c r="A4198" s="3" t="s">
        <v>539</v>
      </c>
      <c r="B4198" s="3" t="s">
        <v>542</v>
      </c>
      <c r="C4198" s="3" t="s">
        <v>543</v>
      </c>
    </row>
    <row r="4199">
      <c r="A4199" s="3" t="s">
        <v>539</v>
      </c>
      <c r="B4199" s="3" t="s">
        <v>544</v>
      </c>
      <c r="C4199" s="3" t="s">
        <v>545</v>
      </c>
    </row>
    <row r="4200">
      <c r="A4200" s="3" t="s">
        <v>539</v>
      </c>
      <c r="B4200" s="3" t="s">
        <v>542</v>
      </c>
      <c r="C4200" s="3" t="s">
        <v>543</v>
      </c>
    </row>
    <row r="4201">
      <c r="A4201" s="3" t="s">
        <v>539</v>
      </c>
      <c r="B4201" s="3" t="s">
        <v>546</v>
      </c>
      <c r="C4201" s="3" t="s">
        <v>548</v>
      </c>
    </row>
    <row r="4202">
      <c r="A4202" s="3" t="s">
        <v>539</v>
      </c>
      <c r="B4202" s="3" t="s">
        <v>542</v>
      </c>
      <c r="C4202" s="3" t="s">
        <v>543</v>
      </c>
    </row>
    <row r="4203">
      <c r="A4203" s="3" t="s">
        <v>539</v>
      </c>
      <c r="B4203" s="3" t="s">
        <v>540</v>
      </c>
      <c r="C4203" s="3" t="s">
        <v>541</v>
      </c>
    </row>
    <row r="4204">
      <c r="A4204" s="3" t="s">
        <v>539</v>
      </c>
      <c r="B4204" s="3" t="s">
        <v>549</v>
      </c>
      <c r="C4204" s="3" t="s">
        <v>554</v>
      </c>
    </row>
    <row r="4205">
      <c r="A4205" s="3" t="s">
        <v>539</v>
      </c>
      <c r="B4205" s="3" t="s">
        <v>542</v>
      </c>
      <c r="C4205" s="3" t="s">
        <v>543</v>
      </c>
    </row>
    <row r="4206">
      <c r="A4206" s="3" t="s">
        <v>539</v>
      </c>
      <c r="B4206" s="3" t="s">
        <v>542</v>
      </c>
      <c r="C4206" s="3" t="s">
        <v>543</v>
      </c>
    </row>
    <row r="4207">
      <c r="A4207" s="3" t="s">
        <v>539</v>
      </c>
      <c r="B4207" s="3" t="s">
        <v>540</v>
      </c>
      <c r="C4207" s="3" t="s">
        <v>541</v>
      </c>
    </row>
    <row r="4208">
      <c r="A4208" s="3" t="s">
        <v>539</v>
      </c>
      <c r="B4208" s="3" t="s">
        <v>540</v>
      </c>
      <c r="C4208" s="3" t="s">
        <v>541</v>
      </c>
    </row>
    <row r="4209">
      <c r="A4209" s="3" t="s">
        <v>539</v>
      </c>
      <c r="B4209" s="3" t="s">
        <v>540</v>
      </c>
      <c r="C4209" s="3" t="s">
        <v>541</v>
      </c>
    </row>
    <row r="4210">
      <c r="A4210" s="3" t="s">
        <v>539</v>
      </c>
      <c r="B4210" s="3" t="s">
        <v>542</v>
      </c>
      <c r="C4210" s="3" t="s">
        <v>543</v>
      </c>
    </row>
    <row r="4211">
      <c r="A4211" s="3" t="s">
        <v>539</v>
      </c>
      <c r="B4211" s="3" t="s">
        <v>540</v>
      </c>
      <c r="C4211" s="3" t="s">
        <v>541</v>
      </c>
    </row>
    <row r="4212">
      <c r="A4212" s="3" t="s">
        <v>539</v>
      </c>
      <c r="B4212" s="3" t="s">
        <v>542</v>
      </c>
      <c r="C4212" s="3" t="s">
        <v>543</v>
      </c>
    </row>
    <row r="4213">
      <c r="A4213" s="3" t="s">
        <v>539</v>
      </c>
      <c r="B4213" s="3" t="s">
        <v>540</v>
      </c>
      <c r="C4213" s="3" t="s">
        <v>541</v>
      </c>
    </row>
    <row r="4214">
      <c r="A4214" s="3" t="s">
        <v>539</v>
      </c>
      <c r="B4214" s="3" t="s">
        <v>542</v>
      </c>
      <c r="C4214" s="3" t="s">
        <v>543</v>
      </c>
    </row>
    <row r="4215">
      <c r="A4215" s="3" t="s">
        <v>539</v>
      </c>
      <c r="B4215" s="3" t="s">
        <v>540</v>
      </c>
      <c r="C4215" s="3" t="s">
        <v>541</v>
      </c>
    </row>
    <row r="4216">
      <c r="A4216" s="3" t="s">
        <v>539</v>
      </c>
      <c r="B4216" s="3" t="s">
        <v>540</v>
      </c>
      <c r="C4216" s="3" t="s">
        <v>541</v>
      </c>
    </row>
    <row r="4217">
      <c r="A4217" s="3" t="s">
        <v>539</v>
      </c>
      <c r="B4217" s="3" t="s">
        <v>542</v>
      </c>
      <c r="C4217" s="3" t="s">
        <v>543</v>
      </c>
    </row>
    <row r="4218">
      <c r="A4218" s="3" t="s">
        <v>539</v>
      </c>
      <c r="B4218" s="3" t="s">
        <v>544</v>
      </c>
      <c r="C4218" s="3" t="s">
        <v>545</v>
      </c>
    </row>
    <row r="4219">
      <c r="A4219" s="3" t="s">
        <v>539</v>
      </c>
      <c r="B4219" s="3" t="s">
        <v>540</v>
      </c>
      <c r="C4219" s="3" t="s">
        <v>541</v>
      </c>
    </row>
    <row r="4220">
      <c r="A4220" s="3" t="s">
        <v>539</v>
      </c>
      <c r="B4220" s="3" t="s">
        <v>540</v>
      </c>
      <c r="C4220" s="3" t="s">
        <v>541</v>
      </c>
    </row>
    <row r="4221">
      <c r="A4221" s="3" t="s">
        <v>539</v>
      </c>
      <c r="B4221" s="3" t="s">
        <v>552</v>
      </c>
      <c r="C4221" s="3" t="s">
        <v>553</v>
      </c>
    </row>
    <row r="4222">
      <c r="A4222" s="3" t="s">
        <v>539</v>
      </c>
      <c r="B4222" s="3" t="s">
        <v>542</v>
      </c>
      <c r="C4222" s="3" t="s">
        <v>543</v>
      </c>
    </row>
    <row r="4223">
      <c r="A4223" s="3" t="s">
        <v>539</v>
      </c>
      <c r="B4223" s="3" t="s">
        <v>540</v>
      </c>
      <c r="C4223" s="3" t="s">
        <v>541</v>
      </c>
    </row>
    <row r="4224">
      <c r="A4224" s="3" t="s">
        <v>539</v>
      </c>
      <c r="B4224" s="3" t="s">
        <v>552</v>
      </c>
      <c r="C4224" s="3" t="s">
        <v>553</v>
      </c>
    </row>
    <row r="4225">
      <c r="A4225" s="3" t="s">
        <v>539</v>
      </c>
      <c r="B4225" s="3" t="s">
        <v>542</v>
      </c>
      <c r="C4225" s="3" t="s">
        <v>543</v>
      </c>
    </row>
    <row r="4226">
      <c r="A4226" s="3" t="s">
        <v>539</v>
      </c>
      <c r="B4226" s="3" t="s">
        <v>549</v>
      </c>
      <c r="C4226" s="3" t="s">
        <v>554</v>
      </c>
    </row>
    <row r="4227">
      <c r="A4227" s="3" t="s">
        <v>539</v>
      </c>
      <c r="B4227" s="3" t="s">
        <v>544</v>
      </c>
      <c r="C4227" s="3" t="s">
        <v>545</v>
      </c>
    </row>
    <row r="4228">
      <c r="A4228" s="3" t="s">
        <v>539</v>
      </c>
      <c r="B4228" s="3" t="s">
        <v>542</v>
      </c>
      <c r="C4228" s="3" t="s">
        <v>543</v>
      </c>
    </row>
    <row r="4229">
      <c r="A4229" s="3" t="s">
        <v>539</v>
      </c>
      <c r="B4229" s="3" t="s">
        <v>546</v>
      </c>
      <c r="C4229" s="3" t="s">
        <v>548</v>
      </c>
    </row>
    <row r="4230">
      <c r="A4230" s="3" t="s">
        <v>539</v>
      </c>
      <c r="B4230" s="3" t="s">
        <v>552</v>
      </c>
      <c r="C4230" s="3" t="s">
        <v>553</v>
      </c>
    </row>
    <row r="4231">
      <c r="A4231" s="3" t="s">
        <v>539</v>
      </c>
      <c r="B4231" s="3" t="s">
        <v>542</v>
      </c>
      <c r="C4231" s="3" t="s">
        <v>543</v>
      </c>
    </row>
    <row r="4232">
      <c r="A4232" s="3" t="s">
        <v>539</v>
      </c>
      <c r="B4232" s="3" t="s">
        <v>552</v>
      </c>
      <c r="C4232" s="3" t="s">
        <v>553</v>
      </c>
    </row>
    <row r="4233">
      <c r="A4233" s="3" t="s">
        <v>539</v>
      </c>
      <c r="B4233" s="3" t="s">
        <v>540</v>
      </c>
      <c r="C4233" s="3" t="s">
        <v>541</v>
      </c>
    </row>
    <row r="4234">
      <c r="A4234" s="3" t="s">
        <v>539</v>
      </c>
      <c r="B4234" s="3" t="s">
        <v>542</v>
      </c>
      <c r="C4234" s="3" t="s">
        <v>543</v>
      </c>
    </row>
    <row r="4235">
      <c r="A4235" s="3" t="s">
        <v>539</v>
      </c>
      <c r="B4235" s="3" t="s">
        <v>542</v>
      </c>
      <c r="C4235" s="3" t="s">
        <v>543</v>
      </c>
    </row>
    <row r="4236">
      <c r="A4236" s="3" t="s">
        <v>539</v>
      </c>
      <c r="B4236" s="3" t="s">
        <v>546</v>
      </c>
      <c r="C4236" s="3" t="s">
        <v>548</v>
      </c>
    </row>
    <row r="4237">
      <c r="A4237" s="3" t="s">
        <v>539</v>
      </c>
      <c r="B4237" s="3" t="s">
        <v>542</v>
      </c>
      <c r="C4237" s="3" t="s">
        <v>543</v>
      </c>
    </row>
    <row r="4238">
      <c r="A4238" s="3" t="s">
        <v>539</v>
      </c>
      <c r="B4238" s="3" t="s">
        <v>546</v>
      </c>
      <c r="C4238" s="3" t="s">
        <v>547</v>
      </c>
    </row>
    <row r="4239">
      <c r="A4239" s="3" t="s">
        <v>539</v>
      </c>
      <c r="B4239" s="3" t="s">
        <v>552</v>
      </c>
      <c r="C4239" s="3" t="s">
        <v>553</v>
      </c>
    </row>
    <row r="4240">
      <c r="A4240" s="3" t="s">
        <v>539</v>
      </c>
      <c r="B4240" s="3" t="s">
        <v>549</v>
      </c>
      <c r="C4240" s="3" t="s">
        <v>551</v>
      </c>
    </row>
    <row r="4241">
      <c r="A4241" s="3" t="s">
        <v>539</v>
      </c>
      <c r="B4241" s="3" t="s">
        <v>544</v>
      </c>
      <c r="C4241" s="3" t="s">
        <v>545</v>
      </c>
    </row>
    <row r="4242">
      <c r="A4242" s="3" t="s">
        <v>539</v>
      </c>
      <c r="B4242" s="3" t="s">
        <v>542</v>
      </c>
      <c r="C4242" s="3" t="s">
        <v>543</v>
      </c>
    </row>
    <row r="4243">
      <c r="A4243" s="3" t="s">
        <v>539</v>
      </c>
      <c r="B4243" s="3" t="s">
        <v>552</v>
      </c>
      <c r="C4243" s="3" t="s">
        <v>553</v>
      </c>
    </row>
    <row r="4244">
      <c r="A4244" s="3" t="s">
        <v>539</v>
      </c>
      <c r="B4244" s="3" t="s">
        <v>542</v>
      </c>
      <c r="C4244" s="3" t="s">
        <v>543</v>
      </c>
    </row>
    <row r="4245">
      <c r="A4245" s="3" t="s">
        <v>539</v>
      </c>
      <c r="B4245" s="3" t="s">
        <v>540</v>
      </c>
      <c r="C4245" s="3" t="s">
        <v>541</v>
      </c>
    </row>
    <row r="4246">
      <c r="A4246" s="3" t="s">
        <v>555</v>
      </c>
      <c r="B4246" s="3" t="s">
        <v>556</v>
      </c>
      <c r="C4246" s="3" t="s">
        <v>557</v>
      </c>
    </row>
    <row r="4247">
      <c r="A4247" s="3" t="s">
        <v>555</v>
      </c>
      <c r="B4247" s="3" t="s">
        <v>558</v>
      </c>
      <c r="C4247" s="3" t="s">
        <v>559</v>
      </c>
    </row>
    <row r="4248">
      <c r="A4248" s="3" t="s">
        <v>555</v>
      </c>
      <c r="B4248" s="3" t="s">
        <v>43</v>
      </c>
      <c r="C4248" s="3" t="s">
        <v>560</v>
      </c>
    </row>
    <row r="4249">
      <c r="A4249" s="3" t="s">
        <v>555</v>
      </c>
      <c r="B4249" s="3" t="s">
        <v>43</v>
      </c>
      <c r="C4249" s="3" t="s">
        <v>561</v>
      </c>
    </row>
    <row r="4250">
      <c r="A4250" s="3" t="s">
        <v>555</v>
      </c>
      <c r="B4250" s="3" t="s">
        <v>43</v>
      </c>
      <c r="C4250" s="3" t="s">
        <v>562</v>
      </c>
    </row>
    <row r="4251">
      <c r="A4251" s="3" t="s">
        <v>555</v>
      </c>
      <c r="B4251" s="3" t="s">
        <v>43</v>
      </c>
      <c r="C4251" s="3" t="s">
        <v>563</v>
      </c>
    </row>
    <row r="4252">
      <c r="A4252" s="3" t="s">
        <v>555</v>
      </c>
      <c r="B4252" s="3" t="s">
        <v>43</v>
      </c>
      <c r="C4252" s="3" t="s">
        <v>562</v>
      </c>
    </row>
    <row r="4253">
      <c r="A4253" s="3" t="s">
        <v>555</v>
      </c>
      <c r="B4253" s="3" t="s">
        <v>43</v>
      </c>
      <c r="C4253" s="3" t="s">
        <v>560</v>
      </c>
    </row>
    <row r="4254">
      <c r="A4254" s="3" t="s">
        <v>555</v>
      </c>
      <c r="B4254" s="3" t="s">
        <v>43</v>
      </c>
      <c r="C4254" s="3" t="s">
        <v>561</v>
      </c>
    </row>
    <row r="4255">
      <c r="A4255" s="3" t="s">
        <v>555</v>
      </c>
      <c r="B4255" s="3" t="s">
        <v>564</v>
      </c>
      <c r="C4255" s="3" t="s">
        <v>565</v>
      </c>
    </row>
    <row r="4256">
      <c r="A4256" s="3" t="s">
        <v>555</v>
      </c>
      <c r="B4256" s="3" t="s">
        <v>564</v>
      </c>
      <c r="C4256" s="3" t="s">
        <v>566</v>
      </c>
    </row>
    <row r="4257">
      <c r="A4257" s="3" t="s">
        <v>555</v>
      </c>
      <c r="B4257" s="3" t="s">
        <v>564</v>
      </c>
      <c r="C4257" s="3" t="s">
        <v>565</v>
      </c>
    </row>
    <row r="4258">
      <c r="A4258" s="3" t="s">
        <v>555</v>
      </c>
      <c r="B4258" s="3" t="s">
        <v>564</v>
      </c>
      <c r="C4258" s="3" t="s">
        <v>565</v>
      </c>
    </row>
    <row r="4259">
      <c r="A4259" s="3" t="s">
        <v>555</v>
      </c>
      <c r="B4259" s="3" t="s">
        <v>564</v>
      </c>
      <c r="C4259" s="3" t="s">
        <v>565</v>
      </c>
    </row>
    <row r="4260">
      <c r="A4260" s="3" t="s">
        <v>555</v>
      </c>
      <c r="B4260" s="3" t="s">
        <v>43</v>
      </c>
      <c r="C4260" s="3" t="s">
        <v>561</v>
      </c>
    </row>
    <row r="4261">
      <c r="A4261" s="3" t="s">
        <v>555</v>
      </c>
      <c r="B4261" s="3" t="s">
        <v>43</v>
      </c>
      <c r="C4261" s="3" t="s">
        <v>561</v>
      </c>
    </row>
    <row r="4262">
      <c r="A4262" s="3" t="s">
        <v>555</v>
      </c>
      <c r="B4262" s="3" t="s">
        <v>564</v>
      </c>
      <c r="C4262" s="3" t="s">
        <v>566</v>
      </c>
    </row>
    <row r="4263">
      <c r="A4263" s="3" t="s">
        <v>555</v>
      </c>
      <c r="B4263" s="3" t="s">
        <v>567</v>
      </c>
      <c r="C4263" s="3" t="s">
        <v>568</v>
      </c>
    </row>
    <row r="4264">
      <c r="A4264" s="3" t="s">
        <v>555</v>
      </c>
      <c r="B4264" s="3" t="s">
        <v>564</v>
      </c>
      <c r="C4264" s="3" t="s">
        <v>569</v>
      </c>
    </row>
    <row r="4265">
      <c r="A4265" s="3" t="s">
        <v>555</v>
      </c>
      <c r="B4265" s="3" t="s">
        <v>564</v>
      </c>
      <c r="C4265" s="3" t="s">
        <v>565</v>
      </c>
    </row>
    <row r="4266">
      <c r="A4266" s="3" t="s">
        <v>555</v>
      </c>
      <c r="B4266" s="3" t="s">
        <v>564</v>
      </c>
      <c r="C4266" s="3" t="s">
        <v>570</v>
      </c>
    </row>
    <row r="4267">
      <c r="A4267" s="3" t="s">
        <v>555</v>
      </c>
      <c r="B4267" s="3" t="s">
        <v>43</v>
      </c>
      <c r="C4267" s="3" t="s">
        <v>561</v>
      </c>
    </row>
    <row r="4268">
      <c r="A4268" s="3" t="s">
        <v>555</v>
      </c>
      <c r="B4268" s="3" t="s">
        <v>564</v>
      </c>
      <c r="C4268" s="3" t="s">
        <v>569</v>
      </c>
    </row>
    <row r="4269">
      <c r="A4269" s="3" t="s">
        <v>555</v>
      </c>
      <c r="B4269" s="3" t="s">
        <v>564</v>
      </c>
      <c r="C4269" s="3" t="s">
        <v>565</v>
      </c>
    </row>
    <row r="4270">
      <c r="A4270" s="3" t="s">
        <v>555</v>
      </c>
      <c r="B4270" s="3" t="s">
        <v>564</v>
      </c>
      <c r="C4270" s="3" t="s">
        <v>565</v>
      </c>
    </row>
    <row r="4271">
      <c r="A4271" s="3" t="s">
        <v>555</v>
      </c>
      <c r="B4271" s="3" t="s">
        <v>556</v>
      </c>
      <c r="C4271" s="3" t="s">
        <v>571</v>
      </c>
    </row>
    <row r="4272">
      <c r="A4272" s="3" t="s">
        <v>555</v>
      </c>
      <c r="B4272" s="3" t="s">
        <v>556</v>
      </c>
      <c r="C4272" s="3" t="s">
        <v>572</v>
      </c>
    </row>
    <row r="4273">
      <c r="A4273" s="3" t="s">
        <v>555</v>
      </c>
      <c r="B4273" s="3" t="s">
        <v>564</v>
      </c>
      <c r="C4273" s="3" t="s">
        <v>566</v>
      </c>
    </row>
    <row r="4274">
      <c r="A4274" s="3" t="s">
        <v>555</v>
      </c>
      <c r="B4274" s="3" t="s">
        <v>564</v>
      </c>
      <c r="C4274" s="3" t="s">
        <v>570</v>
      </c>
    </row>
    <row r="4275">
      <c r="A4275" s="3" t="s">
        <v>555</v>
      </c>
      <c r="B4275" s="3" t="s">
        <v>556</v>
      </c>
      <c r="C4275" s="3" t="s">
        <v>571</v>
      </c>
    </row>
    <row r="4276">
      <c r="A4276" s="3" t="s">
        <v>555</v>
      </c>
      <c r="B4276" s="3" t="s">
        <v>43</v>
      </c>
      <c r="C4276" s="3" t="s">
        <v>561</v>
      </c>
    </row>
    <row r="4277">
      <c r="A4277" s="3" t="s">
        <v>555</v>
      </c>
      <c r="B4277" s="3" t="s">
        <v>564</v>
      </c>
      <c r="C4277" s="3" t="s">
        <v>569</v>
      </c>
    </row>
    <row r="4278">
      <c r="A4278" s="3" t="s">
        <v>555</v>
      </c>
      <c r="B4278" s="3" t="s">
        <v>567</v>
      </c>
      <c r="C4278" s="3" t="s">
        <v>573</v>
      </c>
    </row>
    <row r="4279">
      <c r="A4279" s="3" t="s">
        <v>555</v>
      </c>
      <c r="B4279" s="3" t="s">
        <v>567</v>
      </c>
      <c r="C4279" s="3" t="s">
        <v>573</v>
      </c>
    </row>
    <row r="4280">
      <c r="A4280" s="3" t="s">
        <v>555</v>
      </c>
      <c r="B4280" s="3" t="s">
        <v>556</v>
      </c>
      <c r="C4280" s="3" t="s">
        <v>572</v>
      </c>
    </row>
    <row r="4281">
      <c r="A4281" s="3" t="s">
        <v>555</v>
      </c>
      <c r="B4281" s="3" t="s">
        <v>556</v>
      </c>
      <c r="C4281" s="3" t="s">
        <v>572</v>
      </c>
    </row>
    <row r="4282">
      <c r="A4282" s="3" t="s">
        <v>555</v>
      </c>
      <c r="B4282" s="3" t="s">
        <v>556</v>
      </c>
      <c r="C4282" s="3" t="s">
        <v>572</v>
      </c>
    </row>
    <row r="4283">
      <c r="A4283" s="3" t="s">
        <v>555</v>
      </c>
      <c r="B4283" s="3" t="s">
        <v>564</v>
      </c>
      <c r="C4283" s="3" t="s">
        <v>569</v>
      </c>
    </row>
    <row r="4284">
      <c r="A4284" s="3" t="s">
        <v>555</v>
      </c>
      <c r="B4284" s="3" t="s">
        <v>567</v>
      </c>
      <c r="C4284" s="3" t="s">
        <v>574</v>
      </c>
    </row>
    <row r="4285">
      <c r="A4285" s="3" t="s">
        <v>555</v>
      </c>
      <c r="B4285" s="3" t="s">
        <v>564</v>
      </c>
      <c r="C4285" s="3" t="s">
        <v>565</v>
      </c>
    </row>
    <row r="4286">
      <c r="A4286" s="3" t="s">
        <v>555</v>
      </c>
      <c r="B4286" s="3" t="s">
        <v>564</v>
      </c>
      <c r="C4286" s="3" t="s">
        <v>570</v>
      </c>
    </row>
    <row r="4287">
      <c r="A4287" s="3" t="s">
        <v>555</v>
      </c>
      <c r="B4287" s="3" t="s">
        <v>43</v>
      </c>
      <c r="C4287" s="3" t="s">
        <v>562</v>
      </c>
    </row>
    <row r="4288">
      <c r="A4288" s="3" t="s">
        <v>555</v>
      </c>
      <c r="B4288" s="3" t="s">
        <v>43</v>
      </c>
      <c r="C4288" s="3" t="s">
        <v>561</v>
      </c>
    </row>
    <row r="4289">
      <c r="A4289" s="3" t="s">
        <v>555</v>
      </c>
      <c r="B4289" s="3" t="s">
        <v>43</v>
      </c>
      <c r="C4289" s="3" t="s">
        <v>562</v>
      </c>
    </row>
    <row r="4290">
      <c r="A4290" s="3" t="s">
        <v>555</v>
      </c>
      <c r="B4290" s="3" t="s">
        <v>567</v>
      </c>
      <c r="C4290" s="3" t="s">
        <v>575</v>
      </c>
    </row>
    <row r="4291">
      <c r="A4291" s="3" t="s">
        <v>555</v>
      </c>
      <c r="B4291" s="3" t="s">
        <v>567</v>
      </c>
      <c r="C4291" s="3" t="s">
        <v>568</v>
      </c>
    </row>
    <row r="4292">
      <c r="A4292" s="3" t="s">
        <v>555</v>
      </c>
      <c r="B4292" s="3" t="s">
        <v>567</v>
      </c>
      <c r="C4292" s="3" t="s">
        <v>576</v>
      </c>
    </row>
    <row r="4293">
      <c r="A4293" s="3" t="s">
        <v>555</v>
      </c>
      <c r="B4293" s="3" t="s">
        <v>567</v>
      </c>
      <c r="C4293" s="3" t="s">
        <v>573</v>
      </c>
    </row>
    <row r="4294">
      <c r="A4294" s="3" t="s">
        <v>555</v>
      </c>
      <c r="B4294" s="3" t="s">
        <v>567</v>
      </c>
      <c r="C4294" s="3" t="s">
        <v>577</v>
      </c>
    </row>
    <row r="4295">
      <c r="A4295" s="3" t="s">
        <v>555</v>
      </c>
      <c r="B4295" s="3" t="s">
        <v>567</v>
      </c>
      <c r="C4295" s="3" t="s">
        <v>574</v>
      </c>
    </row>
    <row r="4296">
      <c r="A4296" s="3" t="s">
        <v>555</v>
      </c>
      <c r="B4296" s="3" t="s">
        <v>567</v>
      </c>
      <c r="C4296" s="3" t="s">
        <v>578</v>
      </c>
    </row>
    <row r="4297">
      <c r="A4297" s="3" t="s">
        <v>555</v>
      </c>
      <c r="B4297" s="3" t="s">
        <v>564</v>
      </c>
      <c r="C4297" s="3" t="s">
        <v>570</v>
      </c>
    </row>
    <row r="4298">
      <c r="A4298" s="3" t="s">
        <v>555</v>
      </c>
      <c r="B4298" s="3" t="s">
        <v>564</v>
      </c>
      <c r="C4298" s="3" t="s">
        <v>565</v>
      </c>
    </row>
    <row r="4299">
      <c r="A4299" s="3" t="s">
        <v>555</v>
      </c>
      <c r="B4299" s="3" t="s">
        <v>556</v>
      </c>
      <c r="C4299" s="3" t="s">
        <v>571</v>
      </c>
    </row>
    <row r="4300">
      <c r="A4300" s="3" t="s">
        <v>555</v>
      </c>
      <c r="B4300" s="3" t="s">
        <v>556</v>
      </c>
      <c r="C4300" s="3" t="s">
        <v>572</v>
      </c>
    </row>
    <row r="4301">
      <c r="A4301" s="3" t="s">
        <v>555</v>
      </c>
      <c r="B4301" s="3" t="s">
        <v>43</v>
      </c>
      <c r="C4301" s="3" t="s">
        <v>579</v>
      </c>
    </row>
    <row r="4302">
      <c r="A4302" s="3" t="s">
        <v>555</v>
      </c>
      <c r="B4302" s="3" t="s">
        <v>43</v>
      </c>
      <c r="C4302" s="3" t="s">
        <v>561</v>
      </c>
    </row>
    <row r="4303">
      <c r="A4303" s="3" t="s">
        <v>555</v>
      </c>
      <c r="B4303" s="3" t="s">
        <v>43</v>
      </c>
      <c r="C4303" s="3" t="s">
        <v>562</v>
      </c>
    </row>
    <row r="4304">
      <c r="A4304" s="3" t="s">
        <v>555</v>
      </c>
      <c r="B4304" s="3" t="s">
        <v>43</v>
      </c>
      <c r="C4304" s="3" t="s">
        <v>563</v>
      </c>
    </row>
    <row r="4305">
      <c r="A4305" s="3" t="s">
        <v>555</v>
      </c>
      <c r="B4305" s="3" t="s">
        <v>556</v>
      </c>
      <c r="C4305" s="3" t="s">
        <v>571</v>
      </c>
    </row>
    <row r="4306">
      <c r="A4306" s="3" t="s">
        <v>555</v>
      </c>
      <c r="B4306" s="3" t="s">
        <v>564</v>
      </c>
      <c r="C4306" s="3" t="s">
        <v>565</v>
      </c>
    </row>
    <row r="4307">
      <c r="A4307" s="3" t="s">
        <v>555</v>
      </c>
      <c r="B4307" s="3" t="s">
        <v>567</v>
      </c>
      <c r="C4307" s="3" t="s">
        <v>573</v>
      </c>
    </row>
    <row r="4308">
      <c r="A4308" s="3" t="s">
        <v>555</v>
      </c>
      <c r="B4308" s="3" t="s">
        <v>564</v>
      </c>
      <c r="C4308" s="3" t="s">
        <v>565</v>
      </c>
    </row>
    <row r="4309">
      <c r="A4309" s="3" t="s">
        <v>555</v>
      </c>
      <c r="B4309" s="3" t="s">
        <v>564</v>
      </c>
      <c r="C4309" s="3" t="s">
        <v>565</v>
      </c>
    </row>
    <row r="4310">
      <c r="A4310" s="3" t="s">
        <v>555</v>
      </c>
      <c r="B4310" s="3" t="s">
        <v>43</v>
      </c>
      <c r="C4310" s="3" t="s">
        <v>562</v>
      </c>
    </row>
    <row r="4311">
      <c r="A4311" s="3" t="s">
        <v>555</v>
      </c>
      <c r="B4311" s="3" t="s">
        <v>564</v>
      </c>
      <c r="C4311" s="3" t="s">
        <v>565</v>
      </c>
    </row>
    <row r="4312">
      <c r="A4312" s="3" t="s">
        <v>555</v>
      </c>
      <c r="B4312" s="3" t="s">
        <v>556</v>
      </c>
      <c r="C4312" s="3" t="s">
        <v>571</v>
      </c>
    </row>
    <row r="4313">
      <c r="A4313" s="3" t="s">
        <v>555</v>
      </c>
      <c r="B4313" s="3" t="s">
        <v>567</v>
      </c>
      <c r="C4313" s="3" t="s">
        <v>575</v>
      </c>
    </row>
    <row r="4314">
      <c r="A4314" s="3" t="s">
        <v>555</v>
      </c>
      <c r="B4314" s="3" t="s">
        <v>43</v>
      </c>
      <c r="C4314" s="3" t="s">
        <v>579</v>
      </c>
    </row>
    <row r="4315">
      <c r="A4315" s="3" t="s">
        <v>555</v>
      </c>
      <c r="B4315" s="3" t="s">
        <v>567</v>
      </c>
      <c r="C4315" s="3" t="s">
        <v>580</v>
      </c>
    </row>
    <row r="4316">
      <c r="A4316" s="3" t="s">
        <v>555</v>
      </c>
      <c r="B4316" s="3" t="s">
        <v>567</v>
      </c>
      <c r="C4316" s="3" t="s">
        <v>577</v>
      </c>
    </row>
    <row r="4317">
      <c r="A4317" s="3" t="s">
        <v>555</v>
      </c>
      <c r="B4317" s="3" t="s">
        <v>556</v>
      </c>
      <c r="C4317" s="3" t="s">
        <v>571</v>
      </c>
    </row>
    <row r="4318">
      <c r="A4318" s="3" t="s">
        <v>555</v>
      </c>
      <c r="B4318" s="3" t="s">
        <v>556</v>
      </c>
      <c r="C4318" s="3" t="s">
        <v>581</v>
      </c>
    </row>
    <row r="4319">
      <c r="A4319" s="3" t="s">
        <v>555</v>
      </c>
      <c r="B4319" s="3" t="s">
        <v>556</v>
      </c>
      <c r="C4319" s="3" t="s">
        <v>572</v>
      </c>
    </row>
    <row r="4320">
      <c r="A4320" s="3" t="s">
        <v>555</v>
      </c>
      <c r="B4320" s="3" t="s">
        <v>556</v>
      </c>
      <c r="C4320" s="3" t="s">
        <v>571</v>
      </c>
    </row>
    <row r="4321">
      <c r="A4321" s="3" t="s">
        <v>555</v>
      </c>
      <c r="B4321" s="3" t="s">
        <v>556</v>
      </c>
      <c r="C4321" s="3" t="s">
        <v>581</v>
      </c>
    </row>
    <row r="4322">
      <c r="A4322" s="3" t="s">
        <v>555</v>
      </c>
      <c r="B4322" s="3" t="s">
        <v>43</v>
      </c>
      <c r="C4322" s="3" t="s">
        <v>579</v>
      </c>
    </row>
    <row r="4323">
      <c r="A4323" s="3" t="s">
        <v>555</v>
      </c>
      <c r="B4323" s="3" t="s">
        <v>567</v>
      </c>
      <c r="C4323" s="3" t="s">
        <v>568</v>
      </c>
    </row>
    <row r="4324">
      <c r="A4324" s="3" t="s">
        <v>555</v>
      </c>
      <c r="B4324" s="3" t="s">
        <v>556</v>
      </c>
      <c r="C4324" s="3" t="s">
        <v>581</v>
      </c>
    </row>
    <row r="4325">
      <c r="A4325" s="3" t="s">
        <v>555</v>
      </c>
      <c r="B4325" s="3" t="s">
        <v>567</v>
      </c>
      <c r="C4325" s="3" t="s">
        <v>580</v>
      </c>
    </row>
    <row r="4326">
      <c r="A4326" s="3" t="s">
        <v>555</v>
      </c>
      <c r="B4326" s="3" t="s">
        <v>567</v>
      </c>
      <c r="C4326" s="3" t="s">
        <v>573</v>
      </c>
    </row>
    <row r="4327">
      <c r="A4327" s="3" t="s">
        <v>555</v>
      </c>
      <c r="B4327" s="3" t="s">
        <v>567</v>
      </c>
      <c r="C4327" s="3" t="s">
        <v>574</v>
      </c>
    </row>
    <row r="4328">
      <c r="A4328" s="3" t="s">
        <v>555</v>
      </c>
      <c r="B4328" s="3" t="s">
        <v>567</v>
      </c>
      <c r="C4328" s="3" t="s">
        <v>577</v>
      </c>
    </row>
    <row r="4329">
      <c r="A4329" s="3" t="s">
        <v>555</v>
      </c>
      <c r="B4329" s="3" t="s">
        <v>567</v>
      </c>
      <c r="C4329" s="3" t="s">
        <v>574</v>
      </c>
    </row>
    <row r="4330">
      <c r="A4330" s="3" t="s">
        <v>555</v>
      </c>
      <c r="B4330" s="3" t="s">
        <v>567</v>
      </c>
      <c r="C4330" s="3" t="s">
        <v>574</v>
      </c>
    </row>
    <row r="4331">
      <c r="A4331" s="3" t="s">
        <v>555</v>
      </c>
      <c r="B4331" s="3" t="s">
        <v>43</v>
      </c>
      <c r="C4331" s="3" t="s">
        <v>561</v>
      </c>
    </row>
    <row r="4332">
      <c r="A4332" s="3" t="s">
        <v>555</v>
      </c>
      <c r="B4332" s="3" t="s">
        <v>567</v>
      </c>
      <c r="C4332" s="3" t="s">
        <v>577</v>
      </c>
    </row>
    <row r="4333">
      <c r="A4333" s="3" t="s">
        <v>555</v>
      </c>
      <c r="B4333" s="3" t="s">
        <v>567</v>
      </c>
      <c r="C4333" s="3" t="s">
        <v>578</v>
      </c>
    </row>
    <row r="4334">
      <c r="A4334" s="3" t="s">
        <v>555</v>
      </c>
      <c r="B4334" s="3" t="s">
        <v>43</v>
      </c>
      <c r="C4334" s="3" t="s">
        <v>561</v>
      </c>
    </row>
    <row r="4335">
      <c r="A4335" s="3" t="s">
        <v>555</v>
      </c>
      <c r="B4335" s="3" t="s">
        <v>43</v>
      </c>
      <c r="C4335" s="3" t="s">
        <v>579</v>
      </c>
    </row>
    <row r="4336">
      <c r="A4336" s="3" t="s">
        <v>555</v>
      </c>
      <c r="B4336" s="3" t="s">
        <v>564</v>
      </c>
      <c r="C4336" s="3" t="s">
        <v>569</v>
      </c>
    </row>
    <row r="4337">
      <c r="A4337" s="3" t="s">
        <v>555</v>
      </c>
      <c r="B4337" s="3" t="s">
        <v>567</v>
      </c>
      <c r="C4337" s="3" t="s">
        <v>568</v>
      </c>
    </row>
    <row r="4338">
      <c r="A4338" s="3" t="s">
        <v>555</v>
      </c>
      <c r="B4338" s="3" t="s">
        <v>567</v>
      </c>
      <c r="C4338" s="3" t="s">
        <v>573</v>
      </c>
    </row>
    <row r="4339">
      <c r="A4339" s="3" t="s">
        <v>555</v>
      </c>
      <c r="B4339" s="3" t="s">
        <v>556</v>
      </c>
      <c r="C4339" s="3" t="s">
        <v>572</v>
      </c>
    </row>
    <row r="4340">
      <c r="A4340" s="3" t="s">
        <v>555</v>
      </c>
      <c r="B4340" s="3" t="s">
        <v>43</v>
      </c>
      <c r="C4340" s="3" t="s">
        <v>562</v>
      </c>
    </row>
    <row r="4341">
      <c r="A4341" s="3" t="s">
        <v>555</v>
      </c>
      <c r="B4341" s="3" t="s">
        <v>43</v>
      </c>
      <c r="C4341" s="3" t="s">
        <v>562</v>
      </c>
    </row>
    <row r="4342">
      <c r="A4342" s="3" t="s">
        <v>555</v>
      </c>
      <c r="B4342" s="3" t="s">
        <v>567</v>
      </c>
      <c r="C4342" s="3" t="s">
        <v>575</v>
      </c>
    </row>
    <row r="4343">
      <c r="A4343" s="3" t="s">
        <v>555</v>
      </c>
      <c r="B4343" s="3" t="s">
        <v>567</v>
      </c>
      <c r="C4343" s="3" t="s">
        <v>568</v>
      </c>
    </row>
    <row r="4344">
      <c r="A4344" s="3" t="s">
        <v>555</v>
      </c>
      <c r="B4344" s="3" t="s">
        <v>567</v>
      </c>
      <c r="C4344" s="3" t="s">
        <v>568</v>
      </c>
    </row>
    <row r="4345">
      <c r="A4345" s="3" t="s">
        <v>555</v>
      </c>
      <c r="B4345" s="3" t="s">
        <v>567</v>
      </c>
      <c r="C4345" s="3" t="s">
        <v>576</v>
      </c>
    </row>
    <row r="4346">
      <c r="A4346" s="3" t="s">
        <v>555</v>
      </c>
      <c r="B4346" s="3" t="s">
        <v>567</v>
      </c>
      <c r="C4346" s="3" t="s">
        <v>573</v>
      </c>
    </row>
    <row r="4347">
      <c r="A4347" s="3" t="s">
        <v>555</v>
      </c>
      <c r="B4347" s="3" t="s">
        <v>567</v>
      </c>
      <c r="C4347" s="3" t="s">
        <v>577</v>
      </c>
    </row>
    <row r="4348">
      <c r="A4348" s="3" t="s">
        <v>555</v>
      </c>
      <c r="B4348" s="3" t="s">
        <v>567</v>
      </c>
      <c r="C4348" s="3" t="s">
        <v>574</v>
      </c>
    </row>
    <row r="4349">
      <c r="A4349" s="3" t="s">
        <v>555</v>
      </c>
      <c r="B4349" s="3" t="s">
        <v>567</v>
      </c>
      <c r="C4349" s="3" t="s">
        <v>578</v>
      </c>
    </row>
    <row r="4350">
      <c r="A4350" s="3" t="s">
        <v>555</v>
      </c>
      <c r="B4350" s="3" t="s">
        <v>564</v>
      </c>
      <c r="C4350" s="3" t="s">
        <v>570</v>
      </c>
    </row>
    <row r="4351">
      <c r="A4351" s="3" t="s">
        <v>555</v>
      </c>
      <c r="B4351" s="3" t="s">
        <v>564</v>
      </c>
      <c r="C4351" s="3" t="s">
        <v>565</v>
      </c>
    </row>
    <row r="4352">
      <c r="A4352" s="3" t="s">
        <v>555</v>
      </c>
      <c r="B4352" s="3" t="s">
        <v>556</v>
      </c>
      <c r="C4352" s="3" t="s">
        <v>571</v>
      </c>
    </row>
    <row r="4353">
      <c r="A4353" s="3" t="s">
        <v>555</v>
      </c>
      <c r="B4353" s="3" t="s">
        <v>556</v>
      </c>
      <c r="C4353" s="3" t="s">
        <v>572</v>
      </c>
    </row>
    <row r="4354">
      <c r="A4354" s="3" t="s">
        <v>555</v>
      </c>
      <c r="B4354" s="3" t="s">
        <v>43</v>
      </c>
      <c r="C4354" s="3" t="s">
        <v>579</v>
      </c>
    </row>
    <row r="4355">
      <c r="A4355" s="3" t="s">
        <v>555</v>
      </c>
      <c r="B4355" s="3" t="s">
        <v>43</v>
      </c>
      <c r="C4355" s="3" t="s">
        <v>561</v>
      </c>
    </row>
    <row r="4356">
      <c r="A4356" s="3" t="s">
        <v>555</v>
      </c>
      <c r="B4356" s="3" t="s">
        <v>43</v>
      </c>
      <c r="C4356" s="3" t="s">
        <v>562</v>
      </c>
    </row>
    <row r="4357">
      <c r="A4357" s="3" t="s">
        <v>555</v>
      </c>
      <c r="B4357" s="3" t="s">
        <v>43</v>
      </c>
      <c r="C4357" s="3" t="s">
        <v>563</v>
      </c>
    </row>
    <row r="4358">
      <c r="A4358" s="3" t="s">
        <v>555</v>
      </c>
      <c r="B4358" s="3" t="s">
        <v>43</v>
      </c>
      <c r="C4358" s="3" t="s">
        <v>561</v>
      </c>
    </row>
    <row r="4359">
      <c r="A4359" s="3" t="s">
        <v>555</v>
      </c>
      <c r="B4359" s="3" t="s">
        <v>556</v>
      </c>
      <c r="C4359" s="3" t="s">
        <v>571</v>
      </c>
    </row>
    <row r="4360">
      <c r="A4360" s="3" t="s">
        <v>555</v>
      </c>
      <c r="B4360" s="3" t="s">
        <v>567</v>
      </c>
      <c r="C4360" s="3" t="s">
        <v>573</v>
      </c>
    </row>
    <row r="4361">
      <c r="A4361" s="3" t="s">
        <v>555</v>
      </c>
      <c r="B4361" s="3" t="s">
        <v>567</v>
      </c>
      <c r="C4361" s="3" t="s">
        <v>574</v>
      </c>
    </row>
    <row r="4362">
      <c r="A4362" s="3" t="s">
        <v>555</v>
      </c>
      <c r="B4362" s="3" t="s">
        <v>567</v>
      </c>
      <c r="C4362" s="3" t="s">
        <v>573</v>
      </c>
    </row>
    <row r="4363">
      <c r="A4363" s="3" t="s">
        <v>555</v>
      </c>
      <c r="B4363" s="3" t="s">
        <v>43</v>
      </c>
      <c r="C4363" s="3" t="s">
        <v>561</v>
      </c>
    </row>
    <row r="4364">
      <c r="A4364" s="3" t="s">
        <v>555</v>
      </c>
      <c r="B4364" s="3" t="s">
        <v>564</v>
      </c>
      <c r="C4364" s="3" t="s">
        <v>566</v>
      </c>
    </row>
    <row r="4365">
      <c r="A4365" s="3" t="s">
        <v>555</v>
      </c>
      <c r="B4365" s="3" t="s">
        <v>567</v>
      </c>
      <c r="C4365" s="3" t="s">
        <v>577</v>
      </c>
    </row>
    <row r="4366">
      <c r="A4366" s="3" t="s">
        <v>555</v>
      </c>
      <c r="B4366" s="3" t="s">
        <v>567</v>
      </c>
      <c r="C4366" s="3" t="s">
        <v>574</v>
      </c>
    </row>
    <row r="4367">
      <c r="A4367" s="3" t="s">
        <v>555</v>
      </c>
      <c r="B4367" s="3" t="s">
        <v>567</v>
      </c>
      <c r="C4367" s="3" t="s">
        <v>573</v>
      </c>
    </row>
    <row r="4368">
      <c r="A4368" s="3" t="s">
        <v>555</v>
      </c>
      <c r="B4368" s="3" t="s">
        <v>567</v>
      </c>
      <c r="C4368" s="3" t="s">
        <v>574</v>
      </c>
    </row>
    <row r="4369">
      <c r="A4369" s="3" t="s">
        <v>555</v>
      </c>
      <c r="B4369" s="3" t="s">
        <v>567</v>
      </c>
      <c r="C4369" s="3" t="s">
        <v>580</v>
      </c>
    </row>
    <row r="4370">
      <c r="A4370" s="3" t="s">
        <v>555</v>
      </c>
      <c r="B4370" s="3" t="s">
        <v>556</v>
      </c>
      <c r="C4370" s="3" t="s">
        <v>572</v>
      </c>
    </row>
    <row r="4371">
      <c r="A4371" s="3" t="s">
        <v>555</v>
      </c>
      <c r="B4371" s="3" t="s">
        <v>567</v>
      </c>
      <c r="C4371" s="3" t="s">
        <v>573</v>
      </c>
    </row>
    <row r="4372">
      <c r="A4372" s="3" t="s">
        <v>555</v>
      </c>
      <c r="B4372" s="3" t="s">
        <v>567</v>
      </c>
      <c r="C4372" s="3" t="s">
        <v>573</v>
      </c>
    </row>
    <row r="4373">
      <c r="A4373" s="3" t="s">
        <v>555</v>
      </c>
      <c r="B4373" s="3" t="s">
        <v>567</v>
      </c>
      <c r="C4373" s="3" t="s">
        <v>574</v>
      </c>
    </row>
    <row r="4374">
      <c r="A4374" s="3" t="s">
        <v>555</v>
      </c>
      <c r="B4374" s="3" t="s">
        <v>567</v>
      </c>
      <c r="C4374" s="3" t="s">
        <v>574</v>
      </c>
    </row>
    <row r="4375">
      <c r="A4375" s="3" t="s">
        <v>555</v>
      </c>
      <c r="B4375" s="3" t="s">
        <v>567</v>
      </c>
      <c r="C4375" s="3" t="s">
        <v>568</v>
      </c>
    </row>
    <row r="4376">
      <c r="A4376" s="3" t="s">
        <v>555</v>
      </c>
      <c r="B4376" s="3" t="s">
        <v>43</v>
      </c>
      <c r="C4376" s="3" t="s">
        <v>561</v>
      </c>
    </row>
    <row r="4377">
      <c r="A4377" s="3" t="s">
        <v>555</v>
      </c>
      <c r="B4377" s="3" t="s">
        <v>556</v>
      </c>
      <c r="C4377" s="3" t="s">
        <v>572</v>
      </c>
    </row>
    <row r="4378">
      <c r="A4378" s="3" t="s">
        <v>555</v>
      </c>
      <c r="B4378" s="3" t="s">
        <v>567</v>
      </c>
      <c r="C4378" s="3" t="s">
        <v>568</v>
      </c>
    </row>
    <row r="4379">
      <c r="A4379" s="3" t="s">
        <v>555</v>
      </c>
      <c r="B4379" s="3" t="s">
        <v>567</v>
      </c>
      <c r="C4379" s="3" t="s">
        <v>568</v>
      </c>
    </row>
    <row r="4380">
      <c r="A4380" s="3" t="s">
        <v>555</v>
      </c>
      <c r="B4380" s="3" t="s">
        <v>43</v>
      </c>
      <c r="C4380" s="3" t="s">
        <v>561</v>
      </c>
    </row>
    <row r="4381">
      <c r="A4381" s="3" t="s">
        <v>555</v>
      </c>
      <c r="B4381" s="3" t="s">
        <v>567</v>
      </c>
      <c r="C4381" s="3" t="s">
        <v>574</v>
      </c>
    </row>
    <row r="4382">
      <c r="A4382" s="3" t="s">
        <v>555</v>
      </c>
      <c r="B4382" s="3" t="s">
        <v>556</v>
      </c>
      <c r="C4382" s="3" t="s">
        <v>581</v>
      </c>
    </row>
    <row r="4383">
      <c r="A4383" s="3" t="s">
        <v>555</v>
      </c>
      <c r="B4383" s="3" t="s">
        <v>567</v>
      </c>
      <c r="C4383" s="3" t="s">
        <v>576</v>
      </c>
    </row>
    <row r="4384">
      <c r="A4384" s="3" t="s">
        <v>555</v>
      </c>
      <c r="B4384" s="3" t="s">
        <v>567</v>
      </c>
      <c r="C4384" s="3" t="s">
        <v>568</v>
      </c>
    </row>
    <row r="4385">
      <c r="A4385" s="3" t="s">
        <v>555</v>
      </c>
      <c r="B4385" s="3" t="s">
        <v>567</v>
      </c>
      <c r="C4385" s="3" t="s">
        <v>573</v>
      </c>
    </row>
    <row r="4386">
      <c r="A4386" s="3" t="s">
        <v>555</v>
      </c>
      <c r="B4386" s="3" t="s">
        <v>567</v>
      </c>
      <c r="C4386" s="3" t="s">
        <v>577</v>
      </c>
    </row>
    <row r="4387">
      <c r="A4387" s="3" t="s">
        <v>555</v>
      </c>
      <c r="B4387" s="3" t="s">
        <v>567</v>
      </c>
      <c r="C4387" s="3" t="s">
        <v>577</v>
      </c>
    </row>
    <row r="4388">
      <c r="A4388" s="3" t="s">
        <v>555</v>
      </c>
      <c r="B4388" s="3" t="s">
        <v>567</v>
      </c>
      <c r="C4388" s="3" t="s">
        <v>573</v>
      </c>
    </row>
    <row r="4389">
      <c r="A4389" s="3" t="s">
        <v>555</v>
      </c>
      <c r="B4389" s="3" t="s">
        <v>43</v>
      </c>
      <c r="C4389" s="3" t="s">
        <v>562</v>
      </c>
    </row>
    <row r="4390">
      <c r="A4390" s="3" t="s">
        <v>555</v>
      </c>
      <c r="B4390" s="3" t="s">
        <v>567</v>
      </c>
      <c r="C4390" s="3" t="s">
        <v>580</v>
      </c>
    </row>
    <row r="4391">
      <c r="A4391" s="3" t="s">
        <v>555</v>
      </c>
      <c r="B4391" s="3" t="s">
        <v>567</v>
      </c>
      <c r="C4391" s="3" t="s">
        <v>577</v>
      </c>
    </row>
    <row r="4392">
      <c r="A4392" s="3" t="s">
        <v>555</v>
      </c>
      <c r="B4392" s="3" t="s">
        <v>567</v>
      </c>
      <c r="C4392" s="3" t="s">
        <v>573</v>
      </c>
    </row>
    <row r="4393">
      <c r="A4393" s="3" t="s">
        <v>555</v>
      </c>
      <c r="B4393" s="3" t="s">
        <v>567</v>
      </c>
      <c r="C4393" s="3" t="s">
        <v>578</v>
      </c>
    </row>
    <row r="4394">
      <c r="A4394" s="3" t="s">
        <v>555</v>
      </c>
      <c r="B4394" s="3" t="s">
        <v>43</v>
      </c>
      <c r="C4394" s="3" t="s">
        <v>561</v>
      </c>
    </row>
    <row r="4395">
      <c r="A4395" s="3" t="s">
        <v>555</v>
      </c>
      <c r="B4395" s="3" t="s">
        <v>567</v>
      </c>
      <c r="C4395" s="3" t="s">
        <v>577</v>
      </c>
    </row>
    <row r="4396">
      <c r="A4396" s="3" t="s">
        <v>555</v>
      </c>
      <c r="B4396" s="3" t="s">
        <v>567</v>
      </c>
      <c r="C4396" s="3" t="s">
        <v>577</v>
      </c>
    </row>
    <row r="4397">
      <c r="A4397" s="3" t="s">
        <v>555</v>
      </c>
      <c r="B4397" s="3" t="s">
        <v>567</v>
      </c>
      <c r="C4397" s="3" t="s">
        <v>578</v>
      </c>
    </row>
    <row r="4398">
      <c r="A4398" s="3" t="s">
        <v>555</v>
      </c>
      <c r="B4398" s="3" t="s">
        <v>556</v>
      </c>
      <c r="C4398" s="3" t="s">
        <v>571</v>
      </c>
    </row>
    <row r="4399">
      <c r="A4399" s="3" t="s">
        <v>555</v>
      </c>
      <c r="B4399" s="3" t="s">
        <v>567</v>
      </c>
      <c r="C4399" s="3" t="s">
        <v>574</v>
      </c>
    </row>
    <row r="4400">
      <c r="A4400" s="3" t="s">
        <v>555</v>
      </c>
      <c r="B4400" s="3" t="s">
        <v>567</v>
      </c>
      <c r="C4400" s="3" t="s">
        <v>574</v>
      </c>
    </row>
    <row r="4401">
      <c r="A4401" s="3" t="s">
        <v>555</v>
      </c>
      <c r="B4401" s="3" t="s">
        <v>556</v>
      </c>
      <c r="C4401" s="3" t="s">
        <v>571</v>
      </c>
    </row>
    <row r="4402">
      <c r="A4402" s="3" t="s">
        <v>555</v>
      </c>
      <c r="B4402" s="3" t="s">
        <v>567</v>
      </c>
      <c r="C4402" s="3" t="s">
        <v>578</v>
      </c>
    </row>
    <row r="4403">
      <c r="A4403" s="3" t="s">
        <v>555</v>
      </c>
      <c r="B4403" s="3" t="s">
        <v>567</v>
      </c>
      <c r="C4403" s="3" t="s">
        <v>576</v>
      </c>
    </row>
    <row r="4404">
      <c r="A4404" s="3" t="s">
        <v>555</v>
      </c>
      <c r="B4404" s="3" t="s">
        <v>567</v>
      </c>
      <c r="C4404" s="3" t="s">
        <v>577</v>
      </c>
    </row>
    <row r="4405">
      <c r="A4405" s="3" t="s">
        <v>555</v>
      </c>
      <c r="B4405" s="3" t="s">
        <v>567</v>
      </c>
      <c r="C4405" s="3" t="s">
        <v>575</v>
      </c>
    </row>
    <row r="4406">
      <c r="A4406" s="3" t="s">
        <v>555</v>
      </c>
      <c r="B4406" s="3" t="s">
        <v>556</v>
      </c>
      <c r="C4406" s="3" t="s">
        <v>581</v>
      </c>
    </row>
    <row r="4407">
      <c r="A4407" s="3" t="s">
        <v>555</v>
      </c>
      <c r="B4407" s="3" t="s">
        <v>556</v>
      </c>
      <c r="C4407" s="3" t="s">
        <v>572</v>
      </c>
    </row>
    <row r="4408">
      <c r="A4408" s="3" t="s">
        <v>555</v>
      </c>
      <c r="B4408" s="3" t="s">
        <v>556</v>
      </c>
      <c r="C4408" s="3" t="s">
        <v>571</v>
      </c>
    </row>
    <row r="4409">
      <c r="A4409" s="3" t="s">
        <v>555</v>
      </c>
      <c r="B4409" s="3" t="s">
        <v>567</v>
      </c>
      <c r="C4409" s="3" t="s">
        <v>578</v>
      </c>
    </row>
    <row r="4410">
      <c r="A4410" s="3" t="s">
        <v>555</v>
      </c>
      <c r="B4410" s="3" t="s">
        <v>43</v>
      </c>
      <c r="C4410" s="3" t="s">
        <v>561</v>
      </c>
    </row>
    <row r="4411">
      <c r="A4411" s="3" t="s">
        <v>555</v>
      </c>
      <c r="B4411" s="3" t="s">
        <v>567</v>
      </c>
      <c r="C4411" s="3" t="s">
        <v>573</v>
      </c>
    </row>
    <row r="4412">
      <c r="A4412" s="3" t="s">
        <v>555</v>
      </c>
      <c r="B4412" s="3" t="s">
        <v>567</v>
      </c>
      <c r="C4412" s="3" t="s">
        <v>578</v>
      </c>
    </row>
    <row r="4413">
      <c r="A4413" s="3" t="s">
        <v>555</v>
      </c>
      <c r="B4413" s="3" t="s">
        <v>567</v>
      </c>
      <c r="C4413" s="3" t="s">
        <v>574</v>
      </c>
    </row>
    <row r="4414">
      <c r="A4414" s="3" t="s">
        <v>555</v>
      </c>
      <c r="B4414" s="3" t="s">
        <v>556</v>
      </c>
      <c r="C4414" s="3" t="s">
        <v>581</v>
      </c>
    </row>
    <row r="4415">
      <c r="A4415" s="3" t="s">
        <v>555</v>
      </c>
      <c r="B4415" s="3" t="s">
        <v>556</v>
      </c>
      <c r="C4415" s="3" t="s">
        <v>581</v>
      </c>
    </row>
    <row r="4416">
      <c r="A4416" s="3" t="s">
        <v>555</v>
      </c>
      <c r="B4416" s="3" t="s">
        <v>567</v>
      </c>
      <c r="C4416" s="3" t="s">
        <v>574</v>
      </c>
    </row>
    <row r="4417">
      <c r="A4417" s="3" t="s">
        <v>555</v>
      </c>
      <c r="B4417" s="3" t="s">
        <v>564</v>
      </c>
      <c r="C4417" s="3" t="s">
        <v>566</v>
      </c>
    </row>
    <row r="4418">
      <c r="A4418" s="3" t="s">
        <v>555</v>
      </c>
      <c r="B4418" s="3" t="s">
        <v>556</v>
      </c>
      <c r="C4418" s="3" t="s">
        <v>581</v>
      </c>
    </row>
    <row r="4419">
      <c r="A4419" s="3" t="s">
        <v>555</v>
      </c>
      <c r="B4419" s="3" t="s">
        <v>556</v>
      </c>
      <c r="C4419" s="3" t="s">
        <v>572</v>
      </c>
    </row>
    <row r="4420">
      <c r="A4420" s="3" t="s">
        <v>555</v>
      </c>
      <c r="B4420" s="3" t="s">
        <v>556</v>
      </c>
      <c r="C4420" s="3" t="s">
        <v>581</v>
      </c>
    </row>
    <row r="4421">
      <c r="A4421" s="3" t="s">
        <v>555</v>
      </c>
      <c r="B4421" s="3" t="s">
        <v>556</v>
      </c>
      <c r="C4421" s="3" t="s">
        <v>572</v>
      </c>
    </row>
    <row r="4422">
      <c r="A4422" s="3" t="s">
        <v>555</v>
      </c>
      <c r="B4422" s="3" t="s">
        <v>567</v>
      </c>
      <c r="C4422" s="3" t="s">
        <v>574</v>
      </c>
    </row>
    <row r="4423">
      <c r="A4423" s="3" t="s">
        <v>555</v>
      </c>
      <c r="B4423" s="3" t="s">
        <v>556</v>
      </c>
      <c r="C4423" s="3" t="s">
        <v>581</v>
      </c>
    </row>
    <row r="4424">
      <c r="A4424" s="3" t="s">
        <v>555</v>
      </c>
      <c r="B4424" s="3" t="s">
        <v>43</v>
      </c>
      <c r="C4424" s="3" t="s">
        <v>561</v>
      </c>
    </row>
    <row r="4425">
      <c r="A4425" s="3" t="s">
        <v>555</v>
      </c>
      <c r="B4425" s="3" t="s">
        <v>43</v>
      </c>
      <c r="C4425" s="3" t="s">
        <v>561</v>
      </c>
    </row>
    <row r="4426">
      <c r="A4426" s="3" t="s">
        <v>555</v>
      </c>
      <c r="B4426" s="3" t="s">
        <v>567</v>
      </c>
      <c r="C4426" s="3" t="s">
        <v>575</v>
      </c>
    </row>
    <row r="4427">
      <c r="A4427" s="3" t="s">
        <v>555</v>
      </c>
      <c r="B4427" s="3" t="s">
        <v>567</v>
      </c>
      <c r="C4427" s="3" t="s">
        <v>574</v>
      </c>
    </row>
    <row r="4428">
      <c r="A4428" s="3" t="s">
        <v>555</v>
      </c>
      <c r="B4428" s="3" t="s">
        <v>567</v>
      </c>
      <c r="C4428" s="3" t="s">
        <v>577</v>
      </c>
    </row>
    <row r="4429">
      <c r="A4429" s="3" t="s">
        <v>555</v>
      </c>
      <c r="B4429" s="3" t="s">
        <v>556</v>
      </c>
      <c r="C4429" s="3" t="s">
        <v>581</v>
      </c>
    </row>
    <row r="4430">
      <c r="A4430" s="3" t="s">
        <v>555</v>
      </c>
      <c r="B4430" s="3" t="s">
        <v>567</v>
      </c>
      <c r="C4430" s="3" t="s">
        <v>575</v>
      </c>
    </row>
    <row r="4431">
      <c r="A4431" s="3" t="s">
        <v>555</v>
      </c>
      <c r="B4431" s="3" t="s">
        <v>567</v>
      </c>
      <c r="C4431" s="3" t="s">
        <v>578</v>
      </c>
    </row>
    <row r="4432">
      <c r="A4432" s="3" t="s">
        <v>555</v>
      </c>
      <c r="B4432" s="3" t="s">
        <v>567</v>
      </c>
      <c r="C4432" s="3" t="s">
        <v>580</v>
      </c>
    </row>
    <row r="4433">
      <c r="A4433" s="3" t="s">
        <v>555</v>
      </c>
      <c r="B4433" s="3" t="s">
        <v>567</v>
      </c>
      <c r="C4433" s="3" t="s">
        <v>573</v>
      </c>
    </row>
    <row r="4434">
      <c r="A4434" s="3" t="s">
        <v>555</v>
      </c>
      <c r="B4434" s="3" t="s">
        <v>556</v>
      </c>
      <c r="C4434" s="3" t="s">
        <v>581</v>
      </c>
    </row>
    <row r="4435">
      <c r="A4435" s="3" t="s">
        <v>555</v>
      </c>
      <c r="B4435" s="3" t="s">
        <v>556</v>
      </c>
      <c r="C4435" s="3" t="s">
        <v>571</v>
      </c>
    </row>
    <row r="4436">
      <c r="A4436" s="3" t="s">
        <v>555</v>
      </c>
      <c r="B4436" s="3" t="s">
        <v>43</v>
      </c>
      <c r="C4436" s="3" t="s">
        <v>560</v>
      </c>
    </row>
    <row r="4437">
      <c r="A4437" s="3" t="s">
        <v>555</v>
      </c>
      <c r="B4437" s="3" t="s">
        <v>567</v>
      </c>
      <c r="C4437" s="3" t="s">
        <v>578</v>
      </c>
    </row>
    <row r="4438">
      <c r="A4438" s="3" t="s">
        <v>555</v>
      </c>
      <c r="B4438" s="3" t="s">
        <v>567</v>
      </c>
      <c r="C4438" s="3" t="s">
        <v>574</v>
      </c>
    </row>
    <row r="4439">
      <c r="A4439" s="3" t="s">
        <v>555</v>
      </c>
      <c r="B4439" s="3" t="s">
        <v>567</v>
      </c>
      <c r="C4439" s="3" t="s">
        <v>580</v>
      </c>
    </row>
    <row r="4440">
      <c r="A4440" s="3" t="s">
        <v>555</v>
      </c>
      <c r="B4440" s="3" t="s">
        <v>43</v>
      </c>
      <c r="C4440" s="3" t="s">
        <v>561</v>
      </c>
    </row>
    <row r="4441">
      <c r="A4441" s="3" t="s">
        <v>555</v>
      </c>
      <c r="B4441" s="3" t="s">
        <v>43</v>
      </c>
      <c r="C4441" s="3" t="s">
        <v>562</v>
      </c>
    </row>
    <row r="4442">
      <c r="A4442" s="3" t="s">
        <v>555</v>
      </c>
      <c r="B4442" s="3" t="s">
        <v>567</v>
      </c>
      <c r="C4442" s="3" t="s">
        <v>574</v>
      </c>
    </row>
    <row r="4443">
      <c r="A4443" s="3" t="s">
        <v>555</v>
      </c>
      <c r="B4443" s="3" t="s">
        <v>43</v>
      </c>
      <c r="C4443" s="3" t="s">
        <v>562</v>
      </c>
    </row>
    <row r="4444">
      <c r="A4444" s="3" t="s">
        <v>555</v>
      </c>
      <c r="B4444" s="3" t="s">
        <v>556</v>
      </c>
      <c r="C4444" s="3" t="s">
        <v>572</v>
      </c>
    </row>
    <row r="4445">
      <c r="A4445" s="3" t="s">
        <v>555</v>
      </c>
      <c r="B4445" s="3" t="s">
        <v>556</v>
      </c>
      <c r="C4445" s="3" t="s">
        <v>572</v>
      </c>
    </row>
    <row r="4446">
      <c r="A4446" s="3" t="s">
        <v>555</v>
      </c>
      <c r="B4446" s="3" t="s">
        <v>567</v>
      </c>
      <c r="C4446" s="3" t="s">
        <v>573</v>
      </c>
    </row>
    <row r="4447">
      <c r="A4447" s="3" t="s">
        <v>555</v>
      </c>
      <c r="B4447" s="3" t="s">
        <v>43</v>
      </c>
      <c r="C4447" s="3" t="s">
        <v>562</v>
      </c>
    </row>
    <row r="4448">
      <c r="A4448" s="3" t="s">
        <v>555</v>
      </c>
      <c r="B4448" s="3" t="s">
        <v>567</v>
      </c>
      <c r="C4448" s="3" t="s">
        <v>573</v>
      </c>
    </row>
    <row r="4449">
      <c r="A4449" s="3" t="s">
        <v>555</v>
      </c>
      <c r="B4449" s="3" t="s">
        <v>567</v>
      </c>
      <c r="C4449" s="3" t="s">
        <v>573</v>
      </c>
    </row>
    <row r="4450">
      <c r="A4450" s="3" t="s">
        <v>555</v>
      </c>
      <c r="B4450" s="3" t="s">
        <v>567</v>
      </c>
      <c r="C4450" s="3" t="s">
        <v>574</v>
      </c>
    </row>
    <row r="4451">
      <c r="A4451" s="3" t="s">
        <v>555</v>
      </c>
      <c r="B4451" s="3" t="s">
        <v>567</v>
      </c>
      <c r="C4451" s="3" t="s">
        <v>574</v>
      </c>
    </row>
    <row r="4452">
      <c r="A4452" s="3" t="s">
        <v>555</v>
      </c>
      <c r="B4452" s="3" t="s">
        <v>567</v>
      </c>
      <c r="C4452" s="3" t="s">
        <v>578</v>
      </c>
    </row>
    <row r="4453">
      <c r="A4453" s="3" t="s">
        <v>555</v>
      </c>
      <c r="B4453" s="3" t="s">
        <v>567</v>
      </c>
      <c r="C4453" s="3" t="s">
        <v>578</v>
      </c>
    </row>
    <row r="4454">
      <c r="A4454" s="3" t="s">
        <v>555</v>
      </c>
      <c r="B4454" s="3" t="s">
        <v>567</v>
      </c>
      <c r="C4454" s="3" t="s">
        <v>578</v>
      </c>
    </row>
    <row r="4455">
      <c r="A4455" s="3" t="s">
        <v>555</v>
      </c>
      <c r="B4455" s="3" t="s">
        <v>567</v>
      </c>
      <c r="C4455" s="3" t="s">
        <v>574</v>
      </c>
    </row>
    <row r="4456">
      <c r="A4456" s="3" t="s">
        <v>555</v>
      </c>
      <c r="B4456" s="3" t="s">
        <v>567</v>
      </c>
      <c r="C4456" s="3" t="s">
        <v>574</v>
      </c>
    </row>
    <row r="4457">
      <c r="A4457" s="3" t="s">
        <v>555</v>
      </c>
      <c r="B4457" s="3" t="s">
        <v>567</v>
      </c>
      <c r="C4457" s="3" t="s">
        <v>574</v>
      </c>
    </row>
    <row r="4458">
      <c r="A4458" s="3" t="s">
        <v>555</v>
      </c>
      <c r="B4458" s="3" t="s">
        <v>567</v>
      </c>
      <c r="C4458" s="3" t="s">
        <v>574</v>
      </c>
    </row>
    <row r="4459">
      <c r="A4459" s="3" t="s">
        <v>555</v>
      </c>
      <c r="B4459" s="3" t="s">
        <v>567</v>
      </c>
      <c r="C4459" s="3" t="s">
        <v>580</v>
      </c>
    </row>
    <row r="4460">
      <c r="A4460" s="3" t="s">
        <v>555</v>
      </c>
      <c r="B4460" s="3" t="s">
        <v>567</v>
      </c>
      <c r="C4460" s="3" t="s">
        <v>574</v>
      </c>
    </row>
    <row r="4461">
      <c r="A4461" s="3" t="s">
        <v>555</v>
      </c>
      <c r="B4461" s="3" t="s">
        <v>567</v>
      </c>
      <c r="C4461" s="3" t="s">
        <v>568</v>
      </c>
    </row>
    <row r="4462">
      <c r="A4462" s="3" t="s">
        <v>555</v>
      </c>
      <c r="B4462" s="3" t="s">
        <v>43</v>
      </c>
      <c r="C4462" s="3" t="s">
        <v>562</v>
      </c>
    </row>
    <row r="4463">
      <c r="A4463" s="3" t="s">
        <v>555</v>
      </c>
      <c r="B4463" s="3" t="s">
        <v>567</v>
      </c>
      <c r="C4463" s="3" t="s">
        <v>575</v>
      </c>
    </row>
    <row r="4464">
      <c r="A4464" s="3" t="s">
        <v>555</v>
      </c>
      <c r="B4464" s="3" t="s">
        <v>567</v>
      </c>
      <c r="C4464" s="3" t="s">
        <v>568</v>
      </c>
    </row>
    <row r="4465">
      <c r="A4465" s="3" t="s">
        <v>555</v>
      </c>
      <c r="B4465" s="3" t="s">
        <v>567</v>
      </c>
      <c r="C4465" s="3" t="s">
        <v>568</v>
      </c>
    </row>
    <row r="4466">
      <c r="A4466" s="3" t="s">
        <v>555</v>
      </c>
      <c r="B4466" s="3" t="s">
        <v>567</v>
      </c>
      <c r="C4466" s="3" t="s">
        <v>576</v>
      </c>
    </row>
    <row r="4467">
      <c r="A4467" s="3" t="s">
        <v>555</v>
      </c>
      <c r="B4467" s="3" t="s">
        <v>567</v>
      </c>
      <c r="C4467" s="3" t="s">
        <v>573</v>
      </c>
    </row>
    <row r="4468">
      <c r="A4468" s="3" t="s">
        <v>555</v>
      </c>
      <c r="B4468" s="3" t="s">
        <v>567</v>
      </c>
      <c r="C4468" s="3" t="s">
        <v>577</v>
      </c>
    </row>
    <row r="4469">
      <c r="A4469" s="3" t="s">
        <v>555</v>
      </c>
      <c r="B4469" s="3" t="s">
        <v>567</v>
      </c>
      <c r="C4469" s="3" t="s">
        <v>574</v>
      </c>
    </row>
    <row r="4470">
      <c r="A4470" s="3" t="s">
        <v>555</v>
      </c>
      <c r="B4470" s="3" t="s">
        <v>567</v>
      </c>
      <c r="C4470" s="3" t="s">
        <v>578</v>
      </c>
    </row>
    <row r="4471">
      <c r="A4471" s="3" t="s">
        <v>555</v>
      </c>
      <c r="B4471" s="3" t="s">
        <v>564</v>
      </c>
      <c r="C4471" s="3" t="s">
        <v>570</v>
      </c>
    </row>
    <row r="4472">
      <c r="A4472" s="3" t="s">
        <v>555</v>
      </c>
      <c r="B4472" s="3" t="s">
        <v>564</v>
      </c>
      <c r="C4472" s="3" t="s">
        <v>565</v>
      </c>
    </row>
    <row r="4473">
      <c r="A4473" s="3" t="s">
        <v>555</v>
      </c>
      <c r="B4473" s="3" t="s">
        <v>556</v>
      </c>
      <c r="C4473" s="3" t="s">
        <v>571</v>
      </c>
    </row>
    <row r="4474">
      <c r="A4474" s="3" t="s">
        <v>555</v>
      </c>
      <c r="B4474" s="3" t="s">
        <v>556</v>
      </c>
      <c r="C4474" s="3" t="s">
        <v>572</v>
      </c>
    </row>
    <row r="4475">
      <c r="A4475" s="3" t="s">
        <v>555</v>
      </c>
      <c r="B4475" s="3" t="s">
        <v>43</v>
      </c>
      <c r="C4475" s="3" t="s">
        <v>579</v>
      </c>
    </row>
    <row r="4476">
      <c r="A4476" s="3" t="s">
        <v>555</v>
      </c>
      <c r="B4476" s="3" t="s">
        <v>43</v>
      </c>
      <c r="C4476" s="3" t="s">
        <v>561</v>
      </c>
    </row>
    <row r="4477">
      <c r="A4477" s="3" t="s">
        <v>555</v>
      </c>
      <c r="B4477" s="3" t="s">
        <v>43</v>
      </c>
      <c r="C4477" s="3" t="s">
        <v>562</v>
      </c>
    </row>
    <row r="4478">
      <c r="A4478" s="3" t="s">
        <v>555</v>
      </c>
      <c r="B4478" s="3" t="s">
        <v>43</v>
      </c>
      <c r="C4478" s="3" t="s">
        <v>563</v>
      </c>
    </row>
    <row r="4479">
      <c r="A4479" s="3" t="s">
        <v>555</v>
      </c>
      <c r="B4479" s="3" t="s">
        <v>567</v>
      </c>
      <c r="C4479" s="3" t="s">
        <v>574</v>
      </c>
    </row>
    <row r="4480">
      <c r="A4480" s="3" t="s">
        <v>555</v>
      </c>
      <c r="B4480" s="3" t="s">
        <v>567</v>
      </c>
      <c r="C4480" s="3" t="s">
        <v>574</v>
      </c>
    </row>
    <row r="4481">
      <c r="A4481" s="3" t="s">
        <v>555</v>
      </c>
      <c r="B4481" s="3" t="s">
        <v>43</v>
      </c>
      <c r="C4481" s="3" t="s">
        <v>561</v>
      </c>
    </row>
    <row r="4482">
      <c r="A4482" s="3" t="s">
        <v>555</v>
      </c>
      <c r="B4482" s="3" t="s">
        <v>567</v>
      </c>
      <c r="C4482" s="3" t="s">
        <v>577</v>
      </c>
    </row>
    <row r="4483">
      <c r="A4483" s="3" t="s">
        <v>555</v>
      </c>
      <c r="B4483" s="3" t="s">
        <v>567</v>
      </c>
      <c r="C4483" s="3" t="s">
        <v>577</v>
      </c>
    </row>
    <row r="4484">
      <c r="A4484" s="3" t="s">
        <v>555</v>
      </c>
      <c r="B4484" s="3" t="s">
        <v>567</v>
      </c>
      <c r="C4484" s="3" t="s">
        <v>577</v>
      </c>
    </row>
    <row r="4485">
      <c r="A4485" s="3" t="s">
        <v>555</v>
      </c>
      <c r="B4485" s="3" t="s">
        <v>567</v>
      </c>
      <c r="C4485" s="3" t="s">
        <v>577</v>
      </c>
    </row>
    <row r="4486">
      <c r="A4486" s="3" t="s">
        <v>555</v>
      </c>
      <c r="B4486" s="3" t="s">
        <v>567</v>
      </c>
      <c r="C4486" s="3" t="s">
        <v>577</v>
      </c>
    </row>
    <row r="4487">
      <c r="A4487" s="3" t="s">
        <v>555</v>
      </c>
      <c r="B4487" s="3" t="s">
        <v>567</v>
      </c>
      <c r="C4487" s="3" t="s">
        <v>574</v>
      </c>
    </row>
    <row r="4488">
      <c r="A4488" s="3" t="s">
        <v>555</v>
      </c>
      <c r="B4488" s="3" t="s">
        <v>567</v>
      </c>
      <c r="C4488" s="3" t="s">
        <v>577</v>
      </c>
    </row>
    <row r="4489">
      <c r="A4489" s="3" t="s">
        <v>555</v>
      </c>
      <c r="B4489" s="3" t="s">
        <v>567</v>
      </c>
      <c r="C4489" s="3" t="s">
        <v>575</v>
      </c>
    </row>
    <row r="4490">
      <c r="A4490" s="3" t="s">
        <v>555</v>
      </c>
      <c r="B4490" s="3" t="s">
        <v>567</v>
      </c>
      <c r="C4490" s="3" t="s">
        <v>568</v>
      </c>
    </row>
    <row r="4491">
      <c r="A4491" s="3" t="s">
        <v>555</v>
      </c>
      <c r="B4491" s="3" t="s">
        <v>567</v>
      </c>
      <c r="C4491" s="3" t="s">
        <v>573</v>
      </c>
    </row>
    <row r="4492">
      <c r="A4492" s="3" t="s">
        <v>555</v>
      </c>
      <c r="B4492" s="3" t="s">
        <v>567</v>
      </c>
      <c r="C4492" s="3" t="s">
        <v>577</v>
      </c>
    </row>
    <row r="4493">
      <c r="A4493" s="3" t="s">
        <v>555</v>
      </c>
      <c r="B4493" s="3" t="s">
        <v>567</v>
      </c>
      <c r="C4493" s="3" t="s">
        <v>574</v>
      </c>
    </row>
    <row r="4494">
      <c r="A4494" s="3" t="s">
        <v>555</v>
      </c>
      <c r="B4494" s="3" t="s">
        <v>567</v>
      </c>
      <c r="C4494" s="3" t="s">
        <v>580</v>
      </c>
    </row>
    <row r="4495">
      <c r="A4495" s="3" t="s">
        <v>555</v>
      </c>
      <c r="B4495" s="3" t="s">
        <v>567</v>
      </c>
      <c r="C4495" s="3" t="s">
        <v>578</v>
      </c>
    </row>
    <row r="4496">
      <c r="A4496" s="3" t="s">
        <v>555</v>
      </c>
      <c r="B4496" s="3" t="s">
        <v>556</v>
      </c>
      <c r="C4496" s="3" t="s">
        <v>581</v>
      </c>
    </row>
    <row r="4497">
      <c r="A4497" s="3" t="s">
        <v>555</v>
      </c>
      <c r="B4497" s="3" t="s">
        <v>556</v>
      </c>
      <c r="C4497" s="3" t="s">
        <v>571</v>
      </c>
    </row>
    <row r="4498">
      <c r="A4498" s="3" t="s">
        <v>555</v>
      </c>
      <c r="B4498" s="3" t="s">
        <v>567</v>
      </c>
      <c r="C4498" s="3" t="s">
        <v>574</v>
      </c>
    </row>
    <row r="4499">
      <c r="A4499" s="3" t="s">
        <v>555</v>
      </c>
      <c r="B4499" s="3" t="s">
        <v>567</v>
      </c>
      <c r="C4499" s="3" t="s">
        <v>573</v>
      </c>
    </row>
    <row r="4500">
      <c r="A4500" s="3" t="s">
        <v>555</v>
      </c>
      <c r="B4500" s="3" t="s">
        <v>567</v>
      </c>
      <c r="C4500" s="3" t="s">
        <v>574</v>
      </c>
    </row>
    <row r="4501">
      <c r="A4501" s="3" t="s">
        <v>555</v>
      </c>
      <c r="B4501" s="3" t="s">
        <v>556</v>
      </c>
      <c r="C4501" s="3" t="s">
        <v>572</v>
      </c>
    </row>
    <row r="4502">
      <c r="A4502" s="3" t="s">
        <v>555</v>
      </c>
      <c r="B4502" s="3" t="s">
        <v>567</v>
      </c>
      <c r="C4502" s="3" t="s">
        <v>577</v>
      </c>
    </row>
    <row r="4503">
      <c r="A4503" s="3" t="s">
        <v>555</v>
      </c>
      <c r="B4503" s="3" t="s">
        <v>567</v>
      </c>
      <c r="C4503" s="3" t="s">
        <v>574</v>
      </c>
    </row>
    <row r="4504">
      <c r="A4504" s="3" t="s">
        <v>555</v>
      </c>
      <c r="B4504" s="3" t="s">
        <v>556</v>
      </c>
      <c r="C4504" s="3" t="s">
        <v>581</v>
      </c>
    </row>
    <row r="4505">
      <c r="A4505" s="3" t="s">
        <v>555</v>
      </c>
      <c r="B4505" s="3" t="s">
        <v>567</v>
      </c>
      <c r="C4505" s="3" t="s">
        <v>575</v>
      </c>
    </row>
    <row r="4506">
      <c r="A4506" s="3" t="s">
        <v>555</v>
      </c>
      <c r="B4506" s="3" t="s">
        <v>567</v>
      </c>
      <c r="C4506" s="3" t="s">
        <v>568</v>
      </c>
    </row>
    <row r="4507">
      <c r="A4507" s="3" t="s">
        <v>555</v>
      </c>
      <c r="B4507" s="3" t="s">
        <v>567</v>
      </c>
      <c r="C4507" s="3" t="s">
        <v>573</v>
      </c>
    </row>
    <row r="4508">
      <c r="A4508" s="3" t="s">
        <v>555</v>
      </c>
      <c r="B4508" s="3" t="s">
        <v>567</v>
      </c>
      <c r="C4508" s="3" t="s">
        <v>577</v>
      </c>
    </row>
    <row r="4509">
      <c r="A4509" s="3" t="s">
        <v>555</v>
      </c>
      <c r="B4509" s="3" t="s">
        <v>567</v>
      </c>
      <c r="C4509" s="3" t="s">
        <v>573</v>
      </c>
    </row>
    <row r="4510">
      <c r="A4510" s="3" t="s">
        <v>555</v>
      </c>
      <c r="B4510" s="3" t="s">
        <v>567</v>
      </c>
      <c r="C4510" s="3" t="s">
        <v>574</v>
      </c>
    </row>
    <row r="4511">
      <c r="A4511" s="3" t="s">
        <v>555</v>
      </c>
      <c r="B4511" s="3" t="s">
        <v>567</v>
      </c>
      <c r="C4511" s="3" t="s">
        <v>574</v>
      </c>
    </row>
    <row r="4512">
      <c r="A4512" s="3" t="s">
        <v>555</v>
      </c>
      <c r="B4512" s="3" t="s">
        <v>567</v>
      </c>
      <c r="C4512" s="3" t="s">
        <v>576</v>
      </c>
    </row>
    <row r="4513">
      <c r="A4513" s="3" t="s">
        <v>582</v>
      </c>
      <c r="B4513" s="3" t="s">
        <v>583</v>
      </c>
      <c r="C4513" s="3" t="s">
        <v>584</v>
      </c>
    </row>
    <row r="4514">
      <c r="A4514" s="3" t="s">
        <v>582</v>
      </c>
      <c r="B4514" s="3" t="s">
        <v>583</v>
      </c>
      <c r="C4514" s="3" t="s">
        <v>584</v>
      </c>
    </row>
    <row r="4515">
      <c r="A4515" s="3" t="s">
        <v>582</v>
      </c>
      <c r="B4515" s="3" t="s">
        <v>585</v>
      </c>
      <c r="C4515" s="3" t="s">
        <v>586</v>
      </c>
    </row>
    <row r="4516">
      <c r="A4516" s="3" t="s">
        <v>582</v>
      </c>
      <c r="B4516" s="3" t="s">
        <v>583</v>
      </c>
      <c r="C4516" s="3" t="s">
        <v>584</v>
      </c>
    </row>
    <row r="4517">
      <c r="A4517" s="3" t="s">
        <v>587</v>
      </c>
      <c r="B4517" s="3" t="s">
        <v>72</v>
      </c>
      <c r="C4517" s="3" t="s">
        <v>562</v>
      </c>
    </row>
    <row r="4518">
      <c r="A4518" s="3" t="s">
        <v>587</v>
      </c>
      <c r="B4518" s="3" t="s">
        <v>72</v>
      </c>
      <c r="C4518" s="3" t="s">
        <v>562</v>
      </c>
    </row>
    <row r="4519">
      <c r="A4519" s="3" t="s">
        <v>587</v>
      </c>
      <c r="B4519" s="3" t="s">
        <v>72</v>
      </c>
      <c r="C4519" s="3" t="s">
        <v>562</v>
      </c>
    </row>
    <row r="4520">
      <c r="A4520" s="3" t="s">
        <v>587</v>
      </c>
      <c r="B4520" s="3" t="s">
        <v>72</v>
      </c>
      <c r="C4520" s="3" t="s">
        <v>588</v>
      </c>
    </row>
    <row r="4521">
      <c r="A4521" s="3" t="s">
        <v>587</v>
      </c>
      <c r="B4521" s="3" t="s">
        <v>74</v>
      </c>
      <c r="C4521" s="3" t="s">
        <v>589</v>
      </c>
    </row>
    <row r="4522">
      <c r="A4522" s="3" t="s">
        <v>587</v>
      </c>
      <c r="B4522" s="3" t="s">
        <v>590</v>
      </c>
      <c r="C4522" s="3" t="s">
        <v>591</v>
      </c>
    </row>
    <row r="4523">
      <c r="A4523" s="3" t="s">
        <v>587</v>
      </c>
      <c r="B4523" s="3" t="s">
        <v>74</v>
      </c>
      <c r="C4523" s="3" t="s">
        <v>592</v>
      </c>
    </row>
    <row r="4524">
      <c r="A4524" s="3" t="s">
        <v>587</v>
      </c>
      <c r="B4524" s="3" t="s">
        <v>74</v>
      </c>
      <c r="C4524" s="3" t="s">
        <v>589</v>
      </c>
    </row>
    <row r="4525">
      <c r="A4525" s="3" t="s">
        <v>587</v>
      </c>
      <c r="B4525" s="3" t="s">
        <v>74</v>
      </c>
      <c r="C4525" s="3" t="s">
        <v>589</v>
      </c>
    </row>
    <row r="4526">
      <c r="A4526" s="3" t="s">
        <v>587</v>
      </c>
      <c r="B4526" s="3" t="s">
        <v>72</v>
      </c>
      <c r="C4526" s="3" t="s">
        <v>562</v>
      </c>
    </row>
    <row r="4527">
      <c r="A4527" s="3" t="s">
        <v>587</v>
      </c>
      <c r="B4527" s="3" t="s">
        <v>74</v>
      </c>
      <c r="C4527" s="3" t="s">
        <v>593</v>
      </c>
    </row>
    <row r="4528">
      <c r="A4528" s="3" t="s">
        <v>587</v>
      </c>
      <c r="B4528" s="3" t="s">
        <v>72</v>
      </c>
      <c r="C4528" s="3" t="s">
        <v>588</v>
      </c>
    </row>
    <row r="4529">
      <c r="A4529" s="3" t="s">
        <v>587</v>
      </c>
      <c r="B4529" s="3" t="s">
        <v>74</v>
      </c>
      <c r="C4529" s="3" t="s">
        <v>589</v>
      </c>
    </row>
    <row r="4530">
      <c r="A4530" s="3" t="s">
        <v>587</v>
      </c>
      <c r="B4530" s="3" t="s">
        <v>590</v>
      </c>
      <c r="C4530" s="3" t="s">
        <v>591</v>
      </c>
    </row>
    <row r="4531">
      <c r="A4531" s="3" t="s">
        <v>587</v>
      </c>
      <c r="B4531" s="3" t="s">
        <v>74</v>
      </c>
      <c r="C4531" s="3" t="s">
        <v>592</v>
      </c>
    </row>
    <row r="4532">
      <c r="A4532" s="3" t="s">
        <v>587</v>
      </c>
      <c r="B4532" s="3" t="s">
        <v>74</v>
      </c>
      <c r="C4532" s="3" t="s">
        <v>589</v>
      </c>
    </row>
    <row r="4533">
      <c r="A4533" s="3" t="s">
        <v>587</v>
      </c>
      <c r="B4533" s="3" t="s">
        <v>74</v>
      </c>
      <c r="C4533" s="3" t="s">
        <v>589</v>
      </c>
    </row>
    <row r="4534">
      <c r="A4534" s="3" t="s">
        <v>587</v>
      </c>
      <c r="B4534" s="3" t="s">
        <v>74</v>
      </c>
      <c r="C4534" s="3" t="s">
        <v>594</v>
      </c>
    </row>
    <row r="4535">
      <c r="A4535" s="3" t="s">
        <v>587</v>
      </c>
      <c r="B4535" s="3" t="s">
        <v>72</v>
      </c>
      <c r="C4535" s="3" t="s">
        <v>562</v>
      </c>
    </row>
    <row r="4536">
      <c r="A4536" s="3" t="s">
        <v>587</v>
      </c>
      <c r="B4536" s="3" t="s">
        <v>595</v>
      </c>
      <c r="C4536" s="3" t="s">
        <v>596</v>
      </c>
    </row>
    <row r="4537">
      <c r="A4537" s="3" t="s">
        <v>587</v>
      </c>
      <c r="B4537" s="3" t="s">
        <v>74</v>
      </c>
      <c r="C4537" s="3" t="s">
        <v>597</v>
      </c>
    </row>
    <row r="4538">
      <c r="A4538" s="3" t="s">
        <v>587</v>
      </c>
      <c r="B4538" s="3" t="s">
        <v>74</v>
      </c>
      <c r="C4538" s="3" t="s">
        <v>597</v>
      </c>
    </row>
    <row r="4539">
      <c r="A4539" s="3" t="s">
        <v>587</v>
      </c>
      <c r="B4539" s="3" t="s">
        <v>74</v>
      </c>
      <c r="C4539" s="3" t="s">
        <v>598</v>
      </c>
    </row>
    <row r="4540">
      <c r="A4540" s="3" t="s">
        <v>587</v>
      </c>
      <c r="B4540" s="3" t="s">
        <v>74</v>
      </c>
      <c r="C4540" s="3" t="s">
        <v>597</v>
      </c>
    </row>
    <row r="4541">
      <c r="A4541" s="3" t="s">
        <v>587</v>
      </c>
      <c r="B4541" s="3" t="s">
        <v>74</v>
      </c>
      <c r="C4541" s="3" t="s">
        <v>594</v>
      </c>
    </row>
    <row r="4542">
      <c r="A4542" s="3" t="s">
        <v>587</v>
      </c>
      <c r="B4542" s="3" t="s">
        <v>72</v>
      </c>
      <c r="C4542" s="3" t="s">
        <v>588</v>
      </c>
    </row>
    <row r="4543">
      <c r="A4543" s="3" t="s">
        <v>587</v>
      </c>
      <c r="B4543" s="3" t="s">
        <v>74</v>
      </c>
      <c r="C4543" s="3" t="s">
        <v>593</v>
      </c>
    </row>
    <row r="4544">
      <c r="A4544" s="3" t="s">
        <v>587</v>
      </c>
      <c r="B4544" s="3" t="s">
        <v>74</v>
      </c>
      <c r="C4544" s="3" t="s">
        <v>597</v>
      </c>
    </row>
    <row r="4545">
      <c r="A4545" s="3" t="s">
        <v>587</v>
      </c>
      <c r="B4545" s="3" t="s">
        <v>590</v>
      </c>
      <c r="C4545" s="3" t="s">
        <v>591</v>
      </c>
    </row>
    <row r="4546">
      <c r="A4546" s="3" t="s">
        <v>587</v>
      </c>
      <c r="B4546" s="3" t="s">
        <v>74</v>
      </c>
      <c r="C4546" s="3" t="s">
        <v>594</v>
      </c>
    </row>
    <row r="4547">
      <c r="A4547" s="3" t="s">
        <v>587</v>
      </c>
      <c r="B4547" s="3" t="s">
        <v>72</v>
      </c>
      <c r="C4547" s="3" t="s">
        <v>562</v>
      </c>
    </row>
    <row r="4548">
      <c r="A4548" s="3" t="s">
        <v>587</v>
      </c>
      <c r="B4548" s="3" t="s">
        <v>74</v>
      </c>
      <c r="C4548" s="3" t="s">
        <v>597</v>
      </c>
    </row>
    <row r="4549">
      <c r="A4549" s="3" t="s">
        <v>587</v>
      </c>
      <c r="B4549" s="3" t="s">
        <v>72</v>
      </c>
      <c r="C4549" s="3" t="s">
        <v>562</v>
      </c>
    </row>
    <row r="4550">
      <c r="A4550" s="3" t="s">
        <v>587</v>
      </c>
      <c r="B4550" s="3" t="s">
        <v>72</v>
      </c>
      <c r="C4550" s="3" t="s">
        <v>588</v>
      </c>
    </row>
    <row r="4551">
      <c r="A4551" s="3" t="s">
        <v>587</v>
      </c>
      <c r="B4551" s="3" t="s">
        <v>72</v>
      </c>
      <c r="C4551" s="3" t="s">
        <v>599</v>
      </c>
    </row>
    <row r="4552">
      <c r="A4552" s="3" t="s">
        <v>587</v>
      </c>
      <c r="B4552" s="3" t="s">
        <v>72</v>
      </c>
      <c r="C4552" s="3" t="s">
        <v>599</v>
      </c>
    </row>
    <row r="4553">
      <c r="A4553" s="3" t="s">
        <v>587</v>
      </c>
      <c r="B4553" s="3" t="s">
        <v>72</v>
      </c>
      <c r="C4553" s="3" t="s">
        <v>599</v>
      </c>
    </row>
    <row r="4554">
      <c r="A4554" s="3" t="s">
        <v>587</v>
      </c>
      <c r="B4554" s="3" t="s">
        <v>72</v>
      </c>
      <c r="C4554" s="3" t="s">
        <v>599</v>
      </c>
    </row>
    <row r="4555">
      <c r="A4555" s="3" t="s">
        <v>587</v>
      </c>
      <c r="B4555" s="3" t="s">
        <v>72</v>
      </c>
      <c r="C4555" s="3" t="s">
        <v>599</v>
      </c>
    </row>
    <row r="4556">
      <c r="A4556" s="3" t="s">
        <v>587</v>
      </c>
      <c r="B4556" s="3" t="s">
        <v>595</v>
      </c>
      <c r="C4556" s="3" t="s">
        <v>596</v>
      </c>
    </row>
    <row r="4557">
      <c r="A4557" s="3" t="s">
        <v>587</v>
      </c>
      <c r="B4557" s="3" t="s">
        <v>595</v>
      </c>
      <c r="C4557" s="3" t="s">
        <v>596</v>
      </c>
    </row>
    <row r="4558">
      <c r="A4558" s="3" t="s">
        <v>587</v>
      </c>
      <c r="B4558" s="3" t="s">
        <v>590</v>
      </c>
      <c r="C4558" s="3" t="s">
        <v>591</v>
      </c>
    </row>
    <row r="4559">
      <c r="A4559" s="3" t="s">
        <v>587</v>
      </c>
      <c r="B4559" s="3" t="s">
        <v>72</v>
      </c>
      <c r="C4559" s="3" t="s">
        <v>599</v>
      </c>
    </row>
    <row r="4560">
      <c r="A4560" s="3" t="s">
        <v>587</v>
      </c>
      <c r="B4560" s="3" t="s">
        <v>74</v>
      </c>
      <c r="C4560" s="3" t="s">
        <v>592</v>
      </c>
    </row>
    <row r="4561">
      <c r="A4561" s="3" t="s">
        <v>587</v>
      </c>
      <c r="B4561" s="3" t="s">
        <v>74</v>
      </c>
      <c r="C4561" s="3" t="s">
        <v>594</v>
      </c>
    </row>
    <row r="4562">
      <c r="A4562" s="3" t="s">
        <v>587</v>
      </c>
      <c r="B4562" s="3" t="s">
        <v>74</v>
      </c>
      <c r="C4562" s="3" t="s">
        <v>589</v>
      </c>
    </row>
    <row r="4563">
      <c r="A4563" s="3" t="s">
        <v>587</v>
      </c>
      <c r="B4563" s="3" t="s">
        <v>72</v>
      </c>
      <c r="C4563" s="3" t="s">
        <v>588</v>
      </c>
    </row>
    <row r="4564">
      <c r="A4564" s="3" t="s">
        <v>587</v>
      </c>
      <c r="B4564" s="3" t="s">
        <v>72</v>
      </c>
      <c r="C4564" s="3" t="s">
        <v>588</v>
      </c>
    </row>
    <row r="4565">
      <c r="A4565" s="3" t="s">
        <v>587</v>
      </c>
      <c r="B4565" s="3" t="s">
        <v>74</v>
      </c>
      <c r="C4565" s="3" t="s">
        <v>589</v>
      </c>
    </row>
    <row r="4566">
      <c r="A4566" s="3" t="s">
        <v>587</v>
      </c>
      <c r="B4566" s="3" t="s">
        <v>74</v>
      </c>
      <c r="C4566" s="3" t="s">
        <v>589</v>
      </c>
    </row>
    <row r="4567">
      <c r="A4567" s="3" t="s">
        <v>587</v>
      </c>
      <c r="B4567" s="3" t="s">
        <v>72</v>
      </c>
      <c r="C4567" s="3" t="s">
        <v>588</v>
      </c>
    </row>
    <row r="4568">
      <c r="A4568" s="3" t="s">
        <v>587</v>
      </c>
      <c r="B4568" s="3" t="s">
        <v>72</v>
      </c>
      <c r="C4568" s="3" t="s">
        <v>562</v>
      </c>
    </row>
    <row r="4569">
      <c r="A4569" s="3" t="s">
        <v>587</v>
      </c>
      <c r="B4569" s="3" t="s">
        <v>74</v>
      </c>
      <c r="C4569" s="3" t="s">
        <v>600</v>
      </c>
    </row>
    <row r="4570">
      <c r="A4570" s="3" t="s">
        <v>587</v>
      </c>
      <c r="B4570" s="3" t="s">
        <v>590</v>
      </c>
      <c r="C4570" s="3" t="s">
        <v>591</v>
      </c>
    </row>
    <row r="4571">
      <c r="A4571" s="3" t="s">
        <v>587</v>
      </c>
      <c r="B4571" s="3" t="s">
        <v>72</v>
      </c>
      <c r="C4571" s="3" t="s">
        <v>599</v>
      </c>
    </row>
    <row r="4572">
      <c r="A4572" s="3" t="s">
        <v>587</v>
      </c>
      <c r="B4572" s="3" t="s">
        <v>74</v>
      </c>
      <c r="C4572" s="3" t="s">
        <v>589</v>
      </c>
    </row>
    <row r="4573">
      <c r="A4573" s="3" t="s">
        <v>587</v>
      </c>
      <c r="B4573" s="3" t="s">
        <v>74</v>
      </c>
      <c r="C4573" s="3" t="s">
        <v>589</v>
      </c>
    </row>
    <row r="4574">
      <c r="A4574" s="3" t="s">
        <v>587</v>
      </c>
      <c r="B4574" s="3" t="s">
        <v>74</v>
      </c>
      <c r="C4574" s="3" t="s">
        <v>589</v>
      </c>
    </row>
    <row r="4575">
      <c r="A4575" s="3" t="s">
        <v>587</v>
      </c>
      <c r="B4575" s="3" t="s">
        <v>74</v>
      </c>
      <c r="C4575" s="3" t="s">
        <v>601</v>
      </c>
    </row>
    <row r="4576">
      <c r="A4576" s="3" t="s">
        <v>587</v>
      </c>
      <c r="B4576" s="3" t="s">
        <v>74</v>
      </c>
      <c r="C4576" s="3" t="s">
        <v>592</v>
      </c>
    </row>
    <row r="4577">
      <c r="A4577" s="3" t="s">
        <v>587</v>
      </c>
      <c r="B4577" s="3" t="s">
        <v>72</v>
      </c>
      <c r="C4577" s="3" t="s">
        <v>562</v>
      </c>
    </row>
    <row r="4578">
      <c r="A4578" s="3" t="s">
        <v>587</v>
      </c>
      <c r="B4578" s="3" t="s">
        <v>72</v>
      </c>
      <c r="C4578" s="3" t="s">
        <v>588</v>
      </c>
    </row>
    <row r="4579">
      <c r="A4579" s="3" t="s">
        <v>587</v>
      </c>
      <c r="B4579" s="3" t="s">
        <v>74</v>
      </c>
      <c r="C4579" s="3" t="s">
        <v>597</v>
      </c>
    </row>
    <row r="4580">
      <c r="A4580" s="3" t="s">
        <v>587</v>
      </c>
      <c r="B4580" s="3" t="s">
        <v>72</v>
      </c>
      <c r="C4580" s="3" t="s">
        <v>588</v>
      </c>
    </row>
    <row r="4581">
      <c r="A4581" s="3" t="s">
        <v>587</v>
      </c>
      <c r="B4581" s="3" t="s">
        <v>74</v>
      </c>
      <c r="C4581" s="3" t="s">
        <v>597</v>
      </c>
    </row>
    <row r="4582">
      <c r="A4582" s="3" t="s">
        <v>587</v>
      </c>
      <c r="B4582" s="3" t="s">
        <v>74</v>
      </c>
      <c r="C4582" s="3" t="s">
        <v>601</v>
      </c>
    </row>
    <row r="4583">
      <c r="A4583" s="3" t="s">
        <v>587</v>
      </c>
      <c r="B4583" s="3" t="s">
        <v>74</v>
      </c>
      <c r="C4583" s="3" t="s">
        <v>600</v>
      </c>
    </row>
    <row r="4584">
      <c r="A4584" s="3" t="s">
        <v>587</v>
      </c>
      <c r="B4584" s="3" t="s">
        <v>74</v>
      </c>
      <c r="C4584" s="3" t="s">
        <v>594</v>
      </c>
    </row>
    <row r="4585">
      <c r="A4585" s="3" t="s">
        <v>587</v>
      </c>
      <c r="B4585" s="3" t="s">
        <v>74</v>
      </c>
      <c r="C4585" s="3" t="s">
        <v>594</v>
      </c>
    </row>
    <row r="4586">
      <c r="A4586" s="3" t="s">
        <v>587</v>
      </c>
      <c r="B4586" s="3" t="s">
        <v>74</v>
      </c>
      <c r="C4586" s="3" t="s">
        <v>598</v>
      </c>
    </row>
    <row r="4587">
      <c r="A4587" s="3" t="s">
        <v>587</v>
      </c>
      <c r="B4587" s="3" t="s">
        <v>72</v>
      </c>
      <c r="C4587" s="3" t="s">
        <v>599</v>
      </c>
    </row>
    <row r="4588">
      <c r="A4588" s="3" t="s">
        <v>587</v>
      </c>
      <c r="B4588" s="3" t="s">
        <v>72</v>
      </c>
      <c r="C4588" s="3" t="s">
        <v>588</v>
      </c>
    </row>
    <row r="4589">
      <c r="A4589" s="3" t="s">
        <v>587</v>
      </c>
      <c r="B4589" s="3" t="s">
        <v>72</v>
      </c>
      <c r="C4589" s="3" t="s">
        <v>562</v>
      </c>
    </row>
    <row r="4590">
      <c r="A4590" s="3" t="s">
        <v>587</v>
      </c>
      <c r="B4590" s="3" t="s">
        <v>72</v>
      </c>
      <c r="C4590" s="3" t="s">
        <v>588</v>
      </c>
    </row>
    <row r="4591">
      <c r="A4591" s="3" t="s">
        <v>587</v>
      </c>
      <c r="B4591" s="3" t="s">
        <v>74</v>
      </c>
      <c r="C4591" s="3" t="s">
        <v>600</v>
      </c>
    </row>
    <row r="4592">
      <c r="A4592" s="3" t="s">
        <v>587</v>
      </c>
      <c r="B4592" s="3" t="s">
        <v>72</v>
      </c>
      <c r="C4592" s="3" t="s">
        <v>562</v>
      </c>
    </row>
    <row r="4593">
      <c r="A4593" s="3" t="s">
        <v>587</v>
      </c>
      <c r="B4593" s="3" t="s">
        <v>72</v>
      </c>
      <c r="C4593" s="3" t="s">
        <v>562</v>
      </c>
    </row>
    <row r="4594">
      <c r="A4594" s="3" t="s">
        <v>587</v>
      </c>
      <c r="B4594" s="3" t="s">
        <v>72</v>
      </c>
      <c r="C4594" s="3" t="s">
        <v>588</v>
      </c>
    </row>
    <row r="4595">
      <c r="A4595" s="3" t="s">
        <v>587</v>
      </c>
      <c r="B4595" s="3" t="s">
        <v>74</v>
      </c>
      <c r="C4595" s="3" t="s">
        <v>593</v>
      </c>
    </row>
    <row r="4596">
      <c r="A4596" s="3" t="s">
        <v>587</v>
      </c>
      <c r="B4596" s="3" t="s">
        <v>74</v>
      </c>
      <c r="C4596" s="3" t="s">
        <v>600</v>
      </c>
    </row>
    <row r="4597">
      <c r="A4597" s="3" t="s">
        <v>587</v>
      </c>
      <c r="B4597" s="3" t="s">
        <v>74</v>
      </c>
      <c r="C4597" s="3" t="s">
        <v>602</v>
      </c>
    </row>
    <row r="4598">
      <c r="A4598" s="3" t="s">
        <v>587</v>
      </c>
      <c r="B4598" s="3" t="s">
        <v>74</v>
      </c>
      <c r="C4598" s="3" t="s">
        <v>589</v>
      </c>
    </row>
    <row r="4599">
      <c r="A4599" s="3" t="s">
        <v>587</v>
      </c>
      <c r="B4599" s="3" t="s">
        <v>72</v>
      </c>
      <c r="C4599" s="3" t="s">
        <v>562</v>
      </c>
    </row>
    <row r="4600">
      <c r="A4600" s="3" t="s">
        <v>587</v>
      </c>
      <c r="B4600" s="3" t="s">
        <v>74</v>
      </c>
      <c r="C4600" s="3" t="s">
        <v>594</v>
      </c>
    </row>
    <row r="4601">
      <c r="A4601" s="3" t="s">
        <v>587</v>
      </c>
      <c r="B4601" s="3" t="s">
        <v>74</v>
      </c>
      <c r="C4601" s="3" t="s">
        <v>593</v>
      </c>
    </row>
    <row r="4602">
      <c r="A4602" s="3" t="s">
        <v>587</v>
      </c>
      <c r="B4602" s="3" t="s">
        <v>72</v>
      </c>
      <c r="C4602" s="3" t="s">
        <v>588</v>
      </c>
    </row>
    <row r="4603">
      <c r="A4603" s="3" t="s">
        <v>587</v>
      </c>
      <c r="B4603" s="3" t="s">
        <v>74</v>
      </c>
      <c r="C4603" s="3" t="s">
        <v>589</v>
      </c>
    </row>
    <row r="4604">
      <c r="A4604" s="3" t="s">
        <v>587</v>
      </c>
      <c r="B4604" s="3" t="s">
        <v>74</v>
      </c>
      <c r="C4604" s="3" t="s">
        <v>589</v>
      </c>
    </row>
    <row r="4605">
      <c r="A4605" s="3" t="s">
        <v>587</v>
      </c>
      <c r="B4605" s="3" t="s">
        <v>74</v>
      </c>
      <c r="C4605" s="3" t="s">
        <v>589</v>
      </c>
    </row>
    <row r="4606">
      <c r="A4606" s="3" t="s">
        <v>587</v>
      </c>
      <c r="B4606" s="3" t="s">
        <v>74</v>
      </c>
      <c r="C4606" s="3" t="s">
        <v>601</v>
      </c>
    </row>
    <row r="4607">
      <c r="A4607" s="3" t="s">
        <v>587</v>
      </c>
      <c r="B4607" s="3" t="s">
        <v>74</v>
      </c>
      <c r="C4607" s="3" t="s">
        <v>602</v>
      </c>
    </row>
    <row r="4608">
      <c r="A4608" s="3" t="s">
        <v>587</v>
      </c>
      <c r="B4608" s="3" t="s">
        <v>74</v>
      </c>
      <c r="C4608" s="3" t="s">
        <v>589</v>
      </c>
    </row>
    <row r="4609">
      <c r="A4609" s="3" t="s">
        <v>587</v>
      </c>
      <c r="B4609" s="3" t="s">
        <v>74</v>
      </c>
      <c r="C4609" s="3" t="s">
        <v>600</v>
      </c>
    </row>
    <row r="4610">
      <c r="A4610" s="3" t="s">
        <v>587</v>
      </c>
      <c r="B4610" s="3" t="s">
        <v>590</v>
      </c>
      <c r="C4610" s="3" t="s">
        <v>591</v>
      </c>
    </row>
    <row r="4611">
      <c r="A4611" s="3" t="s">
        <v>587</v>
      </c>
      <c r="B4611" s="3" t="s">
        <v>74</v>
      </c>
      <c r="C4611" s="3" t="s">
        <v>600</v>
      </c>
    </row>
    <row r="4612">
      <c r="A4612" s="3" t="s">
        <v>587</v>
      </c>
      <c r="B4612" s="3" t="s">
        <v>74</v>
      </c>
      <c r="C4612" s="3" t="s">
        <v>589</v>
      </c>
    </row>
    <row r="4613">
      <c r="A4613" s="3" t="s">
        <v>587</v>
      </c>
      <c r="B4613" s="3" t="s">
        <v>590</v>
      </c>
      <c r="C4613" s="3" t="s">
        <v>591</v>
      </c>
    </row>
    <row r="4614">
      <c r="A4614" s="3" t="s">
        <v>587</v>
      </c>
      <c r="B4614" s="3" t="s">
        <v>74</v>
      </c>
      <c r="C4614" s="3" t="s">
        <v>597</v>
      </c>
    </row>
    <row r="4615">
      <c r="A4615" s="3" t="s">
        <v>587</v>
      </c>
      <c r="B4615" s="3" t="s">
        <v>74</v>
      </c>
      <c r="C4615" s="3" t="s">
        <v>600</v>
      </c>
    </row>
    <row r="4616">
      <c r="A4616" s="3" t="s">
        <v>587</v>
      </c>
      <c r="B4616" s="3" t="s">
        <v>74</v>
      </c>
      <c r="C4616" s="3" t="s">
        <v>602</v>
      </c>
    </row>
    <row r="4617">
      <c r="A4617" s="3" t="s">
        <v>587</v>
      </c>
      <c r="B4617" s="3" t="s">
        <v>74</v>
      </c>
      <c r="C4617" s="3" t="s">
        <v>593</v>
      </c>
    </row>
    <row r="4618">
      <c r="A4618" s="3" t="s">
        <v>587</v>
      </c>
      <c r="B4618" s="3" t="s">
        <v>74</v>
      </c>
      <c r="C4618" s="3" t="s">
        <v>589</v>
      </c>
    </row>
    <row r="4619">
      <c r="A4619" s="3" t="s">
        <v>587</v>
      </c>
      <c r="B4619" s="3" t="s">
        <v>74</v>
      </c>
      <c r="C4619" s="3" t="s">
        <v>589</v>
      </c>
    </row>
    <row r="4620">
      <c r="A4620" s="3" t="s">
        <v>587</v>
      </c>
      <c r="B4620" s="3" t="s">
        <v>74</v>
      </c>
      <c r="C4620" s="3" t="s">
        <v>594</v>
      </c>
    </row>
    <row r="4621">
      <c r="A4621" s="3" t="s">
        <v>587</v>
      </c>
      <c r="B4621" s="3" t="s">
        <v>74</v>
      </c>
      <c r="C4621" s="3" t="s">
        <v>601</v>
      </c>
    </row>
    <row r="4622">
      <c r="A4622" s="3" t="s">
        <v>587</v>
      </c>
      <c r="B4622" s="3" t="s">
        <v>74</v>
      </c>
      <c r="C4622" s="3" t="s">
        <v>589</v>
      </c>
    </row>
    <row r="4623">
      <c r="A4623" s="3" t="s">
        <v>587</v>
      </c>
      <c r="B4623" s="3" t="s">
        <v>74</v>
      </c>
      <c r="C4623" s="3" t="s">
        <v>589</v>
      </c>
    </row>
    <row r="4624">
      <c r="A4624" s="3" t="s">
        <v>587</v>
      </c>
      <c r="B4624" s="3" t="s">
        <v>74</v>
      </c>
      <c r="C4624" s="3" t="s">
        <v>589</v>
      </c>
    </row>
    <row r="4625">
      <c r="A4625" s="3" t="s">
        <v>587</v>
      </c>
      <c r="B4625" s="3" t="s">
        <v>74</v>
      </c>
      <c r="C4625" s="3" t="s">
        <v>594</v>
      </c>
    </row>
    <row r="4626">
      <c r="A4626" s="3" t="s">
        <v>587</v>
      </c>
      <c r="B4626" s="3" t="s">
        <v>74</v>
      </c>
      <c r="C4626" s="3" t="s">
        <v>589</v>
      </c>
    </row>
    <row r="4627">
      <c r="A4627" s="3" t="s">
        <v>587</v>
      </c>
      <c r="B4627" s="3" t="s">
        <v>74</v>
      </c>
      <c r="C4627" s="3" t="s">
        <v>589</v>
      </c>
    </row>
    <row r="4628">
      <c r="A4628" s="3" t="s">
        <v>587</v>
      </c>
      <c r="B4628" s="3" t="s">
        <v>74</v>
      </c>
      <c r="C4628" s="3" t="s">
        <v>589</v>
      </c>
    </row>
    <row r="4629">
      <c r="A4629" s="3" t="s">
        <v>587</v>
      </c>
      <c r="B4629" s="3" t="s">
        <v>595</v>
      </c>
      <c r="C4629" s="3" t="s">
        <v>596</v>
      </c>
    </row>
    <row r="4630">
      <c r="A4630" s="3" t="s">
        <v>587</v>
      </c>
      <c r="B4630" s="3" t="s">
        <v>74</v>
      </c>
      <c r="C4630" s="3" t="s">
        <v>594</v>
      </c>
    </row>
    <row r="4631">
      <c r="A4631" s="3" t="s">
        <v>587</v>
      </c>
      <c r="B4631" s="3" t="s">
        <v>72</v>
      </c>
      <c r="C4631" s="3" t="s">
        <v>562</v>
      </c>
    </row>
    <row r="4632">
      <c r="A4632" s="3" t="s">
        <v>587</v>
      </c>
      <c r="B4632" s="3" t="s">
        <v>74</v>
      </c>
      <c r="C4632" s="3" t="s">
        <v>601</v>
      </c>
    </row>
    <row r="4633">
      <c r="A4633" s="3" t="s">
        <v>587</v>
      </c>
      <c r="B4633" s="3" t="s">
        <v>74</v>
      </c>
      <c r="C4633" s="3" t="s">
        <v>602</v>
      </c>
    </row>
    <row r="4634">
      <c r="A4634" s="3" t="s">
        <v>587</v>
      </c>
      <c r="B4634" s="3" t="s">
        <v>74</v>
      </c>
      <c r="C4634" s="3" t="s">
        <v>593</v>
      </c>
    </row>
    <row r="4635">
      <c r="A4635" s="3" t="s">
        <v>587</v>
      </c>
      <c r="B4635" s="3" t="s">
        <v>74</v>
      </c>
      <c r="C4635" s="3" t="s">
        <v>601</v>
      </c>
    </row>
    <row r="4636">
      <c r="A4636" s="3" t="s">
        <v>587</v>
      </c>
      <c r="B4636" s="3" t="s">
        <v>595</v>
      </c>
      <c r="C4636" s="3" t="s">
        <v>596</v>
      </c>
    </row>
    <row r="4637">
      <c r="A4637" s="3" t="s">
        <v>587</v>
      </c>
      <c r="B4637" s="3" t="s">
        <v>74</v>
      </c>
      <c r="C4637" s="3" t="s">
        <v>589</v>
      </c>
    </row>
    <row r="4638">
      <c r="A4638" s="3" t="s">
        <v>587</v>
      </c>
      <c r="B4638" s="3" t="s">
        <v>595</v>
      </c>
      <c r="C4638" s="3" t="s">
        <v>596</v>
      </c>
    </row>
    <row r="4639">
      <c r="A4639" s="3" t="s">
        <v>587</v>
      </c>
      <c r="B4639" s="3" t="s">
        <v>595</v>
      </c>
      <c r="C4639" s="3" t="s">
        <v>596</v>
      </c>
    </row>
    <row r="4640">
      <c r="A4640" s="3" t="s">
        <v>587</v>
      </c>
      <c r="B4640" s="3" t="s">
        <v>590</v>
      </c>
      <c r="C4640" s="3" t="s">
        <v>591</v>
      </c>
    </row>
    <row r="4641">
      <c r="A4641" s="3" t="s">
        <v>587</v>
      </c>
      <c r="B4641" s="3" t="s">
        <v>74</v>
      </c>
      <c r="C4641" s="3" t="s">
        <v>600</v>
      </c>
    </row>
    <row r="4642">
      <c r="A4642" s="3" t="s">
        <v>587</v>
      </c>
      <c r="B4642" s="3" t="s">
        <v>595</v>
      </c>
      <c r="C4642" s="3" t="s">
        <v>596</v>
      </c>
    </row>
    <row r="4643">
      <c r="A4643" s="3" t="s">
        <v>587</v>
      </c>
      <c r="B4643" s="3" t="s">
        <v>74</v>
      </c>
      <c r="C4643" s="3" t="s">
        <v>601</v>
      </c>
    </row>
    <row r="4644">
      <c r="A4644" s="3" t="s">
        <v>587</v>
      </c>
      <c r="B4644" s="3" t="s">
        <v>74</v>
      </c>
      <c r="C4644" s="3" t="s">
        <v>601</v>
      </c>
    </row>
    <row r="4645">
      <c r="A4645" s="3" t="s">
        <v>587</v>
      </c>
      <c r="B4645" s="3" t="s">
        <v>74</v>
      </c>
      <c r="C4645" s="3" t="s">
        <v>602</v>
      </c>
    </row>
    <row r="4646">
      <c r="A4646" s="3" t="s">
        <v>587</v>
      </c>
      <c r="B4646" s="3" t="s">
        <v>74</v>
      </c>
      <c r="C4646" s="3" t="s">
        <v>589</v>
      </c>
    </row>
    <row r="4647">
      <c r="A4647" s="3" t="s">
        <v>587</v>
      </c>
      <c r="B4647" s="3" t="s">
        <v>595</v>
      </c>
      <c r="C4647" s="3" t="s">
        <v>596</v>
      </c>
    </row>
    <row r="4648">
      <c r="A4648" s="3" t="s">
        <v>587</v>
      </c>
      <c r="B4648" s="3" t="s">
        <v>74</v>
      </c>
      <c r="C4648" s="3" t="s">
        <v>594</v>
      </c>
    </row>
    <row r="4649">
      <c r="A4649" s="3" t="s">
        <v>587</v>
      </c>
      <c r="B4649" s="3" t="s">
        <v>595</v>
      </c>
      <c r="C4649" s="3" t="s">
        <v>596</v>
      </c>
    </row>
    <row r="4650">
      <c r="A4650" s="3" t="s">
        <v>587</v>
      </c>
      <c r="B4650" s="3" t="s">
        <v>74</v>
      </c>
      <c r="C4650" s="3" t="s">
        <v>594</v>
      </c>
    </row>
    <row r="4651">
      <c r="A4651" s="3" t="s">
        <v>587</v>
      </c>
      <c r="B4651" s="3" t="s">
        <v>74</v>
      </c>
      <c r="C4651" s="3" t="s">
        <v>597</v>
      </c>
    </row>
    <row r="4652">
      <c r="A4652" s="3" t="s">
        <v>587</v>
      </c>
      <c r="B4652" s="3" t="s">
        <v>74</v>
      </c>
      <c r="C4652" s="3" t="s">
        <v>594</v>
      </c>
    </row>
    <row r="4653">
      <c r="A4653" s="3" t="s">
        <v>587</v>
      </c>
      <c r="B4653" s="3" t="s">
        <v>74</v>
      </c>
      <c r="C4653" s="3" t="s">
        <v>589</v>
      </c>
    </row>
    <row r="4654">
      <c r="A4654" s="3" t="s">
        <v>587</v>
      </c>
      <c r="B4654" s="3" t="s">
        <v>590</v>
      </c>
      <c r="C4654" s="3" t="s">
        <v>591</v>
      </c>
    </row>
    <row r="4655">
      <c r="A4655" s="3" t="s">
        <v>587</v>
      </c>
      <c r="B4655" s="3" t="s">
        <v>72</v>
      </c>
      <c r="C4655" s="3" t="s">
        <v>588</v>
      </c>
    </row>
    <row r="4656">
      <c r="A4656" s="3" t="s">
        <v>587</v>
      </c>
      <c r="B4656" s="3" t="s">
        <v>72</v>
      </c>
      <c r="C4656" s="3" t="s">
        <v>599</v>
      </c>
    </row>
    <row r="4657">
      <c r="A4657" s="3" t="s">
        <v>587</v>
      </c>
      <c r="B4657" s="3" t="s">
        <v>72</v>
      </c>
      <c r="C4657" s="3" t="s">
        <v>562</v>
      </c>
    </row>
    <row r="4658">
      <c r="A4658" s="3" t="s">
        <v>587</v>
      </c>
      <c r="B4658" s="3" t="s">
        <v>74</v>
      </c>
      <c r="C4658" s="3" t="s">
        <v>592</v>
      </c>
    </row>
    <row r="4659">
      <c r="A4659" s="3" t="s">
        <v>587</v>
      </c>
      <c r="B4659" s="3" t="s">
        <v>74</v>
      </c>
      <c r="C4659" s="3" t="s">
        <v>594</v>
      </c>
    </row>
    <row r="4660">
      <c r="A4660" s="3" t="s">
        <v>587</v>
      </c>
      <c r="B4660" s="3" t="s">
        <v>74</v>
      </c>
      <c r="C4660" s="3" t="s">
        <v>601</v>
      </c>
    </row>
    <row r="4661">
      <c r="A4661" s="3" t="s">
        <v>587</v>
      </c>
      <c r="B4661" s="3" t="s">
        <v>74</v>
      </c>
      <c r="C4661" s="3" t="s">
        <v>602</v>
      </c>
    </row>
    <row r="4662">
      <c r="A4662" s="3" t="s">
        <v>587</v>
      </c>
      <c r="B4662" s="3" t="s">
        <v>74</v>
      </c>
      <c r="C4662" s="3" t="s">
        <v>600</v>
      </c>
    </row>
    <row r="4663">
      <c r="A4663" s="3" t="s">
        <v>587</v>
      </c>
      <c r="B4663" s="3" t="s">
        <v>595</v>
      </c>
      <c r="C4663" s="3" t="s">
        <v>596</v>
      </c>
    </row>
    <row r="4664">
      <c r="A4664" s="3" t="s">
        <v>587</v>
      </c>
      <c r="B4664" s="3" t="s">
        <v>74</v>
      </c>
      <c r="C4664" s="3" t="s">
        <v>594</v>
      </c>
    </row>
    <row r="4665">
      <c r="A4665" s="3" t="s">
        <v>587</v>
      </c>
      <c r="B4665" s="3" t="s">
        <v>595</v>
      </c>
      <c r="C4665" s="3" t="s">
        <v>596</v>
      </c>
    </row>
    <row r="4666">
      <c r="A4666" s="3" t="s">
        <v>587</v>
      </c>
      <c r="B4666" s="3" t="s">
        <v>74</v>
      </c>
      <c r="C4666" s="3" t="s">
        <v>594</v>
      </c>
    </row>
    <row r="4667">
      <c r="A4667" s="3" t="s">
        <v>587</v>
      </c>
      <c r="B4667" s="3" t="s">
        <v>74</v>
      </c>
      <c r="C4667" s="3" t="s">
        <v>594</v>
      </c>
    </row>
    <row r="4668">
      <c r="A4668" s="3" t="s">
        <v>587</v>
      </c>
      <c r="B4668" s="3" t="s">
        <v>595</v>
      </c>
      <c r="C4668" s="3" t="s">
        <v>596</v>
      </c>
    </row>
    <row r="4669">
      <c r="A4669" s="3" t="s">
        <v>587</v>
      </c>
      <c r="B4669" s="3" t="s">
        <v>74</v>
      </c>
      <c r="C4669" s="3" t="s">
        <v>594</v>
      </c>
    </row>
    <row r="4670">
      <c r="A4670" s="3" t="s">
        <v>587</v>
      </c>
      <c r="B4670" s="3" t="s">
        <v>74</v>
      </c>
      <c r="C4670" s="3" t="s">
        <v>600</v>
      </c>
    </row>
    <row r="4671">
      <c r="A4671" s="3" t="s">
        <v>587</v>
      </c>
      <c r="B4671" s="3" t="s">
        <v>74</v>
      </c>
      <c r="C4671" s="3" t="s">
        <v>589</v>
      </c>
    </row>
    <row r="4672">
      <c r="A4672" s="3" t="s">
        <v>587</v>
      </c>
      <c r="B4672" s="3" t="s">
        <v>595</v>
      </c>
      <c r="C4672" s="3" t="s">
        <v>596</v>
      </c>
    </row>
    <row r="4673">
      <c r="A4673" s="3" t="s">
        <v>587</v>
      </c>
      <c r="B4673" s="3" t="s">
        <v>74</v>
      </c>
      <c r="C4673" s="3" t="s">
        <v>589</v>
      </c>
    </row>
    <row r="4674">
      <c r="A4674" s="3" t="s">
        <v>587</v>
      </c>
      <c r="B4674" s="3" t="s">
        <v>74</v>
      </c>
      <c r="C4674" s="3" t="s">
        <v>593</v>
      </c>
    </row>
    <row r="4675">
      <c r="A4675" s="3" t="s">
        <v>603</v>
      </c>
      <c r="B4675" s="3" t="s">
        <v>90</v>
      </c>
      <c r="C4675" s="3" t="s">
        <v>604</v>
      </c>
    </row>
    <row r="4676">
      <c r="A4676" s="3" t="s">
        <v>603</v>
      </c>
      <c r="B4676" s="3" t="s">
        <v>90</v>
      </c>
      <c r="C4676" s="3" t="s">
        <v>604</v>
      </c>
    </row>
    <row r="4677">
      <c r="A4677" s="3" t="s">
        <v>603</v>
      </c>
      <c r="B4677" s="3" t="s">
        <v>90</v>
      </c>
      <c r="C4677" s="3" t="s">
        <v>605</v>
      </c>
    </row>
    <row r="4678">
      <c r="A4678" s="3" t="s">
        <v>603</v>
      </c>
      <c r="B4678" s="3" t="s">
        <v>90</v>
      </c>
      <c r="C4678" s="3" t="s">
        <v>604</v>
      </c>
    </row>
    <row r="4679">
      <c r="A4679" s="3" t="s">
        <v>603</v>
      </c>
      <c r="B4679" s="3" t="s">
        <v>606</v>
      </c>
      <c r="C4679" s="3" t="s">
        <v>607</v>
      </c>
    </row>
    <row r="4680">
      <c r="A4680" s="3" t="s">
        <v>603</v>
      </c>
      <c r="B4680" s="3" t="s">
        <v>90</v>
      </c>
      <c r="C4680" s="3" t="s">
        <v>608</v>
      </c>
    </row>
    <row r="4681">
      <c r="A4681" s="3" t="s">
        <v>603</v>
      </c>
      <c r="B4681" s="3" t="s">
        <v>90</v>
      </c>
      <c r="C4681" s="3" t="s">
        <v>604</v>
      </c>
    </row>
    <row r="4682">
      <c r="A4682" s="3" t="s">
        <v>603</v>
      </c>
      <c r="B4682" s="3" t="s">
        <v>90</v>
      </c>
      <c r="C4682" s="3" t="s">
        <v>609</v>
      </c>
    </row>
    <row r="4683">
      <c r="A4683" s="3" t="s">
        <v>603</v>
      </c>
      <c r="B4683" s="3" t="s">
        <v>606</v>
      </c>
      <c r="C4683" s="3" t="s">
        <v>607</v>
      </c>
    </row>
    <row r="4684">
      <c r="A4684" s="3" t="s">
        <v>603</v>
      </c>
      <c r="B4684" s="3" t="s">
        <v>97</v>
      </c>
      <c r="C4684" s="3" t="s">
        <v>610</v>
      </c>
    </row>
    <row r="4685">
      <c r="A4685" s="3" t="s">
        <v>603</v>
      </c>
      <c r="B4685" s="3" t="s">
        <v>90</v>
      </c>
      <c r="C4685" s="3" t="s">
        <v>609</v>
      </c>
    </row>
    <row r="4686">
      <c r="A4686" s="3" t="s">
        <v>603</v>
      </c>
      <c r="B4686" s="3" t="s">
        <v>90</v>
      </c>
      <c r="C4686" s="3" t="s">
        <v>604</v>
      </c>
    </row>
    <row r="4687">
      <c r="A4687" s="3" t="s">
        <v>603</v>
      </c>
      <c r="B4687" s="3" t="s">
        <v>97</v>
      </c>
      <c r="C4687" s="3" t="s">
        <v>611</v>
      </c>
    </row>
    <row r="4688">
      <c r="A4688" s="3" t="s">
        <v>603</v>
      </c>
      <c r="B4688" s="3" t="s">
        <v>90</v>
      </c>
      <c r="C4688" s="3" t="s">
        <v>608</v>
      </c>
    </row>
    <row r="4689">
      <c r="A4689" s="3" t="s">
        <v>603</v>
      </c>
      <c r="B4689" s="3" t="s">
        <v>90</v>
      </c>
      <c r="C4689" s="3" t="s">
        <v>604</v>
      </c>
    </row>
    <row r="4690">
      <c r="A4690" s="3" t="s">
        <v>603</v>
      </c>
      <c r="B4690" s="3" t="s">
        <v>90</v>
      </c>
      <c r="C4690" s="3" t="s">
        <v>609</v>
      </c>
    </row>
    <row r="4691">
      <c r="A4691" s="3" t="s">
        <v>603</v>
      </c>
      <c r="B4691" s="3" t="s">
        <v>90</v>
      </c>
      <c r="C4691" s="3" t="s">
        <v>609</v>
      </c>
    </row>
    <row r="4692">
      <c r="A4692" s="3" t="s">
        <v>603</v>
      </c>
      <c r="B4692" s="3" t="s">
        <v>97</v>
      </c>
      <c r="C4692" s="3" t="s">
        <v>612</v>
      </c>
    </row>
    <row r="4693">
      <c r="A4693" s="3" t="s">
        <v>603</v>
      </c>
      <c r="B4693" s="3" t="s">
        <v>90</v>
      </c>
      <c r="C4693" s="3" t="s">
        <v>609</v>
      </c>
    </row>
    <row r="4694">
      <c r="A4694" s="3" t="s">
        <v>603</v>
      </c>
      <c r="B4694" s="3" t="s">
        <v>90</v>
      </c>
      <c r="C4694" s="3" t="s">
        <v>604</v>
      </c>
    </row>
    <row r="4695">
      <c r="A4695" s="3" t="s">
        <v>603</v>
      </c>
      <c r="B4695" s="3" t="s">
        <v>90</v>
      </c>
      <c r="C4695" s="3" t="s">
        <v>604</v>
      </c>
    </row>
    <row r="4696">
      <c r="A4696" s="3" t="s">
        <v>603</v>
      </c>
      <c r="B4696" s="3" t="s">
        <v>97</v>
      </c>
      <c r="C4696" s="3" t="s">
        <v>612</v>
      </c>
    </row>
    <row r="4697">
      <c r="A4697" s="3" t="s">
        <v>603</v>
      </c>
      <c r="B4697" s="3" t="s">
        <v>97</v>
      </c>
      <c r="C4697" s="3" t="s">
        <v>611</v>
      </c>
    </row>
    <row r="4698">
      <c r="A4698" s="3" t="s">
        <v>603</v>
      </c>
      <c r="B4698" s="3" t="s">
        <v>90</v>
      </c>
      <c r="C4698" s="3" t="s">
        <v>608</v>
      </c>
    </row>
    <row r="4699">
      <c r="A4699" s="3" t="s">
        <v>603</v>
      </c>
      <c r="B4699" s="3" t="s">
        <v>90</v>
      </c>
      <c r="C4699" s="3" t="s">
        <v>609</v>
      </c>
    </row>
    <row r="4700">
      <c r="A4700" s="3" t="s">
        <v>603</v>
      </c>
      <c r="B4700" s="3" t="s">
        <v>97</v>
      </c>
      <c r="C4700" s="3" t="s">
        <v>611</v>
      </c>
    </row>
    <row r="4701">
      <c r="A4701" s="3" t="s">
        <v>603</v>
      </c>
      <c r="B4701" s="3" t="s">
        <v>90</v>
      </c>
      <c r="C4701" s="3" t="s">
        <v>604</v>
      </c>
    </row>
    <row r="4702">
      <c r="A4702" s="3" t="s">
        <v>603</v>
      </c>
      <c r="B4702" s="3" t="s">
        <v>90</v>
      </c>
      <c r="C4702" s="3" t="s">
        <v>608</v>
      </c>
    </row>
    <row r="4703">
      <c r="A4703" s="3" t="s">
        <v>603</v>
      </c>
      <c r="B4703" s="3" t="s">
        <v>90</v>
      </c>
      <c r="C4703" s="3" t="s">
        <v>604</v>
      </c>
    </row>
    <row r="4704">
      <c r="A4704" s="3" t="s">
        <v>603</v>
      </c>
      <c r="B4704" s="3" t="s">
        <v>90</v>
      </c>
      <c r="C4704" s="3" t="s">
        <v>609</v>
      </c>
    </row>
    <row r="4705">
      <c r="A4705" s="3" t="s">
        <v>603</v>
      </c>
      <c r="B4705" s="3" t="s">
        <v>97</v>
      </c>
      <c r="C4705" s="3" t="s">
        <v>612</v>
      </c>
    </row>
    <row r="4706">
      <c r="A4706" s="3" t="s">
        <v>603</v>
      </c>
      <c r="B4706" s="3" t="s">
        <v>90</v>
      </c>
      <c r="C4706" s="3" t="s">
        <v>604</v>
      </c>
    </row>
    <row r="4707">
      <c r="A4707" s="3" t="s">
        <v>603</v>
      </c>
      <c r="B4707" s="3" t="s">
        <v>90</v>
      </c>
      <c r="C4707" s="3" t="s">
        <v>604</v>
      </c>
    </row>
    <row r="4708">
      <c r="A4708" s="3" t="s">
        <v>603</v>
      </c>
      <c r="B4708" s="3" t="s">
        <v>90</v>
      </c>
      <c r="C4708" s="3" t="s">
        <v>604</v>
      </c>
    </row>
    <row r="4709">
      <c r="A4709" s="3" t="s">
        <v>603</v>
      </c>
      <c r="B4709" s="3" t="s">
        <v>90</v>
      </c>
      <c r="C4709" s="3" t="s">
        <v>609</v>
      </c>
    </row>
    <row r="4710">
      <c r="A4710" s="3" t="s">
        <v>603</v>
      </c>
      <c r="B4710" s="3" t="s">
        <v>97</v>
      </c>
      <c r="C4710" s="3" t="s">
        <v>612</v>
      </c>
    </row>
    <row r="4711">
      <c r="A4711" s="3" t="s">
        <v>603</v>
      </c>
      <c r="B4711" s="3" t="s">
        <v>97</v>
      </c>
      <c r="C4711" s="3" t="s">
        <v>611</v>
      </c>
    </row>
    <row r="4712">
      <c r="A4712" s="3" t="s">
        <v>603</v>
      </c>
      <c r="B4712" s="3" t="s">
        <v>90</v>
      </c>
      <c r="C4712" s="3" t="s">
        <v>608</v>
      </c>
    </row>
    <row r="4713">
      <c r="A4713" s="3" t="s">
        <v>603</v>
      </c>
      <c r="B4713" s="3" t="s">
        <v>90</v>
      </c>
      <c r="C4713" s="3" t="s">
        <v>604</v>
      </c>
    </row>
    <row r="4714">
      <c r="A4714" s="3" t="s">
        <v>603</v>
      </c>
      <c r="B4714" s="3" t="s">
        <v>90</v>
      </c>
      <c r="C4714" s="3" t="s">
        <v>604</v>
      </c>
    </row>
    <row r="4715">
      <c r="A4715" s="3" t="s">
        <v>603</v>
      </c>
      <c r="B4715" s="3" t="s">
        <v>90</v>
      </c>
      <c r="C4715" s="3" t="s">
        <v>604</v>
      </c>
    </row>
    <row r="4716">
      <c r="A4716" s="3" t="s">
        <v>603</v>
      </c>
      <c r="B4716" s="3" t="s">
        <v>90</v>
      </c>
      <c r="C4716" s="3" t="s">
        <v>604</v>
      </c>
    </row>
    <row r="4717">
      <c r="A4717" s="3" t="s">
        <v>603</v>
      </c>
      <c r="B4717" s="3" t="s">
        <v>97</v>
      </c>
      <c r="C4717" s="3" t="s">
        <v>612</v>
      </c>
    </row>
    <row r="4718">
      <c r="A4718" s="3" t="s">
        <v>603</v>
      </c>
      <c r="B4718" s="3" t="s">
        <v>97</v>
      </c>
      <c r="C4718" s="3" t="s">
        <v>610</v>
      </c>
    </row>
    <row r="4719">
      <c r="A4719" s="3" t="s">
        <v>613</v>
      </c>
      <c r="B4719" s="3" t="s">
        <v>614</v>
      </c>
      <c r="C4719" s="3" t="s">
        <v>615</v>
      </c>
    </row>
    <row r="4720">
      <c r="A4720" s="3" t="s">
        <v>613</v>
      </c>
      <c r="B4720" s="3" t="s">
        <v>104</v>
      </c>
      <c r="C4720" s="3" t="s">
        <v>616</v>
      </c>
    </row>
    <row r="4721">
      <c r="A4721" s="3" t="s">
        <v>613</v>
      </c>
      <c r="B4721" s="3" t="s">
        <v>106</v>
      </c>
      <c r="C4721" s="3" t="s">
        <v>617</v>
      </c>
    </row>
    <row r="4722">
      <c r="A4722" s="3" t="s">
        <v>613</v>
      </c>
      <c r="B4722" s="3" t="s">
        <v>104</v>
      </c>
      <c r="C4722" s="3" t="s">
        <v>618</v>
      </c>
    </row>
    <row r="4723">
      <c r="A4723" s="3" t="s">
        <v>613</v>
      </c>
      <c r="B4723" s="3" t="s">
        <v>104</v>
      </c>
      <c r="C4723" s="3" t="s">
        <v>618</v>
      </c>
    </row>
    <row r="4724">
      <c r="A4724" s="3" t="s">
        <v>613</v>
      </c>
      <c r="B4724" s="3" t="s">
        <v>104</v>
      </c>
      <c r="C4724" s="3" t="s">
        <v>616</v>
      </c>
    </row>
    <row r="4725">
      <c r="A4725" s="3" t="s">
        <v>613</v>
      </c>
      <c r="B4725" s="3" t="s">
        <v>104</v>
      </c>
      <c r="C4725" s="3" t="s">
        <v>619</v>
      </c>
    </row>
    <row r="4726">
      <c r="A4726" s="3" t="s">
        <v>613</v>
      </c>
      <c r="B4726" s="3" t="s">
        <v>104</v>
      </c>
      <c r="C4726" s="3" t="s">
        <v>620</v>
      </c>
    </row>
    <row r="4727">
      <c r="A4727" s="3" t="s">
        <v>613</v>
      </c>
      <c r="B4727" s="3" t="s">
        <v>104</v>
      </c>
      <c r="C4727" s="3" t="s">
        <v>616</v>
      </c>
    </row>
    <row r="4728">
      <c r="A4728" s="3" t="s">
        <v>613</v>
      </c>
      <c r="B4728" s="3" t="s">
        <v>614</v>
      </c>
      <c r="C4728" s="3" t="s">
        <v>615</v>
      </c>
    </row>
    <row r="4729">
      <c r="A4729" s="3" t="s">
        <v>613</v>
      </c>
      <c r="B4729" s="3" t="s">
        <v>104</v>
      </c>
      <c r="C4729" s="3" t="s">
        <v>621</v>
      </c>
    </row>
    <row r="4730">
      <c r="A4730" s="3" t="s">
        <v>613</v>
      </c>
      <c r="B4730" s="3" t="s">
        <v>104</v>
      </c>
      <c r="C4730" s="3" t="s">
        <v>616</v>
      </c>
    </row>
    <row r="4731">
      <c r="A4731" s="3" t="s">
        <v>613</v>
      </c>
      <c r="B4731" s="3" t="s">
        <v>106</v>
      </c>
      <c r="C4731" s="3" t="s">
        <v>622</v>
      </c>
    </row>
    <row r="4732">
      <c r="A4732" s="3" t="s">
        <v>613</v>
      </c>
      <c r="B4732" s="3" t="s">
        <v>106</v>
      </c>
      <c r="C4732" s="3" t="s">
        <v>623</v>
      </c>
    </row>
    <row r="4733">
      <c r="A4733" s="3" t="s">
        <v>613</v>
      </c>
      <c r="B4733" s="3" t="s">
        <v>104</v>
      </c>
      <c r="C4733" s="3" t="s">
        <v>624</v>
      </c>
    </row>
    <row r="4734">
      <c r="A4734" s="3" t="s">
        <v>613</v>
      </c>
      <c r="B4734" s="3" t="s">
        <v>104</v>
      </c>
      <c r="C4734" s="3" t="s">
        <v>616</v>
      </c>
    </row>
    <row r="4735">
      <c r="A4735" s="3" t="s">
        <v>613</v>
      </c>
      <c r="B4735" s="3" t="s">
        <v>106</v>
      </c>
      <c r="C4735" s="3" t="s">
        <v>617</v>
      </c>
    </row>
    <row r="4736">
      <c r="A4736" s="3" t="s">
        <v>613</v>
      </c>
      <c r="B4736" s="3" t="s">
        <v>104</v>
      </c>
      <c r="C4736" s="3" t="s">
        <v>616</v>
      </c>
    </row>
    <row r="4737">
      <c r="A4737" s="3" t="s">
        <v>613</v>
      </c>
      <c r="B4737" s="3" t="s">
        <v>104</v>
      </c>
      <c r="C4737" s="3" t="s">
        <v>618</v>
      </c>
    </row>
    <row r="4738">
      <c r="A4738" s="3" t="s">
        <v>613</v>
      </c>
      <c r="B4738" s="3" t="s">
        <v>614</v>
      </c>
      <c r="C4738" s="3" t="s">
        <v>615</v>
      </c>
    </row>
    <row r="4739">
      <c r="A4739" s="3" t="s">
        <v>613</v>
      </c>
      <c r="B4739" s="3" t="s">
        <v>104</v>
      </c>
      <c r="C4739" s="3" t="s">
        <v>616</v>
      </c>
    </row>
    <row r="4740">
      <c r="A4740" s="3" t="s">
        <v>613</v>
      </c>
      <c r="B4740" s="3" t="s">
        <v>104</v>
      </c>
      <c r="C4740" s="3" t="s">
        <v>616</v>
      </c>
    </row>
    <row r="4741">
      <c r="A4741" s="3" t="s">
        <v>613</v>
      </c>
      <c r="B4741" s="3" t="s">
        <v>104</v>
      </c>
      <c r="C4741" s="3" t="s">
        <v>616</v>
      </c>
    </row>
    <row r="4742">
      <c r="A4742" s="3" t="s">
        <v>613</v>
      </c>
      <c r="B4742" s="3" t="s">
        <v>104</v>
      </c>
      <c r="C4742" s="3" t="s">
        <v>616</v>
      </c>
    </row>
    <row r="4743">
      <c r="A4743" s="3" t="s">
        <v>613</v>
      </c>
      <c r="B4743" s="3" t="s">
        <v>104</v>
      </c>
      <c r="C4743" s="3" t="s">
        <v>616</v>
      </c>
    </row>
    <row r="4744">
      <c r="A4744" s="3" t="s">
        <v>613</v>
      </c>
      <c r="B4744" s="3" t="s">
        <v>106</v>
      </c>
      <c r="C4744" s="3" t="s">
        <v>617</v>
      </c>
    </row>
    <row r="4745">
      <c r="A4745" s="3" t="s">
        <v>613</v>
      </c>
      <c r="B4745" s="3" t="s">
        <v>104</v>
      </c>
      <c r="C4745" s="3" t="s">
        <v>619</v>
      </c>
    </row>
    <row r="4746">
      <c r="A4746" s="3" t="s">
        <v>613</v>
      </c>
      <c r="B4746" s="3" t="s">
        <v>104</v>
      </c>
      <c r="C4746" s="3" t="s">
        <v>618</v>
      </c>
    </row>
    <row r="4747">
      <c r="A4747" s="3" t="s">
        <v>613</v>
      </c>
      <c r="B4747" s="3" t="s">
        <v>104</v>
      </c>
      <c r="C4747" s="3" t="s">
        <v>616</v>
      </c>
    </row>
    <row r="4748">
      <c r="A4748" s="3" t="s">
        <v>613</v>
      </c>
      <c r="B4748" s="3" t="s">
        <v>106</v>
      </c>
      <c r="C4748" s="3" t="s">
        <v>623</v>
      </c>
    </row>
    <row r="4749">
      <c r="A4749" s="3" t="s">
        <v>613</v>
      </c>
      <c r="B4749" s="3" t="s">
        <v>106</v>
      </c>
      <c r="C4749" s="3" t="s">
        <v>622</v>
      </c>
    </row>
    <row r="4750">
      <c r="A4750" s="3" t="s">
        <v>613</v>
      </c>
      <c r="B4750" s="3" t="s">
        <v>106</v>
      </c>
      <c r="C4750" s="3" t="s">
        <v>617</v>
      </c>
    </row>
    <row r="4751">
      <c r="A4751" s="3" t="s">
        <v>613</v>
      </c>
      <c r="B4751" s="3" t="s">
        <v>106</v>
      </c>
      <c r="C4751" s="3" t="s">
        <v>623</v>
      </c>
    </row>
    <row r="4752">
      <c r="A4752" s="3" t="s">
        <v>613</v>
      </c>
      <c r="B4752" s="3" t="s">
        <v>104</v>
      </c>
      <c r="C4752" s="3" t="s">
        <v>620</v>
      </c>
    </row>
    <row r="4753">
      <c r="A4753" s="3" t="s">
        <v>613</v>
      </c>
      <c r="B4753" s="3" t="s">
        <v>104</v>
      </c>
      <c r="C4753" s="3" t="s">
        <v>616</v>
      </c>
    </row>
    <row r="4754">
      <c r="A4754" s="3" t="s">
        <v>613</v>
      </c>
      <c r="B4754" s="3" t="s">
        <v>104</v>
      </c>
      <c r="C4754" s="3" t="s">
        <v>619</v>
      </c>
    </row>
    <row r="4755">
      <c r="A4755" s="3" t="s">
        <v>613</v>
      </c>
      <c r="B4755" s="3" t="s">
        <v>104</v>
      </c>
      <c r="C4755" s="3" t="s">
        <v>618</v>
      </c>
    </row>
    <row r="4756">
      <c r="A4756" s="3" t="s">
        <v>613</v>
      </c>
      <c r="B4756" s="3" t="s">
        <v>106</v>
      </c>
      <c r="C4756" s="3" t="s">
        <v>623</v>
      </c>
    </row>
    <row r="4757">
      <c r="A4757" s="3" t="s">
        <v>613</v>
      </c>
      <c r="B4757" s="3" t="s">
        <v>104</v>
      </c>
      <c r="C4757" s="3" t="s">
        <v>620</v>
      </c>
    </row>
    <row r="4758">
      <c r="A4758" s="3" t="s">
        <v>613</v>
      </c>
      <c r="B4758" s="3" t="s">
        <v>104</v>
      </c>
      <c r="C4758" s="3" t="s">
        <v>616</v>
      </c>
    </row>
    <row r="4759">
      <c r="A4759" s="3" t="s">
        <v>613</v>
      </c>
      <c r="B4759" s="3" t="s">
        <v>104</v>
      </c>
      <c r="C4759" s="3" t="s">
        <v>616</v>
      </c>
    </row>
    <row r="4760">
      <c r="A4760" s="3" t="s">
        <v>613</v>
      </c>
      <c r="B4760" s="3" t="s">
        <v>104</v>
      </c>
      <c r="C4760" s="3" t="s">
        <v>618</v>
      </c>
    </row>
    <row r="4761">
      <c r="A4761" s="3" t="s">
        <v>613</v>
      </c>
      <c r="B4761" s="3" t="s">
        <v>106</v>
      </c>
      <c r="C4761" s="3" t="s">
        <v>617</v>
      </c>
    </row>
    <row r="4762">
      <c r="A4762" s="3" t="s">
        <v>613</v>
      </c>
      <c r="B4762" s="3" t="s">
        <v>106</v>
      </c>
      <c r="C4762" s="3" t="s">
        <v>617</v>
      </c>
    </row>
    <row r="4763">
      <c r="A4763" s="3" t="s">
        <v>613</v>
      </c>
      <c r="B4763" s="3" t="s">
        <v>106</v>
      </c>
      <c r="C4763" s="3" t="s">
        <v>617</v>
      </c>
    </row>
    <row r="4764">
      <c r="A4764" s="3" t="s">
        <v>613</v>
      </c>
      <c r="B4764" s="3" t="s">
        <v>106</v>
      </c>
      <c r="C4764" s="3" t="s">
        <v>617</v>
      </c>
    </row>
    <row r="4765">
      <c r="A4765" s="3" t="s">
        <v>613</v>
      </c>
      <c r="B4765" s="3" t="s">
        <v>106</v>
      </c>
      <c r="C4765" s="3" t="s">
        <v>617</v>
      </c>
    </row>
    <row r="4766">
      <c r="A4766" s="3" t="s">
        <v>613</v>
      </c>
      <c r="B4766" s="3" t="s">
        <v>106</v>
      </c>
      <c r="C4766" s="3" t="s">
        <v>617</v>
      </c>
    </row>
    <row r="4767">
      <c r="A4767" s="3" t="s">
        <v>613</v>
      </c>
      <c r="B4767" s="3" t="s">
        <v>104</v>
      </c>
      <c r="C4767" s="3" t="s">
        <v>620</v>
      </c>
    </row>
    <row r="4768">
      <c r="A4768" s="3" t="s">
        <v>613</v>
      </c>
      <c r="B4768" s="3" t="s">
        <v>104</v>
      </c>
      <c r="C4768" s="3" t="s">
        <v>620</v>
      </c>
    </row>
    <row r="4769">
      <c r="A4769" s="3" t="s">
        <v>613</v>
      </c>
      <c r="B4769" s="3" t="s">
        <v>104</v>
      </c>
      <c r="C4769" s="3" t="s">
        <v>616</v>
      </c>
    </row>
    <row r="4770">
      <c r="A4770" s="3" t="s">
        <v>613</v>
      </c>
      <c r="B4770" s="3" t="s">
        <v>106</v>
      </c>
      <c r="C4770" s="3" t="s">
        <v>623</v>
      </c>
    </row>
    <row r="4771">
      <c r="A4771" s="3" t="s">
        <v>613</v>
      </c>
      <c r="B4771" s="3" t="s">
        <v>106</v>
      </c>
      <c r="C4771" s="3" t="s">
        <v>623</v>
      </c>
    </row>
    <row r="4772">
      <c r="A4772" s="3" t="s">
        <v>613</v>
      </c>
      <c r="B4772" s="3" t="s">
        <v>106</v>
      </c>
      <c r="C4772" s="3" t="s">
        <v>617</v>
      </c>
    </row>
    <row r="4773">
      <c r="A4773" s="3" t="s">
        <v>613</v>
      </c>
      <c r="B4773" s="3" t="s">
        <v>106</v>
      </c>
      <c r="C4773" s="3" t="s">
        <v>617</v>
      </c>
    </row>
    <row r="4774">
      <c r="A4774" s="3" t="s">
        <v>613</v>
      </c>
      <c r="B4774" s="3" t="s">
        <v>104</v>
      </c>
      <c r="C4774" s="3" t="s">
        <v>621</v>
      </c>
    </row>
    <row r="4775">
      <c r="A4775" s="3" t="s">
        <v>613</v>
      </c>
      <c r="B4775" s="3" t="s">
        <v>106</v>
      </c>
      <c r="C4775" s="3" t="s">
        <v>617</v>
      </c>
    </row>
    <row r="4776">
      <c r="A4776" s="3" t="s">
        <v>625</v>
      </c>
      <c r="B4776" s="3" t="s">
        <v>626</v>
      </c>
      <c r="C4776" s="3" t="s">
        <v>568</v>
      </c>
    </row>
    <row r="4777">
      <c r="A4777" s="3" t="s">
        <v>625</v>
      </c>
      <c r="B4777" s="3" t="s">
        <v>626</v>
      </c>
      <c r="C4777" s="3" t="s">
        <v>568</v>
      </c>
    </row>
    <row r="4778">
      <c r="A4778" s="3" t="s">
        <v>625</v>
      </c>
      <c r="B4778" s="3" t="s">
        <v>626</v>
      </c>
      <c r="C4778" s="3" t="s">
        <v>568</v>
      </c>
    </row>
    <row r="4779">
      <c r="A4779" s="3" t="s">
        <v>625</v>
      </c>
      <c r="B4779" s="3" t="s">
        <v>626</v>
      </c>
      <c r="C4779" s="3" t="s">
        <v>627</v>
      </c>
    </row>
    <row r="4780">
      <c r="A4780" s="3" t="s">
        <v>625</v>
      </c>
      <c r="B4780" s="3" t="s">
        <v>626</v>
      </c>
      <c r="C4780" s="3" t="s">
        <v>568</v>
      </c>
    </row>
    <row r="4781">
      <c r="A4781" s="3" t="s">
        <v>625</v>
      </c>
      <c r="B4781" s="3" t="s">
        <v>118</v>
      </c>
      <c r="C4781" s="3" t="s">
        <v>628</v>
      </c>
    </row>
    <row r="4782">
      <c r="A4782" s="3" t="s">
        <v>625</v>
      </c>
      <c r="B4782" s="3" t="s">
        <v>629</v>
      </c>
      <c r="C4782" s="3" t="s">
        <v>630</v>
      </c>
    </row>
    <row r="4783">
      <c r="A4783" s="3" t="s">
        <v>625</v>
      </c>
      <c r="B4783" s="3" t="s">
        <v>118</v>
      </c>
      <c r="C4783" s="3" t="s">
        <v>628</v>
      </c>
    </row>
    <row r="4784">
      <c r="A4784" s="3" t="s">
        <v>625</v>
      </c>
      <c r="B4784" s="3" t="s">
        <v>629</v>
      </c>
      <c r="C4784" s="3" t="s">
        <v>630</v>
      </c>
    </row>
    <row r="4785">
      <c r="A4785" s="3" t="s">
        <v>625</v>
      </c>
      <c r="B4785" s="3" t="s">
        <v>626</v>
      </c>
      <c r="C4785" s="3" t="s">
        <v>631</v>
      </c>
    </row>
    <row r="4786">
      <c r="A4786" s="3" t="s">
        <v>625</v>
      </c>
      <c r="B4786" s="3" t="s">
        <v>629</v>
      </c>
      <c r="C4786" s="3" t="s">
        <v>630</v>
      </c>
    </row>
    <row r="4787">
      <c r="A4787" s="3" t="s">
        <v>625</v>
      </c>
      <c r="B4787" s="3" t="s">
        <v>118</v>
      </c>
      <c r="C4787" s="3" t="s">
        <v>632</v>
      </c>
    </row>
    <row r="4788">
      <c r="A4788" s="3" t="s">
        <v>625</v>
      </c>
      <c r="B4788" s="3" t="s">
        <v>629</v>
      </c>
      <c r="C4788" s="3" t="s">
        <v>630</v>
      </c>
    </row>
    <row r="4789">
      <c r="A4789" s="3" t="s">
        <v>625</v>
      </c>
      <c r="B4789" s="3" t="s">
        <v>124</v>
      </c>
      <c r="C4789" s="3" t="s">
        <v>633</v>
      </c>
    </row>
    <row r="4790">
      <c r="A4790" s="3" t="s">
        <v>625</v>
      </c>
      <c r="B4790" s="3" t="s">
        <v>629</v>
      </c>
      <c r="C4790" s="3" t="s">
        <v>630</v>
      </c>
    </row>
    <row r="4791">
      <c r="A4791" s="3" t="s">
        <v>625</v>
      </c>
      <c r="B4791" s="3" t="s">
        <v>124</v>
      </c>
      <c r="C4791" s="3" t="s">
        <v>577</v>
      </c>
    </row>
    <row r="4792">
      <c r="A4792" s="3" t="s">
        <v>625</v>
      </c>
      <c r="B4792" s="3" t="s">
        <v>626</v>
      </c>
      <c r="C4792" s="3" t="s">
        <v>568</v>
      </c>
    </row>
    <row r="4793">
      <c r="A4793" s="3" t="s">
        <v>625</v>
      </c>
      <c r="B4793" s="3" t="s">
        <v>629</v>
      </c>
      <c r="C4793" s="3" t="s">
        <v>630</v>
      </c>
    </row>
    <row r="4794">
      <c r="A4794" s="3" t="s">
        <v>625</v>
      </c>
      <c r="B4794" s="3" t="s">
        <v>124</v>
      </c>
      <c r="C4794" s="3" t="s">
        <v>634</v>
      </c>
    </row>
    <row r="4795">
      <c r="A4795" s="3" t="s">
        <v>625</v>
      </c>
      <c r="B4795" s="3" t="s">
        <v>629</v>
      </c>
      <c r="C4795" s="3" t="s">
        <v>630</v>
      </c>
    </row>
    <row r="4796">
      <c r="A4796" s="3" t="s">
        <v>625</v>
      </c>
      <c r="B4796" s="3" t="s">
        <v>626</v>
      </c>
      <c r="C4796" s="3" t="s">
        <v>635</v>
      </c>
    </row>
    <row r="4797">
      <c r="A4797" s="3" t="s">
        <v>625</v>
      </c>
      <c r="B4797" s="3" t="s">
        <v>629</v>
      </c>
      <c r="C4797" s="3" t="s">
        <v>630</v>
      </c>
    </row>
    <row r="4798">
      <c r="A4798" s="3" t="s">
        <v>625</v>
      </c>
      <c r="B4798" s="3" t="s">
        <v>626</v>
      </c>
      <c r="C4798" s="3" t="s">
        <v>568</v>
      </c>
    </row>
    <row r="4799">
      <c r="A4799" s="3" t="s">
        <v>625</v>
      </c>
      <c r="B4799" s="3" t="s">
        <v>626</v>
      </c>
      <c r="C4799" s="3" t="s">
        <v>636</v>
      </c>
    </row>
    <row r="4800">
      <c r="A4800" s="3" t="s">
        <v>625</v>
      </c>
      <c r="B4800" s="3" t="s">
        <v>626</v>
      </c>
      <c r="C4800" s="3" t="s">
        <v>631</v>
      </c>
    </row>
    <row r="4801">
      <c r="A4801" s="3" t="s">
        <v>625</v>
      </c>
      <c r="B4801" s="3" t="s">
        <v>629</v>
      </c>
      <c r="C4801" s="3" t="s">
        <v>630</v>
      </c>
    </row>
    <row r="4802">
      <c r="A4802" s="3" t="s">
        <v>625</v>
      </c>
      <c r="B4802" s="3" t="s">
        <v>124</v>
      </c>
      <c r="C4802" s="3" t="s">
        <v>634</v>
      </c>
    </row>
    <row r="4803">
      <c r="A4803" s="3" t="s">
        <v>625</v>
      </c>
      <c r="B4803" s="3" t="s">
        <v>629</v>
      </c>
      <c r="C4803" s="3" t="s">
        <v>630</v>
      </c>
    </row>
    <row r="4804">
      <c r="A4804" s="3" t="s">
        <v>625</v>
      </c>
      <c r="B4804" s="3" t="s">
        <v>626</v>
      </c>
      <c r="C4804" s="3" t="s">
        <v>631</v>
      </c>
    </row>
    <row r="4805">
      <c r="A4805" s="3" t="s">
        <v>625</v>
      </c>
      <c r="B4805" s="3" t="s">
        <v>629</v>
      </c>
      <c r="C4805" s="3" t="s">
        <v>630</v>
      </c>
    </row>
    <row r="4806">
      <c r="A4806" s="3" t="s">
        <v>625</v>
      </c>
      <c r="B4806" s="3" t="s">
        <v>626</v>
      </c>
      <c r="C4806" s="3" t="s">
        <v>568</v>
      </c>
    </row>
    <row r="4807">
      <c r="A4807" s="3" t="s">
        <v>625</v>
      </c>
      <c r="B4807" s="3" t="s">
        <v>629</v>
      </c>
      <c r="C4807" s="3" t="s">
        <v>630</v>
      </c>
    </row>
    <row r="4808">
      <c r="A4808" s="3" t="s">
        <v>625</v>
      </c>
      <c r="B4808" s="3" t="s">
        <v>626</v>
      </c>
      <c r="C4808" s="3" t="s">
        <v>636</v>
      </c>
    </row>
    <row r="4809">
      <c r="A4809" s="3" t="s">
        <v>625</v>
      </c>
      <c r="B4809" s="3" t="s">
        <v>629</v>
      </c>
      <c r="C4809" s="3" t="s">
        <v>630</v>
      </c>
    </row>
    <row r="4810">
      <c r="A4810" s="3" t="s">
        <v>625</v>
      </c>
      <c r="B4810" s="3" t="s">
        <v>118</v>
      </c>
      <c r="C4810" s="3" t="s">
        <v>637</v>
      </c>
    </row>
    <row r="4811">
      <c r="A4811" s="3" t="s">
        <v>625</v>
      </c>
      <c r="B4811" s="3" t="s">
        <v>629</v>
      </c>
      <c r="C4811" s="3" t="s">
        <v>630</v>
      </c>
    </row>
    <row r="4812">
      <c r="A4812" s="3" t="s">
        <v>625</v>
      </c>
      <c r="B4812" s="3" t="s">
        <v>629</v>
      </c>
      <c r="C4812" s="3" t="s">
        <v>630</v>
      </c>
    </row>
    <row r="4813">
      <c r="A4813" s="3" t="s">
        <v>625</v>
      </c>
      <c r="B4813" s="3" t="s">
        <v>118</v>
      </c>
      <c r="C4813" s="3" t="s">
        <v>638</v>
      </c>
    </row>
    <row r="4814">
      <c r="A4814" s="3" t="s">
        <v>625</v>
      </c>
      <c r="B4814" s="3" t="s">
        <v>118</v>
      </c>
      <c r="C4814" s="3" t="s">
        <v>639</v>
      </c>
    </row>
    <row r="4815">
      <c r="A4815" s="3" t="s">
        <v>625</v>
      </c>
      <c r="B4815" s="3" t="s">
        <v>118</v>
      </c>
      <c r="C4815" s="3" t="s">
        <v>632</v>
      </c>
    </row>
    <row r="4816">
      <c r="A4816" s="3" t="s">
        <v>625</v>
      </c>
      <c r="B4816" s="3" t="s">
        <v>629</v>
      </c>
      <c r="C4816" s="3" t="s">
        <v>630</v>
      </c>
    </row>
    <row r="4817">
      <c r="A4817" s="3" t="s">
        <v>625</v>
      </c>
      <c r="B4817" s="3" t="s">
        <v>118</v>
      </c>
      <c r="C4817" s="3" t="s">
        <v>640</v>
      </c>
    </row>
    <row r="4818">
      <c r="A4818" s="3" t="s">
        <v>625</v>
      </c>
      <c r="B4818" s="3" t="s">
        <v>629</v>
      </c>
      <c r="C4818" s="3" t="s">
        <v>630</v>
      </c>
    </row>
    <row r="4819">
      <c r="A4819" s="3" t="s">
        <v>625</v>
      </c>
      <c r="B4819" s="3" t="s">
        <v>626</v>
      </c>
      <c r="C4819" s="3" t="s">
        <v>631</v>
      </c>
    </row>
    <row r="4820">
      <c r="A4820" s="3" t="s">
        <v>625</v>
      </c>
      <c r="B4820" s="3" t="s">
        <v>629</v>
      </c>
      <c r="C4820" s="3" t="s">
        <v>630</v>
      </c>
    </row>
    <row r="4821">
      <c r="A4821" s="3" t="s">
        <v>625</v>
      </c>
      <c r="B4821" s="3" t="s">
        <v>629</v>
      </c>
      <c r="C4821" s="3" t="s">
        <v>630</v>
      </c>
    </row>
    <row r="4822">
      <c r="A4822" s="3" t="s">
        <v>625</v>
      </c>
      <c r="B4822" s="3" t="s">
        <v>118</v>
      </c>
      <c r="C4822" s="3" t="s">
        <v>640</v>
      </c>
    </row>
    <row r="4823">
      <c r="A4823" s="3" t="s">
        <v>625</v>
      </c>
      <c r="B4823" s="3" t="s">
        <v>629</v>
      </c>
      <c r="C4823" s="3" t="s">
        <v>630</v>
      </c>
    </row>
    <row r="4824">
      <c r="A4824" s="3" t="s">
        <v>625</v>
      </c>
      <c r="B4824" s="3" t="s">
        <v>118</v>
      </c>
      <c r="C4824" s="3" t="s">
        <v>640</v>
      </c>
    </row>
    <row r="4825">
      <c r="A4825" s="3" t="s">
        <v>625</v>
      </c>
      <c r="B4825" s="3" t="s">
        <v>629</v>
      </c>
      <c r="C4825" s="3" t="s">
        <v>630</v>
      </c>
    </row>
    <row r="4826">
      <c r="A4826" s="3" t="s">
        <v>625</v>
      </c>
      <c r="B4826" s="3" t="s">
        <v>118</v>
      </c>
      <c r="C4826" s="3" t="s">
        <v>637</v>
      </c>
    </row>
    <row r="4827">
      <c r="A4827" s="3" t="s">
        <v>625</v>
      </c>
      <c r="B4827" s="3" t="s">
        <v>629</v>
      </c>
      <c r="C4827" s="3" t="s">
        <v>630</v>
      </c>
    </row>
    <row r="4828">
      <c r="A4828" s="3" t="s">
        <v>625</v>
      </c>
      <c r="B4828" s="3" t="s">
        <v>626</v>
      </c>
      <c r="C4828" s="3" t="s">
        <v>627</v>
      </c>
    </row>
    <row r="4829">
      <c r="A4829" s="3" t="s">
        <v>625</v>
      </c>
      <c r="B4829" s="3" t="s">
        <v>629</v>
      </c>
      <c r="C4829" s="3" t="s">
        <v>630</v>
      </c>
    </row>
    <row r="4830">
      <c r="A4830" s="3" t="s">
        <v>625</v>
      </c>
      <c r="B4830" s="3" t="s">
        <v>124</v>
      </c>
      <c r="C4830" s="3" t="s">
        <v>577</v>
      </c>
    </row>
    <row r="4831">
      <c r="A4831" s="3" t="s">
        <v>625</v>
      </c>
      <c r="B4831" s="3" t="s">
        <v>629</v>
      </c>
      <c r="C4831" s="3" t="s">
        <v>630</v>
      </c>
    </row>
    <row r="4832">
      <c r="A4832" s="3" t="s">
        <v>625</v>
      </c>
      <c r="B4832" s="3" t="s">
        <v>626</v>
      </c>
      <c r="C4832" s="3" t="s">
        <v>627</v>
      </c>
    </row>
    <row r="4833">
      <c r="A4833" s="3" t="s">
        <v>625</v>
      </c>
      <c r="B4833" s="3" t="s">
        <v>629</v>
      </c>
      <c r="C4833" s="3" t="s">
        <v>630</v>
      </c>
    </row>
    <row r="4834">
      <c r="A4834" s="3" t="s">
        <v>625</v>
      </c>
      <c r="B4834" s="3" t="s">
        <v>124</v>
      </c>
      <c r="C4834" s="3" t="s">
        <v>577</v>
      </c>
    </row>
    <row r="4835">
      <c r="A4835" s="3" t="s">
        <v>625</v>
      </c>
      <c r="B4835" s="3" t="s">
        <v>118</v>
      </c>
      <c r="C4835" s="3" t="s">
        <v>637</v>
      </c>
    </row>
    <row r="4836">
      <c r="A4836" s="3" t="s">
        <v>625</v>
      </c>
      <c r="B4836" s="3" t="s">
        <v>118</v>
      </c>
      <c r="C4836" s="3" t="s">
        <v>638</v>
      </c>
    </row>
    <row r="4837">
      <c r="A4837" s="3" t="s">
        <v>625</v>
      </c>
      <c r="B4837" s="3" t="s">
        <v>626</v>
      </c>
      <c r="C4837" s="3" t="s">
        <v>568</v>
      </c>
    </row>
    <row r="4838">
      <c r="A4838" s="3" t="s">
        <v>625</v>
      </c>
      <c r="B4838" s="3" t="s">
        <v>626</v>
      </c>
      <c r="C4838" s="3" t="s">
        <v>636</v>
      </c>
    </row>
    <row r="4839">
      <c r="A4839" s="3" t="s">
        <v>625</v>
      </c>
      <c r="B4839" s="3" t="s">
        <v>124</v>
      </c>
      <c r="C4839" s="3" t="s">
        <v>634</v>
      </c>
    </row>
    <row r="4840">
      <c r="A4840" s="3" t="s">
        <v>625</v>
      </c>
      <c r="B4840" s="3" t="s">
        <v>629</v>
      </c>
      <c r="C4840" s="3" t="s">
        <v>630</v>
      </c>
    </row>
    <row r="4841">
      <c r="A4841" s="3" t="s">
        <v>625</v>
      </c>
      <c r="B4841" s="3" t="s">
        <v>124</v>
      </c>
      <c r="C4841" s="3" t="s">
        <v>634</v>
      </c>
    </row>
    <row r="4842">
      <c r="A4842" s="3" t="s">
        <v>625</v>
      </c>
      <c r="B4842" s="3" t="s">
        <v>626</v>
      </c>
      <c r="C4842" s="3" t="s">
        <v>631</v>
      </c>
    </row>
    <row r="4843">
      <c r="A4843" s="3" t="s">
        <v>625</v>
      </c>
      <c r="B4843" s="3" t="s">
        <v>118</v>
      </c>
      <c r="C4843" s="3" t="s">
        <v>632</v>
      </c>
    </row>
    <row r="4844">
      <c r="A4844" s="3" t="s">
        <v>625</v>
      </c>
      <c r="B4844" s="3" t="s">
        <v>626</v>
      </c>
      <c r="C4844" s="3" t="s">
        <v>568</v>
      </c>
    </row>
    <row r="4845">
      <c r="A4845" s="3" t="s">
        <v>625</v>
      </c>
      <c r="B4845" s="3" t="s">
        <v>118</v>
      </c>
      <c r="C4845" s="3" t="s">
        <v>638</v>
      </c>
    </row>
    <row r="4846">
      <c r="A4846" s="3" t="s">
        <v>625</v>
      </c>
      <c r="B4846" s="3" t="s">
        <v>629</v>
      </c>
      <c r="C4846" s="3" t="s">
        <v>630</v>
      </c>
    </row>
    <row r="4847">
      <c r="A4847" s="3" t="s">
        <v>625</v>
      </c>
      <c r="B4847" s="3" t="s">
        <v>626</v>
      </c>
      <c r="C4847" s="3" t="s">
        <v>631</v>
      </c>
    </row>
    <row r="4848">
      <c r="A4848" s="3" t="s">
        <v>625</v>
      </c>
      <c r="B4848" s="3" t="s">
        <v>118</v>
      </c>
      <c r="C4848" s="3" t="s">
        <v>632</v>
      </c>
    </row>
    <row r="4849">
      <c r="A4849" s="3" t="s">
        <v>625</v>
      </c>
      <c r="B4849" s="3" t="s">
        <v>629</v>
      </c>
      <c r="C4849" s="3" t="s">
        <v>630</v>
      </c>
    </row>
    <row r="4850">
      <c r="A4850" s="3" t="s">
        <v>625</v>
      </c>
      <c r="B4850" s="3" t="s">
        <v>626</v>
      </c>
      <c r="C4850" s="3" t="s">
        <v>631</v>
      </c>
    </row>
    <row r="4851">
      <c r="A4851" s="3" t="s">
        <v>625</v>
      </c>
      <c r="B4851" s="3" t="s">
        <v>626</v>
      </c>
      <c r="C4851" s="3" t="s">
        <v>631</v>
      </c>
    </row>
    <row r="4852">
      <c r="A4852" s="3" t="s">
        <v>625</v>
      </c>
      <c r="B4852" s="3" t="s">
        <v>626</v>
      </c>
      <c r="C4852" s="3" t="s">
        <v>631</v>
      </c>
    </row>
    <row r="4853">
      <c r="A4853" s="3" t="s">
        <v>625</v>
      </c>
      <c r="B4853" s="3" t="s">
        <v>124</v>
      </c>
      <c r="C4853" s="3" t="s">
        <v>577</v>
      </c>
    </row>
    <row r="4854">
      <c r="A4854" s="3" t="s">
        <v>625</v>
      </c>
      <c r="B4854" s="3" t="s">
        <v>629</v>
      </c>
      <c r="C4854" s="3" t="s">
        <v>630</v>
      </c>
    </row>
    <row r="4855">
      <c r="A4855" s="3" t="s">
        <v>625</v>
      </c>
      <c r="B4855" s="3" t="s">
        <v>118</v>
      </c>
      <c r="C4855" s="3" t="s">
        <v>628</v>
      </c>
    </row>
    <row r="4856">
      <c r="A4856" s="3" t="s">
        <v>625</v>
      </c>
      <c r="B4856" s="3" t="s">
        <v>629</v>
      </c>
      <c r="C4856" s="3" t="s">
        <v>630</v>
      </c>
    </row>
    <row r="4857">
      <c r="A4857" s="3" t="s">
        <v>625</v>
      </c>
      <c r="B4857" s="3" t="s">
        <v>626</v>
      </c>
      <c r="C4857" s="3" t="s">
        <v>568</v>
      </c>
    </row>
    <row r="4858">
      <c r="A4858" s="3" t="s">
        <v>625</v>
      </c>
      <c r="B4858" s="3" t="s">
        <v>118</v>
      </c>
      <c r="C4858" s="3" t="s">
        <v>628</v>
      </c>
    </row>
    <row r="4859">
      <c r="A4859" s="3" t="s">
        <v>625</v>
      </c>
      <c r="B4859" s="3" t="s">
        <v>626</v>
      </c>
      <c r="C4859" s="3" t="s">
        <v>636</v>
      </c>
    </row>
    <row r="4860">
      <c r="A4860" s="3" t="s">
        <v>625</v>
      </c>
      <c r="B4860" s="3" t="s">
        <v>118</v>
      </c>
      <c r="C4860" s="3" t="s">
        <v>632</v>
      </c>
    </row>
    <row r="4861">
      <c r="A4861" s="3" t="s">
        <v>625</v>
      </c>
      <c r="B4861" s="3" t="s">
        <v>629</v>
      </c>
      <c r="C4861" s="3" t="s">
        <v>630</v>
      </c>
    </row>
    <row r="4862">
      <c r="A4862" s="3" t="s">
        <v>625</v>
      </c>
      <c r="B4862" s="3" t="s">
        <v>626</v>
      </c>
      <c r="C4862" s="3" t="s">
        <v>631</v>
      </c>
    </row>
    <row r="4863">
      <c r="A4863" s="3" t="s">
        <v>625</v>
      </c>
      <c r="B4863" s="3" t="s">
        <v>118</v>
      </c>
      <c r="C4863" s="3" t="s">
        <v>640</v>
      </c>
    </row>
    <row r="4864">
      <c r="A4864" s="3" t="s">
        <v>625</v>
      </c>
      <c r="B4864" s="3" t="s">
        <v>118</v>
      </c>
      <c r="C4864" s="3" t="s">
        <v>638</v>
      </c>
    </row>
    <row r="4865">
      <c r="A4865" s="3" t="s">
        <v>625</v>
      </c>
      <c r="B4865" s="3" t="s">
        <v>626</v>
      </c>
      <c r="C4865" s="3" t="s">
        <v>627</v>
      </c>
    </row>
    <row r="4866">
      <c r="A4866" s="3" t="s">
        <v>625</v>
      </c>
      <c r="B4866" s="3" t="s">
        <v>626</v>
      </c>
      <c r="C4866" s="3" t="s">
        <v>631</v>
      </c>
    </row>
    <row r="4867">
      <c r="A4867" s="3" t="s">
        <v>625</v>
      </c>
      <c r="B4867" s="3" t="s">
        <v>118</v>
      </c>
      <c r="C4867" s="3" t="s">
        <v>632</v>
      </c>
    </row>
    <row r="4868">
      <c r="A4868" s="3" t="s">
        <v>625</v>
      </c>
      <c r="B4868" s="3" t="s">
        <v>629</v>
      </c>
      <c r="C4868" s="3" t="s">
        <v>630</v>
      </c>
    </row>
    <row r="4869">
      <c r="A4869" s="3" t="s">
        <v>625</v>
      </c>
      <c r="B4869" s="3" t="s">
        <v>626</v>
      </c>
      <c r="C4869" s="3" t="s">
        <v>631</v>
      </c>
    </row>
    <row r="4870">
      <c r="A4870" s="3" t="s">
        <v>625</v>
      </c>
      <c r="B4870" s="3" t="s">
        <v>124</v>
      </c>
      <c r="C4870" s="3" t="s">
        <v>634</v>
      </c>
    </row>
    <row r="4871">
      <c r="A4871" s="3" t="s">
        <v>625</v>
      </c>
      <c r="B4871" s="3" t="s">
        <v>626</v>
      </c>
      <c r="C4871" s="3" t="s">
        <v>631</v>
      </c>
    </row>
    <row r="4872">
      <c r="A4872" s="3" t="s">
        <v>625</v>
      </c>
      <c r="B4872" s="3" t="s">
        <v>118</v>
      </c>
      <c r="C4872" s="3" t="s">
        <v>637</v>
      </c>
    </row>
    <row r="4873">
      <c r="A4873" s="3" t="s">
        <v>625</v>
      </c>
      <c r="B4873" s="3" t="s">
        <v>118</v>
      </c>
      <c r="C4873" s="3" t="s">
        <v>638</v>
      </c>
    </row>
    <row r="4874">
      <c r="A4874" s="3" t="s">
        <v>625</v>
      </c>
      <c r="B4874" s="3" t="s">
        <v>629</v>
      </c>
      <c r="C4874" s="3" t="s">
        <v>630</v>
      </c>
    </row>
    <row r="4875">
      <c r="A4875" s="3" t="s">
        <v>625</v>
      </c>
      <c r="B4875" s="3" t="s">
        <v>118</v>
      </c>
      <c r="C4875" s="3" t="s">
        <v>628</v>
      </c>
    </row>
    <row r="4876">
      <c r="A4876" s="3" t="s">
        <v>625</v>
      </c>
      <c r="B4876" s="3" t="s">
        <v>118</v>
      </c>
      <c r="C4876" s="3" t="s">
        <v>638</v>
      </c>
    </row>
    <row r="4877">
      <c r="A4877" s="3" t="s">
        <v>625</v>
      </c>
      <c r="B4877" s="3" t="s">
        <v>629</v>
      </c>
      <c r="C4877" s="3" t="s">
        <v>630</v>
      </c>
    </row>
    <row r="4878">
      <c r="A4878" s="3" t="s">
        <v>625</v>
      </c>
      <c r="B4878" s="3" t="s">
        <v>118</v>
      </c>
      <c r="C4878" s="3" t="s">
        <v>640</v>
      </c>
    </row>
    <row r="4879">
      <c r="A4879" s="3" t="s">
        <v>625</v>
      </c>
      <c r="B4879" s="3" t="s">
        <v>626</v>
      </c>
      <c r="C4879" s="3" t="s">
        <v>627</v>
      </c>
    </row>
    <row r="4880">
      <c r="A4880" s="3" t="s">
        <v>625</v>
      </c>
      <c r="B4880" s="3" t="s">
        <v>626</v>
      </c>
      <c r="C4880" s="3" t="s">
        <v>631</v>
      </c>
    </row>
    <row r="4881">
      <c r="A4881" s="3" t="s">
        <v>625</v>
      </c>
      <c r="B4881" s="3" t="s">
        <v>118</v>
      </c>
      <c r="C4881" s="3" t="s">
        <v>628</v>
      </c>
    </row>
    <row r="4882">
      <c r="A4882" s="3" t="s">
        <v>625</v>
      </c>
      <c r="B4882" s="3" t="s">
        <v>118</v>
      </c>
      <c r="C4882" s="3" t="s">
        <v>632</v>
      </c>
    </row>
    <row r="4883">
      <c r="A4883" s="3" t="s">
        <v>625</v>
      </c>
      <c r="B4883" s="3" t="s">
        <v>626</v>
      </c>
      <c r="C4883" s="3" t="s">
        <v>631</v>
      </c>
    </row>
    <row r="4884">
      <c r="A4884" s="3" t="s">
        <v>625</v>
      </c>
      <c r="B4884" s="3" t="s">
        <v>626</v>
      </c>
      <c r="C4884" s="3" t="s">
        <v>631</v>
      </c>
    </row>
    <row r="4885">
      <c r="A4885" s="3" t="s">
        <v>625</v>
      </c>
      <c r="B4885" s="3" t="s">
        <v>626</v>
      </c>
      <c r="C4885" s="3" t="s">
        <v>631</v>
      </c>
    </row>
    <row r="4886">
      <c r="A4886" s="3" t="s">
        <v>625</v>
      </c>
      <c r="B4886" s="3" t="s">
        <v>626</v>
      </c>
      <c r="C4886" s="3" t="s">
        <v>631</v>
      </c>
    </row>
    <row r="4887">
      <c r="A4887" s="3" t="s">
        <v>625</v>
      </c>
      <c r="B4887" s="3" t="s">
        <v>626</v>
      </c>
      <c r="C4887" s="3" t="s">
        <v>631</v>
      </c>
    </row>
    <row r="4888">
      <c r="A4888" s="3" t="s">
        <v>625</v>
      </c>
      <c r="B4888" s="3" t="s">
        <v>118</v>
      </c>
      <c r="C4888" s="3" t="s">
        <v>628</v>
      </c>
    </row>
    <row r="4889">
      <c r="A4889" s="3" t="s">
        <v>625</v>
      </c>
      <c r="B4889" s="3" t="s">
        <v>629</v>
      </c>
      <c r="C4889" s="3" t="s">
        <v>630</v>
      </c>
    </row>
    <row r="4890">
      <c r="A4890" s="3" t="s">
        <v>625</v>
      </c>
      <c r="B4890" s="3" t="s">
        <v>626</v>
      </c>
      <c r="C4890" s="3" t="s">
        <v>631</v>
      </c>
    </row>
    <row r="4891">
      <c r="A4891" s="3" t="s">
        <v>625</v>
      </c>
      <c r="B4891" s="3" t="s">
        <v>118</v>
      </c>
      <c r="C4891" s="3" t="s">
        <v>640</v>
      </c>
    </row>
    <row r="4892">
      <c r="A4892" s="3" t="s">
        <v>625</v>
      </c>
      <c r="B4892" s="3" t="s">
        <v>118</v>
      </c>
      <c r="C4892" s="3" t="s">
        <v>637</v>
      </c>
    </row>
    <row r="4893">
      <c r="A4893" s="3" t="s">
        <v>625</v>
      </c>
      <c r="B4893" s="3" t="s">
        <v>629</v>
      </c>
      <c r="C4893" s="3" t="s">
        <v>630</v>
      </c>
    </row>
    <row r="4894">
      <c r="A4894" s="3" t="s">
        <v>625</v>
      </c>
      <c r="B4894" s="3" t="s">
        <v>124</v>
      </c>
      <c r="C4894" s="3" t="s">
        <v>577</v>
      </c>
    </row>
    <row r="4895">
      <c r="A4895" s="3" t="s">
        <v>625</v>
      </c>
      <c r="B4895" s="3" t="s">
        <v>118</v>
      </c>
      <c r="C4895" s="3" t="s">
        <v>632</v>
      </c>
    </row>
    <row r="4896">
      <c r="A4896" s="3" t="s">
        <v>625</v>
      </c>
      <c r="B4896" s="3" t="s">
        <v>626</v>
      </c>
      <c r="C4896" s="3" t="s">
        <v>631</v>
      </c>
    </row>
    <row r="4897">
      <c r="A4897" s="3" t="s">
        <v>625</v>
      </c>
      <c r="B4897" s="3" t="s">
        <v>118</v>
      </c>
      <c r="C4897" s="3" t="s">
        <v>632</v>
      </c>
    </row>
    <row r="4898">
      <c r="A4898" s="3" t="s">
        <v>625</v>
      </c>
      <c r="B4898" s="3" t="s">
        <v>118</v>
      </c>
      <c r="C4898" s="3" t="s">
        <v>640</v>
      </c>
    </row>
    <row r="4899">
      <c r="A4899" s="3" t="s">
        <v>625</v>
      </c>
      <c r="B4899" s="3" t="s">
        <v>626</v>
      </c>
      <c r="C4899" s="3" t="s">
        <v>631</v>
      </c>
    </row>
    <row r="4900">
      <c r="A4900" s="3" t="s">
        <v>625</v>
      </c>
      <c r="B4900" s="3" t="s">
        <v>118</v>
      </c>
      <c r="C4900" s="3" t="s">
        <v>638</v>
      </c>
    </row>
    <row r="4901">
      <c r="A4901" s="3" t="s">
        <v>625</v>
      </c>
      <c r="B4901" s="3" t="s">
        <v>629</v>
      </c>
      <c r="C4901" s="3" t="s">
        <v>630</v>
      </c>
    </row>
    <row r="4902">
      <c r="A4902" s="3" t="s">
        <v>625</v>
      </c>
      <c r="B4902" s="3" t="s">
        <v>626</v>
      </c>
      <c r="C4902" s="3" t="s">
        <v>631</v>
      </c>
    </row>
    <row r="4903">
      <c r="A4903" s="3" t="s">
        <v>625</v>
      </c>
      <c r="B4903" s="3" t="s">
        <v>629</v>
      </c>
      <c r="C4903" s="3" t="s">
        <v>630</v>
      </c>
    </row>
    <row r="4904">
      <c r="A4904" s="3" t="s">
        <v>625</v>
      </c>
      <c r="B4904" s="3" t="s">
        <v>124</v>
      </c>
      <c r="C4904" s="3" t="s">
        <v>634</v>
      </c>
    </row>
    <row r="4905">
      <c r="A4905" s="3" t="s">
        <v>625</v>
      </c>
      <c r="B4905" s="3" t="s">
        <v>626</v>
      </c>
      <c r="C4905" s="3" t="s">
        <v>631</v>
      </c>
    </row>
    <row r="4906">
      <c r="A4906" s="3" t="s">
        <v>625</v>
      </c>
      <c r="B4906" s="3" t="s">
        <v>629</v>
      </c>
      <c r="C4906" s="3" t="s">
        <v>630</v>
      </c>
    </row>
    <row r="4907">
      <c r="A4907" s="3" t="s">
        <v>625</v>
      </c>
      <c r="B4907" s="3" t="s">
        <v>626</v>
      </c>
      <c r="C4907" s="3" t="s">
        <v>568</v>
      </c>
    </row>
    <row r="4908">
      <c r="A4908" s="3" t="s">
        <v>625</v>
      </c>
      <c r="B4908" s="3" t="s">
        <v>629</v>
      </c>
      <c r="C4908" s="3" t="s">
        <v>630</v>
      </c>
    </row>
    <row r="4909">
      <c r="A4909" s="3" t="s">
        <v>625</v>
      </c>
      <c r="B4909" s="3" t="s">
        <v>124</v>
      </c>
      <c r="C4909" s="3" t="s">
        <v>577</v>
      </c>
    </row>
    <row r="4910">
      <c r="A4910" s="3" t="s">
        <v>625</v>
      </c>
      <c r="B4910" s="3" t="s">
        <v>629</v>
      </c>
      <c r="C4910" s="3" t="s">
        <v>630</v>
      </c>
    </row>
    <row r="4911">
      <c r="A4911" s="3" t="s">
        <v>625</v>
      </c>
      <c r="B4911" s="3" t="s">
        <v>124</v>
      </c>
      <c r="C4911" s="3" t="s">
        <v>577</v>
      </c>
    </row>
    <row r="4912">
      <c r="A4912" s="3" t="s">
        <v>625</v>
      </c>
      <c r="B4912" s="3" t="s">
        <v>629</v>
      </c>
      <c r="C4912" s="3" t="s">
        <v>630</v>
      </c>
    </row>
    <row r="4913">
      <c r="A4913" s="3" t="s">
        <v>625</v>
      </c>
      <c r="B4913" s="3" t="s">
        <v>124</v>
      </c>
      <c r="C4913" s="3" t="s">
        <v>577</v>
      </c>
    </row>
    <row r="4914">
      <c r="A4914" s="3" t="s">
        <v>625</v>
      </c>
      <c r="B4914" s="3" t="s">
        <v>629</v>
      </c>
      <c r="C4914" s="3" t="s">
        <v>630</v>
      </c>
    </row>
    <row r="4915">
      <c r="A4915" s="3" t="s">
        <v>625</v>
      </c>
      <c r="B4915" s="3" t="s">
        <v>626</v>
      </c>
      <c r="C4915" s="3" t="s">
        <v>631</v>
      </c>
    </row>
    <row r="4916">
      <c r="A4916" s="3" t="s">
        <v>625</v>
      </c>
      <c r="B4916" s="3" t="s">
        <v>629</v>
      </c>
      <c r="C4916" s="3" t="s">
        <v>630</v>
      </c>
    </row>
    <row r="4917">
      <c r="A4917" s="3" t="s">
        <v>641</v>
      </c>
      <c r="B4917" s="3" t="s">
        <v>642</v>
      </c>
      <c r="C4917" s="3" t="s">
        <v>643</v>
      </c>
    </row>
    <row r="4918">
      <c r="A4918" s="3" t="s">
        <v>641</v>
      </c>
      <c r="B4918" s="3" t="s">
        <v>644</v>
      </c>
      <c r="C4918" s="3" t="s">
        <v>645</v>
      </c>
    </row>
    <row r="4919">
      <c r="A4919" s="3" t="s">
        <v>641</v>
      </c>
      <c r="B4919" s="3" t="s">
        <v>644</v>
      </c>
      <c r="C4919" s="3" t="s">
        <v>645</v>
      </c>
    </row>
    <row r="4920">
      <c r="A4920" s="3" t="s">
        <v>641</v>
      </c>
      <c r="B4920" s="3" t="s">
        <v>644</v>
      </c>
      <c r="C4920" s="3" t="s">
        <v>646</v>
      </c>
    </row>
    <row r="4921">
      <c r="A4921" s="3" t="s">
        <v>641</v>
      </c>
      <c r="B4921" s="3" t="s">
        <v>644</v>
      </c>
      <c r="C4921" s="3" t="s">
        <v>647</v>
      </c>
    </row>
    <row r="4922">
      <c r="A4922" s="3" t="s">
        <v>641</v>
      </c>
      <c r="B4922" s="3" t="s">
        <v>644</v>
      </c>
      <c r="C4922" s="3" t="s">
        <v>645</v>
      </c>
    </row>
    <row r="4923">
      <c r="A4923" s="3" t="s">
        <v>641</v>
      </c>
      <c r="B4923" s="3" t="s">
        <v>644</v>
      </c>
      <c r="C4923" s="3" t="s">
        <v>647</v>
      </c>
    </row>
    <row r="4924">
      <c r="A4924" s="3" t="s">
        <v>641</v>
      </c>
      <c r="B4924" s="3" t="s">
        <v>644</v>
      </c>
      <c r="C4924" s="3" t="s">
        <v>647</v>
      </c>
    </row>
    <row r="4925">
      <c r="A4925" s="3" t="s">
        <v>641</v>
      </c>
      <c r="B4925" s="3" t="s">
        <v>644</v>
      </c>
      <c r="C4925" s="3" t="s">
        <v>647</v>
      </c>
    </row>
    <row r="4926">
      <c r="A4926" s="3" t="s">
        <v>641</v>
      </c>
      <c r="B4926" s="3" t="s">
        <v>644</v>
      </c>
      <c r="C4926" s="3" t="s">
        <v>646</v>
      </c>
    </row>
    <row r="4927">
      <c r="A4927" s="3" t="s">
        <v>641</v>
      </c>
      <c r="B4927" s="3" t="s">
        <v>644</v>
      </c>
      <c r="C4927" s="3" t="s">
        <v>646</v>
      </c>
    </row>
    <row r="4928">
      <c r="A4928" s="3" t="s">
        <v>641</v>
      </c>
      <c r="B4928" s="3" t="s">
        <v>644</v>
      </c>
      <c r="C4928" s="3" t="s">
        <v>646</v>
      </c>
    </row>
    <row r="4929">
      <c r="A4929" s="3" t="s">
        <v>641</v>
      </c>
      <c r="B4929" s="3" t="s">
        <v>644</v>
      </c>
      <c r="C4929" s="3" t="s">
        <v>646</v>
      </c>
    </row>
    <row r="4930">
      <c r="A4930" s="3" t="s">
        <v>641</v>
      </c>
      <c r="B4930" s="3" t="s">
        <v>644</v>
      </c>
      <c r="C4930" s="3" t="s">
        <v>647</v>
      </c>
    </row>
    <row r="4931">
      <c r="A4931" s="3" t="s">
        <v>648</v>
      </c>
      <c r="B4931" s="3" t="s">
        <v>141</v>
      </c>
      <c r="C4931" s="3" t="s">
        <v>649</v>
      </c>
    </row>
    <row r="4932">
      <c r="A4932" s="3" t="s">
        <v>648</v>
      </c>
      <c r="B4932" s="3" t="s">
        <v>650</v>
      </c>
      <c r="C4932" s="3" t="s">
        <v>631</v>
      </c>
    </row>
    <row r="4933">
      <c r="A4933" s="3" t="s">
        <v>648</v>
      </c>
      <c r="B4933" s="3" t="s">
        <v>651</v>
      </c>
      <c r="C4933" s="3" t="s">
        <v>538</v>
      </c>
    </row>
    <row r="4934">
      <c r="A4934" s="3" t="s">
        <v>648</v>
      </c>
      <c r="B4934" s="3" t="s">
        <v>141</v>
      </c>
      <c r="C4934" s="3" t="s">
        <v>649</v>
      </c>
    </row>
    <row r="4935">
      <c r="A4935" s="3" t="s">
        <v>648</v>
      </c>
      <c r="B4935" s="3" t="s">
        <v>650</v>
      </c>
      <c r="C4935" s="3" t="s">
        <v>652</v>
      </c>
    </row>
    <row r="4936">
      <c r="A4936" s="3" t="s">
        <v>648</v>
      </c>
      <c r="B4936" s="3" t="s">
        <v>651</v>
      </c>
      <c r="C4936" s="3" t="s">
        <v>653</v>
      </c>
    </row>
    <row r="4937">
      <c r="A4937" s="3" t="s">
        <v>648</v>
      </c>
      <c r="B4937" s="3" t="s">
        <v>141</v>
      </c>
      <c r="C4937" s="3" t="s">
        <v>654</v>
      </c>
    </row>
    <row r="4938">
      <c r="A4938" s="3" t="s">
        <v>648</v>
      </c>
      <c r="B4938" s="3" t="s">
        <v>148</v>
      </c>
      <c r="C4938" s="3" t="s">
        <v>655</v>
      </c>
    </row>
    <row r="4939">
      <c r="A4939" s="3" t="s">
        <v>648</v>
      </c>
      <c r="B4939" s="3" t="s">
        <v>651</v>
      </c>
      <c r="C4939" s="3" t="s">
        <v>538</v>
      </c>
    </row>
    <row r="4940">
      <c r="A4940" s="3" t="s">
        <v>648</v>
      </c>
      <c r="B4940" s="3" t="s">
        <v>141</v>
      </c>
      <c r="C4940" s="3" t="s">
        <v>649</v>
      </c>
    </row>
    <row r="4941">
      <c r="A4941" s="3" t="s">
        <v>648</v>
      </c>
      <c r="B4941" s="3" t="s">
        <v>141</v>
      </c>
      <c r="C4941" s="3" t="s">
        <v>649</v>
      </c>
    </row>
    <row r="4942">
      <c r="A4942" s="3" t="s">
        <v>648</v>
      </c>
      <c r="B4942" s="3" t="s">
        <v>650</v>
      </c>
      <c r="C4942" s="3" t="s">
        <v>572</v>
      </c>
    </row>
    <row r="4943">
      <c r="A4943" s="3" t="s">
        <v>648</v>
      </c>
      <c r="B4943" s="3" t="s">
        <v>650</v>
      </c>
      <c r="C4943" s="3" t="s">
        <v>656</v>
      </c>
    </row>
    <row r="4944">
      <c r="A4944" s="3" t="s">
        <v>648</v>
      </c>
      <c r="B4944" s="3" t="s">
        <v>650</v>
      </c>
      <c r="C4944" s="3" t="s">
        <v>577</v>
      </c>
    </row>
    <row r="4945">
      <c r="A4945" s="3" t="s">
        <v>648</v>
      </c>
      <c r="B4945" s="3" t="s">
        <v>650</v>
      </c>
      <c r="C4945" s="3" t="s">
        <v>572</v>
      </c>
    </row>
    <row r="4946">
      <c r="A4946" s="3" t="s">
        <v>648</v>
      </c>
      <c r="B4946" s="3" t="s">
        <v>650</v>
      </c>
      <c r="C4946" s="3" t="s">
        <v>656</v>
      </c>
    </row>
    <row r="4947">
      <c r="A4947" s="3" t="s">
        <v>648</v>
      </c>
      <c r="B4947" s="3" t="s">
        <v>650</v>
      </c>
      <c r="C4947" s="3" t="s">
        <v>577</v>
      </c>
    </row>
    <row r="4948">
      <c r="A4948" s="3" t="s">
        <v>648</v>
      </c>
      <c r="B4948" s="3" t="s">
        <v>650</v>
      </c>
      <c r="C4948" s="3" t="s">
        <v>572</v>
      </c>
    </row>
    <row r="4949">
      <c r="A4949" s="3" t="s">
        <v>648</v>
      </c>
      <c r="B4949" s="3" t="s">
        <v>141</v>
      </c>
      <c r="C4949" s="3" t="s">
        <v>649</v>
      </c>
    </row>
    <row r="4950">
      <c r="A4950" s="3" t="s">
        <v>648</v>
      </c>
      <c r="B4950" s="3" t="s">
        <v>651</v>
      </c>
      <c r="C4950" s="3" t="s">
        <v>653</v>
      </c>
    </row>
    <row r="4951">
      <c r="A4951" s="3" t="s">
        <v>648</v>
      </c>
      <c r="B4951" s="3" t="s">
        <v>657</v>
      </c>
      <c r="C4951" s="3" t="s">
        <v>658</v>
      </c>
    </row>
    <row r="4952">
      <c r="A4952" s="3" t="s">
        <v>648</v>
      </c>
      <c r="B4952" s="3" t="s">
        <v>148</v>
      </c>
      <c r="C4952" s="3" t="s">
        <v>659</v>
      </c>
    </row>
    <row r="4953">
      <c r="A4953" s="3" t="s">
        <v>648</v>
      </c>
      <c r="B4953" s="3" t="s">
        <v>148</v>
      </c>
      <c r="C4953" s="3" t="s">
        <v>655</v>
      </c>
    </row>
    <row r="4954">
      <c r="A4954" s="3" t="s">
        <v>648</v>
      </c>
      <c r="B4954" s="3" t="s">
        <v>650</v>
      </c>
      <c r="C4954" s="3" t="s">
        <v>652</v>
      </c>
    </row>
    <row r="4955">
      <c r="A4955" s="3" t="s">
        <v>648</v>
      </c>
      <c r="B4955" s="3" t="s">
        <v>141</v>
      </c>
      <c r="C4955" s="3" t="s">
        <v>649</v>
      </c>
    </row>
    <row r="4956">
      <c r="A4956" s="3" t="s">
        <v>648</v>
      </c>
      <c r="B4956" s="3" t="s">
        <v>650</v>
      </c>
      <c r="C4956" s="3" t="s">
        <v>572</v>
      </c>
    </row>
    <row r="4957">
      <c r="A4957" s="3" t="s">
        <v>648</v>
      </c>
      <c r="B4957" s="3" t="s">
        <v>651</v>
      </c>
      <c r="C4957" s="3" t="s">
        <v>538</v>
      </c>
    </row>
    <row r="4958">
      <c r="A4958" s="3" t="s">
        <v>648</v>
      </c>
      <c r="B4958" s="3" t="s">
        <v>141</v>
      </c>
      <c r="C4958" s="3" t="s">
        <v>660</v>
      </c>
    </row>
    <row r="4959">
      <c r="A4959" s="3" t="s">
        <v>648</v>
      </c>
      <c r="B4959" s="3" t="s">
        <v>141</v>
      </c>
      <c r="C4959" s="3" t="s">
        <v>654</v>
      </c>
    </row>
    <row r="4960">
      <c r="A4960" s="3" t="s">
        <v>648</v>
      </c>
      <c r="B4960" s="3" t="s">
        <v>155</v>
      </c>
      <c r="C4960" s="3" t="s">
        <v>562</v>
      </c>
    </row>
    <row r="4961">
      <c r="A4961" s="3" t="s">
        <v>648</v>
      </c>
      <c r="B4961" s="3" t="s">
        <v>141</v>
      </c>
      <c r="C4961" s="3" t="s">
        <v>654</v>
      </c>
    </row>
    <row r="4962">
      <c r="A4962" s="3" t="s">
        <v>648</v>
      </c>
      <c r="B4962" s="3" t="s">
        <v>148</v>
      </c>
      <c r="C4962" s="3" t="s">
        <v>655</v>
      </c>
    </row>
    <row r="4963">
      <c r="A4963" s="3" t="s">
        <v>648</v>
      </c>
      <c r="B4963" s="3" t="s">
        <v>141</v>
      </c>
      <c r="C4963" s="3" t="s">
        <v>649</v>
      </c>
    </row>
    <row r="4964">
      <c r="A4964" s="3" t="s">
        <v>648</v>
      </c>
      <c r="B4964" s="3" t="s">
        <v>141</v>
      </c>
      <c r="C4964" s="3" t="s">
        <v>649</v>
      </c>
    </row>
    <row r="4965">
      <c r="A4965" s="3" t="s">
        <v>648</v>
      </c>
      <c r="B4965" s="3" t="s">
        <v>141</v>
      </c>
      <c r="C4965" s="3" t="s">
        <v>649</v>
      </c>
    </row>
    <row r="4966">
      <c r="A4966" s="3" t="s">
        <v>648</v>
      </c>
      <c r="B4966" s="3" t="s">
        <v>651</v>
      </c>
      <c r="C4966" s="3" t="s">
        <v>653</v>
      </c>
    </row>
    <row r="4967">
      <c r="A4967" s="3" t="s">
        <v>648</v>
      </c>
      <c r="B4967" s="3" t="s">
        <v>651</v>
      </c>
      <c r="C4967" s="3" t="s">
        <v>661</v>
      </c>
    </row>
    <row r="4968">
      <c r="A4968" s="3" t="s">
        <v>648</v>
      </c>
      <c r="B4968" s="3" t="s">
        <v>650</v>
      </c>
      <c r="C4968" s="3" t="s">
        <v>631</v>
      </c>
    </row>
    <row r="4969">
      <c r="A4969" s="3" t="s">
        <v>648</v>
      </c>
      <c r="B4969" s="3" t="s">
        <v>650</v>
      </c>
      <c r="C4969" s="3" t="s">
        <v>631</v>
      </c>
    </row>
    <row r="4970">
      <c r="A4970" s="3" t="s">
        <v>648</v>
      </c>
      <c r="B4970" s="3" t="s">
        <v>650</v>
      </c>
      <c r="C4970" s="3" t="s">
        <v>631</v>
      </c>
    </row>
    <row r="4971">
      <c r="A4971" s="3" t="s">
        <v>648</v>
      </c>
      <c r="B4971" s="3" t="s">
        <v>651</v>
      </c>
      <c r="C4971" s="3" t="s">
        <v>538</v>
      </c>
    </row>
    <row r="4972">
      <c r="A4972" s="3" t="s">
        <v>648</v>
      </c>
      <c r="B4972" s="3" t="s">
        <v>141</v>
      </c>
      <c r="C4972" s="3" t="s">
        <v>649</v>
      </c>
    </row>
    <row r="4973">
      <c r="A4973" s="3" t="s">
        <v>648</v>
      </c>
      <c r="B4973" s="3" t="s">
        <v>662</v>
      </c>
      <c r="C4973" s="3" t="s">
        <v>653</v>
      </c>
    </row>
    <row r="4974">
      <c r="A4974" s="3" t="s">
        <v>648</v>
      </c>
      <c r="B4974" s="3" t="s">
        <v>651</v>
      </c>
      <c r="C4974" s="3" t="s">
        <v>653</v>
      </c>
    </row>
    <row r="4975">
      <c r="A4975" s="3" t="s">
        <v>648</v>
      </c>
      <c r="B4975" s="3" t="s">
        <v>141</v>
      </c>
      <c r="C4975" s="3" t="s">
        <v>660</v>
      </c>
    </row>
    <row r="4976">
      <c r="A4976" s="3" t="s">
        <v>648</v>
      </c>
      <c r="B4976" s="3" t="s">
        <v>148</v>
      </c>
      <c r="C4976" s="3" t="s">
        <v>663</v>
      </c>
    </row>
    <row r="4977">
      <c r="A4977" s="3" t="s">
        <v>648</v>
      </c>
      <c r="B4977" s="3" t="s">
        <v>651</v>
      </c>
      <c r="C4977" s="3" t="s">
        <v>653</v>
      </c>
    </row>
    <row r="4978">
      <c r="A4978" s="3" t="s">
        <v>648</v>
      </c>
      <c r="B4978" s="3" t="s">
        <v>651</v>
      </c>
      <c r="C4978" s="3" t="s">
        <v>538</v>
      </c>
    </row>
    <row r="4979">
      <c r="A4979" s="3" t="s">
        <v>648</v>
      </c>
      <c r="B4979" s="3" t="s">
        <v>650</v>
      </c>
      <c r="C4979" s="3" t="s">
        <v>572</v>
      </c>
    </row>
    <row r="4980">
      <c r="A4980" s="3" t="s">
        <v>648</v>
      </c>
      <c r="B4980" s="3" t="s">
        <v>650</v>
      </c>
      <c r="C4980" s="3" t="s">
        <v>656</v>
      </c>
    </row>
    <row r="4981">
      <c r="A4981" s="3" t="s">
        <v>648</v>
      </c>
      <c r="B4981" s="3" t="s">
        <v>651</v>
      </c>
      <c r="C4981" s="3" t="s">
        <v>538</v>
      </c>
    </row>
    <row r="4982">
      <c r="A4982" s="3" t="s">
        <v>648</v>
      </c>
      <c r="B4982" s="3" t="s">
        <v>651</v>
      </c>
      <c r="C4982" s="3" t="s">
        <v>653</v>
      </c>
    </row>
    <row r="4983">
      <c r="A4983" s="3" t="s">
        <v>648</v>
      </c>
      <c r="B4983" s="3" t="s">
        <v>651</v>
      </c>
      <c r="C4983" s="3" t="s">
        <v>653</v>
      </c>
    </row>
    <row r="4984">
      <c r="A4984" s="3" t="s">
        <v>648</v>
      </c>
      <c r="B4984" s="3" t="s">
        <v>650</v>
      </c>
      <c r="C4984" s="3" t="s">
        <v>656</v>
      </c>
    </row>
    <row r="4985">
      <c r="A4985" s="3" t="s">
        <v>648</v>
      </c>
      <c r="B4985" s="3" t="s">
        <v>148</v>
      </c>
      <c r="C4985" s="3" t="s">
        <v>655</v>
      </c>
    </row>
    <row r="4986">
      <c r="A4986" s="3" t="s">
        <v>648</v>
      </c>
      <c r="B4986" s="3" t="s">
        <v>148</v>
      </c>
      <c r="C4986" s="3" t="s">
        <v>655</v>
      </c>
    </row>
    <row r="4987">
      <c r="A4987" s="3" t="s">
        <v>648</v>
      </c>
      <c r="B4987" s="3" t="s">
        <v>148</v>
      </c>
      <c r="C4987" s="3" t="s">
        <v>655</v>
      </c>
    </row>
    <row r="4988">
      <c r="A4988" s="3" t="s">
        <v>648</v>
      </c>
      <c r="B4988" s="3" t="s">
        <v>141</v>
      </c>
      <c r="C4988" s="3" t="s">
        <v>654</v>
      </c>
    </row>
    <row r="4989">
      <c r="A4989" s="3" t="s">
        <v>648</v>
      </c>
      <c r="B4989" s="3" t="s">
        <v>650</v>
      </c>
      <c r="C4989" s="3" t="s">
        <v>572</v>
      </c>
    </row>
    <row r="4990">
      <c r="A4990" s="3" t="s">
        <v>648</v>
      </c>
      <c r="B4990" s="3" t="s">
        <v>650</v>
      </c>
      <c r="C4990" s="3" t="s">
        <v>577</v>
      </c>
    </row>
    <row r="4991">
      <c r="A4991" s="3" t="s">
        <v>648</v>
      </c>
      <c r="B4991" s="3" t="s">
        <v>650</v>
      </c>
      <c r="C4991" s="3" t="s">
        <v>562</v>
      </c>
    </row>
    <row r="4992">
      <c r="A4992" s="3" t="s">
        <v>648</v>
      </c>
      <c r="B4992" s="3" t="s">
        <v>141</v>
      </c>
      <c r="C4992" s="3" t="s">
        <v>649</v>
      </c>
    </row>
    <row r="4993">
      <c r="A4993" s="3" t="s">
        <v>648</v>
      </c>
      <c r="B4993" s="3" t="s">
        <v>141</v>
      </c>
      <c r="C4993" s="3" t="s">
        <v>660</v>
      </c>
    </row>
    <row r="4994">
      <c r="A4994" s="3" t="s">
        <v>648</v>
      </c>
      <c r="B4994" s="3" t="s">
        <v>650</v>
      </c>
      <c r="C4994" s="3" t="s">
        <v>652</v>
      </c>
    </row>
    <row r="4995">
      <c r="A4995" s="3" t="s">
        <v>648</v>
      </c>
      <c r="B4995" s="3" t="s">
        <v>148</v>
      </c>
      <c r="C4995" s="3" t="s">
        <v>663</v>
      </c>
    </row>
    <row r="4996">
      <c r="A4996" s="3" t="s">
        <v>648</v>
      </c>
      <c r="B4996" s="3" t="s">
        <v>141</v>
      </c>
      <c r="C4996" s="3" t="s">
        <v>660</v>
      </c>
    </row>
    <row r="4997">
      <c r="A4997" s="3" t="s">
        <v>648</v>
      </c>
      <c r="B4997" s="3" t="s">
        <v>650</v>
      </c>
      <c r="C4997" s="3" t="s">
        <v>664</v>
      </c>
    </row>
    <row r="4998">
      <c r="A4998" s="3" t="s">
        <v>648</v>
      </c>
      <c r="B4998" s="3" t="s">
        <v>651</v>
      </c>
      <c r="C4998" s="3" t="s">
        <v>661</v>
      </c>
    </row>
    <row r="4999">
      <c r="A4999" s="3" t="s">
        <v>648</v>
      </c>
      <c r="B4999" s="3" t="s">
        <v>662</v>
      </c>
      <c r="C4999" s="3" t="s">
        <v>665</v>
      </c>
    </row>
    <row r="5000">
      <c r="A5000" s="3" t="s">
        <v>648</v>
      </c>
      <c r="B5000" s="3" t="s">
        <v>662</v>
      </c>
      <c r="C5000" s="3" t="s">
        <v>653</v>
      </c>
    </row>
    <row r="5001">
      <c r="A5001" s="3" t="s">
        <v>648</v>
      </c>
      <c r="B5001" s="3" t="s">
        <v>662</v>
      </c>
      <c r="C5001" s="3" t="s">
        <v>666</v>
      </c>
    </row>
    <row r="5002">
      <c r="A5002" s="3" t="s">
        <v>648</v>
      </c>
      <c r="B5002" s="3" t="s">
        <v>148</v>
      </c>
      <c r="C5002" s="3" t="s">
        <v>659</v>
      </c>
    </row>
    <row r="5003">
      <c r="A5003" s="3" t="s">
        <v>648</v>
      </c>
      <c r="B5003" s="3" t="s">
        <v>155</v>
      </c>
      <c r="C5003" s="3" t="s">
        <v>667</v>
      </c>
    </row>
    <row r="5004">
      <c r="A5004" s="3" t="s">
        <v>648</v>
      </c>
      <c r="B5004" s="3" t="s">
        <v>657</v>
      </c>
      <c r="C5004" s="3" t="s">
        <v>658</v>
      </c>
    </row>
    <row r="5005">
      <c r="A5005" s="3" t="s">
        <v>648</v>
      </c>
      <c r="B5005" s="3" t="s">
        <v>651</v>
      </c>
      <c r="C5005" s="3" t="s">
        <v>661</v>
      </c>
    </row>
    <row r="5006">
      <c r="A5006" s="3" t="s">
        <v>648</v>
      </c>
      <c r="B5006" s="3" t="s">
        <v>148</v>
      </c>
      <c r="C5006" s="3" t="s">
        <v>663</v>
      </c>
    </row>
    <row r="5007">
      <c r="A5007" s="3" t="s">
        <v>648</v>
      </c>
      <c r="B5007" s="3" t="s">
        <v>650</v>
      </c>
      <c r="C5007" s="3" t="s">
        <v>631</v>
      </c>
    </row>
    <row r="5008">
      <c r="A5008" s="3" t="s">
        <v>648</v>
      </c>
      <c r="B5008" s="3" t="s">
        <v>650</v>
      </c>
      <c r="C5008" s="3" t="s">
        <v>572</v>
      </c>
    </row>
    <row r="5009">
      <c r="A5009" s="3" t="s">
        <v>648</v>
      </c>
      <c r="B5009" s="3" t="s">
        <v>650</v>
      </c>
      <c r="C5009" s="3" t="s">
        <v>656</v>
      </c>
    </row>
    <row r="5010">
      <c r="A5010" s="3" t="s">
        <v>648</v>
      </c>
      <c r="B5010" s="3" t="s">
        <v>650</v>
      </c>
      <c r="C5010" s="3" t="s">
        <v>664</v>
      </c>
    </row>
    <row r="5011">
      <c r="A5011" s="3" t="s">
        <v>648</v>
      </c>
      <c r="B5011" s="3" t="s">
        <v>650</v>
      </c>
      <c r="C5011" s="3" t="s">
        <v>572</v>
      </c>
    </row>
    <row r="5012">
      <c r="A5012" s="3" t="s">
        <v>648</v>
      </c>
      <c r="B5012" s="3" t="s">
        <v>148</v>
      </c>
      <c r="C5012" s="3" t="s">
        <v>655</v>
      </c>
    </row>
    <row r="5013">
      <c r="A5013" s="3" t="s">
        <v>648</v>
      </c>
      <c r="B5013" s="3" t="s">
        <v>148</v>
      </c>
      <c r="C5013" s="3" t="s">
        <v>663</v>
      </c>
    </row>
    <row r="5014">
      <c r="A5014" s="3" t="s">
        <v>648</v>
      </c>
      <c r="B5014" s="3" t="s">
        <v>650</v>
      </c>
      <c r="C5014" s="3" t="s">
        <v>631</v>
      </c>
    </row>
    <row r="5015">
      <c r="A5015" s="3" t="s">
        <v>648</v>
      </c>
      <c r="B5015" s="3" t="s">
        <v>148</v>
      </c>
      <c r="C5015" s="3" t="s">
        <v>663</v>
      </c>
    </row>
    <row r="5016">
      <c r="A5016" s="3" t="s">
        <v>648</v>
      </c>
      <c r="B5016" s="3" t="s">
        <v>650</v>
      </c>
      <c r="C5016" s="3" t="s">
        <v>572</v>
      </c>
    </row>
    <row r="5017">
      <c r="A5017" s="3" t="s">
        <v>648</v>
      </c>
      <c r="B5017" s="3" t="s">
        <v>650</v>
      </c>
      <c r="C5017" s="3" t="s">
        <v>652</v>
      </c>
    </row>
    <row r="5018">
      <c r="A5018" s="3" t="s">
        <v>648</v>
      </c>
      <c r="B5018" s="3" t="s">
        <v>141</v>
      </c>
      <c r="C5018" s="3" t="s">
        <v>654</v>
      </c>
    </row>
    <row r="5019">
      <c r="A5019" s="3" t="s">
        <v>648</v>
      </c>
      <c r="B5019" s="3" t="s">
        <v>657</v>
      </c>
      <c r="C5019" s="3" t="s">
        <v>658</v>
      </c>
    </row>
    <row r="5020">
      <c r="A5020" s="3" t="s">
        <v>648</v>
      </c>
      <c r="B5020" s="3" t="s">
        <v>148</v>
      </c>
      <c r="C5020" s="3" t="s">
        <v>655</v>
      </c>
    </row>
    <row r="5021">
      <c r="A5021" s="3" t="s">
        <v>648</v>
      </c>
      <c r="B5021" s="3" t="s">
        <v>662</v>
      </c>
      <c r="C5021" s="3" t="s">
        <v>653</v>
      </c>
    </row>
    <row r="5022">
      <c r="A5022" s="3" t="s">
        <v>648</v>
      </c>
      <c r="B5022" s="3" t="s">
        <v>141</v>
      </c>
      <c r="C5022" s="3" t="s">
        <v>654</v>
      </c>
    </row>
    <row r="5023">
      <c r="A5023" s="3" t="s">
        <v>648</v>
      </c>
      <c r="B5023" s="3" t="s">
        <v>650</v>
      </c>
      <c r="C5023" s="3" t="s">
        <v>656</v>
      </c>
    </row>
    <row r="5024">
      <c r="A5024" s="3" t="s">
        <v>648</v>
      </c>
      <c r="B5024" s="3" t="s">
        <v>650</v>
      </c>
      <c r="C5024" s="3" t="s">
        <v>562</v>
      </c>
    </row>
    <row r="5025">
      <c r="A5025" s="3" t="s">
        <v>648</v>
      </c>
      <c r="B5025" s="3" t="s">
        <v>155</v>
      </c>
      <c r="C5025" s="3" t="s">
        <v>667</v>
      </c>
    </row>
    <row r="5026">
      <c r="A5026" s="3" t="s">
        <v>648</v>
      </c>
      <c r="B5026" s="3" t="s">
        <v>650</v>
      </c>
      <c r="C5026" s="3" t="s">
        <v>652</v>
      </c>
    </row>
    <row r="5027">
      <c r="A5027" s="3" t="s">
        <v>648</v>
      </c>
      <c r="B5027" s="3" t="s">
        <v>650</v>
      </c>
      <c r="C5027" s="3" t="s">
        <v>572</v>
      </c>
    </row>
    <row r="5028">
      <c r="A5028" s="3" t="s">
        <v>648</v>
      </c>
      <c r="B5028" s="3" t="s">
        <v>650</v>
      </c>
      <c r="C5028" s="3" t="s">
        <v>652</v>
      </c>
    </row>
    <row r="5029">
      <c r="A5029" s="3" t="s">
        <v>648</v>
      </c>
      <c r="B5029" s="3" t="s">
        <v>650</v>
      </c>
      <c r="C5029" s="3" t="s">
        <v>652</v>
      </c>
    </row>
    <row r="5030">
      <c r="A5030" s="3" t="s">
        <v>648</v>
      </c>
      <c r="B5030" s="3" t="s">
        <v>650</v>
      </c>
      <c r="C5030" s="3" t="s">
        <v>656</v>
      </c>
    </row>
    <row r="5031">
      <c r="A5031" s="3" t="s">
        <v>648</v>
      </c>
      <c r="B5031" s="3" t="s">
        <v>148</v>
      </c>
      <c r="C5031" s="3" t="s">
        <v>663</v>
      </c>
    </row>
    <row r="5032">
      <c r="A5032" s="3" t="s">
        <v>648</v>
      </c>
      <c r="B5032" s="3" t="s">
        <v>651</v>
      </c>
      <c r="C5032" s="3" t="s">
        <v>538</v>
      </c>
    </row>
    <row r="5033">
      <c r="A5033" s="3" t="s">
        <v>648</v>
      </c>
      <c r="B5033" s="3" t="s">
        <v>651</v>
      </c>
      <c r="C5033" s="3" t="s">
        <v>538</v>
      </c>
    </row>
    <row r="5034">
      <c r="A5034" s="3" t="s">
        <v>648</v>
      </c>
      <c r="B5034" s="3" t="s">
        <v>155</v>
      </c>
      <c r="C5034" s="3" t="s">
        <v>562</v>
      </c>
    </row>
    <row r="5035">
      <c r="A5035" s="3" t="s">
        <v>648</v>
      </c>
      <c r="B5035" s="3" t="s">
        <v>148</v>
      </c>
      <c r="C5035" s="3" t="s">
        <v>663</v>
      </c>
    </row>
    <row r="5036">
      <c r="A5036" s="3" t="s">
        <v>648</v>
      </c>
      <c r="B5036" s="3" t="s">
        <v>650</v>
      </c>
      <c r="C5036" s="3" t="s">
        <v>572</v>
      </c>
    </row>
    <row r="5037">
      <c r="A5037" s="3" t="s">
        <v>648</v>
      </c>
      <c r="B5037" s="3" t="s">
        <v>148</v>
      </c>
      <c r="C5037" s="3" t="s">
        <v>663</v>
      </c>
    </row>
    <row r="5038">
      <c r="A5038" s="3" t="s">
        <v>648</v>
      </c>
      <c r="B5038" s="3" t="s">
        <v>650</v>
      </c>
      <c r="C5038" s="3" t="s">
        <v>572</v>
      </c>
    </row>
    <row r="5039">
      <c r="A5039" s="3" t="s">
        <v>648</v>
      </c>
      <c r="B5039" s="3" t="s">
        <v>148</v>
      </c>
      <c r="C5039" s="3" t="s">
        <v>655</v>
      </c>
    </row>
    <row r="5040">
      <c r="A5040" s="3" t="s">
        <v>648</v>
      </c>
      <c r="B5040" s="3" t="s">
        <v>650</v>
      </c>
      <c r="C5040" s="3" t="s">
        <v>577</v>
      </c>
    </row>
    <row r="5041">
      <c r="A5041" s="3" t="s">
        <v>648</v>
      </c>
      <c r="B5041" s="3" t="s">
        <v>141</v>
      </c>
      <c r="C5041" s="3" t="s">
        <v>654</v>
      </c>
    </row>
    <row r="5042">
      <c r="A5042" s="3" t="s">
        <v>648</v>
      </c>
      <c r="B5042" s="3" t="s">
        <v>651</v>
      </c>
      <c r="C5042" s="3" t="s">
        <v>538</v>
      </c>
    </row>
    <row r="5043">
      <c r="A5043" s="3" t="s">
        <v>648</v>
      </c>
      <c r="B5043" s="3" t="s">
        <v>141</v>
      </c>
      <c r="C5043" s="3" t="s">
        <v>660</v>
      </c>
    </row>
    <row r="5044">
      <c r="A5044" s="3" t="s">
        <v>648</v>
      </c>
      <c r="B5044" s="3" t="s">
        <v>148</v>
      </c>
      <c r="C5044" s="3" t="s">
        <v>663</v>
      </c>
    </row>
    <row r="5045">
      <c r="A5045" s="3" t="s">
        <v>648</v>
      </c>
      <c r="B5045" s="3" t="s">
        <v>148</v>
      </c>
      <c r="C5045" s="3" t="s">
        <v>663</v>
      </c>
    </row>
    <row r="5046">
      <c r="A5046" s="3" t="s">
        <v>648</v>
      </c>
      <c r="B5046" s="3" t="s">
        <v>651</v>
      </c>
      <c r="C5046" s="3" t="s">
        <v>538</v>
      </c>
    </row>
    <row r="5047">
      <c r="A5047" s="3" t="s">
        <v>648</v>
      </c>
      <c r="B5047" s="3" t="s">
        <v>148</v>
      </c>
      <c r="C5047" s="3" t="s">
        <v>655</v>
      </c>
    </row>
    <row r="5048">
      <c r="A5048" s="3" t="s">
        <v>648</v>
      </c>
      <c r="B5048" s="3" t="s">
        <v>148</v>
      </c>
      <c r="C5048" s="3" t="s">
        <v>663</v>
      </c>
    </row>
    <row r="5049">
      <c r="A5049" s="3" t="s">
        <v>648</v>
      </c>
      <c r="B5049" s="3" t="s">
        <v>650</v>
      </c>
      <c r="C5049" s="3" t="s">
        <v>652</v>
      </c>
    </row>
    <row r="5050">
      <c r="A5050" s="3" t="s">
        <v>648</v>
      </c>
      <c r="B5050" s="3" t="s">
        <v>650</v>
      </c>
      <c r="C5050" s="3" t="s">
        <v>652</v>
      </c>
    </row>
    <row r="5051">
      <c r="A5051" s="3" t="s">
        <v>648</v>
      </c>
      <c r="B5051" s="3" t="s">
        <v>148</v>
      </c>
      <c r="C5051" s="3" t="s">
        <v>659</v>
      </c>
    </row>
    <row r="5052">
      <c r="A5052" s="3" t="s">
        <v>648</v>
      </c>
      <c r="B5052" s="3" t="s">
        <v>148</v>
      </c>
      <c r="C5052" s="3" t="s">
        <v>655</v>
      </c>
    </row>
    <row r="5053">
      <c r="A5053" s="3" t="s">
        <v>648</v>
      </c>
      <c r="B5053" s="3" t="s">
        <v>148</v>
      </c>
      <c r="C5053" s="3" t="s">
        <v>663</v>
      </c>
    </row>
    <row r="5054">
      <c r="A5054" s="3" t="s">
        <v>648</v>
      </c>
      <c r="B5054" s="3" t="s">
        <v>651</v>
      </c>
      <c r="C5054" s="3" t="s">
        <v>538</v>
      </c>
    </row>
    <row r="5055">
      <c r="A5055" s="3" t="s">
        <v>648</v>
      </c>
      <c r="B5055" s="3" t="s">
        <v>650</v>
      </c>
      <c r="C5055" s="3" t="s">
        <v>572</v>
      </c>
    </row>
    <row r="5056">
      <c r="A5056" s="3" t="s">
        <v>648</v>
      </c>
      <c r="B5056" s="3" t="s">
        <v>651</v>
      </c>
      <c r="C5056" s="3" t="s">
        <v>653</v>
      </c>
    </row>
    <row r="5057">
      <c r="A5057" s="3" t="s">
        <v>648</v>
      </c>
      <c r="B5057" s="3" t="s">
        <v>650</v>
      </c>
      <c r="C5057" s="3" t="s">
        <v>577</v>
      </c>
    </row>
    <row r="5058">
      <c r="A5058" s="3" t="s">
        <v>648</v>
      </c>
      <c r="B5058" s="3" t="s">
        <v>650</v>
      </c>
      <c r="C5058" s="3" t="s">
        <v>652</v>
      </c>
    </row>
    <row r="5059">
      <c r="A5059" s="3" t="s">
        <v>648</v>
      </c>
      <c r="B5059" s="3" t="s">
        <v>141</v>
      </c>
      <c r="C5059" s="3" t="s">
        <v>660</v>
      </c>
    </row>
    <row r="5060">
      <c r="A5060" s="3" t="s">
        <v>648</v>
      </c>
      <c r="B5060" s="3" t="s">
        <v>657</v>
      </c>
      <c r="C5060" s="3" t="s">
        <v>658</v>
      </c>
    </row>
    <row r="5061">
      <c r="A5061" s="3" t="s">
        <v>648</v>
      </c>
      <c r="B5061" s="3" t="s">
        <v>141</v>
      </c>
      <c r="C5061" s="3" t="s">
        <v>649</v>
      </c>
    </row>
    <row r="5062">
      <c r="A5062" s="3" t="s">
        <v>648</v>
      </c>
      <c r="B5062" s="3" t="s">
        <v>650</v>
      </c>
      <c r="C5062" s="3" t="s">
        <v>572</v>
      </c>
    </row>
    <row r="5063">
      <c r="A5063" s="3" t="s">
        <v>648</v>
      </c>
      <c r="B5063" s="3" t="s">
        <v>141</v>
      </c>
      <c r="C5063" s="3" t="s">
        <v>660</v>
      </c>
    </row>
    <row r="5064">
      <c r="A5064" s="3" t="s">
        <v>648</v>
      </c>
      <c r="B5064" s="3" t="s">
        <v>651</v>
      </c>
      <c r="C5064" s="3" t="s">
        <v>661</v>
      </c>
    </row>
    <row r="5065">
      <c r="A5065" s="3" t="s">
        <v>648</v>
      </c>
      <c r="B5065" s="3" t="s">
        <v>148</v>
      </c>
      <c r="C5065" s="3" t="s">
        <v>663</v>
      </c>
    </row>
    <row r="5066">
      <c r="A5066" s="3" t="s">
        <v>648</v>
      </c>
      <c r="B5066" s="3" t="s">
        <v>148</v>
      </c>
      <c r="C5066" s="3" t="s">
        <v>663</v>
      </c>
    </row>
    <row r="5067">
      <c r="A5067" s="3" t="s">
        <v>648</v>
      </c>
      <c r="B5067" s="3" t="s">
        <v>148</v>
      </c>
      <c r="C5067" s="3" t="s">
        <v>663</v>
      </c>
    </row>
    <row r="5068">
      <c r="A5068" s="3" t="s">
        <v>648</v>
      </c>
      <c r="B5068" s="3" t="s">
        <v>650</v>
      </c>
      <c r="C5068" s="3" t="s">
        <v>656</v>
      </c>
    </row>
    <row r="5069">
      <c r="A5069" s="3" t="s">
        <v>648</v>
      </c>
      <c r="B5069" s="3" t="s">
        <v>141</v>
      </c>
      <c r="C5069" s="3" t="s">
        <v>660</v>
      </c>
    </row>
    <row r="5070">
      <c r="A5070" s="3" t="s">
        <v>648</v>
      </c>
      <c r="B5070" s="3" t="s">
        <v>155</v>
      </c>
      <c r="C5070" s="3" t="s">
        <v>562</v>
      </c>
    </row>
    <row r="5071">
      <c r="A5071" s="3" t="s">
        <v>648</v>
      </c>
      <c r="B5071" s="3" t="s">
        <v>668</v>
      </c>
      <c r="C5071" s="3" t="s">
        <v>669</v>
      </c>
    </row>
    <row r="5072">
      <c r="A5072" s="3" t="s">
        <v>648</v>
      </c>
      <c r="B5072" s="3" t="s">
        <v>141</v>
      </c>
      <c r="C5072" s="3" t="s">
        <v>654</v>
      </c>
    </row>
    <row r="5073">
      <c r="A5073" s="3" t="s">
        <v>648</v>
      </c>
      <c r="B5073" s="3" t="s">
        <v>650</v>
      </c>
      <c r="C5073" s="3" t="s">
        <v>631</v>
      </c>
    </row>
    <row r="5074">
      <c r="A5074" s="3" t="s">
        <v>648</v>
      </c>
      <c r="B5074" s="3" t="s">
        <v>141</v>
      </c>
      <c r="C5074" s="3" t="s">
        <v>649</v>
      </c>
    </row>
    <row r="5075">
      <c r="A5075" s="3" t="s">
        <v>648</v>
      </c>
      <c r="B5075" s="3" t="s">
        <v>155</v>
      </c>
      <c r="C5075" s="3" t="s">
        <v>667</v>
      </c>
    </row>
    <row r="5076">
      <c r="A5076" s="3" t="s">
        <v>648</v>
      </c>
      <c r="B5076" s="3" t="s">
        <v>141</v>
      </c>
      <c r="C5076" s="3" t="s">
        <v>660</v>
      </c>
    </row>
    <row r="5077">
      <c r="A5077" s="3" t="s">
        <v>648</v>
      </c>
      <c r="B5077" s="3" t="s">
        <v>650</v>
      </c>
      <c r="C5077" s="3" t="s">
        <v>577</v>
      </c>
    </row>
    <row r="5078">
      <c r="A5078" s="3" t="s">
        <v>648</v>
      </c>
      <c r="B5078" s="3" t="s">
        <v>650</v>
      </c>
      <c r="C5078" s="3" t="s">
        <v>656</v>
      </c>
    </row>
    <row r="5079">
      <c r="A5079" s="3" t="s">
        <v>648</v>
      </c>
      <c r="B5079" s="3" t="s">
        <v>148</v>
      </c>
      <c r="C5079" s="3" t="s">
        <v>663</v>
      </c>
    </row>
    <row r="5080">
      <c r="A5080" s="3" t="s">
        <v>648</v>
      </c>
      <c r="B5080" s="3" t="s">
        <v>650</v>
      </c>
      <c r="C5080" s="3" t="s">
        <v>577</v>
      </c>
    </row>
    <row r="5081">
      <c r="A5081" s="3" t="s">
        <v>648</v>
      </c>
      <c r="B5081" s="3" t="s">
        <v>148</v>
      </c>
      <c r="C5081" s="3" t="s">
        <v>655</v>
      </c>
    </row>
    <row r="5082">
      <c r="A5082" s="3" t="s">
        <v>648</v>
      </c>
      <c r="B5082" s="3" t="s">
        <v>148</v>
      </c>
      <c r="C5082" s="3" t="s">
        <v>655</v>
      </c>
    </row>
    <row r="5083">
      <c r="A5083" s="3" t="s">
        <v>648</v>
      </c>
      <c r="B5083" s="3" t="s">
        <v>141</v>
      </c>
      <c r="C5083" s="3" t="s">
        <v>649</v>
      </c>
    </row>
    <row r="5084">
      <c r="A5084" s="3" t="s">
        <v>648</v>
      </c>
      <c r="B5084" s="3" t="s">
        <v>141</v>
      </c>
      <c r="C5084" s="3" t="s">
        <v>660</v>
      </c>
    </row>
    <row r="5085">
      <c r="A5085" s="3" t="s">
        <v>648</v>
      </c>
      <c r="B5085" s="3" t="s">
        <v>650</v>
      </c>
      <c r="C5085" s="3" t="s">
        <v>652</v>
      </c>
    </row>
    <row r="5086">
      <c r="A5086" s="3" t="s">
        <v>648</v>
      </c>
      <c r="B5086" s="3" t="s">
        <v>650</v>
      </c>
      <c r="C5086" s="3" t="s">
        <v>656</v>
      </c>
    </row>
    <row r="5087">
      <c r="A5087" s="3" t="s">
        <v>648</v>
      </c>
      <c r="B5087" s="3" t="s">
        <v>155</v>
      </c>
      <c r="C5087" s="3" t="s">
        <v>667</v>
      </c>
    </row>
    <row r="5088">
      <c r="A5088" s="3" t="s">
        <v>648</v>
      </c>
      <c r="B5088" s="3" t="s">
        <v>148</v>
      </c>
      <c r="C5088" s="3" t="s">
        <v>663</v>
      </c>
    </row>
    <row r="5089">
      <c r="A5089" s="3" t="s">
        <v>648</v>
      </c>
      <c r="B5089" s="3" t="s">
        <v>650</v>
      </c>
      <c r="C5089" s="3" t="s">
        <v>652</v>
      </c>
    </row>
    <row r="5090">
      <c r="A5090" s="3" t="s">
        <v>648</v>
      </c>
      <c r="B5090" s="3" t="s">
        <v>148</v>
      </c>
      <c r="C5090" s="3" t="s">
        <v>655</v>
      </c>
    </row>
    <row r="5091">
      <c r="A5091" s="3" t="s">
        <v>648</v>
      </c>
      <c r="B5091" s="3" t="s">
        <v>650</v>
      </c>
      <c r="C5091" s="3" t="s">
        <v>572</v>
      </c>
    </row>
    <row r="5092">
      <c r="A5092" s="3" t="s">
        <v>648</v>
      </c>
      <c r="B5092" s="3" t="s">
        <v>650</v>
      </c>
      <c r="C5092" s="3" t="s">
        <v>572</v>
      </c>
    </row>
    <row r="5093">
      <c r="A5093" s="3" t="s">
        <v>648</v>
      </c>
      <c r="B5093" s="3" t="s">
        <v>650</v>
      </c>
      <c r="C5093" s="3" t="s">
        <v>572</v>
      </c>
    </row>
    <row r="5094">
      <c r="A5094" s="3" t="s">
        <v>648</v>
      </c>
      <c r="B5094" s="3" t="s">
        <v>650</v>
      </c>
      <c r="C5094" s="3" t="s">
        <v>577</v>
      </c>
    </row>
    <row r="5095">
      <c r="A5095" s="3" t="s">
        <v>648</v>
      </c>
      <c r="B5095" s="3" t="s">
        <v>650</v>
      </c>
      <c r="C5095" s="3" t="s">
        <v>652</v>
      </c>
    </row>
    <row r="5096">
      <c r="A5096" s="3" t="s">
        <v>648</v>
      </c>
      <c r="B5096" s="3" t="s">
        <v>662</v>
      </c>
      <c r="C5096" s="3" t="s">
        <v>665</v>
      </c>
    </row>
    <row r="5097">
      <c r="A5097" s="3" t="s">
        <v>648</v>
      </c>
      <c r="B5097" s="3" t="s">
        <v>662</v>
      </c>
      <c r="C5097" s="3" t="s">
        <v>653</v>
      </c>
    </row>
    <row r="5098">
      <c r="A5098" s="3" t="s">
        <v>648</v>
      </c>
      <c r="B5098" s="3" t="s">
        <v>662</v>
      </c>
      <c r="C5098" s="3" t="s">
        <v>666</v>
      </c>
    </row>
    <row r="5099">
      <c r="A5099" s="3" t="s">
        <v>648</v>
      </c>
      <c r="B5099" s="3" t="s">
        <v>141</v>
      </c>
      <c r="C5099" s="3" t="s">
        <v>660</v>
      </c>
    </row>
    <row r="5100">
      <c r="A5100" s="3" t="s">
        <v>648</v>
      </c>
      <c r="B5100" s="3" t="s">
        <v>650</v>
      </c>
      <c r="C5100" s="3" t="s">
        <v>562</v>
      </c>
    </row>
    <row r="5101">
      <c r="A5101" s="3" t="s">
        <v>648</v>
      </c>
      <c r="B5101" s="3" t="s">
        <v>651</v>
      </c>
      <c r="C5101" s="3" t="s">
        <v>661</v>
      </c>
    </row>
    <row r="5102">
      <c r="A5102" s="3" t="s">
        <v>648</v>
      </c>
      <c r="B5102" s="3" t="s">
        <v>141</v>
      </c>
      <c r="C5102" s="3" t="s">
        <v>649</v>
      </c>
    </row>
    <row r="5103">
      <c r="A5103" s="3" t="s">
        <v>648</v>
      </c>
      <c r="B5103" s="3" t="s">
        <v>155</v>
      </c>
      <c r="C5103" s="3" t="s">
        <v>667</v>
      </c>
    </row>
    <row r="5104">
      <c r="A5104" s="3" t="s">
        <v>648</v>
      </c>
      <c r="B5104" s="3" t="s">
        <v>657</v>
      </c>
      <c r="C5104" s="3" t="s">
        <v>658</v>
      </c>
    </row>
    <row r="5105">
      <c r="A5105" s="3" t="s">
        <v>648</v>
      </c>
      <c r="B5105" s="3" t="s">
        <v>650</v>
      </c>
      <c r="C5105" s="3" t="s">
        <v>577</v>
      </c>
    </row>
    <row r="5106">
      <c r="A5106" s="3" t="s">
        <v>648</v>
      </c>
      <c r="B5106" s="3" t="s">
        <v>650</v>
      </c>
      <c r="C5106" s="3" t="s">
        <v>572</v>
      </c>
    </row>
    <row r="5107">
      <c r="A5107" s="3" t="s">
        <v>648</v>
      </c>
      <c r="B5107" s="3" t="s">
        <v>148</v>
      </c>
      <c r="C5107" s="3" t="s">
        <v>663</v>
      </c>
    </row>
    <row r="5108">
      <c r="A5108" s="3" t="s">
        <v>648</v>
      </c>
      <c r="B5108" s="3" t="s">
        <v>650</v>
      </c>
      <c r="C5108" s="3" t="s">
        <v>572</v>
      </c>
    </row>
    <row r="5109">
      <c r="A5109" s="3" t="s">
        <v>648</v>
      </c>
      <c r="B5109" s="3" t="s">
        <v>657</v>
      </c>
      <c r="C5109" s="3" t="s">
        <v>658</v>
      </c>
    </row>
    <row r="5110">
      <c r="A5110" s="3" t="s">
        <v>648</v>
      </c>
      <c r="B5110" s="3" t="s">
        <v>141</v>
      </c>
      <c r="C5110" s="3" t="s">
        <v>649</v>
      </c>
    </row>
    <row r="5111">
      <c r="A5111" s="3" t="s">
        <v>648</v>
      </c>
      <c r="B5111" s="3" t="s">
        <v>141</v>
      </c>
      <c r="C5111" s="3" t="s">
        <v>660</v>
      </c>
    </row>
    <row r="5112">
      <c r="A5112" s="3" t="s">
        <v>648</v>
      </c>
      <c r="B5112" s="3" t="s">
        <v>148</v>
      </c>
      <c r="C5112" s="3" t="s">
        <v>663</v>
      </c>
    </row>
    <row r="5113">
      <c r="A5113" s="3" t="s">
        <v>648</v>
      </c>
      <c r="B5113" s="3" t="s">
        <v>148</v>
      </c>
      <c r="C5113" s="3" t="s">
        <v>655</v>
      </c>
    </row>
    <row r="5114">
      <c r="A5114" s="3" t="s">
        <v>648</v>
      </c>
      <c r="B5114" s="3" t="s">
        <v>148</v>
      </c>
      <c r="C5114" s="3" t="s">
        <v>663</v>
      </c>
    </row>
    <row r="5115">
      <c r="A5115" s="3" t="s">
        <v>648</v>
      </c>
      <c r="B5115" s="3" t="s">
        <v>148</v>
      </c>
      <c r="C5115" s="3" t="s">
        <v>663</v>
      </c>
    </row>
    <row r="5116">
      <c r="A5116" s="3" t="s">
        <v>648</v>
      </c>
      <c r="B5116" s="3" t="s">
        <v>650</v>
      </c>
      <c r="C5116" s="3" t="s">
        <v>652</v>
      </c>
    </row>
    <row r="5117">
      <c r="A5117" s="3" t="s">
        <v>648</v>
      </c>
      <c r="B5117" s="3" t="s">
        <v>148</v>
      </c>
      <c r="C5117" s="3" t="s">
        <v>655</v>
      </c>
    </row>
    <row r="5118">
      <c r="A5118" s="3" t="s">
        <v>648</v>
      </c>
      <c r="B5118" s="3" t="s">
        <v>650</v>
      </c>
      <c r="C5118" s="3" t="s">
        <v>572</v>
      </c>
    </row>
    <row r="5119">
      <c r="A5119" s="3" t="s">
        <v>648</v>
      </c>
      <c r="B5119" s="3" t="s">
        <v>650</v>
      </c>
      <c r="C5119" s="3" t="s">
        <v>572</v>
      </c>
    </row>
    <row r="5120">
      <c r="A5120" s="3" t="s">
        <v>648</v>
      </c>
      <c r="B5120" s="3" t="s">
        <v>141</v>
      </c>
      <c r="C5120" s="3" t="s">
        <v>660</v>
      </c>
    </row>
    <row r="5121">
      <c r="A5121" s="3" t="s">
        <v>648</v>
      </c>
      <c r="B5121" s="3" t="s">
        <v>657</v>
      </c>
      <c r="C5121" s="3" t="s">
        <v>658</v>
      </c>
    </row>
    <row r="5122">
      <c r="A5122" s="3" t="s">
        <v>648</v>
      </c>
      <c r="B5122" s="3" t="s">
        <v>155</v>
      </c>
      <c r="C5122" s="3" t="s">
        <v>667</v>
      </c>
    </row>
    <row r="5123">
      <c r="A5123" s="3" t="s">
        <v>648</v>
      </c>
      <c r="B5123" s="3" t="s">
        <v>155</v>
      </c>
      <c r="C5123" s="3" t="s">
        <v>562</v>
      </c>
    </row>
    <row r="5124">
      <c r="A5124" s="3" t="s">
        <v>648</v>
      </c>
      <c r="B5124" s="3" t="s">
        <v>155</v>
      </c>
      <c r="C5124" s="3" t="s">
        <v>562</v>
      </c>
    </row>
    <row r="5125">
      <c r="A5125" s="3" t="s">
        <v>648</v>
      </c>
      <c r="B5125" s="3" t="s">
        <v>650</v>
      </c>
      <c r="C5125" s="3" t="s">
        <v>572</v>
      </c>
    </row>
    <row r="5126">
      <c r="A5126" s="3" t="s">
        <v>648</v>
      </c>
      <c r="B5126" s="3" t="s">
        <v>148</v>
      </c>
      <c r="C5126" s="3" t="s">
        <v>663</v>
      </c>
    </row>
    <row r="5127">
      <c r="A5127" s="3" t="s">
        <v>670</v>
      </c>
      <c r="B5127" s="3" t="s">
        <v>671</v>
      </c>
      <c r="C5127" s="3" t="s">
        <v>672</v>
      </c>
    </row>
    <row r="5128">
      <c r="A5128" s="3" t="s">
        <v>670</v>
      </c>
      <c r="B5128" s="3" t="s">
        <v>671</v>
      </c>
      <c r="C5128" s="3" t="s">
        <v>672</v>
      </c>
    </row>
    <row r="5129">
      <c r="A5129" s="3" t="s">
        <v>670</v>
      </c>
      <c r="B5129" s="3" t="s">
        <v>671</v>
      </c>
      <c r="C5129" s="3" t="s">
        <v>672</v>
      </c>
    </row>
    <row r="5130">
      <c r="A5130" s="3" t="s">
        <v>670</v>
      </c>
      <c r="B5130" s="3" t="s">
        <v>671</v>
      </c>
      <c r="C5130" s="3" t="s">
        <v>672</v>
      </c>
    </row>
    <row r="5131">
      <c r="A5131" s="3" t="s">
        <v>670</v>
      </c>
      <c r="B5131" s="3" t="s">
        <v>671</v>
      </c>
      <c r="C5131" s="3" t="s">
        <v>672</v>
      </c>
    </row>
    <row r="5132">
      <c r="A5132" s="3" t="s">
        <v>670</v>
      </c>
      <c r="B5132" s="3" t="s">
        <v>671</v>
      </c>
      <c r="C5132" s="3" t="s">
        <v>672</v>
      </c>
    </row>
    <row r="5133">
      <c r="A5133" s="3" t="s">
        <v>670</v>
      </c>
      <c r="B5133" s="3" t="s">
        <v>671</v>
      </c>
      <c r="C5133" s="3" t="s">
        <v>672</v>
      </c>
    </row>
    <row r="5134">
      <c r="A5134" s="3" t="s">
        <v>673</v>
      </c>
      <c r="B5134" s="3" t="s">
        <v>169</v>
      </c>
      <c r="C5134" s="3" t="s">
        <v>674</v>
      </c>
    </row>
    <row r="5135">
      <c r="A5135" s="3" t="s">
        <v>673</v>
      </c>
      <c r="B5135" s="3" t="s">
        <v>675</v>
      </c>
      <c r="C5135" s="3" t="s">
        <v>676</v>
      </c>
    </row>
    <row r="5136">
      <c r="A5136" s="3" t="s">
        <v>673</v>
      </c>
      <c r="B5136" s="3" t="s">
        <v>169</v>
      </c>
      <c r="C5136" s="3" t="s">
        <v>674</v>
      </c>
    </row>
    <row r="5137">
      <c r="A5137" s="3" t="s">
        <v>673</v>
      </c>
      <c r="B5137" s="3" t="s">
        <v>169</v>
      </c>
      <c r="C5137" s="3" t="s">
        <v>674</v>
      </c>
    </row>
    <row r="5138">
      <c r="A5138" s="3" t="s">
        <v>673</v>
      </c>
      <c r="B5138" s="3" t="s">
        <v>169</v>
      </c>
      <c r="C5138" s="3" t="s">
        <v>674</v>
      </c>
    </row>
    <row r="5139">
      <c r="A5139" s="3" t="s">
        <v>673</v>
      </c>
      <c r="B5139" s="3" t="s">
        <v>169</v>
      </c>
      <c r="C5139" s="3" t="s">
        <v>674</v>
      </c>
    </row>
    <row r="5140">
      <c r="A5140" s="3" t="s">
        <v>673</v>
      </c>
      <c r="B5140" s="3" t="s">
        <v>169</v>
      </c>
      <c r="C5140" s="3" t="s">
        <v>674</v>
      </c>
    </row>
    <row r="5141">
      <c r="A5141" s="3" t="s">
        <v>673</v>
      </c>
      <c r="B5141" s="3" t="s">
        <v>169</v>
      </c>
      <c r="C5141" s="3" t="s">
        <v>674</v>
      </c>
    </row>
    <row r="5142">
      <c r="A5142" s="3" t="s">
        <v>673</v>
      </c>
      <c r="B5142" s="3" t="s">
        <v>173</v>
      </c>
      <c r="C5142" s="3" t="s">
        <v>677</v>
      </c>
    </row>
    <row r="5143">
      <c r="A5143" s="3" t="s">
        <v>673</v>
      </c>
      <c r="B5143" s="3" t="s">
        <v>173</v>
      </c>
      <c r="C5143" s="3" t="s">
        <v>677</v>
      </c>
    </row>
    <row r="5144">
      <c r="A5144" s="3" t="s">
        <v>673</v>
      </c>
      <c r="B5144" s="3" t="s">
        <v>169</v>
      </c>
      <c r="C5144" s="3" t="s">
        <v>678</v>
      </c>
    </row>
    <row r="5145">
      <c r="A5145" s="3" t="s">
        <v>673</v>
      </c>
      <c r="B5145" s="3" t="s">
        <v>169</v>
      </c>
      <c r="C5145" s="3" t="s">
        <v>674</v>
      </c>
    </row>
    <row r="5146">
      <c r="A5146" s="3" t="s">
        <v>673</v>
      </c>
      <c r="B5146" s="3" t="s">
        <v>169</v>
      </c>
      <c r="C5146" s="3" t="s">
        <v>674</v>
      </c>
    </row>
    <row r="5147">
      <c r="A5147" s="3" t="s">
        <v>673</v>
      </c>
      <c r="B5147" s="3" t="s">
        <v>169</v>
      </c>
      <c r="C5147" s="3" t="s">
        <v>674</v>
      </c>
    </row>
    <row r="5148">
      <c r="A5148" s="3" t="s">
        <v>673</v>
      </c>
      <c r="B5148" s="3" t="s">
        <v>169</v>
      </c>
      <c r="C5148" s="3" t="s">
        <v>674</v>
      </c>
    </row>
    <row r="5149">
      <c r="A5149" s="3" t="s">
        <v>673</v>
      </c>
      <c r="B5149" s="3" t="s">
        <v>169</v>
      </c>
      <c r="C5149" s="3" t="s">
        <v>674</v>
      </c>
    </row>
    <row r="5150">
      <c r="A5150" s="3" t="s">
        <v>673</v>
      </c>
      <c r="B5150" s="3" t="s">
        <v>169</v>
      </c>
      <c r="C5150" s="3" t="s">
        <v>674</v>
      </c>
    </row>
    <row r="5151">
      <c r="A5151" s="3" t="s">
        <v>673</v>
      </c>
      <c r="B5151" s="3" t="s">
        <v>169</v>
      </c>
      <c r="C5151" s="3" t="s">
        <v>674</v>
      </c>
    </row>
    <row r="5152">
      <c r="A5152" s="3" t="s">
        <v>673</v>
      </c>
      <c r="B5152" s="3" t="s">
        <v>169</v>
      </c>
      <c r="C5152" s="3" t="s">
        <v>674</v>
      </c>
    </row>
    <row r="5153">
      <c r="A5153" s="3" t="s">
        <v>673</v>
      </c>
      <c r="B5153" s="3" t="s">
        <v>169</v>
      </c>
      <c r="C5153" s="3" t="s">
        <v>674</v>
      </c>
    </row>
    <row r="5154">
      <c r="A5154" s="3" t="s">
        <v>673</v>
      </c>
      <c r="B5154" s="3" t="s">
        <v>169</v>
      </c>
      <c r="C5154" s="3" t="s">
        <v>674</v>
      </c>
    </row>
    <row r="5155">
      <c r="A5155" s="3" t="s">
        <v>673</v>
      </c>
      <c r="B5155" s="3" t="s">
        <v>675</v>
      </c>
      <c r="C5155" s="3" t="s">
        <v>676</v>
      </c>
    </row>
    <row r="5156">
      <c r="A5156" s="3" t="s">
        <v>673</v>
      </c>
      <c r="B5156" s="3" t="s">
        <v>173</v>
      </c>
      <c r="C5156" s="3" t="s">
        <v>679</v>
      </c>
    </row>
    <row r="5157">
      <c r="A5157" s="3" t="s">
        <v>673</v>
      </c>
      <c r="B5157" s="3" t="s">
        <v>169</v>
      </c>
      <c r="C5157" s="3" t="s">
        <v>674</v>
      </c>
    </row>
    <row r="5158">
      <c r="A5158" s="3" t="s">
        <v>673</v>
      </c>
      <c r="B5158" s="3" t="s">
        <v>169</v>
      </c>
      <c r="C5158" s="3" t="s">
        <v>674</v>
      </c>
    </row>
    <row r="5159">
      <c r="A5159" s="3" t="s">
        <v>673</v>
      </c>
      <c r="B5159" s="3" t="s">
        <v>169</v>
      </c>
      <c r="C5159" s="3" t="s">
        <v>674</v>
      </c>
    </row>
    <row r="5160">
      <c r="A5160" s="3" t="s">
        <v>673</v>
      </c>
      <c r="B5160" s="3" t="s">
        <v>169</v>
      </c>
      <c r="C5160" s="3" t="s">
        <v>674</v>
      </c>
    </row>
    <row r="5161">
      <c r="A5161" s="3" t="s">
        <v>673</v>
      </c>
      <c r="B5161" s="3" t="s">
        <v>169</v>
      </c>
      <c r="C5161" s="3" t="s">
        <v>674</v>
      </c>
    </row>
    <row r="5162">
      <c r="A5162" s="3" t="s">
        <v>673</v>
      </c>
      <c r="B5162" s="3" t="s">
        <v>169</v>
      </c>
      <c r="C5162" s="3" t="s">
        <v>674</v>
      </c>
    </row>
    <row r="5163">
      <c r="A5163" s="3" t="s">
        <v>673</v>
      </c>
      <c r="B5163" s="3" t="s">
        <v>169</v>
      </c>
      <c r="C5163" s="3" t="s">
        <v>674</v>
      </c>
    </row>
    <row r="5164">
      <c r="A5164" s="3" t="s">
        <v>673</v>
      </c>
      <c r="B5164" s="3" t="s">
        <v>169</v>
      </c>
      <c r="C5164" s="3" t="s">
        <v>674</v>
      </c>
    </row>
    <row r="5165">
      <c r="A5165" s="3" t="s">
        <v>673</v>
      </c>
      <c r="B5165" s="3" t="s">
        <v>169</v>
      </c>
      <c r="C5165" s="3" t="s">
        <v>674</v>
      </c>
    </row>
    <row r="5166">
      <c r="A5166" s="3" t="s">
        <v>673</v>
      </c>
      <c r="B5166" s="3" t="s">
        <v>169</v>
      </c>
      <c r="C5166" s="3" t="s">
        <v>674</v>
      </c>
    </row>
    <row r="5167">
      <c r="A5167" s="3" t="s">
        <v>673</v>
      </c>
      <c r="B5167" s="3" t="s">
        <v>169</v>
      </c>
      <c r="C5167" s="3" t="s">
        <v>674</v>
      </c>
    </row>
    <row r="5168">
      <c r="A5168" s="3" t="s">
        <v>673</v>
      </c>
      <c r="B5168" s="3" t="s">
        <v>169</v>
      </c>
      <c r="C5168" s="3" t="s">
        <v>674</v>
      </c>
    </row>
    <row r="5169">
      <c r="A5169" s="3" t="s">
        <v>673</v>
      </c>
      <c r="B5169" s="3" t="s">
        <v>169</v>
      </c>
      <c r="C5169" s="3" t="s">
        <v>674</v>
      </c>
    </row>
    <row r="5170">
      <c r="A5170" s="3" t="s">
        <v>673</v>
      </c>
      <c r="B5170" s="3" t="s">
        <v>169</v>
      </c>
      <c r="C5170" s="3" t="s">
        <v>674</v>
      </c>
    </row>
    <row r="5171">
      <c r="A5171" s="3" t="s">
        <v>673</v>
      </c>
      <c r="B5171" s="3" t="s">
        <v>169</v>
      </c>
      <c r="C5171" s="3" t="s">
        <v>674</v>
      </c>
    </row>
    <row r="5172">
      <c r="A5172" s="3" t="s">
        <v>673</v>
      </c>
      <c r="B5172" s="3" t="s">
        <v>169</v>
      </c>
      <c r="C5172" s="3" t="s">
        <v>674</v>
      </c>
    </row>
    <row r="5173">
      <c r="A5173" s="3" t="s">
        <v>673</v>
      </c>
      <c r="B5173" s="3" t="s">
        <v>169</v>
      </c>
      <c r="C5173" s="3" t="s">
        <v>674</v>
      </c>
    </row>
    <row r="5174">
      <c r="A5174" s="3" t="s">
        <v>673</v>
      </c>
      <c r="B5174" s="3" t="s">
        <v>169</v>
      </c>
      <c r="C5174" s="3" t="s">
        <v>674</v>
      </c>
    </row>
    <row r="5175">
      <c r="A5175" s="3" t="s">
        <v>673</v>
      </c>
      <c r="B5175" s="3" t="s">
        <v>169</v>
      </c>
      <c r="C5175" s="3" t="s">
        <v>674</v>
      </c>
    </row>
    <row r="5176">
      <c r="A5176" s="3" t="s">
        <v>673</v>
      </c>
      <c r="B5176" s="3" t="s">
        <v>169</v>
      </c>
      <c r="C5176" s="3" t="s">
        <v>674</v>
      </c>
    </row>
    <row r="5177">
      <c r="A5177" s="3" t="s">
        <v>673</v>
      </c>
      <c r="B5177" s="3" t="s">
        <v>169</v>
      </c>
      <c r="C5177" s="3" t="s">
        <v>674</v>
      </c>
    </row>
    <row r="5178">
      <c r="A5178" s="3" t="s">
        <v>673</v>
      </c>
      <c r="B5178" s="3" t="s">
        <v>169</v>
      </c>
      <c r="C5178" s="3" t="s">
        <v>674</v>
      </c>
    </row>
    <row r="5179">
      <c r="A5179" s="3" t="s">
        <v>673</v>
      </c>
      <c r="B5179" s="3" t="s">
        <v>169</v>
      </c>
      <c r="C5179" s="3" t="s">
        <v>674</v>
      </c>
    </row>
    <row r="5180">
      <c r="A5180" s="3" t="s">
        <v>673</v>
      </c>
      <c r="B5180" s="3" t="s">
        <v>169</v>
      </c>
      <c r="C5180" s="3" t="s">
        <v>674</v>
      </c>
    </row>
    <row r="5181">
      <c r="A5181" s="3" t="s">
        <v>673</v>
      </c>
      <c r="B5181" s="3" t="s">
        <v>169</v>
      </c>
      <c r="C5181" s="3" t="s">
        <v>674</v>
      </c>
    </row>
    <row r="5182">
      <c r="A5182" s="3" t="s">
        <v>680</v>
      </c>
      <c r="B5182" s="3" t="s">
        <v>681</v>
      </c>
      <c r="C5182" s="3" t="s">
        <v>682</v>
      </c>
    </row>
    <row r="5183">
      <c r="A5183" s="3" t="s">
        <v>680</v>
      </c>
      <c r="B5183" s="3" t="s">
        <v>681</v>
      </c>
      <c r="C5183" s="3" t="s">
        <v>682</v>
      </c>
    </row>
    <row r="5184">
      <c r="A5184" s="3" t="s">
        <v>680</v>
      </c>
      <c r="B5184" s="3" t="s">
        <v>681</v>
      </c>
      <c r="C5184" s="3" t="s">
        <v>682</v>
      </c>
    </row>
    <row r="5185">
      <c r="A5185" s="3" t="s">
        <v>680</v>
      </c>
      <c r="B5185" s="3" t="s">
        <v>681</v>
      </c>
      <c r="C5185" s="3" t="s">
        <v>682</v>
      </c>
    </row>
    <row r="5186">
      <c r="A5186" s="3" t="s">
        <v>680</v>
      </c>
      <c r="B5186" s="3" t="s">
        <v>681</v>
      </c>
      <c r="C5186" s="3" t="s">
        <v>682</v>
      </c>
    </row>
    <row r="5187">
      <c r="A5187" s="3" t="s">
        <v>680</v>
      </c>
      <c r="B5187" s="3" t="s">
        <v>681</v>
      </c>
      <c r="C5187" s="3" t="s">
        <v>682</v>
      </c>
    </row>
    <row r="5188">
      <c r="A5188" s="3" t="s">
        <v>680</v>
      </c>
      <c r="B5188" s="3" t="s">
        <v>681</v>
      </c>
      <c r="C5188" s="3" t="s">
        <v>682</v>
      </c>
    </row>
    <row r="5189">
      <c r="A5189" s="3" t="s">
        <v>680</v>
      </c>
      <c r="B5189" s="3" t="s">
        <v>681</v>
      </c>
      <c r="C5189" s="3" t="s">
        <v>682</v>
      </c>
    </row>
    <row r="5190">
      <c r="A5190" s="3" t="s">
        <v>683</v>
      </c>
      <c r="B5190" s="3" t="s">
        <v>684</v>
      </c>
      <c r="C5190" s="3" t="s">
        <v>685</v>
      </c>
    </row>
    <row r="5191">
      <c r="A5191" s="3" t="s">
        <v>683</v>
      </c>
      <c r="B5191" s="3" t="s">
        <v>684</v>
      </c>
      <c r="C5191" s="3" t="s">
        <v>685</v>
      </c>
    </row>
    <row r="5192">
      <c r="A5192" s="3" t="s">
        <v>683</v>
      </c>
      <c r="B5192" s="3" t="s">
        <v>684</v>
      </c>
      <c r="C5192" s="3" t="s">
        <v>685</v>
      </c>
    </row>
    <row r="5193">
      <c r="A5193" s="3" t="s">
        <v>683</v>
      </c>
      <c r="B5193" s="3" t="s">
        <v>684</v>
      </c>
      <c r="C5193" s="3" t="s">
        <v>685</v>
      </c>
    </row>
    <row r="5194">
      <c r="A5194" s="3" t="s">
        <v>683</v>
      </c>
      <c r="B5194" s="3" t="s">
        <v>684</v>
      </c>
      <c r="C5194" s="3" t="s">
        <v>685</v>
      </c>
    </row>
    <row r="5195">
      <c r="A5195" s="3" t="s">
        <v>683</v>
      </c>
      <c r="B5195" s="3" t="s">
        <v>684</v>
      </c>
      <c r="C5195" s="3" t="s">
        <v>685</v>
      </c>
    </row>
    <row r="5196">
      <c r="A5196" s="3" t="s">
        <v>683</v>
      </c>
      <c r="B5196" s="3" t="s">
        <v>684</v>
      </c>
      <c r="C5196" s="3" t="s">
        <v>685</v>
      </c>
    </row>
    <row r="5197">
      <c r="A5197" s="3" t="s">
        <v>683</v>
      </c>
      <c r="B5197" s="3" t="s">
        <v>684</v>
      </c>
      <c r="C5197" s="3" t="s">
        <v>685</v>
      </c>
    </row>
    <row r="5198">
      <c r="A5198" s="3" t="s">
        <v>683</v>
      </c>
      <c r="B5198" s="3" t="s">
        <v>684</v>
      </c>
      <c r="C5198" s="3" t="s">
        <v>685</v>
      </c>
    </row>
    <row r="5199">
      <c r="A5199" s="3" t="s">
        <v>683</v>
      </c>
      <c r="B5199" s="3" t="s">
        <v>684</v>
      </c>
      <c r="C5199" s="3" t="s">
        <v>685</v>
      </c>
    </row>
    <row r="5200">
      <c r="A5200" s="3" t="s">
        <v>683</v>
      </c>
      <c r="B5200" s="3" t="s">
        <v>684</v>
      </c>
      <c r="C5200" s="3" t="s">
        <v>685</v>
      </c>
    </row>
    <row r="5201">
      <c r="A5201" s="3" t="s">
        <v>683</v>
      </c>
      <c r="B5201" s="3" t="s">
        <v>684</v>
      </c>
      <c r="C5201" s="3" t="s">
        <v>685</v>
      </c>
    </row>
    <row r="5202">
      <c r="A5202" s="3" t="s">
        <v>683</v>
      </c>
      <c r="B5202" s="3" t="s">
        <v>684</v>
      </c>
      <c r="C5202" s="3" t="s">
        <v>685</v>
      </c>
    </row>
    <row r="5203">
      <c r="A5203" s="3" t="s">
        <v>683</v>
      </c>
      <c r="B5203" s="3" t="s">
        <v>684</v>
      </c>
      <c r="C5203" s="3" t="s">
        <v>685</v>
      </c>
    </row>
    <row r="5204">
      <c r="A5204" s="3" t="s">
        <v>683</v>
      </c>
      <c r="B5204" s="3" t="s">
        <v>684</v>
      </c>
      <c r="C5204" s="3" t="s">
        <v>685</v>
      </c>
    </row>
    <row r="5205">
      <c r="A5205" s="3" t="s">
        <v>683</v>
      </c>
      <c r="B5205" s="3" t="s">
        <v>684</v>
      </c>
      <c r="C5205" s="3" t="s">
        <v>685</v>
      </c>
    </row>
    <row r="5206">
      <c r="A5206" s="3" t="s">
        <v>683</v>
      </c>
      <c r="B5206" s="3" t="s">
        <v>684</v>
      </c>
      <c r="C5206" s="3" t="s">
        <v>685</v>
      </c>
    </row>
    <row r="5207">
      <c r="A5207" s="3" t="s">
        <v>683</v>
      </c>
      <c r="B5207" s="3" t="s">
        <v>684</v>
      </c>
      <c r="C5207" s="3" t="s">
        <v>685</v>
      </c>
    </row>
    <row r="5208">
      <c r="A5208" s="3" t="s">
        <v>683</v>
      </c>
      <c r="B5208" s="3" t="s">
        <v>684</v>
      </c>
      <c r="C5208" s="3" t="s">
        <v>685</v>
      </c>
    </row>
    <row r="5209">
      <c r="A5209" s="3" t="s">
        <v>683</v>
      </c>
      <c r="B5209" s="3" t="s">
        <v>684</v>
      </c>
      <c r="C5209" s="3" t="s">
        <v>685</v>
      </c>
    </row>
    <row r="5210">
      <c r="A5210" s="3" t="s">
        <v>683</v>
      </c>
      <c r="B5210" s="3" t="s">
        <v>684</v>
      </c>
      <c r="C5210" s="3" t="s">
        <v>685</v>
      </c>
    </row>
    <row r="5211">
      <c r="A5211" s="3" t="s">
        <v>683</v>
      </c>
      <c r="B5211" s="3" t="s">
        <v>684</v>
      </c>
      <c r="C5211" s="3" t="s">
        <v>685</v>
      </c>
    </row>
    <row r="5212">
      <c r="A5212" s="3" t="s">
        <v>683</v>
      </c>
      <c r="B5212" s="3" t="s">
        <v>684</v>
      </c>
      <c r="C5212" s="3" t="s">
        <v>685</v>
      </c>
    </row>
    <row r="5213">
      <c r="A5213" s="3" t="s">
        <v>683</v>
      </c>
      <c r="B5213" s="3" t="s">
        <v>684</v>
      </c>
      <c r="C5213" s="3" t="s">
        <v>685</v>
      </c>
    </row>
    <row r="5214">
      <c r="A5214" s="3" t="s">
        <v>683</v>
      </c>
      <c r="B5214" s="3" t="s">
        <v>684</v>
      </c>
      <c r="C5214" s="3" t="s">
        <v>685</v>
      </c>
    </row>
    <row r="5215">
      <c r="A5215" s="3" t="s">
        <v>683</v>
      </c>
      <c r="B5215" s="3" t="s">
        <v>684</v>
      </c>
      <c r="C5215" s="3" t="s">
        <v>685</v>
      </c>
    </row>
    <row r="5216">
      <c r="A5216" s="3" t="s">
        <v>683</v>
      </c>
      <c r="B5216" s="3" t="s">
        <v>684</v>
      </c>
      <c r="C5216" s="3" t="s">
        <v>685</v>
      </c>
    </row>
    <row r="5217">
      <c r="A5217" s="3" t="s">
        <v>683</v>
      </c>
      <c r="B5217" s="3" t="s">
        <v>684</v>
      </c>
      <c r="C5217" s="3" t="s">
        <v>685</v>
      </c>
    </row>
    <row r="5218">
      <c r="A5218" s="3" t="s">
        <v>683</v>
      </c>
      <c r="B5218" s="3" t="s">
        <v>684</v>
      </c>
      <c r="C5218" s="3" t="s">
        <v>685</v>
      </c>
    </row>
    <row r="5219">
      <c r="A5219" s="3" t="s">
        <v>683</v>
      </c>
      <c r="B5219" s="3" t="s">
        <v>684</v>
      </c>
      <c r="C5219" s="3" t="s">
        <v>685</v>
      </c>
    </row>
    <row r="5220">
      <c r="A5220" s="3" t="s">
        <v>683</v>
      </c>
      <c r="B5220" s="3" t="s">
        <v>684</v>
      </c>
      <c r="C5220" s="3" t="s">
        <v>685</v>
      </c>
    </row>
    <row r="5221">
      <c r="A5221" s="3" t="s">
        <v>683</v>
      </c>
      <c r="B5221" s="3" t="s">
        <v>684</v>
      </c>
      <c r="C5221" s="3" t="s">
        <v>685</v>
      </c>
    </row>
    <row r="5222">
      <c r="A5222" s="3" t="s">
        <v>683</v>
      </c>
      <c r="B5222" s="3" t="s">
        <v>684</v>
      </c>
      <c r="C5222" s="3" t="s">
        <v>685</v>
      </c>
    </row>
    <row r="5223">
      <c r="A5223" s="3" t="s">
        <v>683</v>
      </c>
      <c r="B5223" s="3" t="s">
        <v>684</v>
      </c>
      <c r="C5223" s="3" t="s">
        <v>685</v>
      </c>
    </row>
    <row r="5224">
      <c r="A5224" s="3" t="s">
        <v>683</v>
      </c>
      <c r="B5224" s="3" t="s">
        <v>684</v>
      </c>
      <c r="C5224" s="3" t="s">
        <v>685</v>
      </c>
    </row>
    <row r="5225">
      <c r="A5225" s="3" t="s">
        <v>683</v>
      </c>
      <c r="B5225" s="3" t="s">
        <v>684</v>
      </c>
      <c r="C5225" s="3" t="s">
        <v>685</v>
      </c>
    </row>
    <row r="5226">
      <c r="A5226" s="3" t="s">
        <v>683</v>
      </c>
      <c r="B5226" s="3" t="s">
        <v>684</v>
      </c>
      <c r="C5226" s="3" t="s">
        <v>685</v>
      </c>
    </row>
    <row r="5227">
      <c r="A5227" s="3" t="s">
        <v>683</v>
      </c>
      <c r="B5227" s="3" t="s">
        <v>684</v>
      </c>
      <c r="C5227" s="3" t="s">
        <v>685</v>
      </c>
    </row>
    <row r="5228">
      <c r="A5228" s="3" t="s">
        <v>683</v>
      </c>
      <c r="B5228" s="3" t="s">
        <v>684</v>
      </c>
      <c r="C5228" s="3" t="s">
        <v>685</v>
      </c>
    </row>
    <row r="5229">
      <c r="A5229" s="3" t="s">
        <v>683</v>
      </c>
      <c r="B5229" s="3" t="s">
        <v>684</v>
      </c>
      <c r="C5229" s="3" t="s">
        <v>685</v>
      </c>
    </row>
    <row r="5230">
      <c r="A5230" s="3" t="s">
        <v>683</v>
      </c>
      <c r="B5230" s="3" t="s">
        <v>684</v>
      </c>
      <c r="C5230" s="3" t="s">
        <v>685</v>
      </c>
    </row>
    <row r="5231">
      <c r="A5231" s="3" t="s">
        <v>683</v>
      </c>
      <c r="B5231" s="3" t="s">
        <v>684</v>
      </c>
      <c r="C5231" s="3" t="s">
        <v>685</v>
      </c>
    </row>
    <row r="5232">
      <c r="A5232" s="3" t="s">
        <v>683</v>
      </c>
      <c r="B5232" s="3" t="s">
        <v>684</v>
      </c>
      <c r="C5232" s="3" t="s">
        <v>685</v>
      </c>
    </row>
    <row r="5233">
      <c r="A5233" s="3" t="s">
        <v>683</v>
      </c>
      <c r="B5233" s="3" t="s">
        <v>684</v>
      </c>
      <c r="C5233" s="3" t="s">
        <v>685</v>
      </c>
    </row>
    <row r="5234">
      <c r="A5234" s="3" t="s">
        <v>683</v>
      </c>
      <c r="B5234" s="3" t="s">
        <v>684</v>
      </c>
      <c r="C5234" s="3" t="s">
        <v>685</v>
      </c>
    </row>
    <row r="5235">
      <c r="A5235" s="3" t="s">
        <v>683</v>
      </c>
      <c r="B5235" s="3" t="s">
        <v>684</v>
      </c>
      <c r="C5235" s="3" t="s">
        <v>685</v>
      </c>
    </row>
    <row r="5236">
      <c r="A5236" s="3" t="s">
        <v>683</v>
      </c>
      <c r="B5236" s="3" t="s">
        <v>684</v>
      </c>
      <c r="C5236" s="3" t="s">
        <v>685</v>
      </c>
    </row>
    <row r="5237">
      <c r="A5237" s="3" t="s">
        <v>683</v>
      </c>
      <c r="B5237" s="3" t="s">
        <v>684</v>
      </c>
      <c r="C5237" s="3" t="s">
        <v>685</v>
      </c>
    </row>
    <row r="5238">
      <c r="A5238" s="3" t="s">
        <v>683</v>
      </c>
      <c r="B5238" s="3" t="s">
        <v>684</v>
      </c>
      <c r="C5238" s="3" t="s">
        <v>685</v>
      </c>
    </row>
    <row r="5239">
      <c r="A5239" s="3" t="s">
        <v>683</v>
      </c>
      <c r="B5239" s="3" t="s">
        <v>684</v>
      </c>
      <c r="C5239" s="3" t="s">
        <v>685</v>
      </c>
    </row>
    <row r="5240">
      <c r="A5240" s="3" t="s">
        <v>683</v>
      </c>
      <c r="B5240" s="3" t="s">
        <v>684</v>
      </c>
      <c r="C5240" s="3" t="s">
        <v>685</v>
      </c>
    </row>
    <row r="5241">
      <c r="A5241" s="3" t="s">
        <v>683</v>
      </c>
      <c r="B5241" s="3" t="s">
        <v>684</v>
      </c>
      <c r="C5241" s="3" t="s">
        <v>685</v>
      </c>
    </row>
    <row r="5242">
      <c r="A5242" s="3" t="s">
        <v>683</v>
      </c>
      <c r="B5242" s="3" t="s">
        <v>684</v>
      </c>
      <c r="C5242" s="3" t="s">
        <v>685</v>
      </c>
    </row>
    <row r="5243">
      <c r="A5243" s="3" t="s">
        <v>683</v>
      </c>
      <c r="B5243" s="3" t="s">
        <v>684</v>
      </c>
      <c r="C5243" s="3" t="s">
        <v>685</v>
      </c>
    </row>
    <row r="5244">
      <c r="A5244" s="3" t="s">
        <v>683</v>
      </c>
      <c r="B5244" s="3" t="s">
        <v>684</v>
      </c>
      <c r="C5244" s="3" t="s">
        <v>685</v>
      </c>
    </row>
    <row r="5245">
      <c r="A5245" s="3" t="s">
        <v>683</v>
      </c>
      <c r="B5245" s="3" t="s">
        <v>684</v>
      </c>
      <c r="C5245" s="3" t="s">
        <v>685</v>
      </c>
    </row>
    <row r="5246">
      <c r="A5246" s="3" t="s">
        <v>683</v>
      </c>
      <c r="B5246" s="3" t="s">
        <v>684</v>
      </c>
      <c r="C5246" s="3" t="s">
        <v>685</v>
      </c>
    </row>
    <row r="5247">
      <c r="A5247" s="3" t="s">
        <v>683</v>
      </c>
      <c r="B5247" s="3" t="s">
        <v>684</v>
      </c>
      <c r="C5247" s="3" t="s">
        <v>685</v>
      </c>
    </row>
    <row r="5248">
      <c r="A5248" s="3" t="s">
        <v>683</v>
      </c>
      <c r="B5248" s="3" t="s">
        <v>684</v>
      </c>
      <c r="C5248" s="3" t="s">
        <v>685</v>
      </c>
    </row>
    <row r="5249">
      <c r="A5249" s="3" t="s">
        <v>683</v>
      </c>
      <c r="B5249" s="3" t="s">
        <v>684</v>
      </c>
      <c r="C5249" s="3" t="s">
        <v>685</v>
      </c>
    </row>
    <row r="5250">
      <c r="A5250" s="3" t="s">
        <v>683</v>
      </c>
      <c r="B5250" s="3" t="s">
        <v>684</v>
      </c>
      <c r="C5250" s="3" t="s">
        <v>685</v>
      </c>
    </row>
    <row r="5251">
      <c r="A5251" s="3" t="s">
        <v>683</v>
      </c>
      <c r="B5251" s="3" t="s">
        <v>684</v>
      </c>
      <c r="C5251" s="3" t="s">
        <v>685</v>
      </c>
    </row>
    <row r="5252">
      <c r="A5252" s="3" t="s">
        <v>683</v>
      </c>
      <c r="B5252" s="3" t="s">
        <v>684</v>
      </c>
      <c r="C5252" s="3" t="s">
        <v>685</v>
      </c>
    </row>
    <row r="5253">
      <c r="A5253" s="3" t="s">
        <v>683</v>
      </c>
      <c r="B5253" s="3" t="s">
        <v>684</v>
      </c>
      <c r="C5253" s="3" t="s">
        <v>685</v>
      </c>
    </row>
    <row r="5254">
      <c r="A5254" s="3" t="s">
        <v>683</v>
      </c>
      <c r="B5254" s="3" t="s">
        <v>684</v>
      </c>
      <c r="C5254" s="3" t="s">
        <v>685</v>
      </c>
    </row>
    <row r="5255">
      <c r="A5255" s="3" t="s">
        <v>683</v>
      </c>
      <c r="B5255" s="3" t="s">
        <v>684</v>
      </c>
      <c r="C5255" s="3" t="s">
        <v>685</v>
      </c>
    </row>
    <row r="5256">
      <c r="A5256" s="3" t="s">
        <v>683</v>
      </c>
      <c r="B5256" s="3" t="s">
        <v>684</v>
      </c>
      <c r="C5256" s="3" t="s">
        <v>685</v>
      </c>
    </row>
    <row r="5257">
      <c r="A5257" s="3" t="s">
        <v>683</v>
      </c>
      <c r="B5257" s="3" t="s">
        <v>684</v>
      </c>
      <c r="C5257" s="3" t="s">
        <v>685</v>
      </c>
    </row>
    <row r="5258">
      <c r="A5258" s="3" t="s">
        <v>683</v>
      </c>
      <c r="B5258" s="3" t="s">
        <v>684</v>
      </c>
      <c r="C5258" s="3" t="s">
        <v>685</v>
      </c>
    </row>
    <row r="5259">
      <c r="A5259" s="3" t="s">
        <v>683</v>
      </c>
      <c r="B5259" s="3" t="s">
        <v>684</v>
      </c>
      <c r="C5259" s="3" t="s">
        <v>685</v>
      </c>
    </row>
    <row r="5260">
      <c r="A5260" s="3" t="s">
        <v>683</v>
      </c>
      <c r="B5260" s="3" t="s">
        <v>684</v>
      </c>
      <c r="C5260" s="3" t="s">
        <v>685</v>
      </c>
    </row>
    <row r="5261">
      <c r="A5261" s="3" t="s">
        <v>683</v>
      </c>
      <c r="B5261" s="3" t="s">
        <v>684</v>
      </c>
      <c r="C5261" s="3" t="s">
        <v>685</v>
      </c>
    </row>
    <row r="5262">
      <c r="A5262" s="3" t="s">
        <v>683</v>
      </c>
      <c r="B5262" s="3" t="s">
        <v>684</v>
      </c>
      <c r="C5262" s="3" t="s">
        <v>685</v>
      </c>
    </row>
    <row r="5263">
      <c r="A5263" s="3" t="s">
        <v>683</v>
      </c>
      <c r="B5263" s="3" t="s">
        <v>684</v>
      </c>
      <c r="C5263" s="3" t="s">
        <v>685</v>
      </c>
    </row>
    <row r="5264">
      <c r="A5264" s="3" t="s">
        <v>683</v>
      </c>
      <c r="B5264" s="3" t="s">
        <v>684</v>
      </c>
      <c r="C5264" s="3" t="s">
        <v>685</v>
      </c>
    </row>
    <row r="5265">
      <c r="A5265" s="3" t="s">
        <v>683</v>
      </c>
      <c r="B5265" s="3" t="s">
        <v>684</v>
      </c>
      <c r="C5265" s="3" t="s">
        <v>685</v>
      </c>
    </row>
    <row r="5266">
      <c r="A5266" s="3" t="s">
        <v>683</v>
      </c>
      <c r="B5266" s="3" t="s">
        <v>684</v>
      </c>
      <c r="C5266" s="3" t="s">
        <v>685</v>
      </c>
    </row>
    <row r="5267">
      <c r="A5267" s="3" t="s">
        <v>683</v>
      </c>
      <c r="B5267" s="3" t="s">
        <v>684</v>
      </c>
      <c r="C5267" s="3" t="s">
        <v>685</v>
      </c>
    </row>
    <row r="5268">
      <c r="A5268" s="3" t="s">
        <v>683</v>
      </c>
      <c r="B5268" s="3" t="s">
        <v>684</v>
      </c>
      <c r="C5268" s="3" t="s">
        <v>685</v>
      </c>
    </row>
    <row r="5269">
      <c r="A5269" s="3" t="s">
        <v>683</v>
      </c>
      <c r="B5269" s="3" t="s">
        <v>684</v>
      </c>
      <c r="C5269" s="3" t="s">
        <v>685</v>
      </c>
    </row>
    <row r="5270">
      <c r="A5270" s="3" t="s">
        <v>683</v>
      </c>
      <c r="B5270" s="3" t="s">
        <v>684</v>
      </c>
      <c r="C5270" s="3" t="s">
        <v>685</v>
      </c>
    </row>
    <row r="5271">
      <c r="A5271" s="3" t="s">
        <v>683</v>
      </c>
      <c r="B5271" s="3" t="s">
        <v>684</v>
      </c>
      <c r="C5271" s="3" t="s">
        <v>685</v>
      </c>
    </row>
    <row r="5272">
      <c r="A5272" s="3" t="s">
        <v>683</v>
      </c>
      <c r="B5272" s="3" t="s">
        <v>684</v>
      </c>
      <c r="C5272" s="3" t="s">
        <v>685</v>
      </c>
    </row>
    <row r="5273">
      <c r="A5273" s="3" t="s">
        <v>683</v>
      </c>
      <c r="B5273" s="3" t="s">
        <v>684</v>
      </c>
      <c r="C5273" s="3" t="s">
        <v>685</v>
      </c>
    </row>
    <row r="5274">
      <c r="A5274" s="3" t="s">
        <v>683</v>
      </c>
      <c r="B5274" s="3" t="s">
        <v>684</v>
      </c>
      <c r="C5274" s="3" t="s">
        <v>685</v>
      </c>
    </row>
    <row r="5275">
      <c r="A5275" s="3" t="s">
        <v>683</v>
      </c>
      <c r="B5275" s="3" t="s">
        <v>684</v>
      </c>
      <c r="C5275" s="3" t="s">
        <v>685</v>
      </c>
    </row>
    <row r="5276">
      <c r="A5276" s="3" t="s">
        <v>683</v>
      </c>
      <c r="B5276" s="3" t="s">
        <v>684</v>
      </c>
      <c r="C5276" s="3" t="s">
        <v>685</v>
      </c>
    </row>
    <row r="5277">
      <c r="A5277" s="3" t="s">
        <v>683</v>
      </c>
      <c r="B5277" s="3" t="s">
        <v>684</v>
      </c>
      <c r="C5277" s="3" t="s">
        <v>685</v>
      </c>
    </row>
    <row r="5278">
      <c r="A5278" s="3" t="s">
        <v>683</v>
      </c>
      <c r="B5278" s="3" t="s">
        <v>684</v>
      </c>
      <c r="C5278" s="3" t="s">
        <v>685</v>
      </c>
    </row>
    <row r="5279">
      <c r="A5279" s="3" t="s">
        <v>683</v>
      </c>
      <c r="B5279" s="3" t="s">
        <v>684</v>
      </c>
      <c r="C5279" s="3" t="s">
        <v>685</v>
      </c>
    </row>
    <row r="5280">
      <c r="A5280" s="3" t="s">
        <v>683</v>
      </c>
      <c r="B5280" s="3" t="s">
        <v>684</v>
      </c>
      <c r="C5280" s="3" t="s">
        <v>685</v>
      </c>
    </row>
    <row r="5281">
      <c r="A5281" s="3" t="s">
        <v>683</v>
      </c>
      <c r="B5281" s="3" t="s">
        <v>684</v>
      </c>
      <c r="C5281" s="3" t="s">
        <v>685</v>
      </c>
    </row>
    <row r="5282">
      <c r="A5282" s="3" t="s">
        <v>683</v>
      </c>
      <c r="B5282" s="3" t="s">
        <v>684</v>
      </c>
      <c r="C5282" s="3" t="s">
        <v>685</v>
      </c>
    </row>
    <row r="5283">
      <c r="A5283" s="3" t="s">
        <v>683</v>
      </c>
      <c r="B5283" s="3" t="s">
        <v>684</v>
      </c>
      <c r="C5283" s="3" t="s">
        <v>685</v>
      </c>
    </row>
    <row r="5284">
      <c r="A5284" s="3" t="s">
        <v>683</v>
      </c>
      <c r="B5284" s="3" t="s">
        <v>684</v>
      </c>
      <c r="C5284" s="3" t="s">
        <v>685</v>
      </c>
    </row>
    <row r="5285">
      <c r="A5285" s="3" t="s">
        <v>683</v>
      </c>
      <c r="B5285" s="3" t="s">
        <v>684</v>
      </c>
      <c r="C5285" s="3" t="s">
        <v>685</v>
      </c>
    </row>
    <row r="5286">
      <c r="A5286" s="3" t="s">
        <v>683</v>
      </c>
      <c r="B5286" s="3" t="s">
        <v>684</v>
      </c>
      <c r="C5286" s="3" t="s">
        <v>685</v>
      </c>
    </row>
    <row r="5287">
      <c r="A5287" s="3" t="s">
        <v>683</v>
      </c>
      <c r="B5287" s="3" t="s">
        <v>684</v>
      </c>
      <c r="C5287" s="3" t="s">
        <v>685</v>
      </c>
    </row>
    <row r="5288">
      <c r="A5288" s="3" t="s">
        <v>683</v>
      </c>
      <c r="B5288" s="3" t="s">
        <v>684</v>
      </c>
      <c r="C5288" s="3" t="s">
        <v>685</v>
      </c>
    </row>
    <row r="5289">
      <c r="A5289" s="3" t="s">
        <v>683</v>
      </c>
      <c r="B5289" s="3" t="s">
        <v>684</v>
      </c>
      <c r="C5289" s="3" t="s">
        <v>685</v>
      </c>
    </row>
    <row r="5290">
      <c r="A5290" s="3" t="s">
        <v>683</v>
      </c>
      <c r="B5290" s="3" t="s">
        <v>684</v>
      </c>
      <c r="C5290" s="3" t="s">
        <v>685</v>
      </c>
    </row>
    <row r="5291">
      <c r="A5291" s="3" t="s">
        <v>683</v>
      </c>
      <c r="B5291" s="3" t="s">
        <v>684</v>
      </c>
      <c r="C5291" s="3" t="s">
        <v>685</v>
      </c>
    </row>
    <row r="5292">
      <c r="A5292" s="3" t="s">
        <v>683</v>
      </c>
      <c r="B5292" s="3" t="s">
        <v>684</v>
      </c>
      <c r="C5292" s="3" t="s">
        <v>685</v>
      </c>
    </row>
    <row r="5293">
      <c r="A5293" s="3" t="s">
        <v>683</v>
      </c>
      <c r="B5293" s="3" t="s">
        <v>684</v>
      </c>
      <c r="C5293" s="3" t="s">
        <v>685</v>
      </c>
    </row>
    <row r="5294">
      <c r="A5294" s="3" t="s">
        <v>683</v>
      </c>
      <c r="B5294" s="3" t="s">
        <v>684</v>
      </c>
      <c r="C5294" s="3" t="s">
        <v>685</v>
      </c>
    </row>
    <row r="5295">
      <c r="A5295" s="3" t="s">
        <v>683</v>
      </c>
      <c r="B5295" s="3" t="s">
        <v>684</v>
      </c>
      <c r="C5295" s="3" t="s">
        <v>685</v>
      </c>
    </row>
    <row r="5296">
      <c r="A5296" s="3" t="s">
        <v>683</v>
      </c>
      <c r="B5296" s="3" t="s">
        <v>684</v>
      </c>
      <c r="C5296" s="3" t="s">
        <v>685</v>
      </c>
    </row>
    <row r="5297">
      <c r="A5297" s="3" t="s">
        <v>683</v>
      </c>
      <c r="B5297" s="3" t="s">
        <v>684</v>
      </c>
      <c r="C5297" s="3" t="s">
        <v>685</v>
      </c>
    </row>
    <row r="5298">
      <c r="A5298" s="3" t="s">
        <v>683</v>
      </c>
      <c r="B5298" s="3" t="s">
        <v>684</v>
      </c>
      <c r="C5298" s="3" t="s">
        <v>685</v>
      </c>
    </row>
    <row r="5299">
      <c r="A5299" s="3" t="s">
        <v>683</v>
      </c>
      <c r="B5299" s="3" t="s">
        <v>684</v>
      </c>
      <c r="C5299" s="3" t="s">
        <v>685</v>
      </c>
    </row>
    <row r="5300">
      <c r="A5300" s="3" t="s">
        <v>683</v>
      </c>
      <c r="B5300" s="3" t="s">
        <v>684</v>
      </c>
      <c r="C5300" s="3" t="s">
        <v>685</v>
      </c>
    </row>
    <row r="5301">
      <c r="A5301" s="3" t="s">
        <v>683</v>
      </c>
      <c r="B5301" s="3" t="s">
        <v>684</v>
      </c>
      <c r="C5301" s="3" t="s">
        <v>685</v>
      </c>
    </row>
    <row r="5302">
      <c r="A5302" s="3" t="s">
        <v>683</v>
      </c>
      <c r="B5302" s="3" t="s">
        <v>684</v>
      </c>
      <c r="C5302" s="3" t="s">
        <v>685</v>
      </c>
    </row>
    <row r="5303">
      <c r="A5303" s="3" t="s">
        <v>683</v>
      </c>
      <c r="B5303" s="3" t="s">
        <v>684</v>
      </c>
      <c r="C5303" s="3" t="s">
        <v>685</v>
      </c>
    </row>
    <row r="5304">
      <c r="A5304" s="3" t="s">
        <v>683</v>
      </c>
      <c r="B5304" s="3" t="s">
        <v>684</v>
      </c>
      <c r="C5304" s="3" t="s">
        <v>685</v>
      </c>
    </row>
    <row r="5305">
      <c r="A5305" s="3" t="s">
        <v>683</v>
      </c>
      <c r="B5305" s="3" t="s">
        <v>684</v>
      </c>
      <c r="C5305" s="3" t="s">
        <v>685</v>
      </c>
    </row>
    <row r="5306">
      <c r="A5306" s="3" t="s">
        <v>683</v>
      </c>
      <c r="B5306" s="3" t="s">
        <v>684</v>
      </c>
      <c r="C5306" s="3" t="s">
        <v>685</v>
      </c>
    </row>
    <row r="5307">
      <c r="A5307" s="3" t="s">
        <v>683</v>
      </c>
      <c r="B5307" s="3" t="s">
        <v>684</v>
      </c>
      <c r="C5307" s="3" t="s">
        <v>685</v>
      </c>
    </row>
    <row r="5308">
      <c r="A5308" s="3" t="s">
        <v>683</v>
      </c>
      <c r="B5308" s="3" t="s">
        <v>684</v>
      </c>
      <c r="C5308" s="3" t="s">
        <v>685</v>
      </c>
    </row>
    <row r="5309">
      <c r="A5309" s="3" t="s">
        <v>683</v>
      </c>
      <c r="B5309" s="3" t="s">
        <v>684</v>
      </c>
      <c r="C5309" s="3" t="s">
        <v>685</v>
      </c>
    </row>
    <row r="5310">
      <c r="A5310" s="3" t="s">
        <v>683</v>
      </c>
      <c r="B5310" s="3" t="s">
        <v>684</v>
      </c>
      <c r="C5310" s="3" t="s">
        <v>685</v>
      </c>
    </row>
    <row r="5311">
      <c r="A5311" s="3" t="s">
        <v>683</v>
      </c>
      <c r="B5311" s="3" t="s">
        <v>684</v>
      </c>
      <c r="C5311" s="3" t="s">
        <v>685</v>
      </c>
    </row>
    <row r="5312">
      <c r="A5312" s="3" t="s">
        <v>683</v>
      </c>
      <c r="B5312" s="3" t="s">
        <v>684</v>
      </c>
      <c r="C5312" s="3" t="s">
        <v>685</v>
      </c>
    </row>
    <row r="5313">
      <c r="A5313" s="3" t="s">
        <v>683</v>
      </c>
      <c r="B5313" s="3" t="s">
        <v>684</v>
      </c>
      <c r="C5313" s="3" t="s">
        <v>685</v>
      </c>
    </row>
    <row r="5314">
      <c r="A5314" s="3" t="s">
        <v>683</v>
      </c>
      <c r="B5314" s="3" t="s">
        <v>684</v>
      </c>
      <c r="C5314" s="3" t="s">
        <v>685</v>
      </c>
    </row>
    <row r="5315">
      <c r="A5315" s="3" t="s">
        <v>683</v>
      </c>
      <c r="B5315" s="3" t="s">
        <v>684</v>
      </c>
      <c r="C5315" s="3" t="s">
        <v>685</v>
      </c>
    </row>
    <row r="5316">
      <c r="A5316" s="3" t="s">
        <v>683</v>
      </c>
      <c r="B5316" s="3" t="s">
        <v>684</v>
      </c>
      <c r="C5316" s="3" t="s">
        <v>685</v>
      </c>
    </row>
    <row r="5317">
      <c r="A5317" s="3" t="s">
        <v>683</v>
      </c>
      <c r="B5317" s="3" t="s">
        <v>684</v>
      </c>
      <c r="C5317" s="3" t="s">
        <v>685</v>
      </c>
    </row>
    <row r="5318">
      <c r="A5318" s="3" t="s">
        <v>683</v>
      </c>
      <c r="B5318" s="3" t="s">
        <v>684</v>
      </c>
      <c r="C5318" s="3" t="s">
        <v>685</v>
      </c>
    </row>
    <row r="5319">
      <c r="A5319" s="3" t="s">
        <v>683</v>
      </c>
      <c r="B5319" s="3" t="s">
        <v>684</v>
      </c>
      <c r="C5319" s="3" t="s">
        <v>685</v>
      </c>
    </row>
    <row r="5320">
      <c r="A5320" s="3" t="s">
        <v>683</v>
      </c>
      <c r="B5320" s="3" t="s">
        <v>684</v>
      </c>
      <c r="C5320" s="3" t="s">
        <v>685</v>
      </c>
    </row>
    <row r="5321">
      <c r="A5321" s="3" t="s">
        <v>683</v>
      </c>
      <c r="B5321" s="3" t="s">
        <v>684</v>
      </c>
      <c r="C5321" s="3" t="s">
        <v>685</v>
      </c>
    </row>
    <row r="5322">
      <c r="A5322" s="3" t="s">
        <v>683</v>
      </c>
      <c r="B5322" s="3" t="s">
        <v>684</v>
      </c>
      <c r="C5322" s="3" t="s">
        <v>685</v>
      </c>
    </row>
    <row r="5323">
      <c r="A5323" s="3" t="s">
        <v>683</v>
      </c>
      <c r="B5323" s="3" t="s">
        <v>684</v>
      </c>
      <c r="C5323" s="3" t="s">
        <v>685</v>
      </c>
    </row>
    <row r="5324">
      <c r="A5324" s="3" t="s">
        <v>683</v>
      </c>
      <c r="B5324" s="3" t="s">
        <v>684</v>
      </c>
      <c r="C5324" s="3" t="s">
        <v>685</v>
      </c>
    </row>
    <row r="5325">
      <c r="A5325" s="3" t="s">
        <v>683</v>
      </c>
      <c r="B5325" s="3" t="s">
        <v>684</v>
      </c>
      <c r="C5325" s="3" t="s">
        <v>685</v>
      </c>
    </row>
    <row r="5326">
      <c r="A5326" s="3" t="s">
        <v>683</v>
      </c>
      <c r="B5326" s="3" t="s">
        <v>684</v>
      </c>
      <c r="C5326" s="3" t="s">
        <v>685</v>
      </c>
    </row>
    <row r="5327">
      <c r="A5327" s="3" t="s">
        <v>683</v>
      </c>
      <c r="B5327" s="3" t="s">
        <v>684</v>
      </c>
      <c r="C5327" s="3" t="s">
        <v>685</v>
      </c>
    </row>
    <row r="5328">
      <c r="A5328" s="3" t="s">
        <v>683</v>
      </c>
      <c r="B5328" s="3" t="s">
        <v>684</v>
      </c>
      <c r="C5328" s="3" t="s">
        <v>685</v>
      </c>
    </row>
    <row r="5329">
      <c r="A5329" s="3" t="s">
        <v>683</v>
      </c>
      <c r="B5329" s="3" t="s">
        <v>684</v>
      </c>
      <c r="C5329" s="3" t="s">
        <v>685</v>
      </c>
    </row>
    <row r="5330">
      <c r="A5330" s="3" t="s">
        <v>683</v>
      </c>
      <c r="B5330" s="3" t="s">
        <v>684</v>
      </c>
      <c r="C5330" s="3" t="s">
        <v>685</v>
      </c>
    </row>
    <row r="5331">
      <c r="A5331" s="3" t="s">
        <v>683</v>
      </c>
      <c r="B5331" s="3" t="s">
        <v>684</v>
      </c>
      <c r="C5331" s="3" t="s">
        <v>685</v>
      </c>
    </row>
    <row r="5332">
      <c r="A5332" s="3" t="s">
        <v>683</v>
      </c>
      <c r="B5332" s="3" t="s">
        <v>684</v>
      </c>
      <c r="C5332" s="3" t="s">
        <v>685</v>
      </c>
    </row>
    <row r="5333">
      <c r="A5333" s="3" t="s">
        <v>683</v>
      </c>
      <c r="B5333" s="3" t="s">
        <v>684</v>
      </c>
      <c r="C5333" s="3" t="s">
        <v>685</v>
      </c>
    </row>
    <row r="5334">
      <c r="A5334" s="3" t="s">
        <v>683</v>
      </c>
      <c r="B5334" s="3" t="s">
        <v>684</v>
      </c>
      <c r="C5334" s="3" t="s">
        <v>685</v>
      </c>
    </row>
    <row r="5335">
      <c r="A5335" s="3" t="s">
        <v>683</v>
      </c>
      <c r="B5335" s="3" t="s">
        <v>684</v>
      </c>
      <c r="C5335" s="3" t="s">
        <v>685</v>
      </c>
    </row>
    <row r="5336">
      <c r="A5336" s="3" t="s">
        <v>683</v>
      </c>
      <c r="B5336" s="3" t="s">
        <v>684</v>
      </c>
      <c r="C5336" s="3" t="s">
        <v>685</v>
      </c>
    </row>
    <row r="5337">
      <c r="A5337" s="3" t="s">
        <v>683</v>
      </c>
      <c r="B5337" s="3" t="s">
        <v>684</v>
      </c>
      <c r="C5337" s="3" t="s">
        <v>685</v>
      </c>
    </row>
    <row r="5338">
      <c r="A5338" s="3" t="s">
        <v>683</v>
      </c>
      <c r="B5338" s="3" t="s">
        <v>684</v>
      </c>
      <c r="C5338" s="3" t="s">
        <v>685</v>
      </c>
    </row>
    <row r="5339">
      <c r="A5339" s="3" t="s">
        <v>683</v>
      </c>
      <c r="B5339" s="3" t="s">
        <v>684</v>
      </c>
      <c r="C5339" s="3" t="s">
        <v>685</v>
      </c>
    </row>
    <row r="5340">
      <c r="A5340" s="3" t="s">
        <v>683</v>
      </c>
      <c r="B5340" s="3" t="s">
        <v>684</v>
      </c>
      <c r="C5340" s="3" t="s">
        <v>685</v>
      </c>
    </row>
    <row r="5341">
      <c r="A5341" s="3" t="s">
        <v>683</v>
      </c>
      <c r="B5341" s="3" t="s">
        <v>684</v>
      </c>
      <c r="C5341" s="3" t="s">
        <v>685</v>
      </c>
    </row>
    <row r="5342">
      <c r="A5342" s="3" t="s">
        <v>683</v>
      </c>
      <c r="B5342" s="3" t="s">
        <v>684</v>
      </c>
      <c r="C5342" s="3" t="s">
        <v>685</v>
      </c>
    </row>
    <row r="5343">
      <c r="A5343" s="3" t="s">
        <v>683</v>
      </c>
      <c r="B5343" s="3" t="s">
        <v>684</v>
      </c>
      <c r="C5343" s="3" t="s">
        <v>685</v>
      </c>
    </row>
    <row r="5344">
      <c r="A5344" s="3" t="s">
        <v>683</v>
      </c>
      <c r="B5344" s="3" t="s">
        <v>684</v>
      </c>
      <c r="C5344" s="3" t="s">
        <v>685</v>
      </c>
    </row>
    <row r="5345">
      <c r="A5345" s="3" t="s">
        <v>683</v>
      </c>
      <c r="B5345" s="3" t="s">
        <v>684</v>
      </c>
      <c r="C5345" s="3" t="s">
        <v>685</v>
      </c>
    </row>
    <row r="5346">
      <c r="A5346" s="3" t="s">
        <v>683</v>
      </c>
      <c r="B5346" s="3" t="s">
        <v>684</v>
      </c>
      <c r="C5346" s="3" t="s">
        <v>685</v>
      </c>
    </row>
    <row r="5347">
      <c r="A5347" s="3" t="s">
        <v>683</v>
      </c>
      <c r="B5347" s="3" t="s">
        <v>684</v>
      </c>
      <c r="C5347" s="3" t="s">
        <v>685</v>
      </c>
    </row>
    <row r="5348">
      <c r="A5348" s="3" t="s">
        <v>683</v>
      </c>
      <c r="B5348" s="3" t="s">
        <v>684</v>
      </c>
      <c r="C5348" s="3" t="s">
        <v>685</v>
      </c>
    </row>
    <row r="5349">
      <c r="A5349" s="3" t="s">
        <v>683</v>
      </c>
      <c r="B5349" s="3" t="s">
        <v>684</v>
      </c>
      <c r="C5349" s="3" t="s">
        <v>685</v>
      </c>
    </row>
    <row r="5350">
      <c r="A5350" s="3" t="s">
        <v>683</v>
      </c>
      <c r="B5350" s="3" t="s">
        <v>684</v>
      </c>
      <c r="C5350" s="3" t="s">
        <v>685</v>
      </c>
    </row>
    <row r="5351">
      <c r="A5351" s="3" t="s">
        <v>683</v>
      </c>
      <c r="B5351" s="3" t="s">
        <v>684</v>
      </c>
      <c r="C5351" s="3" t="s">
        <v>685</v>
      </c>
    </row>
    <row r="5352">
      <c r="A5352" s="3" t="s">
        <v>683</v>
      </c>
      <c r="B5352" s="3" t="s">
        <v>684</v>
      </c>
      <c r="C5352" s="3" t="s">
        <v>685</v>
      </c>
    </row>
    <row r="5353">
      <c r="A5353" s="3" t="s">
        <v>683</v>
      </c>
      <c r="B5353" s="3" t="s">
        <v>684</v>
      </c>
      <c r="C5353" s="3" t="s">
        <v>685</v>
      </c>
    </row>
    <row r="5354">
      <c r="A5354" s="3" t="s">
        <v>683</v>
      </c>
      <c r="B5354" s="3" t="s">
        <v>684</v>
      </c>
      <c r="C5354" s="3" t="s">
        <v>685</v>
      </c>
    </row>
    <row r="5355">
      <c r="A5355" s="3" t="s">
        <v>683</v>
      </c>
      <c r="B5355" s="3" t="s">
        <v>684</v>
      </c>
      <c r="C5355" s="3" t="s">
        <v>685</v>
      </c>
    </row>
    <row r="5356">
      <c r="A5356" s="3" t="s">
        <v>683</v>
      </c>
      <c r="B5356" s="3" t="s">
        <v>684</v>
      </c>
      <c r="C5356" s="3" t="s">
        <v>685</v>
      </c>
    </row>
    <row r="5357">
      <c r="A5357" s="3" t="s">
        <v>683</v>
      </c>
      <c r="B5357" s="3" t="s">
        <v>684</v>
      </c>
      <c r="C5357" s="3" t="s">
        <v>685</v>
      </c>
    </row>
    <row r="5358">
      <c r="A5358" s="3" t="s">
        <v>683</v>
      </c>
      <c r="B5358" s="3" t="s">
        <v>684</v>
      </c>
      <c r="C5358" s="3" t="s">
        <v>685</v>
      </c>
    </row>
    <row r="5359">
      <c r="A5359" s="3" t="s">
        <v>683</v>
      </c>
      <c r="B5359" s="3" t="s">
        <v>684</v>
      </c>
      <c r="C5359" s="3" t="s">
        <v>685</v>
      </c>
    </row>
    <row r="5360">
      <c r="A5360" s="3" t="s">
        <v>683</v>
      </c>
      <c r="B5360" s="3" t="s">
        <v>684</v>
      </c>
      <c r="C5360" s="3" t="s">
        <v>685</v>
      </c>
    </row>
    <row r="5361">
      <c r="A5361" s="3" t="s">
        <v>683</v>
      </c>
      <c r="B5361" s="3" t="s">
        <v>684</v>
      </c>
      <c r="C5361" s="3" t="s">
        <v>685</v>
      </c>
    </row>
    <row r="5362">
      <c r="A5362" s="3" t="s">
        <v>683</v>
      </c>
      <c r="B5362" s="3" t="s">
        <v>684</v>
      </c>
      <c r="C5362" s="3" t="s">
        <v>685</v>
      </c>
    </row>
    <row r="5363">
      <c r="A5363" s="3" t="s">
        <v>683</v>
      </c>
      <c r="B5363" s="3" t="s">
        <v>684</v>
      </c>
      <c r="C5363" s="3" t="s">
        <v>685</v>
      </c>
    </row>
    <row r="5364">
      <c r="A5364" s="3" t="s">
        <v>683</v>
      </c>
      <c r="B5364" s="3" t="s">
        <v>684</v>
      </c>
      <c r="C5364" s="3" t="s">
        <v>685</v>
      </c>
    </row>
    <row r="5365">
      <c r="A5365" s="3" t="s">
        <v>683</v>
      </c>
      <c r="B5365" s="3" t="s">
        <v>684</v>
      </c>
      <c r="C5365" s="3" t="s">
        <v>685</v>
      </c>
    </row>
    <row r="5366">
      <c r="A5366" s="3" t="s">
        <v>683</v>
      </c>
      <c r="B5366" s="3" t="s">
        <v>684</v>
      </c>
      <c r="C5366" s="3" t="s">
        <v>685</v>
      </c>
    </row>
    <row r="5367">
      <c r="A5367" s="3" t="s">
        <v>683</v>
      </c>
      <c r="B5367" s="3" t="s">
        <v>684</v>
      </c>
      <c r="C5367" s="3" t="s">
        <v>685</v>
      </c>
    </row>
    <row r="5368">
      <c r="A5368" s="3" t="s">
        <v>683</v>
      </c>
      <c r="B5368" s="3" t="s">
        <v>684</v>
      </c>
      <c r="C5368" s="3" t="s">
        <v>685</v>
      </c>
    </row>
    <row r="5369">
      <c r="A5369" s="3" t="s">
        <v>683</v>
      </c>
      <c r="B5369" s="3" t="s">
        <v>684</v>
      </c>
      <c r="C5369" s="3" t="s">
        <v>685</v>
      </c>
    </row>
    <row r="5370">
      <c r="A5370" s="3" t="s">
        <v>683</v>
      </c>
      <c r="B5370" s="3" t="s">
        <v>684</v>
      </c>
      <c r="C5370" s="3" t="s">
        <v>685</v>
      </c>
    </row>
    <row r="5371">
      <c r="A5371" s="3" t="s">
        <v>683</v>
      </c>
      <c r="B5371" s="3" t="s">
        <v>684</v>
      </c>
      <c r="C5371" s="3" t="s">
        <v>685</v>
      </c>
    </row>
    <row r="5372">
      <c r="A5372" s="3" t="s">
        <v>683</v>
      </c>
      <c r="B5372" s="3" t="s">
        <v>684</v>
      </c>
      <c r="C5372" s="3" t="s">
        <v>685</v>
      </c>
    </row>
    <row r="5373">
      <c r="A5373" s="3" t="s">
        <v>683</v>
      </c>
      <c r="B5373" s="3" t="s">
        <v>684</v>
      </c>
      <c r="C5373" s="3" t="s">
        <v>685</v>
      </c>
    </row>
    <row r="5374">
      <c r="A5374" s="3" t="s">
        <v>683</v>
      </c>
      <c r="B5374" s="3" t="s">
        <v>684</v>
      </c>
      <c r="C5374" s="3" t="s">
        <v>685</v>
      </c>
    </row>
    <row r="5375">
      <c r="A5375" s="3" t="s">
        <v>683</v>
      </c>
      <c r="B5375" s="3" t="s">
        <v>684</v>
      </c>
      <c r="C5375" s="3" t="s">
        <v>685</v>
      </c>
    </row>
    <row r="5376">
      <c r="A5376" s="3" t="s">
        <v>683</v>
      </c>
      <c r="B5376" s="3" t="s">
        <v>684</v>
      </c>
      <c r="C5376" s="3" t="s">
        <v>685</v>
      </c>
    </row>
    <row r="5377">
      <c r="A5377" s="3" t="s">
        <v>683</v>
      </c>
      <c r="B5377" s="3" t="s">
        <v>684</v>
      </c>
      <c r="C5377" s="3" t="s">
        <v>685</v>
      </c>
    </row>
    <row r="5378">
      <c r="A5378" s="3" t="s">
        <v>683</v>
      </c>
      <c r="B5378" s="3" t="s">
        <v>684</v>
      </c>
      <c r="C5378" s="3" t="s">
        <v>685</v>
      </c>
    </row>
    <row r="5379">
      <c r="A5379" s="3" t="s">
        <v>683</v>
      </c>
      <c r="B5379" s="3" t="s">
        <v>684</v>
      </c>
      <c r="C5379" s="3" t="s">
        <v>685</v>
      </c>
    </row>
    <row r="5380">
      <c r="A5380" s="3" t="s">
        <v>683</v>
      </c>
      <c r="B5380" s="3" t="s">
        <v>684</v>
      </c>
      <c r="C5380" s="3" t="s">
        <v>685</v>
      </c>
    </row>
    <row r="5381">
      <c r="A5381" s="3" t="s">
        <v>683</v>
      </c>
      <c r="B5381" s="3" t="s">
        <v>684</v>
      </c>
      <c r="C5381" s="3" t="s">
        <v>685</v>
      </c>
    </row>
    <row r="5382">
      <c r="A5382" s="3" t="s">
        <v>683</v>
      </c>
      <c r="B5382" s="3" t="s">
        <v>684</v>
      </c>
      <c r="C5382" s="3" t="s">
        <v>685</v>
      </c>
    </row>
    <row r="5383">
      <c r="A5383" s="3" t="s">
        <v>683</v>
      </c>
      <c r="B5383" s="3" t="s">
        <v>684</v>
      </c>
      <c r="C5383" s="3" t="s">
        <v>685</v>
      </c>
    </row>
    <row r="5384">
      <c r="A5384" s="3" t="s">
        <v>683</v>
      </c>
      <c r="B5384" s="3" t="s">
        <v>684</v>
      </c>
      <c r="C5384" s="3" t="s">
        <v>685</v>
      </c>
    </row>
    <row r="5385">
      <c r="A5385" s="3" t="s">
        <v>683</v>
      </c>
      <c r="B5385" s="3" t="s">
        <v>684</v>
      </c>
      <c r="C5385" s="3" t="s">
        <v>685</v>
      </c>
    </row>
    <row r="5386">
      <c r="A5386" s="3" t="s">
        <v>683</v>
      </c>
      <c r="B5386" s="3" t="s">
        <v>684</v>
      </c>
      <c r="C5386" s="3" t="s">
        <v>685</v>
      </c>
    </row>
    <row r="5387">
      <c r="A5387" s="3" t="s">
        <v>683</v>
      </c>
      <c r="B5387" s="3" t="s">
        <v>684</v>
      </c>
      <c r="C5387" s="3" t="s">
        <v>685</v>
      </c>
    </row>
    <row r="5388">
      <c r="A5388" s="3" t="s">
        <v>683</v>
      </c>
      <c r="B5388" s="3" t="s">
        <v>684</v>
      </c>
      <c r="C5388" s="3" t="s">
        <v>685</v>
      </c>
    </row>
    <row r="5389">
      <c r="A5389" s="3" t="s">
        <v>683</v>
      </c>
      <c r="B5389" s="3" t="s">
        <v>684</v>
      </c>
      <c r="C5389" s="3" t="s">
        <v>685</v>
      </c>
    </row>
    <row r="5390">
      <c r="A5390" s="3" t="s">
        <v>683</v>
      </c>
      <c r="B5390" s="3" t="s">
        <v>684</v>
      </c>
      <c r="C5390" s="3" t="s">
        <v>685</v>
      </c>
    </row>
    <row r="5391">
      <c r="A5391" s="3" t="s">
        <v>683</v>
      </c>
      <c r="B5391" s="3" t="s">
        <v>684</v>
      </c>
      <c r="C5391" s="3" t="s">
        <v>685</v>
      </c>
    </row>
    <row r="5392">
      <c r="A5392" s="3" t="s">
        <v>683</v>
      </c>
      <c r="B5392" s="3" t="s">
        <v>684</v>
      </c>
      <c r="C5392" s="3" t="s">
        <v>685</v>
      </c>
    </row>
    <row r="5393">
      <c r="A5393" s="3" t="s">
        <v>686</v>
      </c>
      <c r="B5393" s="3" t="s">
        <v>687</v>
      </c>
      <c r="C5393" s="3" t="s">
        <v>688</v>
      </c>
    </row>
    <row r="5394">
      <c r="A5394" s="3" t="s">
        <v>686</v>
      </c>
      <c r="B5394" s="3" t="s">
        <v>687</v>
      </c>
      <c r="C5394" s="3" t="s">
        <v>688</v>
      </c>
    </row>
    <row r="5395">
      <c r="A5395" s="3" t="s">
        <v>686</v>
      </c>
      <c r="B5395" s="3" t="s">
        <v>687</v>
      </c>
      <c r="C5395" s="3" t="s">
        <v>688</v>
      </c>
    </row>
    <row r="5396">
      <c r="A5396" s="3" t="s">
        <v>686</v>
      </c>
      <c r="B5396" s="3" t="s">
        <v>687</v>
      </c>
      <c r="C5396" s="3" t="s">
        <v>688</v>
      </c>
    </row>
    <row r="5397">
      <c r="A5397" s="3" t="s">
        <v>686</v>
      </c>
      <c r="B5397" s="3" t="s">
        <v>687</v>
      </c>
      <c r="C5397" s="3" t="s">
        <v>688</v>
      </c>
    </row>
    <row r="5398">
      <c r="A5398" s="3" t="s">
        <v>686</v>
      </c>
      <c r="B5398" s="3" t="s">
        <v>186</v>
      </c>
      <c r="C5398" s="3" t="s">
        <v>689</v>
      </c>
    </row>
    <row r="5399">
      <c r="A5399" s="3" t="s">
        <v>686</v>
      </c>
      <c r="B5399" s="3" t="s">
        <v>687</v>
      </c>
      <c r="C5399" s="3" t="s">
        <v>688</v>
      </c>
    </row>
    <row r="5400">
      <c r="A5400" s="3" t="s">
        <v>686</v>
      </c>
      <c r="B5400" s="3" t="s">
        <v>687</v>
      </c>
      <c r="C5400" s="3" t="s">
        <v>688</v>
      </c>
    </row>
    <row r="5401">
      <c r="A5401" s="3" t="s">
        <v>686</v>
      </c>
      <c r="B5401" s="3" t="s">
        <v>687</v>
      </c>
      <c r="C5401" s="3" t="s">
        <v>688</v>
      </c>
    </row>
    <row r="5402">
      <c r="A5402" s="3" t="s">
        <v>686</v>
      </c>
      <c r="B5402" s="3" t="s">
        <v>687</v>
      </c>
      <c r="C5402" s="3" t="s">
        <v>688</v>
      </c>
    </row>
    <row r="5403">
      <c r="A5403" s="3" t="s">
        <v>686</v>
      </c>
      <c r="B5403" s="3" t="s">
        <v>188</v>
      </c>
      <c r="C5403" s="3" t="s">
        <v>690</v>
      </c>
    </row>
    <row r="5404">
      <c r="A5404" s="3" t="s">
        <v>686</v>
      </c>
      <c r="B5404" s="3" t="s">
        <v>188</v>
      </c>
      <c r="C5404" s="3" t="s">
        <v>690</v>
      </c>
    </row>
    <row r="5405">
      <c r="A5405" s="3" t="s">
        <v>686</v>
      </c>
      <c r="B5405" s="3" t="s">
        <v>687</v>
      </c>
      <c r="C5405" s="3" t="s">
        <v>688</v>
      </c>
    </row>
    <row r="5406">
      <c r="A5406" s="3" t="s">
        <v>686</v>
      </c>
      <c r="B5406" s="3" t="s">
        <v>687</v>
      </c>
      <c r="C5406" s="3" t="s">
        <v>688</v>
      </c>
    </row>
    <row r="5407">
      <c r="A5407" s="3" t="s">
        <v>686</v>
      </c>
      <c r="B5407" s="3" t="s">
        <v>687</v>
      </c>
      <c r="C5407" s="3" t="s">
        <v>688</v>
      </c>
    </row>
    <row r="5408">
      <c r="A5408" s="3" t="s">
        <v>686</v>
      </c>
      <c r="B5408" s="3" t="s">
        <v>186</v>
      </c>
      <c r="C5408" s="3" t="s">
        <v>689</v>
      </c>
    </row>
    <row r="5409">
      <c r="A5409" s="3" t="s">
        <v>686</v>
      </c>
      <c r="B5409" s="3" t="s">
        <v>687</v>
      </c>
      <c r="C5409" s="3" t="s">
        <v>688</v>
      </c>
    </row>
    <row r="5410">
      <c r="A5410" s="3" t="s">
        <v>686</v>
      </c>
      <c r="B5410" s="3" t="s">
        <v>687</v>
      </c>
      <c r="C5410" s="3" t="s">
        <v>688</v>
      </c>
    </row>
    <row r="5411">
      <c r="A5411" s="3" t="s">
        <v>686</v>
      </c>
      <c r="B5411" s="3" t="s">
        <v>687</v>
      </c>
      <c r="C5411" s="3" t="s">
        <v>688</v>
      </c>
    </row>
    <row r="5412">
      <c r="A5412" s="3" t="s">
        <v>686</v>
      </c>
      <c r="B5412" s="3" t="s">
        <v>687</v>
      </c>
      <c r="C5412" s="3" t="s">
        <v>688</v>
      </c>
    </row>
    <row r="5413">
      <c r="A5413" s="3" t="s">
        <v>686</v>
      </c>
      <c r="B5413" s="3" t="s">
        <v>687</v>
      </c>
      <c r="C5413" s="3" t="s">
        <v>688</v>
      </c>
    </row>
    <row r="5414">
      <c r="A5414" s="3" t="s">
        <v>686</v>
      </c>
      <c r="B5414" s="3" t="s">
        <v>687</v>
      </c>
      <c r="C5414" s="3" t="s">
        <v>688</v>
      </c>
    </row>
    <row r="5415">
      <c r="A5415" s="3" t="s">
        <v>686</v>
      </c>
      <c r="B5415" s="3" t="s">
        <v>687</v>
      </c>
      <c r="C5415" s="3" t="s">
        <v>688</v>
      </c>
    </row>
    <row r="5416">
      <c r="A5416" s="3" t="s">
        <v>686</v>
      </c>
      <c r="B5416" s="3" t="s">
        <v>687</v>
      </c>
      <c r="C5416" s="3" t="s">
        <v>688</v>
      </c>
    </row>
    <row r="5417">
      <c r="A5417" s="3" t="s">
        <v>686</v>
      </c>
      <c r="B5417" s="3" t="s">
        <v>687</v>
      </c>
      <c r="C5417" s="3" t="s">
        <v>688</v>
      </c>
    </row>
    <row r="5418">
      <c r="A5418" s="3" t="s">
        <v>686</v>
      </c>
      <c r="B5418" s="3" t="s">
        <v>687</v>
      </c>
      <c r="C5418" s="3" t="s">
        <v>688</v>
      </c>
    </row>
    <row r="5419">
      <c r="A5419" s="3" t="s">
        <v>686</v>
      </c>
      <c r="B5419" s="3" t="s">
        <v>691</v>
      </c>
      <c r="C5419" s="3" t="s">
        <v>692</v>
      </c>
    </row>
    <row r="5420">
      <c r="A5420" s="3" t="s">
        <v>686</v>
      </c>
      <c r="B5420" s="3" t="s">
        <v>687</v>
      </c>
      <c r="C5420" s="3" t="s">
        <v>688</v>
      </c>
    </row>
    <row r="5421">
      <c r="A5421" s="3" t="s">
        <v>686</v>
      </c>
      <c r="B5421" s="3" t="s">
        <v>687</v>
      </c>
      <c r="C5421" s="3" t="s">
        <v>688</v>
      </c>
    </row>
    <row r="5422">
      <c r="A5422" s="3" t="s">
        <v>686</v>
      </c>
      <c r="B5422" s="3" t="s">
        <v>687</v>
      </c>
      <c r="C5422" s="3" t="s">
        <v>688</v>
      </c>
    </row>
    <row r="5423">
      <c r="A5423" s="3" t="s">
        <v>693</v>
      </c>
      <c r="B5423" s="3" t="s">
        <v>694</v>
      </c>
      <c r="C5423" s="3" t="s">
        <v>695</v>
      </c>
    </row>
    <row r="5424">
      <c r="A5424" s="3" t="s">
        <v>693</v>
      </c>
      <c r="B5424" s="3" t="s">
        <v>696</v>
      </c>
      <c r="C5424" s="3" t="s">
        <v>697</v>
      </c>
    </row>
    <row r="5425">
      <c r="A5425" s="3" t="s">
        <v>693</v>
      </c>
      <c r="B5425" s="3" t="s">
        <v>696</v>
      </c>
      <c r="C5425" s="3" t="s">
        <v>697</v>
      </c>
    </row>
    <row r="5426">
      <c r="A5426" s="3" t="s">
        <v>693</v>
      </c>
      <c r="B5426" s="3" t="s">
        <v>698</v>
      </c>
      <c r="C5426" s="3" t="s">
        <v>699</v>
      </c>
    </row>
    <row r="5427">
      <c r="A5427" s="3" t="s">
        <v>693</v>
      </c>
      <c r="B5427" s="3" t="s">
        <v>698</v>
      </c>
      <c r="C5427" s="3" t="s">
        <v>700</v>
      </c>
    </row>
    <row r="5428">
      <c r="A5428" s="3" t="s">
        <v>693</v>
      </c>
      <c r="B5428" s="3" t="s">
        <v>701</v>
      </c>
      <c r="C5428" s="3" t="s">
        <v>702</v>
      </c>
    </row>
    <row r="5429">
      <c r="A5429" s="3" t="s">
        <v>693</v>
      </c>
      <c r="B5429" s="3" t="s">
        <v>703</v>
      </c>
      <c r="C5429" s="3" t="s">
        <v>704</v>
      </c>
    </row>
    <row r="5430">
      <c r="A5430" s="3" t="s">
        <v>693</v>
      </c>
      <c r="B5430" s="3" t="s">
        <v>703</v>
      </c>
      <c r="C5430" s="3" t="s">
        <v>705</v>
      </c>
    </row>
    <row r="5431">
      <c r="A5431" s="3" t="s">
        <v>693</v>
      </c>
      <c r="B5431" s="3" t="s">
        <v>703</v>
      </c>
      <c r="C5431" s="3" t="s">
        <v>706</v>
      </c>
    </row>
    <row r="5432">
      <c r="A5432" s="3" t="s">
        <v>693</v>
      </c>
      <c r="B5432" s="3" t="s">
        <v>703</v>
      </c>
      <c r="C5432" s="3" t="s">
        <v>707</v>
      </c>
    </row>
    <row r="5433">
      <c r="A5433" s="3" t="s">
        <v>693</v>
      </c>
      <c r="B5433" s="3" t="s">
        <v>694</v>
      </c>
      <c r="C5433" s="3" t="s">
        <v>695</v>
      </c>
    </row>
    <row r="5434">
      <c r="A5434" s="3" t="s">
        <v>693</v>
      </c>
      <c r="B5434" s="3" t="s">
        <v>701</v>
      </c>
      <c r="C5434" s="3" t="s">
        <v>708</v>
      </c>
    </row>
    <row r="5435">
      <c r="A5435" s="3" t="s">
        <v>693</v>
      </c>
      <c r="B5435" s="3" t="s">
        <v>701</v>
      </c>
      <c r="C5435" s="3" t="s">
        <v>577</v>
      </c>
    </row>
    <row r="5436">
      <c r="A5436" s="3" t="s">
        <v>693</v>
      </c>
      <c r="B5436" s="3" t="s">
        <v>701</v>
      </c>
      <c r="C5436" s="3" t="s">
        <v>709</v>
      </c>
    </row>
    <row r="5437">
      <c r="A5437" s="3" t="s">
        <v>693</v>
      </c>
      <c r="B5437" s="3" t="s">
        <v>701</v>
      </c>
      <c r="C5437" s="3" t="s">
        <v>710</v>
      </c>
    </row>
    <row r="5438">
      <c r="A5438" s="3" t="s">
        <v>693</v>
      </c>
      <c r="B5438" s="3" t="s">
        <v>701</v>
      </c>
      <c r="C5438" s="3" t="s">
        <v>702</v>
      </c>
    </row>
    <row r="5439">
      <c r="A5439" s="3" t="s">
        <v>693</v>
      </c>
      <c r="B5439" s="3" t="s">
        <v>696</v>
      </c>
      <c r="C5439" s="3" t="s">
        <v>711</v>
      </c>
    </row>
    <row r="5440">
      <c r="A5440" s="3" t="s">
        <v>693</v>
      </c>
      <c r="B5440" s="3" t="s">
        <v>696</v>
      </c>
      <c r="C5440" s="3" t="s">
        <v>697</v>
      </c>
    </row>
    <row r="5441">
      <c r="A5441" s="3" t="s">
        <v>693</v>
      </c>
      <c r="B5441" s="3" t="s">
        <v>696</v>
      </c>
      <c r="C5441" s="3" t="s">
        <v>712</v>
      </c>
    </row>
    <row r="5442">
      <c r="A5442" s="3" t="s">
        <v>693</v>
      </c>
      <c r="B5442" s="3" t="s">
        <v>696</v>
      </c>
      <c r="C5442" s="3" t="s">
        <v>577</v>
      </c>
    </row>
    <row r="5443">
      <c r="A5443" s="3" t="s">
        <v>693</v>
      </c>
      <c r="B5443" s="3" t="s">
        <v>696</v>
      </c>
      <c r="C5443" s="3" t="s">
        <v>713</v>
      </c>
    </row>
    <row r="5444">
      <c r="A5444" s="3" t="s">
        <v>693</v>
      </c>
      <c r="B5444" s="3" t="s">
        <v>698</v>
      </c>
      <c r="C5444" s="3" t="s">
        <v>714</v>
      </c>
    </row>
    <row r="5445">
      <c r="A5445" s="3" t="s">
        <v>693</v>
      </c>
      <c r="B5445" s="3" t="s">
        <v>698</v>
      </c>
      <c r="C5445" s="3" t="s">
        <v>699</v>
      </c>
    </row>
    <row r="5446">
      <c r="A5446" s="3" t="s">
        <v>693</v>
      </c>
      <c r="B5446" s="3" t="s">
        <v>698</v>
      </c>
      <c r="C5446" s="3" t="s">
        <v>700</v>
      </c>
    </row>
    <row r="5447">
      <c r="A5447" s="3" t="s">
        <v>693</v>
      </c>
      <c r="B5447" s="3" t="s">
        <v>698</v>
      </c>
      <c r="C5447" s="3" t="s">
        <v>715</v>
      </c>
    </row>
    <row r="5448">
      <c r="A5448" s="3" t="s">
        <v>693</v>
      </c>
      <c r="B5448" s="3" t="s">
        <v>698</v>
      </c>
      <c r="C5448" s="3" t="s">
        <v>577</v>
      </c>
    </row>
    <row r="5449">
      <c r="A5449" s="3" t="s">
        <v>693</v>
      </c>
      <c r="B5449" s="3" t="s">
        <v>698</v>
      </c>
      <c r="C5449" s="3" t="s">
        <v>716</v>
      </c>
    </row>
    <row r="5450">
      <c r="A5450" s="3" t="s">
        <v>693</v>
      </c>
      <c r="B5450" s="3" t="s">
        <v>696</v>
      </c>
      <c r="C5450" s="3" t="s">
        <v>711</v>
      </c>
    </row>
    <row r="5451">
      <c r="A5451" s="3" t="s">
        <v>693</v>
      </c>
      <c r="B5451" s="3" t="s">
        <v>701</v>
      </c>
      <c r="C5451" s="3" t="s">
        <v>702</v>
      </c>
    </row>
    <row r="5452">
      <c r="A5452" s="3" t="s">
        <v>693</v>
      </c>
      <c r="B5452" s="3" t="s">
        <v>698</v>
      </c>
      <c r="C5452" s="3" t="s">
        <v>716</v>
      </c>
    </row>
    <row r="5453">
      <c r="A5453" s="3" t="s">
        <v>693</v>
      </c>
      <c r="B5453" s="3" t="s">
        <v>696</v>
      </c>
      <c r="C5453" s="3" t="s">
        <v>712</v>
      </c>
    </row>
    <row r="5454">
      <c r="A5454" s="3" t="s">
        <v>693</v>
      </c>
      <c r="B5454" s="3" t="s">
        <v>703</v>
      </c>
      <c r="C5454" s="3" t="s">
        <v>704</v>
      </c>
    </row>
    <row r="5455">
      <c r="A5455" s="3" t="s">
        <v>693</v>
      </c>
      <c r="B5455" s="3" t="s">
        <v>696</v>
      </c>
      <c r="C5455" s="3" t="s">
        <v>711</v>
      </c>
    </row>
    <row r="5456">
      <c r="A5456" s="3" t="s">
        <v>693</v>
      </c>
      <c r="B5456" s="3" t="s">
        <v>696</v>
      </c>
      <c r="C5456" s="3" t="s">
        <v>577</v>
      </c>
    </row>
    <row r="5457">
      <c r="A5457" s="3" t="s">
        <v>693</v>
      </c>
      <c r="B5457" s="3" t="s">
        <v>703</v>
      </c>
      <c r="C5457" s="3" t="s">
        <v>707</v>
      </c>
    </row>
    <row r="5458">
      <c r="A5458" s="3" t="s">
        <v>693</v>
      </c>
      <c r="B5458" s="3" t="s">
        <v>698</v>
      </c>
      <c r="C5458" s="3" t="s">
        <v>716</v>
      </c>
    </row>
    <row r="5459">
      <c r="A5459" s="3" t="s">
        <v>693</v>
      </c>
      <c r="B5459" s="3" t="s">
        <v>703</v>
      </c>
      <c r="C5459" s="3" t="s">
        <v>704</v>
      </c>
    </row>
    <row r="5460">
      <c r="A5460" s="3" t="s">
        <v>693</v>
      </c>
      <c r="B5460" s="3" t="s">
        <v>703</v>
      </c>
      <c r="C5460" s="3" t="s">
        <v>707</v>
      </c>
    </row>
    <row r="5461">
      <c r="A5461" s="3" t="s">
        <v>693</v>
      </c>
      <c r="B5461" s="3" t="s">
        <v>698</v>
      </c>
      <c r="C5461" s="3" t="s">
        <v>577</v>
      </c>
    </row>
    <row r="5462">
      <c r="A5462" s="3" t="s">
        <v>693</v>
      </c>
      <c r="B5462" s="3" t="s">
        <v>698</v>
      </c>
      <c r="C5462" s="3" t="s">
        <v>577</v>
      </c>
    </row>
    <row r="5463">
      <c r="A5463" s="3" t="s">
        <v>693</v>
      </c>
      <c r="B5463" s="3" t="s">
        <v>696</v>
      </c>
      <c r="C5463" s="3" t="s">
        <v>712</v>
      </c>
    </row>
    <row r="5464">
      <c r="A5464" s="3" t="s">
        <v>693</v>
      </c>
      <c r="B5464" s="3" t="s">
        <v>703</v>
      </c>
      <c r="C5464" s="3" t="s">
        <v>707</v>
      </c>
    </row>
    <row r="5465">
      <c r="A5465" s="3" t="s">
        <v>693</v>
      </c>
      <c r="B5465" s="3" t="s">
        <v>698</v>
      </c>
      <c r="C5465" s="3" t="s">
        <v>714</v>
      </c>
    </row>
    <row r="5466">
      <c r="A5466" s="3" t="s">
        <v>693</v>
      </c>
      <c r="B5466" s="3" t="s">
        <v>698</v>
      </c>
      <c r="C5466" s="3" t="s">
        <v>699</v>
      </c>
    </row>
    <row r="5467">
      <c r="A5467" s="3" t="s">
        <v>693</v>
      </c>
      <c r="B5467" s="3" t="s">
        <v>696</v>
      </c>
      <c r="C5467" s="3" t="s">
        <v>712</v>
      </c>
    </row>
    <row r="5468">
      <c r="A5468" s="3" t="s">
        <v>693</v>
      </c>
      <c r="B5468" s="3" t="s">
        <v>703</v>
      </c>
      <c r="C5468" s="3" t="s">
        <v>707</v>
      </c>
    </row>
    <row r="5469">
      <c r="A5469" s="3" t="s">
        <v>693</v>
      </c>
      <c r="B5469" s="3" t="s">
        <v>696</v>
      </c>
      <c r="C5469" s="3" t="s">
        <v>711</v>
      </c>
    </row>
    <row r="5470">
      <c r="A5470" s="3" t="s">
        <v>693</v>
      </c>
      <c r="B5470" s="3" t="s">
        <v>698</v>
      </c>
      <c r="C5470" s="3" t="s">
        <v>577</v>
      </c>
    </row>
    <row r="5471">
      <c r="A5471" s="3" t="s">
        <v>693</v>
      </c>
      <c r="B5471" s="3" t="s">
        <v>703</v>
      </c>
      <c r="C5471" s="3" t="s">
        <v>705</v>
      </c>
    </row>
    <row r="5472">
      <c r="A5472" s="3" t="s">
        <v>693</v>
      </c>
      <c r="B5472" s="3" t="s">
        <v>698</v>
      </c>
      <c r="C5472" s="3" t="s">
        <v>577</v>
      </c>
    </row>
    <row r="5473">
      <c r="A5473" s="3" t="s">
        <v>693</v>
      </c>
      <c r="B5473" s="3" t="s">
        <v>698</v>
      </c>
      <c r="C5473" s="3" t="s">
        <v>716</v>
      </c>
    </row>
    <row r="5474">
      <c r="A5474" s="3" t="s">
        <v>693</v>
      </c>
      <c r="B5474" s="3" t="s">
        <v>698</v>
      </c>
      <c r="C5474" s="3" t="s">
        <v>700</v>
      </c>
    </row>
    <row r="5475">
      <c r="A5475" s="3" t="s">
        <v>693</v>
      </c>
      <c r="B5475" s="3" t="s">
        <v>703</v>
      </c>
      <c r="C5475" s="3" t="s">
        <v>704</v>
      </c>
    </row>
    <row r="5476">
      <c r="A5476" s="3" t="s">
        <v>693</v>
      </c>
      <c r="B5476" s="3" t="s">
        <v>698</v>
      </c>
      <c r="C5476" s="3" t="s">
        <v>577</v>
      </c>
    </row>
    <row r="5477">
      <c r="A5477" s="3" t="s">
        <v>693</v>
      </c>
      <c r="B5477" s="3" t="s">
        <v>701</v>
      </c>
      <c r="C5477" s="3" t="s">
        <v>710</v>
      </c>
    </row>
    <row r="5478">
      <c r="A5478" s="3" t="s">
        <v>693</v>
      </c>
      <c r="B5478" s="3" t="s">
        <v>701</v>
      </c>
      <c r="C5478" s="3" t="s">
        <v>709</v>
      </c>
    </row>
    <row r="5479">
      <c r="A5479" s="3" t="s">
        <v>693</v>
      </c>
      <c r="B5479" s="3" t="s">
        <v>701</v>
      </c>
      <c r="C5479" s="3" t="s">
        <v>710</v>
      </c>
    </row>
    <row r="5480">
      <c r="A5480" s="3" t="s">
        <v>693</v>
      </c>
      <c r="B5480" s="3" t="s">
        <v>698</v>
      </c>
      <c r="C5480" s="3" t="s">
        <v>700</v>
      </c>
    </row>
    <row r="5481">
      <c r="A5481" s="3" t="s">
        <v>693</v>
      </c>
      <c r="B5481" s="3" t="s">
        <v>703</v>
      </c>
      <c r="C5481" s="3" t="s">
        <v>704</v>
      </c>
    </row>
    <row r="5482">
      <c r="A5482" s="3" t="s">
        <v>693</v>
      </c>
      <c r="B5482" s="3" t="s">
        <v>696</v>
      </c>
      <c r="C5482" s="3" t="s">
        <v>712</v>
      </c>
    </row>
    <row r="5483">
      <c r="A5483" s="3" t="s">
        <v>693</v>
      </c>
      <c r="B5483" s="3" t="s">
        <v>698</v>
      </c>
      <c r="C5483" s="3" t="s">
        <v>700</v>
      </c>
    </row>
    <row r="5484">
      <c r="A5484" s="3" t="s">
        <v>693</v>
      </c>
      <c r="B5484" s="3" t="s">
        <v>696</v>
      </c>
      <c r="C5484" s="3" t="s">
        <v>577</v>
      </c>
    </row>
    <row r="5485">
      <c r="A5485" s="3" t="s">
        <v>693</v>
      </c>
      <c r="B5485" s="3" t="s">
        <v>703</v>
      </c>
      <c r="C5485" s="3" t="s">
        <v>707</v>
      </c>
    </row>
    <row r="5486">
      <c r="A5486" s="3" t="s">
        <v>693</v>
      </c>
      <c r="B5486" s="3" t="s">
        <v>703</v>
      </c>
      <c r="C5486" s="3" t="s">
        <v>707</v>
      </c>
    </row>
    <row r="5487">
      <c r="A5487" s="3" t="s">
        <v>693</v>
      </c>
      <c r="B5487" s="3" t="s">
        <v>696</v>
      </c>
      <c r="C5487" s="3" t="s">
        <v>577</v>
      </c>
    </row>
    <row r="5488">
      <c r="A5488" s="3" t="s">
        <v>693</v>
      </c>
      <c r="B5488" s="3" t="s">
        <v>698</v>
      </c>
      <c r="C5488" s="3" t="s">
        <v>699</v>
      </c>
    </row>
    <row r="5489">
      <c r="A5489" s="3" t="s">
        <v>693</v>
      </c>
      <c r="B5489" s="3" t="s">
        <v>701</v>
      </c>
      <c r="C5489" s="3" t="s">
        <v>708</v>
      </c>
    </row>
    <row r="5490">
      <c r="A5490" s="3" t="s">
        <v>693</v>
      </c>
      <c r="B5490" s="3" t="s">
        <v>701</v>
      </c>
      <c r="C5490" s="3" t="s">
        <v>702</v>
      </c>
    </row>
    <row r="5491">
      <c r="A5491" s="3" t="s">
        <v>693</v>
      </c>
      <c r="B5491" s="3" t="s">
        <v>696</v>
      </c>
      <c r="C5491" s="3" t="s">
        <v>711</v>
      </c>
    </row>
    <row r="5492">
      <c r="A5492" s="3" t="s">
        <v>693</v>
      </c>
      <c r="B5492" s="3" t="s">
        <v>703</v>
      </c>
      <c r="C5492" s="3" t="s">
        <v>706</v>
      </c>
    </row>
    <row r="5493">
      <c r="A5493" s="3" t="s">
        <v>693</v>
      </c>
      <c r="B5493" s="3" t="s">
        <v>703</v>
      </c>
      <c r="C5493" s="3" t="s">
        <v>705</v>
      </c>
    </row>
    <row r="5494">
      <c r="A5494" s="3" t="s">
        <v>693</v>
      </c>
      <c r="B5494" s="3" t="s">
        <v>703</v>
      </c>
      <c r="C5494" s="3" t="s">
        <v>707</v>
      </c>
    </row>
    <row r="5495">
      <c r="A5495" s="3" t="s">
        <v>693</v>
      </c>
      <c r="B5495" s="3" t="s">
        <v>694</v>
      </c>
      <c r="C5495" s="3" t="s">
        <v>695</v>
      </c>
    </row>
    <row r="5496">
      <c r="A5496" s="3" t="s">
        <v>693</v>
      </c>
      <c r="B5496" s="3" t="s">
        <v>701</v>
      </c>
      <c r="C5496" s="3" t="s">
        <v>708</v>
      </c>
    </row>
    <row r="5497">
      <c r="A5497" s="3" t="s">
        <v>693</v>
      </c>
      <c r="B5497" s="3" t="s">
        <v>694</v>
      </c>
      <c r="C5497" s="3" t="s">
        <v>695</v>
      </c>
    </row>
    <row r="5498">
      <c r="A5498" s="3" t="s">
        <v>693</v>
      </c>
      <c r="B5498" s="3" t="s">
        <v>696</v>
      </c>
      <c r="C5498" s="3" t="s">
        <v>713</v>
      </c>
    </row>
    <row r="5499">
      <c r="A5499" s="3" t="s">
        <v>693</v>
      </c>
      <c r="B5499" s="3" t="s">
        <v>694</v>
      </c>
      <c r="C5499" s="3" t="s">
        <v>695</v>
      </c>
    </row>
    <row r="5500">
      <c r="A5500" s="3" t="s">
        <v>693</v>
      </c>
      <c r="B5500" s="3" t="s">
        <v>703</v>
      </c>
      <c r="C5500" s="3" t="s">
        <v>707</v>
      </c>
    </row>
    <row r="5501">
      <c r="A5501" s="3" t="s">
        <v>693</v>
      </c>
      <c r="B5501" s="3" t="s">
        <v>698</v>
      </c>
      <c r="C5501" s="3" t="s">
        <v>714</v>
      </c>
    </row>
    <row r="5502">
      <c r="A5502" s="3" t="s">
        <v>693</v>
      </c>
      <c r="B5502" s="3" t="s">
        <v>698</v>
      </c>
      <c r="C5502" s="3" t="s">
        <v>699</v>
      </c>
    </row>
    <row r="5503">
      <c r="A5503" s="3" t="s">
        <v>693</v>
      </c>
      <c r="B5503" s="3" t="s">
        <v>701</v>
      </c>
      <c r="C5503" s="3" t="s">
        <v>702</v>
      </c>
    </row>
    <row r="5504">
      <c r="A5504" s="3" t="s">
        <v>693</v>
      </c>
      <c r="B5504" s="3" t="s">
        <v>703</v>
      </c>
      <c r="C5504" s="3" t="s">
        <v>704</v>
      </c>
    </row>
    <row r="5505">
      <c r="A5505" s="3" t="s">
        <v>693</v>
      </c>
      <c r="B5505" s="3" t="s">
        <v>703</v>
      </c>
      <c r="C5505" s="3" t="s">
        <v>705</v>
      </c>
    </row>
    <row r="5506">
      <c r="A5506" s="3" t="s">
        <v>693</v>
      </c>
      <c r="B5506" s="3" t="s">
        <v>703</v>
      </c>
      <c r="C5506" s="3" t="s">
        <v>706</v>
      </c>
    </row>
    <row r="5507">
      <c r="A5507" s="3" t="s">
        <v>693</v>
      </c>
      <c r="B5507" s="3" t="s">
        <v>703</v>
      </c>
      <c r="C5507" s="3" t="s">
        <v>707</v>
      </c>
    </row>
    <row r="5508">
      <c r="A5508" s="3" t="s">
        <v>693</v>
      </c>
      <c r="B5508" s="3" t="s">
        <v>694</v>
      </c>
      <c r="C5508" s="3" t="s">
        <v>695</v>
      </c>
    </row>
    <row r="5509">
      <c r="A5509" s="3" t="s">
        <v>693</v>
      </c>
      <c r="B5509" s="3" t="s">
        <v>701</v>
      </c>
      <c r="C5509" s="3" t="s">
        <v>708</v>
      </c>
    </row>
    <row r="5510">
      <c r="A5510" s="3" t="s">
        <v>693</v>
      </c>
      <c r="B5510" s="3" t="s">
        <v>701</v>
      </c>
      <c r="C5510" s="3" t="s">
        <v>577</v>
      </c>
    </row>
    <row r="5511">
      <c r="A5511" s="3" t="s">
        <v>693</v>
      </c>
      <c r="B5511" s="3" t="s">
        <v>701</v>
      </c>
      <c r="C5511" s="3" t="s">
        <v>709</v>
      </c>
    </row>
    <row r="5512">
      <c r="A5512" s="3" t="s">
        <v>693</v>
      </c>
      <c r="B5512" s="3" t="s">
        <v>701</v>
      </c>
      <c r="C5512" s="3" t="s">
        <v>710</v>
      </c>
    </row>
    <row r="5513">
      <c r="A5513" s="3" t="s">
        <v>693</v>
      </c>
      <c r="B5513" s="3" t="s">
        <v>701</v>
      </c>
      <c r="C5513" s="3" t="s">
        <v>702</v>
      </c>
    </row>
    <row r="5514">
      <c r="A5514" s="3" t="s">
        <v>693</v>
      </c>
      <c r="B5514" s="3" t="s">
        <v>696</v>
      </c>
      <c r="C5514" s="3" t="s">
        <v>711</v>
      </c>
    </row>
    <row r="5515">
      <c r="A5515" s="3" t="s">
        <v>693</v>
      </c>
      <c r="B5515" s="3" t="s">
        <v>696</v>
      </c>
      <c r="C5515" s="3" t="s">
        <v>697</v>
      </c>
    </row>
    <row r="5516">
      <c r="A5516" s="3" t="s">
        <v>693</v>
      </c>
      <c r="B5516" s="3" t="s">
        <v>696</v>
      </c>
      <c r="C5516" s="3" t="s">
        <v>712</v>
      </c>
    </row>
    <row r="5517">
      <c r="A5517" s="3" t="s">
        <v>693</v>
      </c>
      <c r="B5517" s="3" t="s">
        <v>696</v>
      </c>
      <c r="C5517" s="3" t="s">
        <v>577</v>
      </c>
    </row>
    <row r="5518">
      <c r="A5518" s="3" t="s">
        <v>693</v>
      </c>
      <c r="B5518" s="3" t="s">
        <v>696</v>
      </c>
      <c r="C5518" s="3" t="s">
        <v>713</v>
      </c>
    </row>
    <row r="5519">
      <c r="A5519" s="3" t="s">
        <v>693</v>
      </c>
      <c r="B5519" s="3" t="s">
        <v>698</v>
      </c>
      <c r="C5519" s="3" t="s">
        <v>714</v>
      </c>
    </row>
    <row r="5520">
      <c r="A5520" s="3" t="s">
        <v>693</v>
      </c>
      <c r="B5520" s="3" t="s">
        <v>698</v>
      </c>
      <c r="C5520" s="3" t="s">
        <v>699</v>
      </c>
    </row>
    <row r="5521">
      <c r="A5521" s="3" t="s">
        <v>693</v>
      </c>
      <c r="B5521" s="3" t="s">
        <v>698</v>
      </c>
      <c r="C5521" s="3" t="s">
        <v>700</v>
      </c>
    </row>
    <row r="5522">
      <c r="A5522" s="3" t="s">
        <v>693</v>
      </c>
      <c r="B5522" s="3" t="s">
        <v>698</v>
      </c>
      <c r="C5522" s="3" t="s">
        <v>715</v>
      </c>
    </row>
    <row r="5523">
      <c r="A5523" s="3" t="s">
        <v>693</v>
      </c>
      <c r="B5523" s="3" t="s">
        <v>698</v>
      </c>
      <c r="C5523" s="3" t="s">
        <v>577</v>
      </c>
    </row>
    <row r="5524">
      <c r="A5524" s="3" t="s">
        <v>693</v>
      </c>
      <c r="B5524" s="3" t="s">
        <v>698</v>
      </c>
      <c r="C5524" s="3" t="s">
        <v>716</v>
      </c>
    </row>
    <row r="5525">
      <c r="A5525" s="3" t="s">
        <v>693</v>
      </c>
      <c r="B5525" s="3" t="s">
        <v>701</v>
      </c>
      <c r="C5525" s="3" t="s">
        <v>708</v>
      </c>
    </row>
    <row r="5526">
      <c r="A5526" s="3" t="s">
        <v>693</v>
      </c>
      <c r="B5526" s="3" t="s">
        <v>701</v>
      </c>
      <c r="C5526" s="3" t="s">
        <v>709</v>
      </c>
    </row>
    <row r="5527">
      <c r="A5527" s="3" t="s">
        <v>693</v>
      </c>
      <c r="B5527" s="3" t="s">
        <v>703</v>
      </c>
      <c r="C5527" s="3" t="s">
        <v>707</v>
      </c>
    </row>
    <row r="5528">
      <c r="A5528" s="3" t="s">
        <v>693</v>
      </c>
      <c r="B5528" s="3" t="s">
        <v>703</v>
      </c>
      <c r="C5528" s="3" t="s">
        <v>707</v>
      </c>
    </row>
    <row r="5529">
      <c r="A5529" s="3" t="s">
        <v>693</v>
      </c>
      <c r="B5529" s="3" t="s">
        <v>703</v>
      </c>
      <c r="C5529" s="3" t="s">
        <v>707</v>
      </c>
    </row>
    <row r="5530">
      <c r="A5530" s="3" t="s">
        <v>693</v>
      </c>
      <c r="B5530" s="3" t="s">
        <v>698</v>
      </c>
      <c r="C5530" s="3" t="s">
        <v>715</v>
      </c>
    </row>
    <row r="5531">
      <c r="A5531" s="3" t="s">
        <v>693</v>
      </c>
      <c r="B5531" s="3" t="s">
        <v>703</v>
      </c>
      <c r="C5531" s="3" t="s">
        <v>707</v>
      </c>
    </row>
    <row r="5532">
      <c r="A5532" s="3" t="s">
        <v>693</v>
      </c>
      <c r="B5532" s="3" t="s">
        <v>698</v>
      </c>
      <c r="C5532" s="3" t="s">
        <v>714</v>
      </c>
    </row>
    <row r="5533">
      <c r="A5533" s="3" t="s">
        <v>693</v>
      </c>
      <c r="B5533" s="3" t="s">
        <v>698</v>
      </c>
      <c r="C5533" s="3" t="s">
        <v>699</v>
      </c>
    </row>
    <row r="5534">
      <c r="A5534" s="3" t="s">
        <v>693</v>
      </c>
      <c r="B5534" s="3" t="s">
        <v>703</v>
      </c>
      <c r="C5534" s="3" t="s">
        <v>707</v>
      </c>
    </row>
    <row r="5535">
      <c r="A5535" s="3" t="s">
        <v>693</v>
      </c>
      <c r="B5535" s="3" t="s">
        <v>703</v>
      </c>
      <c r="C5535" s="3" t="s">
        <v>707</v>
      </c>
    </row>
    <row r="5536">
      <c r="A5536" s="3" t="s">
        <v>693</v>
      </c>
      <c r="B5536" s="3" t="s">
        <v>698</v>
      </c>
      <c r="C5536" s="3" t="s">
        <v>700</v>
      </c>
    </row>
    <row r="5537">
      <c r="A5537" s="3" t="s">
        <v>693</v>
      </c>
      <c r="B5537" s="3" t="s">
        <v>698</v>
      </c>
      <c r="C5537" s="3" t="s">
        <v>699</v>
      </c>
    </row>
    <row r="5538">
      <c r="A5538" s="3" t="s">
        <v>693</v>
      </c>
      <c r="B5538" s="3" t="s">
        <v>701</v>
      </c>
      <c r="C5538" s="3" t="s">
        <v>577</v>
      </c>
    </row>
    <row r="5539">
      <c r="A5539" s="3" t="s">
        <v>693</v>
      </c>
      <c r="B5539" s="3" t="s">
        <v>696</v>
      </c>
      <c r="C5539" s="3" t="s">
        <v>711</v>
      </c>
    </row>
    <row r="5540">
      <c r="A5540" s="3" t="s">
        <v>693</v>
      </c>
      <c r="B5540" s="3" t="s">
        <v>698</v>
      </c>
      <c r="C5540" s="3" t="s">
        <v>715</v>
      </c>
    </row>
    <row r="5541">
      <c r="A5541" s="3" t="s">
        <v>693</v>
      </c>
      <c r="B5541" s="3" t="s">
        <v>703</v>
      </c>
      <c r="C5541" s="3" t="s">
        <v>707</v>
      </c>
    </row>
    <row r="5542">
      <c r="A5542" s="3" t="s">
        <v>693</v>
      </c>
      <c r="B5542" s="3" t="s">
        <v>698</v>
      </c>
      <c r="C5542" s="3" t="s">
        <v>700</v>
      </c>
    </row>
    <row r="5543">
      <c r="A5543" s="3" t="s">
        <v>693</v>
      </c>
      <c r="B5543" s="3" t="s">
        <v>703</v>
      </c>
      <c r="C5543" s="3" t="s">
        <v>704</v>
      </c>
    </row>
    <row r="5544">
      <c r="A5544" s="3" t="s">
        <v>693</v>
      </c>
      <c r="B5544" s="3" t="s">
        <v>696</v>
      </c>
      <c r="C5544" s="3" t="s">
        <v>577</v>
      </c>
    </row>
    <row r="5545">
      <c r="A5545" s="3" t="s">
        <v>693</v>
      </c>
      <c r="B5545" s="3" t="s">
        <v>703</v>
      </c>
      <c r="C5545" s="3" t="s">
        <v>707</v>
      </c>
    </row>
    <row r="5546">
      <c r="A5546" s="3" t="s">
        <v>693</v>
      </c>
      <c r="B5546" s="3" t="s">
        <v>698</v>
      </c>
      <c r="C5546" s="3" t="s">
        <v>714</v>
      </c>
    </row>
    <row r="5547">
      <c r="A5547" s="3" t="s">
        <v>693</v>
      </c>
      <c r="B5547" s="3" t="s">
        <v>698</v>
      </c>
      <c r="C5547" s="3" t="s">
        <v>715</v>
      </c>
    </row>
    <row r="5548">
      <c r="A5548" s="3" t="s">
        <v>693</v>
      </c>
      <c r="B5548" s="3" t="s">
        <v>698</v>
      </c>
      <c r="C5548" s="3" t="s">
        <v>699</v>
      </c>
    </row>
    <row r="5549">
      <c r="A5549" s="3" t="s">
        <v>693</v>
      </c>
      <c r="B5549" s="3" t="s">
        <v>698</v>
      </c>
      <c r="C5549" s="3" t="s">
        <v>699</v>
      </c>
    </row>
    <row r="5550">
      <c r="A5550" s="3" t="s">
        <v>693</v>
      </c>
      <c r="B5550" s="3" t="s">
        <v>703</v>
      </c>
      <c r="C5550" s="3" t="s">
        <v>707</v>
      </c>
    </row>
    <row r="5551">
      <c r="A5551" s="3" t="s">
        <v>693</v>
      </c>
      <c r="B5551" s="3" t="s">
        <v>703</v>
      </c>
      <c r="C5551" s="3" t="s">
        <v>707</v>
      </c>
    </row>
    <row r="5552">
      <c r="A5552" s="3" t="s">
        <v>693</v>
      </c>
      <c r="B5552" s="3" t="s">
        <v>696</v>
      </c>
      <c r="C5552" s="3" t="s">
        <v>697</v>
      </c>
    </row>
    <row r="5553">
      <c r="A5553" s="3" t="s">
        <v>693</v>
      </c>
      <c r="B5553" s="3" t="s">
        <v>698</v>
      </c>
      <c r="C5553" s="3" t="s">
        <v>700</v>
      </c>
    </row>
    <row r="5554">
      <c r="A5554" s="3" t="s">
        <v>693</v>
      </c>
      <c r="B5554" s="3" t="s">
        <v>698</v>
      </c>
      <c r="C5554" s="3" t="s">
        <v>699</v>
      </c>
    </row>
    <row r="5555">
      <c r="A5555" s="3" t="s">
        <v>693</v>
      </c>
      <c r="B5555" s="3" t="s">
        <v>696</v>
      </c>
      <c r="C5555" s="3" t="s">
        <v>697</v>
      </c>
    </row>
    <row r="5556">
      <c r="A5556" s="3" t="s">
        <v>693</v>
      </c>
      <c r="B5556" s="3" t="s">
        <v>703</v>
      </c>
      <c r="C5556" s="3" t="s">
        <v>705</v>
      </c>
    </row>
    <row r="5557">
      <c r="A5557" s="3" t="s">
        <v>693</v>
      </c>
      <c r="B5557" s="3" t="s">
        <v>698</v>
      </c>
      <c r="C5557" s="3" t="s">
        <v>699</v>
      </c>
    </row>
    <row r="5558">
      <c r="A5558" s="3" t="s">
        <v>693</v>
      </c>
      <c r="B5558" s="3" t="s">
        <v>698</v>
      </c>
      <c r="C5558" s="3" t="s">
        <v>714</v>
      </c>
    </row>
    <row r="5559">
      <c r="A5559" s="3" t="s">
        <v>693</v>
      </c>
      <c r="B5559" s="3" t="s">
        <v>698</v>
      </c>
      <c r="C5559" s="3" t="s">
        <v>715</v>
      </c>
    </row>
    <row r="5560">
      <c r="A5560" s="3" t="s">
        <v>693</v>
      </c>
      <c r="B5560" s="3" t="s">
        <v>696</v>
      </c>
      <c r="C5560" s="3" t="s">
        <v>712</v>
      </c>
    </row>
    <row r="5561">
      <c r="A5561" s="3" t="s">
        <v>693</v>
      </c>
      <c r="B5561" s="3" t="s">
        <v>698</v>
      </c>
      <c r="C5561" s="3" t="s">
        <v>714</v>
      </c>
    </row>
    <row r="5562">
      <c r="A5562" s="3" t="s">
        <v>693</v>
      </c>
      <c r="B5562" s="3" t="s">
        <v>698</v>
      </c>
      <c r="C5562" s="3" t="s">
        <v>714</v>
      </c>
    </row>
    <row r="5563">
      <c r="A5563" s="3" t="s">
        <v>693</v>
      </c>
      <c r="B5563" s="3" t="s">
        <v>698</v>
      </c>
      <c r="C5563" s="3" t="s">
        <v>714</v>
      </c>
    </row>
    <row r="5564">
      <c r="A5564" s="3" t="s">
        <v>693</v>
      </c>
      <c r="B5564" s="3" t="s">
        <v>696</v>
      </c>
      <c r="C5564" s="3" t="s">
        <v>697</v>
      </c>
    </row>
    <row r="5565">
      <c r="A5565" s="3" t="s">
        <v>693</v>
      </c>
      <c r="B5565" s="3" t="s">
        <v>696</v>
      </c>
      <c r="C5565" s="3" t="s">
        <v>712</v>
      </c>
    </row>
    <row r="5566">
      <c r="A5566" s="3" t="s">
        <v>693</v>
      </c>
      <c r="B5566" s="3" t="s">
        <v>698</v>
      </c>
      <c r="C5566" s="3" t="s">
        <v>714</v>
      </c>
    </row>
    <row r="5567">
      <c r="A5567" s="3" t="s">
        <v>693</v>
      </c>
      <c r="B5567" s="3" t="s">
        <v>698</v>
      </c>
      <c r="C5567" s="3" t="s">
        <v>715</v>
      </c>
    </row>
    <row r="5568">
      <c r="A5568" s="3" t="s">
        <v>693</v>
      </c>
      <c r="B5568" s="3" t="s">
        <v>701</v>
      </c>
      <c r="C5568" s="3" t="s">
        <v>702</v>
      </c>
    </row>
    <row r="5569">
      <c r="A5569" s="3" t="s">
        <v>693</v>
      </c>
      <c r="B5569" s="3" t="s">
        <v>703</v>
      </c>
      <c r="C5569" s="3" t="s">
        <v>704</v>
      </c>
    </row>
    <row r="5570">
      <c r="A5570" s="3" t="s">
        <v>693</v>
      </c>
      <c r="B5570" s="3" t="s">
        <v>703</v>
      </c>
      <c r="C5570" s="3" t="s">
        <v>705</v>
      </c>
    </row>
    <row r="5571">
      <c r="A5571" s="3" t="s">
        <v>693</v>
      </c>
      <c r="B5571" s="3" t="s">
        <v>703</v>
      </c>
      <c r="C5571" s="3" t="s">
        <v>706</v>
      </c>
    </row>
    <row r="5572">
      <c r="A5572" s="3" t="s">
        <v>693</v>
      </c>
      <c r="B5572" s="3" t="s">
        <v>703</v>
      </c>
      <c r="C5572" s="3" t="s">
        <v>707</v>
      </c>
    </row>
    <row r="5573">
      <c r="A5573" s="3" t="s">
        <v>693</v>
      </c>
      <c r="B5573" s="3" t="s">
        <v>694</v>
      </c>
      <c r="C5573" s="3" t="s">
        <v>695</v>
      </c>
    </row>
    <row r="5574">
      <c r="A5574" s="3" t="s">
        <v>693</v>
      </c>
      <c r="B5574" s="3" t="s">
        <v>701</v>
      </c>
      <c r="C5574" s="3" t="s">
        <v>708</v>
      </c>
    </row>
    <row r="5575">
      <c r="A5575" s="3" t="s">
        <v>693</v>
      </c>
      <c r="B5575" s="3" t="s">
        <v>701</v>
      </c>
      <c r="C5575" s="3" t="s">
        <v>577</v>
      </c>
    </row>
    <row r="5576">
      <c r="A5576" s="3" t="s">
        <v>693</v>
      </c>
      <c r="B5576" s="3" t="s">
        <v>701</v>
      </c>
      <c r="C5576" s="3" t="s">
        <v>709</v>
      </c>
    </row>
    <row r="5577">
      <c r="A5577" s="3" t="s">
        <v>693</v>
      </c>
      <c r="B5577" s="3" t="s">
        <v>701</v>
      </c>
      <c r="C5577" s="3" t="s">
        <v>710</v>
      </c>
    </row>
    <row r="5578">
      <c r="A5578" s="3" t="s">
        <v>693</v>
      </c>
      <c r="B5578" s="3" t="s">
        <v>701</v>
      </c>
      <c r="C5578" s="3" t="s">
        <v>702</v>
      </c>
    </row>
    <row r="5579">
      <c r="A5579" s="3" t="s">
        <v>693</v>
      </c>
      <c r="B5579" s="3" t="s">
        <v>696</v>
      </c>
      <c r="C5579" s="3" t="s">
        <v>711</v>
      </c>
    </row>
    <row r="5580">
      <c r="A5580" s="3" t="s">
        <v>693</v>
      </c>
      <c r="B5580" s="3" t="s">
        <v>696</v>
      </c>
      <c r="C5580" s="3" t="s">
        <v>697</v>
      </c>
    </row>
    <row r="5581">
      <c r="A5581" s="3" t="s">
        <v>693</v>
      </c>
      <c r="B5581" s="3" t="s">
        <v>696</v>
      </c>
      <c r="C5581" s="3" t="s">
        <v>712</v>
      </c>
    </row>
    <row r="5582">
      <c r="A5582" s="3" t="s">
        <v>693</v>
      </c>
      <c r="B5582" s="3" t="s">
        <v>696</v>
      </c>
      <c r="C5582" s="3" t="s">
        <v>577</v>
      </c>
    </row>
    <row r="5583">
      <c r="A5583" s="3" t="s">
        <v>693</v>
      </c>
      <c r="B5583" s="3" t="s">
        <v>696</v>
      </c>
      <c r="C5583" s="3" t="s">
        <v>713</v>
      </c>
    </row>
    <row r="5584">
      <c r="A5584" s="3" t="s">
        <v>693</v>
      </c>
      <c r="B5584" s="3" t="s">
        <v>698</v>
      </c>
      <c r="C5584" s="3" t="s">
        <v>714</v>
      </c>
    </row>
    <row r="5585">
      <c r="A5585" s="3" t="s">
        <v>693</v>
      </c>
      <c r="B5585" s="3" t="s">
        <v>698</v>
      </c>
      <c r="C5585" s="3" t="s">
        <v>699</v>
      </c>
    </row>
    <row r="5586">
      <c r="A5586" s="3" t="s">
        <v>693</v>
      </c>
      <c r="B5586" s="3" t="s">
        <v>698</v>
      </c>
      <c r="C5586" s="3" t="s">
        <v>700</v>
      </c>
    </row>
    <row r="5587">
      <c r="A5587" s="3" t="s">
        <v>693</v>
      </c>
      <c r="B5587" s="3" t="s">
        <v>698</v>
      </c>
      <c r="C5587" s="3" t="s">
        <v>715</v>
      </c>
    </row>
    <row r="5588">
      <c r="A5588" s="3" t="s">
        <v>693</v>
      </c>
      <c r="B5588" s="3" t="s">
        <v>698</v>
      </c>
      <c r="C5588" s="3" t="s">
        <v>577</v>
      </c>
    </row>
    <row r="5589">
      <c r="A5589" s="3" t="s">
        <v>693</v>
      </c>
      <c r="B5589" s="3" t="s">
        <v>698</v>
      </c>
      <c r="C5589" s="3" t="s">
        <v>716</v>
      </c>
    </row>
    <row r="5590">
      <c r="A5590" s="3" t="s">
        <v>693</v>
      </c>
      <c r="B5590" s="3" t="s">
        <v>698</v>
      </c>
      <c r="C5590" s="3" t="s">
        <v>577</v>
      </c>
    </row>
    <row r="5591">
      <c r="A5591" s="3" t="s">
        <v>693</v>
      </c>
      <c r="B5591" s="3" t="s">
        <v>698</v>
      </c>
      <c r="C5591" s="3" t="s">
        <v>715</v>
      </c>
    </row>
    <row r="5592">
      <c r="A5592" s="3" t="s">
        <v>693</v>
      </c>
      <c r="B5592" s="3" t="s">
        <v>703</v>
      </c>
      <c r="C5592" s="3" t="s">
        <v>707</v>
      </c>
    </row>
    <row r="5593">
      <c r="A5593" s="3" t="s">
        <v>693</v>
      </c>
      <c r="B5593" s="3" t="s">
        <v>701</v>
      </c>
      <c r="C5593" s="3" t="s">
        <v>577</v>
      </c>
    </row>
    <row r="5594">
      <c r="A5594" s="3" t="s">
        <v>693</v>
      </c>
      <c r="B5594" s="3" t="s">
        <v>698</v>
      </c>
      <c r="C5594" s="3" t="s">
        <v>714</v>
      </c>
    </row>
    <row r="5595">
      <c r="A5595" s="3" t="s">
        <v>693</v>
      </c>
      <c r="B5595" s="3" t="s">
        <v>701</v>
      </c>
      <c r="C5595" s="3" t="s">
        <v>709</v>
      </c>
    </row>
    <row r="5596">
      <c r="A5596" s="3" t="s">
        <v>693</v>
      </c>
      <c r="B5596" s="3" t="s">
        <v>698</v>
      </c>
      <c r="C5596" s="3" t="s">
        <v>699</v>
      </c>
    </row>
    <row r="5597">
      <c r="A5597" s="3" t="s">
        <v>693</v>
      </c>
      <c r="B5597" s="3" t="s">
        <v>698</v>
      </c>
      <c r="C5597" s="3" t="s">
        <v>577</v>
      </c>
    </row>
    <row r="5598">
      <c r="A5598" s="3" t="s">
        <v>693</v>
      </c>
      <c r="B5598" s="3" t="s">
        <v>701</v>
      </c>
      <c r="C5598" s="3" t="s">
        <v>708</v>
      </c>
    </row>
    <row r="5599">
      <c r="A5599" s="3" t="s">
        <v>693</v>
      </c>
      <c r="B5599" s="3" t="s">
        <v>703</v>
      </c>
      <c r="C5599" s="3" t="s">
        <v>707</v>
      </c>
    </row>
    <row r="5600">
      <c r="A5600" s="3" t="s">
        <v>693</v>
      </c>
      <c r="B5600" s="3" t="s">
        <v>703</v>
      </c>
      <c r="C5600" s="3" t="s">
        <v>705</v>
      </c>
    </row>
    <row r="5601">
      <c r="A5601" s="3" t="s">
        <v>693</v>
      </c>
      <c r="B5601" s="3" t="s">
        <v>701</v>
      </c>
      <c r="C5601" s="3" t="s">
        <v>702</v>
      </c>
    </row>
    <row r="5602">
      <c r="A5602" s="3" t="s">
        <v>693</v>
      </c>
      <c r="B5602" s="3" t="s">
        <v>703</v>
      </c>
      <c r="C5602" s="3" t="s">
        <v>704</v>
      </c>
    </row>
    <row r="5603">
      <c r="A5603" s="3" t="s">
        <v>693</v>
      </c>
      <c r="B5603" s="3" t="s">
        <v>703</v>
      </c>
      <c r="C5603" s="3" t="s">
        <v>705</v>
      </c>
    </row>
    <row r="5604">
      <c r="A5604" s="3" t="s">
        <v>693</v>
      </c>
      <c r="B5604" s="3" t="s">
        <v>703</v>
      </c>
      <c r="C5604" s="3" t="s">
        <v>706</v>
      </c>
    </row>
    <row r="5605">
      <c r="A5605" s="3" t="s">
        <v>693</v>
      </c>
      <c r="B5605" s="3" t="s">
        <v>703</v>
      </c>
      <c r="C5605" s="3" t="s">
        <v>707</v>
      </c>
    </row>
    <row r="5606">
      <c r="A5606" s="3" t="s">
        <v>693</v>
      </c>
      <c r="B5606" s="3" t="s">
        <v>694</v>
      </c>
      <c r="C5606" s="3" t="s">
        <v>695</v>
      </c>
    </row>
    <row r="5607">
      <c r="A5607" s="3" t="s">
        <v>693</v>
      </c>
      <c r="B5607" s="3" t="s">
        <v>701</v>
      </c>
      <c r="C5607" s="3" t="s">
        <v>708</v>
      </c>
    </row>
    <row r="5608">
      <c r="A5608" s="3" t="s">
        <v>693</v>
      </c>
      <c r="B5608" s="3" t="s">
        <v>701</v>
      </c>
      <c r="C5608" s="3" t="s">
        <v>577</v>
      </c>
    </row>
    <row r="5609">
      <c r="A5609" s="3" t="s">
        <v>693</v>
      </c>
      <c r="B5609" s="3" t="s">
        <v>701</v>
      </c>
      <c r="C5609" s="3" t="s">
        <v>709</v>
      </c>
    </row>
    <row r="5610">
      <c r="A5610" s="3" t="s">
        <v>693</v>
      </c>
      <c r="B5610" s="3" t="s">
        <v>701</v>
      </c>
      <c r="C5610" s="3" t="s">
        <v>710</v>
      </c>
    </row>
    <row r="5611">
      <c r="A5611" s="3" t="s">
        <v>693</v>
      </c>
      <c r="B5611" s="3" t="s">
        <v>701</v>
      </c>
      <c r="C5611" s="3" t="s">
        <v>702</v>
      </c>
    </row>
    <row r="5612">
      <c r="A5612" s="3" t="s">
        <v>693</v>
      </c>
      <c r="B5612" s="3" t="s">
        <v>696</v>
      </c>
      <c r="C5612" s="3" t="s">
        <v>711</v>
      </c>
    </row>
    <row r="5613">
      <c r="A5613" s="3" t="s">
        <v>693</v>
      </c>
      <c r="B5613" s="3" t="s">
        <v>696</v>
      </c>
      <c r="C5613" s="3" t="s">
        <v>697</v>
      </c>
    </row>
    <row r="5614">
      <c r="A5614" s="3" t="s">
        <v>693</v>
      </c>
      <c r="B5614" s="3" t="s">
        <v>696</v>
      </c>
      <c r="C5614" s="3" t="s">
        <v>712</v>
      </c>
    </row>
    <row r="5615">
      <c r="A5615" s="3" t="s">
        <v>693</v>
      </c>
      <c r="B5615" s="3" t="s">
        <v>696</v>
      </c>
      <c r="C5615" s="3" t="s">
        <v>577</v>
      </c>
    </row>
    <row r="5616">
      <c r="A5616" s="3" t="s">
        <v>693</v>
      </c>
      <c r="B5616" s="3" t="s">
        <v>696</v>
      </c>
      <c r="C5616" s="3" t="s">
        <v>713</v>
      </c>
    </row>
    <row r="5617">
      <c r="A5617" s="3" t="s">
        <v>693</v>
      </c>
      <c r="B5617" s="3" t="s">
        <v>698</v>
      </c>
      <c r="C5617" s="3" t="s">
        <v>714</v>
      </c>
    </row>
    <row r="5618">
      <c r="A5618" s="3" t="s">
        <v>693</v>
      </c>
      <c r="B5618" s="3" t="s">
        <v>698</v>
      </c>
      <c r="C5618" s="3" t="s">
        <v>699</v>
      </c>
    </row>
    <row r="5619">
      <c r="A5619" s="3" t="s">
        <v>693</v>
      </c>
      <c r="B5619" s="3" t="s">
        <v>698</v>
      </c>
      <c r="C5619" s="3" t="s">
        <v>700</v>
      </c>
    </row>
    <row r="5620">
      <c r="A5620" s="3" t="s">
        <v>693</v>
      </c>
      <c r="B5620" s="3" t="s">
        <v>698</v>
      </c>
      <c r="C5620" s="3" t="s">
        <v>715</v>
      </c>
    </row>
    <row r="5621">
      <c r="A5621" s="3" t="s">
        <v>693</v>
      </c>
      <c r="B5621" s="3" t="s">
        <v>698</v>
      </c>
      <c r="C5621" s="3" t="s">
        <v>577</v>
      </c>
    </row>
    <row r="5622">
      <c r="A5622" s="3" t="s">
        <v>693</v>
      </c>
      <c r="B5622" s="3" t="s">
        <v>698</v>
      </c>
      <c r="C5622" s="3" t="s">
        <v>716</v>
      </c>
    </row>
    <row r="5623">
      <c r="A5623" s="3" t="s">
        <v>693</v>
      </c>
      <c r="B5623" s="3" t="s">
        <v>703</v>
      </c>
      <c r="C5623" s="3" t="s">
        <v>705</v>
      </c>
    </row>
    <row r="5624">
      <c r="A5624" s="3" t="s">
        <v>693</v>
      </c>
      <c r="B5624" s="3" t="s">
        <v>698</v>
      </c>
      <c r="C5624" s="3" t="s">
        <v>577</v>
      </c>
    </row>
    <row r="5625">
      <c r="A5625" s="3" t="s">
        <v>693</v>
      </c>
      <c r="B5625" s="3" t="s">
        <v>698</v>
      </c>
      <c r="C5625" s="3" t="s">
        <v>714</v>
      </c>
    </row>
    <row r="5626">
      <c r="A5626" s="3" t="s">
        <v>693</v>
      </c>
      <c r="B5626" s="3" t="s">
        <v>698</v>
      </c>
      <c r="C5626" s="3" t="s">
        <v>700</v>
      </c>
    </row>
    <row r="5627">
      <c r="A5627" s="3" t="s">
        <v>693</v>
      </c>
      <c r="B5627" s="3" t="s">
        <v>698</v>
      </c>
      <c r="C5627" s="3" t="s">
        <v>714</v>
      </c>
    </row>
    <row r="5628">
      <c r="A5628" s="3" t="s">
        <v>693</v>
      </c>
      <c r="B5628" s="3" t="s">
        <v>701</v>
      </c>
      <c r="C5628" s="3" t="s">
        <v>702</v>
      </c>
    </row>
    <row r="5629">
      <c r="A5629" s="3" t="s">
        <v>693</v>
      </c>
      <c r="B5629" s="3" t="s">
        <v>701</v>
      </c>
      <c r="C5629" s="3" t="s">
        <v>709</v>
      </c>
    </row>
    <row r="5630">
      <c r="A5630" s="3" t="s">
        <v>693</v>
      </c>
      <c r="B5630" s="3" t="s">
        <v>696</v>
      </c>
      <c r="C5630" s="3" t="s">
        <v>697</v>
      </c>
    </row>
    <row r="5631">
      <c r="A5631" s="3" t="s">
        <v>693</v>
      </c>
      <c r="B5631" s="3" t="s">
        <v>696</v>
      </c>
      <c r="C5631" s="3" t="s">
        <v>577</v>
      </c>
    </row>
    <row r="5632">
      <c r="A5632" s="3" t="s">
        <v>693</v>
      </c>
      <c r="B5632" s="3" t="s">
        <v>703</v>
      </c>
      <c r="C5632" s="3" t="s">
        <v>704</v>
      </c>
    </row>
    <row r="5633">
      <c r="A5633" s="3" t="s">
        <v>693</v>
      </c>
      <c r="B5633" s="3" t="s">
        <v>703</v>
      </c>
      <c r="C5633" s="3" t="s">
        <v>705</v>
      </c>
    </row>
    <row r="5634">
      <c r="A5634" s="3" t="s">
        <v>693</v>
      </c>
      <c r="B5634" s="3" t="s">
        <v>703</v>
      </c>
      <c r="C5634" s="3" t="s">
        <v>705</v>
      </c>
    </row>
    <row r="5635">
      <c r="A5635" s="3" t="s">
        <v>693</v>
      </c>
      <c r="B5635" s="3" t="s">
        <v>701</v>
      </c>
      <c r="C5635" s="3" t="s">
        <v>577</v>
      </c>
    </row>
    <row r="5636">
      <c r="A5636" s="3" t="s">
        <v>693</v>
      </c>
      <c r="B5636" s="3" t="s">
        <v>701</v>
      </c>
      <c r="C5636" s="3" t="s">
        <v>577</v>
      </c>
    </row>
    <row r="5637">
      <c r="A5637" s="3" t="s">
        <v>693</v>
      </c>
      <c r="B5637" s="3" t="s">
        <v>698</v>
      </c>
      <c r="C5637" s="3" t="s">
        <v>715</v>
      </c>
    </row>
    <row r="5638">
      <c r="A5638" s="3" t="s">
        <v>693</v>
      </c>
      <c r="B5638" s="3" t="s">
        <v>696</v>
      </c>
      <c r="C5638" s="3" t="s">
        <v>697</v>
      </c>
    </row>
    <row r="5639">
      <c r="A5639" s="3" t="s">
        <v>693</v>
      </c>
      <c r="B5639" s="3" t="s">
        <v>698</v>
      </c>
      <c r="C5639" s="3" t="s">
        <v>715</v>
      </c>
    </row>
    <row r="5640">
      <c r="A5640" s="3" t="s">
        <v>693</v>
      </c>
      <c r="B5640" s="3" t="s">
        <v>696</v>
      </c>
      <c r="C5640" s="3" t="s">
        <v>577</v>
      </c>
    </row>
    <row r="5641">
      <c r="A5641" s="3" t="s">
        <v>693</v>
      </c>
      <c r="B5641" s="3" t="s">
        <v>696</v>
      </c>
      <c r="C5641" s="3" t="s">
        <v>712</v>
      </c>
    </row>
    <row r="5642">
      <c r="A5642" s="3" t="s">
        <v>693</v>
      </c>
      <c r="B5642" s="3" t="s">
        <v>701</v>
      </c>
      <c r="C5642" s="3" t="s">
        <v>702</v>
      </c>
    </row>
    <row r="5643">
      <c r="A5643" s="3" t="s">
        <v>693</v>
      </c>
      <c r="B5643" s="3" t="s">
        <v>701</v>
      </c>
      <c r="C5643" s="3" t="s">
        <v>708</v>
      </c>
    </row>
    <row r="5644">
      <c r="A5644" s="3" t="s">
        <v>693</v>
      </c>
      <c r="B5644" s="3" t="s">
        <v>696</v>
      </c>
      <c r="C5644" s="3" t="s">
        <v>712</v>
      </c>
    </row>
    <row r="5645">
      <c r="A5645" s="3" t="s">
        <v>693</v>
      </c>
      <c r="B5645" s="3" t="s">
        <v>696</v>
      </c>
      <c r="C5645" s="3" t="s">
        <v>712</v>
      </c>
    </row>
    <row r="5646">
      <c r="A5646" s="3" t="s">
        <v>693</v>
      </c>
      <c r="B5646" s="3" t="s">
        <v>698</v>
      </c>
      <c r="C5646" s="3" t="s">
        <v>577</v>
      </c>
    </row>
    <row r="5647">
      <c r="A5647" s="3" t="s">
        <v>693</v>
      </c>
      <c r="B5647" s="3" t="s">
        <v>701</v>
      </c>
      <c r="C5647" s="3" t="s">
        <v>709</v>
      </c>
    </row>
    <row r="5648">
      <c r="A5648" s="3" t="s">
        <v>693</v>
      </c>
      <c r="B5648" s="3" t="s">
        <v>701</v>
      </c>
      <c r="C5648" s="3" t="s">
        <v>709</v>
      </c>
    </row>
    <row r="5649">
      <c r="A5649" s="3" t="s">
        <v>693</v>
      </c>
      <c r="B5649" s="3" t="s">
        <v>703</v>
      </c>
      <c r="C5649" s="3" t="s">
        <v>707</v>
      </c>
    </row>
    <row r="5650">
      <c r="A5650" s="3" t="s">
        <v>693</v>
      </c>
      <c r="B5650" s="3" t="s">
        <v>698</v>
      </c>
      <c r="C5650" s="3" t="s">
        <v>715</v>
      </c>
    </row>
    <row r="5651">
      <c r="A5651" s="3" t="s">
        <v>693</v>
      </c>
      <c r="B5651" s="3" t="s">
        <v>703</v>
      </c>
      <c r="C5651" s="3" t="s">
        <v>707</v>
      </c>
    </row>
    <row r="5652">
      <c r="A5652" s="3" t="s">
        <v>693</v>
      </c>
      <c r="B5652" s="3" t="s">
        <v>696</v>
      </c>
      <c r="C5652" s="3" t="s">
        <v>697</v>
      </c>
    </row>
    <row r="5653">
      <c r="A5653" s="3" t="s">
        <v>693</v>
      </c>
      <c r="B5653" s="3" t="s">
        <v>696</v>
      </c>
      <c r="C5653" s="3" t="s">
        <v>712</v>
      </c>
    </row>
    <row r="5654">
      <c r="A5654" s="3" t="s">
        <v>693</v>
      </c>
      <c r="B5654" s="3" t="s">
        <v>701</v>
      </c>
      <c r="C5654" s="3" t="s">
        <v>709</v>
      </c>
    </row>
    <row r="5655">
      <c r="A5655" s="3" t="s">
        <v>693</v>
      </c>
      <c r="B5655" s="3" t="s">
        <v>703</v>
      </c>
      <c r="C5655" s="3" t="s">
        <v>707</v>
      </c>
    </row>
    <row r="5656">
      <c r="A5656" s="3" t="s">
        <v>693</v>
      </c>
      <c r="B5656" s="3" t="s">
        <v>698</v>
      </c>
      <c r="C5656" s="3" t="s">
        <v>715</v>
      </c>
    </row>
    <row r="5657">
      <c r="A5657" s="3" t="s">
        <v>693</v>
      </c>
      <c r="B5657" s="3" t="s">
        <v>696</v>
      </c>
      <c r="C5657" s="3" t="s">
        <v>711</v>
      </c>
    </row>
    <row r="5658">
      <c r="A5658" s="3" t="s">
        <v>693</v>
      </c>
      <c r="B5658" s="3" t="s">
        <v>696</v>
      </c>
      <c r="C5658" s="3" t="s">
        <v>697</v>
      </c>
    </row>
    <row r="5659">
      <c r="A5659" s="3" t="s">
        <v>693</v>
      </c>
      <c r="B5659" s="3" t="s">
        <v>698</v>
      </c>
      <c r="C5659" s="3" t="s">
        <v>714</v>
      </c>
    </row>
    <row r="5660">
      <c r="A5660" s="3" t="s">
        <v>693</v>
      </c>
      <c r="B5660" s="3" t="s">
        <v>696</v>
      </c>
      <c r="C5660" s="3" t="s">
        <v>697</v>
      </c>
    </row>
    <row r="5661">
      <c r="A5661" s="3" t="s">
        <v>693</v>
      </c>
      <c r="B5661" s="3" t="s">
        <v>701</v>
      </c>
      <c r="C5661" s="3" t="s">
        <v>708</v>
      </c>
    </row>
    <row r="5662">
      <c r="A5662" s="3" t="s">
        <v>693</v>
      </c>
      <c r="B5662" s="3" t="s">
        <v>701</v>
      </c>
      <c r="C5662" s="3" t="s">
        <v>708</v>
      </c>
    </row>
    <row r="5663">
      <c r="A5663" s="3" t="s">
        <v>693</v>
      </c>
      <c r="B5663" s="3" t="s">
        <v>698</v>
      </c>
      <c r="C5663" s="3" t="s">
        <v>577</v>
      </c>
    </row>
    <row r="5664">
      <c r="A5664" s="3" t="s">
        <v>693</v>
      </c>
      <c r="B5664" s="3" t="s">
        <v>694</v>
      </c>
      <c r="C5664" s="3" t="s">
        <v>695</v>
      </c>
    </row>
    <row r="5665">
      <c r="A5665" s="3" t="s">
        <v>693</v>
      </c>
      <c r="B5665" s="3" t="s">
        <v>698</v>
      </c>
      <c r="C5665" s="3" t="s">
        <v>700</v>
      </c>
    </row>
    <row r="5666">
      <c r="A5666" s="3" t="s">
        <v>693</v>
      </c>
      <c r="B5666" s="3" t="s">
        <v>703</v>
      </c>
      <c r="C5666" s="3" t="s">
        <v>707</v>
      </c>
    </row>
    <row r="5667">
      <c r="A5667" s="3" t="s">
        <v>693</v>
      </c>
      <c r="B5667" s="3" t="s">
        <v>696</v>
      </c>
      <c r="C5667" s="3" t="s">
        <v>711</v>
      </c>
    </row>
    <row r="5668">
      <c r="A5668" s="3" t="s">
        <v>693</v>
      </c>
      <c r="B5668" s="3" t="s">
        <v>703</v>
      </c>
      <c r="C5668" s="3" t="s">
        <v>705</v>
      </c>
    </row>
    <row r="5669">
      <c r="A5669" s="3" t="s">
        <v>693</v>
      </c>
      <c r="B5669" s="3" t="s">
        <v>703</v>
      </c>
      <c r="C5669" s="3" t="s">
        <v>705</v>
      </c>
    </row>
    <row r="5670">
      <c r="A5670" s="3" t="s">
        <v>693</v>
      </c>
      <c r="B5670" s="3" t="s">
        <v>694</v>
      </c>
      <c r="C5670" s="3" t="s">
        <v>695</v>
      </c>
    </row>
    <row r="5671">
      <c r="A5671" s="3" t="s">
        <v>693</v>
      </c>
      <c r="B5671" s="3" t="s">
        <v>701</v>
      </c>
      <c r="C5671" s="3" t="s">
        <v>709</v>
      </c>
    </row>
    <row r="5672">
      <c r="A5672" s="3" t="s">
        <v>693</v>
      </c>
      <c r="B5672" s="3" t="s">
        <v>696</v>
      </c>
      <c r="C5672" s="3" t="s">
        <v>711</v>
      </c>
    </row>
    <row r="5673">
      <c r="A5673" s="3" t="s">
        <v>693</v>
      </c>
      <c r="B5673" s="3" t="s">
        <v>703</v>
      </c>
      <c r="C5673" s="3" t="s">
        <v>704</v>
      </c>
    </row>
    <row r="5674">
      <c r="A5674" s="3" t="s">
        <v>693</v>
      </c>
      <c r="B5674" s="3" t="s">
        <v>696</v>
      </c>
      <c r="C5674" s="3" t="s">
        <v>697</v>
      </c>
    </row>
    <row r="5675">
      <c r="A5675" s="3" t="s">
        <v>693</v>
      </c>
      <c r="B5675" s="3" t="s">
        <v>696</v>
      </c>
      <c r="C5675" s="3" t="s">
        <v>577</v>
      </c>
    </row>
    <row r="5676">
      <c r="A5676" s="3" t="s">
        <v>693</v>
      </c>
      <c r="B5676" s="3" t="s">
        <v>698</v>
      </c>
      <c r="C5676" s="3" t="s">
        <v>577</v>
      </c>
    </row>
    <row r="5677">
      <c r="A5677" s="3" t="s">
        <v>717</v>
      </c>
      <c r="B5677" s="3" t="s">
        <v>718</v>
      </c>
      <c r="C5677" s="3" t="s">
        <v>719</v>
      </c>
    </row>
    <row r="5678">
      <c r="A5678" s="3" t="s">
        <v>717</v>
      </c>
      <c r="B5678" s="3" t="s">
        <v>720</v>
      </c>
      <c r="C5678" s="3" t="s">
        <v>721</v>
      </c>
    </row>
    <row r="5679">
      <c r="A5679" s="3" t="s">
        <v>717</v>
      </c>
      <c r="B5679" s="3" t="s">
        <v>722</v>
      </c>
      <c r="C5679" s="3" t="s">
        <v>723</v>
      </c>
    </row>
    <row r="5680">
      <c r="A5680" s="3" t="s">
        <v>717</v>
      </c>
      <c r="B5680" s="3" t="s">
        <v>223</v>
      </c>
      <c r="C5680" s="3" t="s">
        <v>724</v>
      </c>
    </row>
    <row r="5681">
      <c r="A5681" s="3" t="s">
        <v>717</v>
      </c>
      <c r="B5681" s="3" t="s">
        <v>725</v>
      </c>
      <c r="C5681" s="3" t="s">
        <v>663</v>
      </c>
    </row>
    <row r="5682">
      <c r="A5682" s="3" t="s">
        <v>717</v>
      </c>
      <c r="B5682" s="3" t="s">
        <v>725</v>
      </c>
      <c r="C5682" s="3" t="s">
        <v>726</v>
      </c>
    </row>
    <row r="5683">
      <c r="A5683" s="3" t="s">
        <v>717</v>
      </c>
      <c r="B5683" s="3" t="s">
        <v>223</v>
      </c>
      <c r="C5683" s="3" t="s">
        <v>727</v>
      </c>
    </row>
    <row r="5684">
      <c r="A5684" s="3" t="s">
        <v>717</v>
      </c>
      <c r="B5684" s="3" t="s">
        <v>725</v>
      </c>
      <c r="C5684" s="3" t="s">
        <v>728</v>
      </c>
    </row>
    <row r="5685">
      <c r="A5685" s="3" t="s">
        <v>717</v>
      </c>
      <c r="B5685" s="3" t="s">
        <v>718</v>
      </c>
      <c r="C5685" s="3" t="s">
        <v>729</v>
      </c>
    </row>
    <row r="5686">
      <c r="A5686" s="3" t="s">
        <v>717</v>
      </c>
      <c r="B5686" s="3" t="s">
        <v>730</v>
      </c>
      <c r="C5686" s="3" t="s">
        <v>731</v>
      </c>
    </row>
    <row r="5687">
      <c r="A5687" s="3" t="s">
        <v>717</v>
      </c>
      <c r="B5687" s="3" t="s">
        <v>730</v>
      </c>
      <c r="C5687" s="3" t="s">
        <v>731</v>
      </c>
    </row>
    <row r="5688">
      <c r="A5688" s="3" t="s">
        <v>717</v>
      </c>
      <c r="B5688" s="3" t="s">
        <v>725</v>
      </c>
      <c r="C5688" s="3" t="s">
        <v>728</v>
      </c>
    </row>
    <row r="5689">
      <c r="A5689" s="3" t="s">
        <v>717</v>
      </c>
      <c r="B5689" s="3" t="s">
        <v>718</v>
      </c>
      <c r="C5689" s="3" t="s">
        <v>732</v>
      </c>
    </row>
    <row r="5690">
      <c r="A5690" s="3" t="s">
        <v>717</v>
      </c>
      <c r="B5690" s="3" t="s">
        <v>725</v>
      </c>
      <c r="C5690" s="3" t="s">
        <v>728</v>
      </c>
    </row>
    <row r="5691">
      <c r="A5691" s="3" t="s">
        <v>717</v>
      </c>
      <c r="B5691" s="3" t="s">
        <v>223</v>
      </c>
      <c r="C5691" s="3" t="s">
        <v>733</v>
      </c>
    </row>
    <row r="5692">
      <c r="A5692" s="3" t="s">
        <v>717</v>
      </c>
      <c r="B5692" s="3" t="s">
        <v>734</v>
      </c>
      <c r="C5692" s="3" t="s">
        <v>735</v>
      </c>
    </row>
    <row r="5693">
      <c r="A5693" s="3" t="s">
        <v>717</v>
      </c>
      <c r="B5693" s="3" t="s">
        <v>223</v>
      </c>
      <c r="C5693" s="3" t="s">
        <v>562</v>
      </c>
    </row>
    <row r="5694">
      <c r="A5694" s="3" t="s">
        <v>717</v>
      </c>
      <c r="B5694" s="3" t="s">
        <v>720</v>
      </c>
      <c r="C5694" s="3" t="s">
        <v>736</v>
      </c>
    </row>
    <row r="5695">
      <c r="A5695" s="3" t="s">
        <v>717</v>
      </c>
      <c r="B5695" s="3" t="s">
        <v>720</v>
      </c>
      <c r="C5695" s="3" t="s">
        <v>736</v>
      </c>
    </row>
    <row r="5696">
      <c r="A5696" s="3" t="s">
        <v>717</v>
      </c>
      <c r="B5696" s="3" t="s">
        <v>722</v>
      </c>
      <c r="C5696" s="3" t="s">
        <v>737</v>
      </c>
    </row>
    <row r="5697">
      <c r="A5697" s="3" t="s">
        <v>717</v>
      </c>
      <c r="B5697" s="3" t="s">
        <v>738</v>
      </c>
      <c r="C5697" s="3" t="s">
        <v>739</v>
      </c>
    </row>
    <row r="5698">
      <c r="A5698" s="3" t="s">
        <v>717</v>
      </c>
      <c r="B5698" s="3" t="s">
        <v>738</v>
      </c>
      <c r="C5698" s="3" t="s">
        <v>740</v>
      </c>
    </row>
    <row r="5699">
      <c r="A5699" s="3" t="s">
        <v>717</v>
      </c>
      <c r="B5699" s="3" t="s">
        <v>738</v>
      </c>
      <c r="C5699" s="3" t="s">
        <v>741</v>
      </c>
    </row>
    <row r="5700">
      <c r="A5700" s="3" t="s">
        <v>717</v>
      </c>
      <c r="B5700" s="3" t="s">
        <v>738</v>
      </c>
      <c r="C5700" s="3" t="s">
        <v>742</v>
      </c>
    </row>
    <row r="5701">
      <c r="A5701" s="3" t="s">
        <v>717</v>
      </c>
      <c r="B5701" s="3" t="s">
        <v>738</v>
      </c>
      <c r="C5701" s="3" t="s">
        <v>743</v>
      </c>
    </row>
    <row r="5702">
      <c r="A5702" s="3" t="s">
        <v>717</v>
      </c>
      <c r="B5702" s="3" t="s">
        <v>738</v>
      </c>
      <c r="C5702" s="3" t="s">
        <v>744</v>
      </c>
    </row>
    <row r="5703">
      <c r="A5703" s="3" t="s">
        <v>717</v>
      </c>
      <c r="B5703" s="3" t="s">
        <v>738</v>
      </c>
      <c r="C5703" s="3" t="s">
        <v>652</v>
      </c>
    </row>
    <row r="5704">
      <c r="A5704" s="3" t="s">
        <v>717</v>
      </c>
      <c r="B5704" s="3" t="s">
        <v>738</v>
      </c>
      <c r="C5704" s="3" t="s">
        <v>578</v>
      </c>
    </row>
    <row r="5705">
      <c r="A5705" s="3" t="s">
        <v>717</v>
      </c>
      <c r="B5705" s="3" t="s">
        <v>738</v>
      </c>
      <c r="C5705" s="3" t="s">
        <v>745</v>
      </c>
    </row>
    <row r="5706">
      <c r="A5706" s="3" t="s">
        <v>717</v>
      </c>
      <c r="B5706" s="3" t="s">
        <v>722</v>
      </c>
      <c r="C5706" s="3" t="s">
        <v>746</v>
      </c>
    </row>
    <row r="5707">
      <c r="A5707" s="3" t="s">
        <v>717</v>
      </c>
      <c r="B5707" s="3" t="s">
        <v>722</v>
      </c>
      <c r="C5707" s="3" t="s">
        <v>747</v>
      </c>
    </row>
    <row r="5708">
      <c r="A5708" s="3" t="s">
        <v>717</v>
      </c>
      <c r="B5708" s="3" t="s">
        <v>722</v>
      </c>
      <c r="C5708" s="3" t="s">
        <v>748</v>
      </c>
    </row>
    <row r="5709">
      <c r="A5709" s="3" t="s">
        <v>717</v>
      </c>
      <c r="B5709" s="3" t="s">
        <v>722</v>
      </c>
      <c r="C5709" s="3" t="s">
        <v>749</v>
      </c>
    </row>
    <row r="5710">
      <c r="A5710" s="3" t="s">
        <v>717</v>
      </c>
      <c r="B5710" s="3" t="s">
        <v>722</v>
      </c>
      <c r="C5710" s="3" t="s">
        <v>750</v>
      </c>
    </row>
    <row r="5711">
      <c r="A5711" s="3" t="s">
        <v>717</v>
      </c>
      <c r="B5711" s="3" t="s">
        <v>251</v>
      </c>
      <c r="C5711" s="3" t="s">
        <v>751</v>
      </c>
    </row>
    <row r="5712">
      <c r="A5712" s="3" t="s">
        <v>717</v>
      </c>
      <c r="B5712" s="3" t="s">
        <v>730</v>
      </c>
      <c r="C5712" s="3" t="s">
        <v>752</v>
      </c>
    </row>
    <row r="5713">
      <c r="A5713" s="3" t="s">
        <v>717</v>
      </c>
      <c r="B5713" s="3" t="s">
        <v>725</v>
      </c>
      <c r="C5713" s="3" t="s">
        <v>726</v>
      </c>
    </row>
    <row r="5714">
      <c r="A5714" s="3" t="s">
        <v>717</v>
      </c>
      <c r="B5714" s="3" t="s">
        <v>725</v>
      </c>
      <c r="C5714" s="3" t="s">
        <v>728</v>
      </c>
    </row>
    <row r="5715">
      <c r="A5715" s="3" t="s">
        <v>717</v>
      </c>
      <c r="B5715" s="3" t="s">
        <v>725</v>
      </c>
      <c r="C5715" s="3" t="s">
        <v>728</v>
      </c>
    </row>
    <row r="5716">
      <c r="A5716" s="3" t="s">
        <v>717</v>
      </c>
      <c r="B5716" s="3" t="s">
        <v>725</v>
      </c>
      <c r="C5716" s="3" t="s">
        <v>728</v>
      </c>
    </row>
    <row r="5717">
      <c r="A5717" s="3" t="s">
        <v>717</v>
      </c>
      <c r="B5717" s="3" t="s">
        <v>734</v>
      </c>
      <c r="C5717" s="3" t="s">
        <v>735</v>
      </c>
    </row>
    <row r="5718">
      <c r="A5718" s="3" t="s">
        <v>717</v>
      </c>
      <c r="B5718" s="3" t="s">
        <v>734</v>
      </c>
      <c r="C5718" s="3" t="s">
        <v>735</v>
      </c>
    </row>
    <row r="5719">
      <c r="A5719" s="3" t="s">
        <v>717</v>
      </c>
      <c r="B5719" s="3" t="s">
        <v>251</v>
      </c>
      <c r="C5719" s="3" t="s">
        <v>753</v>
      </c>
    </row>
    <row r="5720">
      <c r="A5720" s="3" t="s">
        <v>717</v>
      </c>
      <c r="B5720" s="3" t="s">
        <v>725</v>
      </c>
      <c r="C5720" s="3" t="s">
        <v>728</v>
      </c>
    </row>
    <row r="5721">
      <c r="A5721" s="3" t="s">
        <v>717</v>
      </c>
      <c r="B5721" s="3" t="s">
        <v>725</v>
      </c>
      <c r="C5721" s="3" t="s">
        <v>728</v>
      </c>
    </row>
    <row r="5722">
      <c r="A5722" s="3" t="s">
        <v>717</v>
      </c>
      <c r="B5722" s="3" t="s">
        <v>720</v>
      </c>
      <c r="C5722" s="3" t="s">
        <v>754</v>
      </c>
    </row>
    <row r="5723">
      <c r="A5723" s="3" t="s">
        <v>717</v>
      </c>
      <c r="B5723" s="3" t="s">
        <v>725</v>
      </c>
      <c r="C5723" s="3" t="s">
        <v>755</v>
      </c>
    </row>
    <row r="5724">
      <c r="A5724" s="3" t="s">
        <v>717</v>
      </c>
      <c r="B5724" s="3" t="s">
        <v>725</v>
      </c>
      <c r="C5724" s="3" t="s">
        <v>755</v>
      </c>
    </row>
    <row r="5725">
      <c r="A5725" s="3" t="s">
        <v>717</v>
      </c>
      <c r="B5725" s="3" t="s">
        <v>251</v>
      </c>
      <c r="C5725" s="3" t="s">
        <v>756</v>
      </c>
    </row>
    <row r="5726">
      <c r="A5726" s="3" t="s">
        <v>717</v>
      </c>
      <c r="B5726" s="3" t="s">
        <v>718</v>
      </c>
      <c r="C5726" s="3" t="s">
        <v>732</v>
      </c>
    </row>
    <row r="5727">
      <c r="A5727" s="3" t="s">
        <v>717</v>
      </c>
      <c r="B5727" s="3" t="s">
        <v>720</v>
      </c>
      <c r="C5727" s="3" t="s">
        <v>757</v>
      </c>
    </row>
    <row r="5728">
      <c r="A5728" s="3" t="s">
        <v>717</v>
      </c>
      <c r="B5728" s="3" t="s">
        <v>223</v>
      </c>
      <c r="C5728" s="3" t="s">
        <v>727</v>
      </c>
    </row>
    <row r="5729">
      <c r="A5729" s="3" t="s">
        <v>717</v>
      </c>
      <c r="B5729" s="3" t="s">
        <v>223</v>
      </c>
      <c r="C5729" s="3" t="s">
        <v>727</v>
      </c>
    </row>
    <row r="5730">
      <c r="A5730" s="3" t="s">
        <v>717</v>
      </c>
      <c r="B5730" s="3" t="s">
        <v>730</v>
      </c>
      <c r="C5730" s="3" t="s">
        <v>758</v>
      </c>
    </row>
    <row r="5731">
      <c r="A5731" s="3" t="s">
        <v>717</v>
      </c>
      <c r="B5731" s="3" t="s">
        <v>720</v>
      </c>
      <c r="C5731" s="3" t="s">
        <v>757</v>
      </c>
    </row>
    <row r="5732">
      <c r="A5732" s="3" t="s">
        <v>717</v>
      </c>
      <c r="B5732" s="3" t="s">
        <v>730</v>
      </c>
      <c r="C5732" s="3" t="s">
        <v>759</v>
      </c>
    </row>
    <row r="5733">
      <c r="A5733" s="3" t="s">
        <v>717</v>
      </c>
      <c r="B5733" s="3" t="s">
        <v>720</v>
      </c>
      <c r="C5733" s="3" t="s">
        <v>760</v>
      </c>
    </row>
    <row r="5734">
      <c r="A5734" s="3" t="s">
        <v>717</v>
      </c>
      <c r="B5734" s="3" t="s">
        <v>725</v>
      </c>
      <c r="C5734" s="3" t="s">
        <v>663</v>
      </c>
    </row>
    <row r="5735">
      <c r="A5735" s="3" t="s">
        <v>717</v>
      </c>
      <c r="B5735" s="3" t="s">
        <v>223</v>
      </c>
      <c r="C5735" s="3" t="s">
        <v>727</v>
      </c>
    </row>
    <row r="5736">
      <c r="A5736" s="3" t="s">
        <v>717</v>
      </c>
      <c r="B5736" s="3" t="s">
        <v>223</v>
      </c>
      <c r="C5736" s="3" t="s">
        <v>727</v>
      </c>
    </row>
    <row r="5737">
      <c r="A5737" s="3" t="s">
        <v>717</v>
      </c>
      <c r="B5737" s="3" t="s">
        <v>720</v>
      </c>
      <c r="C5737" s="3" t="s">
        <v>721</v>
      </c>
    </row>
    <row r="5738">
      <c r="A5738" s="3" t="s">
        <v>717</v>
      </c>
      <c r="B5738" s="3" t="s">
        <v>730</v>
      </c>
      <c r="C5738" s="3" t="s">
        <v>759</v>
      </c>
    </row>
    <row r="5739">
      <c r="A5739" s="3" t="s">
        <v>717</v>
      </c>
      <c r="B5739" s="3" t="s">
        <v>720</v>
      </c>
      <c r="C5739" s="3" t="s">
        <v>721</v>
      </c>
    </row>
    <row r="5740">
      <c r="A5740" s="3" t="s">
        <v>717</v>
      </c>
      <c r="B5740" s="3" t="s">
        <v>720</v>
      </c>
      <c r="C5740" s="3" t="s">
        <v>761</v>
      </c>
    </row>
    <row r="5741">
      <c r="A5741" s="3" t="s">
        <v>717</v>
      </c>
      <c r="B5741" s="3" t="s">
        <v>251</v>
      </c>
      <c r="C5741" s="3" t="s">
        <v>762</v>
      </c>
    </row>
    <row r="5742">
      <c r="A5742" s="3" t="s">
        <v>717</v>
      </c>
      <c r="B5742" s="3" t="s">
        <v>720</v>
      </c>
      <c r="C5742" s="3" t="s">
        <v>760</v>
      </c>
    </row>
    <row r="5743">
      <c r="A5743" s="3" t="s">
        <v>717</v>
      </c>
      <c r="B5743" s="3" t="s">
        <v>720</v>
      </c>
      <c r="C5743" s="3" t="s">
        <v>760</v>
      </c>
    </row>
    <row r="5744">
      <c r="A5744" s="3" t="s">
        <v>717</v>
      </c>
      <c r="B5744" s="3" t="s">
        <v>725</v>
      </c>
      <c r="C5744" s="3" t="s">
        <v>726</v>
      </c>
    </row>
    <row r="5745">
      <c r="A5745" s="3" t="s">
        <v>717</v>
      </c>
      <c r="B5745" s="3" t="s">
        <v>720</v>
      </c>
      <c r="C5745" s="3" t="s">
        <v>760</v>
      </c>
    </row>
    <row r="5746">
      <c r="A5746" s="3" t="s">
        <v>717</v>
      </c>
      <c r="B5746" s="3" t="s">
        <v>718</v>
      </c>
      <c r="C5746" s="3" t="s">
        <v>732</v>
      </c>
    </row>
    <row r="5747">
      <c r="A5747" s="3" t="s">
        <v>717</v>
      </c>
      <c r="B5747" s="3" t="s">
        <v>223</v>
      </c>
      <c r="C5747" s="3" t="s">
        <v>727</v>
      </c>
    </row>
    <row r="5748">
      <c r="A5748" s="3" t="s">
        <v>717</v>
      </c>
      <c r="B5748" s="3" t="s">
        <v>718</v>
      </c>
      <c r="C5748" s="3" t="s">
        <v>763</v>
      </c>
    </row>
    <row r="5749">
      <c r="A5749" s="3" t="s">
        <v>717</v>
      </c>
      <c r="B5749" s="3" t="s">
        <v>718</v>
      </c>
      <c r="C5749" s="3" t="s">
        <v>764</v>
      </c>
    </row>
    <row r="5750">
      <c r="A5750" s="3" t="s">
        <v>717</v>
      </c>
      <c r="B5750" s="3" t="s">
        <v>720</v>
      </c>
      <c r="C5750" s="3" t="s">
        <v>754</v>
      </c>
    </row>
    <row r="5751">
      <c r="A5751" s="3" t="s">
        <v>717</v>
      </c>
      <c r="B5751" s="3" t="s">
        <v>223</v>
      </c>
      <c r="C5751" s="3" t="s">
        <v>727</v>
      </c>
    </row>
    <row r="5752">
      <c r="A5752" s="3" t="s">
        <v>717</v>
      </c>
      <c r="B5752" s="3" t="s">
        <v>718</v>
      </c>
      <c r="C5752" s="3" t="s">
        <v>765</v>
      </c>
    </row>
    <row r="5753">
      <c r="A5753" s="3" t="s">
        <v>717</v>
      </c>
      <c r="B5753" s="3" t="s">
        <v>251</v>
      </c>
      <c r="C5753" s="3" t="s">
        <v>766</v>
      </c>
    </row>
    <row r="5754">
      <c r="A5754" s="3" t="s">
        <v>717</v>
      </c>
      <c r="B5754" s="3" t="s">
        <v>720</v>
      </c>
      <c r="C5754" s="3" t="s">
        <v>760</v>
      </c>
    </row>
    <row r="5755">
      <c r="A5755" s="3" t="s">
        <v>717</v>
      </c>
      <c r="B5755" s="3" t="s">
        <v>730</v>
      </c>
      <c r="C5755" s="3" t="s">
        <v>752</v>
      </c>
    </row>
    <row r="5756">
      <c r="A5756" s="3" t="s">
        <v>717</v>
      </c>
      <c r="B5756" s="3" t="s">
        <v>720</v>
      </c>
      <c r="C5756" s="3" t="s">
        <v>767</v>
      </c>
    </row>
    <row r="5757">
      <c r="A5757" s="3" t="s">
        <v>717</v>
      </c>
      <c r="B5757" s="3" t="s">
        <v>223</v>
      </c>
      <c r="C5757" s="3" t="s">
        <v>733</v>
      </c>
    </row>
    <row r="5758">
      <c r="A5758" s="3" t="s">
        <v>717</v>
      </c>
      <c r="B5758" s="3" t="s">
        <v>251</v>
      </c>
      <c r="C5758" s="3" t="s">
        <v>768</v>
      </c>
    </row>
    <row r="5759">
      <c r="A5759" s="3" t="s">
        <v>717</v>
      </c>
      <c r="B5759" s="3" t="s">
        <v>738</v>
      </c>
      <c r="C5759" s="3" t="s">
        <v>652</v>
      </c>
    </row>
    <row r="5760">
      <c r="A5760" s="3" t="s">
        <v>717</v>
      </c>
      <c r="B5760" s="3" t="s">
        <v>722</v>
      </c>
      <c r="C5760" s="3" t="s">
        <v>746</v>
      </c>
    </row>
    <row r="5761">
      <c r="A5761" s="3" t="s">
        <v>717</v>
      </c>
      <c r="B5761" s="3" t="s">
        <v>718</v>
      </c>
      <c r="C5761" s="3" t="s">
        <v>763</v>
      </c>
    </row>
    <row r="5762">
      <c r="A5762" s="3" t="s">
        <v>717</v>
      </c>
      <c r="B5762" s="3" t="s">
        <v>722</v>
      </c>
      <c r="C5762" s="3" t="s">
        <v>746</v>
      </c>
    </row>
    <row r="5763">
      <c r="A5763" s="3" t="s">
        <v>717</v>
      </c>
      <c r="B5763" s="3" t="s">
        <v>738</v>
      </c>
      <c r="C5763" s="3" t="s">
        <v>740</v>
      </c>
    </row>
    <row r="5764">
      <c r="A5764" s="3" t="s">
        <v>717</v>
      </c>
      <c r="B5764" s="3" t="s">
        <v>722</v>
      </c>
      <c r="C5764" s="3" t="s">
        <v>749</v>
      </c>
    </row>
    <row r="5765">
      <c r="A5765" s="3" t="s">
        <v>717</v>
      </c>
      <c r="B5765" s="3" t="s">
        <v>722</v>
      </c>
      <c r="C5765" s="3" t="s">
        <v>749</v>
      </c>
    </row>
    <row r="5766">
      <c r="A5766" s="3" t="s">
        <v>717</v>
      </c>
      <c r="B5766" s="3" t="s">
        <v>718</v>
      </c>
      <c r="C5766" s="3" t="s">
        <v>732</v>
      </c>
    </row>
    <row r="5767">
      <c r="A5767" s="3" t="s">
        <v>717</v>
      </c>
      <c r="B5767" s="3" t="s">
        <v>718</v>
      </c>
      <c r="C5767" s="3" t="s">
        <v>732</v>
      </c>
    </row>
    <row r="5768">
      <c r="A5768" s="3" t="s">
        <v>717</v>
      </c>
      <c r="B5768" s="3" t="s">
        <v>720</v>
      </c>
      <c r="C5768" s="3" t="s">
        <v>757</v>
      </c>
    </row>
    <row r="5769">
      <c r="A5769" s="3" t="s">
        <v>717</v>
      </c>
      <c r="B5769" s="3" t="s">
        <v>730</v>
      </c>
      <c r="C5769" s="3" t="s">
        <v>731</v>
      </c>
    </row>
    <row r="5770">
      <c r="A5770" s="3" t="s">
        <v>717</v>
      </c>
      <c r="B5770" s="3" t="s">
        <v>725</v>
      </c>
      <c r="C5770" s="3" t="s">
        <v>663</v>
      </c>
    </row>
    <row r="5771">
      <c r="A5771" s="3" t="s">
        <v>717</v>
      </c>
      <c r="B5771" s="3" t="s">
        <v>720</v>
      </c>
      <c r="C5771" s="3" t="s">
        <v>761</v>
      </c>
    </row>
    <row r="5772">
      <c r="A5772" s="3" t="s">
        <v>717</v>
      </c>
      <c r="B5772" s="3" t="s">
        <v>720</v>
      </c>
      <c r="C5772" s="3" t="s">
        <v>761</v>
      </c>
    </row>
    <row r="5773">
      <c r="A5773" s="3" t="s">
        <v>717</v>
      </c>
      <c r="B5773" s="3" t="s">
        <v>725</v>
      </c>
      <c r="C5773" s="3" t="s">
        <v>663</v>
      </c>
    </row>
    <row r="5774">
      <c r="A5774" s="3" t="s">
        <v>717</v>
      </c>
      <c r="B5774" s="3" t="s">
        <v>725</v>
      </c>
      <c r="C5774" s="3" t="s">
        <v>663</v>
      </c>
    </row>
    <row r="5775">
      <c r="A5775" s="3" t="s">
        <v>717</v>
      </c>
      <c r="B5775" s="3" t="s">
        <v>725</v>
      </c>
      <c r="C5775" s="3" t="s">
        <v>769</v>
      </c>
    </row>
    <row r="5776">
      <c r="A5776" s="3" t="s">
        <v>717</v>
      </c>
      <c r="B5776" s="3" t="s">
        <v>725</v>
      </c>
      <c r="C5776" s="3" t="s">
        <v>755</v>
      </c>
    </row>
    <row r="5777">
      <c r="A5777" s="3" t="s">
        <v>717</v>
      </c>
      <c r="B5777" s="3" t="s">
        <v>718</v>
      </c>
      <c r="C5777" s="3" t="s">
        <v>764</v>
      </c>
    </row>
    <row r="5778">
      <c r="A5778" s="3" t="s">
        <v>717</v>
      </c>
      <c r="B5778" s="3" t="s">
        <v>720</v>
      </c>
      <c r="C5778" s="3" t="s">
        <v>721</v>
      </c>
    </row>
    <row r="5779">
      <c r="A5779" s="3" t="s">
        <v>717</v>
      </c>
      <c r="B5779" s="3" t="s">
        <v>725</v>
      </c>
      <c r="C5779" s="3" t="s">
        <v>769</v>
      </c>
    </row>
    <row r="5780">
      <c r="A5780" s="3" t="s">
        <v>717</v>
      </c>
      <c r="B5780" s="3" t="s">
        <v>720</v>
      </c>
      <c r="C5780" s="3" t="s">
        <v>721</v>
      </c>
    </row>
    <row r="5781">
      <c r="A5781" s="3" t="s">
        <v>717</v>
      </c>
      <c r="B5781" s="3" t="s">
        <v>720</v>
      </c>
      <c r="C5781" s="3" t="s">
        <v>721</v>
      </c>
    </row>
    <row r="5782">
      <c r="A5782" s="3" t="s">
        <v>717</v>
      </c>
      <c r="B5782" s="3" t="s">
        <v>725</v>
      </c>
      <c r="C5782" s="3" t="s">
        <v>726</v>
      </c>
    </row>
    <row r="5783">
      <c r="A5783" s="3" t="s">
        <v>717</v>
      </c>
      <c r="B5783" s="3" t="s">
        <v>720</v>
      </c>
      <c r="C5783" s="3" t="s">
        <v>721</v>
      </c>
    </row>
    <row r="5784">
      <c r="A5784" s="3" t="s">
        <v>717</v>
      </c>
      <c r="B5784" s="3" t="s">
        <v>725</v>
      </c>
      <c r="C5784" s="3" t="s">
        <v>663</v>
      </c>
    </row>
    <row r="5785">
      <c r="A5785" s="3" t="s">
        <v>717</v>
      </c>
      <c r="B5785" s="3" t="s">
        <v>718</v>
      </c>
      <c r="C5785" s="3" t="s">
        <v>732</v>
      </c>
    </row>
    <row r="5786">
      <c r="A5786" s="3" t="s">
        <v>717</v>
      </c>
      <c r="B5786" s="3" t="s">
        <v>720</v>
      </c>
      <c r="C5786" s="3" t="s">
        <v>721</v>
      </c>
    </row>
    <row r="5787">
      <c r="A5787" s="3" t="s">
        <v>717</v>
      </c>
      <c r="B5787" s="3" t="s">
        <v>720</v>
      </c>
      <c r="C5787" s="3" t="s">
        <v>761</v>
      </c>
    </row>
    <row r="5788">
      <c r="A5788" s="3" t="s">
        <v>717</v>
      </c>
      <c r="B5788" s="3" t="s">
        <v>720</v>
      </c>
      <c r="C5788" s="3" t="s">
        <v>721</v>
      </c>
    </row>
    <row r="5789">
      <c r="A5789" s="3" t="s">
        <v>717</v>
      </c>
      <c r="B5789" s="3" t="s">
        <v>725</v>
      </c>
      <c r="C5789" s="3" t="s">
        <v>769</v>
      </c>
    </row>
    <row r="5790">
      <c r="A5790" s="3" t="s">
        <v>717</v>
      </c>
      <c r="B5790" s="3" t="s">
        <v>722</v>
      </c>
      <c r="C5790" s="3" t="s">
        <v>747</v>
      </c>
    </row>
    <row r="5791">
      <c r="A5791" s="3" t="s">
        <v>717</v>
      </c>
      <c r="B5791" s="3" t="s">
        <v>720</v>
      </c>
      <c r="C5791" s="3" t="s">
        <v>770</v>
      </c>
    </row>
    <row r="5792">
      <c r="A5792" s="3" t="s">
        <v>717</v>
      </c>
      <c r="B5792" s="3" t="s">
        <v>725</v>
      </c>
      <c r="C5792" s="3" t="s">
        <v>755</v>
      </c>
    </row>
    <row r="5793">
      <c r="A5793" s="3" t="s">
        <v>717</v>
      </c>
      <c r="B5793" s="3" t="s">
        <v>730</v>
      </c>
      <c r="C5793" s="3" t="s">
        <v>758</v>
      </c>
    </row>
    <row r="5794">
      <c r="A5794" s="3" t="s">
        <v>717</v>
      </c>
      <c r="B5794" s="3" t="s">
        <v>725</v>
      </c>
      <c r="C5794" s="3" t="s">
        <v>663</v>
      </c>
    </row>
    <row r="5795">
      <c r="A5795" s="3" t="s">
        <v>717</v>
      </c>
      <c r="B5795" s="3" t="s">
        <v>725</v>
      </c>
      <c r="C5795" s="3" t="s">
        <v>663</v>
      </c>
    </row>
    <row r="5796">
      <c r="A5796" s="3" t="s">
        <v>717</v>
      </c>
      <c r="B5796" s="3" t="s">
        <v>718</v>
      </c>
      <c r="C5796" s="3" t="s">
        <v>763</v>
      </c>
    </row>
    <row r="5797">
      <c r="A5797" s="3" t="s">
        <v>717</v>
      </c>
      <c r="B5797" s="3" t="s">
        <v>720</v>
      </c>
      <c r="C5797" s="3" t="s">
        <v>770</v>
      </c>
    </row>
    <row r="5798">
      <c r="A5798" s="3" t="s">
        <v>717</v>
      </c>
      <c r="B5798" s="3" t="s">
        <v>725</v>
      </c>
      <c r="C5798" s="3" t="s">
        <v>769</v>
      </c>
    </row>
    <row r="5799">
      <c r="A5799" s="3" t="s">
        <v>717</v>
      </c>
      <c r="B5799" s="3" t="s">
        <v>718</v>
      </c>
      <c r="C5799" s="3" t="s">
        <v>763</v>
      </c>
    </row>
    <row r="5800">
      <c r="A5800" s="3" t="s">
        <v>717</v>
      </c>
      <c r="B5800" s="3" t="s">
        <v>251</v>
      </c>
      <c r="C5800" s="3" t="s">
        <v>762</v>
      </c>
    </row>
    <row r="5801">
      <c r="A5801" s="3" t="s">
        <v>717</v>
      </c>
      <c r="B5801" s="3" t="s">
        <v>251</v>
      </c>
      <c r="C5801" s="3" t="s">
        <v>751</v>
      </c>
    </row>
    <row r="5802">
      <c r="A5802" s="3" t="s">
        <v>717</v>
      </c>
      <c r="B5802" s="3" t="s">
        <v>722</v>
      </c>
      <c r="C5802" s="3" t="s">
        <v>723</v>
      </c>
    </row>
    <row r="5803">
      <c r="A5803" s="3" t="s">
        <v>717</v>
      </c>
      <c r="B5803" s="3" t="s">
        <v>738</v>
      </c>
      <c r="C5803" s="3" t="s">
        <v>739</v>
      </c>
    </row>
    <row r="5804">
      <c r="A5804" s="3" t="s">
        <v>717</v>
      </c>
      <c r="B5804" s="3" t="s">
        <v>738</v>
      </c>
      <c r="C5804" s="3" t="s">
        <v>740</v>
      </c>
    </row>
    <row r="5805">
      <c r="A5805" s="3" t="s">
        <v>717</v>
      </c>
      <c r="B5805" s="3" t="s">
        <v>738</v>
      </c>
      <c r="C5805" s="3" t="s">
        <v>741</v>
      </c>
    </row>
    <row r="5806">
      <c r="A5806" s="3" t="s">
        <v>717</v>
      </c>
      <c r="B5806" s="3" t="s">
        <v>738</v>
      </c>
      <c r="C5806" s="3" t="s">
        <v>742</v>
      </c>
    </row>
    <row r="5807">
      <c r="A5807" s="3" t="s">
        <v>717</v>
      </c>
      <c r="B5807" s="3" t="s">
        <v>738</v>
      </c>
      <c r="C5807" s="3" t="s">
        <v>743</v>
      </c>
    </row>
    <row r="5808">
      <c r="A5808" s="3" t="s">
        <v>717</v>
      </c>
      <c r="B5808" s="3" t="s">
        <v>738</v>
      </c>
      <c r="C5808" s="3" t="s">
        <v>744</v>
      </c>
    </row>
    <row r="5809">
      <c r="A5809" s="3" t="s">
        <v>717</v>
      </c>
      <c r="B5809" s="3" t="s">
        <v>738</v>
      </c>
      <c r="C5809" s="3" t="s">
        <v>652</v>
      </c>
    </row>
    <row r="5810">
      <c r="A5810" s="3" t="s">
        <v>717</v>
      </c>
      <c r="B5810" s="3" t="s">
        <v>738</v>
      </c>
      <c r="C5810" s="3" t="s">
        <v>578</v>
      </c>
    </row>
    <row r="5811">
      <c r="A5811" s="3" t="s">
        <v>717</v>
      </c>
      <c r="B5811" s="3" t="s">
        <v>738</v>
      </c>
      <c r="C5811" s="3" t="s">
        <v>745</v>
      </c>
    </row>
    <row r="5812">
      <c r="A5812" s="3" t="s">
        <v>717</v>
      </c>
      <c r="B5812" s="3" t="s">
        <v>722</v>
      </c>
      <c r="C5812" s="3" t="s">
        <v>746</v>
      </c>
    </row>
    <row r="5813">
      <c r="A5813" s="3" t="s">
        <v>717</v>
      </c>
      <c r="B5813" s="3" t="s">
        <v>722</v>
      </c>
      <c r="C5813" s="3" t="s">
        <v>747</v>
      </c>
    </row>
    <row r="5814">
      <c r="A5814" s="3" t="s">
        <v>717</v>
      </c>
      <c r="B5814" s="3" t="s">
        <v>722</v>
      </c>
      <c r="C5814" s="3" t="s">
        <v>748</v>
      </c>
    </row>
    <row r="5815">
      <c r="A5815" s="3" t="s">
        <v>717</v>
      </c>
      <c r="B5815" s="3" t="s">
        <v>722</v>
      </c>
      <c r="C5815" s="3" t="s">
        <v>737</v>
      </c>
    </row>
    <row r="5816">
      <c r="A5816" s="3" t="s">
        <v>717</v>
      </c>
      <c r="B5816" s="3" t="s">
        <v>722</v>
      </c>
      <c r="C5816" s="3" t="s">
        <v>749</v>
      </c>
    </row>
    <row r="5817">
      <c r="A5817" s="3" t="s">
        <v>717</v>
      </c>
      <c r="B5817" s="3" t="s">
        <v>722</v>
      </c>
      <c r="C5817" s="3" t="s">
        <v>750</v>
      </c>
    </row>
    <row r="5818">
      <c r="A5818" s="3" t="s">
        <v>717</v>
      </c>
      <c r="B5818" s="3" t="s">
        <v>722</v>
      </c>
      <c r="C5818" s="3" t="s">
        <v>723</v>
      </c>
    </row>
    <row r="5819">
      <c r="A5819" s="3" t="s">
        <v>717</v>
      </c>
      <c r="B5819" s="3" t="s">
        <v>223</v>
      </c>
      <c r="C5819" s="3" t="s">
        <v>727</v>
      </c>
    </row>
    <row r="5820">
      <c r="A5820" s="3" t="s">
        <v>717</v>
      </c>
      <c r="B5820" s="3" t="s">
        <v>725</v>
      </c>
      <c r="C5820" s="3" t="s">
        <v>663</v>
      </c>
    </row>
    <row r="5821">
      <c r="A5821" s="3" t="s">
        <v>717</v>
      </c>
      <c r="B5821" s="3" t="s">
        <v>725</v>
      </c>
      <c r="C5821" s="3" t="s">
        <v>663</v>
      </c>
    </row>
    <row r="5822">
      <c r="A5822" s="3" t="s">
        <v>717</v>
      </c>
      <c r="B5822" s="3" t="s">
        <v>725</v>
      </c>
      <c r="C5822" s="3" t="s">
        <v>663</v>
      </c>
    </row>
    <row r="5823">
      <c r="A5823" s="3" t="s">
        <v>717</v>
      </c>
      <c r="B5823" s="3" t="s">
        <v>720</v>
      </c>
      <c r="C5823" s="3" t="s">
        <v>721</v>
      </c>
    </row>
    <row r="5824">
      <c r="A5824" s="3" t="s">
        <v>717</v>
      </c>
      <c r="B5824" s="3" t="s">
        <v>725</v>
      </c>
      <c r="C5824" s="3" t="s">
        <v>663</v>
      </c>
    </row>
    <row r="5825">
      <c r="A5825" s="3" t="s">
        <v>717</v>
      </c>
      <c r="B5825" s="3" t="s">
        <v>720</v>
      </c>
      <c r="C5825" s="3" t="s">
        <v>760</v>
      </c>
    </row>
    <row r="5826">
      <c r="A5826" s="3" t="s">
        <v>717</v>
      </c>
      <c r="B5826" s="3" t="s">
        <v>720</v>
      </c>
      <c r="C5826" s="3" t="s">
        <v>757</v>
      </c>
    </row>
    <row r="5827">
      <c r="A5827" s="3" t="s">
        <v>717</v>
      </c>
      <c r="B5827" s="3" t="s">
        <v>718</v>
      </c>
      <c r="C5827" s="3" t="s">
        <v>763</v>
      </c>
    </row>
    <row r="5828">
      <c r="A5828" s="3" t="s">
        <v>717</v>
      </c>
      <c r="B5828" s="3" t="s">
        <v>718</v>
      </c>
      <c r="C5828" s="3" t="s">
        <v>771</v>
      </c>
    </row>
    <row r="5829">
      <c r="A5829" s="3" t="s">
        <v>717</v>
      </c>
      <c r="B5829" s="3" t="s">
        <v>223</v>
      </c>
      <c r="C5829" s="3" t="s">
        <v>727</v>
      </c>
    </row>
    <row r="5830">
      <c r="A5830" s="3" t="s">
        <v>717</v>
      </c>
      <c r="B5830" s="3" t="s">
        <v>223</v>
      </c>
      <c r="C5830" s="3" t="s">
        <v>727</v>
      </c>
    </row>
    <row r="5831">
      <c r="A5831" s="3" t="s">
        <v>717</v>
      </c>
      <c r="B5831" s="3" t="s">
        <v>730</v>
      </c>
      <c r="C5831" s="3" t="s">
        <v>759</v>
      </c>
    </row>
    <row r="5832">
      <c r="A5832" s="3" t="s">
        <v>717</v>
      </c>
      <c r="B5832" s="3" t="s">
        <v>725</v>
      </c>
      <c r="C5832" s="3" t="s">
        <v>663</v>
      </c>
    </row>
    <row r="5833">
      <c r="A5833" s="3" t="s">
        <v>717</v>
      </c>
      <c r="B5833" s="3" t="s">
        <v>720</v>
      </c>
      <c r="C5833" s="3" t="s">
        <v>767</v>
      </c>
    </row>
    <row r="5834">
      <c r="A5834" s="3" t="s">
        <v>717</v>
      </c>
      <c r="B5834" s="3" t="s">
        <v>730</v>
      </c>
      <c r="C5834" s="3" t="s">
        <v>731</v>
      </c>
    </row>
    <row r="5835">
      <c r="A5835" s="3" t="s">
        <v>717</v>
      </c>
      <c r="B5835" s="3" t="s">
        <v>720</v>
      </c>
      <c r="C5835" s="3" t="s">
        <v>757</v>
      </c>
    </row>
    <row r="5836">
      <c r="A5836" s="3" t="s">
        <v>717</v>
      </c>
      <c r="B5836" s="3" t="s">
        <v>251</v>
      </c>
      <c r="C5836" s="3" t="s">
        <v>751</v>
      </c>
    </row>
    <row r="5837">
      <c r="A5837" s="3" t="s">
        <v>717</v>
      </c>
      <c r="B5837" s="3" t="s">
        <v>722</v>
      </c>
      <c r="C5837" s="3" t="s">
        <v>749</v>
      </c>
    </row>
    <row r="5838">
      <c r="A5838" s="3" t="s">
        <v>717</v>
      </c>
      <c r="B5838" s="3" t="s">
        <v>722</v>
      </c>
      <c r="C5838" s="3" t="s">
        <v>749</v>
      </c>
    </row>
    <row r="5839">
      <c r="A5839" s="3" t="s">
        <v>717</v>
      </c>
      <c r="B5839" s="3" t="s">
        <v>720</v>
      </c>
      <c r="C5839" s="3" t="s">
        <v>770</v>
      </c>
    </row>
    <row r="5840">
      <c r="A5840" s="3" t="s">
        <v>717</v>
      </c>
      <c r="B5840" s="3" t="s">
        <v>720</v>
      </c>
      <c r="C5840" s="3" t="s">
        <v>736</v>
      </c>
    </row>
    <row r="5841">
      <c r="A5841" s="3" t="s">
        <v>717</v>
      </c>
      <c r="B5841" s="3" t="s">
        <v>730</v>
      </c>
      <c r="C5841" s="3" t="s">
        <v>758</v>
      </c>
    </row>
    <row r="5842">
      <c r="A5842" s="3" t="s">
        <v>717</v>
      </c>
      <c r="B5842" s="3" t="s">
        <v>730</v>
      </c>
      <c r="C5842" s="3" t="s">
        <v>758</v>
      </c>
    </row>
    <row r="5843">
      <c r="A5843" s="3" t="s">
        <v>717</v>
      </c>
      <c r="B5843" s="3" t="s">
        <v>223</v>
      </c>
      <c r="C5843" s="3" t="s">
        <v>772</v>
      </c>
    </row>
    <row r="5844">
      <c r="A5844" s="3" t="s">
        <v>717</v>
      </c>
      <c r="B5844" s="3" t="s">
        <v>223</v>
      </c>
      <c r="C5844" s="3" t="s">
        <v>724</v>
      </c>
    </row>
    <row r="5845">
      <c r="A5845" s="3" t="s">
        <v>717</v>
      </c>
      <c r="B5845" s="3" t="s">
        <v>251</v>
      </c>
      <c r="C5845" s="3" t="s">
        <v>762</v>
      </c>
    </row>
    <row r="5846">
      <c r="A5846" s="3" t="s">
        <v>717</v>
      </c>
      <c r="B5846" s="3" t="s">
        <v>738</v>
      </c>
      <c r="C5846" s="3" t="s">
        <v>742</v>
      </c>
    </row>
    <row r="5847">
      <c r="A5847" s="3" t="s">
        <v>717</v>
      </c>
      <c r="B5847" s="3" t="s">
        <v>720</v>
      </c>
      <c r="C5847" s="3" t="s">
        <v>757</v>
      </c>
    </row>
    <row r="5848">
      <c r="A5848" s="3" t="s">
        <v>717</v>
      </c>
      <c r="B5848" s="3" t="s">
        <v>718</v>
      </c>
      <c r="C5848" s="3" t="s">
        <v>765</v>
      </c>
    </row>
    <row r="5849">
      <c r="A5849" s="3" t="s">
        <v>717</v>
      </c>
      <c r="B5849" s="3" t="s">
        <v>718</v>
      </c>
      <c r="C5849" s="3" t="s">
        <v>765</v>
      </c>
    </row>
    <row r="5850">
      <c r="A5850" s="3" t="s">
        <v>717</v>
      </c>
      <c r="B5850" s="3" t="s">
        <v>251</v>
      </c>
      <c r="C5850" s="3" t="s">
        <v>751</v>
      </c>
    </row>
    <row r="5851">
      <c r="A5851" s="3" t="s">
        <v>717</v>
      </c>
      <c r="B5851" s="3" t="s">
        <v>251</v>
      </c>
      <c r="C5851" s="3" t="s">
        <v>756</v>
      </c>
    </row>
    <row r="5852">
      <c r="A5852" s="3" t="s">
        <v>717</v>
      </c>
      <c r="B5852" s="3" t="s">
        <v>718</v>
      </c>
      <c r="C5852" s="3" t="s">
        <v>763</v>
      </c>
    </row>
    <row r="5853">
      <c r="A5853" s="3" t="s">
        <v>717</v>
      </c>
      <c r="B5853" s="3" t="s">
        <v>722</v>
      </c>
      <c r="C5853" s="3" t="s">
        <v>746</v>
      </c>
    </row>
    <row r="5854">
      <c r="A5854" s="3" t="s">
        <v>717</v>
      </c>
      <c r="B5854" s="3" t="s">
        <v>718</v>
      </c>
      <c r="C5854" s="3" t="s">
        <v>763</v>
      </c>
    </row>
    <row r="5855">
      <c r="A5855" s="3" t="s">
        <v>717</v>
      </c>
      <c r="B5855" s="3" t="s">
        <v>223</v>
      </c>
      <c r="C5855" s="3" t="s">
        <v>727</v>
      </c>
    </row>
    <row r="5856">
      <c r="A5856" s="3" t="s">
        <v>717</v>
      </c>
      <c r="B5856" s="3" t="s">
        <v>730</v>
      </c>
      <c r="C5856" s="3" t="s">
        <v>773</v>
      </c>
    </row>
    <row r="5857">
      <c r="A5857" s="3" t="s">
        <v>717</v>
      </c>
      <c r="B5857" s="3" t="s">
        <v>730</v>
      </c>
      <c r="C5857" s="3" t="s">
        <v>773</v>
      </c>
    </row>
    <row r="5858">
      <c r="A5858" s="3" t="s">
        <v>717</v>
      </c>
      <c r="B5858" s="3" t="s">
        <v>730</v>
      </c>
      <c r="C5858" s="3" t="s">
        <v>731</v>
      </c>
    </row>
    <row r="5859">
      <c r="A5859" s="3" t="s">
        <v>717</v>
      </c>
      <c r="B5859" s="3" t="s">
        <v>725</v>
      </c>
      <c r="C5859" s="3" t="s">
        <v>774</v>
      </c>
    </row>
    <row r="5860">
      <c r="A5860" s="3" t="s">
        <v>717</v>
      </c>
      <c r="B5860" s="3" t="s">
        <v>730</v>
      </c>
      <c r="C5860" s="3" t="s">
        <v>759</v>
      </c>
    </row>
    <row r="5861">
      <c r="A5861" s="3" t="s">
        <v>717</v>
      </c>
      <c r="B5861" s="3" t="s">
        <v>251</v>
      </c>
      <c r="C5861" s="3" t="s">
        <v>766</v>
      </c>
    </row>
    <row r="5862">
      <c r="A5862" s="3" t="s">
        <v>717</v>
      </c>
      <c r="B5862" s="3" t="s">
        <v>722</v>
      </c>
      <c r="C5862" s="3" t="s">
        <v>746</v>
      </c>
    </row>
    <row r="5863">
      <c r="A5863" s="3" t="s">
        <v>717</v>
      </c>
      <c r="B5863" s="3" t="s">
        <v>725</v>
      </c>
      <c r="C5863" s="3" t="s">
        <v>663</v>
      </c>
    </row>
    <row r="5864">
      <c r="A5864" s="3" t="s">
        <v>717</v>
      </c>
      <c r="B5864" s="3" t="s">
        <v>223</v>
      </c>
      <c r="C5864" s="3" t="s">
        <v>775</v>
      </c>
    </row>
    <row r="5865">
      <c r="A5865" s="3" t="s">
        <v>717</v>
      </c>
      <c r="B5865" s="3" t="s">
        <v>730</v>
      </c>
      <c r="C5865" s="3" t="s">
        <v>758</v>
      </c>
    </row>
    <row r="5866">
      <c r="A5866" s="3" t="s">
        <v>717</v>
      </c>
      <c r="B5866" s="3" t="s">
        <v>718</v>
      </c>
      <c r="C5866" s="3" t="s">
        <v>764</v>
      </c>
    </row>
    <row r="5867">
      <c r="A5867" s="3" t="s">
        <v>717</v>
      </c>
      <c r="B5867" s="3" t="s">
        <v>720</v>
      </c>
      <c r="C5867" s="3" t="s">
        <v>757</v>
      </c>
    </row>
    <row r="5868">
      <c r="A5868" s="3" t="s">
        <v>717</v>
      </c>
      <c r="B5868" s="3" t="s">
        <v>730</v>
      </c>
      <c r="C5868" s="3" t="s">
        <v>731</v>
      </c>
    </row>
    <row r="5869">
      <c r="A5869" s="3" t="s">
        <v>717</v>
      </c>
      <c r="B5869" s="3" t="s">
        <v>251</v>
      </c>
      <c r="C5869" s="3" t="s">
        <v>751</v>
      </c>
    </row>
    <row r="5870">
      <c r="A5870" s="3" t="s">
        <v>717</v>
      </c>
      <c r="B5870" s="3" t="s">
        <v>718</v>
      </c>
      <c r="C5870" s="3" t="s">
        <v>732</v>
      </c>
    </row>
    <row r="5871">
      <c r="A5871" s="3" t="s">
        <v>717</v>
      </c>
      <c r="B5871" s="3" t="s">
        <v>730</v>
      </c>
      <c r="C5871" s="3" t="s">
        <v>759</v>
      </c>
    </row>
    <row r="5872">
      <c r="A5872" s="3" t="s">
        <v>717</v>
      </c>
      <c r="B5872" s="3" t="s">
        <v>730</v>
      </c>
      <c r="C5872" s="3" t="s">
        <v>731</v>
      </c>
    </row>
    <row r="5873">
      <c r="A5873" s="3" t="s">
        <v>717</v>
      </c>
      <c r="B5873" s="3" t="s">
        <v>722</v>
      </c>
      <c r="C5873" s="3" t="s">
        <v>750</v>
      </c>
    </row>
    <row r="5874">
      <c r="A5874" s="3" t="s">
        <v>717</v>
      </c>
      <c r="B5874" s="3" t="s">
        <v>738</v>
      </c>
      <c r="C5874" s="3" t="s">
        <v>652</v>
      </c>
    </row>
    <row r="5875">
      <c r="A5875" s="3" t="s">
        <v>717</v>
      </c>
      <c r="B5875" s="3" t="s">
        <v>251</v>
      </c>
      <c r="C5875" s="3" t="s">
        <v>762</v>
      </c>
    </row>
    <row r="5876">
      <c r="A5876" s="3" t="s">
        <v>717</v>
      </c>
      <c r="B5876" s="3" t="s">
        <v>718</v>
      </c>
      <c r="C5876" s="3" t="s">
        <v>732</v>
      </c>
    </row>
    <row r="5877">
      <c r="A5877" s="3" t="s">
        <v>717</v>
      </c>
      <c r="B5877" s="3" t="s">
        <v>223</v>
      </c>
      <c r="C5877" s="3" t="s">
        <v>727</v>
      </c>
    </row>
    <row r="5878">
      <c r="A5878" s="3" t="s">
        <v>717</v>
      </c>
      <c r="B5878" s="3" t="s">
        <v>718</v>
      </c>
      <c r="C5878" s="3" t="s">
        <v>764</v>
      </c>
    </row>
    <row r="5879">
      <c r="A5879" s="3" t="s">
        <v>717</v>
      </c>
      <c r="B5879" s="3" t="s">
        <v>720</v>
      </c>
      <c r="C5879" s="3" t="s">
        <v>757</v>
      </c>
    </row>
    <row r="5880">
      <c r="A5880" s="3" t="s">
        <v>717</v>
      </c>
      <c r="B5880" s="3" t="s">
        <v>718</v>
      </c>
      <c r="C5880" s="3" t="s">
        <v>729</v>
      </c>
    </row>
    <row r="5881">
      <c r="A5881" s="3" t="s">
        <v>717</v>
      </c>
      <c r="B5881" s="3" t="s">
        <v>718</v>
      </c>
      <c r="C5881" s="3" t="s">
        <v>765</v>
      </c>
    </row>
    <row r="5882">
      <c r="A5882" s="3" t="s">
        <v>717</v>
      </c>
      <c r="B5882" s="3" t="s">
        <v>720</v>
      </c>
      <c r="C5882" s="3" t="s">
        <v>767</v>
      </c>
    </row>
    <row r="5883">
      <c r="A5883" s="3" t="s">
        <v>717</v>
      </c>
      <c r="B5883" s="3" t="s">
        <v>738</v>
      </c>
      <c r="C5883" s="3" t="s">
        <v>578</v>
      </c>
    </row>
    <row r="5884">
      <c r="A5884" s="3" t="s">
        <v>717</v>
      </c>
      <c r="B5884" s="3" t="s">
        <v>738</v>
      </c>
      <c r="C5884" s="3" t="s">
        <v>652</v>
      </c>
    </row>
    <row r="5885">
      <c r="A5885" s="3" t="s">
        <v>717</v>
      </c>
      <c r="B5885" s="3" t="s">
        <v>730</v>
      </c>
      <c r="C5885" s="3" t="s">
        <v>731</v>
      </c>
    </row>
    <row r="5886">
      <c r="A5886" s="3" t="s">
        <v>717</v>
      </c>
      <c r="B5886" s="3" t="s">
        <v>251</v>
      </c>
      <c r="C5886" s="3" t="s">
        <v>766</v>
      </c>
    </row>
    <row r="5887">
      <c r="A5887" s="3" t="s">
        <v>717</v>
      </c>
      <c r="B5887" s="3" t="s">
        <v>223</v>
      </c>
      <c r="C5887" s="3" t="s">
        <v>727</v>
      </c>
    </row>
    <row r="5888">
      <c r="A5888" s="3" t="s">
        <v>717</v>
      </c>
      <c r="B5888" s="3" t="s">
        <v>725</v>
      </c>
      <c r="C5888" s="3" t="s">
        <v>663</v>
      </c>
    </row>
    <row r="5889">
      <c r="A5889" s="3" t="s">
        <v>717</v>
      </c>
      <c r="B5889" s="3" t="s">
        <v>725</v>
      </c>
      <c r="C5889" s="3" t="s">
        <v>663</v>
      </c>
    </row>
    <row r="5890">
      <c r="A5890" s="3" t="s">
        <v>717</v>
      </c>
      <c r="B5890" s="3" t="s">
        <v>725</v>
      </c>
      <c r="C5890" s="3" t="s">
        <v>663</v>
      </c>
    </row>
    <row r="5891">
      <c r="A5891" s="3" t="s">
        <v>717</v>
      </c>
      <c r="B5891" s="3" t="s">
        <v>720</v>
      </c>
      <c r="C5891" s="3" t="s">
        <v>721</v>
      </c>
    </row>
    <row r="5892">
      <c r="A5892" s="3" t="s">
        <v>717</v>
      </c>
      <c r="B5892" s="3" t="s">
        <v>720</v>
      </c>
      <c r="C5892" s="3" t="s">
        <v>760</v>
      </c>
    </row>
    <row r="5893">
      <c r="A5893" s="3" t="s">
        <v>717</v>
      </c>
      <c r="B5893" s="3" t="s">
        <v>722</v>
      </c>
      <c r="C5893" s="3" t="s">
        <v>746</v>
      </c>
    </row>
    <row r="5894">
      <c r="A5894" s="3" t="s">
        <v>717</v>
      </c>
      <c r="B5894" s="3" t="s">
        <v>725</v>
      </c>
      <c r="C5894" s="3" t="s">
        <v>663</v>
      </c>
    </row>
    <row r="5895">
      <c r="A5895" s="3" t="s">
        <v>717</v>
      </c>
      <c r="B5895" s="3" t="s">
        <v>251</v>
      </c>
      <c r="C5895" s="3" t="s">
        <v>756</v>
      </c>
    </row>
    <row r="5896">
      <c r="A5896" s="3" t="s">
        <v>717</v>
      </c>
      <c r="B5896" s="3" t="s">
        <v>251</v>
      </c>
      <c r="C5896" s="3" t="s">
        <v>753</v>
      </c>
    </row>
    <row r="5897">
      <c r="A5897" s="3" t="s">
        <v>717</v>
      </c>
      <c r="B5897" s="3" t="s">
        <v>720</v>
      </c>
      <c r="C5897" s="3" t="s">
        <v>721</v>
      </c>
    </row>
    <row r="5898">
      <c r="A5898" s="3" t="s">
        <v>717</v>
      </c>
      <c r="B5898" s="3" t="s">
        <v>720</v>
      </c>
      <c r="C5898" s="3" t="s">
        <v>770</v>
      </c>
    </row>
    <row r="5899">
      <c r="A5899" s="3" t="s">
        <v>717</v>
      </c>
      <c r="B5899" s="3" t="s">
        <v>725</v>
      </c>
      <c r="C5899" s="3" t="s">
        <v>776</v>
      </c>
    </row>
    <row r="5900">
      <c r="A5900" s="3" t="s">
        <v>717</v>
      </c>
      <c r="B5900" s="3" t="s">
        <v>725</v>
      </c>
      <c r="C5900" s="3" t="s">
        <v>777</v>
      </c>
    </row>
    <row r="5901">
      <c r="A5901" s="3" t="s">
        <v>717</v>
      </c>
      <c r="B5901" s="3" t="s">
        <v>725</v>
      </c>
      <c r="C5901" s="3" t="s">
        <v>774</v>
      </c>
    </row>
    <row r="5902">
      <c r="A5902" s="3" t="s">
        <v>717</v>
      </c>
      <c r="B5902" s="3" t="s">
        <v>720</v>
      </c>
      <c r="C5902" s="3" t="s">
        <v>767</v>
      </c>
    </row>
    <row r="5903">
      <c r="A5903" s="3" t="s">
        <v>717</v>
      </c>
      <c r="B5903" s="3" t="s">
        <v>738</v>
      </c>
      <c r="C5903" s="3" t="s">
        <v>742</v>
      </c>
    </row>
    <row r="5904">
      <c r="A5904" s="3" t="s">
        <v>717</v>
      </c>
      <c r="B5904" s="3" t="s">
        <v>738</v>
      </c>
      <c r="C5904" s="3" t="s">
        <v>652</v>
      </c>
    </row>
    <row r="5905">
      <c r="A5905" s="3" t="s">
        <v>717</v>
      </c>
      <c r="B5905" s="3" t="s">
        <v>223</v>
      </c>
      <c r="C5905" s="3" t="s">
        <v>778</v>
      </c>
    </row>
    <row r="5906">
      <c r="A5906" s="3" t="s">
        <v>717</v>
      </c>
      <c r="B5906" s="3" t="s">
        <v>725</v>
      </c>
      <c r="C5906" s="3" t="s">
        <v>726</v>
      </c>
    </row>
    <row r="5907">
      <c r="A5907" s="3" t="s">
        <v>717</v>
      </c>
      <c r="B5907" s="3" t="s">
        <v>725</v>
      </c>
      <c r="C5907" s="3" t="s">
        <v>774</v>
      </c>
    </row>
    <row r="5908">
      <c r="A5908" s="3" t="s">
        <v>717</v>
      </c>
      <c r="B5908" s="3" t="s">
        <v>730</v>
      </c>
      <c r="C5908" s="3" t="s">
        <v>758</v>
      </c>
    </row>
    <row r="5909">
      <c r="A5909" s="3" t="s">
        <v>717</v>
      </c>
      <c r="B5909" s="3" t="s">
        <v>718</v>
      </c>
      <c r="C5909" s="3" t="s">
        <v>763</v>
      </c>
    </row>
    <row r="5910">
      <c r="A5910" s="3" t="s">
        <v>717</v>
      </c>
      <c r="B5910" s="3" t="s">
        <v>718</v>
      </c>
      <c r="C5910" s="3" t="s">
        <v>763</v>
      </c>
    </row>
    <row r="5911">
      <c r="A5911" s="3" t="s">
        <v>717</v>
      </c>
      <c r="B5911" s="3" t="s">
        <v>718</v>
      </c>
      <c r="C5911" s="3" t="s">
        <v>764</v>
      </c>
    </row>
    <row r="5912">
      <c r="A5912" s="3" t="s">
        <v>717</v>
      </c>
      <c r="B5912" s="3" t="s">
        <v>725</v>
      </c>
      <c r="C5912" s="3" t="s">
        <v>728</v>
      </c>
    </row>
    <row r="5913">
      <c r="A5913" s="3" t="s">
        <v>717</v>
      </c>
      <c r="B5913" s="3" t="s">
        <v>725</v>
      </c>
      <c r="C5913" s="3" t="s">
        <v>663</v>
      </c>
    </row>
    <row r="5914">
      <c r="A5914" s="3" t="s">
        <v>717</v>
      </c>
      <c r="B5914" s="3" t="s">
        <v>720</v>
      </c>
      <c r="C5914" s="3" t="s">
        <v>770</v>
      </c>
    </row>
    <row r="5915">
      <c r="A5915" s="3" t="s">
        <v>717</v>
      </c>
      <c r="B5915" s="3" t="s">
        <v>730</v>
      </c>
      <c r="C5915" s="3" t="s">
        <v>759</v>
      </c>
    </row>
    <row r="5916">
      <c r="A5916" s="3" t="s">
        <v>717</v>
      </c>
      <c r="B5916" s="3" t="s">
        <v>738</v>
      </c>
      <c r="C5916" s="3" t="s">
        <v>740</v>
      </c>
    </row>
    <row r="5917">
      <c r="A5917" s="3" t="s">
        <v>717</v>
      </c>
      <c r="B5917" s="3" t="s">
        <v>720</v>
      </c>
      <c r="C5917" s="3" t="s">
        <v>721</v>
      </c>
    </row>
    <row r="5918">
      <c r="A5918" s="3" t="s">
        <v>717</v>
      </c>
      <c r="B5918" s="3" t="s">
        <v>718</v>
      </c>
      <c r="C5918" s="3" t="s">
        <v>732</v>
      </c>
    </row>
    <row r="5919">
      <c r="A5919" s="3" t="s">
        <v>717</v>
      </c>
      <c r="B5919" s="3" t="s">
        <v>718</v>
      </c>
      <c r="C5919" s="3" t="s">
        <v>729</v>
      </c>
    </row>
    <row r="5920">
      <c r="A5920" s="3" t="s">
        <v>717</v>
      </c>
      <c r="B5920" s="3" t="s">
        <v>223</v>
      </c>
      <c r="C5920" s="3" t="s">
        <v>724</v>
      </c>
    </row>
    <row r="5921">
      <c r="A5921" s="3" t="s">
        <v>717</v>
      </c>
      <c r="B5921" s="3" t="s">
        <v>223</v>
      </c>
      <c r="C5921" s="3" t="s">
        <v>724</v>
      </c>
    </row>
    <row r="5922">
      <c r="A5922" s="3" t="s">
        <v>717</v>
      </c>
      <c r="B5922" s="3" t="s">
        <v>722</v>
      </c>
      <c r="C5922" s="3" t="s">
        <v>750</v>
      </c>
    </row>
    <row r="5923">
      <c r="A5923" s="3" t="s">
        <v>717</v>
      </c>
      <c r="B5923" s="3" t="s">
        <v>223</v>
      </c>
      <c r="C5923" s="3" t="s">
        <v>727</v>
      </c>
    </row>
    <row r="5924">
      <c r="A5924" s="3" t="s">
        <v>717</v>
      </c>
      <c r="B5924" s="3" t="s">
        <v>725</v>
      </c>
      <c r="C5924" s="3" t="s">
        <v>728</v>
      </c>
    </row>
    <row r="5925">
      <c r="A5925" s="3" t="s">
        <v>717</v>
      </c>
      <c r="B5925" s="3" t="s">
        <v>738</v>
      </c>
      <c r="C5925" s="3" t="s">
        <v>742</v>
      </c>
    </row>
    <row r="5926">
      <c r="A5926" s="3" t="s">
        <v>717</v>
      </c>
      <c r="B5926" s="3" t="s">
        <v>718</v>
      </c>
      <c r="C5926" s="3" t="s">
        <v>764</v>
      </c>
    </row>
    <row r="5927">
      <c r="A5927" s="3" t="s">
        <v>717</v>
      </c>
      <c r="B5927" s="3" t="s">
        <v>251</v>
      </c>
      <c r="C5927" s="3" t="s">
        <v>768</v>
      </c>
    </row>
    <row r="5928">
      <c r="A5928" s="3" t="s">
        <v>717</v>
      </c>
      <c r="B5928" s="3" t="s">
        <v>720</v>
      </c>
      <c r="C5928" s="3" t="s">
        <v>754</v>
      </c>
    </row>
    <row r="5929">
      <c r="A5929" s="3" t="s">
        <v>717</v>
      </c>
      <c r="B5929" s="3" t="s">
        <v>223</v>
      </c>
      <c r="C5929" s="3" t="s">
        <v>727</v>
      </c>
    </row>
    <row r="5930">
      <c r="A5930" s="3" t="s">
        <v>717</v>
      </c>
      <c r="B5930" s="3" t="s">
        <v>738</v>
      </c>
      <c r="C5930" s="3" t="s">
        <v>745</v>
      </c>
    </row>
    <row r="5931">
      <c r="A5931" s="3" t="s">
        <v>717</v>
      </c>
      <c r="B5931" s="3" t="s">
        <v>730</v>
      </c>
      <c r="C5931" s="3" t="s">
        <v>759</v>
      </c>
    </row>
    <row r="5932">
      <c r="A5932" s="3" t="s">
        <v>717</v>
      </c>
      <c r="B5932" s="3" t="s">
        <v>718</v>
      </c>
      <c r="C5932" s="3" t="s">
        <v>765</v>
      </c>
    </row>
    <row r="5933">
      <c r="A5933" s="3" t="s">
        <v>717</v>
      </c>
      <c r="B5933" s="3" t="s">
        <v>725</v>
      </c>
      <c r="C5933" s="3" t="s">
        <v>663</v>
      </c>
    </row>
    <row r="5934">
      <c r="A5934" s="3" t="s">
        <v>717</v>
      </c>
      <c r="B5934" s="3" t="s">
        <v>725</v>
      </c>
      <c r="C5934" s="3" t="s">
        <v>774</v>
      </c>
    </row>
    <row r="5935">
      <c r="A5935" s="3" t="s">
        <v>717</v>
      </c>
      <c r="B5935" s="3" t="s">
        <v>725</v>
      </c>
      <c r="C5935" s="3" t="s">
        <v>755</v>
      </c>
    </row>
    <row r="5936">
      <c r="A5936" s="3" t="s">
        <v>717</v>
      </c>
      <c r="B5936" s="3" t="s">
        <v>725</v>
      </c>
      <c r="C5936" s="3" t="s">
        <v>769</v>
      </c>
    </row>
    <row r="5937">
      <c r="A5937" s="3" t="s">
        <v>717</v>
      </c>
      <c r="B5937" s="3" t="s">
        <v>725</v>
      </c>
      <c r="C5937" s="3" t="s">
        <v>726</v>
      </c>
    </row>
    <row r="5938">
      <c r="A5938" s="3" t="s">
        <v>717</v>
      </c>
      <c r="B5938" s="3" t="s">
        <v>725</v>
      </c>
      <c r="C5938" s="3" t="s">
        <v>728</v>
      </c>
    </row>
    <row r="5939">
      <c r="A5939" s="3" t="s">
        <v>717</v>
      </c>
      <c r="B5939" s="3" t="s">
        <v>725</v>
      </c>
      <c r="C5939" s="3" t="s">
        <v>776</v>
      </c>
    </row>
    <row r="5940">
      <c r="A5940" s="3" t="s">
        <v>717</v>
      </c>
      <c r="B5940" s="3" t="s">
        <v>223</v>
      </c>
      <c r="C5940" s="3" t="s">
        <v>727</v>
      </c>
    </row>
    <row r="5941">
      <c r="A5941" s="3" t="s">
        <v>717</v>
      </c>
      <c r="B5941" s="3" t="s">
        <v>722</v>
      </c>
      <c r="C5941" s="3" t="s">
        <v>747</v>
      </c>
    </row>
    <row r="5942">
      <c r="A5942" s="3" t="s">
        <v>717</v>
      </c>
      <c r="B5942" s="3" t="s">
        <v>725</v>
      </c>
      <c r="C5942" s="3" t="s">
        <v>663</v>
      </c>
    </row>
    <row r="5943">
      <c r="A5943" s="3" t="s">
        <v>717</v>
      </c>
      <c r="B5943" s="3" t="s">
        <v>720</v>
      </c>
      <c r="C5943" s="3" t="s">
        <v>767</v>
      </c>
    </row>
    <row r="5944">
      <c r="A5944" s="3" t="s">
        <v>717</v>
      </c>
      <c r="B5944" s="3" t="s">
        <v>725</v>
      </c>
      <c r="C5944" s="3" t="s">
        <v>755</v>
      </c>
    </row>
    <row r="5945">
      <c r="A5945" s="3" t="s">
        <v>717</v>
      </c>
      <c r="B5945" s="3" t="s">
        <v>223</v>
      </c>
      <c r="C5945" s="3" t="s">
        <v>562</v>
      </c>
    </row>
    <row r="5946">
      <c r="A5946" s="3" t="s">
        <v>717</v>
      </c>
      <c r="B5946" s="3" t="s">
        <v>734</v>
      </c>
      <c r="C5946" s="3" t="s">
        <v>735</v>
      </c>
    </row>
    <row r="5947">
      <c r="A5947" s="3" t="s">
        <v>717</v>
      </c>
      <c r="B5947" s="3" t="s">
        <v>223</v>
      </c>
      <c r="C5947" s="3" t="s">
        <v>727</v>
      </c>
    </row>
    <row r="5948">
      <c r="A5948" s="3" t="s">
        <v>717</v>
      </c>
      <c r="B5948" s="3" t="s">
        <v>223</v>
      </c>
      <c r="C5948" s="3" t="s">
        <v>778</v>
      </c>
    </row>
    <row r="5949">
      <c r="A5949" s="3" t="s">
        <v>717</v>
      </c>
      <c r="B5949" s="3" t="s">
        <v>725</v>
      </c>
      <c r="C5949" s="3" t="s">
        <v>755</v>
      </c>
    </row>
    <row r="5950">
      <c r="A5950" s="3" t="s">
        <v>717</v>
      </c>
      <c r="B5950" s="3" t="s">
        <v>730</v>
      </c>
      <c r="C5950" s="3" t="s">
        <v>758</v>
      </c>
    </row>
    <row r="5951">
      <c r="A5951" s="3" t="s">
        <v>717</v>
      </c>
      <c r="B5951" s="3" t="s">
        <v>720</v>
      </c>
      <c r="C5951" s="3" t="s">
        <v>721</v>
      </c>
    </row>
    <row r="5952">
      <c r="A5952" s="3" t="s">
        <v>717</v>
      </c>
      <c r="B5952" s="3" t="s">
        <v>718</v>
      </c>
      <c r="C5952" s="3" t="s">
        <v>763</v>
      </c>
    </row>
    <row r="5953">
      <c r="A5953" s="3" t="s">
        <v>717</v>
      </c>
      <c r="B5953" s="3" t="s">
        <v>722</v>
      </c>
      <c r="C5953" s="3" t="s">
        <v>723</v>
      </c>
    </row>
    <row r="5954">
      <c r="A5954" s="3" t="s">
        <v>717</v>
      </c>
      <c r="B5954" s="3" t="s">
        <v>738</v>
      </c>
      <c r="C5954" s="3" t="s">
        <v>739</v>
      </c>
    </row>
    <row r="5955">
      <c r="A5955" s="3" t="s">
        <v>717</v>
      </c>
      <c r="B5955" s="3" t="s">
        <v>738</v>
      </c>
      <c r="C5955" s="3" t="s">
        <v>740</v>
      </c>
    </row>
    <row r="5956">
      <c r="A5956" s="3" t="s">
        <v>717</v>
      </c>
      <c r="B5956" s="3" t="s">
        <v>738</v>
      </c>
      <c r="C5956" s="3" t="s">
        <v>741</v>
      </c>
    </row>
    <row r="5957">
      <c r="A5957" s="3" t="s">
        <v>717</v>
      </c>
      <c r="B5957" s="3" t="s">
        <v>738</v>
      </c>
      <c r="C5957" s="3" t="s">
        <v>742</v>
      </c>
    </row>
    <row r="5958">
      <c r="A5958" s="3" t="s">
        <v>717</v>
      </c>
      <c r="B5958" s="3" t="s">
        <v>738</v>
      </c>
      <c r="C5958" s="3" t="s">
        <v>743</v>
      </c>
    </row>
    <row r="5959">
      <c r="A5959" s="3" t="s">
        <v>717</v>
      </c>
      <c r="B5959" s="3" t="s">
        <v>738</v>
      </c>
      <c r="C5959" s="3" t="s">
        <v>744</v>
      </c>
    </row>
    <row r="5960">
      <c r="A5960" s="3" t="s">
        <v>717</v>
      </c>
      <c r="B5960" s="3" t="s">
        <v>738</v>
      </c>
      <c r="C5960" s="3" t="s">
        <v>652</v>
      </c>
    </row>
    <row r="5961">
      <c r="A5961" s="3" t="s">
        <v>717</v>
      </c>
      <c r="B5961" s="3" t="s">
        <v>738</v>
      </c>
      <c r="C5961" s="3" t="s">
        <v>578</v>
      </c>
    </row>
    <row r="5962">
      <c r="A5962" s="3" t="s">
        <v>717</v>
      </c>
      <c r="B5962" s="3" t="s">
        <v>738</v>
      </c>
      <c r="C5962" s="3" t="s">
        <v>745</v>
      </c>
    </row>
    <row r="5963">
      <c r="A5963" s="3" t="s">
        <v>717</v>
      </c>
      <c r="B5963" s="3" t="s">
        <v>722</v>
      </c>
      <c r="C5963" s="3" t="s">
        <v>746</v>
      </c>
    </row>
    <row r="5964">
      <c r="A5964" s="3" t="s">
        <v>717</v>
      </c>
      <c r="B5964" s="3" t="s">
        <v>722</v>
      </c>
      <c r="C5964" s="3" t="s">
        <v>747</v>
      </c>
    </row>
    <row r="5965">
      <c r="A5965" s="3" t="s">
        <v>717</v>
      </c>
      <c r="B5965" s="3" t="s">
        <v>722</v>
      </c>
      <c r="C5965" s="3" t="s">
        <v>748</v>
      </c>
    </row>
    <row r="5966">
      <c r="A5966" s="3" t="s">
        <v>717</v>
      </c>
      <c r="B5966" s="3" t="s">
        <v>722</v>
      </c>
      <c r="C5966" s="3" t="s">
        <v>737</v>
      </c>
    </row>
    <row r="5967">
      <c r="A5967" s="3" t="s">
        <v>717</v>
      </c>
      <c r="B5967" s="3" t="s">
        <v>722</v>
      </c>
      <c r="C5967" s="3" t="s">
        <v>749</v>
      </c>
    </row>
    <row r="5968">
      <c r="A5968" s="3" t="s">
        <v>717</v>
      </c>
      <c r="B5968" s="3" t="s">
        <v>722</v>
      </c>
      <c r="C5968" s="3" t="s">
        <v>750</v>
      </c>
    </row>
    <row r="5969">
      <c r="A5969" s="3" t="s">
        <v>717</v>
      </c>
      <c r="B5969" s="3" t="s">
        <v>722</v>
      </c>
      <c r="C5969" s="3" t="s">
        <v>723</v>
      </c>
    </row>
    <row r="5970">
      <c r="A5970" s="3" t="s">
        <v>717</v>
      </c>
      <c r="B5970" s="3" t="s">
        <v>223</v>
      </c>
      <c r="C5970" s="3" t="s">
        <v>727</v>
      </c>
    </row>
    <row r="5971">
      <c r="A5971" s="3" t="s">
        <v>717</v>
      </c>
      <c r="B5971" s="3" t="s">
        <v>720</v>
      </c>
      <c r="C5971" s="3" t="s">
        <v>767</v>
      </c>
    </row>
    <row r="5972">
      <c r="A5972" s="3" t="s">
        <v>717</v>
      </c>
      <c r="B5972" s="3" t="s">
        <v>730</v>
      </c>
      <c r="C5972" s="3" t="s">
        <v>779</v>
      </c>
    </row>
    <row r="5973">
      <c r="A5973" s="3" t="s">
        <v>717</v>
      </c>
      <c r="B5973" s="3" t="s">
        <v>725</v>
      </c>
      <c r="C5973" s="3" t="s">
        <v>769</v>
      </c>
    </row>
    <row r="5974">
      <c r="A5974" s="3" t="s">
        <v>717</v>
      </c>
      <c r="B5974" s="3" t="s">
        <v>725</v>
      </c>
      <c r="C5974" s="3" t="s">
        <v>769</v>
      </c>
    </row>
    <row r="5975">
      <c r="A5975" s="3" t="s">
        <v>717</v>
      </c>
      <c r="B5975" s="3" t="s">
        <v>725</v>
      </c>
      <c r="C5975" s="3" t="s">
        <v>769</v>
      </c>
    </row>
    <row r="5976">
      <c r="A5976" s="3" t="s">
        <v>717</v>
      </c>
      <c r="B5976" s="3" t="s">
        <v>730</v>
      </c>
      <c r="C5976" s="3" t="s">
        <v>759</v>
      </c>
    </row>
    <row r="5977">
      <c r="A5977" s="3" t="s">
        <v>717</v>
      </c>
      <c r="B5977" s="3" t="s">
        <v>730</v>
      </c>
      <c r="C5977" s="3" t="s">
        <v>779</v>
      </c>
    </row>
    <row r="5978">
      <c r="A5978" s="3" t="s">
        <v>717</v>
      </c>
      <c r="B5978" s="3" t="s">
        <v>223</v>
      </c>
      <c r="C5978" s="3" t="s">
        <v>772</v>
      </c>
    </row>
    <row r="5979">
      <c r="A5979" s="3" t="s">
        <v>717</v>
      </c>
      <c r="B5979" s="3" t="s">
        <v>720</v>
      </c>
      <c r="C5979" s="3" t="s">
        <v>760</v>
      </c>
    </row>
    <row r="5980">
      <c r="A5980" s="3" t="s">
        <v>717</v>
      </c>
      <c r="B5980" s="3" t="s">
        <v>223</v>
      </c>
      <c r="C5980" s="3" t="s">
        <v>727</v>
      </c>
    </row>
    <row r="5981">
      <c r="A5981" s="3" t="s">
        <v>717</v>
      </c>
      <c r="B5981" s="3" t="s">
        <v>720</v>
      </c>
      <c r="C5981" s="3" t="s">
        <v>757</v>
      </c>
    </row>
    <row r="5982">
      <c r="A5982" s="3" t="s">
        <v>717</v>
      </c>
      <c r="B5982" s="3" t="s">
        <v>738</v>
      </c>
      <c r="C5982" s="3" t="s">
        <v>652</v>
      </c>
    </row>
    <row r="5983">
      <c r="A5983" s="3" t="s">
        <v>717</v>
      </c>
      <c r="B5983" s="3" t="s">
        <v>730</v>
      </c>
      <c r="C5983" s="3" t="s">
        <v>759</v>
      </c>
    </row>
    <row r="5984">
      <c r="A5984" s="3" t="s">
        <v>717</v>
      </c>
      <c r="B5984" s="3" t="s">
        <v>223</v>
      </c>
      <c r="C5984" s="3" t="s">
        <v>775</v>
      </c>
    </row>
    <row r="5985">
      <c r="A5985" s="3" t="s">
        <v>717</v>
      </c>
      <c r="B5985" s="3" t="s">
        <v>251</v>
      </c>
      <c r="C5985" s="3" t="s">
        <v>756</v>
      </c>
    </row>
    <row r="5986">
      <c r="A5986" s="3" t="s">
        <v>717</v>
      </c>
      <c r="B5986" s="3" t="s">
        <v>720</v>
      </c>
      <c r="C5986" s="3" t="s">
        <v>767</v>
      </c>
    </row>
    <row r="5987">
      <c r="A5987" s="3" t="s">
        <v>717</v>
      </c>
      <c r="B5987" s="3" t="s">
        <v>251</v>
      </c>
      <c r="C5987" s="3" t="s">
        <v>756</v>
      </c>
    </row>
    <row r="5988">
      <c r="A5988" s="3" t="s">
        <v>717</v>
      </c>
      <c r="B5988" s="3" t="s">
        <v>251</v>
      </c>
      <c r="C5988" s="3" t="s">
        <v>756</v>
      </c>
    </row>
    <row r="5989">
      <c r="A5989" s="3" t="s">
        <v>717</v>
      </c>
      <c r="B5989" s="3" t="s">
        <v>223</v>
      </c>
      <c r="C5989" s="3" t="s">
        <v>778</v>
      </c>
    </row>
    <row r="5990">
      <c r="A5990" s="3" t="s">
        <v>717</v>
      </c>
      <c r="B5990" s="3" t="s">
        <v>223</v>
      </c>
      <c r="C5990" s="3" t="s">
        <v>778</v>
      </c>
    </row>
    <row r="5991">
      <c r="A5991" s="3" t="s">
        <v>717</v>
      </c>
      <c r="B5991" s="3" t="s">
        <v>730</v>
      </c>
      <c r="C5991" s="3" t="s">
        <v>779</v>
      </c>
    </row>
    <row r="5992">
      <c r="A5992" s="3" t="s">
        <v>717</v>
      </c>
      <c r="B5992" s="3" t="s">
        <v>223</v>
      </c>
      <c r="C5992" s="3" t="s">
        <v>562</v>
      </c>
    </row>
    <row r="5993">
      <c r="A5993" s="3" t="s">
        <v>717</v>
      </c>
      <c r="B5993" s="3" t="s">
        <v>734</v>
      </c>
      <c r="C5993" s="3" t="s">
        <v>735</v>
      </c>
    </row>
    <row r="5994">
      <c r="A5994" s="3" t="s">
        <v>717</v>
      </c>
      <c r="B5994" s="3" t="s">
        <v>223</v>
      </c>
      <c r="C5994" s="3" t="s">
        <v>727</v>
      </c>
    </row>
    <row r="5995">
      <c r="A5995" s="3" t="s">
        <v>717</v>
      </c>
      <c r="B5995" s="3" t="s">
        <v>725</v>
      </c>
      <c r="C5995" s="3" t="s">
        <v>663</v>
      </c>
    </row>
    <row r="5996">
      <c r="A5996" s="3" t="s">
        <v>717</v>
      </c>
      <c r="B5996" s="3" t="s">
        <v>738</v>
      </c>
      <c r="C5996" s="3" t="s">
        <v>744</v>
      </c>
    </row>
    <row r="5997">
      <c r="A5997" s="3" t="s">
        <v>717</v>
      </c>
      <c r="B5997" s="3" t="s">
        <v>738</v>
      </c>
      <c r="C5997" s="3" t="s">
        <v>745</v>
      </c>
    </row>
    <row r="5998">
      <c r="A5998" s="3" t="s">
        <v>717</v>
      </c>
      <c r="B5998" s="3" t="s">
        <v>738</v>
      </c>
      <c r="C5998" s="3" t="s">
        <v>745</v>
      </c>
    </row>
    <row r="5999">
      <c r="A5999" s="3" t="s">
        <v>717</v>
      </c>
      <c r="B5999" s="3" t="s">
        <v>738</v>
      </c>
      <c r="C5999" s="3" t="s">
        <v>742</v>
      </c>
    </row>
    <row r="6000">
      <c r="A6000" s="3" t="s">
        <v>717</v>
      </c>
      <c r="B6000" s="3" t="s">
        <v>738</v>
      </c>
      <c r="C6000" s="3" t="s">
        <v>743</v>
      </c>
    </row>
    <row r="6001">
      <c r="A6001" s="3" t="s">
        <v>717</v>
      </c>
      <c r="B6001" s="3" t="s">
        <v>725</v>
      </c>
      <c r="C6001" s="3" t="s">
        <v>663</v>
      </c>
    </row>
    <row r="6002">
      <c r="A6002" s="3" t="s">
        <v>717</v>
      </c>
      <c r="B6002" s="3" t="s">
        <v>720</v>
      </c>
      <c r="C6002" s="3" t="s">
        <v>721</v>
      </c>
    </row>
    <row r="6003">
      <c r="A6003" s="3" t="s">
        <v>717</v>
      </c>
      <c r="B6003" s="3" t="s">
        <v>722</v>
      </c>
      <c r="C6003" s="3" t="s">
        <v>748</v>
      </c>
    </row>
    <row r="6004">
      <c r="A6004" s="3" t="s">
        <v>717</v>
      </c>
      <c r="B6004" s="3" t="s">
        <v>722</v>
      </c>
      <c r="C6004" s="3" t="s">
        <v>746</v>
      </c>
    </row>
    <row r="6005">
      <c r="A6005" s="3" t="s">
        <v>717</v>
      </c>
      <c r="B6005" s="3" t="s">
        <v>720</v>
      </c>
      <c r="C6005" s="3" t="s">
        <v>721</v>
      </c>
    </row>
    <row r="6006">
      <c r="A6006" s="3" t="s">
        <v>717</v>
      </c>
      <c r="B6006" s="3" t="s">
        <v>738</v>
      </c>
      <c r="C6006" s="3" t="s">
        <v>745</v>
      </c>
    </row>
    <row r="6007">
      <c r="A6007" s="3" t="s">
        <v>717</v>
      </c>
      <c r="B6007" s="3" t="s">
        <v>718</v>
      </c>
      <c r="C6007" s="3" t="s">
        <v>771</v>
      </c>
    </row>
    <row r="6008">
      <c r="A6008" s="3" t="s">
        <v>717</v>
      </c>
      <c r="B6008" s="3" t="s">
        <v>725</v>
      </c>
      <c r="C6008" s="3" t="s">
        <v>728</v>
      </c>
    </row>
    <row r="6009">
      <c r="A6009" s="3" t="s">
        <v>717</v>
      </c>
      <c r="B6009" s="3" t="s">
        <v>720</v>
      </c>
      <c r="C6009" s="3" t="s">
        <v>736</v>
      </c>
    </row>
    <row r="6010">
      <c r="A6010" s="3" t="s">
        <v>717</v>
      </c>
      <c r="B6010" s="3" t="s">
        <v>734</v>
      </c>
      <c r="C6010" s="3" t="s">
        <v>735</v>
      </c>
    </row>
    <row r="6011">
      <c r="A6011" s="3" t="s">
        <v>717</v>
      </c>
      <c r="B6011" s="3" t="s">
        <v>720</v>
      </c>
      <c r="C6011" s="3" t="s">
        <v>767</v>
      </c>
    </row>
    <row r="6012">
      <c r="A6012" s="3" t="s">
        <v>717</v>
      </c>
      <c r="B6012" s="3" t="s">
        <v>720</v>
      </c>
      <c r="C6012" s="3" t="s">
        <v>757</v>
      </c>
    </row>
    <row r="6013">
      <c r="A6013" s="3" t="s">
        <v>717</v>
      </c>
      <c r="B6013" s="3" t="s">
        <v>720</v>
      </c>
      <c r="C6013" s="3" t="s">
        <v>721</v>
      </c>
    </row>
    <row r="6014">
      <c r="A6014" s="3" t="s">
        <v>717</v>
      </c>
      <c r="B6014" s="3" t="s">
        <v>720</v>
      </c>
      <c r="C6014" s="3" t="s">
        <v>770</v>
      </c>
    </row>
    <row r="6015">
      <c r="A6015" s="3" t="s">
        <v>717</v>
      </c>
      <c r="B6015" s="3" t="s">
        <v>720</v>
      </c>
      <c r="C6015" s="3" t="s">
        <v>761</v>
      </c>
    </row>
    <row r="6016">
      <c r="A6016" s="3" t="s">
        <v>717</v>
      </c>
      <c r="B6016" s="3" t="s">
        <v>720</v>
      </c>
      <c r="C6016" s="3" t="s">
        <v>760</v>
      </c>
    </row>
    <row r="6017">
      <c r="A6017" s="3" t="s">
        <v>717</v>
      </c>
      <c r="B6017" s="3" t="s">
        <v>720</v>
      </c>
      <c r="C6017" s="3" t="s">
        <v>754</v>
      </c>
    </row>
    <row r="6018">
      <c r="A6018" s="3" t="s">
        <v>717</v>
      </c>
      <c r="B6018" s="3" t="s">
        <v>738</v>
      </c>
      <c r="C6018" s="3" t="s">
        <v>578</v>
      </c>
    </row>
    <row r="6019">
      <c r="A6019" s="3" t="s">
        <v>717</v>
      </c>
      <c r="B6019" s="3" t="s">
        <v>720</v>
      </c>
      <c r="C6019" s="3" t="s">
        <v>770</v>
      </c>
    </row>
    <row r="6020">
      <c r="A6020" s="3" t="s">
        <v>717</v>
      </c>
      <c r="B6020" s="3" t="s">
        <v>223</v>
      </c>
      <c r="C6020" s="3" t="s">
        <v>733</v>
      </c>
    </row>
    <row r="6021">
      <c r="A6021" s="3" t="s">
        <v>717</v>
      </c>
      <c r="B6021" s="3" t="s">
        <v>730</v>
      </c>
      <c r="C6021" s="3" t="s">
        <v>759</v>
      </c>
    </row>
    <row r="6022">
      <c r="A6022" s="3" t="s">
        <v>717</v>
      </c>
      <c r="B6022" s="3" t="s">
        <v>730</v>
      </c>
      <c r="C6022" s="3" t="s">
        <v>759</v>
      </c>
    </row>
    <row r="6023">
      <c r="A6023" s="3" t="s">
        <v>717</v>
      </c>
      <c r="B6023" s="3" t="s">
        <v>730</v>
      </c>
      <c r="C6023" s="3" t="s">
        <v>759</v>
      </c>
    </row>
    <row r="6024">
      <c r="A6024" s="3" t="s">
        <v>717</v>
      </c>
      <c r="B6024" s="3" t="s">
        <v>730</v>
      </c>
      <c r="C6024" s="3" t="s">
        <v>759</v>
      </c>
    </row>
    <row r="6025">
      <c r="A6025" s="3" t="s">
        <v>717</v>
      </c>
      <c r="B6025" s="3" t="s">
        <v>730</v>
      </c>
      <c r="C6025" s="3" t="s">
        <v>758</v>
      </c>
    </row>
    <row r="6026">
      <c r="A6026" s="3" t="s">
        <v>717</v>
      </c>
      <c r="B6026" s="3" t="s">
        <v>730</v>
      </c>
      <c r="C6026" s="3" t="s">
        <v>758</v>
      </c>
    </row>
    <row r="6027">
      <c r="A6027" s="3" t="s">
        <v>717</v>
      </c>
      <c r="B6027" s="3" t="s">
        <v>730</v>
      </c>
      <c r="C6027" s="3" t="s">
        <v>758</v>
      </c>
    </row>
    <row r="6028">
      <c r="A6028" s="3" t="s">
        <v>717</v>
      </c>
      <c r="B6028" s="3" t="s">
        <v>730</v>
      </c>
      <c r="C6028" s="3" t="s">
        <v>779</v>
      </c>
    </row>
    <row r="6029">
      <c r="A6029" s="3" t="s">
        <v>717</v>
      </c>
      <c r="B6029" s="3" t="s">
        <v>730</v>
      </c>
      <c r="C6029" s="3" t="s">
        <v>773</v>
      </c>
    </row>
    <row r="6030">
      <c r="A6030" s="3" t="s">
        <v>717</v>
      </c>
      <c r="B6030" s="3" t="s">
        <v>730</v>
      </c>
      <c r="C6030" s="3" t="s">
        <v>773</v>
      </c>
    </row>
    <row r="6031">
      <c r="A6031" s="3" t="s">
        <v>717</v>
      </c>
      <c r="B6031" s="3" t="s">
        <v>730</v>
      </c>
      <c r="C6031" s="3" t="s">
        <v>773</v>
      </c>
    </row>
    <row r="6032">
      <c r="A6032" s="3" t="s">
        <v>717</v>
      </c>
      <c r="B6032" s="3" t="s">
        <v>730</v>
      </c>
      <c r="C6032" s="3" t="s">
        <v>752</v>
      </c>
    </row>
    <row r="6033">
      <c r="A6033" s="3" t="s">
        <v>717</v>
      </c>
      <c r="B6033" s="3" t="s">
        <v>730</v>
      </c>
      <c r="C6033" s="3" t="s">
        <v>731</v>
      </c>
    </row>
    <row r="6034">
      <c r="A6034" s="3" t="s">
        <v>717</v>
      </c>
      <c r="B6034" s="3" t="s">
        <v>730</v>
      </c>
      <c r="C6034" s="3" t="s">
        <v>731</v>
      </c>
    </row>
    <row r="6035">
      <c r="A6035" s="3" t="s">
        <v>717</v>
      </c>
      <c r="B6035" s="3" t="s">
        <v>730</v>
      </c>
      <c r="C6035" s="3" t="s">
        <v>731</v>
      </c>
    </row>
    <row r="6036">
      <c r="A6036" s="3" t="s">
        <v>717</v>
      </c>
      <c r="B6036" s="3" t="s">
        <v>720</v>
      </c>
      <c r="C6036" s="3" t="s">
        <v>760</v>
      </c>
    </row>
    <row r="6037">
      <c r="A6037" s="3" t="s">
        <v>717</v>
      </c>
      <c r="B6037" s="3" t="s">
        <v>223</v>
      </c>
      <c r="C6037" s="3" t="s">
        <v>727</v>
      </c>
    </row>
    <row r="6038">
      <c r="A6038" s="3" t="s">
        <v>717</v>
      </c>
      <c r="B6038" s="3" t="s">
        <v>223</v>
      </c>
      <c r="C6038" s="3" t="s">
        <v>727</v>
      </c>
    </row>
    <row r="6039">
      <c r="A6039" s="3" t="s">
        <v>717</v>
      </c>
      <c r="B6039" s="3" t="s">
        <v>223</v>
      </c>
      <c r="C6039" s="3" t="s">
        <v>727</v>
      </c>
    </row>
    <row r="6040">
      <c r="A6040" s="3" t="s">
        <v>717</v>
      </c>
      <c r="B6040" s="3" t="s">
        <v>223</v>
      </c>
      <c r="C6040" s="3" t="s">
        <v>775</v>
      </c>
    </row>
    <row r="6041">
      <c r="A6041" s="3" t="s">
        <v>717</v>
      </c>
      <c r="B6041" s="3" t="s">
        <v>223</v>
      </c>
      <c r="C6041" s="3" t="s">
        <v>778</v>
      </c>
    </row>
    <row r="6042">
      <c r="A6042" s="3" t="s">
        <v>717</v>
      </c>
      <c r="B6042" s="3" t="s">
        <v>223</v>
      </c>
      <c r="C6042" s="3" t="s">
        <v>778</v>
      </c>
    </row>
    <row r="6043">
      <c r="A6043" s="3" t="s">
        <v>717</v>
      </c>
      <c r="B6043" s="3" t="s">
        <v>223</v>
      </c>
      <c r="C6043" s="3" t="s">
        <v>778</v>
      </c>
    </row>
    <row r="6044">
      <c r="A6044" s="3" t="s">
        <v>717</v>
      </c>
      <c r="B6044" s="3" t="s">
        <v>223</v>
      </c>
      <c r="C6044" s="3" t="s">
        <v>724</v>
      </c>
    </row>
    <row r="6045">
      <c r="A6045" s="3" t="s">
        <v>717</v>
      </c>
      <c r="B6045" s="3" t="s">
        <v>223</v>
      </c>
      <c r="C6045" s="3" t="s">
        <v>772</v>
      </c>
    </row>
    <row r="6046">
      <c r="A6046" s="3" t="s">
        <v>717</v>
      </c>
      <c r="B6046" s="3" t="s">
        <v>223</v>
      </c>
      <c r="C6046" s="3" t="s">
        <v>772</v>
      </c>
    </row>
    <row r="6047">
      <c r="A6047" s="3" t="s">
        <v>717</v>
      </c>
      <c r="B6047" s="3" t="s">
        <v>223</v>
      </c>
      <c r="C6047" s="3" t="s">
        <v>772</v>
      </c>
    </row>
    <row r="6048">
      <c r="A6048" s="3" t="s">
        <v>717</v>
      </c>
      <c r="B6048" s="3" t="s">
        <v>223</v>
      </c>
      <c r="C6048" s="3" t="s">
        <v>562</v>
      </c>
    </row>
    <row r="6049">
      <c r="A6049" s="3" t="s">
        <v>717</v>
      </c>
      <c r="B6049" s="3" t="s">
        <v>223</v>
      </c>
      <c r="C6049" s="3" t="s">
        <v>562</v>
      </c>
    </row>
    <row r="6050">
      <c r="A6050" s="3" t="s">
        <v>717</v>
      </c>
      <c r="B6050" s="3" t="s">
        <v>251</v>
      </c>
      <c r="C6050" s="3" t="s">
        <v>762</v>
      </c>
    </row>
    <row r="6051">
      <c r="A6051" s="3" t="s">
        <v>717</v>
      </c>
      <c r="B6051" s="3" t="s">
        <v>251</v>
      </c>
      <c r="C6051" s="3" t="s">
        <v>762</v>
      </c>
    </row>
    <row r="6052">
      <c r="A6052" s="3" t="s">
        <v>717</v>
      </c>
      <c r="B6052" s="3" t="s">
        <v>251</v>
      </c>
      <c r="C6052" s="3" t="s">
        <v>762</v>
      </c>
    </row>
    <row r="6053">
      <c r="A6053" s="3" t="s">
        <v>717</v>
      </c>
      <c r="B6053" s="3" t="s">
        <v>251</v>
      </c>
      <c r="C6053" s="3" t="s">
        <v>762</v>
      </c>
    </row>
    <row r="6054">
      <c r="A6054" s="3" t="s">
        <v>717</v>
      </c>
      <c r="B6054" s="3" t="s">
        <v>251</v>
      </c>
      <c r="C6054" s="3" t="s">
        <v>751</v>
      </c>
    </row>
    <row r="6055">
      <c r="A6055" s="3" t="s">
        <v>717</v>
      </c>
      <c r="B6055" s="3" t="s">
        <v>251</v>
      </c>
      <c r="C6055" s="3" t="s">
        <v>751</v>
      </c>
    </row>
    <row r="6056">
      <c r="A6056" s="3" t="s">
        <v>717</v>
      </c>
      <c r="B6056" s="3" t="s">
        <v>251</v>
      </c>
      <c r="C6056" s="3" t="s">
        <v>751</v>
      </c>
    </row>
    <row r="6057">
      <c r="A6057" s="3" t="s">
        <v>717</v>
      </c>
      <c r="B6057" s="3" t="s">
        <v>251</v>
      </c>
      <c r="C6057" s="3" t="s">
        <v>751</v>
      </c>
    </row>
    <row r="6058">
      <c r="A6058" s="3" t="s">
        <v>717</v>
      </c>
      <c r="B6058" s="3" t="s">
        <v>251</v>
      </c>
      <c r="C6058" s="3" t="s">
        <v>751</v>
      </c>
    </row>
    <row r="6059">
      <c r="A6059" s="3" t="s">
        <v>717</v>
      </c>
      <c r="B6059" s="3" t="s">
        <v>251</v>
      </c>
      <c r="C6059" s="3" t="s">
        <v>766</v>
      </c>
    </row>
    <row r="6060">
      <c r="A6060" s="3" t="s">
        <v>717</v>
      </c>
      <c r="B6060" s="3" t="s">
        <v>251</v>
      </c>
      <c r="C6060" s="3" t="s">
        <v>766</v>
      </c>
    </row>
    <row r="6061">
      <c r="A6061" s="3" t="s">
        <v>717</v>
      </c>
      <c r="B6061" s="3" t="s">
        <v>251</v>
      </c>
      <c r="C6061" s="3" t="s">
        <v>756</v>
      </c>
    </row>
    <row r="6062">
      <c r="A6062" s="3" t="s">
        <v>717</v>
      </c>
      <c r="B6062" s="3" t="s">
        <v>251</v>
      </c>
      <c r="C6062" s="3" t="s">
        <v>756</v>
      </c>
    </row>
    <row r="6063">
      <c r="A6063" s="3" t="s">
        <v>717</v>
      </c>
      <c r="B6063" s="3" t="s">
        <v>251</v>
      </c>
      <c r="C6063" s="3" t="s">
        <v>756</v>
      </c>
    </row>
    <row r="6064">
      <c r="A6064" s="3" t="s">
        <v>717</v>
      </c>
      <c r="B6064" s="3" t="s">
        <v>251</v>
      </c>
      <c r="C6064" s="3" t="s">
        <v>768</v>
      </c>
    </row>
    <row r="6065">
      <c r="A6065" s="3" t="s">
        <v>717</v>
      </c>
      <c r="B6065" s="3" t="s">
        <v>251</v>
      </c>
      <c r="C6065" s="3" t="s">
        <v>753</v>
      </c>
    </row>
    <row r="6066">
      <c r="A6066" s="3" t="s">
        <v>717</v>
      </c>
      <c r="B6066" s="3" t="s">
        <v>251</v>
      </c>
      <c r="C6066" s="3" t="s">
        <v>766</v>
      </c>
    </row>
    <row r="6067">
      <c r="A6067" s="3" t="s">
        <v>717</v>
      </c>
      <c r="B6067" s="3" t="s">
        <v>251</v>
      </c>
      <c r="C6067" s="3" t="s">
        <v>751</v>
      </c>
    </row>
    <row r="6068">
      <c r="A6068" s="3" t="s">
        <v>717</v>
      </c>
      <c r="B6068" s="3" t="s">
        <v>725</v>
      </c>
      <c r="C6068" s="3" t="s">
        <v>728</v>
      </c>
    </row>
    <row r="6069">
      <c r="A6069" s="3" t="s">
        <v>717</v>
      </c>
      <c r="B6069" s="3" t="s">
        <v>720</v>
      </c>
      <c r="C6069" s="3" t="s">
        <v>770</v>
      </c>
    </row>
    <row r="6070">
      <c r="A6070" s="3" t="s">
        <v>717</v>
      </c>
      <c r="B6070" s="3" t="s">
        <v>738</v>
      </c>
      <c r="C6070" s="3" t="s">
        <v>744</v>
      </c>
    </row>
    <row r="6071">
      <c r="A6071" s="3" t="s">
        <v>717</v>
      </c>
      <c r="B6071" s="3" t="s">
        <v>725</v>
      </c>
      <c r="C6071" s="3" t="s">
        <v>663</v>
      </c>
    </row>
    <row r="6072">
      <c r="A6072" s="3" t="s">
        <v>717</v>
      </c>
      <c r="B6072" s="3" t="s">
        <v>738</v>
      </c>
      <c r="C6072" s="3" t="s">
        <v>739</v>
      </c>
    </row>
    <row r="6073">
      <c r="A6073" s="3" t="s">
        <v>717</v>
      </c>
      <c r="B6073" s="3" t="s">
        <v>251</v>
      </c>
      <c r="C6073" s="3" t="s">
        <v>756</v>
      </c>
    </row>
    <row r="6074">
      <c r="A6074" s="3" t="s">
        <v>717</v>
      </c>
      <c r="B6074" s="3" t="s">
        <v>720</v>
      </c>
      <c r="C6074" s="3" t="s">
        <v>770</v>
      </c>
    </row>
    <row r="6075">
      <c r="A6075" s="3" t="s">
        <v>717</v>
      </c>
      <c r="B6075" s="3" t="s">
        <v>720</v>
      </c>
      <c r="C6075" s="3" t="s">
        <v>761</v>
      </c>
    </row>
    <row r="6076">
      <c r="A6076" s="3" t="s">
        <v>717</v>
      </c>
      <c r="B6076" s="3" t="s">
        <v>738</v>
      </c>
      <c r="C6076" s="3" t="s">
        <v>743</v>
      </c>
    </row>
    <row r="6077">
      <c r="A6077" s="3" t="s">
        <v>717</v>
      </c>
      <c r="B6077" s="3" t="s">
        <v>718</v>
      </c>
      <c r="C6077" s="3" t="s">
        <v>732</v>
      </c>
    </row>
    <row r="6078">
      <c r="A6078" s="3" t="s">
        <v>717</v>
      </c>
      <c r="B6078" s="3" t="s">
        <v>725</v>
      </c>
      <c r="C6078" s="3" t="s">
        <v>726</v>
      </c>
    </row>
    <row r="6079">
      <c r="A6079" s="3" t="s">
        <v>717</v>
      </c>
      <c r="B6079" s="3" t="s">
        <v>738</v>
      </c>
      <c r="C6079" s="3" t="s">
        <v>652</v>
      </c>
    </row>
    <row r="6080">
      <c r="A6080" s="3" t="s">
        <v>717</v>
      </c>
      <c r="B6080" s="3" t="s">
        <v>722</v>
      </c>
      <c r="C6080" s="3" t="s">
        <v>750</v>
      </c>
    </row>
    <row r="6081">
      <c r="A6081" s="3" t="s">
        <v>717</v>
      </c>
      <c r="B6081" s="3" t="s">
        <v>738</v>
      </c>
      <c r="C6081" s="3" t="s">
        <v>744</v>
      </c>
    </row>
    <row r="6082">
      <c r="A6082" s="3" t="s">
        <v>717</v>
      </c>
      <c r="B6082" s="3" t="s">
        <v>738</v>
      </c>
      <c r="C6082" s="3" t="s">
        <v>744</v>
      </c>
    </row>
    <row r="6083">
      <c r="A6083" s="3" t="s">
        <v>717</v>
      </c>
      <c r="B6083" s="3" t="s">
        <v>738</v>
      </c>
      <c r="C6083" s="3" t="s">
        <v>652</v>
      </c>
    </row>
    <row r="6084">
      <c r="A6084" s="3" t="s">
        <v>717</v>
      </c>
      <c r="B6084" s="3" t="s">
        <v>725</v>
      </c>
      <c r="C6084" s="3" t="s">
        <v>728</v>
      </c>
    </row>
    <row r="6085">
      <c r="A6085" s="3" t="s">
        <v>717</v>
      </c>
      <c r="B6085" s="3" t="s">
        <v>251</v>
      </c>
      <c r="C6085" s="3" t="s">
        <v>762</v>
      </c>
    </row>
    <row r="6086">
      <c r="A6086" s="3" t="s">
        <v>717</v>
      </c>
      <c r="B6086" s="3" t="s">
        <v>725</v>
      </c>
      <c r="C6086" s="3" t="s">
        <v>769</v>
      </c>
    </row>
    <row r="6087">
      <c r="A6087" s="3" t="s">
        <v>717</v>
      </c>
      <c r="B6087" s="3" t="s">
        <v>722</v>
      </c>
      <c r="C6087" s="3" t="s">
        <v>748</v>
      </c>
    </row>
    <row r="6088">
      <c r="A6088" s="3" t="s">
        <v>717</v>
      </c>
      <c r="B6088" s="3" t="s">
        <v>725</v>
      </c>
      <c r="C6088" s="3" t="s">
        <v>663</v>
      </c>
    </row>
    <row r="6089">
      <c r="A6089" s="3" t="s">
        <v>717</v>
      </c>
      <c r="B6089" s="3" t="s">
        <v>718</v>
      </c>
      <c r="C6089" s="3" t="s">
        <v>763</v>
      </c>
    </row>
    <row r="6090">
      <c r="A6090" s="3" t="s">
        <v>717</v>
      </c>
      <c r="B6090" s="3" t="s">
        <v>725</v>
      </c>
      <c r="C6090" s="3" t="s">
        <v>755</v>
      </c>
    </row>
    <row r="6091">
      <c r="A6091" s="3" t="s">
        <v>717</v>
      </c>
      <c r="B6091" s="3" t="s">
        <v>251</v>
      </c>
      <c r="C6091" s="3" t="s">
        <v>751</v>
      </c>
    </row>
    <row r="6092">
      <c r="A6092" s="3" t="s">
        <v>717</v>
      </c>
      <c r="B6092" s="3" t="s">
        <v>251</v>
      </c>
      <c r="C6092" s="3" t="s">
        <v>762</v>
      </c>
    </row>
    <row r="6093">
      <c r="A6093" s="3" t="s">
        <v>717</v>
      </c>
      <c r="B6093" s="3" t="s">
        <v>223</v>
      </c>
      <c r="C6093" s="3" t="s">
        <v>772</v>
      </c>
    </row>
    <row r="6094">
      <c r="A6094" s="3" t="s">
        <v>717</v>
      </c>
      <c r="B6094" s="3" t="s">
        <v>722</v>
      </c>
      <c r="C6094" s="3" t="s">
        <v>750</v>
      </c>
    </row>
    <row r="6095">
      <c r="A6095" s="3" t="s">
        <v>717</v>
      </c>
      <c r="B6095" s="3" t="s">
        <v>722</v>
      </c>
      <c r="C6095" s="3" t="s">
        <v>747</v>
      </c>
    </row>
    <row r="6096">
      <c r="A6096" s="3" t="s">
        <v>717</v>
      </c>
      <c r="B6096" s="3" t="s">
        <v>738</v>
      </c>
      <c r="C6096" s="3" t="s">
        <v>652</v>
      </c>
    </row>
    <row r="6097">
      <c r="A6097" s="3" t="s">
        <v>717</v>
      </c>
      <c r="B6097" s="3" t="s">
        <v>722</v>
      </c>
      <c r="C6097" s="3" t="s">
        <v>747</v>
      </c>
    </row>
    <row r="6098">
      <c r="A6098" s="3" t="s">
        <v>717</v>
      </c>
      <c r="B6098" s="3" t="s">
        <v>722</v>
      </c>
      <c r="C6098" s="3" t="s">
        <v>723</v>
      </c>
    </row>
    <row r="6099">
      <c r="A6099" s="3" t="s">
        <v>717</v>
      </c>
      <c r="B6099" s="3" t="s">
        <v>720</v>
      </c>
      <c r="C6099" s="3" t="s">
        <v>757</v>
      </c>
    </row>
    <row r="6100">
      <c r="A6100" s="3" t="s">
        <v>717</v>
      </c>
      <c r="B6100" s="3" t="s">
        <v>738</v>
      </c>
      <c r="C6100" s="3" t="s">
        <v>745</v>
      </c>
    </row>
    <row r="6101">
      <c r="A6101" s="3" t="s">
        <v>717</v>
      </c>
      <c r="B6101" s="3" t="s">
        <v>725</v>
      </c>
      <c r="C6101" s="3" t="s">
        <v>726</v>
      </c>
    </row>
    <row r="6102">
      <c r="A6102" s="3" t="s">
        <v>717</v>
      </c>
      <c r="B6102" s="3" t="s">
        <v>738</v>
      </c>
      <c r="C6102" s="3" t="s">
        <v>578</v>
      </c>
    </row>
    <row r="6103">
      <c r="A6103" s="3" t="s">
        <v>717</v>
      </c>
      <c r="B6103" s="3" t="s">
        <v>738</v>
      </c>
      <c r="C6103" s="3" t="s">
        <v>652</v>
      </c>
    </row>
    <row r="6104">
      <c r="A6104" s="3" t="s">
        <v>717</v>
      </c>
      <c r="B6104" s="3" t="s">
        <v>720</v>
      </c>
      <c r="C6104" s="3" t="s">
        <v>757</v>
      </c>
    </row>
    <row r="6105">
      <c r="A6105" s="3" t="s">
        <v>717</v>
      </c>
      <c r="B6105" s="3" t="s">
        <v>718</v>
      </c>
      <c r="C6105" s="3" t="s">
        <v>764</v>
      </c>
    </row>
    <row r="6106">
      <c r="A6106" s="3" t="s">
        <v>717</v>
      </c>
      <c r="B6106" s="3" t="s">
        <v>718</v>
      </c>
      <c r="C6106" s="3" t="s">
        <v>763</v>
      </c>
    </row>
    <row r="6107">
      <c r="A6107" s="3" t="s">
        <v>717</v>
      </c>
      <c r="B6107" s="3" t="s">
        <v>223</v>
      </c>
      <c r="C6107" s="3" t="s">
        <v>727</v>
      </c>
    </row>
    <row r="6108">
      <c r="A6108" s="3" t="s">
        <v>717</v>
      </c>
      <c r="B6108" s="3" t="s">
        <v>725</v>
      </c>
      <c r="C6108" s="3" t="s">
        <v>663</v>
      </c>
    </row>
    <row r="6109">
      <c r="A6109" s="3" t="s">
        <v>717</v>
      </c>
      <c r="B6109" s="3" t="s">
        <v>725</v>
      </c>
      <c r="C6109" s="3" t="s">
        <v>755</v>
      </c>
    </row>
    <row r="6110">
      <c r="A6110" s="3" t="s">
        <v>717</v>
      </c>
      <c r="B6110" s="3" t="s">
        <v>734</v>
      </c>
      <c r="C6110" s="3" t="s">
        <v>735</v>
      </c>
    </row>
    <row r="6111">
      <c r="A6111" s="3" t="s">
        <v>717</v>
      </c>
      <c r="B6111" s="3" t="s">
        <v>718</v>
      </c>
      <c r="C6111" s="3" t="s">
        <v>764</v>
      </c>
    </row>
    <row r="6112">
      <c r="A6112" s="3" t="s">
        <v>717</v>
      </c>
      <c r="B6112" s="3" t="s">
        <v>720</v>
      </c>
      <c r="C6112" s="3" t="s">
        <v>757</v>
      </c>
    </row>
    <row r="6113">
      <c r="A6113" s="3" t="s">
        <v>717</v>
      </c>
      <c r="B6113" s="3" t="s">
        <v>738</v>
      </c>
      <c r="C6113" s="3" t="s">
        <v>745</v>
      </c>
    </row>
    <row r="6114">
      <c r="A6114" s="3" t="s">
        <v>717</v>
      </c>
      <c r="B6114" s="3" t="s">
        <v>738</v>
      </c>
      <c r="C6114" s="3" t="s">
        <v>745</v>
      </c>
    </row>
    <row r="6115">
      <c r="A6115" s="3" t="s">
        <v>717</v>
      </c>
      <c r="B6115" s="3" t="s">
        <v>738</v>
      </c>
      <c r="C6115" s="3" t="s">
        <v>742</v>
      </c>
    </row>
    <row r="6116">
      <c r="A6116" s="3" t="s">
        <v>717</v>
      </c>
      <c r="B6116" s="3" t="s">
        <v>738</v>
      </c>
      <c r="C6116" s="3" t="s">
        <v>745</v>
      </c>
    </row>
    <row r="6117">
      <c r="A6117" s="3" t="s">
        <v>717</v>
      </c>
      <c r="B6117" s="3" t="s">
        <v>223</v>
      </c>
      <c r="C6117" s="3" t="s">
        <v>775</v>
      </c>
    </row>
    <row r="6118">
      <c r="A6118" s="3" t="s">
        <v>717</v>
      </c>
      <c r="B6118" s="3" t="s">
        <v>725</v>
      </c>
      <c r="C6118" s="3" t="s">
        <v>769</v>
      </c>
    </row>
    <row r="6119">
      <c r="A6119" s="3" t="s">
        <v>717</v>
      </c>
      <c r="B6119" s="3" t="s">
        <v>738</v>
      </c>
      <c r="C6119" s="3" t="s">
        <v>652</v>
      </c>
    </row>
    <row r="6120">
      <c r="A6120" s="3" t="s">
        <v>717</v>
      </c>
      <c r="B6120" s="3" t="s">
        <v>223</v>
      </c>
      <c r="C6120" s="3" t="s">
        <v>727</v>
      </c>
    </row>
    <row r="6121">
      <c r="A6121" s="3" t="s">
        <v>717</v>
      </c>
      <c r="B6121" s="3" t="s">
        <v>718</v>
      </c>
      <c r="C6121" s="3" t="s">
        <v>732</v>
      </c>
    </row>
    <row r="6122">
      <c r="A6122" s="3" t="s">
        <v>717</v>
      </c>
      <c r="B6122" s="3" t="s">
        <v>725</v>
      </c>
      <c r="C6122" s="3" t="s">
        <v>755</v>
      </c>
    </row>
    <row r="6123">
      <c r="A6123" s="3" t="s">
        <v>717</v>
      </c>
      <c r="B6123" s="3" t="s">
        <v>725</v>
      </c>
      <c r="C6123" s="3" t="s">
        <v>663</v>
      </c>
    </row>
    <row r="6124">
      <c r="A6124" s="3" t="s">
        <v>717</v>
      </c>
      <c r="B6124" s="3" t="s">
        <v>718</v>
      </c>
      <c r="C6124" s="3" t="s">
        <v>763</v>
      </c>
    </row>
    <row r="6125">
      <c r="A6125" s="3" t="s">
        <v>717</v>
      </c>
      <c r="B6125" s="3" t="s">
        <v>718</v>
      </c>
      <c r="C6125" s="3" t="s">
        <v>771</v>
      </c>
    </row>
    <row r="6126">
      <c r="A6126" s="3" t="s">
        <v>717</v>
      </c>
      <c r="B6126" s="3" t="s">
        <v>718</v>
      </c>
      <c r="C6126" s="3" t="s">
        <v>763</v>
      </c>
    </row>
    <row r="6127">
      <c r="A6127" s="3" t="s">
        <v>717</v>
      </c>
      <c r="B6127" s="3" t="s">
        <v>725</v>
      </c>
      <c r="C6127" s="3" t="s">
        <v>728</v>
      </c>
    </row>
    <row r="6128">
      <c r="A6128" s="3" t="s">
        <v>717</v>
      </c>
      <c r="B6128" s="3" t="s">
        <v>738</v>
      </c>
      <c r="C6128" s="3" t="s">
        <v>742</v>
      </c>
    </row>
    <row r="6129">
      <c r="A6129" s="3" t="s">
        <v>717</v>
      </c>
      <c r="B6129" s="3" t="s">
        <v>718</v>
      </c>
      <c r="C6129" s="3" t="s">
        <v>764</v>
      </c>
    </row>
    <row r="6130">
      <c r="A6130" s="3" t="s">
        <v>717</v>
      </c>
      <c r="B6130" s="3" t="s">
        <v>722</v>
      </c>
      <c r="C6130" s="3" t="s">
        <v>746</v>
      </c>
    </row>
    <row r="6131">
      <c r="A6131" s="3" t="s">
        <v>717</v>
      </c>
      <c r="B6131" s="3" t="s">
        <v>725</v>
      </c>
      <c r="C6131" s="3" t="s">
        <v>663</v>
      </c>
    </row>
    <row r="6132">
      <c r="A6132" s="3" t="s">
        <v>717</v>
      </c>
      <c r="B6132" s="3" t="s">
        <v>725</v>
      </c>
      <c r="C6132" s="3" t="s">
        <v>663</v>
      </c>
    </row>
    <row r="6133">
      <c r="A6133" s="3" t="s">
        <v>717</v>
      </c>
      <c r="B6133" s="3" t="s">
        <v>718</v>
      </c>
      <c r="C6133" s="3" t="s">
        <v>764</v>
      </c>
    </row>
    <row r="6134">
      <c r="A6134" s="3" t="s">
        <v>717</v>
      </c>
      <c r="B6134" s="3" t="s">
        <v>223</v>
      </c>
      <c r="C6134" s="3" t="s">
        <v>778</v>
      </c>
    </row>
    <row r="6135">
      <c r="A6135" s="3" t="s">
        <v>717</v>
      </c>
      <c r="B6135" s="3" t="s">
        <v>725</v>
      </c>
      <c r="C6135" s="3" t="s">
        <v>663</v>
      </c>
    </row>
    <row r="6136">
      <c r="A6136" s="3" t="s">
        <v>717</v>
      </c>
      <c r="B6136" s="3" t="s">
        <v>725</v>
      </c>
      <c r="C6136" s="3" t="s">
        <v>663</v>
      </c>
    </row>
    <row r="6137">
      <c r="A6137" s="3" t="s">
        <v>717</v>
      </c>
      <c r="B6137" s="3" t="s">
        <v>720</v>
      </c>
      <c r="C6137" s="3" t="s">
        <v>757</v>
      </c>
    </row>
    <row r="6138">
      <c r="A6138" s="3" t="s">
        <v>717</v>
      </c>
      <c r="B6138" s="3" t="s">
        <v>718</v>
      </c>
      <c r="C6138" s="3" t="s">
        <v>764</v>
      </c>
    </row>
    <row r="6139">
      <c r="A6139" s="3" t="s">
        <v>717</v>
      </c>
      <c r="B6139" s="3" t="s">
        <v>722</v>
      </c>
      <c r="C6139" s="3" t="s">
        <v>737</v>
      </c>
    </row>
    <row r="6140">
      <c r="A6140" s="3" t="s">
        <v>717</v>
      </c>
      <c r="B6140" s="3" t="s">
        <v>738</v>
      </c>
      <c r="C6140" s="3" t="s">
        <v>739</v>
      </c>
    </row>
    <row r="6141">
      <c r="A6141" s="3" t="s">
        <v>717</v>
      </c>
      <c r="B6141" s="3" t="s">
        <v>738</v>
      </c>
      <c r="C6141" s="3" t="s">
        <v>740</v>
      </c>
    </row>
    <row r="6142">
      <c r="A6142" s="3" t="s">
        <v>717</v>
      </c>
      <c r="B6142" s="3" t="s">
        <v>738</v>
      </c>
      <c r="C6142" s="3" t="s">
        <v>741</v>
      </c>
    </row>
    <row r="6143">
      <c r="A6143" s="3" t="s">
        <v>717</v>
      </c>
      <c r="B6143" s="3" t="s">
        <v>738</v>
      </c>
      <c r="C6143" s="3" t="s">
        <v>742</v>
      </c>
    </row>
    <row r="6144">
      <c r="A6144" s="3" t="s">
        <v>717</v>
      </c>
      <c r="B6144" s="3" t="s">
        <v>738</v>
      </c>
      <c r="C6144" s="3" t="s">
        <v>743</v>
      </c>
    </row>
    <row r="6145">
      <c r="A6145" s="3" t="s">
        <v>717</v>
      </c>
      <c r="B6145" s="3" t="s">
        <v>738</v>
      </c>
      <c r="C6145" s="3" t="s">
        <v>744</v>
      </c>
    </row>
    <row r="6146">
      <c r="A6146" s="3" t="s">
        <v>717</v>
      </c>
      <c r="B6146" s="3" t="s">
        <v>738</v>
      </c>
      <c r="C6146" s="3" t="s">
        <v>652</v>
      </c>
    </row>
    <row r="6147">
      <c r="A6147" s="3" t="s">
        <v>717</v>
      </c>
      <c r="B6147" s="3" t="s">
        <v>738</v>
      </c>
      <c r="C6147" s="3" t="s">
        <v>578</v>
      </c>
    </row>
    <row r="6148">
      <c r="A6148" s="3" t="s">
        <v>717</v>
      </c>
      <c r="B6148" s="3" t="s">
        <v>738</v>
      </c>
      <c r="C6148" s="3" t="s">
        <v>745</v>
      </c>
    </row>
    <row r="6149">
      <c r="A6149" s="3" t="s">
        <v>717</v>
      </c>
      <c r="B6149" s="3" t="s">
        <v>722</v>
      </c>
      <c r="C6149" s="3" t="s">
        <v>723</v>
      </c>
    </row>
    <row r="6150">
      <c r="A6150" s="3" t="s">
        <v>717</v>
      </c>
      <c r="B6150" s="3" t="s">
        <v>722</v>
      </c>
      <c r="C6150" s="3" t="s">
        <v>723</v>
      </c>
    </row>
    <row r="6151">
      <c r="A6151" s="3" t="s">
        <v>717</v>
      </c>
      <c r="B6151" s="3" t="s">
        <v>251</v>
      </c>
      <c r="C6151" s="3" t="s">
        <v>762</v>
      </c>
    </row>
    <row r="6152">
      <c r="A6152" s="3" t="s">
        <v>717</v>
      </c>
      <c r="B6152" s="3" t="s">
        <v>725</v>
      </c>
      <c r="C6152" s="3" t="s">
        <v>769</v>
      </c>
    </row>
    <row r="6153">
      <c r="A6153" s="3" t="s">
        <v>717</v>
      </c>
      <c r="B6153" s="3" t="s">
        <v>730</v>
      </c>
      <c r="C6153" s="3" t="s">
        <v>758</v>
      </c>
    </row>
    <row r="6154">
      <c r="A6154" s="3" t="s">
        <v>717</v>
      </c>
      <c r="B6154" s="3" t="s">
        <v>718</v>
      </c>
      <c r="C6154" s="3" t="s">
        <v>732</v>
      </c>
    </row>
    <row r="6155">
      <c r="A6155" s="3" t="s">
        <v>717</v>
      </c>
      <c r="B6155" s="3" t="s">
        <v>738</v>
      </c>
      <c r="C6155" s="3" t="s">
        <v>743</v>
      </c>
    </row>
    <row r="6156">
      <c r="A6156" s="3" t="s">
        <v>717</v>
      </c>
      <c r="B6156" s="3" t="s">
        <v>223</v>
      </c>
      <c r="C6156" s="3" t="s">
        <v>772</v>
      </c>
    </row>
    <row r="6157">
      <c r="A6157" s="3" t="s">
        <v>717</v>
      </c>
      <c r="B6157" s="3" t="s">
        <v>718</v>
      </c>
      <c r="C6157" s="3" t="s">
        <v>764</v>
      </c>
    </row>
    <row r="6158">
      <c r="A6158" s="3" t="s">
        <v>717</v>
      </c>
      <c r="B6158" s="3" t="s">
        <v>738</v>
      </c>
      <c r="C6158" s="3" t="s">
        <v>745</v>
      </c>
    </row>
    <row r="6159">
      <c r="A6159" s="3" t="s">
        <v>717</v>
      </c>
      <c r="B6159" s="3" t="s">
        <v>223</v>
      </c>
      <c r="C6159" s="3" t="s">
        <v>733</v>
      </c>
    </row>
    <row r="6160">
      <c r="A6160" s="3" t="s">
        <v>717</v>
      </c>
      <c r="B6160" s="3" t="s">
        <v>730</v>
      </c>
      <c r="C6160" s="3" t="s">
        <v>759</v>
      </c>
    </row>
    <row r="6161">
      <c r="A6161" s="3" t="s">
        <v>717</v>
      </c>
      <c r="B6161" s="3" t="s">
        <v>730</v>
      </c>
      <c r="C6161" s="3" t="s">
        <v>759</v>
      </c>
    </row>
    <row r="6162">
      <c r="A6162" s="3" t="s">
        <v>717</v>
      </c>
      <c r="B6162" s="3" t="s">
        <v>730</v>
      </c>
      <c r="C6162" s="3" t="s">
        <v>759</v>
      </c>
    </row>
    <row r="6163">
      <c r="A6163" s="3" t="s">
        <v>717</v>
      </c>
      <c r="B6163" s="3" t="s">
        <v>730</v>
      </c>
      <c r="C6163" s="3" t="s">
        <v>759</v>
      </c>
    </row>
    <row r="6164">
      <c r="A6164" s="3" t="s">
        <v>717</v>
      </c>
      <c r="B6164" s="3" t="s">
        <v>730</v>
      </c>
      <c r="C6164" s="3" t="s">
        <v>758</v>
      </c>
    </row>
    <row r="6165">
      <c r="A6165" s="3" t="s">
        <v>717</v>
      </c>
      <c r="B6165" s="3" t="s">
        <v>730</v>
      </c>
      <c r="C6165" s="3" t="s">
        <v>758</v>
      </c>
    </row>
    <row r="6166">
      <c r="A6166" s="3" t="s">
        <v>717</v>
      </c>
      <c r="B6166" s="3" t="s">
        <v>730</v>
      </c>
      <c r="C6166" s="3" t="s">
        <v>758</v>
      </c>
    </row>
    <row r="6167">
      <c r="A6167" s="3" t="s">
        <v>717</v>
      </c>
      <c r="B6167" s="3" t="s">
        <v>730</v>
      </c>
      <c r="C6167" s="3" t="s">
        <v>779</v>
      </c>
    </row>
    <row r="6168">
      <c r="A6168" s="3" t="s">
        <v>717</v>
      </c>
      <c r="B6168" s="3" t="s">
        <v>730</v>
      </c>
      <c r="C6168" s="3" t="s">
        <v>773</v>
      </c>
    </row>
    <row r="6169">
      <c r="A6169" s="3" t="s">
        <v>717</v>
      </c>
      <c r="B6169" s="3" t="s">
        <v>730</v>
      </c>
      <c r="C6169" s="3" t="s">
        <v>773</v>
      </c>
    </row>
    <row r="6170">
      <c r="A6170" s="3" t="s">
        <v>717</v>
      </c>
      <c r="B6170" s="3" t="s">
        <v>730</v>
      </c>
      <c r="C6170" s="3" t="s">
        <v>773</v>
      </c>
    </row>
    <row r="6171">
      <c r="A6171" s="3" t="s">
        <v>717</v>
      </c>
      <c r="B6171" s="3" t="s">
        <v>730</v>
      </c>
      <c r="C6171" s="3" t="s">
        <v>752</v>
      </c>
    </row>
    <row r="6172">
      <c r="A6172" s="3" t="s">
        <v>717</v>
      </c>
      <c r="B6172" s="3" t="s">
        <v>730</v>
      </c>
      <c r="C6172" s="3" t="s">
        <v>731</v>
      </c>
    </row>
    <row r="6173">
      <c r="A6173" s="3" t="s">
        <v>717</v>
      </c>
      <c r="B6173" s="3" t="s">
        <v>730</v>
      </c>
      <c r="C6173" s="3" t="s">
        <v>731</v>
      </c>
    </row>
    <row r="6174">
      <c r="A6174" s="3" t="s">
        <v>717</v>
      </c>
      <c r="B6174" s="3" t="s">
        <v>730</v>
      </c>
      <c r="C6174" s="3" t="s">
        <v>731</v>
      </c>
    </row>
    <row r="6175">
      <c r="A6175" s="3" t="s">
        <v>717</v>
      </c>
      <c r="B6175" s="3" t="s">
        <v>720</v>
      </c>
      <c r="C6175" s="3" t="s">
        <v>767</v>
      </c>
    </row>
    <row r="6176">
      <c r="A6176" s="3" t="s">
        <v>717</v>
      </c>
      <c r="B6176" s="3" t="s">
        <v>720</v>
      </c>
      <c r="C6176" s="3" t="s">
        <v>760</v>
      </c>
    </row>
    <row r="6177">
      <c r="A6177" s="3" t="s">
        <v>717</v>
      </c>
      <c r="B6177" s="3" t="s">
        <v>223</v>
      </c>
      <c r="C6177" s="3" t="s">
        <v>727</v>
      </c>
    </row>
    <row r="6178">
      <c r="A6178" s="3" t="s">
        <v>717</v>
      </c>
      <c r="B6178" s="3" t="s">
        <v>223</v>
      </c>
      <c r="C6178" s="3" t="s">
        <v>727</v>
      </c>
    </row>
    <row r="6179">
      <c r="A6179" s="3" t="s">
        <v>717</v>
      </c>
      <c r="B6179" s="3" t="s">
        <v>223</v>
      </c>
      <c r="C6179" s="3" t="s">
        <v>727</v>
      </c>
    </row>
    <row r="6180">
      <c r="A6180" s="3" t="s">
        <v>717</v>
      </c>
      <c r="B6180" s="3" t="s">
        <v>223</v>
      </c>
      <c r="C6180" s="3" t="s">
        <v>775</v>
      </c>
    </row>
    <row r="6181">
      <c r="A6181" s="3" t="s">
        <v>717</v>
      </c>
      <c r="B6181" s="3" t="s">
        <v>223</v>
      </c>
      <c r="C6181" s="3" t="s">
        <v>778</v>
      </c>
    </row>
    <row r="6182">
      <c r="A6182" s="3" t="s">
        <v>717</v>
      </c>
      <c r="B6182" s="3" t="s">
        <v>223</v>
      </c>
      <c r="C6182" s="3" t="s">
        <v>778</v>
      </c>
    </row>
    <row r="6183">
      <c r="A6183" s="3" t="s">
        <v>717</v>
      </c>
      <c r="B6183" s="3" t="s">
        <v>223</v>
      </c>
      <c r="C6183" s="3" t="s">
        <v>778</v>
      </c>
    </row>
    <row r="6184">
      <c r="A6184" s="3" t="s">
        <v>717</v>
      </c>
      <c r="B6184" s="3" t="s">
        <v>223</v>
      </c>
      <c r="C6184" s="3" t="s">
        <v>724</v>
      </c>
    </row>
    <row r="6185">
      <c r="A6185" s="3" t="s">
        <v>717</v>
      </c>
      <c r="B6185" s="3" t="s">
        <v>223</v>
      </c>
      <c r="C6185" s="3" t="s">
        <v>772</v>
      </c>
    </row>
    <row r="6186">
      <c r="A6186" s="3" t="s">
        <v>717</v>
      </c>
      <c r="B6186" s="3" t="s">
        <v>223</v>
      </c>
      <c r="C6186" s="3" t="s">
        <v>772</v>
      </c>
    </row>
    <row r="6187">
      <c r="A6187" s="3" t="s">
        <v>717</v>
      </c>
      <c r="B6187" s="3" t="s">
        <v>223</v>
      </c>
      <c r="C6187" s="3" t="s">
        <v>772</v>
      </c>
    </row>
    <row r="6188">
      <c r="A6188" s="3" t="s">
        <v>717</v>
      </c>
      <c r="B6188" s="3" t="s">
        <v>223</v>
      </c>
      <c r="C6188" s="3" t="s">
        <v>562</v>
      </c>
    </row>
    <row r="6189">
      <c r="A6189" s="3" t="s">
        <v>717</v>
      </c>
      <c r="B6189" s="3" t="s">
        <v>223</v>
      </c>
      <c r="C6189" s="3" t="s">
        <v>562</v>
      </c>
    </row>
    <row r="6190">
      <c r="A6190" s="3" t="s">
        <v>717</v>
      </c>
      <c r="B6190" s="3" t="s">
        <v>251</v>
      </c>
      <c r="C6190" s="3" t="s">
        <v>762</v>
      </c>
    </row>
    <row r="6191">
      <c r="A6191" s="3" t="s">
        <v>717</v>
      </c>
      <c r="B6191" s="3" t="s">
        <v>251</v>
      </c>
      <c r="C6191" s="3" t="s">
        <v>762</v>
      </c>
    </row>
    <row r="6192">
      <c r="A6192" s="3" t="s">
        <v>717</v>
      </c>
      <c r="B6192" s="3" t="s">
        <v>251</v>
      </c>
      <c r="C6192" s="3" t="s">
        <v>762</v>
      </c>
    </row>
    <row r="6193">
      <c r="A6193" s="3" t="s">
        <v>717</v>
      </c>
      <c r="B6193" s="3" t="s">
        <v>251</v>
      </c>
      <c r="C6193" s="3" t="s">
        <v>762</v>
      </c>
    </row>
    <row r="6194">
      <c r="A6194" s="3" t="s">
        <v>717</v>
      </c>
      <c r="B6194" s="3" t="s">
        <v>251</v>
      </c>
      <c r="C6194" s="3" t="s">
        <v>751</v>
      </c>
    </row>
    <row r="6195">
      <c r="A6195" s="3" t="s">
        <v>717</v>
      </c>
      <c r="B6195" s="3" t="s">
        <v>251</v>
      </c>
      <c r="C6195" s="3" t="s">
        <v>751</v>
      </c>
    </row>
    <row r="6196">
      <c r="A6196" s="3" t="s">
        <v>717</v>
      </c>
      <c r="B6196" s="3" t="s">
        <v>251</v>
      </c>
      <c r="C6196" s="3" t="s">
        <v>751</v>
      </c>
    </row>
    <row r="6197">
      <c r="A6197" s="3" t="s">
        <v>717</v>
      </c>
      <c r="B6197" s="3" t="s">
        <v>251</v>
      </c>
      <c r="C6197" s="3" t="s">
        <v>751</v>
      </c>
    </row>
    <row r="6198">
      <c r="A6198" s="3" t="s">
        <v>717</v>
      </c>
      <c r="B6198" s="3" t="s">
        <v>251</v>
      </c>
      <c r="C6198" s="3" t="s">
        <v>751</v>
      </c>
    </row>
    <row r="6199">
      <c r="A6199" s="3" t="s">
        <v>717</v>
      </c>
      <c r="B6199" s="3" t="s">
        <v>251</v>
      </c>
      <c r="C6199" s="3" t="s">
        <v>766</v>
      </c>
    </row>
    <row r="6200">
      <c r="A6200" s="3" t="s">
        <v>717</v>
      </c>
      <c r="B6200" s="3" t="s">
        <v>251</v>
      </c>
      <c r="C6200" s="3" t="s">
        <v>766</v>
      </c>
    </row>
    <row r="6201">
      <c r="A6201" s="3" t="s">
        <v>717</v>
      </c>
      <c r="B6201" s="3" t="s">
        <v>251</v>
      </c>
      <c r="C6201" s="3" t="s">
        <v>756</v>
      </c>
    </row>
    <row r="6202">
      <c r="A6202" s="3" t="s">
        <v>717</v>
      </c>
      <c r="B6202" s="3" t="s">
        <v>251</v>
      </c>
      <c r="C6202" s="3" t="s">
        <v>756</v>
      </c>
    </row>
    <row r="6203">
      <c r="A6203" s="3" t="s">
        <v>717</v>
      </c>
      <c r="B6203" s="3" t="s">
        <v>251</v>
      </c>
      <c r="C6203" s="3" t="s">
        <v>756</v>
      </c>
    </row>
    <row r="6204">
      <c r="A6204" s="3" t="s">
        <v>717</v>
      </c>
      <c r="B6204" s="3" t="s">
        <v>251</v>
      </c>
      <c r="C6204" s="3" t="s">
        <v>768</v>
      </c>
    </row>
    <row r="6205">
      <c r="A6205" s="3" t="s">
        <v>717</v>
      </c>
      <c r="B6205" s="3" t="s">
        <v>251</v>
      </c>
      <c r="C6205" s="3" t="s">
        <v>753</v>
      </c>
    </row>
    <row r="6206">
      <c r="A6206" s="3" t="s">
        <v>717</v>
      </c>
      <c r="B6206" s="3" t="s">
        <v>718</v>
      </c>
      <c r="C6206" s="3" t="s">
        <v>763</v>
      </c>
    </row>
    <row r="6207">
      <c r="A6207" s="3" t="s">
        <v>717</v>
      </c>
      <c r="B6207" s="3" t="s">
        <v>725</v>
      </c>
      <c r="C6207" s="3" t="s">
        <v>769</v>
      </c>
    </row>
    <row r="6208">
      <c r="A6208" s="3" t="s">
        <v>717</v>
      </c>
      <c r="B6208" s="3" t="s">
        <v>720</v>
      </c>
      <c r="C6208" s="3" t="s">
        <v>757</v>
      </c>
    </row>
    <row r="6209">
      <c r="A6209" s="3" t="s">
        <v>717</v>
      </c>
      <c r="B6209" s="3" t="s">
        <v>725</v>
      </c>
      <c r="C6209" s="3" t="s">
        <v>663</v>
      </c>
    </row>
    <row r="6210">
      <c r="A6210" s="3" t="s">
        <v>717</v>
      </c>
      <c r="B6210" s="3" t="s">
        <v>251</v>
      </c>
      <c r="C6210" s="3" t="s">
        <v>756</v>
      </c>
    </row>
    <row r="6211">
      <c r="A6211" s="3" t="s">
        <v>717</v>
      </c>
      <c r="B6211" s="3" t="s">
        <v>223</v>
      </c>
      <c r="C6211" s="3" t="s">
        <v>727</v>
      </c>
    </row>
    <row r="6212">
      <c r="A6212" s="3" t="s">
        <v>717</v>
      </c>
      <c r="B6212" s="3" t="s">
        <v>718</v>
      </c>
      <c r="C6212" s="3" t="s">
        <v>732</v>
      </c>
    </row>
    <row r="6213">
      <c r="A6213" s="3" t="s">
        <v>717</v>
      </c>
      <c r="B6213" s="3" t="s">
        <v>718</v>
      </c>
      <c r="C6213" s="3" t="s">
        <v>764</v>
      </c>
    </row>
    <row r="6214">
      <c r="A6214" s="3" t="s">
        <v>717</v>
      </c>
      <c r="B6214" s="3" t="s">
        <v>251</v>
      </c>
      <c r="C6214" s="3" t="s">
        <v>753</v>
      </c>
    </row>
    <row r="6215">
      <c r="A6215" s="3" t="s">
        <v>717</v>
      </c>
      <c r="B6215" s="3" t="s">
        <v>725</v>
      </c>
      <c r="C6215" s="3" t="s">
        <v>663</v>
      </c>
    </row>
    <row r="6216">
      <c r="A6216" s="3" t="s">
        <v>717</v>
      </c>
      <c r="B6216" s="3" t="s">
        <v>725</v>
      </c>
      <c r="C6216" s="3" t="s">
        <v>663</v>
      </c>
    </row>
    <row r="6217">
      <c r="A6217" s="3" t="s">
        <v>717</v>
      </c>
      <c r="B6217" s="3" t="s">
        <v>738</v>
      </c>
      <c r="C6217" s="3" t="s">
        <v>743</v>
      </c>
    </row>
    <row r="6218">
      <c r="A6218" s="3" t="s">
        <v>717</v>
      </c>
      <c r="B6218" s="3" t="s">
        <v>725</v>
      </c>
      <c r="C6218" s="3" t="s">
        <v>774</v>
      </c>
    </row>
    <row r="6219">
      <c r="A6219" s="3" t="s">
        <v>717</v>
      </c>
      <c r="B6219" s="3" t="s">
        <v>738</v>
      </c>
      <c r="C6219" s="3" t="s">
        <v>743</v>
      </c>
    </row>
    <row r="6220">
      <c r="A6220" s="3" t="s">
        <v>717</v>
      </c>
      <c r="B6220" s="3" t="s">
        <v>720</v>
      </c>
      <c r="C6220" s="3" t="s">
        <v>760</v>
      </c>
    </row>
    <row r="6221">
      <c r="A6221" s="3" t="s">
        <v>717</v>
      </c>
      <c r="B6221" s="3" t="s">
        <v>738</v>
      </c>
      <c r="C6221" s="3" t="s">
        <v>745</v>
      </c>
    </row>
    <row r="6222">
      <c r="A6222" s="3" t="s">
        <v>717</v>
      </c>
      <c r="B6222" s="3" t="s">
        <v>738</v>
      </c>
      <c r="C6222" s="3" t="s">
        <v>739</v>
      </c>
    </row>
    <row r="6223">
      <c r="A6223" s="3" t="s">
        <v>717</v>
      </c>
      <c r="B6223" s="3" t="s">
        <v>223</v>
      </c>
      <c r="C6223" s="3" t="s">
        <v>727</v>
      </c>
    </row>
    <row r="6224">
      <c r="A6224" s="3" t="s">
        <v>717</v>
      </c>
      <c r="B6224" s="3" t="s">
        <v>725</v>
      </c>
      <c r="C6224" s="3" t="s">
        <v>728</v>
      </c>
    </row>
    <row r="6225">
      <c r="A6225" s="3" t="s">
        <v>717</v>
      </c>
      <c r="B6225" s="3" t="s">
        <v>718</v>
      </c>
      <c r="C6225" s="3" t="s">
        <v>771</v>
      </c>
    </row>
    <row r="6226">
      <c r="A6226" s="3" t="s">
        <v>717</v>
      </c>
      <c r="B6226" s="3" t="s">
        <v>738</v>
      </c>
      <c r="C6226" s="3" t="s">
        <v>745</v>
      </c>
    </row>
    <row r="6227">
      <c r="A6227" s="3" t="s">
        <v>717</v>
      </c>
      <c r="B6227" s="3" t="s">
        <v>738</v>
      </c>
      <c r="C6227" s="3" t="s">
        <v>745</v>
      </c>
    </row>
    <row r="6228">
      <c r="A6228" s="3" t="s">
        <v>717</v>
      </c>
      <c r="B6228" s="3" t="s">
        <v>734</v>
      </c>
      <c r="C6228" s="3" t="s">
        <v>735</v>
      </c>
    </row>
    <row r="6229">
      <c r="A6229" s="3" t="s">
        <v>717</v>
      </c>
      <c r="B6229" s="3" t="s">
        <v>720</v>
      </c>
      <c r="C6229" s="3" t="s">
        <v>757</v>
      </c>
    </row>
    <row r="6230">
      <c r="A6230" s="3" t="s">
        <v>717</v>
      </c>
      <c r="B6230" s="3" t="s">
        <v>725</v>
      </c>
      <c r="C6230" s="3" t="s">
        <v>769</v>
      </c>
    </row>
    <row r="6231">
      <c r="A6231" s="3" t="s">
        <v>717</v>
      </c>
      <c r="B6231" s="3" t="s">
        <v>718</v>
      </c>
      <c r="C6231" s="3" t="s">
        <v>765</v>
      </c>
    </row>
    <row r="6232">
      <c r="A6232" s="3" t="s">
        <v>717</v>
      </c>
      <c r="B6232" s="3" t="s">
        <v>718</v>
      </c>
      <c r="C6232" s="3" t="s">
        <v>771</v>
      </c>
    </row>
    <row r="6233">
      <c r="A6233" s="3" t="s">
        <v>717</v>
      </c>
      <c r="B6233" s="3" t="s">
        <v>725</v>
      </c>
      <c r="C6233" s="3" t="s">
        <v>728</v>
      </c>
    </row>
    <row r="6234">
      <c r="A6234" s="3" t="s">
        <v>717</v>
      </c>
      <c r="B6234" s="3" t="s">
        <v>738</v>
      </c>
      <c r="C6234" s="3" t="s">
        <v>741</v>
      </c>
    </row>
    <row r="6235">
      <c r="A6235" s="3" t="s">
        <v>717</v>
      </c>
      <c r="B6235" s="3" t="s">
        <v>738</v>
      </c>
      <c r="C6235" s="3" t="s">
        <v>652</v>
      </c>
    </row>
    <row r="6236">
      <c r="A6236" s="3" t="s">
        <v>717</v>
      </c>
      <c r="B6236" s="3" t="s">
        <v>718</v>
      </c>
      <c r="C6236" s="3" t="s">
        <v>764</v>
      </c>
    </row>
    <row r="6237">
      <c r="A6237" s="3" t="s">
        <v>717</v>
      </c>
      <c r="B6237" s="3" t="s">
        <v>722</v>
      </c>
      <c r="C6237" s="3" t="s">
        <v>748</v>
      </c>
    </row>
    <row r="6238">
      <c r="A6238" s="3" t="s">
        <v>717</v>
      </c>
      <c r="B6238" s="3" t="s">
        <v>722</v>
      </c>
      <c r="C6238" s="3" t="s">
        <v>748</v>
      </c>
    </row>
    <row r="6239">
      <c r="A6239" s="3" t="s">
        <v>717</v>
      </c>
      <c r="B6239" s="3" t="s">
        <v>725</v>
      </c>
      <c r="C6239" s="3" t="s">
        <v>728</v>
      </c>
    </row>
    <row r="6240">
      <c r="A6240" s="3" t="s">
        <v>717</v>
      </c>
      <c r="B6240" s="3" t="s">
        <v>722</v>
      </c>
      <c r="C6240" s="3" t="s">
        <v>747</v>
      </c>
    </row>
    <row r="6241">
      <c r="A6241" s="3" t="s">
        <v>717</v>
      </c>
      <c r="B6241" s="3" t="s">
        <v>251</v>
      </c>
      <c r="C6241" s="3" t="s">
        <v>751</v>
      </c>
    </row>
    <row r="6242">
      <c r="A6242" s="3" t="s">
        <v>717</v>
      </c>
      <c r="B6242" s="3" t="s">
        <v>722</v>
      </c>
      <c r="C6242" s="3" t="s">
        <v>746</v>
      </c>
    </row>
    <row r="6243">
      <c r="A6243" s="3" t="s">
        <v>717</v>
      </c>
      <c r="B6243" s="3" t="s">
        <v>722</v>
      </c>
      <c r="C6243" s="3" t="s">
        <v>746</v>
      </c>
    </row>
    <row r="6244">
      <c r="A6244" s="3" t="s">
        <v>717</v>
      </c>
      <c r="B6244" s="3" t="s">
        <v>722</v>
      </c>
      <c r="C6244" s="3" t="s">
        <v>748</v>
      </c>
    </row>
    <row r="6245">
      <c r="A6245" s="3" t="s">
        <v>717</v>
      </c>
      <c r="B6245" s="3" t="s">
        <v>718</v>
      </c>
      <c r="C6245" s="3" t="s">
        <v>764</v>
      </c>
    </row>
    <row r="6246">
      <c r="A6246" s="3" t="s">
        <v>717</v>
      </c>
      <c r="B6246" s="3" t="s">
        <v>738</v>
      </c>
      <c r="C6246" s="3" t="s">
        <v>744</v>
      </c>
    </row>
    <row r="6247">
      <c r="A6247" s="3" t="s">
        <v>717</v>
      </c>
      <c r="B6247" s="3" t="s">
        <v>738</v>
      </c>
      <c r="C6247" s="3" t="s">
        <v>745</v>
      </c>
    </row>
    <row r="6248">
      <c r="A6248" s="3" t="s">
        <v>717</v>
      </c>
      <c r="B6248" s="3" t="s">
        <v>722</v>
      </c>
      <c r="C6248" s="3" t="s">
        <v>746</v>
      </c>
    </row>
    <row r="6249">
      <c r="A6249" s="3" t="s">
        <v>717</v>
      </c>
      <c r="B6249" s="3" t="s">
        <v>720</v>
      </c>
      <c r="C6249" s="3" t="s">
        <v>761</v>
      </c>
    </row>
    <row r="6250">
      <c r="A6250" s="3" t="s">
        <v>717</v>
      </c>
      <c r="B6250" s="3" t="s">
        <v>738</v>
      </c>
      <c r="C6250" s="3" t="s">
        <v>742</v>
      </c>
    </row>
    <row r="6251">
      <c r="A6251" s="3" t="s">
        <v>717</v>
      </c>
      <c r="B6251" s="3" t="s">
        <v>738</v>
      </c>
      <c r="C6251" s="3" t="s">
        <v>740</v>
      </c>
    </row>
    <row r="6252">
      <c r="A6252" s="3" t="s">
        <v>717</v>
      </c>
      <c r="B6252" s="3" t="s">
        <v>738</v>
      </c>
      <c r="C6252" s="3" t="s">
        <v>743</v>
      </c>
    </row>
    <row r="6253">
      <c r="A6253" s="3" t="s">
        <v>717</v>
      </c>
      <c r="B6253" s="3" t="s">
        <v>722</v>
      </c>
      <c r="C6253" s="3" t="s">
        <v>746</v>
      </c>
    </row>
    <row r="6254">
      <c r="A6254" s="3" t="s">
        <v>717</v>
      </c>
      <c r="B6254" s="3" t="s">
        <v>718</v>
      </c>
      <c r="C6254" s="3" t="s">
        <v>732</v>
      </c>
    </row>
    <row r="6255">
      <c r="A6255" s="3" t="s">
        <v>717</v>
      </c>
      <c r="B6255" s="3" t="s">
        <v>725</v>
      </c>
      <c r="C6255" s="3" t="s">
        <v>755</v>
      </c>
    </row>
    <row r="6256">
      <c r="A6256" s="3" t="s">
        <v>717</v>
      </c>
      <c r="B6256" s="3" t="s">
        <v>718</v>
      </c>
      <c r="C6256" s="3" t="s">
        <v>729</v>
      </c>
    </row>
    <row r="6257">
      <c r="A6257" s="3" t="s">
        <v>717</v>
      </c>
      <c r="B6257" s="3" t="s">
        <v>718</v>
      </c>
      <c r="C6257" s="3" t="s">
        <v>763</v>
      </c>
    </row>
    <row r="6258">
      <c r="A6258" s="3" t="s">
        <v>717</v>
      </c>
      <c r="B6258" s="3" t="s">
        <v>718</v>
      </c>
      <c r="C6258" s="3" t="s">
        <v>764</v>
      </c>
    </row>
    <row r="6259">
      <c r="A6259" s="3" t="s">
        <v>717</v>
      </c>
      <c r="B6259" s="3" t="s">
        <v>718</v>
      </c>
      <c r="C6259" s="3" t="s">
        <v>732</v>
      </c>
    </row>
    <row r="6260">
      <c r="A6260" s="3" t="s">
        <v>717</v>
      </c>
      <c r="B6260" s="3" t="s">
        <v>718</v>
      </c>
      <c r="C6260" s="3" t="s">
        <v>771</v>
      </c>
    </row>
    <row r="6261">
      <c r="A6261" s="3" t="s">
        <v>717</v>
      </c>
      <c r="B6261" s="3" t="s">
        <v>718</v>
      </c>
      <c r="C6261" s="3" t="s">
        <v>719</v>
      </c>
    </row>
    <row r="6262">
      <c r="A6262" s="3" t="s">
        <v>717</v>
      </c>
      <c r="B6262" s="3" t="s">
        <v>718</v>
      </c>
      <c r="C6262" s="3" t="s">
        <v>765</v>
      </c>
    </row>
    <row r="6263">
      <c r="A6263" s="3" t="s">
        <v>717</v>
      </c>
      <c r="B6263" s="3" t="s">
        <v>720</v>
      </c>
      <c r="C6263" s="3" t="s">
        <v>721</v>
      </c>
    </row>
    <row r="6264">
      <c r="A6264" s="3" t="s">
        <v>717</v>
      </c>
      <c r="B6264" s="3" t="s">
        <v>738</v>
      </c>
      <c r="C6264" s="3" t="s">
        <v>745</v>
      </c>
    </row>
    <row r="6265">
      <c r="A6265" s="3" t="s">
        <v>717</v>
      </c>
      <c r="B6265" s="3" t="s">
        <v>718</v>
      </c>
      <c r="C6265" s="3" t="s">
        <v>763</v>
      </c>
    </row>
    <row r="6266">
      <c r="A6266" s="3" t="s">
        <v>717</v>
      </c>
      <c r="B6266" s="3" t="s">
        <v>738</v>
      </c>
      <c r="C6266" s="3" t="s">
        <v>742</v>
      </c>
    </row>
    <row r="6267">
      <c r="A6267" s="3" t="s">
        <v>717</v>
      </c>
      <c r="B6267" s="3" t="s">
        <v>725</v>
      </c>
      <c r="C6267" s="3" t="s">
        <v>726</v>
      </c>
    </row>
    <row r="6268">
      <c r="A6268" s="3" t="s">
        <v>717</v>
      </c>
      <c r="B6268" s="3" t="s">
        <v>722</v>
      </c>
      <c r="C6268" s="3" t="s">
        <v>746</v>
      </c>
    </row>
    <row r="6269">
      <c r="A6269" s="3" t="s">
        <v>717</v>
      </c>
      <c r="B6269" s="3" t="s">
        <v>725</v>
      </c>
      <c r="C6269" s="3" t="s">
        <v>755</v>
      </c>
    </row>
    <row r="6270">
      <c r="A6270" s="3" t="s">
        <v>717</v>
      </c>
      <c r="B6270" s="3" t="s">
        <v>718</v>
      </c>
      <c r="C6270" s="3" t="s">
        <v>763</v>
      </c>
    </row>
    <row r="6271">
      <c r="A6271" s="3" t="s">
        <v>717</v>
      </c>
      <c r="B6271" s="3" t="s">
        <v>251</v>
      </c>
      <c r="C6271" s="3" t="s">
        <v>762</v>
      </c>
    </row>
    <row r="6272">
      <c r="A6272" s="3" t="s">
        <v>717</v>
      </c>
      <c r="B6272" s="3" t="s">
        <v>720</v>
      </c>
      <c r="C6272" s="3" t="s">
        <v>761</v>
      </c>
    </row>
    <row r="6273">
      <c r="A6273" s="3" t="s">
        <v>717</v>
      </c>
      <c r="B6273" s="3" t="s">
        <v>725</v>
      </c>
      <c r="C6273" s="3" t="s">
        <v>728</v>
      </c>
    </row>
    <row r="6274">
      <c r="A6274" s="3" t="s">
        <v>717</v>
      </c>
      <c r="B6274" s="3" t="s">
        <v>223</v>
      </c>
      <c r="C6274" s="3" t="s">
        <v>727</v>
      </c>
    </row>
    <row r="6275">
      <c r="A6275" s="3" t="s">
        <v>717</v>
      </c>
      <c r="B6275" s="3" t="s">
        <v>720</v>
      </c>
      <c r="C6275" s="3" t="s">
        <v>757</v>
      </c>
    </row>
    <row r="6276">
      <c r="A6276" s="3" t="s">
        <v>717</v>
      </c>
      <c r="B6276" s="3" t="s">
        <v>251</v>
      </c>
      <c r="C6276" s="3" t="s">
        <v>751</v>
      </c>
    </row>
    <row r="6277">
      <c r="A6277" s="3" t="s">
        <v>717</v>
      </c>
      <c r="B6277" s="3" t="s">
        <v>251</v>
      </c>
      <c r="C6277" s="3" t="s">
        <v>751</v>
      </c>
    </row>
    <row r="6278">
      <c r="A6278" s="3" t="s">
        <v>717</v>
      </c>
      <c r="B6278" s="3" t="s">
        <v>718</v>
      </c>
      <c r="C6278" s="3" t="s">
        <v>764</v>
      </c>
    </row>
    <row r="6279">
      <c r="A6279" s="3" t="s">
        <v>717</v>
      </c>
      <c r="B6279" s="3" t="s">
        <v>738</v>
      </c>
      <c r="C6279" s="3" t="s">
        <v>743</v>
      </c>
    </row>
    <row r="6280">
      <c r="A6280" s="3" t="s">
        <v>717</v>
      </c>
      <c r="B6280" s="3" t="s">
        <v>251</v>
      </c>
      <c r="C6280" s="3" t="s">
        <v>751</v>
      </c>
    </row>
    <row r="6281">
      <c r="A6281" s="3" t="s">
        <v>717</v>
      </c>
      <c r="B6281" s="3" t="s">
        <v>722</v>
      </c>
      <c r="C6281" s="3" t="s">
        <v>749</v>
      </c>
    </row>
    <row r="6282">
      <c r="A6282" s="3" t="s">
        <v>717</v>
      </c>
      <c r="B6282" s="3" t="s">
        <v>722</v>
      </c>
      <c r="C6282" s="3" t="s">
        <v>749</v>
      </c>
    </row>
    <row r="6283">
      <c r="A6283" s="3" t="s">
        <v>717</v>
      </c>
      <c r="B6283" s="3" t="s">
        <v>725</v>
      </c>
      <c r="C6283" s="3" t="s">
        <v>728</v>
      </c>
    </row>
    <row r="6284">
      <c r="A6284" s="3" t="s">
        <v>717</v>
      </c>
      <c r="B6284" s="3" t="s">
        <v>223</v>
      </c>
      <c r="C6284" s="3" t="s">
        <v>727</v>
      </c>
    </row>
    <row r="6285">
      <c r="A6285" s="3" t="s">
        <v>717</v>
      </c>
      <c r="B6285" s="3" t="s">
        <v>722</v>
      </c>
      <c r="C6285" s="3" t="s">
        <v>749</v>
      </c>
    </row>
    <row r="6286">
      <c r="A6286" s="3" t="s">
        <v>717</v>
      </c>
      <c r="B6286" s="3" t="s">
        <v>738</v>
      </c>
      <c r="C6286" s="3" t="s">
        <v>652</v>
      </c>
    </row>
    <row r="6287">
      <c r="A6287" s="3" t="s">
        <v>717</v>
      </c>
      <c r="B6287" s="3" t="s">
        <v>718</v>
      </c>
      <c r="C6287" s="3" t="s">
        <v>763</v>
      </c>
    </row>
    <row r="6288">
      <c r="A6288" s="3" t="s">
        <v>717</v>
      </c>
      <c r="B6288" s="3" t="s">
        <v>718</v>
      </c>
      <c r="C6288" s="3" t="s">
        <v>763</v>
      </c>
    </row>
    <row r="6289">
      <c r="A6289" s="3" t="s">
        <v>717</v>
      </c>
      <c r="B6289" s="3" t="s">
        <v>720</v>
      </c>
      <c r="C6289" s="3" t="s">
        <v>721</v>
      </c>
    </row>
    <row r="6290">
      <c r="A6290" s="3" t="s">
        <v>717</v>
      </c>
      <c r="B6290" s="3" t="s">
        <v>738</v>
      </c>
      <c r="C6290" s="3" t="s">
        <v>578</v>
      </c>
    </row>
    <row r="6291">
      <c r="A6291" s="3" t="s">
        <v>717</v>
      </c>
      <c r="B6291" s="3" t="s">
        <v>730</v>
      </c>
      <c r="C6291" s="3" t="s">
        <v>758</v>
      </c>
    </row>
    <row r="6292">
      <c r="A6292" s="3" t="s">
        <v>717</v>
      </c>
      <c r="B6292" s="3" t="s">
        <v>738</v>
      </c>
      <c r="C6292" s="3" t="s">
        <v>743</v>
      </c>
    </row>
    <row r="6293">
      <c r="A6293" s="3" t="s">
        <v>717</v>
      </c>
      <c r="B6293" s="3" t="s">
        <v>730</v>
      </c>
      <c r="C6293" s="3" t="s">
        <v>773</v>
      </c>
    </row>
    <row r="6294">
      <c r="A6294" s="3" t="s">
        <v>717</v>
      </c>
      <c r="B6294" s="3" t="s">
        <v>738</v>
      </c>
      <c r="C6294" s="3" t="s">
        <v>742</v>
      </c>
    </row>
    <row r="6295">
      <c r="A6295" s="3" t="s">
        <v>717</v>
      </c>
      <c r="B6295" s="3" t="s">
        <v>223</v>
      </c>
      <c r="C6295" s="3" t="s">
        <v>775</v>
      </c>
    </row>
    <row r="6296">
      <c r="A6296" s="3" t="s">
        <v>717</v>
      </c>
      <c r="B6296" s="3" t="s">
        <v>725</v>
      </c>
      <c r="C6296" s="3" t="s">
        <v>769</v>
      </c>
    </row>
    <row r="6297">
      <c r="A6297" s="3" t="s">
        <v>717</v>
      </c>
      <c r="B6297" s="3" t="s">
        <v>718</v>
      </c>
      <c r="C6297" s="3" t="s">
        <v>764</v>
      </c>
    </row>
    <row r="6298">
      <c r="A6298" s="3" t="s">
        <v>717</v>
      </c>
      <c r="B6298" s="3" t="s">
        <v>718</v>
      </c>
      <c r="C6298" s="3" t="s">
        <v>765</v>
      </c>
    </row>
    <row r="6299">
      <c r="A6299" s="3" t="s">
        <v>717</v>
      </c>
      <c r="B6299" s="3" t="s">
        <v>725</v>
      </c>
      <c r="C6299" s="3" t="s">
        <v>663</v>
      </c>
    </row>
    <row r="6300">
      <c r="A6300" s="3" t="s">
        <v>717</v>
      </c>
      <c r="B6300" s="3" t="s">
        <v>725</v>
      </c>
      <c r="C6300" s="3" t="s">
        <v>728</v>
      </c>
    </row>
    <row r="6301">
      <c r="A6301" s="3" t="s">
        <v>717</v>
      </c>
      <c r="B6301" s="3" t="s">
        <v>720</v>
      </c>
      <c r="C6301" s="3" t="s">
        <v>757</v>
      </c>
    </row>
    <row r="6302">
      <c r="A6302" s="3" t="s">
        <v>717</v>
      </c>
      <c r="B6302" s="3" t="s">
        <v>738</v>
      </c>
      <c r="C6302" s="3" t="s">
        <v>745</v>
      </c>
    </row>
    <row r="6303">
      <c r="A6303" s="3" t="s">
        <v>717</v>
      </c>
      <c r="B6303" s="3" t="s">
        <v>725</v>
      </c>
      <c r="C6303" s="3" t="s">
        <v>663</v>
      </c>
    </row>
    <row r="6304">
      <c r="A6304" s="3" t="s">
        <v>717</v>
      </c>
      <c r="B6304" s="3" t="s">
        <v>722</v>
      </c>
      <c r="C6304" s="3" t="s">
        <v>747</v>
      </c>
    </row>
    <row r="6305">
      <c r="A6305" s="3" t="s">
        <v>717</v>
      </c>
      <c r="B6305" s="3" t="s">
        <v>725</v>
      </c>
      <c r="C6305" s="3" t="s">
        <v>769</v>
      </c>
    </row>
    <row r="6306">
      <c r="A6306" s="3" t="s">
        <v>717</v>
      </c>
      <c r="B6306" s="3" t="s">
        <v>718</v>
      </c>
      <c r="C6306" s="3" t="s">
        <v>764</v>
      </c>
    </row>
    <row r="6307">
      <c r="A6307" s="3" t="s">
        <v>717</v>
      </c>
      <c r="B6307" s="3" t="s">
        <v>720</v>
      </c>
      <c r="C6307" s="3" t="s">
        <v>757</v>
      </c>
    </row>
    <row r="6308">
      <c r="A6308" s="3" t="s">
        <v>717</v>
      </c>
      <c r="B6308" s="3" t="s">
        <v>738</v>
      </c>
      <c r="C6308" s="3" t="s">
        <v>578</v>
      </c>
    </row>
    <row r="6309">
      <c r="A6309" s="3" t="s">
        <v>717</v>
      </c>
      <c r="B6309" s="3" t="s">
        <v>223</v>
      </c>
      <c r="C6309" s="3" t="s">
        <v>772</v>
      </c>
    </row>
    <row r="6310">
      <c r="A6310" s="3" t="s">
        <v>717</v>
      </c>
      <c r="B6310" s="3" t="s">
        <v>223</v>
      </c>
      <c r="C6310" s="3" t="s">
        <v>778</v>
      </c>
    </row>
    <row r="6311">
      <c r="A6311" s="3" t="s">
        <v>717</v>
      </c>
      <c r="B6311" s="3" t="s">
        <v>725</v>
      </c>
      <c r="C6311" s="3" t="s">
        <v>769</v>
      </c>
    </row>
    <row r="6312">
      <c r="A6312" s="3" t="s">
        <v>717</v>
      </c>
      <c r="B6312" s="3" t="s">
        <v>718</v>
      </c>
      <c r="C6312" s="3" t="s">
        <v>763</v>
      </c>
    </row>
    <row r="6313">
      <c r="A6313" s="3" t="s">
        <v>717</v>
      </c>
      <c r="B6313" s="3" t="s">
        <v>725</v>
      </c>
      <c r="C6313" s="3" t="s">
        <v>663</v>
      </c>
    </row>
    <row r="6314">
      <c r="A6314" s="3" t="s">
        <v>717</v>
      </c>
      <c r="B6314" s="3" t="s">
        <v>738</v>
      </c>
      <c r="C6314" s="3" t="s">
        <v>578</v>
      </c>
    </row>
    <row r="6315">
      <c r="A6315" s="3" t="s">
        <v>717</v>
      </c>
      <c r="B6315" s="3" t="s">
        <v>718</v>
      </c>
      <c r="C6315" s="3" t="s">
        <v>764</v>
      </c>
    </row>
    <row r="6316">
      <c r="A6316" s="3" t="s">
        <v>717</v>
      </c>
      <c r="B6316" s="3" t="s">
        <v>725</v>
      </c>
      <c r="C6316" s="3" t="s">
        <v>663</v>
      </c>
    </row>
    <row r="6317">
      <c r="A6317" s="3" t="s">
        <v>717</v>
      </c>
      <c r="B6317" s="3" t="s">
        <v>738</v>
      </c>
      <c r="C6317" s="3" t="s">
        <v>652</v>
      </c>
    </row>
    <row r="6318">
      <c r="A6318" s="3" t="s">
        <v>717</v>
      </c>
      <c r="B6318" s="3" t="s">
        <v>718</v>
      </c>
      <c r="C6318" s="3" t="s">
        <v>763</v>
      </c>
    </row>
    <row r="6319">
      <c r="A6319" s="3" t="s">
        <v>717</v>
      </c>
      <c r="B6319" s="3" t="s">
        <v>730</v>
      </c>
      <c r="C6319" s="3" t="s">
        <v>759</v>
      </c>
    </row>
    <row r="6320">
      <c r="A6320" s="3" t="s">
        <v>717</v>
      </c>
      <c r="B6320" s="3" t="s">
        <v>738</v>
      </c>
      <c r="C6320" s="3" t="s">
        <v>745</v>
      </c>
    </row>
    <row r="6321">
      <c r="A6321" s="3" t="s">
        <v>717</v>
      </c>
      <c r="B6321" s="3" t="s">
        <v>722</v>
      </c>
      <c r="C6321" s="3" t="s">
        <v>747</v>
      </c>
    </row>
    <row r="6322">
      <c r="A6322" s="3" t="s">
        <v>717</v>
      </c>
      <c r="B6322" s="3" t="s">
        <v>738</v>
      </c>
      <c r="C6322" s="3" t="s">
        <v>745</v>
      </c>
    </row>
    <row r="6323">
      <c r="A6323" s="3" t="s">
        <v>717</v>
      </c>
      <c r="B6323" s="3" t="s">
        <v>738</v>
      </c>
      <c r="C6323" s="3" t="s">
        <v>743</v>
      </c>
    </row>
    <row r="6324">
      <c r="A6324" s="3" t="s">
        <v>717</v>
      </c>
      <c r="B6324" s="3" t="s">
        <v>738</v>
      </c>
      <c r="C6324" s="3" t="s">
        <v>745</v>
      </c>
    </row>
    <row r="6325">
      <c r="A6325" s="3" t="s">
        <v>717</v>
      </c>
      <c r="B6325" s="3" t="s">
        <v>738</v>
      </c>
      <c r="C6325" s="3" t="s">
        <v>745</v>
      </c>
    </row>
    <row r="6326">
      <c r="A6326" s="3" t="s">
        <v>717</v>
      </c>
      <c r="B6326" s="3" t="s">
        <v>725</v>
      </c>
      <c r="C6326" s="3" t="s">
        <v>663</v>
      </c>
    </row>
    <row r="6327">
      <c r="A6327" s="3" t="s">
        <v>717</v>
      </c>
      <c r="B6327" s="3" t="s">
        <v>730</v>
      </c>
      <c r="C6327" s="3" t="s">
        <v>759</v>
      </c>
    </row>
    <row r="6328">
      <c r="A6328" s="3" t="s">
        <v>717</v>
      </c>
      <c r="B6328" s="3" t="s">
        <v>725</v>
      </c>
      <c r="C6328" s="3" t="s">
        <v>663</v>
      </c>
    </row>
    <row r="6329">
      <c r="A6329" s="3" t="s">
        <v>717</v>
      </c>
      <c r="B6329" s="3" t="s">
        <v>730</v>
      </c>
      <c r="C6329" s="3" t="s">
        <v>758</v>
      </c>
    </row>
    <row r="6330">
      <c r="A6330" s="3" t="s">
        <v>717</v>
      </c>
      <c r="B6330" s="3" t="s">
        <v>223</v>
      </c>
      <c r="C6330" s="3" t="s">
        <v>727</v>
      </c>
    </row>
    <row r="6331">
      <c r="A6331" s="3" t="s">
        <v>717</v>
      </c>
      <c r="B6331" s="3" t="s">
        <v>738</v>
      </c>
      <c r="C6331" s="3" t="s">
        <v>743</v>
      </c>
    </row>
    <row r="6332">
      <c r="A6332" s="3" t="s">
        <v>717</v>
      </c>
      <c r="B6332" s="3" t="s">
        <v>738</v>
      </c>
      <c r="C6332" s="3" t="s">
        <v>652</v>
      </c>
    </row>
    <row r="6333">
      <c r="A6333" s="3" t="s">
        <v>717</v>
      </c>
      <c r="B6333" s="3" t="s">
        <v>738</v>
      </c>
      <c r="C6333" s="3" t="s">
        <v>743</v>
      </c>
    </row>
    <row r="6334">
      <c r="A6334" s="3" t="s">
        <v>717</v>
      </c>
      <c r="B6334" s="3" t="s">
        <v>730</v>
      </c>
      <c r="C6334" s="3" t="s">
        <v>773</v>
      </c>
    </row>
    <row r="6335">
      <c r="A6335" s="3" t="s">
        <v>717</v>
      </c>
      <c r="B6335" s="3" t="s">
        <v>738</v>
      </c>
      <c r="C6335" s="3" t="s">
        <v>745</v>
      </c>
    </row>
    <row r="6336">
      <c r="A6336" s="3" t="s">
        <v>717</v>
      </c>
      <c r="B6336" s="3" t="s">
        <v>725</v>
      </c>
      <c r="C6336" s="3" t="s">
        <v>663</v>
      </c>
    </row>
    <row r="6337">
      <c r="A6337" s="3" t="s">
        <v>717</v>
      </c>
      <c r="B6337" s="3" t="s">
        <v>738</v>
      </c>
      <c r="C6337" s="3" t="s">
        <v>745</v>
      </c>
    </row>
    <row r="6338">
      <c r="A6338" s="3" t="s">
        <v>717</v>
      </c>
      <c r="B6338" s="3" t="s">
        <v>725</v>
      </c>
      <c r="C6338" s="3" t="s">
        <v>663</v>
      </c>
    </row>
    <row r="6339">
      <c r="A6339" s="3" t="s">
        <v>717</v>
      </c>
      <c r="B6339" s="3" t="s">
        <v>718</v>
      </c>
      <c r="C6339" s="3" t="s">
        <v>771</v>
      </c>
    </row>
    <row r="6340">
      <c r="A6340" s="3" t="s">
        <v>717</v>
      </c>
      <c r="B6340" s="3" t="s">
        <v>738</v>
      </c>
      <c r="C6340" s="3" t="s">
        <v>743</v>
      </c>
    </row>
    <row r="6341">
      <c r="A6341" s="3" t="s">
        <v>717</v>
      </c>
      <c r="B6341" s="3" t="s">
        <v>223</v>
      </c>
      <c r="C6341" s="3" t="s">
        <v>724</v>
      </c>
    </row>
    <row r="6342">
      <c r="A6342" s="3" t="s">
        <v>717</v>
      </c>
      <c r="B6342" s="3" t="s">
        <v>725</v>
      </c>
      <c r="C6342" s="3" t="s">
        <v>774</v>
      </c>
    </row>
    <row r="6343">
      <c r="A6343" s="3" t="s">
        <v>717</v>
      </c>
      <c r="B6343" s="3" t="s">
        <v>722</v>
      </c>
      <c r="C6343" s="3" t="s">
        <v>747</v>
      </c>
    </row>
    <row r="6344">
      <c r="A6344" s="3" t="s">
        <v>717</v>
      </c>
      <c r="B6344" s="3" t="s">
        <v>722</v>
      </c>
      <c r="C6344" s="3" t="s">
        <v>747</v>
      </c>
    </row>
    <row r="6345">
      <c r="A6345" s="3" t="s">
        <v>717</v>
      </c>
      <c r="B6345" s="3" t="s">
        <v>720</v>
      </c>
      <c r="C6345" s="3" t="s">
        <v>721</v>
      </c>
    </row>
    <row r="6346">
      <c r="A6346" s="3" t="s">
        <v>717</v>
      </c>
      <c r="B6346" s="3" t="s">
        <v>223</v>
      </c>
      <c r="C6346" s="3" t="s">
        <v>727</v>
      </c>
    </row>
    <row r="6347">
      <c r="A6347" s="3" t="s">
        <v>717</v>
      </c>
      <c r="B6347" s="3" t="s">
        <v>223</v>
      </c>
      <c r="C6347" s="3" t="s">
        <v>727</v>
      </c>
    </row>
    <row r="6348">
      <c r="A6348" s="3" t="s">
        <v>717</v>
      </c>
      <c r="B6348" s="3" t="s">
        <v>722</v>
      </c>
      <c r="C6348" s="3" t="s">
        <v>748</v>
      </c>
    </row>
    <row r="6349">
      <c r="A6349" s="3" t="s">
        <v>717</v>
      </c>
      <c r="B6349" s="3" t="s">
        <v>738</v>
      </c>
      <c r="C6349" s="3" t="s">
        <v>745</v>
      </c>
    </row>
    <row r="6350">
      <c r="A6350" s="3" t="s">
        <v>717</v>
      </c>
      <c r="B6350" s="3" t="s">
        <v>725</v>
      </c>
      <c r="C6350" s="3" t="s">
        <v>663</v>
      </c>
    </row>
    <row r="6351">
      <c r="A6351" s="3" t="s">
        <v>717</v>
      </c>
      <c r="B6351" s="3" t="s">
        <v>730</v>
      </c>
      <c r="C6351" s="3" t="s">
        <v>759</v>
      </c>
    </row>
    <row r="6352">
      <c r="A6352" s="3" t="s">
        <v>717</v>
      </c>
      <c r="B6352" s="3" t="s">
        <v>730</v>
      </c>
      <c r="C6352" s="3" t="s">
        <v>759</v>
      </c>
    </row>
    <row r="6353">
      <c r="A6353" s="3" t="s">
        <v>717</v>
      </c>
      <c r="B6353" s="3" t="s">
        <v>730</v>
      </c>
      <c r="C6353" s="3" t="s">
        <v>759</v>
      </c>
    </row>
    <row r="6354">
      <c r="A6354" s="3" t="s">
        <v>717</v>
      </c>
      <c r="B6354" s="3" t="s">
        <v>730</v>
      </c>
      <c r="C6354" s="3" t="s">
        <v>759</v>
      </c>
    </row>
    <row r="6355">
      <c r="A6355" s="3" t="s">
        <v>717</v>
      </c>
      <c r="B6355" s="3" t="s">
        <v>718</v>
      </c>
      <c r="C6355" s="3" t="s">
        <v>764</v>
      </c>
    </row>
    <row r="6356">
      <c r="A6356" s="3" t="s">
        <v>717</v>
      </c>
      <c r="B6356" s="3" t="s">
        <v>738</v>
      </c>
      <c r="C6356" s="3" t="s">
        <v>741</v>
      </c>
    </row>
    <row r="6357">
      <c r="A6357" s="3" t="s">
        <v>717</v>
      </c>
      <c r="B6357" s="3" t="s">
        <v>718</v>
      </c>
      <c r="C6357" s="3" t="s">
        <v>732</v>
      </c>
    </row>
    <row r="6358">
      <c r="A6358" s="3" t="s">
        <v>717</v>
      </c>
      <c r="B6358" s="3" t="s">
        <v>738</v>
      </c>
      <c r="C6358" s="3" t="s">
        <v>743</v>
      </c>
    </row>
    <row r="6359">
      <c r="A6359" s="3" t="s">
        <v>717</v>
      </c>
      <c r="B6359" s="3" t="s">
        <v>725</v>
      </c>
      <c r="C6359" s="3" t="s">
        <v>663</v>
      </c>
    </row>
    <row r="6360">
      <c r="A6360" s="3" t="s">
        <v>717</v>
      </c>
      <c r="B6360" s="3" t="s">
        <v>725</v>
      </c>
      <c r="C6360" s="3" t="s">
        <v>774</v>
      </c>
    </row>
    <row r="6361">
      <c r="A6361" s="3" t="s">
        <v>717</v>
      </c>
      <c r="B6361" s="3" t="s">
        <v>725</v>
      </c>
      <c r="C6361" s="3" t="s">
        <v>755</v>
      </c>
    </row>
    <row r="6362">
      <c r="A6362" s="3" t="s">
        <v>717</v>
      </c>
      <c r="B6362" s="3" t="s">
        <v>725</v>
      </c>
      <c r="C6362" s="3" t="s">
        <v>769</v>
      </c>
    </row>
    <row r="6363">
      <c r="A6363" s="3" t="s">
        <v>717</v>
      </c>
      <c r="B6363" s="3" t="s">
        <v>725</v>
      </c>
      <c r="C6363" s="3" t="s">
        <v>726</v>
      </c>
    </row>
    <row r="6364">
      <c r="A6364" s="3" t="s">
        <v>717</v>
      </c>
      <c r="B6364" s="3" t="s">
        <v>725</v>
      </c>
      <c r="C6364" s="3" t="s">
        <v>728</v>
      </c>
    </row>
    <row r="6365">
      <c r="A6365" s="3" t="s">
        <v>717</v>
      </c>
      <c r="B6365" s="3" t="s">
        <v>725</v>
      </c>
      <c r="C6365" s="3" t="s">
        <v>776</v>
      </c>
    </row>
    <row r="6366">
      <c r="A6366" s="3" t="s">
        <v>717</v>
      </c>
      <c r="B6366" s="3" t="s">
        <v>738</v>
      </c>
      <c r="C6366" s="3" t="s">
        <v>740</v>
      </c>
    </row>
    <row r="6367">
      <c r="A6367" s="3" t="s">
        <v>717</v>
      </c>
      <c r="B6367" s="3" t="s">
        <v>251</v>
      </c>
      <c r="C6367" s="3" t="s">
        <v>768</v>
      </c>
    </row>
    <row r="6368">
      <c r="A6368" s="3" t="s">
        <v>717</v>
      </c>
      <c r="B6368" s="3" t="s">
        <v>720</v>
      </c>
      <c r="C6368" s="3" t="s">
        <v>757</v>
      </c>
    </row>
    <row r="6369">
      <c r="A6369" s="3" t="s">
        <v>717</v>
      </c>
      <c r="B6369" s="3" t="s">
        <v>738</v>
      </c>
      <c r="C6369" s="3" t="s">
        <v>743</v>
      </c>
    </row>
    <row r="6370">
      <c r="A6370" s="3" t="s">
        <v>717</v>
      </c>
      <c r="B6370" s="3" t="s">
        <v>722</v>
      </c>
      <c r="C6370" s="3" t="s">
        <v>747</v>
      </c>
    </row>
    <row r="6371">
      <c r="A6371" s="3" t="s">
        <v>717</v>
      </c>
      <c r="B6371" s="3" t="s">
        <v>718</v>
      </c>
      <c r="C6371" s="3" t="s">
        <v>732</v>
      </c>
    </row>
    <row r="6372">
      <c r="A6372" s="3" t="s">
        <v>717</v>
      </c>
      <c r="B6372" s="3" t="s">
        <v>725</v>
      </c>
      <c r="C6372" s="3" t="s">
        <v>663</v>
      </c>
    </row>
    <row r="6373">
      <c r="A6373" s="3" t="s">
        <v>717</v>
      </c>
      <c r="B6373" s="3" t="s">
        <v>720</v>
      </c>
      <c r="C6373" s="3" t="s">
        <v>757</v>
      </c>
    </row>
    <row r="6374">
      <c r="A6374" s="3" t="s">
        <v>717</v>
      </c>
      <c r="B6374" s="3" t="s">
        <v>223</v>
      </c>
      <c r="C6374" s="3" t="s">
        <v>727</v>
      </c>
    </row>
    <row r="6375">
      <c r="A6375" s="3" t="s">
        <v>717</v>
      </c>
      <c r="B6375" s="3" t="s">
        <v>725</v>
      </c>
      <c r="C6375" s="3" t="s">
        <v>663</v>
      </c>
    </row>
    <row r="6376">
      <c r="A6376" s="3" t="s">
        <v>717</v>
      </c>
      <c r="B6376" s="3" t="s">
        <v>718</v>
      </c>
      <c r="C6376" s="3" t="s">
        <v>732</v>
      </c>
    </row>
    <row r="6377">
      <c r="A6377" s="3" t="s">
        <v>717</v>
      </c>
      <c r="B6377" s="3" t="s">
        <v>725</v>
      </c>
      <c r="C6377" s="3" t="s">
        <v>755</v>
      </c>
    </row>
    <row r="6378">
      <c r="A6378" s="3" t="s">
        <v>717</v>
      </c>
      <c r="B6378" s="3" t="s">
        <v>738</v>
      </c>
      <c r="C6378" s="3" t="s">
        <v>740</v>
      </c>
    </row>
    <row r="6379">
      <c r="A6379" s="3" t="s">
        <v>717</v>
      </c>
      <c r="B6379" s="3" t="s">
        <v>718</v>
      </c>
      <c r="C6379" s="3" t="s">
        <v>763</v>
      </c>
    </row>
    <row r="6380">
      <c r="A6380" s="3" t="s">
        <v>717</v>
      </c>
      <c r="B6380" s="3" t="s">
        <v>722</v>
      </c>
      <c r="C6380" s="3" t="s">
        <v>749</v>
      </c>
    </row>
    <row r="6381">
      <c r="A6381" s="3" t="s">
        <v>717</v>
      </c>
      <c r="B6381" s="3" t="s">
        <v>722</v>
      </c>
      <c r="C6381" s="3" t="s">
        <v>749</v>
      </c>
    </row>
    <row r="6382">
      <c r="A6382" s="3" t="s">
        <v>717</v>
      </c>
      <c r="B6382" s="3" t="s">
        <v>725</v>
      </c>
      <c r="C6382" s="3" t="s">
        <v>663</v>
      </c>
    </row>
    <row r="6383">
      <c r="A6383" s="3" t="s">
        <v>717</v>
      </c>
      <c r="B6383" s="3" t="s">
        <v>718</v>
      </c>
      <c r="C6383" s="3" t="s">
        <v>763</v>
      </c>
    </row>
    <row r="6384">
      <c r="A6384" s="3" t="s">
        <v>717</v>
      </c>
      <c r="B6384" s="3" t="s">
        <v>720</v>
      </c>
      <c r="C6384" s="3" t="s">
        <v>721</v>
      </c>
    </row>
    <row r="6385">
      <c r="A6385" s="3" t="s">
        <v>717</v>
      </c>
      <c r="B6385" s="3" t="s">
        <v>718</v>
      </c>
      <c r="C6385" s="3" t="s">
        <v>764</v>
      </c>
    </row>
    <row r="6386">
      <c r="A6386" s="3" t="s">
        <v>717</v>
      </c>
      <c r="B6386" s="3" t="s">
        <v>718</v>
      </c>
      <c r="C6386" s="3" t="s">
        <v>732</v>
      </c>
    </row>
    <row r="6387">
      <c r="A6387" s="3" t="s">
        <v>717</v>
      </c>
      <c r="B6387" s="3" t="s">
        <v>718</v>
      </c>
      <c r="C6387" s="3" t="s">
        <v>732</v>
      </c>
    </row>
    <row r="6388">
      <c r="A6388" s="3" t="s">
        <v>717</v>
      </c>
      <c r="B6388" s="3" t="s">
        <v>725</v>
      </c>
      <c r="C6388" s="3" t="s">
        <v>663</v>
      </c>
    </row>
    <row r="6389">
      <c r="A6389" s="3" t="s">
        <v>717</v>
      </c>
      <c r="B6389" s="3" t="s">
        <v>722</v>
      </c>
      <c r="C6389" s="3" t="s">
        <v>748</v>
      </c>
    </row>
    <row r="6390">
      <c r="A6390" s="3" t="s">
        <v>717</v>
      </c>
      <c r="B6390" s="3" t="s">
        <v>725</v>
      </c>
      <c r="C6390" s="3" t="s">
        <v>774</v>
      </c>
    </row>
    <row r="6391">
      <c r="A6391" s="3" t="s">
        <v>717</v>
      </c>
      <c r="B6391" s="3" t="s">
        <v>725</v>
      </c>
      <c r="C6391" s="3" t="s">
        <v>663</v>
      </c>
    </row>
    <row r="6392">
      <c r="A6392" s="3" t="s">
        <v>717</v>
      </c>
      <c r="B6392" s="3" t="s">
        <v>725</v>
      </c>
      <c r="C6392" s="3" t="s">
        <v>663</v>
      </c>
    </row>
    <row r="6393">
      <c r="A6393" s="3" t="s">
        <v>717</v>
      </c>
      <c r="B6393" s="3" t="s">
        <v>725</v>
      </c>
      <c r="C6393" s="3" t="s">
        <v>663</v>
      </c>
    </row>
    <row r="6394">
      <c r="A6394" s="3" t="s">
        <v>717</v>
      </c>
      <c r="B6394" s="3" t="s">
        <v>718</v>
      </c>
      <c r="C6394" s="3" t="s">
        <v>764</v>
      </c>
    </row>
    <row r="6395">
      <c r="A6395" s="3" t="s">
        <v>717</v>
      </c>
      <c r="B6395" s="3" t="s">
        <v>720</v>
      </c>
      <c r="C6395" s="3" t="s">
        <v>721</v>
      </c>
    </row>
    <row r="6396">
      <c r="A6396" s="3" t="s">
        <v>717</v>
      </c>
      <c r="B6396" s="3" t="s">
        <v>725</v>
      </c>
      <c r="C6396" s="3" t="s">
        <v>769</v>
      </c>
    </row>
    <row r="6397">
      <c r="A6397" s="3" t="s">
        <v>717</v>
      </c>
      <c r="B6397" s="3" t="s">
        <v>720</v>
      </c>
      <c r="C6397" s="3" t="s">
        <v>721</v>
      </c>
    </row>
    <row r="6398">
      <c r="A6398" s="3" t="s">
        <v>717</v>
      </c>
      <c r="B6398" s="3" t="s">
        <v>722</v>
      </c>
      <c r="C6398" s="3" t="s">
        <v>748</v>
      </c>
    </row>
    <row r="6399">
      <c r="A6399" s="3" t="s">
        <v>717</v>
      </c>
      <c r="B6399" s="3" t="s">
        <v>718</v>
      </c>
      <c r="C6399" s="3" t="s">
        <v>763</v>
      </c>
    </row>
    <row r="6400">
      <c r="A6400" s="3" t="s">
        <v>717</v>
      </c>
      <c r="B6400" s="3" t="s">
        <v>718</v>
      </c>
      <c r="C6400" s="3" t="s">
        <v>763</v>
      </c>
    </row>
    <row r="6401">
      <c r="A6401" s="3" t="s">
        <v>717</v>
      </c>
      <c r="B6401" s="3" t="s">
        <v>718</v>
      </c>
      <c r="C6401" s="3" t="s">
        <v>763</v>
      </c>
    </row>
    <row r="6402">
      <c r="A6402" s="3" t="s">
        <v>717</v>
      </c>
      <c r="B6402" s="3" t="s">
        <v>718</v>
      </c>
      <c r="C6402" s="3" t="s">
        <v>763</v>
      </c>
    </row>
    <row r="6403">
      <c r="A6403" s="3" t="s">
        <v>717</v>
      </c>
      <c r="B6403" s="3" t="s">
        <v>718</v>
      </c>
      <c r="C6403" s="3" t="s">
        <v>763</v>
      </c>
    </row>
    <row r="6404">
      <c r="A6404" s="3" t="s">
        <v>717</v>
      </c>
      <c r="B6404" s="3" t="s">
        <v>718</v>
      </c>
      <c r="C6404" s="3" t="s">
        <v>763</v>
      </c>
    </row>
    <row r="6405">
      <c r="A6405" s="3" t="s">
        <v>717</v>
      </c>
      <c r="B6405" s="3" t="s">
        <v>718</v>
      </c>
      <c r="C6405" s="3" t="s">
        <v>763</v>
      </c>
    </row>
    <row r="6406">
      <c r="A6406" s="3" t="s">
        <v>717</v>
      </c>
      <c r="B6406" s="3" t="s">
        <v>718</v>
      </c>
      <c r="C6406" s="3" t="s">
        <v>763</v>
      </c>
    </row>
    <row r="6407">
      <c r="A6407" s="3" t="s">
        <v>717</v>
      </c>
      <c r="B6407" s="3" t="s">
        <v>718</v>
      </c>
      <c r="C6407" s="3" t="s">
        <v>764</v>
      </c>
    </row>
    <row r="6408">
      <c r="A6408" s="3" t="s">
        <v>717</v>
      </c>
      <c r="B6408" s="3" t="s">
        <v>738</v>
      </c>
      <c r="C6408" s="3" t="s">
        <v>741</v>
      </c>
    </row>
    <row r="6409">
      <c r="A6409" s="3" t="s">
        <v>717</v>
      </c>
      <c r="B6409" s="3" t="s">
        <v>738</v>
      </c>
      <c r="C6409" s="3" t="s">
        <v>652</v>
      </c>
    </row>
    <row r="6410">
      <c r="A6410" s="3" t="s">
        <v>717</v>
      </c>
      <c r="B6410" s="3" t="s">
        <v>223</v>
      </c>
      <c r="C6410" s="3" t="s">
        <v>772</v>
      </c>
    </row>
    <row r="6411">
      <c r="A6411" s="3" t="s">
        <v>717</v>
      </c>
      <c r="B6411" s="3" t="s">
        <v>730</v>
      </c>
      <c r="C6411" s="3" t="s">
        <v>759</v>
      </c>
    </row>
    <row r="6412">
      <c r="A6412" s="3" t="s">
        <v>717</v>
      </c>
      <c r="B6412" s="3" t="s">
        <v>718</v>
      </c>
      <c r="C6412" s="3" t="s">
        <v>765</v>
      </c>
    </row>
    <row r="6413">
      <c r="A6413" s="3" t="s">
        <v>717</v>
      </c>
      <c r="B6413" s="3" t="s">
        <v>725</v>
      </c>
      <c r="C6413" s="3" t="s">
        <v>663</v>
      </c>
    </row>
    <row r="6414">
      <c r="A6414" s="3" t="s">
        <v>717</v>
      </c>
      <c r="B6414" s="3" t="s">
        <v>738</v>
      </c>
      <c r="C6414" s="3" t="s">
        <v>743</v>
      </c>
    </row>
    <row r="6415">
      <c r="A6415" s="3" t="s">
        <v>717</v>
      </c>
      <c r="B6415" s="3" t="s">
        <v>223</v>
      </c>
      <c r="C6415" s="3" t="s">
        <v>727</v>
      </c>
    </row>
    <row r="6416">
      <c r="A6416" s="3" t="s">
        <v>717</v>
      </c>
      <c r="B6416" s="3" t="s">
        <v>718</v>
      </c>
      <c r="C6416" s="3" t="s">
        <v>763</v>
      </c>
    </row>
    <row r="6417">
      <c r="A6417" s="3" t="s">
        <v>717</v>
      </c>
      <c r="B6417" s="3" t="s">
        <v>720</v>
      </c>
      <c r="C6417" s="3" t="s">
        <v>721</v>
      </c>
    </row>
    <row r="6418">
      <c r="A6418" s="3" t="s">
        <v>717</v>
      </c>
      <c r="B6418" s="3" t="s">
        <v>720</v>
      </c>
      <c r="C6418" s="3" t="s">
        <v>721</v>
      </c>
    </row>
    <row r="6419">
      <c r="A6419" s="3" t="s">
        <v>717</v>
      </c>
      <c r="B6419" s="3" t="s">
        <v>722</v>
      </c>
      <c r="C6419" s="3" t="s">
        <v>747</v>
      </c>
    </row>
    <row r="6420">
      <c r="A6420" s="3" t="s">
        <v>717</v>
      </c>
      <c r="B6420" s="3" t="s">
        <v>725</v>
      </c>
      <c r="C6420" s="3" t="s">
        <v>663</v>
      </c>
    </row>
    <row r="6421">
      <c r="A6421" s="3" t="s">
        <v>717</v>
      </c>
      <c r="B6421" s="3" t="s">
        <v>725</v>
      </c>
      <c r="C6421" s="3" t="s">
        <v>663</v>
      </c>
    </row>
    <row r="6422">
      <c r="A6422" s="3" t="s">
        <v>717</v>
      </c>
      <c r="B6422" s="3" t="s">
        <v>725</v>
      </c>
      <c r="C6422" s="3" t="s">
        <v>663</v>
      </c>
    </row>
    <row r="6423">
      <c r="A6423" s="3" t="s">
        <v>717</v>
      </c>
      <c r="B6423" s="3" t="s">
        <v>223</v>
      </c>
      <c r="C6423" s="3" t="s">
        <v>778</v>
      </c>
    </row>
    <row r="6424">
      <c r="A6424" s="3" t="s">
        <v>717</v>
      </c>
      <c r="B6424" s="3" t="s">
        <v>725</v>
      </c>
      <c r="C6424" s="3" t="s">
        <v>777</v>
      </c>
    </row>
    <row r="6425">
      <c r="A6425" s="3" t="s">
        <v>717</v>
      </c>
      <c r="B6425" s="3" t="s">
        <v>725</v>
      </c>
      <c r="C6425" s="3" t="s">
        <v>728</v>
      </c>
    </row>
    <row r="6426">
      <c r="A6426" s="3" t="s">
        <v>717</v>
      </c>
      <c r="B6426" s="3" t="s">
        <v>718</v>
      </c>
      <c r="C6426" s="3" t="s">
        <v>764</v>
      </c>
    </row>
    <row r="6427">
      <c r="A6427" s="3" t="s">
        <v>717</v>
      </c>
      <c r="B6427" s="3" t="s">
        <v>718</v>
      </c>
      <c r="C6427" s="3" t="s">
        <v>732</v>
      </c>
    </row>
    <row r="6428">
      <c r="A6428" s="3" t="s">
        <v>717</v>
      </c>
      <c r="B6428" s="3" t="s">
        <v>722</v>
      </c>
      <c r="C6428" s="3" t="s">
        <v>748</v>
      </c>
    </row>
    <row r="6429">
      <c r="A6429" s="3" t="s">
        <v>717</v>
      </c>
      <c r="B6429" s="3" t="s">
        <v>738</v>
      </c>
      <c r="C6429" s="3" t="s">
        <v>743</v>
      </c>
    </row>
    <row r="6430">
      <c r="A6430" s="3" t="s">
        <v>717</v>
      </c>
      <c r="B6430" s="3" t="s">
        <v>738</v>
      </c>
      <c r="C6430" s="3" t="s">
        <v>745</v>
      </c>
    </row>
    <row r="6431">
      <c r="A6431" s="3" t="s">
        <v>717</v>
      </c>
      <c r="B6431" s="3" t="s">
        <v>738</v>
      </c>
      <c r="C6431" s="3" t="s">
        <v>740</v>
      </c>
    </row>
    <row r="6432">
      <c r="A6432" s="3" t="s">
        <v>717</v>
      </c>
      <c r="B6432" s="3" t="s">
        <v>722</v>
      </c>
      <c r="C6432" s="3" t="s">
        <v>747</v>
      </c>
    </row>
    <row r="6433">
      <c r="A6433" s="3" t="s">
        <v>717</v>
      </c>
      <c r="B6433" s="3" t="s">
        <v>730</v>
      </c>
      <c r="C6433" s="3" t="s">
        <v>773</v>
      </c>
    </row>
    <row r="6434">
      <c r="A6434" s="3" t="s">
        <v>717</v>
      </c>
      <c r="B6434" s="3" t="s">
        <v>738</v>
      </c>
      <c r="C6434" s="3" t="s">
        <v>743</v>
      </c>
    </row>
    <row r="6435">
      <c r="A6435" s="3" t="s">
        <v>717</v>
      </c>
      <c r="B6435" s="3" t="s">
        <v>223</v>
      </c>
      <c r="C6435" s="3" t="s">
        <v>727</v>
      </c>
    </row>
    <row r="6436">
      <c r="A6436" s="3" t="s">
        <v>717</v>
      </c>
      <c r="B6436" s="3" t="s">
        <v>738</v>
      </c>
      <c r="C6436" s="3" t="s">
        <v>745</v>
      </c>
    </row>
    <row r="6437">
      <c r="A6437" s="3" t="s">
        <v>717</v>
      </c>
      <c r="B6437" s="3" t="s">
        <v>718</v>
      </c>
      <c r="C6437" s="3" t="s">
        <v>729</v>
      </c>
    </row>
    <row r="6438">
      <c r="A6438" s="3" t="s">
        <v>717</v>
      </c>
      <c r="B6438" s="3" t="s">
        <v>718</v>
      </c>
      <c r="C6438" s="3" t="s">
        <v>763</v>
      </c>
    </row>
    <row r="6439">
      <c r="A6439" s="3" t="s">
        <v>717</v>
      </c>
      <c r="B6439" s="3" t="s">
        <v>718</v>
      </c>
      <c r="C6439" s="3" t="s">
        <v>764</v>
      </c>
    </row>
    <row r="6440">
      <c r="A6440" s="3" t="s">
        <v>717</v>
      </c>
      <c r="B6440" s="3" t="s">
        <v>718</v>
      </c>
      <c r="C6440" s="3" t="s">
        <v>732</v>
      </c>
    </row>
    <row r="6441">
      <c r="A6441" s="3" t="s">
        <v>717</v>
      </c>
      <c r="B6441" s="3" t="s">
        <v>718</v>
      </c>
      <c r="C6441" s="3" t="s">
        <v>771</v>
      </c>
    </row>
    <row r="6442">
      <c r="A6442" s="3" t="s">
        <v>717</v>
      </c>
      <c r="B6442" s="3" t="s">
        <v>718</v>
      </c>
      <c r="C6442" s="3" t="s">
        <v>719</v>
      </c>
    </row>
    <row r="6443">
      <c r="A6443" s="3" t="s">
        <v>717</v>
      </c>
      <c r="B6443" s="3" t="s">
        <v>718</v>
      </c>
      <c r="C6443" s="3" t="s">
        <v>765</v>
      </c>
    </row>
    <row r="6444">
      <c r="A6444" s="3" t="s">
        <v>717</v>
      </c>
      <c r="B6444" s="3" t="s">
        <v>725</v>
      </c>
      <c r="C6444" s="3" t="s">
        <v>774</v>
      </c>
    </row>
    <row r="6445">
      <c r="A6445" s="3" t="s">
        <v>717</v>
      </c>
      <c r="B6445" s="3" t="s">
        <v>738</v>
      </c>
      <c r="C6445" s="3" t="s">
        <v>652</v>
      </c>
    </row>
    <row r="6446">
      <c r="A6446" s="3" t="s">
        <v>717</v>
      </c>
      <c r="B6446" s="3" t="s">
        <v>722</v>
      </c>
      <c r="C6446" s="3" t="s">
        <v>748</v>
      </c>
    </row>
    <row r="6447">
      <c r="A6447" s="3" t="s">
        <v>717</v>
      </c>
      <c r="B6447" s="3" t="s">
        <v>223</v>
      </c>
      <c r="C6447" s="3" t="s">
        <v>727</v>
      </c>
    </row>
    <row r="6448">
      <c r="A6448" s="3" t="s">
        <v>717</v>
      </c>
      <c r="B6448" s="3" t="s">
        <v>223</v>
      </c>
      <c r="C6448" s="3" t="s">
        <v>727</v>
      </c>
    </row>
    <row r="6449">
      <c r="A6449" s="3" t="s">
        <v>717</v>
      </c>
      <c r="B6449" s="3" t="s">
        <v>251</v>
      </c>
      <c r="C6449" s="3" t="s">
        <v>751</v>
      </c>
    </row>
    <row r="6450">
      <c r="A6450" s="3" t="s">
        <v>717</v>
      </c>
      <c r="B6450" s="3" t="s">
        <v>718</v>
      </c>
      <c r="C6450" s="3" t="s">
        <v>764</v>
      </c>
    </row>
    <row r="6451">
      <c r="A6451" s="3" t="s">
        <v>717</v>
      </c>
      <c r="B6451" s="3" t="s">
        <v>725</v>
      </c>
      <c r="C6451" s="3" t="s">
        <v>663</v>
      </c>
    </row>
    <row r="6452">
      <c r="A6452" s="3" t="s">
        <v>717</v>
      </c>
      <c r="B6452" s="3" t="s">
        <v>722</v>
      </c>
      <c r="C6452" s="3" t="s">
        <v>747</v>
      </c>
    </row>
    <row r="6453">
      <c r="A6453" s="3" t="s">
        <v>717</v>
      </c>
      <c r="B6453" s="3" t="s">
        <v>722</v>
      </c>
      <c r="C6453" s="3" t="s">
        <v>749</v>
      </c>
    </row>
    <row r="6454">
      <c r="A6454" s="3" t="s">
        <v>717</v>
      </c>
      <c r="B6454" s="3" t="s">
        <v>722</v>
      </c>
      <c r="C6454" s="3" t="s">
        <v>749</v>
      </c>
    </row>
    <row r="6455">
      <c r="A6455" s="3" t="s">
        <v>717</v>
      </c>
      <c r="B6455" s="3" t="s">
        <v>718</v>
      </c>
      <c r="C6455" s="3" t="s">
        <v>732</v>
      </c>
    </row>
    <row r="6456">
      <c r="A6456" s="3" t="s">
        <v>717</v>
      </c>
      <c r="B6456" s="3" t="s">
        <v>722</v>
      </c>
      <c r="C6456" s="3" t="s">
        <v>747</v>
      </c>
    </row>
    <row r="6457">
      <c r="A6457" s="3" t="s">
        <v>717</v>
      </c>
      <c r="B6457" s="3" t="s">
        <v>718</v>
      </c>
      <c r="C6457" s="3" t="s">
        <v>763</v>
      </c>
    </row>
    <row r="6458">
      <c r="A6458" s="3" t="s">
        <v>717</v>
      </c>
      <c r="B6458" s="3" t="s">
        <v>725</v>
      </c>
      <c r="C6458" s="3" t="s">
        <v>769</v>
      </c>
    </row>
    <row r="6459">
      <c r="A6459" s="3" t="s">
        <v>717</v>
      </c>
      <c r="B6459" s="3" t="s">
        <v>720</v>
      </c>
      <c r="C6459" s="3" t="s">
        <v>757</v>
      </c>
    </row>
    <row r="6460">
      <c r="A6460" s="3" t="s">
        <v>717</v>
      </c>
      <c r="B6460" s="3" t="s">
        <v>720</v>
      </c>
      <c r="C6460" s="3" t="s">
        <v>761</v>
      </c>
    </row>
    <row r="6461">
      <c r="A6461" s="3" t="s">
        <v>717</v>
      </c>
      <c r="B6461" s="3" t="s">
        <v>730</v>
      </c>
      <c r="C6461" s="3" t="s">
        <v>773</v>
      </c>
    </row>
    <row r="6462">
      <c r="A6462" s="3" t="s">
        <v>717</v>
      </c>
      <c r="B6462" s="3" t="s">
        <v>720</v>
      </c>
      <c r="C6462" s="3" t="s">
        <v>721</v>
      </c>
    </row>
    <row r="6463">
      <c r="A6463" s="3" t="s">
        <v>717</v>
      </c>
      <c r="B6463" s="3" t="s">
        <v>720</v>
      </c>
      <c r="C6463" s="3" t="s">
        <v>757</v>
      </c>
    </row>
    <row r="6464">
      <c r="A6464" s="3" t="s">
        <v>717</v>
      </c>
      <c r="B6464" s="3" t="s">
        <v>718</v>
      </c>
      <c r="C6464" s="3" t="s">
        <v>771</v>
      </c>
    </row>
    <row r="6465">
      <c r="A6465" s="3" t="s">
        <v>717</v>
      </c>
      <c r="B6465" s="3" t="s">
        <v>722</v>
      </c>
      <c r="C6465" s="3" t="s">
        <v>746</v>
      </c>
    </row>
    <row r="6466">
      <c r="A6466" s="3" t="s">
        <v>717</v>
      </c>
      <c r="B6466" s="3" t="s">
        <v>718</v>
      </c>
      <c r="C6466" s="3" t="s">
        <v>771</v>
      </c>
    </row>
    <row r="6467">
      <c r="A6467" s="3" t="s">
        <v>717</v>
      </c>
      <c r="B6467" s="3" t="s">
        <v>725</v>
      </c>
      <c r="C6467" s="3" t="s">
        <v>663</v>
      </c>
    </row>
    <row r="6468">
      <c r="A6468" s="3" t="s">
        <v>717</v>
      </c>
      <c r="B6468" s="3" t="s">
        <v>720</v>
      </c>
      <c r="C6468" s="3" t="s">
        <v>757</v>
      </c>
    </row>
    <row r="6469">
      <c r="A6469" s="3" t="s">
        <v>717</v>
      </c>
      <c r="B6469" s="3" t="s">
        <v>718</v>
      </c>
      <c r="C6469" s="3" t="s">
        <v>763</v>
      </c>
    </row>
    <row r="6470">
      <c r="A6470" s="3" t="s">
        <v>717</v>
      </c>
      <c r="B6470" s="3" t="s">
        <v>720</v>
      </c>
      <c r="C6470" s="3" t="s">
        <v>767</v>
      </c>
    </row>
    <row r="6471">
      <c r="A6471" s="3" t="s">
        <v>717</v>
      </c>
      <c r="B6471" s="3" t="s">
        <v>251</v>
      </c>
      <c r="C6471" s="3" t="s">
        <v>756</v>
      </c>
    </row>
    <row r="6472">
      <c r="A6472" s="3" t="s">
        <v>717</v>
      </c>
      <c r="B6472" s="3" t="s">
        <v>251</v>
      </c>
      <c r="C6472" s="3" t="s">
        <v>751</v>
      </c>
    </row>
    <row r="6473">
      <c r="A6473" s="3" t="s">
        <v>717</v>
      </c>
      <c r="B6473" s="3" t="s">
        <v>718</v>
      </c>
      <c r="C6473" s="3" t="s">
        <v>771</v>
      </c>
    </row>
    <row r="6474">
      <c r="A6474" s="3" t="s">
        <v>717</v>
      </c>
      <c r="B6474" s="3" t="s">
        <v>738</v>
      </c>
      <c r="C6474" s="3" t="s">
        <v>743</v>
      </c>
    </row>
    <row r="6475">
      <c r="A6475" s="3" t="s">
        <v>717</v>
      </c>
      <c r="B6475" s="3" t="s">
        <v>730</v>
      </c>
      <c r="C6475" s="3" t="s">
        <v>773</v>
      </c>
    </row>
    <row r="6476">
      <c r="A6476" s="3" t="s">
        <v>717</v>
      </c>
      <c r="B6476" s="3" t="s">
        <v>251</v>
      </c>
      <c r="C6476" s="3" t="s">
        <v>753</v>
      </c>
    </row>
    <row r="6477">
      <c r="A6477" s="3" t="s">
        <v>717</v>
      </c>
      <c r="B6477" s="3" t="s">
        <v>718</v>
      </c>
      <c r="C6477" s="3" t="s">
        <v>765</v>
      </c>
    </row>
    <row r="6478">
      <c r="A6478" s="3" t="s">
        <v>717</v>
      </c>
      <c r="B6478" s="3" t="s">
        <v>223</v>
      </c>
      <c r="C6478" s="3" t="s">
        <v>727</v>
      </c>
    </row>
    <row r="6479">
      <c r="A6479" s="3" t="s">
        <v>717</v>
      </c>
      <c r="B6479" s="3" t="s">
        <v>718</v>
      </c>
      <c r="C6479" s="3" t="s">
        <v>764</v>
      </c>
    </row>
    <row r="6480">
      <c r="A6480" s="3" t="s">
        <v>717</v>
      </c>
      <c r="B6480" s="3" t="s">
        <v>722</v>
      </c>
      <c r="C6480" s="3" t="s">
        <v>723</v>
      </c>
    </row>
    <row r="6481">
      <c r="A6481" s="3" t="s">
        <v>717</v>
      </c>
      <c r="B6481" s="3" t="s">
        <v>738</v>
      </c>
      <c r="C6481" s="3" t="s">
        <v>739</v>
      </c>
    </row>
    <row r="6482">
      <c r="A6482" s="3" t="s">
        <v>717</v>
      </c>
      <c r="B6482" s="3" t="s">
        <v>738</v>
      </c>
      <c r="C6482" s="3" t="s">
        <v>740</v>
      </c>
    </row>
    <row r="6483">
      <c r="A6483" s="3" t="s">
        <v>717</v>
      </c>
      <c r="B6483" s="3" t="s">
        <v>738</v>
      </c>
      <c r="C6483" s="3" t="s">
        <v>741</v>
      </c>
    </row>
    <row r="6484">
      <c r="A6484" s="3" t="s">
        <v>717</v>
      </c>
      <c r="B6484" s="3" t="s">
        <v>738</v>
      </c>
      <c r="C6484" s="3" t="s">
        <v>742</v>
      </c>
    </row>
    <row r="6485">
      <c r="A6485" s="3" t="s">
        <v>717</v>
      </c>
      <c r="B6485" s="3" t="s">
        <v>738</v>
      </c>
      <c r="C6485" s="3" t="s">
        <v>743</v>
      </c>
    </row>
    <row r="6486">
      <c r="A6486" s="3" t="s">
        <v>717</v>
      </c>
      <c r="B6486" s="3" t="s">
        <v>738</v>
      </c>
      <c r="C6486" s="3" t="s">
        <v>744</v>
      </c>
    </row>
    <row r="6487">
      <c r="A6487" s="3" t="s">
        <v>717</v>
      </c>
      <c r="B6487" s="3" t="s">
        <v>738</v>
      </c>
      <c r="C6487" s="3" t="s">
        <v>652</v>
      </c>
    </row>
    <row r="6488">
      <c r="A6488" s="3" t="s">
        <v>717</v>
      </c>
      <c r="B6488" s="3" t="s">
        <v>738</v>
      </c>
      <c r="C6488" s="3" t="s">
        <v>578</v>
      </c>
    </row>
    <row r="6489">
      <c r="A6489" s="3" t="s">
        <v>717</v>
      </c>
      <c r="B6489" s="3" t="s">
        <v>738</v>
      </c>
      <c r="C6489" s="3" t="s">
        <v>745</v>
      </c>
    </row>
    <row r="6490">
      <c r="A6490" s="3" t="s">
        <v>717</v>
      </c>
      <c r="B6490" s="3" t="s">
        <v>722</v>
      </c>
      <c r="C6490" s="3" t="s">
        <v>746</v>
      </c>
    </row>
    <row r="6491">
      <c r="A6491" s="3" t="s">
        <v>717</v>
      </c>
      <c r="B6491" s="3" t="s">
        <v>722</v>
      </c>
      <c r="C6491" s="3" t="s">
        <v>747</v>
      </c>
    </row>
    <row r="6492">
      <c r="A6492" s="3" t="s">
        <v>717</v>
      </c>
      <c r="B6492" s="3" t="s">
        <v>722</v>
      </c>
      <c r="C6492" s="3" t="s">
        <v>748</v>
      </c>
    </row>
    <row r="6493">
      <c r="A6493" s="3" t="s">
        <v>717</v>
      </c>
      <c r="B6493" s="3" t="s">
        <v>722</v>
      </c>
      <c r="C6493" s="3" t="s">
        <v>737</v>
      </c>
    </row>
    <row r="6494">
      <c r="A6494" s="3" t="s">
        <v>717</v>
      </c>
      <c r="B6494" s="3" t="s">
        <v>722</v>
      </c>
      <c r="C6494" s="3" t="s">
        <v>749</v>
      </c>
    </row>
    <row r="6495">
      <c r="A6495" s="3" t="s">
        <v>717</v>
      </c>
      <c r="B6495" s="3" t="s">
        <v>722</v>
      </c>
      <c r="C6495" s="3" t="s">
        <v>750</v>
      </c>
    </row>
    <row r="6496">
      <c r="A6496" s="3" t="s">
        <v>717</v>
      </c>
      <c r="B6496" s="3" t="s">
        <v>722</v>
      </c>
      <c r="C6496" s="3" t="s">
        <v>723</v>
      </c>
    </row>
    <row r="6497">
      <c r="A6497" s="3" t="s">
        <v>717</v>
      </c>
      <c r="B6497" s="3" t="s">
        <v>725</v>
      </c>
      <c r="C6497" s="3" t="s">
        <v>663</v>
      </c>
    </row>
    <row r="6498">
      <c r="A6498" s="3" t="s">
        <v>717</v>
      </c>
      <c r="B6498" s="3" t="s">
        <v>722</v>
      </c>
      <c r="C6498" s="3" t="s">
        <v>750</v>
      </c>
    </row>
    <row r="6499">
      <c r="A6499" s="3" t="s">
        <v>717</v>
      </c>
      <c r="B6499" s="3" t="s">
        <v>720</v>
      </c>
      <c r="C6499" s="3" t="s">
        <v>757</v>
      </c>
    </row>
    <row r="6500">
      <c r="A6500" s="3" t="s">
        <v>717</v>
      </c>
      <c r="B6500" s="3" t="s">
        <v>730</v>
      </c>
      <c r="C6500" s="3" t="s">
        <v>731</v>
      </c>
    </row>
    <row r="6501">
      <c r="A6501" s="3" t="s">
        <v>717</v>
      </c>
      <c r="B6501" s="3" t="s">
        <v>720</v>
      </c>
      <c r="C6501" s="3" t="s">
        <v>770</v>
      </c>
    </row>
    <row r="6502">
      <c r="A6502" s="3" t="s">
        <v>717</v>
      </c>
      <c r="B6502" s="3" t="s">
        <v>725</v>
      </c>
      <c r="C6502" s="3" t="s">
        <v>726</v>
      </c>
    </row>
    <row r="6503">
      <c r="A6503" s="3" t="s">
        <v>717</v>
      </c>
      <c r="B6503" s="3" t="s">
        <v>730</v>
      </c>
      <c r="C6503" s="3" t="s">
        <v>758</v>
      </c>
    </row>
    <row r="6504">
      <c r="A6504" s="3" t="s">
        <v>717</v>
      </c>
      <c r="B6504" s="3" t="s">
        <v>738</v>
      </c>
      <c r="C6504" s="3" t="s">
        <v>578</v>
      </c>
    </row>
    <row r="6505">
      <c r="A6505" s="3" t="s">
        <v>717</v>
      </c>
      <c r="B6505" s="3" t="s">
        <v>223</v>
      </c>
      <c r="C6505" s="3" t="s">
        <v>724</v>
      </c>
    </row>
    <row r="6506">
      <c r="A6506" s="3" t="s">
        <v>717</v>
      </c>
      <c r="B6506" s="3" t="s">
        <v>738</v>
      </c>
      <c r="C6506" s="3" t="s">
        <v>578</v>
      </c>
    </row>
    <row r="6507">
      <c r="A6507" s="3" t="s">
        <v>717</v>
      </c>
      <c r="B6507" s="3" t="s">
        <v>251</v>
      </c>
      <c r="C6507" s="3" t="s">
        <v>751</v>
      </c>
    </row>
    <row r="6508">
      <c r="A6508" s="3" t="s">
        <v>717</v>
      </c>
      <c r="B6508" s="3" t="s">
        <v>718</v>
      </c>
      <c r="C6508" s="3" t="s">
        <v>764</v>
      </c>
    </row>
    <row r="6509">
      <c r="A6509" s="3" t="s">
        <v>717</v>
      </c>
      <c r="B6509" s="3" t="s">
        <v>223</v>
      </c>
      <c r="C6509" s="3" t="s">
        <v>727</v>
      </c>
    </row>
    <row r="6510">
      <c r="A6510" s="3" t="s">
        <v>717</v>
      </c>
      <c r="B6510" s="3" t="s">
        <v>223</v>
      </c>
      <c r="C6510" s="3" t="s">
        <v>778</v>
      </c>
    </row>
    <row r="6511">
      <c r="A6511" s="3" t="s">
        <v>717</v>
      </c>
      <c r="B6511" s="3" t="s">
        <v>725</v>
      </c>
      <c r="C6511" s="3" t="s">
        <v>663</v>
      </c>
    </row>
    <row r="6512">
      <c r="A6512" s="3" t="s">
        <v>717</v>
      </c>
      <c r="B6512" s="3" t="s">
        <v>730</v>
      </c>
      <c r="C6512" s="3" t="s">
        <v>773</v>
      </c>
    </row>
    <row r="6513">
      <c r="A6513" s="3" t="s">
        <v>717</v>
      </c>
      <c r="B6513" s="3" t="s">
        <v>223</v>
      </c>
      <c r="C6513" s="3" t="s">
        <v>727</v>
      </c>
    </row>
    <row r="6514">
      <c r="A6514" s="3" t="s">
        <v>717</v>
      </c>
      <c r="B6514" s="3" t="s">
        <v>725</v>
      </c>
      <c r="C6514" s="3" t="s">
        <v>663</v>
      </c>
    </row>
    <row r="6515">
      <c r="A6515" s="3" t="s">
        <v>717</v>
      </c>
      <c r="B6515" s="3" t="s">
        <v>725</v>
      </c>
      <c r="C6515" s="3" t="s">
        <v>774</v>
      </c>
    </row>
    <row r="6516">
      <c r="A6516" s="3" t="s">
        <v>717</v>
      </c>
      <c r="B6516" s="3" t="s">
        <v>725</v>
      </c>
      <c r="C6516" s="3" t="s">
        <v>755</v>
      </c>
    </row>
    <row r="6517">
      <c r="A6517" s="3" t="s">
        <v>717</v>
      </c>
      <c r="B6517" s="3" t="s">
        <v>725</v>
      </c>
      <c r="C6517" s="3" t="s">
        <v>769</v>
      </c>
    </row>
    <row r="6518">
      <c r="A6518" s="3" t="s">
        <v>717</v>
      </c>
      <c r="B6518" s="3" t="s">
        <v>725</v>
      </c>
      <c r="C6518" s="3" t="s">
        <v>726</v>
      </c>
    </row>
    <row r="6519">
      <c r="A6519" s="3" t="s">
        <v>717</v>
      </c>
      <c r="B6519" s="3" t="s">
        <v>725</v>
      </c>
      <c r="C6519" s="3" t="s">
        <v>728</v>
      </c>
    </row>
    <row r="6520">
      <c r="A6520" s="3" t="s">
        <v>717</v>
      </c>
      <c r="B6520" s="3" t="s">
        <v>725</v>
      </c>
      <c r="C6520" s="3" t="s">
        <v>776</v>
      </c>
    </row>
    <row r="6521">
      <c r="A6521" s="3" t="s">
        <v>717</v>
      </c>
      <c r="B6521" s="3" t="s">
        <v>725</v>
      </c>
      <c r="C6521" s="3" t="s">
        <v>663</v>
      </c>
    </row>
    <row r="6522">
      <c r="A6522" s="3" t="s">
        <v>717</v>
      </c>
      <c r="B6522" s="3" t="s">
        <v>725</v>
      </c>
      <c r="C6522" s="3" t="s">
        <v>774</v>
      </c>
    </row>
    <row r="6523">
      <c r="A6523" s="3" t="s">
        <v>717</v>
      </c>
      <c r="B6523" s="3" t="s">
        <v>725</v>
      </c>
      <c r="C6523" s="3" t="s">
        <v>755</v>
      </c>
    </row>
    <row r="6524">
      <c r="A6524" s="3" t="s">
        <v>717</v>
      </c>
      <c r="B6524" s="3" t="s">
        <v>725</v>
      </c>
      <c r="C6524" s="3" t="s">
        <v>769</v>
      </c>
    </row>
    <row r="6525">
      <c r="A6525" s="3" t="s">
        <v>717</v>
      </c>
      <c r="B6525" s="3" t="s">
        <v>725</v>
      </c>
      <c r="C6525" s="3" t="s">
        <v>726</v>
      </c>
    </row>
    <row r="6526">
      <c r="A6526" s="3" t="s">
        <v>717</v>
      </c>
      <c r="B6526" s="3" t="s">
        <v>725</v>
      </c>
      <c r="C6526" s="3" t="s">
        <v>728</v>
      </c>
    </row>
    <row r="6527">
      <c r="A6527" s="3" t="s">
        <v>717</v>
      </c>
      <c r="B6527" s="3" t="s">
        <v>725</v>
      </c>
      <c r="C6527" s="3" t="s">
        <v>776</v>
      </c>
    </row>
    <row r="6528">
      <c r="A6528" s="3" t="s">
        <v>717</v>
      </c>
      <c r="B6528" s="3" t="s">
        <v>720</v>
      </c>
      <c r="C6528" s="3" t="s">
        <v>767</v>
      </c>
    </row>
    <row r="6529">
      <c r="A6529" s="3" t="s">
        <v>717</v>
      </c>
      <c r="B6529" s="3" t="s">
        <v>738</v>
      </c>
      <c r="C6529" s="3" t="s">
        <v>743</v>
      </c>
    </row>
    <row r="6530">
      <c r="A6530" s="3" t="s">
        <v>717</v>
      </c>
      <c r="B6530" s="3" t="s">
        <v>718</v>
      </c>
      <c r="C6530" s="3" t="s">
        <v>764</v>
      </c>
    </row>
    <row r="6531">
      <c r="A6531" s="3" t="s">
        <v>717</v>
      </c>
      <c r="B6531" s="3" t="s">
        <v>738</v>
      </c>
      <c r="C6531" s="3" t="s">
        <v>743</v>
      </c>
    </row>
    <row r="6532">
      <c r="A6532" s="3" t="s">
        <v>717</v>
      </c>
      <c r="B6532" s="3" t="s">
        <v>725</v>
      </c>
      <c r="C6532" s="3" t="s">
        <v>663</v>
      </c>
    </row>
    <row r="6533">
      <c r="A6533" s="3" t="s">
        <v>717</v>
      </c>
      <c r="B6533" s="3" t="s">
        <v>725</v>
      </c>
      <c r="C6533" s="3" t="s">
        <v>663</v>
      </c>
    </row>
    <row r="6534">
      <c r="A6534" s="3" t="s">
        <v>717</v>
      </c>
      <c r="B6534" s="3" t="s">
        <v>725</v>
      </c>
      <c r="C6534" s="3" t="s">
        <v>769</v>
      </c>
    </row>
    <row r="6535">
      <c r="A6535" s="3" t="s">
        <v>717</v>
      </c>
      <c r="B6535" s="3" t="s">
        <v>738</v>
      </c>
      <c r="C6535" s="3" t="s">
        <v>742</v>
      </c>
    </row>
    <row r="6536">
      <c r="A6536" s="3" t="s">
        <v>717</v>
      </c>
      <c r="B6536" s="3" t="s">
        <v>730</v>
      </c>
      <c r="C6536" s="3" t="s">
        <v>759</v>
      </c>
    </row>
    <row r="6537">
      <c r="A6537" s="3" t="s">
        <v>717</v>
      </c>
      <c r="B6537" s="3" t="s">
        <v>725</v>
      </c>
      <c r="C6537" s="3" t="s">
        <v>755</v>
      </c>
    </row>
    <row r="6538">
      <c r="A6538" s="3" t="s">
        <v>717</v>
      </c>
      <c r="B6538" s="3" t="s">
        <v>725</v>
      </c>
      <c r="C6538" s="3" t="s">
        <v>663</v>
      </c>
    </row>
    <row r="6539">
      <c r="A6539" s="3" t="s">
        <v>717</v>
      </c>
      <c r="B6539" s="3" t="s">
        <v>738</v>
      </c>
      <c r="C6539" s="3" t="s">
        <v>745</v>
      </c>
    </row>
    <row r="6540">
      <c r="A6540" s="3" t="s">
        <v>717</v>
      </c>
      <c r="B6540" s="3" t="s">
        <v>725</v>
      </c>
      <c r="C6540" s="3" t="s">
        <v>755</v>
      </c>
    </row>
    <row r="6541">
      <c r="A6541" s="3" t="s">
        <v>717</v>
      </c>
      <c r="B6541" s="3" t="s">
        <v>251</v>
      </c>
      <c r="C6541" s="3" t="s">
        <v>762</v>
      </c>
    </row>
    <row r="6542">
      <c r="A6542" s="3" t="s">
        <v>717</v>
      </c>
      <c r="B6542" s="3" t="s">
        <v>223</v>
      </c>
      <c r="C6542" s="3" t="s">
        <v>778</v>
      </c>
    </row>
    <row r="6543">
      <c r="A6543" s="3" t="s">
        <v>717</v>
      </c>
      <c r="B6543" s="3" t="s">
        <v>730</v>
      </c>
      <c r="C6543" s="3" t="s">
        <v>773</v>
      </c>
    </row>
    <row r="6544">
      <c r="A6544" s="3" t="s">
        <v>717</v>
      </c>
      <c r="B6544" s="3" t="s">
        <v>718</v>
      </c>
      <c r="C6544" s="3" t="s">
        <v>765</v>
      </c>
    </row>
    <row r="6545">
      <c r="A6545" s="3" t="s">
        <v>717</v>
      </c>
      <c r="B6545" s="3" t="s">
        <v>720</v>
      </c>
      <c r="C6545" s="3" t="s">
        <v>721</v>
      </c>
    </row>
    <row r="6546">
      <c r="A6546" s="3" t="s">
        <v>717</v>
      </c>
      <c r="B6546" s="3" t="s">
        <v>725</v>
      </c>
      <c r="C6546" s="3" t="s">
        <v>769</v>
      </c>
    </row>
    <row r="6547">
      <c r="A6547" s="3" t="s">
        <v>717</v>
      </c>
      <c r="B6547" s="3" t="s">
        <v>718</v>
      </c>
      <c r="C6547" s="3" t="s">
        <v>732</v>
      </c>
    </row>
    <row r="6548">
      <c r="A6548" s="3" t="s">
        <v>717</v>
      </c>
      <c r="B6548" s="3" t="s">
        <v>738</v>
      </c>
      <c r="C6548" s="3" t="s">
        <v>743</v>
      </c>
    </row>
    <row r="6549">
      <c r="A6549" s="3" t="s">
        <v>717</v>
      </c>
      <c r="B6549" s="3" t="s">
        <v>718</v>
      </c>
      <c r="C6549" s="3" t="s">
        <v>732</v>
      </c>
    </row>
    <row r="6550">
      <c r="A6550" s="3" t="s">
        <v>717</v>
      </c>
      <c r="B6550" s="3" t="s">
        <v>730</v>
      </c>
      <c r="C6550" s="3" t="s">
        <v>759</v>
      </c>
    </row>
    <row r="6551">
      <c r="A6551" s="3" t="s">
        <v>717</v>
      </c>
      <c r="B6551" s="3" t="s">
        <v>718</v>
      </c>
      <c r="C6551" s="3" t="s">
        <v>765</v>
      </c>
    </row>
    <row r="6552">
      <c r="A6552" s="3" t="s">
        <v>717</v>
      </c>
      <c r="B6552" s="3" t="s">
        <v>725</v>
      </c>
      <c r="C6552" s="3" t="s">
        <v>663</v>
      </c>
    </row>
    <row r="6553">
      <c r="A6553" s="3" t="s">
        <v>717</v>
      </c>
      <c r="B6553" s="3" t="s">
        <v>725</v>
      </c>
      <c r="C6553" s="3" t="s">
        <v>728</v>
      </c>
    </row>
    <row r="6554">
      <c r="A6554" s="3" t="s">
        <v>717</v>
      </c>
      <c r="B6554" s="3" t="s">
        <v>720</v>
      </c>
      <c r="C6554" s="3" t="s">
        <v>757</v>
      </c>
    </row>
    <row r="6555">
      <c r="A6555" s="3" t="s">
        <v>717</v>
      </c>
      <c r="B6555" s="3" t="s">
        <v>725</v>
      </c>
      <c r="C6555" s="3" t="s">
        <v>755</v>
      </c>
    </row>
    <row r="6556">
      <c r="A6556" s="3" t="s">
        <v>717</v>
      </c>
      <c r="B6556" s="3" t="s">
        <v>251</v>
      </c>
      <c r="C6556" s="3" t="s">
        <v>766</v>
      </c>
    </row>
    <row r="6557">
      <c r="A6557" s="3" t="s">
        <v>717</v>
      </c>
      <c r="B6557" s="3" t="s">
        <v>251</v>
      </c>
      <c r="C6557" s="3" t="s">
        <v>766</v>
      </c>
    </row>
    <row r="6558">
      <c r="A6558" s="3" t="s">
        <v>717</v>
      </c>
      <c r="B6558" s="3" t="s">
        <v>730</v>
      </c>
      <c r="C6558" s="3" t="s">
        <v>779</v>
      </c>
    </row>
    <row r="6559">
      <c r="A6559" s="3" t="s">
        <v>717</v>
      </c>
      <c r="B6559" s="3" t="s">
        <v>720</v>
      </c>
      <c r="C6559" s="3" t="s">
        <v>757</v>
      </c>
    </row>
    <row r="6560">
      <c r="A6560" s="3" t="s">
        <v>717</v>
      </c>
      <c r="B6560" s="3" t="s">
        <v>725</v>
      </c>
      <c r="C6560" s="3" t="s">
        <v>663</v>
      </c>
    </row>
    <row r="6561">
      <c r="A6561" s="3" t="s">
        <v>717</v>
      </c>
      <c r="B6561" s="3" t="s">
        <v>725</v>
      </c>
      <c r="C6561" s="3" t="s">
        <v>728</v>
      </c>
    </row>
    <row r="6562">
      <c r="A6562" s="3" t="s">
        <v>717</v>
      </c>
      <c r="B6562" s="3" t="s">
        <v>725</v>
      </c>
      <c r="C6562" s="3" t="s">
        <v>728</v>
      </c>
    </row>
    <row r="6563">
      <c r="A6563" s="3" t="s">
        <v>717</v>
      </c>
      <c r="B6563" s="3" t="s">
        <v>720</v>
      </c>
      <c r="C6563" s="3" t="s">
        <v>761</v>
      </c>
    </row>
    <row r="6564">
      <c r="A6564" s="3" t="s">
        <v>717</v>
      </c>
      <c r="B6564" s="3" t="s">
        <v>730</v>
      </c>
      <c r="C6564" s="3" t="s">
        <v>779</v>
      </c>
    </row>
    <row r="6565">
      <c r="A6565" s="3" t="s">
        <v>717</v>
      </c>
      <c r="B6565" s="3" t="s">
        <v>251</v>
      </c>
      <c r="C6565" s="3" t="s">
        <v>756</v>
      </c>
    </row>
    <row r="6566">
      <c r="A6566" s="3" t="s">
        <v>717</v>
      </c>
      <c r="B6566" s="3" t="s">
        <v>720</v>
      </c>
      <c r="C6566" s="3" t="s">
        <v>767</v>
      </c>
    </row>
    <row r="6567">
      <c r="A6567" s="3" t="s">
        <v>717</v>
      </c>
      <c r="B6567" s="3" t="s">
        <v>725</v>
      </c>
      <c r="C6567" s="3" t="s">
        <v>769</v>
      </c>
    </row>
    <row r="6568">
      <c r="A6568" s="3" t="s">
        <v>717</v>
      </c>
      <c r="B6568" s="3" t="s">
        <v>725</v>
      </c>
      <c r="C6568" s="3" t="s">
        <v>663</v>
      </c>
    </row>
    <row r="6569">
      <c r="A6569" s="3" t="s">
        <v>717</v>
      </c>
      <c r="B6569" s="3" t="s">
        <v>720</v>
      </c>
      <c r="C6569" s="3" t="s">
        <v>757</v>
      </c>
    </row>
    <row r="6570">
      <c r="A6570" s="3" t="s">
        <v>717</v>
      </c>
      <c r="B6570" s="3" t="s">
        <v>720</v>
      </c>
      <c r="C6570" s="3" t="s">
        <v>757</v>
      </c>
    </row>
    <row r="6571">
      <c r="A6571" s="3" t="s">
        <v>717</v>
      </c>
      <c r="B6571" s="3" t="s">
        <v>223</v>
      </c>
      <c r="C6571" s="3" t="s">
        <v>772</v>
      </c>
    </row>
    <row r="6572">
      <c r="A6572" s="3" t="s">
        <v>717</v>
      </c>
      <c r="B6572" s="3" t="s">
        <v>718</v>
      </c>
      <c r="C6572" s="3" t="s">
        <v>771</v>
      </c>
    </row>
    <row r="6573">
      <c r="A6573" s="3" t="s">
        <v>717</v>
      </c>
      <c r="B6573" s="3" t="s">
        <v>730</v>
      </c>
      <c r="C6573" s="3" t="s">
        <v>758</v>
      </c>
    </row>
    <row r="6574">
      <c r="A6574" s="3" t="s">
        <v>717</v>
      </c>
      <c r="B6574" s="3" t="s">
        <v>720</v>
      </c>
      <c r="C6574" s="3" t="s">
        <v>757</v>
      </c>
    </row>
    <row r="6575">
      <c r="A6575" s="3" t="s">
        <v>717</v>
      </c>
      <c r="B6575" s="3" t="s">
        <v>720</v>
      </c>
      <c r="C6575" s="3" t="s">
        <v>757</v>
      </c>
    </row>
    <row r="6576">
      <c r="A6576" s="3" t="s">
        <v>717</v>
      </c>
      <c r="B6576" s="3" t="s">
        <v>720</v>
      </c>
      <c r="C6576" s="3" t="s">
        <v>757</v>
      </c>
    </row>
    <row r="6577">
      <c r="A6577" s="3" t="s">
        <v>717</v>
      </c>
      <c r="B6577" s="3" t="s">
        <v>720</v>
      </c>
      <c r="C6577" s="3" t="s">
        <v>757</v>
      </c>
    </row>
    <row r="6578">
      <c r="A6578" s="3" t="s">
        <v>717</v>
      </c>
      <c r="B6578" s="3" t="s">
        <v>738</v>
      </c>
      <c r="C6578" s="3" t="s">
        <v>652</v>
      </c>
    </row>
    <row r="6579">
      <c r="A6579" s="3" t="s">
        <v>717</v>
      </c>
      <c r="B6579" s="3" t="s">
        <v>738</v>
      </c>
      <c r="C6579" s="3" t="s">
        <v>745</v>
      </c>
    </row>
    <row r="6580">
      <c r="A6580" s="3" t="s">
        <v>717</v>
      </c>
      <c r="B6580" s="3" t="s">
        <v>730</v>
      </c>
      <c r="C6580" s="3" t="s">
        <v>758</v>
      </c>
    </row>
    <row r="6581">
      <c r="A6581" s="3" t="s">
        <v>717</v>
      </c>
      <c r="B6581" s="3" t="s">
        <v>718</v>
      </c>
      <c r="C6581" s="3" t="s">
        <v>764</v>
      </c>
    </row>
    <row r="6582">
      <c r="A6582" s="3" t="s">
        <v>717</v>
      </c>
      <c r="B6582" s="3" t="s">
        <v>718</v>
      </c>
      <c r="C6582" s="3" t="s">
        <v>764</v>
      </c>
    </row>
    <row r="6583">
      <c r="A6583" s="3" t="s">
        <v>717</v>
      </c>
      <c r="B6583" s="3" t="s">
        <v>718</v>
      </c>
      <c r="C6583" s="3" t="s">
        <v>763</v>
      </c>
    </row>
    <row r="6584">
      <c r="A6584" s="3" t="s">
        <v>717</v>
      </c>
      <c r="B6584" s="3" t="s">
        <v>720</v>
      </c>
      <c r="C6584" s="3" t="s">
        <v>721</v>
      </c>
    </row>
    <row r="6585">
      <c r="A6585" s="3" t="s">
        <v>717</v>
      </c>
      <c r="B6585" s="3" t="s">
        <v>738</v>
      </c>
      <c r="C6585" s="3" t="s">
        <v>745</v>
      </c>
    </row>
    <row r="6586">
      <c r="A6586" s="3" t="s">
        <v>717</v>
      </c>
      <c r="B6586" s="3" t="s">
        <v>725</v>
      </c>
      <c r="C6586" s="3" t="s">
        <v>663</v>
      </c>
    </row>
    <row r="6587">
      <c r="A6587" s="3" t="s">
        <v>717</v>
      </c>
      <c r="B6587" s="3" t="s">
        <v>718</v>
      </c>
      <c r="C6587" s="3" t="s">
        <v>765</v>
      </c>
    </row>
    <row r="6588">
      <c r="A6588" s="3" t="s">
        <v>717</v>
      </c>
      <c r="B6588" s="3" t="s">
        <v>223</v>
      </c>
      <c r="C6588" s="3" t="s">
        <v>724</v>
      </c>
    </row>
    <row r="6589">
      <c r="A6589" s="3" t="s">
        <v>717</v>
      </c>
      <c r="B6589" s="3" t="s">
        <v>722</v>
      </c>
      <c r="C6589" s="3" t="s">
        <v>749</v>
      </c>
    </row>
    <row r="6590">
      <c r="A6590" s="3" t="s">
        <v>717</v>
      </c>
      <c r="B6590" s="3" t="s">
        <v>718</v>
      </c>
      <c r="C6590" s="3" t="s">
        <v>765</v>
      </c>
    </row>
    <row r="6591">
      <c r="A6591" s="3" t="s">
        <v>717</v>
      </c>
      <c r="B6591" s="3" t="s">
        <v>730</v>
      </c>
      <c r="C6591" s="3" t="s">
        <v>773</v>
      </c>
    </row>
    <row r="6592">
      <c r="A6592" s="3" t="s">
        <v>717</v>
      </c>
      <c r="B6592" s="3" t="s">
        <v>730</v>
      </c>
      <c r="C6592" s="3" t="s">
        <v>758</v>
      </c>
    </row>
    <row r="6593">
      <c r="A6593" s="3" t="s">
        <v>717</v>
      </c>
      <c r="B6593" s="3" t="s">
        <v>720</v>
      </c>
      <c r="C6593" s="3" t="s">
        <v>757</v>
      </c>
    </row>
    <row r="6594">
      <c r="A6594" s="3" t="s">
        <v>717</v>
      </c>
      <c r="B6594" s="3" t="s">
        <v>718</v>
      </c>
      <c r="C6594" s="3" t="s">
        <v>764</v>
      </c>
    </row>
    <row r="6595">
      <c r="A6595" s="3" t="s">
        <v>717</v>
      </c>
      <c r="B6595" s="3" t="s">
        <v>720</v>
      </c>
      <c r="C6595" s="3" t="s">
        <v>757</v>
      </c>
    </row>
    <row r="6596">
      <c r="A6596" s="3" t="s">
        <v>717</v>
      </c>
      <c r="B6596" s="3" t="s">
        <v>223</v>
      </c>
      <c r="C6596" s="3" t="s">
        <v>775</v>
      </c>
    </row>
    <row r="6597">
      <c r="A6597" s="3" t="s">
        <v>717</v>
      </c>
      <c r="B6597" s="3" t="s">
        <v>720</v>
      </c>
      <c r="C6597" s="3" t="s">
        <v>721</v>
      </c>
    </row>
    <row r="6598">
      <c r="A6598" s="3" t="s">
        <v>717</v>
      </c>
      <c r="B6598" s="3" t="s">
        <v>720</v>
      </c>
      <c r="C6598" s="3" t="s">
        <v>721</v>
      </c>
    </row>
    <row r="6599">
      <c r="A6599" s="3" t="s">
        <v>717</v>
      </c>
      <c r="B6599" s="3" t="s">
        <v>720</v>
      </c>
      <c r="C6599" s="3" t="s">
        <v>721</v>
      </c>
    </row>
    <row r="6600">
      <c r="A6600" s="3" t="s">
        <v>717</v>
      </c>
      <c r="B6600" s="3" t="s">
        <v>720</v>
      </c>
      <c r="C6600" s="3" t="s">
        <v>721</v>
      </c>
    </row>
    <row r="6601">
      <c r="A6601" s="3" t="s">
        <v>717</v>
      </c>
      <c r="B6601" s="3" t="s">
        <v>720</v>
      </c>
      <c r="C6601" s="3" t="s">
        <v>721</v>
      </c>
    </row>
    <row r="6602">
      <c r="A6602" s="3" t="s">
        <v>717</v>
      </c>
      <c r="B6602" s="3" t="s">
        <v>720</v>
      </c>
      <c r="C6602" s="3" t="s">
        <v>721</v>
      </c>
    </row>
    <row r="6603">
      <c r="A6603" s="3" t="s">
        <v>717</v>
      </c>
      <c r="B6603" s="3" t="s">
        <v>720</v>
      </c>
      <c r="C6603" s="3" t="s">
        <v>721</v>
      </c>
    </row>
    <row r="6604">
      <c r="A6604" s="3" t="s">
        <v>717</v>
      </c>
      <c r="B6604" s="3" t="s">
        <v>720</v>
      </c>
      <c r="C6604" s="3" t="s">
        <v>721</v>
      </c>
    </row>
    <row r="6605">
      <c r="A6605" s="3" t="s">
        <v>717</v>
      </c>
      <c r="B6605" s="3" t="s">
        <v>722</v>
      </c>
      <c r="C6605" s="3" t="s">
        <v>748</v>
      </c>
    </row>
    <row r="6606">
      <c r="A6606" s="3" t="s">
        <v>717</v>
      </c>
      <c r="B6606" s="3" t="s">
        <v>730</v>
      </c>
      <c r="C6606" s="3" t="s">
        <v>752</v>
      </c>
    </row>
    <row r="6607">
      <c r="A6607" s="3" t="s">
        <v>717</v>
      </c>
      <c r="B6607" s="3" t="s">
        <v>730</v>
      </c>
      <c r="C6607" s="3" t="s">
        <v>752</v>
      </c>
    </row>
    <row r="6608">
      <c r="A6608" s="3" t="s">
        <v>717</v>
      </c>
      <c r="B6608" s="3" t="s">
        <v>223</v>
      </c>
      <c r="C6608" s="3" t="s">
        <v>772</v>
      </c>
    </row>
    <row r="6609">
      <c r="A6609" s="3" t="s">
        <v>717</v>
      </c>
      <c r="B6609" s="3" t="s">
        <v>720</v>
      </c>
      <c r="C6609" s="3" t="s">
        <v>757</v>
      </c>
    </row>
    <row r="6610">
      <c r="A6610" s="3" t="s">
        <v>717</v>
      </c>
      <c r="B6610" s="3" t="s">
        <v>718</v>
      </c>
      <c r="C6610" s="3" t="s">
        <v>764</v>
      </c>
    </row>
    <row r="6611">
      <c r="A6611" s="3" t="s">
        <v>717</v>
      </c>
      <c r="B6611" s="3" t="s">
        <v>718</v>
      </c>
      <c r="C6611" s="3" t="s">
        <v>771</v>
      </c>
    </row>
    <row r="6612">
      <c r="A6612" s="3" t="s">
        <v>717</v>
      </c>
      <c r="B6612" s="3" t="s">
        <v>718</v>
      </c>
      <c r="C6612" s="3" t="s">
        <v>771</v>
      </c>
    </row>
    <row r="6613">
      <c r="A6613" s="3" t="s">
        <v>717</v>
      </c>
      <c r="B6613" s="3" t="s">
        <v>223</v>
      </c>
      <c r="C6613" s="3" t="s">
        <v>562</v>
      </c>
    </row>
    <row r="6614">
      <c r="A6614" s="3" t="s">
        <v>717</v>
      </c>
      <c r="B6614" s="3" t="s">
        <v>722</v>
      </c>
      <c r="C6614" s="3" t="s">
        <v>749</v>
      </c>
    </row>
    <row r="6615">
      <c r="A6615" s="3" t="s">
        <v>717</v>
      </c>
      <c r="B6615" s="3" t="s">
        <v>720</v>
      </c>
      <c r="C6615" s="3" t="s">
        <v>721</v>
      </c>
    </row>
    <row r="6616">
      <c r="A6616" s="3" t="s">
        <v>717</v>
      </c>
      <c r="B6616" s="3" t="s">
        <v>738</v>
      </c>
      <c r="C6616" s="3" t="s">
        <v>743</v>
      </c>
    </row>
    <row r="6617">
      <c r="A6617" s="3" t="s">
        <v>717</v>
      </c>
      <c r="B6617" s="3" t="s">
        <v>738</v>
      </c>
      <c r="C6617" s="3" t="s">
        <v>743</v>
      </c>
    </row>
    <row r="6618">
      <c r="A6618" s="3" t="s">
        <v>717</v>
      </c>
      <c r="B6618" s="3" t="s">
        <v>718</v>
      </c>
      <c r="C6618" s="3" t="s">
        <v>732</v>
      </c>
    </row>
    <row r="6619">
      <c r="A6619" s="3" t="s">
        <v>717</v>
      </c>
      <c r="B6619" s="3" t="s">
        <v>718</v>
      </c>
      <c r="C6619" s="3" t="s">
        <v>732</v>
      </c>
    </row>
    <row r="6620">
      <c r="A6620" s="3" t="s">
        <v>717</v>
      </c>
      <c r="B6620" s="3" t="s">
        <v>725</v>
      </c>
      <c r="C6620" s="3" t="s">
        <v>663</v>
      </c>
    </row>
    <row r="6621">
      <c r="A6621" s="3" t="s">
        <v>717</v>
      </c>
      <c r="B6621" s="3" t="s">
        <v>725</v>
      </c>
      <c r="C6621" s="3" t="s">
        <v>728</v>
      </c>
    </row>
    <row r="6622">
      <c r="A6622" s="3" t="s">
        <v>717</v>
      </c>
      <c r="B6622" s="3" t="s">
        <v>738</v>
      </c>
      <c r="C6622" s="3" t="s">
        <v>745</v>
      </c>
    </row>
    <row r="6623">
      <c r="A6623" s="3" t="s">
        <v>717</v>
      </c>
      <c r="B6623" s="3" t="s">
        <v>722</v>
      </c>
      <c r="C6623" s="3" t="s">
        <v>749</v>
      </c>
    </row>
    <row r="6624">
      <c r="A6624" s="3" t="s">
        <v>717</v>
      </c>
      <c r="B6624" s="3" t="s">
        <v>722</v>
      </c>
      <c r="C6624" s="3" t="s">
        <v>749</v>
      </c>
    </row>
    <row r="6625">
      <c r="A6625" s="3" t="s">
        <v>717</v>
      </c>
      <c r="B6625" s="3" t="s">
        <v>718</v>
      </c>
      <c r="C6625" s="3" t="s">
        <v>763</v>
      </c>
    </row>
    <row r="6626">
      <c r="A6626" s="3" t="s">
        <v>717</v>
      </c>
      <c r="B6626" s="3" t="s">
        <v>720</v>
      </c>
      <c r="C6626" s="3" t="s">
        <v>757</v>
      </c>
    </row>
    <row r="6627">
      <c r="A6627" s="3" t="s">
        <v>717</v>
      </c>
      <c r="B6627" s="3" t="s">
        <v>725</v>
      </c>
      <c r="C6627" s="3" t="s">
        <v>663</v>
      </c>
    </row>
    <row r="6628">
      <c r="A6628" s="3" t="s">
        <v>717</v>
      </c>
      <c r="B6628" s="3" t="s">
        <v>725</v>
      </c>
      <c r="C6628" s="3" t="s">
        <v>663</v>
      </c>
    </row>
    <row r="6629">
      <c r="A6629" s="3" t="s">
        <v>717</v>
      </c>
      <c r="B6629" s="3" t="s">
        <v>725</v>
      </c>
      <c r="C6629" s="3" t="s">
        <v>663</v>
      </c>
    </row>
    <row r="6630">
      <c r="A6630" s="3" t="s">
        <v>717</v>
      </c>
      <c r="B6630" s="3" t="s">
        <v>251</v>
      </c>
      <c r="C6630" s="3" t="s">
        <v>753</v>
      </c>
    </row>
    <row r="6631">
      <c r="A6631" s="3" t="s">
        <v>717</v>
      </c>
      <c r="B6631" s="3" t="s">
        <v>738</v>
      </c>
      <c r="C6631" s="3" t="s">
        <v>743</v>
      </c>
    </row>
    <row r="6632">
      <c r="A6632" s="3" t="s">
        <v>717</v>
      </c>
      <c r="B6632" s="3" t="s">
        <v>738</v>
      </c>
      <c r="C6632" s="3" t="s">
        <v>743</v>
      </c>
    </row>
    <row r="6633">
      <c r="A6633" s="3" t="s">
        <v>717</v>
      </c>
      <c r="B6633" s="3" t="s">
        <v>738</v>
      </c>
      <c r="C6633" s="3" t="s">
        <v>745</v>
      </c>
    </row>
    <row r="6634">
      <c r="A6634" s="3" t="s">
        <v>717</v>
      </c>
      <c r="B6634" s="3" t="s">
        <v>725</v>
      </c>
      <c r="C6634" s="3" t="s">
        <v>663</v>
      </c>
    </row>
    <row r="6635">
      <c r="A6635" s="3" t="s">
        <v>780</v>
      </c>
      <c r="B6635" s="3" t="s">
        <v>781</v>
      </c>
      <c r="C6635" s="3" t="s">
        <v>782</v>
      </c>
    </row>
    <row r="6636">
      <c r="A6636" s="3" t="s">
        <v>780</v>
      </c>
      <c r="B6636" s="3" t="s">
        <v>284</v>
      </c>
      <c r="C6636" s="3" t="s">
        <v>783</v>
      </c>
    </row>
    <row r="6637">
      <c r="A6637" s="3" t="s">
        <v>780</v>
      </c>
      <c r="B6637" s="3" t="s">
        <v>286</v>
      </c>
      <c r="C6637" s="3" t="s">
        <v>784</v>
      </c>
    </row>
    <row r="6638">
      <c r="A6638" s="3" t="s">
        <v>780</v>
      </c>
      <c r="B6638" s="3" t="s">
        <v>284</v>
      </c>
      <c r="C6638" s="3" t="s">
        <v>785</v>
      </c>
    </row>
    <row r="6639">
      <c r="A6639" s="3" t="s">
        <v>780</v>
      </c>
      <c r="B6639" s="3" t="s">
        <v>786</v>
      </c>
      <c r="C6639" s="3" t="s">
        <v>787</v>
      </c>
    </row>
    <row r="6640">
      <c r="A6640" s="3" t="s">
        <v>780</v>
      </c>
      <c r="B6640" s="3" t="s">
        <v>284</v>
      </c>
      <c r="C6640" s="3" t="s">
        <v>788</v>
      </c>
    </row>
    <row r="6641">
      <c r="A6641" s="3" t="s">
        <v>780</v>
      </c>
      <c r="B6641" s="3" t="s">
        <v>786</v>
      </c>
      <c r="C6641" s="3" t="s">
        <v>787</v>
      </c>
    </row>
    <row r="6642">
      <c r="A6642" s="3" t="s">
        <v>780</v>
      </c>
      <c r="B6642" s="3" t="s">
        <v>286</v>
      </c>
      <c r="C6642" s="3" t="s">
        <v>789</v>
      </c>
    </row>
    <row r="6643">
      <c r="A6643" s="3" t="s">
        <v>780</v>
      </c>
      <c r="B6643" s="3" t="s">
        <v>284</v>
      </c>
      <c r="C6643" s="3" t="s">
        <v>788</v>
      </c>
    </row>
    <row r="6644">
      <c r="A6644" s="3" t="s">
        <v>780</v>
      </c>
      <c r="B6644" s="3" t="s">
        <v>284</v>
      </c>
      <c r="C6644" s="3" t="s">
        <v>785</v>
      </c>
    </row>
    <row r="6645">
      <c r="A6645" s="3" t="s">
        <v>780</v>
      </c>
      <c r="B6645" s="3" t="s">
        <v>786</v>
      </c>
      <c r="C6645" s="3" t="s">
        <v>787</v>
      </c>
    </row>
    <row r="6646">
      <c r="A6646" s="3" t="s">
        <v>780</v>
      </c>
      <c r="B6646" s="3" t="s">
        <v>786</v>
      </c>
      <c r="C6646" s="3" t="s">
        <v>790</v>
      </c>
    </row>
    <row r="6647">
      <c r="A6647" s="3" t="s">
        <v>780</v>
      </c>
      <c r="B6647" s="3" t="s">
        <v>786</v>
      </c>
      <c r="C6647" s="3" t="s">
        <v>787</v>
      </c>
    </row>
    <row r="6648">
      <c r="A6648" s="3" t="s">
        <v>780</v>
      </c>
      <c r="B6648" s="3" t="s">
        <v>786</v>
      </c>
      <c r="C6648" s="3" t="s">
        <v>787</v>
      </c>
    </row>
    <row r="6649">
      <c r="A6649" s="3" t="s">
        <v>780</v>
      </c>
      <c r="B6649" s="3" t="s">
        <v>284</v>
      </c>
      <c r="C6649" s="3" t="s">
        <v>788</v>
      </c>
    </row>
    <row r="6650">
      <c r="A6650" s="3" t="s">
        <v>780</v>
      </c>
      <c r="B6650" s="3" t="s">
        <v>284</v>
      </c>
      <c r="C6650" s="3" t="s">
        <v>788</v>
      </c>
    </row>
    <row r="6651">
      <c r="A6651" s="3" t="s">
        <v>780</v>
      </c>
      <c r="B6651" s="3" t="s">
        <v>284</v>
      </c>
      <c r="C6651" s="3" t="s">
        <v>788</v>
      </c>
    </row>
    <row r="6652">
      <c r="A6652" s="3" t="s">
        <v>780</v>
      </c>
      <c r="B6652" s="3" t="s">
        <v>786</v>
      </c>
      <c r="C6652" s="3" t="s">
        <v>791</v>
      </c>
    </row>
    <row r="6653">
      <c r="A6653" s="3" t="s">
        <v>780</v>
      </c>
      <c r="B6653" s="3" t="s">
        <v>786</v>
      </c>
      <c r="C6653" s="3" t="s">
        <v>792</v>
      </c>
    </row>
    <row r="6654">
      <c r="A6654" s="3" t="s">
        <v>780</v>
      </c>
      <c r="B6654" s="3" t="s">
        <v>786</v>
      </c>
      <c r="C6654" s="3" t="s">
        <v>790</v>
      </c>
    </row>
    <row r="6655">
      <c r="A6655" s="3" t="s">
        <v>780</v>
      </c>
      <c r="B6655" s="3" t="s">
        <v>786</v>
      </c>
      <c r="C6655" s="3" t="s">
        <v>790</v>
      </c>
    </row>
    <row r="6656">
      <c r="A6656" s="3" t="s">
        <v>780</v>
      </c>
      <c r="B6656" s="3" t="s">
        <v>786</v>
      </c>
      <c r="C6656" s="3" t="s">
        <v>787</v>
      </c>
    </row>
    <row r="6657">
      <c r="A6657" s="3" t="s">
        <v>780</v>
      </c>
      <c r="B6657" s="3" t="s">
        <v>786</v>
      </c>
      <c r="C6657" s="3" t="s">
        <v>791</v>
      </c>
    </row>
    <row r="6658">
      <c r="A6658" s="3" t="s">
        <v>780</v>
      </c>
      <c r="B6658" s="3" t="s">
        <v>284</v>
      </c>
      <c r="C6658" s="3" t="s">
        <v>793</v>
      </c>
    </row>
    <row r="6659">
      <c r="A6659" s="3" t="s">
        <v>780</v>
      </c>
      <c r="B6659" s="3" t="s">
        <v>786</v>
      </c>
      <c r="C6659" s="3" t="s">
        <v>787</v>
      </c>
    </row>
    <row r="6660">
      <c r="A6660" s="3" t="s">
        <v>780</v>
      </c>
      <c r="B6660" s="3" t="s">
        <v>786</v>
      </c>
      <c r="C6660" s="3" t="s">
        <v>790</v>
      </c>
    </row>
    <row r="6661">
      <c r="A6661" s="3" t="s">
        <v>780</v>
      </c>
      <c r="B6661" s="3" t="s">
        <v>284</v>
      </c>
      <c r="C6661" s="3" t="s">
        <v>783</v>
      </c>
    </row>
    <row r="6662">
      <c r="A6662" s="3" t="s">
        <v>780</v>
      </c>
      <c r="B6662" s="3" t="s">
        <v>286</v>
      </c>
      <c r="C6662" s="3" t="s">
        <v>789</v>
      </c>
    </row>
    <row r="6663">
      <c r="A6663" s="3" t="s">
        <v>780</v>
      </c>
      <c r="B6663" s="3" t="s">
        <v>781</v>
      </c>
      <c r="C6663" s="3" t="s">
        <v>782</v>
      </c>
    </row>
    <row r="6664">
      <c r="A6664" s="3" t="s">
        <v>780</v>
      </c>
      <c r="B6664" s="3" t="s">
        <v>786</v>
      </c>
      <c r="C6664" s="3" t="s">
        <v>794</v>
      </c>
    </row>
    <row r="6665">
      <c r="A6665" s="3" t="s">
        <v>780</v>
      </c>
      <c r="B6665" s="3" t="s">
        <v>786</v>
      </c>
      <c r="C6665" s="3" t="s">
        <v>794</v>
      </c>
    </row>
    <row r="6666">
      <c r="A6666" s="3" t="s">
        <v>780</v>
      </c>
      <c r="B6666" s="3" t="s">
        <v>786</v>
      </c>
      <c r="C6666" s="3" t="s">
        <v>790</v>
      </c>
    </row>
    <row r="6667">
      <c r="A6667" s="3" t="s">
        <v>780</v>
      </c>
      <c r="B6667" s="3" t="s">
        <v>284</v>
      </c>
      <c r="C6667" s="3" t="s">
        <v>783</v>
      </c>
    </row>
    <row r="6668">
      <c r="A6668" s="3" t="s">
        <v>780</v>
      </c>
      <c r="B6668" s="3" t="s">
        <v>786</v>
      </c>
      <c r="C6668" s="3" t="s">
        <v>787</v>
      </c>
    </row>
    <row r="6669">
      <c r="A6669" s="3" t="s">
        <v>780</v>
      </c>
      <c r="B6669" s="3" t="s">
        <v>786</v>
      </c>
      <c r="C6669" s="3" t="s">
        <v>794</v>
      </c>
    </row>
    <row r="6670">
      <c r="A6670" s="3" t="s">
        <v>780</v>
      </c>
      <c r="B6670" s="3" t="s">
        <v>786</v>
      </c>
      <c r="C6670" s="3" t="s">
        <v>794</v>
      </c>
    </row>
    <row r="6671">
      <c r="A6671" s="3" t="s">
        <v>780</v>
      </c>
      <c r="B6671" s="3" t="s">
        <v>786</v>
      </c>
      <c r="C6671" s="3" t="s">
        <v>794</v>
      </c>
    </row>
    <row r="6672">
      <c r="A6672" s="3" t="s">
        <v>780</v>
      </c>
      <c r="B6672" s="3" t="s">
        <v>284</v>
      </c>
      <c r="C6672" s="3" t="s">
        <v>783</v>
      </c>
    </row>
    <row r="6673">
      <c r="A6673" s="3" t="s">
        <v>780</v>
      </c>
      <c r="B6673" s="3" t="s">
        <v>786</v>
      </c>
      <c r="C6673" s="3" t="s">
        <v>791</v>
      </c>
    </row>
    <row r="6674">
      <c r="A6674" s="3" t="s">
        <v>780</v>
      </c>
      <c r="B6674" s="3" t="s">
        <v>786</v>
      </c>
      <c r="C6674" s="3" t="s">
        <v>791</v>
      </c>
    </row>
    <row r="6675">
      <c r="A6675" s="3" t="s">
        <v>780</v>
      </c>
      <c r="B6675" s="3" t="s">
        <v>284</v>
      </c>
      <c r="C6675" s="3" t="s">
        <v>788</v>
      </c>
    </row>
    <row r="6676">
      <c r="A6676" s="3" t="s">
        <v>780</v>
      </c>
      <c r="B6676" s="3" t="s">
        <v>786</v>
      </c>
      <c r="C6676" s="3" t="s">
        <v>791</v>
      </c>
    </row>
    <row r="6677">
      <c r="A6677" s="3" t="s">
        <v>780</v>
      </c>
      <c r="B6677" s="3" t="s">
        <v>786</v>
      </c>
      <c r="C6677" s="3" t="s">
        <v>578</v>
      </c>
    </row>
    <row r="6678">
      <c r="A6678" s="3" t="s">
        <v>780</v>
      </c>
      <c r="B6678" s="3" t="s">
        <v>284</v>
      </c>
      <c r="C6678" s="3" t="s">
        <v>793</v>
      </c>
    </row>
    <row r="6679">
      <c r="A6679" s="3" t="s">
        <v>780</v>
      </c>
      <c r="B6679" s="3" t="s">
        <v>786</v>
      </c>
      <c r="C6679" s="3" t="s">
        <v>794</v>
      </c>
    </row>
    <row r="6680">
      <c r="A6680" s="3" t="s">
        <v>780</v>
      </c>
      <c r="B6680" s="3" t="s">
        <v>786</v>
      </c>
      <c r="C6680" s="3" t="s">
        <v>791</v>
      </c>
    </row>
    <row r="6681">
      <c r="A6681" s="3" t="s">
        <v>780</v>
      </c>
      <c r="B6681" s="3" t="s">
        <v>786</v>
      </c>
      <c r="C6681" s="3" t="s">
        <v>794</v>
      </c>
    </row>
    <row r="6682">
      <c r="A6682" s="3" t="s">
        <v>780</v>
      </c>
      <c r="B6682" s="3" t="s">
        <v>786</v>
      </c>
      <c r="C6682" s="3" t="s">
        <v>791</v>
      </c>
    </row>
    <row r="6683">
      <c r="A6683" s="3" t="s">
        <v>780</v>
      </c>
      <c r="B6683" s="3" t="s">
        <v>786</v>
      </c>
      <c r="C6683" s="3" t="s">
        <v>790</v>
      </c>
    </row>
    <row r="6684">
      <c r="A6684" s="3" t="s">
        <v>780</v>
      </c>
      <c r="B6684" s="3" t="s">
        <v>284</v>
      </c>
      <c r="C6684" s="3" t="s">
        <v>788</v>
      </c>
    </row>
    <row r="6685">
      <c r="A6685" s="3" t="s">
        <v>780</v>
      </c>
      <c r="B6685" s="3" t="s">
        <v>786</v>
      </c>
      <c r="C6685" s="3" t="s">
        <v>791</v>
      </c>
    </row>
    <row r="6686">
      <c r="A6686" s="3" t="s">
        <v>780</v>
      </c>
      <c r="B6686" s="3" t="s">
        <v>781</v>
      </c>
      <c r="C6686" s="3" t="s">
        <v>782</v>
      </c>
    </row>
    <row r="6687">
      <c r="A6687" s="3" t="s">
        <v>780</v>
      </c>
      <c r="B6687" s="3" t="s">
        <v>786</v>
      </c>
      <c r="C6687" s="3" t="s">
        <v>578</v>
      </c>
    </row>
    <row r="6688">
      <c r="A6688" s="3" t="s">
        <v>780</v>
      </c>
      <c r="B6688" s="3" t="s">
        <v>786</v>
      </c>
      <c r="C6688" s="3" t="s">
        <v>794</v>
      </c>
    </row>
    <row r="6689">
      <c r="A6689" s="3" t="s">
        <v>780</v>
      </c>
      <c r="B6689" s="3" t="s">
        <v>786</v>
      </c>
      <c r="C6689" s="3" t="s">
        <v>787</v>
      </c>
    </row>
    <row r="6690">
      <c r="A6690" s="3" t="s">
        <v>780</v>
      </c>
      <c r="B6690" s="3" t="s">
        <v>786</v>
      </c>
      <c r="C6690" s="3" t="s">
        <v>791</v>
      </c>
    </row>
    <row r="6691">
      <c r="A6691" s="3" t="s">
        <v>780</v>
      </c>
      <c r="B6691" s="3" t="s">
        <v>284</v>
      </c>
      <c r="C6691" s="3" t="s">
        <v>793</v>
      </c>
    </row>
    <row r="6692">
      <c r="A6692" s="3" t="s">
        <v>780</v>
      </c>
      <c r="B6692" s="3" t="s">
        <v>786</v>
      </c>
      <c r="C6692" s="3" t="s">
        <v>578</v>
      </c>
    </row>
    <row r="6693">
      <c r="A6693" s="3" t="s">
        <v>780</v>
      </c>
      <c r="B6693" s="3" t="s">
        <v>284</v>
      </c>
      <c r="C6693" s="3" t="s">
        <v>783</v>
      </c>
    </row>
    <row r="6694">
      <c r="A6694" s="3" t="s">
        <v>780</v>
      </c>
      <c r="B6694" s="3" t="s">
        <v>786</v>
      </c>
      <c r="C6694" s="3" t="s">
        <v>787</v>
      </c>
    </row>
    <row r="6695">
      <c r="A6695" s="3" t="s">
        <v>780</v>
      </c>
      <c r="B6695" s="3" t="s">
        <v>786</v>
      </c>
      <c r="C6695" s="3" t="s">
        <v>787</v>
      </c>
    </row>
    <row r="6696">
      <c r="A6696" s="3" t="s">
        <v>780</v>
      </c>
      <c r="B6696" s="3" t="s">
        <v>284</v>
      </c>
      <c r="C6696" s="3" t="s">
        <v>783</v>
      </c>
    </row>
    <row r="6697">
      <c r="A6697" s="3" t="s">
        <v>780</v>
      </c>
      <c r="B6697" s="3" t="s">
        <v>284</v>
      </c>
      <c r="C6697" s="3" t="s">
        <v>783</v>
      </c>
    </row>
    <row r="6698">
      <c r="A6698" s="3" t="s">
        <v>780</v>
      </c>
      <c r="B6698" s="3" t="s">
        <v>786</v>
      </c>
      <c r="C6698" s="3" t="s">
        <v>791</v>
      </c>
    </row>
    <row r="6699">
      <c r="A6699" s="3" t="s">
        <v>780</v>
      </c>
      <c r="B6699" s="3" t="s">
        <v>284</v>
      </c>
      <c r="C6699" s="3" t="s">
        <v>793</v>
      </c>
    </row>
    <row r="6700">
      <c r="A6700" s="3" t="s">
        <v>780</v>
      </c>
      <c r="B6700" s="3" t="s">
        <v>786</v>
      </c>
      <c r="C6700" s="3" t="s">
        <v>787</v>
      </c>
    </row>
    <row r="6701">
      <c r="A6701" s="3" t="s">
        <v>780</v>
      </c>
      <c r="B6701" s="3" t="s">
        <v>284</v>
      </c>
      <c r="C6701" s="3" t="s">
        <v>793</v>
      </c>
    </row>
    <row r="6702">
      <c r="A6702" s="3" t="s">
        <v>780</v>
      </c>
      <c r="B6702" s="3" t="s">
        <v>286</v>
      </c>
      <c r="C6702" s="3" t="s">
        <v>789</v>
      </c>
    </row>
    <row r="6703">
      <c r="A6703" s="3" t="s">
        <v>780</v>
      </c>
      <c r="B6703" s="3" t="s">
        <v>786</v>
      </c>
      <c r="C6703" s="3" t="s">
        <v>787</v>
      </c>
    </row>
    <row r="6704">
      <c r="A6704" s="3" t="s">
        <v>780</v>
      </c>
      <c r="B6704" s="3" t="s">
        <v>786</v>
      </c>
      <c r="C6704" s="3" t="s">
        <v>794</v>
      </c>
    </row>
    <row r="6705">
      <c r="A6705" s="3" t="s">
        <v>780</v>
      </c>
      <c r="B6705" s="3" t="s">
        <v>786</v>
      </c>
      <c r="C6705" s="3" t="s">
        <v>791</v>
      </c>
    </row>
    <row r="6706">
      <c r="A6706" s="3" t="s">
        <v>780</v>
      </c>
      <c r="B6706" s="3" t="s">
        <v>786</v>
      </c>
      <c r="C6706" s="3" t="s">
        <v>792</v>
      </c>
    </row>
    <row r="6707">
      <c r="A6707" s="3" t="s">
        <v>780</v>
      </c>
      <c r="B6707" s="3" t="s">
        <v>786</v>
      </c>
      <c r="C6707" s="3" t="s">
        <v>578</v>
      </c>
    </row>
    <row r="6708">
      <c r="A6708" s="3" t="s">
        <v>780</v>
      </c>
      <c r="B6708" s="3" t="s">
        <v>786</v>
      </c>
      <c r="C6708" s="3" t="s">
        <v>790</v>
      </c>
    </row>
    <row r="6709">
      <c r="A6709" s="3" t="s">
        <v>780</v>
      </c>
      <c r="B6709" s="3" t="s">
        <v>781</v>
      </c>
      <c r="C6709" s="3" t="s">
        <v>782</v>
      </c>
    </row>
    <row r="6710">
      <c r="A6710" s="3" t="s">
        <v>780</v>
      </c>
      <c r="B6710" s="3" t="s">
        <v>286</v>
      </c>
      <c r="C6710" s="3" t="s">
        <v>784</v>
      </c>
    </row>
    <row r="6711">
      <c r="A6711" s="3" t="s">
        <v>780</v>
      </c>
      <c r="B6711" s="3" t="s">
        <v>284</v>
      </c>
      <c r="C6711" s="3" t="s">
        <v>793</v>
      </c>
    </row>
    <row r="6712">
      <c r="A6712" s="3" t="s">
        <v>780</v>
      </c>
      <c r="B6712" s="3" t="s">
        <v>284</v>
      </c>
      <c r="C6712" s="3" t="s">
        <v>788</v>
      </c>
    </row>
    <row r="6713">
      <c r="A6713" s="3" t="s">
        <v>780</v>
      </c>
      <c r="B6713" s="3" t="s">
        <v>284</v>
      </c>
      <c r="C6713" s="3" t="s">
        <v>783</v>
      </c>
    </row>
    <row r="6714">
      <c r="A6714" s="3" t="s">
        <v>780</v>
      </c>
      <c r="B6714" s="3" t="s">
        <v>284</v>
      </c>
      <c r="C6714" s="3" t="s">
        <v>785</v>
      </c>
    </row>
    <row r="6715">
      <c r="A6715" s="3" t="s">
        <v>780</v>
      </c>
      <c r="B6715" s="3" t="s">
        <v>284</v>
      </c>
      <c r="C6715" s="3" t="s">
        <v>793</v>
      </c>
    </row>
    <row r="6716">
      <c r="A6716" s="3" t="s">
        <v>780</v>
      </c>
      <c r="B6716" s="3" t="s">
        <v>786</v>
      </c>
      <c r="C6716" s="3" t="s">
        <v>578</v>
      </c>
    </row>
    <row r="6717">
      <c r="A6717" s="3" t="s">
        <v>780</v>
      </c>
      <c r="B6717" s="3" t="s">
        <v>284</v>
      </c>
      <c r="C6717" s="3" t="s">
        <v>788</v>
      </c>
    </row>
    <row r="6718">
      <c r="A6718" s="3" t="s">
        <v>780</v>
      </c>
      <c r="B6718" s="3" t="s">
        <v>284</v>
      </c>
      <c r="C6718" s="3" t="s">
        <v>783</v>
      </c>
    </row>
    <row r="6719">
      <c r="A6719" s="3" t="s">
        <v>780</v>
      </c>
      <c r="B6719" s="3" t="s">
        <v>786</v>
      </c>
      <c r="C6719" s="3" t="s">
        <v>794</v>
      </c>
    </row>
    <row r="6720">
      <c r="A6720" s="3" t="s">
        <v>780</v>
      </c>
      <c r="B6720" s="3" t="s">
        <v>284</v>
      </c>
      <c r="C6720" s="3" t="s">
        <v>793</v>
      </c>
    </row>
    <row r="6721">
      <c r="A6721" s="3" t="s">
        <v>780</v>
      </c>
      <c r="B6721" s="3" t="s">
        <v>786</v>
      </c>
      <c r="C6721" s="3" t="s">
        <v>791</v>
      </c>
    </row>
    <row r="6722">
      <c r="A6722" s="3" t="s">
        <v>780</v>
      </c>
      <c r="B6722" s="3" t="s">
        <v>284</v>
      </c>
      <c r="C6722" s="3" t="s">
        <v>788</v>
      </c>
    </row>
    <row r="6723">
      <c r="A6723" s="3" t="s">
        <v>780</v>
      </c>
      <c r="B6723" s="3" t="s">
        <v>786</v>
      </c>
      <c r="C6723" s="3" t="s">
        <v>787</v>
      </c>
    </row>
    <row r="6724">
      <c r="A6724" s="3" t="s">
        <v>780</v>
      </c>
      <c r="B6724" s="3" t="s">
        <v>284</v>
      </c>
      <c r="C6724" s="3" t="s">
        <v>783</v>
      </c>
    </row>
    <row r="6725">
      <c r="A6725" s="3" t="s">
        <v>780</v>
      </c>
      <c r="B6725" s="3" t="s">
        <v>786</v>
      </c>
      <c r="C6725" s="3" t="s">
        <v>790</v>
      </c>
    </row>
    <row r="6726">
      <c r="A6726" s="3" t="s">
        <v>780</v>
      </c>
      <c r="B6726" s="3" t="s">
        <v>786</v>
      </c>
      <c r="C6726" s="3" t="s">
        <v>578</v>
      </c>
    </row>
    <row r="6727">
      <c r="A6727" s="3" t="s">
        <v>780</v>
      </c>
      <c r="B6727" s="3" t="s">
        <v>786</v>
      </c>
      <c r="C6727" s="3" t="s">
        <v>791</v>
      </c>
    </row>
    <row r="6728">
      <c r="A6728" s="3" t="s">
        <v>780</v>
      </c>
      <c r="B6728" s="3" t="s">
        <v>786</v>
      </c>
      <c r="C6728" s="3" t="s">
        <v>791</v>
      </c>
    </row>
    <row r="6729">
      <c r="A6729" s="3" t="s">
        <v>780</v>
      </c>
      <c r="B6729" s="3" t="s">
        <v>786</v>
      </c>
      <c r="C6729" s="3" t="s">
        <v>791</v>
      </c>
    </row>
    <row r="6730">
      <c r="A6730" s="3" t="s">
        <v>780</v>
      </c>
      <c r="B6730" s="3" t="s">
        <v>786</v>
      </c>
      <c r="C6730" s="3" t="s">
        <v>794</v>
      </c>
    </row>
    <row r="6731">
      <c r="A6731" s="3" t="s">
        <v>780</v>
      </c>
      <c r="B6731" s="3" t="s">
        <v>284</v>
      </c>
      <c r="C6731" s="3" t="s">
        <v>788</v>
      </c>
    </row>
    <row r="6732">
      <c r="A6732" s="3" t="s">
        <v>780</v>
      </c>
      <c r="B6732" s="3" t="s">
        <v>786</v>
      </c>
      <c r="C6732" s="3" t="s">
        <v>791</v>
      </c>
    </row>
    <row r="6733">
      <c r="A6733" s="3" t="s">
        <v>780</v>
      </c>
      <c r="B6733" s="3" t="s">
        <v>786</v>
      </c>
      <c r="C6733" s="3" t="s">
        <v>787</v>
      </c>
    </row>
    <row r="6734">
      <c r="A6734" s="3" t="s">
        <v>780</v>
      </c>
      <c r="B6734" s="3" t="s">
        <v>786</v>
      </c>
      <c r="C6734" s="3" t="s">
        <v>794</v>
      </c>
    </row>
    <row r="6735">
      <c r="A6735" s="3" t="s">
        <v>780</v>
      </c>
      <c r="B6735" s="3" t="s">
        <v>786</v>
      </c>
      <c r="C6735" s="3" t="s">
        <v>794</v>
      </c>
    </row>
    <row r="6736">
      <c r="A6736" s="3" t="s">
        <v>780</v>
      </c>
      <c r="B6736" s="3" t="s">
        <v>786</v>
      </c>
      <c r="C6736" s="3" t="s">
        <v>794</v>
      </c>
    </row>
    <row r="6737">
      <c r="A6737" s="3" t="s">
        <v>780</v>
      </c>
      <c r="B6737" s="3" t="s">
        <v>786</v>
      </c>
      <c r="C6737" s="3" t="s">
        <v>791</v>
      </c>
    </row>
    <row r="6738">
      <c r="A6738" s="3" t="s">
        <v>780</v>
      </c>
      <c r="B6738" s="3" t="s">
        <v>786</v>
      </c>
      <c r="C6738" s="3" t="s">
        <v>794</v>
      </c>
    </row>
    <row r="6739">
      <c r="A6739" s="3" t="s">
        <v>780</v>
      </c>
      <c r="B6739" s="3" t="s">
        <v>786</v>
      </c>
      <c r="C6739" s="3" t="s">
        <v>578</v>
      </c>
    </row>
    <row r="6740">
      <c r="A6740" s="3" t="s">
        <v>780</v>
      </c>
      <c r="B6740" s="3" t="s">
        <v>786</v>
      </c>
      <c r="C6740" s="3" t="s">
        <v>578</v>
      </c>
    </row>
    <row r="6741">
      <c r="A6741" s="3" t="s">
        <v>780</v>
      </c>
      <c r="B6741" s="3" t="s">
        <v>786</v>
      </c>
      <c r="C6741" s="3" t="s">
        <v>791</v>
      </c>
    </row>
    <row r="6742">
      <c r="A6742" s="3" t="s">
        <v>780</v>
      </c>
      <c r="B6742" s="3" t="s">
        <v>284</v>
      </c>
      <c r="C6742" s="3" t="s">
        <v>793</v>
      </c>
    </row>
    <row r="6743">
      <c r="A6743" s="3" t="s">
        <v>780</v>
      </c>
      <c r="B6743" s="3" t="s">
        <v>786</v>
      </c>
      <c r="C6743" s="3" t="s">
        <v>794</v>
      </c>
    </row>
    <row r="6744">
      <c r="A6744" s="3" t="s">
        <v>780</v>
      </c>
      <c r="B6744" s="3" t="s">
        <v>786</v>
      </c>
      <c r="C6744" s="3" t="s">
        <v>787</v>
      </c>
    </row>
    <row r="6745">
      <c r="A6745" s="3" t="s">
        <v>780</v>
      </c>
      <c r="B6745" s="3" t="s">
        <v>786</v>
      </c>
      <c r="C6745" s="3" t="s">
        <v>787</v>
      </c>
    </row>
    <row r="6746">
      <c r="A6746" s="3" t="s">
        <v>780</v>
      </c>
      <c r="B6746" s="3" t="s">
        <v>786</v>
      </c>
      <c r="C6746" s="3" t="s">
        <v>791</v>
      </c>
    </row>
    <row r="6747">
      <c r="A6747" s="3" t="s">
        <v>780</v>
      </c>
      <c r="B6747" s="3" t="s">
        <v>786</v>
      </c>
      <c r="C6747" s="3" t="s">
        <v>787</v>
      </c>
    </row>
    <row r="6748">
      <c r="A6748" s="3" t="s">
        <v>780</v>
      </c>
      <c r="B6748" s="3" t="s">
        <v>786</v>
      </c>
      <c r="C6748" s="3" t="s">
        <v>792</v>
      </c>
    </row>
    <row r="6749">
      <c r="A6749" s="3" t="s">
        <v>780</v>
      </c>
      <c r="B6749" s="3" t="s">
        <v>786</v>
      </c>
      <c r="C6749" s="3" t="s">
        <v>792</v>
      </c>
    </row>
    <row r="6750">
      <c r="A6750" s="3" t="s">
        <v>780</v>
      </c>
      <c r="B6750" s="3" t="s">
        <v>786</v>
      </c>
      <c r="C6750" s="3" t="s">
        <v>792</v>
      </c>
    </row>
    <row r="6751">
      <c r="A6751" s="3" t="s">
        <v>780</v>
      </c>
      <c r="B6751" s="3" t="s">
        <v>786</v>
      </c>
      <c r="C6751" s="3" t="s">
        <v>791</v>
      </c>
    </row>
    <row r="6752">
      <c r="A6752" s="3" t="s">
        <v>780</v>
      </c>
      <c r="B6752" s="3" t="s">
        <v>286</v>
      </c>
      <c r="C6752" s="3" t="s">
        <v>789</v>
      </c>
    </row>
    <row r="6753">
      <c r="A6753" s="3" t="s">
        <v>780</v>
      </c>
      <c r="B6753" s="3" t="s">
        <v>786</v>
      </c>
      <c r="C6753" s="3" t="s">
        <v>787</v>
      </c>
    </row>
    <row r="6754">
      <c r="A6754" s="3" t="s">
        <v>780</v>
      </c>
      <c r="B6754" s="3" t="s">
        <v>786</v>
      </c>
      <c r="C6754" s="3" t="s">
        <v>794</v>
      </c>
    </row>
    <row r="6755">
      <c r="A6755" s="3" t="s">
        <v>780</v>
      </c>
      <c r="B6755" s="3" t="s">
        <v>786</v>
      </c>
      <c r="C6755" s="3" t="s">
        <v>791</v>
      </c>
    </row>
    <row r="6756">
      <c r="A6756" s="3" t="s">
        <v>780</v>
      </c>
      <c r="B6756" s="3" t="s">
        <v>284</v>
      </c>
      <c r="C6756" s="3" t="s">
        <v>783</v>
      </c>
    </row>
    <row r="6757">
      <c r="A6757" s="3" t="s">
        <v>780</v>
      </c>
      <c r="B6757" s="3" t="s">
        <v>786</v>
      </c>
      <c r="C6757" s="3" t="s">
        <v>578</v>
      </c>
    </row>
    <row r="6758">
      <c r="A6758" s="3" t="s">
        <v>780</v>
      </c>
      <c r="B6758" s="3" t="s">
        <v>786</v>
      </c>
      <c r="C6758" s="3" t="s">
        <v>794</v>
      </c>
    </row>
    <row r="6759">
      <c r="A6759" s="3" t="s">
        <v>780</v>
      </c>
      <c r="B6759" s="3" t="s">
        <v>786</v>
      </c>
      <c r="C6759" s="3" t="s">
        <v>794</v>
      </c>
    </row>
    <row r="6760">
      <c r="A6760" s="3" t="s">
        <v>780</v>
      </c>
      <c r="B6760" s="3" t="s">
        <v>786</v>
      </c>
      <c r="C6760" s="3" t="s">
        <v>794</v>
      </c>
    </row>
    <row r="6761">
      <c r="A6761" s="3" t="s">
        <v>780</v>
      </c>
      <c r="B6761" s="3" t="s">
        <v>786</v>
      </c>
      <c r="C6761" s="3" t="s">
        <v>794</v>
      </c>
    </row>
    <row r="6762">
      <c r="A6762" s="3" t="s">
        <v>780</v>
      </c>
      <c r="B6762" s="3" t="s">
        <v>286</v>
      </c>
      <c r="C6762" s="3" t="s">
        <v>789</v>
      </c>
    </row>
    <row r="6763">
      <c r="A6763" s="3" t="s">
        <v>780</v>
      </c>
      <c r="B6763" s="3" t="s">
        <v>786</v>
      </c>
      <c r="C6763" s="3" t="s">
        <v>794</v>
      </c>
    </row>
    <row r="6764">
      <c r="A6764" s="3" t="s">
        <v>780</v>
      </c>
      <c r="B6764" s="3" t="s">
        <v>284</v>
      </c>
      <c r="C6764" s="3" t="s">
        <v>785</v>
      </c>
    </row>
    <row r="6765">
      <c r="A6765" s="3" t="s">
        <v>780</v>
      </c>
      <c r="B6765" s="3" t="s">
        <v>786</v>
      </c>
      <c r="C6765" s="3" t="s">
        <v>794</v>
      </c>
    </row>
    <row r="6766">
      <c r="A6766" s="3" t="s">
        <v>780</v>
      </c>
      <c r="B6766" s="3" t="s">
        <v>284</v>
      </c>
      <c r="C6766" s="3" t="s">
        <v>788</v>
      </c>
    </row>
    <row r="6767">
      <c r="A6767" s="3" t="s">
        <v>780</v>
      </c>
      <c r="B6767" s="3" t="s">
        <v>284</v>
      </c>
      <c r="C6767" s="3" t="s">
        <v>783</v>
      </c>
    </row>
    <row r="6768">
      <c r="A6768" s="3" t="s">
        <v>780</v>
      </c>
      <c r="B6768" s="3" t="s">
        <v>284</v>
      </c>
      <c r="C6768" s="3" t="s">
        <v>783</v>
      </c>
    </row>
    <row r="6769">
      <c r="A6769" s="3" t="s">
        <v>780</v>
      </c>
      <c r="B6769" s="3" t="s">
        <v>786</v>
      </c>
      <c r="C6769" s="3" t="s">
        <v>794</v>
      </c>
    </row>
    <row r="6770">
      <c r="A6770" s="3" t="s">
        <v>780</v>
      </c>
      <c r="B6770" s="3" t="s">
        <v>786</v>
      </c>
      <c r="C6770" s="3" t="s">
        <v>791</v>
      </c>
    </row>
    <row r="6771">
      <c r="A6771" s="3" t="s">
        <v>780</v>
      </c>
      <c r="B6771" s="3" t="s">
        <v>786</v>
      </c>
      <c r="C6771" s="3" t="s">
        <v>791</v>
      </c>
    </row>
    <row r="6772">
      <c r="A6772" s="3" t="s">
        <v>780</v>
      </c>
      <c r="B6772" s="3" t="s">
        <v>786</v>
      </c>
      <c r="C6772" s="3" t="s">
        <v>787</v>
      </c>
    </row>
    <row r="6773">
      <c r="A6773" s="3" t="s">
        <v>780</v>
      </c>
      <c r="B6773" s="3" t="s">
        <v>786</v>
      </c>
      <c r="C6773" s="3" t="s">
        <v>787</v>
      </c>
    </row>
    <row r="6774">
      <c r="A6774" s="3" t="s">
        <v>780</v>
      </c>
      <c r="B6774" s="3" t="s">
        <v>786</v>
      </c>
      <c r="C6774" s="3" t="s">
        <v>787</v>
      </c>
    </row>
    <row r="6775">
      <c r="A6775" s="3" t="s">
        <v>780</v>
      </c>
      <c r="B6775" s="3" t="s">
        <v>786</v>
      </c>
      <c r="C6775" s="3" t="s">
        <v>794</v>
      </c>
    </row>
    <row r="6776">
      <c r="A6776" s="3" t="s">
        <v>780</v>
      </c>
      <c r="B6776" s="3" t="s">
        <v>786</v>
      </c>
      <c r="C6776" s="3" t="s">
        <v>792</v>
      </c>
    </row>
    <row r="6777">
      <c r="A6777" s="3" t="s">
        <v>780</v>
      </c>
      <c r="B6777" s="3" t="s">
        <v>786</v>
      </c>
      <c r="C6777" s="3" t="s">
        <v>792</v>
      </c>
    </row>
    <row r="6778">
      <c r="A6778" s="3" t="s">
        <v>780</v>
      </c>
      <c r="B6778" s="3" t="s">
        <v>786</v>
      </c>
      <c r="C6778" s="3" t="s">
        <v>792</v>
      </c>
    </row>
    <row r="6779">
      <c r="A6779" s="3" t="s">
        <v>780</v>
      </c>
      <c r="B6779" s="3" t="s">
        <v>786</v>
      </c>
      <c r="C6779" s="3" t="s">
        <v>787</v>
      </c>
    </row>
    <row r="6780">
      <c r="A6780" s="3" t="s">
        <v>780</v>
      </c>
      <c r="B6780" s="3" t="s">
        <v>786</v>
      </c>
      <c r="C6780" s="3" t="s">
        <v>792</v>
      </c>
    </row>
    <row r="6781">
      <c r="A6781" s="3" t="s">
        <v>780</v>
      </c>
      <c r="B6781" s="3" t="s">
        <v>786</v>
      </c>
      <c r="C6781" s="3" t="s">
        <v>791</v>
      </c>
    </row>
    <row r="6782">
      <c r="A6782" s="3" t="s">
        <v>780</v>
      </c>
      <c r="B6782" s="3" t="s">
        <v>786</v>
      </c>
      <c r="C6782" s="3" t="s">
        <v>791</v>
      </c>
    </row>
    <row r="6783">
      <c r="A6783" s="3" t="s">
        <v>780</v>
      </c>
      <c r="B6783" s="3" t="s">
        <v>786</v>
      </c>
      <c r="C6783" s="3" t="s">
        <v>791</v>
      </c>
    </row>
    <row r="6784">
      <c r="A6784" s="3" t="s">
        <v>780</v>
      </c>
      <c r="B6784" s="3" t="s">
        <v>786</v>
      </c>
      <c r="C6784" s="3" t="s">
        <v>792</v>
      </c>
    </row>
    <row r="6785">
      <c r="A6785" s="3" t="s">
        <v>780</v>
      </c>
      <c r="B6785" s="3" t="s">
        <v>786</v>
      </c>
      <c r="C6785" s="3" t="s">
        <v>792</v>
      </c>
    </row>
    <row r="6786">
      <c r="A6786" s="3" t="s">
        <v>780</v>
      </c>
      <c r="B6786" s="3" t="s">
        <v>786</v>
      </c>
      <c r="C6786" s="3" t="s">
        <v>791</v>
      </c>
    </row>
    <row r="6787">
      <c r="A6787" s="3" t="s">
        <v>298</v>
      </c>
      <c r="B6787" s="3" t="s">
        <v>795</v>
      </c>
      <c r="C6787" s="3" t="s">
        <v>796</v>
      </c>
    </row>
    <row r="6788">
      <c r="A6788" s="3" t="s">
        <v>298</v>
      </c>
      <c r="B6788" s="3" t="s">
        <v>795</v>
      </c>
      <c r="C6788" s="3" t="s">
        <v>797</v>
      </c>
    </row>
    <row r="6789">
      <c r="A6789" s="3" t="s">
        <v>298</v>
      </c>
      <c r="B6789" s="3" t="s">
        <v>798</v>
      </c>
      <c r="C6789" s="3" t="s">
        <v>799</v>
      </c>
    </row>
    <row r="6790">
      <c r="A6790" s="3" t="s">
        <v>298</v>
      </c>
      <c r="B6790" s="3" t="s">
        <v>304</v>
      </c>
      <c r="C6790" s="3" t="s">
        <v>800</v>
      </c>
    </row>
    <row r="6791">
      <c r="A6791" s="3" t="s">
        <v>298</v>
      </c>
      <c r="B6791" s="3" t="s">
        <v>304</v>
      </c>
      <c r="C6791" s="3" t="s">
        <v>801</v>
      </c>
    </row>
    <row r="6792">
      <c r="A6792" s="3" t="s">
        <v>298</v>
      </c>
      <c r="B6792" s="3" t="s">
        <v>802</v>
      </c>
      <c r="C6792" s="3" t="s">
        <v>803</v>
      </c>
    </row>
    <row r="6793">
      <c r="A6793" s="3" t="s">
        <v>298</v>
      </c>
      <c r="B6793" s="3" t="s">
        <v>804</v>
      </c>
      <c r="C6793" s="3" t="s">
        <v>805</v>
      </c>
    </row>
    <row r="6794">
      <c r="A6794" s="3" t="s">
        <v>298</v>
      </c>
      <c r="B6794" s="3" t="s">
        <v>802</v>
      </c>
      <c r="C6794" s="3" t="s">
        <v>806</v>
      </c>
    </row>
    <row r="6795">
      <c r="A6795" s="3" t="s">
        <v>298</v>
      </c>
      <c r="B6795" s="3" t="s">
        <v>802</v>
      </c>
      <c r="C6795" s="3" t="s">
        <v>806</v>
      </c>
    </row>
    <row r="6796">
      <c r="A6796" s="3" t="s">
        <v>298</v>
      </c>
      <c r="B6796" s="3" t="s">
        <v>795</v>
      </c>
      <c r="C6796" s="3" t="s">
        <v>807</v>
      </c>
    </row>
    <row r="6797">
      <c r="A6797" s="3" t="s">
        <v>298</v>
      </c>
      <c r="B6797" s="3" t="s">
        <v>798</v>
      </c>
      <c r="C6797" s="3" t="s">
        <v>799</v>
      </c>
    </row>
    <row r="6798">
      <c r="A6798" s="3" t="s">
        <v>298</v>
      </c>
      <c r="B6798" s="3" t="s">
        <v>798</v>
      </c>
      <c r="C6798" s="3" t="s">
        <v>799</v>
      </c>
    </row>
    <row r="6799">
      <c r="A6799" s="3" t="s">
        <v>298</v>
      </c>
      <c r="B6799" s="3" t="s">
        <v>804</v>
      </c>
      <c r="C6799" s="3" t="s">
        <v>805</v>
      </c>
    </row>
    <row r="6800">
      <c r="A6800" s="3" t="s">
        <v>298</v>
      </c>
      <c r="B6800" s="3" t="s">
        <v>802</v>
      </c>
      <c r="C6800" s="3" t="s">
        <v>808</v>
      </c>
    </row>
    <row r="6801">
      <c r="A6801" s="3" t="s">
        <v>298</v>
      </c>
      <c r="B6801" s="3" t="s">
        <v>304</v>
      </c>
      <c r="C6801" s="3" t="s">
        <v>809</v>
      </c>
    </row>
    <row r="6802">
      <c r="A6802" s="3" t="s">
        <v>298</v>
      </c>
      <c r="B6802" s="3" t="s">
        <v>802</v>
      </c>
      <c r="C6802" s="3" t="s">
        <v>810</v>
      </c>
    </row>
    <row r="6803">
      <c r="A6803" s="3" t="s">
        <v>298</v>
      </c>
      <c r="B6803" s="3" t="s">
        <v>795</v>
      </c>
      <c r="C6803" s="3" t="s">
        <v>811</v>
      </c>
    </row>
    <row r="6804">
      <c r="A6804" s="3" t="s">
        <v>298</v>
      </c>
      <c r="B6804" s="3" t="s">
        <v>304</v>
      </c>
      <c r="C6804" s="3" t="s">
        <v>809</v>
      </c>
    </row>
    <row r="6805">
      <c r="A6805" s="3" t="s">
        <v>298</v>
      </c>
      <c r="B6805" s="3" t="s">
        <v>795</v>
      </c>
      <c r="C6805" s="3" t="s">
        <v>796</v>
      </c>
    </row>
    <row r="6806">
      <c r="A6806" s="3" t="s">
        <v>298</v>
      </c>
      <c r="B6806" s="3" t="s">
        <v>795</v>
      </c>
      <c r="C6806" s="3" t="s">
        <v>797</v>
      </c>
    </row>
    <row r="6807">
      <c r="A6807" s="3" t="s">
        <v>298</v>
      </c>
      <c r="B6807" s="3" t="s">
        <v>802</v>
      </c>
      <c r="C6807" s="3" t="s">
        <v>810</v>
      </c>
    </row>
    <row r="6808">
      <c r="A6808" s="3" t="s">
        <v>298</v>
      </c>
      <c r="B6808" s="3" t="s">
        <v>802</v>
      </c>
      <c r="C6808" s="3" t="s">
        <v>806</v>
      </c>
    </row>
    <row r="6809">
      <c r="A6809" s="3" t="s">
        <v>298</v>
      </c>
      <c r="B6809" s="3" t="s">
        <v>802</v>
      </c>
      <c r="C6809" s="3" t="s">
        <v>806</v>
      </c>
    </row>
    <row r="6810">
      <c r="A6810" s="3" t="s">
        <v>298</v>
      </c>
      <c r="B6810" s="3" t="s">
        <v>802</v>
      </c>
      <c r="C6810" s="3" t="s">
        <v>812</v>
      </c>
    </row>
    <row r="6811">
      <c r="A6811" s="3" t="s">
        <v>298</v>
      </c>
      <c r="B6811" s="3" t="s">
        <v>802</v>
      </c>
      <c r="C6811" s="3" t="s">
        <v>813</v>
      </c>
    </row>
    <row r="6812">
      <c r="A6812" s="3" t="s">
        <v>298</v>
      </c>
      <c r="B6812" s="3" t="s">
        <v>802</v>
      </c>
      <c r="C6812" s="3" t="s">
        <v>806</v>
      </c>
    </row>
    <row r="6813">
      <c r="A6813" s="3" t="s">
        <v>298</v>
      </c>
      <c r="B6813" s="3" t="s">
        <v>802</v>
      </c>
      <c r="C6813" s="3" t="s">
        <v>810</v>
      </c>
    </row>
    <row r="6814">
      <c r="A6814" s="3" t="s">
        <v>298</v>
      </c>
      <c r="B6814" s="3" t="s">
        <v>802</v>
      </c>
      <c r="C6814" s="3" t="s">
        <v>806</v>
      </c>
    </row>
    <row r="6815">
      <c r="A6815" s="3" t="s">
        <v>298</v>
      </c>
      <c r="B6815" s="3" t="s">
        <v>795</v>
      </c>
      <c r="C6815" s="3" t="s">
        <v>797</v>
      </c>
    </row>
    <row r="6816">
      <c r="A6816" s="3" t="s">
        <v>298</v>
      </c>
      <c r="B6816" s="3" t="s">
        <v>802</v>
      </c>
      <c r="C6816" s="3" t="s">
        <v>808</v>
      </c>
    </row>
    <row r="6817">
      <c r="A6817" s="3" t="s">
        <v>298</v>
      </c>
      <c r="B6817" s="3" t="s">
        <v>804</v>
      </c>
      <c r="C6817" s="3" t="s">
        <v>805</v>
      </c>
    </row>
    <row r="6818">
      <c r="A6818" s="3" t="s">
        <v>298</v>
      </c>
      <c r="B6818" s="3" t="s">
        <v>802</v>
      </c>
      <c r="C6818" s="3" t="s">
        <v>806</v>
      </c>
    </row>
    <row r="6819">
      <c r="A6819" s="3" t="s">
        <v>298</v>
      </c>
      <c r="B6819" s="3" t="s">
        <v>802</v>
      </c>
      <c r="C6819" s="3" t="s">
        <v>806</v>
      </c>
    </row>
    <row r="6820">
      <c r="A6820" s="3" t="s">
        <v>298</v>
      </c>
      <c r="B6820" s="3" t="s">
        <v>304</v>
      </c>
      <c r="C6820" s="3" t="s">
        <v>800</v>
      </c>
    </row>
    <row r="6821">
      <c r="A6821" s="3" t="s">
        <v>298</v>
      </c>
      <c r="B6821" s="3" t="s">
        <v>802</v>
      </c>
      <c r="C6821" s="3" t="s">
        <v>808</v>
      </c>
    </row>
    <row r="6822">
      <c r="A6822" s="3" t="s">
        <v>298</v>
      </c>
      <c r="B6822" s="3" t="s">
        <v>802</v>
      </c>
      <c r="C6822" s="3" t="s">
        <v>808</v>
      </c>
    </row>
    <row r="6823">
      <c r="A6823" s="3" t="s">
        <v>298</v>
      </c>
      <c r="B6823" s="3" t="s">
        <v>304</v>
      </c>
      <c r="C6823" s="3" t="s">
        <v>800</v>
      </c>
    </row>
    <row r="6824">
      <c r="A6824" s="3" t="s">
        <v>298</v>
      </c>
      <c r="B6824" s="3" t="s">
        <v>795</v>
      </c>
      <c r="C6824" s="3" t="s">
        <v>807</v>
      </c>
    </row>
    <row r="6825">
      <c r="A6825" s="3" t="s">
        <v>298</v>
      </c>
      <c r="B6825" s="3" t="s">
        <v>802</v>
      </c>
      <c r="C6825" s="3" t="s">
        <v>814</v>
      </c>
    </row>
    <row r="6826">
      <c r="A6826" s="3" t="s">
        <v>298</v>
      </c>
      <c r="B6826" s="3" t="s">
        <v>802</v>
      </c>
      <c r="C6826" s="3" t="s">
        <v>803</v>
      </c>
    </row>
    <row r="6827">
      <c r="A6827" s="3" t="s">
        <v>298</v>
      </c>
      <c r="B6827" s="3" t="s">
        <v>802</v>
      </c>
      <c r="C6827" s="3" t="s">
        <v>808</v>
      </c>
    </row>
    <row r="6828">
      <c r="A6828" s="3" t="s">
        <v>298</v>
      </c>
      <c r="B6828" s="3" t="s">
        <v>802</v>
      </c>
      <c r="C6828" s="3" t="s">
        <v>812</v>
      </c>
    </row>
    <row r="6829">
      <c r="A6829" s="3" t="s">
        <v>298</v>
      </c>
      <c r="B6829" s="3" t="s">
        <v>802</v>
      </c>
      <c r="C6829" s="3" t="s">
        <v>808</v>
      </c>
    </row>
    <row r="6830">
      <c r="A6830" s="3" t="s">
        <v>298</v>
      </c>
      <c r="B6830" s="3" t="s">
        <v>802</v>
      </c>
      <c r="C6830" s="3" t="s">
        <v>808</v>
      </c>
    </row>
    <row r="6831">
      <c r="A6831" s="3" t="s">
        <v>298</v>
      </c>
      <c r="B6831" s="3" t="s">
        <v>802</v>
      </c>
      <c r="C6831" s="3" t="s">
        <v>808</v>
      </c>
    </row>
    <row r="6832">
      <c r="A6832" s="3" t="s">
        <v>298</v>
      </c>
      <c r="B6832" s="3" t="s">
        <v>802</v>
      </c>
      <c r="C6832" s="3" t="s">
        <v>815</v>
      </c>
    </row>
    <row r="6833">
      <c r="A6833" s="3" t="s">
        <v>298</v>
      </c>
      <c r="B6833" s="3" t="s">
        <v>802</v>
      </c>
      <c r="C6833" s="3" t="s">
        <v>810</v>
      </c>
    </row>
    <row r="6834">
      <c r="A6834" s="3" t="s">
        <v>298</v>
      </c>
      <c r="B6834" s="3" t="s">
        <v>802</v>
      </c>
      <c r="C6834" s="3" t="s">
        <v>806</v>
      </c>
    </row>
    <row r="6835">
      <c r="A6835" s="3" t="s">
        <v>298</v>
      </c>
      <c r="B6835" s="3" t="s">
        <v>795</v>
      </c>
      <c r="C6835" s="3" t="s">
        <v>816</v>
      </c>
    </row>
    <row r="6836">
      <c r="A6836" s="3" t="s">
        <v>298</v>
      </c>
      <c r="B6836" s="3" t="s">
        <v>795</v>
      </c>
      <c r="C6836" s="3" t="s">
        <v>797</v>
      </c>
    </row>
    <row r="6837">
      <c r="A6837" s="3" t="s">
        <v>298</v>
      </c>
      <c r="B6837" s="3" t="s">
        <v>795</v>
      </c>
      <c r="C6837" s="3" t="s">
        <v>816</v>
      </c>
    </row>
    <row r="6838">
      <c r="A6838" s="3" t="s">
        <v>298</v>
      </c>
      <c r="B6838" s="3" t="s">
        <v>795</v>
      </c>
      <c r="C6838" s="3" t="s">
        <v>816</v>
      </c>
    </row>
    <row r="6839">
      <c r="A6839" s="3" t="s">
        <v>298</v>
      </c>
      <c r="B6839" s="3" t="s">
        <v>802</v>
      </c>
      <c r="C6839" s="3" t="s">
        <v>814</v>
      </c>
    </row>
    <row r="6840">
      <c r="A6840" s="3" t="s">
        <v>298</v>
      </c>
      <c r="B6840" s="3" t="s">
        <v>798</v>
      </c>
      <c r="C6840" s="3" t="s">
        <v>817</v>
      </c>
    </row>
    <row r="6841">
      <c r="A6841" s="3" t="s">
        <v>298</v>
      </c>
      <c r="B6841" s="3" t="s">
        <v>795</v>
      </c>
      <c r="C6841" s="3" t="s">
        <v>797</v>
      </c>
    </row>
    <row r="6842">
      <c r="A6842" s="3" t="s">
        <v>298</v>
      </c>
      <c r="B6842" s="3" t="s">
        <v>304</v>
      </c>
      <c r="C6842" s="3" t="s">
        <v>809</v>
      </c>
    </row>
    <row r="6843">
      <c r="A6843" s="3" t="s">
        <v>298</v>
      </c>
      <c r="B6843" s="3" t="s">
        <v>802</v>
      </c>
      <c r="C6843" s="3" t="s">
        <v>814</v>
      </c>
    </row>
    <row r="6844">
      <c r="A6844" s="3" t="s">
        <v>298</v>
      </c>
      <c r="B6844" s="3" t="s">
        <v>798</v>
      </c>
      <c r="C6844" s="3" t="s">
        <v>817</v>
      </c>
    </row>
    <row r="6845">
      <c r="A6845" s="3" t="s">
        <v>298</v>
      </c>
      <c r="B6845" s="3" t="s">
        <v>795</v>
      </c>
      <c r="C6845" s="3" t="s">
        <v>796</v>
      </c>
    </row>
    <row r="6846">
      <c r="A6846" s="3" t="s">
        <v>298</v>
      </c>
      <c r="B6846" s="3" t="s">
        <v>304</v>
      </c>
      <c r="C6846" s="3" t="s">
        <v>809</v>
      </c>
    </row>
    <row r="6847">
      <c r="A6847" s="3" t="s">
        <v>298</v>
      </c>
      <c r="B6847" s="3" t="s">
        <v>795</v>
      </c>
      <c r="C6847" s="3" t="s">
        <v>797</v>
      </c>
    </row>
    <row r="6848">
      <c r="A6848" s="3" t="s">
        <v>298</v>
      </c>
      <c r="B6848" s="3" t="s">
        <v>795</v>
      </c>
      <c r="C6848" s="3" t="s">
        <v>796</v>
      </c>
    </row>
    <row r="6849">
      <c r="A6849" s="3" t="s">
        <v>298</v>
      </c>
      <c r="B6849" s="3" t="s">
        <v>795</v>
      </c>
      <c r="C6849" s="3" t="s">
        <v>797</v>
      </c>
    </row>
    <row r="6850">
      <c r="A6850" s="3" t="s">
        <v>298</v>
      </c>
      <c r="B6850" s="3" t="s">
        <v>795</v>
      </c>
      <c r="C6850" s="3" t="s">
        <v>797</v>
      </c>
    </row>
    <row r="6851">
      <c r="A6851" s="3" t="s">
        <v>298</v>
      </c>
      <c r="B6851" s="3" t="s">
        <v>795</v>
      </c>
      <c r="C6851" s="3" t="s">
        <v>796</v>
      </c>
    </row>
    <row r="6852">
      <c r="A6852" s="3" t="s">
        <v>298</v>
      </c>
      <c r="B6852" s="3" t="s">
        <v>795</v>
      </c>
      <c r="C6852" s="3" t="s">
        <v>797</v>
      </c>
    </row>
    <row r="6853">
      <c r="A6853" s="3" t="s">
        <v>298</v>
      </c>
      <c r="B6853" s="3" t="s">
        <v>802</v>
      </c>
      <c r="C6853" s="3" t="s">
        <v>803</v>
      </c>
    </row>
    <row r="6854">
      <c r="A6854" s="3" t="s">
        <v>298</v>
      </c>
      <c r="B6854" s="3" t="s">
        <v>802</v>
      </c>
      <c r="C6854" s="3" t="s">
        <v>808</v>
      </c>
    </row>
    <row r="6855">
      <c r="A6855" s="3" t="s">
        <v>298</v>
      </c>
      <c r="B6855" s="3" t="s">
        <v>795</v>
      </c>
      <c r="C6855" s="3" t="s">
        <v>797</v>
      </c>
    </row>
    <row r="6856">
      <c r="A6856" s="3" t="s">
        <v>298</v>
      </c>
      <c r="B6856" s="3" t="s">
        <v>798</v>
      </c>
      <c r="C6856" s="3" t="s">
        <v>799</v>
      </c>
    </row>
    <row r="6857">
      <c r="A6857" s="3" t="s">
        <v>298</v>
      </c>
      <c r="B6857" s="3" t="s">
        <v>795</v>
      </c>
      <c r="C6857" s="3" t="s">
        <v>816</v>
      </c>
    </row>
    <row r="6858">
      <c r="A6858" s="3" t="s">
        <v>298</v>
      </c>
      <c r="B6858" s="3" t="s">
        <v>795</v>
      </c>
      <c r="C6858" s="3" t="s">
        <v>816</v>
      </c>
    </row>
    <row r="6859">
      <c r="A6859" s="3" t="s">
        <v>298</v>
      </c>
      <c r="B6859" s="3" t="s">
        <v>304</v>
      </c>
      <c r="C6859" s="3" t="s">
        <v>809</v>
      </c>
    </row>
    <row r="6860">
      <c r="A6860" s="3" t="s">
        <v>298</v>
      </c>
      <c r="B6860" s="3" t="s">
        <v>795</v>
      </c>
      <c r="C6860" s="3" t="s">
        <v>797</v>
      </c>
    </row>
    <row r="6861">
      <c r="A6861" s="3" t="s">
        <v>298</v>
      </c>
      <c r="B6861" s="3" t="s">
        <v>795</v>
      </c>
      <c r="C6861" s="3" t="s">
        <v>816</v>
      </c>
    </row>
    <row r="6862">
      <c r="A6862" s="3" t="s">
        <v>298</v>
      </c>
      <c r="B6862" s="3" t="s">
        <v>795</v>
      </c>
      <c r="C6862" s="3" t="s">
        <v>816</v>
      </c>
    </row>
    <row r="6863">
      <c r="A6863" s="3" t="s">
        <v>298</v>
      </c>
      <c r="B6863" s="3" t="s">
        <v>795</v>
      </c>
      <c r="C6863" s="3" t="s">
        <v>816</v>
      </c>
    </row>
    <row r="6864">
      <c r="A6864" s="3" t="s">
        <v>298</v>
      </c>
      <c r="B6864" s="3" t="s">
        <v>304</v>
      </c>
      <c r="C6864" s="3" t="s">
        <v>801</v>
      </c>
    </row>
    <row r="6865">
      <c r="A6865" s="3" t="s">
        <v>298</v>
      </c>
      <c r="B6865" s="3" t="s">
        <v>304</v>
      </c>
      <c r="C6865" s="3" t="s">
        <v>801</v>
      </c>
    </row>
    <row r="6866">
      <c r="A6866" s="3" t="s">
        <v>298</v>
      </c>
      <c r="B6866" s="3" t="s">
        <v>795</v>
      </c>
      <c r="C6866" s="3" t="s">
        <v>816</v>
      </c>
    </row>
    <row r="6867">
      <c r="A6867" s="3" t="s">
        <v>298</v>
      </c>
      <c r="B6867" s="3" t="s">
        <v>802</v>
      </c>
      <c r="C6867" s="3" t="s">
        <v>812</v>
      </c>
    </row>
    <row r="6868">
      <c r="A6868" s="3" t="s">
        <v>298</v>
      </c>
      <c r="B6868" s="3" t="s">
        <v>304</v>
      </c>
      <c r="C6868" s="3" t="s">
        <v>801</v>
      </c>
    </row>
    <row r="6869">
      <c r="A6869" s="3" t="s">
        <v>298</v>
      </c>
      <c r="B6869" s="3" t="s">
        <v>795</v>
      </c>
      <c r="C6869" s="3" t="s">
        <v>796</v>
      </c>
    </row>
    <row r="6870">
      <c r="A6870" s="3" t="s">
        <v>298</v>
      </c>
      <c r="B6870" s="3" t="s">
        <v>795</v>
      </c>
      <c r="C6870" s="3" t="s">
        <v>797</v>
      </c>
    </row>
    <row r="6871">
      <c r="A6871" s="3" t="s">
        <v>298</v>
      </c>
      <c r="B6871" s="3" t="s">
        <v>802</v>
      </c>
      <c r="C6871" s="3" t="s">
        <v>808</v>
      </c>
    </row>
    <row r="6872">
      <c r="A6872" s="3" t="s">
        <v>298</v>
      </c>
      <c r="B6872" s="3" t="s">
        <v>802</v>
      </c>
      <c r="C6872" s="3" t="s">
        <v>808</v>
      </c>
    </row>
    <row r="6873">
      <c r="A6873" s="3" t="s">
        <v>298</v>
      </c>
      <c r="B6873" s="3" t="s">
        <v>795</v>
      </c>
      <c r="C6873" s="3" t="s">
        <v>816</v>
      </c>
    </row>
    <row r="6874">
      <c r="A6874" s="3" t="s">
        <v>298</v>
      </c>
      <c r="B6874" s="3" t="s">
        <v>304</v>
      </c>
      <c r="C6874" s="3" t="s">
        <v>801</v>
      </c>
    </row>
    <row r="6875">
      <c r="A6875" s="3" t="s">
        <v>298</v>
      </c>
      <c r="B6875" s="3" t="s">
        <v>304</v>
      </c>
      <c r="C6875" s="3" t="s">
        <v>800</v>
      </c>
    </row>
    <row r="6876">
      <c r="A6876" s="3" t="s">
        <v>298</v>
      </c>
      <c r="B6876" s="3" t="s">
        <v>795</v>
      </c>
      <c r="C6876" s="3" t="s">
        <v>797</v>
      </c>
    </row>
    <row r="6877">
      <c r="A6877" s="3" t="s">
        <v>298</v>
      </c>
      <c r="B6877" s="3" t="s">
        <v>795</v>
      </c>
      <c r="C6877" s="3" t="s">
        <v>797</v>
      </c>
    </row>
    <row r="6878">
      <c r="A6878" s="3" t="s">
        <v>298</v>
      </c>
      <c r="B6878" s="3" t="s">
        <v>795</v>
      </c>
      <c r="C6878" s="3" t="s">
        <v>816</v>
      </c>
    </row>
    <row r="6879">
      <c r="A6879" s="3" t="s">
        <v>298</v>
      </c>
      <c r="B6879" s="3" t="s">
        <v>795</v>
      </c>
      <c r="C6879" s="3" t="s">
        <v>807</v>
      </c>
    </row>
    <row r="6880">
      <c r="A6880" s="3" t="s">
        <v>298</v>
      </c>
      <c r="B6880" s="3" t="s">
        <v>795</v>
      </c>
      <c r="C6880" s="3" t="s">
        <v>816</v>
      </c>
    </row>
    <row r="6881">
      <c r="A6881" s="3" t="s">
        <v>298</v>
      </c>
      <c r="B6881" s="3" t="s">
        <v>795</v>
      </c>
      <c r="C6881" s="3" t="s">
        <v>797</v>
      </c>
    </row>
    <row r="6882">
      <c r="A6882" s="3" t="s">
        <v>298</v>
      </c>
      <c r="B6882" s="3" t="s">
        <v>795</v>
      </c>
      <c r="C6882" s="3" t="s">
        <v>797</v>
      </c>
    </row>
    <row r="6883">
      <c r="A6883" s="3" t="s">
        <v>298</v>
      </c>
      <c r="B6883" s="3" t="s">
        <v>795</v>
      </c>
      <c r="C6883" s="3" t="s">
        <v>797</v>
      </c>
    </row>
    <row r="6884">
      <c r="A6884" s="3" t="s">
        <v>298</v>
      </c>
      <c r="B6884" s="3" t="s">
        <v>304</v>
      </c>
      <c r="C6884" s="3" t="s">
        <v>801</v>
      </c>
    </row>
    <row r="6885">
      <c r="A6885" s="3" t="s">
        <v>298</v>
      </c>
      <c r="B6885" s="3" t="s">
        <v>795</v>
      </c>
      <c r="C6885" s="3" t="s">
        <v>816</v>
      </c>
    </row>
    <row r="6886">
      <c r="A6886" s="3" t="s">
        <v>298</v>
      </c>
      <c r="B6886" s="3" t="s">
        <v>795</v>
      </c>
      <c r="C6886" s="3" t="s">
        <v>816</v>
      </c>
    </row>
    <row r="6887">
      <c r="A6887" s="3" t="s">
        <v>298</v>
      </c>
      <c r="B6887" s="3" t="s">
        <v>795</v>
      </c>
      <c r="C6887" s="3" t="s">
        <v>816</v>
      </c>
    </row>
    <row r="6888">
      <c r="A6888" s="3" t="s">
        <v>298</v>
      </c>
      <c r="B6888" s="3" t="s">
        <v>802</v>
      </c>
      <c r="C6888" s="3" t="s">
        <v>808</v>
      </c>
    </row>
    <row r="6889">
      <c r="A6889" s="3" t="s">
        <v>298</v>
      </c>
      <c r="B6889" s="3" t="s">
        <v>304</v>
      </c>
      <c r="C6889" s="3" t="s">
        <v>800</v>
      </c>
    </row>
    <row r="6890">
      <c r="A6890" s="3" t="s">
        <v>298</v>
      </c>
      <c r="B6890" s="3" t="s">
        <v>798</v>
      </c>
      <c r="C6890" s="3" t="s">
        <v>799</v>
      </c>
    </row>
    <row r="6891">
      <c r="A6891" s="3" t="s">
        <v>298</v>
      </c>
      <c r="B6891" s="3" t="s">
        <v>795</v>
      </c>
      <c r="C6891" s="3" t="s">
        <v>797</v>
      </c>
    </row>
    <row r="6892">
      <c r="A6892" s="3" t="s">
        <v>298</v>
      </c>
      <c r="B6892" s="3" t="s">
        <v>798</v>
      </c>
      <c r="C6892" s="3" t="s">
        <v>817</v>
      </c>
    </row>
    <row r="6893">
      <c r="A6893" s="3" t="s">
        <v>298</v>
      </c>
      <c r="B6893" s="3" t="s">
        <v>795</v>
      </c>
      <c r="C6893" s="3" t="s">
        <v>816</v>
      </c>
    </row>
    <row r="6894">
      <c r="A6894" s="3" t="s">
        <v>298</v>
      </c>
      <c r="B6894" s="3" t="s">
        <v>795</v>
      </c>
      <c r="C6894" s="3" t="s">
        <v>797</v>
      </c>
    </row>
    <row r="6895">
      <c r="A6895" s="3" t="s">
        <v>298</v>
      </c>
      <c r="B6895" s="3" t="s">
        <v>795</v>
      </c>
      <c r="C6895" s="3" t="s">
        <v>816</v>
      </c>
    </row>
    <row r="6896">
      <c r="A6896" s="3" t="s">
        <v>298</v>
      </c>
      <c r="B6896" s="3" t="s">
        <v>798</v>
      </c>
      <c r="C6896" s="3" t="s">
        <v>817</v>
      </c>
    </row>
    <row r="6897">
      <c r="A6897" s="3" t="s">
        <v>298</v>
      </c>
      <c r="B6897" s="3" t="s">
        <v>798</v>
      </c>
      <c r="C6897" s="3" t="s">
        <v>817</v>
      </c>
    </row>
    <row r="6898">
      <c r="A6898" s="3" t="s">
        <v>298</v>
      </c>
      <c r="B6898" s="3" t="s">
        <v>798</v>
      </c>
      <c r="C6898" s="3" t="s">
        <v>817</v>
      </c>
    </row>
    <row r="6899">
      <c r="A6899" s="3" t="s">
        <v>298</v>
      </c>
      <c r="B6899" s="3" t="s">
        <v>795</v>
      </c>
      <c r="C6899" s="3" t="s">
        <v>816</v>
      </c>
    </row>
    <row r="6900">
      <c r="A6900" s="3" t="s">
        <v>298</v>
      </c>
      <c r="B6900" s="3" t="s">
        <v>795</v>
      </c>
      <c r="C6900" s="3" t="s">
        <v>797</v>
      </c>
    </row>
    <row r="6901">
      <c r="A6901" s="3" t="s">
        <v>298</v>
      </c>
      <c r="B6901" s="3" t="s">
        <v>798</v>
      </c>
      <c r="C6901" s="3" t="s">
        <v>817</v>
      </c>
    </row>
    <row r="6902">
      <c r="A6902" s="3" t="s">
        <v>298</v>
      </c>
      <c r="B6902" s="3" t="s">
        <v>798</v>
      </c>
      <c r="C6902" s="3" t="s">
        <v>817</v>
      </c>
    </row>
    <row r="6903">
      <c r="A6903" s="3" t="s">
        <v>298</v>
      </c>
      <c r="B6903" s="3" t="s">
        <v>795</v>
      </c>
      <c r="C6903" s="3" t="s">
        <v>816</v>
      </c>
    </row>
    <row r="6904">
      <c r="A6904" s="3" t="s">
        <v>298</v>
      </c>
      <c r="B6904" s="3" t="s">
        <v>802</v>
      </c>
      <c r="C6904" s="3" t="s">
        <v>815</v>
      </c>
    </row>
    <row r="6905">
      <c r="A6905" s="3" t="s">
        <v>298</v>
      </c>
      <c r="B6905" s="3" t="s">
        <v>795</v>
      </c>
      <c r="C6905" s="3" t="s">
        <v>816</v>
      </c>
    </row>
    <row r="6906">
      <c r="A6906" s="3" t="s">
        <v>298</v>
      </c>
      <c r="B6906" s="3" t="s">
        <v>795</v>
      </c>
      <c r="C6906" s="3" t="s">
        <v>797</v>
      </c>
    </row>
    <row r="6907">
      <c r="A6907" s="3" t="s">
        <v>298</v>
      </c>
      <c r="B6907" s="3" t="s">
        <v>795</v>
      </c>
      <c r="C6907" s="3" t="s">
        <v>797</v>
      </c>
    </row>
    <row r="6908">
      <c r="A6908" s="3" t="s">
        <v>298</v>
      </c>
      <c r="B6908" s="3" t="s">
        <v>795</v>
      </c>
      <c r="C6908" s="3" t="s">
        <v>816</v>
      </c>
    </row>
    <row r="6909">
      <c r="A6909" s="3" t="s">
        <v>298</v>
      </c>
      <c r="B6909" s="3" t="s">
        <v>795</v>
      </c>
      <c r="C6909" s="3" t="s">
        <v>796</v>
      </c>
    </row>
    <row r="6910">
      <c r="A6910" s="3" t="s">
        <v>298</v>
      </c>
      <c r="B6910" s="3" t="s">
        <v>795</v>
      </c>
      <c r="C6910" s="3" t="s">
        <v>816</v>
      </c>
    </row>
    <row r="6911">
      <c r="A6911" s="3" t="s">
        <v>298</v>
      </c>
      <c r="B6911" s="3" t="s">
        <v>798</v>
      </c>
      <c r="C6911" s="3" t="s">
        <v>799</v>
      </c>
    </row>
    <row r="6912">
      <c r="A6912" s="3" t="s">
        <v>298</v>
      </c>
      <c r="B6912" s="3" t="s">
        <v>795</v>
      </c>
      <c r="C6912" s="3" t="s">
        <v>811</v>
      </c>
    </row>
    <row r="6913">
      <c r="A6913" s="3" t="s">
        <v>298</v>
      </c>
      <c r="B6913" s="3" t="s">
        <v>795</v>
      </c>
      <c r="C6913" s="3" t="s">
        <v>797</v>
      </c>
    </row>
    <row r="6914">
      <c r="A6914" s="3" t="s">
        <v>298</v>
      </c>
      <c r="B6914" s="3" t="s">
        <v>795</v>
      </c>
      <c r="C6914" s="3" t="s">
        <v>816</v>
      </c>
    </row>
    <row r="6915">
      <c r="A6915" s="3" t="s">
        <v>298</v>
      </c>
      <c r="B6915" s="3" t="s">
        <v>795</v>
      </c>
      <c r="C6915" s="3" t="s">
        <v>816</v>
      </c>
    </row>
    <row r="6916">
      <c r="A6916" s="3" t="s">
        <v>298</v>
      </c>
      <c r="B6916" s="3" t="s">
        <v>795</v>
      </c>
      <c r="C6916" s="3" t="s">
        <v>816</v>
      </c>
    </row>
    <row r="6917">
      <c r="A6917" s="3" t="s">
        <v>298</v>
      </c>
      <c r="B6917" s="3" t="s">
        <v>802</v>
      </c>
      <c r="C6917" s="3" t="s">
        <v>806</v>
      </c>
    </row>
    <row r="6918">
      <c r="A6918" s="3" t="s">
        <v>298</v>
      </c>
      <c r="B6918" s="3" t="s">
        <v>798</v>
      </c>
      <c r="C6918" s="3" t="s">
        <v>817</v>
      </c>
    </row>
    <row r="6919">
      <c r="A6919" s="3" t="s">
        <v>298</v>
      </c>
      <c r="B6919" s="3" t="s">
        <v>798</v>
      </c>
      <c r="C6919" s="3" t="s">
        <v>817</v>
      </c>
    </row>
    <row r="6920">
      <c r="A6920" s="3" t="s">
        <v>298</v>
      </c>
      <c r="B6920" s="3" t="s">
        <v>795</v>
      </c>
      <c r="C6920" s="3" t="s">
        <v>797</v>
      </c>
    </row>
    <row r="6921">
      <c r="A6921" s="3" t="s">
        <v>298</v>
      </c>
      <c r="B6921" s="3" t="s">
        <v>795</v>
      </c>
      <c r="C6921" s="3" t="s">
        <v>797</v>
      </c>
    </row>
    <row r="6922">
      <c r="A6922" s="3" t="s">
        <v>298</v>
      </c>
      <c r="B6922" s="3" t="s">
        <v>795</v>
      </c>
      <c r="C6922" s="3" t="s">
        <v>797</v>
      </c>
    </row>
    <row r="6923">
      <c r="A6923" s="3" t="s">
        <v>298</v>
      </c>
      <c r="B6923" s="3" t="s">
        <v>795</v>
      </c>
      <c r="C6923" s="3" t="s">
        <v>796</v>
      </c>
    </row>
    <row r="6924">
      <c r="A6924" s="3" t="s">
        <v>298</v>
      </c>
      <c r="B6924" s="3" t="s">
        <v>795</v>
      </c>
      <c r="C6924" s="3" t="s">
        <v>796</v>
      </c>
    </row>
    <row r="6925">
      <c r="A6925" s="3" t="s">
        <v>298</v>
      </c>
      <c r="B6925" s="3" t="s">
        <v>304</v>
      </c>
      <c r="C6925" s="3" t="s">
        <v>800</v>
      </c>
    </row>
    <row r="6926">
      <c r="A6926" s="3" t="s">
        <v>298</v>
      </c>
      <c r="B6926" s="3" t="s">
        <v>304</v>
      </c>
      <c r="C6926" s="3" t="s">
        <v>801</v>
      </c>
    </row>
    <row r="6927">
      <c r="A6927" s="3" t="s">
        <v>298</v>
      </c>
      <c r="B6927" s="3" t="s">
        <v>795</v>
      </c>
      <c r="C6927" s="3" t="s">
        <v>807</v>
      </c>
    </row>
    <row r="6928">
      <c r="A6928" s="3" t="s">
        <v>298</v>
      </c>
      <c r="B6928" s="3" t="s">
        <v>304</v>
      </c>
      <c r="C6928" s="3" t="s">
        <v>809</v>
      </c>
    </row>
    <row r="6929">
      <c r="A6929" s="3" t="s">
        <v>298</v>
      </c>
      <c r="B6929" s="3" t="s">
        <v>795</v>
      </c>
      <c r="C6929" s="3" t="s">
        <v>796</v>
      </c>
    </row>
    <row r="6930">
      <c r="A6930" s="3" t="s">
        <v>298</v>
      </c>
      <c r="B6930" s="3" t="s">
        <v>795</v>
      </c>
      <c r="C6930" s="3" t="s">
        <v>816</v>
      </c>
    </row>
    <row r="6931">
      <c r="A6931" s="3" t="s">
        <v>298</v>
      </c>
      <c r="B6931" s="3" t="s">
        <v>798</v>
      </c>
      <c r="C6931" s="3" t="s">
        <v>799</v>
      </c>
    </row>
    <row r="6932">
      <c r="A6932" s="3" t="s">
        <v>298</v>
      </c>
      <c r="B6932" s="3" t="s">
        <v>795</v>
      </c>
      <c r="C6932" s="3" t="s">
        <v>807</v>
      </c>
    </row>
    <row r="6933">
      <c r="A6933" s="3" t="s">
        <v>298</v>
      </c>
      <c r="B6933" s="3" t="s">
        <v>795</v>
      </c>
      <c r="C6933" s="3" t="s">
        <v>807</v>
      </c>
    </row>
    <row r="6934">
      <c r="A6934" s="3" t="s">
        <v>298</v>
      </c>
      <c r="B6934" s="3" t="s">
        <v>304</v>
      </c>
      <c r="C6934" s="3" t="s">
        <v>801</v>
      </c>
    </row>
    <row r="6935">
      <c r="A6935" s="3" t="s">
        <v>298</v>
      </c>
      <c r="B6935" s="3" t="s">
        <v>795</v>
      </c>
      <c r="C6935" s="3" t="s">
        <v>797</v>
      </c>
    </row>
    <row r="6936">
      <c r="A6936" s="3" t="s">
        <v>298</v>
      </c>
      <c r="B6936" s="3" t="s">
        <v>795</v>
      </c>
      <c r="C6936" s="3" t="s">
        <v>797</v>
      </c>
    </row>
    <row r="6937">
      <c r="A6937" s="3" t="s">
        <v>298</v>
      </c>
      <c r="B6937" s="3" t="s">
        <v>795</v>
      </c>
      <c r="C6937" s="3" t="s">
        <v>796</v>
      </c>
    </row>
    <row r="6938">
      <c r="A6938" s="3" t="s">
        <v>298</v>
      </c>
      <c r="B6938" s="3" t="s">
        <v>795</v>
      </c>
      <c r="C6938" s="3" t="s">
        <v>797</v>
      </c>
    </row>
    <row r="6939">
      <c r="A6939" s="3" t="s">
        <v>298</v>
      </c>
      <c r="B6939" s="3" t="s">
        <v>795</v>
      </c>
      <c r="C6939" s="3" t="s">
        <v>797</v>
      </c>
    </row>
    <row r="6940">
      <c r="A6940" s="3" t="s">
        <v>298</v>
      </c>
      <c r="B6940" s="3" t="s">
        <v>798</v>
      </c>
      <c r="C6940" s="3" t="s">
        <v>817</v>
      </c>
    </row>
    <row r="6941">
      <c r="A6941" s="3" t="s">
        <v>298</v>
      </c>
      <c r="B6941" s="3" t="s">
        <v>798</v>
      </c>
      <c r="C6941" s="3" t="s">
        <v>817</v>
      </c>
    </row>
    <row r="6942">
      <c r="A6942" s="3" t="s">
        <v>298</v>
      </c>
      <c r="B6942" s="3" t="s">
        <v>795</v>
      </c>
      <c r="C6942" s="3" t="s">
        <v>816</v>
      </c>
    </row>
    <row r="6943">
      <c r="A6943" s="3" t="s">
        <v>298</v>
      </c>
      <c r="B6943" s="3" t="s">
        <v>802</v>
      </c>
      <c r="C6943" s="3" t="s">
        <v>808</v>
      </c>
    </row>
    <row r="6944">
      <c r="A6944" s="3" t="s">
        <v>298</v>
      </c>
      <c r="B6944" s="3" t="s">
        <v>798</v>
      </c>
      <c r="C6944" s="3" t="s">
        <v>799</v>
      </c>
    </row>
    <row r="6945">
      <c r="A6945" s="3" t="s">
        <v>298</v>
      </c>
      <c r="B6945" s="3" t="s">
        <v>795</v>
      </c>
      <c r="C6945" s="3" t="s">
        <v>796</v>
      </c>
    </row>
    <row r="6946">
      <c r="A6946" s="3" t="s">
        <v>298</v>
      </c>
      <c r="B6946" s="3" t="s">
        <v>795</v>
      </c>
      <c r="C6946" s="3" t="s">
        <v>796</v>
      </c>
    </row>
    <row r="6947">
      <c r="A6947" s="3" t="s">
        <v>298</v>
      </c>
      <c r="B6947" s="3" t="s">
        <v>795</v>
      </c>
      <c r="C6947" s="3" t="s">
        <v>796</v>
      </c>
    </row>
    <row r="6948">
      <c r="A6948" s="3" t="s">
        <v>298</v>
      </c>
      <c r="B6948" s="3" t="s">
        <v>795</v>
      </c>
      <c r="C6948" s="3" t="s">
        <v>796</v>
      </c>
    </row>
    <row r="6949">
      <c r="A6949" s="3" t="s">
        <v>298</v>
      </c>
      <c r="B6949" s="3" t="s">
        <v>795</v>
      </c>
      <c r="C6949" s="3" t="s">
        <v>796</v>
      </c>
    </row>
    <row r="6950">
      <c r="A6950" s="3" t="s">
        <v>298</v>
      </c>
      <c r="B6950" s="3" t="s">
        <v>795</v>
      </c>
      <c r="C6950" s="3" t="s">
        <v>796</v>
      </c>
    </row>
    <row r="6951">
      <c r="A6951" s="3" t="s">
        <v>298</v>
      </c>
      <c r="B6951" s="3" t="s">
        <v>795</v>
      </c>
      <c r="C6951" s="3" t="s">
        <v>796</v>
      </c>
    </row>
    <row r="6952">
      <c r="A6952" s="3" t="s">
        <v>298</v>
      </c>
      <c r="B6952" s="3" t="s">
        <v>795</v>
      </c>
      <c r="C6952" s="3" t="s">
        <v>796</v>
      </c>
    </row>
    <row r="6953">
      <c r="A6953" s="3" t="s">
        <v>298</v>
      </c>
      <c r="B6953" s="3" t="s">
        <v>795</v>
      </c>
      <c r="C6953" s="3" t="s">
        <v>796</v>
      </c>
    </row>
    <row r="6954">
      <c r="A6954" s="3" t="s">
        <v>298</v>
      </c>
      <c r="B6954" s="3" t="s">
        <v>795</v>
      </c>
      <c r="C6954" s="3" t="s">
        <v>796</v>
      </c>
    </row>
    <row r="6955">
      <c r="A6955" s="3" t="s">
        <v>298</v>
      </c>
      <c r="B6955" s="3" t="s">
        <v>795</v>
      </c>
      <c r="C6955" s="3" t="s">
        <v>797</v>
      </c>
    </row>
    <row r="6956">
      <c r="A6956" s="3" t="s">
        <v>298</v>
      </c>
      <c r="B6956" s="3" t="s">
        <v>795</v>
      </c>
      <c r="C6956" s="3" t="s">
        <v>807</v>
      </c>
    </row>
    <row r="6957">
      <c r="A6957" s="3" t="s">
        <v>298</v>
      </c>
      <c r="B6957" s="3" t="s">
        <v>798</v>
      </c>
      <c r="C6957" s="3" t="s">
        <v>817</v>
      </c>
    </row>
    <row r="6958">
      <c r="A6958" s="3" t="s">
        <v>298</v>
      </c>
      <c r="B6958" s="3" t="s">
        <v>798</v>
      </c>
      <c r="C6958" s="3" t="s">
        <v>817</v>
      </c>
    </row>
    <row r="6959">
      <c r="A6959" s="3" t="s">
        <v>298</v>
      </c>
      <c r="B6959" s="3" t="s">
        <v>795</v>
      </c>
      <c r="C6959" s="3" t="s">
        <v>816</v>
      </c>
    </row>
    <row r="6960">
      <c r="A6960" s="3" t="s">
        <v>298</v>
      </c>
      <c r="B6960" s="3" t="s">
        <v>795</v>
      </c>
      <c r="C6960" s="3" t="s">
        <v>816</v>
      </c>
    </row>
    <row r="6961">
      <c r="A6961" s="3" t="s">
        <v>298</v>
      </c>
      <c r="B6961" s="3" t="s">
        <v>795</v>
      </c>
      <c r="C6961" s="3" t="s">
        <v>797</v>
      </c>
    </row>
    <row r="6962">
      <c r="A6962" s="3" t="s">
        <v>298</v>
      </c>
      <c r="B6962" s="3" t="s">
        <v>795</v>
      </c>
      <c r="C6962" s="3" t="s">
        <v>816</v>
      </c>
    </row>
    <row r="6963">
      <c r="A6963" s="3" t="s">
        <v>298</v>
      </c>
      <c r="B6963" s="3" t="s">
        <v>795</v>
      </c>
      <c r="C6963" s="3" t="s">
        <v>796</v>
      </c>
    </row>
    <row r="6964">
      <c r="A6964" s="3" t="s">
        <v>298</v>
      </c>
      <c r="B6964" s="3" t="s">
        <v>795</v>
      </c>
      <c r="C6964" s="3" t="s">
        <v>797</v>
      </c>
    </row>
    <row r="6965">
      <c r="A6965" s="3" t="s">
        <v>298</v>
      </c>
      <c r="B6965" s="3" t="s">
        <v>795</v>
      </c>
      <c r="C6965" s="3" t="s">
        <v>797</v>
      </c>
    </row>
    <row r="6966">
      <c r="A6966" s="3" t="s">
        <v>298</v>
      </c>
      <c r="B6966" s="3" t="s">
        <v>795</v>
      </c>
      <c r="C6966" s="3" t="s">
        <v>796</v>
      </c>
    </row>
    <row r="6967">
      <c r="A6967" s="3" t="s">
        <v>298</v>
      </c>
      <c r="B6967" s="3" t="s">
        <v>795</v>
      </c>
      <c r="C6967" s="3" t="s">
        <v>796</v>
      </c>
    </row>
    <row r="6968">
      <c r="A6968" s="3" t="s">
        <v>298</v>
      </c>
      <c r="B6968" s="3" t="s">
        <v>795</v>
      </c>
      <c r="C6968" s="3" t="s">
        <v>796</v>
      </c>
    </row>
    <row r="6969">
      <c r="A6969" s="3" t="s">
        <v>298</v>
      </c>
      <c r="B6969" s="3" t="s">
        <v>795</v>
      </c>
      <c r="C6969" s="3" t="s">
        <v>816</v>
      </c>
    </row>
    <row r="6970">
      <c r="A6970" s="3" t="s">
        <v>298</v>
      </c>
      <c r="B6970" s="3" t="s">
        <v>795</v>
      </c>
      <c r="C6970" s="3" t="s">
        <v>816</v>
      </c>
    </row>
    <row r="6971">
      <c r="A6971" s="3" t="s">
        <v>323</v>
      </c>
      <c r="B6971" s="3" t="s">
        <v>324</v>
      </c>
      <c r="C6971" s="3" t="s">
        <v>818</v>
      </c>
    </row>
    <row r="6972">
      <c r="A6972" s="3" t="s">
        <v>323</v>
      </c>
      <c r="B6972" s="3" t="s">
        <v>324</v>
      </c>
      <c r="C6972" s="3" t="s">
        <v>568</v>
      </c>
    </row>
    <row r="6973">
      <c r="A6973" s="3" t="s">
        <v>323</v>
      </c>
      <c r="B6973" s="3" t="s">
        <v>819</v>
      </c>
      <c r="C6973" s="3" t="s">
        <v>766</v>
      </c>
    </row>
    <row r="6974">
      <c r="A6974" s="3" t="s">
        <v>323</v>
      </c>
      <c r="B6974" s="3" t="s">
        <v>324</v>
      </c>
      <c r="C6974" s="3" t="s">
        <v>818</v>
      </c>
    </row>
    <row r="6975">
      <c r="A6975" s="3" t="s">
        <v>323</v>
      </c>
      <c r="B6975" s="3" t="s">
        <v>819</v>
      </c>
      <c r="C6975" s="3" t="s">
        <v>820</v>
      </c>
    </row>
    <row r="6976">
      <c r="A6976" s="3" t="s">
        <v>323</v>
      </c>
      <c r="B6976" s="3" t="s">
        <v>324</v>
      </c>
      <c r="C6976" s="3" t="s">
        <v>568</v>
      </c>
    </row>
    <row r="6977">
      <c r="A6977" s="3" t="s">
        <v>323</v>
      </c>
      <c r="B6977" s="3" t="s">
        <v>324</v>
      </c>
      <c r="C6977" s="3" t="s">
        <v>568</v>
      </c>
    </row>
    <row r="6978">
      <c r="A6978" s="3" t="s">
        <v>323</v>
      </c>
      <c r="B6978" s="3" t="s">
        <v>819</v>
      </c>
      <c r="C6978" s="3" t="s">
        <v>766</v>
      </c>
    </row>
    <row r="6979">
      <c r="A6979" s="3" t="s">
        <v>323</v>
      </c>
      <c r="B6979" s="3" t="s">
        <v>324</v>
      </c>
      <c r="C6979" s="3" t="s">
        <v>818</v>
      </c>
    </row>
    <row r="6980">
      <c r="A6980" s="3" t="s">
        <v>323</v>
      </c>
      <c r="B6980" s="3" t="s">
        <v>324</v>
      </c>
      <c r="C6980" s="3" t="s">
        <v>568</v>
      </c>
    </row>
    <row r="6981">
      <c r="A6981" s="3" t="s">
        <v>323</v>
      </c>
      <c r="B6981" s="3" t="s">
        <v>821</v>
      </c>
      <c r="C6981" s="3" t="s">
        <v>822</v>
      </c>
    </row>
    <row r="6982">
      <c r="A6982" s="3" t="s">
        <v>323</v>
      </c>
      <c r="B6982" s="3" t="s">
        <v>324</v>
      </c>
      <c r="C6982" s="3" t="s">
        <v>818</v>
      </c>
    </row>
    <row r="6983">
      <c r="A6983" s="3" t="s">
        <v>323</v>
      </c>
      <c r="B6983" s="3" t="s">
        <v>821</v>
      </c>
      <c r="C6983" s="3" t="s">
        <v>823</v>
      </c>
    </row>
    <row r="6984">
      <c r="A6984" s="3" t="s">
        <v>323</v>
      </c>
      <c r="B6984" s="3" t="s">
        <v>824</v>
      </c>
      <c r="C6984" s="3" t="s">
        <v>825</v>
      </c>
    </row>
    <row r="6985">
      <c r="A6985" s="3" t="s">
        <v>323</v>
      </c>
      <c r="B6985" s="3" t="s">
        <v>324</v>
      </c>
      <c r="C6985" s="3" t="s">
        <v>818</v>
      </c>
    </row>
    <row r="6986">
      <c r="A6986" s="3" t="s">
        <v>323</v>
      </c>
      <c r="B6986" s="3" t="s">
        <v>824</v>
      </c>
      <c r="C6986" s="3" t="s">
        <v>825</v>
      </c>
    </row>
    <row r="6987">
      <c r="A6987" s="3" t="s">
        <v>323</v>
      </c>
      <c r="B6987" s="3" t="s">
        <v>324</v>
      </c>
      <c r="C6987" s="3" t="s">
        <v>818</v>
      </c>
    </row>
    <row r="6988">
      <c r="A6988" s="3" t="s">
        <v>323</v>
      </c>
      <c r="B6988" s="3" t="s">
        <v>824</v>
      </c>
      <c r="C6988" s="3" t="s">
        <v>825</v>
      </c>
    </row>
    <row r="6989">
      <c r="A6989" s="3" t="s">
        <v>323</v>
      </c>
      <c r="B6989" s="3" t="s">
        <v>824</v>
      </c>
      <c r="C6989" s="3" t="s">
        <v>826</v>
      </c>
    </row>
    <row r="6990">
      <c r="A6990" s="3" t="s">
        <v>323</v>
      </c>
      <c r="B6990" s="3" t="s">
        <v>324</v>
      </c>
      <c r="C6990" s="3" t="s">
        <v>818</v>
      </c>
    </row>
    <row r="6991">
      <c r="A6991" s="3" t="s">
        <v>323</v>
      </c>
      <c r="B6991" s="3" t="s">
        <v>821</v>
      </c>
      <c r="C6991" s="3" t="s">
        <v>827</v>
      </c>
    </row>
    <row r="6992">
      <c r="A6992" s="3" t="s">
        <v>323</v>
      </c>
      <c r="B6992" s="3" t="s">
        <v>324</v>
      </c>
      <c r="C6992" s="3" t="s">
        <v>818</v>
      </c>
    </row>
    <row r="6993">
      <c r="A6993" s="3" t="s">
        <v>323</v>
      </c>
      <c r="B6993" s="3" t="s">
        <v>824</v>
      </c>
      <c r="C6993" s="3" t="s">
        <v>828</v>
      </c>
    </row>
    <row r="6994">
      <c r="A6994" s="3" t="s">
        <v>323</v>
      </c>
      <c r="B6994" s="3" t="s">
        <v>824</v>
      </c>
      <c r="C6994" s="3" t="s">
        <v>829</v>
      </c>
    </row>
    <row r="6995">
      <c r="A6995" s="3" t="s">
        <v>323</v>
      </c>
      <c r="B6995" s="3" t="s">
        <v>324</v>
      </c>
      <c r="C6995" s="3" t="s">
        <v>818</v>
      </c>
    </row>
    <row r="6996">
      <c r="A6996" s="3" t="s">
        <v>323</v>
      </c>
      <c r="B6996" s="3" t="s">
        <v>324</v>
      </c>
      <c r="C6996" s="3" t="s">
        <v>830</v>
      </c>
    </row>
    <row r="6997">
      <c r="A6997" s="3" t="s">
        <v>323</v>
      </c>
      <c r="B6997" s="3" t="s">
        <v>821</v>
      </c>
      <c r="C6997" s="3" t="s">
        <v>822</v>
      </c>
    </row>
    <row r="6998">
      <c r="A6998" s="3" t="s">
        <v>323</v>
      </c>
      <c r="B6998" s="3" t="s">
        <v>824</v>
      </c>
      <c r="C6998" s="3" t="s">
        <v>828</v>
      </c>
    </row>
    <row r="6999">
      <c r="A6999" s="3" t="s">
        <v>323</v>
      </c>
      <c r="B6999" s="3" t="s">
        <v>819</v>
      </c>
      <c r="C6999" s="3" t="s">
        <v>831</v>
      </c>
    </row>
    <row r="7000">
      <c r="A7000" s="3" t="s">
        <v>323</v>
      </c>
      <c r="B7000" s="3" t="s">
        <v>324</v>
      </c>
      <c r="C7000" s="3" t="s">
        <v>832</v>
      </c>
    </row>
    <row r="7001">
      <c r="A7001" s="3" t="s">
        <v>323</v>
      </c>
      <c r="B7001" s="3" t="s">
        <v>824</v>
      </c>
      <c r="C7001" s="3" t="s">
        <v>829</v>
      </c>
    </row>
    <row r="7002">
      <c r="A7002" s="3" t="s">
        <v>323</v>
      </c>
      <c r="B7002" s="3" t="s">
        <v>324</v>
      </c>
      <c r="C7002" s="3" t="s">
        <v>818</v>
      </c>
    </row>
    <row r="7003">
      <c r="A7003" s="3" t="s">
        <v>323</v>
      </c>
      <c r="B7003" s="3" t="s">
        <v>819</v>
      </c>
      <c r="C7003" s="3" t="s">
        <v>766</v>
      </c>
    </row>
    <row r="7004">
      <c r="A7004" s="3" t="s">
        <v>323</v>
      </c>
      <c r="B7004" s="3" t="s">
        <v>324</v>
      </c>
      <c r="C7004" s="3" t="s">
        <v>818</v>
      </c>
    </row>
    <row r="7005">
      <c r="A7005" s="3" t="s">
        <v>323</v>
      </c>
      <c r="B7005" s="3" t="s">
        <v>324</v>
      </c>
      <c r="C7005" s="3" t="s">
        <v>568</v>
      </c>
    </row>
    <row r="7006">
      <c r="A7006" s="3" t="s">
        <v>323</v>
      </c>
      <c r="B7006" s="3" t="s">
        <v>821</v>
      </c>
      <c r="C7006" s="3" t="s">
        <v>827</v>
      </c>
    </row>
    <row r="7007">
      <c r="A7007" s="3" t="s">
        <v>323</v>
      </c>
      <c r="B7007" s="3" t="s">
        <v>324</v>
      </c>
      <c r="C7007" s="3" t="s">
        <v>818</v>
      </c>
    </row>
    <row r="7008">
      <c r="A7008" s="3" t="s">
        <v>323</v>
      </c>
      <c r="B7008" s="3" t="s">
        <v>324</v>
      </c>
      <c r="C7008" s="3" t="s">
        <v>833</v>
      </c>
    </row>
    <row r="7009">
      <c r="A7009" s="3" t="s">
        <v>323</v>
      </c>
      <c r="B7009" s="3" t="s">
        <v>824</v>
      </c>
      <c r="C7009" s="3" t="s">
        <v>834</v>
      </c>
    </row>
    <row r="7010">
      <c r="A7010" s="3" t="s">
        <v>323</v>
      </c>
      <c r="B7010" s="3" t="s">
        <v>824</v>
      </c>
      <c r="C7010" s="3" t="s">
        <v>835</v>
      </c>
    </row>
    <row r="7011">
      <c r="A7011" s="3" t="s">
        <v>323</v>
      </c>
      <c r="B7011" s="3" t="s">
        <v>324</v>
      </c>
      <c r="C7011" s="3" t="s">
        <v>818</v>
      </c>
    </row>
    <row r="7012">
      <c r="A7012" s="3" t="s">
        <v>323</v>
      </c>
      <c r="B7012" s="3" t="s">
        <v>824</v>
      </c>
      <c r="C7012" s="3" t="s">
        <v>825</v>
      </c>
    </row>
    <row r="7013">
      <c r="A7013" s="3" t="s">
        <v>323</v>
      </c>
      <c r="B7013" s="3" t="s">
        <v>324</v>
      </c>
      <c r="C7013" s="3" t="s">
        <v>818</v>
      </c>
    </row>
    <row r="7014">
      <c r="A7014" s="3" t="s">
        <v>323</v>
      </c>
      <c r="B7014" s="3" t="s">
        <v>824</v>
      </c>
      <c r="C7014" s="3" t="s">
        <v>835</v>
      </c>
    </row>
    <row r="7015">
      <c r="A7015" s="3" t="s">
        <v>323</v>
      </c>
      <c r="B7015" s="3" t="s">
        <v>324</v>
      </c>
      <c r="C7015" s="3" t="s">
        <v>818</v>
      </c>
    </row>
    <row r="7016">
      <c r="A7016" s="3" t="s">
        <v>323</v>
      </c>
      <c r="B7016" s="3" t="s">
        <v>824</v>
      </c>
      <c r="C7016" s="3" t="s">
        <v>826</v>
      </c>
    </row>
    <row r="7017">
      <c r="A7017" s="3" t="s">
        <v>323</v>
      </c>
      <c r="B7017" s="3" t="s">
        <v>324</v>
      </c>
      <c r="C7017" s="3" t="s">
        <v>818</v>
      </c>
    </row>
    <row r="7018">
      <c r="A7018" s="3" t="s">
        <v>323</v>
      </c>
      <c r="B7018" s="3" t="s">
        <v>824</v>
      </c>
      <c r="C7018" s="3" t="s">
        <v>835</v>
      </c>
    </row>
    <row r="7019">
      <c r="A7019" s="3" t="s">
        <v>323</v>
      </c>
      <c r="B7019" s="3" t="s">
        <v>324</v>
      </c>
      <c r="C7019" s="3" t="s">
        <v>818</v>
      </c>
    </row>
    <row r="7020">
      <c r="A7020" s="3" t="s">
        <v>323</v>
      </c>
      <c r="B7020" s="3" t="s">
        <v>824</v>
      </c>
      <c r="C7020" s="3" t="s">
        <v>836</v>
      </c>
    </row>
    <row r="7021">
      <c r="A7021" s="3" t="s">
        <v>323</v>
      </c>
      <c r="B7021" s="3" t="s">
        <v>324</v>
      </c>
      <c r="C7021" s="3" t="s">
        <v>818</v>
      </c>
    </row>
    <row r="7022">
      <c r="A7022" s="3" t="s">
        <v>323</v>
      </c>
      <c r="B7022" s="3" t="s">
        <v>837</v>
      </c>
      <c r="C7022" s="3" t="s">
        <v>838</v>
      </c>
    </row>
    <row r="7023">
      <c r="A7023" s="3" t="s">
        <v>323</v>
      </c>
      <c r="B7023" s="3" t="s">
        <v>324</v>
      </c>
      <c r="C7023" s="3" t="s">
        <v>818</v>
      </c>
    </row>
    <row r="7024">
      <c r="A7024" s="3" t="s">
        <v>323</v>
      </c>
      <c r="B7024" s="3" t="s">
        <v>324</v>
      </c>
      <c r="C7024" s="3" t="s">
        <v>839</v>
      </c>
    </row>
    <row r="7025">
      <c r="A7025" s="3" t="s">
        <v>323</v>
      </c>
      <c r="B7025" s="3" t="s">
        <v>824</v>
      </c>
      <c r="C7025" s="3" t="s">
        <v>840</v>
      </c>
    </row>
    <row r="7026">
      <c r="A7026" s="3" t="s">
        <v>323</v>
      </c>
      <c r="B7026" s="3" t="s">
        <v>324</v>
      </c>
      <c r="C7026" s="3" t="s">
        <v>818</v>
      </c>
    </row>
    <row r="7027">
      <c r="A7027" s="3" t="s">
        <v>323</v>
      </c>
      <c r="B7027" s="3" t="s">
        <v>824</v>
      </c>
      <c r="C7027" s="3" t="s">
        <v>841</v>
      </c>
    </row>
    <row r="7028">
      <c r="A7028" s="3" t="s">
        <v>323</v>
      </c>
      <c r="B7028" s="3" t="s">
        <v>819</v>
      </c>
      <c r="C7028" s="3" t="s">
        <v>831</v>
      </c>
    </row>
    <row r="7029">
      <c r="A7029" s="3" t="s">
        <v>323</v>
      </c>
      <c r="B7029" s="3" t="s">
        <v>324</v>
      </c>
      <c r="C7029" s="3" t="s">
        <v>818</v>
      </c>
    </row>
    <row r="7030">
      <c r="A7030" s="3" t="s">
        <v>323</v>
      </c>
      <c r="B7030" s="3" t="s">
        <v>824</v>
      </c>
      <c r="C7030" s="3" t="s">
        <v>834</v>
      </c>
    </row>
    <row r="7031">
      <c r="A7031" s="3" t="s">
        <v>323</v>
      </c>
      <c r="B7031" s="3" t="s">
        <v>324</v>
      </c>
      <c r="C7031" s="3" t="s">
        <v>818</v>
      </c>
    </row>
    <row r="7032">
      <c r="A7032" s="3" t="s">
        <v>323</v>
      </c>
      <c r="B7032" s="3" t="s">
        <v>324</v>
      </c>
      <c r="C7032" s="3" t="s">
        <v>830</v>
      </c>
    </row>
    <row r="7033">
      <c r="A7033" s="3" t="s">
        <v>323</v>
      </c>
      <c r="B7033" s="3" t="s">
        <v>821</v>
      </c>
      <c r="C7033" s="3" t="s">
        <v>822</v>
      </c>
    </row>
    <row r="7034">
      <c r="A7034" s="3" t="s">
        <v>323</v>
      </c>
      <c r="B7034" s="3" t="s">
        <v>824</v>
      </c>
      <c r="C7034" s="3" t="s">
        <v>828</v>
      </c>
    </row>
    <row r="7035">
      <c r="A7035" s="3" t="s">
        <v>323</v>
      </c>
      <c r="B7035" s="3" t="s">
        <v>819</v>
      </c>
      <c r="C7035" s="3" t="s">
        <v>831</v>
      </c>
    </row>
    <row r="7036">
      <c r="A7036" s="3" t="s">
        <v>323</v>
      </c>
      <c r="B7036" s="3" t="s">
        <v>324</v>
      </c>
      <c r="C7036" s="3" t="s">
        <v>839</v>
      </c>
    </row>
    <row r="7037">
      <c r="A7037" s="3" t="s">
        <v>323</v>
      </c>
      <c r="B7037" s="3" t="s">
        <v>324</v>
      </c>
      <c r="C7037" s="3" t="s">
        <v>842</v>
      </c>
    </row>
    <row r="7038">
      <c r="A7038" s="3" t="s">
        <v>323</v>
      </c>
      <c r="B7038" s="3" t="s">
        <v>324</v>
      </c>
      <c r="C7038" s="3" t="s">
        <v>568</v>
      </c>
    </row>
    <row r="7039">
      <c r="A7039" s="3" t="s">
        <v>323</v>
      </c>
      <c r="B7039" s="3" t="s">
        <v>324</v>
      </c>
      <c r="C7039" s="3" t="s">
        <v>839</v>
      </c>
    </row>
    <row r="7040">
      <c r="A7040" s="3" t="s">
        <v>323</v>
      </c>
      <c r="B7040" s="3" t="s">
        <v>824</v>
      </c>
      <c r="C7040" s="3" t="s">
        <v>829</v>
      </c>
    </row>
    <row r="7041">
      <c r="A7041" s="3" t="s">
        <v>323</v>
      </c>
      <c r="B7041" s="3" t="s">
        <v>324</v>
      </c>
      <c r="C7041" s="3" t="s">
        <v>818</v>
      </c>
    </row>
    <row r="7042">
      <c r="A7042" s="3" t="s">
        <v>323</v>
      </c>
      <c r="B7042" s="3" t="s">
        <v>819</v>
      </c>
      <c r="C7042" s="3" t="s">
        <v>820</v>
      </c>
    </row>
    <row r="7043">
      <c r="A7043" s="3" t="s">
        <v>323</v>
      </c>
      <c r="B7043" s="3" t="s">
        <v>324</v>
      </c>
      <c r="C7043" s="3" t="s">
        <v>818</v>
      </c>
    </row>
    <row r="7044">
      <c r="A7044" s="3" t="s">
        <v>323</v>
      </c>
      <c r="B7044" s="3" t="s">
        <v>324</v>
      </c>
      <c r="C7044" s="3" t="s">
        <v>839</v>
      </c>
    </row>
    <row r="7045">
      <c r="A7045" s="3" t="s">
        <v>323</v>
      </c>
      <c r="B7045" s="3" t="s">
        <v>324</v>
      </c>
      <c r="C7045" s="3" t="s">
        <v>842</v>
      </c>
    </row>
    <row r="7046">
      <c r="A7046" s="3" t="s">
        <v>323</v>
      </c>
      <c r="B7046" s="3" t="s">
        <v>324</v>
      </c>
      <c r="C7046" s="3" t="s">
        <v>568</v>
      </c>
    </row>
    <row r="7047">
      <c r="A7047" s="3" t="s">
        <v>323</v>
      </c>
      <c r="B7047" s="3" t="s">
        <v>324</v>
      </c>
      <c r="C7047" s="3" t="s">
        <v>833</v>
      </c>
    </row>
    <row r="7048">
      <c r="A7048" s="3" t="s">
        <v>323</v>
      </c>
      <c r="B7048" s="3" t="s">
        <v>324</v>
      </c>
      <c r="C7048" s="3" t="s">
        <v>833</v>
      </c>
    </row>
    <row r="7049">
      <c r="A7049" s="3" t="s">
        <v>323</v>
      </c>
      <c r="B7049" s="3" t="s">
        <v>324</v>
      </c>
      <c r="C7049" s="3" t="s">
        <v>839</v>
      </c>
    </row>
    <row r="7050">
      <c r="A7050" s="3" t="s">
        <v>323</v>
      </c>
      <c r="B7050" s="3" t="s">
        <v>324</v>
      </c>
      <c r="C7050" s="3" t="s">
        <v>568</v>
      </c>
    </row>
    <row r="7051">
      <c r="A7051" s="3" t="s">
        <v>323</v>
      </c>
      <c r="B7051" s="3" t="s">
        <v>324</v>
      </c>
      <c r="C7051" s="3" t="s">
        <v>818</v>
      </c>
    </row>
    <row r="7052">
      <c r="A7052" s="3" t="s">
        <v>323</v>
      </c>
      <c r="B7052" s="3" t="s">
        <v>324</v>
      </c>
      <c r="C7052" s="3" t="s">
        <v>818</v>
      </c>
    </row>
    <row r="7053">
      <c r="A7053" s="3" t="s">
        <v>323</v>
      </c>
      <c r="B7053" s="3" t="s">
        <v>324</v>
      </c>
      <c r="C7053" s="3" t="s">
        <v>818</v>
      </c>
    </row>
    <row r="7054">
      <c r="A7054" s="3" t="s">
        <v>323</v>
      </c>
      <c r="B7054" s="3" t="s">
        <v>324</v>
      </c>
      <c r="C7054" s="3" t="s">
        <v>818</v>
      </c>
    </row>
    <row r="7055">
      <c r="A7055" s="3" t="s">
        <v>323</v>
      </c>
      <c r="B7055" s="3" t="s">
        <v>824</v>
      </c>
      <c r="C7055" s="3" t="s">
        <v>840</v>
      </c>
    </row>
    <row r="7056">
      <c r="A7056" s="3" t="s">
        <v>323</v>
      </c>
      <c r="B7056" s="3" t="s">
        <v>324</v>
      </c>
      <c r="C7056" s="3" t="s">
        <v>818</v>
      </c>
    </row>
    <row r="7057">
      <c r="A7057" s="3" t="s">
        <v>323</v>
      </c>
      <c r="B7057" s="3" t="s">
        <v>324</v>
      </c>
      <c r="C7057" s="3" t="s">
        <v>568</v>
      </c>
    </row>
    <row r="7058">
      <c r="A7058" s="3" t="s">
        <v>323</v>
      </c>
      <c r="B7058" s="3" t="s">
        <v>824</v>
      </c>
      <c r="C7058" s="3" t="s">
        <v>825</v>
      </c>
    </row>
    <row r="7059">
      <c r="A7059" s="3" t="s">
        <v>323</v>
      </c>
      <c r="B7059" s="3" t="s">
        <v>324</v>
      </c>
      <c r="C7059" s="3" t="s">
        <v>833</v>
      </c>
    </row>
    <row r="7060">
      <c r="A7060" s="3" t="s">
        <v>323</v>
      </c>
      <c r="B7060" s="3" t="s">
        <v>824</v>
      </c>
      <c r="C7060" s="3" t="s">
        <v>826</v>
      </c>
    </row>
    <row r="7061">
      <c r="A7061" s="3" t="s">
        <v>323</v>
      </c>
      <c r="B7061" s="3" t="s">
        <v>324</v>
      </c>
      <c r="C7061" s="3" t="s">
        <v>818</v>
      </c>
    </row>
    <row r="7062">
      <c r="A7062" s="3" t="s">
        <v>323</v>
      </c>
      <c r="B7062" s="3" t="s">
        <v>324</v>
      </c>
      <c r="C7062" s="3" t="s">
        <v>833</v>
      </c>
    </row>
    <row r="7063">
      <c r="A7063" s="3" t="s">
        <v>323</v>
      </c>
      <c r="B7063" s="3" t="s">
        <v>824</v>
      </c>
      <c r="C7063" s="3" t="s">
        <v>841</v>
      </c>
    </row>
    <row r="7064">
      <c r="A7064" s="3" t="s">
        <v>323</v>
      </c>
      <c r="B7064" s="3" t="s">
        <v>819</v>
      </c>
      <c r="C7064" s="3" t="s">
        <v>831</v>
      </c>
    </row>
    <row r="7065">
      <c r="A7065" s="3" t="s">
        <v>323</v>
      </c>
      <c r="B7065" s="3" t="s">
        <v>324</v>
      </c>
      <c r="C7065" s="3" t="s">
        <v>818</v>
      </c>
    </row>
    <row r="7066">
      <c r="A7066" s="3" t="s">
        <v>323</v>
      </c>
      <c r="B7066" s="3" t="s">
        <v>824</v>
      </c>
      <c r="C7066" s="3" t="s">
        <v>841</v>
      </c>
    </row>
    <row r="7067">
      <c r="A7067" s="3" t="s">
        <v>323</v>
      </c>
      <c r="B7067" s="3" t="s">
        <v>324</v>
      </c>
      <c r="C7067" s="3" t="s">
        <v>818</v>
      </c>
    </row>
    <row r="7068">
      <c r="A7068" s="3" t="s">
        <v>323</v>
      </c>
      <c r="B7068" s="3" t="s">
        <v>824</v>
      </c>
      <c r="C7068" s="3" t="s">
        <v>825</v>
      </c>
    </row>
    <row r="7069">
      <c r="A7069" s="3" t="s">
        <v>323</v>
      </c>
      <c r="B7069" s="3" t="s">
        <v>324</v>
      </c>
      <c r="C7069" s="3" t="s">
        <v>839</v>
      </c>
    </row>
    <row r="7070">
      <c r="A7070" s="3" t="s">
        <v>323</v>
      </c>
      <c r="B7070" s="3" t="s">
        <v>324</v>
      </c>
      <c r="C7070" s="3" t="s">
        <v>818</v>
      </c>
    </row>
    <row r="7071">
      <c r="A7071" s="3" t="s">
        <v>323</v>
      </c>
      <c r="B7071" s="3" t="s">
        <v>324</v>
      </c>
      <c r="C7071" s="3" t="s">
        <v>818</v>
      </c>
    </row>
    <row r="7072">
      <c r="A7072" s="3" t="s">
        <v>323</v>
      </c>
      <c r="B7072" s="3" t="s">
        <v>324</v>
      </c>
      <c r="C7072" s="3" t="s">
        <v>818</v>
      </c>
    </row>
    <row r="7073">
      <c r="A7073" s="3" t="s">
        <v>323</v>
      </c>
      <c r="B7073" s="3" t="s">
        <v>824</v>
      </c>
      <c r="C7073" s="3" t="s">
        <v>840</v>
      </c>
    </row>
    <row r="7074">
      <c r="A7074" s="3" t="s">
        <v>323</v>
      </c>
      <c r="B7074" s="3" t="s">
        <v>324</v>
      </c>
      <c r="C7074" s="3" t="s">
        <v>839</v>
      </c>
    </row>
    <row r="7075">
      <c r="A7075" s="3" t="s">
        <v>323</v>
      </c>
      <c r="B7075" s="3" t="s">
        <v>824</v>
      </c>
      <c r="C7075" s="3" t="s">
        <v>843</v>
      </c>
    </row>
    <row r="7076">
      <c r="A7076" s="3" t="s">
        <v>323</v>
      </c>
      <c r="B7076" s="3" t="s">
        <v>324</v>
      </c>
      <c r="C7076" s="3" t="s">
        <v>818</v>
      </c>
    </row>
    <row r="7077">
      <c r="A7077" s="3" t="s">
        <v>323</v>
      </c>
      <c r="B7077" s="3" t="s">
        <v>324</v>
      </c>
      <c r="C7077" s="3" t="s">
        <v>818</v>
      </c>
    </row>
    <row r="7078">
      <c r="A7078" s="3" t="s">
        <v>323</v>
      </c>
      <c r="B7078" s="3" t="s">
        <v>324</v>
      </c>
      <c r="C7078" s="3" t="s">
        <v>818</v>
      </c>
    </row>
    <row r="7079">
      <c r="A7079" s="3" t="s">
        <v>323</v>
      </c>
      <c r="B7079" s="3" t="s">
        <v>324</v>
      </c>
      <c r="C7079" s="3" t="s">
        <v>818</v>
      </c>
    </row>
    <row r="7080">
      <c r="A7080" s="3" t="s">
        <v>323</v>
      </c>
      <c r="B7080" s="3" t="s">
        <v>824</v>
      </c>
      <c r="C7080" s="3" t="s">
        <v>826</v>
      </c>
    </row>
    <row r="7081">
      <c r="A7081" s="3" t="s">
        <v>323</v>
      </c>
      <c r="B7081" s="3" t="s">
        <v>324</v>
      </c>
      <c r="C7081" s="3" t="s">
        <v>818</v>
      </c>
    </row>
    <row r="7082">
      <c r="A7082" s="3" t="s">
        <v>323</v>
      </c>
      <c r="B7082" s="3" t="s">
        <v>819</v>
      </c>
      <c r="C7082" s="3" t="s">
        <v>820</v>
      </c>
    </row>
    <row r="7083">
      <c r="A7083" s="3" t="s">
        <v>323</v>
      </c>
      <c r="B7083" s="3" t="s">
        <v>324</v>
      </c>
      <c r="C7083" s="3" t="s">
        <v>818</v>
      </c>
    </row>
    <row r="7084">
      <c r="A7084" s="3" t="s">
        <v>323</v>
      </c>
      <c r="B7084" s="3" t="s">
        <v>821</v>
      </c>
      <c r="C7084" s="3" t="s">
        <v>827</v>
      </c>
    </row>
    <row r="7085">
      <c r="A7085" s="3" t="s">
        <v>323</v>
      </c>
      <c r="B7085" s="3" t="s">
        <v>324</v>
      </c>
      <c r="C7085" s="3" t="s">
        <v>818</v>
      </c>
    </row>
    <row r="7086">
      <c r="A7086" s="3" t="s">
        <v>323</v>
      </c>
      <c r="B7086" s="3" t="s">
        <v>324</v>
      </c>
      <c r="C7086" s="3" t="s">
        <v>568</v>
      </c>
    </row>
    <row r="7087">
      <c r="A7087" s="3" t="s">
        <v>323</v>
      </c>
      <c r="B7087" s="3" t="s">
        <v>824</v>
      </c>
      <c r="C7087" s="3" t="s">
        <v>825</v>
      </c>
    </row>
    <row r="7088">
      <c r="A7088" s="3" t="s">
        <v>323</v>
      </c>
      <c r="B7088" s="3" t="s">
        <v>824</v>
      </c>
      <c r="C7088" s="3" t="s">
        <v>840</v>
      </c>
    </row>
    <row r="7089">
      <c r="A7089" s="3" t="s">
        <v>323</v>
      </c>
      <c r="B7089" s="3" t="s">
        <v>324</v>
      </c>
      <c r="C7089" s="3" t="s">
        <v>818</v>
      </c>
    </row>
    <row r="7090">
      <c r="A7090" s="3" t="s">
        <v>323</v>
      </c>
      <c r="B7090" s="3" t="s">
        <v>821</v>
      </c>
      <c r="C7090" s="3" t="s">
        <v>827</v>
      </c>
    </row>
    <row r="7091">
      <c r="A7091" s="3" t="s">
        <v>323</v>
      </c>
      <c r="B7091" s="3" t="s">
        <v>324</v>
      </c>
      <c r="C7091" s="3" t="s">
        <v>818</v>
      </c>
    </row>
    <row r="7092">
      <c r="A7092" s="3" t="s">
        <v>323</v>
      </c>
      <c r="B7092" s="3" t="s">
        <v>819</v>
      </c>
      <c r="C7092" s="3" t="s">
        <v>820</v>
      </c>
    </row>
    <row r="7093">
      <c r="A7093" s="3" t="s">
        <v>323</v>
      </c>
      <c r="B7093" s="3" t="s">
        <v>324</v>
      </c>
      <c r="C7093" s="3" t="s">
        <v>818</v>
      </c>
    </row>
    <row r="7094">
      <c r="A7094" s="3" t="s">
        <v>323</v>
      </c>
      <c r="B7094" s="3" t="s">
        <v>824</v>
      </c>
      <c r="C7094" s="3" t="s">
        <v>841</v>
      </c>
    </row>
    <row r="7095">
      <c r="A7095" s="3" t="s">
        <v>323</v>
      </c>
      <c r="B7095" s="3" t="s">
        <v>824</v>
      </c>
      <c r="C7095" s="3" t="s">
        <v>825</v>
      </c>
    </row>
    <row r="7096">
      <c r="A7096" s="3" t="s">
        <v>323</v>
      </c>
      <c r="B7096" s="3" t="s">
        <v>324</v>
      </c>
      <c r="C7096" s="3" t="s">
        <v>818</v>
      </c>
    </row>
    <row r="7097">
      <c r="A7097" s="3" t="s">
        <v>323</v>
      </c>
      <c r="B7097" s="3" t="s">
        <v>824</v>
      </c>
      <c r="C7097" s="3" t="s">
        <v>825</v>
      </c>
    </row>
    <row r="7098">
      <c r="A7098" s="3" t="s">
        <v>323</v>
      </c>
      <c r="B7098" s="3" t="s">
        <v>819</v>
      </c>
      <c r="C7098" s="3" t="s">
        <v>766</v>
      </c>
    </row>
    <row r="7099">
      <c r="A7099" s="3" t="s">
        <v>323</v>
      </c>
      <c r="B7099" s="3" t="s">
        <v>324</v>
      </c>
      <c r="C7099" s="3" t="s">
        <v>818</v>
      </c>
    </row>
    <row r="7100">
      <c r="A7100" s="3" t="s">
        <v>323</v>
      </c>
      <c r="B7100" s="3" t="s">
        <v>824</v>
      </c>
      <c r="C7100" s="3" t="s">
        <v>834</v>
      </c>
    </row>
    <row r="7101">
      <c r="A7101" s="3" t="s">
        <v>323</v>
      </c>
      <c r="B7101" s="3" t="s">
        <v>819</v>
      </c>
      <c r="C7101" s="3" t="s">
        <v>831</v>
      </c>
    </row>
    <row r="7102">
      <c r="A7102" s="3" t="s">
        <v>323</v>
      </c>
      <c r="B7102" s="3" t="s">
        <v>324</v>
      </c>
      <c r="C7102" s="3" t="s">
        <v>818</v>
      </c>
    </row>
    <row r="7103">
      <c r="A7103" s="3" t="s">
        <v>323</v>
      </c>
      <c r="B7103" s="3" t="s">
        <v>819</v>
      </c>
      <c r="C7103" s="3" t="s">
        <v>831</v>
      </c>
    </row>
    <row r="7104">
      <c r="A7104" s="3" t="s">
        <v>323</v>
      </c>
      <c r="B7104" s="3" t="s">
        <v>324</v>
      </c>
      <c r="C7104" s="3" t="s">
        <v>818</v>
      </c>
    </row>
    <row r="7105">
      <c r="A7105" s="3" t="s">
        <v>323</v>
      </c>
      <c r="B7105" s="3" t="s">
        <v>824</v>
      </c>
      <c r="C7105" s="3" t="s">
        <v>834</v>
      </c>
    </row>
    <row r="7106">
      <c r="A7106" s="3" t="s">
        <v>323</v>
      </c>
      <c r="B7106" s="3" t="s">
        <v>824</v>
      </c>
      <c r="C7106" s="3" t="s">
        <v>844</v>
      </c>
    </row>
    <row r="7107">
      <c r="A7107" s="3" t="s">
        <v>323</v>
      </c>
      <c r="B7107" s="3" t="s">
        <v>324</v>
      </c>
      <c r="C7107" s="3" t="s">
        <v>818</v>
      </c>
    </row>
    <row r="7108">
      <c r="A7108" s="3" t="s">
        <v>323</v>
      </c>
      <c r="B7108" s="3" t="s">
        <v>824</v>
      </c>
      <c r="C7108" s="3" t="s">
        <v>828</v>
      </c>
    </row>
    <row r="7109">
      <c r="A7109" s="3" t="s">
        <v>323</v>
      </c>
      <c r="B7109" s="3" t="s">
        <v>324</v>
      </c>
      <c r="C7109" s="3" t="s">
        <v>818</v>
      </c>
    </row>
    <row r="7110">
      <c r="A7110" s="3" t="s">
        <v>323</v>
      </c>
      <c r="B7110" s="3" t="s">
        <v>824</v>
      </c>
      <c r="C7110" s="3" t="s">
        <v>836</v>
      </c>
    </row>
    <row r="7111">
      <c r="A7111" s="3" t="s">
        <v>323</v>
      </c>
      <c r="B7111" s="3" t="s">
        <v>824</v>
      </c>
      <c r="C7111" s="3" t="s">
        <v>829</v>
      </c>
    </row>
    <row r="7112">
      <c r="A7112" s="3" t="s">
        <v>323</v>
      </c>
      <c r="B7112" s="3" t="s">
        <v>324</v>
      </c>
      <c r="C7112" s="3" t="s">
        <v>818</v>
      </c>
    </row>
    <row r="7113">
      <c r="A7113" s="3" t="s">
        <v>323</v>
      </c>
      <c r="B7113" s="3" t="s">
        <v>824</v>
      </c>
      <c r="C7113" s="3" t="s">
        <v>826</v>
      </c>
    </row>
    <row r="7114">
      <c r="A7114" s="3" t="s">
        <v>323</v>
      </c>
      <c r="B7114" s="3" t="s">
        <v>324</v>
      </c>
      <c r="C7114" s="3" t="s">
        <v>818</v>
      </c>
    </row>
    <row r="7115">
      <c r="A7115" s="3" t="s">
        <v>323</v>
      </c>
      <c r="B7115" s="3" t="s">
        <v>324</v>
      </c>
      <c r="C7115" s="3" t="s">
        <v>568</v>
      </c>
    </row>
    <row r="7116">
      <c r="A7116" s="3" t="s">
        <v>323</v>
      </c>
      <c r="B7116" s="3" t="s">
        <v>824</v>
      </c>
      <c r="C7116" s="3" t="s">
        <v>825</v>
      </c>
    </row>
    <row r="7117">
      <c r="A7117" s="3" t="s">
        <v>323</v>
      </c>
      <c r="B7117" s="3" t="s">
        <v>324</v>
      </c>
      <c r="C7117" s="3" t="s">
        <v>818</v>
      </c>
    </row>
    <row r="7118">
      <c r="A7118" s="3" t="s">
        <v>323</v>
      </c>
      <c r="B7118" s="3" t="s">
        <v>824</v>
      </c>
      <c r="C7118" s="3" t="s">
        <v>826</v>
      </c>
    </row>
    <row r="7119">
      <c r="A7119" s="3" t="s">
        <v>323</v>
      </c>
      <c r="B7119" s="3" t="s">
        <v>324</v>
      </c>
      <c r="C7119" s="3" t="s">
        <v>818</v>
      </c>
    </row>
    <row r="7120">
      <c r="A7120" s="3" t="s">
        <v>323</v>
      </c>
      <c r="B7120" s="3" t="s">
        <v>324</v>
      </c>
      <c r="C7120" s="3" t="s">
        <v>568</v>
      </c>
    </row>
    <row r="7121">
      <c r="A7121" s="3" t="s">
        <v>323</v>
      </c>
      <c r="B7121" s="3" t="s">
        <v>824</v>
      </c>
      <c r="C7121" s="3" t="s">
        <v>825</v>
      </c>
    </row>
    <row r="7122">
      <c r="A7122" s="3" t="s">
        <v>323</v>
      </c>
      <c r="B7122" s="3" t="s">
        <v>324</v>
      </c>
      <c r="C7122" s="3" t="s">
        <v>818</v>
      </c>
    </row>
    <row r="7123">
      <c r="A7123" s="3" t="s">
        <v>323</v>
      </c>
      <c r="B7123" s="3" t="s">
        <v>824</v>
      </c>
      <c r="C7123" s="3" t="s">
        <v>829</v>
      </c>
    </row>
    <row r="7124">
      <c r="A7124" s="3" t="s">
        <v>323</v>
      </c>
      <c r="B7124" s="3" t="s">
        <v>324</v>
      </c>
      <c r="C7124" s="3" t="s">
        <v>568</v>
      </c>
    </row>
    <row r="7125">
      <c r="A7125" s="3" t="s">
        <v>323</v>
      </c>
      <c r="B7125" s="3" t="s">
        <v>824</v>
      </c>
      <c r="C7125" s="3" t="s">
        <v>840</v>
      </c>
    </row>
    <row r="7126">
      <c r="A7126" s="3" t="s">
        <v>323</v>
      </c>
      <c r="B7126" s="3" t="s">
        <v>324</v>
      </c>
      <c r="C7126" s="3" t="s">
        <v>818</v>
      </c>
    </row>
    <row r="7127">
      <c r="A7127" s="3" t="s">
        <v>323</v>
      </c>
      <c r="B7127" s="3" t="s">
        <v>824</v>
      </c>
      <c r="C7127" s="3" t="s">
        <v>840</v>
      </c>
    </row>
    <row r="7128">
      <c r="A7128" s="3" t="s">
        <v>323</v>
      </c>
      <c r="B7128" s="3" t="s">
        <v>824</v>
      </c>
      <c r="C7128" s="3" t="s">
        <v>834</v>
      </c>
    </row>
    <row r="7129">
      <c r="A7129" s="3" t="s">
        <v>323</v>
      </c>
      <c r="B7129" s="3" t="s">
        <v>824</v>
      </c>
      <c r="C7129" s="3" t="s">
        <v>836</v>
      </c>
    </row>
    <row r="7130">
      <c r="A7130" s="3" t="s">
        <v>323</v>
      </c>
      <c r="B7130" s="3" t="s">
        <v>324</v>
      </c>
      <c r="C7130" s="3" t="s">
        <v>818</v>
      </c>
    </row>
    <row r="7131">
      <c r="A7131" s="3" t="s">
        <v>323</v>
      </c>
      <c r="B7131" s="3" t="s">
        <v>824</v>
      </c>
      <c r="C7131" s="3" t="s">
        <v>829</v>
      </c>
    </row>
    <row r="7132">
      <c r="A7132" s="3" t="s">
        <v>323</v>
      </c>
      <c r="B7132" s="3" t="s">
        <v>324</v>
      </c>
      <c r="C7132" s="3" t="s">
        <v>818</v>
      </c>
    </row>
    <row r="7133">
      <c r="A7133" s="3" t="s">
        <v>323</v>
      </c>
      <c r="B7133" s="3" t="s">
        <v>824</v>
      </c>
      <c r="C7133" s="3" t="s">
        <v>825</v>
      </c>
    </row>
    <row r="7134">
      <c r="A7134" s="3" t="s">
        <v>323</v>
      </c>
      <c r="B7134" s="3" t="s">
        <v>324</v>
      </c>
      <c r="C7134" s="3" t="s">
        <v>818</v>
      </c>
    </row>
    <row r="7135">
      <c r="A7135" s="3" t="s">
        <v>323</v>
      </c>
      <c r="B7135" s="3" t="s">
        <v>324</v>
      </c>
      <c r="C7135" s="3" t="s">
        <v>832</v>
      </c>
    </row>
    <row r="7136">
      <c r="A7136" s="3" t="s">
        <v>323</v>
      </c>
      <c r="B7136" s="3" t="s">
        <v>821</v>
      </c>
      <c r="C7136" s="3" t="s">
        <v>822</v>
      </c>
    </row>
    <row r="7137">
      <c r="A7137" s="3" t="s">
        <v>323</v>
      </c>
      <c r="B7137" s="3" t="s">
        <v>824</v>
      </c>
      <c r="C7137" s="3" t="s">
        <v>828</v>
      </c>
    </row>
    <row r="7138">
      <c r="A7138" s="3" t="s">
        <v>323</v>
      </c>
      <c r="B7138" s="3" t="s">
        <v>819</v>
      </c>
      <c r="C7138" s="3" t="s">
        <v>831</v>
      </c>
    </row>
    <row r="7139">
      <c r="A7139" s="3" t="s">
        <v>323</v>
      </c>
      <c r="B7139" s="3" t="s">
        <v>824</v>
      </c>
      <c r="C7139" s="3" t="s">
        <v>834</v>
      </c>
    </row>
    <row r="7140">
      <c r="A7140" s="3" t="s">
        <v>323</v>
      </c>
      <c r="B7140" s="3" t="s">
        <v>324</v>
      </c>
      <c r="C7140" s="3" t="s">
        <v>818</v>
      </c>
    </row>
    <row r="7141">
      <c r="A7141" s="3" t="s">
        <v>323</v>
      </c>
      <c r="B7141" s="3" t="s">
        <v>324</v>
      </c>
      <c r="C7141" s="3" t="s">
        <v>842</v>
      </c>
    </row>
    <row r="7142">
      <c r="A7142" s="3" t="s">
        <v>323</v>
      </c>
      <c r="B7142" s="3" t="s">
        <v>824</v>
      </c>
      <c r="C7142" s="3" t="s">
        <v>844</v>
      </c>
    </row>
    <row r="7143">
      <c r="A7143" s="3" t="s">
        <v>323</v>
      </c>
      <c r="B7143" s="3" t="s">
        <v>324</v>
      </c>
      <c r="C7143" s="3" t="s">
        <v>818</v>
      </c>
    </row>
    <row r="7144">
      <c r="A7144" s="3" t="s">
        <v>323</v>
      </c>
      <c r="B7144" s="3" t="s">
        <v>824</v>
      </c>
      <c r="C7144" s="3" t="s">
        <v>835</v>
      </c>
    </row>
    <row r="7145">
      <c r="A7145" s="3" t="s">
        <v>323</v>
      </c>
      <c r="B7145" s="3" t="s">
        <v>324</v>
      </c>
      <c r="C7145" s="3" t="s">
        <v>818</v>
      </c>
    </row>
    <row r="7146">
      <c r="A7146" s="3" t="s">
        <v>323</v>
      </c>
      <c r="B7146" s="3" t="s">
        <v>824</v>
      </c>
      <c r="C7146" s="3" t="s">
        <v>844</v>
      </c>
    </row>
    <row r="7147">
      <c r="A7147" s="3" t="s">
        <v>323</v>
      </c>
      <c r="B7147" s="3" t="s">
        <v>824</v>
      </c>
      <c r="C7147" s="3" t="s">
        <v>834</v>
      </c>
    </row>
    <row r="7148">
      <c r="A7148" s="3" t="s">
        <v>323</v>
      </c>
      <c r="B7148" s="3" t="s">
        <v>824</v>
      </c>
      <c r="C7148" s="3" t="s">
        <v>841</v>
      </c>
    </row>
    <row r="7149">
      <c r="A7149" s="3" t="s">
        <v>323</v>
      </c>
      <c r="B7149" s="3" t="s">
        <v>324</v>
      </c>
      <c r="C7149" s="3" t="s">
        <v>818</v>
      </c>
    </row>
    <row r="7150">
      <c r="A7150" s="3" t="s">
        <v>323</v>
      </c>
      <c r="B7150" s="3" t="s">
        <v>824</v>
      </c>
      <c r="C7150" s="3" t="s">
        <v>844</v>
      </c>
    </row>
    <row r="7151">
      <c r="A7151" s="3" t="s">
        <v>323</v>
      </c>
      <c r="B7151" s="3" t="s">
        <v>324</v>
      </c>
      <c r="C7151" s="3" t="s">
        <v>818</v>
      </c>
    </row>
    <row r="7152">
      <c r="A7152" s="3" t="s">
        <v>323</v>
      </c>
      <c r="B7152" s="3" t="s">
        <v>824</v>
      </c>
      <c r="C7152" s="3" t="s">
        <v>829</v>
      </c>
    </row>
    <row r="7153">
      <c r="A7153" s="3" t="s">
        <v>323</v>
      </c>
      <c r="B7153" s="3" t="s">
        <v>324</v>
      </c>
      <c r="C7153" s="3" t="s">
        <v>818</v>
      </c>
    </row>
    <row r="7154">
      <c r="A7154" s="3" t="s">
        <v>323</v>
      </c>
      <c r="B7154" s="3" t="s">
        <v>821</v>
      </c>
      <c r="C7154" s="3" t="s">
        <v>823</v>
      </c>
    </row>
    <row r="7155">
      <c r="A7155" s="3" t="s">
        <v>323</v>
      </c>
      <c r="B7155" s="3" t="s">
        <v>324</v>
      </c>
      <c r="C7155" s="3" t="s">
        <v>818</v>
      </c>
    </row>
    <row r="7156">
      <c r="A7156" s="3" t="s">
        <v>323</v>
      </c>
      <c r="B7156" s="3" t="s">
        <v>819</v>
      </c>
      <c r="C7156" s="3" t="s">
        <v>820</v>
      </c>
    </row>
    <row r="7157">
      <c r="A7157" s="3" t="s">
        <v>323</v>
      </c>
      <c r="B7157" s="3" t="s">
        <v>324</v>
      </c>
      <c r="C7157" s="3" t="s">
        <v>818</v>
      </c>
    </row>
    <row r="7158">
      <c r="A7158" s="3" t="s">
        <v>323</v>
      </c>
      <c r="B7158" s="3" t="s">
        <v>824</v>
      </c>
      <c r="C7158" s="3" t="s">
        <v>835</v>
      </c>
    </row>
    <row r="7159">
      <c r="A7159" s="3" t="s">
        <v>323</v>
      </c>
      <c r="B7159" s="3" t="s">
        <v>324</v>
      </c>
      <c r="C7159" s="3" t="s">
        <v>818</v>
      </c>
    </row>
    <row r="7160">
      <c r="A7160" s="3" t="s">
        <v>323</v>
      </c>
      <c r="B7160" s="3" t="s">
        <v>824</v>
      </c>
      <c r="C7160" s="3" t="s">
        <v>843</v>
      </c>
    </row>
    <row r="7161">
      <c r="A7161" s="3" t="s">
        <v>323</v>
      </c>
      <c r="B7161" s="3" t="s">
        <v>824</v>
      </c>
      <c r="C7161" s="3" t="s">
        <v>829</v>
      </c>
    </row>
    <row r="7162">
      <c r="A7162" s="3" t="s">
        <v>323</v>
      </c>
      <c r="B7162" s="3" t="s">
        <v>324</v>
      </c>
      <c r="C7162" s="3" t="s">
        <v>818</v>
      </c>
    </row>
    <row r="7163">
      <c r="A7163" s="3" t="s">
        <v>323</v>
      </c>
      <c r="B7163" s="3" t="s">
        <v>821</v>
      </c>
      <c r="C7163" s="3" t="s">
        <v>525</v>
      </c>
    </row>
    <row r="7164">
      <c r="A7164" s="3" t="s">
        <v>323</v>
      </c>
      <c r="B7164" s="3" t="s">
        <v>324</v>
      </c>
      <c r="C7164" s="3" t="s">
        <v>818</v>
      </c>
    </row>
    <row r="7165">
      <c r="A7165" s="3" t="s">
        <v>323</v>
      </c>
      <c r="B7165" s="3" t="s">
        <v>824</v>
      </c>
      <c r="C7165" s="3" t="s">
        <v>826</v>
      </c>
    </row>
    <row r="7166">
      <c r="A7166" s="3" t="s">
        <v>323</v>
      </c>
      <c r="B7166" s="3" t="s">
        <v>324</v>
      </c>
      <c r="C7166" s="3" t="s">
        <v>818</v>
      </c>
    </row>
    <row r="7167">
      <c r="A7167" s="3" t="s">
        <v>323</v>
      </c>
      <c r="B7167" s="3" t="s">
        <v>824</v>
      </c>
      <c r="C7167" s="3" t="s">
        <v>829</v>
      </c>
    </row>
    <row r="7168">
      <c r="A7168" s="3" t="s">
        <v>323</v>
      </c>
      <c r="B7168" s="3" t="s">
        <v>324</v>
      </c>
      <c r="C7168" s="3" t="s">
        <v>839</v>
      </c>
    </row>
    <row r="7169">
      <c r="A7169" s="3" t="s">
        <v>323</v>
      </c>
      <c r="B7169" s="3" t="s">
        <v>819</v>
      </c>
      <c r="C7169" s="3" t="s">
        <v>820</v>
      </c>
    </row>
    <row r="7170">
      <c r="A7170" s="3" t="s">
        <v>323</v>
      </c>
      <c r="B7170" s="3" t="s">
        <v>324</v>
      </c>
      <c r="C7170" s="3" t="s">
        <v>818</v>
      </c>
    </row>
    <row r="7171">
      <c r="A7171" s="3" t="s">
        <v>323</v>
      </c>
      <c r="B7171" s="3" t="s">
        <v>819</v>
      </c>
      <c r="C7171" s="3" t="s">
        <v>820</v>
      </c>
    </row>
    <row r="7172">
      <c r="A7172" s="3" t="s">
        <v>323</v>
      </c>
      <c r="B7172" s="3" t="s">
        <v>324</v>
      </c>
      <c r="C7172" s="3" t="s">
        <v>818</v>
      </c>
    </row>
    <row r="7173">
      <c r="A7173" s="3" t="s">
        <v>323</v>
      </c>
      <c r="B7173" s="3" t="s">
        <v>821</v>
      </c>
      <c r="C7173" s="3" t="s">
        <v>525</v>
      </c>
    </row>
    <row r="7174">
      <c r="A7174" s="3" t="s">
        <v>323</v>
      </c>
      <c r="B7174" s="3" t="s">
        <v>324</v>
      </c>
      <c r="C7174" s="3" t="s">
        <v>818</v>
      </c>
    </row>
    <row r="7175">
      <c r="A7175" s="3" t="s">
        <v>323</v>
      </c>
      <c r="B7175" s="3" t="s">
        <v>821</v>
      </c>
      <c r="C7175" s="3" t="s">
        <v>525</v>
      </c>
    </row>
    <row r="7176">
      <c r="A7176" s="3" t="s">
        <v>323</v>
      </c>
      <c r="B7176" s="3" t="s">
        <v>324</v>
      </c>
      <c r="C7176" s="3" t="s">
        <v>818</v>
      </c>
    </row>
    <row r="7177">
      <c r="A7177" s="3" t="s">
        <v>323</v>
      </c>
      <c r="B7177" s="3" t="s">
        <v>824</v>
      </c>
      <c r="C7177" s="3" t="s">
        <v>840</v>
      </c>
    </row>
    <row r="7178">
      <c r="A7178" s="3" t="s">
        <v>323</v>
      </c>
      <c r="B7178" s="3" t="s">
        <v>324</v>
      </c>
      <c r="C7178" s="3" t="s">
        <v>818</v>
      </c>
    </row>
    <row r="7179">
      <c r="A7179" s="3" t="s">
        <v>323</v>
      </c>
      <c r="B7179" s="3" t="s">
        <v>824</v>
      </c>
      <c r="C7179" s="3" t="s">
        <v>845</v>
      </c>
    </row>
    <row r="7180">
      <c r="A7180" s="3" t="s">
        <v>323</v>
      </c>
      <c r="B7180" s="3" t="s">
        <v>324</v>
      </c>
      <c r="C7180" s="3" t="s">
        <v>839</v>
      </c>
    </row>
    <row r="7181">
      <c r="A7181" s="3" t="s">
        <v>323</v>
      </c>
      <c r="B7181" s="3" t="s">
        <v>324</v>
      </c>
      <c r="C7181" s="3" t="s">
        <v>818</v>
      </c>
    </row>
    <row r="7182">
      <c r="A7182" s="3" t="s">
        <v>323</v>
      </c>
      <c r="B7182" s="3" t="s">
        <v>824</v>
      </c>
      <c r="C7182" s="3" t="s">
        <v>845</v>
      </c>
    </row>
    <row r="7183">
      <c r="A7183" s="3" t="s">
        <v>323</v>
      </c>
      <c r="B7183" s="3" t="s">
        <v>324</v>
      </c>
      <c r="C7183" s="3" t="s">
        <v>818</v>
      </c>
    </row>
    <row r="7184">
      <c r="A7184" s="3" t="s">
        <v>323</v>
      </c>
      <c r="B7184" s="3" t="s">
        <v>819</v>
      </c>
      <c r="C7184" s="3" t="s">
        <v>820</v>
      </c>
    </row>
    <row r="7185">
      <c r="A7185" s="3" t="s">
        <v>323</v>
      </c>
      <c r="B7185" s="3" t="s">
        <v>324</v>
      </c>
      <c r="C7185" s="3" t="s">
        <v>818</v>
      </c>
    </row>
    <row r="7186">
      <c r="A7186" s="3" t="s">
        <v>323</v>
      </c>
      <c r="B7186" s="3" t="s">
        <v>324</v>
      </c>
      <c r="C7186" s="3" t="s">
        <v>818</v>
      </c>
    </row>
    <row r="7187">
      <c r="A7187" s="3" t="s">
        <v>323</v>
      </c>
      <c r="B7187" s="3" t="s">
        <v>824</v>
      </c>
      <c r="C7187" s="3" t="s">
        <v>825</v>
      </c>
    </row>
    <row r="7188">
      <c r="A7188" s="3" t="s">
        <v>323</v>
      </c>
      <c r="B7188" s="3" t="s">
        <v>324</v>
      </c>
      <c r="C7188" s="3" t="s">
        <v>818</v>
      </c>
    </row>
    <row r="7189">
      <c r="A7189" s="3" t="s">
        <v>323</v>
      </c>
      <c r="B7189" s="3" t="s">
        <v>324</v>
      </c>
      <c r="C7189" s="3" t="s">
        <v>832</v>
      </c>
    </row>
    <row r="7190">
      <c r="A7190" s="3" t="s">
        <v>323</v>
      </c>
      <c r="B7190" s="3" t="s">
        <v>324</v>
      </c>
      <c r="C7190" s="3" t="s">
        <v>833</v>
      </c>
    </row>
    <row r="7191">
      <c r="A7191" s="3" t="s">
        <v>323</v>
      </c>
      <c r="B7191" s="3" t="s">
        <v>819</v>
      </c>
      <c r="C7191" s="3" t="s">
        <v>766</v>
      </c>
    </row>
    <row r="7192">
      <c r="A7192" s="3" t="s">
        <v>323</v>
      </c>
      <c r="B7192" s="3" t="s">
        <v>824</v>
      </c>
      <c r="C7192" s="3" t="s">
        <v>841</v>
      </c>
    </row>
    <row r="7193">
      <c r="A7193" s="3" t="s">
        <v>323</v>
      </c>
      <c r="B7193" s="3" t="s">
        <v>324</v>
      </c>
      <c r="C7193" s="3" t="s">
        <v>818</v>
      </c>
    </row>
    <row r="7194">
      <c r="A7194" s="3" t="s">
        <v>323</v>
      </c>
      <c r="B7194" s="3" t="s">
        <v>324</v>
      </c>
      <c r="C7194" s="3" t="s">
        <v>833</v>
      </c>
    </row>
    <row r="7195">
      <c r="A7195" s="3" t="s">
        <v>323</v>
      </c>
      <c r="B7195" s="3" t="s">
        <v>324</v>
      </c>
      <c r="C7195" s="3" t="s">
        <v>832</v>
      </c>
    </row>
    <row r="7196">
      <c r="A7196" s="3" t="s">
        <v>323</v>
      </c>
      <c r="B7196" s="3" t="s">
        <v>821</v>
      </c>
      <c r="C7196" s="3" t="s">
        <v>822</v>
      </c>
    </row>
    <row r="7197">
      <c r="A7197" s="3" t="s">
        <v>323</v>
      </c>
      <c r="B7197" s="3" t="s">
        <v>824</v>
      </c>
      <c r="C7197" s="3" t="s">
        <v>828</v>
      </c>
    </row>
    <row r="7198">
      <c r="A7198" s="3" t="s">
        <v>323</v>
      </c>
      <c r="B7198" s="3" t="s">
        <v>819</v>
      </c>
      <c r="C7198" s="3" t="s">
        <v>831</v>
      </c>
    </row>
    <row r="7199">
      <c r="A7199" s="3" t="s">
        <v>323</v>
      </c>
      <c r="B7199" s="3" t="s">
        <v>821</v>
      </c>
      <c r="C7199" s="3" t="s">
        <v>827</v>
      </c>
    </row>
    <row r="7200">
      <c r="A7200" s="3" t="s">
        <v>323</v>
      </c>
      <c r="B7200" s="3" t="s">
        <v>324</v>
      </c>
      <c r="C7200" s="3" t="s">
        <v>818</v>
      </c>
    </row>
    <row r="7201">
      <c r="A7201" s="3" t="s">
        <v>323</v>
      </c>
      <c r="B7201" s="3" t="s">
        <v>824</v>
      </c>
      <c r="C7201" s="3" t="s">
        <v>840</v>
      </c>
    </row>
    <row r="7202">
      <c r="A7202" s="3" t="s">
        <v>323</v>
      </c>
      <c r="B7202" s="3" t="s">
        <v>324</v>
      </c>
      <c r="C7202" s="3" t="s">
        <v>818</v>
      </c>
    </row>
    <row r="7203">
      <c r="A7203" s="3" t="s">
        <v>323</v>
      </c>
      <c r="B7203" s="3" t="s">
        <v>819</v>
      </c>
      <c r="C7203" s="3" t="s">
        <v>820</v>
      </c>
    </row>
    <row r="7204">
      <c r="A7204" s="3" t="s">
        <v>323</v>
      </c>
      <c r="B7204" s="3" t="s">
        <v>324</v>
      </c>
      <c r="C7204" s="3" t="s">
        <v>818</v>
      </c>
    </row>
    <row r="7205">
      <c r="A7205" s="3" t="s">
        <v>323</v>
      </c>
      <c r="B7205" s="3" t="s">
        <v>824</v>
      </c>
      <c r="C7205" s="3" t="s">
        <v>825</v>
      </c>
    </row>
    <row r="7206">
      <c r="A7206" s="3" t="s">
        <v>323</v>
      </c>
      <c r="B7206" s="3" t="s">
        <v>824</v>
      </c>
      <c r="C7206" s="3" t="s">
        <v>825</v>
      </c>
    </row>
    <row r="7207">
      <c r="A7207" s="3" t="s">
        <v>323</v>
      </c>
      <c r="B7207" s="3" t="s">
        <v>324</v>
      </c>
      <c r="C7207" s="3" t="s">
        <v>818</v>
      </c>
    </row>
    <row r="7208">
      <c r="A7208" s="3" t="s">
        <v>323</v>
      </c>
      <c r="B7208" s="3" t="s">
        <v>824</v>
      </c>
      <c r="C7208" s="3" t="s">
        <v>828</v>
      </c>
    </row>
    <row r="7209">
      <c r="A7209" s="3" t="s">
        <v>323</v>
      </c>
      <c r="B7209" s="3" t="s">
        <v>324</v>
      </c>
      <c r="C7209" s="3" t="s">
        <v>842</v>
      </c>
    </row>
    <row r="7210">
      <c r="A7210" s="3" t="s">
        <v>323</v>
      </c>
      <c r="B7210" s="3" t="s">
        <v>824</v>
      </c>
      <c r="C7210" s="3" t="s">
        <v>844</v>
      </c>
    </row>
    <row r="7211">
      <c r="A7211" s="3" t="s">
        <v>323</v>
      </c>
      <c r="B7211" s="3" t="s">
        <v>824</v>
      </c>
      <c r="C7211" s="3" t="s">
        <v>843</v>
      </c>
    </row>
    <row r="7212">
      <c r="A7212" s="3" t="s">
        <v>323</v>
      </c>
      <c r="B7212" s="3" t="s">
        <v>324</v>
      </c>
      <c r="C7212" s="3" t="s">
        <v>818</v>
      </c>
    </row>
    <row r="7213">
      <c r="A7213" s="3" t="s">
        <v>323</v>
      </c>
      <c r="B7213" s="3" t="s">
        <v>324</v>
      </c>
      <c r="C7213" s="3" t="s">
        <v>832</v>
      </c>
    </row>
    <row r="7214">
      <c r="A7214" s="3" t="s">
        <v>323</v>
      </c>
      <c r="B7214" s="3" t="s">
        <v>324</v>
      </c>
      <c r="C7214" s="3" t="s">
        <v>842</v>
      </c>
    </row>
    <row r="7215">
      <c r="A7215" s="3" t="s">
        <v>323</v>
      </c>
      <c r="B7215" s="3" t="s">
        <v>324</v>
      </c>
      <c r="C7215" s="3" t="s">
        <v>842</v>
      </c>
    </row>
    <row r="7216">
      <c r="A7216" s="3" t="s">
        <v>323</v>
      </c>
      <c r="B7216" s="3" t="s">
        <v>824</v>
      </c>
      <c r="C7216" s="3" t="s">
        <v>834</v>
      </c>
    </row>
    <row r="7217">
      <c r="A7217" s="3" t="s">
        <v>323</v>
      </c>
      <c r="B7217" s="3" t="s">
        <v>824</v>
      </c>
      <c r="C7217" s="3" t="s">
        <v>844</v>
      </c>
    </row>
    <row r="7218">
      <c r="A7218" s="3" t="s">
        <v>323</v>
      </c>
      <c r="B7218" s="3" t="s">
        <v>324</v>
      </c>
      <c r="C7218" s="3" t="s">
        <v>818</v>
      </c>
    </row>
    <row r="7219">
      <c r="A7219" s="3" t="s">
        <v>323</v>
      </c>
      <c r="B7219" s="3" t="s">
        <v>824</v>
      </c>
      <c r="C7219" s="3" t="s">
        <v>841</v>
      </c>
    </row>
    <row r="7220">
      <c r="A7220" s="3" t="s">
        <v>323</v>
      </c>
      <c r="B7220" s="3" t="s">
        <v>824</v>
      </c>
      <c r="C7220" s="3" t="s">
        <v>844</v>
      </c>
    </row>
    <row r="7221">
      <c r="A7221" s="3" t="s">
        <v>323</v>
      </c>
      <c r="B7221" s="3" t="s">
        <v>324</v>
      </c>
      <c r="C7221" s="3" t="s">
        <v>842</v>
      </c>
    </row>
    <row r="7222">
      <c r="A7222" s="3" t="s">
        <v>323</v>
      </c>
      <c r="B7222" s="3" t="s">
        <v>324</v>
      </c>
      <c r="C7222" s="3" t="s">
        <v>842</v>
      </c>
    </row>
    <row r="7223">
      <c r="A7223" s="3" t="s">
        <v>323</v>
      </c>
      <c r="B7223" s="3" t="s">
        <v>324</v>
      </c>
      <c r="C7223" s="3" t="s">
        <v>839</v>
      </c>
    </row>
    <row r="7224">
      <c r="A7224" s="3" t="s">
        <v>323</v>
      </c>
      <c r="B7224" s="3" t="s">
        <v>824</v>
      </c>
      <c r="C7224" s="3" t="s">
        <v>834</v>
      </c>
    </row>
    <row r="7225">
      <c r="A7225" s="3" t="s">
        <v>323</v>
      </c>
      <c r="B7225" s="3" t="s">
        <v>324</v>
      </c>
      <c r="C7225" s="3" t="s">
        <v>818</v>
      </c>
    </row>
    <row r="7226">
      <c r="A7226" s="3" t="s">
        <v>323</v>
      </c>
      <c r="B7226" s="3" t="s">
        <v>824</v>
      </c>
      <c r="C7226" s="3" t="s">
        <v>834</v>
      </c>
    </row>
    <row r="7227">
      <c r="A7227" s="3" t="s">
        <v>323</v>
      </c>
      <c r="B7227" s="3" t="s">
        <v>324</v>
      </c>
      <c r="C7227" s="3" t="s">
        <v>818</v>
      </c>
    </row>
    <row r="7228">
      <c r="A7228" s="3" t="s">
        <v>323</v>
      </c>
      <c r="B7228" s="3" t="s">
        <v>824</v>
      </c>
      <c r="C7228" s="3" t="s">
        <v>825</v>
      </c>
    </row>
    <row r="7229">
      <c r="A7229" s="3" t="s">
        <v>323</v>
      </c>
      <c r="B7229" s="3" t="s">
        <v>324</v>
      </c>
      <c r="C7229" s="3" t="s">
        <v>839</v>
      </c>
    </row>
    <row r="7230">
      <c r="A7230" s="3" t="s">
        <v>323</v>
      </c>
      <c r="B7230" s="3" t="s">
        <v>324</v>
      </c>
      <c r="C7230" s="3" t="s">
        <v>839</v>
      </c>
    </row>
    <row r="7231">
      <c r="A7231" s="3" t="s">
        <v>323</v>
      </c>
      <c r="B7231" s="3" t="s">
        <v>824</v>
      </c>
      <c r="C7231" s="3" t="s">
        <v>843</v>
      </c>
    </row>
    <row r="7232">
      <c r="A7232" s="3" t="s">
        <v>323</v>
      </c>
      <c r="B7232" s="3" t="s">
        <v>324</v>
      </c>
      <c r="C7232" s="3" t="s">
        <v>818</v>
      </c>
    </row>
    <row r="7233">
      <c r="A7233" s="3" t="s">
        <v>323</v>
      </c>
      <c r="B7233" s="3" t="s">
        <v>824</v>
      </c>
      <c r="C7233" s="3" t="s">
        <v>845</v>
      </c>
    </row>
    <row r="7234">
      <c r="A7234" s="3" t="s">
        <v>323</v>
      </c>
      <c r="B7234" s="3" t="s">
        <v>324</v>
      </c>
      <c r="C7234" s="3" t="s">
        <v>818</v>
      </c>
    </row>
    <row r="7235">
      <c r="A7235" s="3" t="s">
        <v>323</v>
      </c>
      <c r="B7235" s="3" t="s">
        <v>324</v>
      </c>
      <c r="C7235" s="3" t="s">
        <v>839</v>
      </c>
    </row>
    <row r="7236">
      <c r="A7236" s="3" t="s">
        <v>323</v>
      </c>
      <c r="B7236" s="3" t="s">
        <v>824</v>
      </c>
      <c r="C7236" s="3" t="s">
        <v>843</v>
      </c>
    </row>
    <row r="7237">
      <c r="A7237" s="3" t="s">
        <v>323</v>
      </c>
      <c r="B7237" s="3" t="s">
        <v>324</v>
      </c>
      <c r="C7237" s="3" t="s">
        <v>839</v>
      </c>
    </row>
    <row r="7238">
      <c r="A7238" s="3" t="s">
        <v>323</v>
      </c>
      <c r="B7238" s="3" t="s">
        <v>824</v>
      </c>
      <c r="C7238" s="3" t="s">
        <v>834</v>
      </c>
    </row>
    <row r="7239">
      <c r="A7239" s="3" t="s">
        <v>323</v>
      </c>
      <c r="B7239" s="3" t="s">
        <v>324</v>
      </c>
      <c r="C7239" s="3" t="s">
        <v>842</v>
      </c>
    </row>
    <row r="7240">
      <c r="A7240" s="3" t="s">
        <v>323</v>
      </c>
      <c r="B7240" s="3" t="s">
        <v>324</v>
      </c>
      <c r="C7240" s="3" t="s">
        <v>842</v>
      </c>
    </row>
    <row r="7241">
      <c r="A7241" s="3" t="s">
        <v>323</v>
      </c>
      <c r="B7241" s="3" t="s">
        <v>824</v>
      </c>
      <c r="C7241" s="3" t="s">
        <v>826</v>
      </c>
    </row>
    <row r="7242">
      <c r="A7242" s="3" t="s">
        <v>323</v>
      </c>
      <c r="B7242" s="3" t="s">
        <v>324</v>
      </c>
      <c r="C7242" s="3" t="s">
        <v>839</v>
      </c>
    </row>
    <row r="7243">
      <c r="A7243" s="3" t="s">
        <v>323</v>
      </c>
      <c r="B7243" s="3" t="s">
        <v>824</v>
      </c>
      <c r="C7243" s="3" t="s">
        <v>844</v>
      </c>
    </row>
    <row r="7244">
      <c r="A7244" s="3" t="s">
        <v>846</v>
      </c>
      <c r="B7244" s="3" t="s">
        <v>847</v>
      </c>
      <c r="C7244" s="3" t="s">
        <v>848</v>
      </c>
    </row>
    <row r="7245">
      <c r="A7245" s="3" t="s">
        <v>846</v>
      </c>
      <c r="B7245" s="3" t="s">
        <v>356</v>
      </c>
      <c r="C7245" s="3" t="s">
        <v>849</v>
      </c>
    </row>
    <row r="7246">
      <c r="A7246" s="3" t="s">
        <v>846</v>
      </c>
      <c r="B7246" s="3" t="s">
        <v>356</v>
      </c>
      <c r="C7246" s="3" t="s">
        <v>850</v>
      </c>
    </row>
    <row r="7247">
      <c r="A7247" s="3" t="s">
        <v>846</v>
      </c>
      <c r="B7247" s="3" t="s">
        <v>847</v>
      </c>
      <c r="C7247" s="3" t="s">
        <v>848</v>
      </c>
    </row>
    <row r="7248">
      <c r="A7248" s="3" t="s">
        <v>846</v>
      </c>
      <c r="B7248" s="3" t="s">
        <v>847</v>
      </c>
      <c r="C7248" s="3" t="s">
        <v>848</v>
      </c>
    </row>
    <row r="7249">
      <c r="A7249" s="3" t="s">
        <v>846</v>
      </c>
      <c r="B7249" s="3" t="s">
        <v>356</v>
      </c>
      <c r="C7249" s="3" t="s">
        <v>849</v>
      </c>
    </row>
    <row r="7250">
      <c r="A7250" s="3" t="s">
        <v>846</v>
      </c>
      <c r="B7250" s="3" t="s">
        <v>847</v>
      </c>
      <c r="C7250" s="3" t="s">
        <v>848</v>
      </c>
    </row>
    <row r="7251">
      <c r="A7251" s="3" t="s">
        <v>846</v>
      </c>
      <c r="B7251" s="3" t="s">
        <v>356</v>
      </c>
      <c r="C7251" s="3" t="s">
        <v>849</v>
      </c>
    </row>
    <row r="7252">
      <c r="A7252" s="3" t="s">
        <v>846</v>
      </c>
      <c r="B7252" s="3" t="s">
        <v>359</v>
      </c>
      <c r="C7252" s="3" t="s">
        <v>851</v>
      </c>
    </row>
    <row r="7253">
      <c r="A7253" s="3" t="s">
        <v>846</v>
      </c>
      <c r="B7253" s="3" t="s">
        <v>847</v>
      </c>
      <c r="C7253" s="3" t="s">
        <v>848</v>
      </c>
    </row>
    <row r="7254">
      <c r="A7254" s="3" t="s">
        <v>846</v>
      </c>
      <c r="B7254" s="3" t="s">
        <v>847</v>
      </c>
      <c r="C7254" s="3" t="s">
        <v>848</v>
      </c>
    </row>
    <row r="7255">
      <c r="A7255" s="3" t="s">
        <v>846</v>
      </c>
      <c r="B7255" s="3" t="s">
        <v>359</v>
      </c>
      <c r="C7255" s="3" t="s">
        <v>851</v>
      </c>
    </row>
    <row r="7256">
      <c r="A7256" s="3" t="s">
        <v>846</v>
      </c>
      <c r="B7256" s="3" t="s">
        <v>847</v>
      </c>
      <c r="C7256" s="3" t="s">
        <v>848</v>
      </c>
    </row>
    <row r="7257">
      <c r="A7257" s="3" t="s">
        <v>846</v>
      </c>
      <c r="B7257" s="3" t="s">
        <v>356</v>
      </c>
      <c r="C7257" s="3" t="s">
        <v>849</v>
      </c>
    </row>
    <row r="7258">
      <c r="A7258" s="3" t="s">
        <v>846</v>
      </c>
      <c r="B7258" s="3" t="s">
        <v>847</v>
      </c>
      <c r="C7258" s="3" t="s">
        <v>848</v>
      </c>
    </row>
    <row r="7259">
      <c r="A7259" s="3" t="s">
        <v>846</v>
      </c>
      <c r="B7259" s="3" t="s">
        <v>356</v>
      </c>
      <c r="C7259" s="3" t="s">
        <v>849</v>
      </c>
    </row>
    <row r="7260">
      <c r="A7260" s="3" t="s">
        <v>846</v>
      </c>
      <c r="B7260" s="3" t="s">
        <v>359</v>
      </c>
      <c r="C7260" s="3" t="s">
        <v>852</v>
      </c>
    </row>
    <row r="7261">
      <c r="A7261" s="3" t="s">
        <v>846</v>
      </c>
      <c r="B7261" s="3" t="s">
        <v>356</v>
      </c>
      <c r="C7261" s="3" t="s">
        <v>853</v>
      </c>
    </row>
    <row r="7262">
      <c r="A7262" s="3" t="s">
        <v>846</v>
      </c>
      <c r="B7262" s="3" t="s">
        <v>356</v>
      </c>
      <c r="C7262" s="3" t="s">
        <v>850</v>
      </c>
    </row>
    <row r="7263">
      <c r="A7263" s="3" t="s">
        <v>846</v>
      </c>
      <c r="B7263" s="3" t="s">
        <v>847</v>
      </c>
      <c r="C7263" s="3" t="s">
        <v>848</v>
      </c>
    </row>
    <row r="7264">
      <c r="A7264" s="3" t="s">
        <v>846</v>
      </c>
      <c r="B7264" s="3" t="s">
        <v>847</v>
      </c>
      <c r="C7264" s="3" t="s">
        <v>848</v>
      </c>
    </row>
    <row r="7265">
      <c r="A7265" s="3" t="s">
        <v>846</v>
      </c>
      <c r="B7265" s="3" t="s">
        <v>356</v>
      </c>
      <c r="C7265" s="3" t="s">
        <v>850</v>
      </c>
    </row>
    <row r="7266">
      <c r="A7266" s="3" t="s">
        <v>846</v>
      </c>
      <c r="B7266" s="3" t="s">
        <v>356</v>
      </c>
      <c r="C7266" s="3" t="s">
        <v>853</v>
      </c>
    </row>
    <row r="7267">
      <c r="A7267" s="3" t="s">
        <v>846</v>
      </c>
      <c r="B7267" s="3" t="s">
        <v>356</v>
      </c>
      <c r="C7267" s="3" t="s">
        <v>849</v>
      </c>
    </row>
    <row r="7268">
      <c r="A7268" s="3" t="s">
        <v>846</v>
      </c>
      <c r="B7268" s="3" t="s">
        <v>847</v>
      </c>
      <c r="C7268" s="3" t="s">
        <v>848</v>
      </c>
    </row>
    <row r="7269">
      <c r="A7269" s="3" t="s">
        <v>846</v>
      </c>
      <c r="B7269" s="3" t="s">
        <v>356</v>
      </c>
      <c r="C7269" s="3" t="s">
        <v>849</v>
      </c>
    </row>
    <row r="7270">
      <c r="A7270" s="3" t="s">
        <v>846</v>
      </c>
      <c r="B7270" s="3" t="s">
        <v>847</v>
      </c>
      <c r="C7270" s="3" t="s">
        <v>848</v>
      </c>
    </row>
    <row r="7271">
      <c r="A7271" s="3" t="s">
        <v>846</v>
      </c>
      <c r="B7271" s="3" t="s">
        <v>847</v>
      </c>
      <c r="C7271" s="3" t="s">
        <v>848</v>
      </c>
    </row>
    <row r="7272">
      <c r="A7272" s="3" t="s">
        <v>846</v>
      </c>
      <c r="B7272" s="3" t="s">
        <v>356</v>
      </c>
      <c r="C7272" s="3" t="s">
        <v>850</v>
      </c>
    </row>
    <row r="7273">
      <c r="A7273" s="3" t="s">
        <v>846</v>
      </c>
      <c r="B7273" s="3" t="s">
        <v>847</v>
      </c>
      <c r="C7273" s="3" t="s">
        <v>848</v>
      </c>
    </row>
    <row r="7274">
      <c r="A7274" s="3" t="s">
        <v>846</v>
      </c>
      <c r="B7274" s="3" t="s">
        <v>359</v>
      </c>
      <c r="C7274" s="3" t="s">
        <v>851</v>
      </c>
    </row>
    <row r="7275">
      <c r="A7275" s="3" t="s">
        <v>846</v>
      </c>
      <c r="B7275" s="3" t="s">
        <v>356</v>
      </c>
      <c r="C7275" s="3" t="s">
        <v>849</v>
      </c>
    </row>
    <row r="7276">
      <c r="A7276" s="3" t="s">
        <v>846</v>
      </c>
      <c r="B7276" s="3" t="s">
        <v>356</v>
      </c>
      <c r="C7276" s="3" t="s">
        <v>853</v>
      </c>
    </row>
    <row r="7277">
      <c r="A7277" s="3" t="s">
        <v>846</v>
      </c>
      <c r="B7277" s="3" t="s">
        <v>356</v>
      </c>
      <c r="C7277" s="3" t="s">
        <v>850</v>
      </c>
    </row>
    <row r="7278">
      <c r="A7278" s="3" t="s">
        <v>846</v>
      </c>
      <c r="B7278" s="3" t="s">
        <v>847</v>
      </c>
      <c r="C7278" s="3" t="s">
        <v>848</v>
      </c>
    </row>
    <row r="7279">
      <c r="A7279" s="3" t="s">
        <v>846</v>
      </c>
      <c r="B7279" s="3" t="s">
        <v>356</v>
      </c>
      <c r="C7279" s="3" t="s">
        <v>850</v>
      </c>
    </row>
    <row r="7280">
      <c r="A7280" s="3" t="s">
        <v>846</v>
      </c>
      <c r="B7280" s="3" t="s">
        <v>356</v>
      </c>
      <c r="C7280" s="3" t="s">
        <v>850</v>
      </c>
    </row>
    <row r="7281">
      <c r="A7281" s="3" t="s">
        <v>846</v>
      </c>
      <c r="B7281" s="3" t="s">
        <v>356</v>
      </c>
      <c r="C7281" s="3" t="s">
        <v>849</v>
      </c>
    </row>
    <row r="7282">
      <c r="A7282" s="3" t="s">
        <v>854</v>
      </c>
      <c r="B7282" s="3" t="s">
        <v>855</v>
      </c>
      <c r="C7282" s="3" t="s">
        <v>856</v>
      </c>
    </row>
    <row r="7283">
      <c r="A7283" s="3" t="s">
        <v>854</v>
      </c>
      <c r="B7283" s="3" t="s">
        <v>857</v>
      </c>
      <c r="C7283" s="3" t="s">
        <v>858</v>
      </c>
    </row>
    <row r="7284">
      <c r="A7284" s="3" t="s">
        <v>854</v>
      </c>
      <c r="B7284" s="3" t="s">
        <v>173</v>
      </c>
      <c r="C7284" s="3" t="s">
        <v>679</v>
      </c>
    </row>
    <row r="7285">
      <c r="A7285" s="3" t="s">
        <v>854</v>
      </c>
      <c r="B7285" s="3" t="s">
        <v>859</v>
      </c>
      <c r="C7285" s="3" t="s">
        <v>860</v>
      </c>
    </row>
    <row r="7286">
      <c r="A7286" s="3" t="s">
        <v>854</v>
      </c>
      <c r="B7286" s="3" t="s">
        <v>855</v>
      </c>
      <c r="C7286" s="3" t="s">
        <v>856</v>
      </c>
    </row>
    <row r="7287">
      <c r="A7287" s="3" t="s">
        <v>854</v>
      </c>
      <c r="B7287" s="3" t="s">
        <v>861</v>
      </c>
      <c r="C7287" s="3" t="s">
        <v>862</v>
      </c>
    </row>
    <row r="7288">
      <c r="A7288" s="3" t="s">
        <v>854</v>
      </c>
      <c r="B7288" s="3" t="s">
        <v>173</v>
      </c>
      <c r="C7288" s="3" t="s">
        <v>863</v>
      </c>
    </row>
    <row r="7289">
      <c r="A7289" s="3" t="s">
        <v>854</v>
      </c>
      <c r="B7289" s="3" t="s">
        <v>861</v>
      </c>
      <c r="C7289" s="3" t="s">
        <v>862</v>
      </c>
    </row>
    <row r="7290">
      <c r="A7290" s="3" t="s">
        <v>854</v>
      </c>
      <c r="B7290" s="3" t="s">
        <v>864</v>
      </c>
      <c r="C7290" s="3" t="s">
        <v>666</v>
      </c>
    </row>
    <row r="7291">
      <c r="A7291" s="3" t="s">
        <v>854</v>
      </c>
      <c r="B7291" s="3" t="s">
        <v>173</v>
      </c>
      <c r="C7291" s="3" t="s">
        <v>863</v>
      </c>
    </row>
    <row r="7292">
      <c r="A7292" s="3" t="s">
        <v>854</v>
      </c>
      <c r="B7292" s="3" t="s">
        <v>173</v>
      </c>
      <c r="C7292" s="3" t="s">
        <v>865</v>
      </c>
    </row>
    <row r="7293">
      <c r="A7293" s="3" t="s">
        <v>854</v>
      </c>
      <c r="B7293" s="3" t="s">
        <v>173</v>
      </c>
      <c r="C7293" s="3" t="s">
        <v>863</v>
      </c>
    </row>
    <row r="7294">
      <c r="A7294" s="3" t="s">
        <v>854</v>
      </c>
      <c r="B7294" s="3" t="s">
        <v>173</v>
      </c>
      <c r="C7294" s="3" t="s">
        <v>865</v>
      </c>
    </row>
    <row r="7295">
      <c r="A7295" s="3" t="s">
        <v>854</v>
      </c>
      <c r="B7295" s="3" t="s">
        <v>859</v>
      </c>
      <c r="C7295" s="3" t="s">
        <v>562</v>
      </c>
    </row>
    <row r="7296">
      <c r="A7296" s="3" t="s">
        <v>854</v>
      </c>
      <c r="B7296" s="3" t="s">
        <v>864</v>
      </c>
      <c r="C7296" s="3" t="s">
        <v>866</v>
      </c>
    </row>
    <row r="7297">
      <c r="A7297" s="3" t="s">
        <v>854</v>
      </c>
      <c r="B7297" s="3" t="s">
        <v>173</v>
      </c>
      <c r="C7297" s="3" t="s">
        <v>867</v>
      </c>
    </row>
    <row r="7298">
      <c r="A7298" s="3" t="s">
        <v>854</v>
      </c>
      <c r="B7298" s="3" t="s">
        <v>173</v>
      </c>
      <c r="C7298" s="3" t="s">
        <v>863</v>
      </c>
    </row>
    <row r="7299">
      <c r="A7299" s="3" t="s">
        <v>854</v>
      </c>
      <c r="B7299" s="3" t="s">
        <v>857</v>
      </c>
      <c r="C7299" s="3" t="s">
        <v>578</v>
      </c>
    </row>
    <row r="7300">
      <c r="A7300" s="3" t="s">
        <v>854</v>
      </c>
      <c r="B7300" s="3" t="s">
        <v>857</v>
      </c>
      <c r="C7300" s="3" t="s">
        <v>868</v>
      </c>
    </row>
    <row r="7301">
      <c r="A7301" s="3" t="s">
        <v>854</v>
      </c>
      <c r="B7301" s="3" t="s">
        <v>857</v>
      </c>
      <c r="C7301" s="3" t="s">
        <v>578</v>
      </c>
    </row>
    <row r="7302">
      <c r="A7302" s="3" t="s">
        <v>854</v>
      </c>
      <c r="B7302" s="3" t="s">
        <v>861</v>
      </c>
      <c r="C7302" s="3" t="s">
        <v>869</v>
      </c>
    </row>
    <row r="7303">
      <c r="A7303" s="3" t="s">
        <v>854</v>
      </c>
      <c r="B7303" s="3" t="s">
        <v>173</v>
      </c>
      <c r="C7303" s="3" t="s">
        <v>867</v>
      </c>
    </row>
    <row r="7304">
      <c r="A7304" s="3" t="s">
        <v>854</v>
      </c>
      <c r="B7304" s="3" t="s">
        <v>857</v>
      </c>
      <c r="C7304" s="3" t="s">
        <v>578</v>
      </c>
    </row>
    <row r="7305">
      <c r="A7305" s="3" t="s">
        <v>854</v>
      </c>
      <c r="B7305" s="3" t="s">
        <v>864</v>
      </c>
      <c r="C7305" s="3" t="s">
        <v>600</v>
      </c>
    </row>
    <row r="7306">
      <c r="A7306" s="3" t="s">
        <v>854</v>
      </c>
      <c r="B7306" s="3" t="s">
        <v>861</v>
      </c>
      <c r="C7306" s="3" t="s">
        <v>870</v>
      </c>
    </row>
    <row r="7307">
      <c r="A7307" s="3" t="s">
        <v>854</v>
      </c>
      <c r="B7307" s="3" t="s">
        <v>861</v>
      </c>
      <c r="C7307" s="3" t="s">
        <v>871</v>
      </c>
    </row>
    <row r="7308">
      <c r="A7308" s="3" t="s">
        <v>854</v>
      </c>
      <c r="B7308" s="3" t="s">
        <v>173</v>
      </c>
      <c r="C7308" s="3" t="s">
        <v>562</v>
      </c>
    </row>
    <row r="7309">
      <c r="A7309" s="3" t="s">
        <v>854</v>
      </c>
      <c r="B7309" s="3" t="s">
        <v>859</v>
      </c>
      <c r="C7309" s="3" t="s">
        <v>872</v>
      </c>
    </row>
    <row r="7310">
      <c r="A7310" s="3" t="s">
        <v>854</v>
      </c>
      <c r="B7310" s="3" t="s">
        <v>857</v>
      </c>
      <c r="C7310" s="3" t="s">
        <v>578</v>
      </c>
    </row>
    <row r="7311">
      <c r="A7311" s="3" t="s">
        <v>854</v>
      </c>
      <c r="B7311" s="3" t="s">
        <v>864</v>
      </c>
      <c r="C7311" s="3" t="s">
        <v>873</v>
      </c>
    </row>
    <row r="7312">
      <c r="A7312" s="3" t="s">
        <v>854</v>
      </c>
      <c r="B7312" s="3" t="s">
        <v>864</v>
      </c>
      <c r="C7312" s="3" t="s">
        <v>600</v>
      </c>
    </row>
    <row r="7313">
      <c r="A7313" s="3" t="s">
        <v>854</v>
      </c>
      <c r="B7313" s="3" t="s">
        <v>864</v>
      </c>
      <c r="C7313" s="3" t="s">
        <v>600</v>
      </c>
    </row>
    <row r="7314">
      <c r="A7314" s="3" t="s">
        <v>854</v>
      </c>
      <c r="B7314" s="3" t="s">
        <v>861</v>
      </c>
      <c r="C7314" s="3" t="s">
        <v>870</v>
      </c>
    </row>
    <row r="7315">
      <c r="A7315" s="3" t="s">
        <v>854</v>
      </c>
      <c r="B7315" s="3" t="s">
        <v>859</v>
      </c>
      <c r="C7315" s="3" t="s">
        <v>562</v>
      </c>
    </row>
    <row r="7316">
      <c r="A7316" s="3" t="s">
        <v>854</v>
      </c>
      <c r="B7316" s="3" t="s">
        <v>173</v>
      </c>
      <c r="C7316" s="3" t="s">
        <v>562</v>
      </c>
    </row>
    <row r="7317">
      <c r="A7317" s="3" t="s">
        <v>854</v>
      </c>
      <c r="B7317" s="3" t="s">
        <v>173</v>
      </c>
      <c r="C7317" s="3" t="s">
        <v>863</v>
      </c>
    </row>
    <row r="7318">
      <c r="A7318" s="3" t="s">
        <v>854</v>
      </c>
      <c r="B7318" s="3" t="s">
        <v>861</v>
      </c>
      <c r="C7318" s="3" t="s">
        <v>870</v>
      </c>
    </row>
    <row r="7319">
      <c r="A7319" s="3" t="s">
        <v>854</v>
      </c>
      <c r="B7319" s="3" t="s">
        <v>861</v>
      </c>
      <c r="C7319" s="3" t="s">
        <v>869</v>
      </c>
    </row>
    <row r="7320">
      <c r="A7320" s="3" t="s">
        <v>854</v>
      </c>
      <c r="B7320" s="3" t="s">
        <v>861</v>
      </c>
      <c r="C7320" s="3" t="s">
        <v>870</v>
      </c>
    </row>
    <row r="7321">
      <c r="A7321" s="3" t="s">
        <v>854</v>
      </c>
      <c r="B7321" s="3" t="s">
        <v>173</v>
      </c>
      <c r="C7321" s="3" t="s">
        <v>874</v>
      </c>
    </row>
    <row r="7322">
      <c r="A7322" s="3" t="s">
        <v>854</v>
      </c>
      <c r="B7322" s="3" t="s">
        <v>857</v>
      </c>
      <c r="C7322" s="3" t="s">
        <v>578</v>
      </c>
    </row>
    <row r="7323">
      <c r="A7323" s="3" t="s">
        <v>854</v>
      </c>
      <c r="B7323" s="3" t="s">
        <v>859</v>
      </c>
      <c r="C7323" s="3" t="s">
        <v>562</v>
      </c>
    </row>
    <row r="7324">
      <c r="A7324" s="3" t="s">
        <v>854</v>
      </c>
      <c r="B7324" s="3" t="s">
        <v>859</v>
      </c>
      <c r="C7324" s="3" t="s">
        <v>562</v>
      </c>
    </row>
    <row r="7325">
      <c r="A7325" s="3" t="s">
        <v>854</v>
      </c>
      <c r="B7325" s="3" t="s">
        <v>861</v>
      </c>
      <c r="C7325" s="3" t="s">
        <v>862</v>
      </c>
    </row>
    <row r="7326">
      <c r="A7326" s="3" t="s">
        <v>854</v>
      </c>
      <c r="B7326" s="3" t="s">
        <v>857</v>
      </c>
      <c r="C7326" s="3" t="s">
        <v>875</v>
      </c>
    </row>
    <row r="7327">
      <c r="A7327" s="3" t="s">
        <v>854</v>
      </c>
      <c r="B7327" s="3" t="s">
        <v>859</v>
      </c>
      <c r="C7327" s="3" t="s">
        <v>876</v>
      </c>
    </row>
    <row r="7328">
      <c r="A7328" s="3" t="s">
        <v>854</v>
      </c>
      <c r="B7328" s="3" t="s">
        <v>173</v>
      </c>
      <c r="C7328" s="3" t="s">
        <v>874</v>
      </c>
    </row>
    <row r="7329">
      <c r="A7329" s="3" t="s">
        <v>854</v>
      </c>
      <c r="B7329" s="3" t="s">
        <v>857</v>
      </c>
      <c r="C7329" s="3" t="s">
        <v>578</v>
      </c>
    </row>
    <row r="7330">
      <c r="A7330" s="3" t="s">
        <v>854</v>
      </c>
      <c r="B7330" s="3" t="s">
        <v>861</v>
      </c>
      <c r="C7330" s="3" t="s">
        <v>870</v>
      </c>
    </row>
    <row r="7331">
      <c r="A7331" s="3" t="s">
        <v>854</v>
      </c>
      <c r="B7331" s="3" t="s">
        <v>173</v>
      </c>
      <c r="C7331" s="3" t="s">
        <v>867</v>
      </c>
    </row>
    <row r="7332">
      <c r="A7332" s="3" t="s">
        <v>854</v>
      </c>
      <c r="B7332" s="3" t="s">
        <v>173</v>
      </c>
      <c r="C7332" s="3" t="s">
        <v>863</v>
      </c>
    </row>
    <row r="7333">
      <c r="A7333" s="3" t="s">
        <v>854</v>
      </c>
      <c r="B7333" s="3" t="s">
        <v>173</v>
      </c>
      <c r="C7333" s="3" t="s">
        <v>863</v>
      </c>
    </row>
    <row r="7334">
      <c r="A7334" s="3" t="s">
        <v>854</v>
      </c>
      <c r="B7334" s="3" t="s">
        <v>859</v>
      </c>
      <c r="C7334" s="3" t="s">
        <v>872</v>
      </c>
    </row>
    <row r="7335">
      <c r="A7335" s="3" t="s">
        <v>854</v>
      </c>
      <c r="B7335" s="3" t="s">
        <v>859</v>
      </c>
      <c r="C7335" s="3" t="s">
        <v>562</v>
      </c>
    </row>
    <row r="7336">
      <c r="A7336" s="3" t="s">
        <v>854</v>
      </c>
      <c r="B7336" s="3" t="s">
        <v>864</v>
      </c>
      <c r="C7336" s="3" t="s">
        <v>866</v>
      </c>
    </row>
    <row r="7337">
      <c r="A7337" s="3" t="s">
        <v>854</v>
      </c>
      <c r="B7337" s="3" t="s">
        <v>864</v>
      </c>
      <c r="C7337" s="3" t="s">
        <v>666</v>
      </c>
    </row>
    <row r="7338">
      <c r="A7338" s="3" t="s">
        <v>854</v>
      </c>
      <c r="B7338" s="3" t="s">
        <v>859</v>
      </c>
      <c r="C7338" s="3" t="s">
        <v>860</v>
      </c>
    </row>
    <row r="7339">
      <c r="A7339" s="3" t="s">
        <v>854</v>
      </c>
      <c r="B7339" s="3" t="s">
        <v>857</v>
      </c>
      <c r="C7339" s="3" t="s">
        <v>875</v>
      </c>
    </row>
    <row r="7340">
      <c r="A7340" s="3" t="s">
        <v>854</v>
      </c>
      <c r="B7340" s="3" t="s">
        <v>864</v>
      </c>
      <c r="C7340" s="3" t="s">
        <v>866</v>
      </c>
    </row>
    <row r="7341">
      <c r="A7341" s="3" t="s">
        <v>854</v>
      </c>
      <c r="B7341" s="3" t="s">
        <v>859</v>
      </c>
      <c r="C7341" s="3" t="s">
        <v>562</v>
      </c>
    </row>
    <row r="7342">
      <c r="A7342" s="3" t="s">
        <v>854</v>
      </c>
      <c r="B7342" s="3" t="s">
        <v>857</v>
      </c>
      <c r="C7342" s="3" t="s">
        <v>578</v>
      </c>
    </row>
    <row r="7343">
      <c r="A7343" s="3" t="s">
        <v>854</v>
      </c>
      <c r="B7343" s="3" t="s">
        <v>864</v>
      </c>
      <c r="C7343" s="3" t="s">
        <v>666</v>
      </c>
    </row>
    <row r="7344">
      <c r="A7344" s="3" t="s">
        <v>854</v>
      </c>
      <c r="B7344" s="3" t="s">
        <v>861</v>
      </c>
      <c r="C7344" s="3" t="s">
        <v>869</v>
      </c>
    </row>
    <row r="7345">
      <c r="A7345" s="3" t="s">
        <v>854</v>
      </c>
      <c r="B7345" s="3" t="s">
        <v>861</v>
      </c>
      <c r="C7345" s="3" t="s">
        <v>870</v>
      </c>
    </row>
    <row r="7346">
      <c r="A7346" s="3" t="s">
        <v>854</v>
      </c>
      <c r="B7346" s="3" t="s">
        <v>855</v>
      </c>
      <c r="C7346" s="3" t="s">
        <v>856</v>
      </c>
    </row>
    <row r="7347">
      <c r="A7347" s="3" t="s">
        <v>854</v>
      </c>
      <c r="B7347" s="3" t="s">
        <v>173</v>
      </c>
      <c r="C7347" s="3" t="s">
        <v>679</v>
      </c>
    </row>
    <row r="7348">
      <c r="A7348" s="3" t="s">
        <v>854</v>
      </c>
      <c r="B7348" s="3" t="s">
        <v>859</v>
      </c>
      <c r="C7348" s="3" t="s">
        <v>872</v>
      </c>
    </row>
    <row r="7349">
      <c r="A7349" s="3" t="s">
        <v>854</v>
      </c>
      <c r="B7349" s="3" t="s">
        <v>861</v>
      </c>
      <c r="C7349" s="3" t="s">
        <v>862</v>
      </c>
    </row>
    <row r="7350">
      <c r="A7350" s="3" t="s">
        <v>854</v>
      </c>
      <c r="B7350" s="3" t="s">
        <v>861</v>
      </c>
      <c r="C7350" s="3" t="s">
        <v>869</v>
      </c>
    </row>
    <row r="7351">
      <c r="A7351" s="3" t="s">
        <v>854</v>
      </c>
      <c r="B7351" s="3" t="s">
        <v>861</v>
      </c>
      <c r="C7351" s="3" t="s">
        <v>869</v>
      </c>
    </row>
    <row r="7352">
      <c r="A7352" s="3" t="s">
        <v>854</v>
      </c>
      <c r="B7352" s="3" t="s">
        <v>859</v>
      </c>
      <c r="C7352" s="3" t="s">
        <v>562</v>
      </c>
    </row>
    <row r="7353">
      <c r="A7353" s="3" t="s">
        <v>854</v>
      </c>
      <c r="B7353" s="3" t="s">
        <v>861</v>
      </c>
      <c r="C7353" s="3" t="s">
        <v>871</v>
      </c>
    </row>
    <row r="7354">
      <c r="A7354" s="3" t="s">
        <v>854</v>
      </c>
      <c r="B7354" s="3" t="s">
        <v>859</v>
      </c>
      <c r="C7354" s="3" t="s">
        <v>876</v>
      </c>
    </row>
    <row r="7355">
      <c r="A7355" s="3" t="s">
        <v>854</v>
      </c>
      <c r="B7355" s="3" t="s">
        <v>173</v>
      </c>
      <c r="C7355" s="3" t="s">
        <v>874</v>
      </c>
    </row>
    <row r="7356">
      <c r="A7356" s="3" t="s">
        <v>854</v>
      </c>
      <c r="B7356" s="3" t="s">
        <v>857</v>
      </c>
      <c r="C7356" s="3" t="s">
        <v>858</v>
      </c>
    </row>
    <row r="7357">
      <c r="A7357" s="3" t="s">
        <v>854</v>
      </c>
      <c r="B7357" s="3" t="s">
        <v>857</v>
      </c>
      <c r="C7357" s="3" t="s">
        <v>858</v>
      </c>
    </row>
    <row r="7358">
      <c r="A7358" s="3" t="s">
        <v>854</v>
      </c>
      <c r="B7358" s="3" t="s">
        <v>857</v>
      </c>
      <c r="C7358" s="3" t="s">
        <v>858</v>
      </c>
    </row>
    <row r="7359">
      <c r="A7359" s="3" t="s">
        <v>854</v>
      </c>
      <c r="B7359" s="3" t="s">
        <v>857</v>
      </c>
      <c r="C7359" s="3" t="s">
        <v>858</v>
      </c>
    </row>
    <row r="7360">
      <c r="A7360" s="3" t="s">
        <v>854</v>
      </c>
      <c r="B7360" s="3" t="s">
        <v>857</v>
      </c>
      <c r="C7360" s="3" t="s">
        <v>858</v>
      </c>
    </row>
    <row r="7361">
      <c r="A7361" s="3" t="s">
        <v>854</v>
      </c>
      <c r="B7361" s="3" t="s">
        <v>173</v>
      </c>
      <c r="C7361" s="3" t="s">
        <v>867</v>
      </c>
    </row>
    <row r="7362">
      <c r="A7362" s="3" t="s">
        <v>854</v>
      </c>
      <c r="B7362" s="3" t="s">
        <v>861</v>
      </c>
      <c r="C7362" s="3" t="s">
        <v>871</v>
      </c>
    </row>
    <row r="7363">
      <c r="A7363" s="3" t="s">
        <v>854</v>
      </c>
      <c r="B7363" s="3" t="s">
        <v>861</v>
      </c>
      <c r="C7363" s="3" t="s">
        <v>862</v>
      </c>
    </row>
    <row r="7364">
      <c r="A7364" s="3" t="s">
        <v>854</v>
      </c>
      <c r="B7364" s="3" t="s">
        <v>859</v>
      </c>
      <c r="C7364" s="3" t="s">
        <v>876</v>
      </c>
    </row>
    <row r="7365">
      <c r="A7365" s="3" t="s">
        <v>854</v>
      </c>
      <c r="B7365" s="3" t="s">
        <v>861</v>
      </c>
      <c r="C7365" s="3" t="s">
        <v>862</v>
      </c>
    </row>
    <row r="7366">
      <c r="A7366" s="3" t="s">
        <v>854</v>
      </c>
      <c r="B7366" s="3" t="s">
        <v>864</v>
      </c>
      <c r="C7366" s="3" t="s">
        <v>600</v>
      </c>
    </row>
    <row r="7367">
      <c r="A7367" s="3" t="s">
        <v>854</v>
      </c>
      <c r="B7367" s="3" t="s">
        <v>864</v>
      </c>
      <c r="C7367" s="3" t="s">
        <v>600</v>
      </c>
    </row>
    <row r="7368">
      <c r="A7368" s="3" t="s">
        <v>854</v>
      </c>
      <c r="B7368" s="3" t="s">
        <v>864</v>
      </c>
      <c r="C7368" s="3" t="s">
        <v>866</v>
      </c>
    </row>
    <row r="7369">
      <c r="A7369" s="3" t="s">
        <v>854</v>
      </c>
      <c r="B7369" s="3" t="s">
        <v>857</v>
      </c>
      <c r="C7369" s="3" t="s">
        <v>858</v>
      </c>
    </row>
    <row r="7370">
      <c r="A7370" s="3" t="s">
        <v>854</v>
      </c>
      <c r="B7370" s="3" t="s">
        <v>173</v>
      </c>
      <c r="C7370" s="3" t="s">
        <v>863</v>
      </c>
    </row>
    <row r="7371">
      <c r="A7371" s="3" t="s">
        <v>854</v>
      </c>
      <c r="B7371" s="3" t="s">
        <v>861</v>
      </c>
      <c r="C7371" s="3" t="s">
        <v>869</v>
      </c>
    </row>
    <row r="7372">
      <c r="A7372" s="3" t="s">
        <v>854</v>
      </c>
      <c r="B7372" s="3" t="s">
        <v>173</v>
      </c>
      <c r="C7372" s="3" t="s">
        <v>863</v>
      </c>
    </row>
    <row r="7373">
      <c r="A7373" s="3" t="s">
        <v>854</v>
      </c>
      <c r="B7373" s="3" t="s">
        <v>861</v>
      </c>
      <c r="C7373" s="3" t="s">
        <v>870</v>
      </c>
    </row>
    <row r="7374">
      <c r="A7374" s="3" t="s">
        <v>854</v>
      </c>
      <c r="B7374" s="3" t="s">
        <v>861</v>
      </c>
      <c r="C7374" s="3" t="s">
        <v>871</v>
      </c>
    </row>
    <row r="7375">
      <c r="A7375" s="3" t="s">
        <v>854</v>
      </c>
      <c r="B7375" s="3" t="s">
        <v>859</v>
      </c>
      <c r="C7375" s="3" t="s">
        <v>872</v>
      </c>
    </row>
    <row r="7376">
      <c r="A7376" s="3" t="s">
        <v>854</v>
      </c>
      <c r="B7376" s="3" t="s">
        <v>859</v>
      </c>
      <c r="C7376" s="3" t="s">
        <v>872</v>
      </c>
    </row>
    <row r="7377">
      <c r="A7377" s="3" t="s">
        <v>854</v>
      </c>
      <c r="B7377" s="3" t="s">
        <v>859</v>
      </c>
      <c r="C7377" s="3" t="s">
        <v>872</v>
      </c>
    </row>
    <row r="7378">
      <c r="A7378" s="3" t="s">
        <v>854</v>
      </c>
      <c r="B7378" s="3" t="s">
        <v>859</v>
      </c>
      <c r="C7378" s="3" t="s">
        <v>872</v>
      </c>
    </row>
    <row r="7379">
      <c r="A7379" s="3" t="s">
        <v>854</v>
      </c>
      <c r="B7379" s="3" t="s">
        <v>859</v>
      </c>
      <c r="C7379" s="3" t="s">
        <v>872</v>
      </c>
    </row>
    <row r="7380">
      <c r="A7380" s="3" t="s">
        <v>854</v>
      </c>
      <c r="B7380" s="3" t="s">
        <v>173</v>
      </c>
      <c r="C7380" s="3" t="s">
        <v>867</v>
      </c>
    </row>
    <row r="7381">
      <c r="A7381" s="3" t="s">
        <v>854</v>
      </c>
      <c r="B7381" s="3" t="s">
        <v>173</v>
      </c>
      <c r="C7381" s="3" t="s">
        <v>863</v>
      </c>
    </row>
    <row r="7382">
      <c r="A7382" s="3" t="s">
        <v>854</v>
      </c>
      <c r="B7382" s="3" t="s">
        <v>861</v>
      </c>
      <c r="C7382" s="3" t="s">
        <v>870</v>
      </c>
    </row>
    <row r="7383">
      <c r="A7383" s="3" t="s">
        <v>854</v>
      </c>
      <c r="B7383" s="3" t="s">
        <v>173</v>
      </c>
      <c r="C7383" s="3" t="s">
        <v>562</v>
      </c>
    </row>
    <row r="7384">
      <c r="A7384" s="3" t="s">
        <v>854</v>
      </c>
      <c r="B7384" s="3" t="s">
        <v>864</v>
      </c>
      <c r="C7384" s="3" t="s">
        <v>873</v>
      </c>
    </row>
    <row r="7385">
      <c r="A7385" s="3" t="s">
        <v>854</v>
      </c>
      <c r="B7385" s="3" t="s">
        <v>857</v>
      </c>
      <c r="C7385" s="3" t="s">
        <v>858</v>
      </c>
    </row>
    <row r="7386">
      <c r="A7386" s="3" t="s">
        <v>854</v>
      </c>
      <c r="B7386" s="3" t="s">
        <v>861</v>
      </c>
      <c r="C7386" s="3" t="s">
        <v>871</v>
      </c>
    </row>
    <row r="7387">
      <c r="A7387" s="3" t="s">
        <v>854</v>
      </c>
      <c r="B7387" s="3" t="s">
        <v>861</v>
      </c>
      <c r="C7387" s="3" t="s">
        <v>869</v>
      </c>
    </row>
    <row r="7388">
      <c r="A7388" s="3" t="s">
        <v>854</v>
      </c>
      <c r="B7388" s="3" t="s">
        <v>861</v>
      </c>
      <c r="C7388" s="3" t="s">
        <v>870</v>
      </c>
    </row>
    <row r="7389">
      <c r="A7389" s="3" t="s">
        <v>854</v>
      </c>
      <c r="B7389" s="3" t="s">
        <v>861</v>
      </c>
      <c r="C7389" s="3" t="s">
        <v>862</v>
      </c>
    </row>
    <row r="7390">
      <c r="A7390" s="3" t="s">
        <v>854</v>
      </c>
      <c r="B7390" s="3" t="s">
        <v>859</v>
      </c>
      <c r="C7390" s="3" t="s">
        <v>872</v>
      </c>
    </row>
    <row r="7391">
      <c r="A7391" s="3" t="s">
        <v>854</v>
      </c>
      <c r="B7391" s="3" t="s">
        <v>859</v>
      </c>
      <c r="C7391" s="3" t="s">
        <v>860</v>
      </c>
    </row>
    <row r="7392">
      <c r="A7392" s="3" t="s">
        <v>854</v>
      </c>
      <c r="B7392" s="3" t="s">
        <v>859</v>
      </c>
      <c r="C7392" s="3" t="s">
        <v>562</v>
      </c>
    </row>
    <row r="7393">
      <c r="A7393" s="3" t="s">
        <v>854</v>
      </c>
      <c r="B7393" s="3" t="s">
        <v>855</v>
      </c>
      <c r="C7393" s="3" t="s">
        <v>856</v>
      </c>
    </row>
    <row r="7394">
      <c r="A7394" s="3" t="s">
        <v>854</v>
      </c>
      <c r="B7394" s="3" t="s">
        <v>173</v>
      </c>
      <c r="C7394" s="3" t="s">
        <v>865</v>
      </c>
    </row>
    <row r="7395">
      <c r="A7395" s="3" t="s">
        <v>854</v>
      </c>
      <c r="B7395" s="3" t="s">
        <v>173</v>
      </c>
      <c r="C7395" s="3" t="s">
        <v>867</v>
      </c>
    </row>
    <row r="7396">
      <c r="A7396" s="3" t="s">
        <v>854</v>
      </c>
      <c r="B7396" s="3" t="s">
        <v>173</v>
      </c>
      <c r="C7396" s="3" t="s">
        <v>863</v>
      </c>
    </row>
    <row r="7397">
      <c r="A7397" s="3" t="s">
        <v>854</v>
      </c>
      <c r="B7397" s="3" t="s">
        <v>173</v>
      </c>
      <c r="C7397" s="3" t="s">
        <v>874</v>
      </c>
    </row>
    <row r="7398">
      <c r="A7398" s="3" t="s">
        <v>854</v>
      </c>
      <c r="B7398" s="3" t="s">
        <v>173</v>
      </c>
      <c r="C7398" s="3" t="s">
        <v>679</v>
      </c>
    </row>
    <row r="7399">
      <c r="A7399" s="3" t="s">
        <v>854</v>
      </c>
      <c r="B7399" s="3" t="s">
        <v>173</v>
      </c>
      <c r="C7399" s="3" t="s">
        <v>562</v>
      </c>
    </row>
    <row r="7400">
      <c r="A7400" s="3" t="s">
        <v>854</v>
      </c>
      <c r="B7400" s="3" t="s">
        <v>859</v>
      </c>
      <c r="C7400" s="3" t="s">
        <v>872</v>
      </c>
    </row>
    <row r="7401">
      <c r="A7401" s="3" t="s">
        <v>854</v>
      </c>
      <c r="B7401" s="3" t="s">
        <v>859</v>
      </c>
      <c r="C7401" s="3" t="s">
        <v>872</v>
      </c>
    </row>
    <row r="7402">
      <c r="A7402" s="3" t="s">
        <v>854</v>
      </c>
      <c r="B7402" s="3" t="s">
        <v>859</v>
      </c>
      <c r="C7402" s="3" t="s">
        <v>872</v>
      </c>
    </row>
    <row r="7403">
      <c r="A7403" s="3" t="s">
        <v>854</v>
      </c>
      <c r="B7403" s="3" t="s">
        <v>859</v>
      </c>
      <c r="C7403" s="3" t="s">
        <v>872</v>
      </c>
    </row>
    <row r="7404">
      <c r="A7404" s="3" t="s">
        <v>854</v>
      </c>
      <c r="B7404" s="3" t="s">
        <v>859</v>
      </c>
      <c r="C7404" s="3" t="s">
        <v>872</v>
      </c>
    </row>
    <row r="7405">
      <c r="A7405" s="3" t="s">
        <v>854</v>
      </c>
      <c r="B7405" s="3" t="s">
        <v>859</v>
      </c>
      <c r="C7405" s="3" t="s">
        <v>872</v>
      </c>
    </row>
    <row r="7406">
      <c r="A7406" s="3" t="s">
        <v>854</v>
      </c>
      <c r="B7406" s="3" t="s">
        <v>859</v>
      </c>
      <c r="C7406" s="3" t="s">
        <v>872</v>
      </c>
    </row>
    <row r="7407">
      <c r="A7407" s="3" t="s">
        <v>854</v>
      </c>
      <c r="B7407" s="3" t="s">
        <v>173</v>
      </c>
      <c r="C7407" s="3" t="s">
        <v>562</v>
      </c>
    </row>
    <row r="7408">
      <c r="A7408" s="3" t="s">
        <v>854</v>
      </c>
      <c r="B7408" s="3" t="s">
        <v>859</v>
      </c>
      <c r="C7408" s="3" t="s">
        <v>872</v>
      </c>
    </row>
    <row r="7409">
      <c r="A7409" s="3" t="s">
        <v>854</v>
      </c>
      <c r="B7409" s="3" t="s">
        <v>861</v>
      </c>
      <c r="C7409" s="3" t="s">
        <v>870</v>
      </c>
    </row>
    <row r="7410">
      <c r="A7410" s="3" t="s">
        <v>854</v>
      </c>
      <c r="B7410" s="3" t="s">
        <v>859</v>
      </c>
      <c r="C7410" s="3" t="s">
        <v>872</v>
      </c>
    </row>
    <row r="7411">
      <c r="A7411" s="3" t="s">
        <v>854</v>
      </c>
      <c r="B7411" s="3" t="s">
        <v>859</v>
      </c>
      <c r="C7411" s="3" t="s">
        <v>872</v>
      </c>
    </row>
    <row r="7412">
      <c r="A7412" s="3" t="s">
        <v>854</v>
      </c>
      <c r="B7412" s="3" t="s">
        <v>859</v>
      </c>
      <c r="C7412" s="3" t="s">
        <v>872</v>
      </c>
    </row>
    <row r="7413">
      <c r="A7413" s="3" t="s">
        <v>854</v>
      </c>
      <c r="B7413" s="3" t="s">
        <v>173</v>
      </c>
      <c r="C7413" s="3" t="s">
        <v>863</v>
      </c>
    </row>
    <row r="7414">
      <c r="A7414" s="3" t="s">
        <v>854</v>
      </c>
      <c r="B7414" s="3" t="s">
        <v>173</v>
      </c>
      <c r="C7414" s="3" t="s">
        <v>867</v>
      </c>
    </row>
    <row r="7415">
      <c r="A7415" s="3" t="s">
        <v>854</v>
      </c>
      <c r="B7415" s="3" t="s">
        <v>861</v>
      </c>
      <c r="C7415" s="3" t="s">
        <v>862</v>
      </c>
    </row>
    <row r="7416">
      <c r="A7416" s="3" t="s">
        <v>854</v>
      </c>
      <c r="B7416" s="3" t="s">
        <v>859</v>
      </c>
      <c r="C7416" s="3" t="s">
        <v>872</v>
      </c>
    </row>
    <row r="7417">
      <c r="A7417" s="3" t="s">
        <v>854</v>
      </c>
      <c r="B7417" s="3" t="s">
        <v>864</v>
      </c>
      <c r="C7417" s="3" t="s">
        <v>866</v>
      </c>
    </row>
    <row r="7418">
      <c r="A7418" s="3" t="s">
        <v>854</v>
      </c>
      <c r="B7418" s="3" t="s">
        <v>859</v>
      </c>
      <c r="C7418" s="3" t="s">
        <v>872</v>
      </c>
    </row>
    <row r="7419">
      <c r="A7419" s="3" t="s">
        <v>854</v>
      </c>
      <c r="B7419" s="3" t="s">
        <v>859</v>
      </c>
      <c r="C7419" s="3" t="s">
        <v>872</v>
      </c>
    </row>
    <row r="7420">
      <c r="A7420" s="3" t="s">
        <v>854</v>
      </c>
      <c r="B7420" s="3" t="s">
        <v>861</v>
      </c>
      <c r="C7420" s="3" t="s">
        <v>870</v>
      </c>
    </row>
    <row r="7421">
      <c r="A7421" s="3" t="s">
        <v>854</v>
      </c>
      <c r="B7421" s="3" t="s">
        <v>859</v>
      </c>
      <c r="C7421" s="3" t="s">
        <v>872</v>
      </c>
    </row>
    <row r="7422">
      <c r="A7422" s="3" t="s">
        <v>854</v>
      </c>
      <c r="B7422" s="3" t="s">
        <v>864</v>
      </c>
      <c r="C7422" s="3" t="s">
        <v>600</v>
      </c>
    </row>
    <row r="7423">
      <c r="A7423" s="3" t="s">
        <v>854</v>
      </c>
      <c r="B7423" s="3" t="s">
        <v>864</v>
      </c>
      <c r="C7423" s="3" t="s">
        <v>866</v>
      </c>
    </row>
    <row r="7424">
      <c r="A7424" s="3" t="s">
        <v>854</v>
      </c>
      <c r="B7424" s="3" t="s">
        <v>859</v>
      </c>
      <c r="C7424" s="3" t="s">
        <v>872</v>
      </c>
    </row>
    <row r="7425">
      <c r="A7425" s="3" t="s">
        <v>854</v>
      </c>
      <c r="B7425" s="3" t="s">
        <v>859</v>
      </c>
      <c r="C7425" s="3" t="s">
        <v>872</v>
      </c>
    </row>
    <row r="7426">
      <c r="A7426" s="3" t="s">
        <v>854</v>
      </c>
      <c r="B7426" s="3" t="s">
        <v>861</v>
      </c>
      <c r="C7426" s="3" t="s">
        <v>870</v>
      </c>
    </row>
    <row r="7427">
      <c r="A7427" s="3" t="s">
        <v>854</v>
      </c>
      <c r="B7427" s="3" t="s">
        <v>859</v>
      </c>
      <c r="C7427" s="3" t="s">
        <v>872</v>
      </c>
    </row>
    <row r="7428">
      <c r="A7428" s="3" t="s">
        <v>854</v>
      </c>
      <c r="B7428" s="3" t="s">
        <v>859</v>
      </c>
      <c r="C7428" s="3" t="s">
        <v>872</v>
      </c>
    </row>
    <row r="7429">
      <c r="A7429" s="3" t="s">
        <v>854</v>
      </c>
      <c r="B7429" s="3" t="s">
        <v>859</v>
      </c>
      <c r="C7429" s="3" t="s">
        <v>872</v>
      </c>
    </row>
    <row r="7430">
      <c r="A7430" s="3" t="s">
        <v>854</v>
      </c>
      <c r="B7430" s="3" t="s">
        <v>173</v>
      </c>
      <c r="C7430" s="3" t="s">
        <v>863</v>
      </c>
    </row>
    <row r="7431">
      <c r="A7431" s="3" t="s">
        <v>854</v>
      </c>
      <c r="B7431" s="3" t="s">
        <v>859</v>
      </c>
      <c r="C7431" s="3" t="s">
        <v>872</v>
      </c>
    </row>
    <row r="7432">
      <c r="A7432" s="3" t="s">
        <v>854</v>
      </c>
      <c r="B7432" s="3" t="s">
        <v>857</v>
      </c>
      <c r="C7432" s="3" t="s">
        <v>858</v>
      </c>
    </row>
    <row r="7433">
      <c r="A7433" s="3" t="s">
        <v>854</v>
      </c>
      <c r="B7433" s="3" t="s">
        <v>857</v>
      </c>
      <c r="C7433" s="3" t="s">
        <v>858</v>
      </c>
    </row>
    <row r="7434">
      <c r="A7434" s="3" t="s">
        <v>854</v>
      </c>
      <c r="B7434" s="3" t="s">
        <v>857</v>
      </c>
      <c r="C7434" s="3" t="s">
        <v>858</v>
      </c>
    </row>
    <row r="7435">
      <c r="A7435" s="3" t="s">
        <v>854</v>
      </c>
      <c r="B7435" s="3" t="s">
        <v>859</v>
      </c>
      <c r="C7435" s="3" t="s">
        <v>872</v>
      </c>
    </row>
    <row r="7436">
      <c r="A7436" s="3" t="s">
        <v>854</v>
      </c>
      <c r="B7436" s="3" t="s">
        <v>859</v>
      </c>
      <c r="C7436" s="3" t="s">
        <v>860</v>
      </c>
    </row>
    <row r="7437">
      <c r="A7437" s="3" t="s">
        <v>854</v>
      </c>
      <c r="B7437" s="3" t="s">
        <v>861</v>
      </c>
      <c r="C7437" s="3" t="s">
        <v>862</v>
      </c>
    </row>
    <row r="7438">
      <c r="A7438" s="3" t="s">
        <v>854</v>
      </c>
      <c r="B7438" s="3" t="s">
        <v>861</v>
      </c>
      <c r="C7438" s="3" t="s">
        <v>869</v>
      </c>
    </row>
    <row r="7439">
      <c r="A7439" s="3" t="s">
        <v>854</v>
      </c>
      <c r="B7439" s="3" t="s">
        <v>857</v>
      </c>
      <c r="C7439" s="3" t="s">
        <v>858</v>
      </c>
    </row>
    <row r="7440">
      <c r="A7440" s="3" t="s">
        <v>854</v>
      </c>
      <c r="B7440" s="3" t="s">
        <v>859</v>
      </c>
      <c r="C7440" s="3" t="s">
        <v>872</v>
      </c>
    </row>
    <row r="7441">
      <c r="A7441" s="3" t="s">
        <v>854</v>
      </c>
      <c r="B7441" s="3" t="s">
        <v>864</v>
      </c>
      <c r="C7441" s="3" t="s">
        <v>866</v>
      </c>
    </row>
    <row r="7442">
      <c r="A7442" s="3" t="s">
        <v>854</v>
      </c>
      <c r="B7442" s="3" t="s">
        <v>173</v>
      </c>
      <c r="C7442" s="3" t="s">
        <v>863</v>
      </c>
    </row>
    <row r="7443">
      <c r="A7443" s="3" t="s">
        <v>854</v>
      </c>
      <c r="B7443" s="3" t="s">
        <v>859</v>
      </c>
      <c r="C7443" s="3" t="s">
        <v>872</v>
      </c>
    </row>
    <row r="7444">
      <c r="A7444" s="3" t="s">
        <v>854</v>
      </c>
      <c r="B7444" s="3" t="s">
        <v>859</v>
      </c>
      <c r="C7444" s="3" t="s">
        <v>872</v>
      </c>
    </row>
    <row r="7445">
      <c r="A7445" s="3" t="s">
        <v>386</v>
      </c>
      <c r="B7445" s="3" t="s">
        <v>387</v>
      </c>
      <c r="C7445" s="3" t="s">
        <v>877</v>
      </c>
    </row>
    <row r="7446">
      <c r="A7446" s="3" t="s">
        <v>386</v>
      </c>
      <c r="B7446" s="3" t="s">
        <v>387</v>
      </c>
      <c r="C7446" s="3" t="s">
        <v>877</v>
      </c>
    </row>
    <row r="7447">
      <c r="A7447" s="3" t="s">
        <v>386</v>
      </c>
      <c r="B7447" s="3" t="s">
        <v>387</v>
      </c>
      <c r="C7447" s="3" t="s">
        <v>877</v>
      </c>
    </row>
    <row r="7448">
      <c r="A7448" s="3" t="s">
        <v>386</v>
      </c>
      <c r="B7448" s="3" t="s">
        <v>387</v>
      </c>
      <c r="C7448" s="3" t="s">
        <v>877</v>
      </c>
    </row>
    <row r="7449">
      <c r="A7449" s="3" t="s">
        <v>386</v>
      </c>
      <c r="B7449" s="3" t="s">
        <v>387</v>
      </c>
      <c r="C7449" s="3" t="s">
        <v>877</v>
      </c>
    </row>
    <row r="7450">
      <c r="A7450" s="3" t="s">
        <v>386</v>
      </c>
      <c r="B7450" s="3" t="s">
        <v>387</v>
      </c>
      <c r="C7450" s="3" t="s">
        <v>877</v>
      </c>
    </row>
    <row r="7451">
      <c r="A7451" s="3" t="s">
        <v>386</v>
      </c>
      <c r="B7451" s="3" t="s">
        <v>387</v>
      </c>
      <c r="C7451" s="3" t="s">
        <v>877</v>
      </c>
    </row>
    <row r="7452">
      <c r="A7452" s="3" t="s">
        <v>386</v>
      </c>
      <c r="B7452" s="3" t="s">
        <v>387</v>
      </c>
      <c r="C7452" s="3" t="s">
        <v>877</v>
      </c>
    </row>
    <row r="7453">
      <c r="A7453" s="3" t="s">
        <v>386</v>
      </c>
      <c r="B7453" s="3" t="s">
        <v>387</v>
      </c>
      <c r="C7453" s="3" t="s">
        <v>877</v>
      </c>
    </row>
    <row r="7454">
      <c r="A7454" s="3" t="s">
        <v>386</v>
      </c>
      <c r="B7454" s="3" t="s">
        <v>878</v>
      </c>
      <c r="C7454" s="3" t="s">
        <v>879</v>
      </c>
    </row>
    <row r="7455">
      <c r="A7455" s="3" t="s">
        <v>386</v>
      </c>
      <c r="B7455" s="3" t="s">
        <v>387</v>
      </c>
      <c r="C7455" s="3" t="s">
        <v>877</v>
      </c>
    </row>
    <row r="7456">
      <c r="A7456" s="3" t="s">
        <v>386</v>
      </c>
      <c r="B7456" s="3" t="s">
        <v>387</v>
      </c>
      <c r="C7456" s="3" t="s">
        <v>877</v>
      </c>
    </row>
    <row r="7457">
      <c r="A7457" s="3" t="s">
        <v>386</v>
      </c>
      <c r="B7457" s="3" t="s">
        <v>387</v>
      </c>
      <c r="C7457" s="3" t="s">
        <v>877</v>
      </c>
    </row>
    <row r="7458">
      <c r="A7458" s="3" t="s">
        <v>386</v>
      </c>
      <c r="B7458" s="3" t="s">
        <v>387</v>
      </c>
      <c r="C7458" s="3" t="s">
        <v>877</v>
      </c>
    </row>
    <row r="7459">
      <c r="A7459" s="3" t="s">
        <v>386</v>
      </c>
      <c r="B7459" s="3" t="s">
        <v>387</v>
      </c>
      <c r="C7459" s="3" t="s">
        <v>877</v>
      </c>
    </row>
    <row r="7460">
      <c r="A7460" s="3" t="s">
        <v>391</v>
      </c>
      <c r="B7460" s="3" t="s">
        <v>392</v>
      </c>
      <c r="C7460" s="3" t="s">
        <v>880</v>
      </c>
    </row>
    <row r="7461">
      <c r="A7461" s="3" t="s">
        <v>391</v>
      </c>
      <c r="B7461" s="3" t="s">
        <v>392</v>
      </c>
      <c r="C7461" s="3" t="s">
        <v>881</v>
      </c>
    </row>
    <row r="7462">
      <c r="A7462" s="3" t="s">
        <v>391</v>
      </c>
      <c r="B7462" s="3" t="s">
        <v>882</v>
      </c>
      <c r="C7462" s="3" t="s">
        <v>883</v>
      </c>
    </row>
    <row r="7463">
      <c r="A7463" s="3" t="s">
        <v>391</v>
      </c>
      <c r="B7463" s="3" t="s">
        <v>392</v>
      </c>
      <c r="C7463" s="3" t="s">
        <v>884</v>
      </c>
    </row>
    <row r="7464">
      <c r="A7464" s="3" t="s">
        <v>391</v>
      </c>
      <c r="B7464" s="3" t="s">
        <v>392</v>
      </c>
      <c r="C7464" s="3" t="s">
        <v>885</v>
      </c>
    </row>
    <row r="7465">
      <c r="A7465" s="3" t="s">
        <v>391</v>
      </c>
      <c r="B7465" s="3" t="s">
        <v>886</v>
      </c>
      <c r="C7465" s="3" t="s">
        <v>887</v>
      </c>
    </row>
    <row r="7466">
      <c r="A7466" s="3" t="s">
        <v>391</v>
      </c>
      <c r="B7466" s="3" t="s">
        <v>886</v>
      </c>
      <c r="C7466" s="3" t="s">
        <v>827</v>
      </c>
    </row>
    <row r="7467">
      <c r="A7467" s="3" t="s">
        <v>391</v>
      </c>
      <c r="B7467" s="3" t="s">
        <v>888</v>
      </c>
      <c r="C7467" s="3" t="s">
        <v>889</v>
      </c>
    </row>
    <row r="7468">
      <c r="A7468" s="3" t="s">
        <v>391</v>
      </c>
      <c r="B7468" s="3" t="s">
        <v>888</v>
      </c>
      <c r="C7468" s="3" t="s">
        <v>889</v>
      </c>
    </row>
    <row r="7469">
      <c r="A7469" s="3" t="s">
        <v>391</v>
      </c>
      <c r="B7469" s="3" t="s">
        <v>890</v>
      </c>
      <c r="C7469" s="3" t="s">
        <v>891</v>
      </c>
    </row>
    <row r="7470">
      <c r="A7470" s="3" t="s">
        <v>391</v>
      </c>
      <c r="B7470" s="3" t="s">
        <v>890</v>
      </c>
      <c r="C7470" s="3" t="s">
        <v>892</v>
      </c>
    </row>
    <row r="7471">
      <c r="A7471" s="3" t="s">
        <v>391</v>
      </c>
      <c r="B7471" s="3" t="s">
        <v>392</v>
      </c>
      <c r="C7471" s="3" t="s">
        <v>893</v>
      </c>
    </row>
    <row r="7472">
      <c r="A7472" s="3" t="s">
        <v>391</v>
      </c>
      <c r="B7472" s="3" t="s">
        <v>890</v>
      </c>
      <c r="C7472" s="3" t="s">
        <v>894</v>
      </c>
    </row>
    <row r="7473">
      <c r="A7473" s="3" t="s">
        <v>391</v>
      </c>
      <c r="B7473" s="3" t="s">
        <v>886</v>
      </c>
      <c r="C7473" s="3" t="s">
        <v>887</v>
      </c>
    </row>
    <row r="7474">
      <c r="A7474" s="3" t="s">
        <v>391</v>
      </c>
      <c r="B7474" s="3" t="s">
        <v>882</v>
      </c>
      <c r="C7474" s="3" t="s">
        <v>883</v>
      </c>
    </row>
    <row r="7475">
      <c r="A7475" s="3" t="s">
        <v>391</v>
      </c>
      <c r="B7475" s="3" t="s">
        <v>392</v>
      </c>
      <c r="C7475" s="3" t="s">
        <v>881</v>
      </c>
    </row>
    <row r="7476">
      <c r="A7476" s="3" t="s">
        <v>391</v>
      </c>
      <c r="B7476" s="3" t="s">
        <v>392</v>
      </c>
      <c r="C7476" s="3" t="s">
        <v>895</v>
      </c>
    </row>
    <row r="7477">
      <c r="A7477" s="3" t="s">
        <v>391</v>
      </c>
      <c r="B7477" s="3" t="s">
        <v>392</v>
      </c>
      <c r="C7477" s="3" t="s">
        <v>884</v>
      </c>
    </row>
    <row r="7478">
      <c r="A7478" s="3" t="s">
        <v>391</v>
      </c>
      <c r="B7478" s="3" t="s">
        <v>882</v>
      </c>
      <c r="C7478" s="3" t="s">
        <v>896</v>
      </c>
    </row>
    <row r="7479">
      <c r="A7479" s="3" t="s">
        <v>391</v>
      </c>
      <c r="B7479" s="3" t="s">
        <v>392</v>
      </c>
      <c r="C7479" s="3" t="s">
        <v>893</v>
      </c>
    </row>
    <row r="7480">
      <c r="A7480" s="3" t="s">
        <v>391</v>
      </c>
      <c r="B7480" s="3" t="s">
        <v>392</v>
      </c>
      <c r="C7480" s="3" t="s">
        <v>884</v>
      </c>
    </row>
    <row r="7481">
      <c r="A7481" s="3" t="s">
        <v>391</v>
      </c>
      <c r="B7481" s="3" t="s">
        <v>882</v>
      </c>
      <c r="C7481" s="3" t="s">
        <v>897</v>
      </c>
    </row>
    <row r="7482">
      <c r="A7482" s="3" t="s">
        <v>391</v>
      </c>
      <c r="B7482" s="3" t="s">
        <v>392</v>
      </c>
      <c r="C7482" s="3" t="s">
        <v>898</v>
      </c>
    </row>
    <row r="7483">
      <c r="A7483" s="3" t="s">
        <v>391</v>
      </c>
      <c r="B7483" s="3" t="s">
        <v>392</v>
      </c>
      <c r="C7483" s="3" t="s">
        <v>884</v>
      </c>
    </row>
    <row r="7484">
      <c r="A7484" s="3" t="s">
        <v>391</v>
      </c>
      <c r="B7484" s="3" t="s">
        <v>392</v>
      </c>
      <c r="C7484" s="3" t="s">
        <v>899</v>
      </c>
    </row>
    <row r="7485">
      <c r="A7485" s="3" t="s">
        <v>391</v>
      </c>
      <c r="B7485" s="3" t="s">
        <v>392</v>
      </c>
      <c r="C7485" s="3" t="s">
        <v>884</v>
      </c>
    </row>
    <row r="7486">
      <c r="A7486" s="3" t="s">
        <v>391</v>
      </c>
      <c r="B7486" s="3" t="s">
        <v>392</v>
      </c>
      <c r="C7486" s="3" t="s">
        <v>899</v>
      </c>
    </row>
    <row r="7487">
      <c r="A7487" s="3" t="s">
        <v>391</v>
      </c>
      <c r="B7487" s="3" t="s">
        <v>392</v>
      </c>
      <c r="C7487" s="3" t="s">
        <v>899</v>
      </c>
    </row>
    <row r="7488">
      <c r="A7488" s="3" t="s">
        <v>391</v>
      </c>
      <c r="B7488" s="3" t="s">
        <v>886</v>
      </c>
      <c r="C7488" s="3" t="s">
        <v>900</v>
      </c>
    </row>
    <row r="7489">
      <c r="A7489" s="3" t="s">
        <v>391</v>
      </c>
      <c r="B7489" s="3" t="s">
        <v>392</v>
      </c>
      <c r="C7489" s="3" t="s">
        <v>896</v>
      </c>
    </row>
    <row r="7490">
      <c r="A7490" s="3" t="s">
        <v>391</v>
      </c>
      <c r="B7490" s="3" t="s">
        <v>882</v>
      </c>
      <c r="C7490" s="3" t="s">
        <v>897</v>
      </c>
    </row>
    <row r="7491">
      <c r="A7491" s="3" t="s">
        <v>391</v>
      </c>
      <c r="B7491" s="3" t="s">
        <v>392</v>
      </c>
      <c r="C7491" s="3" t="s">
        <v>893</v>
      </c>
    </row>
    <row r="7492">
      <c r="A7492" s="3" t="s">
        <v>391</v>
      </c>
      <c r="B7492" s="3" t="s">
        <v>886</v>
      </c>
      <c r="C7492" s="3" t="s">
        <v>900</v>
      </c>
    </row>
    <row r="7493">
      <c r="A7493" s="3" t="s">
        <v>391</v>
      </c>
      <c r="B7493" s="3" t="s">
        <v>392</v>
      </c>
      <c r="C7493" s="3" t="s">
        <v>896</v>
      </c>
    </row>
    <row r="7494">
      <c r="A7494" s="3" t="s">
        <v>391</v>
      </c>
      <c r="B7494" s="3" t="s">
        <v>882</v>
      </c>
      <c r="C7494" s="3" t="s">
        <v>897</v>
      </c>
    </row>
    <row r="7495">
      <c r="A7495" s="3" t="s">
        <v>391</v>
      </c>
      <c r="B7495" s="3" t="s">
        <v>392</v>
      </c>
      <c r="C7495" s="3" t="s">
        <v>881</v>
      </c>
    </row>
    <row r="7496">
      <c r="A7496" s="3" t="s">
        <v>391</v>
      </c>
      <c r="B7496" s="3" t="s">
        <v>886</v>
      </c>
      <c r="C7496" s="3" t="s">
        <v>887</v>
      </c>
    </row>
    <row r="7497">
      <c r="A7497" s="3" t="s">
        <v>391</v>
      </c>
      <c r="B7497" s="3" t="s">
        <v>882</v>
      </c>
      <c r="C7497" s="3" t="s">
        <v>883</v>
      </c>
    </row>
    <row r="7498">
      <c r="A7498" s="3" t="s">
        <v>391</v>
      </c>
      <c r="B7498" s="3" t="s">
        <v>890</v>
      </c>
      <c r="C7498" s="3" t="s">
        <v>894</v>
      </c>
    </row>
    <row r="7499">
      <c r="A7499" s="3" t="s">
        <v>391</v>
      </c>
      <c r="B7499" s="3" t="s">
        <v>392</v>
      </c>
      <c r="C7499" s="3" t="s">
        <v>896</v>
      </c>
    </row>
    <row r="7500">
      <c r="A7500" s="3" t="s">
        <v>391</v>
      </c>
      <c r="B7500" s="3" t="s">
        <v>882</v>
      </c>
      <c r="C7500" s="3" t="s">
        <v>897</v>
      </c>
    </row>
    <row r="7501">
      <c r="A7501" s="3" t="s">
        <v>391</v>
      </c>
      <c r="B7501" s="3" t="s">
        <v>890</v>
      </c>
      <c r="C7501" s="3" t="s">
        <v>891</v>
      </c>
    </row>
    <row r="7502">
      <c r="A7502" s="3" t="s">
        <v>391</v>
      </c>
      <c r="B7502" s="3" t="s">
        <v>890</v>
      </c>
      <c r="C7502" s="3" t="s">
        <v>891</v>
      </c>
    </row>
    <row r="7503">
      <c r="A7503" s="3" t="s">
        <v>391</v>
      </c>
      <c r="B7503" s="3" t="s">
        <v>890</v>
      </c>
      <c r="C7503" s="3" t="s">
        <v>891</v>
      </c>
    </row>
    <row r="7504">
      <c r="A7504" s="3" t="s">
        <v>391</v>
      </c>
      <c r="B7504" s="3" t="s">
        <v>392</v>
      </c>
      <c r="C7504" s="3" t="s">
        <v>896</v>
      </c>
    </row>
    <row r="7505">
      <c r="A7505" s="3" t="s">
        <v>391</v>
      </c>
      <c r="B7505" s="3" t="s">
        <v>882</v>
      </c>
      <c r="C7505" s="3" t="s">
        <v>896</v>
      </c>
    </row>
    <row r="7506">
      <c r="A7506" s="3" t="s">
        <v>391</v>
      </c>
      <c r="B7506" s="3" t="s">
        <v>890</v>
      </c>
      <c r="C7506" s="3" t="s">
        <v>892</v>
      </c>
    </row>
    <row r="7507">
      <c r="A7507" s="3" t="s">
        <v>391</v>
      </c>
      <c r="B7507" s="3" t="s">
        <v>886</v>
      </c>
      <c r="C7507" s="3" t="s">
        <v>900</v>
      </c>
    </row>
    <row r="7508">
      <c r="A7508" s="3" t="s">
        <v>391</v>
      </c>
      <c r="B7508" s="3" t="s">
        <v>886</v>
      </c>
      <c r="C7508" s="3" t="s">
        <v>887</v>
      </c>
    </row>
    <row r="7509">
      <c r="A7509" s="3" t="s">
        <v>391</v>
      </c>
      <c r="B7509" s="3" t="s">
        <v>392</v>
      </c>
      <c r="C7509" s="3" t="s">
        <v>884</v>
      </c>
    </row>
    <row r="7510">
      <c r="A7510" s="3" t="s">
        <v>391</v>
      </c>
      <c r="B7510" s="3" t="s">
        <v>392</v>
      </c>
      <c r="C7510" s="3" t="s">
        <v>896</v>
      </c>
    </row>
    <row r="7511">
      <c r="A7511" s="3" t="s">
        <v>391</v>
      </c>
      <c r="B7511" s="3" t="s">
        <v>882</v>
      </c>
      <c r="C7511" s="3" t="s">
        <v>896</v>
      </c>
    </row>
    <row r="7512">
      <c r="A7512" s="3" t="s">
        <v>391</v>
      </c>
      <c r="B7512" s="3" t="s">
        <v>890</v>
      </c>
      <c r="C7512" s="3" t="s">
        <v>891</v>
      </c>
    </row>
    <row r="7513">
      <c r="A7513" s="3" t="s">
        <v>391</v>
      </c>
      <c r="B7513" s="3" t="s">
        <v>392</v>
      </c>
      <c r="C7513" s="3" t="s">
        <v>885</v>
      </c>
    </row>
    <row r="7514">
      <c r="A7514" s="3" t="s">
        <v>391</v>
      </c>
      <c r="B7514" s="3" t="s">
        <v>886</v>
      </c>
      <c r="C7514" s="3" t="s">
        <v>887</v>
      </c>
    </row>
    <row r="7515">
      <c r="A7515" s="3" t="s">
        <v>391</v>
      </c>
      <c r="B7515" s="3" t="s">
        <v>392</v>
      </c>
      <c r="C7515" s="3" t="s">
        <v>893</v>
      </c>
    </row>
    <row r="7516">
      <c r="A7516" s="3" t="s">
        <v>391</v>
      </c>
      <c r="B7516" s="3" t="s">
        <v>392</v>
      </c>
      <c r="C7516" s="3" t="s">
        <v>898</v>
      </c>
    </row>
    <row r="7517">
      <c r="A7517" s="3" t="s">
        <v>391</v>
      </c>
      <c r="B7517" s="3" t="s">
        <v>392</v>
      </c>
      <c r="C7517" s="3" t="s">
        <v>893</v>
      </c>
    </row>
    <row r="7518">
      <c r="A7518" s="3" t="s">
        <v>391</v>
      </c>
      <c r="B7518" s="3" t="s">
        <v>886</v>
      </c>
      <c r="C7518" s="3" t="s">
        <v>887</v>
      </c>
    </row>
    <row r="7519">
      <c r="A7519" s="3" t="s">
        <v>391</v>
      </c>
      <c r="B7519" s="3" t="s">
        <v>392</v>
      </c>
      <c r="C7519" s="3" t="s">
        <v>880</v>
      </c>
    </row>
    <row r="7520">
      <c r="A7520" s="3" t="s">
        <v>391</v>
      </c>
      <c r="B7520" s="3" t="s">
        <v>888</v>
      </c>
      <c r="C7520" s="3" t="s">
        <v>889</v>
      </c>
    </row>
    <row r="7521">
      <c r="A7521" s="3" t="s">
        <v>391</v>
      </c>
      <c r="B7521" s="3" t="s">
        <v>890</v>
      </c>
      <c r="C7521" s="3" t="s">
        <v>891</v>
      </c>
    </row>
    <row r="7522">
      <c r="A7522" s="3" t="s">
        <v>391</v>
      </c>
      <c r="B7522" s="3" t="s">
        <v>392</v>
      </c>
      <c r="C7522" s="3" t="s">
        <v>899</v>
      </c>
    </row>
    <row r="7523">
      <c r="A7523" s="3" t="s">
        <v>391</v>
      </c>
      <c r="B7523" s="3" t="s">
        <v>886</v>
      </c>
      <c r="C7523" s="3" t="s">
        <v>900</v>
      </c>
    </row>
    <row r="7524">
      <c r="A7524" s="3" t="s">
        <v>391</v>
      </c>
      <c r="B7524" s="3" t="s">
        <v>392</v>
      </c>
      <c r="C7524" s="3" t="s">
        <v>884</v>
      </c>
    </row>
    <row r="7525">
      <c r="A7525" s="3" t="s">
        <v>391</v>
      </c>
      <c r="B7525" s="3" t="s">
        <v>392</v>
      </c>
      <c r="C7525" s="3" t="s">
        <v>885</v>
      </c>
    </row>
    <row r="7526">
      <c r="A7526" s="3" t="s">
        <v>391</v>
      </c>
      <c r="B7526" s="3" t="s">
        <v>888</v>
      </c>
      <c r="C7526" s="3" t="s">
        <v>889</v>
      </c>
    </row>
    <row r="7527">
      <c r="A7527" s="3" t="s">
        <v>391</v>
      </c>
      <c r="B7527" s="3" t="s">
        <v>886</v>
      </c>
      <c r="C7527" s="3" t="s">
        <v>900</v>
      </c>
    </row>
    <row r="7528">
      <c r="A7528" s="3" t="s">
        <v>391</v>
      </c>
      <c r="B7528" s="3" t="s">
        <v>886</v>
      </c>
      <c r="C7528" s="3" t="s">
        <v>901</v>
      </c>
    </row>
    <row r="7529">
      <c r="A7529" s="3" t="s">
        <v>391</v>
      </c>
      <c r="B7529" s="3" t="s">
        <v>886</v>
      </c>
      <c r="C7529" s="3" t="s">
        <v>900</v>
      </c>
    </row>
    <row r="7530">
      <c r="A7530" s="3" t="s">
        <v>391</v>
      </c>
      <c r="B7530" s="3" t="s">
        <v>392</v>
      </c>
      <c r="C7530" s="3" t="s">
        <v>896</v>
      </c>
    </row>
    <row r="7531">
      <c r="A7531" s="3" t="s">
        <v>391</v>
      </c>
      <c r="B7531" s="3" t="s">
        <v>882</v>
      </c>
      <c r="C7531" s="3" t="s">
        <v>897</v>
      </c>
    </row>
    <row r="7532">
      <c r="A7532" s="3" t="s">
        <v>391</v>
      </c>
      <c r="B7532" s="3" t="s">
        <v>890</v>
      </c>
      <c r="C7532" s="3" t="s">
        <v>894</v>
      </c>
    </row>
    <row r="7533">
      <c r="A7533" s="3" t="s">
        <v>391</v>
      </c>
      <c r="B7533" s="3" t="s">
        <v>890</v>
      </c>
      <c r="C7533" s="3" t="s">
        <v>891</v>
      </c>
    </row>
    <row r="7534">
      <c r="A7534" s="3" t="s">
        <v>391</v>
      </c>
      <c r="B7534" s="3" t="s">
        <v>890</v>
      </c>
      <c r="C7534" s="3" t="s">
        <v>892</v>
      </c>
    </row>
    <row r="7535">
      <c r="A7535" s="3" t="s">
        <v>391</v>
      </c>
      <c r="B7535" s="3" t="s">
        <v>890</v>
      </c>
      <c r="C7535" s="3" t="s">
        <v>892</v>
      </c>
    </row>
    <row r="7536">
      <c r="A7536" s="3" t="s">
        <v>391</v>
      </c>
      <c r="B7536" s="3" t="s">
        <v>890</v>
      </c>
      <c r="C7536" s="3" t="s">
        <v>891</v>
      </c>
    </row>
    <row r="7537">
      <c r="A7537" s="3" t="s">
        <v>391</v>
      </c>
      <c r="B7537" s="3" t="s">
        <v>392</v>
      </c>
      <c r="C7537" s="3" t="s">
        <v>898</v>
      </c>
    </row>
    <row r="7538">
      <c r="A7538" s="3" t="s">
        <v>391</v>
      </c>
      <c r="B7538" s="3" t="s">
        <v>886</v>
      </c>
      <c r="C7538" s="3" t="s">
        <v>902</v>
      </c>
    </row>
    <row r="7539">
      <c r="A7539" s="3" t="s">
        <v>391</v>
      </c>
      <c r="B7539" s="3" t="s">
        <v>392</v>
      </c>
      <c r="C7539" s="3" t="s">
        <v>898</v>
      </c>
    </row>
    <row r="7540">
      <c r="A7540" s="3" t="s">
        <v>391</v>
      </c>
      <c r="B7540" s="3" t="s">
        <v>886</v>
      </c>
      <c r="C7540" s="3" t="s">
        <v>901</v>
      </c>
    </row>
    <row r="7541">
      <c r="A7541" s="3" t="s">
        <v>391</v>
      </c>
      <c r="B7541" s="3" t="s">
        <v>392</v>
      </c>
      <c r="C7541" s="3" t="s">
        <v>903</v>
      </c>
    </row>
    <row r="7542">
      <c r="A7542" s="3" t="s">
        <v>391</v>
      </c>
      <c r="B7542" s="3" t="s">
        <v>888</v>
      </c>
      <c r="C7542" s="3" t="s">
        <v>889</v>
      </c>
    </row>
    <row r="7543">
      <c r="A7543" s="3" t="s">
        <v>391</v>
      </c>
      <c r="B7543" s="3" t="s">
        <v>886</v>
      </c>
      <c r="C7543" s="3" t="s">
        <v>902</v>
      </c>
    </row>
    <row r="7544">
      <c r="A7544" s="3" t="s">
        <v>391</v>
      </c>
      <c r="B7544" s="3" t="s">
        <v>890</v>
      </c>
      <c r="C7544" s="3" t="s">
        <v>892</v>
      </c>
    </row>
    <row r="7545">
      <c r="A7545" s="3" t="s">
        <v>391</v>
      </c>
      <c r="B7545" s="3" t="s">
        <v>890</v>
      </c>
      <c r="C7545" s="3" t="s">
        <v>891</v>
      </c>
    </row>
    <row r="7546">
      <c r="A7546" s="3" t="s">
        <v>391</v>
      </c>
      <c r="B7546" s="3" t="s">
        <v>886</v>
      </c>
      <c r="C7546" s="3" t="s">
        <v>902</v>
      </c>
    </row>
    <row r="7547">
      <c r="A7547" s="3" t="s">
        <v>391</v>
      </c>
      <c r="B7547" s="3" t="s">
        <v>886</v>
      </c>
      <c r="C7547" s="3" t="s">
        <v>901</v>
      </c>
    </row>
    <row r="7548">
      <c r="A7548" s="3" t="s">
        <v>391</v>
      </c>
      <c r="B7548" s="3" t="s">
        <v>392</v>
      </c>
      <c r="C7548" s="3" t="s">
        <v>903</v>
      </c>
    </row>
    <row r="7549">
      <c r="A7549" s="3" t="s">
        <v>391</v>
      </c>
      <c r="B7549" s="3" t="s">
        <v>392</v>
      </c>
      <c r="C7549" s="3" t="s">
        <v>885</v>
      </c>
    </row>
    <row r="7550">
      <c r="A7550" s="3" t="s">
        <v>391</v>
      </c>
      <c r="B7550" s="3" t="s">
        <v>886</v>
      </c>
      <c r="C7550" s="3" t="s">
        <v>901</v>
      </c>
    </row>
    <row r="7551">
      <c r="A7551" s="3" t="s">
        <v>391</v>
      </c>
      <c r="B7551" s="3" t="s">
        <v>886</v>
      </c>
      <c r="C7551" s="3" t="s">
        <v>901</v>
      </c>
    </row>
    <row r="7552">
      <c r="A7552" s="3" t="s">
        <v>391</v>
      </c>
      <c r="B7552" s="3" t="s">
        <v>890</v>
      </c>
      <c r="C7552" s="3" t="s">
        <v>892</v>
      </c>
    </row>
    <row r="7553">
      <c r="A7553" s="3" t="s">
        <v>391</v>
      </c>
      <c r="B7553" s="3" t="s">
        <v>392</v>
      </c>
      <c r="C7553" s="3" t="s">
        <v>885</v>
      </c>
    </row>
    <row r="7554">
      <c r="A7554" s="3" t="s">
        <v>391</v>
      </c>
      <c r="B7554" s="3" t="s">
        <v>886</v>
      </c>
      <c r="C7554" s="3" t="s">
        <v>900</v>
      </c>
    </row>
    <row r="7555">
      <c r="A7555" s="3" t="s">
        <v>391</v>
      </c>
      <c r="B7555" s="3" t="s">
        <v>886</v>
      </c>
      <c r="C7555" s="3" t="s">
        <v>900</v>
      </c>
    </row>
    <row r="7556">
      <c r="A7556" s="3" t="s">
        <v>391</v>
      </c>
      <c r="B7556" s="3" t="s">
        <v>392</v>
      </c>
      <c r="C7556" s="3" t="s">
        <v>896</v>
      </c>
    </row>
    <row r="7557">
      <c r="A7557" s="3" t="s">
        <v>391</v>
      </c>
      <c r="B7557" s="3" t="s">
        <v>882</v>
      </c>
      <c r="C7557" s="3" t="s">
        <v>896</v>
      </c>
    </row>
    <row r="7558">
      <c r="A7558" s="3" t="s">
        <v>391</v>
      </c>
      <c r="B7558" s="3" t="s">
        <v>886</v>
      </c>
      <c r="C7558" s="3" t="s">
        <v>901</v>
      </c>
    </row>
    <row r="7559">
      <c r="A7559" s="3" t="s">
        <v>391</v>
      </c>
      <c r="B7559" s="3" t="s">
        <v>886</v>
      </c>
      <c r="C7559" s="3" t="s">
        <v>904</v>
      </c>
    </row>
    <row r="7560">
      <c r="A7560" s="3" t="s">
        <v>391</v>
      </c>
      <c r="B7560" s="3" t="s">
        <v>886</v>
      </c>
      <c r="C7560" s="3" t="s">
        <v>901</v>
      </c>
    </row>
    <row r="7561">
      <c r="A7561" s="3" t="s">
        <v>391</v>
      </c>
      <c r="B7561" s="3" t="s">
        <v>392</v>
      </c>
      <c r="C7561" s="3" t="s">
        <v>881</v>
      </c>
    </row>
    <row r="7562">
      <c r="A7562" s="3" t="s">
        <v>391</v>
      </c>
      <c r="B7562" s="3" t="s">
        <v>886</v>
      </c>
      <c r="C7562" s="3" t="s">
        <v>887</v>
      </c>
    </row>
    <row r="7563">
      <c r="A7563" s="3" t="s">
        <v>391</v>
      </c>
      <c r="B7563" s="3" t="s">
        <v>882</v>
      </c>
      <c r="C7563" s="3" t="s">
        <v>883</v>
      </c>
    </row>
    <row r="7564">
      <c r="A7564" s="3" t="s">
        <v>391</v>
      </c>
      <c r="B7564" s="3" t="s">
        <v>890</v>
      </c>
      <c r="C7564" s="3" t="s">
        <v>894</v>
      </c>
    </row>
    <row r="7565">
      <c r="A7565" s="3" t="s">
        <v>391</v>
      </c>
      <c r="B7565" s="3" t="s">
        <v>888</v>
      </c>
      <c r="C7565" s="3" t="s">
        <v>889</v>
      </c>
    </row>
    <row r="7566">
      <c r="A7566" s="3" t="s">
        <v>391</v>
      </c>
      <c r="B7566" s="3" t="s">
        <v>392</v>
      </c>
      <c r="C7566" s="3" t="s">
        <v>896</v>
      </c>
    </row>
    <row r="7567">
      <c r="A7567" s="3" t="s">
        <v>391</v>
      </c>
      <c r="B7567" s="3" t="s">
        <v>882</v>
      </c>
      <c r="C7567" s="3" t="s">
        <v>896</v>
      </c>
    </row>
    <row r="7568">
      <c r="A7568" s="3" t="s">
        <v>391</v>
      </c>
      <c r="B7568" s="3" t="s">
        <v>392</v>
      </c>
      <c r="C7568" s="3" t="s">
        <v>885</v>
      </c>
    </row>
    <row r="7569">
      <c r="A7569" s="3" t="s">
        <v>391</v>
      </c>
      <c r="B7569" s="3" t="s">
        <v>886</v>
      </c>
      <c r="C7569" s="3" t="s">
        <v>900</v>
      </c>
    </row>
    <row r="7570">
      <c r="A7570" s="3" t="s">
        <v>391</v>
      </c>
      <c r="B7570" s="3" t="s">
        <v>392</v>
      </c>
      <c r="C7570" s="3" t="s">
        <v>898</v>
      </c>
    </row>
    <row r="7571">
      <c r="A7571" s="3" t="s">
        <v>391</v>
      </c>
      <c r="B7571" s="3" t="s">
        <v>886</v>
      </c>
      <c r="C7571" s="3" t="s">
        <v>905</v>
      </c>
    </row>
    <row r="7572">
      <c r="A7572" s="3" t="s">
        <v>391</v>
      </c>
      <c r="B7572" s="3" t="s">
        <v>886</v>
      </c>
      <c r="C7572" s="3" t="s">
        <v>905</v>
      </c>
    </row>
    <row r="7573">
      <c r="A7573" s="3" t="s">
        <v>391</v>
      </c>
      <c r="B7573" s="3" t="s">
        <v>392</v>
      </c>
      <c r="C7573" s="3" t="s">
        <v>899</v>
      </c>
    </row>
    <row r="7574">
      <c r="A7574" s="3" t="s">
        <v>391</v>
      </c>
      <c r="B7574" s="3" t="s">
        <v>392</v>
      </c>
      <c r="C7574" s="3" t="s">
        <v>884</v>
      </c>
    </row>
    <row r="7575">
      <c r="A7575" s="3" t="s">
        <v>391</v>
      </c>
      <c r="B7575" s="3" t="s">
        <v>882</v>
      </c>
      <c r="C7575" s="3" t="s">
        <v>896</v>
      </c>
    </row>
    <row r="7576">
      <c r="A7576" s="3" t="s">
        <v>391</v>
      </c>
      <c r="B7576" s="3" t="s">
        <v>392</v>
      </c>
      <c r="C7576" s="3" t="s">
        <v>899</v>
      </c>
    </row>
    <row r="7577">
      <c r="A7577" s="3" t="s">
        <v>391</v>
      </c>
      <c r="B7577" s="3" t="s">
        <v>886</v>
      </c>
      <c r="C7577" s="3" t="s">
        <v>901</v>
      </c>
    </row>
    <row r="7578">
      <c r="A7578" s="3" t="s">
        <v>391</v>
      </c>
      <c r="B7578" s="3" t="s">
        <v>392</v>
      </c>
      <c r="C7578" s="3" t="s">
        <v>896</v>
      </c>
    </row>
    <row r="7579">
      <c r="A7579" s="3" t="s">
        <v>391</v>
      </c>
      <c r="B7579" s="3" t="s">
        <v>882</v>
      </c>
      <c r="C7579" s="3" t="s">
        <v>896</v>
      </c>
    </row>
    <row r="7580">
      <c r="A7580" s="3" t="s">
        <v>391</v>
      </c>
      <c r="B7580" s="3" t="s">
        <v>392</v>
      </c>
      <c r="C7580" s="3" t="s">
        <v>896</v>
      </c>
    </row>
    <row r="7581">
      <c r="A7581" s="3" t="s">
        <v>391</v>
      </c>
      <c r="B7581" s="3" t="s">
        <v>882</v>
      </c>
      <c r="C7581" s="3" t="s">
        <v>896</v>
      </c>
    </row>
    <row r="7582">
      <c r="A7582" s="3" t="s">
        <v>391</v>
      </c>
      <c r="B7582" s="3" t="s">
        <v>886</v>
      </c>
      <c r="C7582" s="3" t="s">
        <v>901</v>
      </c>
    </row>
    <row r="7583">
      <c r="A7583" s="3" t="s">
        <v>391</v>
      </c>
      <c r="B7583" s="3" t="s">
        <v>886</v>
      </c>
      <c r="C7583" s="3" t="s">
        <v>900</v>
      </c>
    </row>
    <row r="7584">
      <c r="A7584" s="3" t="s">
        <v>391</v>
      </c>
      <c r="B7584" s="3" t="s">
        <v>890</v>
      </c>
      <c r="C7584" s="3" t="s">
        <v>892</v>
      </c>
    </row>
    <row r="7585">
      <c r="A7585" s="3" t="s">
        <v>391</v>
      </c>
      <c r="B7585" s="3" t="s">
        <v>392</v>
      </c>
      <c r="C7585" s="3" t="s">
        <v>885</v>
      </c>
    </row>
    <row r="7586">
      <c r="A7586" s="3" t="s">
        <v>391</v>
      </c>
      <c r="B7586" s="3" t="s">
        <v>392</v>
      </c>
      <c r="C7586" s="3" t="s">
        <v>899</v>
      </c>
    </row>
    <row r="7587">
      <c r="A7587" s="3" t="s">
        <v>391</v>
      </c>
      <c r="B7587" s="3" t="s">
        <v>886</v>
      </c>
      <c r="C7587" s="3" t="s">
        <v>901</v>
      </c>
    </row>
    <row r="7588">
      <c r="A7588" s="3" t="s">
        <v>391</v>
      </c>
      <c r="B7588" s="3" t="s">
        <v>886</v>
      </c>
      <c r="C7588" s="3" t="s">
        <v>901</v>
      </c>
    </row>
    <row r="7589">
      <c r="A7589" s="3" t="s">
        <v>391</v>
      </c>
      <c r="B7589" s="3" t="s">
        <v>890</v>
      </c>
      <c r="C7589" s="3" t="s">
        <v>891</v>
      </c>
    </row>
    <row r="7590">
      <c r="A7590" s="3" t="s">
        <v>391</v>
      </c>
      <c r="B7590" s="3" t="s">
        <v>890</v>
      </c>
      <c r="C7590" s="3" t="s">
        <v>891</v>
      </c>
    </row>
    <row r="7591">
      <c r="A7591" s="3" t="s">
        <v>391</v>
      </c>
      <c r="B7591" s="3" t="s">
        <v>392</v>
      </c>
      <c r="C7591" s="3" t="s">
        <v>896</v>
      </c>
    </row>
    <row r="7592">
      <c r="A7592" s="3" t="s">
        <v>391</v>
      </c>
      <c r="B7592" s="3" t="s">
        <v>882</v>
      </c>
      <c r="C7592" s="3" t="s">
        <v>896</v>
      </c>
    </row>
    <row r="7593">
      <c r="A7593" s="3" t="s">
        <v>391</v>
      </c>
      <c r="B7593" s="3" t="s">
        <v>392</v>
      </c>
      <c r="C7593" s="3" t="s">
        <v>899</v>
      </c>
    </row>
    <row r="7594">
      <c r="A7594" s="3" t="s">
        <v>391</v>
      </c>
      <c r="B7594" s="3" t="s">
        <v>886</v>
      </c>
      <c r="C7594" s="3" t="s">
        <v>901</v>
      </c>
    </row>
    <row r="7595">
      <c r="A7595" s="3" t="s">
        <v>391</v>
      </c>
      <c r="B7595" s="3" t="s">
        <v>890</v>
      </c>
      <c r="C7595" s="3" t="s">
        <v>891</v>
      </c>
    </row>
    <row r="7596">
      <c r="A7596" s="3" t="s">
        <v>391</v>
      </c>
      <c r="B7596" s="3" t="s">
        <v>392</v>
      </c>
      <c r="C7596" s="3" t="s">
        <v>884</v>
      </c>
    </row>
    <row r="7597">
      <c r="A7597" s="3" t="s">
        <v>391</v>
      </c>
      <c r="B7597" s="3" t="s">
        <v>886</v>
      </c>
      <c r="C7597" s="3" t="s">
        <v>887</v>
      </c>
    </row>
    <row r="7598">
      <c r="A7598" s="3" t="s">
        <v>391</v>
      </c>
      <c r="B7598" s="3" t="s">
        <v>886</v>
      </c>
      <c r="C7598" s="3" t="s">
        <v>905</v>
      </c>
    </row>
    <row r="7599">
      <c r="A7599" s="3" t="s">
        <v>391</v>
      </c>
      <c r="B7599" s="3" t="s">
        <v>890</v>
      </c>
      <c r="C7599" s="3" t="s">
        <v>892</v>
      </c>
    </row>
    <row r="7600">
      <c r="A7600" s="3" t="s">
        <v>391</v>
      </c>
      <c r="B7600" s="3" t="s">
        <v>886</v>
      </c>
      <c r="C7600" s="3" t="s">
        <v>901</v>
      </c>
    </row>
    <row r="7601">
      <c r="A7601" s="3" t="s">
        <v>391</v>
      </c>
      <c r="B7601" s="3" t="s">
        <v>392</v>
      </c>
      <c r="C7601" s="3" t="s">
        <v>884</v>
      </c>
    </row>
    <row r="7602">
      <c r="A7602" s="3" t="s">
        <v>391</v>
      </c>
      <c r="B7602" s="3" t="s">
        <v>392</v>
      </c>
      <c r="C7602" s="3" t="s">
        <v>885</v>
      </c>
    </row>
    <row r="7603">
      <c r="A7603" s="3" t="s">
        <v>391</v>
      </c>
      <c r="B7603" s="3" t="s">
        <v>392</v>
      </c>
      <c r="C7603" s="3" t="s">
        <v>884</v>
      </c>
    </row>
    <row r="7604">
      <c r="A7604" s="3" t="s">
        <v>391</v>
      </c>
      <c r="B7604" s="3" t="s">
        <v>392</v>
      </c>
      <c r="C7604" s="3" t="s">
        <v>885</v>
      </c>
    </row>
    <row r="7605">
      <c r="A7605" s="3" t="s">
        <v>391</v>
      </c>
      <c r="B7605" s="3" t="s">
        <v>886</v>
      </c>
      <c r="C7605" s="3" t="s">
        <v>902</v>
      </c>
    </row>
    <row r="7606">
      <c r="A7606" s="3" t="s">
        <v>391</v>
      </c>
      <c r="B7606" s="3" t="s">
        <v>886</v>
      </c>
      <c r="C7606" s="3" t="s">
        <v>904</v>
      </c>
    </row>
    <row r="7607">
      <c r="A7607" s="3" t="s">
        <v>391</v>
      </c>
      <c r="B7607" s="3" t="s">
        <v>886</v>
      </c>
      <c r="C7607" s="3" t="s">
        <v>901</v>
      </c>
    </row>
    <row r="7608">
      <c r="A7608" s="3" t="s">
        <v>391</v>
      </c>
      <c r="B7608" s="3" t="s">
        <v>886</v>
      </c>
      <c r="C7608" s="3" t="s">
        <v>905</v>
      </c>
    </row>
    <row r="7609">
      <c r="A7609" s="3" t="s">
        <v>391</v>
      </c>
      <c r="B7609" s="3" t="s">
        <v>886</v>
      </c>
      <c r="C7609" s="3" t="s">
        <v>887</v>
      </c>
    </row>
    <row r="7610">
      <c r="A7610" s="3" t="s">
        <v>391</v>
      </c>
      <c r="B7610" s="3" t="s">
        <v>890</v>
      </c>
      <c r="C7610" s="3" t="s">
        <v>891</v>
      </c>
    </row>
    <row r="7611">
      <c r="A7611" s="3" t="s">
        <v>391</v>
      </c>
      <c r="B7611" s="3" t="s">
        <v>392</v>
      </c>
      <c r="C7611" s="3" t="s">
        <v>895</v>
      </c>
    </row>
    <row r="7612">
      <c r="A7612" s="3" t="s">
        <v>391</v>
      </c>
      <c r="B7612" s="3" t="s">
        <v>392</v>
      </c>
      <c r="C7612" s="3" t="s">
        <v>885</v>
      </c>
    </row>
    <row r="7613">
      <c r="A7613" s="3" t="s">
        <v>391</v>
      </c>
      <c r="B7613" s="3" t="s">
        <v>392</v>
      </c>
      <c r="C7613" s="3" t="s">
        <v>885</v>
      </c>
    </row>
    <row r="7614">
      <c r="A7614" s="3" t="s">
        <v>391</v>
      </c>
      <c r="B7614" s="3" t="s">
        <v>886</v>
      </c>
      <c r="C7614" s="3" t="s">
        <v>902</v>
      </c>
    </row>
    <row r="7615">
      <c r="A7615" s="3" t="s">
        <v>391</v>
      </c>
      <c r="B7615" s="3" t="s">
        <v>886</v>
      </c>
      <c r="C7615" s="3" t="s">
        <v>904</v>
      </c>
    </row>
    <row r="7616">
      <c r="A7616" s="3" t="s">
        <v>391</v>
      </c>
      <c r="B7616" s="3" t="s">
        <v>888</v>
      </c>
      <c r="C7616" s="3" t="s">
        <v>889</v>
      </c>
    </row>
    <row r="7617">
      <c r="A7617" s="3" t="s">
        <v>391</v>
      </c>
      <c r="B7617" s="3" t="s">
        <v>392</v>
      </c>
      <c r="C7617" s="3" t="s">
        <v>898</v>
      </c>
    </row>
    <row r="7618">
      <c r="A7618" s="3" t="s">
        <v>391</v>
      </c>
      <c r="B7618" s="3" t="s">
        <v>392</v>
      </c>
      <c r="C7618" s="3" t="s">
        <v>896</v>
      </c>
    </row>
    <row r="7619">
      <c r="A7619" s="3" t="s">
        <v>391</v>
      </c>
      <c r="B7619" s="3" t="s">
        <v>882</v>
      </c>
      <c r="C7619" s="3" t="s">
        <v>896</v>
      </c>
    </row>
    <row r="7620">
      <c r="A7620" s="3" t="s">
        <v>391</v>
      </c>
      <c r="B7620" s="3" t="s">
        <v>392</v>
      </c>
      <c r="C7620" s="3" t="s">
        <v>898</v>
      </c>
    </row>
    <row r="7621">
      <c r="A7621" s="3" t="s">
        <v>391</v>
      </c>
      <c r="B7621" s="3" t="s">
        <v>392</v>
      </c>
      <c r="C7621" s="3" t="s">
        <v>881</v>
      </c>
    </row>
    <row r="7622">
      <c r="A7622" s="3" t="s">
        <v>391</v>
      </c>
      <c r="B7622" s="3" t="s">
        <v>886</v>
      </c>
      <c r="C7622" s="3" t="s">
        <v>887</v>
      </c>
    </row>
    <row r="7623">
      <c r="A7623" s="3" t="s">
        <v>391</v>
      </c>
      <c r="B7623" s="3" t="s">
        <v>882</v>
      </c>
      <c r="C7623" s="3" t="s">
        <v>883</v>
      </c>
    </row>
    <row r="7624">
      <c r="A7624" s="3" t="s">
        <v>391</v>
      </c>
      <c r="B7624" s="3" t="s">
        <v>890</v>
      </c>
      <c r="C7624" s="3" t="s">
        <v>894</v>
      </c>
    </row>
    <row r="7625">
      <c r="A7625" s="3" t="s">
        <v>391</v>
      </c>
      <c r="B7625" s="3" t="s">
        <v>886</v>
      </c>
      <c r="C7625" s="3" t="s">
        <v>901</v>
      </c>
    </row>
    <row r="7626">
      <c r="A7626" s="3" t="s">
        <v>391</v>
      </c>
      <c r="B7626" s="3" t="s">
        <v>392</v>
      </c>
      <c r="C7626" s="3" t="s">
        <v>884</v>
      </c>
    </row>
    <row r="7627">
      <c r="A7627" s="3" t="s">
        <v>391</v>
      </c>
      <c r="B7627" s="3" t="s">
        <v>882</v>
      </c>
      <c r="C7627" s="3" t="s">
        <v>897</v>
      </c>
    </row>
    <row r="7628">
      <c r="A7628" s="3" t="s">
        <v>391</v>
      </c>
      <c r="B7628" s="3" t="s">
        <v>392</v>
      </c>
      <c r="C7628" s="3" t="s">
        <v>896</v>
      </c>
    </row>
    <row r="7629">
      <c r="A7629" s="3" t="s">
        <v>391</v>
      </c>
      <c r="B7629" s="3" t="s">
        <v>882</v>
      </c>
      <c r="C7629" s="3" t="s">
        <v>896</v>
      </c>
    </row>
    <row r="7630">
      <c r="A7630" s="3" t="s">
        <v>391</v>
      </c>
      <c r="B7630" s="3" t="s">
        <v>392</v>
      </c>
      <c r="C7630" s="3" t="s">
        <v>880</v>
      </c>
    </row>
    <row r="7631">
      <c r="A7631" s="3" t="s">
        <v>391</v>
      </c>
      <c r="B7631" s="3" t="s">
        <v>888</v>
      </c>
      <c r="C7631" s="3" t="s">
        <v>889</v>
      </c>
    </row>
    <row r="7632">
      <c r="A7632" s="3" t="s">
        <v>391</v>
      </c>
      <c r="B7632" s="3" t="s">
        <v>888</v>
      </c>
      <c r="C7632" s="3" t="s">
        <v>889</v>
      </c>
    </row>
    <row r="7633">
      <c r="A7633" s="3" t="s">
        <v>391</v>
      </c>
      <c r="B7633" s="3" t="s">
        <v>392</v>
      </c>
      <c r="C7633" s="3" t="s">
        <v>899</v>
      </c>
    </row>
    <row r="7634">
      <c r="A7634" s="3" t="s">
        <v>391</v>
      </c>
      <c r="B7634" s="3" t="s">
        <v>888</v>
      </c>
      <c r="C7634" s="3" t="s">
        <v>889</v>
      </c>
    </row>
    <row r="7635">
      <c r="A7635" s="3" t="s">
        <v>391</v>
      </c>
      <c r="B7635" s="3" t="s">
        <v>886</v>
      </c>
      <c r="C7635" s="3" t="s">
        <v>901</v>
      </c>
    </row>
    <row r="7636">
      <c r="A7636" s="3" t="s">
        <v>391</v>
      </c>
      <c r="B7636" s="3" t="s">
        <v>392</v>
      </c>
      <c r="C7636" s="3" t="s">
        <v>899</v>
      </c>
    </row>
    <row r="7637">
      <c r="A7637" s="3" t="s">
        <v>391</v>
      </c>
      <c r="B7637" s="3" t="s">
        <v>392</v>
      </c>
      <c r="C7637" s="3" t="s">
        <v>899</v>
      </c>
    </row>
    <row r="7638">
      <c r="A7638" s="3" t="s">
        <v>391</v>
      </c>
      <c r="B7638" s="3" t="s">
        <v>392</v>
      </c>
      <c r="C7638" s="3" t="s">
        <v>898</v>
      </c>
    </row>
    <row r="7639">
      <c r="A7639" s="3" t="s">
        <v>391</v>
      </c>
      <c r="B7639" s="3" t="s">
        <v>392</v>
      </c>
      <c r="C7639" s="3" t="s">
        <v>898</v>
      </c>
    </row>
    <row r="7640">
      <c r="A7640" s="3" t="s">
        <v>391</v>
      </c>
      <c r="B7640" s="3" t="s">
        <v>886</v>
      </c>
      <c r="C7640" s="3" t="s">
        <v>901</v>
      </c>
    </row>
    <row r="7641">
      <c r="A7641" s="3" t="s">
        <v>391</v>
      </c>
      <c r="B7641" s="3" t="s">
        <v>886</v>
      </c>
      <c r="C7641" s="3" t="s">
        <v>901</v>
      </c>
    </row>
    <row r="7642">
      <c r="A7642" s="3" t="s">
        <v>391</v>
      </c>
      <c r="B7642" s="3" t="s">
        <v>886</v>
      </c>
      <c r="C7642" s="3" t="s">
        <v>901</v>
      </c>
    </row>
    <row r="7643">
      <c r="A7643" s="3" t="s">
        <v>391</v>
      </c>
      <c r="B7643" s="3" t="s">
        <v>886</v>
      </c>
      <c r="C7643" s="3" t="s">
        <v>901</v>
      </c>
    </row>
    <row r="7644">
      <c r="A7644" s="3" t="s">
        <v>391</v>
      </c>
      <c r="B7644" s="3" t="s">
        <v>392</v>
      </c>
      <c r="C7644" s="3" t="s">
        <v>885</v>
      </c>
    </row>
    <row r="7645">
      <c r="A7645" s="3" t="s">
        <v>391</v>
      </c>
      <c r="B7645" s="3" t="s">
        <v>392</v>
      </c>
      <c r="C7645" s="3" t="s">
        <v>885</v>
      </c>
    </row>
    <row r="7646">
      <c r="A7646" s="3" t="s">
        <v>391</v>
      </c>
      <c r="B7646" s="3" t="s">
        <v>392</v>
      </c>
      <c r="C7646" s="3" t="s">
        <v>896</v>
      </c>
    </row>
    <row r="7647">
      <c r="A7647" s="3" t="s">
        <v>391</v>
      </c>
      <c r="B7647" s="3" t="s">
        <v>392</v>
      </c>
      <c r="C7647" s="3" t="s">
        <v>898</v>
      </c>
    </row>
    <row r="7648">
      <c r="A7648" s="3" t="s">
        <v>391</v>
      </c>
      <c r="B7648" s="3" t="s">
        <v>890</v>
      </c>
      <c r="C7648" s="3" t="s">
        <v>891</v>
      </c>
    </row>
    <row r="7649">
      <c r="A7649" s="3" t="s">
        <v>391</v>
      </c>
      <c r="B7649" s="3" t="s">
        <v>886</v>
      </c>
      <c r="C7649" s="3" t="s">
        <v>887</v>
      </c>
    </row>
    <row r="7650">
      <c r="A7650" s="3" t="s">
        <v>906</v>
      </c>
      <c r="B7650" s="3" t="s">
        <v>420</v>
      </c>
      <c r="C7650" s="3" t="s">
        <v>907</v>
      </c>
    </row>
    <row r="7651">
      <c r="A7651" s="3" t="s">
        <v>906</v>
      </c>
      <c r="B7651" s="3" t="s">
        <v>422</v>
      </c>
      <c r="C7651" s="3" t="s">
        <v>908</v>
      </c>
    </row>
    <row r="7652">
      <c r="A7652" s="3" t="s">
        <v>906</v>
      </c>
      <c r="B7652" s="3" t="s">
        <v>422</v>
      </c>
      <c r="C7652" s="3" t="s">
        <v>908</v>
      </c>
    </row>
    <row r="7653">
      <c r="A7653" s="3" t="s">
        <v>906</v>
      </c>
      <c r="B7653" s="3" t="s">
        <v>420</v>
      </c>
      <c r="C7653" s="3" t="s">
        <v>907</v>
      </c>
    </row>
    <row r="7654">
      <c r="A7654" s="3" t="s">
        <v>906</v>
      </c>
      <c r="B7654" s="3" t="s">
        <v>422</v>
      </c>
      <c r="C7654" s="3" t="s">
        <v>908</v>
      </c>
    </row>
    <row r="7655">
      <c r="A7655" s="3" t="s">
        <v>906</v>
      </c>
      <c r="B7655" s="3" t="s">
        <v>420</v>
      </c>
      <c r="C7655" s="3" t="s">
        <v>907</v>
      </c>
    </row>
    <row r="7656">
      <c r="A7656" s="3" t="s">
        <v>906</v>
      </c>
      <c r="B7656" s="3" t="s">
        <v>422</v>
      </c>
      <c r="C7656" s="3" t="s">
        <v>908</v>
      </c>
    </row>
    <row r="7657">
      <c r="A7657" s="3" t="s">
        <v>906</v>
      </c>
      <c r="B7657" s="3" t="s">
        <v>420</v>
      </c>
      <c r="C7657" s="3" t="s">
        <v>907</v>
      </c>
    </row>
    <row r="7658">
      <c r="A7658" s="3" t="s">
        <v>906</v>
      </c>
      <c r="B7658" s="3" t="s">
        <v>422</v>
      </c>
      <c r="C7658" s="3" t="s">
        <v>908</v>
      </c>
    </row>
    <row r="7659">
      <c r="A7659" s="3" t="s">
        <v>906</v>
      </c>
      <c r="B7659" s="3" t="s">
        <v>422</v>
      </c>
      <c r="C7659" s="3" t="s">
        <v>908</v>
      </c>
    </row>
    <row r="7660">
      <c r="A7660" s="3" t="s">
        <v>906</v>
      </c>
      <c r="B7660" s="3" t="s">
        <v>424</v>
      </c>
      <c r="C7660" s="3" t="s">
        <v>909</v>
      </c>
    </row>
    <row r="7661">
      <c r="A7661" s="3" t="s">
        <v>906</v>
      </c>
      <c r="B7661" s="3" t="s">
        <v>424</v>
      </c>
      <c r="C7661" s="3" t="s">
        <v>909</v>
      </c>
    </row>
    <row r="7662">
      <c r="A7662" s="3" t="s">
        <v>906</v>
      </c>
      <c r="B7662" s="3" t="s">
        <v>420</v>
      </c>
      <c r="C7662" s="3" t="s">
        <v>907</v>
      </c>
    </row>
    <row r="7663">
      <c r="A7663" s="3" t="s">
        <v>906</v>
      </c>
      <c r="B7663" s="3" t="s">
        <v>420</v>
      </c>
      <c r="C7663" s="3" t="s">
        <v>907</v>
      </c>
    </row>
    <row r="7664">
      <c r="A7664" s="3" t="s">
        <v>906</v>
      </c>
      <c r="B7664" s="3" t="s">
        <v>424</v>
      </c>
      <c r="C7664" s="3" t="s">
        <v>909</v>
      </c>
    </row>
    <row r="7665">
      <c r="A7665" s="3" t="s">
        <v>906</v>
      </c>
      <c r="B7665" s="3" t="s">
        <v>420</v>
      </c>
      <c r="C7665" s="3" t="s">
        <v>907</v>
      </c>
    </row>
    <row r="7666">
      <c r="A7666" s="3" t="s">
        <v>426</v>
      </c>
      <c r="B7666" s="3" t="s">
        <v>427</v>
      </c>
      <c r="C7666" s="3" t="s">
        <v>910</v>
      </c>
    </row>
    <row r="7667">
      <c r="A7667" s="3" t="s">
        <v>426</v>
      </c>
      <c r="B7667" s="3" t="s">
        <v>427</v>
      </c>
      <c r="C7667" s="3" t="s">
        <v>910</v>
      </c>
    </row>
    <row r="7668">
      <c r="A7668" s="3" t="s">
        <v>429</v>
      </c>
      <c r="B7668" s="3" t="s">
        <v>430</v>
      </c>
      <c r="C7668" s="3" t="s">
        <v>911</v>
      </c>
    </row>
    <row r="7669">
      <c r="A7669" s="3" t="s">
        <v>429</v>
      </c>
      <c r="B7669" s="3" t="s">
        <v>432</v>
      </c>
      <c r="C7669" s="3" t="s">
        <v>912</v>
      </c>
    </row>
    <row r="7670">
      <c r="A7670" s="3" t="s">
        <v>429</v>
      </c>
      <c r="B7670" s="3" t="s">
        <v>432</v>
      </c>
      <c r="C7670" s="3" t="s">
        <v>912</v>
      </c>
    </row>
    <row r="7671">
      <c r="A7671" s="3" t="s">
        <v>429</v>
      </c>
      <c r="B7671" s="3" t="s">
        <v>432</v>
      </c>
      <c r="C7671" s="3" t="s">
        <v>912</v>
      </c>
    </row>
    <row r="7672">
      <c r="A7672" s="3" t="s">
        <v>429</v>
      </c>
      <c r="B7672" s="3" t="s">
        <v>913</v>
      </c>
      <c r="C7672" s="3" t="s">
        <v>914</v>
      </c>
    </row>
    <row r="7673">
      <c r="A7673" s="3" t="s">
        <v>429</v>
      </c>
      <c r="B7673" s="3" t="s">
        <v>436</v>
      </c>
      <c r="C7673" s="3" t="s">
        <v>915</v>
      </c>
    </row>
    <row r="7674">
      <c r="A7674" s="3" t="s">
        <v>429</v>
      </c>
      <c r="B7674" s="3" t="s">
        <v>436</v>
      </c>
      <c r="C7674" s="3" t="s">
        <v>916</v>
      </c>
    </row>
    <row r="7675">
      <c r="A7675" s="3" t="s">
        <v>429</v>
      </c>
      <c r="B7675" s="3" t="s">
        <v>436</v>
      </c>
      <c r="C7675" s="3" t="s">
        <v>917</v>
      </c>
    </row>
    <row r="7676">
      <c r="A7676" s="3" t="s">
        <v>429</v>
      </c>
      <c r="B7676" s="3" t="s">
        <v>913</v>
      </c>
      <c r="C7676" s="3" t="s">
        <v>914</v>
      </c>
    </row>
    <row r="7677">
      <c r="A7677" s="3" t="s">
        <v>429</v>
      </c>
      <c r="B7677" s="3" t="s">
        <v>432</v>
      </c>
      <c r="C7677" s="3" t="s">
        <v>912</v>
      </c>
    </row>
    <row r="7678">
      <c r="A7678" s="3" t="s">
        <v>429</v>
      </c>
      <c r="B7678" s="3" t="s">
        <v>430</v>
      </c>
      <c r="C7678" s="3" t="s">
        <v>911</v>
      </c>
    </row>
    <row r="7679">
      <c r="A7679" s="3" t="s">
        <v>429</v>
      </c>
      <c r="B7679" s="3" t="s">
        <v>913</v>
      </c>
      <c r="C7679" s="3" t="s">
        <v>914</v>
      </c>
    </row>
    <row r="7680">
      <c r="A7680" s="3" t="s">
        <v>429</v>
      </c>
      <c r="B7680" s="3" t="s">
        <v>430</v>
      </c>
      <c r="C7680" s="3" t="s">
        <v>911</v>
      </c>
    </row>
    <row r="7681">
      <c r="A7681" s="3" t="s">
        <v>429</v>
      </c>
      <c r="B7681" s="3" t="s">
        <v>436</v>
      </c>
      <c r="C7681" s="3" t="s">
        <v>917</v>
      </c>
    </row>
    <row r="7682">
      <c r="A7682" s="3" t="s">
        <v>429</v>
      </c>
      <c r="B7682" s="3" t="s">
        <v>430</v>
      </c>
      <c r="C7682" s="3" t="s">
        <v>911</v>
      </c>
    </row>
    <row r="7683">
      <c r="A7683" s="3" t="s">
        <v>429</v>
      </c>
      <c r="B7683" s="3" t="s">
        <v>432</v>
      </c>
      <c r="C7683" s="3" t="s">
        <v>912</v>
      </c>
    </row>
    <row r="7684">
      <c r="A7684" s="3" t="s">
        <v>429</v>
      </c>
      <c r="B7684" s="3" t="s">
        <v>432</v>
      </c>
      <c r="C7684" s="3" t="s">
        <v>912</v>
      </c>
    </row>
    <row r="7685">
      <c r="A7685" s="3" t="s">
        <v>429</v>
      </c>
      <c r="B7685" s="3" t="s">
        <v>436</v>
      </c>
      <c r="C7685" s="3" t="s">
        <v>917</v>
      </c>
    </row>
    <row r="7686">
      <c r="A7686" s="3" t="s">
        <v>429</v>
      </c>
      <c r="B7686" s="3" t="s">
        <v>436</v>
      </c>
      <c r="C7686" s="3" t="s">
        <v>917</v>
      </c>
    </row>
    <row r="7687">
      <c r="A7687" s="3" t="s">
        <v>429</v>
      </c>
      <c r="B7687" s="3" t="s">
        <v>436</v>
      </c>
      <c r="C7687" s="3" t="s">
        <v>917</v>
      </c>
    </row>
    <row r="7688">
      <c r="A7688" s="3" t="s">
        <v>429</v>
      </c>
      <c r="B7688" s="3" t="s">
        <v>436</v>
      </c>
      <c r="C7688" s="3" t="s">
        <v>915</v>
      </c>
    </row>
    <row r="7689">
      <c r="A7689" s="3" t="s">
        <v>429</v>
      </c>
      <c r="B7689" s="3" t="s">
        <v>913</v>
      </c>
      <c r="C7689" s="3" t="s">
        <v>914</v>
      </c>
    </row>
    <row r="7690">
      <c r="A7690" s="3" t="s">
        <v>429</v>
      </c>
      <c r="B7690" s="3" t="s">
        <v>430</v>
      </c>
      <c r="C7690" s="3" t="s">
        <v>911</v>
      </c>
    </row>
    <row r="7691">
      <c r="A7691" s="3" t="s">
        <v>429</v>
      </c>
      <c r="B7691" s="3" t="s">
        <v>436</v>
      </c>
      <c r="C7691" s="3" t="s">
        <v>917</v>
      </c>
    </row>
    <row r="7692">
      <c r="A7692" s="3" t="s">
        <v>429</v>
      </c>
      <c r="B7692" s="3" t="s">
        <v>430</v>
      </c>
      <c r="C7692" s="3" t="s">
        <v>911</v>
      </c>
    </row>
    <row r="7693">
      <c r="A7693" s="3" t="s">
        <v>429</v>
      </c>
      <c r="B7693" s="3" t="s">
        <v>432</v>
      </c>
      <c r="C7693" s="3" t="s">
        <v>912</v>
      </c>
    </row>
    <row r="7694">
      <c r="A7694" s="3" t="s">
        <v>429</v>
      </c>
      <c r="B7694" s="3" t="s">
        <v>432</v>
      </c>
      <c r="C7694" s="3" t="s">
        <v>912</v>
      </c>
    </row>
    <row r="7695">
      <c r="A7695" s="3" t="s">
        <v>429</v>
      </c>
      <c r="B7695" s="3" t="s">
        <v>436</v>
      </c>
      <c r="C7695" s="3" t="s">
        <v>916</v>
      </c>
    </row>
    <row r="7696">
      <c r="A7696" s="3" t="s">
        <v>429</v>
      </c>
      <c r="B7696" s="3" t="s">
        <v>432</v>
      </c>
      <c r="C7696" s="3" t="s">
        <v>912</v>
      </c>
    </row>
    <row r="7697">
      <c r="A7697" s="3" t="s">
        <v>429</v>
      </c>
      <c r="B7697" s="3" t="s">
        <v>430</v>
      </c>
      <c r="C7697" s="3" t="s">
        <v>911</v>
      </c>
    </row>
    <row r="7698">
      <c r="A7698" s="3" t="s">
        <v>429</v>
      </c>
      <c r="B7698" s="3" t="s">
        <v>436</v>
      </c>
      <c r="C7698" s="3" t="s">
        <v>916</v>
      </c>
    </row>
    <row r="7699">
      <c r="A7699" s="3" t="s">
        <v>429</v>
      </c>
      <c r="B7699" s="3" t="s">
        <v>436</v>
      </c>
      <c r="C7699" s="3" t="s">
        <v>916</v>
      </c>
    </row>
    <row r="7700">
      <c r="A7700" s="3" t="s">
        <v>429</v>
      </c>
      <c r="B7700" s="3" t="s">
        <v>436</v>
      </c>
      <c r="C7700" s="3" t="s">
        <v>917</v>
      </c>
    </row>
    <row r="7701">
      <c r="A7701" s="3" t="s">
        <v>429</v>
      </c>
      <c r="B7701" s="3" t="s">
        <v>436</v>
      </c>
      <c r="C7701" s="3" t="s">
        <v>917</v>
      </c>
    </row>
    <row r="7702">
      <c r="A7702" s="3" t="s">
        <v>429</v>
      </c>
      <c r="B7702" s="3" t="s">
        <v>436</v>
      </c>
      <c r="C7702" s="3" t="s">
        <v>917</v>
      </c>
    </row>
    <row r="7703">
      <c r="A7703" s="3" t="s">
        <v>440</v>
      </c>
      <c r="B7703" s="3" t="s">
        <v>441</v>
      </c>
      <c r="C7703" s="3" t="s">
        <v>918</v>
      </c>
    </row>
    <row r="7704">
      <c r="A7704" s="3" t="s">
        <v>440</v>
      </c>
      <c r="B7704" s="3" t="s">
        <v>441</v>
      </c>
      <c r="C7704" s="3" t="s">
        <v>918</v>
      </c>
    </row>
    <row r="7705">
      <c r="A7705" s="3" t="s">
        <v>440</v>
      </c>
      <c r="B7705" s="3" t="s">
        <v>443</v>
      </c>
      <c r="C7705" s="3" t="s">
        <v>919</v>
      </c>
    </row>
    <row r="7706">
      <c r="A7706" s="3" t="s">
        <v>440</v>
      </c>
      <c r="B7706" s="3" t="s">
        <v>443</v>
      </c>
      <c r="C7706" s="3" t="s">
        <v>920</v>
      </c>
    </row>
    <row r="7707">
      <c r="A7707" s="3" t="s">
        <v>440</v>
      </c>
      <c r="B7707" s="3" t="s">
        <v>443</v>
      </c>
      <c r="C7707" s="3" t="s">
        <v>921</v>
      </c>
    </row>
    <row r="7708">
      <c r="A7708" s="3" t="s">
        <v>440</v>
      </c>
      <c r="B7708" s="3" t="s">
        <v>443</v>
      </c>
      <c r="C7708" s="3" t="s">
        <v>919</v>
      </c>
    </row>
    <row r="7709">
      <c r="A7709" s="3" t="s">
        <v>440</v>
      </c>
      <c r="B7709" s="3" t="s">
        <v>441</v>
      </c>
      <c r="C7709" s="3" t="s">
        <v>922</v>
      </c>
    </row>
    <row r="7710">
      <c r="A7710" s="3" t="s">
        <v>440</v>
      </c>
      <c r="B7710" s="3" t="s">
        <v>441</v>
      </c>
      <c r="C7710" s="3" t="s">
        <v>923</v>
      </c>
    </row>
    <row r="7711">
      <c r="A7711" s="3" t="s">
        <v>440</v>
      </c>
      <c r="B7711" s="3" t="s">
        <v>443</v>
      </c>
      <c r="C7711" s="3" t="s">
        <v>920</v>
      </c>
    </row>
    <row r="7712">
      <c r="A7712" s="3" t="s">
        <v>440</v>
      </c>
      <c r="B7712" s="3" t="s">
        <v>924</v>
      </c>
      <c r="C7712" s="3" t="s">
        <v>925</v>
      </c>
    </row>
    <row r="7713">
      <c r="A7713" s="3" t="s">
        <v>440</v>
      </c>
      <c r="B7713" s="3" t="s">
        <v>924</v>
      </c>
      <c r="C7713" s="3" t="s">
        <v>926</v>
      </c>
    </row>
    <row r="7714">
      <c r="A7714" s="3" t="s">
        <v>440</v>
      </c>
      <c r="B7714" s="3" t="s">
        <v>441</v>
      </c>
      <c r="C7714" s="3" t="s">
        <v>927</v>
      </c>
    </row>
    <row r="7715">
      <c r="A7715" s="3" t="s">
        <v>440</v>
      </c>
      <c r="B7715" s="3" t="s">
        <v>441</v>
      </c>
      <c r="C7715" s="3" t="s">
        <v>922</v>
      </c>
    </row>
    <row r="7716">
      <c r="A7716" s="3" t="s">
        <v>440</v>
      </c>
      <c r="B7716" s="3" t="s">
        <v>441</v>
      </c>
      <c r="C7716" s="3" t="s">
        <v>918</v>
      </c>
    </row>
    <row r="7717">
      <c r="A7717" s="3" t="s">
        <v>440</v>
      </c>
      <c r="B7717" s="3" t="s">
        <v>441</v>
      </c>
      <c r="C7717" s="3" t="s">
        <v>922</v>
      </c>
    </row>
    <row r="7718">
      <c r="A7718" s="3" t="s">
        <v>440</v>
      </c>
      <c r="B7718" s="3" t="s">
        <v>441</v>
      </c>
      <c r="C7718" s="3" t="s">
        <v>927</v>
      </c>
    </row>
    <row r="7719">
      <c r="A7719" s="3" t="s">
        <v>440</v>
      </c>
      <c r="B7719" s="3" t="s">
        <v>441</v>
      </c>
      <c r="C7719" s="3" t="s">
        <v>928</v>
      </c>
    </row>
    <row r="7720">
      <c r="A7720" s="3" t="s">
        <v>440</v>
      </c>
      <c r="B7720" s="3" t="s">
        <v>441</v>
      </c>
      <c r="C7720" s="3" t="s">
        <v>918</v>
      </c>
    </row>
    <row r="7721">
      <c r="A7721" s="3" t="s">
        <v>440</v>
      </c>
      <c r="B7721" s="3" t="s">
        <v>441</v>
      </c>
      <c r="C7721" s="3" t="s">
        <v>922</v>
      </c>
    </row>
    <row r="7722">
      <c r="A7722" s="3" t="s">
        <v>440</v>
      </c>
      <c r="B7722" s="3" t="s">
        <v>929</v>
      </c>
      <c r="C7722" s="3" t="s">
        <v>930</v>
      </c>
    </row>
    <row r="7723">
      <c r="A7723" s="3" t="s">
        <v>440</v>
      </c>
      <c r="B7723" s="3" t="s">
        <v>929</v>
      </c>
      <c r="C7723" s="3" t="s">
        <v>931</v>
      </c>
    </row>
    <row r="7724">
      <c r="A7724" s="3" t="s">
        <v>440</v>
      </c>
      <c r="B7724" s="3" t="s">
        <v>441</v>
      </c>
      <c r="C7724" s="3" t="s">
        <v>923</v>
      </c>
    </row>
    <row r="7725">
      <c r="A7725" s="3" t="s">
        <v>440</v>
      </c>
      <c r="B7725" s="3" t="s">
        <v>441</v>
      </c>
      <c r="C7725" s="3" t="s">
        <v>922</v>
      </c>
    </row>
    <row r="7726">
      <c r="A7726" s="3" t="s">
        <v>440</v>
      </c>
      <c r="B7726" s="3" t="s">
        <v>443</v>
      </c>
      <c r="C7726" s="3" t="s">
        <v>920</v>
      </c>
    </row>
    <row r="7727">
      <c r="A7727" s="3" t="s">
        <v>440</v>
      </c>
      <c r="B7727" s="3" t="s">
        <v>924</v>
      </c>
      <c r="C7727" s="3" t="s">
        <v>932</v>
      </c>
    </row>
    <row r="7728">
      <c r="A7728" s="3" t="s">
        <v>440</v>
      </c>
      <c r="B7728" s="3" t="s">
        <v>924</v>
      </c>
      <c r="C7728" s="3" t="s">
        <v>933</v>
      </c>
    </row>
    <row r="7729">
      <c r="A7729" s="3" t="s">
        <v>440</v>
      </c>
      <c r="B7729" s="3" t="s">
        <v>924</v>
      </c>
      <c r="C7729" s="3" t="s">
        <v>933</v>
      </c>
    </row>
    <row r="7730">
      <c r="A7730" s="3" t="s">
        <v>440</v>
      </c>
      <c r="B7730" s="3" t="s">
        <v>934</v>
      </c>
      <c r="C7730" s="3" t="s">
        <v>935</v>
      </c>
    </row>
    <row r="7731">
      <c r="A7731" s="3" t="s">
        <v>440</v>
      </c>
      <c r="B7731" s="3" t="s">
        <v>934</v>
      </c>
      <c r="C7731" s="3" t="s">
        <v>935</v>
      </c>
    </row>
    <row r="7732">
      <c r="A7732" s="3" t="s">
        <v>440</v>
      </c>
      <c r="B7732" s="3" t="s">
        <v>443</v>
      </c>
      <c r="C7732" s="3" t="s">
        <v>921</v>
      </c>
    </row>
    <row r="7733">
      <c r="A7733" s="3" t="s">
        <v>440</v>
      </c>
      <c r="B7733" s="3" t="s">
        <v>443</v>
      </c>
      <c r="C7733" s="3" t="s">
        <v>936</v>
      </c>
    </row>
    <row r="7734">
      <c r="A7734" s="3" t="s">
        <v>440</v>
      </c>
      <c r="B7734" s="3" t="s">
        <v>443</v>
      </c>
      <c r="C7734" s="3" t="s">
        <v>937</v>
      </c>
    </row>
    <row r="7735">
      <c r="A7735" s="3" t="s">
        <v>440</v>
      </c>
      <c r="B7735" s="3" t="s">
        <v>441</v>
      </c>
      <c r="C7735" s="3" t="s">
        <v>918</v>
      </c>
    </row>
    <row r="7736">
      <c r="A7736" s="3" t="s">
        <v>440</v>
      </c>
      <c r="B7736" s="3" t="s">
        <v>441</v>
      </c>
      <c r="C7736" s="3" t="s">
        <v>922</v>
      </c>
    </row>
    <row r="7737">
      <c r="A7737" s="3" t="s">
        <v>440</v>
      </c>
      <c r="B7737" s="3" t="s">
        <v>441</v>
      </c>
      <c r="C7737" s="3" t="s">
        <v>927</v>
      </c>
    </row>
    <row r="7738">
      <c r="A7738" s="3" t="s">
        <v>440</v>
      </c>
      <c r="B7738" s="3" t="s">
        <v>924</v>
      </c>
      <c r="C7738" s="3" t="s">
        <v>926</v>
      </c>
    </row>
    <row r="7739">
      <c r="A7739" s="3" t="s">
        <v>440</v>
      </c>
      <c r="B7739" s="3" t="s">
        <v>929</v>
      </c>
      <c r="C7739" s="3" t="s">
        <v>938</v>
      </c>
    </row>
    <row r="7740">
      <c r="A7740" s="3" t="s">
        <v>440</v>
      </c>
      <c r="B7740" s="3" t="s">
        <v>441</v>
      </c>
      <c r="C7740" s="3" t="s">
        <v>927</v>
      </c>
    </row>
    <row r="7741">
      <c r="A7741" s="3" t="s">
        <v>440</v>
      </c>
      <c r="B7741" s="3" t="s">
        <v>441</v>
      </c>
      <c r="C7741" s="3" t="s">
        <v>922</v>
      </c>
    </row>
    <row r="7742">
      <c r="A7742" s="3" t="s">
        <v>440</v>
      </c>
      <c r="B7742" s="3" t="s">
        <v>443</v>
      </c>
      <c r="C7742" s="3" t="s">
        <v>937</v>
      </c>
    </row>
    <row r="7743">
      <c r="A7743" s="3" t="s">
        <v>440</v>
      </c>
      <c r="B7743" s="3" t="s">
        <v>443</v>
      </c>
      <c r="C7743" s="3" t="s">
        <v>937</v>
      </c>
    </row>
    <row r="7744">
      <c r="A7744" s="3" t="s">
        <v>440</v>
      </c>
      <c r="B7744" s="3" t="s">
        <v>924</v>
      </c>
      <c r="C7744" s="3" t="s">
        <v>926</v>
      </c>
    </row>
    <row r="7745">
      <c r="A7745" s="3" t="s">
        <v>440</v>
      </c>
      <c r="B7745" s="3" t="s">
        <v>441</v>
      </c>
      <c r="C7745" s="3" t="s">
        <v>922</v>
      </c>
    </row>
    <row r="7746">
      <c r="A7746" s="3" t="s">
        <v>440</v>
      </c>
      <c r="B7746" s="3" t="s">
        <v>441</v>
      </c>
      <c r="C7746" s="3" t="s">
        <v>923</v>
      </c>
    </row>
    <row r="7747">
      <c r="A7747" s="3" t="s">
        <v>440</v>
      </c>
      <c r="B7747" s="3" t="s">
        <v>441</v>
      </c>
      <c r="C7747" s="3" t="s">
        <v>922</v>
      </c>
    </row>
    <row r="7748">
      <c r="A7748" s="3" t="s">
        <v>440</v>
      </c>
      <c r="B7748" s="3" t="s">
        <v>441</v>
      </c>
      <c r="C7748" s="3" t="s">
        <v>923</v>
      </c>
    </row>
    <row r="7749">
      <c r="A7749" s="3" t="s">
        <v>440</v>
      </c>
      <c r="B7749" s="3" t="s">
        <v>924</v>
      </c>
      <c r="C7749" s="3" t="s">
        <v>932</v>
      </c>
    </row>
    <row r="7750">
      <c r="A7750" s="3" t="s">
        <v>440</v>
      </c>
      <c r="B7750" s="3" t="s">
        <v>929</v>
      </c>
      <c r="C7750" s="3" t="s">
        <v>930</v>
      </c>
    </row>
    <row r="7751">
      <c r="A7751" s="3" t="s">
        <v>440</v>
      </c>
      <c r="B7751" s="3" t="s">
        <v>934</v>
      </c>
      <c r="C7751" s="3" t="s">
        <v>935</v>
      </c>
    </row>
    <row r="7752">
      <c r="A7752" s="3" t="s">
        <v>440</v>
      </c>
      <c r="B7752" s="3" t="s">
        <v>924</v>
      </c>
      <c r="C7752" s="3" t="s">
        <v>926</v>
      </c>
    </row>
    <row r="7753">
      <c r="A7753" s="3" t="s">
        <v>440</v>
      </c>
      <c r="B7753" s="3" t="s">
        <v>443</v>
      </c>
      <c r="C7753" s="3" t="s">
        <v>920</v>
      </c>
    </row>
    <row r="7754">
      <c r="A7754" s="3" t="s">
        <v>440</v>
      </c>
      <c r="B7754" s="3" t="s">
        <v>924</v>
      </c>
      <c r="C7754" s="3" t="s">
        <v>933</v>
      </c>
    </row>
    <row r="7755">
      <c r="A7755" s="3" t="s">
        <v>440</v>
      </c>
      <c r="B7755" s="3" t="s">
        <v>934</v>
      </c>
      <c r="C7755" s="3" t="s">
        <v>935</v>
      </c>
    </row>
    <row r="7756">
      <c r="A7756" s="3" t="s">
        <v>440</v>
      </c>
      <c r="B7756" s="3" t="s">
        <v>924</v>
      </c>
      <c r="C7756" s="3" t="s">
        <v>926</v>
      </c>
    </row>
    <row r="7757">
      <c r="A7757" s="3" t="s">
        <v>440</v>
      </c>
      <c r="B7757" s="3" t="s">
        <v>924</v>
      </c>
      <c r="C7757" s="3" t="s">
        <v>925</v>
      </c>
    </row>
    <row r="7758">
      <c r="A7758" s="3" t="s">
        <v>440</v>
      </c>
      <c r="B7758" s="3" t="s">
        <v>929</v>
      </c>
      <c r="C7758" s="3" t="s">
        <v>931</v>
      </c>
    </row>
    <row r="7759">
      <c r="A7759" s="3" t="s">
        <v>440</v>
      </c>
      <c r="B7759" s="3" t="s">
        <v>929</v>
      </c>
      <c r="C7759" s="3" t="s">
        <v>930</v>
      </c>
    </row>
    <row r="7760">
      <c r="A7760" s="3" t="s">
        <v>440</v>
      </c>
      <c r="B7760" s="3" t="s">
        <v>924</v>
      </c>
      <c r="C7760" s="3" t="s">
        <v>926</v>
      </c>
    </row>
    <row r="7761">
      <c r="A7761" s="3" t="s">
        <v>440</v>
      </c>
      <c r="B7761" s="3" t="s">
        <v>441</v>
      </c>
      <c r="C7761" s="3" t="s">
        <v>918</v>
      </c>
    </row>
    <row r="7762">
      <c r="A7762" s="3" t="s">
        <v>440</v>
      </c>
      <c r="B7762" s="3" t="s">
        <v>441</v>
      </c>
      <c r="C7762" s="3" t="s">
        <v>922</v>
      </c>
    </row>
    <row r="7763">
      <c r="A7763" s="3" t="s">
        <v>440</v>
      </c>
      <c r="B7763" s="3" t="s">
        <v>929</v>
      </c>
      <c r="C7763" s="3" t="s">
        <v>931</v>
      </c>
    </row>
    <row r="7764">
      <c r="A7764" s="3" t="s">
        <v>440</v>
      </c>
      <c r="B7764" s="3" t="s">
        <v>924</v>
      </c>
      <c r="C7764" s="3" t="s">
        <v>933</v>
      </c>
    </row>
    <row r="7765">
      <c r="A7765" s="3" t="s">
        <v>440</v>
      </c>
      <c r="B7765" s="3" t="s">
        <v>441</v>
      </c>
      <c r="C7765" s="3" t="s">
        <v>927</v>
      </c>
    </row>
    <row r="7766">
      <c r="A7766" s="3" t="s">
        <v>440</v>
      </c>
      <c r="B7766" s="3" t="s">
        <v>441</v>
      </c>
      <c r="C7766" s="3" t="s">
        <v>922</v>
      </c>
    </row>
    <row r="7767">
      <c r="A7767" s="3" t="s">
        <v>440</v>
      </c>
      <c r="B7767" s="3" t="s">
        <v>924</v>
      </c>
      <c r="C7767" s="3" t="s">
        <v>926</v>
      </c>
    </row>
    <row r="7768">
      <c r="A7768" s="3" t="s">
        <v>440</v>
      </c>
      <c r="B7768" s="3" t="s">
        <v>441</v>
      </c>
      <c r="C7768" s="3" t="s">
        <v>918</v>
      </c>
    </row>
    <row r="7769">
      <c r="A7769" s="3" t="s">
        <v>440</v>
      </c>
      <c r="B7769" s="3" t="s">
        <v>443</v>
      </c>
      <c r="C7769" s="3" t="s">
        <v>937</v>
      </c>
    </row>
    <row r="7770">
      <c r="A7770" s="3" t="s">
        <v>440</v>
      </c>
      <c r="B7770" s="3" t="s">
        <v>929</v>
      </c>
      <c r="C7770" s="3" t="s">
        <v>939</v>
      </c>
    </row>
    <row r="7771">
      <c r="A7771" s="3" t="s">
        <v>440</v>
      </c>
      <c r="B7771" s="3" t="s">
        <v>929</v>
      </c>
      <c r="C7771" s="3" t="s">
        <v>938</v>
      </c>
    </row>
    <row r="7772">
      <c r="A7772" s="3" t="s">
        <v>440</v>
      </c>
      <c r="B7772" s="3" t="s">
        <v>924</v>
      </c>
      <c r="C7772" s="3" t="s">
        <v>925</v>
      </c>
    </row>
    <row r="7773">
      <c r="A7773" s="3" t="s">
        <v>440</v>
      </c>
      <c r="B7773" s="3" t="s">
        <v>443</v>
      </c>
      <c r="C7773" s="3" t="s">
        <v>919</v>
      </c>
    </row>
    <row r="7774">
      <c r="A7774" s="3" t="s">
        <v>440</v>
      </c>
      <c r="B7774" s="3" t="s">
        <v>924</v>
      </c>
      <c r="C7774" s="3" t="s">
        <v>925</v>
      </c>
    </row>
    <row r="7775">
      <c r="A7775" s="3" t="s">
        <v>440</v>
      </c>
      <c r="B7775" s="3" t="s">
        <v>929</v>
      </c>
      <c r="C7775" s="3" t="s">
        <v>930</v>
      </c>
    </row>
    <row r="7776">
      <c r="A7776" s="3" t="s">
        <v>440</v>
      </c>
      <c r="B7776" s="3" t="s">
        <v>924</v>
      </c>
      <c r="C7776" s="3" t="s">
        <v>933</v>
      </c>
    </row>
    <row r="7777">
      <c r="A7777" s="3" t="s">
        <v>440</v>
      </c>
      <c r="B7777" s="3" t="s">
        <v>443</v>
      </c>
      <c r="C7777" s="3" t="s">
        <v>937</v>
      </c>
    </row>
    <row r="7778">
      <c r="A7778" s="3" t="s">
        <v>440</v>
      </c>
      <c r="B7778" s="3" t="s">
        <v>929</v>
      </c>
      <c r="C7778" s="3" t="s">
        <v>938</v>
      </c>
    </row>
    <row r="7779">
      <c r="A7779" s="3" t="s">
        <v>440</v>
      </c>
      <c r="B7779" s="3" t="s">
        <v>443</v>
      </c>
      <c r="C7779" s="3" t="s">
        <v>921</v>
      </c>
    </row>
    <row r="7780">
      <c r="A7780" s="3" t="s">
        <v>440</v>
      </c>
      <c r="B7780" s="3" t="s">
        <v>924</v>
      </c>
      <c r="C7780" s="3" t="s">
        <v>933</v>
      </c>
    </row>
    <row r="7781">
      <c r="A7781" s="3" t="s">
        <v>440</v>
      </c>
      <c r="B7781" s="3" t="s">
        <v>443</v>
      </c>
      <c r="C7781" s="3" t="s">
        <v>936</v>
      </c>
    </row>
    <row r="7782">
      <c r="A7782" s="3" t="s">
        <v>440</v>
      </c>
      <c r="B7782" s="3" t="s">
        <v>929</v>
      </c>
      <c r="C7782" s="3" t="s">
        <v>938</v>
      </c>
    </row>
    <row r="7783">
      <c r="A7783" s="3" t="s">
        <v>440</v>
      </c>
      <c r="B7783" s="3" t="s">
        <v>443</v>
      </c>
      <c r="C7783" s="3" t="s">
        <v>937</v>
      </c>
    </row>
    <row r="7784">
      <c r="A7784" s="3" t="s">
        <v>440</v>
      </c>
      <c r="B7784" s="3" t="s">
        <v>443</v>
      </c>
      <c r="C7784" s="3" t="s">
        <v>937</v>
      </c>
    </row>
    <row r="7785">
      <c r="A7785" s="3" t="s">
        <v>440</v>
      </c>
      <c r="B7785" s="3" t="s">
        <v>929</v>
      </c>
      <c r="C7785" s="3" t="s">
        <v>931</v>
      </c>
    </row>
    <row r="7786">
      <c r="A7786" s="3" t="s">
        <v>440</v>
      </c>
      <c r="B7786" s="3" t="s">
        <v>924</v>
      </c>
      <c r="C7786" s="3" t="s">
        <v>933</v>
      </c>
    </row>
    <row r="7787">
      <c r="A7787" s="3" t="s">
        <v>440</v>
      </c>
      <c r="B7787" s="3" t="s">
        <v>924</v>
      </c>
      <c r="C7787" s="3" t="s">
        <v>926</v>
      </c>
    </row>
    <row r="7788">
      <c r="A7788" s="3" t="s">
        <v>440</v>
      </c>
      <c r="B7788" s="3" t="s">
        <v>929</v>
      </c>
      <c r="C7788" s="3" t="s">
        <v>938</v>
      </c>
    </row>
    <row r="7789">
      <c r="A7789" s="3" t="s">
        <v>440</v>
      </c>
      <c r="B7789" s="3" t="s">
        <v>929</v>
      </c>
      <c r="C7789" s="3" t="s">
        <v>930</v>
      </c>
    </row>
    <row r="7790">
      <c r="A7790" s="3" t="s">
        <v>440</v>
      </c>
      <c r="B7790" s="3" t="s">
        <v>929</v>
      </c>
      <c r="C7790" s="3" t="s">
        <v>939</v>
      </c>
    </row>
    <row r="7791">
      <c r="A7791" s="3" t="s">
        <v>440</v>
      </c>
      <c r="B7791" s="3" t="s">
        <v>929</v>
      </c>
      <c r="C7791" s="3" t="s">
        <v>939</v>
      </c>
    </row>
    <row r="7792">
      <c r="A7792" s="3" t="s">
        <v>440</v>
      </c>
      <c r="B7792" s="3" t="s">
        <v>441</v>
      </c>
      <c r="C7792" s="3" t="s">
        <v>923</v>
      </c>
    </row>
    <row r="7793">
      <c r="A7793" s="3" t="s">
        <v>440</v>
      </c>
      <c r="B7793" s="3" t="s">
        <v>929</v>
      </c>
      <c r="C7793" s="3" t="s">
        <v>939</v>
      </c>
    </row>
    <row r="7794">
      <c r="A7794" s="3" t="s">
        <v>440</v>
      </c>
      <c r="B7794" s="3" t="s">
        <v>929</v>
      </c>
      <c r="C7794" s="3" t="s">
        <v>939</v>
      </c>
    </row>
    <row r="7795">
      <c r="A7795" s="3" t="s">
        <v>440</v>
      </c>
      <c r="B7795" s="3" t="s">
        <v>443</v>
      </c>
      <c r="C7795" s="3" t="s">
        <v>919</v>
      </c>
    </row>
    <row r="7796">
      <c r="A7796" s="3" t="s">
        <v>440</v>
      </c>
      <c r="B7796" s="3" t="s">
        <v>929</v>
      </c>
      <c r="C7796" s="3" t="s">
        <v>939</v>
      </c>
    </row>
    <row r="7797">
      <c r="A7797" s="3" t="s">
        <v>440</v>
      </c>
      <c r="B7797" s="3" t="s">
        <v>924</v>
      </c>
      <c r="C7797" s="3" t="s">
        <v>932</v>
      </c>
    </row>
    <row r="7798">
      <c r="A7798" s="3" t="s">
        <v>440</v>
      </c>
      <c r="B7798" s="3" t="s">
        <v>443</v>
      </c>
      <c r="C7798" s="3" t="s">
        <v>936</v>
      </c>
    </row>
    <row r="7799">
      <c r="A7799" s="3" t="s">
        <v>440</v>
      </c>
      <c r="B7799" s="3" t="s">
        <v>929</v>
      </c>
      <c r="C7799" s="3" t="s">
        <v>939</v>
      </c>
    </row>
    <row r="7800">
      <c r="A7800" s="3" t="s">
        <v>440</v>
      </c>
      <c r="B7800" s="3" t="s">
        <v>929</v>
      </c>
      <c r="C7800" s="3" t="s">
        <v>939</v>
      </c>
    </row>
    <row r="7801">
      <c r="A7801" s="3" t="s">
        <v>465</v>
      </c>
      <c r="B7801" s="3" t="s">
        <v>466</v>
      </c>
      <c r="C7801" s="3" t="s">
        <v>940</v>
      </c>
    </row>
    <row r="7802">
      <c r="A7802" s="3" t="s">
        <v>465</v>
      </c>
      <c r="B7802" s="3" t="s">
        <v>466</v>
      </c>
      <c r="C7802" s="3" t="s">
        <v>940</v>
      </c>
    </row>
    <row r="7803">
      <c r="A7803" s="3" t="s">
        <v>465</v>
      </c>
      <c r="B7803" s="3" t="s">
        <v>941</v>
      </c>
      <c r="C7803" s="3" t="s">
        <v>942</v>
      </c>
    </row>
    <row r="7804">
      <c r="A7804" s="3" t="s">
        <v>465</v>
      </c>
      <c r="B7804" s="3" t="s">
        <v>466</v>
      </c>
      <c r="C7804" s="3" t="s">
        <v>940</v>
      </c>
    </row>
    <row r="7805">
      <c r="A7805" s="3" t="s">
        <v>465</v>
      </c>
      <c r="B7805" s="3" t="s">
        <v>466</v>
      </c>
      <c r="C7805" s="3" t="s">
        <v>940</v>
      </c>
    </row>
    <row r="7806">
      <c r="A7806" s="3" t="s">
        <v>465</v>
      </c>
      <c r="B7806" s="3" t="s">
        <v>466</v>
      </c>
      <c r="C7806" s="3" t="s">
        <v>940</v>
      </c>
    </row>
    <row r="7807">
      <c r="A7807" s="3" t="s">
        <v>465</v>
      </c>
      <c r="B7807" s="3" t="s">
        <v>466</v>
      </c>
      <c r="C7807" s="3" t="s">
        <v>940</v>
      </c>
    </row>
    <row r="7808">
      <c r="A7808" s="3" t="s">
        <v>465</v>
      </c>
      <c r="B7808" s="3" t="s">
        <v>466</v>
      </c>
      <c r="C7808" s="3" t="s">
        <v>940</v>
      </c>
    </row>
    <row r="7809">
      <c r="A7809" s="3" t="s">
        <v>465</v>
      </c>
      <c r="B7809" s="3" t="s">
        <v>466</v>
      </c>
      <c r="C7809" s="3" t="s">
        <v>940</v>
      </c>
    </row>
    <row r="7810">
      <c r="A7810" s="3" t="s">
        <v>470</v>
      </c>
      <c r="B7810" s="3" t="s">
        <v>188</v>
      </c>
      <c r="C7810" s="3" t="s">
        <v>943</v>
      </c>
    </row>
    <row r="7811">
      <c r="A7811" s="3" t="s">
        <v>470</v>
      </c>
      <c r="B7811" s="3" t="s">
        <v>188</v>
      </c>
      <c r="C7811" s="3" t="s">
        <v>944</v>
      </c>
    </row>
    <row r="7812">
      <c r="A7812" s="3" t="s">
        <v>470</v>
      </c>
      <c r="B7812" s="3" t="s">
        <v>188</v>
      </c>
      <c r="C7812" s="3" t="s">
        <v>943</v>
      </c>
    </row>
    <row r="7813">
      <c r="A7813" s="3" t="s">
        <v>470</v>
      </c>
      <c r="B7813" s="3" t="s">
        <v>188</v>
      </c>
      <c r="C7813" s="3" t="s">
        <v>944</v>
      </c>
    </row>
    <row r="7814">
      <c r="A7814" s="3" t="s">
        <v>470</v>
      </c>
      <c r="B7814" s="3" t="s">
        <v>188</v>
      </c>
      <c r="C7814" s="3" t="s">
        <v>943</v>
      </c>
    </row>
    <row r="7815">
      <c r="A7815" s="3" t="s">
        <v>470</v>
      </c>
      <c r="B7815" s="3" t="s">
        <v>188</v>
      </c>
      <c r="C7815" s="3" t="s">
        <v>945</v>
      </c>
    </row>
    <row r="7816">
      <c r="A7816" s="3" t="s">
        <v>470</v>
      </c>
      <c r="B7816" s="3" t="s">
        <v>188</v>
      </c>
      <c r="C7816" s="3" t="s">
        <v>690</v>
      </c>
    </row>
    <row r="7817">
      <c r="A7817" s="3" t="s">
        <v>470</v>
      </c>
      <c r="B7817" s="3" t="s">
        <v>188</v>
      </c>
      <c r="C7817" s="3" t="s">
        <v>945</v>
      </c>
    </row>
    <row r="7818">
      <c r="A7818" s="3" t="s">
        <v>470</v>
      </c>
      <c r="B7818" s="3" t="s">
        <v>188</v>
      </c>
      <c r="C7818" s="3" t="s">
        <v>943</v>
      </c>
    </row>
    <row r="7819">
      <c r="A7819" s="3" t="s">
        <v>470</v>
      </c>
      <c r="B7819" s="3" t="s">
        <v>188</v>
      </c>
      <c r="C7819" s="3" t="s">
        <v>945</v>
      </c>
    </row>
    <row r="7820">
      <c r="A7820" s="3" t="s">
        <v>470</v>
      </c>
      <c r="B7820" s="3" t="s">
        <v>188</v>
      </c>
      <c r="C7820" s="3" t="s">
        <v>690</v>
      </c>
    </row>
    <row r="7821">
      <c r="A7821" s="3" t="s">
        <v>470</v>
      </c>
      <c r="B7821" s="3" t="s">
        <v>188</v>
      </c>
      <c r="C7821" s="3" t="s">
        <v>944</v>
      </c>
    </row>
    <row r="7822">
      <c r="A7822" s="3" t="s">
        <v>474</v>
      </c>
      <c r="B7822" s="3" t="s">
        <v>475</v>
      </c>
      <c r="C7822" s="3" t="s">
        <v>946</v>
      </c>
    </row>
    <row r="7823">
      <c r="A7823" s="3" t="s">
        <v>474</v>
      </c>
      <c r="B7823" s="3" t="s">
        <v>475</v>
      </c>
      <c r="C7823" s="3" t="s">
        <v>946</v>
      </c>
    </row>
    <row r="7824">
      <c r="A7824" s="3" t="s">
        <v>474</v>
      </c>
      <c r="B7824" s="3" t="s">
        <v>475</v>
      </c>
      <c r="C7824" s="3" t="s">
        <v>947</v>
      </c>
    </row>
    <row r="7825">
      <c r="A7825" s="3" t="s">
        <v>474</v>
      </c>
      <c r="B7825" s="3" t="s">
        <v>475</v>
      </c>
      <c r="C7825" s="3" t="s">
        <v>946</v>
      </c>
    </row>
    <row r="7826">
      <c r="A7826" s="3" t="s">
        <v>474</v>
      </c>
      <c r="B7826" s="3" t="s">
        <v>475</v>
      </c>
      <c r="C7826" s="3" t="s">
        <v>947</v>
      </c>
    </row>
    <row r="7827">
      <c r="A7827" s="3" t="s">
        <v>474</v>
      </c>
      <c r="B7827" s="3" t="s">
        <v>475</v>
      </c>
      <c r="C7827" s="3" t="s">
        <v>946</v>
      </c>
    </row>
    <row r="7828">
      <c r="A7828" s="3" t="s">
        <v>474</v>
      </c>
      <c r="B7828" s="3" t="s">
        <v>475</v>
      </c>
      <c r="C7828" s="3" t="s">
        <v>624</v>
      </c>
    </row>
    <row r="7829">
      <c r="A7829" s="3" t="s">
        <v>474</v>
      </c>
      <c r="B7829" s="3" t="s">
        <v>475</v>
      </c>
      <c r="C7829" s="3" t="s">
        <v>947</v>
      </c>
    </row>
    <row r="7830">
      <c r="A7830" s="3" t="s">
        <v>474</v>
      </c>
      <c r="B7830" s="3" t="s">
        <v>475</v>
      </c>
      <c r="C7830" s="3" t="s">
        <v>624</v>
      </c>
    </row>
    <row r="7831">
      <c r="A7831" s="3" t="s">
        <v>474</v>
      </c>
      <c r="B7831" s="3" t="s">
        <v>475</v>
      </c>
      <c r="C7831" s="3" t="s">
        <v>947</v>
      </c>
    </row>
    <row r="7832">
      <c r="A7832" s="3" t="s">
        <v>478</v>
      </c>
      <c r="B7832" s="3" t="s">
        <v>948</v>
      </c>
      <c r="C7832" s="3" t="s">
        <v>949</v>
      </c>
    </row>
    <row r="7833">
      <c r="A7833" s="3" t="s">
        <v>478</v>
      </c>
      <c r="B7833" s="3" t="s">
        <v>948</v>
      </c>
      <c r="C7833" s="3" t="s">
        <v>950</v>
      </c>
    </row>
    <row r="7834">
      <c r="A7834" s="3" t="s">
        <v>478</v>
      </c>
      <c r="B7834" s="3" t="s">
        <v>482</v>
      </c>
      <c r="C7834" s="3" t="s">
        <v>951</v>
      </c>
    </row>
    <row r="7835">
      <c r="A7835" s="3" t="s">
        <v>478</v>
      </c>
      <c r="B7835" s="3" t="s">
        <v>484</v>
      </c>
      <c r="C7835" s="3" t="s">
        <v>952</v>
      </c>
    </row>
    <row r="7836">
      <c r="A7836" s="3" t="s">
        <v>478</v>
      </c>
      <c r="B7836" s="3" t="s">
        <v>953</v>
      </c>
      <c r="C7836" s="3" t="s">
        <v>674</v>
      </c>
    </row>
    <row r="7837">
      <c r="A7837" s="3" t="s">
        <v>478</v>
      </c>
      <c r="B7837" s="3" t="s">
        <v>487</v>
      </c>
      <c r="C7837" s="3" t="s">
        <v>954</v>
      </c>
    </row>
    <row r="7838">
      <c r="A7838" s="3" t="s">
        <v>478</v>
      </c>
      <c r="B7838" s="3" t="s">
        <v>487</v>
      </c>
      <c r="C7838" s="3" t="s">
        <v>955</v>
      </c>
    </row>
    <row r="7839">
      <c r="A7839" s="3" t="s">
        <v>478</v>
      </c>
      <c r="B7839" s="3" t="s">
        <v>484</v>
      </c>
      <c r="C7839" s="3" t="s">
        <v>956</v>
      </c>
    </row>
    <row r="7840">
      <c r="A7840" s="3" t="s">
        <v>478</v>
      </c>
      <c r="B7840" s="3" t="s">
        <v>482</v>
      </c>
      <c r="C7840" s="3" t="s">
        <v>951</v>
      </c>
    </row>
    <row r="7841">
      <c r="A7841" s="3" t="s">
        <v>478</v>
      </c>
      <c r="B7841" s="3" t="s">
        <v>491</v>
      </c>
      <c r="C7841" s="3" t="s">
        <v>957</v>
      </c>
    </row>
    <row r="7842">
      <c r="A7842" s="3" t="s">
        <v>478</v>
      </c>
      <c r="B7842" s="3" t="s">
        <v>487</v>
      </c>
      <c r="C7842" s="3" t="s">
        <v>955</v>
      </c>
    </row>
    <row r="7843">
      <c r="A7843" s="3" t="s">
        <v>478</v>
      </c>
      <c r="B7843" s="3" t="s">
        <v>958</v>
      </c>
      <c r="C7843" s="3" t="s">
        <v>959</v>
      </c>
    </row>
    <row r="7844">
      <c r="A7844" s="3" t="s">
        <v>478</v>
      </c>
      <c r="B7844" s="3" t="s">
        <v>953</v>
      </c>
      <c r="C7844" s="3" t="s">
        <v>960</v>
      </c>
    </row>
    <row r="7845">
      <c r="A7845" s="3" t="s">
        <v>478</v>
      </c>
      <c r="B7845" s="3" t="s">
        <v>484</v>
      </c>
      <c r="C7845" s="3" t="s">
        <v>961</v>
      </c>
    </row>
    <row r="7846">
      <c r="A7846" s="3" t="s">
        <v>478</v>
      </c>
      <c r="B7846" s="3" t="s">
        <v>958</v>
      </c>
      <c r="C7846" s="3" t="s">
        <v>962</v>
      </c>
    </row>
    <row r="7847">
      <c r="A7847" s="3" t="s">
        <v>478</v>
      </c>
      <c r="B7847" s="3" t="s">
        <v>491</v>
      </c>
      <c r="C7847" s="3" t="s">
        <v>957</v>
      </c>
    </row>
    <row r="7848">
      <c r="A7848" s="3" t="s">
        <v>478</v>
      </c>
      <c r="B7848" s="3" t="s">
        <v>491</v>
      </c>
      <c r="C7848" s="3" t="s">
        <v>963</v>
      </c>
    </row>
    <row r="7849">
      <c r="A7849" s="3" t="s">
        <v>478</v>
      </c>
      <c r="B7849" s="3" t="s">
        <v>491</v>
      </c>
      <c r="C7849" s="3" t="s">
        <v>964</v>
      </c>
    </row>
    <row r="7850">
      <c r="A7850" s="3" t="s">
        <v>478</v>
      </c>
      <c r="B7850" s="3" t="s">
        <v>487</v>
      </c>
      <c r="C7850" s="3" t="s">
        <v>955</v>
      </c>
    </row>
    <row r="7851">
      <c r="A7851" s="3" t="s">
        <v>478</v>
      </c>
      <c r="B7851" s="3" t="s">
        <v>491</v>
      </c>
      <c r="C7851" s="3" t="s">
        <v>957</v>
      </c>
    </row>
    <row r="7852">
      <c r="A7852" s="3" t="s">
        <v>478</v>
      </c>
      <c r="B7852" s="3" t="s">
        <v>491</v>
      </c>
      <c r="C7852" s="3" t="s">
        <v>963</v>
      </c>
    </row>
    <row r="7853">
      <c r="A7853" s="3" t="s">
        <v>478</v>
      </c>
      <c r="B7853" s="3" t="s">
        <v>484</v>
      </c>
      <c r="C7853" s="3" t="s">
        <v>965</v>
      </c>
    </row>
    <row r="7854">
      <c r="A7854" s="3" t="s">
        <v>478</v>
      </c>
      <c r="B7854" s="3" t="s">
        <v>491</v>
      </c>
      <c r="C7854" s="3" t="s">
        <v>966</v>
      </c>
    </row>
    <row r="7855">
      <c r="A7855" s="3" t="s">
        <v>478</v>
      </c>
      <c r="B7855" s="3" t="s">
        <v>491</v>
      </c>
      <c r="C7855" s="3" t="s">
        <v>963</v>
      </c>
    </row>
    <row r="7856">
      <c r="A7856" s="3" t="s">
        <v>478</v>
      </c>
      <c r="B7856" s="3" t="s">
        <v>491</v>
      </c>
      <c r="C7856" s="3" t="s">
        <v>967</v>
      </c>
    </row>
    <row r="7857">
      <c r="A7857" s="3" t="s">
        <v>478</v>
      </c>
      <c r="B7857" s="3" t="s">
        <v>491</v>
      </c>
      <c r="C7857" s="3" t="s">
        <v>964</v>
      </c>
    </row>
    <row r="7858">
      <c r="A7858" s="3" t="s">
        <v>478</v>
      </c>
      <c r="B7858" s="3" t="s">
        <v>958</v>
      </c>
      <c r="C7858" s="3" t="s">
        <v>917</v>
      </c>
    </row>
    <row r="7859">
      <c r="A7859" s="3" t="s">
        <v>478</v>
      </c>
      <c r="B7859" s="3" t="s">
        <v>958</v>
      </c>
      <c r="C7859" s="3" t="s">
        <v>962</v>
      </c>
    </row>
    <row r="7860">
      <c r="A7860" s="3" t="s">
        <v>478</v>
      </c>
      <c r="B7860" s="3" t="s">
        <v>484</v>
      </c>
      <c r="C7860" s="3" t="s">
        <v>968</v>
      </c>
    </row>
    <row r="7861">
      <c r="A7861" s="3" t="s">
        <v>478</v>
      </c>
      <c r="B7861" s="3" t="s">
        <v>484</v>
      </c>
      <c r="C7861" s="3" t="s">
        <v>961</v>
      </c>
    </row>
    <row r="7862">
      <c r="A7862" s="3" t="s">
        <v>478</v>
      </c>
      <c r="B7862" s="3" t="s">
        <v>487</v>
      </c>
      <c r="C7862" s="3" t="s">
        <v>955</v>
      </c>
    </row>
    <row r="7863">
      <c r="A7863" s="3" t="s">
        <v>478</v>
      </c>
      <c r="B7863" s="3" t="s">
        <v>482</v>
      </c>
      <c r="C7863" s="3" t="s">
        <v>969</v>
      </c>
    </row>
    <row r="7864">
      <c r="A7864" s="3" t="s">
        <v>478</v>
      </c>
      <c r="B7864" s="3" t="s">
        <v>487</v>
      </c>
      <c r="C7864" s="3" t="s">
        <v>970</v>
      </c>
    </row>
    <row r="7865">
      <c r="A7865" s="3" t="s">
        <v>478</v>
      </c>
      <c r="B7865" s="3" t="s">
        <v>484</v>
      </c>
      <c r="C7865" s="3" t="s">
        <v>965</v>
      </c>
    </row>
    <row r="7866">
      <c r="A7866" s="3" t="s">
        <v>478</v>
      </c>
      <c r="B7866" s="3" t="s">
        <v>971</v>
      </c>
      <c r="C7866" s="3" t="s">
        <v>972</v>
      </c>
    </row>
    <row r="7867">
      <c r="A7867" s="3" t="s">
        <v>478</v>
      </c>
      <c r="B7867" s="3" t="s">
        <v>958</v>
      </c>
      <c r="C7867" s="3" t="s">
        <v>917</v>
      </c>
    </row>
    <row r="7868">
      <c r="A7868" s="3" t="s">
        <v>478</v>
      </c>
      <c r="B7868" s="3" t="s">
        <v>958</v>
      </c>
      <c r="C7868" s="3" t="s">
        <v>962</v>
      </c>
    </row>
    <row r="7869">
      <c r="A7869" s="3" t="s">
        <v>478</v>
      </c>
      <c r="B7869" s="3" t="s">
        <v>484</v>
      </c>
      <c r="C7869" s="3" t="s">
        <v>961</v>
      </c>
    </row>
    <row r="7870">
      <c r="A7870" s="3" t="s">
        <v>478</v>
      </c>
      <c r="B7870" s="3" t="s">
        <v>484</v>
      </c>
      <c r="C7870" s="3" t="s">
        <v>965</v>
      </c>
    </row>
    <row r="7871">
      <c r="A7871" s="3" t="s">
        <v>478</v>
      </c>
      <c r="B7871" s="3" t="s">
        <v>482</v>
      </c>
      <c r="C7871" s="3" t="s">
        <v>969</v>
      </c>
    </row>
    <row r="7872">
      <c r="A7872" s="3" t="s">
        <v>478</v>
      </c>
      <c r="B7872" s="3" t="s">
        <v>482</v>
      </c>
      <c r="C7872" s="3" t="s">
        <v>951</v>
      </c>
    </row>
    <row r="7873">
      <c r="A7873" s="3" t="s">
        <v>478</v>
      </c>
      <c r="B7873" s="3" t="s">
        <v>484</v>
      </c>
      <c r="C7873" s="3" t="s">
        <v>961</v>
      </c>
    </row>
    <row r="7874">
      <c r="A7874" s="3" t="s">
        <v>478</v>
      </c>
      <c r="B7874" s="3" t="s">
        <v>484</v>
      </c>
      <c r="C7874" s="3" t="s">
        <v>952</v>
      </c>
    </row>
    <row r="7875">
      <c r="A7875" s="3" t="s">
        <v>478</v>
      </c>
      <c r="B7875" s="3" t="s">
        <v>482</v>
      </c>
      <c r="C7875" s="3" t="s">
        <v>969</v>
      </c>
    </row>
    <row r="7876">
      <c r="A7876" s="3" t="s">
        <v>478</v>
      </c>
      <c r="B7876" s="3" t="s">
        <v>484</v>
      </c>
      <c r="C7876" s="3" t="s">
        <v>961</v>
      </c>
    </row>
    <row r="7877">
      <c r="A7877" s="3" t="s">
        <v>478</v>
      </c>
      <c r="B7877" s="3" t="s">
        <v>487</v>
      </c>
      <c r="C7877" s="3" t="s">
        <v>970</v>
      </c>
    </row>
    <row r="7878">
      <c r="A7878" s="3" t="s">
        <v>478</v>
      </c>
      <c r="B7878" s="3" t="s">
        <v>971</v>
      </c>
      <c r="C7878" s="3" t="s">
        <v>972</v>
      </c>
    </row>
    <row r="7879">
      <c r="A7879" s="3" t="s">
        <v>478</v>
      </c>
      <c r="B7879" s="3" t="s">
        <v>487</v>
      </c>
      <c r="C7879" s="3" t="s">
        <v>970</v>
      </c>
    </row>
    <row r="7880">
      <c r="A7880" s="3" t="s">
        <v>478</v>
      </c>
      <c r="B7880" s="3" t="s">
        <v>508</v>
      </c>
      <c r="C7880" s="3" t="s">
        <v>973</v>
      </c>
    </row>
    <row r="7881">
      <c r="A7881" s="3" t="s">
        <v>478</v>
      </c>
      <c r="B7881" s="3" t="s">
        <v>487</v>
      </c>
      <c r="C7881" s="3" t="s">
        <v>974</v>
      </c>
    </row>
    <row r="7882">
      <c r="A7882" s="3" t="s">
        <v>478</v>
      </c>
      <c r="B7882" s="3" t="s">
        <v>487</v>
      </c>
      <c r="C7882" s="3" t="s">
        <v>975</v>
      </c>
    </row>
    <row r="7883">
      <c r="A7883" s="3" t="s">
        <v>478</v>
      </c>
      <c r="B7883" s="3" t="s">
        <v>491</v>
      </c>
      <c r="C7883" s="3" t="s">
        <v>964</v>
      </c>
    </row>
    <row r="7884">
      <c r="A7884" s="3" t="s">
        <v>478</v>
      </c>
      <c r="B7884" s="3" t="s">
        <v>953</v>
      </c>
      <c r="C7884" s="3" t="s">
        <v>976</v>
      </c>
    </row>
    <row r="7885">
      <c r="A7885" s="3" t="s">
        <v>478</v>
      </c>
      <c r="B7885" s="3" t="s">
        <v>484</v>
      </c>
      <c r="C7885" s="3" t="s">
        <v>965</v>
      </c>
    </row>
    <row r="7886">
      <c r="A7886" s="3" t="s">
        <v>478</v>
      </c>
      <c r="B7886" s="3" t="s">
        <v>953</v>
      </c>
      <c r="C7886" s="3" t="s">
        <v>976</v>
      </c>
    </row>
    <row r="7887">
      <c r="A7887" s="3" t="s">
        <v>478</v>
      </c>
      <c r="B7887" s="3" t="s">
        <v>484</v>
      </c>
      <c r="C7887" s="3" t="s">
        <v>952</v>
      </c>
    </row>
    <row r="7888">
      <c r="A7888" s="3" t="s">
        <v>478</v>
      </c>
      <c r="B7888" s="3" t="s">
        <v>491</v>
      </c>
      <c r="C7888" s="3" t="s">
        <v>967</v>
      </c>
    </row>
    <row r="7889">
      <c r="A7889" s="3" t="s">
        <v>478</v>
      </c>
      <c r="B7889" s="3" t="s">
        <v>953</v>
      </c>
      <c r="C7889" s="3" t="s">
        <v>674</v>
      </c>
    </row>
    <row r="7890">
      <c r="A7890" s="3" t="s">
        <v>478</v>
      </c>
      <c r="B7890" s="3" t="s">
        <v>953</v>
      </c>
      <c r="C7890" s="3" t="s">
        <v>674</v>
      </c>
    </row>
    <row r="7891">
      <c r="A7891" s="3" t="s">
        <v>478</v>
      </c>
      <c r="B7891" s="3" t="s">
        <v>484</v>
      </c>
      <c r="C7891" s="3" t="s">
        <v>968</v>
      </c>
    </row>
    <row r="7892">
      <c r="A7892" s="3" t="s">
        <v>478</v>
      </c>
      <c r="B7892" s="3" t="s">
        <v>491</v>
      </c>
      <c r="C7892" s="3" t="s">
        <v>957</v>
      </c>
    </row>
    <row r="7893">
      <c r="A7893" s="3" t="s">
        <v>478</v>
      </c>
      <c r="B7893" s="3" t="s">
        <v>484</v>
      </c>
      <c r="C7893" s="3" t="s">
        <v>961</v>
      </c>
    </row>
    <row r="7894">
      <c r="A7894" s="3" t="s">
        <v>478</v>
      </c>
      <c r="B7894" s="3" t="s">
        <v>482</v>
      </c>
      <c r="C7894" s="3" t="s">
        <v>969</v>
      </c>
    </row>
    <row r="7895">
      <c r="A7895" s="3" t="s">
        <v>478</v>
      </c>
      <c r="B7895" s="3" t="s">
        <v>484</v>
      </c>
      <c r="C7895" s="3" t="s">
        <v>968</v>
      </c>
    </row>
    <row r="7896">
      <c r="A7896" s="3" t="s">
        <v>478</v>
      </c>
      <c r="B7896" s="3" t="s">
        <v>482</v>
      </c>
      <c r="C7896" s="3" t="s">
        <v>977</v>
      </c>
    </row>
    <row r="7897">
      <c r="A7897" s="3" t="s">
        <v>478</v>
      </c>
      <c r="B7897" s="3" t="s">
        <v>948</v>
      </c>
      <c r="C7897" s="3" t="s">
        <v>950</v>
      </c>
    </row>
    <row r="7898">
      <c r="A7898" s="3" t="s">
        <v>478</v>
      </c>
      <c r="B7898" s="3" t="s">
        <v>482</v>
      </c>
      <c r="C7898" s="3" t="s">
        <v>978</v>
      </c>
    </row>
    <row r="7899">
      <c r="A7899" s="3" t="s">
        <v>478</v>
      </c>
      <c r="B7899" s="3" t="s">
        <v>487</v>
      </c>
      <c r="C7899" s="3" t="s">
        <v>979</v>
      </c>
    </row>
    <row r="7900">
      <c r="A7900" s="3" t="s">
        <v>478</v>
      </c>
      <c r="B7900" s="3" t="s">
        <v>491</v>
      </c>
      <c r="C7900" s="3" t="s">
        <v>964</v>
      </c>
    </row>
    <row r="7901">
      <c r="A7901" s="3" t="s">
        <v>478</v>
      </c>
      <c r="B7901" s="3" t="s">
        <v>487</v>
      </c>
      <c r="C7901" s="3" t="s">
        <v>974</v>
      </c>
    </row>
    <row r="7902">
      <c r="A7902" s="3" t="s">
        <v>478</v>
      </c>
      <c r="B7902" s="3" t="s">
        <v>487</v>
      </c>
      <c r="C7902" s="3" t="s">
        <v>975</v>
      </c>
    </row>
    <row r="7903">
      <c r="A7903" s="3" t="s">
        <v>478</v>
      </c>
      <c r="B7903" s="3" t="s">
        <v>487</v>
      </c>
      <c r="C7903" s="3" t="s">
        <v>974</v>
      </c>
    </row>
    <row r="7904">
      <c r="A7904" s="3" t="s">
        <v>478</v>
      </c>
      <c r="B7904" s="3" t="s">
        <v>487</v>
      </c>
      <c r="C7904" s="3" t="s">
        <v>974</v>
      </c>
    </row>
    <row r="7905">
      <c r="A7905" s="3" t="s">
        <v>478</v>
      </c>
      <c r="B7905" s="3" t="s">
        <v>487</v>
      </c>
      <c r="C7905" s="3" t="s">
        <v>974</v>
      </c>
    </row>
    <row r="7906">
      <c r="A7906" s="3" t="s">
        <v>478</v>
      </c>
      <c r="B7906" s="3" t="s">
        <v>491</v>
      </c>
      <c r="C7906" s="3" t="s">
        <v>964</v>
      </c>
    </row>
    <row r="7907">
      <c r="A7907" s="3" t="s">
        <v>478</v>
      </c>
      <c r="B7907" s="3" t="s">
        <v>958</v>
      </c>
      <c r="C7907" s="3" t="s">
        <v>917</v>
      </c>
    </row>
    <row r="7908">
      <c r="A7908" s="3" t="s">
        <v>478</v>
      </c>
      <c r="B7908" s="3" t="s">
        <v>958</v>
      </c>
      <c r="C7908" s="3" t="s">
        <v>962</v>
      </c>
    </row>
    <row r="7909">
      <c r="A7909" s="3" t="s">
        <v>478</v>
      </c>
      <c r="B7909" s="3" t="s">
        <v>484</v>
      </c>
      <c r="C7909" s="3" t="s">
        <v>961</v>
      </c>
    </row>
    <row r="7910">
      <c r="A7910" s="3" t="s">
        <v>478</v>
      </c>
      <c r="B7910" s="3" t="s">
        <v>491</v>
      </c>
      <c r="C7910" s="3" t="s">
        <v>964</v>
      </c>
    </row>
    <row r="7911">
      <c r="A7911" s="3" t="s">
        <v>478</v>
      </c>
      <c r="B7911" s="3" t="s">
        <v>491</v>
      </c>
      <c r="C7911" s="3" t="s">
        <v>964</v>
      </c>
    </row>
    <row r="7912">
      <c r="A7912" s="3" t="s">
        <v>478</v>
      </c>
      <c r="B7912" s="3" t="s">
        <v>487</v>
      </c>
      <c r="C7912" s="3" t="s">
        <v>974</v>
      </c>
    </row>
    <row r="7913">
      <c r="A7913" s="3" t="s">
        <v>478</v>
      </c>
      <c r="B7913" s="3" t="s">
        <v>953</v>
      </c>
      <c r="C7913" s="3" t="s">
        <v>976</v>
      </c>
    </row>
    <row r="7914">
      <c r="A7914" s="3" t="s">
        <v>478</v>
      </c>
      <c r="B7914" s="3" t="s">
        <v>487</v>
      </c>
      <c r="C7914" s="3" t="s">
        <v>974</v>
      </c>
    </row>
    <row r="7915">
      <c r="A7915" s="3" t="s">
        <v>478</v>
      </c>
      <c r="B7915" s="3" t="s">
        <v>484</v>
      </c>
      <c r="C7915" s="3" t="s">
        <v>965</v>
      </c>
    </row>
    <row r="7916">
      <c r="A7916" s="3" t="s">
        <v>478</v>
      </c>
      <c r="B7916" s="3" t="s">
        <v>487</v>
      </c>
      <c r="C7916" s="3" t="s">
        <v>975</v>
      </c>
    </row>
    <row r="7917">
      <c r="A7917" s="3" t="s">
        <v>478</v>
      </c>
      <c r="B7917" s="3" t="s">
        <v>484</v>
      </c>
      <c r="C7917" s="3" t="s">
        <v>952</v>
      </c>
    </row>
    <row r="7918">
      <c r="A7918" s="3" t="s">
        <v>478</v>
      </c>
      <c r="B7918" s="3" t="s">
        <v>484</v>
      </c>
      <c r="C7918" s="3" t="s">
        <v>968</v>
      </c>
    </row>
    <row r="7919">
      <c r="A7919" s="3" t="s">
        <v>478</v>
      </c>
      <c r="B7919" s="3" t="s">
        <v>953</v>
      </c>
      <c r="C7919" s="3" t="s">
        <v>960</v>
      </c>
    </row>
    <row r="7920">
      <c r="A7920" s="3" t="s">
        <v>478</v>
      </c>
      <c r="B7920" s="3" t="s">
        <v>482</v>
      </c>
      <c r="C7920" s="3" t="s">
        <v>978</v>
      </c>
    </row>
    <row r="7921">
      <c r="A7921" s="3" t="s">
        <v>478</v>
      </c>
      <c r="B7921" s="3" t="s">
        <v>482</v>
      </c>
      <c r="C7921" s="3" t="s">
        <v>951</v>
      </c>
    </row>
    <row r="7922">
      <c r="A7922" s="3" t="s">
        <v>478</v>
      </c>
      <c r="B7922" s="3" t="s">
        <v>953</v>
      </c>
      <c r="C7922" s="3" t="s">
        <v>674</v>
      </c>
    </row>
    <row r="7923">
      <c r="A7923" s="3" t="s">
        <v>478</v>
      </c>
      <c r="B7923" s="3" t="s">
        <v>484</v>
      </c>
      <c r="C7923" s="3" t="s">
        <v>956</v>
      </c>
    </row>
    <row r="7924">
      <c r="A7924" s="3" t="s">
        <v>478</v>
      </c>
      <c r="B7924" s="3" t="s">
        <v>487</v>
      </c>
      <c r="C7924" s="3" t="s">
        <v>955</v>
      </c>
    </row>
    <row r="7925">
      <c r="A7925" s="3" t="s">
        <v>478</v>
      </c>
      <c r="B7925" s="3" t="s">
        <v>948</v>
      </c>
      <c r="C7925" s="3" t="s">
        <v>949</v>
      </c>
    </row>
    <row r="7926">
      <c r="A7926" s="3" t="s">
        <v>478</v>
      </c>
      <c r="B7926" s="3" t="s">
        <v>482</v>
      </c>
      <c r="C7926" s="3" t="s">
        <v>951</v>
      </c>
    </row>
    <row r="7927">
      <c r="A7927" s="3" t="s">
        <v>478</v>
      </c>
      <c r="B7927" s="3" t="s">
        <v>482</v>
      </c>
      <c r="C7927" s="3" t="s">
        <v>978</v>
      </c>
    </row>
    <row r="7928">
      <c r="A7928" s="3" t="s">
        <v>478</v>
      </c>
      <c r="B7928" s="3" t="s">
        <v>482</v>
      </c>
      <c r="C7928" s="3" t="s">
        <v>969</v>
      </c>
    </row>
    <row r="7929">
      <c r="A7929" s="3" t="s">
        <v>478</v>
      </c>
      <c r="B7929" s="3" t="s">
        <v>491</v>
      </c>
      <c r="C7929" s="3" t="s">
        <v>967</v>
      </c>
    </row>
    <row r="7930">
      <c r="A7930" s="3" t="s">
        <v>478</v>
      </c>
      <c r="B7930" s="3" t="s">
        <v>484</v>
      </c>
      <c r="C7930" s="3" t="s">
        <v>956</v>
      </c>
    </row>
    <row r="7931">
      <c r="A7931" s="3" t="s">
        <v>478</v>
      </c>
      <c r="B7931" s="3" t="s">
        <v>484</v>
      </c>
      <c r="C7931" s="3" t="s">
        <v>961</v>
      </c>
    </row>
    <row r="7932">
      <c r="A7932" s="3" t="s">
        <v>478</v>
      </c>
      <c r="B7932" s="3" t="s">
        <v>487</v>
      </c>
      <c r="C7932" s="3" t="s">
        <v>970</v>
      </c>
    </row>
    <row r="7933">
      <c r="A7933" s="3" t="s">
        <v>478</v>
      </c>
      <c r="B7933" s="3" t="s">
        <v>491</v>
      </c>
      <c r="C7933" s="3" t="s">
        <v>957</v>
      </c>
    </row>
    <row r="7934">
      <c r="A7934" s="3" t="s">
        <v>478</v>
      </c>
      <c r="B7934" s="3" t="s">
        <v>487</v>
      </c>
      <c r="C7934" s="3" t="s">
        <v>979</v>
      </c>
    </row>
    <row r="7935">
      <c r="A7935" s="3" t="s">
        <v>478</v>
      </c>
      <c r="B7935" s="3" t="s">
        <v>484</v>
      </c>
      <c r="C7935" s="3" t="s">
        <v>961</v>
      </c>
    </row>
    <row r="7936">
      <c r="A7936" s="3" t="s">
        <v>478</v>
      </c>
      <c r="B7936" s="3" t="s">
        <v>482</v>
      </c>
      <c r="C7936" s="3" t="s">
        <v>951</v>
      </c>
    </row>
    <row r="7937">
      <c r="A7937" s="3" t="s">
        <v>478</v>
      </c>
      <c r="B7937" s="3" t="s">
        <v>482</v>
      </c>
      <c r="C7937" s="3" t="s">
        <v>969</v>
      </c>
    </row>
    <row r="7938">
      <c r="A7938" s="3" t="s">
        <v>478</v>
      </c>
      <c r="B7938" s="3" t="s">
        <v>484</v>
      </c>
      <c r="C7938" s="3" t="s">
        <v>968</v>
      </c>
    </row>
    <row r="7939">
      <c r="A7939" s="3" t="s">
        <v>478</v>
      </c>
      <c r="B7939" s="3" t="s">
        <v>487</v>
      </c>
      <c r="C7939" s="3" t="s">
        <v>954</v>
      </c>
    </row>
    <row r="7940">
      <c r="A7940" s="3" t="s">
        <v>478</v>
      </c>
      <c r="B7940" s="3" t="s">
        <v>491</v>
      </c>
      <c r="C7940" s="3" t="s">
        <v>966</v>
      </c>
    </row>
    <row r="7941">
      <c r="A7941" s="3" t="s">
        <v>478</v>
      </c>
      <c r="B7941" s="3" t="s">
        <v>491</v>
      </c>
      <c r="C7941" s="3" t="s">
        <v>963</v>
      </c>
    </row>
    <row r="7942">
      <c r="A7942" s="3" t="s">
        <v>478</v>
      </c>
      <c r="B7942" s="3" t="s">
        <v>491</v>
      </c>
      <c r="C7942" s="3" t="s">
        <v>967</v>
      </c>
    </row>
    <row r="7943">
      <c r="A7943" s="3" t="s">
        <v>478</v>
      </c>
      <c r="B7943" s="3" t="s">
        <v>491</v>
      </c>
      <c r="C7943" s="3" t="s">
        <v>964</v>
      </c>
    </row>
    <row r="7944">
      <c r="A7944" s="3" t="s">
        <v>478</v>
      </c>
      <c r="B7944" s="3" t="s">
        <v>487</v>
      </c>
      <c r="C7944" s="3" t="s">
        <v>974</v>
      </c>
    </row>
    <row r="7945">
      <c r="A7945" s="3" t="s">
        <v>478</v>
      </c>
      <c r="B7945" s="3" t="s">
        <v>487</v>
      </c>
      <c r="C7945" s="3" t="s">
        <v>974</v>
      </c>
    </row>
    <row r="7946">
      <c r="A7946" s="3" t="s">
        <v>478</v>
      </c>
      <c r="B7946" s="3" t="s">
        <v>484</v>
      </c>
      <c r="C7946" s="3" t="s">
        <v>968</v>
      </c>
    </row>
    <row r="7947">
      <c r="A7947" s="3" t="s">
        <v>478</v>
      </c>
      <c r="B7947" s="3" t="s">
        <v>491</v>
      </c>
      <c r="C7947" s="3" t="s">
        <v>963</v>
      </c>
    </row>
    <row r="7948">
      <c r="A7948" s="3" t="s">
        <v>478</v>
      </c>
      <c r="B7948" s="3" t="s">
        <v>487</v>
      </c>
      <c r="C7948" s="3" t="s">
        <v>954</v>
      </c>
    </row>
    <row r="7949">
      <c r="A7949" s="3" t="s">
        <v>478</v>
      </c>
      <c r="B7949" s="3" t="s">
        <v>491</v>
      </c>
      <c r="C7949" s="3" t="s">
        <v>966</v>
      </c>
    </row>
    <row r="7950">
      <c r="A7950" s="3" t="s">
        <v>478</v>
      </c>
      <c r="B7950" s="3" t="s">
        <v>491</v>
      </c>
      <c r="C7950" s="3" t="s">
        <v>963</v>
      </c>
    </row>
    <row r="7951">
      <c r="A7951" s="3" t="s">
        <v>478</v>
      </c>
      <c r="B7951" s="3" t="s">
        <v>491</v>
      </c>
      <c r="C7951" s="3" t="s">
        <v>967</v>
      </c>
    </row>
    <row r="7952">
      <c r="A7952" s="3" t="s">
        <v>478</v>
      </c>
      <c r="B7952" s="3" t="s">
        <v>491</v>
      </c>
      <c r="C7952" s="3" t="s">
        <v>964</v>
      </c>
    </row>
    <row r="7953">
      <c r="A7953" s="3" t="s">
        <v>478</v>
      </c>
      <c r="B7953" s="3" t="s">
        <v>491</v>
      </c>
      <c r="C7953" s="3" t="s">
        <v>966</v>
      </c>
    </row>
    <row r="7954">
      <c r="A7954" s="3" t="s">
        <v>478</v>
      </c>
      <c r="B7954" s="3" t="s">
        <v>482</v>
      </c>
      <c r="C7954" s="3" t="s">
        <v>969</v>
      </c>
    </row>
    <row r="7955">
      <c r="A7955" s="3" t="s">
        <v>478</v>
      </c>
      <c r="B7955" s="3" t="s">
        <v>491</v>
      </c>
      <c r="C7955" s="3" t="s">
        <v>963</v>
      </c>
    </row>
    <row r="7956">
      <c r="A7956" s="3" t="s">
        <v>478</v>
      </c>
      <c r="B7956" s="3" t="s">
        <v>491</v>
      </c>
      <c r="C7956" s="3" t="s">
        <v>967</v>
      </c>
    </row>
    <row r="7957">
      <c r="A7957" s="3" t="s">
        <v>478</v>
      </c>
      <c r="B7957" s="3" t="s">
        <v>491</v>
      </c>
      <c r="C7957" s="3" t="s">
        <v>964</v>
      </c>
    </row>
    <row r="7958">
      <c r="A7958" s="3" t="s">
        <v>478</v>
      </c>
      <c r="B7958" s="3" t="s">
        <v>491</v>
      </c>
      <c r="C7958" s="3" t="s">
        <v>963</v>
      </c>
    </row>
    <row r="7959">
      <c r="A7959" s="3" t="s">
        <v>478</v>
      </c>
      <c r="B7959" s="3" t="s">
        <v>491</v>
      </c>
      <c r="C7959" s="3" t="s">
        <v>963</v>
      </c>
    </row>
    <row r="7960">
      <c r="A7960" s="3" t="s">
        <v>478</v>
      </c>
      <c r="B7960" s="3" t="s">
        <v>958</v>
      </c>
      <c r="C7960" s="3" t="s">
        <v>962</v>
      </c>
    </row>
    <row r="7961">
      <c r="A7961" s="3" t="s">
        <v>478</v>
      </c>
      <c r="B7961" s="3" t="s">
        <v>487</v>
      </c>
      <c r="C7961" s="3" t="s">
        <v>974</v>
      </c>
    </row>
    <row r="7962">
      <c r="A7962" s="3" t="s">
        <v>478</v>
      </c>
      <c r="B7962" s="3" t="s">
        <v>487</v>
      </c>
      <c r="C7962" s="3" t="s">
        <v>974</v>
      </c>
    </row>
    <row r="7963">
      <c r="A7963" s="3" t="s">
        <v>478</v>
      </c>
      <c r="B7963" s="3" t="s">
        <v>484</v>
      </c>
      <c r="C7963" s="3" t="s">
        <v>956</v>
      </c>
    </row>
    <row r="7964">
      <c r="A7964" s="3" t="s">
        <v>478</v>
      </c>
      <c r="B7964" s="3" t="s">
        <v>482</v>
      </c>
      <c r="C7964" s="3" t="s">
        <v>969</v>
      </c>
    </row>
    <row r="7965">
      <c r="A7965" s="3" t="s">
        <v>478</v>
      </c>
      <c r="B7965" s="3" t="s">
        <v>484</v>
      </c>
      <c r="C7965" s="3" t="s">
        <v>961</v>
      </c>
    </row>
    <row r="7966">
      <c r="A7966" s="3" t="s">
        <v>478</v>
      </c>
      <c r="B7966" s="3" t="s">
        <v>508</v>
      </c>
      <c r="C7966" s="3" t="s">
        <v>973</v>
      </c>
    </row>
    <row r="7967">
      <c r="A7967" s="3" t="s">
        <v>478</v>
      </c>
      <c r="B7967" s="3" t="s">
        <v>491</v>
      </c>
      <c r="C7967" s="3" t="s">
        <v>957</v>
      </c>
    </row>
    <row r="7968">
      <c r="A7968" s="3" t="s">
        <v>478</v>
      </c>
      <c r="B7968" s="3" t="s">
        <v>508</v>
      </c>
      <c r="C7968" s="3" t="s">
        <v>973</v>
      </c>
    </row>
    <row r="7969">
      <c r="A7969" s="3" t="s">
        <v>478</v>
      </c>
      <c r="B7969" s="3" t="s">
        <v>484</v>
      </c>
      <c r="C7969" s="3" t="s">
        <v>968</v>
      </c>
    </row>
    <row r="7970">
      <c r="A7970" s="3" t="s">
        <v>478</v>
      </c>
      <c r="B7970" s="3" t="s">
        <v>487</v>
      </c>
      <c r="C7970" s="3" t="s">
        <v>955</v>
      </c>
    </row>
    <row r="7971">
      <c r="A7971" s="3" t="s">
        <v>478</v>
      </c>
      <c r="B7971" s="3" t="s">
        <v>948</v>
      </c>
      <c r="C7971" s="3" t="s">
        <v>949</v>
      </c>
    </row>
    <row r="7972">
      <c r="A7972" s="3" t="s">
        <v>478</v>
      </c>
      <c r="B7972" s="3" t="s">
        <v>487</v>
      </c>
      <c r="C7972" s="3" t="s">
        <v>954</v>
      </c>
    </row>
    <row r="7973">
      <c r="A7973" s="3" t="s">
        <v>478</v>
      </c>
      <c r="B7973" s="3" t="s">
        <v>487</v>
      </c>
      <c r="C7973" s="3" t="s">
        <v>979</v>
      </c>
    </row>
    <row r="7974">
      <c r="A7974" s="3" t="s">
        <v>478</v>
      </c>
      <c r="B7974" s="3" t="s">
        <v>482</v>
      </c>
      <c r="C7974" s="3" t="s">
        <v>951</v>
      </c>
    </row>
    <row r="7975">
      <c r="A7975" s="3" t="s">
        <v>478</v>
      </c>
      <c r="B7975" s="3" t="s">
        <v>482</v>
      </c>
      <c r="C7975" s="3" t="s">
        <v>978</v>
      </c>
    </row>
    <row r="7976">
      <c r="A7976" s="3" t="s">
        <v>478</v>
      </c>
      <c r="B7976" s="3" t="s">
        <v>482</v>
      </c>
      <c r="C7976" s="3" t="s">
        <v>969</v>
      </c>
    </row>
    <row r="7977">
      <c r="A7977" s="3" t="s">
        <v>478</v>
      </c>
      <c r="B7977" s="3" t="s">
        <v>484</v>
      </c>
      <c r="C7977" s="3" t="s">
        <v>968</v>
      </c>
    </row>
    <row r="7978">
      <c r="A7978" s="3" t="s">
        <v>478</v>
      </c>
      <c r="B7978" s="3" t="s">
        <v>487</v>
      </c>
      <c r="C7978" s="3" t="s">
        <v>974</v>
      </c>
    </row>
    <row r="7979">
      <c r="A7979" s="3" t="s">
        <v>478</v>
      </c>
      <c r="B7979" s="3" t="s">
        <v>482</v>
      </c>
      <c r="C7979" s="3" t="s">
        <v>978</v>
      </c>
    </row>
    <row r="7980">
      <c r="A7980" s="3" t="s">
        <v>478</v>
      </c>
      <c r="B7980" s="3" t="s">
        <v>948</v>
      </c>
      <c r="C7980" s="3" t="s">
        <v>949</v>
      </c>
    </row>
    <row r="7981">
      <c r="A7981" s="3" t="s">
        <v>478</v>
      </c>
      <c r="B7981" s="3" t="s">
        <v>487</v>
      </c>
      <c r="C7981" s="3" t="s">
        <v>979</v>
      </c>
    </row>
    <row r="7982">
      <c r="A7982" s="3" t="s">
        <v>478</v>
      </c>
      <c r="B7982" s="3" t="s">
        <v>484</v>
      </c>
      <c r="C7982" s="3" t="s">
        <v>956</v>
      </c>
    </row>
    <row r="7983">
      <c r="A7983" s="3" t="s">
        <v>478</v>
      </c>
      <c r="B7983" s="3" t="s">
        <v>484</v>
      </c>
      <c r="C7983" s="3" t="s">
        <v>952</v>
      </c>
    </row>
    <row r="7984">
      <c r="A7984" s="3" t="s">
        <v>478</v>
      </c>
      <c r="B7984" s="3" t="s">
        <v>482</v>
      </c>
      <c r="C7984" s="3" t="s">
        <v>977</v>
      </c>
    </row>
    <row r="7985">
      <c r="A7985" s="3" t="s">
        <v>478</v>
      </c>
      <c r="B7985" s="3" t="s">
        <v>484</v>
      </c>
      <c r="C7985" s="3" t="s">
        <v>965</v>
      </c>
    </row>
    <row r="7986">
      <c r="A7986" s="3" t="s">
        <v>478</v>
      </c>
      <c r="B7986" s="3" t="s">
        <v>484</v>
      </c>
      <c r="C7986" s="3" t="s">
        <v>952</v>
      </c>
    </row>
    <row r="7987">
      <c r="A7987" s="3" t="s">
        <v>478</v>
      </c>
      <c r="B7987" s="3" t="s">
        <v>491</v>
      </c>
      <c r="C7987" s="3" t="s">
        <v>964</v>
      </c>
    </row>
    <row r="7988">
      <c r="A7988" s="3" t="s">
        <v>478</v>
      </c>
      <c r="B7988" s="3" t="s">
        <v>484</v>
      </c>
      <c r="C7988" s="3" t="s">
        <v>968</v>
      </c>
    </row>
    <row r="7989">
      <c r="A7989" s="3" t="s">
        <v>478</v>
      </c>
      <c r="B7989" s="3" t="s">
        <v>491</v>
      </c>
      <c r="C7989" s="3" t="s">
        <v>966</v>
      </c>
    </row>
    <row r="7990">
      <c r="A7990" s="3" t="s">
        <v>478</v>
      </c>
      <c r="B7990" s="3" t="s">
        <v>491</v>
      </c>
      <c r="C7990" s="3" t="s">
        <v>963</v>
      </c>
    </row>
    <row r="7991">
      <c r="A7991" s="3" t="s">
        <v>478</v>
      </c>
      <c r="B7991" s="3" t="s">
        <v>491</v>
      </c>
      <c r="C7991" s="3" t="s">
        <v>967</v>
      </c>
    </row>
    <row r="7992">
      <c r="A7992" s="3" t="s">
        <v>478</v>
      </c>
      <c r="B7992" s="3" t="s">
        <v>491</v>
      </c>
      <c r="C7992" s="3" t="s">
        <v>964</v>
      </c>
    </row>
    <row r="7993">
      <c r="A7993" s="3" t="s">
        <v>478</v>
      </c>
      <c r="B7993" s="3" t="s">
        <v>487</v>
      </c>
      <c r="C7993" s="3" t="s">
        <v>955</v>
      </c>
    </row>
    <row r="7994">
      <c r="A7994" s="3" t="s">
        <v>478</v>
      </c>
      <c r="B7994" s="3" t="s">
        <v>948</v>
      </c>
      <c r="C7994" s="3" t="s">
        <v>949</v>
      </c>
    </row>
    <row r="7995">
      <c r="A7995" s="3" t="s">
        <v>478</v>
      </c>
      <c r="B7995" s="3" t="s">
        <v>487</v>
      </c>
      <c r="C7995" s="3" t="s">
        <v>974</v>
      </c>
    </row>
    <row r="7996">
      <c r="A7996" s="3" t="s">
        <v>478</v>
      </c>
      <c r="B7996" s="3" t="s">
        <v>487</v>
      </c>
      <c r="C7996" s="3" t="s">
        <v>954</v>
      </c>
    </row>
    <row r="7997">
      <c r="A7997" s="3" t="s">
        <v>478</v>
      </c>
      <c r="B7997" s="3" t="s">
        <v>487</v>
      </c>
      <c r="C7997" s="3" t="s">
        <v>979</v>
      </c>
    </row>
    <row r="7998">
      <c r="A7998" s="3" t="s">
        <v>478</v>
      </c>
      <c r="B7998" s="3" t="s">
        <v>482</v>
      </c>
      <c r="C7998" s="3" t="s">
        <v>951</v>
      </c>
    </row>
    <row r="7999">
      <c r="A7999" s="3" t="s">
        <v>478</v>
      </c>
      <c r="B7999" s="3" t="s">
        <v>482</v>
      </c>
      <c r="C7999" s="3" t="s">
        <v>978</v>
      </c>
    </row>
    <row r="8000">
      <c r="A8000" s="3" t="s">
        <v>478</v>
      </c>
      <c r="B8000" s="3" t="s">
        <v>482</v>
      </c>
      <c r="C8000" s="3" t="s">
        <v>969</v>
      </c>
    </row>
    <row r="8001">
      <c r="A8001" s="3" t="s">
        <v>478</v>
      </c>
      <c r="B8001" s="3" t="s">
        <v>971</v>
      </c>
      <c r="C8001" s="3" t="s">
        <v>972</v>
      </c>
    </row>
    <row r="8002">
      <c r="A8002" s="3" t="s">
        <v>478</v>
      </c>
      <c r="B8002" s="3" t="s">
        <v>491</v>
      </c>
      <c r="C8002" s="3" t="s">
        <v>957</v>
      </c>
    </row>
    <row r="8003">
      <c r="A8003" s="3" t="s">
        <v>478</v>
      </c>
      <c r="B8003" s="3" t="s">
        <v>508</v>
      </c>
      <c r="C8003" s="3" t="s">
        <v>973</v>
      </c>
    </row>
    <row r="8004">
      <c r="A8004" s="3" t="s">
        <v>478</v>
      </c>
      <c r="B8004" s="3" t="s">
        <v>491</v>
      </c>
      <c r="C8004" s="3" t="s">
        <v>967</v>
      </c>
    </row>
    <row r="8005">
      <c r="A8005" s="3" t="s">
        <v>478</v>
      </c>
      <c r="B8005" s="3" t="s">
        <v>484</v>
      </c>
      <c r="C8005" s="3" t="s">
        <v>956</v>
      </c>
    </row>
    <row r="8006">
      <c r="A8006" s="3" t="s">
        <v>478</v>
      </c>
      <c r="B8006" s="3" t="s">
        <v>491</v>
      </c>
      <c r="C8006" s="3" t="s">
        <v>957</v>
      </c>
    </row>
    <row r="8007">
      <c r="A8007" s="3" t="s">
        <v>478</v>
      </c>
      <c r="B8007" s="3" t="s">
        <v>491</v>
      </c>
      <c r="C8007" s="3" t="s">
        <v>957</v>
      </c>
    </row>
    <row r="8008">
      <c r="A8008" s="3" t="s">
        <v>478</v>
      </c>
      <c r="B8008" s="3" t="s">
        <v>953</v>
      </c>
      <c r="C8008" s="3" t="s">
        <v>674</v>
      </c>
    </row>
    <row r="8009">
      <c r="A8009" s="3" t="s">
        <v>478</v>
      </c>
      <c r="B8009" s="3" t="s">
        <v>958</v>
      </c>
      <c r="C8009" s="3" t="s">
        <v>917</v>
      </c>
    </row>
    <row r="8010">
      <c r="A8010" s="3" t="s">
        <v>478</v>
      </c>
      <c r="B8010" s="3" t="s">
        <v>958</v>
      </c>
      <c r="C8010" s="3" t="s">
        <v>962</v>
      </c>
    </row>
    <row r="8011">
      <c r="A8011" s="3" t="s">
        <v>478</v>
      </c>
      <c r="B8011" s="3" t="s">
        <v>484</v>
      </c>
      <c r="C8011" s="3" t="s">
        <v>956</v>
      </c>
    </row>
    <row r="8012">
      <c r="A8012" s="3" t="s">
        <v>478</v>
      </c>
      <c r="B8012" s="3" t="s">
        <v>484</v>
      </c>
      <c r="C8012" s="3" t="s">
        <v>965</v>
      </c>
    </row>
    <row r="8013">
      <c r="A8013" s="3" t="s">
        <v>478</v>
      </c>
      <c r="B8013" s="3" t="s">
        <v>484</v>
      </c>
      <c r="C8013" s="3" t="s">
        <v>961</v>
      </c>
    </row>
    <row r="8014">
      <c r="A8014" s="3" t="s">
        <v>478</v>
      </c>
      <c r="B8014" s="3" t="s">
        <v>484</v>
      </c>
      <c r="C8014" s="3" t="s">
        <v>952</v>
      </c>
    </row>
    <row r="8015">
      <c r="A8015" s="3" t="s">
        <v>478</v>
      </c>
      <c r="B8015" s="3" t="s">
        <v>484</v>
      </c>
      <c r="C8015" s="3" t="s">
        <v>961</v>
      </c>
    </row>
    <row r="8016">
      <c r="A8016" s="3" t="s">
        <v>478</v>
      </c>
      <c r="B8016" s="3" t="s">
        <v>508</v>
      </c>
      <c r="C8016" s="3" t="s">
        <v>973</v>
      </c>
    </row>
    <row r="8017">
      <c r="A8017" s="3" t="s">
        <v>478</v>
      </c>
      <c r="B8017" s="3" t="s">
        <v>484</v>
      </c>
      <c r="C8017" s="3" t="s">
        <v>961</v>
      </c>
    </row>
    <row r="8018">
      <c r="A8018" s="3" t="s">
        <v>478</v>
      </c>
      <c r="B8018" s="3" t="s">
        <v>482</v>
      </c>
      <c r="C8018" s="3" t="s">
        <v>969</v>
      </c>
    </row>
    <row r="8019">
      <c r="A8019" s="3" t="s">
        <v>478</v>
      </c>
      <c r="B8019" s="3" t="s">
        <v>508</v>
      </c>
      <c r="C8019" s="3" t="s">
        <v>973</v>
      </c>
    </row>
    <row r="8020">
      <c r="A8020" s="3" t="s">
        <v>478</v>
      </c>
      <c r="B8020" s="3" t="s">
        <v>508</v>
      </c>
      <c r="C8020" s="3" t="s">
        <v>973</v>
      </c>
    </row>
    <row r="8021">
      <c r="A8021" s="3" t="s">
        <v>478</v>
      </c>
      <c r="B8021" s="3" t="s">
        <v>508</v>
      </c>
      <c r="C8021" s="3" t="s">
        <v>973</v>
      </c>
    </row>
    <row r="8022">
      <c r="A8022" s="3" t="s">
        <v>478</v>
      </c>
      <c r="B8022" s="3" t="s">
        <v>484</v>
      </c>
      <c r="C8022" s="3" t="s">
        <v>965</v>
      </c>
    </row>
    <row r="8023">
      <c r="A8023" s="3" t="s">
        <v>478</v>
      </c>
      <c r="B8023" s="3" t="s">
        <v>484</v>
      </c>
      <c r="C8023" s="3" t="s">
        <v>952</v>
      </c>
    </row>
    <row r="8024">
      <c r="A8024" s="3" t="s">
        <v>478</v>
      </c>
      <c r="B8024" s="3" t="s">
        <v>487</v>
      </c>
      <c r="C8024" s="3" t="s">
        <v>970</v>
      </c>
    </row>
    <row r="8025">
      <c r="A8025" s="3" t="s">
        <v>478</v>
      </c>
      <c r="B8025" s="3" t="s">
        <v>508</v>
      </c>
      <c r="C8025" s="3" t="s">
        <v>973</v>
      </c>
    </row>
    <row r="8026">
      <c r="A8026" s="3" t="s">
        <v>478</v>
      </c>
      <c r="B8026" s="3" t="s">
        <v>508</v>
      </c>
      <c r="C8026" s="3" t="s">
        <v>973</v>
      </c>
    </row>
    <row r="8027">
      <c r="A8027" s="3" t="s">
        <v>478</v>
      </c>
      <c r="B8027" s="3" t="s">
        <v>487</v>
      </c>
      <c r="C8027" s="3" t="s">
        <v>979</v>
      </c>
    </row>
    <row r="8028">
      <c r="A8028" s="3" t="s">
        <v>478</v>
      </c>
      <c r="B8028" s="3" t="s">
        <v>508</v>
      </c>
      <c r="C8028" s="3" t="s">
        <v>973</v>
      </c>
    </row>
    <row r="8029">
      <c r="A8029" s="3" t="s">
        <v>478</v>
      </c>
      <c r="B8029" s="3" t="s">
        <v>482</v>
      </c>
      <c r="C8029" s="3" t="s">
        <v>951</v>
      </c>
    </row>
    <row r="8030">
      <c r="A8030" s="3" t="s">
        <v>478</v>
      </c>
      <c r="B8030" s="3" t="s">
        <v>508</v>
      </c>
      <c r="C8030" s="3" t="s">
        <v>973</v>
      </c>
    </row>
    <row r="8031">
      <c r="A8031" s="3" t="s">
        <v>478</v>
      </c>
      <c r="B8031" s="3" t="s">
        <v>508</v>
      </c>
      <c r="C8031" s="3" t="s">
        <v>973</v>
      </c>
    </row>
    <row r="8032">
      <c r="A8032" s="3" t="s">
        <v>478</v>
      </c>
      <c r="B8032" s="3" t="s">
        <v>487</v>
      </c>
      <c r="C8032" s="3" t="s">
        <v>974</v>
      </c>
    </row>
    <row r="8033">
      <c r="A8033" s="3" t="s">
        <v>478</v>
      </c>
      <c r="B8033" s="3" t="s">
        <v>953</v>
      </c>
      <c r="C8033" s="3" t="s">
        <v>674</v>
      </c>
    </row>
    <row r="8034">
      <c r="A8034" s="3" t="s">
        <v>478</v>
      </c>
      <c r="B8034" s="3" t="s">
        <v>958</v>
      </c>
      <c r="C8034" s="3" t="s">
        <v>962</v>
      </c>
    </row>
    <row r="8035">
      <c r="A8035" s="3" t="s">
        <v>478</v>
      </c>
      <c r="B8035" s="3" t="s">
        <v>958</v>
      </c>
      <c r="C8035" s="3" t="s">
        <v>917</v>
      </c>
    </row>
    <row r="8036">
      <c r="A8036" s="3" t="s">
        <v>478</v>
      </c>
      <c r="B8036" s="3" t="s">
        <v>484</v>
      </c>
      <c r="C8036" s="3" t="s">
        <v>952</v>
      </c>
    </row>
    <row r="8037">
      <c r="A8037" s="3" t="s">
        <v>478</v>
      </c>
      <c r="B8037" s="3" t="s">
        <v>508</v>
      </c>
      <c r="C8037" s="3" t="s">
        <v>973</v>
      </c>
    </row>
    <row r="8038">
      <c r="A8038" s="3" t="s">
        <v>478</v>
      </c>
      <c r="B8038" s="3" t="s">
        <v>508</v>
      </c>
      <c r="C8038" s="3" t="s">
        <v>973</v>
      </c>
    </row>
    <row r="8039">
      <c r="A8039" s="3" t="s">
        <v>478</v>
      </c>
      <c r="B8039" s="3" t="s">
        <v>508</v>
      </c>
      <c r="C8039" s="3" t="s">
        <v>973</v>
      </c>
    </row>
    <row r="8040">
      <c r="A8040" s="3" t="s">
        <v>478</v>
      </c>
      <c r="B8040" s="3" t="s">
        <v>487</v>
      </c>
      <c r="C8040" s="3" t="s">
        <v>955</v>
      </c>
    </row>
    <row r="8041">
      <c r="A8041" s="3" t="s">
        <v>478</v>
      </c>
      <c r="B8041" s="3" t="s">
        <v>487</v>
      </c>
      <c r="C8041" s="3" t="s">
        <v>954</v>
      </c>
    </row>
    <row r="8042">
      <c r="A8042" s="3" t="s">
        <v>478</v>
      </c>
      <c r="B8042" s="3" t="s">
        <v>487</v>
      </c>
      <c r="C8042" s="3" t="s">
        <v>979</v>
      </c>
    </row>
    <row r="8043">
      <c r="A8043" s="3" t="s">
        <v>478</v>
      </c>
      <c r="B8043" s="3" t="s">
        <v>484</v>
      </c>
      <c r="C8043" s="3" t="s">
        <v>968</v>
      </c>
    </row>
    <row r="8044">
      <c r="A8044" s="3" t="s">
        <v>478</v>
      </c>
      <c r="B8044" s="3" t="s">
        <v>484</v>
      </c>
      <c r="C8044" s="3" t="s">
        <v>968</v>
      </c>
    </row>
    <row r="8045">
      <c r="A8045" s="3" t="s">
        <v>478</v>
      </c>
      <c r="B8045" s="3" t="s">
        <v>508</v>
      </c>
      <c r="C8045" s="3" t="s">
        <v>973</v>
      </c>
    </row>
    <row r="8046">
      <c r="A8046" s="3" t="s">
        <v>478</v>
      </c>
      <c r="B8046" s="3" t="s">
        <v>484</v>
      </c>
      <c r="C8046" s="3" t="s">
        <v>952</v>
      </c>
    </row>
    <row r="8047">
      <c r="A8047" s="3" t="s">
        <v>478</v>
      </c>
      <c r="B8047" s="3" t="s">
        <v>484</v>
      </c>
      <c r="C8047" s="3" t="s">
        <v>952</v>
      </c>
    </row>
    <row r="8048">
      <c r="A8048" s="3" t="s">
        <v>478</v>
      </c>
      <c r="B8048" s="3" t="s">
        <v>508</v>
      </c>
      <c r="C8048" s="3" t="s">
        <v>973</v>
      </c>
    </row>
    <row r="8049">
      <c r="A8049" s="3" t="s">
        <v>478</v>
      </c>
      <c r="B8049" s="3" t="s">
        <v>508</v>
      </c>
      <c r="C8049" s="3" t="s">
        <v>973</v>
      </c>
    </row>
    <row r="8050">
      <c r="A8050" s="3" t="s">
        <v>478</v>
      </c>
      <c r="B8050" s="3" t="s">
        <v>508</v>
      </c>
      <c r="C8050" s="3" t="s">
        <v>973</v>
      </c>
    </row>
    <row r="8051">
      <c r="A8051" s="3" t="s">
        <v>478</v>
      </c>
      <c r="B8051" s="3" t="s">
        <v>491</v>
      </c>
      <c r="C8051" s="3" t="s">
        <v>957</v>
      </c>
    </row>
    <row r="8052">
      <c r="A8052" s="3" t="s">
        <v>516</v>
      </c>
      <c r="B8052" s="3" t="s">
        <v>186</v>
      </c>
      <c r="C8052" s="3" t="s">
        <v>689</v>
      </c>
    </row>
    <row r="8053">
      <c r="A8053" s="3" t="s">
        <v>516</v>
      </c>
      <c r="B8053" s="3" t="s">
        <v>186</v>
      </c>
      <c r="C8053" s="3" t="s">
        <v>980</v>
      </c>
    </row>
    <row r="8054">
      <c r="A8054" s="3" t="s">
        <v>516</v>
      </c>
      <c r="B8054" s="3" t="s">
        <v>186</v>
      </c>
      <c r="C8054" s="3" t="s">
        <v>689</v>
      </c>
    </row>
    <row r="8055">
      <c r="A8055" s="3" t="s">
        <v>516</v>
      </c>
      <c r="B8055" s="3" t="s">
        <v>186</v>
      </c>
      <c r="C8055" s="3" t="s">
        <v>689</v>
      </c>
    </row>
    <row r="8056">
      <c r="A8056" s="3" t="s">
        <v>516</v>
      </c>
      <c r="B8056" s="3" t="s">
        <v>186</v>
      </c>
      <c r="C8056" s="3" t="s">
        <v>981</v>
      </c>
    </row>
    <row r="8057">
      <c r="A8057" s="3" t="s">
        <v>516</v>
      </c>
      <c r="B8057" s="3" t="s">
        <v>186</v>
      </c>
      <c r="C8057" s="3" t="s">
        <v>980</v>
      </c>
    </row>
    <row r="8058">
      <c r="A8058" s="3" t="s">
        <v>516</v>
      </c>
      <c r="B8058" s="3" t="s">
        <v>186</v>
      </c>
      <c r="C8058" s="3" t="s">
        <v>981</v>
      </c>
    </row>
    <row r="8059">
      <c r="A8059" s="3" t="s">
        <v>516</v>
      </c>
      <c r="B8059" s="3" t="s">
        <v>186</v>
      </c>
      <c r="C8059" s="3" t="s">
        <v>981</v>
      </c>
    </row>
    <row r="8060">
      <c r="A8060" s="3" t="s">
        <v>516</v>
      </c>
      <c r="B8060" s="3" t="s">
        <v>186</v>
      </c>
      <c r="C8060" s="3" t="s">
        <v>981</v>
      </c>
    </row>
    <row r="8061">
      <c r="A8061" s="3" t="s">
        <v>516</v>
      </c>
      <c r="B8061" s="3" t="s">
        <v>186</v>
      </c>
      <c r="C8061" s="3" t="s">
        <v>689</v>
      </c>
    </row>
    <row r="8062">
      <c r="A8062" s="3" t="s">
        <v>516</v>
      </c>
      <c r="B8062" s="3" t="s">
        <v>186</v>
      </c>
      <c r="C8062" s="3" t="s">
        <v>980</v>
      </c>
    </row>
    <row r="8063">
      <c r="A8063" s="3" t="s">
        <v>516</v>
      </c>
      <c r="B8063" s="3" t="s">
        <v>186</v>
      </c>
      <c r="C8063" s="3" t="s">
        <v>981</v>
      </c>
    </row>
    <row r="8064">
      <c r="A8064" s="3"/>
      <c r="B8064" s="3"/>
      <c r="C8064" s="3"/>
    </row>
    <row r="8065">
      <c r="A8065" s="3"/>
      <c r="B8065" s="3"/>
      <c r="C8065" s="3"/>
    </row>
    <row r="8066">
      <c r="A8066" s="3"/>
      <c r="B8066" s="3"/>
      <c r="C8066" s="3"/>
    </row>
    <row r="8067">
      <c r="A8067" s="3"/>
      <c r="B8067" s="3"/>
      <c r="C8067" s="3"/>
    </row>
    <row r="8068">
      <c r="A8068" s="3"/>
      <c r="B8068" s="3"/>
      <c r="C8068" s="3"/>
    </row>
    <row r="8069">
      <c r="A8069" s="3"/>
      <c r="B8069" s="3"/>
      <c r="C8069" s="3"/>
    </row>
    <row r="8070">
      <c r="A8070" s="3"/>
      <c r="B8070" s="3"/>
      <c r="C8070" s="3"/>
    </row>
    <row r="8071">
      <c r="A8071" s="3"/>
      <c r="B8071" s="3"/>
      <c r="C8071" s="3"/>
    </row>
    <row r="8072">
      <c r="A8072" s="3"/>
      <c r="B8072" s="3"/>
      <c r="C8072" s="3"/>
    </row>
    <row r="8073">
      <c r="A8073" s="3"/>
      <c r="B8073" s="3"/>
      <c r="C8073" s="3"/>
    </row>
    <row r="8074">
      <c r="A8074" s="3"/>
      <c r="B8074" s="3"/>
      <c r="C8074" s="3"/>
    </row>
    <row r="8075">
      <c r="A8075" s="3"/>
      <c r="B8075" s="3"/>
      <c r="C8075" s="3"/>
    </row>
    <row r="8076">
      <c r="A8076" s="3"/>
      <c r="B8076" s="3"/>
      <c r="C8076" s="3"/>
    </row>
    <row r="8077">
      <c r="A8077" s="3"/>
      <c r="B8077" s="3"/>
      <c r="C8077" s="3"/>
    </row>
    <row r="8078">
      <c r="A8078" s="3"/>
      <c r="B8078" s="3"/>
      <c r="C8078" s="3"/>
    </row>
    <row r="8079">
      <c r="A8079" s="3"/>
      <c r="B8079" s="3"/>
      <c r="C8079" s="3"/>
    </row>
    <row r="8080">
      <c r="A8080" s="3"/>
      <c r="B8080" s="3"/>
      <c r="C8080" s="3"/>
    </row>
    <row r="8081">
      <c r="A8081" s="3"/>
      <c r="B8081" s="3"/>
      <c r="C8081" s="3"/>
    </row>
    <row r="8082">
      <c r="A8082" s="3"/>
      <c r="B8082" s="3"/>
      <c r="C8082" s="3"/>
    </row>
    <row r="8083">
      <c r="A8083" s="3"/>
      <c r="B8083" s="3"/>
      <c r="C8083" s="3"/>
    </row>
    <row r="8084">
      <c r="A8084" s="3"/>
      <c r="B8084" s="3"/>
      <c r="C8084" s="3"/>
    </row>
    <row r="8085">
      <c r="A8085" s="3"/>
      <c r="B8085" s="3"/>
      <c r="C8085" s="3"/>
    </row>
    <row r="8086">
      <c r="A8086" s="3"/>
      <c r="B8086" s="3"/>
      <c r="C8086" s="3"/>
    </row>
    <row r="8087">
      <c r="A8087" s="3"/>
      <c r="B8087" s="3"/>
      <c r="C8087" s="3"/>
    </row>
    <row r="8088">
      <c r="A8088" s="3"/>
      <c r="B8088" s="3"/>
      <c r="C8088" s="3"/>
    </row>
    <row r="8089">
      <c r="A8089" s="3"/>
      <c r="B8089" s="3"/>
      <c r="C8089" s="3"/>
    </row>
    <row r="8090">
      <c r="A8090" s="3"/>
      <c r="B8090" s="3"/>
      <c r="C8090" s="3"/>
    </row>
    <row r="8091">
      <c r="A8091" s="3"/>
      <c r="B8091" s="3"/>
      <c r="C8091" s="3"/>
    </row>
    <row r="8092">
      <c r="A8092" s="3"/>
      <c r="B8092" s="3"/>
      <c r="C8092" s="3"/>
    </row>
    <row r="8093">
      <c r="A8093" s="3"/>
      <c r="B8093" s="3"/>
      <c r="C8093" s="3"/>
    </row>
    <row r="8094">
      <c r="A8094" s="3"/>
      <c r="B8094" s="3"/>
      <c r="C8094" s="3"/>
    </row>
    <row r="8095">
      <c r="A8095" s="3"/>
      <c r="B8095" s="3"/>
      <c r="C8095" s="3"/>
    </row>
    <row r="8096">
      <c r="A8096" s="3"/>
      <c r="B8096" s="3"/>
      <c r="C8096" s="3"/>
    </row>
    <row r="8097">
      <c r="A8097" s="3"/>
      <c r="B8097" s="3"/>
      <c r="C8097" s="3"/>
    </row>
    <row r="8098">
      <c r="A8098" s="3"/>
      <c r="B8098" s="3"/>
      <c r="C8098" s="3"/>
    </row>
    <row r="8099">
      <c r="A8099" s="3"/>
      <c r="B8099" s="3"/>
      <c r="C8099" s="3"/>
    </row>
    <row r="8100">
      <c r="A8100" s="3"/>
      <c r="B8100" s="3"/>
      <c r="C8100" s="3"/>
    </row>
    <row r="8101">
      <c r="A8101" s="3"/>
      <c r="B8101" s="3"/>
      <c r="C8101" s="3"/>
    </row>
    <row r="8102">
      <c r="A8102" s="3"/>
      <c r="B8102" s="3"/>
      <c r="C8102" s="3"/>
    </row>
    <row r="8103">
      <c r="A8103" s="3"/>
      <c r="B8103" s="3"/>
      <c r="C8103" s="3"/>
    </row>
    <row r="8104">
      <c r="A8104" s="3"/>
      <c r="B8104" s="3"/>
      <c r="C8104" s="3"/>
    </row>
    <row r="8105">
      <c r="A8105" s="3"/>
      <c r="B8105" s="3"/>
      <c r="C8105" s="3"/>
    </row>
    <row r="8106">
      <c r="A8106" s="3"/>
      <c r="B8106" s="3"/>
      <c r="C8106" s="3"/>
    </row>
    <row r="8107">
      <c r="A8107" s="3"/>
      <c r="B8107" s="3"/>
      <c r="C8107" s="3"/>
    </row>
    <row r="8108">
      <c r="A8108" s="3"/>
      <c r="B8108" s="3"/>
      <c r="C8108" s="3"/>
    </row>
    <row r="8109">
      <c r="A8109" s="3"/>
      <c r="B8109" s="3"/>
      <c r="C8109" s="3"/>
    </row>
    <row r="8110">
      <c r="A8110" s="3"/>
      <c r="B8110" s="3"/>
      <c r="C8110" s="3"/>
    </row>
    <row r="8111">
      <c r="A8111" s="3"/>
      <c r="B8111" s="3"/>
      <c r="C8111" s="3"/>
    </row>
    <row r="8112">
      <c r="A8112" s="3"/>
      <c r="B8112" s="3"/>
      <c r="C8112" s="3"/>
    </row>
    <row r="8113">
      <c r="A8113" s="3"/>
      <c r="B8113" s="3"/>
      <c r="C8113" s="3"/>
    </row>
    <row r="8114">
      <c r="A8114" s="3"/>
      <c r="B8114" s="3"/>
      <c r="C8114" s="3"/>
    </row>
    <row r="8115">
      <c r="A8115" s="3"/>
      <c r="B8115" s="3"/>
      <c r="C8115" s="3"/>
    </row>
    <row r="8116">
      <c r="A8116" s="3"/>
      <c r="B8116" s="3"/>
      <c r="C8116" s="3"/>
    </row>
    <row r="8117">
      <c r="A8117" s="3"/>
      <c r="B8117" s="3"/>
      <c r="C8117" s="3"/>
    </row>
    <row r="8118">
      <c r="A8118" s="3"/>
      <c r="B8118" s="3"/>
      <c r="C8118" s="3"/>
    </row>
    <row r="8119">
      <c r="A8119" s="3"/>
      <c r="B8119" s="3"/>
      <c r="C8119" s="3"/>
    </row>
    <row r="8120">
      <c r="A8120" s="3"/>
      <c r="B8120" s="3"/>
      <c r="C8120" s="3"/>
    </row>
    <row r="8121">
      <c r="A8121" s="3"/>
      <c r="B8121" s="3"/>
      <c r="C8121" s="3"/>
    </row>
    <row r="8122">
      <c r="A8122" s="3"/>
      <c r="B8122" s="3"/>
      <c r="C8122" s="3"/>
    </row>
    <row r="8123">
      <c r="A8123" s="3"/>
      <c r="B8123" s="3"/>
      <c r="C8123" s="3"/>
    </row>
    <row r="8124">
      <c r="A8124" s="3"/>
      <c r="B8124" s="3"/>
      <c r="C8124" s="3"/>
    </row>
    <row r="8125">
      <c r="A8125" s="3"/>
      <c r="B8125" s="3"/>
      <c r="C8125" s="3"/>
    </row>
    <row r="8126">
      <c r="A8126" s="3"/>
      <c r="B8126" s="3"/>
      <c r="C8126" s="3"/>
    </row>
    <row r="8127">
      <c r="A8127" s="3"/>
      <c r="B8127" s="3"/>
      <c r="C8127" s="3"/>
    </row>
    <row r="8128">
      <c r="A8128" s="3"/>
      <c r="B8128" s="3"/>
      <c r="C8128" s="3"/>
    </row>
    <row r="8129">
      <c r="A8129" s="3"/>
      <c r="B8129" s="3"/>
      <c r="C8129" s="3"/>
    </row>
    <row r="8130">
      <c r="A8130" s="3"/>
      <c r="B8130" s="3"/>
      <c r="C8130" s="3"/>
    </row>
    <row r="8131">
      <c r="A8131" s="3"/>
      <c r="B8131" s="3"/>
      <c r="C8131" s="3"/>
    </row>
    <row r="8132">
      <c r="A8132" s="3"/>
      <c r="B8132" s="3"/>
      <c r="C8132" s="3"/>
    </row>
    <row r="8133">
      <c r="A8133" s="3"/>
      <c r="B8133" s="3"/>
      <c r="C8133" s="3"/>
    </row>
    <row r="8134">
      <c r="A8134" s="3"/>
      <c r="B8134" s="3"/>
      <c r="C8134" s="3"/>
    </row>
    <row r="8135">
      <c r="A8135" s="3"/>
      <c r="B8135" s="3"/>
      <c r="C8135" s="3"/>
    </row>
    <row r="8136">
      <c r="A8136" s="3"/>
      <c r="B8136" s="3"/>
      <c r="C8136" s="3"/>
    </row>
    <row r="8137">
      <c r="A8137" s="3"/>
      <c r="B8137" s="3"/>
      <c r="C8137" s="3"/>
    </row>
    <row r="8138">
      <c r="A8138" s="3"/>
      <c r="B8138" s="3"/>
      <c r="C8138" s="3"/>
    </row>
    <row r="8139">
      <c r="A8139" s="3"/>
      <c r="B8139" s="3"/>
      <c r="C8139" s="3"/>
    </row>
    <row r="8140">
      <c r="A8140" s="3"/>
      <c r="B8140" s="3"/>
      <c r="C8140" s="3"/>
    </row>
    <row r="8141">
      <c r="A8141" s="3"/>
      <c r="B8141" s="3"/>
      <c r="C8141" s="3"/>
    </row>
    <row r="8142">
      <c r="A8142" s="3"/>
      <c r="B8142" s="3"/>
      <c r="C8142" s="3"/>
    </row>
    <row r="8143">
      <c r="A8143" s="3"/>
      <c r="B8143" s="3"/>
      <c r="C8143" s="3"/>
    </row>
    <row r="8144">
      <c r="A8144" s="3"/>
      <c r="B8144" s="3"/>
      <c r="C8144" s="3"/>
    </row>
    <row r="8145">
      <c r="A8145" s="3"/>
      <c r="B8145" s="3"/>
      <c r="C8145" s="3"/>
    </row>
    <row r="8146">
      <c r="A8146" s="3"/>
      <c r="B8146" s="3"/>
      <c r="C8146" s="3"/>
    </row>
    <row r="8147">
      <c r="A8147" s="3"/>
      <c r="B8147" s="3"/>
      <c r="C8147" s="3"/>
    </row>
    <row r="8148">
      <c r="A8148" s="3"/>
      <c r="B8148" s="3"/>
      <c r="C8148" s="3"/>
    </row>
    <row r="8149">
      <c r="A8149" s="3"/>
      <c r="B8149" s="3"/>
      <c r="C8149" s="3"/>
    </row>
    <row r="8150">
      <c r="A8150" s="3"/>
      <c r="B8150" s="3"/>
      <c r="C8150" s="3"/>
    </row>
    <row r="8151">
      <c r="A8151" s="3"/>
      <c r="B8151" s="3"/>
      <c r="C8151" s="3"/>
    </row>
    <row r="8152">
      <c r="A8152" s="3"/>
      <c r="B8152" s="3"/>
      <c r="C8152" s="3"/>
    </row>
    <row r="8153">
      <c r="A8153" s="3"/>
      <c r="B8153" s="3"/>
      <c r="C8153" s="3"/>
    </row>
    <row r="8154">
      <c r="A8154" s="3"/>
      <c r="B8154" s="3"/>
      <c r="C8154" s="3"/>
    </row>
    <row r="8155">
      <c r="A8155" s="3"/>
      <c r="B8155" s="3"/>
      <c r="C8155" s="3"/>
    </row>
    <row r="8156">
      <c r="A8156" s="3"/>
      <c r="B8156" s="3"/>
      <c r="C8156" s="3"/>
    </row>
    <row r="8157">
      <c r="A8157" s="3"/>
      <c r="B8157" s="3"/>
      <c r="C8157" s="3"/>
    </row>
    <row r="8158">
      <c r="A8158" s="3"/>
      <c r="B8158" s="3"/>
      <c r="C8158" s="3"/>
    </row>
    <row r="8159">
      <c r="A8159" s="3"/>
      <c r="B8159" s="3"/>
      <c r="C8159" s="3"/>
    </row>
    <row r="8160">
      <c r="A8160" s="3"/>
      <c r="B8160" s="3"/>
      <c r="C8160" s="3"/>
    </row>
    <row r="8161">
      <c r="A8161" s="3"/>
      <c r="B8161" s="3"/>
      <c r="C8161" s="3"/>
    </row>
    <row r="8162">
      <c r="A8162" s="3"/>
      <c r="B8162" s="3"/>
      <c r="C8162" s="3"/>
    </row>
    <row r="8163">
      <c r="A8163" s="3"/>
      <c r="B8163" s="3"/>
      <c r="C8163" s="3"/>
    </row>
    <row r="8164">
      <c r="A8164" s="3"/>
      <c r="B8164" s="3"/>
      <c r="C8164" s="3"/>
    </row>
    <row r="8165">
      <c r="A8165" s="3"/>
      <c r="B8165" s="3"/>
      <c r="C8165" s="3"/>
    </row>
    <row r="8166">
      <c r="A8166" s="3"/>
      <c r="B8166" s="3"/>
      <c r="C8166" s="3"/>
    </row>
    <row r="8167">
      <c r="A8167" s="3"/>
      <c r="B8167" s="3"/>
      <c r="C8167" s="3"/>
    </row>
    <row r="8168">
      <c r="A8168" s="3"/>
      <c r="B8168" s="3"/>
      <c r="C8168" s="3"/>
    </row>
    <row r="8169">
      <c r="A8169" s="3"/>
      <c r="B8169" s="3"/>
      <c r="C8169" s="3"/>
    </row>
    <row r="8170">
      <c r="A8170" s="3"/>
      <c r="B8170" s="3"/>
      <c r="C8170" s="3"/>
    </row>
    <row r="8171">
      <c r="A8171" s="3"/>
      <c r="B8171" s="3"/>
      <c r="C8171" s="3"/>
    </row>
    <row r="8172">
      <c r="A8172" s="3"/>
      <c r="B8172" s="3"/>
      <c r="C8172" s="3"/>
    </row>
    <row r="8173">
      <c r="A8173" s="3"/>
      <c r="B8173" s="3"/>
      <c r="C8173" s="3"/>
    </row>
    <row r="8174">
      <c r="A8174" s="3"/>
      <c r="B8174" s="3"/>
      <c r="C8174" s="3"/>
    </row>
    <row r="8175">
      <c r="A8175" s="3"/>
      <c r="B8175" s="3"/>
      <c r="C8175" s="3"/>
    </row>
    <row r="8176">
      <c r="A8176" s="3"/>
      <c r="B8176" s="3"/>
      <c r="C8176" s="3"/>
    </row>
    <row r="8177">
      <c r="A8177" s="3"/>
      <c r="B8177" s="3"/>
      <c r="C8177" s="3"/>
    </row>
    <row r="8178">
      <c r="A8178" s="3"/>
      <c r="B8178" s="3"/>
      <c r="C8178" s="3"/>
    </row>
    <row r="8179">
      <c r="A8179" s="3"/>
      <c r="B8179" s="3"/>
      <c r="C8179" s="3"/>
    </row>
    <row r="8180">
      <c r="A8180" s="3"/>
      <c r="B8180" s="3"/>
      <c r="C8180" s="3"/>
    </row>
    <row r="8181">
      <c r="A8181" s="3"/>
      <c r="B8181" s="3"/>
      <c r="C8181" s="3"/>
    </row>
    <row r="8182">
      <c r="A8182" s="3"/>
      <c r="B8182" s="3"/>
      <c r="C8182" s="3"/>
    </row>
    <row r="8183">
      <c r="A8183" s="3"/>
      <c r="B8183" s="3"/>
      <c r="C8183" s="3"/>
    </row>
    <row r="8184">
      <c r="A8184" s="3"/>
      <c r="B8184" s="3"/>
      <c r="C8184" s="3"/>
    </row>
    <row r="8185">
      <c r="A8185" s="3"/>
      <c r="B8185" s="3"/>
      <c r="C8185" s="3"/>
    </row>
    <row r="8186">
      <c r="A8186" s="3"/>
      <c r="B8186" s="3"/>
      <c r="C8186" s="3"/>
    </row>
    <row r="8187">
      <c r="A8187" s="3"/>
      <c r="B8187" s="3"/>
      <c r="C8187" s="3"/>
    </row>
    <row r="8188">
      <c r="A8188" s="3"/>
      <c r="B8188" s="3"/>
      <c r="C8188" s="3"/>
    </row>
    <row r="8189">
      <c r="A8189" s="3"/>
      <c r="B8189" s="3"/>
      <c r="C8189" s="3"/>
    </row>
    <row r="8190">
      <c r="A8190" s="3"/>
      <c r="B8190" s="3"/>
      <c r="C8190" s="3"/>
    </row>
    <row r="8191">
      <c r="A8191" s="3"/>
      <c r="B8191" s="3"/>
      <c r="C8191" s="3"/>
    </row>
    <row r="8192">
      <c r="A8192" s="3"/>
      <c r="B8192" s="3"/>
      <c r="C8192" s="3"/>
    </row>
    <row r="8193">
      <c r="A8193" s="3"/>
      <c r="B8193" s="3"/>
      <c r="C8193" s="3"/>
    </row>
    <row r="8194">
      <c r="A8194" s="3"/>
      <c r="B8194" s="3"/>
      <c r="C8194" s="3"/>
    </row>
    <row r="8195">
      <c r="A8195" s="3"/>
      <c r="B8195" s="3"/>
      <c r="C8195" s="3"/>
    </row>
    <row r="8196">
      <c r="A8196" s="3"/>
      <c r="B8196" s="3"/>
      <c r="C8196" s="3"/>
    </row>
    <row r="8197">
      <c r="A8197" s="3"/>
      <c r="B8197" s="3"/>
      <c r="C8197" s="3"/>
    </row>
    <row r="8198">
      <c r="A8198" s="3"/>
      <c r="B8198" s="3"/>
      <c r="C8198" s="3"/>
    </row>
    <row r="8199">
      <c r="A8199" s="3"/>
      <c r="B8199" s="3"/>
      <c r="C8199" s="3"/>
    </row>
    <row r="8200">
      <c r="A8200" s="3"/>
      <c r="B8200" s="3"/>
      <c r="C8200" s="3"/>
    </row>
    <row r="8201">
      <c r="A8201" s="3"/>
      <c r="B8201" s="3"/>
      <c r="C8201" s="3"/>
    </row>
    <row r="8202">
      <c r="A8202" s="3"/>
      <c r="B8202" s="3"/>
      <c r="C8202" s="3"/>
    </row>
    <row r="8203">
      <c r="A8203" s="3"/>
      <c r="B8203" s="3"/>
      <c r="C8203" s="3"/>
    </row>
    <row r="8204">
      <c r="A8204" s="3"/>
      <c r="B8204" s="3"/>
      <c r="C8204" s="3"/>
    </row>
    <row r="8205">
      <c r="A8205" s="3"/>
      <c r="B8205" s="3"/>
      <c r="C8205" s="3"/>
    </row>
    <row r="8206">
      <c r="A8206" s="3"/>
      <c r="B8206" s="3"/>
      <c r="C8206" s="3"/>
    </row>
    <row r="8207">
      <c r="A8207" s="3"/>
      <c r="B8207" s="3"/>
      <c r="C8207" s="3"/>
    </row>
    <row r="8208">
      <c r="A8208" s="3"/>
      <c r="B8208" s="3"/>
      <c r="C8208" s="3"/>
    </row>
    <row r="8209">
      <c r="A8209" s="3"/>
      <c r="B8209" s="3"/>
      <c r="C8209" s="3"/>
    </row>
    <row r="8210">
      <c r="A8210" s="3"/>
      <c r="B8210" s="3"/>
      <c r="C8210" s="3"/>
    </row>
    <row r="8211">
      <c r="A8211" s="3"/>
      <c r="B8211" s="3"/>
      <c r="C8211" s="3"/>
    </row>
    <row r="8212">
      <c r="A8212" s="3"/>
      <c r="B8212" s="3"/>
      <c r="C8212" s="3"/>
    </row>
    <row r="8213">
      <c r="A8213" s="3"/>
      <c r="B8213" s="3"/>
      <c r="C8213" s="3"/>
    </row>
    <row r="8214">
      <c r="A8214" s="3"/>
      <c r="B8214" s="3"/>
      <c r="C8214" s="3"/>
    </row>
    <row r="8215">
      <c r="A8215" s="3"/>
      <c r="B8215" s="3"/>
      <c r="C8215" s="3"/>
    </row>
    <row r="8216">
      <c r="A8216" s="3"/>
      <c r="B8216" s="3"/>
      <c r="C8216" s="3"/>
    </row>
    <row r="8217">
      <c r="A8217" s="3"/>
      <c r="B8217" s="3"/>
      <c r="C8217" s="3"/>
    </row>
    <row r="8218">
      <c r="A8218" s="3"/>
      <c r="B8218" s="3"/>
      <c r="C8218" s="3"/>
    </row>
    <row r="8219">
      <c r="A8219" s="3"/>
      <c r="B8219" s="3"/>
      <c r="C8219" s="3"/>
    </row>
    <row r="8220">
      <c r="A8220" s="3"/>
      <c r="B8220" s="3"/>
      <c r="C8220" s="3"/>
    </row>
    <row r="8221">
      <c r="A8221" s="3"/>
      <c r="B8221" s="3"/>
      <c r="C8221" s="3"/>
    </row>
    <row r="8222">
      <c r="A8222" s="3"/>
      <c r="B8222" s="3"/>
      <c r="C8222" s="3"/>
    </row>
    <row r="8223">
      <c r="A8223" s="3"/>
      <c r="B8223" s="3"/>
      <c r="C8223" s="3"/>
    </row>
    <row r="8224">
      <c r="A8224" s="3"/>
      <c r="B8224" s="3"/>
      <c r="C8224" s="3"/>
    </row>
    <row r="8225">
      <c r="A8225" s="3"/>
      <c r="B8225" s="3"/>
      <c r="C8225" s="3"/>
    </row>
    <row r="8226">
      <c r="A8226" s="3"/>
      <c r="B8226" s="3"/>
      <c r="C8226" s="3"/>
    </row>
    <row r="8227">
      <c r="A8227" s="3"/>
      <c r="B8227" s="3"/>
      <c r="C8227" s="3"/>
    </row>
    <row r="8228">
      <c r="A8228" s="3"/>
      <c r="B8228" s="3"/>
      <c r="C8228" s="3"/>
    </row>
    <row r="8229">
      <c r="A8229" s="3"/>
      <c r="B8229" s="3"/>
      <c r="C8229" s="3"/>
    </row>
    <row r="8230">
      <c r="A8230" s="3"/>
      <c r="B8230" s="3"/>
      <c r="C8230" s="3"/>
    </row>
    <row r="8231">
      <c r="A8231" s="3"/>
      <c r="B8231" s="3"/>
      <c r="C8231" s="3"/>
    </row>
    <row r="8232">
      <c r="A8232" s="3"/>
      <c r="B8232" s="3"/>
      <c r="C8232" s="3"/>
    </row>
    <row r="8233">
      <c r="A8233" s="3"/>
      <c r="B8233" s="3"/>
      <c r="C8233" s="3"/>
    </row>
    <row r="8234">
      <c r="A8234" s="3"/>
      <c r="B8234" s="3"/>
      <c r="C8234" s="3"/>
    </row>
    <row r="8235">
      <c r="A8235" s="3"/>
      <c r="B8235" s="3"/>
      <c r="C8235" s="3"/>
    </row>
    <row r="8236">
      <c r="A8236" s="3"/>
      <c r="B8236" s="3"/>
      <c r="C8236" s="3"/>
    </row>
    <row r="8237">
      <c r="A8237" s="3"/>
      <c r="B8237" s="3"/>
      <c r="C8237" s="3"/>
    </row>
    <row r="8238">
      <c r="A8238" s="3"/>
      <c r="B8238" s="3"/>
      <c r="C8238" s="3"/>
    </row>
    <row r="8239">
      <c r="A8239" s="3"/>
      <c r="B8239" s="3"/>
      <c r="C8239" s="3"/>
    </row>
    <row r="8240">
      <c r="A8240" s="3"/>
      <c r="B8240" s="3"/>
      <c r="C8240" s="3"/>
    </row>
    <row r="8241">
      <c r="A8241" s="3"/>
      <c r="B8241" s="3"/>
      <c r="C8241" s="3"/>
    </row>
    <row r="8242">
      <c r="A8242" s="3"/>
      <c r="B8242" s="3"/>
      <c r="C8242" s="3"/>
    </row>
    <row r="8243">
      <c r="A8243" s="3"/>
      <c r="B8243" s="3"/>
      <c r="C8243" s="3"/>
    </row>
    <row r="8244">
      <c r="A8244" s="3"/>
      <c r="B8244" s="3"/>
      <c r="C8244" s="3"/>
    </row>
    <row r="8245">
      <c r="A8245" s="3"/>
      <c r="B8245" s="3"/>
      <c r="C8245" s="3"/>
    </row>
    <row r="8246">
      <c r="A8246" s="3"/>
      <c r="B8246" s="3"/>
      <c r="C8246" s="3"/>
    </row>
    <row r="8247">
      <c r="A8247" s="3"/>
      <c r="B8247" s="3"/>
      <c r="C8247" s="3"/>
    </row>
    <row r="8248">
      <c r="A8248" s="3"/>
      <c r="B8248" s="3"/>
      <c r="C8248" s="3"/>
    </row>
    <row r="8249">
      <c r="A8249" s="3"/>
      <c r="B8249" s="3"/>
      <c r="C8249" s="3"/>
    </row>
    <row r="8250">
      <c r="A8250" s="3"/>
      <c r="B8250" s="3"/>
      <c r="C8250" s="3"/>
    </row>
    <row r="8251">
      <c r="A8251" s="3"/>
      <c r="B8251" s="3"/>
      <c r="C8251" s="3"/>
    </row>
    <row r="8252">
      <c r="A8252" s="3"/>
      <c r="B8252" s="3"/>
      <c r="C8252" s="3"/>
    </row>
    <row r="8253">
      <c r="A8253" s="3"/>
      <c r="B8253" s="3"/>
      <c r="C8253" s="3"/>
    </row>
    <row r="8254">
      <c r="A8254" s="3"/>
      <c r="B8254" s="3"/>
      <c r="C8254" s="3"/>
    </row>
    <row r="8255">
      <c r="A8255" s="3"/>
      <c r="B8255" s="3"/>
      <c r="C8255" s="3"/>
    </row>
    <row r="8256">
      <c r="A8256" s="3"/>
      <c r="B8256" s="3"/>
      <c r="C8256" s="3"/>
    </row>
    <row r="8257">
      <c r="A8257" s="3"/>
      <c r="B8257" s="3"/>
      <c r="C8257" s="3"/>
    </row>
    <row r="8258">
      <c r="A8258" s="3"/>
      <c r="B8258" s="3"/>
      <c r="C8258" s="3"/>
    </row>
    <row r="8259">
      <c r="A8259" s="3"/>
      <c r="B8259" s="3"/>
      <c r="C8259" s="3"/>
    </row>
    <row r="8260">
      <c r="A8260" s="3"/>
      <c r="B8260" s="3"/>
      <c r="C8260" s="3"/>
    </row>
    <row r="8261">
      <c r="A8261" s="3"/>
      <c r="B8261" s="3"/>
      <c r="C8261" s="3"/>
    </row>
    <row r="8262">
      <c r="A8262" s="3"/>
      <c r="B8262" s="3"/>
      <c r="C8262" s="3"/>
    </row>
    <row r="8263">
      <c r="A8263" s="3"/>
      <c r="B8263" s="3"/>
      <c r="C8263" s="3"/>
    </row>
    <row r="8264">
      <c r="A8264" s="3"/>
      <c r="B8264" s="3"/>
      <c r="C8264" s="3"/>
    </row>
    <row r="8265">
      <c r="A8265" s="3"/>
      <c r="B8265" s="3"/>
      <c r="C8265" s="3"/>
    </row>
    <row r="8266">
      <c r="A8266" s="3"/>
      <c r="B8266" s="3"/>
      <c r="C8266" s="3"/>
    </row>
    <row r="8267">
      <c r="A8267" s="3"/>
      <c r="B8267" s="3"/>
      <c r="C8267" s="3"/>
    </row>
    <row r="8268">
      <c r="A8268" s="3"/>
      <c r="B8268" s="3"/>
      <c r="C8268" s="3"/>
    </row>
    <row r="8269">
      <c r="A8269" s="3"/>
      <c r="B8269" s="3"/>
      <c r="C8269" s="3"/>
    </row>
    <row r="8270">
      <c r="A8270" s="3"/>
      <c r="B8270" s="3"/>
      <c r="C8270" s="3"/>
    </row>
    <row r="8271">
      <c r="A8271" s="3"/>
      <c r="B8271" s="3"/>
      <c r="C8271" s="3"/>
    </row>
    <row r="8272">
      <c r="A8272" s="3"/>
      <c r="B8272" s="3"/>
      <c r="C8272" s="3"/>
    </row>
    <row r="8273">
      <c r="A8273" s="3"/>
      <c r="B8273" s="3"/>
      <c r="C8273" s="3"/>
    </row>
    <row r="8274">
      <c r="A8274" s="3"/>
      <c r="B8274" s="3"/>
      <c r="C8274" s="3"/>
    </row>
    <row r="8275">
      <c r="A8275" s="3"/>
      <c r="B8275" s="3"/>
      <c r="C8275" s="3"/>
    </row>
    <row r="8276">
      <c r="A8276" s="3"/>
      <c r="B8276" s="3"/>
      <c r="C8276" s="3"/>
    </row>
    <row r="8277">
      <c r="A8277" s="3"/>
      <c r="B8277" s="3"/>
      <c r="C8277" s="3"/>
    </row>
    <row r="8278">
      <c r="A8278" s="3"/>
      <c r="B8278" s="3"/>
      <c r="C8278" s="3"/>
    </row>
    <row r="8279">
      <c r="A8279" s="3"/>
      <c r="B8279" s="3"/>
      <c r="C8279" s="3"/>
    </row>
    <row r="8280">
      <c r="A8280" s="3"/>
      <c r="B8280" s="3"/>
      <c r="C8280" s="3"/>
    </row>
    <row r="8281">
      <c r="A8281" s="3"/>
      <c r="B8281" s="3"/>
      <c r="C8281" s="3"/>
    </row>
    <row r="8282">
      <c r="A8282" s="3"/>
      <c r="B8282" s="3"/>
      <c r="C8282" s="3"/>
    </row>
    <row r="8283">
      <c r="A8283" s="3"/>
      <c r="B8283" s="3"/>
      <c r="C8283" s="3"/>
    </row>
    <row r="8284">
      <c r="A8284" s="3"/>
      <c r="B8284" s="3"/>
      <c r="C8284" s="3"/>
    </row>
    <row r="8285">
      <c r="A8285" s="3"/>
      <c r="B8285" s="3"/>
      <c r="C8285" s="3"/>
    </row>
    <row r="8286">
      <c r="A8286" s="3"/>
      <c r="B8286" s="3"/>
      <c r="C8286" s="3"/>
    </row>
    <row r="8287">
      <c r="A8287" s="3"/>
      <c r="B8287" s="3"/>
      <c r="C8287" s="3"/>
    </row>
    <row r="8288">
      <c r="A8288" s="3"/>
      <c r="B8288" s="3"/>
      <c r="C8288" s="3"/>
    </row>
    <row r="8289">
      <c r="A8289" s="3"/>
      <c r="B8289" s="3"/>
      <c r="C8289" s="3"/>
    </row>
    <row r="8290">
      <c r="A8290" s="3"/>
      <c r="B8290" s="3"/>
      <c r="C8290" s="3"/>
    </row>
    <row r="8291">
      <c r="A8291" s="3"/>
      <c r="B8291" s="3"/>
      <c r="C8291" s="3"/>
    </row>
    <row r="8292">
      <c r="A8292" s="3"/>
      <c r="B8292" s="3"/>
      <c r="C8292" s="3"/>
    </row>
    <row r="8293">
      <c r="A8293" s="3"/>
      <c r="B8293" s="3"/>
      <c r="C8293" s="3"/>
    </row>
    <row r="8294">
      <c r="A8294" s="3"/>
      <c r="B8294" s="3"/>
      <c r="C8294" s="3"/>
    </row>
    <row r="8295">
      <c r="A8295" s="3"/>
      <c r="B8295" s="3"/>
      <c r="C8295" s="3"/>
    </row>
    <row r="8296">
      <c r="A8296" s="3"/>
      <c r="B8296" s="3"/>
      <c r="C8296" s="3"/>
    </row>
    <row r="8297">
      <c r="A8297" s="3"/>
      <c r="B8297" s="3"/>
      <c r="C8297" s="3"/>
    </row>
    <row r="8298">
      <c r="A8298" s="3"/>
      <c r="B8298" s="3"/>
      <c r="C8298" s="3"/>
    </row>
    <row r="8299">
      <c r="A8299" s="3"/>
      <c r="B8299" s="3"/>
      <c r="C8299" s="3"/>
    </row>
    <row r="8300">
      <c r="A8300" s="3"/>
      <c r="B8300" s="3"/>
      <c r="C8300" s="3"/>
    </row>
    <row r="8301">
      <c r="A8301" s="3"/>
      <c r="B8301" s="3"/>
      <c r="C8301" s="3"/>
    </row>
    <row r="8302">
      <c r="A8302" s="3"/>
      <c r="B8302" s="3"/>
      <c r="C8302" s="3"/>
    </row>
    <row r="8303">
      <c r="A8303" s="3"/>
      <c r="B8303" s="3"/>
      <c r="C8303" s="3"/>
    </row>
    <row r="8304">
      <c r="A8304" s="3"/>
      <c r="B8304" s="3"/>
      <c r="C8304" s="3"/>
    </row>
    <row r="8305">
      <c r="A8305" s="3"/>
      <c r="B8305" s="3"/>
      <c r="C8305" s="3"/>
    </row>
    <row r="8306">
      <c r="A8306" s="3"/>
      <c r="B8306" s="3"/>
      <c r="C8306" s="3"/>
    </row>
    <row r="8307">
      <c r="A8307" s="3"/>
      <c r="B8307" s="3"/>
      <c r="C8307" s="3"/>
    </row>
    <row r="8308">
      <c r="A8308" s="3"/>
      <c r="B8308" s="3"/>
      <c r="C8308" s="3"/>
    </row>
    <row r="8309">
      <c r="A8309" s="3"/>
      <c r="B8309" s="3"/>
      <c r="C8309" s="3"/>
    </row>
    <row r="8310">
      <c r="A8310" s="3"/>
      <c r="B8310" s="3"/>
      <c r="C8310" s="3"/>
    </row>
    <row r="8311">
      <c r="A8311" s="3"/>
      <c r="B8311" s="3"/>
      <c r="C8311" s="3"/>
    </row>
    <row r="8312">
      <c r="A8312" s="3"/>
      <c r="B8312" s="3"/>
      <c r="C8312" s="3"/>
    </row>
    <row r="8313">
      <c r="A8313" s="3"/>
      <c r="B8313" s="3"/>
      <c r="C8313" s="3"/>
    </row>
    <row r="8314">
      <c r="A8314" s="3"/>
      <c r="B8314" s="3"/>
      <c r="C8314" s="3"/>
    </row>
    <row r="8315">
      <c r="A8315" s="3"/>
      <c r="B8315" s="3"/>
      <c r="C8315" s="3"/>
    </row>
    <row r="8316">
      <c r="A8316" s="3"/>
      <c r="B8316" s="3"/>
      <c r="C8316" s="3"/>
    </row>
    <row r="8317">
      <c r="A8317" s="3"/>
      <c r="B8317" s="3"/>
      <c r="C8317" s="3"/>
    </row>
    <row r="8318">
      <c r="A8318" s="3"/>
      <c r="B8318" s="3"/>
      <c r="C8318" s="3"/>
    </row>
    <row r="8319">
      <c r="A8319" s="3"/>
      <c r="B8319" s="3"/>
      <c r="C8319" s="3"/>
    </row>
    <row r="8320">
      <c r="A8320" s="3"/>
      <c r="B8320" s="3"/>
      <c r="C8320" s="3"/>
    </row>
    <row r="8321">
      <c r="A8321" s="3"/>
      <c r="B8321" s="3"/>
      <c r="C8321" s="3"/>
    </row>
    <row r="8322">
      <c r="A8322" s="3"/>
      <c r="B8322" s="3"/>
      <c r="C8322" s="3"/>
    </row>
    <row r="8323">
      <c r="A8323" s="3"/>
      <c r="B8323" s="3"/>
      <c r="C8323" s="3"/>
    </row>
    <row r="8324">
      <c r="A8324" s="3"/>
      <c r="B8324" s="3"/>
      <c r="C8324" s="3"/>
    </row>
    <row r="8325">
      <c r="A8325" s="3"/>
      <c r="B8325" s="3"/>
      <c r="C8325" s="3"/>
    </row>
    <row r="8326">
      <c r="A8326" s="3"/>
      <c r="B8326" s="3"/>
      <c r="C8326" s="3"/>
    </row>
    <row r="8327">
      <c r="A8327" s="3"/>
      <c r="B8327" s="3"/>
      <c r="C8327" s="3"/>
    </row>
    <row r="8328">
      <c r="A8328" s="3"/>
      <c r="B8328" s="3"/>
      <c r="C8328" s="3"/>
    </row>
    <row r="8329">
      <c r="A8329" s="3"/>
      <c r="B8329" s="3"/>
      <c r="C8329" s="3"/>
    </row>
    <row r="8330">
      <c r="A8330" s="3"/>
      <c r="B8330" s="3"/>
      <c r="C8330" s="3"/>
    </row>
    <row r="8331">
      <c r="A8331" s="3"/>
      <c r="B8331" s="3"/>
      <c r="C8331" s="3"/>
    </row>
    <row r="8332">
      <c r="A8332" s="3"/>
      <c r="B8332" s="3"/>
      <c r="C8332" s="3"/>
    </row>
    <row r="8333">
      <c r="A8333" s="3"/>
      <c r="B8333" s="3"/>
      <c r="C8333" s="3"/>
    </row>
    <row r="8334">
      <c r="A8334" s="3"/>
      <c r="B8334" s="3"/>
      <c r="C8334" s="3"/>
    </row>
    <row r="8335">
      <c r="A8335" s="3"/>
      <c r="B8335" s="3"/>
      <c r="C8335" s="3"/>
    </row>
    <row r="8336">
      <c r="A8336" s="3"/>
      <c r="B8336" s="3"/>
      <c r="C8336" s="3"/>
    </row>
    <row r="8337">
      <c r="A8337" s="3"/>
      <c r="B8337" s="3"/>
      <c r="C8337" s="3"/>
    </row>
    <row r="8338">
      <c r="A8338" s="3"/>
      <c r="B8338" s="3"/>
      <c r="C8338" s="3"/>
    </row>
    <row r="8339">
      <c r="A8339" s="3"/>
      <c r="B8339" s="3"/>
      <c r="C8339" s="3"/>
    </row>
    <row r="8340">
      <c r="A8340" s="3"/>
      <c r="B8340" s="3"/>
      <c r="C8340" s="3"/>
    </row>
    <row r="8341">
      <c r="A8341" s="3"/>
      <c r="B8341" s="3"/>
      <c r="C8341" s="3"/>
    </row>
    <row r="8342">
      <c r="A8342" s="3"/>
      <c r="B8342" s="3"/>
      <c r="C8342" s="3"/>
    </row>
    <row r="8343">
      <c r="A8343" s="3"/>
      <c r="B8343" s="3"/>
      <c r="C8343" s="3"/>
    </row>
    <row r="8344">
      <c r="A8344" s="3"/>
      <c r="B8344" s="3"/>
      <c r="C8344" s="3"/>
    </row>
    <row r="8345">
      <c r="A8345" s="3"/>
      <c r="B8345" s="3"/>
      <c r="C8345" s="3"/>
    </row>
    <row r="8346">
      <c r="A8346" s="3"/>
      <c r="B8346" s="3"/>
      <c r="C8346" s="3"/>
    </row>
    <row r="8347">
      <c r="A8347" s="3"/>
      <c r="B8347" s="3"/>
      <c r="C8347" s="3"/>
    </row>
    <row r="8348">
      <c r="A8348" s="3"/>
      <c r="B8348" s="3"/>
      <c r="C8348" s="3"/>
    </row>
    <row r="8349">
      <c r="A8349" s="3"/>
      <c r="B8349" s="3"/>
      <c r="C8349" s="3"/>
    </row>
    <row r="8350">
      <c r="A8350" s="3"/>
      <c r="B8350" s="3"/>
      <c r="C8350" s="3"/>
    </row>
    <row r="8351">
      <c r="A8351" s="3"/>
      <c r="B8351" s="3"/>
      <c r="C8351" s="3"/>
    </row>
    <row r="8352">
      <c r="A8352" s="3"/>
      <c r="B8352" s="3"/>
      <c r="C8352" s="3"/>
    </row>
    <row r="8353">
      <c r="A8353" s="3"/>
      <c r="B8353" s="3"/>
      <c r="C8353" s="3"/>
    </row>
    <row r="8354">
      <c r="A8354" s="3"/>
      <c r="B8354" s="3"/>
      <c r="C8354" s="3"/>
    </row>
    <row r="8355">
      <c r="A8355" s="3"/>
      <c r="B8355" s="3"/>
      <c r="C8355" s="3"/>
    </row>
    <row r="8356">
      <c r="A8356" s="3"/>
      <c r="B8356" s="3"/>
      <c r="C8356" s="3"/>
    </row>
    <row r="8357">
      <c r="A8357" s="3"/>
      <c r="B8357" s="3"/>
      <c r="C8357" s="3"/>
    </row>
    <row r="8358">
      <c r="A8358" s="3"/>
      <c r="B8358" s="3"/>
      <c r="C8358" s="3"/>
    </row>
    <row r="8359">
      <c r="A8359" s="3"/>
      <c r="B8359" s="3"/>
      <c r="C8359" s="3"/>
    </row>
    <row r="8360">
      <c r="A8360" s="3"/>
      <c r="B8360" s="3"/>
      <c r="C8360" s="3"/>
    </row>
    <row r="8361">
      <c r="A8361" s="3"/>
      <c r="B8361" s="3"/>
      <c r="C8361" s="3"/>
    </row>
    <row r="8362">
      <c r="A8362" s="3"/>
      <c r="B8362" s="3"/>
      <c r="C8362" s="3"/>
    </row>
    <row r="8363">
      <c r="A8363" s="3"/>
      <c r="B8363" s="3"/>
      <c r="C8363" s="3"/>
    </row>
    <row r="8364">
      <c r="A8364" s="3"/>
      <c r="B8364" s="3"/>
      <c r="C8364" s="3"/>
    </row>
    <row r="8365">
      <c r="A8365" s="3"/>
      <c r="B8365" s="3"/>
      <c r="C8365" s="3"/>
    </row>
    <row r="8366">
      <c r="A8366" s="3"/>
      <c r="B8366" s="3"/>
      <c r="C8366" s="3"/>
    </row>
    <row r="8367">
      <c r="A8367" s="3"/>
      <c r="B8367" s="3"/>
      <c r="C8367" s="3"/>
    </row>
    <row r="8368">
      <c r="A8368" s="3"/>
      <c r="B8368" s="3"/>
      <c r="C8368" s="3"/>
    </row>
    <row r="8369">
      <c r="A8369" s="3"/>
      <c r="B8369" s="3"/>
      <c r="C8369" s="3"/>
    </row>
    <row r="8370">
      <c r="A8370" s="3"/>
      <c r="B8370" s="3"/>
      <c r="C8370" s="3"/>
    </row>
    <row r="8371">
      <c r="A8371" s="3"/>
      <c r="B8371" s="3"/>
      <c r="C8371" s="3"/>
    </row>
    <row r="8372">
      <c r="A8372" s="3"/>
      <c r="B8372" s="3"/>
      <c r="C8372" s="3"/>
    </row>
    <row r="8373">
      <c r="A8373" s="3"/>
      <c r="B8373" s="3"/>
      <c r="C8373" s="3"/>
    </row>
    <row r="8374">
      <c r="A8374" s="3"/>
      <c r="B8374" s="3"/>
      <c r="C8374" s="3"/>
    </row>
    <row r="8375">
      <c r="A8375" s="3"/>
      <c r="B8375" s="3"/>
      <c r="C8375" s="3"/>
    </row>
    <row r="8376">
      <c r="A8376" s="3"/>
      <c r="B8376" s="3"/>
      <c r="C8376" s="3"/>
    </row>
    <row r="8377">
      <c r="A8377" s="3"/>
      <c r="B8377" s="3"/>
      <c r="C8377" s="3"/>
    </row>
    <row r="8378">
      <c r="A8378" s="3"/>
      <c r="B8378" s="3"/>
      <c r="C8378" s="3"/>
    </row>
    <row r="8379">
      <c r="A8379" s="3"/>
      <c r="B8379" s="3"/>
      <c r="C8379" s="3"/>
    </row>
    <row r="8380">
      <c r="A8380" s="3"/>
      <c r="B8380" s="3"/>
      <c r="C8380" s="3"/>
    </row>
    <row r="8381">
      <c r="A8381" s="3"/>
      <c r="B8381" s="3"/>
      <c r="C8381" s="3"/>
    </row>
    <row r="8382">
      <c r="A8382" s="3"/>
      <c r="B8382" s="3"/>
      <c r="C8382" s="3"/>
    </row>
    <row r="8383">
      <c r="A8383" s="3"/>
      <c r="B8383" s="3"/>
      <c r="C8383" s="3"/>
    </row>
    <row r="8384">
      <c r="A8384" s="3"/>
      <c r="B8384" s="3"/>
      <c r="C8384" s="3"/>
    </row>
    <row r="8385">
      <c r="A8385" s="3"/>
      <c r="B8385" s="3"/>
      <c r="C8385" s="3"/>
    </row>
    <row r="8386">
      <c r="A8386" s="3"/>
      <c r="B8386" s="3"/>
      <c r="C8386" s="3"/>
    </row>
    <row r="8387">
      <c r="A8387" s="3"/>
      <c r="B8387" s="3"/>
      <c r="C8387" s="3"/>
    </row>
    <row r="8388">
      <c r="A8388" s="3"/>
      <c r="B8388" s="3"/>
      <c r="C8388" s="3"/>
    </row>
    <row r="8389">
      <c r="A8389" s="3"/>
      <c r="B8389" s="3"/>
      <c r="C8389" s="3"/>
    </row>
    <row r="8390">
      <c r="A8390" s="3"/>
      <c r="B8390" s="3"/>
      <c r="C8390" s="3"/>
    </row>
    <row r="8391">
      <c r="A8391" s="3"/>
      <c r="B8391" s="3"/>
      <c r="C8391" s="3"/>
    </row>
    <row r="8392">
      <c r="A8392" s="3"/>
      <c r="B8392" s="3"/>
      <c r="C8392" s="3"/>
    </row>
    <row r="8393">
      <c r="A8393" s="3"/>
      <c r="B8393" s="3"/>
      <c r="C8393" s="3"/>
    </row>
    <row r="8394">
      <c r="A8394" s="3"/>
      <c r="B8394" s="3"/>
      <c r="C8394" s="3"/>
    </row>
    <row r="8395">
      <c r="A8395" s="3"/>
      <c r="B8395" s="3"/>
      <c r="C8395" s="3"/>
    </row>
    <row r="8396">
      <c r="A8396" s="3"/>
      <c r="B8396" s="3"/>
      <c r="C8396" s="3"/>
    </row>
    <row r="8397">
      <c r="A8397" s="3"/>
      <c r="B8397" s="3"/>
      <c r="C8397" s="3"/>
    </row>
    <row r="8398">
      <c r="A8398" s="3"/>
      <c r="B8398" s="3"/>
      <c r="C8398" s="3"/>
    </row>
    <row r="8399">
      <c r="A8399" s="3"/>
      <c r="B8399" s="3"/>
      <c r="C8399" s="3"/>
    </row>
    <row r="8400">
      <c r="A8400" s="3"/>
      <c r="B8400" s="3"/>
      <c r="C8400" s="3"/>
    </row>
    <row r="8401">
      <c r="A8401" s="3"/>
      <c r="B8401" s="3"/>
      <c r="C8401" s="3"/>
    </row>
    <row r="8402">
      <c r="A8402" s="3"/>
      <c r="B8402" s="3"/>
      <c r="C8402" s="3"/>
    </row>
    <row r="8403">
      <c r="A8403" s="3"/>
      <c r="B8403" s="3"/>
      <c r="C8403" s="3"/>
    </row>
    <row r="8404">
      <c r="A8404" s="3"/>
      <c r="B8404" s="3"/>
      <c r="C8404" s="3"/>
    </row>
    <row r="8405">
      <c r="A8405" s="3"/>
      <c r="B8405" s="3"/>
      <c r="C8405" s="3"/>
    </row>
    <row r="8406">
      <c r="A8406" s="3"/>
      <c r="B8406" s="3"/>
      <c r="C8406" s="3"/>
    </row>
    <row r="8407">
      <c r="A8407" s="3"/>
      <c r="B8407" s="3"/>
      <c r="C8407" s="3"/>
    </row>
    <row r="8408">
      <c r="A8408" s="3"/>
      <c r="B8408" s="3"/>
      <c r="C8408" s="3"/>
    </row>
    <row r="8409">
      <c r="A8409" s="3"/>
      <c r="B8409" s="3"/>
      <c r="C8409" s="3"/>
    </row>
    <row r="8410">
      <c r="A8410" s="3"/>
      <c r="B8410" s="3"/>
      <c r="C8410" s="3"/>
    </row>
    <row r="8411">
      <c r="A8411" s="3"/>
      <c r="B8411" s="3"/>
      <c r="C8411" s="3"/>
    </row>
    <row r="8412">
      <c r="A8412" s="3"/>
      <c r="B8412" s="3"/>
      <c r="C8412" s="3"/>
    </row>
    <row r="8413">
      <c r="A8413" s="3"/>
      <c r="B8413" s="3"/>
      <c r="C8413" s="3"/>
    </row>
    <row r="8414">
      <c r="A8414" s="3"/>
      <c r="B8414" s="3"/>
      <c r="C8414" s="3"/>
    </row>
    <row r="8415">
      <c r="A8415" s="3"/>
      <c r="B8415" s="3"/>
      <c r="C8415" s="3"/>
    </row>
    <row r="8416">
      <c r="A8416" s="3"/>
      <c r="B8416" s="3"/>
      <c r="C8416" s="3"/>
    </row>
    <row r="8417">
      <c r="A8417" s="3"/>
      <c r="B8417" s="3"/>
      <c r="C8417" s="3"/>
    </row>
    <row r="8418">
      <c r="A8418" s="3"/>
      <c r="B8418" s="3"/>
      <c r="C8418" s="3"/>
    </row>
    <row r="8419">
      <c r="A8419" s="3"/>
      <c r="B8419" s="3"/>
      <c r="C8419" s="3"/>
    </row>
    <row r="8420">
      <c r="A8420" s="3"/>
      <c r="B8420" s="3"/>
      <c r="C8420" s="3"/>
    </row>
    <row r="8421">
      <c r="A8421" s="3"/>
      <c r="B8421" s="3"/>
      <c r="C8421" s="3"/>
    </row>
    <row r="8422">
      <c r="A8422" s="3"/>
      <c r="B8422" s="3"/>
      <c r="C8422" s="3"/>
    </row>
    <row r="8423">
      <c r="A8423" s="3"/>
      <c r="B8423" s="3"/>
      <c r="C8423" s="3"/>
    </row>
    <row r="8424">
      <c r="A8424" s="3"/>
      <c r="B8424" s="3"/>
      <c r="C8424" s="3"/>
    </row>
    <row r="8425">
      <c r="A8425" s="3"/>
      <c r="B8425" s="3"/>
      <c r="C8425" s="3"/>
    </row>
    <row r="8426">
      <c r="A8426" s="3"/>
      <c r="B8426" s="3"/>
      <c r="C8426" s="3"/>
    </row>
    <row r="8427">
      <c r="A8427" s="3"/>
      <c r="B8427" s="3"/>
      <c r="C8427" s="3"/>
    </row>
    <row r="8428">
      <c r="A8428" s="3"/>
      <c r="B8428" s="3"/>
      <c r="C8428" s="3"/>
    </row>
    <row r="8429">
      <c r="A8429" s="3"/>
      <c r="B8429" s="3"/>
      <c r="C8429" s="3"/>
    </row>
    <row r="8430">
      <c r="A8430" s="3"/>
      <c r="B8430" s="3"/>
      <c r="C8430" s="3"/>
    </row>
    <row r="8431">
      <c r="A8431" s="3"/>
      <c r="B8431" s="3"/>
      <c r="C8431" s="3"/>
    </row>
    <row r="8432">
      <c r="A8432" s="3"/>
      <c r="B8432" s="3"/>
      <c r="C8432" s="3"/>
    </row>
    <row r="8433">
      <c r="A8433" s="3"/>
      <c r="B8433" s="3"/>
      <c r="C8433" s="3"/>
    </row>
    <row r="8434">
      <c r="A8434" s="3"/>
      <c r="B8434" s="3"/>
      <c r="C8434" s="3"/>
    </row>
    <row r="8435">
      <c r="A8435" s="3"/>
      <c r="B8435" s="3"/>
      <c r="C8435" s="3"/>
    </row>
    <row r="8436">
      <c r="A8436" s="3"/>
      <c r="B8436" s="3"/>
      <c r="C8436" s="3"/>
    </row>
    <row r="8437">
      <c r="A8437" s="3"/>
      <c r="B8437" s="3"/>
      <c r="C8437" s="3"/>
    </row>
    <row r="8438">
      <c r="A8438" s="3"/>
      <c r="B8438" s="3"/>
      <c r="C8438" s="3"/>
    </row>
    <row r="8439">
      <c r="A8439" s="3"/>
      <c r="B8439" s="3"/>
      <c r="C8439" s="3"/>
    </row>
    <row r="8440">
      <c r="A8440" s="3"/>
      <c r="B8440" s="3"/>
      <c r="C8440" s="3"/>
    </row>
    <row r="8441">
      <c r="A8441" s="3"/>
      <c r="B8441" s="3"/>
      <c r="C8441" s="3"/>
    </row>
    <row r="8442">
      <c r="A8442" s="3"/>
      <c r="B8442" s="3"/>
      <c r="C8442" s="3"/>
    </row>
    <row r="8443">
      <c r="A8443" s="3"/>
      <c r="B8443" s="3"/>
      <c r="C8443" s="3"/>
    </row>
    <row r="8444">
      <c r="A8444" s="3"/>
      <c r="B8444" s="3"/>
      <c r="C8444" s="3"/>
    </row>
    <row r="8445">
      <c r="A8445" s="3"/>
      <c r="B8445" s="3"/>
      <c r="C8445" s="3"/>
    </row>
    <row r="8446">
      <c r="A8446" s="3"/>
      <c r="B8446" s="3"/>
      <c r="C8446" s="3"/>
    </row>
    <row r="8447">
      <c r="A8447" s="3"/>
      <c r="B8447" s="3"/>
      <c r="C8447" s="3"/>
    </row>
    <row r="8448">
      <c r="A8448" s="3"/>
      <c r="B8448" s="3"/>
      <c r="C8448" s="3"/>
    </row>
    <row r="8449">
      <c r="A8449" s="3"/>
      <c r="B8449" s="3"/>
      <c r="C8449" s="3"/>
    </row>
    <row r="8450">
      <c r="A8450" s="3"/>
      <c r="B8450" s="3"/>
      <c r="C8450" s="3"/>
    </row>
    <row r="8451">
      <c r="A8451" s="3"/>
      <c r="B8451" s="3"/>
      <c r="C8451" s="3"/>
    </row>
    <row r="8452">
      <c r="A8452" s="3"/>
      <c r="B8452" s="3"/>
      <c r="C8452" s="3"/>
    </row>
    <row r="8453">
      <c r="A8453" s="3"/>
      <c r="B8453" s="3"/>
      <c r="C8453" s="3"/>
    </row>
    <row r="8454">
      <c r="A8454" s="3"/>
      <c r="B8454" s="3"/>
      <c r="C8454" s="3"/>
    </row>
    <row r="8455">
      <c r="A8455" s="3"/>
      <c r="B8455" s="3"/>
      <c r="C8455" s="3"/>
    </row>
    <row r="8456">
      <c r="A8456" s="3"/>
      <c r="B8456" s="3"/>
      <c r="C8456" s="3"/>
    </row>
    <row r="8457">
      <c r="A8457" s="3"/>
      <c r="B8457" s="3"/>
      <c r="C8457" s="3"/>
    </row>
    <row r="8458">
      <c r="A8458" s="3"/>
      <c r="B8458" s="3"/>
      <c r="C8458" s="3"/>
    </row>
    <row r="8459">
      <c r="A8459" s="3"/>
      <c r="B8459" s="3"/>
      <c r="C8459" s="3"/>
    </row>
    <row r="8460">
      <c r="A8460" s="3"/>
      <c r="B8460" s="3"/>
      <c r="C8460" s="3"/>
    </row>
    <row r="8461">
      <c r="A8461" s="3"/>
      <c r="B8461" s="3"/>
      <c r="C8461" s="3"/>
    </row>
    <row r="8462">
      <c r="A8462" s="3"/>
      <c r="B8462" s="3"/>
      <c r="C8462" s="3"/>
    </row>
    <row r="8463">
      <c r="A8463" s="3"/>
      <c r="B8463" s="3"/>
      <c r="C8463" s="3"/>
    </row>
    <row r="8464">
      <c r="A8464" s="3"/>
      <c r="B8464" s="3"/>
      <c r="C8464" s="3"/>
    </row>
    <row r="8465">
      <c r="A8465" s="3"/>
      <c r="B8465" s="3"/>
      <c r="C8465" s="3"/>
    </row>
    <row r="8466">
      <c r="A8466" s="3"/>
      <c r="B8466" s="3"/>
      <c r="C8466" s="3"/>
    </row>
    <row r="8467">
      <c r="A8467" s="3"/>
      <c r="B8467" s="3"/>
      <c r="C8467" s="3"/>
    </row>
    <row r="8468">
      <c r="A8468" s="3"/>
      <c r="B8468" s="3"/>
      <c r="C8468" s="3"/>
    </row>
    <row r="8469">
      <c r="A8469" s="3"/>
      <c r="B8469" s="3"/>
      <c r="C8469" s="3"/>
    </row>
    <row r="8470">
      <c r="A8470" s="3"/>
      <c r="B8470" s="3"/>
      <c r="C8470" s="3"/>
    </row>
    <row r="8471">
      <c r="A8471" s="3"/>
      <c r="B8471" s="3"/>
      <c r="C8471" s="3"/>
    </row>
    <row r="8472">
      <c r="A8472" s="3"/>
      <c r="B8472" s="3"/>
      <c r="C8472" s="3"/>
    </row>
    <row r="8473">
      <c r="A8473" s="3"/>
      <c r="B8473" s="3"/>
      <c r="C8473" s="3"/>
    </row>
    <row r="8474">
      <c r="A8474" s="3"/>
      <c r="B8474" s="3"/>
      <c r="C8474" s="3"/>
    </row>
    <row r="8475">
      <c r="A8475" s="3"/>
      <c r="B8475" s="3"/>
      <c r="C8475" s="3"/>
    </row>
    <row r="8476">
      <c r="A8476" s="3"/>
      <c r="B8476" s="3"/>
      <c r="C8476" s="3"/>
    </row>
    <row r="8477">
      <c r="A8477" s="3"/>
      <c r="B8477" s="3"/>
      <c r="C8477" s="3"/>
    </row>
    <row r="8478">
      <c r="A8478" s="3"/>
      <c r="B8478" s="3"/>
      <c r="C8478" s="3"/>
    </row>
    <row r="8479">
      <c r="A8479" s="3"/>
      <c r="B8479" s="3"/>
      <c r="C8479" s="3"/>
    </row>
    <row r="8480">
      <c r="A8480" s="3"/>
      <c r="B8480" s="3"/>
      <c r="C8480" s="3"/>
    </row>
    <row r="8481">
      <c r="A8481" s="3"/>
      <c r="B8481" s="3"/>
      <c r="C8481" s="3"/>
    </row>
    <row r="8482">
      <c r="A8482" s="3"/>
      <c r="B8482" s="3"/>
      <c r="C8482" s="3"/>
    </row>
    <row r="8483">
      <c r="A8483" s="3"/>
      <c r="B8483" s="3"/>
      <c r="C8483" s="3"/>
    </row>
    <row r="8484">
      <c r="A8484" s="3"/>
      <c r="B8484" s="3"/>
      <c r="C8484" s="3"/>
    </row>
    <row r="8485">
      <c r="A8485" s="3"/>
      <c r="B8485" s="3"/>
      <c r="C8485" s="3"/>
    </row>
    <row r="8486">
      <c r="A8486" s="3"/>
      <c r="B8486" s="3"/>
      <c r="C8486" s="3"/>
    </row>
    <row r="8487">
      <c r="A8487" s="3"/>
      <c r="B8487" s="3"/>
      <c r="C8487" s="3"/>
    </row>
    <row r="8488">
      <c r="A8488" s="3"/>
      <c r="B8488" s="3"/>
      <c r="C8488" s="3"/>
    </row>
    <row r="8489">
      <c r="A8489" s="3"/>
      <c r="B8489" s="3"/>
      <c r="C8489" s="3"/>
    </row>
    <row r="8490">
      <c r="A8490" s="3"/>
      <c r="B8490" s="3"/>
      <c r="C8490" s="3"/>
    </row>
    <row r="8491">
      <c r="A8491" s="3"/>
      <c r="B8491" s="3"/>
      <c r="C8491" s="3"/>
    </row>
    <row r="8492">
      <c r="A8492" s="3"/>
      <c r="B8492" s="3"/>
      <c r="C8492" s="3"/>
    </row>
    <row r="8493">
      <c r="A8493" s="3"/>
      <c r="B8493" s="3"/>
      <c r="C8493" s="3"/>
    </row>
    <row r="8494">
      <c r="A8494" s="3"/>
      <c r="B8494" s="3"/>
      <c r="C8494" s="3"/>
    </row>
    <row r="8495">
      <c r="A8495" s="3"/>
      <c r="B8495" s="3"/>
      <c r="C8495" s="3"/>
    </row>
    <row r="8496">
      <c r="A8496" s="3"/>
      <c r="B8496" s="3"/>
      <c r="C8496" s="3"/>
    </row>
    <row r="8497">
      <c r="A8497" s="3"/>
      <c r="B8497" s="3"/>
      <c r="C8497" s="3"/>
    </row>
    <row r="8498">
      <c r="A8498" s="3"/>
      <c r="B8498" s="3"/>
      <c r="C8498" s="3"/>
    </row>
    <row r="8499">
      <c r="A8499" s="3"/>
      <c r="B8499" s="3"/>
      <c r="C8499" s="3"/>
    </row>
    <row r="8500">
      <c r="A8500" s="3"/>
      <c r="B8500" s="3"/>
      <c r="C8500" s="3"/>
    </row>
    <row r="8501">
      <c r="A8501" s="3"/>
      <c r="B8501" s="3"/>
      <c r="C8501" s="3"/>
    </row>
    <row r="8502">
      <c r="A8502" s="3"/>
      <c r="B8502" s="3"/>
      <c r="C8502" s="3"/>
    </row>
    <row r="8503">
      <c r="A8503" s="3"/>
      <c r="B8503" s="3"/>
      <c r="C8503" s="3"/>
    </row>
    <row r="8504">
      <c r="A8504" s="3"/>
      <c r="B8504" s="3"/>
      <c r="C8504" s="3"/>
    </row>
    <row r="8505">
      <c r="A8505" s="3"/>
      <c r="B8505" s="3"/>
      <c r="C8505" s="3"/>
    </row>
    <row r="8506">
      <c r="A8506" s="3"/>
      <c r="B8506" s="3"/>
      <c r="C8506" s="3"/>
    </row>
    <row r="8507">
      <c r="A8507" s="3"/>
      <c r="B8507" s="3"/>
      <c r="C8507" s="3"/>
    </row>
    <row r="8508">
      <c r="A8508" s="3"/>
      <c r="B8508" s="3"/>
      <c r="C8508" s="3"/>
    </row>
    <row r="8509">
      <c r="A8509" s="3"/>
      <c r="B8509" s="3"/>
      <c r="C8509" s="3"/>
    </row>
    <row r="8510">
      <c r="A8510" s="3"/>
      <c r="B8510" s="3"/>
      <c r="C8510" s="3"/>
    </row>
    <row r="8511">
      <c r="A8511" s="3"/>
      <c r="B8511" s="3"/>
      <c r="C8511" s="3"/>
    </row>
    <row r="8512">
      <c r="A8512" s="3"/>
      <c r="B8512" s="3"/>
      <c r="C8512" s="3"/>
    </row>
    <row r="8513">
      <c r="A8513" s="3"/>
      <c r="B8513" s="3"/>
      <c r="C8513" s="3"/>
    </row>
    <row r="8514">
      <c r="A8514" s="3"/>
      <c r="B8514" s="3"/>
      <c r="C8514" s="3"/>
    </row>
    <row r="8515">
      <c r="A8515" s="3"/>
      <c r="B8515" s="3"/>
      <c r="C8515" s="3"/>
    </row>
    <row r="8516">
      <c r="A8516" s="3"/>
      <c r="B8516" s="3"/>
      <c r="C8516" s="3"/>
    </row>
    <row r="8517">
      <c r="A8517" s="3"/>
      <c r="B8517" s="3"/>
      <c r="C8517" s="3"/>
    </row>
    <row r="8518">
      <c r="A8518" s="3"/>
      <c r="B8518" s="3"/>
      <c r="C8518" s="3"/>
    </row>
    <row r="8519">
      <c r="A8519" s="3"/>
      <c r="B8519" s="3"/>
      <c r="C8519" s="3"/>
    </row>
    <row r="8520">
      <c r="A8520" s="3"/>
      <c r="B8520" s="3"/>
      <c r="C8520" s="3"/>
    </row>
    <row r="8521">
      <c r="A8521" s="3"/>
      <c r="B8521" s="3"/>
      <c r="C8521" s="3"/>
    </row>
    <row r="8522">
      <c r="A8522" s="3"/>
      <c r="B8522" s="3"/>
      <c r="C8522" s="3"/>
    </row>
    <row r="8523">
      <c r="A8523" s="3"/>
      <c r="B8523" s="3"/>
      <c r="C8523" s="3"/>
    </row>
    <row r="8524">
      <c r="A8524" s="3"/>
      <c r="B8524" s="3"/>
      <c r="C8524" s="3"/>
    </row>
    <row r="8525">
      <c r="A8525" s="3"/>
      <c r="B8525" s="3"/>
      <c r="C8525" s="3"/>
    </row>
    <row r="8526">
      <c r="A8526" s="3"/>
      <c r="B8526" s="3"/>
      <c r="C8526" s="3"/>
    </row>
    <row r="8527">
      <c r="A8527" s="3"/>
      <c r="B8527" s="3"/>
      <c r="C8527" s="3"/>
    </row>
    <row r="8528">
      <c r="A8528" s="3"/>
      <c r="B8528" s="3"/>
      <c r="C8528" s="3"/>
    </row>
    <row r="8529">
      <c r="A8529" s="3"/>
      <c r="B8529" s="3"/>
      <c r="C8529" s="3"/>
    </row>
    <row r="8530">
      <c r="A8530" s="3"/>
      <c r="B8530" s="3"/>
      <c r="C8530" s="3"/>
    </row>
    <row r="8531">
      <c r="A8531" s="3"/>
      <c r="B8531" s="3"/>
      <c r="C8531" s="3"/>
    </row>
    <row r="8532">
      <c r="A8532" s="3"/>
      <c r="B8532" s="3"/>
      <c r="C8532" s="3"/>
    </row>
    <row r="8533">
      <c r="A8533" s="3"/>
      <c r="B8533" s="3"/>
      <c r="C8533" s="3"/>
    </row>
    <row r="8534">
      <c r="A8534" s="3"/>
      <c r="B8534" s="3"/>
      <c r="C8534" s="3"/>
    </row>
    <row r="8535">
      <c r="A8535" s="3"/>
      <c r="B8535" s="3"/>
      <c r="C8535" s="3"/>
    </row>
    <row r="8536">
      <c r="A8536" s="3"/>
      <c r="B8536" s="3"/>
      <c r="C8536" s="3"/>
    </row>
    <row r="8537">
      <c r="A8537" s="3"/>
      <c r="B8537" s="3"/>
      <c r="C8537" s="3"/>
    </row>
    <row r="8538">
      <c r="A8538" s="3"/>
      <c r="B8538" s="3"/>
      <c r="C8538" s="3"/>
    </row>
    <row r="8539">
      <c r="A8539" s="3"/>
      <c r="B8539" s="3"/>
      <c r="C8539" s="3"/>
    </row>
    <row r="8540">
      <c r="A8540" s="3"/>
      <c r="B8540" s="3"/>
      <c r="C8540" s="3"/>
    </row>
    <row r="8541">
      <c r="A8541" s="3"/>
      <c r="B8541" s="3"/>
      <c r="C8541" s="3"/>
    </row>
    <row r="8542">
      <c r="A8542" s="3"/>
      <c r="B8542" s="3"/>
      <c r="C8542" s="3"/>
    </row>
    <row r="8543">
      <c r="A8543" s="3"/>
      <c r="B8543" s="3"/>
      <c r="C8543" s="3"/>
    </row>
    <row r="8544">
      <c r="A8544" s="3"/>
      <c r="B8544" s="3"/>
      <c r="C8544" s="3"/>
    </row>
    <row r="8545">
      <c r="A8545" s="3"/>
      <c r="B8545" s="3"/>
      <c r="C8545" s="3"/>
    </row>
    <row r="8546">
      <c r="A8546" s="3"/>
      <c r="B8546" s="3"/>
      <c r="C8546" s="3"/>
    </row>
    <row r="8547">
      <c r="A8547" s="3"/>
      <c r="B8547" s="3"/>
      <c r="C8547" s="3"/>
    </row>
    <row r="8548">
      <c r="A8548" s="3"/>
      <c r="B8548" s="3"/>
      <c r="C8548" s="3"/>
    </row>
    <row r="8549">
      <c r="A8549" s="3"/>
      <c r="B8549" s="3"/>
      <c r="C8549" s="3"/>
    </row>
    <row r="8550">
      <c r="A8550" s="3"/>
      <c r="B8550" s="3"/>
      <c r="C8550" s="3"/>
    </row>
    <row r="8551">
      <c r="A8551" s="3"/>
      <c r="B8551" s="3"/>
      <c r="C8551" s="3"/>
    </row>
    <row r="8552">
      <c r="A8552" s="3"/>
      <c r="B8552" s="3"/>
      <c r="C8552" s="3"/>
    </row>
    <row r="8553">
      <c r="A8553" s="3"/>
      <c r="B8553" s="3"/>
      <c r="C8553" s="3"/>
    </row>
    <row r="8554">
      <c r="A8554" s="3"/>
      <c r="B8554" s="3"/>
      <c r="C8554" s="3"/>
    </row>
    <row r="8555">
      <c r="A8555" s="3"/>
      <c r="B8555" s="3"/>
      <c r="C8555" s="3"/>
    </row>
    <row r="8556">
      <c r="A8556" s="3"/>
      <c r="B8556" s="3"/>
      <c r="C8556" s="3"/>
    </row>
    <row r="8557">
      <c r="A8557" s="3"/>
      <c r="B8557" s="3"/>
      <c r="C8557" s="3"/>
    </row>
    <row r="8558">
      <c r="A8558" s="3"/>
      <c r="B8558" s="3"/>
      <c r="C8558" s="3"/>
    </row>
    <row r="8559">
      <c r="A8559" s="3"/>
      <c r="B8559" s="3"/>
      <c r="C8559" s="3"/>
    </row>
    <row r="8560">
      <c r="A8560" s="3"/>
      <c r="B8560" s="3"/>
      <c r="C8560" s="3"/>
    </row>
    <row r="8561">
      <c r="A8561" s="3"/>
      <c r="B8561" s="3"/>
      <c r="C8561" s="3"/>
    </row>
    <row r="8562">
      <c r="A8562" s="3"/>
      <c r="B8562" s="3"/>
      <c r="C8562" s="3"/>
    </row>
    <row r="8563">
      <c r="A8563" s="3"/>
      <c r="B8563" s="3"/>
      <c r="C8563" s="3"/>
    </row>
    <row r="8564">
      <c r="A8564" s="3"/>
      <c r="B8564" s="3"/>
      <c r="C8564" s="3"/>
    </row>
    <row r="8565">
      <c r="A8565" s="3"/>
      <c r="B8565" s="3"/>
      <c r="C8565" s="3"/>
    </row>
    <row r="8566">
      <c r="A8566" s="3"/>
      <c r="B8566" s="3"/>
      <c r="C8566" s="3"/>
    </row>
    <row r="8567">
      <c r="A8567" s="3"/>
      <c r="B8567" s="3"/>
      <c r="C8567" s="3"/>
    </row>
    <row r="8568">
      <c r="A8568" s="3"/>
      <c r="B8568" s="3"/>
      <c r="C8568" s="3"/>
    </row>
    <row r="8569">
      <c r="A8569" s="3"/>
      <c r="B8569" s="3"/>
      <c r="C8569" s="3"/>
    </row>
    <row r="8570">
      <c r="A8570" s="3"/>
      <c r="B8570" s="3"/>
      <c r="C8570" s="3"/>
    </row>
    <row r="8571">
      <c r="A8571" s="3"/>
      <c r="B8571" s="3"/>
      <c r="C8571" s="3"/>
    </row>
    <row r="8572">
      <c r="A8572" s="3"/>
      <c r="B8572" s="3"/>
      <c r="C8572" s="3"/>
    </row>
    <row r="8573">
      <c r="A8573" s="3"/>
      <c r="B8573" s="3"/>
      <c r="C8573" s="3"/>
    </row>
    <row r="8574">
      <c r="A8574" s="3"/>
      <c r="B8574" s="3"/>
      <c r="C8574" s="3"/>
    </row>
    <row r="8575">
      <c r="A8575" s="3"/>
      <c r="B8575" s="3"/>
      <c r="C8575" s="3"/>
    </row>
    <row r="8576">
      <c r="A8576" s="3"/>
      <c r="B8576" s="3"/>
      <c r="C8576" s="3"/>
    </row>
    <row r="8577">
      <c r="A8577" s="3"/>
      <c r="B8577" s="3"/>
      <c r="C8577" s="3"/>
    </row>
    <row r="8578">
      <c r="A8578" s="3"/>
      <c r="B8578" s="3"/>
      <c r="C8578" s="3"/>
    </row>
    <row r="8579">
      <c r="A8579" s="3"/>
      <c r="B8579" s="3"/>
      <c r="C8579" s="3"/>
    </row>
    <row r="8580">
      <c r="A8580" s="3"/>
      <c r="B8580" s="3"/>
      <c r="C8580" s="3"/>
    </row>
    <row r="8581">
      <c r="A8581" s="3"/>
      <c r="B8581" s="3"/>
      <c r="C8581" s="3"/>
    </row>
    <row r="8582">
      <c r="A8582" s="3"/>
      <c r="B8582" s="3"/>
      <c r="C8582" s="3"/>
    </row>
    <row r="8583">
      <c r="A8583" s="3"/>
      <c r="B8583" s="3"/>
      <c r="C8583" s="3"/>
    </row>
    <row r="8584">
      <c r="A8584" s="3"/>
      <c r="B8584" s="3"/>
      <c r="C8584" s="3"/>
    </row>
    <row r="8585">
      <c r="A8585" s="3"/>
      <c r="B8585" s="3"/>
      <c r="C8585" s="3"/>
    </row>
    <row r="8586">
      <c r="A8586" s="3"/>
      <c r="B8586" s="3"/>
      <c r="C8586" s="3"/>
    </row>
    <row r="8587">
      <c r="A8587" s="3"/>
      <c r="B8587" s="3"/>
      <c r="C8587" s="3"/>
    </row>
    <row r="8588">
      <c r="A8588" s="3"/>
      <c r="B8588" s="3"/>
      <c r="C8588" s="3"/>
    </row>
    <row r="8589">
      <c r="A8589" s="3"/>
      <c r="B8589" s="3"/>
      <c r="C8589" s="3"/>
    </row>
    <row r="8590">
      <c r="A8590" s="3"/>
      <c r="B8590" s="3"/>
      <c r="C8590" s="3"/>
    </row>
    <row r="8591">
      <c r="A8591" s="3"/>
      <c r="B8591" s="3"/>
      <c r="C8591" s="3"/>
    </row>
    <row r="8592">
      <c r="A8592" s="3"/>
      <c r="B8592" s="3"/>
      <c r="C8592" s="3"/>
    </row>
    <row r="8593">
      <c r="A8593" s="3"/>
      <c r="B8593" s="3"/>
      <c r="C8593" s="3"/>
    </row>
    <row r="8594">
      <c r="A8594" s="3"/>
      <c r="B8594" s="3"/>
      <c r="C8594" s="3"/>
    </row>
    <row r="8595">
      <c r="A8595" s="3"/>
      <c r="B8595" s="3"/>
      <c r="C8595" s="3"/>
    </row>
    <row r="8596">
      <c r="A8596" s="3"/>
      <c r="B8596" s="3"/>
      <c r="C8596" s="3"/>
    </row>
    <row r="8597">
      <c r="A8597" s="3"/>
      <c r="B8597" s="3"/>
      <c r="C8597" s="3"/>
    </row>
    <row r="8598">
      <c r="A8598" s="3"/>
      <c r="B8598" s="3"/>
      <c r="C8598" s="3"/>
    </row>
    <row r="8599">
      <c r="A8599" s="3"/>
      <c r="B8599" s="3"/>
      <c r="C8599" s="3"/>
    </row>
    <row r="8600">
      <c r="A8600" s="3"/>
      <c r="B8600" s="3"/>
      <c r="C8600" s="3"/>
    </row>
    <row r="8601">
      <c r="A8601" s="3"/>
      <c r="B8601" s="3"/>
      <c r="C8601" s="3"/>
    </row>
    <row r="8602">
      <c r="A8602" s="3"/>
      <c r="B8602" s="3"/>
      <c r="C8602" s="3"/>
    </row>
    <row r="8603">
      <c r="A8603" s="3"/>
      <c r="B8603" s="3"/>
      <c r="C8603" s="3"/>
    </row>
    <row r="8604">
      <c r="A8604" s="3"/>
      <c r="B8604" s="3"/>
      <c r="C8604" s="3"/>
    </row>
    <row r="8605">
      <c r="A8605" s="3"/>
      <c r="B8605" s="3"/>
      <c r="C8605" s="3"/>
    </row>
    <row r="8606">
      <c r="A8606" s="3"/>
      <c r="B8606" s="3"/>
      <c r="C8606" s="3"/>
    </row>
    <row r="8607">
      <c r="A8607" s="3"/>
      <c r="B8607" s="3"/>
      <c r="C8607" s="3"/>
    </row>
    <row r="8608">
      <c r="A8608" s="3"/>
      <c r="B8608" s="3"/>
      <c r="C8608" s="3"/>
    </row>
    <row r="8609">
      <c r="A8609" s="3"/>
      <c r="B8609" s="3"/>
      <c r="C8609" s="3"/>
    </row>
    <row r="8610">
      <c r="A8610" s="3"/>
      <c r="B8610" s="3"/>
      <c r="C8610" s="3"/>
    </row>
    <row r="8611">
      <c r="A8611" s="3"/>
      <c r="B8611" s="3"/>
      <c r="C8611" s="3"/>
    </row>
    <row r="8612">
      <c r="A8612" s="3"/>
      <c r="B8612" s="3"/>
      <c r="C8612" s="3"/>
    </row>
    <row r="8613">
      <c r="A8613" s="3"/>
      <c r="B8613" s="3"/>
      <c r="C8613" s="3"/>
    </row>
    <row r="8614">
      <c r="A8614" s="3"/>
      <c r="B8614" s="3"/>
      <c r="C8614" s="3"/>
    </row>
    <row r="8615">
      <c r="A8615" s="3"/>
      <c r="B8615" s="3"/>
      <c r="C8615" s="3"/>
    </row>
    <row r="8616">
      <c r="A8616" s="3"/>
      <c r="B8616" s="3"/>
      <c r="C8616" s="3"/>
    </row>
    <row r="8617">
      <c r="A8617" s="3"/>
      <c r="B8617" s="3"/>
      <c r="C8617" s="3"/>
    </row>
    <row r="8618">
      <c r="A8618" s="3"/>
      <c r="B8618" s="3"/>
      <c r="C8618" s="3"/>
    </row>
    <row r="8619">
      <c r="A8619" s="3"/>
      <c r="B8619" s="3"/>
      <c r="C8619" s="3"/>
    </row>
    <row r="8620">
      <c r="A8620" s="3"/>
      <c r="B8620" s="3"/>
      <c r="C8620" s="3"/>
    </row>
    <row r="8621">
      <c r="A8621" s="3"/>
      <c r="B8621" s="3"/>
      <c r="C8621" s="3"/>
    </row>
    <row r="8622">
      <c r="A8622" s="3"/>
      <c r="B8622" s="3"/>
      <c r="C8622" s="3"/>
    </row>
    <row r="8623">
      <c r="A8623" s="3"/>
      <c r="B8623" s="3"/>
      <c r="C8623" s="3"/>
    </row>
    <row r="8624">
      <c r="A8624" s="3"/>
      <c r="B8624" s="3"/>
      <c r="C8624" s="3"/>
    </row>
    <row r="8625">
      <c r="A8625" s="3"/>
      <c r="B8625" s="3"/>
      <c r="C8625" s="3"/>
    </row>
    <row r="8626">
      <c r="A8626" s="3"/>
      <c r="B8626" s="3"/>
      <c r="C8626" s="3"/>
    </row>
    <row r="8627">
      <c r="A8627" s="3"/>
      <c r="B8627" s="3"/>
      <c r="C8627" s="3"/>
    </row>
    <row r="8628">
      <c r="A8628" s="3"/>
      <c r="B8628" s="3"/>
      <c r="C8628" s="3"/>
    </row>
    <row r="8629">
      <c r="A8629" s="3"/>
      <c r="B8629" s="3"/>
      <c r="C8629" s="3"/>
    </row>
    <row r="8630">
      <c r="A8630" s="3"/>
      <c r="B8630" s="3"/>
      <c r="C8630" s="3"/>
    </row>
    <row r="8631">
      <c r="A8631" s="3"/>
      <c r="B8631" s="3"/>
      <c r="C8631" s="3"/>
    </row>
    <row r="8632">
      <c r="A8632" s="3"/>
      <c r="B8632" s="3"/>
      <c r="C8632" s="3"/>
    </row>
    <row r="8633">
      <c r="A8633" s="3"/>
      <c r="B8633" s="3"/>
      <c r="C8633" s="3"/>
    </row>
    <row r="8634">
      <c r="A8634" s="3"/>
      <c r="B8634" s="3"/>
      <c r="C8634" s="3"/>
    </row>
    <row r="8635">
      <c r="A8635" s="3"/>
      <c r="B8635" s="3"/>
      <c r="C8635" s="3"/>
    </row>
    <row r="8636">
      <c r="A8636" s="3"/>
      <c r="B8636" s="3"/>
      <c r="C8636" s="3"/>
    </row>
    <row r="8637">
      <c r="A8637" s="3"/>
      <c r="B8637" s="3"/>
      <c r="C8637" s="3"/>
    </row>
    <row r="8638">
      <c r="A8638" s="3"/>
      <c r="B8638" s="3"/>
      <c r="C8638" s="3"/>
    </row>
    <row r="8639">
      <c r="A8639" s="3"/>
      <c r="B8639" s="3"/>
      <c r="C8639" s="3"/>
    </row>
    <row r="8640">
      <c r="A8640" s="3"/>
      <c r="B8640" s="3"/>
      <c r="C8640" s="3"/>
    </row>
    <row r="8641">
      <c r="A8641" s="3"/>
      <c r="B8641" s="3"/>
      <c r="C8641" s="3"/>
    </row>
    <row r="8642">
      <c r="A8642" s="3"/>
      <c r="B8642" s="3"/>
      <c r="C8642" s="3"/>
    </row>
    <row r="8643">
      <c r="A8643" s="3"/>
      <c r="B8643" s="3"/>
      <c r="C8643" s="3"/>
    </row>
    <row r="8644">
      <c r="A8644" s="3"/>
      <c r="B8644" s="3"/>
      <c r="C8644" s="3"/>
    </row>
    <row r="8645">
      <c r="A8645" s="3"/>
      <c r="B8645" s="3"/>
      <c r="C8645" s="3"/>
    </row>
    <row r="8646">
      <c r="A8646" s="3"/>
      <c r="B8646" s="3"/>
      <c r="C8646" s="3"/>
    </row>
    <row r="8647">
      <c r="A8647" s="3"/>
      <c r="B8647" s="3"/>
      <c r="C8647" s="3"/>
    </row>
    <row r="8648">
      <c r="A8648" s="3"/>
      <c r="B8648" s="3"/>
      <c r="C8648" s="3"/>
    </row>
    <row r="8649">
      <c r="A8649" s="3"/>
      <c r="B8649" s="3"/>
      <c r="C8649" s="3"/>
    </row>
    <row r="8650">
      <c r="A8650" s="3"/>
      <c r="B8650" s="3"/>
      <c r="C8650" s="3"/>
    </row>
    <row r="8651">
      <c r="A8651" s="3"/>
      <c r="B8651" s="3"/>
      <c r="C8651" s="3"/>
    </row>
    <row r="8652">
      <c r="A8652" s="3"/>
      <c r="B8652" s="3"/>
      <c r="C8652" s="3"/>
    </row>
    <row r="8653">
      <c r="A8653" s="3"/>
      <c r="B8653" s="3"/>
      <c r="C8653" s="3"/>
    </row>
    <row r="8654">
      <c r="A8654" s="3"/>
      <c r="B8654" s="3"/>
      <c r="C8654" s="3"/>
    </row>
    <row r="8655">
      <c r="A8655" s="3"/>
      <c r="B8655" s="3"/>
      <c r="C8655" s="3"/>
    </row>
    <row r="8656">
      <c r="A8656" s="3"/>
      <c r="B8656" s="3"/>
      <c r="C8656" s="3"/>
    </row>
    <row r="8657">
      <c r="A8657" s="3"/>
      <c r="B8657" s="3"/>
      <c r="C8657" s="3"/>
    </row>
    <row r="8658">
      <c r="A8658" s="3"/>
      <c r="B8658" s="3"/>
      <c r="C8658" s="3"/>
    </row>
    <row r="8659">
      <c r="A8659" s="3"/>
      <c r="B8659" s="3"/>
      <c r="C8659" s="3"/>
    </row>
    <row r="8660">
      <c r="A8660" s="3"/>
      <c r="B8660" s="3"/>
      <c r="C8660" s="3"/>
    </row>
    <row r="8661">
      <c r="A8661" s="3"/>
      <c r="B8661" s="3"/>
      <c r="C8661" s="3"/>
    </row>
    <row r="8662">
      <c r="A8662" s="3"/>
      <c r="B8662" s="3"/>
      <c r="C8662" s="3"/>
    </row>
    <row r="8663">
      <c r="A8663" s="3"/>
      <c r="B8663" s="3"/>
      <c r="C8663" s="3"/>
    </row>
    <row r="8664">
      <c r="A8664" s="3"/>
      <c r="B8664" s="3"/>
      <c r="C8664" s="3"/>
    </row>
    <row r="8665">
      <c r="A8665" s="3"/>
      <c r="B8665" s="3"/>
      <c r="C8665" s="3"/>
    </row>
    <row r="8666">
      <c r="A8666" s="3"/>
      <c r="B8666" s="3"/>
      <c r="C8666" s="3"/>
    </row>
    <row r="8667">
      <c r="A8667" s="3"/>
      <c r="B8667" s="3"/>
      <c r="C8667" s="3"/>
    </row>
    <row r="8668">
      <c r="A8668" s="3"/>
      <c r="B8668" s="3"/>
      <c r="C8668" s="3"/>
    </row>
    <row r="8669">
      <c r="A8669" s="3"/>
      <c r="B8669" s="3"/>
      <c r="C8669" s="3"/>
    </row>
    <row r="8670">
      <c r="A8670" s="3"/>
      <c r="B8670" s="3"/>
      <c r="C8670" s="3"/>
    </row>
    <row r="8671">
      <c r="A8671" s="3"/>
      <c r="B8671" s="3"/>
      <c r="C8671" s="3"/>
    </row>
    <row r="8672">
      <c r="A8672" s="3"/>
      <c r="B8672" s="3"/>
      <c r="C8672" s="3"/>
    </row>
    <row r="8673">
      <c r="A8673" s="3"/>
      <c r="B8673" s="3"/>
      <c r="C8673" s="3"/>
    </row>
    <row r="8674">
      <c r="A8674" s="3"/>
      <c r="B8674" s="3"/>
      <c r="C8674" s="3"/>
    </row>
    <row r="8675">
      <c r="A8675" s="3"/>
      <c r="B8675" s="3"/>
      <c r="C8675" s="3"/>
    </row>
    <row r="8676">
      <c r="A8676" s="3"/>
      <c r="B8676" s="3"/>
      <c r="C8676" s="3"/>
    </row>
    <row r="8677">
      <c r="A8677" s="3"/>
      <c r="B8677" s="3"/>
      <c r="C8677" s="3"/>
    </row>
    <row r="8678">
      <c r="A8678" s="3"/>
      <c r="B8678" s="3"/>
      <c r="C8678" s="3"/>
    </row>
    <row r="8679">
      <c r="A8679" s="3"/>
      <c r="B8679" s="3"/>
      <c r="C8679" s="3"/>
    </row>
    <row r="8680">
      <c r="A8680" s="3"/>
      <c r="B8680" s="3"/>
      <c r="C8680" s="3"/>
    </row>
    <row r="8681">
      <c r="A8681" s="3"/>
      <c r="B8681" s="3"/>
      <c r="C8681" s="3"/>
    </row>
    <row r="8682">
      <c r="A8682" s="3"/>
      <c r="B8682" s="3"/>
      <c r="C8682" s="3"/>
    </row>
    <row r="8683">
      <c r="A8683" s="3"/>
      <c r="B8683" s="3"/>
      <c r="C8683" s="3"/>
    </row>
    <row r="8684">
      <c r="A8684" s="3"/>
      <c r="B8684" s="3"/>
      <c r="C8684" s="3"/>
    </row>
    <row r="8685">
      <c r="A8685" s="3"/>
      <c r="B8685" s="3"/>
      <c r="C8685" s="3"/>
    </row>
    <row r="8686">
      <c r="A8686" s="3"/>
      <c r="B8686" s="3"/>
      <c r="C8686" s="3"/>
    </row>
    <row r="8687">
      <c r="A8687" s="3"/>
      <c r="B8687" s="3"/>
      <c r="C8687" s="3"/>
    </row>
    <row r="8688">
      <c r="A8688" s="3"/>
      <c r="B8688" s="3"/>
      <c r="C8688" s="3"/>
    </row>
    <row r="8689">
      <c r="A8689" s="3"/>
      <c r="B8689" s="3"/>
      <c r="C8689" s="3"/>
    </row>
    <row r="8690">
      <c r="A8690" s="3"/>
      <c r="B8690" s="3"/>
      <c r="C8690" s="3"/>
    </row>
    <row r="8691">
      <c r="A8691" s="3"/>
      <c r="B8691" s="3"/>
      <c r="C8691" s="3"/>
    </row>
    <row r="8692">
      <c r="A8692" s="3"/>
      <c r="B8692" s="3"/>
      <c r="C8692" s="3"/>
    </row>
    <row r="8693">
      <c r="A8693" s="3"/>
      <c r="B8693" s="3"/>
      <c r="C8693" s="3"/>
    </row>
    <row r="8694">
      <c r="A8694" s="3"/>
      <c r="B8694" s="3"/>
      <c r="C8694" s="3"/>
    </row>
    <row r="8695">
      <c r="A8695" s="3"/>
      <c r="B8695" s="3"/>
      <c r="C8695" s="3"/>
    </row>
    <row r="8696">
      <c r="A8696" s="3"/>
      <c r="B8696" s="3"/>
      <c r="C8696" s="3"/>
    </row>
    <row r="8697">
      <c r="A8697" s="3"/>
      <c r="B8697" s="3"/>
      <c r="C8697" s="3"/>
    </row>
    <row r="8698">
      <c r="A8698" s="3"/>
      <c r="B8698" s="3"/>
      <c r="C8698" s="3"/>
    </row>
    <row r="8699">
      <c r="A8699" s="3"/>
      <c r="B8699" s="3"/>
      <c r="C8699" s="3"/>
    </row>
    <row r="8700">
      <c r="A8700" s="3"/>
      <c r="B8700" s="3"/>
      <c r="C8700" s="3"/>
    </row>
    <row r="8701">
      <c r="A8701" s="3"/>
      <c r="B8701" s="3"/>
      <c r="C8701" s="3"/>
    </row>
    <row r="8702">
      <c r="A8702" s="3"/>
      <c r="B8702" s="3"/>
      <c r="C8702" s="3"/>
    </row>
    <row r="8703">
      <c r="A8703" s="3"/>
      <c r="B8703" s="3"/>
      <c r="C8703" s="3"/>
    </row>
    <row r="8704">
      <c r="A8704" s="3"/>
      <c r="B8704" s="3"/>
      <c r="C8704" s="3"/>
    </row>
    <row r="8705">
      <c r="A8705" s="3"/>
      <c r="B8705" s="3"/>
      <c r="C8705" s="3"/>
    </row>
    <row r="8706">
      <c r="A8706" s="3"/>
      <c r="B8706" s="3"/>
      <c r="C8706" s="3"/>
    </row>
    <row r="8707">
      <c r="A8707" s="3"/>
      <c r="B8707" s="3"/>
      <c r="C8707" s="3"/>
    </row>
    <row r="8708">
      <c r="A8708" s="3"/>
      <c r="B8708" s="3"/>
      <c r="C8708" s="3"/>
    </row>
    <row r="8709">
      <c r="A8709" s="3"/>
      <c r="B8709" s="3"/>
      <c r="C8709" s="3"/>
    </row>
    <row r="8710">
      <c r="A8710" s="3"/>
      <c r="B8710" s="3"/>
      <c r="C8710" s="3"/>
    </row>
    <row r="8711">
      <c r="A8711" s="3"/>
      <c r="B8711" s="3"/>
      <c r="C8711" s="3"/>
    </row>
    <row r="8712">
      <c r="A8712" s="3"/>
      <c r="B8712" s="3"/>
      <c r="C8712" s="3"/>
    </row>
    <row r="8713">
      <c r="A8713" s="3"/>
      <c r="B8713" s="3"/>
      <c r="C8713" s="3"/>
    </row>
    <row r="8714">
      <c r="A8714" s="3"/>
      <c r="B8714" s="3"/>
      <c r="C8714" s="3"/>
    </row>
    <row r="8715">
      <c r="A8715" s="3"/>
      <c r="B8715" s="3"/>
      <c r="C8715" s="3"/>
    </row>
    <row r="8716">
      <c r="A8716" s="3"/>
      <c r="B8716" s="3"/>
      <c r="C8716" s="3"/>
    </row>
    <row r="8717">
      <c r="A8717" s="3"/>
      <c r="B8717" s="3"/>
      <c r="C8717" s="3"/>
    </row>
    <row r="8718">
      <c r="A8718" s="3"/>
      <c r="B8718" s="3"/>
      <c r="C8718" s="3"/>
    </row>
    <row r="8719">
      <c r="A8719" s="3"/>
      <c r="B8719" s="3"/>
      <c r="C8719" s="3"/>
    </row>
    <row r="8720">
      <c r="A8720" s="3"/>
      <c r="B8720" s="3"/>
      <c r="C8720" s="3"/>
    </row>
    <row r="8721">
      <c r="A8721" s="3"/>
      <c r="B8721" s="3"/>
      <c r="C8721" s="3"/>
    </row>
    <row r="8722">
      <c r="A8722" s="3"/>
      <c r="B8722" s="3"/>
      <c r="C8722" s="3"/>
    </row>
    <row r="8723">
      <c r="A8723" s="3"/>
      <c r="B8723" s="3"/>
      <c r="C8723" s="3"/>
    </row>
    <row r="8724">
      <c r="A8724" s="3"/>
      <c r="B8724" s="3"/>
      <c r="C8724" s="3"/>
    </row>
    <row r="8725">
      <c r="A8725" s="3"/>
      <c r="B8725" s="3"/>
      <c r="C8725" s="3"/>
    </row>
    <row r="8726">
      <c r="A8726" s="3"/>
      <c r="B8726" s="3"/>
      <c r="C8726" s="3"/>
    </row>
    <row r="8727">
      <c r="A8727" s="3"/>
      <c r="B8727" s="3"/>
      <c r="C8727" s="3"/>
    </row>
    <row r="8728">
      <c r="A8728" s="3"/>
      <c r="B8728" s="3"/>
      <c r="C8728" s="3"/>
    </row>
    <row r="8729">
      <c r="A8729" s="3"/>
      <c r="B8729" s="3"/>
      <c r="C8729" s="3"/>
    </row>
    <row r="8730">
      <c r="A8730" s="3"/>
      <c r="B8730" s="3"/>
      <c r="C8730" s="3"/>
    </row>
    <row r="8731">
      <c r="A8731" s="3"/>
      <c r="B8731" s="3"/>
      <c r="C8731" s="3"/>
    </row>
    <row r="8732">
      <c r="A8732" s="3"/>
      <c r="B8732" s="3"/>
      <c r="C8732" s="3"/>
    </row>
    <row r="8733">
      <c r="A8733" s="3"/>
      <c r="B8733" s="3"/>
      <c r="C8733" s="3"/>
    </row>
    <row r="8734">
      <c r="A8734" s="3"/>
      <c r="B8734" s="3"/>
      <c r="C8734" s="3"/>
    </row>
    <row r="8735">
      <c r="A8735" s="3"/>
      <c r="B8735" s="3"/>
      <c r="C8735" s="3"/>
    </row>
    <row r="8736">
      <c r="A8736" s="3"/>
      <c r="B8736" s="3"/>
      <c r="C8736" s="3"/>
    </row>
    <row r="8737">
      <c r="A8737" s="3"/>
      <c r="B8737" s="3"/>
      <c r="C8737" s="3"/>
    </row>
    <row r="8738">
      <c r="A8738" s="3"/>
      <c r="B8738" s="3"/>
      <c r="C8738" s="3"/>
    </row>
    <row r="8739">
      <c r="A8739" s="3"/>
      <c r="B8739" s="3"/>
      <c r="C8739" s="3"/>
    </row>
    <row r="8740">
      <c r="A8740" s="3"/>
      <c r="B8740" s="3"/>
      <c r="C8740" s="3"/>
    </row>
    <row r="8741">
      <c r="A8741" s="3"/>
      <c r="B8741" s="3"/>
      <c r="C8741" s="3"/>
    </row>
    <row r="8742">
      <c r="A8742" s="3"/>
      <c r="B8742" s="3"/>
      <c r="C8742" s="3"/>
    </row>
    <row r="8743">
      <c r="A8743" s="3"/>
      <c r="B8743" s="3"/>
      <c r="C8743" s="3"/>
    </row>
    <row r="8744">
      <c r="A8744" s="3"/>
      <c r="B8744" s="3"/>
      <c r="C8744" s="3"/>
    </row>
    <row r="8745">
      <c r="A8745" s="3"/>
      <c r="B8745" s="3"/>
      <c r="C8745" s="3"/>
    </row>
    <row r="8746">
      <c r="A8746" s="3"/>
      <c r="B8746" s="3"/>
      <c r="C8746" s="3"/>
    </row>
    <row r="8747">
      <c r="A8747" s="3"/>
      <c r="B8747" s="3"/>
      <c r="C8747" s="3"/>
    </row>
    <row r="8748">
      <c r="A8748" s="3"/>
      <c r="B8748" s="3"/>
      <c r="C8748" s="3"/>
    </row>
    <row r="8749">
      <c r="A8749" s="3"/>
      <c r="B8749" s="3"/>
      <c r="C8749" s="3"/>
    </row>
    <row r="8750">
      <c r="A8750" s="3"/>
      <c r="B8750" s="3"/>
      <c r="C8750" s="3"/>
    </row>
    <row r="8751">
      <c r="A8751" s="3"/>
      <c r="B8751" s="3"/>
      <c r="C8751" s="3"/>
    </row>
    <row r="8752">
      <c r="A8752" s="3"/>
      <c r="B8752" s="3"/>
      <c r="C8752" s="3"/>
    </row>
    <row r="8753">
      <c r="A8753" s="3"/>
      <c r="B8753" s="3"/>
      <c r="C8753" s="3"/>
    </row>
    <row r="8754">
      <c r="A8754" s="3"/>
      <c r="B8754" s="3"/>
      <c r="C8754" s="3"/>
    </row>
    <row r="8755">
      <c r="A8755" s="3"/>
      <c r="B8755" s="3"/>
      <c r="C8755" s="3"/>
    </row>
    <row r="8756">
      <c r="A8756" s="3"/>
      <c r="B8756" s="3"/>
      <c r="C8756" s="3"/>
    </row>
    <row r="8757">
      <c r="A8757" s="3"/>
      <c r="B8757" s="3"/>
      <c r="C8757" s="3"/>
    </row>
    <row r="8758">
      <c r="A8758" s="3"/>
      <c r="B8758" s="3"/>
      <c r="C8758" s="3"/>
    </row>
    <row r="8759">
      <c r="A8759" s="3"/>
      <c r="B8759" s="3"/>
      <c r="C8759" s="3"/>
    </row>
    <row r="8760">
      <c r="A8760" s="3"/>
      <c r="B8760" s="3"/>
      <c r="C8760" s="3"/>
    </row>
    <row r="8761">
      <c r="A8761" s="3"/>
      <c r="B8761" s="3"/>
      <c r="C8761" s="3"/>
    </row>
    <row r="8762">
      <c r="A8762" s="3"/>
      <c r="B8762" s="3"/>
      <c r="C8762" s="3"/>
    </row>
    <row r="8763">
      <c r="A8763" s="3"/>
      <c r="B8763" s="3"/>
      <c r="C8763" s="3"/>
    </row>
    <row r="8764">
      <c r="A8764" s="3"/>
      <c r="B8764" s="3"/>
      <c r="C8764" s="3"/>
    </row>
    <row r="8765">
      <c r="A8765" s="3"/>
      <c r="B8765" s="3"/>
      <c r="C8765" s="3"/>
    </row>
    <row r="8766">
      <c r="A8766" s="3"/>
      <c r="B8766" s="3"/>
      <c r="C8766" s="3"/>
    </row>
    <row r="8767">
      <c r="A8767" s="3"/>
      <c r="B8767" s="3"/>
      <c r="C8767" s="3"/>
    </row>
    <row r="8768">
      <c r="A8768" s="3"/>
      <c r="B8768" s="3"/>
      <c r="C8768" s="3"/>
    </row>
    <row r="8769">
      <c r="A8769" s="3"/>
      <c r="B8769" s="3"/>
      <c r="C8769" s="3"/>
    </row>
    <row r="8770">
      <c r="A8770" s="3"/>
      <c r="B8770" s="3"/>
      <c r="C8770" s="3"/>
    </row>
    <row r="8771">
      <c r="A8771" s="3"/>
      <c r="B8771" s="3"/>
      <c r="C8771" s="3"/>
    </row>
    <row r="8772">
      <c r="A8772" s="3"/>
      <c r="B8772" s="3"/>
      <c r="C8772" s="3"/>
    </row>
    <row r="8773">
      <c r="A8773" s="3"/>
      <c r="B8773" s="3"/>
      <c r="C8773" s="3"/>
    </row>
    <row r="8774">
      <c r="A8774" s="3"/>
      <c r="B8774" s="3"/>
      <c r="C8774" s="3"/>
    </row>
    <row r="8775">
      <c r="A8775" s="3"/>
      <c r="B8775" s="3"/>
      <c r="C8775" s="3"/>
    </row>
    <row r="8776">
      <c r="A8776" s="3"/>
      <c r="B8776" s="3"/>
      <c r="C8776" s="3"/>
    </row>
    <row r="8777">
      <c r="A8777" s="3"/>
      <c r="B8777" s="3"/>
      <c r="C8777" s="3"/>
    </row>
    <row r="8778">
      <c r="A8778" s="3"/>
      <c r="B8778" s="3"/>
      <c r="C8778" s="3"/>
    </row>
    <row r="8779">
      <c r="A8779" s="3"/>
      <c r="B8779" s="3"/>
      <c r="C8779" s="3"/>
    </row>
    <row r="8780">
      <c r="A8780" s="3"/>
      <c r="B8780" s="3"/>
      <c r="C8780" s="3"/>
    </row>
    <row r="8781">
      <c r="A8781" s="3"/>
      <c r="B8781" s="3"/>
      <c r="C8781" s="3"/>
    </row>
    <row r="8782">
      <c r="A8782" s="3"/>
      <c r="B8782" s="3"/>
      <c r="C8782" s="3"/>
    </row>
    <row r="8783">
      <c r="A8783" s="3"/>
      <c r="B8783" s="3"/>
      <c r="C8783" s="3"/>
    </row>
    <row r="8784">
      <c r="A8784" s="3"/>
      <c r="B8784" s="3"/>
      <c r="C8784" s="3"/>
    </row>
    <row r="8785">
      <c r="A8785" s="3"/>
      <c r="B8785" s="3"/>
      <c r="C8785" s="3"/>
    </row>
    <row r="8786">
      <c r="A8786" s="3"/>
      <c r="B8786" s="3"/>
      <c r="C8786" s="3"/>
    </row>
    <row r="8787">
      <c r="A8787" s="3"/>
      <c r="B8787" s="3"/>
      <c r="C8787" s="3"/>
    </row>
    <row r="8788">
      <c r="A8788" s="3"/>
      <c r="B8788" s="3"/>
      <c r="C8788" s="3"/>
    </row>
    <row r="8789">
      <c r="A8789" s="3"/>
      <c r="B8789" s="3"/>
      <c r="C8789" s="3"/>
    </row>
    <row r="8790">
      <c r="A8790" s="3"/>
      <c r="B8790" s="3"/>
      <c r="C8790" s="3"/>
    </row>
    <row r="8791">
      <c r="A8791" s="3"/>
      <c r="B8791" s="3"/>
      <c r="C8791" s="3"/>
    </row>
    <row r="8792">
      <c r="A8792" s="3"/>
      <c r="B8792" s="3"/>
      <c r="C8792" s="3"/>
    </row>
    <row r="8793">
      <c r="A8793" s="3"/>
      <c r="B8793" s="3"/>
      <c r="C8793" s="3"/>
    </row>
    <row r="8794">
      <c r="A8794" s="3"/>
      <c r="B8794" s="3"/>
      <c r="C8794" s="3"/>
    </row>
    <row r="8795">
      <c r="A8795" s="3"/>
      <c r="B8795" s="3"/>
      <c r="C8795" s="3"/>
    </row>
    <row r="8796">
      <c r="A8796" s="3"/>
      <c r="B8796" s="3"/>
      <c r="C8796" s="3"/>
    </row>
    <row r="8797">
      <c r="A8797" s="3"/>
      <c r="B8797" s="3"/>
      <c r="C8797" s="3"/>
    </row>
    <row r="8798">
      <c r="A8798" s="3"/>
      <c r="B8798" s="3"/>
      <c r="C8798" s="3"/>
    </row>
    <row r="8799">
      <c r="A8799" s="3"/>
      <c r="B8799" s="3"/>
      <c r="C8799" s="3"/>
    </row>
    <row r="8800">
      <c r="A8800" s="3"/>
      <c r="B8800" s="3"/>
      <c r="C8800" s="3"/>
    </row>
    <row r="8801">
      <c r="A8801" s="3"/>
      <c r="B8801" s="3"/>
      <c r="C8801" s="3"/>
    </row>
    <row r="8802">
      <c r="A8802" s="3"/>
      <c r="B8802" s="3"/>
      <c r="C8802" s="3"/>
    </row>
    <row r="8803">
      <c r="A8803" s="3"/>
      <c r="B8803" s="3"/>
      <c r="C8803" s="3"/>
    </row>
    <row r="8804">
      <c r="A8804" s="3"/>
      <c r="B8804" s="3"/>
      <c r="C8804" s="3"/>
    </row>
    <row r="8805">
      <c r="A8805" s="3"/>
      <c r="B8805" s="3"/>
      <c r="C8805" s="3"/>
    </row>
    <row r="8806">
      <c r="A8806" s="3"/>
      <c r="B8806" s="3"/>
      <c r="C8806" s="3"/>
    </row>
    <row r="8807">
      <c r="A8807" s="3"/>
      <c r="B8807" s="3"/>
      <c r="C8807" s="3"/>
    </row>
    <row r="8808">
      <c r="A8808" s="3"/>
      <c r="B8808" s="3"/>
      <c r="C8808" s="3"/>
    </row>
    <row r="8809">
      <c r="A8809" s="3"/>
      <c r="B8809" s="3"/>
      <c r="C8809" s="3"/>
    </row>
    <row r="8810">
      <c r="A8810" s="3"/>
      <c r="B8810" s="3"/>
      <c r="C8810" s="3"/>
    </row>
    <row r="8811">
      <c r="A8811" s="3"/>
      <c r="B8811" s="3"/>
      <c r="C8811" s="3"/>
    </row>
    <row r="8812">
      <c r="A8812" s="3"/>
      <c r="B8812" s="3"/>
      <c r="C8812" s="3"/>
    </row>
    <row r="8813">
      <c r="A8813" s="3"/>
      <c r="B8813" s="3"/>
      <c r="C8813" s="3"/>
    </row>
    <row r="8814">
      <c r="A8814" s="3"/>
      <c r="B8814" s="3"/>
      <c r="C8814" s="3"/>
    </row>
    <row r="8815">
      <c r="A8815" s="3"/>
      <c r="B8815" s="3"/>
      <c r="C8815" s="3"/>
    </row>
    <row r="8816">
      <c r="A8816" s="3"/>
      <c r="B8816" s="3"/>
      <c r="C8816" s="3"/>
    </row>
    <row r="8817">
      <c r="A8817" s="3"/>
      <c r="B8817" s="3"/>
      <c r="C8817" s="3"/>
    </row>
    <row r="8818">
      <c r="A8818" s="3"/>
      <c r="B8818" s="3"/>
      <c r="C8818" s="3"/>
    </row>
    <row r="8819">
      <c r="A8819" s="3"/>
      <c r="B8819" s="3"/>
      <c r="C8819" s="3"/>
    </row>
    <row r="8820">
      <c r="A8820" s="3"/>
      <c r="B8820" s="3"/>
      <c r="C8820" s="3"/>
    </row>
    <row r="8821">
      <c r="A8821" s="3"/>
      <c r="B8821" s="3"/>
      <c r="C8821" s="3"/>
    </row>
    <row r="8822">
      <c r="A8822" s="3"/>
      <c r="B8822" s="3"/>
      <c r="C8822" s="3"/>
    </row>
    <row r="8823">
      <c r="A8823" s="3"/>
      <c r="B8823" s="3"/>
      <c r="C8823" s="3"/>
    </row>
    <row r="8824">
      <c r="A8824" s="3"/>
      <c r="B8824" s="3"/>
      <c r="C8824" s="3"/>
    </row>
    <row r="8825">
      <c r="A8825" s="3"/>
      <c r="B8825" s="3"/>
      <c r="C8825" s="3"/>
    </row>
    <row r="8826">
      <c r="A8826" s="3"/>
      <c r="B8826" s="3"/>
      <c r="C8826" s="3"/>
    </row>
    <row r="8827">
      <c r="A8827" s="3"/>
      <c r="B8827" s="3"/>
      <c r="C8827" s="3"/>
    </row>
    <row r="8828">
      <c r="A8828" s="3"/>
      <c r="B8828" s="3"/>
      <c r="C8828" s="3"/>
    </row>
    <row r="8829">
      <c r="A8829" s="3"/>
      <c r="B8829" s="3"/>
      <c r="C8829" s="3"/>
    </row>
    <row r="8830">
      <c r="A8830" s="3"/>
      <c r="B8830" s="3"/>
      <c r="C8830" s="3"/>
    </row>
    <row r="8831">
      <c r="A8831" s="3"/>
      <c r="B8831" s="3"/>
      <c r="C8831" s="3"/>
    </row>
    <row r="8832">
      <c r="A8832" s="3"/>
      <c r="B8832" s="3"/>
      <c r="C8832" s="3"/>
    </row>
    <row r="8833">
      <c r="A8833" s="3"/>
      <c r="B8833" s="3"/>
      <c r="C8833" s="3"/>
    </row>
    <row r="8834">
      <c r="A8834" s="3"/>
      <c r="B8834" s="3"/>
      <c r="C8834" s="3"/>
    </row>
    <row r="8835">
      <c r="A8835" s="3"/>
      <c r="B8835" s="3"/>
      <c r="C8835" s="3"/>
    </row>
    <row r="8836">
      <c r="A8836" s="3"/>
      <c r="B8836" s="3"/>
      <c r="C8836" s="3"/>
    </row>
    <row r="8837">
      <c r="A8837" s="3"/>
      <c r="B8837" s="3"/>
      <c r="C8837" s="3"/>
    </row>
    <row r="8838">
      <c r="A8838" s="3"/>
      <c r="B8838" s="3"/>
      <c r="C8838" s="3"/>
    </row>
    <row r="8839">
      <c r="A8839" s="3"/>
      <c r="B8839" s="3"/>
      <c r="C8839" s="3"/>
    </row>
    <row r="8840">
      <c r="A8840" s="3"/>
      <c r="B8840" s="3"/>
      <c r="C8840" s="3"/>
    </row>
    <row r="8841">
      <c r="A8841" s="3"/>
      <c r="B8841" s="3"/>
      <c r="C8841" s="3"/>
    </row>
    <row r="8842">
      <c r="A8842" s="3"/>
      <c r="B8842" s="3"/>
      <c r="C8842" s="3"/>
    </row>
    <row r="8843">
      <c r="A8843" s="3"/>
      <c r="B8843" s="3"/>
      <c r="C8843" s="3"/>
    </row>
    <row r="8844">
      <c r="A8844" s="3"/>
      <c r="B8844" s="3"/>
      <c r="C8844" s="3"/>
    </row>
    <row r="8845">
      <c r="A8845" s="3"/>
      <c r="B8845" s="3"/>
      <c r="C8845" s="3"/>
    </row>
    <row r="8846">
      <c r="A8846" s="3"/>
      <c r="B8846" s="3"/>
      <c r="C8846" s="3"/>
    </row>
    <row r="8847">
      <c r="A8847" s="3"/>
      <c r="B8847" s="3"/>
      <c r="C8847" s="3"/>
    </row>
    <row r="8848">
      <c r="A8848" s="3"/>
      <c r="B8848" s="3"/>
      <c r="C8848" s="3"/>
    </row>
    <row r="8849">
      <c r="A8849" s="3"/>
      <c r="B8849" s="3"/>
      <c r="C8849" s="3"/>
    </row>
    <row r="8850">
      <c r="A8850" s="3"/>
      <c r="B8850" s="3"/>
      <c r="C8850" s="3"/>
    </row>
    <row r="8851">
      <c r="A8851" s="3"/>
      <c r="B8851" s="3"/>
      <c r="C8851" s="3"/>
    </row>
    <row r="8852">
      <c r="A8852" s="3"/>
      <c r="B8852" s="3"/>
      <c r="C8852" s="3"/>
    </row>
    <row r="8853">
      <c r="A8853" s="3"/>
      <c r="B8853" s="3"/>
      <c r="C8853" s="3"/>
    </row>
    <row r="8854">
      <c r="A8854" s="3"/>
      <c r="B8854" s="3"/>
      <c r="C8854" s="3"/>
    </row>
    <row r="8855">
      <c r="A8855" s="3"/>
      <c r="B8855" s="3"/>
      <c r="C8855" s="3"/>
    </row>
    <row r="8856">
      <c r="A8856" s="3"/>
      <c r="B8856" s="3"/>
      <c r="C8856" s="3"/>
    </row>
    <row r="8857">
      <c r="A8857" s="3"/>
      <c r="B8857" s="3"/>
      <c r="C8857" s="3"/>
    </row>
    <row r="8858">
      <c r="A8858" s="3"/>
      <c r="B8858" s="3"/>
      <c r="C8858" s="3"/>
    </row>
    <row r="8859">
      <c r="A8859" s="3"/>
      <c r="B8859" s="3"/>
      <c r="C8859" s="3"/>
    </row>
    <row r="8860">
      <c r="A8860" s="3"/>
      <c r="B8860" s="3"/>
      <c r="C8860" s="3"/>
    </row>
    <row r="8861">
      <c r="A8861" s="3"/>
      <c r="B8861" s="3"/>
      <c r="C8861" s="3"/>
    </row>
    <row r="8862">
      <c r="A8862" s="3"/>
      <c r="B8862" s="3"/>
      <c r="C8862" s="3"/>
    </row>
    <row r="8863">
      <c r="A8863" s="3"/>
      <c r="B8863" s="3"/>
      <c r="C8863" s="3"/>
    </row>
    <row r="8864">
      <c r="A8864" s="3"/>
      <c r="B8864" s="3"/>
      <c r="C8864" s="3"/>
    </row>
    <row r="8865">
      <c r="A8865" s="3"/>
      <c r="B8865" s="3"/>
      <c r="C8865" s="3"/>
    </row>
    <row r="8866">
      <c r="A8866" s="3"/>
      <c r="B8866" s="3"/>
      <c r="C8866" s="3"/>
    </row>
    <row r="8867">
      <c r="A8867" s="3"/>
      <c r="B8867" s="3"/>
      <c r="C8867" s="3"/>
    </row>
    <row r="8868">
      <c r="A8868" s="3"/>
      <c r="B8868" s="3"/>
      <c r="C8868" s="3"/>
    </row>
    <row r="8869">
      <c r="A8869" s="3"/>
      <c r="B8869" s="3"/>
      <c r="C8869" s="3"/>
    </row>
    <row r="8870">
      <c r="A8870" s="3"/>
      <c r="B8870" s="3"/>
      <c r="C8870" s="3"/>
    </row>
    <row r="8871">
      <c r="A8871" s="3"/>
      <c r="B8871" s="3"/>
      <c r="C8871" s="3"/>
    </row>
    <row r="8872">
      <c r="A8872" s="3"/>
      <c r="B8872" s="3"/>
      <c r="C8872" s="3"/>
    </row>
    <row r="8873">
      <c r="A8873" s="3"/>
      <c r="B8873" s="3"/>
      <c r="C8873" s="3"/>
    </row>
    <row r="8874">
      <c r="A8874" s="3"/>
      <c r="B8874" s="3"/>
      <c r="C8874" s="3"/>
    </row>
    <row r="8875">
      <c r="A8875" s="3"/>
      <c r="B8875" s="3"/>
      <c r="C8875" s="3"/>
    </row>
    <row r="8876">
      <c r="A8876" s="3"/>
      <c r="B8876" s="3"/>
      <c r="C8876" s="3"/>
    </row>
    <row r="8877">
      <c r="A8877" s="3"/>
      <c r="B8877" s="3"/>
      <c r="C8877" s="3"/>
    </row>
    <row r="8878">
      <c r="A8878" s="3"/>
      <c r="B8878" s="3"/>
      <c r="C8878" s="3"/>
    </row>
    <row r="8879">
      <c r="A8879" s="3"/>
      <c r="B8879" s="3"/>
      <c r="C8879" s="3"/>
    </row>
    <row r="8880">
      <c r="A8880" s="3"/>
      <c r="B8880" s="3"/>
      <c r="C8880" s="3"/>
    </row>
    <row r="8881">
      <c r="A8881" s="3"/>
      <c r="B8881" s="3"/>
      <c r="C8881" s="3"/>
    </row>
    <row r="8882">
      <c r="A8882" s="3"/>
      <c r="B8882" s="3"/>
      <c r="C8882" s="3"/>
    </row>
    <row r="8883">
      <c r="A8883" s="3"/>
      <c r="B8883" s="3"/>
      <c r="C8883" s="3"/>
    </row>
    <row r="8884">
      <c r="A8884" s="3"/>
      <c r="B8884" s="3"/>
      <c r="C8884" s="3"/>
    </row>
    <row r="8885">
      <c r="A8885" s="3"/>
      <c r="B8885" s="3"/>
      <c r="C8885" s="3"/>
    </row>
    <row r="8886">
      <c r="A8886" s="3"/>
      <c r="B8886" s="3"/>
      <c r="C8886" s="3"/>
    </row>
    <row r="8887">
      <c r="A8887" s="3"/>
      <c r="B8887" s="3"/>
      <c r="C8887" s="3"/>
    </row>
    <row r="8888">
      <c r="A8888" s="3"/>
      <c r="B8888" s="3"/>
      <c r="C8888" s="3"/>
    </row>
    <row r="8889">
      <c r="A8889" s="3"/>
      <c r="B8889" s="3"/>
      <c r="C8889" s="3"/>
    </row>
    <row r="8890">
      <c r="A8890" s="3"/>
      <c r="B8890" s="3"/>
      <c r="C8890" s="3"/>
    </row>
    <row r="8891">
      <c r="A8891" s="3"/>
      <c r="B8891" s="3"/>
      <c r="C8891" s="3"/>
    </row>
    <row r="8892">
      <c r="A8892" s="3"/>
      <c r="B8892" s="3"/>
      <c r="C8892" s="3"/>
    </row>
    <row r="8893">
      <c r="A8893" s="3"/>
      <c r="B8893" s="3"/>
      <c r="C8893" s="3"/>
    </row>
    <row r="8894">
      <c r="A8894" s="3"/>
      <c r="B8894" s="3"/>
      <c r="C8894" s="3"/>
    </row>
    <row r="8895">
      <c r="A8895" s="3"/>
      <c r="B8895" s="3"/>
      <c r="C8895" s="3"/>
    </row>
    <row r="8896">
      <c r="A8896" s="3"/>
      <c r="B8896" s="3"/>
      <c r="C8896" s="3"/>
    </row>
    <row r="8897">
      <c r="A8897" s="3"/>
      <c r="B8897" s="3"/>
      <c r="C8897" s="3"/>
    </row>
    <row r="8898">
      <c r="A8898" s="3"/>
      <c r="B8898" s="3"/>
      <c r="C8898" s="3"/>
    </row>
    <row r="8899">
      <c r="A8899" s="3"/>
      <c r="B8899" s="3"/>
      <c r="C8899" s="3"/>
    </row>
    <row r="8900">
      <c r="A8900" s="3"/>
      <c r="B8900" s="3"/>
      <c r="C8900" s="3"/>
    </row>
    <row r="8901">
      <c r="A8901" s="3"/>
      <c r="B8901" s="3"/>
      <c r="C8901" s="3"/>
    </row>
    <row r="8902">
      <c r="A8902" s="3"/>
      <c r="B8902" s="3"/>
      <c r="C8902" s="3"/>
    </row>
    <row r="8903">
      <c r="A8903" s="3"/>
      <c r="B8903" s="3"/>
      <c r="C8903" s="3"/>
    </row>
    <row r="8904">
      <c r="A8904" s="3"/>
      <c r="B8904" s="3"/>
      <c r="C8904" s="3"/>
    </row>
    <row r="8905">
      <c r="A8905" s="3"/>
      <c r="B8905" s="3"/>
      <c r="C8905" s="3"/>
    </row>
    <row r="8906">
      <c r="A8906" s="3"/>
      <c r="B8906" s="3"/>
      <c r="C8906" s="3"/>
    </row>
    <row r="8907">
      <c r="A8907" s="3"/>
      <c r="B8907" s="3"/>
      <c r="C8907" s="3"/>
    </row>
    <row r="8908">
      <c r="A8908" s="3"/>
      <c r="B8908" s="3"/>
      <c r="C8908" s="3"/>
    </row>
    <row r="8909">
      <c r="A8909" s="3"/>
      <c r="B8909" s="3"/>
      <c r="C8909" s="3"/>
    </row>
    <row r="8910">
      <c r="A8910" s="3"/>
      <c r="B8910" s="3"/>
      <c r="C8910" s="3"/>
    </row>
    <row r="8911">
      <c r="A8911" s="3"/>
      <c r="B8911" s="3"/>
      <c r="C8911" s="3"/>
    </row>
    <row r="8912">
      <c r="A8912" s="3"/>
      <c r="B8912" s="3"/>
      <c r="C8912" s="3"/>
    </row>
    <row r="8913">
      <c r="A8913" s="3"/>
      <c r="B8913" s="3"/>
      <c r="C8913" s="3"/>
    </row>
    <row r="8914">
      <c r="A8914" s="3"/>
      <c r="B8914" s="3"/>
      <c r="C8914" s="3"/>
    </row>
    <row r="8915">
      <c r="A8915" s="3"/>
      <c r="B8915" s="3"/>
      <c r="C8915" s="3"/>
    </row>
    <row r="8916">
      <c r="A8916" s="3"/>
      <c r="B8916" s="3"/>
      <c r="C8916" s="3"/>
    </row>
    <row r="8917">
      <c r="A8917" s="3"/>
      <c r="B8917" s="3"/>
      <c r="C8917" s="3"/>
    </row>
    <row r="8918">
      <c r="A8918" s="3"/>
      <c r="B8918" s="3"/>
      <c r="C8918" s="3"/>
    </row>
    <row r="8919">
      <c r="A8919" s="3"/>
      <c r="B8919" s="3"/>
      <c r="C8919" s="3"/>
    </row>
    <row r="8920">
      <c r="A8920" s="3"/>
      <c r="B8920" s="3"/>
      <c r="C8920" s="3"/>
    </row>
    <row r="8921">
      <c r="A8921" s="3"/>
      <c r="B8921" s="3"/>
      <c r="C8921" s="3"/>
    </row>
    <row r="8922">
      <c r="A8922" s="3"/>
      <c r="B8922" s="3"/>
      <c r="C8922" s="3"/>
    </row>
    <row r="8923">
      <c r="A8923" s="3"/>
      <c r="B8923" s="3"/>
      <c r="C8923" s="3"/>
    </row>
    <row r="8924">
      <c r="A8924" s="3"/>
      <c r="B8924" s="3"/>
      <c r="C8924" s="3"/>
    </row>
    <row r="8925">
      <c r="A8925" s="3"/>
      <c r="B8925" s="3"/>
      <c r="C8925" s="3"/>
    </row>
    <row r="8926">
      <c r="A8926" s="3"/>
      <c r="B8926" s="3"/>
      <c r="C8926" s="3"/>
    </row>
    <row r="8927">
      <c r="A8927" s="3"/>
      <c r="B8927" s="3"/>
      <c r="C8927" s="3"/>
    </row>
    <row r="8928">
      <c r="A8928" s="3"/>
      <c r="B8928" s="3"/>
      <c r="C8928" s="3"/>
    </row>
    <row r="8929">
      <c r="A8929" s="3"/>
      <c r="B8929" s="3"/>
      <c r="C8929" s="3"/>
    </row>
    <row r="8930">
      <c r="A8930" s="3"/>
      <c r="B8930" s="3"/>
      <c r="C8930" s="3"/>
    </row>
    <row r="8931">
      <c r="A8931" s="3"/>
      <c r="B8931" s="3"/>
      <c r="C8931" s="3"/>
    </row>
    <row r="8932">
      <c r="A8932" s="3"/>
      <c r="B8932" s="3"/>
      <c r="C8932" s="3"/>
    </row>
    <row r="8933">
      <c r="A8933" s="3"/>
      <c r="B8933" s="3"/>
      <c r="C8933" s="3"/>
    </row>
    <row r="8934">
      <c r="A8934" s="3"/>
      <c r="B8934" s="3"/>
      <c r="C8934" s="3"/>
    </row>
    <row r="8935">
      <c r="A8935" s="3"/>
      <c r="B8935" s="3"/>
      <c r="C8935" s="3"/>
    </row>
    <row r="8936">
      <c r="A8936" s="3"/>
      <c r="B8936" s="3"/>
      <c r="C8936" s="3"/>
    </row>
    <row r="8937">
      <c r="A8937" s="3"/>
      <c r="B8937" s="3"/>
      <c r="C8937" s="3"/>
    </row>
    <row r="8938">
      <c r="A8938" s="3"/>
      <c r="B8938" s="3"/>
      <c r="C8938" s="3"/>
    </row>
    <row r="8939">
      <c r="A8939" s="3"/>
      <c r="B8939" s="3"/>
      <c r="C8939" s="3"/>
    </row>
    <row r="8940">
      <c r="A8940" s="3"/>
      <c r="B8940" s="3"/>
      <c r="C8940" s="3"/>
    </row>
    <row r="8941">
      <c r="A8941" s="3"/>
      <c r="B8941" s="3"/>
      <c r="C8941" s="3"/>
    </row>
    <row r="8942">
      <c r="A8942" s="3"/>
      <c r="B8942" s="3"/>
      <c r="C8942" s="3"/>
    </row>
    <row r="8943">
      <c r="A8943" s="3"/>
      <c r="B8943" s="3"/>
      <c r="C8943" s="3"/>
    </row>
    <row r="8944">
      <c r="A8944" s="3"/>
      <c r="B8944" s="3"/>
      <c r="C8944" s="3"/>
    </row>
    <row r="8945">
      <c r="A8945" s="3"/>
      <c r="B8945" s="3"/>
      <c r="C8945" s="3"/>
    </row>
    <row r="8946">
      <c r="A8946" s="3"/>
      <c r="B8946" s="3"/>
      <c r="C8946" s="3"/>
    </row>
    <row r="8947">
      <c r="A8947" s="3"/>
      <c r="B8947" s="3"/>
      <c r="C8947" s="3"/>
    </row>
    <row r="8948">
      <c r="A8948" s="3"/>
      <c r="B8948" s="3"/>
      <c r="C8948" s="3"/>
    </row>
    <row r="8949">
      <c r="A8949" s="3"/>
      <c r="B8949" s="3"/>
      <c r="C8949" s="3"/>
    </row>
    <row r="8950">
      <c r="A8950" s="3"/>
      <c r="B8950" s="3"/>
      <c r="C8950" s="3"/>
    </row>
    <row r="8951">
      <c r="A8951" s="3"/>
      <c r="B8951" s="3"/>
      <c r="C8951" s="3"/>
    </row>
    <row r="8952">
      <c r="A8952" s="3"/>
      <c r="B8952" s="3"/>
      <c r="C8952" s="3"/>
    </row>
    <row r="8953">
      <c r="A8953" s="3"/>
      <c r="B8953" s="3"/>
      <c r="C8953" s="3"/>
    </row>
    <row r="8954">
      <c r="A8954" s="3"/>
      <c r="B8954" s="3"/>
      <c r="C8954" s="3"/>
    </row>
    <row r="8955">
      <c r="A8955" s="3"/>
      <c r="B8955" s="3"/>
      <c r="C8955" s="3"/>
    </row>
    <row r="8956">
      <c r="A8956" s="3"/>
      <c r="B8956" s="3"/>
      <c r="C8956" s="3"/>
    </row>
    <row r="8957">
      <c r="A8957" s="3"/>
      <c r="B8957" s="3"/>
      <c r="C8957" s="3"/>
    </row>
    <row r="8958">
      <c r="A8958" s="3"/>
      <c r="B8958" s="3"/>
      <c r="C8958" s="3"/>
    </row>
    <row r="8959">
      <c r="A8959" s="3"/>
      <c r="B8959" s="3"/>
      <c r="C8959" s="3"/>
    </row>
    <row r="8960">
      <c r="A8960" s="3"/>
      <c r="B8960" s="3"/>
      <c r="C8960" s="3"/>
    </row>
    <row r="8961">
      <c r="A8961" s="3"/>
      <c r="B8961" s="3"/>
      <c r="C8961" s="3"/>
    </row>
    <row r="8962">
      <c r="A8962" s="3"/>
      <c r="B8962" s="3"/>
      <c r="C8962" s="3"/>
    </row>
    <row r="8963">
      <c r="A8963" s="3"/>
      <c r="B8963" s="3"/>
      <c r="C8963" s="3"/>
    </row>
    <row r="8964">
      <c r="A8964" s="3"/>
      <c r="B8964" s="3"/>
      <c r="C8964" s="3"/>
    </row>
    <row r="8965">
      <c r="A8965" s="3"/>
      <c r="B8965" s="3"/>
      <c r="C8965" s="3"/>
    </row>
    <row r="8966">
      <c r="A8966" s="3"/>
      <c r="B8966" s="3"/>
      <c r="C8966" s="3"/>
    </row>
    <row r="8967">
      <c r="A8967" s="3"/>
      <c r="B8967" s="3"/>
      <c r="C8967" s="3"/>
    </row>
    <row r="8968">
      <c r="A8968" s="3"/>
      <c r="B8968" s="3"/>
      <c r="C8968" s="3"/>
    </row>
    <row r="8969">
      <c r="A8969" s="3"/>
      <c r="B8969" s="3"/>
      <c r="C8969" s="3"/>
    </row>
    <row r="8970">
      <c r="A8970" s="3"/>
      <c r="B8970" s="3"/>
      <c r="C8970" s="3"/>
    </row>
    <row r="8971">
      <c r="A8971" s="3"/>
      <c r="B8971" s="3"/>
      <c r="C8971" s="3"/>
    </row>
    <row r="8972">
      <c r="A8972" s="3"/>
      <c r="B8972" s="3"/>
      <c r="C8972" s="3"/>
    </row>
    <row r="8973">
      <c r="A8973" s="3"/>
      <c r="B8973" s="3"/>
      <c r="C8973" s="3"/>
    </row>
    <row r="8974">
      <c r="A8974" s="3"/>
      <c r="B8974" s="3"/>
      <c r="C8974" s="3"/>
    </row>
    <row r="8975">
      <c r="A8975" s="3"/>
      <c r="B8975" s="3"/>
      <c r="C8975" s="3"/>
    </row>
    <row r="8976">
      <c r="A8976" s="3"/>
      <c r="B8976" s="3"/>
      <c r="C8976" s="3"/>
    </row>
    <row r="8977">
      <c r="A8977" s="3"/>
      <c r="B8977" s="3"/>
      <c r="C8977" s="3"/>
    </row>
    <row r="8978">
      <c r="A8978" s="3"/>
      <c r="B8978" s="3"/>
      <c r="C8978" s="3"/>
    </row>
    <row r="8979">
      <c r="A8979" s="3"/>
      <c r="B8979" s="3"/>
      <c r="C8979" s="3"/>
    </row>
    <row r="8980">
      <c r="A8980" s="3"/>
      <c r="B8980" s="3"/>
      <c r="C8980" s="3"/>
    </row>
    <row r="8981">
      <c r="A8981" s="3"/>
      <c r="B8981" s="3"/>
      <c r="C8981" s="3"/>
    </row>
    <row r="8982">
      <c r="A8982" s="3"/>
      <c r="B8982" s="3"/>
      <c r="C8982" s="3"/>
    </row>
    <row r="8983">
      <c r="A8983" s="3"/>
      <c r="B8983" s="3"/>
      <c r="C8983" s="3"/>
    </row>
    <row r="8984">
      <c r="A8984" s="3"/>
      <c r="B8984" s="3"/>
      <c r="C8984" s="3"/>
    </row>
    <row r="8985">
      <c r="A8985" s="3"/>
      <c r="B8985" s="3"/>
      <c r="C8985" s="3"/>
    </row>
    <row r="8986">
      <c r="A8986" s="3"/>
      <c r="B8986" s="3"/>
      <c r="C8986" s="3"/>
    </row>
    <row r="8987">
      <c r="A8987" s="3"/>
      <c r="B8987" s="3"/>
      <c r="C8987" s="3"/>
    </row>
    <row r="8988">
      <c r="A8988" s="3"/>
      <c r="B8988" s="3"/>
      <c r="C8988" s="3"/>
    </row>
    <row r="8989">
      <c r="A8989" s="3"/>
      <c r="B8989" s="3"/>
      <c r="C8989" s="3"/>
    </row>
    <row r="8990">
      <c r="A8990" s="3"/>
      <c r="B8990" s="3"/>
      <c r="C8990" s="3"/>
    </row>
    <row r="8991">
      <c r="A8991" s="3"/>
      <c r="B8991" s="3"/>
      <c r="C8991" s="3"/>
    </row>
    <row r="8992">
      <c r="A8992" s="3"/>
      <c r="B8992" s="3"/>
      <c r="C8992" s="3"/>
    </row>
    <row r="8993">
      <c r="A8993" s="3"/>
      <c r="B8993" s="3"/>
      <c r="C8993" s="3"/>
    </row>
    <row r="8994">
      <c r="A8994" s="3"/>
      <c r="B8994" s="3"/>
      <c r="C8994" s="3"/>
    </row>
    <row r="8995">
      <c r="A8995" s="3"/>
      <c r="B8995" s="3"/>
      <c r="C8995" s="3"/>
    </row>
    <row r="8996">
      <c r="A8996" s="3"/>
      <c r="B8996" s="3"/>
      <c r="C8996" s="3"/>
    </row>
    <row r="8997">
      <c r="A8997" s="3"/>
      <c r="B8997" s="3"/>
      <c r="C8997" s="3"/>
    </row>
    <row r="8998">
      <c r="A8998" s="3"/>
      <c r="B8998" s="3"/>
      <c r="C8998" s="3"/>
    </row>
    <row r="8999">
      <c r="A8999" s="3"/>
      <c r="B8999" s="3"/>
      <c r="C8999" s="3"/>
    </row>
    <row r="9000">
      <c r="A9000" s="3"/>
      <c r="B9000" s="3"/>
      <c r="C9000" s="3"/>
    </row>
    <row r="9001">
      <c r="A9001" s="3"/>
      <c r="B9001" s="3"/>
      <c r="C9001" s="3"/>
    </row>
    <row r="9002">
      <c r="A9002" s="3"/>
      <c r="B9002" s="3"/>
      <c r="C9002" s="3"/>
    </row>
    <row r="9003">
      <c r="A9003" s="3"/>
      <c r="B9003" s="3"/>
      <c r="C9003" s="3"/>
    </row>
    <row r="9004">
      <c r="A9004" s="3"/>
      <c r="B9004" s="3"/>
      <c r="C9004" s="3"/>
    </row>
    <row r="9005">
      <c r="A9005" s="3"/>
      <c r="B9005" s="3"/>
      <c r="C9005" s="3"/>
    </row>
    <row r="9006">
      <c r="A9006" s="3"/>
      <c r="B9006" s="3"/>
      <c r="C9006" s="3"/>
    </row>
    <row r="9007">
      <c r="A9007" s="3"/>
      <c r="B9007" s="3"/>
      <c r="C9007" s="3"/>
    </row>
    <row r="9008">
      <c r="A9008" s="3"/>
      <c r="B9008" s="3"/>
      <c r="C9008" s="3"/>
    </row>
    <row r="9009">
      <c r="A9009" s="3"/>
      <c r="B9009" s="3"/>
      <c r="C9009" s="3"/>
    </row>
    <row r="9010">
      <c r="A9010" s="3"/>
      <c r="B9010" s="3"/>
      <c r="C9010" s="3"/>
    </row>
    <row r="9011">
      <c r="A9011" s="3"/>
      <c r="B9011" s="3"/>
      <c r="C9011" s="3"/>
    </row>
    <row r="9012">
      <c r="A9012" s="3"/>
      <c r="B9012" s="3"/>
      <c r="C9012" s="3"/>
    </row>
    <row r="9013">
      <c r="A9013" s="3"/>
      <c r="B9013" s="3"/>
      <c r="C9013" s="3"/>
    </row>
    <row r="9014">
      <c r="A9014" s="3"/>
      <c r="B9014" s="3"/>
      <c r="C9014" s="3"/>
    </row>
    <row r="9015">
      <c r="A9015" s="3"/>
      <c r="B9015" s="3"/>
      <c r="C9015" s="3"/>
    </row>
    <row r="9016">
      <c r="A9016" s="3"/>
      <c r="B9016" s="3"/>
      <c r="C9016" s="3"/>
    </row>
    <row r="9017">
      <c r="A9017" s="3"/>
      <c r="B9017" s="3"/>
      <c r="C9017" s="3"/>
    </row>
    <row r="9018">
      <c r="A9018" s="3"/>
      <c r="B9018" s="3"/>
      <c r="C9018" s="3"/>
    </row>
    <row r="9019">
      <c r="A9019" s="3"/>
      <c r="B9019" s="3"/>
      <c r="C9019" s="3"/>
    </row>
    <row r="9020">
      <c r="A9020" s="3"/>
      <c r="B9020" s="3"/>
      <c r="C9020" s="3"/>
    </row>
    <row r="9021">
      <c r="A9021" s="3"/>
      <c r="B9021" s="3"/>
      <c r="C9021" s="3"/>
    </row>
    <row r="9022">
      <c r="A9022" s="3"/>
      <c r="B9022" s="3"/>
      <c r="C9022" s="3"/>
    </row>
    <row r="9023">
      <c r="A9023" s="3"/>
      <c r="B9023" s="3"/>
      <c r="C9023" s="3"/>
    </row>
    <row r="9024">
      <c r="A9024" s="3"/>
      <c r="B9024" s="3"/>
      <c r="C9024" s="3"/>
    </row>
    <row r="9025">
      <c r="A9025" s="3"/>
      <c r="B9025" s="3"/>
      <c r="C9025" s="3"/>
    </row>
    <row r="9026">
      <c r="A9026" s="3"/>
      <c r="B9026" s="3"/>
      <c r="C9026" s="3"/>
    </row>
    <row r="9027">
      <c r="A9027" s="3"/>
      <c r="B9027" s="3"/>
      <c r="C9027" s="3"/>
    </row>
    <row r="9028">
      <c r="A9028" s="3"/>
      <c r="B9028" s="3"/>
      <c r="C9028" s="3"/>
    </row>
    <row r="9029">
      <c r="A9029" s="3"/>
      <c r="B9029" s="3"/>
      <c r="C9029" s="3"/>
    </row>
    <row r="9030">
      <c r="A9030" s="3"/>
      <c r="B9030" s="3"/>
      <c r="C9030" s="3"/>
    </row>
    <row r="9031">
      <c r="A9031" s="3"/>
      <c r="B9031" s="3"/>
      <c r="C9031" s="3"/>
    </row>
    <row r="9032">
      <c r="A9032" s="3"/>
      <c r="B9032" s="3"/>
      <c r="C903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4.0"/>
    <col customWidth="1" min="5" max="5" width="14.75"/>
    <col customWidth="1" min="6" max="6" width="9.38"/>
  </cols>
  <sheetData>
    <row r="1">
      <c r="A1" s="5" t="s">
        <v>982</v>
      </c>
      <c r="B1" s="5"/>
      <c r="C1" s="5"/>
      <c r="D1" s="6"/>
      <c r="E1" s="7"/>
      <c r="F1" s="7"/>
      <c r="G1" s="8"/>
    </row>
    <row r="2">
      <c r="A2" s="9" t="s">
        <v>983</v>
      </c>
      <c r="B2" s="9" t="s">
        <v>984</v>
      </c>
      <c r="C2" s="9" t="s">
        <v>985</v>
      </c>
      <c r="D2" s="10" t="s">
        <v>986</v>
      </c>
      <c r="E2" s="10" t="s">
        <v>987</v>
      </c>
      <c r="F2" s="11" t="s">
        <v>988</v>
      </c>
    </row>
    <row r="3">
      <c r="A3" s="12" t="s">
        <v>989</v>
      </c>
      <c r="B3" s="12">
        <v>497.0</v>
      </c>
      <c r="C3" s="12">
        <v>95.0</v>
      </c>
      <c r="D3" s="7">
        <v>278.0</v>
      </c>
      <c r="E3" s="7">
        <v>100.0</v>
      </c>
      <c r="F3" s="8">
        <v>24.0</v>
      </c>
    </row>
    <row r="4">
      <c r="A4" s="13" t="s">
        <v>990</v>
      </c>
      <c r="B4" s="13" t="s">
        <v>984</v>
      </c>
      <c r="C4" s="13" t="s">
        <v>991</v>
      </c>
      <c r="D4" s="14" t="s">
        <v>992</v>
      </c>
      <c r="E4" s="10" t="s">
        <v>993</v>
      </c>
      <c r="F4" s="10" t="s">
        <v>994</v>
      </c>
      <c r="G4" s="8"/>
    </row>
    <row r="5">
      <c r="A5" s="15" t="s">
        <v>995</v>
      </c>
      <c r="B5" s="15">
        <v>265.0</v>
      </c>
      <c r="C5" s="16">
        <v>197.0</v>
      </c>
      <c r="D5" s="17">
        <v>33.0</v>
      </c>
      <c r="E5" s="7">
        <v>35.0</v>
      </c>
      <c r="F5" s="7">
        <v>9.0</v>
      </c>
      <c r="G5" s="8"/>
    </row>
    <row r="6">
      <c r="A6" s="18" t="s">
        <v>996</v>
      </c>
      <c r="B6" s="19">
        <f>SUM(B3:B5)</f>
        <v>762</v>
      </c>
      <c r="C6" s="20"/>
      <c r="D6" s="20"/>
      <c r="E6" s="21"/>
      <c r="F6" s="21"/>
      <c r="G6" s="8"/>
    </row>
    <row r="7">
      <c r="A7" s="7"/>
      <c r="E7" s="7"/>
      <c r="F7" s="7"/>
      <c r="G7" s="8"/>
    </row>
    <row r="8">
      <c r="A8" s="22" t="s">
        <v>997</v>
      </c>
      <c r="B8" s="23"/>
      <c r="C8" s="23"/>
      <c r="D8" s="23"/>
      <c r="E8" s="24"/>
      <c r="F8" s="7"/>
      <c r="G8" s="8"/>
    </row>
    <row r="9">
      <c r="A9" s="9" t="s">
        <v>998</v>
      </c>
      <c r="B9" s="9" t="s">
        <v>999</v>
      </c>
      <c r="E9" s="9" t="s">
        <v>1000</v>
      </c>
      <c r="F9" s="7"/>
      <c r="G9" s="8"/>
    </row>
    <row r="10">
      <c r="A10" s="12" t="s">
        <v>985</v>
      </c>
      <c r="B10" s="12" t="s">
        <v>1001</v>
      </c>
      <c r="D10" s="25"/>
      <c r="E10" s="12" t="s">
        <v>1002</v>
      </c>
      <c r="F10" s="7"/>
      <c r="G10" s="8"/>
    </row>
    <row r="11">
      <c r="A11" s="12" t="s">
        <v>986</v>
      </c>
      <c r="B11" s="12" t="s">
        <v>1003</v>
      </c>
      <c r="E11" s="26" t="s">
        <v>1004</v>
      </c>
    </row>
    <row r="12">
      <c r="A12" s="12" t="s">
        <v>987</v>
      </c>
      <c r="B12" s="12" t="s">
        <v>1005</v>
      </c>
      <c r="E12" s="7" t="s">
        <v>1006</v>
      </c>
    </row>
    <row r="13">
      <c r="A13" s="12" t="s">
        <v>988</v>
      </c>
      <c r="B13" s="12" t="s">
        <v>1007</v>
      </c>
      <c r="E13" s="7" t="s">
        <v>1008</v>
      </c>
    </row>
    <row r="14">
      <c r="E14" s="7" t="s">
        <v>1009</v>
      </c>
    </row>
    <row r="16">
      <c r="A16" s="22" t="s">
        <v>1010</v>
      </c>
      <c r="B16" s="23"/>
      <c r="C16" s="23"/>
      <c r="D16" s="23"/>
      <c r="E16" s="24"/>
      <c r="G16" s="8"/>
    </row>
    <row r="17">
      <c r="A17" s="9" t="s">
        <v>998</v>
      </c>
      <c r="B17" s="9" t="s">
        <v>999</v>
      </c>
      <c r="E17" s="9" t="s">
        <v>1000</v>
      </c>
      <c r="G17" s="8"/>
    </row>
    <row r="18">
      <c r="A18" s="27" t="s">
        <v>991</v>
      </c>
      <c r="B18" s="28" t="s">
        <v>1011</v>
      </c>
      <c r="E18" s="12" t="s">
        <v>1004</v>
      </c>
      <c r="G18" s="8"/>
    </row>
    <row r="19">
      <c r="A19" s="27" t="s">
        <v>992</v>
      </c>
      <c r="B19" s="29" t="s">
        <v>1012</v>
      </c>
      <c r="C19" s="30"/>
      <c r="D19" s="30"/>
      <c r="F19" s="30"/>
      <c r="G19" s="31"/>
    </row>
    <row r="20">
      <c r="A20" s="27" t="s">
        <v>993</v>
      </c>
      <c r="B20" s="28" t="s">
        <v>1013</v>
      </c>
      <c r="G20" s="8"/>
    </row>
    <row r="21">
      <c r="A21" s="27" t="s">
        <v>994</v>
      </c>
      <c r="B21" s="28" t="s">
        <v>1014</v>
      </c>
      <c r="G21" s="8"/>
    </row>
    <row r="22">
      <c r="G22" s="8"/>
    </row>
    <row r="23">
      <c r="A23" s="32" t="s">
        <v>1015</v>
      </c>
      <c r="B23" s="33"/>
      <c r="G23" s="8"/>
    </row>
    <row r="24">
      <c r="A24" s="7" t="s">
        <v>1016</v>
      </c>
      <c r="G24" s="8"/>
    </row>
    <row r="25">
      <c r="G25" s="8"/>
    </row>
    <row r="26">
      <c r="G26" s="8"/>
    </row>
    <row r="27">
      <c r="G27" s="8"/>
    </row>
    <row r="28">
      <c r="G28" s="8"/>
    </row>
    <row r="29">
      <c r="G29" s="8"/>
    </row>
    <row r="30">
      <c r="G30" s="8"/>
    </row>
    <row r="31">
      <c r="G31" s="8"/>
    </row>
    <row r="32">
      <c r="G32" s="8"/>
    </row>
    <row r="33">
      <c r="G33" s="8"/>
    </row>
    <row r="34">
      <c r="G34" s="8"/>
    </row>
    <row r="35">
      <c r="G35" s="8"/>
    </row>
    <row r="36">
      <c r="G36" s="8"/>
    </row>
    <row r="37">
      <c r="G37" s="8"/>
    </row>
    <row r="38">
      <c r="G38" s="8"/>
    </row>
    <row r="39">
      <c r="G39" s="8"/>
    </row>
    <row r="40">
      <c r="G40" s="8"/>
    </row>
    <row r="41">
      <c r="G41" s="8"/>
    </row>
    <row r="42">
      <c r="G42" s="8"/>
    </row>
    <row r="43">
      <c r="G43" s="8"/>
    </row>
    <row r="44">
      <c r="G44" s="8"/>
    </row>
    <row r="45">
      <c r="G45" s="8"/>
    </row>
    <row r="46">
      <c r="G46" s="8"/>
    </row>
    <row r="47">
      <c r="G47" s="8"/>
    </row>
    <row r="48">
      <c r="G48" s="8"/>
    </row>
    <row r="49">
      <c r="G49" s="8"/>
    </row>
    <row r="50">
      <c r="G50" s="8"/>
    </row>
    <row r="51">
      <c r="G51" s="8"/>
    </row>
    <row r="52">
      <c r="G52" s="8"/>
    </row>
    <row r="53">
      <c r="G53" s="8"/>
    </row>
    <row r="54">
      <c r="G54" s="8"/>
    </row>
    <row r="55">
      <c r="G55" s="8"/>
    </row>
    <row r="56">
      <c r="G56" s="8"/>
    </row>
    <row r="57">
      <c r="G57" s="8"/>
    </row>
    <row r="58">
      <c r="G58" s="8"/>
    </row>
    <row r="59">
      <c r="G59" s="8"/>
    </row>
    <row r="60">
      <c r="G60" s="8"/>
    </row>
    <row r="61">
      <c r="G61" s="8"/>
    </row>
    <row r="62">
      <c r="G62" s="8"/>
    </row>
    <row r="63">
      <c r="G63" s="8"/>
    </row>
    <row r="64">
      <c r="G64" s="8"/>
    </row>
    <row r="65">
      <c r="G65" s="8"/>
    </row>
    <row r="66">
      <c r="G66" s="8"/>
    </row>
    <row r="67">
      <c r="G67" s="8"/>
    </row>
    <row r="68">
      <c r="G68" s="8"/>
    </row>
    <row r="69">
      <c r="G69" s="8"/>
    </row>
    <row r="70">
      <c r="G70" s="8"/>
    </row>
    <row r="71">
      <c r="G71" s="8"/>
    </row>
    <row r="72">
      <c r="G72" s="8"/>
    </row>
    <row r="73">
      <c r="G73" s="8"/>
    </row>
    <row r="74">
      <c r="G74" s="8"/>
    </row>
    <row r="75">
      <c r="G75" s="8"/>
    </row>
    <row r="76">
      <c r="G76" s="8"/>
    </row>
    <row r="77">
      <c r="G77" s="8"/>
    </row>
    <row r="78">
      <c r="G78" s="8"/>
    </row>
    <row r="79">
      <c r="G79" s="8"/>
    </row>
    <row r="80">
      <c r="G80" s="8"/>
    </row>
    <row r="81">
      <c r="G81" s="8"/>
    </row>
    <row r="82">
      <c r="G82" s="8"/>
    </row>
    <row r="83">
      <c r="G83" s="8"/>
    </row>
    <row r="84">
      <c r="G84" s="8"/>
    </row>
    <row r="85">
      <c r="G85" s="8"/>
    </row>
    <row r="86">
      <c r="G86" s="8"/>
    </row>
    <row r="87">
      <c r="G87" s="8"/>
    </row>
    <row r="88">
      <c r="G88" s="8"/>
    </row>
    <row r="89">
      <c r="G89" s="8"/>
    </row>
    <row r="90">
      <c r="G90" s="8"/>
    </row>
    <row r="91">
      <c r="G91" s="8"/>
    </row>
    <row r="92">
      <c r="G92" s="8"/>
    </row>
    <row r="93">
      <c r="G93" s="8"/>
    </row>
    <row r="94">
      <c r="G94" s="8"/>
    </row>
    <row r="95">
      <c r="G95" s="8"/>
    </row>
    <row r="96">
      <c r="G96" s="8"/>
    </row>
    <row r="97">
      <c r="G97" s="8"/>
    </row>
    <row r="98">
      <c r="G98" s="8"/>
    </row>
    <row r="99">
      <c r="G99" s="8"/>
    </row>
    <row r="100">
      <c r="G100" s="8"/>
    </row>
    <row r="101">
      <c r="G101" s="8"/>
    </row>
    <row r="102">
      <c r="G102" s="8"/>
    </row>
    <row r="103">
      <c r="G103" s="8"/>
    </row>
    <row r="104">
      <c r="G104" s="8"/>
    </row>
    <row r="105">
      <c r="G105" s="8"/>
    </row>
    <row r="106">
      <c r="G106" s="8"/>
    </row>
    <row r="107">
      <c r="G107" s="8"/>
    </row>
    <row r="108">
      <c r="G108" s="8"/>
    </row>
    <row r="109">
      <c r="G109" s="8"/>
    </row>
    <row r="110">
      <c r="G110" s="8"/>
    </row>
    <row r="111">
      <c r="G111" s="8"/>
    </row>
    <row r="112">
      <c r="G112" s="8"/>
    </row>
    <row r="113">
      <c r="G113" s="8"/>
    </row>
    <row r="114">
      <c r="G114" s="8"/>
    </row>
    <row r="115">
      <c r="G115" s="8"/>
    </row>
    <row r="116">
      <c r="G116" s="8"/>
    </row>
    <row r="117">
      <c r="G117" s="8"/>
    </row>
    <row r="118">
      <c r="G118" s="8"/>
    </row>
    <row r="119">
      <c r="G119" s="8"/>
    </row>
    <row r="120">
      <c r="G120" s="8"/>
    </row>
    <row r="121">
      <c r="G121" s="8"/>
    </row>
    <row r="122">
      <c r="G122" s="8"/>
    </row>
    <row r="123">
      <c r="G123" s="8"/>
    </row>
    <row r="124">
      <c r="G124" s="8"/>
    </row>
    <row r="125">
      <c r="G125" s="8"/>
    </row>
    <row r="126">
      <c r="G126" s="8"/>
    </row>
    <row r="127">
      <c r="G127" s="8"/>
    </row>
    <row r="128">
      <c r="G128" s="8"/>
    </row>
    <row r="129">
      <c r="G129" s="8"/>
    </row>
    <row r="130">
      <c r="G130" s="8"/>
    </row>
    <row r="131">
      <c r="G131" s="8"/>
    </row>
    <row r="132">
      <c r="G132" s="8"/>
    </row>
    <row r="133">
      <c r="G133" s="8"/>
    </row>
    <row r="134">
      <c r="G134" s="8"/>
    </row>
    <row r="135">
      <c r="G135" s="8"/>
    </row>
    <row r="136">
      <c r="G136" s="8"/>
    </row>
    <row r="137">
      <c r="G137" s="8"/>
    </row>
    <row r="138">
      <c r="G138" s="8"/>
    </row>
    <row r="139">
      <c r="G139" s="8"/>
    </row>
    <row r="140">
      <c r="G140" s="8"/>
    </row>
    <row r="141">
      <c r="G141" s="8"/>
    </row>
    <row r="142">
      <c r="G142" s="8"/>
    </row>
    <row r="143">
      <c r="G143" s="8"/>
    </row>
    <row r="144">
      <c r="G144" s="8"/>
    </row>
    <row r="145">
      <c r="G145" s="8"/>
    </row>
    <row r="146">
      <c r="G146" s="8"/>
    </row>
    <row r="147">
      <c r="G147" s="8"/>
    </row>
    <row r="148">
      <c r="G148" s="8"/>
    </row>
    <row r="149">
      <c r="G149" s="8"/>
    </row>
    <row r="150">
      <c r="G150" s="8"/>
    </row>
    <row r="151">
      <c r="G151" s="8"/>
    </row>
    <row r="152">
      <c r="G152" s="8"/>
    </row>
    <row r="153">
      <c r="G153" s="8"/>
    </row>
    <row r="154">
      <c r="G154" s="8"/>
    </row>
    <row r="155">
      <c r="G155" s="8"/>
    </row>
    <row r="156">
      <c r="G156" s="8"/>
    </row>
    <row r="157">
      <c r="G157" s="8"/>
    </row>
    <row r="158">
      <c r="G158" s="8"/>
    </row>
    <row r="159">
      <c r="G159" s="8"/>
    </row>
    <row r="160">
      <c r="G160" s="8"/>
    </row>
    <row r="161">
      <c r="G161" s="8"/>
    </row>
    <row r="162">
      <c r="G162" s="8"/>
    </row>
    <row r="163">
      <c r="G163" s="8"/>
    </row>
    <row r="164">
      <c r="G164" s="8"/>
    </row>
    <row r="165">
      <c r="G165" s="8"/>
    </row>
    <row r="166">
      <c r="G166" s="8"/>
    </row>
    <row r="167">
      <c r="G167" s="8"/>
    </row>
    <row r="168">
      <c r="G168" s="8"/>
    </row>
    <row r="169">
      <c r="G169" s="8"/>
    </row>
    <row r="170">
      <c r="G170" s="8"/>
    </row>
    <row r="171">
      <c r="G171" s="8"/>
    </row>
    <row r="172">
      <c r="G172" s="8"/>
    </row>
    <row r="173">
      <c r="G173" s="8"/>
    </row>
    <row r="174">
      <c r="G174" s="8"/>
    </row>
    <row r="175">
      <c r="G175" s="8"/>
    </row>
    <row r="176">
      <c r="G176" s="8"/>
    </row>
    <row r="177">
      <c r="G177" s="8"/>
    </row>
    <row r="178">
      <c r="G178" s="8"/>
    </row>
    <row r="179">
      <c r="G179" s="8"/>
    </row>
    <row r="180">
      <c r="G180" s="8"/>
    </row>
    <row r="181">
      <c r="G181" s="8"/>
    </row>
    <row r="182">
      <c r="G182" s="8"/>
    </row>
    <row r="183">
      <c r="G183" s="8"/>
    </row>
    <row r="184">
      <c r="G184" s="8"/>
    </row>
    <row r="185">
      <c r="G185" s="8"/>
    </row>
    <row r="186">
      <c r="G186" s="8"/>
    </row>
    <row r="187">
      <c r="G187" s="8"/>
    </row>
    <row r="188">
      <c r="G188" s="8"/>
    </row>
    <row r="189">
      <c r="G189" s="8"/>
    </row>
    <row r="190">
      <c r="G190" s="8"/>
    </row>
    <row r="191">
      <c r="G191" s="8"/>
    </row>
    <row r="192">
      <c r="G192" s="8"/>
    </row>
    <row r="193">
      <c r="G193" s="8"/>
    </row>
    <row r="194">
      <c r="G194" s="8"/>
    </row>
    <row r="195">
      <c r="G195" s="8"/>
    </row>
    <row r="196">
      <c r="G196" s="8"/>
    </row>
    <row r="197">
      <c r="G197" s="8"/>
    </row>
    <row r="198">
      <c r="G198" s="8"/>
    </row>
    <row r="199">
      <c r="G199" s="8"/>
    </row>
    <row r="200">
      <c r="G200" s="8"/>
    </row>
    <row r="201">
      <c r="G201" s="8"/>
    </row>
    <row r="202">
      <c r="G202" s="8"/>
    </row>
    <row r="203">
      <c r="G203" s="8"/>
    </row>
    <row r="204">
      <c r="G204" s="8"/>
    </row>
    <row r="205">
      <c r="G205" s="8"/>
    </row>
    <row r="206">
      <c r="G206" s="8"/>
    </row>
    <row r="207">
      <c r="G207" s="8"/>
    </row>
    <row r="208">
      <c r="G208" s="8"/>
    </row>
    <row r="209">
      <c r="G209" s="8"/>
    </row>
    <row r="210">
      <c r="G210" s="8"/>
    </row>
    <row r="211">
      <c r="G211" s="8"/>
    </row>
    <row r="212">
      <c r="G212" s="8"/>
    </row>
    <row r="213">
      <c r="G213" s="8"/>
    </row>
    <row r="214">
      <c r="G214" s="8"/>
    </row>
    <row r="215">
      <c r="G215" s="8"/>
    </row>
    <row r="216">
      <c r="G216" s="8"/>
    </row>
    <row r="217">
      <c r="G217" s="8"/>
    </row>
    <row r="218">
      <c r="G218" s="8"/>
    </row>
    <row r="219">
      <c r="G219" s="8"/>
    </row>
    <row r="220">
      <c r="G220" s="8"/>
    </row>
    <row r="221">
      <c r="G221" s="8"/>
    </row>
    <row r="222">
      <c r="G222" s="8"/>
    </row>
    <row r="223">
      <c r="G223" s="8"/>
    </row>
    <row r="224">
      <c r="G224" s="8"/>
    </row>
    <row r="225">
      <c r="G225" s="8"/>
    </row>
    <row r="226">
      <c r="G226" s="8"/>
    </row>
    <row r="227">
      <c r="G227" s="8"/>
    </row>
    <row r="228">
      <c r="G228" s="8"/>
    </row>
    <row r="229">
      <c r="G229" s="8"/>
    </row>
    <row r="230">
      <c r="G230" s="8"/>
    </row>
    <row r="231">
      <c r="G231" s="8"/>
    </row>
    <row r="232">
      <c r="G232" s="8"/>
    </row>
    <row r="233">
      <c r="G233" s="8"/>
    </row>
    <row r="234">
      <c r="G234" s="8"/>
    </row>
    <row r="235">
      <c r="G235" s="8"/>
    </row>
    <row r="236">
      <c r="G236" s="8"/>
    </row>
    <row r="237">
      <c r="G237" s="8"/>
    </row>
    <row r="238">
      <c r="G238" s="8"/>
    </row>
    <row r="239">
      <c r="G239" s="8"/>
    </row>
    <row r="240">
      <c r="G240" s="8"/>
    </row>
    <row r="241">
      <c r="G241" s="8"/>
    </row>
    <row r="242">
      <c r="G242" s="8"/>
    </row>
    <row r="243">
      <c r="G243" s="8"/>
    </row>
    <row r="244">
      <c r="G244" s="8"/>
    </row>
    <row r="245">
      <c r="G245" s="8"/>
    </row>
    <row r="246">
      <c r="G246" s="8"/>
    </row>
    <row r="247">
      <c r="G247" s="8"/>
    </row>
    <row r="248">
      <c r="G248" s="8"/>
    </row>
    <row r="249">
      <c r="G249" s="8"/>
    </row>
    <row r="250">
      <c r="G250" s="8"/>
    </row>
    <row r="251">
      <c r="G251" s="8"/>
    </row>
    <row r="252">
      <c r="G252" s="8"/>
    </row>
    <row r="253">
      <c r="G253" s="8"/>
    </row>
    <row r="254">
      <c r="G254" s="8"/>
    </row>
    <row r="255">
      <c r="G255" s="8"/>
    </row>
    <row r="256">
      <c r="G256" s="8"/>
    </row>
    <row r="257">
      <c r="G257" s="8"/>
    </row>
    <row r="258">
      <c r="G258" s="8"/>
    </row>
    <row r="259">
      <c r="G259" s="8"/>
    </row>
    <row r="260">
      <c r="G260" s="8"/>
    </row>
    <row r="261">
      <c r="G261" s="8"/>
    </row>
    <row r="262">
      <c r="G262" s="8"/>
    </row>
    <row r="263">
      <c r="G263" s="8"/>
    </row>
    <row r="264">
      <c r="G264" s="8"/>
    </row>
    <row r="265">
      <c r="G265" s="8"/>
    </row>
    <row r="266">
      <c r="G266" s="8"/>
    </row>
    <row r="267">
      <c r="G267" s="8"/>
    </row>
    <row r="268">
      <c r="G268" s="8"/>
    </row>
    <row r="269">
      <c r="G269" s="8"/>
    </row>
    <row r="270">
      <c r="G270" s="8"/>
    </row>
    <row r="271">
      <c r="G271" s="8"/>
    </row>
    <row r="272">
      <c r="G272" s="8"/>
    </row>
    <row r="273">
      <c r="G273" s="8"/>
    </row>
    <row r="274">
      <c r="G274" s="8"/>
    </row>
    <row r="275">
      <c r="G275" s="8"/>
    </row>
    <row r="276">
      <c r="G276" s="8"/>
    </row>
    <row r="277">
      <c r="G277" s="8"/>
    </row>
    <row r="278">
      <c r="G278" s="8"/>
    </row>
    <row r="279">
      <c r="G279" s="8"/>
    </row>
    <row r="280">
      <c r="G280" s="8"/>
    </row>
    <row r="281">
      <c r="G281" s="8"/>
    </row>
    <row r="282">
      <c r="G282" s="8"/>
    </row>
    <row r="283">
      <c r="G283" s="8"/>
    </row>
    <row r="284">
      <c r="G284" s="8"/>
    </row>
    <row r="285">
      <c r="G285" s="8"/>
    </row>
    <row r="286">
      <c r="G286" s="8"/>
    </row>
    <row r="287">
      <c r="G287" s="8"/>
    </row>
    <row r="288">
      <c r="G288" s="8"/>
    </row>
    <row r="289">
      <c r="G289" s="8"/>
    </row>
    <row r="290">
      <c r="G290" s="8"/>
    </row>
    <row r="291">
      <c r="G291" s="8"/>
    </row>
    <row r="292">
      <c r="G292" s="8"/>
    </row>
    <row r="293">
      <c r="G293" s="8"/>
    </row>
    <row r="294">
      <c r="G294" s="8"/>
    </row>
    <row r="295">
      <c r="G295" s="8"/>
    </row>
    <row r="296">
      <c r="G296" s="8"/>
    </row>
    <row r="297">
      <c r="G297" s="8"/>
    </row>
    <row r="298">
      <c r="G298" s="8"/>
    </row>
    <row r="299">
      <c r="G299" s="8"/>
    </row>
    <row r="300">
      <c r="G300" s="8"/>
    </row>
    <row r="301">
      <c r="G301" s="8"/>
    </row>
    <row r="302">
      <c r="G302" s="8"/>
    </row>
    <row r="303">
      <c r="G303" s="8"/>
    </row>
    <row r="304">
      <c r="G304" s="8"/>
    </row>
    <row r="305">
      <c r="G305" s="8"/>
    </row>
    <row r="306">
      <c r="G306" s="8"/>
    </row>
    <row r="307">
      <c r="G307" s="8"/>
    </row>
  </sheetData>
  <mergeCells count="2">
    <mergeCell ref="A8:E8"/>
    <mergeCell ref="A16:E16"/>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3" max="3" width="6.0"/>
    <col customWidth="1" min="4" max="4" width="54.38"/>
    <col customWidth="1" min="6" max="6" width="61.88"/>
  </cols>
  <sheetData>
    <row r="1">
      <c r="A1" s="12" t="s">
        <v>1017</v>
      </c>
      <c r="B1" s="12" t="s">
        <v>1018</v>
      </c>
      <c r="C1" s="12" t="s">
        <v>1019</v>
      </c>
      <c r="D1" s="12" t="s">
        <v>1020</v>
      </c>
      <c r="E1" s="12" t="s">
        <v>1021</v>
      </c>
    </row>
    <row r="2">
      <c r="A2" s="12">
        <v>1.0</v>
      </c>
      <c r="B2" s="12" t="s">
        <v>989</v>
      </c>
      <c r="C2" s="12" t="s">
        <v>1022</v>
      </c>
      <c r="D2" s="12" t="s">
        <v>1023</v>
      </c>
      <c r="E2" s="12" t="s">
        <v>1024</v>
      </c>
    </row>
    <row r="3">
      <c r="A3" s="12">
        <v>2.0</v>
      </c>
      <c r="B3" s="12" t="s">
        <v>1025</v>
      </c>
      <c r="C3" s="12" t="s">
        <v>1022</v>
      </c>
      <c r="D3" s="12" t="s">
        <v>1026</v>
      </c>
      <c r="E3" s="12" t="s">
        <v>1024</v>
      </c>
    </row>
    <row r="4">
      <c r="A4" s="12">
        <v>3.0</v>
      </c>
      <c r="B4" s="12" t="s">
        <v>1025</v>
      </c>
      <c r="C4" s="12" t="s">
        <v>1022</v>
      </c>
      <c r="D4" s="12" t="s">
        <v>1027</v>
      </c>
      <c r="E4" s="12" t="s">
        <v>1028</v>
      </c>
    </row>
    <row r="5">
      <c r="A5" s="12">
        <v>4.0</v>
      </c>
      <c r="B5" s="12" t="s">
        <v>1025</v>
      </c>
      <c r="C5" s="12" t="s">
        <v>1029</v>
      </c>
      <c r="D5" s="12" t="s">
        <v>1030</v>
      </c>
      <c r="E5" s="34"/>
    </row>
    <row r="6">
      <c r="A6" s="12">
        <v>5.0</v>
      </c>
      <c r="B6" s="12" t="s">
        <v>989</v>
      </c>
      <c r="C6" s="12" t="s">
        <v>1022</v>
      </c>
      <c r="D6" s="12" t="s">
        <v>1031</v>
      </c>
      <c r="E6" s="12" t="s">
        <v>1024</v>
      </c>
    </row>
    <row r="7">
      <c r="A7" s="12">
        <v>6.0</v>
      </c>
      <c r="B7" s="12" t="s">
        <v>1025</v>
      </c>
      <c r="C7" s="12" t="s">
        <v>1032</v>
      </c>
      <c r="D7" s="12" t="s">
        <v>1033</v>
      </c>
      <c r="E7" s="34"/>
    </row>
    <row r="8">
      <c r="A8" s="12">
        <v>7.0</v>
      </c>
      <c r="B8" s="12" t="s">
        <v>1025</v>
      </c>
      <c r="C8" s="12" t="s">
        <v>1022</v>
      </c>
      <c r="D8" s="29" t="s">
        <v>1034</v>
      </c>
      <c r="E8" s="12" t="s">
        <v>1024</v>
      </c>
    </row>
    <row r="9">
      <c r="A9" s="12">
        <v>8.0</v>
      </c>
      <c r="B9" s="12" t="s">
        <v>1025</v>
      </c>
      <c r="C9" s="12" t="s">
        <v>1022</v>
      </c>
      <c r="D9" s="12" t="s">
        <v>1035</v>
      </c>
      <c r="E9" s="12" t="s">
        <v>1024</v>
      </c>
    </row>
    <row r="13">
      <c r="A13" s="7" t="s">
        <v>1036</v>
      </c>
    </row>
    <row r="14">
      <c r="A14" s="12" t="s">
        <v>1017</v>
      </c>
      <c r="B14" s="12" t="s">
        <v>1018</v>
      </c>
      <c r="C14" s="12"/>
      <c r="D14" s="12" t="s">
        <v>1020</v>
      </c>
      <c r="E14" s="12" t="s">
        <v>1021</v>
      </c>
      <c r="F14" s="12" t="s">
        <v>1037</v>
      </c>
      <c r="G14" s="12" t="s">
        <v>1038</v>
      </c>
    </row>
    <row r="15">
      <c r="A15" s="12">
        <v>1.0</v>
      </c>
      <c r="B15" s="12" t="s">
        <v>989</v>
      </c>
      <c r="C15" s="29"/>
      <c r="D15" s="29" t="s">
        <v>1039</v>
      </c>
      <c r="E15" s="12" t="s">
        <v>1024</v>
      </c>
      <c r="F15" s="12" t="s">
        <v>1040</v>
      </c>
      <c r="G15" s="34"/>
    </row>
    <row r="16">
      <c r="A16" s="12">
        <v>2.0</v>
      </c>
      <c r="B16" s="12" t="s">
        <v>1025</v>
      </c>
      <c r="C16" s="29"/>
      <c r="D16" s="29" t="s">
        <v>1041</v>
      </c>
      <c r="E16" s="12" t="s">
        <v>1042</v>
      </c>
      <c r="F16" s="12" t="s">
        <v>1043</v>
      </c>
      <c r="G16" s="34"/>
    </row>
    <row r="17">
      <c r="A17" s="12">
        <v>3.0</v>
      </c>
      <c r="B17" s="12" t="s">
        <v>1025</v>
      </c>
      <c r="C17" s="29"/>
      <c r="D17" s="29" t="s">
        <v>1044</v>
      </c>
      <c r="E17" s="12" t="s">
        <v>1042</v>
      </c>
      <c r="F17" s="12" t="s">
        <v>1045</v>
      </c>
      <c r="G17"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3" width="31.0"/>
    <col customWidth="1" min="8" max="8" width="44.0"/>
  </cols>
  <sheetData>
    <row r="1">
      <c r="A1" s="35" t="s">
        <v>1046</v>
      </c>
      <c r="B1" s="36"/>
      <c r="C1" s="36"/>
      <c r="D1" s="7" t="s">
        <v>1047</v>
      </c>
      <c r="E1" s="7" t="s">
        <v>1048</v>
      </c>
      <c r="F1" s="7" t="s">
        <v>1049</v>
      </c>
      <c r="G1" s="7" t="s">
        <v>1050</v>
      </c>
      <c r="H1" s="7" t="s">
        <v>987</v>
      </c>
    </row>
    <row r="2">
      <c r="A2" s="8" t="s">
        <v>1051</v>
      </c>
      <c r="B2" s="36"/>
      <c r="C2" s="7" t="s">
        <v>987</v>
      </c>
      <c r="D2" s="36"/>
      <c r="E2" s="7" t="s">
        <v>1052</v>
      </c>
      <c r="G2" s="37" t="s">
        <v>1053</v>
      </c>
      <c r="H2" s="37" t="s">
        <v>1053</v>
      </c>
      <c r="I2" s="7" t="s">
        <v>1052</v>
      </c>
      <c r="K2" s="37" t="str">
        <f t="array" ref="K2">XLOOKUP($B2,'部署遍歴'!C:C,'部署遍歴'!D:D,"×")</f>
        <v>×</v>
      </c>
    </row>
    <row r="3">
      <c r="A3" s="8" t="s">
        <v>1054</v>
      </c>
      <c r="B3" s="36"/>
      <c r="C3" s="7" t="s">
        <v>987</v>
      </c>
      <c r="D3" s="36"/>
      <c r="E3" s="7" t="s">
        <v>1055</v>
      </c>
      <c r="G3" s="37" t="s">
        <v>1053</v>
      </c>
      <c r="H3" s="37" t="s">
        <v>1053</v>
      </c>
      <c r="I3" s="7" t="s">
        <v>1055</v>
      </c>
      <c r="J3" s="7" t="s">
        <v>1056</v>
      </c>
      <c r="K3" s="37" t="str">
        <f t="array" ref="K3">XLOOKUP($B3,'部署遍歴'!C:C,'部署遍歴'!D:D,"×")</f>
        <v>×</v>
      </c>
    </row>
    <row r="4">
      <c r="A4" s="8" t="s">
        <v>1057</v>
      </c>
      <c r="B4" s="36"/>
      <c r="C4" s="7" t="s">
        <v>987</v>
      </c>
      <c r="D4" s="36"/>
      <c r="E4" s="7" t="s">
        <v>1058</v>
      </c>
      <c r="G4" s="37" t="s">
        <v>1053</v>
      </c>
      <c r="H4" s="37" t="s">
        <v>1053</v>
      </c>
      <c r="I4" s="7" t="s">
        <v>1058</v>
      </c>
      <c r="J4" s="7" t="s">
        <v>1059</v>
      </c>
      <c r="K4" s="37" t="str">
        <f t="array" ref="K4">XLOOKUP($B4,'部署遍歴'!C:C,'部署遍歴'!D:D,"×")</f>
        <v>×</v>
      </c>
    </row>
    <row r="5">
      <c r="A5" s="8" t="s">
        <v>475</v>
      </c>
      <c r="B5" s="36"/>
      <c r="C5" s="36"/>
      <c r="D5" s="36"/>
      <c r="E5" s="37" t="s">
        <v>474</v>
      </c>
      <c r="G5" s="37" t="s">
        <v>1053</v>
      </c>
      <c r="H5" s="37" t="s">
        <v>1053</v>
      </c>
      <c r="K5" s="37" t="str">
        <f t="array" ref="K5">XLOOKUP($B5,'部署遍歴'!C:C,'部署遍歴'!D:D,"×")</f>
        <v>×</v>
      </c>
    </row>
    <row r="6">
      <c r="A6" s="8" t="s">
        <v>1060</v>
      </c>
      <c r="B6" s="36"/>
      <c r="C6" s="7" t="s">
        <v>987</v>
      </c>
      <c r="D6" s="36"/>
      <c r="E6" s="7" t="s">
        <v>693</v>
      </c>
      <c r="G6" s="37" t="s">
        <v>1053</v>
      </c>
      <c r="H6" s="37" t="s">
        <v>1053</v>
      </c>
      <c r="I6" s="7" t="s">
        <v>693</v>
      </c>
      <c r="J6" s="7" t="s">
        <v>1061</v>
      </c>
      <c r="K6" s="37" t="str">
        <f t="array" ref="K6">XLOOKUP($B6,'部署遍歴'!C:C,'部署遍歴'!D:D,"×")</f>
        <v>×</v>
      </c>
    </row>
    <row r="7">
      <c r="A7" s="8" t="s">
        <v>1062</v>
      </c>
      <c r="B7" s="36"/>
      <c r="C7" s="7" t="s">
        <v>987</v>
      </c>
      <c r="D7" s="36"/>
      <c r="E7" s="7" t="s">
        <v>298</v>
      </c>
      <c r="G7" s="37" t="s">
        <v>1063</v>
      </c>
      <c r="H7" s="37" t="s">
        <v>1053</v>
      </c>
      <c r="I7" s="7" t="s">
        <v>298</v>
      </c>
      <c r="J7" s="7" t="s">
        <v>1064</v>
      </c>
      <c r="K7" s="37" t="str">
        <f t="array" ref="K7">XLOOKUP($B7,'部署遍歴'!C:C,'部署遍歴'!D:D,"×")</f>
        <v>×</v>
      </c>
    </row>
    <row r="8">
      <c r="A8" s="8" t="s">
        <v>1065</v>
      </c>
      <c r="B8" s="36"/>
      <c r="C8" s="7" t="s">
        <v>987</v>
      </c>
      <c r="D8" s="36"/>
      <c r="E8" s="7" t="s">
        <v>478</v>
      </c>
      <c r="G8" s="37" t="s">
        <v>1066</v>
      </c>
      <c r="H8" s="37" t="s">
        <v>1053</v>
      </c>
      <c r="I8" s="7" t="s">
        <v>478</v>
      </c>
      <c r="J8" s="7" t="s">
        <v>1067</v>
      </c>
      <c r="K8" s="37" t="str">
        <f t="array" ref="K8">XLOOKUP($B8,'部署遍歴'!C:C,'部署遍歴'!D:D,"×")</f>
        <v>×</v>
      </c>
    </row>
    <row r="9">
      <c r="A9" s="8" t="s">
        <v>1068</v>
      </c>
      <c r="B9" s="36"/>
      <c r="C9" s="7" t="s">
        <v>987</v>
      </c>
      <c r="D9" s="36"/>
      <c r="E9" s="7" t="s">
        <v>1069</v>
      </c>
      <c r="G9" s="37" t="s">
        <v>1053</v>
      </c>
      <c r="H9" s="37" t="s">
        <v>1053</v>
      </c>
      <c r="I9" s="7" t="s">
        <v>1069</v>
      </c>
      <c r="J9" s="7" t="s">
        <v>1070</v>
      </c>
      <c r="K9" s="37" t="str">
        <f t="array" ref="K9">XLOOKUP($B9,'部署遍歴'!C:C,'部署遍歴'!D:D,"×")</f>
        <v>×</v>
      </c>
    </row>
    <row r="10">
      <c r="A10" s="8" t="s">
        <v>1071</v>
      </c>
      <c r="B10" s="36"/>
      <c r="C10" s="7" t="s">
        <v>987</v>
      </c>
      <c r="D10" s="36"/>
      <c r="E10" s="7" t="s">
        <v>188</v>
      </c>
      <c r="G10" s="37" t="s">
        <v>1053</v>
      </c>
      <c r="H10" s="37" t="s">
        <v>1053</v>
      </c>
      <c r="I10" s="7" t="s">
        <v>188</v>
      </c>
      <c r="J10" s="7" t="s">
        <v>1061</v>
      </c>
      <c r="K10" s="37" t="str">
        <f t="array" ref="K10">XLOOKUP($B10,'部署遍歴'!C:C,'部署遍歴'!D:D,"×")</f>
        <v>×</v>
      </c>
    </row>
    <row r="11">
      <c r="A11" s="8" t="s">
        <v>1072</v>
      </c>
      <c r="B11" s="36"/>
      <c r="C11" s="7" t="s">
        <v>987</v>
      </c>
      <c r="D11" s="36"/>
      <c r="E11" s="7" t="s">
        <v>1073</v>
      </c>
      <c r="G11" s="37" t="s">
        <v>1053</v>
      </c>
      <c r="H11" s="37" t="s">
        <v>1053</v>
      </c>
      <c r="I11" s="7" t="s">
        <v>1073</v>
      </c>
      <c r="J11" s="7" t="s">
        <v>1074</v>
      </c>
      <c r="K11" s="37" t="str">
        <f t="array" ref="K11">XLOOKUP($B11,'部署遍歴'!C:C,'部署遍歴'!D:D,"×")</f>
        <v>×</v>
      </c>
    </row>
    <row r="12">
      <c r="A12" s="8" t="s">
        <v>1075</v>
      </c>
      <c r="B12" s="36"/>
      <c r="C12" s="7" t="s">
        <v>987</v>
      </c>
      <c r="D12" s="36"/>
      <c r="E12" s="7" t="s">
        <v>1076</v>
      </c>
      <c r="G12" s="37" t="s">
        <v>1053</v>
      </c>
      <c r="H12" s="37" t="s">
        <v>1053</v>
      </c>
      <c r="I12" s="7" t="s">
        <v>1076</v>
      </c>
      <c r="J12" s="7" t="s">
        <v>1077</v>
      </c>
      <c r="K12" s="37" t="str">
        <f t="array" ref="K12">XLOOKUP($B12,'部署遍歴'!C:C,'部署遍歴'!D:D,"×")</f>
        <v>×</v>
      </c>
    </row>
    <row r="13">
      <c r="A13" s="8" t="s">
        <v>1078</v>
      </c>
      <c r="B13" s="36"/>
      <c r="C13" s="7" t="s">
        <v>987</v>
      </c>
      <c r="D13" s="36"/>
      <c r="E13" s="7" t="s">
        <v>1079</v>
      </c>
      <c r="G13" s="37" t="s">
        <v>1053</v>
      </c>
      <c r="H13" s="37" t="s">
        <v>1053</v>
      </c>
      <c r="I13" s="7" t="s">
        <v>1079</v>
      </c>
      <c r="J13" s="7" t="s">
        <v>1080</v>
      </c>
      <c r="K13" s="37" t="str">
        <f t="array" ref="K13">XLOOKUP($B13,'部署遍歴'!C:C,'部署遍歴'!D:D,"×")</f>
        <v>×</v>
      </c>
    </row>
    <row r="14">
      <c r="A14" s="8" t="s">
        <v>1081</v>
      </c>
      <c r="B14" s="36"/>
      <c r="C14" s="7" t="s">
        <v>987</v>
      </c>
      <c r="D14" s="36"/>
      <c r="E14" s="7" t="s">
        <v>1069</v>
      </c>
      <c r="G14" s="37" t="s">
        <v>1053</v>
      </c>
      <c r="H14" s="37" t="s">
        <v>1053</v>
      </c>
      <c r="I14" s="7" t="s">
        <v>1069</v>
      </c>
      <c r="J14" s="7" t="s">
        <v>1070</v>
      </c>
      <c r="K14" s="37" t="str">
        <f t="array" ref="K14">XLOOKUP($B14,'部署遍歴'!C:C,'部署遍歴'!D:D,"×")</f>
        <v>×</v>
      </c>
    </row>
    <row r="15">
      <c r="A15" s="8" t="s">
        <v>1082</v>
      </c>
      <c r="B15" s="36"/>
      <c r="C15" s="7" t="s">
        <v>987</v>
      </c>
      <c r="D15" s="36"/>
      <c r="E15" s="7" t="s">
        <v>1083</v>
      </c>
      <c r="G15" s="37" t="s">
        <v>1053</v>
      </c>
      <c r="H15" s="37" t="s">
        <v>1053</v>
      </c>
      <c r="I15" s="7" t="s">
        <v>1083</v>
      </c>
      <c r="J15" s="7" t="s">
        <v>1084</v>
      </c>
      <c r="K15" s="37" t="str">
        <f t="array" ref="K15">XLOOKUP($B15,'部署遍歴'!C:C,'部署遍歴'!D:D,"×")</f>
        <v>×</v>
      </c>
    </row>
    <row r="16">
      <c r="A16" s="8" t="s">
        <v>613</v>
      </c>
      <c r="B16" s="36"/>
      <c r="C16" s="36"/>
      <c r="D16" s="36"/>
      <c r="E16" s="37" t="s">
        <v>101</v>
      </c>
      <c r="G16" s="37" t="s">
        <v>1053</v>
      </c>
      <c r="H16" s="37" t="s">
        <v>1053</v>
      </c>
      <c r="K16" s="37" t="str">
        <f t="array" ref="K16">XLOOKUP($B16,'部署遍歴'!C:C,'部署遍歴'!D:D,"×")</f>
        <v>×</v>
      </c>
    </row>
    <row r="17">
      <c r="A17" s="8" t="s">
        <v>1085</v>
      </c>
      <c r="B17" s="36"/>
      <c r="C17" s="7" t="s">
        <v>987</v>
      </c>
      <c r="D17" s="36"/>
      <c r="E17" s="7" t="s">
        <v>1052</v>
      </c>
      <c r="G17" s="37" t="s">
        <v>1053</v>
      </c>
      <c r="H17" s="37" t="s">
        <v>1053</v>
      </c>
      <c r="I17" s="7" t="s">
        <v>1052</v>
      </c>
      <c r="J17" s="7" t="s">
        <v>1086</v>
      </c>
      <c r="K17" s="37" t="str">
        <f t="array" ref="K17">XLOOKUP($B17,'部署遍歴'!C:C,'部署遍歴'!D:D,"×")</f>
        <v>×</v>
      </c>
    </row>
    <row r="18">
      <c r="A18" s="8" t="s">
        <v>186</v>
      </c>
      <c r="B18" s="36"/>
      <c r="C18" s="36"/>
      <c r="D18" s="36"/>
      <c r="E18" s="38" t="s">
        <v>516</v>
      </c>
      <c r="G18" s="37" t="s">
        <v>1053</v>
      </c>
      <c r="H18" s="37" t="s">
        <v>1053</v>
      </c>
      <c r="K18" s="37" t="str">
        <f t="array" ref="K18">XLOOKUP($B18,'部署遍歴'!C:C,'部署遍歴'!D:D,"×")</f>
        <v>×</v>
      </c>
    </row>
    <row r="19">
      <c r="A19" s="8" t="s">
        <v>1087</v>
      </c>
      <c r="B19" s="36"/>
      <c r="C19" s="7" t="s">
        <v>987</v>
      </c>
      <c r="D19" s="36"/>
      <c r="E19" s="7" t="s">
        <v>1088</v>
      </c>
      <c r="G19" s="37" t="s">
        <v>1053</v>
      </c>
      <c r="H19" s="37" t="s">
        <v>1053</v>
      </c>
      <c r="I19" s="7" t="s">
        <v>1088</v>
      </c>
      <c r="J19" s="7" t="s">
        <v>1089</v>
      </c>
      <c r="K19" s="37" t="str">
        <f t="array" ref="K19">XLOOKUP($B19,'部署遍歴'!C:C,'部署遍歴'!D:D,"×")</f>
        <v>×</v>
      </c>
    </row>
    <row r="20">
      <c r="A20" s="8" t="s">
        <v>1090</v>
      </c>
      <c r="B20" s="36"/>
      <c r="C20" s="7" t="s">
        <v>987</v>
      </c>
      <c r="D20" s="36"/>
      <c r="E20" s="7" t="s">
        <v>1091</v>
      </c>
      <c r="G20" s="37" t="s">
        <v>1053</v>
      </c>
      <c r="H20" s="37" t="s">
        <v>1053</v>
      </c>
      <c r="I20" s="7" t="s">
        <v>1091</v>
      </c>
      <c r="J20" s="7" t="s">
        <v>1092</v>
      </c>
      <c r="K20" s="37" t="str">
        <f t="array" ref="K20">XLOOKUP($B20,'部署遍歴'!C:C,'部署遍歴'!D:D,"×")</f>
        <v>×</v>
      </c>
    </row>
    <row r="21">
      <c r="A21" s="8" t="s">
        <v>1093</v>
      </c>
      <c r="B21" s="36"/>
      <c r="C21" s="7" t="s">
        <v>987</v>
      </c>
      <c r="D21" s="36"/>
      <c r="E21" s="7" t="s">
        <v>1094</v>
      </c>
      <c r="G21" s="37" t="s">
        <v>1053</v>
      </c>
      <c r="H21" s="37" t="s">
        <v>1053</v>
      </c>
      <c r="I21" s="7" t="s">
        <v>1094</v>
      </c>
      <c r="J21" s="7" t="s">
        <v>1095</v>
      </c>
      <c r="K21" s="37" t="str">
        <f t="array" ref="K21">XLOOKUP($B21,'部署遍歴'!C:C,'部署遍歴'!D:D,"×")</f>
        <v>×</v>
      </c>
    </row>
    <row r="22">
      <c r="A22" s="8" t="s">
        <v>1096</v>
      </c>
      <c r="B22" s="36"/>
      <c r="C22" s="7" t="s">
        <v>987</v>
      </c>
      <c r="D22" s="8"/>
      <c r="E22" s="7" t="s">
        <v>1097</v>
      </c>
      <c r="G22" s="37" t="s">
        <v>1053</v>
      </c>
      <c r="H22" s="37" t="s">
        <v>1053</v>
      </c>
      <c r="I22" s="7" t="s">
        <v>1097</v>
      </c>
      <c r="J22" s="7" t="s">
        <v>1098</v>
      </c>
      <c r="K22" s="37" t="str">
        <f t="array" ref="K22">XLOOKUP($B22,'部署遍歴'!C:C,'部署遍歴'!D:D,"×")</f>
        <v>×</v>
      </c>
    </row>
    <row r="23">
      <c r="A23" s="36"/>
      <c r="B23" s="36"/>
      <c r="C23" s="36"/>
    </row>
    <row r="24">
      <c r="A24" s="35" t="s">
        <v>1099</v>
      </c>
      <c r="B24" s="39"/>
      <c r="C24" s="39"/>
    </row>
    <row r="25">
      <c r="A25" s="8" t="s">
        <v>1100</v>
      </c>
      <c r="B25" s="8" t="s">
        <v>1101</v>
      </c>
      <c r="C25" s="8" t="s">
        <v>1102</v>
      </c>
      <c r="D25" s="37" t="str">
        <f t="array" ref="D25">XLOOKUP($A25,'本部部署'!A:A,'本部部署'!A:A,"×",0,"1")</f>
        <v>×</v>
      </c>
      <c r="E25" s="37" t="str">
        <f t="array" ref="E25">XLOOKUP($B25,'本部部署'!B:B,'本部部署'!B:B,"×",0,"1")</f>
        <v>×</v>
      </c>
      <c r="F25" s="37" t="str">
        <f t="array" ref="F25">XLOOKUP($A25,'本部部署'!B:B,'本部部署'!B:B,"×",0,"1")</f>
        <v>×</v>
      </c>
      <c r="G25" s="37" t="str">
        <f t="array" ref="G25">XLOOKUP($B25,'本部部署'!A:A,'本部部署'!A:A,"×",0,"1")</f>
        <v>×</v>
      </c>
      <c r="H25" s="7" t="s">
        <v>1103</v>
      </c>
    </row>
    <row r="26">
      <c r="A26" s="8" t="s">
        <v>1100</v>
      </c>
      <c r="B26" s="8" t="s">
        <v>444</v>
      </c>
      <c r="C26" s="8" t="s">
        <v>1102</v>
      </c>
      <c r="D26" s="37" t="str">
        <f t="array" ref="D26">XLOOKUP($A26,'本部部署'!A:A,'本部部署'!A:A,"×",0,"1")</f>
        <v>×</v>
      </c>
      <c r="E26" s="37" t="str">
        <f t="array" ref="E26">XLOOKUP($B26,'本部部署'!B:B,'本部部署'!B:B,"×",0,"1")</f>
        <v>×</v>
      </c>
      <c r="F26" s="37" t="str">
        <f t="array" ref="F26">XLOOKUP($A26,'本部部署'!B:B,'本部部署'!B:B,"×",0,"1")</f>
        <v>×</v>
      </c>
      <c r="G26" s="37" t="str">
        <f t="array" ref="G26">XLOOKUP($B26,'本部部署'!A:A,'本部部署'!A:A,"×",0,"1")</f>
        <v>×</v>
      </c>
      <c r="H26" s="7" t="s">
        <v>1103</v>
      </c>
    </row>
    <row r="27">
      <c r="A27" s="8" t="s">
        <v>1100</v>
      </c>
      <c r="B27" s="8" t="s">
        <v>56</v>
      </c>
      <c r="C27" s="8" t="s">
        <v>1102</v>
      </c>
      <c r="D27" s="37" t="str">
        <f t="array" ref="D27">XLOOKUP($A27,'本部部署'!A:A,'本部部署'!A:A,"×",0,"1")</f>
        <v>×</v>
      </c>
      <c r="E27" s="37" t="str">
        <f t="array" ref="E27">XLOOKUP($B27,'本部部署'!B:B,'本部部署'!B:B,"×",0,"1")</f>
        <v>×</v>
      </c>
      <c r="F27" s="37" t="str">
        <f t="array" ref="F27">XLOOKUP($A27,'本部部署'!B:B,'本部部署'!B:B,"×",0,"1")</f>
        <v>×</v>
      </c>
      <c r="G27" s="37" t="str">
        <f t="array" ref="G27">XLOOKUP($B27,'本部部署'!A:A,'本部部署'!A:A,"×",0,"1")</f>
        <v>×</v>
      </c>
      <c r="H27" s="7" t="s">
        <v>1103</v>
      </c>
    </row>
    <row r="28">
      <c r="A28" s="8" t="s">
        <v>1100</v>
      </c>
      <c r="B28" s="8" t="s">
        <v>1104</v>
      </c>
      <c r="C28" s="8" t="s">
        <v>1102</v>
      </c>
      <c r="D28" s="37" t="str">
        <f t="array" ref="D28">XLOOKUP($A28,'本部部署'!A:A,'本部部署'!A:A,"×",0,"1")</f>
        <v>×</v>
      </c>
      <c r="E28" s="37" t="str">
        <f t="array" ref="E28">XLOOKUP($B28,'本部部署'!B:B,'本部部署'!B:B,"×",0,"1")</f>
        <v>×</v>
      </c>
      <c r="F28" s="37" t="str">
        <f t="array" ref="F28">XLOOKUP($A28,'本部部署'!B:B,'本部部署'!B:B,"×",0,"1")</f>
        <v>×</v>
      </c>
      <c r="G28" s="37" t="str">
        <f t="array" ref="G28">XLOOKUP($B28,'本部部署'!A:A,'本部部署'!A:A,"×",0,"1")</f>
        <v>×</v>
      </c>
      <c r="H28" s="7" t="s">
        <v>1105</v>
      </c>
    </row>
    <row r="29">
      <c r="A29" s="8" t="s">
        <v>1106</v>
      </c>
      <c r="B29" s="8" t="s">
        <v>1107</v>
      </c>
      <c r="C29" s="8" t="s">
        <v>1102</v>
      </c>
      <c r="D29" s="37" t="str">
        <f t="array" ref="D29">XLOOKUP($A29,'本部部署'!A:A,'本部部署'!A:A,"×",0,"1")</f>
        <v>×</v>
      </c>
      <c r="E29" s="37" t="str">
        <f t="array" ref="E29">XLOOKUP($B29,'本部部署'!B:B,'本部部署'!B:B,"×",0,"1")</f>
        <v>×</v>
      </c>
      <c r="F29" s="37" t="str">
        <f t="array" ref="F29">XLOOKUP($A29,'本部部署'!B:B,'本部部署'!B:B,"×",0,"1")</f>
        <v>×</v>
      </c>
      <c r="G29" s="37" t="str">
        <f t="array" ref="G29">XLOOKUP($B29,'本部部署'!A:A,'本部部署'!A:A,"×",0,"1")</f>
        <v>×</v>
      </c>
      <c r="H29" s="7" t="s">
        <v>1108</v>
      </c>
    </row>
    <row r="30">
      <c r="A30" s="8" t="s">
        <v>1106</v>
      </c>
      <c r="B30" s="8" t="s">
        <v>1109</v>
      </c>
      <c r="C30" s="8" t="s">
        <v>1102</v>
      </c>
      <c r="D30" s="37" t="str">
        <f t="array" ref="D30">XLOOKUP($A30,'本部部署'!A:A,'本部部署'!A:A,"×",0,"1")</f>
        <v>×</v>
      </c>
      <c r="E30" s="37" t="str">
        <f t="array" ref="E30">XLOOKUP($B30,'本部部署'!B:B,'本部部署'!B:B,"×",0,"1")</f>
        <v>×</v>
      </c>
      <c r="F30" s="37" t="str">
        <f t="array" ref="F30">XLOOKUP($A30,'本部部署'!B:B,'本部部署'!B:B,"×",0,"1")</f>
        <v>×</v>
      </c>
      <c r="G30" s="37" t="str">
        <f t="array" ref="G30">XLOOKUP($B30,'本部部署'!A:A,'本部部署'!A:A,"×",0,"1")</f>
        <v>×</v>
      </c>
      <c r="H30" s="7" t="s">
        <v>1110</v>
      </c>
    </row>
    <row r="31">
      <c r="A31" s="8" t="s">
        <v>1106</v>
      </c>
      <c r="B31" s="8" t="s">
        <v>1111</v>
      </c>
      <c r="C31" s="8" t="s">
        <v>1102</v>
      </c>
      <c r="D31" s="37" t="str">
        <f t="array" ref="D31">XLOOKUP($A31,'本部部署'!A:A,'本部部署'!A:A,"×",0,"1")</f>
        <v>×</v>
      </c>
      <c r="E31" s="37" t="str">
        <f t="array" ref="E31">XLOOKUP($B31,'本部部署'!B:B,'本部部署'!B:B,"×",0,"1")</f>
        <v>×</v>
      </c>
      <c r="F31" s="37" t="str">
        <f t="array" ref="F31">XLOOKUP($A31,'本部部署'!B:B,'本部部署'!B:B,"×",0,"1")</f>
        <v>×</v>
      </c>
      <c r="G31" s="37" t="str">
        <f t="array" ref="G31">XLOOKUP($B31,'本部部署'!A:A,'本部部署'!A:A,"×",0,"1")</f>
        <v>×</v>
      </c>
      <c r="H31" s="7" t="s">
        <v>1105</v>
      </c>
    </row>
    <row r="32">
      <c r="A32" s="8" t="s">
        <v>1106</v>
      </c>
      <c r="B32" s="8" t="s">
        <v>1112</v>
      </c>
      <c r="C32" s="8" t="s">
        <v>1102</v>
      </c>
      <c r="D32" s="37" t="str">
        <f t="array" ref="D32">XLOOKUP($A32,'本部部署'!A:A,'本部部署'!A:A,"×",0,"1")</f>
        <v>×</v>
      </c>
      <c r="E32" s="37" t="str">
        <f t="array" ref="E32">XLOOKUP($B32,'本部部署'!B:B,'本部部署'!B:B,"×",0,"1")</f>
        <v>×</v>
      </c>
      <c r="F32" s="37" t="str">
        <f t="array" ref="F32">XLOOKUP($A32,'本部部署'!B:B,'本部部署'!B:B,"×",0,"1")</f>
        <v>×</v>
      </c>
      <c r="G32" s="37" t="str">
        <f t="array" ref="G32">XLOOKUP($B32,'本部部署'!A:A,'本部部署'!A:A,"×",0,"1")</f>
        <v>×</v>
      </c>
      <c r="H32" s="7" t="s">
        <v>1110</v>
      </c>
    </row>
    <row r="33">
      <c r="A33" s="8" t="s">
        <v>1106</v>
      </c>
      <c r="B33" s="8" t="s">
        <v>1113</v>
      </c>
      <c r="C33" s="8" t="s">
        <v>1102</v>
      </c>
      <c r="D33" s="37" t="str">
        <f t="array" ref="D33">XLOOKUP($A33,'本部部署'!A:A,'本部部署'!A:A,"×",0,"1")</f>
        <v>×</v>
      </c>
      <c r="E33" s="37" t="str">
        <f t="array" ref="E33">XLOOKUP($B33,'本部部署'!B:B,'本部部署'!B:B,"×",0,"1")</f>
        <v>×</v>
      </c>
      <c r="F33" s="37" t="str">
        <f t="array" ref="F33">XLOOKUP($A33,'本部部署'!B:B,'本部部署'!B:B,"×",0,"1")</f>
        <v>×</v>
      </c>
      <c r="G33" s="37" t="str">
        <f t="array" ref="G33">XLOOKUP($B33,'本部部署'!A:A,'本部部署'!A:A,"×",0,"1")</f>
        <v>×</v>
      </c>
      <c r="H33" s="7" t="s">
        <v>1110</v>
      </c>
    </row>
    <row r="34">
      <c r="A34" s="8" t="s">
        <v>1114</v>
      </c>
      <c r="B34" s="8" t="s">
        <v>1115</v>
      </c>
      <c r="C34" s="8" t="s">
        <v>1116</v>
      </c>
      <c r="D34" s="37" t="str">
        <f t="array" ref="D34">XLOOKUP($A34,'本部部署'!A:A,'本部部署'!A:A,"×",0,"1")</f>
        <v>×</v>
      </c>
      <c r="E34" s="37" t="str">
        <f t="array" ref="E34">XLOOKUP($B34,'本部部署'!B:B,'本部部署'!B:B,"×",0,"1")</f>
        <v>×</v>
      </c>
      <c r="F34" s="37" t="str">
        <f t="array" ref="F34">XLOOKUP($A34,'本部部署'!B:B,'本部部署'!B:B,"×",0,"1")</f>
        <v>×</v>
      </c>
      <c r="G34" s="37" t="str">
        <f t="array" ref="G34">XLOOKUP($B34,'本部部署'!A:A,'本部部署'!A:A,"×",0,"1")</f>
        <v>×</v>
      </c>
      <c r="H34" s="7" t="s">
        <v>1117</v>
      </c>
    </row>
    <row r="35">
      <c r="A35" s="8" t="s">
        <v>1114</v>
      </c>
      <c r="B35" s="8" t="s">
        <v>1118</v>
      </c>
      <c r="C35" s="8" t="s">
        <v>1116</v>
      </c>
      <c r="D35" s="37" t="str">
        <f t="array" ref="D35">XLOOKUP($A35,'本部部署'!A:A,'本部部署'!A:A,"×",0,"1")</f>
        <v>×</v>
      </c>
      <c r="E35" s="37" t="str">
        <f t="array" ref="E35">XLOOKUP($B35,'本部部署'!B:B,'本部部署'!B:B,"×",0,"1")</f>
        <v>×</v>
      </c>
      <c r="F35" s="37" t="str">
        <f t="array" ref="F35">XLOOKUP($A35,'本部部署'!B:B,'本部部署'!B:B,"×",0,"1")</f>
        <v>×</v>
      </c>
      <c r="G35" s="37" t="str">
        <f t="array" ref="G35">XLOOKUP($B35,'本部部署'!A:A,'本部部署'!A:A,"×",0,"1")</f>
        <v>×</v>
      </c>
      <c r="H35" s="7" t="s">
        <v>1117</v>
      </c>
    </row>
    <row r="36">
      <c r="A36" s="8" t="s">
        <v>1114</v>
      </c>
      <c r="B36" s="8" t="s">
        <v>1119</v>
      </c>
      <c r="C36" s="8" t="s">
        <v>1116</v>
      </c>
      <c r="D36" s="37" t="str">
        <f t="array" ref="D36">XLOOKUP($A36,'本部部署'!A:A,'本部部署'!A:A,"×",0,"1")</f>
        <v>×</v>
      </c>
      <c r="E36" s="37" t="str">
        <f t="array" ref="E36">XLOOKUP($B36,'本部部署'!B:B,'本部部署'!B:B,"×",0,"1")</f>
        <v>×</v>
      </c>
      <c r="F36" s="37" t="str">
        <f t="array" ref="F36">XLOOKUP($A36,'本部部署'!B:B,'本部部署'!B:B,"×",0,"1")</f>
        <v>×</v>
      </c>
      <c r="G36" s="37" t="str">
        <f t="array" ref="G36">XLOOKUP($B36,'本部部署'!A:A,'本部部署'!A:A,"×",0,"1")</f>
        <v>×</v>
      </c>
      <c r="H36" s="7" t="s">
        <v>1117</v>
      </c>
    </row>
    <row r="37">
      <c r="A37" s="8" t="s">
        <v>1114</v>
      </c>
      <c r="B37" s="8" t="s">
        <v>1120</v>
      </c>
      <c r="C37" s="8" t="s">
        <v>1116</v>
      </c>
      <c r="D37" s="37" t="str">
        <f t="array" ref="D37">XLOOKUP($A37,'本部部署'!A:A,'本部部署'!A:A,"×",0,"1")</f>
        <v>×</v>
      </c>
      <c r="E37" s="37" t="str">
        <f t="array" ref="E37">XLOOKUP($B37,'本部部署'!B:B,'本部部署'!B:B,"×",0,"1")</f>
        <v>×</v>
      </c>
      <c r="F37" s="37" t="str">
        <f t="array" ref="F37">XLOOKUP($A37,'本部部署'!B:B,'本部部署'!B:B,"×",0,"1")</f>
        <v>×</v>
      </c>
      <c r="G37" s="37" t="str">
        <f t="array" ref="G37">XLOOKUP($B37,'本部部署'!A:A,'本部部署'!A:A,"×",0,"1")</f>
        <v>×</v>
      </c>
      <c r="H37" s="7" t="s">
        <v>1117</v>
      </c>
    </row>
    <row r="38">
      <c r="A38" s="8" t="s">
        <v>1114</v>
      </c>
      <c r="B38" s="8" t="s">
        <v>1121</v>
      </c>
      <c r="C38" s="8" t="s">
        <v>1116</v>
      </c>
      <c r="D38" s="37" t="str">
        <f t="array" ref="D38">XLOOKUP($A38,'本部部署'!A:A,'本部部署'!A:A,"×",0,"1")</f>
        <v>×</v>
      </c>
      <c r="E38" s="37" t="str">
        <f t="array" ref="E38">XLOOKUP($B38,'本部部署'!B:B,'本部部署'!B:B,"×",0,"1")</f>
        <v>×</v>
      </c>
      <c r="F38" s="37" t="str">
        <f t="array" ref="F38">XLOOKUP($A38,'本部部署'!B:B,'本部部署'!B:B,"×",0,"1")</f>
        <v>×</v>
      </c>
      <c r="G38" s="37" t="str">
        <f t="array" ref="G38">XLOOKUP($B38,'本部部署'!A:A,'本部部署'!A:A,"×",0,"1")</f>
        <v>×</v>
      </c>
      <c r="H38" s="7" t="s">
        <v>1117</v>
      </c>
    </row>
    <row r="39">
      <c r="A39" s="8" t="s">
        <v>1114</v>
      </c>
      <c r="B39" s="8" t="s">
        <v>430</v>
      </c>
      <c r="C39" s="8"/>
      <c r="D39" s="37" t="str">
        <f t="array" ref="D39">XLOOKUP($A39,'本部部署'!A:A,'本部部署'!A:A,"×",0,"1")</f>
        <v>×</v>
      </c>
      <c r="E39" s="37" t="str">
        <f t="array" ref="E39">XLOOKUP($B39,'本部部署'!B:B,'本部部署'!B:B,"×",0,"1")</f>
        <v>経営管理部</v>
      </c>
    </row>
    <row r="40">
      <c r="A40" s="8" t="s">
        <v>1114</v>
      </c>
      <c r="B40" s="8" t="s">
        <v>1122</v>
      </c>
      <c r="C40" s="8" t="s">
        <v>1116</v>
      </c>
      <c r="D40" s="37" t="str">
        <f t="array" ref="D40">XLOOKUP($A40,'本部部署'!A:A,'本部部署'!A:A,"×",0,"1")</f>
        <v>×</v>
      </c>
      <c r="E40" s="37" t="str">
        <f t="array" ref="E40">XLOOKUP($B40,'本部部署'!B:B,'本部部署'!B:B,"×",0,"1")</f>
        <v>×</v>
      </c>
      <c r="F40" s="37" t="str">
        <f t="array" ref="F40">XLOOKUP($A40,'本部部署'!B:B,'本部部署'!B:B,"×",0,"1")</f>
        <v>×</v>
      </c>
      <c r="G40" s="37" t="str">
        <f t="array" ref="G40">XLOOKUP($B40,'本部部署'!A:A,'本部部署'!A:A,"×",0,"1")</f>
        <v>×</v>
      </c>
      <c r="H40" s="7" t="s">
        <v>1117</v>
      </c>
    </row>
    <row r="41">
      <c r="A41" s="8" t="s">
        <v>1114</v>
      </c>
      <c r="B41" s="8" t="s">
        <v>1123</v>
      </c>
      <c r="C41" s="8" t="s">
        <v>1116</v>
      </c>
      <c r="D41" s="37" t="str">
        <f t="array" ref="D41">XLOOKUP($A41,'本部部署'!A:A,'本部部署'!A:A,"×",0,"1")</f>
        <v>×</v>
      </c>
      <c r="E41" s="37" t="str">
        <f t="array" ref="E41">XLOOKUP($B41,'本部部署'!B:B,'本部部署'!B:B,"×",0,"1")</f>
        <v>×</v>
      </c>
      <c r="F41" s="37" t="str">
        <f t="array" ref="F41">XLOOKUP($A41,'本部部署'!B:B,'本部部署'!B:B,"×",0,"1")</f>
        <v>×</v>
      </c>
      <c r="G41" s="37" t="str">
        <f t="array" ref="G41">XLOOKUP($B41,'本部部署'!A:A,'本部部署'!A:A,"×",0,"1")</f>
        <v>×</v>
      </c>
      <c r="H41" s="7" t="s">
        <v>1117</v>
      </c>
    </row>
    <row r="42">
      <c r="A42" s="8" t="s">
        <v>1114</v>
      </c>
      <c r="B42" s="8" t="s">
        <v>1124</v>
      </c>
      <c r="C42" s="8" t="s">
        <v>1116</v>
      </c>
      <c r="D42" s="37" t="str">
        <f t="array" ref="D42">XLOOKUP($A42,'本部部署'!A:A,'本部部署'!A:A,"×",0,"1")</f>
        <v>×</v>
      </c>
      <c r="E42" s="37" t="str">
        <f t="array" ref="E42">XLOOKUP($B42,'本部部署'!B:B,'本部部署'!B:B,"×",0,"1")</f>
        <v>×</v>
      </c>
      <c r="F42" s="37" t="str">
        <f t="array" ref="F42">XLOOKUP($A42,'本部部署'!B:B,'本部部署'!B:B,"×",0,"1")</f>
        <v>×</v>
      </c>
      <c r="G42" s="37" t="str">
        <f t="array" ref="G42">XLOOKUP($B42,'本部部署'!A:A,'本部部署'!A:A,"×",0,"1")</f>
        <v>×</v>
      </c>
      <c r="H42" s="7" t="s">
        <v>1117</v>
      </c>
    </row>
    <row r="43">
      <c r="A43" s="8" t="s">
        <v>1114</v>
      </c>
      <c r="B43" s="8" t="s">
        <v>1125</v>
      </c>
      <c r="C43" s="8" t="s">
        <v>1116</v>
      </c>
      <c r="D43" s="37" t="str">
        <f t="array" ref="D43">XLOOKUP($A43,'本部部署'!A:A,'本部部署'!A:A,"×",0,"1")</f>
        <v>×</v>
      </c>
      <c r="E43" s="37" t="str">
        <f t="array" ref="E43">XLOOKUP($B43,'本部部署'!B:B,'本部部署'!B:B,"×",0,"1")</f>
        <v>×</v>
      </c>
      <c r="F43" s="37" t="str">
        <f t="array" ref="F43">XLOOKUP($A43,'本部部署'!B:B,'本部部署'!B:B,"×",0,"1")</f>
        <v>×</v>
      </c>
      <c r="G43" s="37" t="str">
        <f t="array" ref="G43">XLOOKUP($B43,'本部部署'!A:A,'本部部署'!A:A,"×",0,"1")</f>
        <v>×</v>
      </c>
      <c r="H43" s="7" t="s">
        <v>1117</v>
      </c>
    </row>
    <row r="44">
      <c r="A44" s="8" t="s">
        <v>1114</v>
      </c>
      <c r="B44" s="8" t="s">
        <v>1126</v>
      </c>
      <c r="C44" s="8" t="s">
        <v>1116</v>
      </c>
      <c r="D44" s="37" t="str">
        <f t="array" ref="D44">XLOOKUP($A44,'本部部署'!A:A,'本部部署'!A:A,"×",0,"1")</f>
        <v>×</v>
      </c>
      <c r="E44" s="37" t="str">
        <f t="array" ref="E44">XLOOKUP($B44,'本部部署'!B:B,'本部部署'!B:B,"×",0,"1")</f>
        <v>×</v>
      </c>
      <c r="F44" s="37" t="str">
        <f t="array" ref="F44">XLOOKUP($A44,'本部部署'!B:B,'本部部署'!B:B,"×",0,"1")</f>
        <v>×</v>
      </c>
      <c r="G44" s="37" t="str">
        <f t="array" ref="G44">XLOOKUP($B44,'本部部署'!A:A,'本部部署'!A:A,"×",0,"1")</f>
        <v>×</v>
      </c>
      <c r="H44" s="7" t="s">
        <v>1117</v>
      </c>
    </row>
    <row r="45">
      <c r="A45" s="8" t="s">
        <v>1114</v>
      </c>
      <c r="B45" s="8" t="s">
        <v>1127</v>
      </c>
      <c r="C45" s="8" t="s">
        <v>1116</v>
      </c>
      <c r="D45" s="37" t="str">
        <f t="array" ref="D45">XLOOKUP($A45,'本部部署'!A:A,'本部部署'!A:A,"×",0,"1")</f>
        <v>×</v>
      </c>
      <c r="E45" s="37" t="str">
        <f t="array" ref="E45">XLOOKUP($B45,'本部部署'!B:B,'本部部署'!B:B,"×",0,"1")</f>
        <v>×</v>
      </c>
      <c r="F45" s="37" t="str">
        <f t="array" ref="F45">XLOOKUP($A45,'本部部署'!B:B,'本部部署'!B:B,"×",0,"1")</f>
        <v>×</v>
      </c>
      <c r="G45" s="37" t="str">
        <f t="array" ref="G45">XLOOKUP($B45,'本部部署'!A:A,'本部部署'!A:A,"×",0,"1")</f>
        <v>×</v>
      </c>
      <c r="H45" s="7" t="s">
        <v>1117</v>
      </c>
    </row>
    <row r="46">
      <c r="A46" s="8" t="s">
        <v>1114</v>
      </c>
      <c r="B46" s="8" t="s">
        <v>1128</v>
      </c>
      <c r="C46" s="8" t="s">
        <v>1116</v>
      </c>
      <c r="D46" s="37" t="str">
        <f t="array" ref="D46">XLOOKUP($A46,'本部部署'!A:A,'本部部署'!A:A,"×",0,"1")</f>
        <v>×</v>
      </c>
      <c r="E46" s="37" t="str">
        <f t="array" ref="E46">XLOOKUP($B46,'本部部署'!B:B,'本部部署'!B:B,"×",0,"1")</f>
        <v>×</v>
      </c>
      <c r="F46" s="37" t="str">
        <f t="array" ref="F46">XLOOKUP($A46,'本部部署'!B:B,'本部部署'!B:B,"×",0,"1")</f>
        <v>×</v>
      </c>
      <c r="G46" s="37" t="str">
        <f t="array" ref="G46">XLOOKUP($B46,'本部部署'!A:A,'本部部署'!A:A,"×",0,"1")</f>
        <v>×</v>
      </c>
      <c r="H46" s="7" t="s">
        <v>1117</v>
      </c>
    </row>
    <row r="47">
      <c r="A47" s="8" t="s">
        <v>1114</v>
      </c>
      <c r="B47" s="8" t="s">
        <v>1129</v>
      </c>
      <c r="C47" s="8" t="s">
        <v>1116</v>
      </c>
      <c r="D47" s="37" t="str">
        <f t="array" ref="D47">XLOOKUP($A47,'本部部署'!A:A,'本部部署'!A:A,"×",0,"1")</f>
        <v>×</v>
      </c>
      <c r="E47" s="37" t="str">
        <f t="array" ref="E47">XLOOKUP($B47,'本部部署'!B:B,'本部部署'!B:B,"×",0,"1")</f>
        <v>×</v>
      </c>
      <c r="F47" s="37" t="str">
        <f t="array" ref="F47">XLOOKUP($A47,'本部部署'!B:B,'本部部署'!B:B,"×",0,"1")</f>
        <v>×</v>
      </c>
      <c r="G47" s="37" t="str">
        <f t="array" ref="G47">XLOOKUP($B47,'本部部署'!A:A,'本部部署'!A:A,"×",0,"1")</f>
        <v>×</v>
      </c>
      <c r="H47" s="7" t="s">
        <v>1117</v>
      </c>
    </row>
    <row r="48">
      <c r="A48" s="8" t="s">
        <v>1114</v>
      </c>
      <c r="B48" s="8" t="s">
        <v>1111</v>
      </c>
      <c r="C48" s="8" t="s">
        <v>1116</v>
      </c>
      <c r="D48" s="37" t="str">
        <f t="array" ref="D48">XLOOKUP($A48,'本部部署'!A:A,'本部部署'!A:A,"×",0,"1")</f>
        <v>×</v>
      </c>
      <c r="E48" s="37" t="str">
        <f t="array" ref="E48">XLOOKUP($B48,'本部部署'!B:B,'本部部署'!B:B,"×",0,"1")</f>
        <v>×</v>
      </c>
      <c r="F48" s="37" t="str">
        <f t="array" ref="F48">XLOOKUP($A48,'本部部署'!B:B,'本部部署'!B:B,"×",0,"1")</f>
        <v>×</v>
      </c>
      <c r="G48" s="37" t="str">
        <f t="array" ref="G48">XLOOKUP($B48,'本部部署'!A:A,'本部部署'!A:A,"×",0,"1")</f>
        <v>×</v>
      </c>
      <c r="H48" s="7" t="s">
        <v>1105</v>
      </c>
    </row>
    <row r="49">
      <c r="A49" s="8" t="s">
        <v>1114</v>
      </c>
      <c r="B49" s="8" t="s">
        <v>1130</v>
      </c>
      <c r="C49" s="8" t="s">
        <v>1116</v>
      </c>
      <c r="D49" s="37" t="str">
        <f t="array" ref="D49">XLOOKUP($A49,'本部部署'!A:A,'本部部署'!A:A,"×",0,"1")</f>
        <v>×</v>
      </c>
      <c r="E49" s="37" t="str">
        <f t="array" ref="E49">XLOOKUP($B49,'本部部署'!B:B,'本部部署'!B:B,"×",0,"1")</f>
        <v>×</v>
      </c>
      <c r="F49" s="37" t="str">
        <f t="array" ref="F49">XLOOKUP($A49,'本部部署'!B:B,'本部部署'!B:B,"×",0,"1")</f>
        <v>×</v>
      </c>
      <c r="G49" s="37" t="str">
        <f t="array" ref="G49">XLOOKUP($B49,'本部部署'!A:A,'本部部署'!A:A,"×",0,"1")</f>
        <v>×</v>
      </c>
      <c r="H49" s="7" t="s">
        <v>1117</v>
      </c>
    </row>
    <row r="50">
      <c r="A50" s="8" t="s">
        <v>1131</v>
      </c>
      <c r="B50" s="8" t="s">
        <v>1132</v>
      </c>
      <c r="C50" s="8" t="s">
        <v>1102</v>
      </c>
      <c r="D50" s="37" t="str">
        <f t="array" ref="D50">XLOOKUP($A50,'本部部署'!A:A,'本部部署'!A:A,"×",0,"1")</f>
        <v>×</v>
      </c>
      <c r="E50" s="37" t="str">
        <f t="array" ref="E50">XLOOKUP($B50,'本部部署'!B:B,'本部部署'!B:B,"×",0,"1")</f>
        <v>×</v>
      </c>
      <c r="F50" s="37" t="str">
        <f t="array" ref="F50">XLOOKUP($A50,'本部部署'!B:B,'本部部署'!B:B,"×",0,"1")</f>
        <v>×</v>
      </c>
      <c r="G50" s="37" t="str">
        <f t="array" ref="G50">XLOOKUP($B50,'本部部署'!A:A,'本部部署'!A:A,"×",0,"1")</f>
        <v>×</v>
      </c>
      <c r="H50" s="7" t="s">
        <v>1097</v>
      </c>
    </row>
    <row r="51">
      <c r="A51" s="8" t="s">
        <v>1131</v>
      </c>
      <c r="B51" s="8" t="s">
        <v>1133</v>
      </c>
      <c r="C51" s="8" t="s">
        <v>1102</v>
      </c>
      <c r="D51" s="37" t="str">
        <f t="array" ref="D51">XLOOKUP($A51,'本部部署'!A:A,'本部部署'!A:A,"×",0,"1")</f>
        <v>×</v>
      </c>
      <c r="E51" s="37" t="str">
        <f t="array" ref="E51">XLOOKUP($B51,'本部部署'!B:B,'本部部署'!B:B,"×",0,"1")</f>
        <v>×</v>
      </c>
      <c r="F51" s="37" t="str">
        <f t="array" ref="F51">XLOOKUP($A51,'本部部署'!B:B,'本部部署'!B:B,"×",0,"1")</f>
        <v>×</v>
      </c>
      <c r="G51" s="37" t="str">
        <f t="array" ref="G51">XLOOKUP($B51,'本部部署'!A:A,'本部部署'!A:A,"×",0,"1")</f>
        <v>×</v>
      </c>
      <c r="H51" s="7" t="s">
        <v>1097</v>
      </c>
    </row>
    <row r="52">
      <c r="A52" s="8" t="s">
        <v>1131</v>
      </c>
      <c r="B52" s="8" t="s">
        <v>1134</v>
      </c>
      <c r="C52" s="8" t="s">
        <v>1102</v>
      </c>
      <c r="D52" s="37" t="str">
        <f t="array" ref="D52">XLOOKUP($A52,'本部部署'!A:A,'本部部署'!A:A,"×",0,"1")</f>
        <v>×</v>
      </c>
      <c r="E52" s="37" t="str">
        <f t="array" ref="E52">XLOOKUP($B52,'本部部署'!B:B,'本部部署'!B:B,"×",0,"1")</f>
        <v>×</v>
      </c>
      <c r="F52" s="37" t="str">
        <f t="array" ref="F52">XLOOKUP($A52,'本部部署'!B:B,'本部部署'!B:B,"×",0,"1")</f>
        <v>×</v>
      </c>
      <c r="G52" s="37" t="str">
        <f t="array" ref="G52">XLOOKUP($B52,'本部部署'!A:A,'本部部署'!A:A,"×",0,"1")</f>
        <v>×</v>
      </c>
      <c r="H52" s="7" t="s">
        <v>1097</v>
      </c>
    </row>
    <row r="53">
      <c r="A53" s="8" t="s">
        <v>1131</v>
      </c>
      <c r="B53" s="8" t="s">
        <v>1135</v>
      </c>
      <c r="C53" s="8" t="s">
        <v>1102</v>
      </c>
      <c r="D53" s="37" t="str">
        <f t="array" ref="D53">XLOOKUP($A53,'本部部署'!A:A,'本部部署'!A:A,"×",0,"1")</f>
        <v>×</v>
      </c>
      <c r="E53" s="37" t="str">
        <f t="array" ref="E53">XLOOKUP($B53,'本部部署'!B:B,'本部部署'!B:B,"×",0,"1")</f>
        <v>×</v>
      </c>
      <c r="F53" s="37" t="str">
        <f t="array" ref="F53">XLOOKUP($A53,'本部部署'!B:B,'本部部署'!B:B,"×",0,"1")</f>
        <v>×</v>
      </c>
      <c r="G53" s="37" t="str">
        <f t="array" ref="G53">XLOOKUP($B53,'本部部署'!A:A,'本部部署'!A:A,"×",0,"1")</f>
        <v>×</v>
      </c>
      <c r="H53" s="7" t="s">
        <v>1097</v>
      </c>
    </row>
    <row r="54">
      <c r="A54" s="8" t="s">
        <v>1131</v>
      </c>
      <c r="B54" s="8" t="s">
        <v>1136</v>
      </c>
      <c r="C54" s="8" t="s">
        <v>1102</v>
      </c>
      <c r="D54" s="37" t="str">
        <f t="array" ref="D54">XLOOKUP($A54,'本部部署'!A:A,'本部部署'!A:A,"×",0,"1")</f>
        <v>×</v>
      </c>
      <c r="E54" s="37" t="str">
        <f t="array" ref="E54">XLOOKUP($B54,'本部部署'!B:B,'本部部署'!B:B,"×",0,"1")</f>
        <v>×</v>
      </c>
      <c r="F54" s="37" t="str">
        <f t="array" ref="F54">XLOOKUP($A54,'本部部署'!B:B,'本部部署'!B:B,"×",0,"1")</f>
        <v>×</v>
      </c>
      <c r="G54" s="37" t="str">
        <f t="array" ref="G54">XLOOKUP($B54,'本部部署'!A:A,'本部部署'!A:A,"×",0,"1")</f>
        <v>×</v>
      </c>
      <c r="H54" s="7" t="s">
        <v>1097</v>
      </c>
    </row>
    <row r="55">
      <c r="A55" s="8" t="s">
        <v>1131</v>
      </c>
      <c r="B55" s="8" t="s">
        <v>1137</v>
      </c>
      <c r="C55" s="8" t="s">
        <v>1102</v>
      </c>
      <c r="D55" s="37" t="str">
        <f t="array" ref="D55">XLOOKUP($A55,'本部部署'!A:A,'本部部署'!A:A,"×",0,"1")</f>
        <v>×</v>
      </c>
      <c r="E55" s="37" t="str">
        <f t="array" ref="E55">XLOOKUP($B55,'本部部署'!B:B,'本部部署'!B:B,"×",0,"1")</f>
        <v>×</v>
      </c>
      <c r="F55" s="37" t="str">
        <f t="array" ref="F55">XLOOKUP($A55,'本部部署'!B:B,'本部部署'!B:B,"×",0,"1")</f>
        <v>×</v>
      </c>
      <c r="G55" s="37" t="str">
        <f t="array" ref="G55">XLOOKUP($B55,'本部部署'!A:A,'本部部署'!A:A,"×",0,"1")</f>
        <v>×</v>
      </c>
      <c r="H55" s="7" t="s">
        <v>1097</v>
      </c>
    </row>
    <row r="56">
      <c r="A56" s="8" t="s">
        <v>1131</v>
      </c>
      <c r="B56" s="8" t="s">
        <v>286</v>
      </c>
      <c r="C56" s="8"/>
      <c r="D56" s="37" t="str">
        <f t="array" ref="D56">XLOOKUP($A56,'本部部署'!A:A,'本部部署'!A:A,"×",0,"1")</f>
        <v>×</v>
      </c>
      <c r="E56" s="37" t="str">
        <f t="array" ref="E56">XLOOKUP($B56,'本部部署'!B:B,'本部部署'!B:B,"×",0,"1")</f>
        <v>事業戦略室</v>
      </c>
    </row>
    <row r="57">
      <c r="A57" s="8" t="s">
        <v>1131</v>
      </c>
      <c r="B57" s="8" t="s">
        <v>1111</v>
      </c>
      <c r="C57" s="8" t="s">
        <v>1102</v>
      </c>
      <c r="D57" s="37" t="str">
        <f t="array" ref="D57">XLOOKUP($A57,'本部部署'!A:A,'本部部署'!A:A,"×",0,"1")</f>
        <v>×</v>
      </c>
      <c r="E57" s="37" t="str">
        <f t="array" ref="E57">XLOOKUP($B57,'本部部署'!B:B,'本部部署'!B:B,"×",0,"1")</f>
        <v>×</v>
      </c>
      <c r="F57" s="37" t="str">
        <f t="array" ref="F57">XLOOKUP($A57,'本部部署'!B:B,'本部部署'!B:B,"×",0,"1")</f>
        <v>×</v>
      </c>
      <c r="G57" s="37" t="str">
        <f t="array" ref="G57">XLOOKUP($B57,'本部部署'!A:A,'本部部署'!A:A,"×",0,"1")</f>
        <v>×</v>
      </c>
      <c r="H57" s="7" t="s">
        <v>1105</v>
      </c>
    </row>
    <row r="58">
      <c r="A58" s="8" t="s">
        <v>1138</v>
      </c>
      <c r="B58" s="8" t="s">
        <v>1139</v>
      </c>
      <c r="C58" s="8" t="s">
        <v>1140</v>
      </c>
      <c r="D58" s="37" t="str">
        <f t="array" ref="D58">XLOOKUP($A58,'本部部署'!A:A,'本部部署'!A:A,"×",0,"1")</f>
        <v>×</v>
      </c>
      <c r="E58" s="37" t="str">
        <f t="array" ref="E58">XLOOKUP($B58,'本部部署'!B:B,'本部部署'!B:B,"×",0,"1")</f>
        <v>×</v>
      </c>
      <c r="F58" s="37" t="str">
        <f t="array" ref="F58">XLOOKUP($A58,'本部部署'!B:B,'本部部署'!B:B,"×",0,"1")</f>
        <v>×</v>
      </c>
      <c r="G58" s="37" t="str">
        <f t="array" ref="G58">XLOOKUP($B58,'本部部署'!A:A,'本部部署'!A:A,"×",0,"1")</f>
        <v>×</v>
      </c>
      <c r="H58" s="7" t="s">
        <v>1141</v>
      </c>
    </row>
    <row r="59">
      <c r="A59" s="8" t="s">
        <v>478</v>
      </c>
      <c r="B59" s="8" t="s">
        <v>484</v>
      </c>
      <c r="C59" s="8"/>
      <c r="D59" s="37" t="str">
        <f t="array" ref="D59">XLOOKUP($A59,'本部部署'!A:A,'本部部署'!A:A,"×",0,"1")</f>
        <v>人事本部</v>
      </c>
      <c r="E59" s="37" t="str">
        <f t="array" ref="E59">XLOOKUP($B59,'本部部署'!B:B,'本部部署'!B:B,"×",0,"1")</f>
        <v>労務部</v>
      </c>
    </row>
    <row r="60">
      <c r="A60" s="8" t="s">
        <v>478</v>
      </c>
      <c r="B60" s="8" t="s">
        <v>508</v>
      </c>
      <c r="C60" s="8"/>
      <c r="D60" s="37" t="str">
        <f t="array" ref="D60">XLOOKUP($A60,'本部部署'!A:A,'本部部署'!A:A,"×",0,"1")</f>
        <v>人事本部</v>
      </c>
      <c r="E60" s="37" t="str">
        <f t="array" ref="E60">XLOOKUP($B60,'本部部署'!B:B,'本部部署'!B:B,"×",0,"1")</f>
        <v>人材開発部付</v>
      </c>
    </row>
    <row r="61">
      <c r="A61" s="8" t="s">
        <v>478</v>
      </c>
      <c r="B61" s="8" t="s">
        <v>1142</v>
      </c>
      <c r="C61" s="8"/>
      <c r="D61" s="37" t="str">
        <f t="array" ref="D61">XLOOKUP($A61,'本部部署'!A:A,'本部部署'!A:A,"×",0,"1")</f>
        <v>人事本部</v>
      </c>
      <c r="E61" s="37" t="str">
        <f t="array" ref="E61">XLOOKUP($B61,'本部部署'!B:B,'本部部署'!B:B,"×",0,"1")</f>
        <v>×</v>
      </c>
    </row>
    <row r="62">
      <c r="A62" s="8" t="s">
        <v>478</v>
      </c>
      <c r="B62" s="8" t="s">
        <v>1143</v>
      </c>
      <c r="C62" s="8"/>
      <c r="D62" s="37" t="str">
        <f t="array" ref="D62">XLOOKUP($A62,'本部部署'!A:A,'本部部署'!A:A,"×",0,"1")</f>
        <v>人事本部</v>
      </c>
      <c r="E62" s="37" t="str">
        <f t="array" ref="E62">XLOOKUP($B62,'本部部署'!B:B,'本部部署'!B:B,"×",0,"1")</f>
        <v>×</v>
      </c>
    </row>
    <row r="63">
      <c r="A63" s="8" t="s">
        <v>478</v>
      </c>
      <c r="B63" s="8" t="s">
        <v>487</v>
      </c>
      <c r="C63" s="8"/>
      <c r="D63" s="37" t="str">
        <f t="array" ref="D63">XLOOKUP($A63,'本部部署'!A:A,'本部部署'!A:A,"×",0,"1")</f>
        <v>人事本部</v>
      </c>
      <c r="E63" s="37" t="str">
        <f t="array" ref="E63">XLOOKUP($B63,'本部部署'!B:B,'本部部署'!B:B,"×",0,"1")</f>
        <v>人材開発部</v>
      </c>
    </row>
    <row r="64">
      <c r="A64" s="8" t="s">
        <v>478</v>
      </c>
      <c r="B64" s="8" t="s">
        <v>1144</v>
      </c>
      <c r="C64" s="8"/>
      <c r="D64" s="37" t="str">
        <f t="array" ref="D64">XLOOKUP($A64,'本部部署'!A:A,'本部部署'!A:A,"×",0,"1")</f>
        <v>人事本部</v>
      </c>
      <c r="E64" s="37" t="str">
        <f t="array" ref="E64">XLOOKUP($B64,'本部部署'!B:B,'本部部署'!B:B,"×",0,"1")</f>
        <v>×</v>
      </c>
    </row>
    <row r="65">
      <c r="A65" s="8" t="s">
        <v>478</v>
      </c>
      <c r="B65" s="8" t="s">
        <v>1145</v>
      </c>
      <c r="C65" s="8"/>
      <c r="D65" s="37" t="str">
        <f t="array" ref="D65">XLOOKUP($A65,'本部部署'!A:A,'本部部署'!A:A,"×",0,"1")</f>
        <v>人事本部</v>
      </c>
      <c r="E65" s="37" t="str">
        <f t="array" ref="E65">XLOOKUP($B65,'本部部署'!B:B,'本部部署'!B:B,"×",0,"1")</f>
        <v>×</v>
      </c>
    </row>
    <row r="66">
      <c r="A66" s="8" t="s">
        <v>478</v>
      </c>
      <c r="B66" s="8" t="s">
        <v>958</v>
      </c>
      <c r="C66" s="8"/>
      <c r="D66" s="37" t="str">
        <f t="array" ref="D66">XLOOKUP($A66,'本部部署'!A:A,'本部部署'!A:A,"×",0,"1")</f>
        <v>人事本部</v>
      </c>
      <c r="E66" s="37" t="str">
        <f t="array" ref="E66">XLOOKUP($B66,'本部部署'!B:B,'本部部署'!B:B,"×",0,"1")</f>
        <v>グループ会社サポート部</v>
      </c>
    </row>
    <row r="67">
      <c r="A67" s="8" t="s">
        <v>478</v>
      </c>
      <c r="B67" s="8" t="s">
        <v>1146</v>
      </c>
      <c r="C67" s="8"/>
      <c r="D67" s="37" t="str">
        <f t="array" ref="D67">XLOOKUP($A67,'本部部署'!A:A,'本部部署'!A:A,"×",0,"1")</f>
        <v>人事本部</v>
      </c>
      <c r="E67" s="37" t="str">
        <f t="array" ref="E67">XLOOKUP($B67,'本部部署'!B:B,'本部部署'!B:B,"×",0,"1")</f>
        <v>×</v>
      </c>
    </row>
    <row r="68">
      <c r="A68" s="8" t="s">
        <v>478</v>
      </c>
      <c r="B68" s="8" t="s">
        <v>1147</v>
      </c>
      <c r="C68" s="8"/>
      <c r="D68" s="37" t="str">
        <f t="array" ref="D68">XLOOKUP($A68,'本部部署'!A:A,'本部部署'!A:A,"×",0,"1")</f>
        <v>人事本部</v>
      </c>
      <c r="E68" s="37" t="str">
        <f t="array" ref="E68">XLOOKUP($B68,'本部部署'!B:B,'本部部署'!B:B,"×",0,"1")</f>
        <v>×</v>
      </c>
    </row>
    <row r="69">
      <c r="A69" s="8" t="s">
        <v>478</v>
      </c>
      <c r="B69" s="8" t="s">
        <v>482</v>
      </c>
      <c r="C69" s="8"/>
      <c r="D69" s="37" t="str">
        <f t="array" ref="D69">XLOOKUP($A69,'本部部署'!A:A,'本部部署'!A:A,"×",0,"1")</f>
        <v>人事本部</v>
      </c>
      <c r="E69" s="37" t="str">
        <f t="array" ref="E69">XLOOKUP($B69,'本部部署'!B:B,'本部部署'!B:B,"×",0,"1")</f>
        <v>人事戦略部</v>
      </c>
    </row>
    <row r="70">
      <c r="A70" s="8" t="s">
        <v>478</v>
      </c>
      <c r="B70" s="8" t="s">
        <v>491</v>
      </c>
      <c r="C70" s="8"/>
      <c r="D70" s="37" t="str">
        <f t="array" ref="D70">XLOOKUP($A70,'本部部署'!A:A,'本部部署'!A:A,"×",0,"1")</f>
        <v>人事本部</v>
      </c>
      <c r="E70" s="37" t="str">
        <f t="array" ref="E70">XLOOKUP($B70,'本部部署'!B:B,'本部部署'!B:B,"×",0,"1")</f>
        <v>組織戦略部</v>
      </c>
    </row>
    <row r="71">
      <c r="A71" s="8" t="s">
        <v>478</v>
      </c>
      <c r="B71" s="8" t="s">
        <v>953</v>
      </c>
      <c r="C71" s="8"/>
      <c r="D71" s="37" t="str">
        <f t="array" ref="D71">XLOOKUP($A71,'本部部署'!A:A,'本部部署'!A:A,"×",0,"1")</f>
        <v>人事本部</v>
      </c>
      <c r="E71" s="37" t="str">
        <f t="array" ref="E71">XLOOKUP($B71,'本部部署'!B:B,'本部部署'!B:B,"×",0,"1")</f>
        <v>エンパワーメント推進室</v>
      </c>
    </row>
    <row r="72">
      <c r="A72" s="8" t="s">
        <v>478</v>
      </c>
      <c r="B72" s="8" t="s">
        <v>1111</v>
      </c>
      <c r="C72" s="8"/>
      <c r="D72" s="37" t="str">
        <f t="array" ref="D72">XLOOKUP($A72,'本部部署'!A:A,'本部部署'!A:A,"×",0,"1")</f>
        <v>人事本部</v>
      </c>
      <c r="E72" s="37" t="str">
        <f t="array" ref="E72">XLOOKUP($B72,'本部部署'!B:B,'本部部署'!B:B,"×",0,"1")</f>
        <v>×</v>
      </c>
    </row>
    <row r="73">
      <c r="A73" s="8" t="s">
        <v>478</v>
      </c>
      <c r="B73" s="8" t="s">
        <v>1065</v>
      </c>
      <c r="C73" s="8"/>
      <c r="D73" s="37" t="str">
        <f t="array" ref="D73">XLOOKUP($A73,'本部部署'!A:A,'本部部署'!A:A,"×",0,"1")</f>
        <v>人事本部</v>
      </c>
      <c r="E73" s="37" t="str">
        <f t="array" ref="E73">XLOOKUP($B73,'本部部署'!B:B,'本部部署'!B:B,"×",0,"1")</f>
        <v>×</v>
      </c>
    </row>
    <row r="74">
      <c r="A74" s="8" t="s">
        <v>478</v>
      </c>
      <c r="B74" s="8" t="s">
        <v>1072</v>
      </c>
      <c r="C74" s="8"/>
      <c r="D74" s="37" t="str">
        <f t="array" ref="D74">XLOOKUP($A74,'本部部署'!A:A,'本部部署'!A:A,"×",0,"1")</f>
        <v>人事本部</v>
      </c>
      <c r="E74" s="37" t="str">
        <f t="array" ref="E74">XLOOKUP($B74,'本部部署'!B:B,'本部部署'!B:B,"×",0,"1")</f>
        <v>×</v>
      </c>
    </row>
    <row r="75">
      <c r="A75" s="8" t="s">
        <v>478</v>
      </c>
      <c r="B75" s="8" t="s">
        <v>479</v>
      </c>
      <c r="C75" s="8"/>
      <c r="D75" s="37" t="str">
        <f t="array" ref="D75">XLOOKUP($A75,'本部部署'!A:A,'本部部署'!A:A,"×",0,"1")</f>
        <v>人事本部</v>
      </c>
      <c r="E75" s="37" t="str">
        <f t="array" ref="E75">XLOOKUP($B75,'本部部署'!B:B,'本部部署'!B:B,"×",0,"1")</f>
        <v>MCS室</v>
      </c>
    </row>
    <row r="76">
      <c r="A76" s="8" t="s">
        <v>603</v>
      </c>
      <c r="B76" s="8" t="s">
        <v>97</v>
      </c>
      <c r="C76" s="8"/>
      <c r="D76" s="37" t="str">
        <f t="array" ref="D76">XLOOKUP($A76,'本部部署'!A:A,'本部部署'!A:A,"×",0,"1")</f>
        <v>コーポレートファイナンス本部</v>
      </c>
      <c r="E76" s="37" t="str">
        <f t="array" ref="E76">XLOOKUP($B76,'本部部署'!B:B,'本部部署'!B:B,"×",0,"1")</f>
        <v>財務企画部</v>
      </c>
    </row>
    <row r="77">
      <c r="A77" s="8" t="s">
        <v>603</v>
      </c>
      <c r="B77" s="8" t="s">
        <v>1111</v>
      </c>
      <c r="C77" s="8"/>
      <c r="D77" s="37" t="str">
        <f t="array" ref="D77">XLOOKUP($A77,'本部部署'!A:A,'本部部署'!A:A,"×",0,"1")</f>
        <v>コーポレートファイナンス本部</v>
      </c>
      <c r="E77" s="37" t="str">
        <f t="array" ref="E77">XLOOKUP($B77,'本部部署'!B:B,'本部部署'!B:B,"×",0,"1")</f>
        <v>×</v>
      </c>
      <c r="F77" s="37" t="str">
        <f t="array" ref="F77">XLOOKUP($A77,'本部部署'!B:B,'本部部署'!B:B,"×",0,"1")</f>
        <v>×</v>
      </c>
      <c r="G77" s="37" t="str">
        <f t="array" ref="G77">XLOOKUP($B77,'本部部署'!A:A,'本部部署'!A:A,"×",0,"1")</f>
        <v>×</v>
      </c>
    </row>
    <row r="78">
      <c r="A78" s="8" t="s">
        <v>603</v>
      </c>
      <c r="B78" s="8" t="s">
        <v>90</v>
      </c>
      <c r="C78" s="8"/>
      <c r="D78" s="37" t="str">
        <f t="array" ref="D78">XLOOKUP($A78,'本部部署'!A:A,'本部部署'!A:A,"×",0,"1")</f>
        <v>コーポレートファイナンス本部</v>
      </c>
      <c r="E78" s="37" t="str">
        <f t="array" ref="E78">XLOOKUP($B78,'本部部署'!B:B,'本部部署'!B:B,"×",0,"1")</f>
        <v>経理税務部</v>
      </c>
    </row>
    <row r="79">
      <c r="A79" s="8" t="s">
        <v>587</v>
      </c>
      <c r="B79" s="8" t="s">
        <v>81</v>
      </c>
      <c r="C79" s="8"/>
      <c r="D79" s="37" t="str">
        <f t="array" ref="D79">XLOOKUP($A79,'本部部署'!A:A,'本部部署'!A:A,"×",0,"1")</f>
        <v>コーポレートデベロップメント本部</v>
      </c>
      <c r="E79" s="37" t="str">
        <f t="array" ref="E79">XLOOKUP($B79,'本部部署'!B:B,'本部部署'!B:B,"×",0,"1")</f>
        <v>Integration Management部</v>
      </c>
    </row>
    <row r="80">
      <c r="A80" s="8" t="s">
        <v>587</v>
      </c>
      <c r="B80" s="8" t="s">
        <v>1148</v>
      </c>
      <c r="C80" s="8"/>
      <c r="D80" s="37" t="str">
        <f t="array" ref="D80">XLOOKUP($A80,'本部部署'!A:A,'本部部署'!A:A,"×",0,"1")</f>
        <v>コーポレートデベロップメント本部</v>
      </c>
      <c r="E80" s="37" t="str">
        <f t="array" ref="E80">XLOOKUP($B80,'本部部署'!B:B,'本部部署'!B:B,"×",0,"1")</f>
        <v>×</v>
      </c>
      <c r="F80" s="37" t="str">
        <f t="array" ref="F80">XLOOKUP($A80,'本部部署'!B:B,'本部部署'!B:B,"×",0,"1")</f>
        <v>×</v>
      </c>
      <c r="G80" s="37" t="str">
        <f t="array" ref="G80">XLOOKUP($B80,'本部部署'!A:A,'本部部署'!A:A,"×",0,"1")</f>
        <v>×</v>
      </c>
    </row>
    <row r="81">
      <c r="A81" s="8" t="s">
        <v>587</v>
      </c>
      <c r="B81" s="8" t="s">
        <v>1111</v>
      </c>
      <c r="C81" s="8"/>
      <c r="D81" s="37" t="str">
        <f t="array" ref="D81">XLOOKUP($A81,'本部部署'!A:A,'本部部署'!A:A,"×",0,"1")</f>
        <v>コーポレートデベロップメント本部</v>
      </c>
      <c r="E81" s="37" t="str">
        <f t="array" ref="E81">XLOOKUP($B81,'本部部署'!B:B,'本部部署'!B:B,"×",0,"1")</f>
        <v>×</v>
      </c>
      <c r="F81" s="37" t="str">
        <f t="array" ref="F81">XLOOKUP($A81,'本部部署'!B:B,'本部部署'!B:B,"×",0,"1")</f>
        <v>×</v>
      </c>
      <c r="G81" s="37" t="str">
        <f t="array" ref="G81">XLOOKUP($B81,'本部部署'!A:A,'本部部署'!A:A,"×",0,"1")</f>
        <v>×</v>
      </c>
    </row>
    <row r="82">
      <c r="A82" s="8" t="s">
        <v>587</v>
      </c>
      <c r="B82" s="8" t="s">
        <v>74</v>
      </c>
      <c r="C82" s="8"/>
      <c r="D82" s="37" t="str">
        <f t="array" ref="D82">XLOOKUP($A82,'本部部署'!A:A,'本部部署'!A:A,"×",0,"1")</f>
        <v>コーポレートデベロップメント本部</v>
      </c>
      <c r="E82" s="37" t="str">
        <f t="array" ref="E82">XLOOKUP($B82,'本部部署'!B:B,'本部部署'!B:B,"×",0,"1")</f>
        <v>投資事業部</v>
      </c>
    </row>
    <row r="83">
      <c r="A83" s="8" t="s">
        <v>587</v>
      </c>
      <c r="B83" s="8" t="s">
        <v>72</v>
      </c>
      <c r="C83" s="8"/>
      <c r="D83" s="37" t="str">
        <f t="array" ref="D83">XLOOKUP($A83,'本部部署'!A:A,'本部部署'!A:A,"×",0,"1")</f>
        <v>コーポレートデベロップメント本部</v>
      </c>
      <c r="E83" s="37" t="str">
        <f t="array" ref="E83">XLOOKUP($B83,'本部部署'!B:B,'本部部署'!B:B,"×",0,"1")</f>
        <v>事業企画推進部</v>
      </c>
    </row>
    <row r="84">
      <c r="A84" s="8" t="s">
        <v>432</v>
      </c>
      <c r="B84" s="8" t="s">
        <v>1104</v>
      </c>
      <c r="C84" s="8"/>
      <c r="D84" s="37" t="str">
        <f t="array" ref="D84">XLOOKUP($A84,'本部部署'!A:A,'本部部署'!A:A,"×",0,"1")</f>
        <v>×</v>
      </c>
      <c r="E84" s="37" t="str">
        <f t="array" ref="E84">XLOOKUP($B84,'本部部署'!B:B,'本部部署'!B:B,"×",0,"1")</f>
        <v>×</v>
      </c>
      <c r="F84" s="37" t="str">
        <f t="array" ref="F84">XLOOKUP($A84,'本部部署'!B:B,'本部部署'!B:B,"×",0,"1")</f>
        <v>経営企画室</v>
      </c>
      <c r="G84" s="37" t="str">
        <f t="array" ref="G84">XLOOKUP($B84,'本部部署'!A:A,'本部部署'!A:A,"×",0,"1")</f>
        <v>×</v>
      </c>
    </row>
    <row r="85">
      <c r="A85" s="8" t="s">
        <v>1149</v>
      </c>
      <c r="B85" s="8" t="s">
        <v>1150</v>
      </c>
      <c r="C85" s="8" t="s">
        <v>1102</v>
      </c>
      <c r="D85" s="37" t="str">
        <f t="array" ref="D85">XLOOKUP($A85,'本部部署'!A:A,'本部部署'!A:A,"×",0,"1")</f>
        <v>×</v>
      </c>
      <c r="E85" s="37" t="str">
        <f t="array" ref="E85">XLOOKUP($B85,'本部部署'!B:B,'本部部署'!B:B,"×",0,"1")</f>
        <v>×</v>
      </c>
      <c r="F85" s="37" t="str">
        <f t="array" ref="F85">XLOOKUP($A85,'本部部署'!B:B,'本部部署'!B:B,"×",0,"1")</f>
        <v>×</v>
      </c>
      <c r="G85" s="37" t="str">
        <f t="array" ref="G85">XLOOKUP($B85,'本部部署'!A:A,'本部部署'!A:A,"×",0,"1")</f>
        <v>×</v>
      </c>
      <c r="H85" s="7" t="s">
        <v>1058</v>
      </c>
    </row>
    <row r="86">
      <c r="A86" s="8" t="s">
        <v>1149</v>
      </c>
      <c r="B86" s="8" t="s">
        <v>1151</v>
      </c>
      <c r="C86" s="8" t="s">
        <v>1102</v>
      </c>
      <c r="D86" s="37" t="str">
        <f t="array" ref="D86">XLOOKUP($A86,'本部部署'!A:A,'本部部署'!A:A,"×",0,"1")</f>
        <v>×</v>
      </c>
      <c r="E86" s="37" t="str">
        <f t="array" ref="E86">XLOOKUP($B86,'本部部署'!B:B,'本部部署'!B:B,"×",0,"1")</f>
        <v>×</v>
      </c>
      <c r="F86" s="37" t="str">
        <f t="array" ref="F86">XLOOKUP($A86,'本部部署'!B:B,'本部部署'!B:B,"×",0,"1")</f>
        <v>×</v>
      </c>
      <c r="G86" s="37" t="str">
        <f t="array" ref="G86">XLOOKUP($B86,'本部部署'!A:A,'本部部署'!A:A,"×",0,"1")</f>
        <v>×</v>
      </c>
      <c r="H86" s="7" t="s">
        <v>1058</v>
      </c>
    </row>
    <row r="87">
      <c r="A87" s="8" t="s">
        <v>1149</v>
      </c>
      <c r="B87" s="8" t="s">
        <v>1152</v>
      </c>
      <c r="C87" s="8" t="s">
        <v>1102</v>
      </c>
      <c r="D87" s="37" t="str">
        <f t="array" ref="D87">XLOOKUP($A87,'本部部署'!A:A,'本部部署'!A:A,"×",0,"1")</f>
        <v>×</v>
      </c>
      <c r="E87" s="37" t="str">
        <f t="array" ref="E87">XLOOKUP($B87,'本部部署'!B:B,'本部部署'!B:B,"×",0,"1")</f>
        <v>×</v>
      </c>
      <c r="F87" s="37" t="str">
        <f t="array" ref="F87">XLOOKUP($A87,'本部部署'!B:B,'本部部署'!B:B,"×",0,"1")</f>
        <v>×</v>
      </c>
      <c r="G87" s="37" t="str">
        <f t="array" ref="G87">XLOOKUP($B87,'本部部署'!A:A,'本部部署'!A:A,"×",0,"1")</f>
        <v>×</v>
      </c>
      <c r="H87" s="7" t="s">
        <v>1058</v>
      </c>
    </row>
    <row r="88">
      <c r="A88" s="8" t="s">
        <v>1149</v>
      </c>
      <c r="B88" s="8" t="s">
        <v>1153</v>
      </c>
      <c r="C88" s="8" t="s">
        <v>1102</v>
      </c>
      <c r="D88" s="37" t="str">
        <f t="array" ref="D88">XLOOKUP($A88,'本部部署'!A:A,'本部部署'!A:A,"×",0,"1")</f>
        <v>×</v>
      </c>
      <c r="E88" s="37" t="str">
        <f t="array" ref="E88">XLOOKUP($B88,'本部部署'!B:B,'本部部署'!B:B,"×",0,"1")</f>
        <v>×</v>
      </c>
      <c r="F88" s="37" t="str">
        <f t="array" ref="F88">XLOOKUP($A88,'本部部署'!B:B,'本部部署'!B:B,"×",0,"1")</f>
        <v>×</v>
      </c>
      <c r="G88" s="37" t="str">
        <f t="array" ref="G88">XLOOKUP($B88,'本部部署'!A:A,'本部部署'!A:A,"×",0,"1")</f>
        <v>×</v>
      </c>
      <c r="H88" s="7" t="s">
        <v>1058</v>
      </c>
    </row>
    <row r="89">
      <c r="A89" s="8" t="s">
        <v>1149</v>
      </c>
      <c r="B89" s="8" t="s">
        <v>1111</v>
      </c>
      <c r="C89" s="8" t="s">
        <v>1102</v>
      </c>
      <c r="D89" s="37" t="str">
        <f t="array" ref="D89">XLOOKUP($A89,'本部部署'!A:A,'本部部署'!A:A,"×",0,"1")</f>
        <v>×</v>
      </c>
      <c r="E89" s="37" t="str">
        <f t="array" ref="E89">XLOOKUP($B89,'本部部署'!B:B,'本部部署'!B:B,"×",0,"1")</f>
        <v>×</v>
      </c>
      <c r="F89" s="37" t="str">
        <f t="array" ref="F89">XLOOKUP($A89,'本部部署'!B:B,'本部部署'!B:B,"×",0,"1")</f>
        <v>×</v>
      </c>
      <c r="G89" s="37" t="str">
        <f t="array" ref="G89">XLOOKUP($B89,'本部部署'!A:A,'本部部署'!A:A,"×",0,"1")</f>
        <v>×</v>
      </c>
      <c r="H89" s="7" t="s">
        <v>1105</v>
      </c>
    </row>
    <row r="90">
      <c r="A90" s="8" t="s">
        <v>1149</v>
      </c>
      <c r="B90" s="8" t="s">
        <v>1154</v>
      </c>
      <c r="C90" s="8" t="s">
        <v>1102</v>
      </c>
      <c r="D90" s="37" t="str">
        <f t="array" ref="D90">XLOOKUP($A90,'本部部署'!A:A,'本部部署'!A:A,"×",0,"1")</f>
        <v>×</v>
      </c>
      <c r="E90" s="37" t="str">
        <f t="array" ref="E90">XLOOKUP($B90,'本部部署'!B:B,'本部部署'!B:B,"×",0,"1")</f>
        <v>×</v>
      </c>
      <c r="F90" s="37" t="str">
        <f t="array" ref="F90">XLOOKUP($A90,'本部部署'!B:B,'本部部署'!B:B,"×",0,"1")</f>
        <v>×</v>
      </c>
      <c r="G90" s="37" t="str">
        <f t="array" ref="G90">XLOOKUP($B90,'本部部署'!A:A,'本部部署'!A:A,"×",0,"1")</f>
        <v>×</v>
      </c>
      <c r="H90" s="7" t="s">
        <v>1058</v>
      </c>
    </row>
    <row r="91">
      <c r="A91" s="8" t="s">
        <v>693</v>
      </c>
      <c r="B91" s="8" t="s">
        <v>1155</v>
      </c>
      <c r="C91" s="8"/>
      <c r="D91" s="37" t="str">
        <f t="array" ref="D91">XLOOKUP($A91,'本部部署'!A:A,'本部部署'!A:A,"×",0,"1")</f>
        <v>ﾃﾞｻﾞｲﾝ本部</v>
      </c>
      <c r="E91" s="37" t="str">
        <f t="array" ref="E91">XLOOKUP($B91,'本部部署'!B:B,'本部部署'!B:B,"×",0,"1")</f>
        <v>×</v>
      </c>
    </row>
    <row r="92">
      <c r="A92" s="8" t="s">
        <v>693</v>
      </c>
      <c r="B92" s="8" t="s">
        <v>1156</v>
      </c>
      <c r="C92" s="8"/>
      <c r="D92" s="37" t="str">
        <f t="array" ref="D92">XLOOKUP($A92,'本部部署'!A:A,'本部部署'!A:A,"×",0,"1")</f>
        <v>ﾃﾞｻﾞｲﾝ本部</v>
      </c>
      <c r="E92" s="37" t="str">
        <f t="array" ref="E92">XLOOKUP($B92,'本部部署'!B:B,'本部部署'!B:B,"×",0,"1")</f>
        <v>×</v>
      </c>
    </row>
    <row r="93">
      <c r="A93" s="8" t="s">
        <v>693</v>
      </c>
      <c r="B93" s="8" t="s">
        <v>703</v>
      </c>
      <c r="C93" s="8"/>
      <c r="D93" s="37" t="str">
        <f t="array" ref="D93">XLOOKUP($A93,'本部部署'!A:A,'本部部署'!A:A,"×",0,"1")</f>
        <v>ﾃﾞｻﾞｲﾝ本部</v>
      </c>
      <c r="E93" s="37" t="str">
        <f t="array" ref="E93">XLOOKUP($B93,'本部部署'!B:B,'本部部署'!B:B,"×",0,"1")</f>
        <v>ﾃｸﾆｶﾙﾃﾞｻﾞｲﾝ室</v>
      </c>
    </row>
    <row r="94">
      <c r="A94" s="8" t="s">
        <v>693</v>
      </c>
      <c r="B94" s="8" t="s">
        <v>696</v>
      </c>
      <c r="C94" s="8"/>
      <c r="D94" s="37" t="str">
        <f t="array" ref="D94">XLOOKUP($A94,'本部部署'!A:A,'本部部署'!A:A,"×",0,"1")</f>
        <v>ﾃﾞｻﾞｲﾝ本部</v>
      </c>
      <c r="E94" s="37" t="str">
        <f t="array" ref="E94">XLOOKUP($B94,'本部部署'!B:B,'本部部署'!B:B,"×",0,"1")</f>
        <v>ﾌﾟﾛﾀﾞｸﾄﾃﾞｻﾞｲﾝ室</v>
      </c>
    </row>
    <row r="95">
      <c r="A95" s="8" t="s">
        <v>693</v>
      </c>
      <c r="B95" s="8" t="s">
        <v>701</v>
      </c>
      <c r="C95" s="8"/>
      <c r="D95" s="37" t="str">
        <f t="array" ref="D95">XLOOKUP($A95,'本部部署'!A:A,'本部部署'!A:A,"×",0,"1")</f>
        <v>ﾃﾞｻﾞｲﾝ本部</v>
      </c>
      <c r="E95" s="37" t="str">
        <f t="array" ref="E95">XLOOKUP($B95,'本部部署'!B:B,'本部部署'!B:B,"×",0,"1")</f>
        <v>ﾌﾞﾗﾝﾄﾞﾃﾞｻﾞｲﾝ室</v>
      </c>
    </row>
    <row r="96">
      <c r="A96" s="8" t="s">
        <v>693</v>
      </c>
      <c r="B96" s="8" t="s">
        <v>1157</v>
      </c>
      <c r="C96" s="8"/>
      <c r="D96" s="37" t="str">
        <f t="array" ref="D96">XLOOKUP($A96,'本部部署'!A:A,'本部部署'!A:A,"×",0,"1")</f>
        <v>ﾃﾞｻﾞｲﾝ本部</v>
      </c>
      <c r="E96" s="37" t="str">
        <f t="array" ref="E96">XLOOKUP($B96,'本部部署'!B:B,'本部部署'!B:B,"×",0,"1")</f>
        <v>×</v>
      </c>
    </row>
    <row r="97">
      <c r="A97" s="8" t="s">
        <v>693</v>
      </c>
      <c r="B97" s="8" t="s">
        <v>1158</v>
      </c>
      <c r="C97" s="8"/>
      <c r="D97" s="37" t="str">
        <f t="array" ref="D97">XLOOKUP($A97,'本部部署'!A:A,'本部部署'!A:A,"×",0,"1")</f>
        <v>ﾃﾞｻﾞｲﾝ本部</v>
      </c>
      <c r="E97" s="37" t="str">
        <f t="array" ref="E97">XLOOKUP($B97,'本部部署'!B:B,'本部部署'!B:B,"×",0,"1")</f>
        <v>×</v>
      </c>
    </row>
    <row r="98">
      <c r="A98" s="8" t="s">
        <v>693</v>
      </c>
      <c r="B98" s="8" t="s">
        <v>1159</v>
      </c>
      <c r="C98" s="8"/>
      <c r="D98" s="37" t="str">
        <f t="array" ref="D98">XLOOKUP($A98,'本部部署'!A:A,'本部部署'!A:A,"×",0,"1")</f>
        <v>ﾃﾞｻﾞｲﾝ本部</v>
      </c>
      <c r="E98" s="37" t="str">
        <f t="array" ref="E98">XLOOKUP($B98,'本部部署'!B:B,'本部部署'!B:B,"×",0,"1")</f>
        <v>×</v>
      </c>
    </row>
    <row r="99">
      <c r="A99" s="8" t="s">
        <v>693</v>
      </c>
      <c r="B99" s="8" t="s">
        <v>1111</v>
      </c>
      <c r="C99" s="8"/>
      <c r="D99" s="37" t="str">
        <f t="array" ref="D99">XLOOKUP($A99,'本部部署'!A:A,'本部部署'!A:A,"×",0,"1")</f>
        <v>ﾃﾞｻﾞｲﾝ本部</v>
      </c>
      <c r="E99" s="37" t="str">
        <f t="array" ref="E99">XLOOKUP($B99,'本部部署'!B:B,'本部部署'!B:B,"×",0,"1")</f>
        <v>×</v>
      </c>
    </row>
    <row r="100">
      <c r="A100" s="8" t="s">
        <v>693</v>
      </c>
      <c r="B100" s="8" t="s">
        <v>1160</v>
      </c>
      <c r="C100" s="8"/>
      <c r="D100" s="37" t="str">
        <f t="array" ref="D100">XLOOKUP($A100,'本部部署'!A:A,'本部部署'!A:A,"×",0,"1")</f>
        <v>ﾃﾞｻﾞｲﾝ本部</v>
      </c>
      <c r="E100" s="37" t="str">
        <f t="array" ref="E100">XLOOKUP($B100,'本部部署'!B:B,'本部部署'!B:B,"×",0,"1")</f>
        <v>×</v>
      </c>
    </row>
    <row r="101">
      <c r="A101" s="8" t="s">
        <v>693</v>
      </c>
      <c r="B101" s="8" t="s">
        <v>698</v>
      </c>
      <c r="C101" s="8"/>
      <c r="D101" s="37" t="str">
        <f t="array" ref="D101">XLOOKUP($A101,'本部部署'!A:A,'本部部署'!A:A,"×",0,"1")</f>
        <v>ﾃﾞｻﾞｲﾝ本部</v>
      </c>
      <c r="E101" s="37" t="str">
        <f t="array" ref="E101">XLOOKUP($B101,'本部部署'!B:B,'本部部署'!B:B,"×",0,"1")</f>
        <v>動画ｸﾘｴｲﾃｨﾌﾞ室</v>
      </c>
    </row>
    <row r="102">
      <c r="A102" s="8" t="s">
        <v>693</v>
      </c>
      <c r="B102" s="8" t="s">
        <v>1161</v>
      </c>
      <c r="C102" s="8"/>
      <c r="D102" s="37" t="str">
        <f t="array" ref="D102">XLOOKUP($A102,'本部部署'!A:A,'本部部署'!A:A,"×",0,"1")</f>
        <v>ﾃﾞｻﾞｲﾝ本部</v>
      </c>
      <c r="E102" s="37" t="str">
        <f t="array" ref="E102">XLOOKUP($B102,'本部部署'!B:B,'本部部署'!B:B,"×",0,"1")</f>
        <v>×</v>
      </c>
    </row>
    <row r="103">
      <c r="A103" s="8" t="s">
        <v>717</v>
      </c>
      <c r="B103" s="8" t="s">
        <v>738</v>
      </c>
      <c r="C103" s="8"/>
      <c r="D103" s="37" t="str">
        <f t="array" ref="D103">XLOOKUP($A103,'本部部署'!A:A,'本部部署'!A:A,"×",0,"1")</f>
        <v>デジタルエンターテインメントオペレーションズ本部</v>
      </c>
      <c r="E103" s="37" t="str">
        <f t="array" ref="E103">XLOOKUP($B103,'本部部署'!B:B,'本部部署'!B:B,"×",0,"1")</f>
        <v>ｺﾄﾀﾞﾏﾝ運営部</v>
      </c>
    </row>
    <row r="104">
      <c r="A104" s="8" t="s">
        <v>717</v>
      </c>
      <c r="B104" s="8" t="s">
        <v>251</v>
      </c>
      <c r="C104" s="8"/>
      <c r="D104" s="37" t="str">
        <f t="array" ref="D104">XLOOKUP($A104,'本部部署'!A:A,'本部部署'!A:A,"×",0,"1")</f>
        <v>デジタルエンターテインメントオペレーションズ本部</v>
      </c>
      <c r="E104" s="37" t="str">
        <f t="array" ref="E104">XLOOKUP($B104,'本部部署'!B:B,'本部部署'!B:B,"×",0,"1")</f>
        <v>宣伝部</v>
      </c>
    </row>
    <row r="105">
      <c r="A105" s="8" t="s">
        <v>717</v>
      </c>
      <c r="B105" s="8" t="s">
        <v>223</v>
      </c>
      <c r="C105" s="8"/>
      <c r="D105" s="37" t="str">
        <f t="array" ref="D105">XLOOKUP($A105,'本部部署'!A:A,'本部部署'!A:A,"×",0,"1")</f>
        <v>デジタルエンターテインメントオペレーションズ本部</v>
      </c>
      <c r="E105" s="37" t="str">
        <f t="array" ref="E105">XLOOKUP($B105,'本部部署'!B:B,'本部部署'!B:B,"×",0,"1")</f>
        <v>事業戦略部</v>
      </c>
    </row>
    <row r="106">
      <c r="A106" s="8" t="s">
        <v>717</v>
      </c>
      <c r="B106" s="8" t="s">
        <v>722</v>
      </c>
      <c r="C106" s="8"/>
      <c r="D106" s="37" t="str">
        <f t="array" ref="D106">XLOOKUP($A106,'本部部署'!A:A,'本部部署'!A:A,"×",0,"1")</f>
        <v>デジタルエンターテインメントオペレーションズ本部</v>
      </c>
      <c r="E106" s="37" t="str">
        <f t="array" ref="E106">XLOOKUP($B106,'本部部署'!B:B,'本部部署'!B:B,"×",0,"1")</f>
        <v>ｺﾄﾀﾞﾏﾝ制作部</v>
      </c>
    </row>
    <row r="107">
      <c r="A107" s="8" t="s">
        <v>717</v>
      </c>
      <c r="B107" s="8" t="s">
        <v>725</v>
      </c>
      <c r="C107" s="8"/>
      <c r="D107" s="37" t="str">
        <f t="array" ref="D107">XLOOKUP($A107,'本部部署'!A:A,'本部部署'!A:A,"×",0,"1")</f>
        <v>デジタルエンターテインメントオペレーションズ本部</v>
      </c>
      <c r="E107" s="37" t="str">
        <f t="array" ref="E107">XLOOKUP($B107,'本部部署'!B:B,'本部部署'!B:B,"×",0,"1")</f>
        <v>ﾓﾝｽﾄ開発部</v>
      </c>
    </row>
    <row r="108">
      <c r="A108" s="8" t="s">
        <v>717</v>
      </c>
      <c r="B108" s="8" t="s">
        <v>1111</v>
      </c>
      <c r="C108" s="8"/>
      <c r="D108" s="37" t="str">
        <f t="array" ref="D108">XLOOKUP($A108,'本部部署'!A:A,'本部部署'!A:A,"×",0,"1")</f>
        <v>デジタルエンターテインメントオペレーションズ本部</v>
      </c>
      <c r="E108" s="37" t="str">
        <f t="array" ref="E108">XLOOKUP($B108,'本部部署'!B:B,'本部部署'!B:B,"×",0,"1")</f>
        <v>×</v>
      </c>
      <c r="F108" s="37" t="str">
        <f t="array" ref="F108">XLOOKUP($A108,'本部部署'!B:B,'本部部署'!B:B,"×",0,"1")</f>
        <v>×</v>
      </c>
      <c r="G108" s="37" t="str">
        <f t="array" ref="G108">XLOOKUP($B108,'本部部署'!A:A,'本部部署'!A:A,"×",0,"1")</f>
        <v>×</v>
      </c>
    </row>
    <row r="109">
      <c r="A109" s="8" t="s">
        <v>717</v>
      </c>
      <c r="B109" s="8" t="s">
        <v>730</v>
      </c>
      <c r="C109" s="8"/>
      <c r="D109" s="37" t="str">
        <f t="array" ref="D109">XLOOKUP($A109,'本部部署'!A:A,'本部部署'!A:A,"×",0,"1")</f>
        <v>デジタルエンターテインメントオペレーションズ本部</v>
      </c>
      <c r="E109" s="37" t="str">
        <f t="array" ref="E109">XLOOKUP($B109,'本部部署'!B:B,'本部部署'!B:B,"×",0,"1")</f>
        <v>ファンマーケティング部</v>
      </c>
      <c r="F109" s="37" t="str">
        <f t="array" ref="F109">XLOOKUP($A109,'本部部署'!B:B,'本部部署'!B:B,"×",0,"1")</f>
        <v>×</v>
      </c>
      <c r="G109" s="37" t="str">
        <f t="array" ref="G109">XLOOKUP($B109,'本部部署'!A:A,'本部部署'!A:A,"×",0,"1")</f>
        <v>×</v>
      </c>
    </row>
    <row r="110">
      <c r="A110" s="8" t="s">
        <v>717</v>
      </c>
      <c r="B110" s="8" t="s">
        <v>720</v>
      </c>
      <c r="C110" s="8"/>
      <c r="D110" s="37" t="str">
        <f t="array" ref="D110">XLOOKUP($A110,'本部部署'!A:A,'本部部署'!A:A,"×",0,"1")</f>
        <v>デジタルエンターテインメントオペレーションズ本部</v>
      </c>
      <c r="E110" s="37" t="str">
        <f t="array" ref="E110">XLOOKUP($B110,'本部部署'!B:B,'本部部署'!B:B,"×",0,"1")</f>
        <v>ﾓﾝｽﾄ運営部</v>
      </c>
    </row>
    <row r="111">
      <c r="A111" s="8" t="s">
        <v>717</v>
      </c>
      <c r="B111" s="8" t="s">
        <v>1162</v>
      </c>
      <c r="C111" s="8"/>
      <c r="D111" s="37" t="str">
        <f t="array" ref="D111">XLOOKUP($A111,'本部部署'!A:A,'本部部署'!A:A,"×",0,"1")</f>
        <v>デジタルエンターテインメントオペレーションズ本部</v>
      </c>
      <c r="E111" s="37" t="str">
        <f t="array" ref="E111">XLOOKUP($B111,'本部部署'!B:B,'本部部署'!B:B,"×",0,"1")</f>
        <v>×</v>
      </c>
      <c r="F111" s="37" t="str">
        <f t="array" ref="F111">XLOOKUP($A111,'本部部署'!B:B,'本部部署'!B:B,"×",0,"1")</f>
        <v>×</v>
      </c>
      <c r="G111" s="37" t="str">
        <f t="array" ref="G111">XLOOKUP($B111,'本部部署'!A:A,'本部部署'!A:A,"×",0,"1")</f>
        <v>×</v>
      </c>
    </row>
    <row r="112">
      <c r="A112" s="8" t="s">
        <v>717</v>
      </c>
      <c r="B112" s="8" t="s">
        <v>1163</v>
      </c>
      <c r="C112" s="8"/>
      <c r="D112" s="37" t="str">
        <f t="array" ref="D112">XLOOKUP($A112,'本部部署'!A:A,'本部部署'!A:A,"×",0,"1")</f>
        <v>デジタルエンターテインメントオペレーションズ本部</v>
      </c>
      <c r="E112" s="37" t="str">
        <f t="array" ref="E112">XLOOKUP($B112,'本部部署'!B:B,'本部部署'!B:B,"×",0,"1")</f>
        <v>ﾓﾝｽﾄIPｸﾘｴｲｼｮﾝ部</v>
      </c>
    </row>
    <row r="113">
      <c r="A113" s="8" t="s">
        <v>1164</v>
      </c>
      <c r="B113" s="8" t="s">
        <v>1139</v>
      </c>
      <c r="C113" s="8" t="s">
        <v>1140</v>
      </c>
      <c r="D113" s="37" t="str">
        <f t="array" ref="D113">XLOOKUP($A113,'本部部署'!A:A,'本部部署'!A:A,"×",0,"1")</f>
        <v>×</v>
      </c>
      <c r="E113" s="37" t="str">
        <f t="array" ref="E113">XLOOKUP($B113,'本部部署'!B:B,'本部部署'!B:B,"×",0,"1")</f>
        <v>×</v>
      </c>
      <c r="F113" s="37" t="str">
        <f t="array" ref="F113">XLOOKUP($A113,'本部部署'!B:B,'本部部署'!B:B,"×",0,"1")</f>
        <v>×</v>
      </c>
      <c r="G113" s="37" t="str">
        <f t="array" ref="G113">XLOOKUP($B113,'本部部署'!A:A,'本部部署'!A:A,"×",0,"1")</f>
        <v>×</v>
      </c>
      <c r="H113" s="7" t="s">
        <v>1165</v>
      </c>
    </row>
    <row r="114">
      <c r="A114" s="8" t="s">
        <v>1166</v>
      </c>
      <c r="B114" s="8" t="s">
        <v>1167</v>
      </c>
      <c r="C114" s="8" t="s">
        <v>1102</v>
      </c>
      <c r="D114" s="37" t="str">
        <f t="array" ref="D114">XLOOKUP($A114,'本部部署'!A:A,'本部部署'!A:A,"×",0,"1")</f>
        <v>×</v>
      </c>
      <c r="E114" s="37" t="str">
        <f t="array" ref="E114">XLOOKUP($B114,'本部部署'!B:B,'本部部署'!B:B,"×",0,"1")</f>
        <v>×</v>
      </c>
      <c r="F114" s="37" t="str">
        <f t="array" ref="F114">XLOOKUP($A114,'本部部署'!B:B,'本部部署'!B:B,"×",0,"1")</f>
        <v>×</v>
      </c>
      <c r="G114" s="37" t="str">
        <f t="array" ref="G114">XLOOKUP($B114,'本部部署'!A:A,'本部部署'!A:A,"×",0,"1")</f>
        <v>×</v>
      </c>
      <c r="H114" s="7" t="s">
        <v>1103</v>
      </c>
    </row>
    <row r="115">
      <c r="A115" s="8" t="s">
        <v>1166</v>
      </c>
      <c r="B115" s="8" t="s">
        <v>1133</v>
      </c>
      <c r="C115" s="8" t="s">
        <v>1102</v>
      </c>
      <c r="D115" s="37" t="str">
        <f t="array" ref="D115">XLOOKUP($A115,'本部部署'!A:A,'本部部署'!A:A,"×",0,"1")</f>
        <v>×</v>
      </c>
      <c r="E115" s="37" t="str">
        <f t="array" ref="E115">XLOOKUP($B115,'本部部署'!B:B,'本部部署'!B:B,"×",0,"1")</f>
        <v>×</v>
      </c>
      <c r="F115" s="37" t="str">
        <f t="array" ref="F115">XLOOKUP($A115,'本部部署'!B:B,'本部部署'!B:B,"×",0,"1")</f>
        <v>×</v>
      </c>
      <c r="G115" s="37" t="str">
        <f t="array" ref="G115">XLOOKUP($B115,'本部部署'!A:A,'本部部署'!A:A,"×",0,"1")</f>
        <v>×</v>
      </c>
      <c r="H115" s="7" t="s">
        <v>1069</v>
      </c>
    </row>
    <row r="116">
      <c r="A116" s="8" t="s">
        <v>1166</v>
      </c>
      <c r="B116" s="8" t="s">
        <v>1168</v>
      </c>
      <c r="C116" s="8" t="s">
        <v>1102</v>
      </c>
      <c r="D116" s="37" t="str">
        <f t="array" ref="D116">XLOOKUP($A116,'本部部署'!A:A,'本部部署'!A:A,"×",0,"1")</f>
        <v>×</v>
      </c>
      <c r="E116" s="37" t="str">
        <f t="array" ref="E116">XLOOKUP($B116,'本部部署'!B:B,'本部部署'!B:B,"×",0,"1")</f>
        <v>×</v>
      </c>
      <c r="F116" s="37" t="str">
        <f t="array" ref="F116">XLOOKUP($A116,'本部部署'!B:B,'本部部署'!B:B,"×",0,"1")</f>
        <v>×</v>
      </c>
      <c r="G116" s="37" t="str">
        <f t="array" ref="G116">XLOOKUP($B116,'本部部署'!A:A,'本部部署'!A:A,"×",0,"1")</f>
        <v>×</v>
      </c>
      <c r="H116" s="7" t="s">
        <v>1069</v>
      </c>
    </row>
    <row r="117">
      <c r="A117" s="8" t="s">
        <v>1166</v>
      </c>
      <c r="B117" s="8" t="s">
        <v>1169</v>
      </c>
      <c r="C117" s="8" t="s">
        <v>1102</v>
      </c>
      <c r="D117" s="37" t="str">
        <f t="array" ref="D117">XLOOKUP($A117,'本部部署'!A:A,'本部部署'!A:A,"×",0,"1")</f>
        <v>×</v>
      </c>
      <c r="E117" s="37" t="str">
        <f t="array" ref="E117">XLOOKUP($B117,'本部部署'!B:B,'本部部署'!B:B,"×",0,"1")</f>
        <v>×</v>
      </c>
      <c r="F117" s="37" t="str">
        <f t="array" ref="F117">XLOOKUP($A117,'本部部署'!B:B,'本部部署'!B:B,"×",0,"1")</f>
        <v>×</v>
      </c>
      <c r="G117" s="37" t="str">
        <f t="array" ref="G117">XLOOKUP($B117,'本部部署'!A:A,'本部部署'!A:A,"×",0,"1")</f>
        <v>×</v>
      </c>
      <c r="H117" s="7" t="s">
        <v>1069</v>
      </c>
    </row>
    <row r="118">
      <c r="A118" s="8" t="s">
        <v>1166</v>
      </c>
      <c r="B118" s="8" t="s">
        <v>1170</v>
      </c>
      <c r="C118" s="8" t="s">
        <v>1102</v>
      </c>
      <c r="D118" s="37" t="str">
        <f t="array" ref="D118">XLOOKUP($A118,'本部部署'!A:A,'本部部署'!A:A,"×",0,"1")</f>
        <v>×</v>
      </c>
      <c r="E118" s="37" t="str">
        <f t="array" ref="E118">XLOOKUP($B118,'本部部署'!B:B,'本部部署'!B:B,"×",0,"1")</f>
        <v>×</v>
      </c>
      <c r="F118" s="37" t="str">
        <f t="array" ref="F118">XLOOKUP($A118,'本部部署'!B:B,'本部部署'!B:B,"×",0,"1")</f>
        <v>×</v>
      </c>
      <c r="G118" s="37" t="str">
        <f t="array" ref="G118">XLOOKUP($B118,'本部部署'!A:A,'本部部署'!A:A,"×",0,"1")</f>
        <v>×</v>
      </c>
      <c r="H118" s="7" t="s">
        <v>1069</v>
      </c>
    </row>
    <row r="119">
      <c r="A119" s="8" t="s">
        <v>1166</v>
      </c>
      <c r="B119" s="8" t="s">
        <v>1144</v>
      </c>
      <c r="C119" s="8" t="s">
        <v>1102</v>
      </c>
      <c r="D119" s="37" t="str">
        <f t="array" ref="D119">XLOOKUP($A119,'本部部署'!A:A,'本部部署'!A:A,"×",0,"1")</f>
        <v>×</v>
      </c>
      <c r="E119" s="37" t="str">
        <f t="array" ref="E119">XLOOKUP($B119,'本部部署'!B:B,'本部部署'!B:B,"×",0,"1")</f>
        <v>×</v>
      </c>
      <c r="F119" s="37" t="str">
        <f t="array" ref="F119">XLOOKUP($A119,'本部部署'!B:B,'本部部署'!B:B,"×",0,"1")</f>
        <v>×</v>
      </c>
      <c r="G119" s="37" t="str">
        <f t="array" ref="G119">XLOOKUP($B119,'本部部署'!A:A,'本部部署'!A:A,"×",0,"1")</f>
        <v>×</v>
      </c>
      <c r="H119" s="7" t="s">
        <v>478</v>
      </c>
    </row>
    <row r="120">
      <c r="A120" s="8" t="s">
        <v>1166</v>
      </c>
      <c r="B120" s="8" t="s">
        <v>1134</v>
      </c>
      <c r="C120" s="8" t="s">
        <v>1102</v>
      </c>
      <c r="D120" s="37" t="str">
        <f t="array" ref="D120">XLOOKUP($A120,'本部部署'!A:A,'本部部署'!A:A,"×",0,"1")</f>
        <v>×</v>
      </c>
      <c r="E120" s="37" t="str">
        <f t="array" ref="E120">XLOOKUP($B120,'本部部署'!B:B,'本部部署'!B:B,"×",0,"1")</f>
        <v>×</v>
      </c>
      <c r="F120" s="37" t="str">
        <f t="array" ref="F120">XLOOKUP($A120,'本部部署'!B:B,'本部部署'!B:B,"×",0,"1")</f>
        <v>×</v>
      </c>
      <c r="G120" s="37" t="str">
        <f t="array" ref="G120">XLOOKUP($B120,'本部部署'!A:A,'本部部署'!A:A,"×",0,"1")</f>
        <v>×</v>
      </c>
      <c r="H120" s="7" t="s">
        <v>1069</v>
      </c>
    </row>
    <row r="121">
      <c r="A121" s="8" t="s">
        <v>1166</v>
      </c>
      <c r="B121" s="8" t="s">
        <v>1171</v>
      </c>
      <c r="C121" s="8" t="s">
        <v>1102</v>
      </c>
      <c r="D121" s="37" t="str">
        <f t="array" ref="D121">XLOOKUP($A121,'本部部署'!A:A,'本部部署'!A:A,"×",0,"1")</f>
        <v>×</v>
      </c>
      <c r="E121" s="37" t="str">
        <f t="array" ref="E121">XLOOKUP($B121,'本部部署'!B:B,'本部部署'!B:B,"×",0,"1")</f>
        <v>×</v>
      </c>
      <c r="F121" s="37" t="str">
        <f t="array" ref="F121">XLOOKUP($A121,'本部部署'!B:B,'本部部署'!B:B,"×",0,"1")</f>
        <v>×</v>
      </c>
      <c r="G121" s="37" t="str">
        <f t="array" ref="G121">XLOOKUP($B121,'本部部署'!A:A,'本部部署'!A:A,"×",0,"1")</f>
        <v>×</v>
      </c>
      <c r="H121" s="7" t="s">
        <v>1069</v>
      </c>
    </row>
    <row r="122">
      <c r="A122" s="8" t="s">
        <v>1166</v>
      </c>
      <c r="B122" s="8" t="s">
        <v>1135</v>
      </c>
      <c r="C122" s="8" t="s">
        <v>1102</v>
      </c>
      <c r="D122" s="37" t="str">
        <f t="array" ref="D122">XLOOKUP($A122,'本部部署'!A:A,'本部部署'!A:A,"×",0,"1")</f>
        <v>×</v>
      </c>
      <c r="E122" s="37" t="str">
        <f t="array" ref="E122">XLOOKUP($B122,'本部部署'!B:B,'本部部署'!B:B,"×",0,"1")</f>
        <v>×</v>
      </c>
      <c r="F122" s="37" t="str">
        <f t="array" ref="F122">XLOOKUP($A122,'本部部署'!B:B,'本部部署'!B:B,"×",0,"1")</f>
        <v>×</v>
      </c>
      <c r="G122" s="37" t="str">
        <f t="array" ref="G122">XLOOKUP($B122,'本部部署'!A:A,'本部部署'!A:A,"×",0,"1")</f>
        <v>×</v>
      </c>
      <c r="H122" s="7" t="s">
        <v>391</v>
      </c>
    </row>
    <row r="123">
      <c r="A123" s="8" t="s">
        <v>1166</v>
      </c>
      <c r="B123" s="8" t="s">
        <v>1172</v>
      </c>
      <c r="C123" s="8" t="s">
        <v>1102</v>
      </c>
      <c r="D123" s="37" t="str">
        <f t="array" ref="D123">XLOOKUP($A123,'本部部署'!A:A,'本部部署'!A:A,"×",0,"1")</f>
        <v>×</v>
      </c>
      <c r="E123" s="37" t="str">
        <f t="array" ref="E123">XLOOKUP($B123,'本部部署'!B:B,'本部部署'!B:B,"×",0,"1")</f>
        <v>×</v>
      </c>
      <c r="F123" s="37" t="str">
        <f t="array" ref="F123">XLOOKUP($A123,'本部部署'!B:B,'本部部署'!B:B,"×",0,"1")</f>
        <v>×</v>
      </c>
      <c r="G123" s="37" t="str">
        <f t="array" ref="G123">XLOOKUP($B123,'本部部署'!A:A,'本部部署'!A:A,"×",0,"1")</f>
        <v>×</v>
      </c>
      <c r="H123" s="7" t="s">
        <v>188</v>
      </c>
    </row>
    <row r="124">
      <c r="A124" s="8" t="s">
        <v>1166</v>
      </c>
      <c r="B124" s="8" t="s">
        <v>1136</v>
      </c>
      <c r="C124" s="8" t="s">
        <v>1102</v>
      </c>
      <c r="D124" s="37" t="str">
        <f t="array" ref="D124">XLOOKUP($A124,'本部部署'!A:A,'本部部署'!A:A,"×",0,"1")</f>
        <v>×</v>
      </c>
      <c r="E124" s="37" t="str">
        <f t="array" ref="E124">XLOOKUP($B124,'本部部署'!B:B,'本部部署'!B:B,"×",0,"1")</f>
        <v>×</v>
      </c>
      <c r="F124" s="37" t="str">
        <f t="array" ref="F124">XLOOKUP($A124,'本部部署'!B:B,'本部部署'!B:B,"×",0,"1")</f>
        <v>×</v>
      </c>
      <c r="G124" s="37" t="str">
        <f t="array" ref="G124">XLOOKUP($B124,'本部部署'!A:A,'本部部署'!A:A,"×",0,"1")</f>
        <v>×</v>
      </c>
      <c r="H124" s="7" t="s">
        <v>1058</v>
      </c>
    </row>
    <row r="125">
      <c r="A125" s="8" t="s">
        <v>1166</v>
      </c>
      <c r="B125" s="8" t="s">
        <v>1173</v>
      </c>
      <c r="C125" s="8" t="s">
        <v>1102</v>
      </c>
      <c r="D125" s="37" t="str">
        <f t="array" ref="D125">XLOOKUP($A125,'本部部署'!A:A,'本部部署'!A:A,"×",0,"1")</f>
        <v>×</v>
      </c>
      <c r="E125" s="37" t="str">
        <f t="array" ref="E125">XLOOKUP($B125,'本部部署'!B:B,'本部部署'!B:B,"×",0,"1")</f>
        <v>×</v>
      </c>
      <c r="F125" s="37" t="str">
        <f t="array" ref="F125">XLOOKUP($A125,'本部部署'!B:B,'本部部署'!B:B,"×",0,"1")</f>
        <v>×</v>
      </c>
      <c r="G125" s="37" t="str">
        <f t="array" ref="G125">XLOOKUP($B125,'本部部署'!A:A,'本部部署'!A:A,"×",0,"1")</f>
        <v>×</v>
      </c>
      <c r="H125" s="7" t="s">
        <v>1069</v>
      </c>
    </row>
    <row r="126">
      <c r="A126" s="8" t="s">
        <v>1166</v>
      </c>
      <c r="B126" s="8" t="s">
        <v>1137</v>
      </c>
      <c r="C126" s="8" t="s">
        <v>1102</v>
      </c>
      <c r="D126" s="37" t="str">
        <f t="array" ref="D126">XLOOKUP($A126,'本部部署'!A:A,'本部部署'!A:A,"×",0,"1")</f>
        <v>×</v>
      </c>
      <c r="E126" s="37" t="str">
        <f t="array" ref="E126">XLOOKUP($B126,'本部部署'!B:B,'本部部署'!B:B,"×",0,"1")</f>
        <v>×</v>
      </c>
      <c r="F126" s="37" t="str">
        <f t="array" ref="F126">XLOOKUP($A126,'本部部署'!B:B,'本部部署'!B:B,"×",0,"1")</f>
        <v>×</v>
      </c>
      <c r="G126" s="37" t="str">
        <f t="array" ref="G126">XLOOKUP($B126,'本部部署'!A:A,'本部部署'!A:A,"×",0,"1")</f>
        <v>×</v>
      </c>
      <c r="H126" s="7" t="s">
        <v>1058</v>
      </c>
    </row>
    <row r="127">
      <c r="A127" s="8" t="s">
        <v>1166</v>
      </c>
      <c r="B127" s="8" t="s">
        <v>1174</v>
      </c>
      <c r="C127" s="8" t="s">
        <v>1102</v>
      </c>
      <c r="D127" s="37" t="str">
        <f t="array" ref="D127">XLOOKUP($A127,'本部部署'!A:A,'本部部署'!A:A,"×",0,"1")</f>
        <v>×</v>
      </c>
      <c r="E127" s="37" t="str">
        <f t="array" ref="E127">XLOOKUP($B127,'本部部署'!B:B,'本部部署'!B:B,"×",0,"1")</f>
        <v>×</v>
      </c>
      <c r="F127" s="37" t="str">
        <f t="array" ref="F127">XLOOKUP($A127,'本部部署'!B:B,'本部部署'!B:B,"×",0,"1")</f>
        <v>×</v>
      </c>
      <c r="G127" s="37" t="str">
        <f t="array" ref="G127">XLOOKUP($B127,'本部部署'!A:A,'本部部署'!A:A,"×",0,"1")</f>
        <v>×</v>
      </c>
      <c r="H127" s="7" t="s">
        <v>693</v>
      </c>
    </row>
    <row r="128">
      <c r="A128" s="8" t="s">
        <v>1166</v>
      </c>
      <c r="B128" s="8" t="s">
        <v>1175</v>
      </c>
      <c r="C128" s="8" t="s">
        <v>1102</v>
      </c>
      <c r="D128" s="37" t="str">
        <f t="array" ref="D128">XLOOKUP($A128,'本部部署'!A:A,'本部部署'!A:A,"×",0,"1")</f>
        <v>×</v>
      </c>
      <c r="E128" s="37" t="str">
        <f t="array" ref="E128">XLOOKUP($B128,'本部部署'!B:B,'本部部署'!B:B,"×",0,"1")</f>
        <v>×</v>
      </c>
      <c r="F128" s="37" t="str">
        <f t="array" ref="F128">XLOOKUP($A128,'本部部署'!B:B,'本部部署'!B:B,"×",0,"1")</f>
        <v>×</v>
      </c>
      <c r="G128" s="37" t="str">
        <f t="array" ref="G128">XLOOKUP($B128,'本部部署'!A:A,'本部部署'!A:A,"×",0,"1")</f>
        <v>×</v>
      </c>
      <c r="H128" s="7" t="s">
        <v>391</v>
      </c>
    </row>
    <row r="129">
      <c r="A129" s="8" t="s">
        <v>1166</v>
      </c>
      <c r="B129" s="8" t="s">
        <v>286</v>
      </c>
      <c r="C129" s="8"/>
      <c r="D129" s="37" t="str">
        <f t="array" ref="D129">XLOOKUP($A129,'本部部署'!A:A,'本部部署'!A:A,"×",0,"1")</f>
        <v>×</v>
      </c>
      <c r="E129" s="37" t="str">
        <f t="array" ref="E129">XLOOKUP($B129,'本部部署'!B:B,'本部部署'!B:B,"×",0,"1")</f>
        <v>事業戦略室</v>
      </c>
    </row>
    <row r="130">
      <c r="A130" s="8" t="s">
        <v>1166</v>
      </c>
      <c r="B130" s="8" t="s">
        <v>1111</v>
      </c>
      <c r="C130" s="8" t="s">
        <v>1102</v>
      </c>
      <c r="D130" s="37" t="str">
        <f t="array" ref="D130">XLOOKUP($A130,'本部部署'!A:A,'本部部署'!A:A,"×",0,"1")</f>
        <v>×</v>
      </c>
      <c r="E130" s="37" t="str">
        <f t="array" ref="E130">XLOOKUP($B130,'本部部署'!B:B,'本部部署'!B:B,"×",0,"1")</f>
        <v>×</v>
      </c>
      <c r="F130" s="37" t="str">
        <f t="array" ref="F130">XLOOKUP($A130,'本部部署'!B:B,'本部部署'!B:B,"×",0,"1")</f>
        <v>×</v>
      </c>
      <c r="G130" s="37" t="str">
        <f t="array" ref="G130">XLOOKUP($B130,'本部部署'!A:A,'本部部署'!A:A,"×",0,"1")</f>
        <v>×</v>
      </c>
      <c r="H130" s="7" t="s">
        <v>1105</v>
      </c>
    </row>
    <row r="131">
      <c r="A131" s="8" t="s">
        <v>1166</v>
      </c>
      <c r="B131" s="8" t="s">
        <v>1068</v>
      </c>
      <c r="C131" s="8" t="s">
        <v>1102</v>
      </c>
      <c r="D131" s="37" t="str">
        <f t="array" ref="D131">XLOOKUP($A131,'本部部署'!A:A,'本部部署'!A:A,"×",0,"1")</f>
        <v>×</v>
      </c>
      <c r="E131" s="37" t="str">
        <f t="array" ref="E131">XLOOKUP($B131,'本部部署'!B:B,'本部部署'!B:B,"×",0,"1")</f>
        <v>×</v>
      </c>
      <c r="F131" s="37" t="str">
        <f t="array" ref="F131">XLOOKUP($A131,'本部部署'!B:B,'本部部署'!B:B,"×",0,"1")</f>
        <v>×</v>
      </c>
      <c r="G131" s="37" t="str">
        <f t="array" ref="G131">XLOOKUP($B131,'本部部署'!A:A,'本部部署'!A:A,"×",0,"1")</f>
        <v>×</v>
      </c>
      <c r="H131" s="7" t="s">
        <v>1176</v>
      </c>
    </row>
    <row r="132">
      <c r="A132" s="8" t="s">
        <v>1166</v>
      </c>
      <c r="B132" s="8" t="s">
        <v>1177</v>
      </c>
      <c r="C132" s="8" t="s">
        <v>1102</v>
      </c>
      <c r="D132" s="37" t="str">
        <f t="array" ref="D132">XLOOKUP($A132,'本部部署'!A:A,'本部部署'!A:A,"×",0,"1")</f>
        <v>×</v>
      </c>
      <c r="E132" s="37" t="str">
        <f t="array" ref="E132">XLOOKUP($B132,'本部部署'!B:B,'本部部署'!B:B,"×",0,"1")</f>
        <v>×</v>
      </c>
      <c r="F132" s="37" t="str">
        <f t="array" ref="F132">XLOOKUP($A132,'本部部署'!B:B,'本部部署'!B:B,"×",0,"1")</f>
        <v>×</v>
      </c>
      <c r="G132" s="37" t="str">
        <f t="array" ref="G132">XLOOKUP($B132,'本部部署'!A:A,'本部部署'!A:A,"×",0,"1")</f>
        <v>×</v>
      </c>
      <c r="H132" s="7" t="s">
        <v>693</v>
      </c>
    </row>
    <row r="133">
      <c r="A133" s="8" t="s">
        <v>1166</v>
      </c>
      <c r="B133" s="8" t="s">
        <v>1178</v>
      </c>
      <c r="C133" s="8" t="s">
        <v>1102</v>
      </c>
      <c r="D133" s="37" t="str">
        <f t="array" ref="D133">XLOOKUP($A133,'本部部署'!A:A,'本部部署'!A:A,"×",0,"1")</f>
        <v>×</v>
      </c>
      <c r="E133" s="37" t="str">
        <f t="array" ref="E133">XLOOKUP($B133,'本部部署'!B:B,'本部部署'!B:B,"×",0,"1")</f>
        <v>×</v>
      </c>
      <c r="F133" s="37" t="str">
        <f t="array" ref="F133">XLOOKUP($A133,'本部部署'!B:B,'本部部署'!B:B,"×",0,"1")</f>
        <v>×</v>
      </c>
      <c r="G133" s="37" t="str">
        <f t="array" ref="G133">XLOOKUP($B133,'本部部署'!A:A,'本部部署'!A:A,"×",0,"1")</f>
        <v>×</v>
      </c>
      <c r="H133" s="7" t="s">
        <v>1069</v>
      </c>
    </row>
    <row r="134">
      <c r="A134" s="8" t="s">
        <v>1166</v>
      </c>
      <c r="B134" s="8" t="s">
        <v>1081</v>
      </c>
      <c r="C134" s="8" t="s">
        <v>1102</v>
      </c>
      <c r="D134" s="37" t="str">
        <f t="array" ref="D134">XLOOKUP($A134,'本部部署'!A:A,'本部部署'!A:A,"×",0,"1")</f>
        <v>×</v>
      </c>
      <c r="E134" s="37" t="str">
        <f t="array" ref="E134">XLOOKUP($B134,'本部部署'!B:B,'本部部署'!B:B,"×",0,"1")</f>
        <v>×</v>
      </c>
      <c r="F134" s="37" t="str">
        <f t="array" ref="F134">XLOOKUP($A134,'本部部署'!B:B,'本部部署'!B:B,"×",0,"1")</f>
        <v>×</v>
      </c>
      <c r="G134" s="37" t="str">
        <f t="array" ref="G134">XLOOKUP($B134,'本部部署'!A:A,'本部部署'!A:A,"×",0,"1")</f>
        <v>×</v>
      </c>
      <c r="H134" s="7" t="s">
        <v>693</v>
      </c>
    </row>
    <row r="135">
      <c r="A135" s="8" t="s">
        <v>1166</v>
      </c>
      <c r="B135" s="8" t="s">
        <v>1161</v>
      </c>
      <c r="C135" s="8" t="s">
        <v>1102</v>
      </c>
      <c r="D135" s="37" t="str">
        <f t="array" ref="D135">XLOOKUP($A135,'本部部署'!A:A,'本部部署'!A:A,"×",0,"1")</f>
        <v>×</v>
      </c>
      <c r="E135" s="37" t="str">
        <f t="array" ref="E135">XLOOKUP($B135,'本部部署'!B:B,'本部部署'!B:B,"×",0,"1")</f>
        <v>×</v>
      </c>
      <c r="F135" s="37" t="str">
        <f t="array" ref="F135">XLOOKUP($A135,'本部部署'!B:B,'本部部署'!B:B,"×",0,"1")</f>
        <v>×</v>
      </c>
      <c r="G135" s="37" t="str">
        <f t="array" ref="G135">XLOOKUP($B135,'本部部署'!A:A,'本部部署'!A:A,"×",0,"1")</f>
        <v>×</v>
      </c>
      <c r="H135" s="7" t="s">
        <v>693</v>
      </c>
    </row>
    <row r="136">
      <c r="A136" s="8" t="s">
        <v>1179</v>
      </c>
      <c r="B136" s="8" t="s">
        <v>1180</v>
      </c>
      <c r="C136" s="8" t="s">
        <v>1181</v>
      </c>
      <c r="D136" s="37" t="str">
        <f t="array" ref="D136">XLOOKUP($A136,'本部部署'!A:A,'本部部署'!A:A,"×",0,"1")</f>
        <v>×</v>
      </c>
      <c r="E136" s="37" t="str">
        <f t="array" ref="E136">XLOOKUP($B136,'本部部署'!B:B,'本部部署'!B:B,"×",0,"1")</f>
        <v>×</v>
      </c>
      <c r="F136" s="37" t="str">
        <f t="array" ref="F136">XLOOKUP($A136,'本部部署'!B:B,'本部部署'!B:B,"×",0,"1")</f>
        <v>×</v>
      </c>
      <c r="G136" s="37" t="str">
        <f t="array" ref="G136">XLOOKUP($B136,'本部部署'!A:A,'本部部署'!A:A,"×",0,"1")</f>
        <v>×</v>
      </c>
      <c r="H136" s="7" t="s">
        <v>1182</v>
      </c>
    </row>
    <row r="137">
      <c r="A137" s="8" t="s">
        <v>1179</v>
      </c>
      <c r="B137" s="8" t="s">
        <v>1170</v>
      </c>
      <c r="C137" s="8" t="s">
        <v>1102</v>
      </c>
      <c r="D137" s="37" t="str">
        <f t="array" ref="D137">XLOOKUP($A137,'本部部署'!A:A,'本部部署'!A:A,"×",0,"1")</f>
        <v>×</v>
      </c>
      <c r="E137" s="37" t="str">
        <f t="array" ref="E137">XLOOKUP($B137,'本部部署'!B:B,'本部部署'!B:B,"×",0,"1")</f>
        <v>×</v>
      </c>
      <c r="F137" s="37" t="str">
        <f t="array" ref="F137">XLOOKUP($A137,'本部部署'!B:B,'本部部署'!B:B,"×",0,"1")</f>
        <v>×</v>
      </c>
      <c r="G137" s="37" t="str">
        <f t="array" ref="G137">XLOOKUP($B137,'本部部署'!A:A,'本部部署'!A:A,"×",0,"1")</f>
        <v>×</v>
      </c>
      <c r="H137" s="7" t="s">
        <v>1069</v>
      </c>
    </row>
    <row r="138">
      <c r="A138" s="8" t="s">
        <v>1179</v>
      </c>
      <c r="B138" s="8" t="s">
        <v>859</v>
      </c>
      <c r="C138" s="8"/>
      <c r="D138" s="37" t="str">
        <f t="array" ref="D138">XLOOKUP($A138,'本部部署'!A:A,'本部部署'!A:A,"×",0,"1")</f>
        <v>×</v>
      </c>
      <c r="E138" s="37" t="str">
        <f t="array" ref="E138">XLOOKUP($B138,'本部部署'!B:B,'本部部署'!B:B,"×",0,"1")</f>
        <v>フットボール事業部</v>
      </c>
      <c r="F138" s="37" t="str">
        <f t="array" ref="F138">XLOOKUP($A138,'本部部署'!B:B,'本部部署'!B:B,"×",0,"1")</f>
        <v>×</v>
      </c>
      <c r="G138" s="37" t="str">
        <f t="array" ref="G138">XLOOKUP($B138,'本部部署'!A:A,'本部部署'!A:A,"×",0,"1")</f>
        <v>×</v>
      </c>
    </row>
    <row r="139">
      <c r="A139" s="8" t="s">
        <v>1179</v>
      </c>
      <c r="B139" s="8" t="s">
        <v>1183</v>
      </c>
      <c r="C139" s="8" t="s">
        <v>1181</v>
      </c>
      <c r="D139" s="37" t="str">
        <f t="array" ref="D139">XLOOKUP($A139,'本部部署'!A:A,'本部部署'!A:A,"×",0,"1")</f>
        <v>×</v>
      </c>
      <c r="E139" s="37" t="str">
        <f t="array" ref="E139">XLOOKUP($B139,'本部部署'!B:B,'本部部署'!B:B,"×",0,"1")</f>
        <v>×</v>
      </c>
      <c r="F139" s="37" t="str">
        <f t="array" ref="F139">XLOOKUP($A139,'本部部署'!B:B,'本部部署'!B:B,"×",0,"1")</f>
        <v>×</v>
      </c>
      <c r="G139" s="37" t="str">
        <f t="array" ref="G139">XLOOKUP($B139,'本部部署'!A:A,'本部部署'!A:A,"×",0,"1")</f>
        <v>×</v>
      </c>
      <c r="H139" s="7" t="s">
        <v>1182</v>
      </c>
    </row>
    <row r="140">
      <c r="A140" s="8" t="s">
        <v>1179</v>
      </c>
      <c r="B140" s="8" t="s">
        <v>188</v>
      </c>
      <c r="C140" s="8"/>
      <c r="D140" s="37" t="str">
        <f t="array" ref="D140">XLOOKUP($A140,'本部部署'!A:A,'本部部署'!A:A,"×",0,"1")</f>
        <v>×</v>
      </c>
      <c r="E140" s="37" t="str">
        <f t="array" ref="E140">XLOOKUP($B140,'本部部署'!B:B,'本部部署'!B:B,"×",0,"1")</f>
        <v>社長室</v>
      </c>
    </row>
    <row r="141">
      <c r="A141" s="8" t="s">
        <v>1179</v>
      </c>
      <c r="B141" s="8" t="s">
        <v>1182</v>
      </c>
      <c r="C141" s="8" t="s">
        <v>1181</v>
      </c>
      <c r="D141" s="37" t="str">
        <f t="array" ref="D141">XLOOKUP($A141,'本部部署'!A:A,'本部部署'!A:A,"×",0,"1")</f>
        <v>×</v>
      </c>
      <c r="E141" s="37" t="str">
        <f t="array" ref="E141">XLOOKUP($B141,'本部部署'!B:B,'本部部署'!B:B,"×",0,"1")</f>
        <v>×</v>
      </c>
      <c r="F141" s="37" t="str">
        <f t="array" ref="F141">XLOOKUP($A141,'本部部署'!B:B,'本部部署'!B:B,"×",0,"1")</f>
        <v>×</v>
      </c>
      <c r="G141" s="37" t="str">
        <f t="array" ref="G141">XLOOKUP($B141,'本部部署'!A:A,'本部部署'!A:A,"×",0,"1")</f>
        <v>×</v>
      </c>
      <c r="H141" s="7" t="s">
        <v>1182</v>
      </c>
    </row>
    <row r="142">
      <c r="A142" s="8" t="s">
        <v>1179</v>
      </c>
      <c r="B142" s="8" t="s">
        <v>1151</v>
      </c>
      <c r="C142" s="8" t="s">
        <v>1181</v>
      </c>
      <c r="D142" s="37" t="str">
        <f t="array" ref="D142">XLOOKUP($A142,'本部部署'!A:A,'本部部署'!A:A,"×",0,"1")</f>
        <v>×</v>
      </c>
      <c r="E142" s="37" t="str">
        <f t="array" ref="E142">XLOOKUP($B142,'本部部署'!B:B,'本部部署'!B:B,"×",0,"1")</f>
        <v>×</v>
      </c>
      <c r="F142" s="37" t="str">
        <f t="array" ref="F142">XLOOKUP($A142,'本部部署'!B:B,'本部部署'!B:B,"×",0,"1")</f>
        <v>×</v>
      </c>
      <c r="G142" s="37" t="str">
        <f t="array" ref="G142">XLOOKUP($B142,'本部部署'!A:A,'本部部署'!A:A,"×",0,"1")</f>
        <v>×</v>
      </c>
      <c r="H142" s="7" t="s">
        <v>693</v>
      </c>
    </row>
    <row r="143">
      <c r="A143" s="8" t="s">
        <v>1179</v>
      </c>
      <c r="B143" s="8" t="s">
        <v>1184</v>
      </c>
      <c r="C143" s="8" t="s">
        <v>1181</v>
      </c>
      <c r="D143" s="37" t="str">
        <f t="array" ref="D143">XLOOKUP($A143,'本部部署'!A:A,'本部部署'!A:A,"×",0,"1")</f>
        <v>×</v>
      </c>
      <c r="E143" s="37" t="str">
        <f t="array" ref="E143">XLOOKUP($B143,'本部部署'!B:B,'本部部署'!B:B,"×",0,"1")</f>
        <v>×</v>
      </c>
      <c r="F143" s="37" t="str">
        <f t="array" ref="F143">XLOOKUP($A143,'本部部署'!B:B,'本部部署'!B:B,"×",0,"1")</f>
        <v>×</v>
      </c>
      <c r="G143" s="37" t="str">
        <f t="array" ref="G143">XLOOKUP($B143,'本部部署'!A:A,'本部部署'!A:A,"×",0,"1")</f>
        <v>×</v>
      </c>
      <c r="H143" s="7" t="s">
        <v>441</v>
      </c>
    </row>
    <row r="144">
      <c r="A144" s="8" t="s">
        <v>1179</v>
      </c>
      <c r="B144" s="8" t="s">
        <v>1153</v>
      </c>
      <c r="C144" s="8" t="s">
        <v>1181</v>
      </c>
      <c r="D144" s="37" t="str">
        <f t="array" ref="D144">XLOOKUP($A144,'本部部署'!A:A,'本部部署'!A:A,"×",0,"1")</f>
        <v>×</v>
      </c>
      <c r="E144" s="37" t="str">
        <f t="array" ref="E144">XLOOKUP($B144,'本部部署'!B:B,'本部部署'!B:B,"×",0,"1")</f>
        <v>×</v>
      </c>
      <c r="F144" s="37" t="str">
        <f t="array" ref="F144">XLOOKUP($A144,'本部部署'!B:B,'本部部署'!B:B,"×",0,"1")</f>
        <v>×</v>
      </c>
      <c r="G144" s="37" t="str">
        <f t="array" ref="G144">XLOOKUP($B144,'本部部署'!A:A,'本部部署'!A:A,"×",0,"1")</f>
        <v>×</v>
      </c>
      <c r="H144" s="7" t="s">
        <v>441</v>
      </c>
    </row>
    <row r="145">
      <c r="A145" s="8" t="s">
        <v>1179</v>
      </c>
      <c r="B145" s="8" t="s">
        <v>1185</v>
      </c>
      <c r="C145" s="8" t="s">
        <v>1181</v>
      </c>
      <c r="D145" s="37" t="str">
        <f t="array" ref="D145">XLOOKUP($A145,'本部部署'!A:A,'本部部署'!A:A,"×",0,"1")</f>
        <v>×</v>
      </c>
      <c r="E145" s="37" t="str">
        <f t="array" ref="E145">XLOOKUP($B145,'本部部署'!B:B,'本部部署'!B:B,"×",0,"1")</f>
        <v>×</v>
      </c>
      <c r="F145" s="37" t="str">
        <f t="array" ref="F145">XLOOKUP($A145,'本部部署'!B:B,'本部部署'!B:B,"×",0,"1")</f>
        <v>×</v>
      </c>
      <c r="G145" s="37" t="str">
        <f t="array" ref="G145">XLOOKUP($B145,'本部部署'!A:A,'本部部署'!A:A,"×",0,"1")</f>
        <v>×</v>
      </c>
      <c r="H145" s="7" t="s">
        <v>1110</v>
      </c>
    </row>
    <row r="146">
      <c r="A146" s="8" t="s">
        <v>1179</v>
      </c>
      <c r="B146" s="8" t="s">
        <v>1186</v>
      </c>
      <c r="C146" s="8" t="s">
        <v>1181</v>
      </c>
      <c r="D146" s="37" t="str">
        <f t="array" ref="D146">XLOOKUP($A146,'本部部署'!A:A,'本部部署'!A:A,"×",0,"1")</f>
        <v>×</v>
      </c>
      <c r="E146" s="37" t="str">
        <f t="array" ref="E146">XLOOKUP($B146,'本部部署'!B:B,'本部部署'!B:B,"×",0,"1")</f>
        <v>×</v>
      </c>
      <c r="F146" s="37" t="str">
        <f t="array" ref="F146">XLOOKUP($A146,'本部部署'!B:B,'本部部署'!B:B,"×",0,"1")</f>
        <v>×</v>
      </c>
      <c r="G146" s="37" t="str">
        <f t="array" ref="G146">XLOOKUP($B146,'本部部署'!A:A,'本部部署'!A:A,"×",0,"1")</f>
        <v>×</v>
      </c>
      <c r="H146" s="7" t="s">
        <v>1182</v>
      </c>
    </row>
    <row r="147">
      <c r="A147" s="8" t="s">
        <v>1179</v>
      </c>
      <c r="B147" s="8" t="s">
        <v>857</v>
      </c>
      <c r="C147" s="8"/>
      <c r="D147" s="37" t="str">
        <f t="array" ref="D147">XLOOKUP($A147,'本部部署'!A:A,'本部部署'!A:A,"×",0,"1")</f>
        <v>×</v>
      </c>
      <c r="E147" s="37" t="str">
        <f t="array" ref="E147">XLOOKUP($B147,'本部部署'!B:B,'本部部署'!B:B,"×",0,"1")</f>
        <v>バスケットボール事業部</v>
      </c>
      <c r="F147" s="37" t="str">
        <f t="array" ref="F147">XLOOKUP($A147,'本部部署'!B:B,'本部部署'!B:B,"×",0,"1")</f>
        <v>×</v>
      </c>
      <c r="G147" s="37" t="str">
        <f t="array" ref="G147">XLOOKUP($B147,'本部部署'!A:A,'本部部署'!A:A,"×",0,"1")</f>
        <v>×</v>
      </c>
    </row>
    <row r="148">
      <c r="A148" s="8" t="s">
        <v>1179</v>
      </c>
      <c r="B148" s="8" t="s">
        <v>1111</v>
      </c>
      <c r="C148" s="8" t="s">
        <v>1181</v>
      </c>
      <c r="D148" s="37" t="str">
        <f t="array" ref="D148">XLOOKUP($A148,'本部部署'!A:A,'本部部署'!A:A,"×",0,"1")</f>
        <v>×</v>
      </c>
      <c r="E148" s="37" t="str">
        <f t="array" ref="E148">XLOOKUP($B148,'本部部署'!B:B,'本部部署'!B:B,"×",0,"1")</f>
        <v>×</v>
      </c>
      <c r="F148" s="37" t="str">
        <f t="array" ref="F148">XLOOKUP($A148,'本部部署'!B:B,'本部部署'!B:B,"×",0,"1")</f>
        <v>×</v>
      </c>
      <c r="G148" s="37" t="str">
        <f t="array" ref="G148">XLOOKUP($B148,'本部部署'!A:A,'本部部署'!A:A,"×",0,"1")</f>
        <v>×</v>
      </c>
      <c r="H148" s="7" t="s">
        <v>1105</v>
      </c>
    </row>
    <row r="149">
      <c r="A149" s="8" t="s">
        <v>1179</v>
      </c>
      <c r="B149" s="8" t="s">
        <v>1187</v>
      </c>
      <c r="C149" s="8" t="s">
        <v>1181</v>
      </c>
      <c r="D149" s="37" t="str">
        <f t="array" ref="D149">XLOOKUP($A149,'本部部署'!A:A,'本部部署'!A:A,"×",0,"1")</f>
        <v>×</v>
      </c>
      <c r="E149" s="37" t="str">
        <f t="array" ref="E149">XLOOKUP($B149,'本部部署'!B:B,'本部部署'!B:B,"×",0,"1")</f>
        <v>×</v>
      </c>
      <c r="F149" s="37" t="str">
        <f t="array" ref="F149">XLOOKUP($A149,'本部部署'!B:B,'本部部署'!B:B,"×",0,"1")</f>
        <v>×</v>
      </c>
      <c r="G149" s="37" t="str">
        <f t="array" ref="G149">XLOOKUP($B149,'本部部署'!A:A,'本部部署'!A:A,"×",0,"1")</f>
        <v>×</v>
      </c>
      <c r="H149" s="7" t="s">
        <v>1188</v>
      </c>
    </row>
    <row r="150">
      <c r="A150" s="8" t="s">
        <v>1179</v>
      </c>
      <c r="B150" s="8" t="s">
        <v>1189</v>
      </c>
      <c r="C150" s="8" t="s">
        <v>1102</v>
      </c>
      <c r="D150" s="37" t="str">
        <f t="array" ref="D150">XLOOKUP($A150,'本部部署'!A:A,'本部部署'!A:A,"×",0,"1")</f>
        <v>×</v>
      </c>
      <c r="E150" s="37" t="str">
        <f t="array" ref="E150">XLOOKUP($B150,'本部部署'!B:B,'本部部署'!B:B,"×",0,"1")</f>
        <v>×</v>
      </c>
      <c r="F150" s="37" t="str">
        <f t="array" ref="F150">XLOOKUP($A150,'本部部署'!B:B,'本部部署'!B:B,"×",0,"1")</f>
        <v>×</v>
      </c>
      <c r="G150" s="37" t="str">
        <f t="array" ref="G150">XLOOKUP($B150,'本部部署'!A:A,'本部部署'!A:A,"×",0,"1")</f>
        <v>×</v>
      </c>
      <c r="H150" s="7" t="s">
        <v>1190</v>
      </c>
    </row>
    <row r="151">
      <c r="A151" s="8" t="s">
        <v>1179</v>
      </c>
      <c r="B151" s="8" t="s">
        <v>1191</v>
      </c>
      <c r="C151" s="8" t="s">
        <v>1102</v>
      </c>
      <c r="D151" s="37" t="str">
        <f t="array" ref="D151">XLOOKUP($A151,'本部部署'!A:A,'本部部署'!A:A,"×",0,"1")</f>
        <v>×</v>
      </c>
      <c r="E151" s="37" t="str">
        <f t="array" ref="E151">XLOOKUP($B151,'本部部署'!B:B,'本部部署'!B:B,"×",0,"1")</f>
        <v>×</v>
      </c>
      <c r="F151" s="37" t="str">
        <f t="array" ref="F151">XLOOKUP($A151,'本部部署'!B:B,'本部部署'!B:B,"×",0,"1")</f>
        <v>×</v>
      </c>
      <c r="G151" s="37" t="str">
        <f t="array" ref="G151">XLOOKUP($B151,'本部部署'!A:A,'本部部署'!A:A,"×",0,"1")</f>
        <v>×</v>
      </c>
      <c r="H151" s="7" t="s">
        <v>1192</v>
      </c>
    </row>
    <row r="152">
      <c r="A152" s="8" t="s">
        <v>391</v>
      </c>
      <c r="B152" s="8" t="s">
        <v>890</v>
      </c>
      <c r="C152" s="8"/>
      <c r="D152" s="37" t="str">
        <f t="array" ref="D152">XLOOKUP($A152,'本部部署'!A:A,'本部部署'!A:A,"×",0,"1")</f>
        <v>開発本部</v>
      </c>
      <c r="E152" s="37" t="str">
        <f t="array" ref="E152">XLOOKUP($B152,'本部部署'!B:B,'本部部署'!B:B,"×",0,"1")</f>
        <v>ｲﾝﾌﾗ室</v>
      </c>
    </row>
    <row r="153">
      <c r="A153" s="8" t="s">
        <v>391</v>
      </c>
      <c r="B153" s="8" t="s">
        <v>399</v>
      </c>
      <c r="C153" s="8"/>
      <c r="D153" s="37" t="str">
        <f t="array" ref="D153">XLOOKUP($A153,'本部部署'!A:A,'本部部署'!A:A,"×",0,"1")</f>
        <v>開発本部</v>
      </c>
      <c r="E153" s="37" t="str">
        <f t="array" ref="E153">XLOOKUP($B153,'本部部署'!B:B,'本部部署'!B:B,"×",0,"1")</f>
        <v>CTO室</v>
      </c>
    </row>
    <row r="154">
      <c r="A154" s="8" t="s">
        <v>391</v>
      </c>
      <c r="B154" s="8" t="s">
        <v>395</v>
      </c>
      <c r="C154" s="8"/>
      <c r="D154" s="37" t="str">
        <f t="array" ref="D154">XLOOKUP($A154,'本部部署'!A:A,'本部部署'!A:A,"×",0,"1")</f>
        <v>開発本部</v>
      </c>
      <c r="E154" s="37" t="str">
        <f t="array" ref="E154">XLOOKUP($B154,'本部部署'!B:B,'本部部署'!B:B,"×",0,"1")</f>
        <v>MIXI M 事業部</v>
      </c>
    </row>
    <row r="155">
      <c r="A155" s="8" t="s">
        <v>391</v>
      </c>
      <c r="B155" s="8" t="s">
        <v>644</v>
      </c>
      <c r="C155" s="8"/>
      <c r="D155" s="37" t="str">
        <f t="array" ref="D155">XLOOKUP($A155,'本部部署'!A:A,'本部部署'!A:A,"×",0,"1")</f>
        <v>開発本部</v>
      </c>
      <c r="E155" s="37" t="str">
        <f t="array" ref="E155">XLOOKUP($B155,'本部部署'!B:B,'本部部署'!B:B,"×",0,"1")</f>
        <v>ｾｷｭﾘﾃｨ室</v>
      </c>
    </row>
    <row r="156">
      <c r="A156" s="8" t="s">
        <v>391</v>
      </c>
      <c r="B156" s="8" t="s">
        <v>1193</v>
      </c>
      <c r="C156" s="8"/>
      <c r="D156" s="37" t="str">
        <f t="array" ref="D156">XLOOKUP($A156,'本部部署'!A:A,'本部部署'!A:A,"×",0,"1")</f>
        <v>開発本部</v>
      </c>
      <c r="E156" s="37" t="str">
        <f t="array" ref="E156">XLOOKUP($B156,'本部部署'!B:B,'本部部署'!B:B,"×",0,"1")</f>
        <v>×</v>
      </c>
    </row>
    <row r="157">
      <c r="A157" s="8" t="s">
        <v>391</v>
      </c>
      <c r="B157" s="8" t="s">
        <v>392</v>
      </c>
      <c r="C157" s="8"/>
      <c r="D157" s="37" t="str">
        <f t="array" ref="D157">XLOOKUP($A157,'本部部署'!A:A,'本部部署'!A:A,"×",0,"1")</f>
        <v>開発本部</v>
      </c>
      <c r="E157" s="37" t="str">
        <f t="array" ref="E157">XLOOKUP($B157,'本部部署'!B:B,'本部部署'!B:B,"×",0,"1")</f>
        <v>たんぽぽ室</v>
      </c>
    </row>
    <row r="158">
      <c r="A158" s="8" t="s">
        <v>391</v>
      </c>
      <c r="B158" s="8" t="s">
        <v>1111</v>
      </c>
      <c r="C158" s="8"/>
      <c r="D158" s="37" t="str">
        <f t="array" ref="D158">XLOOKUP($A158,'本部部署'!A:A,'本部部署'!A:A,"×",0,"1")</f>
        <v>開発本部</v>
      </c>
      <c r="E158" s="37" t="str">
        <f t="array" ref="E158">XLOOKUP($B158,'本部部署'!B:B,'本部部署'!B:B,"×",0,"1")</f>
        <v>×</v>
      </c>
    </row>
    <row r="159">
      <c r="A159" s="8" t="s">
        <v>1194</v>
      </c>
      <c r="B159" s="8" t="s">
        <v>1139</v>
      </c>
      <c r="C159" s="8" t="s">
        <v>988</v>
      </c>
      <c r="D159" s="37" t="str">
        <f t="array" ref="D159">XLOOKUP($A159,'本部部署'!A:A,'本部部署'!A:A,"×",0,"1")</f>
        <v>×</v>
      </c>
      <c r="E159" s="37" t="str">
        <f t="array" ref="E159">XLOOKUP($B159,'本部部署'!B:B,'本部部署'!B:B,"×",0,"1")</f>
        <v>×</v>
      </c>
      <c r="F159" s="37" t="str">
        <f t="array" ref="F159">XLOOKUP($A159,'本部部署'!B:B,'本部部署'!B:B,"×",0,"1")</f>
        <v>×</v>
      </c>
      <c r="G159" s="37" t="str">
        <f t="array" ref="G159">XLOOKUP($B159,'本部部署'!A:A,'本部部署'!A:A,"×",0,"1")</f>
        <v>×</v>
      </c>
      <c r="H159" s="7" t="s">
        <v>1105</v>
      </c>
    </row>
    <row r="160">
      <c r="A160" s="8" t="s">
        <v>1195</v>
      </c>
      <c r="B160" s="8" t="s">
        <v>1196</v>
      </c>
      <c r="C160" s="8" t="s">
        <v>1197</v>
      </c>
      <c r="D160" s="37" t="str">
        <f t="array" ref="D160">XLOOKUP($A160,'本部部署'!A:A,'本部部署'!A:A,"×",0,"1")</f>
        <v>×</v>
      </c>
      <c r="E160" s="37" t="str">
        <f t="array" ref="E160">XLOOKUP($B160,'本部部署'!B:B,'本部部署'!B:B,"×",0,"1")</f>
        <v>×</v>
      </c>
      <c r="F160" s="37" t="str">
        <f t="array" ref="F160">XLOOKUP($A160,'本部部署'!B:B,'本部部署'!B:B,"×",0,"1")</f>
        <v>×</v>
      </c>
      <c r="G160" s="37" t="str">
        <f t="array" ref="G160">XLOOKUP($B160,'本部部署'!A:A,'本部部署'!A:A,"×",0,"1")</f>
        <v>×</v>
      </c>
      <c r="H160" s="7" t="s">
        <v>1105</v>
      </c>
    </row>
    <row r="161">
      <c r="A161" s="8" t="s">
        <v>427</v>
      </c>
      <c r="B161" s="8" t="s">
        <v>1104</v>
      </c>
      <c r="C161" s="8"/>
      <c r="D161" s="37" t="str">
        <f t="array" ref="D161">XLOOKUP($A161,'本部部署'!A:A,'本部部署'!A:A,"×",0,"1")</f>
        <v>×</v>
      </c>
      <c r="E161" s="37" t="str">
        <f t="array" ref="E161">XLOOKUP($B161,'本部部署'!B:B,'本部部署'!B:B,"×",0,"1")</f>
        <v>×</v>
      </c>
      <c r="F161" s="37" t="str">
        <f t="array" ref="F161">XLOOKUP($A161,'本部部署'!B:B,'本部部署'!B:B,"×",0,"1")</f>
        <v>監査役室</v>
      </c>
      <c r="G161" s="37" t="str">
        <f t="array" ref="G161">XLOOKUP($B161,'本部部署'!A:A,'本部部署'!A:A,"×",0,"1")</f>
        <v>×</v>
      </c>
    </row>
    <row r="162">
      <c r="A162" s="8" t="s">
        <v>1198</v>
      </c>
      <c r="B162" s="8" t="s">
        <v>1199</v>
      </c>
      <c r="C162" s="8" t="s">
        <v>1197</v>
      </c>
      <c r="D162" s="37" t="str">
        <f t="array" ref="D162">XLOOKUP($A162,'本部部署'!A:A,'本部部署'!A:A,"×",0,"1")</f>
        <v>×</v>
      </c>
      <c r="E162" s="37" t="str">
        <f t="array" ref="E162">XLOOKUP($B162,'本部部署'!B:B,'本部部署'!B:B,"×",0,"1")</f>
        <v>×</v>
      </c>
      <c r="F162" s="37" t="str">
        <f t="array" ref="F162">XLOOKUP($A162,'本部部署'!B:B,'本部部署'!B:B,"×",0,"1")</f>
        <v>×</v>
      </c>
      <c r="G162" s="37" t="str">
        <f t="array" ref="G162">XLOOKUP($B162,'本部部署'!A:A,'本部部署'!A:A,"×",0,"1")</f>
        <v>×</v>
      </c>
      <c r="H162" s="7" t="s">
        <v>1105</v>
      </c>
    </row>
    <row r="163">
      <c r="A163" s="8" t="s">
        <v>1198</v>
      </c>
      <c r="B163" s="8" t="s">
        <v>46</v>
      </c>
      <c r="C163" s="8" t="s">
        <v>1197</v>
      </c>
      <c r="D163" s="37" t="str">
        <f t="array" ref="D163">XLOOKUP($A163,'本部部署'!A:A,'本部部署'!A:A,"×",0,"1")</f>
        <v>×</v>
      </c>
      <c r="E163" s="37" t="str">
        <f t="array" ref="E163">XLOOKUP($B163,'本部部署'!B:B,'本部部署'!B:B,"×",0,"1")</f>
        <v>×</v>
      </c>
      <c r="F163" s="37" t="str">
        <f t="array" ref="F163">XLOOKUP($A163,'本部部署'!B:B,'本部部署'!B:B,"×",0,"1")</f>
        <v>×</v>
      </c>
      <c r="G163" s="37" t="str">
        <f t="array" ref="G163">XLOOKUP($B163,'本部部署'!A:A,'本部部署'!A:A,"×",0,"1")</f>
        <v>×</v>
      </c>
      <c r="H163" s="7" t="s">
        <v>1105</v>
      </c>
    </row>
    <row r="164">
      <c r="A164" s="8" t="s">
        <v>1198</v>
      </c>
      <c r="B164" s="8" t="s">
        <v>59</v>
      </c>
      <c r="C164" s="8" t="s">
        <v>1197</v>
      </c>
      <c r="D164" s="37" t="str">
        <f t="array" ref="D164">XLOOKUP($A164,'本部部署'!A:A,'本部部署'!A:A,"×",0,"1")</f>
        <v>×</v>
      </c>
      <c r="E164" s="37" t="str">
        <f t="array" ref="E164">XLOOKUP($B164,'本部部署'!B:B,'本部部署'!B:B,"×",0,"1")</f>
        <v>×</v>
      </c>
      <c r="F164" s="37" t="str">
        <f t="array" ref="F164">XLOOKUP($A164,'本部部署'!B:B,'本部部署'!B:B,"×",0,"1")</f>
        <v>×</v>
      </c>
      <c r="G164" s="37" t="str">
        <f t="array" ref="G164">XLOOKUP($B164,'本部部署'!A:A,'本部部署'!A:A,"×",0,"1")</f>
        <v>×</v>
      </c>
      <c r="H164" s="7" t="s">
        <v>1105</v>
      </c>
    </row>
    <row r="165">
      <c r="A165" s="8" t="s">
        <v>1198</v>
      </c>
      <c r="B165" s="8" t="s">
        <v>1200</v>
      </c>
      <c r="C165" s="8" t="s">
        <v>1197</v>
      </c>
      <c r="D165" s="37" t="str">
        <f t="array" ref="D165">XLOOKUP($A165,'本部部署'!A:A,'本部部署'!A:A,"×",0,"1")</f>
        <v>×</v>
      </c>
      <c r="E165" s="37" t="str">
        <f t="array" ref="E165">XLOOKUP($B165,'本部部署'!B:B,'本部部署'!B:B,"×",0,"1")</f>
        <v>×</v>
      </c>
      <c r="F165" s="37" t="str">
        <f t="array" ref="F165">XLOOKUP($A165,'本部部署'!B:B,'本部部署'!B:B,"×",0,"1")</f>
        <v>×</v>
      </c>
      <c r="G165" s="37" t="str">
        <f t="array" ref="G165">XLOOKUP($B165,'本部部署'!A:A,'本部部署'!A:A,"×",0,"1")</f>
        <v>×</v>
      </c>
      <c r="H165" s="7" t="s">
        <v>1105</v>
      </c>
    </row>
    <row r="166">
      <c r="A166" s="8" t="s">
        <v>1198</v>
      </c>
      <c r="B166" s="8" t="s">
        <v>1201</v>
      </c>
      <c r="C166" s="8" t="s">
        <v>1197</v>
      </c>
      <c r="D166" s="37" t="str">
        <f t="array" ref="D166">XLOOKUP($A166,'本部部署'!A:A,'本部部署'!A:A,"×",0,"1")</f>
        <v>×</v>
      </c>
      <c r="E166" s="37" t="str">
        <f t="array" ref="E166">XLOOKUP($B166,'本部部署'!B:B,'本部部署'!B:B,"×",0,"1")</f>
        <v>×</v>
      </c>
      <c r="F166" s="37" t="str">
        <f t="array" ref="F166">XLOOKUP($A166,'本部部署'!B:B,'本部部署'!B:B,"×",0,"1")</f>
        <v>×</v>
      </c>
      <c r="G166" s="37" t="str">
        <f t="array" ref="G166">XLOOKUP($B166,'本部部署'!A:A,'本部部署'!A:A,"×",0,"1")</f>
        <v>×</v>
      </c>
      <c r="H166" s="7" t="s">
        <v>1105</v>
      </c>
    </row>
    <row r="167">
      <c r="A167" s="8" t="s">
        <v>1198</v>
      </c>
      <c r="B167" s="8" t="s">
        <v>1202</v>
      </c>
      <c r="C167" s="8" t="s">
        <v>1197</v>
      </c>
      <c r="D167" s="37" t="str">
        <f t="array" ref="D167">XLOOKUP($A167,'本部部署'!A:A,'本部部署'!A:A,"×",0,"1")</f>
        <v>×</v>
      </c>
      <c r="E167" s="37" t="str">
        <f t="array" ref="E167">XLOOKUP($B167,'本部部署'!B:B,'本部部署'!B:B,"×",0,"1")</f>
        <v>×</v>
      </c>
      <c r="F167" s="37" t="str">
        <f t="array" ref="F167">XLOOKUP($A167,'本部部署'!B:B,'本部部署'!B:B,"×",0,"1")</f>
        <v>×</v>
      </c>
      <c r="G167" s="37" t="str">
        <f t="array" ref="G167">XLOOKUP($B167,'本部部署'!A:A,'本部部署'!A:A,"×",0,"1")</f>
        <v>×</v>
      </c>
      <c r="H167" s="7" t="s">
        <v>1105</v>
      </c>
    </row>
    <row r="168">
      <c r="A168" s="8" t="s">
        <v>1198</v>
      </c>
      <c r="B168" s="8" t="s">
        <v>56</v>
      </c>
      <c r="C168" s="8" t="s">
        <v>1197</v>
      </c>
      <c r="D168" s="37" t="str">
        <f t="array" ref="D168">XLOOKUP($A168,'本部部署'!A:A,'本部部署'!A:A,"×",0,"1")</f>
        <v>×</v>
      </c>
      <c r="E168" s="37" t="str">
        <f t="array" ref="E168">XLOOKUP($B168,'本部部署'!B:B,'本部部署'!B:B,"×",0,"1")</f>
        <v>×</v>
      </c>
      <c r="F168" s="37" t="str">
        <f t="array" ref="F168">XLOOKUP($A168,'本部部署'!B:B,'本部部署'!B:B,"×",0,"1")</f>
        <v>×</v>
      </c>
      <c r="G168" s="37" t="str">
        <f t="array" ref="G168">XLOOKUP($B168,'本部部署'!A:A,'本部部署'!A:A,"×",0,"1")</f>
        <v>×</v>
      </c>
      <c r="H168" s="7" t="s">
        <v>1105</v>
      </c>
    </row>
    <row r="169">
      <c r="A169" s="8" t="s">
        <v>1198</v>
      </c>
      <c r="B169" s="8" t="s">
        <v>292</v>
      </c>
      <c r="C169" s="8" t="s">
        <v>1197</v>
      </c>
      <c r="D169" s="37" t="str">
        <f t="array" ref="D169">XLOOKUP($A169,'本部部署'!A:A,'本部部署'!A:A,"×",0,"1")</f>
        <v>×</v>
      </c>
      <c r="E169" s="37" t="str">
        <f t="array" ref="E169">XLOOKUP($B169,'本部部署'!B:B,'本部部署'!B:B,"×",0,"1")</f>
        <v>×</v>
      </c>
      <c r="F169" s="37" t="str">
        <f t="array" ref="F169">XLOOKUP($A169,'本部部署'!B:B,'本部部署'!B:B,"×",0,"1")</f>
        <v>×</v>
      </c>
      <c r="G169" s="37" t="str">
        <f t="array" ref="G169">XLOOKUP($B169,'本部部署'!A:A,'本部部署'!A:A,"×",0,"1")</f>
        <v>×</v>
      </c>
      <c r="H169" s="7" t="s">
        <v>1105</v>
      </c>
    </row>
    <row r="170">
      <c r="A170" s="8" t="s">
        <v>1198</v>
      </c>
      <c r="B170" s="8" t="s">
        <v>1203</v>
      </c>
      <c r="C170" s="8" t="s">
        <v>1197</v>
      </c>
      <c r="D170" s="37" t="str">
        <f t="array" ref="D170">XLOOKUP($A170,'本部部署'!A:A,'本部部署'!A:A,"×",0,"1")</f>
        <v>×</v>
      </c>
      <c r="E170" s="37" t="str">
        <f t="array" ref="E170">XLOOKUP($B170,'本部部署'!B:B,'本部部署'!B:B,"×",0,"1")</f>
        <v>×</v>
      </c>
      <c r="F170" s="37" t="str">
        <f t="array" ref="F170">XLOOKUP($A170,'本部部署'!B:B,'本部部署'!B:B,"×",0,"1")</f>
        <v>×</v>
      </c>
      <c r="G170" s="37" t="str">
        <f t="array" ref="G170">XLOOKUP($B170,'本部部署'!A:A,'本部部署'!A:A,"×",0,"1")</f>
        <v>×</v>
      </c>
      <c r="H170" s="7" t="s">
        <v>1105</v>
      </c>
    </row>
    <row r="171">
      <c r="A171" s="8" t="s">
        <v>1198</v>
      </c>
      <c r="B171" s="8" t="s">
        <v>1204</v>
      </c>
      <c r="C171" s="8" t="s">
        <v>1197</v>
      </c>
      <c r="D171" s="37" t="str">
        <f t="array" ref="D171">XLOOKUP($A171,'本部部署'!A:A,'本部部署'!A:A,"×",0,"1")</f>
        <v>×</v>
      </c>
      <c r="E171" s="37" t="str">
        <f t="array" ref="E171">XLOOKUP($B171,'本部部署'!B:B,'本部部署'!B:B,"×",0,"1")</f>
        <v>×</v>
      </c>
      <c r="F171" s="37" t="str">
        <f t="array" ref="F171">XLOOKUP($A171,'本部部署'!B:B,'本部部署'!B:B,"×",0,"1")</f>
        <v>×</v>
      </c>
      <c r="G171" s="37" t="str">
        <f t="array" ref="G171">XLOOKUP($B171,'本部部署'!A:A,'本部部署'!A:A,"×",0,"1")</f>
        <v>×</v>
      </c>
      <c r="H171" s="7" t="s">
        <v>1105</v>
      </c>
    </row>
    <row r="172">
      <c r="A172" s="8" t="s">
        <v>1205</v>
      </c>
      <c r="B172" s="8" t="s">
        <v>1206</v>
      </c>
      <c r="C172" s="8" t="s">
        <v>1181</v>
      </c>
      <c r="D172" s="37" t="str">
        <f t="array" ref="D172">XLOOKUP($A172,'本部部署'!A:A,'本部部署'!A:A,"×",0,"1")</f>
        <v>×</v>
      </c>
      <c r="E172" s="37" t="str">
        <f t="array" ref="E172">XLOOKUP($B172,'本部部署'!B:B,'本部部署'!B:B,"×",0,"1")</f>
        <v>×</v>
      </c>
      <c r="F172" s="37" t="str">
        <f t="array" ref="F172">XLOOKUP($A172,'本部部署'!B:B,'本部部署'!B:B,"×",0,"1")</f>
        <v>×</v>
      </c>
      <c r="G172" s="37" t="str">
        <f t="array" ref="G172">XLOOKUP($B172,'本部部署'!A:A,'本部部署'!A:A,"×",0,"1")</f>
        <v>×</v>
      </c>
      <c r="H172" s="7" t="s">
        <v>391</v>
      </c>
    </row>
    <row r="173">
      <c r="A173" s="8" t="s">
        <v>1205</v>
      </c>
      <c r="B173" s="8" t="s">
        <v>1207</v>
      </c>
      <c r="C173" s="8" t="s">
        <v>1181</v>
      </c>
      <c r="D173" s="37" t="str">
        <f t="array" ref="D173">XLOOKUP($A173,'本部部署'!A:A,'本部部署'!A:A,"×",0,"1")</f>
        <v>×</v>
      </c>
      <c r="E173" s="37" t="str">
        <f t="array" ref="E173">XLOOKUP($B173,'本部部署'!B:B,'本部部署'!B:B,"×",0,"1")</f>
        <v>×</v>
      </c>
      <c r="F173" s="37" t="str">
        <f t="array" ref="F173">XLOOKUP($A173,'本部部署'!B:B,'本部部署'!B:B,"×",0,"1")</f>
        <v>×</v>
      </c>
      <c r="G173" s="37" t="str">
        <f t="array" ref="G173">XLOOKUP($B173,'本部部署'!A:A,'本部部署'!A:A,"×",0,"1")</f>
        <v>×</v>
      </c>
      <c r="H173" s="7" t="s">
        <v>391</v>
      </c>
    </row>
    <row r="174">
      <c r="A174" s="8" t="s">
        <v>1205</v>
      </c>
      <c r="B174" s="8" t="s">
        <v>1111</v>
      </c>
      <c r="C174" s="8" t="s">
        <v>1181</v>
      </c>
      <c r="D174" s="37" t="str">
        <f t="array" ref="D174">XLOOKUP($A174,'本部部署'!A:A,'本部部署'!A:A,"×",0,"1")</f>
        <v>×</v>
      </c>
      <c r="E174" s="37" t="str">
        <f t="array" ref="E174">XLOOKUP($B174,'本部部署'!B:B,'本部部署'!B:B,"×",0,"1")</f>
        <v>×</v>
      </c>
      <c r="F174" s="37" t="str">
        <f t="array" ref="F174">XLOOKUP($A174,'本部部署'!B:B,'本部部署'!B:B,"×",0,"1")</f>
        <v>×</v>
      </c>
      <c r="G174" s="37" t="str">
        <f t="array" ref="G174">XLOOKUP($B174,'本部部署'!A:A,'本部部署'!A:A,"×",0,"1")</f>
        <v>×</v>
      </c>
      <c r="H174" s="7" t="s">
        <v>1105</v>
      </c>
    </row>
    <row r="175">
      <c r="A175" s="8" t="s">
        <v>1205</v>
      </c>
      <c r="B175" s="8" t="s">
        <v>1065</v>
      </c>
      <c r="C175" s="8" t="s">
        <v>1181</v>
      </c>
      <c r="D175" s="37" t="str">
        <f t="array" ref="D175">XLOOKUP($A175,'本部部署'!A:A,'本部部署'!A:A,"×",0,"1")</f>
        <v>×</v>
      </c>
      <c r="E175" s="37" t="str">
        <f t="array" ref="E175">XLOOKUP($B175,'本部部署'!B:B,'本部部署'!B:B,"×",0,"1")</f>
        <v>×</v>
      </c>
      <c r="F175" s="37" t="str">
        <f t="array" ref="F175">XLOOKUP($A175,'本部部署'!B:B,'本部部署'!B:B,"×",0,"1")</f>
        <v>×</v>
      </c>
      <c r="G175" s="37" t="str">
        <f t="array" ref="G175">XLOOKUP($B175,'本部部署'!A:A,'本部部署'!A:A,"×",0,"1")</f>
        <v>×</v>
      </c>
      <c r="H175" s="7" t="s">
        <v>478</v>
      </c>
    </row>
    <row r="176">
      <c r="A176" s="8" t="s">
        <v>3</v>
      </c>
      <c r="B176" s="8" t="s">
        <v>9</v>
      </c>
      <c r="C176" s="8"/>
      <c r="D176" s="37" t="str">
        <f t="array" ref="D176">XLOOKUP($A176,'本部部署'!A:A,'本部部署'!A:A,"×",0,"1")</f>
        <v>CS本部</v>
      </c>
      <c r="E176" s="37" t="str">
        <f t="array" ref="E176">XLOOKUP($B176,'本部部署'!B:B,'本部部署'!B:B,"×",0,"1")</f>
        <v>CX部</v>
      </c>
    </row>
    <row r="177">
      <c r="A177" s="8" t="s">
        <v>3</v>
      </c>
      <c r="B177" s="8" t="s">
        <v>4</v>
      </c>
      <c r="C177" s="8"/>
      <c r="D177" s="37" t="str">
        <f t="array" ref="D177">XLOOKUP($A177,'本部部署'!A:A,'本部部署'!A:A,"×",0,"1")</f>
        <v>CS本部</v>
      </c>
      <c r="E177" s="37" t="str">
        <f t="array" ref="E177">XLOOKUP($B177,'本部部署'!B:B,'本部部署'!B:B,"×",0,"1")</f>
        <v>CS部</v>
      </c>
    </row>
    <row r="178">
      <c r="A178" s="8" t="s">
        <v>3</v>
      </c>
      <c r="B178" s="8" t="s">
        <v>1207</v>
      </c>
      <c r="C178" s="8"/>
      <c r="D178" s="37" t="str">
        <f t="array" ref="D178">XLOOKUP($A178,'本部部署'!A:A,'本部部署'!A:A,"×",0,"1")</f>
        <v>CS本部</v>
      </c>
      <c r="E178" s="37" t="str">
        <f t="array" ref="E178">XLOOKUP($B178,'本部部署'!B:B,'本部部署'!B:B,"×",0,"1")</f>
        <v>×</v>
      </c>
    </row>
    <row r="179">
      <c r="A179" s="8" t="s">
        <v>3</v>
      </c>
      <c r="B179" s="8" t="s">
        <v>1111</v>
      </c>
      <c r="C179" s="8"/>
      <c r="D179" s="37" t="str">
        <f t="array" ref="D179">XLOOKUP($A179,'本部部署'!A:A,'本部部署'!A:A,"×",0,"1")</f>
        <v>CS本部</v>
      </c>
      <c r="E179" s="37" t="str">
        <f t="array" ref="E179">XLOOKUP($B179,'本部部署'!B:B,'本部部署'!B:B,"×",0,"1")</f>
        <v>×</v>
      </c>
    </row>
    <row r="180">
      <c r="A180" s="8" t="s">
        <v>1208</v>
      </c>
      <c r="B180" s="8" t="s">
        <v>1209</v>
      </c>
      <c r="C180" s="8" t="s">
        <v>1181</v>
      </c>
      <c r="D180" s="37" t="str">
        <f t="array" ref="D180">XLOOKUP($A180,'本部部署'!A:A,'本部部署'!A:A,"×",0,"1")</f>
        <v>×</v>
      </c>
      <c r="E180" s="37" t="str">
        <f t="array" ref="E180">XLOOKUP($B180,'本部部署'!B:B,'本部部署'!B:B,"×",0,"1")</f>
        <v>×</v>
      </c>
      <c r="F180" s="37" t="str">
        <f t="array" ref="F180">XLOOKUP($A180,'本部部署'!B:B,'本部部署'!B:B,"×",0,"1")</f>
        <v>×</v>
      </c>
      <c r="G180" s="37" t="str">
        <f t="array" ref="G180">XLOOKUP($B180,'本部部署'!A:A,'本部部署'!A:A,"×",0,"1")</f>
        <v>×</v>
      </c>
      <c r="H180" s="7" t="s">
        <v>587</v>
      </c>
    </row>
    <row r="181">
      <c r="A181" s="8" t="s">
        <v>1208</v>
      </c>
      <c r="B181" s="8" t="s">
        <v>1148</v>
      </c>
      <c r="C181" s="8" t="s">
        <v>1181</v>
      </c>
      <c r="D181" s="37" t="str">
        <f t="array" ref="D181">XLOOKUP($A181,'本部部署'!A:A,'本部部署'!A:A,"×",0,"1")</f>
        <v>×</v>
      </c>
      <c r="E181" s="37" t="str">
        <f t="array" ref="E181">XLOOKUP($B181,'本部部署'!B:B,'本部部署'!B:B,"×",0,"1")</f>
        <v>×</v>
      </c>
      <c r="F181" s="37" t="str">
        <f t="array" ref="F181">XLOOKUP($A181,'本部部署'!B:B,'本部部署'!B:B,"×",0,"1")</f>
        <v>×</v>
      </c>
      <c r="G181" s="37" t="str">
        <f t="array" ref="G181">XLOOKUP($B181,'本部部署'!A:A,'本部部署'!A:A,"×",0,"1")</f>
        <v>×</v>
      </c>
      <c r="H181" s="7" t="s">
        <v>587</v>
      </c>
    </row>
    <row r="182">
      <c r="A182" s="8" t="s">
        <v>1208</v>
      </c>
      <c r="B182" s="8" t="s">
        <v>1210</v>
      </c>
      <c r="C182" s="8" t="s">
        <v>1181</v>
      </c>
      <c r="D182" s="37" t="str">
        <f t="array" ref="D182">XLOOKUP($A182,'本部部署'!A:A,'本部部署'!A:A,"×",0,"1")</f>
        <v>×</v>
      </c>
      <c r="E182" s="37" t="str">
        <f t="array" ref="E182">XLOOKUP($B182,'本部部署'!B:B,'本部部署'!B:B,"×",0,"1")</f>
        <v>×</v>
      </c>
      <c r="F182" s="37" t="str">
        <f t="array" ref="F182">XLOOKUP($A182,'本部部署'!B:B,'本部部署'!B:B,"×",0,"1")</f>
        <v>×</v>
      </c>
      <c r="G182" s="37" t="str">
        <f t="array" ref="G182">XLOOKUP($B182,'本部部署'!A:A,'本部部署'!A:A,"×",0,"1")</f>
        <v>×</v>
      </c>
      <c r="H182" s="7" t="s">
        <v>1188</v>
      </c>
    </row>
    <row r="183">
      <c r="A183" s="8" t="s">
        <v>1208</v>
      </c>
      <c r="B183" s="8" t="s">
        <v>651</v>
      </c>
      <c r="C183" s="8"/>
      <c r="D183" s="37" t="str">
        <f t="array" ref="D183">XLOOKUP($A183,'本部部署'!A:A,'本部部署'!A:A,"×",0,"1")</f>
        <v>×</v>
      </c>
      <c r="E183" s="37" t="str">
        <f t="array" ref="E183">XLOOKUP($B183,'本部部署'!B:B,'本部部署'!B:B,"×",0,"1")</f>
        <v>ﾁｬﾘ・ﾛﾄ事業部</v>
      </c>
    </row>
    <row r="184">
      <c r="A184" s="8" t="s">
        <v>1208</v>
      </c>
      <c r="B184" s="8" t="s">
        <v>1188</v>
      </c>
      <c r="C184" s="8" t="s">
        <v>1181</v>
      </c>
      <c r="D184" s="37" t="str">
        <f t="array" ref="D184">XLOOKUP($A184,'本部部署'!A:A,'本部部署'!A:A,"×",0,"1")</f>
        <v>×</v>
      </c>
      <c r="E184" s="37" t="str">
        <f t="array" ref="E184">XLOOKUP($B184,'本部部署'!B:B,'本部部署'!B:B,"×",0,"1")</f>
        <v>×</v>
      </c>
      <c r="F184" s="37" t="str">
        <f t="array" ref="F184">XLOOKUP($A184,'本部部署'!B:B,'本部部署'!B:B,"×",0,"1")</f>
        <v>×</v>
      </c>
      <c r="G184" s="37" t="str">
        <f t="array" ref="G184">XLOOKUP($B184,'本部部署'!A:A,'本部部署'!A:A,"×",0,"1")</f>
        <v>×</v>
      </c>
      <c r="H184" s="7" t="s">
        <v>1188</v>
      </c>
    </row>
    <row r="185">
      <c r="A185" s="8" t="s">
        <v>1208</v>
      </c>
      <c r="B185" s="8" t="s">
        <v>1111</v>
      </c>
      <c r="C185" s="8" t="s">
        <v>1181</v>
      </c>
      <c r="D185" s="37" t="str">
        <f t="array" ref="D185">XLOOKUP($A185,'本部部署'!A:A,'本部部署'!A:A,"×",0,"1")</f>
        <v>×</v>
      </c>
      <c r="E185" s="37" t="str">
        <f t="array" ref="E185">XLOOKUP($B185,'本部部署'!B:B,'本部部署'!B:B,"×",0,"1")</f>
        <v>×</v>
      </c>
      <c r="F185" s="37" t="str">
        <f t="array" ref="F185">XLOOKUP($A185,'本部部署'!B:B,'本部部署'!B:B,"×",0,"1")</f>
        <v>×</v>
      </c>
      <c r="G185" s="37" t="str">
        <f t="array" ref="G185">XLOOKUP($B185,'本部部署'!A:A,'本部部署'!A:A,"×",0,"1")</f>
        <v>×</v>
      </c>
      <c r="H185" s="7" t="s">
        <v>1105</v>
      </c>
    </row>
    <row r="186">
      <c r="A186" s="8" t="s">
        <v>1208</v>
      </c>
      <c r="B186" s="8" t="s">
        <v>74</v>
      </c>
      <c r="C186" s="8"/>
      <c r="D186" s="37" t="str">
        <f t="array" ref="D186">XLOOKUP($A186,'本部部署'!A:A,'本部部署'!A:A,"×",0,"1")</f>
        <v>×</v>
      </c>
      <c r="E186" s="37" t="str">
        <f t="array" ref="E186">XLOOKUP($B186,'本部部署'!B:B,'本部部署'!B:B,"×",0,"1")</f>
        <v>投資事業部</v>
      </c>
    </row>
    <row r="187">
      <c r="A187" s="8" t="s">
        <v>1211</v>
      </c>
      <c r="B187" s="8" t="s">
        <v>1212</v>
      </c>
      <c r="C187" s="8" t="s">
        <v>1102</v>
      </c>
      <c r="D187" s="37" t="str">
        <f t="array" ref="D187">XLOOKUP($A187,'本部部署'!A:A,'本部部署'!A:A,"×",0,"1")</f>
        <v>×</v>
      </c>
      <c r="E187" s="37" t="str">
        <f t="array" ref="E187">XLOOKUP($B187,'本部部署'!B:B,'本部部署'!B:B,"×",0,"1")</f>
        <v>×</v>
      </c>
      <c r="F187" s="37" t="str">
        <f t="array" ref="F187">XLOOKUP($A187,'本部部署'!B:B,'本部部署'!B:B,"×",0,"1")</f>
        <v>×</v>
      </c>
      <c r="G187" s="37" t="str">
        <f t="array" ref="G187">XLOOKUP($B187,'本部部署'!A:A,'本部部署'!A:A,"×",0,"1")</f>
        <v>×</v>
      </c>
      <c r="H187" s="7" t="s">
        <v>391</v>
      </c>
    </row>
    <row r="188">
      <c r="A188" s="8" t="s">
        <v>1211</v>
      </c>
      <c r="B188" s="8" t="s">
        <v>1213</v>
      </c>
      <c r="C188" s="8" t="s">
        <v>1102</v>
      </c>
      <c r="D188" s="37" t="str">
        <f t="array" ref="D188">XLOOKUP($A188,'本部部署'!A:A,'本部部署'!A:A,"×",0,"1")</f>
        <v>×</v>
      </c>
      <c r="E188" s="37" t="str">
        <f t="array" ref="E188">XLOOKUP($B188,'本部部署'!B:B,'本部部署'!B:B,"×",0,"1")</f>
        <v>×</v>
      </c>
      <c r="F188" s="37" t="str">
        <f t="array" ref="F188">XLOOKUP($A188,'本部部署'!B:B,'本部部署'!B:B,"×",0,"1")</f>
        <v>×</v>
      </c>
      <c r="G188" s="37" t="str">
        <f t="array" ref="G188">XLOOKUP($B188,'本部部署'!A:A,'本部部署'!A:A,"×",0,"1")</f>
        <v>×</v>
      </c>
      <c r="H188" s="7" t="s">
        <v>3</v>
      </c>
    </row>
    <row r="189">
      <c r="A189" s="8" t="s">
        <v>1211</v>
      </c>
      <c r="B189" s="8" t="s">
        <v>1214</v>
      </c>
      <c r="C189" s="8" t="s">
        <v>1102</v>
      </c>
      <c r="D189" s="37" t="str">
        <f t="array" ref="D189">XLOOKUP($A189,'本部部署'!A:A,'本部部署'!A:A,"×",0,"1")</f>
        <v>×</v>
      </c>
      <c r="E189" s="37" t="str">
        <f t="array" ref="E189">XLOOKUP($B189,'本部部署'!B:B,'本部部署'!B:B,"×",0,"1")</f>
        <v>×</v>
      </c>
      <c r="F189" s="37" t="str">
        <f t="array" ref="F189">XLOOKUP($A189,'本部部署'!B:B,'本部部署'!B:B,"×",0,"1")</f>
        <v>×</v>
      </c>
      <c r="G189" s="37" t="str">
        <f t="array" ref="G189">XLOOKUP($B189,'本部部署'!A:A,'本部部署'!A:A,"×",0,"1")</f>
        <v>×</v>
      </c>
      <c r="H189" s="7" t="s">
        <v>1215</v>
      </c>
    </row>
    <row r="190">
      <c r="A190" s="8" t="s">
        <v>1211</v>
      </c>
      <c r="B190" s="8" t="s">
        <v>1111</v>
      </c>
      <c r="C190" s="8" t="s">
        <v>1102</v>
      </c>
      <c r="D190" s="37" t="str">
        <f t="array" ref="D190">XLOOKUP($A190,'本部部署'!A:A,'本部部署'!A:A,"×",0,"1")</f>
        <v>×</v>
      </c>
      <c r="E190" s="37" t="str">
        <f t="array" ref="E190">XLOOKUP($B190,'本部部署'!B:B,'本部部署'!B:B,"×",0,"1")</f>
        <v>×</v>
      </c>
      <c r="F190" s="37" t="str">
        <f t="array" ref="F190">XLOOKUP($A190,'本部部署'!B:B,'本部部署'!B:B,"×",0,"1")</f>
        <v>×</v>
      </c>
      <c r="G190" s="37" t="str">
        <f t="array" ref="G190">XLOOKUP($B190,'本部部署'!A:A,'本部部署'!A:A,"×",0,"1")</f>
        <v>×</v>
      </c>
      <c r="H190" s="7" t="s">
        <v>1105</v>
      </c>
    </row>
    <row r="191">
      <c r="A191" s="8" t="s">
        <v>1216</v>
      </c>
      <c r="B191" s="8" t="s">
        <v>1217</v>
      </c>
      <c r="C191" s="8" t="s">
        <v>1102</v>
      </c>
      <c r="D191" s="37" t="str">
        <f t="array" ref="D191">XLOOKUP($A191,'本部部署'!A:A,'本部部署'!A:A,"×",0,"1")</f>
        <v>×</v>
      </c>
      <c r="E191" s="37" t="str">
        <f t="array" ref="E191">XLOOKUP($B191,'本部部署'!B:B,'本部部署'!B:B,"×",0,"1")</f>
        <v>×</v>
      </c>
      <c r="F191" s="37" t="str">
        <f t="array" ref="F191">XLOOKUP($A191,'本部部署'!B:B,'本部部署'!B:B,"×",0,"1")</f>
        <v>×</v>
      </c>
      <c r="G191" s="37" t="str">
        <f t="array" ref="G191">XLOOKUP($B191,'本部部署'!A:A,'本部部署'!A:A,"×",0,"1")</f>
        <v>×</v>
      </c>
      <c r="H191" s="7" t="s">
        <v>1097</v>
      </c>
    </row>
    <row r="192">
      <c r="A192" s="8" t="s">
        <v>1216</v>
      </c>
      <c r="B192" s="8" t="s">
        <v>644</v>
      </c>
      <c r="C192" s="8"/>
      <c r="D192" s="37" t="str">
        <f t="array" ref="D192">XLOOKUP($A192,'本部部署'!A:A,'本部部署'!A:A,"×",0,"1")</f>
        <v>×</v>
      </c>
      <c r="E192" s="37" t="str">
        <f t="array" ref="E192">XLOOKUP($B192,'本部部署'!B:B,'本部部署'!B:B,"×",0,"1")</f>
        <v>ｾｷｭﾘﾃｨ室</v>
      </c>
    </row>
    <row r="193">
      <c r="A193" s="8" t="s">
        <v>1216</v>
      </c>
      <c r="B193" s="8" t="s">
        <v>1111</v>
      </c>
      <c r="C193" s="8" t="s">
        <v>1102</v>
      </c>
      <c r="D193" s="37" t="str">
        <f t="array" ref="D193">XLOOKUP($A193,'本部部署'!A:A,'本部部署'!A:A,"×",0,"1")</f>
        <v>×</v>
      </c>
      <c r="E193" s="37" t="str">
        <f t="array" ref="E193">XLOOKUP($B193,'本部部署'!B:B,'本部部署'!B:B,"×",0,"1")</f>
        <v>×</v>
      </c>
      <c r="F193" s="37" t="str">
        <f t="array" ref="F193">XLOOKUP($A193,'本部部署'!B:B,'本部部署'!B:B,"×",0,"1")</f>
        <v>×</v>
      </c>
      <c r="G193" s="37" t="str">
        <f t="array" ref="G193">XLOOKUP($B193,'本部部署'!A:A,'本部部署'!A:A,"×",0,"1")</f>
        <v>×</v>
      </c>
      <c r="H193" s="7" t="s">
        <v>1105</v>
      </c>
    </row>
    <row r="194">
      <c r="A194" s="8" t="s">
        <v>1216</v>
      </c>
      <c r="B194" s="8" t="s">
        <v>1218</v>
      </c>
      <c r="C194" s="8" t="s">
        <v>1102</v>
      </c>
      <c r="D194" s="37" t="str">
        <f t="array" ref="D194">XLOOKUP($A194,'本部部署'!A:A,'本部部署'!A:A,"×",0,"1")</f>
        <v>×</v>
      </c>
      <c r="E194" s="37" t="str">
        <f t="array" ref="E194">XLOOKUP($B194,'本部部署'!B:B,'本部部署'!B:B,"×",0,"1")</f>
        <v>×</v>
      </c>
      <c r="F194" s="37" t="str">
        <f t="array" ref="F194">XLOOKUP($A194,'本部部署'!B:B,'本部部署'!B:B,"×",0,"1")</f>
        <v>×</v>
      </c>
      <c r="G194" s="37" t="str">
        <f t="array" ref="G194">XLOOKUP($B194,'本部部署'!A:A,'本部部署'!A:A,"×",0,"1")</f>
        <v>×</v>
      </c>
      <c r="H194" s="7" t="s">
        <v>3</v>
      </c>
    </row>
    <row r="195">
      <c r="A195" s="8" t="s">
        <v>1219</v>
      </c>
      <c r="B195" s="8" t="s">
        <v>1220</v>
      </c>
      <c r="C195" s="8" t="s">
        <v>1052</v>
      </c>
      <c r="D195" s="37" t="str">
        <f t="array" ref="D195">XLOOKUP($A195,'本部部署'!A:A,'本部部署'!A:A,"×",0,"1")</f>
        <v>×</v>
      </c>
      <c r="E195" s="37" t="str">
        <f t="array" ref="E195">XLOOKUP($B195,'本部部署'!B:B,'本部部署'!B:B,"×",0,"1")</f>
        <v>×</v>
      </c>
      <c r="F195" s="37" t="str">
        <f t="array" ref="F195">XLOOKUP($A195,'本部部署'!B:B,'本部部署'!B:B,"×",0,"1")</f>
        <v>×</v>
      </c>
      <c r="G195" s="37" t="str">
        <f t="array" ref="G195">XLOOKUP($B195,'本部部署'!A:A,'本部部署'!A:A,"×",0,"1")</f>
        <v>×</v>
      </c>
      <c r="H195" s="7" t="s">
        <v>1105</v>
      </c>
    </row>
    <row r="196">
      <c r="A196" s="8" t="s">
        <v>1219</v>
      </c>
      <c r="B196" s="8" t="s">
        <v>432</v>
      </c>
      <c r="C196" s="8"/>
      <c r="D196" s="37" t="str">
        <f t="array" ref="D196">XLOOKUP($A196,'本部部署'!A:A,'本部部署'!A:A,"×",0,"1")</f>
        <v>×</v>
      </c>
      <c r="E196" s="37" t="str">
        <f t="array" ref="E196">XLOOKUP($B196,'本部部署'!B:B,'本部部署'!B:B,"×",0,"1")</f>
        <v>経営企画室</v>
      </c>
    </row>
    <row r="197">
      <c r="A197" s="8" t="s">
        <v>1219</v>
      </c>
      <c r="B197" s="8" t="s">
        <v>1139</v>
      </c>
      <c r="C197" s="8" t="s">
        <v>1052</v>
      </c>
      <c r="D197" s="37" t="str">
        <f t="array" ref="D197">XLOOKUP($A197,'本部部署'!A:A,'本部部署'!A:A,"×",0,"1")</f>
        <v>×</v>
      </c>
      <c r="E197" s="37" t="str">
        <f t="array" ref="E197">XLOOKUP($B197,'本部部署'!B:B,'本部部署'!B:B,"×",0,"1")</f>
        <v>×</v>
      </c>
      <c r="F197" s="37" t="str">
        <f t="array" ref="F197">XLOOKUP($A197,'本部部署'!B:B,'本部部署'!B:B,"×",0,"1")</f>
        <v>×</v>
      </c>
      <c r="G197" s="37" t="str">
        <f t="array" ref="G197">XLOOKUP($B197,'本部部署'!A:A,'本部部署'!A:A,"×",0,"1")</f>
        <v>×</v>
      </c>
      <c r="H197" s="7" t="s">
        <v>1105</v>
      </c>
    </row>
    <row r="198">
      <c r="A198" s="8" t="s">
        <v>1219</v>
      </c>
      <c r="B198" s="8" t="s">
        <v>1221</v>
      </c>
      <c r="C198" s="8" t="s">
        <v>1052</v>
      </c>
      <c r="D198" s="37" t="str">
        <f t="array" ref="D198">XLOOKUP($A198,'本部部署'!A:A,'本部部署'!A:A,"×",0,"1")</f>
        <v>×</v>
      </c>
      <c r="E198" s="37" t="str">
        <f t="array" ref="E198">XLOOKUP($B198,'本部部署'!B:B,'本部部署'!B:B,"×",0,"1")</f>
        <v>×</v>
      </c>
      <c r="F198" s="37" t="str">
        <f t="array" ref="F198">XLOOKUP($A198,'本部部署'!B:B,'本部部署'!B:B,"×",0,"1")</f>
        <v>×</v>
      </c>
      <c r="G198" s="37" t="str">
        <f t="array" ref="G198">XLOOKUP($B198,'本部部署'!A:A,'本部部署'!A:A,"×",0,"1")</f>
        <v>×</v>
      </c>
      <c r="H198" s="7" t="s">
        <v>1105</v>
      </c>
    </row>
    <row r="199">
      <c r="A199" s="8" t="s">
        <v>854</v>
      </c>
      <c r="B199" s="8" t="s">
        <v>1222</v>
      </c>
      <c r="C199" s="8"/>
      <c r="D199" s="37" t="str">
        <f t="array" ref="D199">XLOOKUP($A199,'本部部署'!A:A,'本部部署'!A:A,"×",0,"1")</f>
        <v>ﾗｲﾌﾞｴｸｽﾍﾟﾘｴﾝｽ事業本部</v>
      </c>
      <c r="E199" s="37" t="str">
        <f t="array" ref="E199">XLOOKUP($B199,'本部部署'!B:B,'本部部署'!B:B,"×",0,"1")</f>
        <v>×</v>
      </c>
    </row>
    <row r="200">
      <c r="A200" s="8" t="s">
        <v>854</v>
      </c>
      <c r="B200" s="8" t="s">
        <v>1223</v>
      </c>
      <c r="C200" s="8"/>
      <c r="D200" s="37" t="str">
        <f t="array" ref="D200">XLOOKUP($A200,'本部部署'!A:A,'本部部署'!A:A,"×",0,"1")</f>
        <v>ﾗｲﾌﾞｴｸｽﾍﾟﾘｴﾝｽ事業本部</v>
      </c>
      <c r="E200" s="37" t="str">
        <f t="array" ref="E200">XLOOKUP($B200,'本部部署'!B:B,'本部部署'!B:B,"×",0,"1")</f>
        <v>×</v>
      </c>
    </row>
    <row r="201">
      <c r="A201" s="8" t="s">
        <v>854</v>
      </c>
      <c r="B201" s="8" t="s">
        <v>1224</v>
      </c>
      <c r="C201" s="8"/>
      <c r="D201" s="37" t="str">
        <f t="array" ref="D201">XLOOKUP($A201,'本部部署'!A:A,'本部部署'!A:A,"×",0,"1")</f>
        <v>ﾗｲﾌﾞｴｸｽﾍﾟﾘｴﾝｽ事業本部</v>
      </c>
      <c r="E201" s="37" t="str">
        <f t="array" ref="E201">XLOOKUP($B201,'本部部署'!B:B,'本部部署'!B:B,"×",0,"1")</f>
        <v>×</v>
      </c>
    </row>
    <row r="202">
      <c r="A202" s="8" t="s">
        <v>854</v>
      </c>
      <c r="B202" s="8" t="s">
        <v>861</v>
      </c>
      <c r="C202" s="8"/>
      <c r="D202" s="37" t="str">
        <f t="array" ref="D202">XLOOKUP($A202,'本部部署'!A:A,'本部部署'!A:A,"×",0,"1")</f>
        <v>ﾗｲﾌﾞｴｸｽﾍﾟﾘｴﾝｽ事業本部</v>
      </c>
      <c r="E202" s="37" t="str">
        <f t="array" ref="E202">XLOOKUP($B202,'本部部署'!B:B,'本部部署'!B:B,"×",0,"1")</f>
        <v>ファンコミュニケーション部</v>
      </c>
    </row>
    <row r="203">
      <c r="A203" s="8" t="s">
        <v>854</v>
      </c>
      <c r="B203" s="8" t="s">
        <v>1225</v>
      </c>
      <c r="C203" s="8"/>
      <c r="D203" s="37" t="str">
        <f t="array" ref="D203">XLOOKUP($A203,'本部部署'!A:A,'本部部署'!A:A,"×",0,"1")</f>
        <v>ﾗｲﾌﾞｴｸｽﾍﾟﾘｴﾝｽ事業本部</v>
      </c>
      <c r="E203" s="37" t="str">
        <f t="array" ref="E203">XLOOKUP($B203,'本部部署'!B:B,'本部部署'!B:B,"×",0,"1")</f>
        <v>×</v>
      </c>
    </row>
    <row r="204">
      <c r="A204" s="8" t="s">
        <v>854</v>
      </c>
      <c r="B204" s="8" t="s">
        <v>1226</v>
      </c>
      <c r="C204" s="8"/>
      <c r="D204" s="37" t="str">
        <f t="array" ref="D204">XLOOKUP($A204,'本部部署'!A:A,'本部部署'!A:A,"×",0,"1")</f>
        <v>ﾗｲﾌﾞｴｸｽﾍﾟﾘｴﾝｽ事業本部</v>
      </c>
      <c r="E204" s="37" t="str">
        <f t="array" ref="E204">XLOOKUP($B204,'本部部署'!B:B,'本部部署'!B:B,"×",0,"1")</f>
        <v>×</v>
      </c>
    </row>
    <row r="205">
      <c r="A205" s="8" t="s">
        <v>854</v>
      </c>
      <c r="B205" s="8" t="s">
        <v>859</v>
      </c>
      <c r="C205" s="8"/>
      <c r="D205" s="37" t="str">
        <f t="array" ref="D205">XLOOKUP($A205,'本部部署'!A:A,'本部部署'!A:A,"×",0,"1")</f>
        <v>ﾗｲﾌﾞｴｸｽﾍﾟﾘｴﾝｽ事業本部</v>
      </c>
      <c r="E205" s="37" t="str">
        <f t="array" ref="E205">XLOOKUP($B205,'本部部署'!B:B,'本部部署'!B:B,"×",0,"1")</f>
        <v>フットボール事業部</v>
      </c>
    </row>
    <row r="206">
      <c r="A206" s="8" t="s">
        <v>854</v>
      </c>
      <c r="B206" s="8" t="s">
        <v>173</v>
      </c>
      <c r="C206" s="8"/>
      <c r="D206" s="37" t="str">
        <f t="array" ref="D206">XLOOKUP($A206,'本部部署'!A:A,'本部部署'!A:A,"×",0,"1")</f>
        <v>ﾗｲﾌﾞｴｸｽﾍﾟﾘｴﾝｽ事業本部</v>
      </c>
      <c r="E206" s="37" t="str">
        <f t="array" ref="E206">XLOOKUP($B206,'本部部署'!B:B,'本部部署'!B:B,"×",0,"1")</f>
        <v>企画推進部</v>
      </c>
    </row>
    <row r="207">
      <c r="A207" s="8" t="s">
        <v>854</v>
      </c>
      <c r="B207" s="8" t="s">
        <v>1183</v>
      </c>
      <c r="C207" s="8"/>
      <c r="D207" s="37" t="str">
        <f t="array" ref="D207">XLOOKUP($A207,'本部部署'!A:A,'本部部署'!A:A,"×",0,"1")</f>
        <v>ﾗｲﾌﾞｴｸｽﾍﾟﾘｴﾝｽ事業本部</v>
      </c>
      <c r="E207" s="37" t="str">
        <f t="array" ref="E207">XLOOKUP($B207,'本部部署'!B:B,'本部部署'!B:B,"×",0,"1")</f>
        <v>×</v>
      </c>
    </row>
    <row r="208">
      <c r="A208" s="8" t="s">
        <v>854</v>
      </c>
      <c r="B208" s="8" t="s">
        <v>1227</v>
      </c>
      <c r="C208" s="8"/>
      <c r="D208" s="37" t="str">
        <f t="array" ref="D208">XLOOKUP($A208,'本部部署'!A:A,'本部部署'!A:A,"×",0,"1")</f>
        <v>ﾗｲﾌﾞｴｸｽﾍﾟﾘｴﾝｽ事業本部</v>
      </c>
      <c r="E208" s="37" t="str">
        <f t="array" ref="E208">XLOOKUP($B208,'本部部署'!B:B,'本部部署'!B:B,"×",0,"1")</f>
        <v>×</v>
      </c>
    </row>
    <row r="209">
      <c r="A209" s="8" t="s">
        <v>854</v>
      </c>
      <c r="B209" s="8" t="s">
        <v>1182</v>
      </c>
      <c r="C209" s="8"/>
      <c r="D209" s="37" t="str">
        <f t="array" ref="D209">XLOOKUP($A209,'本部部署'!A:A,'本部部署'!A:A,"×",0,"1")</f>
        <v>ﾗｲﾌﾞｴｸｽﾍﾟﾘｴﾝｽ事業本部</v>
      </c>
      <c r="E209" s="37" t="str">
        <f t="array" ref="E209">XLOOKUP($B209,'本部部署'!B:B,'本部部署'!B:B,"×",0,"1")</f>
        <v>×</v>
      </c>
    </row>
    <row r="210">
      <c r="A210" s="8" t="s">
        <v>854</v>
      </c>
      <c r="B210" s="8" t="s">
        <v>1186</v>
      </c>
      <c r="C210" s="8"/>
      <c r="D210" s="37" t="str">
        <f t="array" ref="D210">XLOOKUP($A210,'本部部署'!A:A,'本部部署'!A:A,"×",0,"1")</f>
        <v>ﾗｲﾌﾞｴｸｽﾍﾟﾘｴﾝｽ事業本部</v>
      </c>
      <c r="E210" s="37" t="str">
        <f t="array" ref="E210">XLOOKUP($B210,'本部部署'!B:B,'本部部署'!B:B,"×",0,"1")</f>
        <v>×</v>
      </c>
    </row>
    <row r="211">
      <c r="A211" s="8" t="s">
        <v>854</v>
      </c>
      <c r="B211" s="8" t="s">
        <v>1228</v>
      </c>
      <c r="C211" s="8"/>
      <c r="D211" s="37" t="str">
        <f t="array" ref="D211">XLOOKUP($A211,'本部部署'!A:A,'本部部署'!A:A,"×",0,"1")</f>
        <v>ﾗｲﾌﾞｴｸｽﾍﾟﾘｴﾝｽ事業本部</v>
      </c>
      <c r="E211" s="37" t="str">
        <f t="array" ref="E211">XLOOKUP($B211,'本部部署'!B:B,'本部部署'!B:B,"×",0,"1")</f>
        <v>×</v>
      </c>
    </row>
    <row r="212">
      <c r="A212" s="8" t="s">
        <v>854</v>
      </c>
      <c r="B212" s="8" t="s">
        <v>857</v>
      </c>
      <c r="C212" s="8"/>
      <c r="D212" s="37" t="str">
        <f t="array" ref="D212">XLOOKUP($A212,'本部部署'!A:A,'本部部署'!A:A,"×",0,"1")</f>
        <v>ﾗｲﾌﾞｴｸｽﾍﾟﾘｴﾝｽ事業本部</v>
      </c>
      <c r="E212" s="37" t="str">
        <f t="array" ref="E212">XLOOKUP($B212,'本部部署'!B:B,'本部部署'!B:B,"×",0,"1")</f>
        <v>バスケットボール事業部</v>
      </c>
    </row>
    <row r="213">
      <c r="A213" s="8" t="s">
        <v>854</v>
      </c>
      <c r="B213" s="8" t="s">
        <v>286</v>
      </c>
      <c r="C213" s="8"/>
      <c r="D213" s="37" t="str">
        <f t="array" ref="D213">XLOOKUP($A213,'本部部署'!A:A,'本部部署'!A:A,"×",0,"1")</f>
        <v>ﾗｲﾌﾞｴｸｽﾍﾟﾘｴﾝｽ事業本部</v>
      </c>
      <c r="E213" s="37" t="str">
        <f t="array" ref="E213">XLOOKUP($B213,'本部部署'!B:B,'本部部署'!B:B,"×",0,"1")</f>
        <v>事業戦略室</v>
      </c>
    </row>
    <row r="214">
      <c r="A214" s="8" t="s">
        <v>854</v>
      </c>
      <c r="B214" s="8" t="s">
        <v>1111</v>
      </c>
      <c r="C214" s="8"/>
      <c r="D214" s="37" t="str">
        <f t="array" ref="D214">XLOOKUP($A214,'本部部署'!A:A,'本部部署'!A:A,"×",0,"1")</f>
        <v>ﾗｲﾌﾞｴｸｽﾍﾟﾘｴﾝｽ事業本部</v>
      </c>
      <c r="E214" s="37" t="str">
        <f t="array" ref="E214">XLOOKUP($B214,'本部部署'!B:B,'本部部署'!B:B,"×",0,"1")</f>
        <v>×</v>
      </c>
    </row>
    <row r="215">
      <c r="A215" s="8" t="s">
        <v>854</v>
      </c>
      <c r="B215" s="8" t="s">
        <v>1229</v>
      </c>
      <c r="C215" s="8"/>
      <c r="D215" s="37" t="str">
        <f t="array" ref="D215">XLOOKUP($A215,'本部部署'!A:A,'本部部署'!A:A,"×",0,"1")</f>
        <v>ﾗｲﾌﾞｴｸｽﾍﾟﾘｴﾝｽ事業本部</v>
      </c>
      <c r="E215" s="37" t="str">
        <f t="array" ref="E215">XLOOKUP($B215,'本部部署'!B:B,'本部部署'!B:B,"×",0,"1")</f>
        <v>×</v>
      </c>
    </row>
    <row r="216">
      <c r="A216" s="8" t="s">
        <v>854</v>
      </c>
      <c r="B216" s="8" t="s">
        <v>51</v>
      </c>
      <c r="C216" s="8"/>
      <c r="D216" s="37" t="str">
        <f t="array" ref="D216">XLOOKUP($A216,'本部部署'!A:A,'本部部署'!A:A,"×",0,"1")</f>
        <v>ﾗｲﾌﾞｴｸｽﾍﾟﾘｴﾝｽ事業本部</v>
      </c>
      <c r="E216" s="37" t="str">
        <f t="array" ref="E216">XLOOKUP($B216,'本部部署'!B:B,'本部部署'!B:B,"×",0,"1")</f>
        <v>minimo事業部</v>
      </c>
    </row>
    <row r="217">
      <c r="A217" s="8" t="s">
        <v>854</v>
      </c>
      <c r="B217" s="8" t="s">
        <v>864</v>
      </c>
      <c r="C217" s="8"/>
      <c r="D217" s="37" t="str">
        <f t="array" ref="D217">XLOOKUP($A217,'本部部署'!A:A,'本部部署'!A:A,"×",0,"1")</f>
        <v>ﾗｲﾌﾞｴｸｽﾍﾟﾘｴﾝｽ事業本部</v>
      </c>
      <c r="E217" s="37" t="str">
        <f t="array" ref="E217">XLOOKUP($B217,'本部部署'!B:B,'本部部署'!B:B,"×",0,"1")</f>
        <v>アリーナ事業部</v>
      </c>
    </row>
    <row r="218">
      <c r="A218" s="8" t="s">
        <v>440</v>
      </c>
      <c r="B218" s="8" t="s">
        <v>97</v>
      </c>
      <c r="C218" s="8"/>
      <c r="D218" s="37" t="str">
        <f t="array" ref="D218">XLOOKUP($A218,'本部部署'!A:A,'本部部署'!A:A,"×",0,"1")</f>
        <v>経営推進本部</v>
      </c>
      <c r="E218" s="37" t="str">
        <f t="array" ref="E218">XLOOKUP($B218,'本部部署'!B:B,'本部部署'!B:B,"×",0,"1")</f>
        <v>財務企画部</v>
      </c>
    </row>
    <row r="219">
      <c r="A219" s="8" t="s">
        <v>440</v>
      </c>
      <c r="B219" s="8" t="s">
        <v>432</v>
      </c>
      <c r="C219" s="8"/>
      <c r="D219" s="37" t="str">
        <f t="array" ref="D219">XLOOKUP($A219,'本部部署'!A:A,'本部部署'!A:A,"×",0,"1")</f>
        <v>経営推進本部</v>
      </c>
      <c r="E219" s="37" t="str">
        <f t="array" ref="E219">XLOOKUP($B219,'本部部署'!B:B,'本部部署'!B:B,"×",0,"1")</f>
        <v>経営企画室</v>
      </c>
    </row>
    <row r="220">
      <c r="A220" s="8" t="s">
        <v>440</v>
      </c>
      <c r="B220" s="8" t="s">
        <v>430</v>
      </c>
      <c r="C220" s="8"/>
      <c r="D220" s="37" t="str">
        <f t="array" ref="D220">XLOOKUP($A220,'本部部署'!A:A,'本部部署'!A:A,"×",0,"1")</f>
        <v>経営推進本部</v>
      </c>
      <c r="E220" s="37" t="str">
        <f t="array" ref="E220">XLOOKUP($B220,'本部部署'!B:B,'本部部署'!B:B,"×",0,"1")</f>
        <v>経営管理部</v>
      </c>
    </row>
    <row r="221">
      <c r="A221" s="8" t="s">
        <v>440</v>
      </c>
      <c r="B221" s="8" t="s">
        <v>1198</v>
      </c>
      <c r="C221" s="8"/>
      <c r="D221" s="37" t="str">
        <f t="array" ref="D221">XLOOKUP($A221,'本部部署'!A:A,'本部部署'!A:A,"×",0,"1")</f>
        <v>経営推進本部</v>
      </c>
      <c r="E221" s="37" t="str">
        <f t="array" ref="E221">XLOOKUP($B221,'本部部署'!B:B,'本部部署'!B:B,"×",0,"1")</f>
        <v>×</v>
      </c>
    </row>
    <row r="222">
      <c r="A222" s="8" t="s">
        <v>440</v>
      </c>
      <c r="B222" s="8" t="s">
        <v>1230</v>
      </c>
      <c r="C222" s="8"/>
      <c r="D222" s="37" t="str">
        <f t="array" ref="D222">XLOOKUP($A222,'本部部署'!A:A,'本部部署'!A:A,"×",0,"1")</f>
        <v>経営推進本部</v>
      </c>
      <c r="E222" s="37" t="str">
        <f t="array" ref="E222">XLOOKUP($B222,'本部部署'!B:B,'本部部署'!B:B,"×",0,"1")</f>
        <v>×</v>
      </c>
    </row>
    <row r="223">
      <c r="A223" s="8" t="s">
        <v>440</v>
      </c>
      <c r="B223" s="8" t="s">
        <v>1231</v>
      </c>
      <c r="C223" s="8"/>
      <c r="D223" s="37" t="str">
        <f t="array" ref="D223">XLOOKUP($A223,'本部部署'!A:A,'本部部署'!A:A,"×",0,"1")</f>
        <v>経営推進本部</v>
      </c>
      <c r="E223" s="37" t="str">
        <f t="array" ref="E223">XLOOKUP($B223,'本部部署'!B:B,'本部部署'!B:B,"×",0,"1")</f>
        <v>×</v>
      </c>
    </row>
    <row r="224">
      <c r="A224" s="8" t="s">
        <v>440</v>
      </c>
      <c r="B224" s="8" t="s">
        <v>1232</v>
      </c>
      <c r="C224" s="8"/>
      <c r="D224" s="37" t="str">
        <f t="array" ref="D224">XLOOKUP($A224,'本部部署'!A:A,'本部部署'!A:A,"×",0,"1")</f>
        <v>経営推進本部</v>
      </c>
      <c r="E224" s="37" t="str">
        <f t="array" ref="E224">XLOOKUP($B224,'本部部署'!B:B,'本部部署'!B:B,"×",0,"1")</f>
        <v>×</v>
      </c>
    </row>
    <row r="225">
      <c r="A225" s="8" t="s">
        <v>440</v>
      </c>
      <c r="B225" s="8" t="s">
        <v>188</v>
      </c>
      <c r="C225" s="8"/>
      <c r="D225" s="37" t="str">
        <f t="array" ref="D225">XLOOKUP($A225,'本部部署'!A:A,'本部部署'!A:A,"×",0,"1")</f>
        <v>経営推進本部</v>
      </c>
      <c r="E225" s="37" t="str">
        <f t="array" ref="E225">XLOOKUP($B225,'本部部署'!B:B,'本部部署'!B:B,"×",0,"1")</f>
        <v>社長室</v>
      </c>
    </row>
    <row r="226">
      <c r="A226" s="8" t="s">
        <v>440</v>
      </c>
      <c r="B226" s="8" t="s">
        <v>1213</v>
      </c>
      <c r="C226" s="8"/>
      <c r="D226" s="37" t="str">
        <f t="array" ref="D226">XLOOKUP($A226,'本部部署'!A:A,'本部部署'!A:A,"×",0,"1")</f>
        <v>経営推進本部</v>
      </c>
      <c r="E226" s="37" t="str">
        <f t="array" ref="E226">XLOOKUP($B226,'本部部署'!B:B,'本部部署'!B:B,"×",0,"1")</f>
        <v>×</v>
      </c>
    </row>
    <row r="227">
      <c r="A227" s="8" t="s">
        <v>440</v>
      </c>
      <c r="B227" s="8" t="s">
        <v>1233</v>
      </c>
      <c r="C227" s="8"/>
      <c r="D227" s="37" t="str">
        <f t="array" ref="D227">XLOOKUP($A227,'本部部署'!A:A,'本部部署'!A:A,"×",0,"1")</f>
        <v>経営推進本部</v>
      </c>
      <c r="E227" s="37" t="str">
        <f t="array" ref="E227">XLOOKUP($B227,'本部部署'!B:B,'本部部署'!B:B,"×",0,"1")</f>
        <v>×</v>
      </c>
    </row>
    <row r="228">
      <c r="A228" s="8" t="s">
        <v>440</v>
      </c>
      <c r="B228" s="8" t="s">
        <v>924</v>
      </c>
      <c r="C228" s="8"/>
      <c r="D228" s="37" t="str">
        <f t="array" ref="D228">XLOOKUP($A228,'本部部署'!A:A,'本部部署'!A:A,"×",0,"1")</f>
        <v>経営推進本部</v>
      </c>
      <c r="E228" s="37" t="str">
        <f t="array" ref="E228">XLOOKUP($B228,'本部部署'!B:B,'本部部署'!B:B,"×",0,"1")</f>
        <v>グループ会社統括支援部</v>
      </c>
    </row>
    <row r="229">
      <c r="A229" s="8" t="s">
        <v>440</v>
      </c>
      <c r="B229" s="8" t="s">
        <v>1234</v>
      </c>
      <c r="C229" s="8"/>
      <c r="D229" s="37" t="str">
        <f t="array" ref="D229">XLOOKUP($A229,'本部部署'!A:A,'本部部署'!A:A,"×",0,"1")</f>
        <v>経営推進本部</v>
      </c>
      <c r="E229" s="37" t="str">
        <f t="array" ref="E229">XLOOKUP($B229,'本部部署'!B:B,'本部部署'!B:B,"×",0,"1")</f>
        <v>FP&amp;Aｲﾝﾃﾘｼﾞｪﾝｽ部</v>
      </c>
    </row>
    <row r="230">
      <c r="A230" s="8" t="s">
        <v>440</v>
      </c>
      <c r="B230" s="8" t="s">
        <v>443</v>
      </c>
      <c r="C230" s="8"/>
      <c r="D230" s="37" t="str">
        <f t="array" ref="D230">XLOOKUP($A230,'本部部署'!A:A,'本部部署'!A:A,"×",0,"1")</f>
        <v>経営推進本部</v>
      </c>
      <c r="E230" s="37" t="str">
        <f t="array" ref="E230">XLOOKUP($B230,'本部部署'!B:B,'本部部署'!B:B,"×",0,"1")</f>
        <v>経営企画部</v>
      </c>
    </row>
    <row r="231">
      <c r="A231" s="8" t="s">
        <v>440</v>
      </c>
      <c r="B231" s="8" t="s">
        <v>104</v>
      </c>
      <c r="C231" s="8"/>
      <c r="D231" s="37" t="str">
        <f t="array" ref="D231">XLOOKUP($A231,'本部部署'!A:A,'本部部署'!A:A,"×",0,"1")</f>
        <v>経営推進本部</v>
      </c>
      <c r="E231" s="37" t="str">
        <f t="array" ref="E231">XLOOKUP($B231,'本部部署'!B:B,'本部部署'!B:B,"×",0,"1")</f>
        <v>法務部</v>
      </c>
    </row>
    <row r="232">
      <c r="A232" s="8" t="s">
        <v>440</v>
      </c>
      <c r="B232" s="8" t="s">
        <v>802</v>
      </c>
      <c r="C232" s="8"/>
      <c r="D232" s="37" t="str">
        <f t="array" ref="D232">XLOOKUP($A232,'本部部署'!A:A,'本部部署'!A:A,"×",0,"1")</f>
        <v>経営推進本部</v>
      </c>
      <c r="E232" s="37" t="str">
        <f t="array" ref="E232">XLOOKUP($B232,'本部部署'!B:B,'本部部署'!B:B,"×",0,"1")</f>
        <v>ビジネスサポート室</v>
      </c>
    </row>
    <row r="233">
      <c r="A233" s="8" t="s">
        <v>440</v>
      </c>
      <c r="B233" s="8" t="s">
        <v>1235</v>
      </c>
      <c r="C233" s="8"/>
      <c r="D233" s="37" t="str">
        <f t="array" ref="D233">XLOOKUP($A233,'本部部署'!A:A,'本部部署'!A:A,"×",0,"1")</f>
        <v>経営推進本部</v>
      </c>
      <c r="E233" s="37" t="str">
        <f t="array" ref="E233">XLOOKUP($B233,'本部部署'!B:B,'本部部署'!B:B,"×",0,"1")</f>
        <v>×</v>
      </c>
    </row>
    <row r="234">
      <c r="A234" s="8" t="s">
        <v>440</v>
      </c>
      <c r="B234" s="8" t="s">
        <v>1236</v>
      </c>
      <c r="C234" s="8"/>
      <c r="D234" s="37" t="str">
        <f t="array" ref="D234">XLOOKUP($A234,'本部部署'!A:A,'本部部署'!A:A,"×",0,"1")</f>
        <v>経営推進本部</v>
      </c>
      <c r="E234" s="37" t="str">
        <f t="array" ref="E234">XLOOKUP($B234,'本部部署'!B:B,'本部部署'!B:B,"×",0,"1")</f>
        <v>×</v>
      </c>
    </row>
    <row r="235">
      <c r="A235" s="8" t="s">
        <v>440</v>
      </c>
      <c r="B235" s="8" t="s">
        <v>441</v>
      </c>
      <c r="C235" s="8"/>
      <c r="D235" s="37" t="str">
        <f t="array" ref="D235">XLOOKUP($A235,'本部部署'!A:A,'本部部署'!A:A,"×",0,"1")</f>
        <v>経営推進本部</v>
      </c>
      <c r="E235" s="37" t="str">
        <f t="array" ref="E235">XLOOKUP($B235,'本部部署'!B:B,'本部部署'!B:B,"×",0,"1")</f>
        <v>広報部</v>
      </c>
    </row>
    <row r="236">
      <c r="A236" s="8" t="s">
        <v>440</v>
      </c>
      <c r="B236" s="8" t="s">
        <v>1111</v>
      </c>
      <c r="C236" s="8"/>
      <c r="D236" s="37" t="str">
        <f t="array" ref="D236">XLOOKUP($A236,'本部部署'!A:A,'本部部署'!A:A,"×",0,"1")</f>
        <v>経営推進本部</v>
      </c>
      <c r="E236" s="37" t="str">
        <f t="array" ref="E236">XLOOKUP($B236,'本部部署'!B:B,'本部部署'!B:B,"×",0,"1")</f>
        <v>×</v>
      </c>
    </row>
    <row r="237">
      <c r="A237" s="8" t="s">
        <v>440</v>
      </c>
      <c r="B237" s="8" t="s">
        <v>1187</v>
      </c>
      <c r="C237" s="8"/>
      <c r="D237" s="37" t="str">
        <f t="array" ref="D237">XLOOKUP($A237,'本部部署'!A:A,'本部部署'!A:A,"×",0,"1")</f>
        <v>経営推進本部</v>
      </c>
      <c r="E237" s="37" t="str">
        <f t="array" ref="E237">XLOOKUP($B237,'本部部署'!B:B,'本部部署'!B:B,"×",0,"1")</f>
        <v>×</v>
      </c>
    </row>
    <row r="238">
      <c r="A238" s="8" t="s">
        <v>440</v>
      </c>
      <c r="B238" s="8" t="s">
        <v>1065</v>
      </c>
      <c r="C238" s="8"/>
      <c r="D238" s="37" t="str">
        <f t="array" ref="D238">XLOOKUP($A238,'本部部署'!A:A,'本部部署'!A:A,"×",0,"1")</f>
        <v>経営推進本部</v>
      </c>
      <c r="E238" s="37" t="str">
        <f t="array" ref="E238">XLOOKUP($B238,'本部部署'!B:B,'本部部署'!B:B,"×",0,"1")</f>
        <v>×</v>
      </c>
    </row>
    <row r="239">
      <c r="A239" s="8" t="s">
        <v>440</v>
      </c>
      <c r="B239" s="8" t="s">
        <v>1237</v>
      </c>
      <c r="C239" s="8"/>
      <c r="D239" s="37" t="str">
        <f t="array" ref="D239">XLOOKUP($A239,'本部部署'!A:A,'本部部署'!A:A,"×",0,"1")</f>
        <v>経営推進本部</v>
      </c>
      <c r="E239" s="37" t="str">
        <f t="array" ref="E239">XLOOKUP($B239,'本部部署'!B:B,'本部部署'!B:B,"×",0,"1")</f>
        <v>×</v>
      </c>
    </row>
    <row r="240">
      <c r="A240" s="8" t="s">
        <v>440</v>
      </c>
      <c r="B240" s="8" t="s">
        <v>1238</v>
      </c>
      <c r="C240" s="8"/>
      <c r="D240" s="37" t="str">
        <f t="array" ref="D240">XLOOKUP($A240,'本部部署'!A:A,'本部部署'!A:A,"×",0,"1")</f>
        <v>経営推進本部</v>
      </c>
      <c r="E240" s="37" t="str">
        <f t="array" ref="E240">XLOOKUP($B240,'本部部署'!B:B,'本部部署'!B:B,"×",0,"1")</f>
        <v>×</v>
      </c>
    </row>
    <row r="241">
      <c r="A241" s="8" t="s">
        <v>440</v>
      </c>
      <c r="B241" s="8" t="s">
        <v>1239</v>
      </c>
      <c r="C241" s="8"/>
      <c r="D241" s="37" t="str">
        <f t="array" ref="D241">XLOOKUP($A241,'本部部署'!A:A,'本部部署'!A:A,"×",0,"1")</f>
        <v>経営推進本部</v>
      </c>
      <c r="E241" s="37" t="str">
        <f t="array" ref="E241">XLOOKUP($B241,'本部部署'!B:B,'本部部署'!B:B,"×",0,"1")</f>
        <v>×</v>
      </c>
    </row>
    <row r="242">
      <c r="A242" s="8" t="s">
        <v>440</v>
      </c>
      <c r="B242" s="8" t="s">
        <v>1218</v>
      </c>
      <c r="C242" s="8"/>
      <c r="D242" s="37" t="str">
        <f t="array" ref="D242">XLOOKUP($A242,'本部部署'!A:A,'本部部署'!A:A,"×",0,"1")</f>
        <v>経営推進本部</v>
      </c>
      <c r="E242" s="37" t="str">
        <f t="array" ref="E242">XLOOKUP($B242,'本部部署'!B:B,'本部部署'!B:B,"×",0,"1")</f>
        <v>×</v>
      </c>
    </row>
    <row r="243">
      <c r="A243" s="8" t="s">
        <v>440</v>
      </c>
      <c r="B243" s="8" t="s">
        <v>90</v>
      </c>
      <c r="C243" s="8"/>
      <c r="D243" s="37" t="str">
        <f t="array" ref="D243">XLOOKUP($A243,'本部部署'!A:A,'本部部署'!A:A,"×",0,"1")</f>
        <v>経営推進本部</v>
      </c>
      <c r="E243" s="37" t="str">
        <f t="array" ref="E243">XLOOKUP($B243,'本部部署'!B:B,'本部部署'!B:B,"×",0,"1")</f>
        <v>経理税務部</v>
      </c>
    </row>
    <row r="244">
      <c r="A244" s="8" t="s">
        <v>440</v>
      </c>
      <c r="B244" s="8" t="s">
        <v>1240</v>
      </c>
      <c r="C244" s="8"/>
      <c r="D244" s="37" t="str">
        <f t="array" ref="D244">XLOOKUP($A244,'本部部署'!A:A,'本部部署'!A:A,"×",0,"1")</f>
        <v>経営推進本部</v>
      </c>
      <c r="E244" s="37" t="str">
        <f t="array" ref="E244">XLOOKUP($B244,'本部部署'!B:B,'本部部署'!B:B,"×",0,"1")</f>
        <v>×</v>
      </c>
    </row>
    <row r="245">
      <c r="A245" s="8" t="s">
        <v>440</v>
      </c>
      <c r="B245" s="8" t="s">
        <v>1241</v>
      </c>
      <c r="C245" s="8"/>
      <c r="D245" s="37" t="str">
        <f t="array" ref="D245">XLOOKUP($A245,'本部部署'!A:A,'本部部署'!A:A,"×",0,"1")</f>
        <v>経営推進本部</v>
      </c>
      <c r="E245" s="37" t="str">
        <f t="array" ref="E245">XLOOKUP($B245,'本部部署'!B:B,'本部部署'!B:B,"×",0,"1")</f>
        <v>×</v>
      </c>
    </row>
    <row r="246">
      <c r="A246" s="8" t="s">
        <v>1242</v>
      </c>
      <c r="B246" s="8" t="s">
        <v>819</v>
      </c>
      <c r="C246" s="8"/>
      <c r="D246" s="37" t="str">
        <f t="array" ref="D246">XLOOKUP($A246,'本部部署'!A:A,'本部部署'!A:A,"×",0,"1")</f>
        <v>Vantageｽﾀｼﾞｵ</v>
      </c>
      <c r="E246" s="37" t="str">
        <f t="array" ref="E246">XLOOKUP($B246,'本部部署'!B:B,'本部部署'!B:B,"×",0,"1")</f>
        <v>みてねマーケティング部</v>
      </c>
    </row>
    <row r="247">
      <c r="A247" s="8" t="s">
        <v>1242</v>
      </c>
      <c r="B247" s="8" t="s">
        <v>1243</v>
      </c>
      <c r="C247" s="8"/>
      <c r="D247" s="37" t="str">
        <f t="array" ref="D247">XLOOKUP($A247,'本部部署'!A:A,'本部部署'!A:A,"×",0,"1")</f>
        <v>Vantageｽﾀｼﾞｵ</v>
      </c>
      <c r="E247" s="37" t="str">
        <f t="array" ref="E247">XLOOKUP($B247,'本部部署'!B:B,'本部部署'!B:B,"×",0,"1")</f>
        <v>×</v>
      </c>
    </row>
    <row r="248">
      <c r="A248" s="8" t="s">
        <v>1242</v>
      </c>
      <c r="B248" s="8" t="s">
        <v>1226</v>
      </c>
      <c r="C248" s="8"/>
      <c r="D248" s="37" t="str">
        <f t="array" ref="D248">XLOOKUP($A248,'本部部署'!A:A,'本部部署'!A:A,"×",0,"1")</f>
        <v>Vantageｽﾀｼﾞｵ</v>
      </c>
      <c r="E248" s="37" t="str">
        <f t="array" ref="E248">XLOOKUP($B248,'本部部署'!B:B,'本部部署'!B:B,"×",0,"1")</f>
        <v>×</v>
      </c>
    </row>
    <row r="249">
      <c r="A249" s="8" t="s">
        <v>1242</v>
      </c>
      <c r="B249" s="8" t="s">
        <v>1244</v>
      </c>
      <c r="C249" s="8"/>
      <c r="D249" s="37" t="str">
        <f t="array" ref="D249">XLOOKUP($A249,'本部部署'!A:A,'本部部署'!A:A,"×",0,"1")</f>
        <v>Vantageｽﾀｼﾞｵ</v>
      </c>
      <c r="E249" s="37" t="str">
        <f t="array" ref="E249">XLOOKUP($B249,'本部部署'!B:B,'本部部署'!B:B,"×",0,"1")</f>
        <v>×</v>
      </c>
    </row>
    <row r="250">
      <c r="A250" s="8" t="s">
        <v>1242</v>
      </c>
      <c r="B250" s="8" t="s">
        <v>1245</v>
      </c>
      <c r="C250" s="8"/>
      <c r="D250" s="37" t="str">
        <f t="array" ref="D250">XLOOKUP($A250,'本部部署'!A:A,'本部部署'!A:A,"×",0,"1")</f>
        <v>Vantageｽﾀｼﾞｵ</v>
      </c>
      <c r="E250" s="37" t="str">
        <f t="array" ref="E250">XLOOKUP($B250,'本部部署'!B:B,'本部部署'!B:B,"×",0,"1")</f>
        <v>×</v>
      </c>
    </row>
    <row r="251">
      <c r="A251" s="8" t="s">
        <v>1242</v>
      </c>
      <c r="B251" s="8" t="s">
        <v>821</v>
      </c>
      <c r="C251" s="8"/>
      <c r="D251" s="37" t="str">
        <f t="array" ref="D251">XLOOKUP($A251,'本部部署'!A:A,'本部部署'!A:A,"×",0,"1")</f>
        <v>Vantageｽﾀｼﾞｵ</v>
      </c>
      <c r="E251" s="37" t="str">
        <f t="array" ref="E251">XLOOKUP($B251,'本部部署'!B:B,'本部部署'!B:B,"×",0,"1")</f>
        <v>みてねプラットフォーム部</v>
      </c>
    </row>
    <row r="252">
      <c r="A252" s="8" t="s">
        <v>1242</v>
      </c>
      <c r="B252" s="8" t="s">
        <v>824</v>
      </c>
      <c r="C252" s="8"/>
      <c r="D252" s="37" t="str">
        <f t="array" ref="D252">XLOOKUP($A252,'本部部署'!A:A,'本部部署'!A:A,"×",0,"1")</f>
        <v>Vantageｽﾀｼﾞｵ</v>
      </c>
      <c r="E252" s="37" t="str">
        <f t="array" ref="E252">XLOOKUP($B252,'本部部署'!B:B,'本部部署'!B:B,"×",0,"1")</f>
        <v>みてねﾌﾟﾛﾀﾞｸﾄ開発部</v>
      </c>
    </row>
    <row r="253">
      <c r="A253" s="8" t="s">
        <v>1242</v>
      </c>
      <c r="B253" s="8" t="s">
        <v>48</v>
      </c>
      <c r="C253" s="8"/>
      <c r="D253" s="37" t="str">
        <f t="array" ref="D253">XLOOKUP($A253,'本部部署'!A:A,'本部部署'!A:A,"×",0,"1")</f>
        <v>Vantageｽﾀｼﾞｵ</v>
      </c>
      <c r="E253" s="37" t="str">
        <f t="array" ref="E253">XLOOKUP($B253,'本部部署'!B:B,'本部部署'!B:B,"×",0,"1")</f>
        <v>mixi事業部</v>
      </c>
    </row>
    <row r="254">
      <c r="A254" s="8" t="s">
        <v>1242</v>
      </c>
      <c r="B254" s="8" t="s">
        <v>953</v>
      </c>
      <c r="C254" s="8"/>
      <c r="D254" s="37" t="str">
        <f t="array" ref="D254">XLOOKUP($A254,'本部部署'!A:A,'本部部署'!A:A,"×",0,"1")</f>
        <v>Vantageｽﾀｼﾞｵ</v>
      </c>
      <c r="E254" s="37" t="str">
        <f t="array" ref="E254">XLOOKUP($B254,'本部部署'!B:B,'本部部署'!B:B,"×",0,"1")</f>
        <v>エンパワーメント推進室</v>
      </c>
    </row>
    <row r="255">
      <c r="A255" s="8" t="s">
        <v>1242</v>
      </c>
      <c r="B255" s="8" t="s">
        <v>1111</v>
      </c>
      <c r="C255" s="8"/>
      <c r="D255" s="37" t="str">
        <f t="array" ref="D255">XLOOKUP($A255,'本部部署'!A:A,'本部部署'!A:A,"×",0,"1")</f>
        <v>Vantageｽﾀｼﾞｵ</v>
      </c>
      <c r="E255" s="37" t="str">
        <f t="array" ref="E255">XLOOKUP($B255,'本部部署'!B:B,'本部部署'!B:B,"×",0,"1")</f>
        <v>×</v>
      </c>
    </row>
    <row r="256">
      <c r="A256" s="8" t="s">
        <v>1242</v>
      </c>
      <c r="B256" s="8" t="s">
        <v>1246</v>
      </c>
      <c r="C256" s="8"/>
      <c r="D256" s="37" t="str">
        <f t="array" ref="D256">XLOOKUP($A256,'本部部署'!A:A,'本部部署'!A:A,"×",0,"1")</f>
        <v>Vantageｽﾀｼﾞｵ</v>
      </c>
      <c r="E256" s="37" t="str">
        <f t="array" ref="E256">XLOOKUP($B256,'本部部署'!B:B,'本部部署'!B:B,"×",0,"1")</f>
        <v>×</v>
      </c>
    </row>
    <row r="257">
      <c r="A257" s="8" t="s">
        <v>1242</v>
      </c>
      <c r="B257" s="8" t="s">
        <v>39</v>
      </c>
      <c r="C257" s="8"/>
      <c r="D257" s="37" t="str">
        <f t="array" ref="D257">XLOOKUP($A257,'本部部署'!A:A,'本部部署'!A:A,"×",0,"1")</f>
        <v>Vantageｽﾀｼﾞｵ</v>
      </c>
      <c r="E257" s="37" t="str">
        <f t="array" ref="E257">XLOOKUP($B257,'本部部署'!B:B,'本部部署'!B:B,"×",0,"1")</f>
        <v>Romi事業部</v>
      </c>
    </row>
    <row r="258">
      <c r="A258" s="8" t="s">
        <v>1242</v>
      </c>
      <c r="B258" s="8" t="s">
        <v>51</v>
      </c>
      <c r="C258" s="8"/>
      <c r="D258" s="37" t="str">
        <f t="array" ref="D258">XLOOKUP($A258,'本部部署'!A:A,'本部部署'!A:A,"×",0,"1")</f>
        <v>Vantageｽﾀｼﾞｵ</v>
      </c>
      <c r="E258" s="37" t="str">
        <f t="array" ref="E258">XLOOKUP($B258,'本部部署'!B:B,'本部部署'!B:B,"×",0,"1")</f>
        <v>minimo事業部</v>
      </c>
    </row>
    <row r="259">
      <c r="A259" s="8" t="s">
        <v>1242</v>
      </c>
      <c r="B259" s="8" t="s">
        <v>324</v>
      </c>
      <c r="C259" s="8"/>
      <c r="D259" s="37" t="str">
        <f t="array" ref="D259">XLOOKUP($A259,'本部部署'!A:A,'本部部署'!A:A,"×",0,"1")</f>
        <v>Vantageｽﾀｼﾞｵ</v>
      </c>
      <c r="E259" s="37" t="str">
        <f t="array" ref="E259">XLOOKUP($B259,'本部部署'!B:B,'本部部署'!B:B,"×",0,"1")</f>
        <v>みてね事業開発部</v>
      </c>
    </row>
    <row r="260">
      <c r="A260" s="8" t="s">
        <v>1242</v>
      </c>
      <c r="B260" s="8" t="s">
        <v>43</v>
      </c>
      <c r="C260" s="8"/>
      <c r="D260" s="37" t="str">
        <f t="array" ref="D260">XLOOKUP($A260,'本部部署'!A:A,'本部部署'!A:A,"×",0,"1")</f>
        <v>Vantageｽﾀｼﾞｵ</v>
      </c>
      <c r="E260" s="37" t="str">
        <f t="array" ref="E260">XLOOKUP($B260,'本部部署'!B:B,'本部部署'!B:B,"×",0,"1")</f>
        <v>事業推進室</v>
      </c>
    </row>
    <row r="261">
      <c r="A261" s="8" t="s">
        <v>188</v>
      </c>
      <c r="B261" s="8" t="s">
        <v>114</v>
      </c>
      <c r="C261" s="8"/>
      <c r="D261" s="37" t="str">
        <f t="array" ref="D261">XLOOKUP($A261,'本部部署'!A:A,'本部部署'!A:A,"×",0,"1")</f>
        <v>×</v>
      </c>
      <c r="E261" s="37" t="str">
        <f t="array" ref="E261">XLOOKUP($B261,'本部部署'!B:B,'本部部署'!B:B,"×",0,"1")</f>
        <v>×</v>
      </c>
      <c r="F261" s="37" t="str">
        <f t="array" ref="F261">XLOOKUP($A261,'本部部署'!B:B,'本部部署'!B:B,"×",0,"1")</f>
        <v>社長室</v>
      </c>
      <c r="G261" s="37" t="str">
        <f t="array" ref="G261">XLOOKUP($B261,'本部部署'!A:A,'本部部署'!A:A,"×",0,"1")</f>
        <v>×</v>
      </c>
    </row>
    <row r="262">
      <c r="A262" s="8" t="s">
        <v>188</v>
      </c>
      <c r="B262" s="8" t="s">
        <v>1247</v>
      </c>
      <c r="C262" s="8"/>
      <c r="D262" s="37" t="str">
        <f t="array" ref="D262">XLOOKUP($A262,'本部部署'!A:A,'本部部署'!A:A,"×",0,"1")</f>
        <v>×</v>
      </c>
      <c r="E262" s="37" t="str">
        <f t="array" ref="E262">XLOOKUP($B262,'本部部署'!B:B,'本部部署'!B:B,"×",0,"1")</f>
        <v>×</v>
      </c>
      <c r="F262" s="37" t="str">
        <f t="array" ref="F262">XLOOKUP($A262,'本部部署'!B:B,'本部部署'!B:B,"×",0,"1")</f>
        <v>社長室</v>
      </c>
      <c r="G262" s="37" t="str">
        <f t="array" ref="G262">XLOOKUP($B262,'本部部署'!A:A,'本部部署'!A:A,"×",0,"1")</f>
        <v>×</v>
      </c>
    </row>
    <row r="263">
      <c r="A263" s="8" t="s">
        <v>188</v>
      </c>
      <c r="B263" s="8" t="s">
        <v>46</v>
      </c>
      <c r="C263" s="8"/>
      <c r="D263" s="37" t="str">
        <f t="array" ref="D263">XLOOKUP($A263,'本部部署'!A:A,'本部部署'!A:A,"×",0,"1")</f>
        <v>×</v>
      </c>
      <c r="E263" s="37" t="str">
        <f t="array" ref="E263">XLOOKUP($B263,'本部部署'!B:B,'本部部署'!B:B,"×",0,"1")</f>
        <v>×</v>
      </c>
      <c r="F263" s="37" t="str">
        <f t="array" ref="F263">XLOOKUP($A263,'本部部署'!B:B,'本部部署'!B:B,"×",0,"1")</f>
        <v>社長室</v>
      </c>
      <c r="G263" s="37" t="str">
        <f t="array" ref="G263">XLOOKUP($B263,'本部部署'!A:A,'本部部署'!A:A,"×",0,"1")</f>
        <v>×</v>
      </c>
    </row>
    <row r="264">
      <c r="A264" s="8" t="s">
        <v>188</v>
      </c>
      <c r="B264" s="8" t="s">
        <v>471</v>
      </c>
      <c r="C264" s="8"/>
      <c r="D264" s="37" t="str">
        <f t="array" ref="D264">XLOOKUP($A264,'本部部署'!A:A,'本部部署'!A:A,"×",0,"1")</f>
        <v>×</v>
      </c>
      <c r="E264" s="37" t="str">
        <f t="array" ref="E264">XLOOKUP($B264,'本部部署'!B:B,'本部部署'!B:B,"×",0,"1")</f>
        <v>×</v>
      </c>
      <c r="F264" s="37" t="str">
        <f t="array" ref="F264">XLOOKUP($A264,'本部部署'!B:B,'本部部署'!B:B,"×",0,"1")</f>
        <v>社長室</v>
      </c>
      <c r="G264" s="37" t="str">
        <f t="array" ref="G264">XLOOKUP($B264,'本部部署'!A:A,'本部部署'!A:A,"×",0,"1")</f>
        <v>×</v>
      </c>
    </row>
    <row r="265">
      <c r="A265" s="8" t="s">
        <v>188</v>
      </c>
      <c r="B265" s="8" t="s">
        <v>1248</v>
      </c>
      <c r="C265" s="8"/>
      <c r="D265" s="37" t="str">
        <f t="array" ref="D265">XLOOKUP($A265,'本部部署'!A:A,'本部部署'!A:A,"×",0,"1")</f>
        <v>×</v>
      </c>
      <c r="E265" s="37" t="str">
        <f t="array" ref="E265">XLOOKUP($B265,'本部部署'!B:B,'本部部署'!B:B,"×",0,"1")</f>
        <v>×</v>
      </c>
      <c r="F265" s="37" t="str">
        <f t="array" ref="F265">XLOOKUP($A265,'本部部署'!B:B,'本部部署'!B:B,"×",0,"1")</f>
        <v>社長室</v>
      </c>
      <c r="G265" s="37" t="str">
        <f t="array" ref="G265">XLOOKUP($B265,'本部部署'!A:A,'本部部署'!A:A,"×",0,"1")</f>
        <v>×</v>
      </c>
    </row>
    <row r="266">
      <c r="A266" s="8" t="s">
        <v>188</v>
      </c>
      <c r="B266" s="8" t="s">
        <v>1249</v>
      </c>
      <c r="C266" s="8"/>
      <c r="D266" s="37" t="str">
        <f t="array" ref="D266">XLOOKUP($A266,'本部部署'!A:A,'本部部署'!A:A,"×",0,"1")</f>
        <v>×</v>
      </c>
      <c r="E266" s="37" t="str">
        <f t="array" ref="E266">XLOOKUP($B266,'本部部署'!B:B,'本部部署'!B:B,"×",0,"1")</f>
        <v>×</v>
      </c>
      <c r="F266" s="37" t="str">
        <f t="array" ref="F266">XLOOKUP($A266,'本部部署'!B:B,'本部部署'!B:B,"×",0,"1")</f>
        <v>社長室</v>
      </c>
      <c r="G266" s="37" t="str">
        <f t="array" ref="G266">XLOOKUP($B266,'本部部署'!A:A,'本部部署'!A:A,"×",0,"1")</f>
        <v>×</v>
      </c>
    </row>
    <row r="267">
      <c r="A267" s="8" t="s">
        <v>188</v>
      </c>
      <c r="B267" s="8" t="s">
        <v>1250</v>
      </c>
      <c r="C267" s="8"/>
      <c r="D267" s="37" t="str">
        <f t="array" ref="D267">XLOOKUP($A267,'本部部署'!A:A,'本部部署'!A:A,"×",0,"1")</f>
        <v>×</v>
      </c>
      <c r="E267" s="37" t="str">
        <f t="array" ref="E267">XLOOKUP($B267,'本部部署'!B:B,'本部部署'!B:B,"×",0,"1")</f>
        <v>×</v>
      </c>
      <c r="F267" s="37" t="str">
        <f t="array" ref="F267">XLOOKUP($A267,'本部部署'!B:B,'本部部署'!B:B,"×",0,"1")</f>
        <v>社長室</v>
      </c>
      <c r="G267" s="37" t="str">
        <f t="array" ref="G267">XLOOKUP($B267,'本部部署'!A:A,'本部部署'!A:A,"×",0,"1")</f>
        <v>×</v>
      </c>
    </row>
    <row r="268">
      <c r="A268" s="8" t="s">
        <v>188</v>
      </c>
      <c r="B268" s="8" t="s">
        <v>1251</v>
      </c>
      <c r="C268" s="8"/>
      <c r="D268" s="37" t="str">
        <f t="array" ref="D268">XLOOKUP($A268,'本部部署'!A:A,'本部部署'!A:A,"×",0,"1")</f>
        <v>×</v>
      </c>
      <c r="E268" s="37" t="str">
        <f t="array" ref="E268">XLOOKUP($B268,'本部部署'!B:B,'本部部署'!B:B,"×",0,"1")</f>
        <v>×</v>
      </c>
      <c r="F268" s="37" t="str">
        <f t="array" ref="F268">XLOOKUP($A268,'本部部署'!B:B,'本部部署'!B:B,"×",0,"1")</f>
        <v>社長室</v>
      </c>
      <c r="G268" s="37" t="str">
        <f t="array" ref="G268">XLOOKUP($B268,'本部部署'!A:A,'本部部署'!A:A,"×",0,"1")</f>
        <v>×</v>
      </c>
    </row>
    <row r="269">
      <c r="A269" s="8" t="s">
        <v>188</v>
      </c>
      <c r="B269" s="8" t="s">
        <v>1104</v>
      </c>
      <c r="C269" s="8"/>
      <c r="D269" s="37" t="str">
        <f t="array" ref="D269">XLOOKUP($A269,'本部部署'!A:A,'本部部署'!A:A,"×",0,"1")</f>
        <v>×</v>
      </c>
      <c r="E269" s="37" t="str">
        <f t="array" ref="E269">XLOOKUP($B269,'本部部署'!B:B,'本部部署'!B:B,"×",0,"1")</f>
        <v>×</v>
      </c>
      <c r="F269" s="37" t="str">
        <f t="array" ref="F269">XLOOKUP($A269,'本部部署'!B:B,'本部部署'!B:B,"×",0,"1")</f>
        <v>社長室</v>
      </c>
      <c r="G269" s="37" t="str">
        <f t="array" ref="G269">XLOOKUP($B269,'本部部署'!A:A,'本部部署'!A:A,"×",0,"1")</f>
        <v>×</v>
      </c>
    </row>
    <row r="270">
      <c r="A270" s="8" t="s">
        <v>1252</v>
      </c>
      <c r="B270" s="8" t="s">
        <v>1253</v>
      </c>
      <c r="C270" s="8" t="s">
        <v>1102</v>
      </c>
      <c r="D270" s="37" t="str">
        <f t="array" ref="D270">XLOOKUP($A270,'本部部署'!A:A,'本部部署'!A:A,"×",0,"1")</f>
        <v>×</v>
      </c>
      <c r="E270" s="37" t="str">
        <f t="array" ref="E270">XLOOKUP($B270,'本部部署'!B:B,'本部部署'!B:B,"×",0,"1")</f>
        <v>×</v>
      </c>
      <c r="F270" s="37" t="str">
        <f t="array" ref="F270">XLOOKUP($A270,'本部部署'!B:B,'本部部署'!B:B,"×",0,"1")</f>
        <v>×</v>
      </c>
      <c r="G270" s="37" t="str">
        <f t="array" ref="G270">XLOOKUP($B270,'本部部署'!A:A,'本部部署'!A:A,"×",0,"1")</f>
        <v>×</v>
      </c>
      <c r="H270" s="7" t="s">
        <v>3</v>
      </c>
    </row>
    <row r="271">
      <c r="A271" s="8" t="s">
        <v>1252</v>
      </c>
      <c r="B271" s="8" t="s">
        <v>1254</v>
      </c>
      <c r="C271" s="8" t="s">
        <v>1102</v>
      </c>
      <c r="D271" s="37" t="str">
        <f t="array" ref="D271">XLOOKUP($A271,'本部部署'!A:A,'本部部署'!A:A,"×",0,"1")</f>
        <v>×</v>
      </c>
      <c r="E271" s="37" t="str">
        <f t="array" ref="E271">XLOOKUP($B271,'本部部署'!B:B,'本部部署'!B:B,"×",0,"1")</f>
        <v>×</v>
      </c>
      <c r="F271" s="37" t="str">
        <f t="array" ref="F271">XLOOKUP($A271,'本部部署'!B:B,'本部部署'!B:B,"×",0,"1")</f>
        <v>×</v>
      </c>
      <c r="G271" s="37" t="str">
        <f t="array" ref="G271">XLOOKUP($B271,'本部部署'!A:A,'本部部署'!A:A,"×",0,"1")</f>
        <v>×</v>
      </c>
      <c r="H271" s="7" t="s">
        <v>1255</v>
      </c>
    </row>
    <row r="272">
      <c r="A272" s="8" t="s">
        <v>1252</v>
      </c>
      <c r="B272" s="8" t="s">
        <v>1256</v>
      </c>
      <c r="C272" s="8" t="s">
        <v>1102</v>
      </c>
      <c r="D272" s="37" t="str">
        <f t="array" ref="D272">XLOOKUP($A272,'本部部署'!A:A,'本部部署'!A:A,"×",0,"1")</f>
        <v>×</v>
      </c>
      <c r="E272" s="37" t="str">
        <f t="array" ref="E272">XLOOKUP($B272,'本部部署'!B:B,'本部部署'!B:B,"×",0,"1")</f>
        <v>×</v>
      </c>
      <c r="F272" s="37" t="str">
        <f t="array" ref="F272">XLOOKUP($A272,'本部部署'!B:B,'本部部署'!B:B,"×",0,"1")</f>
        <v>×</v>
      </c>
      <c r="G272" s="37" t="str">
        <f t="array" ref="G272">XLOOKUP($B272,'本部部署'!A:A,'本部部署'!A:A,"×",0,"1")</f>
        <v>×</v>
      </c>
      <c r="H272" s="7" t="s">
        <v>3</v>
      </c>
    </row>
    <row r="273">
      <c r="A273" s="8" t="s">
        <v>1252</v>
      </c>
      <c r="B273" s="8" t="s">
        <v>1111</v>
      </c>
      <c r="C273" s="8" t="s">
        <v>1102</v>
      </c>
      <c r="D273" s="37" t="str">
        <f t="array" ref="D273">XLOOKUP($A273,'本部部署'!A:A,'本部部署'!A:A,"×",0,"1")</f>
        <v>×</v>
      </c>
      <c r="E273" s="37" t="str">
        <f t="array" ref="E273">XLOOKUP($B273,'本部部署'!B:B,'本部部署'!B:B,"×",0,"1")</f>
        <v>×</v>
      </c>
      <c r="F273" s="37" t="str">
        <f t="array" ref="F273">XLOOKUP($A273,'本部部署'!B:B,'本部部署'!B:B,"×",0,"1")</f>
        <v>×</v>
      </c>
      <c r="G273" s="37" t="str">
        <f t="array" ref="G273">XLOOKUP($B273,'本部部署'!A:A,'本部部署'!A:A,"×",0,"1")</f>
        <v>×</v>
      </c>
      <c r="H273" s="7" t="s">
        <v>1105</v>
      </c>
    </row>
    <row r="274">
      <c r="A274" s="8" t="s">
        <v>1213</v>
      </c>
      <c r="B274" s="8" t="s">
        <v>1257</v>
      </c>
      <c r="C274" s="8" t="s">
        <v>1181</v>
      </c>
      <c r="D274" s="37" t="str">
        <f t="array" ref="D274">XLOOKUP($A274,'本部部署'!A:A,'本部部署'!A:A,"×",0,"1")</f>
        <v>×</v>
      </c>
      <c r="E274" s="37" t="str">
        <f t="array" ref="E274">XLOOKUP($B274,'本部部署'!B:B,'本部部署'!B:B,"×",0,"1")</f>
        <v>×</v>
      </c>
      <c r="F274" s="37" t="str">
        <f t="array" ref="F274">XLOOKUP($A274,'本部部署'!B:B,'本部部署'!B:B,"×",0,"1")</f>
        <v>×</v>
      </c>
      <c r="G274" s="37" t="str">
        <f t="array" ref="G274">XLOOKUP($B274,'本部部署'!A:A,'本部部署'!A:A,"×",0,"1")</f>
        <v>×</v>
      </c>
      <c r="H274" s="7" t="s">
        <v>1258</v>
      </c>
    </row>
    <row r="275">
      <c r="A275" s="8" t="s">
        <v>1213</v>
      </c>
      <c r="B275" s="8" t="s">
        <v>444</v>
      </c>
      <c r="C275" s="8" t="s">
        <v>1181</v>
      </c>
      <c r="D275" s="37" t="str">
        <f t="array" ref="D275">XLOOKUP($A275,'本部部署'!A:A,'本部部署'!A:A,"×",0,"1")</f>
        <v>×</v>
      </c>
      <c r="E275" s="37" t="str">
        <f t="array" ref="E275">XLOOKUP($B275,'本部部署'!B:B,'本部部署'!B:B,"×",0,"1")</f>
        <v>×</v>
      </c>
      <c r="F275" s="37" t="str">
        <f t="array" ref="F275">XLOOKUP($A275,'本部部署'!B:B,'本部部署'!B:B,"×",0,"1")</f>
        <v>×</v>
      </c>
      <c r="G275" s="37" t="str">
        <f t="array" ref="G275">XLOOKUP($B275,'本部部署'!A:A,'本部部署'!A:A,"×",0,"1")</f>
        <v>×</v>
      </c>
      <c r="H275" s="7" t="s">
        <v>1259</v>
      </c>
    </row>
    <row r="276">
      <c r="A276" s="8" t="s">
        <v>1213</v>
      </c>
      <c r="B276" s="8" t="s">
        <v>56</v>
      </c>
      <c r="C276" s="8" t="s">
        <v>1181</v>
      </c>
      <c r="D276" s="37" t="str">
        <f t="array" ref="D276">XLOOKUP($A276,'本部部署'!A:A,'本部部署'!A:A,"×",0,"1")</f>
        <v>×</v>
      </c>
      <c r="E276" s="37" t="str">
        <f t="array" ref="E276">XLOOKUP($B276,'本部部署'!B:B,'本部部署'!B:B,"×",0,"1")</f>
        <v>×</v>
      </c>
      <c r="F276" s="37" t="str">
        <f t="array" ref="F276">XLOOKUP($A276,'本部部署'!B:B,'本部部署'!B:B,"×",0,"1")</f>
        <v>×</v>
      </c>
      <c r="G276" s="37" t="str">
        <f t="array" ref="G276">XLOOKUP($B276,'本部部署'!A:A,'本部部署'!A:A,"×",0,"1")</f>
        <v>×</v>
      </c>
      <c r="H276" s="7" t="s">
        <v>1255</v>
      </c>
    </row>
    <row r="277">
      <c r="A277" s="8" t="s">
        <v>1213</v>
      </c>
      <c r="B277" s="8" t="s">
        <v>1260</v>
      </c>
      <c r="C277" s="8" t="s">
        <v>1181</v>
      </c>
      <c r="D277" s="37" t="str">
        <f t="array" ref="D277">XLOOKUP($A277,'本部部署'!A:A,'本部部署'!A:A,"×",0,"1")</f>
        <v>×</v>
      </c>
      <c r="E277" s="37" t="str">
        <f t="array" ref="E277">XLOOKUP($B277,'本部部署'!B:B,'本部部署'!B:B,"×",0,"1")</f>
        <v>×</v>
      </c>
      <c r="F277" s="37" t="str">
        <f t="array" ref="F277">XLOOKUP($A277,'本部部署'!B:B,'本部部署'!B:B,"×",0,"1")</f>
        <v>×</v>
      </c>
      <c r="G277" s="37" t="str">
        <f t="array" ref="G277">XLOOKUP($B277,'本部部署'!A:A,'本部部署'!A:A,"×",0,"1")</f>
        <v>×</v>
      </c>
      <c r="H277" s="7" t="s">
        <v>1261</v>
      </c>
    </row>
    <row r="278">
      <c r="A278" s="8" t="s">
        <v>1213</v>
      </c>
      <c r="B278" s="8" t="s">
        <v>1104</v>
      </c>
      <c r="C278" s="8" t="s">
        <v>1181</v>
      </c>
      <c r="D278" s="37" t="str">
        <f t="array" ref="D278">XLOOKUP($A278,'本部部署'!A:A,'本部部署'!A:A,"×",0,"1")</f>
        <v>×</v>
      </c>
      <c r="E278" s="37" t="str">
        <f t="array" ref="E278">XLOOKUP($B278,'本部部署'!B:B,'本部部署'!B:B,"×",0,"1")</f>
        <v>×</v>
      </c>
      <c r="F278" s="37" t="str">
        <f t="array" ref="F278">XLOOKUP($A278,'本部部署'!B:B,'本部部署'!B:B,"×",0,"1")</f>
        <v>×</v>
      </c>
      <c r="G278" s="37" t="str">
        <f t="array" ref="G278">XLOOKUP($B278,'本部部署'!A:A,'本部部署'!A:A,"×",0,"1")</f>
        <v>×</v>
      </c>
      <c r="H278" s="7" t="s">
        <v>1105</v>
      </c>
    </row>
    <row r="279">
      <c r="A279" s="8" t="s">
        <v>780</v>
      </c>
      <c r="B279" s="8" t="s">
        <v>786</v>
      </c>
      <c r="C279" s="8"/>
      <c r="D279" s="37" t="str">
        <f t="array" ref="D279">XLOOKUP($A279,'本部部署'!A:A,'本部部署'!A:A,"×",0,"1")</f>
        <v>デジタルエンターテインメントパブリッシング本部</v>
      </c>
      <c r="E279" s="37" t="str">
        <f t="array" ref="E279">XLOOKUP($B279,'本部部署'!B:B,'本部部署'!B:B,"×",0,"1")</f>
        <v>グローバルモンスト室</v>
      </c>
      <c r="F279" s="37" t="str">
        <f t="array" ref="F279">XLOOKUP($A279,'本部部署'!B:B,'本部部署'!B:B,"×",0,"1")</f>
        <v>×</v>
      </c>
      <c r="G279" s="37" t="str">
        <f t="array" ref="G279">XLOOKUP($B279,'本部部署'!A:A,'本部部署'!A:A,"×",0,"1")</f>
        <v>×</v>
      </c>
    </row>
    <row r="280">
      <c r="A280" s="8" t="s">
        <v>780</v>
      </c>
      <c r="B280" s="8" t="s">
        <v>284</v>
      </c>
      <c r="C280" s="8"/>
      <c r="D280" s="37" t="str">
        <f t="array" ref="D280">XLOOKUP($A280,'本部部署'!A:A,'本部部署'!A:A,"×",0,"1")</f>
        <v>デジタルエンターテインメントパブリッシング本部</v>
      </c>
      <c r="E280" s="37" t="str">
        <f t="array" ref="E280">XLOOKUP($B280,'本部部署'!B:B,'本部部署'!B:B,"×",0,"1")</f>
        <v>事業探索室</v>
      </c>
    </row>
    <row r="281">
      <c r="A281" s="8" t="s">
        <v>780</v>
      </c>
      <c r="B281" s="8" t="s">
        <v>286</v>
      </c>
      <c r="C281" s="8"/>
      <c r="D281" s="37" t="str">
        <f t="array" ref="D281">XLOOKUP($A281,'本部部署'!A:A,'本部部署'!A:A,"×",0,"1")</f>
        <v>デジタルエンターテインメントパブリッシング本部</v>
      </c>
      <c r="E281" s="37" t="str">
        <f t="array" ref="E281">XLOOKUP($B281,'本部部署'!B:B,'本部部署'!B:B,"×",0,"1")</f>
        <v>事業戦略室</v>
      </c>
    </row>
    <row r="282">
      <c r="A282" s="8" t="s">
        <v>780</v>
      </c>
      <c r="B282" s="8" t="s">
        <v>1111</v>
      </c>
      <c r="C282" s="8"/>
      <c r="D282" s="37" t="str">
        <f t="array" ref="D282">XLOOKUP($A282,'本部部署'!A:A,'本部部署'!A:A,"×",0,"1")</f>
        <v>デジタルエンターテインメントパブリッシング本部</v>
      </c>
      <c r="E282" s="37" t="str">
        <f t="array" ref="E282">XLOOKUP($B282,'本部部署'!B:B,'本部部署'!B:B,"×",0,"1")</f>
        <v>×</v>
      </c>
      <c r="F282" s="37" t="str">
        <f t="array" ref="F282">XLOOKUP($A282,'本部部署'!B:B,'本部部署'!B:B,"×",0,"1")</f>
        <v>×</v>
      </c>
      <c r="G282" s="37" t="str">
        <f t="array" ref="G282">XLOOKUP($B282,'本部部署'!A:A,'本部部署'!A:A,"×",0,"1")</f>
        <v>×</v>
      </c>
    </row>
    <row r="283">
      <c r="A283" s="8" t="s">
        <v>648</v>
      </c>
      <c r="B283" s="8" t="s">
        <v>143</v>
      </c>
      <c r="C283" s="8"/>
      <c r="D283" s="37" t="str">
        <f t="array" ref="D283">XLOOKUP($A283,'本部部署'!A:A,'本部部署'!A:A,"×",0,"1")</f>
        <v>ソーシャルベッティング事業本部</v>
      </c>
      <c r="E283" s="37" t="str">
        <f t="array" ref="E283">XLOOKUP($B283,'本部部署'!B:B,'本部部署'!B:B,"×",0,"1")</f>
        <v>TIPSTAR事業部</v>
      </c>
    </row>
    <row r="284">
      <c r="A284" s="8" t="s">
        <v>648</v>
      </c>
      <c r="B284" s="8" t="s">
        <v>668</v>
      </c>
      <c r="C284" s="8"/>
      <c r="D284" s="37" t="str">
        <f t="array" ref="D284">XLOOKUP($A284,'本部部署'!A:A,'本部部署'!A:A,"×",0,"1")</f>
        <v>ソーシャルベッティング事業本部</v>
      </c>
      <c r="E284" s="37" t="str">
        <f t="array" ref="E284">XLOOKUP($B284,'本部部署'!B:B,'本部部署'!B:B,"×",0,"1")</f>
        <v>新規ﾌﾟﾛﾀﾞｸﾄ開発室</v>
      </c>
    </row>
    <row r="285">
      <c r="A285" s="8" t="s">
        <v>648</v>
      </c>
      <c r="B285" s="8" t="s">
        <v>662</v>
      </c>
      <c r="C285" s="8"/>
      <c r="D285" s="37" t="str">
        <f t="array" ref="D285">XLOOKUP($A285,'本部部署'!A:A,'本部部署'!A:A,"×",0,"1")</f>
        <v>ソーシャルベッティング事業本部</v>
      </c>
      <c r="E285" s="37" t="str">
        <f t="array" ref="E285">XLOOKUP($B285,'本部部署'!B:B,'本部部署'!B:B,"×",0,"1")</f>
        <v>ネットドリーマーズ事業部</v>
      </c>
      <c r="F285" s="37" t="str">
        <f t="array" ref="F285">XLOOKUP($A285,'本部部署'!B:B,'本部部署'!B:B,"×",0,"1")</f>
        <v>×</v>
      </c>
      <c r="G285" s="37" t="str">
        <f t="array" ref="G285">XLOOKUP($B285,'本部部署'!A:A,'本部部署'!A:A,"×",0,"1")</f>
        <v>×</v>
      </c>
    </row>
    <row r="286">
      <c r="A286" s="8" t="s">
        <v>648</v>
      </c>
      <c r="B286" s="8" t="s">
        <v>155</v>
      </c>
      <c r="C286" s="8"/>
      <c r="D286" s="37" t="str">
        <f t="array" ref="D286">XLOOKUP($A286,'本部部署'!A:A,'本部部署'!A:A,"×",0,"1")</f>
        <v>ソーシャルベッティング事業本部</v>
      </c>
      <c r="E286" s="37" t="str">
        <f t="array" ref="E286">XLOOKUP($B286,'本部部署'!B:B,'本部部署'!B:B,"×",0,"1")</f>
        <v>事業財務戦略室</v>
      </c>
    </row>
    <row r="287">
      <c r="A287" s="8" t="s">
        <v>648</v>
      </c>
      <c r="B287" s="8" t="s">
        <v>651</v>
      </c>
      <c r="C287" s="8"/>
      <c r="D287" s="37" t="str">
        <f t="array" ref="D287">XLOOKUP($A287,'本部部署'!A:A,'本部部署'!A:A,"×",0,"1")</f>
        <v>ソーシャルベッティング事業本部</v>
      </c>
      <c r="E287" s="37" t="str">
        <f t="array" ref="E287">XLOOKUP($B287,'本部部署'!B:B,'本部部署'!B:B,"×",0,"1")</f>
        <v>ﾁｬﾘ・ﾛﾄ事業部</v>
      </c>
    </row>
    <row r="288">
      <c r="A288" s="8" t="s">
        <v>648</v>
      </c>
      <c r="B288" s="8" t="s">
        <v>1262</v>
      </c>
      <c r="C288" s="8"/>
      <c r="D288" s="37" t="str">
        <f t="array" ref="D288">XLOOKUP($A288,'本部部署'!A:A,'本部部署'!A:A,"×",0,"1")</f>
        <v>ソーシャルベッティング事業本部</v>
      </c>
      <c r="E288" s="37" t="str">
        <f t="array" ref="E288">XLOOKUP($B288,'本部部署'!B:B,'本部部署'!B:B,"×",0,"1")</f>
        <v>×</v>
      </c>
      <c r="F288" s="37" t="str">
        <f t="array" ref="F288">XLOOKUP($A288,'本部部署'!B:B,'本部部署'!B:B,"×",0,"1")</f>
        <v>×</v>
      </c>
      <c r="G288" s="37" t="str">
        <f t="array" ref="G288">XLOOKUP($B288,'本部部署'!A:A,'本部部署'!A:A,"×",0,"1")</f>
        <v>×</v>
      </c>
    </row>
    <row r="289">
      <c r="A289" s="8" t="s">
        <v>648</v>
      </c>
      <c r="B289" s="8" t="s">
        <v>1263</v>
      </c>
      <c r="C289" s="8"/>
      <c r="D289" s="37" t="str">
        <f t="array" ref="D289">XLOOKUP($A289,'本部部署'!A:A,'本部部署'!A:A,"×",0,"1")</f>
        <v>ソーシャルベッティング事業本部</v>
      </c>
      <c r="E289" s="37" t="str">
        <f t="array" ref="E289">XLOOKUP($B289,'本部部署'!B:B,'本部部署'!B:B,"×",0,"1")</f>
        <v>×</v>
      </c>
      <c r="F289" s="37" t="str">
        <f t="array" ref="F289">XLOOKUP($A289,'本部部署'!B:B,'本部部署'!B:B,"×",0,"1")</f>
        <v>×</v>
      </c>
      <c r="G289" s="37" t="str">
        <f t="array" ref="G289">XLOOKUP($B289,'本部部署'!A:A,'本部部署'!A:A,"×",0,"1")</f>
        <v>×</v>
      </c>
    </row>
    <row r="290">
      <c r="A290" s="8" t="s">
        <v>648</v>
      </c>
      <c r="B290" s="8" t="s">
        <v>148</v>
      </c>
      <c r="C290" s="8"/>
      <c r="D290" s="37" t="str">
        <f t="array" ref="D290">XLOOKUP($A290,'本部部署'!A:A,'本部部署'!A:A,"×",0,"1")</f>
        <v>ソーシャルベッティング事業本部</v>
      </c>
      <c r="E290" s="37" t="str">
        <f t="array" ref="E290">XLOOKUP($B290,'本部部署'!B:B,'本部部署'!B:B,"×",0,"1")</f>
        <v>開発室</v>
      </c>
    </row>
    <row r="291">
      <c r="A291" s="8" t="s">
        <v>648</v>
      </c>
      <c r="B291" s="8" t="s">
        <v>1111</v>
      </c>
      <c r="C291" s="8"/>
      <c r="D291" s="37" t="str">
        <f t="array" ref="D291">XLOOKUP($A291,'本部部署'!A:A,'本部部署'!A:A,"×",0,"1")</f>
        <v>ソーシャルベッティング事業本部</v>
      </c>
      <c r="E291" s="37" t="str">
        <f t="array" ref="E291">XLOOKUP($B291,'本部部署'!B:B,'本部部署'!B:B,"×",0,"1")</f>
        <v>×</v>
      </c>
      <c r="F291" s="37" t="str">
        <f t="array" ref="F291">XLOOKUP($A291,'本部部署'!B:B,'本部部署'!B:B,"×",0,"1")</f>
        <v>×</v>
      </c>
      <c r="G291" s="37" t="str">
        <f t="array" ref="G291">XLOOKUP($B291,'本部部署'!A:A,'本部部署'!A:A,"×",0,"1")</f>
        <v>×</v>
      </c>
    </row>
    <row r="292">
      <c r="A292" s="8" t="s">
        <v>648</v>
      </c>
      <c r="B292" s="8" t="s">
        <v>141</v>
      </c>
      <c r="C292" s="8"/>
      <c r="D292" s="37" t="str">
        <f t="array" ref="D292">XLOOKUP($A292,'本部部署'!A:A,'本部部署'!A:A,"×",0,"1")</f>
        <v>ソーシャルベッティング事業本部</v>
      </c>
      <c r="E292" s="37" t="str">
        <f t="array" ref="E292">XLOOKUP($B292,'本部部署'!B:B,'本部部署'!B:B,"×",0,"1")</f>
        <v>価値創造室</v>
      </c>
    </row>
    <row r="293">
      <c r="A293" s="8" t="s">
        <v>1264</v>
      </c>
      <c r="B293" s="8" t="s">
        <v>1180</v>
      </c>
      <c r="C293" s="8" t="s">
        <v>1102</v>
      </c>
      <c r="D293" s="37" t="str">
        <f t="array" ref="D293">XLOOKUP($A293,'本部部署'!A:A,'本部部署'!A:A,"×",0,"1")</f>
        <v>×</v>
      </c>
      <c r="E293" s="37" t="str">
        <f t="array" ref="E293">XLOOKUP($B293,'本部部署'!B:B,'本部部署'!B:B,"×",0,"1")</f>
        <v>×</v>
      </c>
      <c r="F293" s="37" t="str">
        <f t="array" ref="F293">XLOOKUP($A293,'本部部署'!B:B,'本部部署'!B:B,"×",0,"1")</f>
        <v>×</v>
      </c>
      <c r="G293" s="37" t="str">
        <f t="array" ref="G293">XLOOKUP($B293,'本部部署'!A:A,'本部部署'!A:A,"×",0,"1")</f>
        <v>×</v>
      </c>
      <c r="H293" s="7" t="s">
        <v>1182</v>
      </c>
    </row>
    <row r="294">
      <c r="A294" s="8" t="s">
        <v>1264</v>
      </c>
      <c r="B294" s="8" t="s">
        <v>1170</v>
      </c>
      <c r="C294" s="8" t="s">
        <v>1102</v>
      </c>
      <c r="D294" s="37" t="str">
        <f t="array" ref="D294">XLOOKUP($A294,'本部部署'!A:A,'本部部署'!A:A,"×",0,"1")</f>
        <v>×</v>
      </c>
      <c r="E294" s="37" t="str">
        <f t="array" ref="E294">XLOOKUP($B294,'本部部署'!B:B,'本部部署'!B:B,"×",0,"1")</f>
        <v>×</v>
      </c>
      <c r="F294" s="37" t="str">
        <f t="array" ref="F294">XLOOKUP($A294,'本部部署'!B:B,'本部部署'!B:B,"×",0,"1")</f>
        <v>×</v>
      </c>
      <c r="G294" s="37" t="str">
        <f t="array" ref="G294">XLOOKUP($B294,'本部部署'!A:A,'本部部署'!A:A,"×",0,"1")</f>
        <v>×</v>
      </c>
      <c r="H294" s="7" t="s">
        <v>1069</v>
      </c>
    </row>
    <row r="295">
      <c r="A295" s="8" t="s">
        <v>1264</v>
      </c>
      <c r="B295" s="8" t="s">
        <v>1144</v>
      </c>
      <c r="C295" s="8" t="s">
        <v>1102</v>
      </c>
      <c r="D295" s="37" t="str">
        <f t="array" ref="D295">XLOOKUP($A295,'本部部署'!A:A,'本部部署'!A:A,"×",0,"1")</f>
        <v>×</v>
      </c>
      <c r="E295" s="37" t="str">
        <f t="array" ref="E295">XLOOKUP($B295,'本部部署'!B:B,'本部部署'!B:B,"×",0,"1")</f>
        <v>×</v>
      </c>
      <c r="F295" s="37" t="str">
        <f t="array" ref="F295">XLOOKUP($A295,'本部部署'!B:B,'本部部署'!B:B,"×",0,"1")</f>
        <v>×</v>
      </c>
      <c r="G295" s="37" t="str">
        <f t="array" ref="G295">XLOOKUP($B295,'本部部署'!A:A,'本部部署'!A:A,"×",0,"1")</f>
        <v>×</v>
      </c>
      <c r="H295" s="7" t="s">
        <v>478</v>
      </c>
    </row>
    <row r="296">
      <c r="A296" s="8" t="s">
        <v>1264</v>
      </c>
      <c r="B296" s="8" t="s">
        <v>1134</v>
      </c>
      <c r="C296" s="8" t="s">
        <v>1102</v>
      </c>
      <c r="D296" s="37" t="str">
        <f t="array" ref="D296">XLOOKUP($A296,'本部部署'!A:A,'本部部署'!A:A,"×",0,"1")</f>
        <v>×</v>
      </c>
      <c r="E296" s="37" t="str">
        <f t="array" ref="E296">XLOOKUP($B296,'本部部署'!B:B,'本部部署'!B:B,"×",0,"1")</f>
        <v>×</v>
      </c>
      <c r="F296" s="37" t="str">
        <f t="array" ref="F296">XLOOKUP($A296,'本部部署'!B:B,'本部部署'!B:B,"×",0,"1")</f>
        <v>×</v>
      </c>
      <c r="G296" s="37" t="str">
        <f t="array" ref="G296">XLOOKUP($B296,'本部部署'!A:A,'本部部署'!A:A,"×",0,"1")</f>
        <v>×</v>
      </c>
      <c r="H296" s="7" t="s">
        <v>1069</v>
      </c>
    </row>
    <row r="297">
      <c r="A297" s="8" t="s">
        <v>1264</v>
      </c>
      <c r="B297" s="8" t="s">
        <v>1265</v>
      </c>
      <c r="C297" s="8" t="s">
        <v>1102</v>
      </c>
      <c r="D297" s="37" t="str">
        <f t="array" ref="D297">XLOOKUP($A297,'本部部署'!A:A,'本部部署'!A:A,"×",0,"1")</f>
        <v>×</v>
      </c>
      <c r="E297" s="37" t="str">
        <f t="array" ref="E297">XLOOKUP($B297,'本部部署'!B:B,'本部部署'!B:B,"×",0,"1")</f>
        <v>×</v>
      </c>
      <c r="F297" s="37" t="str">
        <f t="array" ref="F297">XLOOKUP($A297,'本部部署'!B:B,'本部部署'!B:B,"×",0,"1")</f>
        <v>×</v>
      </c>
      <c r="G297" s="37" t="str">
        <f t="array" ref="G297">XLOOKUP($B297,'本部部署'!A:A,'本部部署'!A:A,"×",0,"1")</f>
        <v>×</v>
      </c>
      <c r="H297" s="7" t="s">
        <v>1110</v>
      </c>
    </row>
    <row r="298">
      <c r="A298" s="8" t="s">
        <v>1264</v>
      </c>
      <c r="B298" s="8" t="s">
        <v>1175</v>
      </c>
      <c r="C298" s="8" t="s">
        <v>1102</v>
      </c>
      <c r="D298" s="37" t="str">
        <f t="array" ref="D298">XLOOKUP($A298,'本部部署'!A:A,'本部部署'!A:A,"×",0,"1")</f>
        <v>×</v>
      </c>
      <c r="E298" s="37" t="str">
        <f t="array" ref="E298">XLOOKUP($B298,'本部部署'!B:B,'本部部署'!B:B,"×",0,"1")</f>
        <v>×</v>
      </c>
      <c r="F298" s="37" t="str">
        <f t="array" ref="F298">XLOOKUP($A298,'本部部署'!B:B,'本部部署'!B:B,"×",0,"1")</f>
        <v>×</v>
      </c>
      <c r="G298" s="37" t="str">
        <f t="array" ref="G298">XLOOKUP($B298,'本部部署'!A:A,'本部部署'!A:A,"×",0,"1")</f>
        <v>×</v>
      </c>
      <c r="H298" s="7" t="s">
        <v>391</v>
      </c>
    </row>
    <row r="299">
      <c r="A299" s="8" t="s">
        <v>1264</v>
      </c>
      <c r="B299" s="8" t="s">
        <v>286</v>
      </c>
      <c r="C299" s="8"/>
      <c r="D299" s="37" t="str">
        <f t="array" ref="D299">XLOOKUP($A299,'本部部署'!A:A,'本部部署'!A:A,"×",0,"1")</f>
        <v>×</v>
      </c>
      <c r="E299" s="37" t="str">
        <f t="array" ref="E299">XLOOKUP($B299,'本部部署'!B:B,'本部部署'!B:B,"×",0,"1")</f>
        <v>事業戦略室</v>
      </c>
    </row>
    <row r="300">
      <c r="A300" s="8" t="s">
        <v>1264</v>
      </c>
      <c r="B300" s="8" t="s">
        <v>1187</v>
      </c>
      <c r="C300" s="8" t="s">
        <v>1102</v>
      </c>
      <c r="D300" s="37" t="str">
        <f t="array" ref="D300">XLOOKUP($A300,'本部部署'!A:A,'本部部署'!A:A,"×",0,"1")</f>
        <v>×</v>
      </c>
      <c r="E300" s="37" t="str">
        <f t="array" ref="E300">XLOOKUP($B300,'本部部署'!B:B,'本部部署'!B:B,"×",0,"1")</f>
        <v>×</v>
      </c>
      <c r="F300" s="37" t="str">
        <f t="array" ref="F300">XLOOKUP($A300,'本部部署'!B:B,'本部部署'!B:B,"×",0,"1")</f>
        <v>×</v>
      </c>
      <c r="G300" s="37" t="str">
        <f t="array" ref="G300">XLOOKUP($B300,'本部部署'!A:A,'本部部署'!A:A,"×",0,"1")</f>
        <v>×</v>
      </c>
      <c r="H300" s="7" t="s">
        <v>1188</v>
      </c>
    </row>
    <row r="301">
      <c r="A301" s="8" t="s">
        <v>1264</v>
      </c>
      <c r="B301" s="8" t="s">
        <v>1068</v>
      </c>
      <c r="C301" s="8" t="s">
        <v>1102</v>
      </c>
      <c r="D301" s="37" t="str">
        <f t="array" ref="D301">XLOOKUP($A301,'本部部署'!A:A,'本部部署'!A:A,"×",0,"1")</f>
        <v>×</v>
      </c>
      <c r="E301" s="37" t="str">
        <f t="array" ref="E301">XLOOKUP($B301,'本部部署'!B:B,'本部部署'!B:B,"×",0,"1")</f>
        <v>×</v>
      </c>
      <c r="F301" s="37" t="str">
        <f t="array" ref="F301">XLOOKUP($A301,'本部部署'!B:B,'本部部署'!B:B,"×",0,"1")</f>
        <v>×</v>
      </c>
      <c r="G301" s="37" t="str">
        <f t="array" ref="G301">XLOOKUP($B301,'本部部署'!A:A,'本部部署'!A:A,"×",0,"1")</f>
        <v>×</v>
      </c>
      <c r="H301" s="7" t="s">
        <v>1176</v>
      </c>
    </row>
    <row r="302">
      <c r="A302" s="8" t="s">
        <v>1264</v>
      </c>
      <c r="B302" s="8" t="s">
        <v>1081</v>
      </c>
      <c r="C302" s="8" t="s">
        <v>1102</v>
      </c>
      <c r="D302" s="37" t="str">
        <f t="array" ref="D302">XLOOKUP($A302,'本部部署'!A:A,'本部部署'!A:A,"×",0,"1")</f>
        <v>×</v>
      </c>
      <c r="E302" s="37" t="str">
        <f t="array" ref="E302">XLOOKUP($B302,'本部部署'!B:B,'本部部署'!B:B,"×",0,"1")</f>
        <v>×</v>
      </c>
      <c r="F302" s="37" t="str">
        <f t="array" ref="F302">XLOOKUP($A302,'本部部署'!B:B,'本部部署'!B:B,"×",0,"1")</f>
        <v>×</v>
      </c>
      <c r="G302" s="37" t="str">
        <f t="array" ref="G302">XLOOKUP($B302,'本部部署'!A:A,'本部部署'!A:A,"×",0,"1")</f>
        <v>×</v>
      </c>
      <c r="H302" s="7" t="s">
        <v>693</v>
      </c>
    </row>
    <row r="303">
      <c r="A303" s="8" t="s">
        <v>1264</v>
      </c>
      <c r="B303" s="8" t="s">
        <v>1266</v>
      </c>
      <c r="C303" s="8" t="s">
        <v>1102</v>
      </c>
      <c r="D303" s="37" t="str">
        <f t="array" ref="D303">XLOOKUP($A303,'本部部署'!A:A,'本部部署'!A:A,"×",0,"1")</f>
        <v>×</v>
      </c>
      <c r="E303" s="37" t="str">
        <f t="array" ref="E303">XLOOKUP($B303,'本部部署'!B:B,'本部部署'!B:B,"×",0,"1")</f>
        <v>×</v>
      </c>
      <c r="F303" s="37" t="str">
        <f t="array" ref="F303">XLOOKUP($A303,'本部部署'!B:B,'本部部署'!B:B,"×",0,"1")</f>
        <v>×</v>
      </c>
      <c r="G303" s="37" t="str">
        <f t="array" ref="G303">XLOOKUP($B303,'本部部署'!A:A,'本部部署'!A:A,"×",0,"1")</f>
        <v>×</v>
      </c>
      <c r="H303" s="7" t="s">
        <v>1105</v>
      </c>
    </row>
    <row r="304">
      <c r="A304" s="8" t="s">
        <v>1264</v>
      </c>
      <c r="B304" s="8" t="s">
        <v>1267</v>
      </c>
      <c r="C304" s="8" t="s">
        <v>1102</v>
      </c>
      <c r="D304" s="37" t="str">
        <f t="array" ref="D304">XLOOKUP($A304,'本部部署'!A:A,'本部部署'!A:A,"×",0,"1")</f>
        <v>×</v>
      </c>
      <c r="E304" s="37" t="str">
        <f t="array" ref="E304">XLOOKUP($B304,'本部部署'!B:B,'本部部署'!B:B,"×",0,"1")</f>
        <v>×</v>
      </c>
      <c r="F304" s="37" t="str">
        <f t="array" ref="F304">XLOOKUP($A304,'本部部署'!B:B,'本部部署'!B:B,"×",0,"1")</f>
        <v>×</v>
      </c>
      <c r="G304" s="37" t="str">
        <f t="array" ref="G304">XLOOKUP($B304,'本部部署'!A:A,'本部部署'!A:A,"×",0,"1")</f>
        <v>×</v>
      </c>
      <c r="H304" s="7" t="s">
        <v>693</v>
      </c>
    </row>
    <row r="305">
      <c r="A305" s="8" t="s">
        <v>1264</v>
      </c>
      <c r="B305" s="8" t="s">
        <v>1161</v>
      </c>
      <c r="C305" s="8" t="s">
        <v>1102</v>
      </c>
      <c r="D305" s="37" t="str">
        <f t="array" ref="D305">XLOOKUP($A305,'本部部署'!A:A,'本部部署'!A:A,"×",0,"1")</f>
        <v>×</v>
      </c>
      <c r="E305" s="37" t="str">
        <f t="array" ref="E305">XLOOKUP($B305,'本部部署'!B:B,'本部部署'!B:B,"×",0,"1")</f>
        <v>×</v>
      </c>
      <c r="F305" s="37" t="str">
        <f t="array" ref="F305">XLOOKUP($A305,'本部部署'!B:B,'本部部署'!B:B,"×",0,"1")</f>
        <v>×</v>
      </c>
      <c r="G305" s="37" t="str">
        <f t="array" ref="G305">XLOOKUP($B305,'本部部署'!A:A,'本部部署'!A:A,"×",0,"1")</f>
        <v>×</v>
      </c>
      <c r="H305" s="7" t="s">
        <v>693</v>
      </c>
    </row>
    <row r="306">
      <c r="A306" s="8" t="s">
        <v>1268</v>
      </c>
      <c r="B306" s="8" t="s">
        <v>1225</v>
      </c>
      <c r="C306" s="8" t="s">
        <v>1102</v>
      </c>
      <c r="D306" s="37" t="str">
        <f t="array" ref="D306">XLOOKUP($A306,'本部部署'!A:A,'本部部署'!A:A,"×",0,"1")</f>
        <v>×</v>
      </c>
      <c r="E306" s="37" t="str">
        <f t="array" ref="E306">XLOOKUP($B306,'本部部署'!B:B,'本部部署'!B:B,"×",0,"1")</f>
        <v>×</v>
      </c>
      <c r="F306" s="37" t="str">
        <f t="array" ref="F306">XLOOKUP($A306,'本部部署'!B:B,'本部部署'!B:B,"×",0,"1")</f>
        <v>×</v>
      </c>
      <c r="G306" s="37" t="str">
        <f t="array" ref="G306">XLOOKUP($B306,'本部部署'!A:A,'本部部署'!A:A,"×",0,"1")</f>
        <v>×</v>
      </c>
      <c r="H306" s="7" t="s">
        <v>1188</v>
      </c>
    </row>
    <row r="307">
      <c r="A307" s="8" t="s">
        <v>1268</v>
      </c>
      <c r="B307" s="8" t="s">
        <v>1226</v>
      </c>
      <c r="C307" s="8" t="s">
        <v>1102</v>
      </c>
      <c r="D307" s="37" t="str">
        <f t="array" ref="D307">XLOOKUP($A307,'本部部署'!A:A,'本部部署'!A:A,"×",0,"1")</f>
        <v>×</v>
      </c>
      <c r="E307" s="37" t="str">
        <f t="array" ref="E307">XLOOKUP($B307,'本部部署'!B:B,'本部部署'!B:B,"×",0,"1")</f>
        <v>×</v>
      </c>
      <c r="F307" s="37" t="str">
        <f t="array" ref="F307">XLOOKUP($A307,'本部部署'!B:B,'本部部署'!B:B,"×",0,"1")</f>
        <v>×</v>
      </c>
      <c r="G307" s="37" t="str">
        <f t="array" ref="G307">XLOOKUP($B307,'本部部署'!A:A,'本部部署'!A:A,"×",0,"1")</f>
        <v>×</v>
      </c>
      <c r="H307" s="7" t="s">
        <v>391</v>
      </c>
    </row>
    <row r="308">
      <c r="A308" s="8" t="s">
        <v>1268</v>
      </c>
      <c r="B308" s="8" t="s">
        <v>859</v>
      </c>
      <c r="C308" s="8"/>
      <c r="D308" s="37" t="str">
        <f t="array" ref="D308">XLOOKUP($A308,'本部部署'!A:A,'本部部署'!A:A,"×",0,"1")</f>
        <v>×</v>
      </c>
      <c r="E308" s="37" t="str">
        <f t="array" ref="E308">XLOOKUP($B308,'本部部署'!B:B,'本部部署'!B:B,"×",0,"1")</f>
        <v>フットボール事業部</v>
      </c>
      <c r="F308" s="37" t="str">
        <f t="array" ref="F308">XLOOKUP($A308,'本部部署'!B:B,'本部部署'!B:B,"×",0,"1")</f>
        <v>×</v>
      </c>
      <c r="G308" s="37" t="str">
        <f t="array" ref="G308">XLOOKUP($B308,'本部部署'!A:A,'本部部署'!A:A,"×",0,"1")</f>
        <v>×</v>
      </c>
    </row>
    <row r="309">
      <c r="A309" s="8" t="s">
        <v>1268</v>
      </c>
      <c r="B309" s="8" t="s">
        <v>1183</v>
      </c>
      <c r="C309" s="8" t="s">
        <v>1102</v>
      </c>
      <c r="D309" s="37" t="str">
        <f t="array" ref="D309">XLOOKUP($A309,'本部部署'!A:A,'本部部署'!A:A,"×",0,"1")</f>
        <v>×</v>
      </c>
      <c r="E309" s="37" t="str">
        <f t="array" ref="E309">XLOOKUP($B309,'本部部署'!B:B,'本部部署'!B:B,"×",0,"1")</f>
        <v>×</v>
      </c>
      <c r="F309" s="37" t="str">
        <f t="array" ref="F309">XLOOKUP($A309,'本部部署'!B:B,'本部部署'!B:B,"×",0,"1")</f>
        <v>×</v>
      </c>
      <c r="G309" s="37" t="str">
        <f t="array" ref="G309">XLOOKUP($B309,'本部部署'!A:A,'本部部署'!A:A,"×",0,"1")</f>
        <v>×</v>
      </c>
      <c r="H309" s="7" t="s">
        <v>1182</v>
      </c>
    </row>
    <row r="310">
      <c r="A310" s="8" t="s">
        <v>1268</v>
      </c>
      <c r="B310" s="8" t="s">
        <v>1182</v>
      </c>
      <c r="C310" s="8" t="s">
        <v>1102</v>
      </c>
      <c r="D310" s="37" t="str">
        <f t="array" ref="D310">XLOOKUP($A310,'本部部署'!A:A,'本部部署'!A:A,"×",0,"1")</f>
        <v>×</v>
      </c>
      <c r="E310" s="37" t="str">
        <f t="array" ref="E310">XLOOKUP($B310,'本部部署'!B:B,'本部部署'!B:B,"×",0,"1")</f>
        <v>×</v>
      </c>
      <c r="F310" s="37" t="str">
        <f t="array" ref="F310">XLOOKUP($A310,'本部部署'!B:B,'本部部署'!B:B,"×",0,"1")</f>
        <v>×</v>
      </c>
      <c r="G310" s="37" t="str">
        <f t="array" ref="G310">XLOOKUP($B310,'本部部署'!A:A,'本部部署'!A:A,"×",0,"1")</f>
        <v>×</v>
      </c>
      <c r="H310" s="7" t="s">
        <v>1182</v>
      </c>
    </row>
    <row r="311">
      <c r="A311" s="8" t="s">
        <v>1268</v>
      </c>
      <c r="B311" s="8" t="s">
        <v>857</v>
      </c>
      <c r="C311" s="8"/>
      <c r="D311" s="37" t="str">
        <f t="array" ref="D311">XLOOKUP($A311,'本部部署'!A:A,'本部部署'!A:A,"×",0,"1")</f>
        <v>×</v>
      </c>
      <c r="E311" s="37" t="str">
        <f t="array" ref="E311">XLOOKUP($B311,'本部部署'!B:B,'本部部署'!B:B,"×",0,"1")</f>
        <v>バスケットボール事業部</v>
      </c>
      <c r="F311" s="37" t="str">
        <f t="array" ref="F311">XLOOKUP($A311,'本部部署'!B:B,'本部部署'!B:B,"×",0,"1")</f>
        <v>×</v>
      </c>
      <c r="G311" s="37" t="str">
        <f t="array" ref="G311">XLOOKUP($B311,'本部部署'!A:A,'本部部署'!A:A,"×",0,"1")</f>
        <v>×</v>
      </c>
    </row>
    <row r="312">
      <c r="A312" s="8" t="s">
        <v>1268</v>
      </c>
      <c r="B312" s="8" t="s">
        <v>286</v>
      </c>
      <c r="C312" s="8"/>
      <c r="D312" s="37" t="str">
        <f t="array" ref="D312">XLOOKUP($A312,'本部部署'!A:A,'本部部署'!A:A,"×",0,"1")</f>
        <v>×</v>
      </c>
      <c r="E312" s="37" t="str">
        <f t="array" ref="E312">XLOOKUP($B312,'本部部署'!B:B,'本部部署'!B:B,"×",0,"1")</f>
        <v>事業戦略室</v>
      </c>
    </row>
    <row r="313">
      <c r="A313" s="8" t="s">
        <v>1268</v>
      </c>
      <c r="B313" s="8" t="s">
        <v>1111</v>
      </c>
      <c r="C313" s="8" t="s">
        <v>1102</v>
      </c>
      <c r="D313" s="37" t="str">
        <f t="array" ref="D313">XLOOKUP($A313,'本部部署'!A:A,'本部部署'!A:A,"×",0,"1")</f>
        <v>×</v>
      </c>
      <c r="E313" s="37" t="str">
        <f t="array" ref="E313">XLOOKUP($B313,'本部部署'!B:B,'本部部署'!B:B,"×",0,"1")</f>
        <v>×</v>
      </c>
      <c r="F313" s="37" t="str">
        <f t="array" ref="F313">XLOOKUP($A313,'本部部署'!B:B,'本部部署'!B:B,"×",0,"1")</f>
        <v>×</v>
      </c>
      <c r="G313" s="37" t="str">
        <f t="array" ref="G313">XLOOKUP($B313,'本部部署'!A:A,'本部部署'!A:A,"×",0,"1")</f>
        <v>×</v>
      </c>
      <c r="H313" s="7" t="s">
        <v>1105</v>
      </c>
    </row>
    <row r="314">
      <c r="A314" s="8" t="s">
        <v>1268</v>
      </c>
      <c r="B314" s="8" t="s">
        <v>864</v>
      </c>
      <c r="C314" s="8"/>
      <c r="D314" s="37" t="str">
        <f t="array" ref="D314">XLOOKUP($A314,'本部部署'!A:A,'本部部署'!A:A,"×",0,"1")</f>
        <v>×</v>
      </c>
      <c r="E314" s="37" t="str">
        <f t="array" ref="E314">XLOOKUP($B314,'本部部署'!B:B,'本部部署'!B:B,"×",0,"1")</f>
        <v>アリーナ事業部</v>
      </c>
      <c r="F314" s="37" t="str">
        <f t="array" ref="F314">XLOOKUP($A314,'本部部署'!B:B,'本部部署'!B:B,"×",0,"1")</f>
        <v>×</v>
      </c>
      <c r="G314" s="37" t="str">
        <f t="array" ref="G314">XLOOKUP($B314,'本部部署'!A:A,'本部部署'!A:A,"×",0,"1")</f>
        <v>×</v>
      </c>
    </row>
    <row r="315">
      <c r="A315" s="8" t="s">
        <v>323</v>
      </c>
      <c r="B315" s="8" t="s">
        <v>819</v>
      </c>
      <c r="C315" s="8"/>
      <c r="D315" s="37" t="str">
        <f t="array" ref="D315">XLOOKUP($A315,'本部部署'!A:A,'本部部署'!A:A,"×",0,"1")</f>
        <v>みてね事業本部</v>
      </c>
      <c r="E315" s="37" t="str">
        <f t="array" ref="E315">XLOOKUP($B315,'本部部署'!B:B,'本部部署'!B:B,"×",0,"1")</f>
        <v>みてねマーケティング部</v>
      </c>
    </row>
    <row r="316">
      <c r="A316" s="8" t="s">
        <v>323</v>
      </c>
      <c r="B316" s="8" t="s">
        <v>821</v>
      </c>
      <c r="C316" s="8"/>
      <c r="D316" s="37" t="str">
        <f t="array" ref="D316">XLOOKUP($A316,'本部部署'!A:A,'本部部署'!A:A,"×",0,"1")</f>
        <v>みてね事業本部</v>
      </c>
      <c r="E316" s="37" t="str">
        <f t="array" ref="E316">XLOOKUP($B316,'本部部署'!B:B,'本部部署'!B:B,"×",0,"1")</f>
        <v>みてねプラットフォーム部</v>
      </c>
    </row>
    <row r="317">
      <c r="A317" s="8" t="s">
        <v>323</v>
      </c>
      <c r="B317" s="8" t="s">
        <v>824</v>
      </c>
      <c r="C317" s="8"/>
      <c r="D317" s="37" t="str">
        <f t="array" ref="D317">XLOOKUP($A317,'本部部署'!A:A,'本部部署'!A:A,"×",0,"1")</f>
        <v>みてね事業本部</v>
      </c>
      <c r="E317" s="37" t="str">
        <f t="array" ref="E317">XLOOKUP($B317,'本部部署'!B:B,'本部部署'!B:B,"×",0,"1")</f>
        <v>みてねﾌﾟﾛﾀﾞｸﾄ開発部</v>
      </c>
    </row>
    <row r="318">
      <c r="A318" s="8" t="s">
        <v>323</v>
      </c>
      <c r="B318" s="8" t="s">
        <v>1111</v>
      </c>
      <c r="C318" s="8"/>
      <c r="D318" s="37" t="str">
        <f t="array" ref="D318">XLOOKUP($A318,'本部部署'!A:A,'本部部署'!A:A,"×",0,"1")</f>
        <v>みてね事業本部</v>
      </c>
      <c r="E318" s="37" t="str">
        <f t="array" ref="E318">XLOOKUP($B318,'本部部署'!B:B,'本部部署'!B:B,"×",0,"1")</f>
        <v>×</v>
      </c>
    </row>
    <row r="319">
      <c r="A319" s="8" t="s">
        <v>323</v>
      </c>
      <c r="B319" s="8" t="s">
        <v>324</v>
      </c>
      <c r="C319" s="8"/>
      <c r="D319" s="37" t="str">
        <f t="array" ref="D319">XLOOKUP($A319,'本部部署'!A:A,'本部部署'!A:A,"×",0,"1")</f>
        <v>みてね事業本部</v>
      </c>
      <c r="E319" s="37" t="str">
        <f t="array" ref="E319">XLOOKUP($B319,'本部部署'!B:B,'本部部署'!B:B,"×",0,"1")</f>
        <v>みてね事業開発部</v>
      </c>
    </row>
    <row r="320">
      <c r="A320" s="8" t="s">
        <v>644</v>
      </c>
      <c r="B320" s="8" t="s">
        <v>1269</v>
      </c>
      <c r="C320" s="8"/>
      <c r="D320" s="37" t="str">
        <f t="array" ref="D320">XLOOKUP($A320,'本部部署'!A:A,'本部部署'!A:A,"×",0,"1")</f>
        <v>×</v>
      </c>
      <c r="E320" s="37" t="str">
        <f t="array" ref="E320">XLOOKUP($B320,'本部部署'!B:B,'本部部署'!B:B,"×",0,"1")</f>
        <v>×</v>
      </c>
      <c r="F320" s="37" t="str">
        <f t="array" ref="F320">XLOOKUP($A320,'本部部署'!B:B,'本部部署'!B:B,"×",0,"1")</f>
        <v>ｾｷｭﾘﾃｨ室</v>
      </c>
      <c r="G320" s="37" t="str">
        <f t="array" ref="G320">XLOOKUP($B320,'本部部署'!A:A,'本部部署'!A:A,"×",0,"1")</f>
        <v>×</v>
      </c>
    </row>
    <row r="321">
      <c r="A321" s="8" t="s">
        <v>644</v>
      </c>
      <c r="B321" s="8" t="s">
        <v>1270</v>
      </c>
      <c r="C321" s="8"/>
      <c r="D321" s="37" t="str">
        <f t="array" ref="D321">XLOOKUP($A321,'本部部署'!A:A,'本部部署'!A:A,"×",0,"1")</f>
        <v>×</v>
      </c>
      <c r="E321" s="37" t="str">
        <f t="array" ref="E321">XLOOKUP($B321,'本部部署'!B:B,'本部部署'!B:B,"×",0,"1")</f>
        <v>×</v>
      </c>
      <c r="F321" s="37" t="str">
        <f t="array" ref="F321">XLOOKUP($A321,'本部部署'!B:B,'本部部署'!B:B,"×",0,"1")</f>
        <v>ｾｷｭﾘﾃｨ室</v>
      </c>
      <c r="G321" s="37" t="str">
        <f t="array" ref="G321">XLOOKUP($B321,'本部部署'!A:A,'本部部署'!A:A,"×",0,"1")</f>
        <v>×</v>
      </c>
    </row>
    <row r="322">
      <c r="A322" s="8" t="s">
        <v>644</v>
      </c>
      <c r="B322" s="8" t="s">
        <v>1271</v>
      </c>
      <c r="C322" s="8"/>
      <c r="D322" s="37" t="str">
        <f t="array" ref="D322">XLOOKUP($A322,'本部部署'!A:A,'本部部署'!A:A,"×",0,"1")</f>
        <v>×</v>
      </c>
      <c r="E322" s="37" t="str">
        <f t="array" ref="E322">XLOOKUP($B322,'本部部署'!B:B,'本部部署'!B:B,"×",0,"1")</f>
        <v>×</v>
      </c>
      <c r="F322" s="37" t="str">
        <f t="array" ref="F322">XLOOKUP($A322,'本部部署'!B:B,'本部部署'!B:B,"×",0,"1")</f>
        <v>ｾｷｭﾘﾃｨ室</v>
      </c>
      <c r="G322" s="37" t="str">
        <f t="array" ref="G322">XLOOKUP($B322,'本部部署'!A:A,'本部部署'!A:A,"×",0,"1")</f>
        <v>×</v>
      </c>
    </row>
    <row r="323">
      <c r="A323" s="8" t="s">
        <v>644</v>
      </c>
      <c r="B323" s="8" t="s">
        <v>1104</v>
      </c>
      <c r="C323" s="8"/>
      <c r="D323" s="37" t="str">
        <f t="array" ref="D323">XLOOKUP($A323,'本部部署'!A:A,'本部部署'!A:A,"×",0,"1")</f>
        <v>×</v>
      </c>
      <c r="E323" s="37" t="str">
        <f t="array" ref="E323">XLOOKUP($B323,'本部部署'!B:B,'本部部署'!B:B,"×",0,"1")</f>
        <v>×</v>
      </c>
      <c r="F323" s="37" t="str">
        <f t="array" ref="F323">XLOOKUP($A323,'本部部署'!B:B,'本部部署'!B:B,"×",0,"1")</f>
        <v>ｾｷｭﾘﾃｨ室</v>
      </c>
      <c r="G323" s="37" t="str">
        <f t="array" ref="G323">XLOOKUP($B323,'本部部署'!A:A,'本部部署'!A:A,"×",0,"1")</f>
        <v>×</v>
      </c>
    </row>
    <row r="324">
      <c r="A324" s="8" t="s">
        <v>1272</v>
      </c>
      <c r="B324" s="8" t="s">
        <v>1225</v>
      </c>
      <c r="C324" s="8" t="s">
        <v>1181</v>
      </c>
      <c r="D324" s="37" t="str">
        <f t="array" ref="D324">XLOOKUP($A324,'本部部署'!A:A,'本部部署'!A:A,"×",0,"1")</f>
        <v>×</v>
      </c>
      <c r="E324" s="37" t="str">
        <f t="array" ref="E324">XLOOKUP($B324,'本部部署'!B:B,'本部部署'!B:B,"×",0,"1")</f>
        <v>×</v>
      </c>
      <c r="F324" s="37" t="str">
        <f t="array" ref="F324">XLOOKUP($A324,'本部部署'!B:B,'本部部署'!B:B,"×",0,"1")</f>
        <v>×</v>
      </c>
      <c r="G324" s="37" t="str">
        <f t="array" ref="G324">XLOOKUP($B324,'本部部署'!A:A,'本部部署'!A:A,"×",0,"1")</f>
        <v>×</v>
      </c>
      <c r="H324" s="7" t="s">
        <v>1188</v>
      </c>
    </row>
    <row r="325">
      <c r="A325" s="8" t="s">
        <v>1272</v>
      </c>
      <c r="B325" s="8" t="s">
        <v>1226</v>
      </c>
      <c r="C325" s="8" t="s">
        <v>1181</v>
      </c>
      <c r="D325" s="37" t="str">
        <f t="array" ref="D325">XLOOKUP($A325,'本部部署'!A:A,'本部部署'!A:A,"×",0,"1")</f>
        <v>×</v>
      </c>
      <c r="E325" s="37" t="str">
        <f t="array" ref="E325">XLOOKUP($B325,'本部部署'!B:B,'本部部署'!B:B,"×",0,"1")</f>
        <v>×</v>
      </c>
      <c r="F325" s="37" t="str">
        <f t="array" ref="F325">XLOOKUP($A325,'本部部署'!B:B,'本部部署'!B:B,"×",0,"1")</f>
        <v>×</v>
      </c>
      <c r="G325" s="37" t="str">
        <f t="array" ref="G325">XLOOKUP($B325,'本部部署'!A:A,'本部部署'!A:A,"×",0,"1")</f>
        <v>×</v>
      </c>
      <c r="H325" s="7" t="s">
        <v>391</v>
      </c>
    </row>
    <row r="326">
      <c r="A326" s="8" t="s">
        <v>1272</v>
      </c>
      <c r="B326" s="8" t="s">
        <v>859</v>
      </c>
      <c r="C326" s="8"/>
      <c r="D326" s="37" t="str">
        <f t="array" ref="D326">XLOOKUP($A326,'本部部署'!A:A,'本部部署'!A:A,"×",0,"1")</f>
        <v>×</v>
      </c>
      <c r="E326" s="37" t="str">
        <f t="array" ref="E326">XLOOKUP($B326,'本部部署'!B:B,'本部部署'!B:B,"×",0,"1")</f>
        <v>フットボール事業部</v>
      </c>
      <c r="F326" s="37" t="str">
        <f t="array" ref="F326">XLOOKUP($A326,'本部部署'!B:B,'本部部署'!B:B,"×",0,"1")</f>
        <v>×</v>
      </c>
      <c r="G326" s="37" t="str">
        <f t="array" ref="G326">XLOOKUP($B326,'本部部署'!A:A,'本部部署'!A:A,"×",0,"1")</f>
        <v>×</v>
      </c>
    </row>
    <row r="327">
      <c r="A327" s="8" t="s">
        <v>1272</v>
      </c>
      <c r="B327" s="8" t="s">
        <v>1186</v>
      </c>
      <c r="C327" s="8" t="s">
        <v>1181</v>
      </c>
      <c r="D327" s="37" t="str">
        <f t="array" ref="D327">XLOOKUP($A327,'本部部署'!A:A,'本部部署'!A:A,"×",0,"1")</f>
        <v>×</v>
      </c>
      <c r="E327" s="37" t="str">
        <f t="array" ref="E327">XLOOKUP($B327,'本部部署'!B:B,'本部部署'!B:B,"×",0,"1")</f>
        <v>×</v>
      </c>
      <c r="F327" s="37" t="str">
        <f t="array" ref="F327">XLOOKUP($A327,'本部部署'!B:B,'本部部署'!B:B,"×",0,"1")</f>
        <v>×</v>
      </c>
      <c r="G327" s="37" t="str">
        <f t="array" ref="G327">XLOOKUP($B327,'本部部署'!A:A,'本部部署'!A:A,"×",0,"1")</f>
        <v>×</v>
      </c>
      <c r="H327" s="7" t="s">
        <v>1182</v>
      </c>
    </row>
    <row r="328">
      <c r="A328" s="8" t="s">
        <v>1272</v>
      </c>
      <c r="B328" s="8" t="s">
        <v>857</v>
      </c>
      <c r="C328" s="8"/>
      <c r="D328" s="37" t="str">
        <f t="array" ref="D328">XLOOKUP($A328,'本部部署'!A:A,'本部部署'!A:A,"×",0,"1")</f>
        <v>×</v>
      </c>
      <c r="E328" s="37" t="str">
        <f t="array" ref="E328">XLOOKUP($B328,'本部部署'!B:B,'本部部署'!B:B,"×",0,"1")</f>
        <v>バスケットボール事業部</v>
      </c>
      <c r="F328" s="37" t="str">
        <f t="array" ref="F328">XLOOKUP($A328,'本部部署'!B:B,'本部部署'!B:B,"×",0,"1")</f>
        <v>×</v>
      </c>
      <c r="G328" s="37" t="str">
        <f t="array" ref="G328">XLOOKUP($B328,'本部部署'!A:A,'本部部署'!A:A,"×",0,"1")</f>
        <v>×</v>
      </c>
    </row>
    <row r="329">
      <c r="A329" s="8" t="s">
        <v>1272</v>
      </c>
      <c r="B329" s="8" t="s">
        <v>286</v>
      </c>
      <c r="C329" s="8"/>
      <c r="D329" s="37" t="str">
        <f t="array" ref="D329">XLOOKUP($A329,'本部部署'!A:A,'本部部署'!A:A,"×",0,"1")</f>
        <v>×</v>
      </c>
      <c r="E329" s="37" t="str">
        <f t="array" ref="E329">XLOOKUP($B329,'本部部署'!B:B,'本部部署'!B:B,"×",0,"1")</f>
        <v>事業戦略室</v>
      </c>
    </row>
    <row r="330">
      <c r="A330" s="8" t="s">
        <v>1272</v>
      </c>
      <c r="B330" s="8" t="s">
        <v>1111</v>
      </c>
      <c r="C330" s="8" t="s">
        <v>1181</v>
      </c>
      <c r="D330" s="37" t="str">
        <f t="array" ref="D330">XLOOKUP($A330,'本部部署'!A:A,'本部部署'!A:A,"×",0,"1")</f>
        <v>×</v>
      </c>
      <c r="E330" s="37" t="str">
        <f t="array" ref="E330">XLOOKUP($B330,'本部部署'!B:B,'本部部署'!B:B,"×",0,"1")</f>
        <v>×</v>
      </c>
      <c r="F330" s="37" t="str">
        <f t="array" ref="F330">XLOOKUP($A330,'本部部署'!B:B,'本部部署'!B:B,"×",0,"1")</f>
        <v>×</v>
      </c>
      <c r="G330" s="37" t="str">
        <f t="array" ref="G330">XLOOKUP($B330,'本部部署'!A:A,'本部部署'!A:A,"×",0,"1")</f>
        <v>×</v>
      </c>
      <c r="H330" s="7" t="s">
        <v>1105</v>
      </c>
    </row>
    <row r="331">
      <c r="A331" s="8" t="s">
        <v>1273</v>
      </c>
      <c r="B331" s="8" t="s">
        <v>1119</v>
      </c>
      <c r="C331" s="8" t="s">
        <v>1102</v>
      </c>
      <c r="D331" s="37" t="str">
        <f t="array" ref="D331">XLOOKUP($A331,'本部部署'!A:A,'本部部署'!A:A,"×",0,"1")</f>
        <v>×</v>
      </c>
      <c r="E331" s="37" t="str">
        <f t="array" ref="E331">XLOOKUP($B331,'本部部署'!B:B,'本部部署'!B:B,"×",0,"1")</f>
        <v>×</v>
      </c>
      <c r="F331" s="37" t="str">
        <f t="array" ref="F331">XLOOKUP($A331,'本部部署'!B:B,'本部部署'!B:B,"×",0,"1")</f>
        <v>×</v>
      </c>
      <c r="G331" s="37" t="str">
        <f t="array" ref="G331">XLOOKUP($B331,'本部部署'!A:A,'本部部署'!A:A,"×",0,"1")</f>
        <v>×</v>
      </c>
      <c r="H331" s="7" t="s">
        <v>1182</v>
      </c>
    </row>
    <row r="332">
      <c r="A332" s="8" t="s">
        <v>1273</v>
      </c>
      <c r="B332" s="8" t="s">
        <v>1120</v>
      </c>
      <c r="C332" s="8" t="s">
        <v>1102</v>
      </c>
      <c r="D332" s="37" t="str">
        <f t="array" ref="D332">XLOOKUP($A332,'本部部署'!A:A,'本部部署'!A:A,"×",0,"1")</f>
        <v>×</v>
      </c>
      <c r="E332" s="37" t="str">
        <f t="array" ref="E332">XLOOKUP($B332,'本部部署'!B:B,'本部部署'!B:B,"×",0,"1")</f>
        <v>×</v>
      </c>
      <c r="F332" s="37" t="str">
        <f t="array" ref="F332">XLOOKUP($A332,'本部部署'!B:B,'本部部署'!B:B,"×",0,"1")</f>
        <v>×</v>
      </c>
      <c r="G332" s="37" t="str">
        <f t="array" ref="G332">XLOOKUP($B332,'本部部署'!A:A,'本部部署'!A:A,"×",0,"1")</f>
        <v>×</v>
      </c>
      <c r="H332" s="7" t="s">
        <v>1182</v>
      </c>
    </row>
    <row r="333">
      <c r="A333" s="8" t="s">
        <v>1273</v>
      </c>
      <c r="B333" s="8" t="s">
        <v>143</v>
      </c>
      <c r="C333" s="8"/>
      <c r="D333" s="37" t="str">
        <f t="array" ref="D333">XLOOKUP($A333,'本部部署'!A:A,'本部部署'!A:A,"×",0,"1")</f>
        <v>×</v>
      </c>
      <c r="E333" s="37" t="str">
        <f t="array" ref="E333">XLOOKUP($B333,'本部部署'!B:B,'本部部署'!B:B,"×",0,"1")</f>
        <v>TIPSTAR事業部</v>
      </c>
    </row>
    <row r="334">
      <c r="A334" s="8" t="s">
        <v>1273</v>
      </c>
      <c r="B334" s="8" t="s">
        <v>1148</v>
      </c>
      <c r="C334" s="8" t="s">
        <v>1102</v>
      </c>
      <c r="D334" s="37" t="str">
        <f t="array" ref="D334">XLOOKUP($A334,'本部部署'!A:A,'本部部署'!A:A,"×",0,"1")</f>
        <v>×</v>
      </c>
      <c r="E334" s="37" t="str">
        <f t="array" ref="E334">XLOOKUP($B334,'本部部署'!B:B,'本部部署'!B:B,"×",0,"1")</f>
        <v>×</v>
      </c>
      <c r="F334" s="37" t="str">
        <f t="array" ref="F334">XLOOKUP($A334,'本部部署'!B:B,'本部部署'!B:B,"×",0,"1")</f>
        <v>×</v>
      </c>
      <c r="G334" s="37" t="str">
        <f t="array" ref="G334">XLOOKUP($B334,'本部部署'!A:A,'本部部署'!A:A,"×",0,"1")</f>
        <v>×</v>
      </c>
      <c r="H334" s="7" t="s">
        <v>1182</v>
      </c>
    </row>
    <row r="335">
      <c r="A335" s="8" t="s">
        <v>1273</v>
      </c>
      <c r="B335" s="8" t="s">
        <v>1183</v>
      </c>
      <c r="C335" s="8" t="s">
        <v>1102</v>
      </c>
      <c r="D335" s="37" t="str">
        <f t="array" ref="D335">XLOOKUP($A335,'本部部署'!A:A,'本部部署'!A:A,"×",0,"1")</f>
        <v>×</v>
      </c>
      <c r="E335" s="37" t="str">
        <f t="array" ref="E335">XLOOKUP($B335,'本部部署'!B:B,'本部部署'!B:B,"×",0,"1")</f>
        <v>×</v>
      </c>
      <c r="F335" s="37" t="str">
        <f t="array" ref="F335">XLOOKUP($A335,'本部部署'!B:B,'本部部署'!B:B,"×",0,"1")</f>
        <v>×</v>
      </c>
      <c r="G335" s="37" t="str">
        <f t="array" ref="G335">XLOOKUP($B335,'本部部署'!A:A,'本部部署'!A:A,"×",0,"1")</f>
        <v>×</v>
      </c>
      <c r="H335" s="7" t="s">
        <v>1182</v>
      </c>
    </row>
    <row r="336">
      <c r="A336" s="8" t="s">
        <v>1273</v>
      </c>
      <c r="B336" s="8" t="s">
        <v>1274</v>
      </c>
      <c r="C336" s="8" t="s">
        <v>1102</v>
      </c>
      <c r="D336" s="37" t="str">
        <f t="array" ref="D336">XLOOKUP($A336,'本部部署'!A:A,'本部部署'!A:A,"×",0,"1")</f>
        <v>×</v>
      </c>
      <c r="E336" s="37" t="str">
        <f t="array" ref="E336">XLOOKUP($B336,'本部部署'!B:B,'本部部署'!B:B,"×",0,"1")</f>
        <v>×</v>
      </c>
      <c r="F336" s="37" t="str">
        <f t="array" ref="F336">XLOOKUP($A336,'本部部署'!B:B,'本部部署'!B:B,"×",0,"1")</f>
        <v>×</v>
      </c>
      <c r="G336" s="37" t="str">
        <f t="array" ref="G336">XLOOKUP($B336,'本部部署'!A:A,'本部部署'!A:A,"×",0,"1")</f>
        <v>×</v>
      </c>
      <c r="H336" s="7" t="s">
        <v>1275</v>
      </c>
    </row>
    <row r="337">
      <c r="A337" s="8" t="s">
        <v>1273</v>
      </c>
      <c r="B337" s="8" t="s">
        <v>1276</v>
      </c>
      <c r="C337" s="8" t="s">
        <v>1102</v>
      </c>
      <c r="D337" s="37" t="str">
        <f t="array" ref="D337">XLOOKUP($A337,'本部部署'!A:A,'本部部署'!A:A,"×",0,"1")</f>
        <v>×</v>
      </c>
      <c r="E337" s="37" t="str">
        <f t="array" ref="E337">XLOOKUP($B337,'本部部署'!B:B,'本部部署'!B:B,"×",0,"1")</f>
        <v>×</v>
      </c>
      <c r="F337" s="37" t="str">
        <f t="array" ref="F337">XLOOKUP($A337,'本部部署'!B:B,'本部部署'!B:B,"×",0,"1")</f>
        <v>×</v>
      </c>
      <c r="G337" s="37" t="str">
        <f t="array" ref="G337">XLOOKUP($B337,'本部部署'!A:A,'本部部署'!A:A,"×",0,"1")</f>
        <v>×</v>
      </c>
      <c r="H337" s="7" t="s">
        <v>1192</v>
      </c>
    </row>
    <row r="338">
      <c r="A338" s="8" t="s">
        <v>1273</v>
      </c>
      <c r="B338" s="8" t="s">
        <v>188</v>
      </c>
      <c r="C338" s="8"/>
      <c r="D338" s="37" t="str">
        <f t="array" ref="D338">XLOOKUP($A338,'本部部署'!A:A,'本部部署'!A:A,"×",0,"1")</f>
        <v>×</v>
      </c>
      <c r="E338" s="37" t="str">
        <f t="array" ref="E338">XLOOKUP($B338,'本部部署'!B:B,'本部部署'!B:B,"×",0,"1")</f>
        <v>社長室</v>
      </c>
    </row>
    <row r="339">
      <c r="A339" s="8" t="s">
        <v>1273</v>
      </c>
      <c r="B339" s="8" t="s">
        <v>1277</v>
      </c>
      <c r="C339" s="8" t="s">
        <v>1102</v>
      </c>
      <c r="D339" s="37" t="str">
        <f t="array" ref="D339">XLOOKUP($A339,'本部部署'!A:A,'本部部署'!A:A,"×",0,"1")</f>
        <v>×</v>
      </c>
      <c r="E339" s="37" t="str">
        <f t="array" ref="E339">XLOOKUP($B339,'本部部署'!B:B,'本部部署'!B:B,"×",0,"1")</f>
        <v>×</v>
      </c>
      <c r="F339" s="37" t="str">
        <f t="array" ref="F339">XLOOKUP($A339,'本部部署'!B:B,'本部部署'!B:B,"×",0,"1")</f>
        <v>×</v>
      </c>
      <c r="G339" s="37" t="str">
        <f t="array" ref="G339">XLOOKUP($B339,'本部部署'!A:A,'本部部署'!A:A,"×",0,"1")</f>
        <v>×</v>
      </c>
      <c r="H339" s="7" t="s">
        <v>1275</v>
      </c>
    </row>
    <row r="340">
      <c r="A340" s="8" t="s">
        <v>1273</v>
      </c>
      <c r="B340" s="8" t="s">
        <v>1151</v>
      </c>
      <c r="C340" s="8" t="s">
        <v>1102</v>
      </c>
      <c r="D340" s="37" t="str">
        <f t="array" ref="D340">XLOOKUP($A340,'本部部署'!A:A,'本部部署'!A:A,"×",0,"1")</f>
        <v>×</v>
      </c>
      <c r="E340" s="37" t="str">
        <f t="array" ref="E340">XLOOKUP($B340,'本部部署'!B:B,'本部部署'!B:B,"×",0,"1")</f>
        <v>×</v>
      </c>
      <c r="F340" s="37" t="str">
        <f t="array" ref="F340">XLOOKUP($A340,'本部部署'!B:B,'本部部署'!B:B,"×",0,"1")</f>
        <v>×</v>
      </c>
      <c r="G340" s="37" t="str">
        <f t="array" ref="G340">XLOOKUP($B340,'本部部署'!A:A,'本部部署'!A:A,"×",0,"1")</f>
        <v>×</v>
      </c>
      <c r="H340" s="7" t="s">
        <v>693</v>
      </c>
    </row>
    <row r="341">
      <c r="A341" s="8" t="s">
        <v>1273</v>
      </c>
      <c r="B341" s="8" t="s">
        <v>1185</v>
      </c>
      <c r="C341" s="8" t="s">
        <v>1102</v>
      </c>
      <c r="D341" s="37" t="str">
        <f t="array" ref="D341">XLOOKUP($A341,'本部部署'!A:A,'本部部署'!A:A,"×",0,"1")</f>
        <v>×</v>
      </c>
      <c r="E341" s="37" t="str">
        <f t="array" ref="E341">XLOOKUP($B341,'本部部署'!B:B,'本部部署'!B:B,"×",0,"1")</f>
        <v>×</v>
      </c>
      <c r="F341" s="37" t="str">
        <f t="array" ref="F341">XLOOKUP($A341,'本部部署'!B:B,'本部部署'!B:B,"×",0,"1")</f>
        <v>×</v>
      </c>
      <c r="G341" s="37" t="str">
        <f t="array" ref="G341">XLOOKUP($B341,'本部部署'!A:A,'本部部署'!A:A,"×",0,"1")</f>
        <v>×</v>
      </c>
      <c r="H341" s="7" t="s">
        <v>1110</v>
      </c>
    </row>
    <row r="342">
      <c r="A342" s="8" t="s">
        <v>1273</v>
      </c>
      <c r="B342" s="8" t="s">
        <v>1278</v>
      </c>
      <c r="C342" s="8" t="s">
        <v>1102</v>
      </c>
      <c r="D342" s="37" t="str">
        <f t="array" ref="D342">XLOOKUP($A342,'本部部署'!A:A,'本部部署'!A:A,"×",0,"1")</f>
        <v>×</v>
      </c>
      <c r="E342" s="37" t="str">
        <f t="array" ref="E342">XLOOKUP($B342,'本部部署'!B:B,'本部部署'!B:B,"×",0,"1")</f>
        <v>×</v>
      </c>
      <c r="F342" s="37" t="str">
        <f t="array" ref="F342">XLOOKUP($A342,'本部部署'!B:B,'本部部署'!B:B,"×",0,"1")</f>
        <v>×</v>
      </c>
      <c r="G342" s="37" t="str">
        <f t="array" ref="G342">XLOOKUP($B342,'本部部署'!A:A,'本部部署'!A:A,"×",0,"1")</f>
        <v>×</v>
      </c>
      <c r="H342" s="7" t="s">
        <v>1182</v>
      </c>
    </row>
    <row r="343">
      <c r="A343" s="8" t="s">
        <v>1273</v>
      </c>
      <c r="B343" s="8" t="s">
        <v>1262</v>
      </c>
      <c r="C343" s="8" t="s">
        <v>1102</v>
      </c>
      <c r="D343" s="37" t="str">
        <f t="array" ref="D343">XLOOKUP($A343,'本部部署'!A:A,'本部部署'!A:A,"×",0,"1")</f>
        <v>×</v>
      </c>
      <c r="E343" s="37" t="str">
        <f t="array" ref="E343">XLOOKUP($B343,'本部部署'!B:B,'本部部署'!B:B,"×",0,"1")</f>
        <v>×</v>
      </c>
      <c r="F343" s="37" t="str">
        <f t="array" ref="F343">XLOOKUP($A343,'本部部署'!B:B,'本部部署'!B:B,"×",0,"1")</f>
        <v>×</v>
      </c>
      <c r="G343" s="37" t="str">
        <f t="array" ref="G343">XLOOKUP($B343,'本部部署'!A:A,'本部部署'!A:A,"×",0,"1")</f>
        <v>×</v>
      </c>
      <c r="H343" s="7" t="s">
        <v>1182</v>
      </c>
    </row>
    <row r="344">
      <c r="A344" s="8" t="s">
        <v>1273</v>
      </c>
      <c r="B344" s="8" t="s">
        <v>1279</v>
      </c>
      <c r="C344" s="8" t="s">
        <v>1102</v>
      </c>
      <c r="D344" s="37" t="str">
        <f t="array" ref="D344">XLOOKUP($A344,'本部部署'!A:A,'本部部署'!A:A,"×",0,"1")</f>
        <v>×</v>
      </c>
      <c r="E344" s="37" t="str">
        <f t="array" ref="E344">XLOOKUP($B344,'本部部署'!B:B,'本部部署'!B:B,"×",0,"1")</f>
        <v>×</v>
      </c>
      <c r="F344" s="37" t="str">
        <f t="array" ref="F344">XLOOKUP($A344,'本部部署'!B:B,'本部部署'!B:B,"×",0,"1")</f>
        <v>×</v>
      </c>
      <c r="G344" s="37" t="str">
        <f t="array" ref="G344">XLOOKUP($B344,'本部部署'!A:A,'本部部署'!A:A,"×",0,"1")</f>
        <v>×</v>
      </c>
      <c r="H344" s="7" t="s">
        <v>1182</v>
      </c>
    </row>
    <row r="345">
      <c r="A345" s="8" t="s">
        <v>1273</v>
      </c>
      <c r="B345" s="8" t="s">
        <v>1280</v>
      </c>
      <c r="C345" s="8" t="s">
        <v>1102</v>
      </c>
      <c r="D345" s="37" t="str">
        <f t="array" ref="D345">XLOOKUP($A345,'本部部署'!A:A,'本部部署'!A:A,"×",0,"1")</f>
        <v>×</v>
      </c>
      <c r="E345" s="37" t="str">
        <f t="array" ref="E345">XLOOKUP($B345,'本部部署'!B:B,'本部部署'!B:B,"×",0,"1")</f>
        <v>×</v>
      </c>
      <c r="F345" s="37" t="str">
        <f t="array" ref="F345">XLOOKUP($A345,'本部部署'!B:B,'本部部署'!B:B,"×",0,"1")</f>
        <v>×</v>
      </c>
      <c r="G345" s="37" t="str">
        <f t="array" ref="G345">XLOOKUP($B345,'本部部署'!A:A,'本部部署'!A:A,"×",0,"1")</f>
        <v>×</v>
      </c>
      <c r="H345" s="7" t="s">
        <v>1192</v>
      </c>
    </row>
    <row r="346">
      <c r="A346" s="8" t="s">
        <v>1273</v>
      </c>
      <c r="B346" s="8" t="s">
        <v>1111</v>
      </c>
      <c r="C346" s="8" t="s">
        <v>1102</v>
      </c>
      <c r="D346" s="37" t="str">
        <f t="array" ref="D346">XLOOKUP($A346,'本部部署'!A:A,'本部部署'!A:A,"×",0,"1")</f>
        <v>×</v>
      </c>
      <c r="E346" s="37" t="str">
        <f t="array" ref="E346">XLOOKUP($B346,'本部部署'!B:B,'本部部署'!B:B,"×",0,"1")</f>
        <v>×</v>
      </c>
      <c r="F346" s="37" t="str">
        <f t="array" ref="F346">XLOOKUP($A346,'本部部署'!B:B,'本部部署'!B:B,"×",0,"1")</f>
        <v>×</v>
      </c>
      <c r="G346" s="37" t="str">
        <f t="array" ref="G346">XLOOKUP($B346,'本部部署'!A:A,'本部部署'!A:A,"×",0,"1")</f>
        <v>×</v>
      </c>
      <c r="H346" s="7" t="s">
        <v>1105</v>
      </c>
    </row>
    <row r="347">
      <c r="A347" s="8" t="s">
        <v>1273</v>
      </c>
      <c r="B347" s="8" t="s">
        <v>1187</v>
      </c>
      <c r="C347" s="8" t="s">
        <v>1102</v>
      </c>
      <c r="D347" s="37" t="str">
        <f t="array" ref="D347">XLOOKUP($A347,'本部部署'!A:A,'本部部署'!A:A,"×",0,"1")</f>
        <v>×</v>
      </c>
      <c r="E347" s="37" t="str">
        <f t="array" ref="E347">XLOOKUP($B347,'本部部署'!B:B,'本部部署'!B:B,"×",0,"1")</f>
        <v>×</v>
      </c>
      <c r="F347" s="37" t="str">
        <f t="array" ref="F347">XLOOKUP($A347,'本部部署'!B:B,'本部部署'!B:B,"×",0,"1")</f>
        <v>×</v>
      </c>
      <c r="G347" s="37" t="str">
        <f t="array" ref="G347">XLOOKUP($B347,'本部部署'!A:A,'本部部署'!A:A,"×",0,"1")</f>
        <v>×</v>
      </c>
      <c r="H347" s="7" t="s">
        <v>1182</v>
      </c>
    </row>
    <row r="348">
      <c r="A348" s="8" t="s">
        <v>1273</v>
      </c>
      <c r="B348" s="8" t="s">
        <v>1189</v>
      </c>
      <c r="C348" s="8" t="s">
        <v>1102</v>
      </c>
      <c r="D348" s="37" t="str">
        <f t="array" ref="D348">XLOOKUP($A348,'本部部署'!A:A,'本部部署'!A:A,"×",0,"1")</f>
        <v>×</v>
      </c>
      <c r="E348" s="37" t="str">
        <f t="array" ref="E348">XLOOKUP($B348,'本部部署'!B:B,'本部部署'!B:B,"×",0,"1")</f>
        <v>×</v>
      </c>
      <c r="F348" s="37" t="str">
        <f t="array" ref="F348">XLOOKUP($A348,'本部部署'!B:B,'本部部署'!B:B,"×",0,"1")</f>
        <v>×</v>
      </c>
      <c r="G348" s="37" t="str">
        <f t="array" ref="G348">XLOOKUP($B348,'本部部署'!A:A,'本部部署'!A:A,"×",0,"1")</f>
        <v>×</v>
      </c>
      <c r="H348" s="7" t="s">
        <v>1190</v>
      </c>
    </row>
    <row r="349">
      <c r="A349" s="8" t="s">
        <v>1273</v>
      </c>
      <c r="B349" s="8" t="s">
        <v>1281</v>
      </c>
      <c r="C349" s="8" t="s">
        <v>1102</v>
      </c>
      <c r="D349" s="37" t="str">
        <f t="array" ref="D349">XLOOKUP($A349,'本部部署'!A:A,'本部部署'!A:A,"×",0,"1")</f>
        <v>×</v>
      </c>
      <c r="E349" s="37" t="str">
        <f t="array" ref="E349">XLOOKUP($B349,'本部部署'!B:B,'本部部署'!B:B,"×",0,"1")</f>
        <v>×</v>
      </c>
      <c r="F349" s="37" t="str">
        <f t="array" ref="F349">XLOOKUP($A349,'本部部署'!B:B,'本部部署'!B:B,"×",0,"1")</f>
        <v>×</v>
      </c>
      <c r="G349" s="37" t="str">
        <f t="array" ref="G349">XLOOKUP($B349,'本部部署'!A:A,'本部部署'!A:A,"×",0,"1")</f>
        <v>×</v>
      </c>
      <c r="H349" s="7" t="s">
        <v>1192</v>
      </c>
    </row>
    <row r="350">
      <c r="A350" s="8" t="s">
        <v>1273</v>
      </c>
      <c r="B350" s="8" t="s">
        <v>1191</v>
      </c>
      <c r="C350" s="8" t="s">
        <v>1102</v>
      </c>
      <c r="D350" s="37" t="str">
        <f t="array" ref="D350">XLOOKUP($A350,'本部部署'!A:A,'本部部署'!A:A,"×",0,"1")</f>
        <v>×</v>
      </c>
      <c r="E350" s="37" t="str">
        <f t="array" ref="E350">XLOOKUP($B350,'本部部署'!B:B,'本部部署'!B:B,"×",0,"1")</f>
        <v>×</v>
      </c>
      <c r="F350" s="37" t="str">
        <f t="array" ref="F350">XLOOKUP($A350,'本部部署'!B:B,'本部部署'!B:B,"×",0,"1")</f>
        <v>×</v>
      </c>
      <c r="G350" s="37" t="str">
        <f t="array" ref="G350">XLOOKUP($B350,'本部部署'!A:A,'本部部署'!A:A,"×",0,"1")</f>
        <v>×</v>
      </c>
      <c r="H350" s="7" t="s">
        <v>1192</v>
      </c>
    </row>
    <row r="351">
      <c r="A351" s="8" t="s">
        <v>1282</v>
      </c>
      <c r="B351" s="8" t="s">
        <v>1193</v>
      </c>
      <c r="C351" s="8" t="s">
        <v>1102</v>
      </c>
      <c r="D351" s="37" t="str">
        <f t="array" ref="D351">XLOOKUP($A351,'本部部署'!A:A,'本部部署'!A:A,"×",0,"1")</f>
        <v>×</v>
      </c>
      <c r="E351" s="37" t="str">
        <f t="array" ref="E351">XLOOKUP($B351,'本部部署'!B:B,'本部部署'!B:B,"×",0,"1")</f>
        <v>×</v>
      </c>
      <c r="F351" s="37" t="str">
        <f t="array" ref="F351">XLOOKUP($A351,'本部部署'!B:B,'本部部署'!B:B,"×",0,"1")</f>
        <v>×</v>
      </c>
      <c r="G351" s="37" t="str">
        <f t="array" ref="G351">XLOOKUP($B351,'本部部署'!A:A,'本部部署'!A:A,"×",0,"1")</f>
        <v>×</v>
      </c>
      <c r="H351" s="7" t="s">
        <v>391</v>
      </c>
    </row>
    <row r="352">
      <c r="A352" s="8" t="s">
        <v>1282</v>
      </c>
      <c r="B352" s="8" t="s">
        <v>1111</v>
      </c>
      <c r="C352" s="8" t="s">
        <v>1102</v>
      </c>
      <c r="D352" s="37" t="str">
        <f t="array" ref="D352">XLOOKUP($A352,'本部部署'!A:A,'本部部署'!A:A,"×",0,"1")</f>
        <v>×</v>
      </c>
      <c r="E352" s="37" t="str">
        <f t="array" ref="E352">XLOOKUP($B352,'本部部署'!B:B,'本部部署'!B:B,"×",0,"1")</f>
        <v>×</v>
      </c>
      <c r="F352" s="37" t="str">
        <f t="array" ref="F352">XLOOKUP($A352,'本部部署'!B:B,'本部部署'!B:B,"×",0,"1")</f>
        <v>×</v>
      </c>
      <c r="G352" s="37" t="str">
        <f t="array" ref="G352">XLOOKUP($B352,'本部部署'!A:A,'本部部署'!A:A,"×",0,"1")</f>
        <v>×</v>
      </c>
      <c r="H352" s="7" t="s">
        <v>1105</v>
      </c>
    </row>
    <row r="353">
      <c r="A353" s="8" t="s">
        <v>298</v>
      </c>
      <c r="B353" s="8" t="s">
        <v>1283</v>
      </c>
      <c r="C353" s="8"/>
      <c r="D353" s="37" t="str">
        <f t="array" ref="D353">XLOOKUP($A353,'本部部署'!A:A,'本部部署'!A:A,"×",0,"1")</f>
        <v>はたらく環境推進本部</v>
      </c>
      <c r="E353" s="37" t="str">
        <f t="array" ref="E353">XLOOKUP($B353,'本部部署'!B:B,'本部部署'!B:B,"×",0,"1")</f>
        <v>×</v>
      </c>
    </row>
    <row r="354">
      <c r="A354" s="8" t="s">
        <v>298</v>
      </c>
      <c r="B354" s="8" t="s">
        <v>798</v>
      </c>
      <c r="C354" s="8"/>
      <c r="D354" s="37" t="str">
        <f t="array" ref="D354">XLOOKUP($A354,'本部部署'!A:A,'本部部署'!A:A,"×",0,"1")</f>
        <v>はたらく環境推進本部</v>
      </c>
      <c r="E354" s="37" t="str">
        <f t="array" ref="E354">XLOOKUP($B354,'本部部署'!B:B,'本部部署'!B:B,"×",0,"1")</f>
        <v>コーポレートエンジニアリング部</v>
      </c>
    </row>
    <row r="355">
      <c r="A355" s="8" t="s">
        <v>298</v>
      </c>
      <c r="B355" s="8" t="s">
        <v>1284</v>
      </c>
      <c r="C355" s="8"/>
      <c r="D355" s="37" t="str">
        <f t="array" ref="D355">XLOOKUP($A355,'本部部署'!A:A,'本部部署'!A:A,"×",0,"1")</f>
        <v>はたらく環境推進本部</v>
      </c>
      <c r="E355" s="37" t="str">
        <f t="array" ref="E355">XLOOKUP($B355,'本部部署'!B:B,'本部部署'!B:B,"×",0,"1")</f>
        <v>コーポレートＩＴサービス部</v>
      </c>
    </row>
    <row r="356">
      <c r="A356" s="8" t="s">
        <v>298</v>
      </c>
      <c r="B356" s="8" t="s">
        <v>802</v>
      </c>
      <c r="C356" s="8"/>
      <c r="D356" s="37" t="str">
        <f t="array" ref="D356">XLOOKUP($A356,'本部部署'!A:A,'本部部署'!A:A,"×",0,"1")</f>
        <v>はたらく環境推進本部</v>
      </c>
      <c r="E356" s="37" t="str">
        <f t="array" ref="E356">XLOOKUP($B356,'本部部署'!B:B,'本部部署'!B:B,"×",0,"1")</f>
        <v>ビジネスサポート室</v>
      </c>
    </row>
    <row r="357">
      <c r="A357" s="8" t="s">
        <v>298</v>
      </c>
      <c r="B357" s="8" t="s">
        <v>1111</v>
      </c>
      <c r="C357" s="8"/>
      <c r="D357" s="37" t="str">
        <f t="array" ref="D357">XLOOKUP($A357,'本部部署'!A:A,'本部部署'!A:A,"×",0,"1")</f>
        <v>はたらく環境推進本部</v>
      </c>
      <c r="E357" s="37" t="str">
        <f t="array" ref="E357">XLOOKUP($B357,'本部部署'!B:B,'本部部署'!B:B,"×",0,"1")</f>
        <v>×</v>
      </c>
    </row>
    <row r="358">
      <c r="A358" s="8" t="s">
        <v>298</v>
      </c>
      <c r="B358" s="8" t="s">
        <v>304</v>
      </c>
      <c r="C358" s="8"/>
      <c r="D358" s="37" t="str">
        <f t="array" ref="D358">XLOOKUP($A358,'本部部署'!A:A,'本部部署'!A:A,"×",0,"1")</f>
        <v>はたらく環境推進本部</v>
      </c>
      <c r="E358" s="37" t="str">
        <f t="array" ref="E358">XLOOKUP($B358,'本部部署'!B:B,'本部部署'!B:B,"×",0,"1")</f>
        <v>せいかつ環境室</v>
      </c>
    </row>
    <row r="359">
      <c r="A359" s="8" t="s">
        <v>583</v>
      </c>
      <c r="B359" s="8" t="s">
        <v>1104</v>
      </c>
      <c r="C359" s="8"/>
      <c r="D359" s="37" t="str">
        <f t="array" ref="D359">XLOOKUP($A359,'本部部署'!A:A,'本部部署'!A:A,"×",0,"1")</f>
        <v>×</v>
      </c>
      <c r="E359" s="37" t="str">
        <f t="array" ref="E359">XLOOKUP($B359,'本部部署'!B:B,'本部部署'!B:B,"×",0,"1")</f>
        <v>×</v>
      </c>
      <c r="F359" s="37" t="str">
        <f t="array" ref="F359">XLOOKUP($A359,'本部部署'!B:B,'本部部署'!B:B,"×",0,"1")</f>
        <v>エンターテインメントクリエイション室</v>
      </c>
      <c r="G359" s="37" t="str">
        <f t="array" ref="G359">XLOOKUP($B359,'本部部署'!A:A,'本部部署'!A:A,"×",0,"1")</f>
        <v>×</v>
      </c>
    </row>
    <row r="360">
      <c r="A360" s="8" t="s">
        <v>1285</v>
      </c>
      <c r="B360" s="8" t="s">
        <v>1111</v>
      </c>
      <c r="C360" s="8" t="s">
        <v>1102</v>
      </c>
      <c r="D360" s="37" t="str">
        <f t="array" ref="D360">XLOOKUP($A360,'本部部署'!A:A,'本部部署'!A:A,"×",0,"1")</f>
        <v>×</v>
      </c>
      <c r="E360" s="37" t="str">
        <f t="array" ref="E360">XLOOKUP($B360,'本部部署'!B:B,'本部部署'!B:B,"×",0,"1")</f>
        <v>×</v>
      </c>
      <c r="F360" s="37" t="str">
        <f t="array" ref="F360">XLOOKUP($A360,'本部部署'!B:B,'本部部署'!B:B,"×",0,"1")</f>
        <v>×</v>
      </c>
      <c r="G360" s="37" t="str">
        <f t="array" ref="G360">XLOOKUP($B360,'本部部署'!A:A,'本部部署'!A:A,"×",0,"1")</f>
        <v>×</v>
      </c>
      <c r="H360" s="7" t="s">
        <v>587</v>
      </c>
    </row>
    <row r="361">
      <c r="A361" s="8" t="s">
        <v>1285</v>
      </c>
      <c r="B361" s="8" t="s">
        <v>359</v>
      </c>
      <c r="C361" s="8"/>
      <c r="D361" s="37" t="str">
        <f t="array" ref="D361">XLOOKUP($A361,'本部部署'!A:A,'本部部署'!A:A,"×",0,"1")</f>
        <v>×</v>
      </c>
      <c r="E361" s="37" t="str">
        <f t="array" ref="E361">XLOOKUP($B361,'本部部署'!B:B,'本部部署'!B:B,"×",0,"1")</f>
        <v>事業開発室</v>
      </c>
    </row>
    <row r="362">
      <c r="A362" s="8" t="s">
        <v>1285</v>
      </c>
      <c r="B362" s="8" t="s">
        <v>43</v>
      </c>
      <c r="C362" s="8"/>
      <c r="D362" s="37" t="str">
        <f t="array" ref="D362">XLOOKUP($A362,'本部部署'!A:A,'本部部署'!A:A,"×",0,"1")</f>
        <v>×</v>
      </c>
      <c r="E362" s="37" t="str">
        <f t="array" ref="E362">XLOOKUP($B362,'本部部署'!B:B,'本部部署'!B:B,"×",0,"1")</f>
        <v>事業推進室</v>
      </c>
    </row>
    <row r="363">
      <c r="A363" s="8" t="s">
        <v>1214</v>
      </c>
      <c r="B363" s="8" t="s">
        <v>1286</v>
      </c>
      <c r="C363" s="8" t="s">
        <v>1102</v>
      </c>
      <c r="D363" s="37" t="str">
        <f t="array" ref="D363">XLOOKUP($A363,'本部部署'!A:A,'本部部署'!A:A,"×",0,"1")</f>
        <v>×</v>
      </c>
      <c r="E363" s="37" t="str">
        <f t="array" ref="E363">XLOOKUP($B363,'本部部署'!B:B,'本部部署'!B:B,"×",0,"1")</f>
        <v>×</v>
      </c>
      <c r="F363" s="37" t="str">
        <f t="array" ref="F363">XLOOKUP($A363,'本部部署'!B:B,'本部部署'!B:B,"×",0,"1")</f>
        <v>×</v>
      </c>
      <c r="G363" s="37" t="str">
        <f t="array" ref="G363">XLOOKUP($B363,'本部部署'!A:A,'本部部署'!A:A,"×",0,"1")</f>
        <v>×</v>
      </c>
      <c r="H363" s="7" t="s">
        <v>1215</v>
      </c>
    </row>
    <row r="364">
      <c r="A364" s="8" t="s">
        <v>1214</v>
      </c>
      <c r="B364" s="8" t="s">
        <v>1287</v>
      </c>
      <c r="C364" s="8" t="s">
        <v>1102</v>
      </c>
      <c r="D364" s="37" t="str">
        <f t="array" ref="D364">XLOOKUP($A364,'本部部署'!A:A,'本部部署'!A:A,"×",0,"1")</f>
        <v>×</v>
      </c>
      <c r="E364" s="37" t="str">
        <f t="array" ref="E364">XLOOKUP($B364,'本部部署'!B:B,'本部部署'!B:B,"×",0,"1")</f>
        <v>×</v>
      </c>
      <c r="F364" s="37" t="str">
        <f t="array" ref="F364">XLOOKUP($A364,'本部部署'!B:B,'本部部署'!B:B,"×",0,"1")</f>
        <v>×</v>
      </c>
      <c r="G364" s="37" t="str">
        <f t="array" ref="G364">XLOOKUP($B364,'本部部署'!A:A,'本部部署'!A:A,"×",0,"1")</f>
        <v>×</v>
      </c>
      <c r="H364" s="7" t="s">
        <v>1215</v>
      </c>
    </row>
    <row r="365">
      <c r="A365" s="8" t="s">
        <v>1214</v>
      </c>
      <c r="B365" s="8" t="s">
        <v>1288</v>
      </c>
      <c r="C365" s="8" t="s">
        <v>1102</v>
      </c>
      <c r="D365" s="37" t="str">
        <f t="array" ref="D365">XLOOKUP($A365,'本部部署'!A:A,'本部部署'!A:A,"×",0,"1")</f>
        <v>×</v>
      </c>
      <c r="E365" s="37" t="str">
        <f t="array" ref="E365">XLOOKUP($B365,'本部部署'!B:B,'本部部署'!B:B,"×",0,"1")</f>
        <v>×</v>
      </c>
      <c r="F365" s="37" t="str">
        <f t="array" ref="F365">XLOOKUP($A365,'本部部署'!B:B,'本部部署'!B:B,"×",0,"1")</f>
        <v>×</v>
      </c>
      <c r="G365" s="37" t="str">
        <f t="array" ref="G365">XLOOKUP($B365,'本部部署'!A:A,'本部部署'!A:A,"×",0,"1")</f>
        <v>×</v>
      </c>
      <c r="H365" s="7" t="s">
        <v>1215</v>
      </c>
    </row>
    <row r="366">
      <c r="A366" s="8" t="s">
        <v>1214</v>
      </c>
      <c r="B366" s="8" t="s">
        <v>1289</v>
      </c>
      <c r="C366" s="8" t="s">
        <v>1102</v>
      </c>
      <c r="D366" s="37" t="str">
        <f t="array" ref="D366">XLOOKUP($A366,'本部部署'!A:A,'本部部署'!A:A,"×",0,"1")</f>
        <v>×</v>
      </c>
      <c r="E366" s="37" t="str">
        <f t="array" ref="E366">XLOOKUP($B366,'本部部署'!B:B,'本部部署'!B:B,"×",0,"1")</f>
        <v>×</v>
      </c>
      <c r="F366" s="37" t="str">
        <f t="array" ref="F366">XLOOKUP($A366,'本部部署'!B:B,'本部部署'!B:B,"×",0,"1")</f>
        <v>×</v>
      </c>
      <c r="G366" s="37" t="str">
        <f t="array" ref="G366">XLOOKUP($B366,'本部部署'!A:A,'本部部署'!A:A,"×",0,"1")</f>
        <v>×</v>
      </c>
      <c r="H366" s="7" t="s">
        <v>1246</v>
      </c>
    </row>
    <row r="367">
      <c r="A367" s="8" t="s">
        <v>1214</v>
      </c>
      <c r="B367" s="8" t="s">
        <v>1290</v>
      </c>
      <c r="C367" s="8" t="s">
        <v>1102</v>
      </c>
      <c r="D367" s="37" t="str">
        <f t="array" ref="D367">XLOOKUP($A367,'本部部署'!A:A,'本部部署'!A:A,"×",0,"1")</f>
        <v>×</v>
      </c>
      <c r="E367" s="37" t="str">
        <f t="array" ref="E367">XLOOKUP($B367,'本部部署'!B:B,'本部部署'!B:B,"×",0,"1")</f>
        <v>×</v>
      </c>
      <c r="F367" s="37" t="str">
        <f t="array" ref="F367">XLOOKUP($A367,'本部部署'!B:B,'本部部署'!B:B,"×",0,"1")</f>
        <v>×</v>
      </c>
      <c r="G367" s="37" t="str">
        <f t="array" ref="G367">XLOOKUP($B367,'本部部署'!A:A,'本部部署'!A:A,"×",0,"1")</f>
        <v>×</v>
      </c>
      <c r="H367" s="7" t="s">
        <v>1291</v>
      </c>
    </row>
    <row r="368">
      <c r="A368" s="8" t="s">
        <v>1214</v>
      </c>
      <c r="B368" s="8" t="s">
        <v>1292</v>
      </c>
      <c r="C368" s="8" t="s">
        <v>1102</v>
      </c>
      <c r="D368" s="37" t="str">
        <f t="array" ref="D368">XLOOKUP($A368,'本部部署'!A:A,'本部部署'!A:A,"×",0,"1")</f>
        <v>×</v>
      </c>
      <c r="E368" s="37" t="str">
        <f t="array" ref="E368">XLOOKUP($B368,'本部部署'!B:B,'本部部署'!B:B,"×",0,"1")</f>
        <v>×</v>
      </c>
      <c r="F368" s="37" t="str">
        <f t="array" ref="F368">XLOOKUP($A368,'本部部署'!B:B,'本部部署'!B:B,"×",0,"1")</f>
        <v>×</v>
      </c>
      <c r="G368" s="37" t="str">
        <f t="array" ref="G368">XLOOKUP($B368,'本部部署'!A:A,'本部部署'!A:A,"×",0,"1")</f>
        <v>×</v>
      </c>
      <c r="H368" s="7" t="s">
        <v>391</v>
      </c>
    </row>
    <row r="369">
      <c r="A369" s="8" t="s">
        <v>1214</v>
      </c>
      <c r="B369" s="8" t="s">
        <v>1104</v>
      </c>
      <c r="C369" s="8" t="s">
        <v>1102</v>
      </c>
      <c r="D369" s="37" t="str">
        <f t="array" ref="D369">XLOOKUP($A369,'本部部署'!A:A,'本部部署'!A:A,"×",0,"1")</f>
        <v>×</v>
      </c>
      <c r="E369" s="37" t="str">
        <f t="array" ref="E369">XLOOKUP($B369,'本部部署'!B:B,'本部部署'!B:B,"×",0,"1")</f>
        <v>×</v>
      </c>
      <c r="F369" s="37" t="str">
        <f t="array" ref="F369">XLOOKUP($A369,'本部部署'!B:B,'本部部署'!B:B,"×",0,"1")</f>
        <v>×</v>
      </c>
      <c r="G369" s="37" t="str">
        <f t="array" ref="G369">XLOOKUP($B369,'本部部署'!A:A,'本部部署'!A:A,"×",0,"1")</f>
        <v>×</v>
      </c>
      <c r="H369" s="7" t="s">
        <v>1105</v>
      </c>
    </row>
    <row r="370">
      <c r="A370" s="8" t="s">
        <v>1293</v>
      </c>
      <c r="B370" s="8" t="s">
        <v>1294</v>
      </c>
      <c r="C370" s="8" t="s">
        <v>1102</v>
      </c>
      <c r="D370" s="37" t="str">
        <f t="array" ref="D370">XLOOKUP($A370,'本部部署'!A:A,'本部部署'!A:A,"×",0,"1")</f>
        <v>×</v>
      </c>
      <c r="E370" s="37" t="str">
        <f t="array" ref="E370">XLOOKUP($B370,'本部部署'!B:B,'本部部署'!B:B,"×",0,"1")</f>
        <v>×</v>
      </c>
      <c r="F370" s="37" t="str">
        <f t="array" ref="F370">XLOOKUP($A370,'本部部署'!B:B,'本部部署'!B:B,"×",0,"1")</f>
        <v>×</v>
      </c>
      <c r="G370" s="37" t="str">
        <f t="array" ref="G370">XLOOKUP($B370,'本部部署'!A:A,'本部部署'!A:A,"×",0,"1")</f>
        <v>×</v>
      </c>
      <c r="H370" s="7" t="s">
        <v>441</v>
      </c>
    </row>
    <row r="371">
      <c r="A371" s="8" t="s">
        <v>1293</v>
      </c>
      <c r="B371" s="8" t="s">
        <v>4</v>
      </c>
      <c r="C371" s="8"/>
      <c r="D371" s="37" t="str">
        <f t="array" ref="D371">XLOOKUP($A371,'本部部署'!A:A,'本部部署'!A:A,"×",0,"1")</f>
        <v>×</v>
      </c>
      <c r="E371" s="37" t="str">
        <f t="array" ref="E371">XLOOKUP($B371,'本部部署'!B:B,'本部部署'!B:B,"×",0,"1")</f>
        <v>CS部</v>
      </c>
    </row>
    <row r="372">
      <c r="A372" s="8" t="s">
        <v>1293</v>
      </c>
      <c r="B372" s="8" t="s">
        <v>104</v>
      </c>
      <c r="C372" s="8"/>
      <c r="D372" s="37" t="str">
        <f t="array" ref="D372">XLOOKUP($A372,'本部部署'!A:A,'本部部署'!A:A,"×",0,"1")</f>
        <v>×</v>
      </c>
      <c r="E372" s="37" t="str">
        <f t="array" ref="E372">XLOOKUP($B372,'本部部署'!B:B,'本部部署'!B:B,"×",0,"1")</f>
        <v>法務部</v>
      </c>
    </row>
    <row r="373">
      <c r="A373" s="8" t="s">
        <v>1293</v>
      </c>
      <c r="B373" s="8" t="s">
        <v>441</v>
      </c>
      <c r="C373" s="8"/>
      <c r="D373" s="37" t="str">
        <f t="array" ref="D373">XLOOKUP($A373,'本部部署'!A:A,'本部部署'!A:A,"×",0,"1")</f>
        <v>×</v>
      </c>
      <c r="E373" s="37" t="str">
        <f t="array" ref="E373">XLOOKUP($B373,'本部部署'!B:B,'本部部署'!B:B,"×",0,"1")</f>
        <v>広報部</v>
      </c>
    </row>
    <row r="374">
      <c r="A374" s="8" t="s">
        <v>1293</v>
      </c>
      <c r="B374" s="8" t="s">
        <v>953</v>
      </c>
      <c r="C374" s="8"/>
      <c r="D374" s="37" t="str">
        <f t="array" ref="D374">XLOOKUP($A374,'本部部署'!A:A,'本部部署'!A:A,"×",0,"1")</f>
        <v>×</v>
      </c>
      <c r="E374" s="37" t="str">
        <f t="array" ref="E374">XLOOKUP($B374,'本部部署'!B:B,'本部部署'!B:B,"×",0,"1")</f>
        <v>エンパワーメント推進室</v>
      </c>
      <c r="F374" s="37" t="str">
        <f t="array" ref="F374">XLOOKUP($A374,'本部部署'!B:B,'本部部署'!B:B,"×",0,"1")</f>
        <v>×</v>
      </c>
      <c r="G374" s="37" t="str">
        <f t="array" ref="G374">XLOOKUP($B374,'本部部署'!A:A,'本部部署'!A:A,"×",0,"1")</f>
        <v>×</v>
      </c>
    </row>
    <row r="375">
      <c r="A375" s="8" t="s">
        <v>1293</v>
      </c>
      <c r="B375" s="8" t="s">
        <v>1111</v>
      </c>
      <c r="C375" s="8" t="s">
        <v>1102</v>
      </c>
      <c r="D375" s="37" t="str">
        <f t="array" ref="D375">XLOOKUP($A375,'本部部署'!A:A,'本部部署'!A:A,"×",0,"1")</f>
        <v>×</v>
      </c>
      <c r="E375" s="37" t="str">
        <f t="array" ref="E375">XLOOKUP($B375,'本部部署'!B:B,'本部部署'!B:B,"×",0,"1")</f>
        <v>×</v>
      </c>
      <c r="F375" s="37" t="str">
        <f t="array" ref="F375">XLOOKUP($A375,'本部部署'!B:B,'本部部署'!B:B,"×",0,"1")</f>
        <v>×</v>
      </c>
      <c r="G375" s="37" t="str">
        <f t="array" ref="G375">XLOOKUP($B375,'本部部署'!A:A,'本部部署'!A:A,"×",0,"1")</f>
        <v>×</v>
      </c>
      <c r="H375" s="7" t="s">
        <v>1105</v>
      </c>
    </row>
    <row r="376">
      <c r="A376" s="8" t="s">
        <v>1295</v>
      </c>
      <c r="B376" s="8" t="s">
        <v>1296</v>
      </c>
      <c r="C376" s="8" t="s">
        <v>1297</v>
      </c>
      <c r="D376" s="37" t="str">
        <f t="array" ref="D376">XLOOKUP($A376,'本部部署'!A:A,'本部部署'!A:A,"×",0,"1")</f>
        <v>×</v>
      </c>
      <c r="E376" s="37" t="str">
        <f t="array" ref="E376">XLOOKUP($B376,'本部部署'!B:B,'本部部署'!B:B,"×",0,"1")</f>
        <v>×</v>
      </c>
      <c r="F376" s="37" t="str">
        <f t="array" ref="F376">XLOOKUP($A376,'本部部署'!B:B,'本部部署'!B:B,"×",0,"1")</f>
        <v>×</v>
      </c>
      <c r="G376" s="37" t="str">
        <f t="array" ref="G376">XLOOKUP($B376,'本部部署'!A:A,'本部部署'!A:A,"×",0,"1")</f>
        <v>×</v>
      </c>
      <c r="H376" s="7" t="s">
        <v>1105</v>
      </c>
    </row>
    <row r="377">
      <c r="A377" s="8" t="s">
        <v>1051</v>
      </c>
      <c r="B377" s="8" t="s">
        <v>432</v>
      </c>
      <c r="C377" s="8"/>
      <c r="D377" s="37" t="str">
        <f t="array" ref="D377">XLOOKUP($A377,'本部部署'!A:A,'本部部署'!A:A,"×",0,"1")</f>
        <v>×</v>
      </c>
      <c r="E377" s="37" t="str">
        <f t="array" ref="E377">XLOOKUP($B377,'本部部署'!B:B,'本部部署'!B:B,"×",0,"1")</f>
        <v>経営企画室</v>
      </c>
    </row>
    <row r="378">
      <c r="A378" s="8" t="s">
        <v>1051</v>
      </c>
      <c r="B378" s="8" t="s">
        <v>1134</v>
      </c>
      <c r="C378" s="8" t="s">
        <v>1052</v>
      </c>
      <c r="D378" s="37" t="str">
        <f t="array" ref="D378">XLOOKUP($A378,'本部部署'!A:A,'本部部署'!A:A,"×",0,"1")</f>
        <v>×</v>
      </c>
      <c r="E378" s="37" t="str">
        <f t="array" ref="E378">XLOOKUP($B378,'本部部署'!B:B,'本部部署'!B:B,"×",0,"1")</f>
        <v>×</v>
      </c>
      <c r="F378" s="37" t="str">
        <f t="array" ref="F378">XLOOKUP($A378,'本部部署'!B:B,'本部部署'!B:B,"×",0,"1")</f>
        <v>×</v>
      </c>
      <c r="G378" s="37" t="str">
        <f t="array" ref="G378">XLOOKUP($B378,'本部部署'!A:A,'本部部署'!A:A,"×",0,"1")</f>
        <v>×</v>
      </c>
      <c r="H378" s="7" t="s">
        <v>1105</v>
      </c>
    </row>
    <row r="379">
      <c r="A379" s="8" t="s">
        <v>1051</v>
      </c>
      <c r="B379" s="8" t="s">
        <v>1298</v>
      </c>
      <c r="C379" s="8" t="s">
        <v>1052</v>
      </c>
      <c r="D379" s="37" t="str">
        <f t="array" ref="D379">XLOOKUP($A379,'本部部署'!A:A,'本部部署'!A:A,"×",0,"1")</f>
        <v>×</v>
      </c>
      <c r="E379" s="37" t="str">
        <f t="array" ref="E379">XLOOKUP($B379,'本部部署'!B:B,'本部部署'!B:B,"×",0,"1")</f>
        <v>×</v>
      </c>
      <c r="F379" s="37" t="str">
        <f t="array" ref="F379">XLOOKUP($A379,'本部部署'!B:B,'本部部署'!B:B,"×",0,"1")</f>
        <v>×</v>
      </c>
      <c r="G379" s="37" t="str">
        <f t="array" ref="G379">XLOOKUP($B379,'本部部署'!A:A,'本部部署'!A:A,"×",0,"1")</f>
        <v>×</v>
      </c>
      <c r="H379" s="7" t="s">
        <v>1105</v>
      </c>
    </row>
    <row r="380">
      <c r="A380" s="8" t="s">
        <v>1051</v>
      </c>
      <c r="B380" s="8" t="s">
        <v>1111</v>
      </c>
      <c r="C380" s="8" t="s">
        <v>1052</v>
      </c>
      <c r="D380" s="37" t="str">
        <f t="array" ref="D380">XLOOKUP($A380,'本部部署'!A:A,'本部部署'!A:A,"×",0,"1")</f>
        <v>×</v>
      </c>
      <c r="E380" s="37" t="str">
        <f t="array" ref="E380">XLOOKUP($B380,'本部部署'!B:B,'本部部署'!B:B,"×",0,"1")</f>
        <v>×</v>
      </c>
      <c r="F380" s="37" t="str">
        <f t="array" ref="F380">XLOOKUP($A380,'本部部署'!B:B,'本部部署'!B:B,"×",0,"1")</f>
        <v>×</v>
      </c>
      <c r="G380" s="37" t="str">
        <f t="array" ref="G380">XLOOKUP($B380,'本部部署'!A:A,'本部部署'!A:A,"×",0,"1")</f>
        <v>×</v>
      </c>
      <c r="H380" s="7" t="s">
        <v>1105</v>
      </c>
    </row>
    <row r="381">
      <c r="A381" s="8" t="s">
        <v>1051</v>
      </c>
      <c r="B381" s="8" t="s">
        <v>1299</v>
      </c>
      <c r="C381" s="8" t="s">
        <v>1052</v>
      </c>
      <c r="D381" s="37" t="str">
        <f t="array" ref="D381">XLOOKUP($A381,'本部部署'!A:A,'本部部署'!A:A,"×",0,"1")</f>
        <v>×</v>
      </c>
      <c r="E381" s="37" t="str">
        <f t="array" ref="E381">XLOOKUP($B381,'本部部署'!B:B,'本部部署'!B:B,"×",0,"1")</f>
        <v>×</v>
      </c>
      <c r="F381" s="37" t="str">
        <f t="array" ref="F381">XLOOKUP($A381,'本部部署'!B:B,'本部部署'!B:B,"×",0,"1")</f>
        <v>×</v>
      </c>
      <c r="G381" s="37" t="str">
        <f t="array" ref="G381">XLOOKUP($B381,'本部部署'!A:A,'本部部署'!A:A,"×",0,"1")</f>
        <v>×</v>
      </c>
      <c r="H381" s="7" t="s">
        <v>1105</v>
      </c>
    </row>
    <row r="382">
      <c r="A382" s="8" t="s">
        <v>1051</v>
      </c>
      <c r="B382" s="8" t="s">
        <v>1087</v>
      </c>
      <c r="C382" s="8" t="s">
        <v>1197</v>
      </c>
      <c r="D382" s="37" t="str">
        <f t="array" ref="D382">XLOOKUP($A382,'本部部署'!A:A,'本部部署'!A:A,"×",0,"1")</f>
        <v>×</v>
      </c>
      <c r="E382" s="37" t="str">
        <f t="array" ref="E382">XLOOKUP($B382,'本部部署'!B:B,'本部部署'!B:B,"×",0,"1")</f>
        <v>×</v>
      </c>
      <c r="F382" s="37" t="str">
        <f t="array" ref="F382">XLOOKUP($A382,'本部部署'!B:B,'本部部署'!B:B,"×",0,"1")</f>
        <v>×</v>
      </c>
      <c r="G382" s="37" t="str">
        <f t="array" ref="G382">XLOOKUP($B382,'本部部署'!A:A,'本部部署'!A:A,"×",0,"1")</f>
        <v>×</v>
      </c>
      <c r="H382" s="7" t="s">
        <v>1105</v>
      </c>
    </row>
    <row r="383">
      <c r="A383" s="8" t="s">
        <v>1054</v>
      </c>
      <c r="B383" s="8" t="s">
        <v>1300</v>
      </c>
      <c r="C383" s="8" t="s">
        <v>1102</v>
      </c>
      <c r="D383" s="37" t="str">
        <f t="array" ref="D383">XLOOKUP($A383,'本部部署'!A:A,'本部部署'!A:A,"×",0,"1")</f>
        <v>×</v>
      </c>
      <c r="E383" s="37" t="str">
        <f t="array" ref="E383">XLOOKUP($B383,'本部部署'!B:B,'本部部署'!B:B,"×",0,"1")</f>
        <v>×</v>
      </c>
      <c r="F383" s="37" t="str">
        <f t="array" ref="F383">XLOOKUP($A383,'本部部署'!B:B,'本部部署'!B:B,"×",0,"1")</f>
        <v>×</v>
      </c>
      <c r="G383" s="37" t="str">
        <f t="array" ref="G383">XLOOKUP($B383,'本部部署'!A:A,'本部部署'!A:A,"×",0,"1")</f>
        <v>×</v>
      </c>
      <c r="H383" s="7" t="s">
        <v>391</v>
      </c>
    </row>
    <row r="384">
      <c r="A384" s="8" t="s">
        <v>1054</v>
      </c>
      <c r="B384" s="8" t="s">
        <v>1301</v>
      </c>
      <c r="C384" s="8" t="s">
        <v>1102</v>
      </c>
      <c r="D384" s="37" t="str">
        <f t="array" ref="D384">XLOOKUP($A384,'本部部署'!A:A,'本部部署'!A:A,"×",0,"1")</f>
        <v>×</v>
      </c>
      <c r="E384" s="37" t="str">
        <f t="array" ref="E384">XLOOKUP($B384,'本部部署'!B:B,'本部部署'!B:B,"×",0,"1")</f>
        <v>×</v>
      </c>
      <c r="F384" s="37" t="str">
        <f t="array" ref="F384">XLOOKUP($A384,'本部部署'!B:B,'本部部署'!B:B,"×",0,"1")</f>
        <v>×</v>
      </c>
      <c r="G384" s="37" t="str">
        <f t="array" ref="G384">XLOOKUP($B384,'本部部署'!A:A,'本部部署'!A:A,"×",0,"1")</f>
        <v>×</v>
      </c>
      <c r="H384" s="7" t="s">
        <v>391</v>
      </c>
    </row>
    <row r="385">
      <c r="A385" s="8" t="s">
        <v>1054</v>
      </c>
      <c r="B385" s="8" t="s">
        <v>1302</v>
      </c>
      <c r="C385" s="8" t="s">
        <v>1102</v>
      </c>
      <c r="D385" s="37" t="str">
        <f t="array" ref="D385">XLOOKUP($A385,'本部部署'!A:A,'本部部署'!A:A,"×",0,"1")</f>
        <v>×</v>
      </c>
      <c r="E385" s="37" t="str">
        <f t="array" ref="E385">XLOOKUP($B385,'本部部署'!B:B,'本部部署'!B:B,"×",0,"1")</f>
        <v>×</v>
      </c>
      <c r="F385" s="37" t="str">
        <f t="array" ref="F385">XLOOKUP($A385,'本部部署'!B:B,'本部部署'!B:B,"×",0,"1")</f>
        <v>×</v>
      </c>
      <c r="G385" s="37" t="str">
        <f t="array" ref="G385">XLOOKUP($B385,'本部部署'!A:A,'本部部署'!A:A,"×",0,"1")</f>
        <v>×</v>
      </c>
      <c r="H385" s="7" t="s">
        <v>391</v>
      </c>
    </row>
    <row r="386">
      <c r="A386" s="8" t="s">
        <v>1054</v>
      </c>
      <c r="B386" s="8" t="s">
        <v>1303</v>
      </c>
      <c r="C386" s="8" t="s">
        <v>1102</v>
      </c>
      <c r="D386" s="37" t="str">
        <f t="array" ref="D386">XLOOKUP($A386,'本部部署'!A:A,'本部部署'!A:A,"×",0,"1")</f>
        <v>×</v>
      </c>
      <c r="E386" s="37" t="str">
        <f t="array" ref="E386">XLOOKUP($B386,'本部部署'!B:B,'本部部署'!B:B,"×",0,"1")</f>
        <v>×</v>
      </c>
      <c r="F386" s="37" t="str">
        <f t="array" ref="F386">XLOOKUP($A386,'本部部署'!B:B,'本部部署'!B:B,"×",0,"1")</f>
        <v>×</v>
      </c>
      <c r="G386" s="37" t="str">
        <f t="array" ref="G386">XLOOKUP($B386,'本部部署'!A:A,'本部部署'!A:A,"×",0,"1")</f>
        <v>×</v>
      </c>
      <c r="H386" s="7" t="s">
        <v>1097</v>
      </c>
    </row>
    <row r="387">
      <c r="A387" s="8" t="s">
        <v>1054</v>
      </c>
      <c r="B387" s="8" t="s">
        <v>1304</v>
      </c>
      <c r="C387" s="8" t="s">
        <v>1102</v>
      </c>
      <c r="D387" s="37" t="str">
        <f t="array" ref="D387">XLOOKUP($A387,'本部部署'!A:A,'本部部署'!A:A,"×",0,"1")</f>
        <v>×</v>
      </c>
      <c r="E387" s="37" t="str">
        <f t="array" ref="E387">XLOOKUP($B387,'本部部署'!B:B,'本部部署'!B:B,"×",0,"1")</f>
        <v>×</v>
      </c>
      <c r="F387" s="37" t="str">
        <f t="array" ref="F387">XLOOKUP($A387,'本部部署'!B:B,'本部部署'!B:B,"×",0,"1")</f>
        <v>×</v>
      </c>
      <c r="G387" s="37" t="str">
        <f t="array" ref="G387">XLOOKUP($B387,'本部部署'!A:A,'本部部署'!A:A,"×",0,"1")</f>
        <v>×</v>
      </c>
      <c r="H387" s="7" t="s">
        <v>1105</v>
      </c>
    </row>
    <row r="388">
      <c r="A388" s="8" t="s">
        <v>1054</v>
      </c>
      <c r="B388" s="8" t="s">
        <v>1305</v>
      </c>
      <c r="C388" s="8" t="s">
        <v>1102</v>
      </c>
      <c r="D388" s="37" t="str">
        <f t="array" ref="D388">XLOOKUP($A388,'本部部署'!A:A,'本部部署'!A:A,"×",0,"1")</f>
        <v>×</v>
      </c>
      <c r="E388" s="37" t="str">
        <f t="array" ref="E388">XLOOKUP($B388,'本部部署'!B:B,'本部部署'!B:B,"×",0,"1")</f>
        <v>×</v>
      </c>
      <c r="F388" s="37" t="str">
        <f t="array" ref="F388">XLOOKUP($A388,'本部部署'!B:B,'本部部署'!B:B,"×",0,"1")</f>
        <v>×</v>
      </c>
      <c r="G388" s="37" t="str">
        <f t="array" ref="G388">XLOOKUP($B388,'本部部署'!A:A,'本部部署'!A:A,"×",0,"1")</f>
        <v>×</v>
      </c>
      <c r="H388" s="7" t="s">
        <v>1105</v>
      </c>
    </row>
    <row r="389">
      <c r="A389" s="8" t="s">
        <v>1054</v>
      </c>
      <c r="B389" s="8" t="s">
        <v>1306</v>
      </c>
      <c r="C389" s="8" t="s">
        <v>1102</v>
      </c>
      <c r="D389" s="37" t="str">
        <f t="array" ref="D389">XLOOKUP($A389,'本部部署'!A:A,'本部部署'!A:A,"×",0,"1")</f>
        <v>×</v>
      </c>
      <c r="E389" s="37" t="str">
        <f t="array" ref="E389">XLOOKUP($B389,'本部部署'!B:B,'本部部署'!B:B,"×",0,"1")</f>
        <v>×</v>
      </c>
      <c r="F389" s="37" t="str">
        <f t="array" ref="F389">XLOOKUP($A389,'本部部署'!B:B,'本部部署'!B:B,"×",0,"1")</f>
        <v>×</v>
      </c>
      <c r="G389" s="37" t="str">
        <f t="array" ref="G389">XLOOKUP($B389,'本部部署'!A:A,'本部部署'!A:A,"×",0,"1")</f>
        <v>×</v>
      </c>
      <c r="H389" s="7" t="s">
        <v>391</v>
      </c>
    </row>
    <row r="390">
      <c r="A390" s="8" t="s">
        <v>1054</v>
      </c>
      <c r="B390" s="8" t="s">
        <v>1278</v>
      </c>
      <c r="C390" s="8" t="s">
        <v>1102</v>
      </c>
      <c r="D390" s="37" t="str">
        <f t="array" ref="D390">XLOOKUP($A390,'本部部署'!A:A,'本部部署'!A:A,"×",0,"1")</f>
        <v>×</v>
      </c>
      <c r="E390" s="37" t="str">
        <f t="array" ref="E390">XLOOKUP($B390,'本部部署'!B:B,'本部部署'!B:B,"×",0,"1")</f>
        <v>×</v>
      </c>
      <c r="F390" s="37" t="str">
        <f t="array" ref="F390">XLOOKUP($A390,'本部部署'!B:B,'本部部署'!B:B,"×",0,"1")</f>
        <v>×</v>
      </c>
      <c r="G390" s="37" t="str">
        <f t="array" ref="G390">XLOOKUP($B390,'本部部署'!A:A,'本部部署'!A:A,"×",0,"1")</f>
        <v>×</v>
      </c>
      <c r="H390" s="7" t="s">
        <v>1215</v>
      </c>
    </row>
    <row r="391">
      <c r="A391" s="8" t="s">
        <v>1054</v>
      </c>
      <c r="B391" s="8" t="s">
        <v>1307</v>
      </c>
      <c r="C391" s="8" t="s">
        <v>1102</v>
      </c>
      <c r="D391" s="37" t="str">
        <f t="array" ref="D391">XLOOKUP($A391,'本部部署'!A:A,'本部部署'!A:A,"×",0,"1")</f>
        <v>×</v>
      </c>
      <c r="E391" s="37" t="str">
        <f t="array" ref="E391">XLOOKUP($B391,'本部部署'!B:B,'本部部署'!B:B,"×",0,"1")</f>
        <v>×</v>
      </c>
      <c r="F391" s="37" t="str">
        <f t="array" ref="F391">XLOOKUP($A391,'本部部署'!B:B,'本部部署'!B:B,"×",0,"1")</f>
        <v>×</v>
      </c>
      <c r="G391" s="37" t="str">
        <f t="array" ref="G391">XLOOKUP($B391,'本部部署'!A:A,'本部部署'!A:A,"×",0,"1")</f>
        <v>×</v>
      </c>
      <c r="H391" s="7" t="s">
        <v>1105</v>
      </c>
    </row>
    <row r="392">
      <c r="A392" s="8" t="s">
        <v>1054</v>
      </c>
      <c r="B392" s="8" t="s">
        <v>1308</v>
      </c>
      <c r="C392" s="8" t="s">
        <v>1102</v>
      </c>
      <c r="D392" s="37" t="str">
        <f t="array" ref="D392">XLOOKUP($A392,'本部部署'!A:A,'本部部署'!A:A,"×",0,"1")</f>
        <v>×</v>
      </c>
      <c r="E392" s="37" t="str">
        <f t="array" ref="E392">XLOOKUP($B392,'本部部署'!B:B,'本部部署'!B:B,"×",0,"1")</f>
        <v>×</v>
      </c>
      <c r="F392" s="37" t="str">
        <f t="array" ref="F392">XLOOKUP($A392,'本部部署'!B:B,'本部部署'!B:B,"×",0,"1")</f>
        <v>×</v>
      </c>
      <c r="G392" s="37" t="str">
        <f t="array" ref="G392">XLOOKUP($B392,'本部部署'!A:A,'本部部署'!A:A,"×",0,"1")</f>
        <v>×</v>
      </c>
      <c r="H392" s="7" t="s">
        <v>391</v>
      </c>
    </row>
    <row r="393">
      <c r="A393" s="8" t="s">
        <v>1054</v>
      </c>
      <c r="B393" s="8" t="s">
        <v>1309</v>
      </c>
      <c r="C393" s="8" t="s">
        <v>1102</v>
      </c>
      <c r="D393" s="37" t="str">
        <f t="array" ref="D393">XLOOKUP($A393,'本部部署'!A:A,'本部部署'!A:A,"×",0,"1")</f>
        <v>×</v>
      </c>
      <c r="E393" s="37" t="str">
        <f t="array" ref="E393">XLOOKUP($B393,'本部部署'!B:B,'本部部署'!B:B,"×",0,"1")</f>
        <v>×</v>
      </c>
      <c r="F393" s="37" t="str">
        <f t="array" ref="F393">XLOOKUP($A393,'本部部署'!B:B,'本部部署'!B:B,"×",0,"1")</f>
        <v>×</v>
      </c>
      <c r="G393" s="37" t="str">
        <f t="array" ref="G393">XLOOKUP($B393,'本部部署'!A:A,'本部部署'!A:A,"×",0,"1")</f>
        <v>×</v>
      </c>
      <c r="H393" s="7" t="s">
        <v>1097</v>
      </c>
    </row>
    <row r="394">
      <c r="A394" s="8" t="s">
        <v>1054</v>
      </c>
      <c r="B394" s="8" t="s">
        <v>1228</v>
      </c>
      <c r="C394" s="8" t="s">
        <v>1102</v>
      </c>
      <c r="D394" s="37" t="str">
        <f t="array" ref="D394">XLOOKUP($A394,'本部部署'!A:A,'本部部署'!A:A,"×",0,"1")</f>
        <v>×</v>
      </c>
      <c r="E394" s="37" t="str">
        <f t="array" ref="E394">XLOOKUP($B394,'本部部署'!B:B,'本部部署'!B:B,"×",0,"1")</f>
        <v>×</v>
      </c>
      <c r="F394" s="37" t="str">
        <f t="array" ref="F394">XLOOKUP($A394,'本部部署'!B:B,'本部部署'!B:B,"×",0,"1")</f>
        <v>×</v>
      </c>
      <c r="G394" s="37" t="str">
        <f t="array" ref="G394">XLOOKUP($B394,'本部部署'!A:A,'本部部署'!A:A,"×",0,"1")</f>
        <v>×</v>
      </c>
      <c r="H394" s="7" t="s">
        <v>1215</v>
      </c>
    </row>
    <row r="395">
      <c r="A395" s="8" t="s">
        <v>1054</v>
      </c>
      <c r="B395" s="8" t="s">
        <v>1310</v>
      </c>
      <c r="C395" s="8" t="s">
        <v>1102</v>
      </c>
      <c r="D395" s="37" t="str">
        <f t="array" ref="D395">XLOOKUP($A395,'本部部署'!A:A,'本部部署'!A:A,"×",0,"1")</f>
        <v>×</v>
      </c>
      <c r="E395" s="37" t="str">
        <f t="array" ref="E395">XLOOKUP($B395,'本部部署'!B:B,'本部部署'!B:B,"×",0,"1")</f>
        <v>×</v>
      </c>
      <c r="F395" s="37" t="str">
        <f t="array" ref="F395">XLOOKUP($A395,'本部部署'!B:B,'本部部署'!B:B,"×",0,"1")</f>
        <v>×</v>
      </c>
      <c r="G395" s="37" t="str">
        <f t="array" ref="G395">XLOOKUP($B395,'本部部署'!A:A,'本部部署'!A:A,"×",0,"1")</f>
        <v>×</v>
      </c>
      <c r="H395" s="7" t="s">
        <v>478</v>
      </c>
    </row>
    <row r="396">
      <c r="A396" s="8" t="s">
        <v>1054</v>
      </c>
      <c r="B396" s="8" t="s">
        <v>1137</v>
      </c>
      <c r="C396" s="8" t="s">
        <v>1102</v>
      </c>
      <c r="D396" s="37" t="str">
        <f t="array" ref="D396">XLOOKUP($A396,'本部部署'!A:A,'本部部署'!A:A,"×",0,"1")</f>
        <v>×</v>
      </c>
      <c r="E396" s="37" t="str">
        <f t="array" ref="E396">XLOOKUP($B396,'本部部署'!B:B,'本部部署'!B:B,"×",0,"1")</f>
        <v>×</v>
      </c>
      <c r="F396" s="37" t="str">
        <f t="array" ref="F396">XLOOKUP($A396,'本部部署'!B:B,'本部部署'!B:B,"×",0,"1")</f>
        <v>×</v>
      </c>
      <c r="G396" s="37" t="str">
        <f t="array" ref="G396">XLOOKUP($B396,'本部部署'!A:A,'本部部署'!A:A,"×",0,"1")</f>
        <v>×</v>
      </c>
      <c r="H396" s="7" t="s">
        <v>1058</v>
      </c>
    </row>
    <row r="397">
      <c r="A397" s="8" t="s">
        <v>1054</v>
      </c>
      <c r="B397" s="8" t="s">
        <v>1311</v>
      </c>
      <c r="C397" s="8" t="s">
        <v>1102</v>
      </c>
      <c r="D397" s="37" t="str">
        <f t="array" ref="D397">XLOOKUP($A397,'本部部署'!A:A,'本部部署'!A:A,"×",0,"1")</f>
        <v>×</v>
      </c>
      <c r="E397" s="37" t="str">
        <f t="array" ref="E397">XLOOKUP($B397,'本部部署'!B:B,'本部部署'!B:B,"×",0,"1")</f>
        <v>×</v>
      </c>
      <c r="F397" s="37" t="str">
        <f t="array" ref="F397">XLOOKUP($A397,'本部部署'!B:B,'本部部署'!B:B,"×",0,"1")</f>
        <v>×</v>
      </c>
      <c r="G397" s="37" t="str">
        <f t="array" ref="G397">XLOOKUP($B397,'本部部署'!A:A,'本部部署'!A:A,"×",0,"1")</f>
        <v>×</v>
      </c>
      <c r="H397" s="7" t="s">
        <v>391</v>
      </c>
    </row>
    <row r="398">
      <c r="A398" s="8" t="s">
        <v>1054</v>
      </c>
      <c r="B398" s="8" t="s">
        <v>1111</v>
      </c>
      <c r="C398" s="8" t="s">
        <v>1102</v>
      </c>
      <c r="D398" s="37" t="str">
        <f t="array" ref="D398">XLOOKUP($A398,'本部部署'!A:A,'本部部署'!A:A,"×",0,"1")</f>
        <v>×</v>
      </c>
      <c r="E398" s="37" t="str">
        <f t="array" ref="E398">XLOOKUP($B398,'本部部署'!B:B,'本部部署'!B:B,"×",0,"1")</f>
        <v>×</v>
      </c>
      <c r="F398" s="37" t="str">
        <f t="array" ref="F398">XLOOKUP($A398,'本部部署'!B:B,'本部部署'!B:B,"×",0,"1")</f>
        <v>×</v>
      </c>
      <c r="G398" s="37" t="str">
        <f t="array" ref="G398">XLOOKUP($B398,'本部部署'!A:A,'本部部署'!A:A,"×",0,"1")</f>
        <v>×</v>
      </c>
      <c r="H398" s="7" t="s">
        <v>1105</v>
      </c>
    </row>
    <row r="399">
      <c r="A399" s="8" t="s">
        <v>1054</v>
      </c>
      <c r="B399" s="8" t="s">
        <v>1187</v>
      </c>
      <c r="C399" s="8" t="s">
        <v>1102</v>
      </c>
      <c r="D399" s="37" t="str">
        <f t="array" ref="D399">XLOOKUP($A399,'本部部署'!A:A,'本部部署'!A:A,"×",0,"1")</f>
        <v>×</v>
      </c>
      <c r="E399" s="37" t="str">
        <f t="array" ref="E399">XLOOKUP($B399,'本部部署'!B:B,'本部部署'!B:B,"×",0,"1")</f>
        <v>×</v>
      </c>
      <c r="F399" s="37" t="str">
        <f t="array" ref="F399">XLOOKUP($A399,'本部部署'!B:B,'本部部署'!B:B,"×",0,"1")</f>
        <v>×</v>
      </c>
      <c r="G399" s="37" t="str">
        <f t="array" ref="G399">XLOOKUP($B399,'本部部署'!A:A,'本部部署'!A:A,"×",0,"1")</f>
        <v>×</v>
      </c>
      <c r="H399" s="7" t="s">
        <v>1188</v>
      </c>
    </row>
    <row r="400">
      <c r="A400" s="8" t="s">
        <v>1054</v>
      </c>
      <c r="B400" s="8" t="s">
        <v>1312</v>
      </c>
      <c r="C400" s="8" t="s">
        <v>1102</v>
      </c>
      <c r="D400" s="37" t="str">
        <f t="array" ref="D400">XLOOKUP($A400,'本部部署'!A:A,'本部部署'!A:A,"×",0,"1")</f>
        <v>×</v>
      </c>
      <c r="E400" s="37" t="str">
        <f t="array" ref="E400">XLOOKUP($B400,'本部部署'!B:B,'本部部署'!B:B,"×",0,"1")</f>
        <v>×</v>
      </c>
      <c r="F400" s="37" t="str">
        <f t="array" ref="F400">XLOOKUP($A400,'本部部署'!B:B,'本部部署'!B:B,"×",0,"1")</f>
        <v>×</v>
      </c>
      <c r="G400" s="37" t="str">
        <f t="array" ref="G400">XLOOKUP($B400,'本部部署'!A:A,'本部部署'!A:A,"×",0,"1")</f>
        <v>×</v>
      </c>
      <c r="H400" s="7" t="s">
        <v>1097</v>
      </c>
    </row>
    <row r="401">
      <c r="A401" s="8" t="s">
        <v>1054</v>
      </c>
      <c r="B401" s="8" t="s">
        <v>1162</v>
      </c>
      <c r="C401" s="8" t="s">
        <v>1313</v>
      </c>
      <c r="D401" s="37" t="str">
        <f t="array" ref="D401">XLOOKUP($A401,'本部部署'!A:A,'本部部署'!A:A,"×",0,"1")</f>
        <v>×</v>
      </c>
      <c r="E401" s="37" t="str">
        <f t="array" ref="E401">XLOOKUP($B401,'本部部署'!B:B,'本部部署'!B:B,"×",0,"1")</f>
        <v>×</v>
      </c>
      <c r="F401" s="37" t="str">
        <f t="array" ref="F401">XLOOKUP($A401,'本部部署'!B:B,'本部部署'!B:B,"×",0,"1")</f>
        <v>×</v>
      </c>
      <c r="G401" s="37" t="str">
        <f t="array" ref="G401">XLOOKUP($B401,'本部部署'!A:A,'本部部署'!A:A,"×",0,"1")</f>
        <v>×</v>
      </c>
      <c r="H401" s="7" t="s">
        <v>1162</v>
      </c>
    </row>
    <row r="402">
      <c r="A402" s="8" t="s">
        <v>1054</v>
      </c>
      <c r="B402" s="8" t="s">
        <v>1314</v>
      </c>
      <c r="C402" s="8" t="s">
        <v>1102</v>
      </c>
      <c r="D402" s="37" t="str">
        <f t="array" ref="D402">XLOOKUP($A402,'本部部署'!A:A,'本部部署'!A:A,"×",0,"1")</f>
        <v>×</v>
      </c>
      <c r="E402" s="37" t="str">
        <f t="array" ref="E402">XLOOKUP($B402,'本部部署'!B:B,'本部部署'!B:B,"×",0,"1")</f>
        <v>×</v>
      </c>
      <c r="F402" s="37" t="str">
        <f t="array" ref="F402">XLOOKUP($A402,'本部部署'!B:B,'本部部署'!B:B,"×",0,"1")</f>
        <v>×</v>
      </c>
      <c r="G402" s="37" t="str">
        <f t="array" ref="G402">XLOOKUP($B402,'本部部署'!A:A,'本部部署'!A:A,"×",0,"1")</f>
        <v>×</v>
      </c>
      <c r="H402" s="7" t="s">
        <v>1105</v>
      </c>
    </row>
    <row r="403">
      <c r="A403" s="8" t="s">
        <v>1054</v>
      </c>
      <c r="B403" s="8" t="s">
        <v>359</v>
      </c>
      <c r="C403" s="8"/>
      <c r="D403" s="37" t="str">
        <f t="array" ref="D403">XLOOKUP($A403,'本部部署'!A:A,'本部部署'!A:A,"×",0,"1")</f>
        <v>×</v>
      </c>
      <c r="E403" s="37" t="str">
        <f t="array" ref="E403">XLOOKUP($B403,'本部部署'!B:B,'本部部署'!B:B,"×",0,"1")</f>
        <v>事業開発室</v>
      </c>
    </row>
    <row r="404">
      <c r="A404" s="8" t="s">
        <v>1054</v>
      </c>
      <c r="B404" s="8" t="s">
        <v>1266</v>
      </c>
      <c r="C404" s="8" t="s">
        <v>1102</v>
      </c>
      <c r="D404" s="37" t="str">
        <f t="array" ref="D404">XLOOKUP($A404,'本部部署'!A:A,'本部部署'!A:A,"×",0,"1")</f>
        <v>×</v>
      </c>
      <c r="E404" s="37" t="str">
        <f t="array" ref="E404">XLOOKUP($B404,'本部部署'!B:B,'本部部署'!B:B,"×",0,"1")</f>
        <v>×</v>
      </c>
      <c r="F404" s="37" t="str">
        <f t="array" ref="F404">XLOOKUP($A404,'本部部署'!B:B,'本部部署'!B:B,"×",0,"1")</f>
        <v>×</v>
      </c>
      <c r="G404" s="37" t="str">
        <f t="array" ref="G404">XLOOKUP($B404,'本部部署'!A:A,'本部部署'!A:A,"×",0,"1")</f>
        <v>×</v>
      </c>
      <c r="H404" s="7" t="s">
        <v>1105</v>
      </c>
    </row>
    <row r="405">
      <c r="A405" s="8" t="s">
        <v>1054</v>
      </c>
      <c r="B405" s="8" t="s">
        <v>1163</v>
      </c>
      <c r="C405" s="8"/>
      <c r="D405" s="37" t="str">
        <f t="array" ref="D405">XLOOKUP($A405,'本部部署'!A:A,'本部部署'!A:A,"×",0,"1")</f>
        <v>×</v>
      </c>
      <c r="E405" s="37" t="str">
        <f t="array" ref="E405">XLOOKUP($B405,'本部部署'!B:B,'本部部署'!B:B,"×",0,"1")</f>
        <v>ﾓﾝｽﾄIPｸﾘｴｲｼｮﾝ部</v>
      </c>
    </row>
    <row r="406">
      <c r="A406" s="8" t="s">
        <v>1054</v>
      </c>
      <c r="B406" s="8" t="s">
        <v>1315</v>
      </c>
      <c r="C406" s="8" t="s">
        <v>1102</v>
      </c>
      <c r="D406" s="37" t="str">
        <f t="array" ref="D406">XLOOKUP($A406,'本部部署'!A:A,'本部部署'!A:A,"×",0,"1")</f>
        <v>×</v>
      </c>
      <c r="E406" s="37" t="str">
        <f t="array" ref="E406">XLOOKUP($B406,'本部部署'!B:B,'本部部署'!B:B,"×",0,"1")</f>
        <v>×</v>
      </c>
      <c r="F406" s="37" t="str">
        <f t="array" ref="F406">XLOOKUP($A406,'本部部署'!B:B,'本部部署'!B:B,"×",0,"1")</f>
        <v>×</v>
      </c>
      <c r="G406" s="37" t="str">
        <f t="array" ref="G406">XLOOKUP($B406,'本部部署'!A:A,'本部部署'!A:A,"×",0,"1")</f>
        <v>×</v>
      </c>
      <c r="H406" s="7" t="s">
        <v>1097</v>
      </c>
    </row>
    <row r="407">
      <c r="A407" s="8" t="s">
        <v>1054</v>
      </c>
      <c r="B407" s="8" t="s">
        <v>1267</v>
      </c>
      <c r="C407" s="8" t="s">
        <v>1102</v>
      </c>
      <c r="D407" s="37" t="str">
        <f t="array" ref="D407">XLOOKUP($A407,'本部部署'!A:A,'本部部署'!A:A,"×",0,"1")</f>
        <v>×</v>
      </c>
      <c r="E407" s="37" t="str">
        <f t="array" ref="E407">XLOOKUP($B407,'本部部署'!B:B,'本部部署'!B:B,"×",0,"1")</f>
        <v>×</v>
      </c>
      <c r="F407" s="37" t="str">
        <f t="array" ref="F407">XLOOKUP($A407,'本部部署'!B:B,'本部部署'!B:B,"×",0,"1")</f>
        <v>×</v>
      </c>
      <c r="G407" s="37" t="str">
        <f t="array" ref="G407">XLOOKUP($B407,'本部部署'!A:A,'本部部署'!A:A,"×",0,"1")</f>
        <v>×</v>
      </c>
      <c r="H407" s="7" t="s">
        <v>693</v>
      </c>
    </row>
    <row r="408">
      <c r="A408" s="8" t="s">
        <v>1054</v>
      </c>
      <c r="B408" s="8" t="s">
        <v>43</v>
      </c>
      <c r="C408" s="8"/>
      <c r="D408" s="37" t="str">
        <f t="array" ref="D408">XLOOKUP($A408,'本部部署'!A:A,'本部部署'!A:A,"×",0,"1")</f>
        <v>×</v>
      </c>
      <c r="E408" s="37" t="str">
        <f t="array" ref="E408">XLOOKUP($B408,'本部部署'!B:B,'本部部署'!B:B,"×",0,"1")</f>
        <v>事業推進室</v>
      </c>
    </row>
    <row r="409">
      <c r="A409" s="8" t="s">
        <v>1054</v>
      </c>
      <c r="B409" s="8" t="s">
        <v>1161</v>
      </c>
      <c r="C409" s="8" t="s">
        <v>1102</v>
      </c>
      <c r="D409" s="37" t="str">
        <f t="array" ref="D409">XLOOKUP($A409,'本部部署'!A:A,'本部部署'!A:A,"×",0,"1")</f>
        <v>×</v>
      </c>
      <c r="E409" s="37" t="str">
        <f t="array" ref="E409">XLOOKUP($B409,'本部部署'!B:B,'本部部署'!B:B,"×",0,"1")</f>
        <v>×</v>
      </c>
      <c r="F409" s="37" t="str">
        <f t="array" ref="F409">XLOOKUP($A409,'本部部署'!B:B,'本部部署'!B:B,"×",0,"1")</f>
        <v>×</v>
      </c>
      <c r="G409" s="37" t="str">
        <f t="array" ref="G409">XLOOKUP($B409,'本部部署'!A:A,'本部部署'!A:A,"×",0,"1")</f>
        <v>×</v>
      </c>
      <c r="H409" s="7" t="s">
        <v>693</v>
      </c>
    </row>
    <row r="410">
      <c r="A410" s="8" t="s">
        <v>1057</v>
      </c>
      <c r="B410" s="8" t="s">
        <v>1139</v>
      </c>
      <c r="C410" s="8" t="s">
        <v>1102</v>
      </c>
      <c r="D410" s="37" t="str">
        <f t="array" ref="D410">XLOOKUP($A410,'本部部署'!A:A,'本部部署'!A:A,"×",0,"1")</f>
        <v>×</v>
      </c>
      <c r="E410" s="37" t="str">
        <f t="array" ref="E410">XLOOKUP($B410,'本部部署'!B:B,'本部部署'!B:B,"×",0,"1")</f>
        <v>×</v>
      </c>
      <c r="F410" s="37" t="str">
        <f t="array" ref="F410">XLOOKUP($A410,'本部部署'!B:B,'本部部署'!B:B,"×",0,"1")</f>
        <v>×</v>
      </c>
      <c r="G410" s="37" t="str">
        <f t="array" ref="G410">XLOOKUP($B410,'本部部署'!A:A,'本部部署'!A:A,"×",0,"1")</f>
        <v>×</v>
      </c>
      <c r="H410" s="7" t="s">
        <v>1058</v>
      </c>
    </row>
    <row r="411">
      <c r="A411" s="8" t="s">
        <v>475</v>
      </c>
      <c r="B411" s="8" t="s">
        <v>114</v>
      </c>
      <c r="C411" s="8"/>
      <c r="D411" s="37" t="str">
        <f t="array" ref="D411">XLOOKUP($A411,'本部部署'!A:A,'本部部署'!A:A,"×",0,"1")</f>
        <v>×</v>
      </c>
      <c r="E411" s="37" t="str">
        <f t="array" ref="E411">XLOOKUP($B411,'本部部署'!B:B,'本部部署'!B:B,"×",0,"1")</f>
        <v>×</v>
      </c>
      <c r="F411" s="37" t="str">
        <f t="array" ref="F411">XLOOKUP($A411,'本部部署'!B:B,'本部部署'!B:B,"×",0,"1")</f>
        <v>渉外部</v>
      </c>
      <c r="G411" s="37" t="str">
        <f t="array" ref="G411">XLOOKUP($B411,'本部部署'!A:A,'本部部署'!A:A,"×",0,"1")</f>
        <v>×</v>
      </c>
    </row>
    <row r="412">
      <c r="A412" s="8" t="s">
        <v>475</v>
      </c>
      <c r="B412" s="8" t="s">
        <v>1316</v>
      </c>
      <c r="C412" s="8"/>
      <c r="D412" s="37" t="str">
        <f t="array" ref="D412">XLOOKUP($A412,'本部部署'!A:A,'本部部署'!A:A,"×",0,"1")</f>
        <v>×</v>
      </c>
      <c r="E412" s="37" t="str">
        <f t="array" ref="E412">XLOOKUP($B412,'本部部署'!B:B,'本部部署'!B:B,"×",0,"1")</f>
        <v>×</v>
      </c>
      <c r="F412" s="37" t="str">
        <f t="array" ref="F412">XLOOKUP($A412,'本部部署'!B:B,'本部部署'!B:B,"×",0,"1")</f>
        <v>渉外部</v>
      </c>
      <c r="G412" s="37" t="str">
        <f t="array" ref="G412">XLOOKUP($B412,'本部部署'!A:A,'本部部署'!A:A,"×",0,"1")</f>
        <v>×</v>
      </c>
    </row>
    <row r="413">
      <c r="A413" s="8" t="s">
        <v>475</v>
      </c>
      <c r="B413" s="8" t="s">
        <v>1204</v>
      </c>
      <c r="C413" s="8"/>
      <c r="D413" s="37" t="str">
        <f t="array" ref="D413">XLOOKUP($A413,'本部部署'!A:A,'本部部署'!A:A,"×",0,"1")</f>
        <v>×</v>
      </c>
      <c r="E413" s="37" t="str">
        <f t="array" ref="E413">XLOOKUP($B413,'本部部署'!B:B,'本部部署'!B:B,"×",0,"1")</f>
        <v>×</v>
      </c>
      <c r="F413" s="37" t="str">
        <f t="array" ref="F413">XLOOKUP($A413,'本部部署'!B:B,'本部部署'!B:B,"×",0,"1")</f>
        <v>渉外部</v>
      </c>
      <c r="G413" s="37" t="str">
        <f t="array" ref="G413">XLOOKUP($B413,'本部部署'!A:A,'本部部署'!A:A,"×",0,"1")</f>
        <v>×</v>
      </c>
    </row>
    <row r="414">
      <c r="A414" s="8" t="s">
        <v>1060</v>
      </c>
      <c r="B414" s="8" t="s">
        <v>1111</v>
      </c>
      <c r="C414" s="8" t="s">
        <v>1181</v>
      </c>
      <c r="D414" s="37" t="str">
        <f t="array" ref="D414">XLOOKUP($A414,'本部部署'!A:A,'本部部署'!A:A,"×",0,"1")</f>
        <v>×</v>
      </c>
      <c r="E414" s="37" t="str">
        <f t="array" ref="E414">XLOOKUP($B414,'本部部署'!B:B,'本部部署'!B:B,"×",0,"1")</f>
        <v>×</v>
      </c>
      <c r="F414" s="37" t="str">
        <f t="array" ref="F414">XLOOKUP($A414,'本部部署'!B:B,'本部部署'!B:B,"×",0,"1")</f>
        <v>×</v>
      </c>
      <c r="G414" s="37" t="str">
        <f t="array" ref="G414">XLOOKUP($B414,'本部部署'!A:A,'本部部署'!A:A,"×",0,"1")</f>
        <v>×</v>
      </c>
      <c r="H414" s="7" t="s">
        <v>693</v>
      </c>
    </row>
    <row r="415">
      <c r="A415" s="8" t="s">
        <v>1060</v>
      </c>
      <c r="B415" s="8" t="s">
        <v>1317</v>
      </c>
      <c r="C415" s="8" t="s">
        <v>1181</v>
      </c>
      <c r="D415" s="37" t="str">
        <f t="array" ref="D415">XLOOKUP($A415,'本部部署'!A:A,'本部部署'!A:A,"×",0,"1")</f>
        <v>×</v>
      </c>
      <c r="E415" s="37" t="str">
        <f t="array" ref="E415">XLOOKUP($B415,'本部部署'!B:B,'本部部署'!B:B,"×",0,"1")</f>
        <v>×</v>
      </c>
      <c r="F415" s="37" t="str">
        <f t="array" ref="F415">XLOOKUP($A415,'本部部署'!B:B,'本部部署'!B:B,"×",0,"1")</f>
        <v>×</v>
      </c>
      <c r="G415" s="37" t="str">
        <f t="array" ref="G415">XLOOKUP($B415,'本部部署'!A:A,'本部部署'!A:A,"×",0,"1")</f>
        <v>×</v>
      </c>
      <c r="H415" s="7" t="s">
        <v>693</v>
      </c>
    </row>
    <row r="416">
      <c r="A416" s="8" t="s">
        <v>1062</v>
      </c>
      <c r="B416" s="8" t="s">
        <v>802</v>
      </c>
      <c r="C416" s="8"/>
      <c r="D416" s="37" t="str">
        <f t="array" ref="D416">XLOOKUP($A416,'本部部署'!A:A,'本部部署'!A:A,"×",0,"1")</f>
        <v>×</v>
      </c>
      <c r="E416" s="37" t="str">
        <f t="array" ref="E416">XLOOKUP($B416,'本部部署'!B:B,'本部部署'!B:B,"×",0,"1")</f>
        <v>ビジネスサポート室</v>
      </c>
      <c r="F416" s="37" t="str">
        <f t="array" ref="F416">XLOOKUP($A416,'本部部署'!B:B,'本部部署'!B:B,"×",0,"1")</f>
        <v>×</v>
      </c>
      <c r="G416" s="37" t="str">
        <f t="array" ref="G416">XLOOKUP($B416,'本部部署'!A:A,'本部部署'!A:A,"×",0,"1")</f>
        <v>×</v>
      </c>
    </row>
    <row r="417">
      <c r="A417" s="8" t="s">
        <v>1062</v>
      </c>
      <c r="B417" s="8" t="s">
        <v>1111</v>
      </c>
      <c r="C417" s="8" t="s">
        <v>1181</v>
      </c>
      <c r="D417" s="37" t="str">
        <f t="array" ref="D417">XLOOKUP($A417,'本部部署'!A:A,'本部部署'!A:A,"×",0,"1")</f>
        <v>×</v>
      </c>
      <c r="E417" s="37" t="str">
        <f t="array" ref="E417">XLOOKUP($B417,'本部部署'!B:B,'本部部署'!B:B,"×",0,"1")</f>
        <v>×</v>
      </c>
      <c r="F417" s="37" t="str">
        <f t="array" ref="F417">XLOOKUP($A417,'本部部署'!B:B,'本部部署'!B:B,"×",0,"1")</f>
        <v>×</v>
      </c>
      <c r="G417" s="37" t="str">
        <f t="array" ref="G417">XLOOKUP($B417,'本部部署'!A:A,'本部部署'!A:A,"×",0,"1")</f>
        <v>×</v>
      </c>
      <c r="H417" s="7" t="s">
        <v>298</v>
      </c>
    </row>
    <row r="418">
      <c r="A418" s="8" t="s">
        <v>1062</v>
      </c>
      <c r="B418" s="8" t="s">
        <v>1237</v>
      </c>
      <c r="C418" s="8" t="s">
        <v>1181</v>
      </c>
      <c r="D418" s="37" t="str">
        <f t="array" ref="D418">XLOOKUP($A418,'本部部署'!A:A,'本部部署'!A:A,"×",0,"1")</f>
        <v>×</v>
      </c>
      <c r="E418" s="37" t="str">
        <f t="array" ref="E418">XLOOKUP($B418,'本部部署'!B:B,'本部部署'!B:B,"×",0,"1")</f>
        <v>×</v>
      </c>
      <c r="F418" s="37" t="str">
        <f t="array" ref="F418">XLOOKUP($A418,'本部部署'!B:B,'本部部署'!B:B,"×",0,"1")</f>
        <v>×</v>
      </c>
      <c r="G418" s="37" t="str">
        <f t="array" ref="G418">XLOOKUP($B418,'本部部署'!A:A,'本部部署'!A:A,"×",0,"1")</f>
        <v>×</v>
      </c>
      <c r="H418" s="7" t="s">
        <v>298</v>
      </c>
    </row>
    <row r="419">
      <c r="A419" s="8" t="s">
        <v>1065</v>
      </c>
      <c r="B419" s="8" t="s">
        <v>1318</v>
      </c>
      <c r="C419" s="8" t="s">
        <v>1181</v>
      </c>
      <c r="D419" s="37" t="str">
        <f t="array" ref="D419">XLOOKUP($A419,'本部部署'!A:A,'本部部署'!A:A,"×",0,"1")</f>
        <v>×</v>
      </c>
      <c r="E419" s="37" t="str">
        <f t="array" ref="E419">XLOOKUP($B419,'本部部署'!B:B,'本部部署'!B:B,"×",0,"1")</f>
        <v>×</v>
      </c>
      <c r="F419" s="37" t="str">
        <f t="array" ref="F419">XLOOKUP($A419,'本部部署'!B:B,'本部部署'!B:B,"×",0,"1")</f>
        <v>×</v>
      </c>
      <c r="G419" s="37" t="str">
        <f t="array" ref="G419">XLOOKUP($B419,'本部部署'!A:A,'本部部署'!A:A,"×",0,"1")</f>
        <v>×</v>
      </c>
      <c r="H419" s="7" t="s">
        <v>478</v>
      </c>
    </row>
    <row r="420">
      <c r="A420" s="8" t="s">
        <v>1065</v>
      </c>
      <c r="B420" s="8" t="s">
        <v>1319</v>
      </c>
      <c r="C420" s="8" t="s">
        <v>1181</v>
      </c>
      <c r="D420" s="37" t="str">
        <f t="array" ref="D420">XLOOKUP($A420,'本部部署'!A:A,'本部部署'!A:A,"×",0,"1")</f>
        <v>×</v>
      </c>
      <c r="E420" s="37" t="str">
        <f t="array" ref="E420">XLOOKUP($B420,'本部部署'!B:B,'本部部署'!B:B,"×",0,"1")</f>
        <v>×</v>
      </c>
      <c r="F420" s="37" t="str">
        <f t="array" ref="F420">XLOOKUP($A420,'本部部署'!B:B,'本部部署'!B:B,"×",0,"1")</f>
        <v>×</v>
      </c>
      <c r="G420" s="37" t="str">
        <f t="array" ref="G420">XLOOKUP($B420,'本部部署'!A:A,'本部部署'!A:A,"×",0,"1")</f>
        <v>×</v>
      </c>
      <c r="H420" s="7" t="s">
        <v>478</v>
      </c>
    </row>
    <row r="421">
      <c r="A421" s="8" t="s">
        <v>1065</v>
      </c>
      <c r="B421" s="8" t="s">
        <v>1320</v>
      </c>
      <c r="C421" s="8" t="s">
        <v>1181</v>
      </c>
      <c r="D421" s="37" t="str">
        <f t="array" ref="D421">XLOOKUP($A421,'本部部署'!A:A,'本部部署'!A:A,"×",0,"1")</f>
        <v>×</v>
      </c>
      <c r="E421" s="37" t="str">
        <f t="array" ref="E421">XLOOKUP($B421,'本部部署'!B:B,'本部部署'!B:B,"×",0,"1")</f>
        <v>×</v>
      </c>
      <c r="F421" s="37" t="str">
        <f t="array" ref="F421">XLOOKUP($A421,'本部部署'!B:B,'本部部署'!B:B,"×",0,"1")</f>
        <v>×</v>
      </c>
      <c r="G421" s="37" t="str">
        <f t="array" ref="G421">XLOOKUP($B421,'本部部署'!A:A,'本部部署'!A:A,"×",0,"1")</f>
        <v>×</v>
      </c>
      <c r="H421" s="7" t="s">
        <v>298</v>
      </c>
    </row>
    <row r="422">
      <c r="A422" s="8" t="s">
        <v>1065</v>
      </c>
      <c r="B422" s="8" t="s">
        <v>1321</v>
      </c>
      <c r="C422" s="8" t="s">
        <v>1181</v>
      </c>
      <c r="D422" s="37" t="str">
        <f t="array" ref="D422">XLOOKUP($A422,'本部部署'!A:A,'本部部署'!A:A,"×",0,"1")</f>
        <v>×</v>
      </c>
      <c r="E422" s="37" t="str">
        <f t="array" ref="E422">XLOOKUP($B422,'本部部署'!B:B,'本部部署'!B:B,"×",0,"1")</f>
        <v>×</v>
      </c>
      <c r="F422" s="37" t="str">
        <f t="array" ref="F422">XLOOKUP($A422,'本部部署'!B:B,'本部部署'!B:B,"×",0,"1")</f>
        <v>×</v>
      </c>
      <c r="G422" s="37" t="str">
        <f t="array" ref="G422">XLOOKUP($B422,'本部部署'!A:A,'本部部署'!A:A,"×",0,"1")</f>
        <v>×</v>
      </c>
      <c r="H422" s="7" t="s">
        <v>478</v>
      </c>
    </row>
    <row r="423">
      <c r="A423" s="8" t="s">
        <v>1065</v>
      </c>
      <c r="B423" s="8" t="s">
        <v>1322</v>
      </c>
      <c r="C423" s="8" t="s">
        <v>1181</v>
      </c>
      <c r="D423" s="37" t="str">
        <f t="array" ref="D423">XLOOKUP($A423,'本部部署'!A:A,'本部部署'!A:A,"×",0,"1")</f>
        <v>×</v>
      </c>
      <c r="E423" s="37" t="str">
        <f t="array" ref="E423">XLOOKUP($B423,'本部部署'!B:B,'本部部署'!B:B,"×",0,"1")</f>
        <v>×</v>
      </c>
      <c r="F423" s="37" t="str">
        <f t="array" ref="F423">XLOOKUP($A423,'本部部署'!B:B,'本部部署'!B:B,"×",0,"1")</f>
        <v>×</v>
      </c>
      <c r="G423" s="37" t="str">
        <f t="array" ref="G423">XLOOKUP($B423,'本部部署'!A:A,'本部部署'!A:A,"×",0,"1")</f>
        <v>×</v>
      </c>
      <c r="H423" s="7" t="s">
        <v>478</v>
      </c>
    </row>
    <row r="424">
      <c r="A424" s="8" t="s">
        <v>1065</v>
      </c>
      <c r="B424" s="8" t="s">
        <v>444</v>
      </c>
      <c r="C424" s="8" t="s">
        <v>1181</v>
      </c>
      <c r="D424" s="37" t="str">
        <f t="array" ref="D424">XLOOKUP($A424,'本部部署'!A:A,'本部部署'!A:A,"×",0,"1")</f>
        <v>×</v>
      </c>
      <c r="E424" s="37" t="str">
        <f t="array" ref="E424">XLOOKUP($B424,'本部部署'!B:B,'本部部署'!B:B,"×",0,"1")</f>
        <v>×</v>
      </c>
      <c r="F424" s="37" t="str">
        <f t="array" ref="F424">XLOOKUP($A424,'本部部署'!B:B,'本部部署'!B:B,"×",0,"1")</f>
        <v>×</v>
      </c>
      <c r="G424" s="37" t="str">
        <f t="array" ref="G424">XLOOKUP($B424,'本部部署'!A:A,'本部部署'!A:A,"×",0,"1")</f>
        <v>×</v>
      </c>
      <c r="H424" s="7" t="s">
        <v>478</v>
      </c>
    </row>
    <row r="425">
      <c r="A425" s="8" t="s">
        <v>1065</v>
      </c>
      <c r="B425" s="8" t="s">
        <v>1323</v>
      </c>
      <c r="C425" s="8" t="s">
        <v>1181</v>
      </c>
      <c r="D425" s="37" t="str">
        <f t="array" ref="D425">XLOOKUP($A425,'本部部署'!A:A,'本部部署'!A:A,"×",0,"1")</f>
        <v>×</v>
      </c>
      <c r="E425" s="37" t="str">
        <f t="array" ref="E425">XLOOKUP($B425,'本部部署'!B:B,'本部部署'!B:B,"×",0,"1")</f>
        <v>×</v>
      </c>
      <c r="F425" s="37" t="str">
        <f t="array" ref="F425">XLOOKUP($A425,'本部部署'!B:B,'本部部署'!B:B,"×",0,"1")</f>
        <v>×</v>
      </c>
      <c r="G425" s="37" t="str">
        <f t="array" ref="G425">XLOOKUP($B425,'本部部署'!A:A,'本部部署'!A:A,"×",0,"1")</f>
        <v>×</v>
      </c>
      <c r="H425" s="7" t="s">
        <v>478</v>
      </c>
    </row>
    <row r="426">
      <c r="A426" s="8" t="s">
        <v>1065</v>
      </c>
      <c r="B426" s="8" t="s">
        <v>1324</v>
      </c>
      <c r="C426" s="8" t="s">
        <v>1181</v>
      </c>
      <c r="D426" s="37" t="str">
        <f t="array" ref="D426">XLOOKUP($A426,'本部部署'!A:A,'本部部署'!A:A,"×",0,"1")</f>
        <v>×</v>
      </c>
      <c r="E426" s="37" t="str">
        <f t="array" ref="E426">XLOOKUP($B426,'本部部署'!B:B,'本部部署'!B:B,"×",0,"1")</f>
        <v>×</v>
      </c>
      <c r="F426" s="37" t="str">
        <f t="array" ref="F426">XLOOKUP($A426,'本部部署'!B:B,'本部部署'!B:B,"×",0,"1")</f>
        <v>×</v>
      </c>
      <c r="G426" s="37" t="str">
        <f t="array" ref="G426">XLOOKUP($B426,'本部部署'!A:A,'本部部署'!A:A,"×",0,"1")</f>
        <v>×</v>
      </c>
      <c r="H426" s="7" t="s">
        <v>478</v>
      </c>
    </row>
    <row r="427">
      <c r="A427" s="8" t="s">
        <v>1065</v>
      </c>
      <c r="B427" s="8" t="s">
        <v>1204</v>
      </c>
      <c r="C427" s="8" t="s">
        <v>1181</v>
      </c>
      <c r="D427" s="37" t="str">
        <f t="array" ref="D427">XLOOKUP($A427,'本部部署'!A:A,'本部部署'!A:A,"×",0,"1")</f>
        <v>×</v>
      </c>
      <c r="E427" s="37" t="str">
        <f t="array" ref="E427">XLOOKUP($B427,'本部部署'!B:B,'本部部署'!B:B,"×",0,"1")</f>
        <v>×</v>
      </c>
      <c r="F427" s="37" t="str">
        <f t="array" ref="F427">XLOOKUP($A427,'本部部署'!B:B,'本部部署'!B:B,"×",0,"1")</f>
        <v>×</v>
      </c>
      <c r="G427" s="37" t="str">
        <f t="array" ref="G427">XLOOKUP($B427,'本部部署'!A:A,'本部部署'!A:A,"×",0,"1")</f>
        <v>×</v>
      </c>
      <c r="H427" s="7" t="s">
        <v>1105</v>
      </c>
    </row>
    <row r="428">
      <c r="A428" s="8" t="s">
        <v>1068</v>
      </c>
      <c r="B428" s="8" t="s">
        <v>1225</v>
      </c>
      <c r="C428" s="8" t="s">
        <v>1102</v>
      </c>
      <c r="D428" s="37" t="str">
        <f t="array" ref="D428">XLOOKUP($A428,'本部部署'!A:A,'本部部署'!A:A,"×",0,"1")</f>
        <v>×</v>
      </c>
      <c r="E428" s="37" t="str">
        <f t="array" ref="E428">XLOOKUP($B428,'本部部署'!B:B,'本部部署'!B:B,"×",0,"1")</f>
        <v>×</v>
      </c>
      <c r="F428" s="37" t="str">
        <f t="array" ref="F428">XLOOKUP($A428,'本部部署'!B:B,'本部部署'!B:B,"×",0,"1")</f>
        <v>×</v>
      </c>
      <c r="G428" s="37" t="str">
        <f t="array" ref="G428">XLOOKUP($B428,'本部部署'!A:A,'本部部署'!A:A,"×",0,"1")</f>
        <v>×</v>
      </c>
      <c r="H428" s="7" t="s">
        <v>1188</v>
      </c>
    </row>
    <row r="429">
      <c r="A429" s="8" t="s">
        <v>1068</v>
      </c>
      <c r="B429" s="8" t="s">
        <v>1227</v>
      </c>
      <c r="C429" s="8" t="s">
        <v>1102</v>
      </c>
      <c r="D429" s="37" t="str">
        <f t="array" ref="D429">XLOOKUP($A429,'本部部署'!A:A,'本部部署'!A:A,"×",0,"1")</f>
        <v>×</v>
      </c>
      <c r="E429" s="37" t="str">
        <f t="array" ref="E429">XLOOKUP($B429,'本部部署'!B:B,'本部部署'!B:B,"×",0,"1")</f>
        <v>×</v>
      </c>
      <c r="F429" s="37" t="str">
        <f t="array" ref="F429">XLOOKUP($A429,'本部部署'!B:B,'本部部署'!B:B,"×",0,"1")</f>
        <v>×</v>
      </c>
      <c r="G429" s="37" t="str">
        <f t="array" ref="G429">XLOOKUP($B429,'本部部署'!A:A,'本部部署'!A:A,"×",0,"1")</f>
        <v>×</v>
      </c>
      <c r="H429" s="7" t="s">
        <v>693</v>
      </c>
    </row>
    <row r="430">
      <c r="A430" s="8" t="s">
        <v>1068</v>
      </c>
      <c r="B430" s="8" t="s">
        <v>1111</v>
      </c>
      <c r="C430" s="8" t="s">
        <v>1102</v>
      </c>
      <c r="D430" s="37" t="str">
        <f t="array" ref="D430">XLOOKUP($A430,'本部部署'!A:A,'本部部署'!A:A,"×",0,"1")</f>
        <v>×</v>
      </c>
      <c r="E430" s="37" t="str">
        <f t="array" ref="E430">XLOOKUP($B430,'本部部署'!B:B,'本部部署'!B:B,"×",0,"1")</f>
        <v>×</v>
      </c>
      <c r="F430" s="37" t="str">
        <f t="array" ref="F430">XLOOKUP($A430,'本部部署'!B:B,'本部部署'!B:B,"×",0,"1")</f>
        <v>×</v>
      </c>
      <c r="G430" s="37" t="str">
        <f t="array" ref="G430">XLOOKUP($B430,'本部部署'!A:A,'本部部署'!A:A,"×",0,"1")</f>
        <v>×</v>
      </c>
      <c r="H430" s="7" t="s">
        <v>1105</v>
      </c>
    </row>
    <row r="431">
      <c r="A431" s="8" t="s">
        <v>1068</v>
      </c>
      <c r="B431" s="8" t="s">
        <v>1229</v>
      </c>
      <c r="C431" s="8" t="s">
        <v>1102</v>
      </c>
      <c r="D431" s="37" t="str">
        <f t="array" ref="D431">XLOOKUP($A431,'本部部署'!A:A,'本部部署'!A:A,"×",0,"1")</f>
        <v>×</v>
      </c>
      <c r="E431" s="37" t="str">
        <f t="array" ref="E431">XLOOKUP($B431,'本部部署'!B:B,'本部部署'!B:B,"×",0,"1")</f>
        <v>×</v>
      </c>
      <c r="F431" s="37" t="str">
        <f t="array" ref="F431">XLOOKUP($A431,'本部部署'!B:B,'本部部署'!B:B,"×",0,"1")</f>
        <v>×</v>
      </c>
      <c r="G431" s="37" t="str">
        <f t="array" ref="G431">XLOOKUP($B431,'本部部署'!A:A,'本部部署'!A:A,"×",0,"1")</f>
        <v>×</v>
      </c>
      <c r="H431" s="7" t="s">
        <v>1188</v>
      </c>
    </row>
    <row r="432">
      <c r="A432" s="8" t="s">
        <v>1071</v>
      </c>
      <c r="B432" s="8" t="s">
        <v>1286</v>
      </c>
      <c r="C432" s="8" t="s">
        <v>1181</v>
      </c>
      <c r="D432" s="37" t="str">
        <f t="array" ref="D432">XLOOKUP($A432,'本部部署'!A:A,'本部部署'!A:A,"×",0,"1")</f>
        <v>×</v>
      </c>
      <c r="E432" s="37" t="str">
        <f t="array" ref="E432">XLOOKUP($B432,'本部部署'!B:B,'本部部署'!B:B,"×",0,"1")</f>
        <v>×</v>
      </c>
      <c r="F432" s="37" t="str">
        <f t="array" ref="F432">XLOOKUP($A432,'本部部署'!B:B,'本部部署'!B:B,"×",0,"1")</f>
        <v>×</v>
      </c>
      <c r="G432" s="37" t="str">
        <f t="array" ref="G432">XLOOKUP($B432,'本部部署'!A:A,'本部部署'!A:A,"×",0,"1")</f>
        <v>×</v>
      </c>
      <c r="H432" s="7" t="s">
        <v>1215</v>
      </c>
    </row>
    <row r="433">
      <c r="A433" s="8" t="s">
        <v>1071</v>
      </c>
      <c r="B433" s="8" t="s">
        <v>1289</v>
      </c>
      <c r="C433" s="8" t="s">
        <v>1181</v>
      </c>
      <c r="D433" s="37" t="str">
        <f t="array" ref="D433">XLOOKUP($A433,'本部部署'!A:A,'本部部署'!A:A,"×",0,"1")</f>
        <v>×</v>
      </c>
      <c r="E433" s="37" t="str">
        <f t="array" ref="E433">XLOOKUP($B433,'本部部署'!B:B,'本部部署'!B:B,"×",0,"1")</f>
        <v>×</v>
      </c>
      <c r="F433" s="37" t="str">
        <f t="array" ref="F433">XLOOKUP($A433,'本部部署'!B:B,'本部部署'!B:B,"×",0,"1")</f>
        <v>×</v>
      </c>
      <c r="G433" s="37" t="str">
        <f t="array" ref="G433">XLOOKUP($B433,'本部部署'!A:A,'本部部署'!A:A,"×",0,"1")</f>
        <v>×</v>
      </c>
      <c r="H433" s="7" t="s">
        <v>1246</v>
      </c>
    </row>
    <row r="434">
      <c r="A434" s="8" t="s">
        <v>1071</v>
      </c>
      <c r="B434" s="8" t="s">
        <v>1290</v>
      </c>
      <c r="C434" s="8" t="s">
        <v>1181</v>
      </c>
      <c r="D434" s="37" t="str">
        <f t="array" ref="D434">XLOOKUP($A434,'本部部署'!A:A,'本部部署'!A:A,"×",0,"1")</f>
        <v>×</v>
      </c>
      <c r="E434" s="37" t="str">
        <f t="array" ref="E434">XLOOKUP($B434,'本部部署'!B:B,'本部部署'!B:B,"×",0,"1")</f>
        <v>×</v>
      </c>
      <c r="F434" s="37" t="str">
        <f t="array" ref="F434">XLOOKUP($A434,'本部部署'!B:B,'本部部署'!B:B,"×",0,"1")</f>
        <v>×</v>
      </c>
      <c r="G434" s="37" t="str">
        <f t="array" ref="G434">XLOOKUP($B434,'本部部署'!A:A,'本部部署'!A:A,"×",0,"1")</f>
        <v>×</v>
      </c>
      <c r="H434" s="7" t="s">
        <v>1291</v>
      </c>
    </row>
    <row r="435">
      <c r="A435" s="8" t="s">
        <v>1071</v>
      </c>
      <c r="B435" s="8" t="s">
        <v>1292</v>
      </c>
      <c r="C435" s="8" t="s">
        <v>1181</v>
      </c>
      <c r="D435" s="37" t="str">
        <f t="array" ref="D435">XLOOKUP($A435,'本部部署'!A:A,'本部部署'!A:A,"×",0,"1")</f>
        <v>×</v>
      </c>
      <c r="E435" s="37" t="str">
        <f t="array" ref="E435">XLOOKUP($B435,'本部部署'!B:B,'本部部署'!B:B,"×",0,"1")</f>
        <v>×</v>
      </c>
      <c r="F435" s="37" t="str">
        <f t="array" ref="F435">XLOOKUP($A435,'本部部署'!B:B,'本部部署'!B:B,"×",0,"1")</f>
        <v>×</v>
      </c>
      <c r="G435" s="37" t="str">
        <f t="array" ref="G435">XLOOKUP($B435,'本部部署'!A:A,'本部部署'!A:A,"×",0,"1")</f>
        <v>×</v>
      </c>
      <c r="H435" s="7" t="s">
        <v>391</v>
      </c>
    </row>
    <row r="436">
      <c r="A436" s="8" t="s">
        <v>1071</v>
      </c>
      <c r="B436" s="8" t="s">
        <v>1104</v>
      </c>
      <c r="C436" s="8" t="s">
        <v>1181</v>
      </c>
      <c r="D436" s="37" t="str">
        <f t="array" ref="D436">XLOOKUP($A436,'本部部署'!A:A,'本部部署'!A:A,"×",0,"1")</f>
        <v>×</v>
      </c>
      <c r="E436" s="37" t="str">
        <f t="array" ref="E436">XLOOKUP($B436,'本部部署'!B:B,'本部部署'!B:B,"×",0,"1")</f>
        <v>×</v>
      </c>
      <c r="F436" s="37" t="str">
        <f t="array" ref="F436">XLOOKUP($A436,'本部部署'!B:B,'本部部署'!B:B,"×",0,"1")</f>
        <v>×</v>
      </c>
      <c r="G436" s="37" t="str">
        <f t="array" ref="G436">XLOOKUP($B436,'本部部署'!A:A,'本部部署'!A:A,"×",0,"1")</f>
        <v>×</v>
      </c>
      <c r="H436" s="7" t="s">
        <v>1105</v>
      </c>
    </row>
    <row r="437">
      <c r="A437" s="8" t="s">
        <v>1072</v>
      </c>
      <c r="B437" s="8" t="s">
        <v>1325</v>
      </c>
      <c r="C437" s="8" t="s">
        <v>1052</v>
      </c>
      <c r="D437" s="37" t="str">
        <f t="array" ref="D437">XLOOKUP($A437,'本部部署'!A:A,'本部部署'!A:A,"×",0,"1")</f>
        <v>×</v>
      </c>
      <c r="E437" s="37" t="str">
        <f t="array" ref="E437">XLOOKUP($B437,'本部部署'!B:B,'本部部署'!B:B,"×",0,"1")</f>
        <v>×</v>
      </c>
      <c r="F437" s="37" t="str">
        <f t="array" ref="F437">XLOOKUP($A437,'本部部署'!B:B,'本部部署'!B:B,"×",0,"1")</f>
        <v>×</v>
      </c>
      <c r="G437" s="37" t="str">
        <f t="array" ref="G437">XLOOKUP($B437,'本部部署'!A:A,'本部部署'!A:A,"×",0,"1")</f>
        <v>×</v>
      </c>
      <c r="H437" s="7" t="s">
        <v>1105</v>
      </c>
    </row>
    <row r="438">
      <c r="A438" s="8" t="s">
        <v>1075</v>
      </c>
      <c r="B438" s="8" t="s">
        <v>1131</v>
      </c>
      <c r="C438" s="8" t="s">
        <v>1102</v>
      </c>
      <c r="D438" s="37" t="str">
        <f t="array" ref="D438">XLOOKUP($A438,'本部部署'!A:A,'本部部署'!A:A,"×",0,"1")</f>
        <v>×</v>
      </c>
      <c r="E438" s="37" t="str">
        <f t="array" ref="E438">XLOOKUP($B438,'本部部署'!B:B,'本部部署'!B:B,"×",0,"1")</f>
        <v>×</v>
      </c>
      <c r="F438" s="37" t="str">
        <f t="array" ref="F438">XLOOKUP($A438,'本部部署'!B:B,'本部部署'!B:B,"×",0,"1")</f>
        <v>×</v>
      </c>
      <c r="G438" s="37" t="str">
        <f t="array" ref="G438">XLOOKUP($B438,'本部部署'!A:A,'本部部署'!A:A,"×",0,"1")</f>
        <v>×</v>
      </c>
      <c r="H438" s="7" t="s">
        <v>1097</v>
      </c>
    </row>
    <row r="439">
      <c r="A439" s="8" t="s">
        <v>1075</v>
      </c>
      <c r="B439" s="8" t="s">
        <v>1326</v>
      </c>
      <c r="C439" s="8" t="s">
        <v>1102</v>
      </c>
      <c r="D439" s="37" t="str">
        <f t="array" ref="D439">XLOOKUP($A439,'本部部署'!A:A,'本部部署'!A:A,"×",0,"1")</f>
        <v>×</v>
      </c>
      <c r="E439" s="37" t="str">
        <f t="array" ref="E439">XLOOKUP($B439,'本部部署'!B:B,'本部部署'!B:B,"×",0,"1")</f>
        <v>×</v>
      </c>
      <c r="F439" s="37" t="str">
        <f t="array" ref="F439">XLOOKUP($A439,'本部部署'!B:B,'本部部署'!B:B,"×",0,"1")</f>
        <v>×</v>
      </c>
      <c r="G439" s="37" t="str">
        <f t="array" ref="G439">XLOOKUP($B439,'本部部署'!A:A,'本部部署'!A:A,"×",0,"1")</f>
        <v>×</v>
      </c>
      <c r="H439" s="7" t="s">
        <v>693</v>
      </c>
    </row>
    <row r="440">
      <c r="A440" s="8" t="s">
        <v>1075</v>
      </c>
      <c r="B440" s="8" t="s">
        <v>1327</v>
      </c>
      <c r="C440" s="8" t="s">
        <v>1102</v>
      </c>
      <c r="D440" s="37" t="str">
        <f t="array" ref="D440">XLOOKUP($A440,'本部部署'!A:A,'本部部署'!A:A,"×",0,"1")</f>
        <v>×</v>
      </c>
      <c r="E440" s="37" t="str">
        <f t="array" ref="E440">XLOOKUP($B440,'本部部署'!B:B,'本部部署'!B:B,"×",0,"1")</f>
        <v>×</v>
      </c>
      <c r="F440" s="37" t="str">
        <f t="array" ref="F440">XLOOKUP($A440,'本部部署'!B:B,'本部部署'!B:B,"×",0,"1")</f>
        <v>×</v>
      </c>
      <c r="G440" s="37" t="str">
        <f t="array" ref="G440">XLOOKUP($B440,'本部部署'!A:A,'本部部署'!A:A,"×",0,"1")</f>
        <v>×</v>
      </c>
      <c r="H440" s="7" t="s">
        <v>1188</v>
      </c>
    </row>
    <row r="441">
      <c r="A441" s="8" t="s">
        <v>1075</v>
      </c>
      <c r="B441" s="8" t="s">
        <v>1109</v>
      </c>
      <c r="C441" s="8" t="s">
        <v>1102</v>
      </c>
      <c r="D441" s="37" t="str">
        <f t="array" ref="D441">XLOOKUP($A441,'本部部署'!A:A,'本部部署'!A:A,"×",0,"1")</f>
        <v>×</v>
      </c>
      <c r="E441" s="37" t="str">
        <f t="array" ref="E441">XLOOKUP($B441,'本部部署'!B:B,'本部部署'!B:B,"×",0,"1")</f>
        <v>×</v>
      </c>
      <c r="F441" s="37" t="str">
        <f t="array" ref="F441">XLOOKUP($A441,'本部部署'!B:B,'本部部署'!B:B,"×",0,"1")</f>
        <v>×</v>
      </c>
      <c r="G441" s="37" t="str">
        <f t="array" ref="G441">XLOOKUP($B441,'本部部署'!A:A,'本部部署'!A:A,"×",0,"1")</f>
        <v>×</v>
      </c>
      <c r="H441" s="7" t="s">
        <v>1110</v>
      </c>
    </row>
    <row r="442">
      <c r="A442" s="8" t="s">
        <v>1075</v>
      </c>
      <c r="B442" s="8" t="s">
        <v>1188</v>
      </c>
      <c r="C442" s="8" t="s">
        <v>1102</v>
      </c>
      <c r="D442" s="37" t="str">
        <f t="array" ref="D442">XLOOKUP($A442,'本部部署'!A:A,'本部部署'!A:A,"×",0,"1")</f>
        <v>×</v>
      </c>
      <c r="E442" s="37" t="str">
        <f t="array" ref="E442">XLOOKUP($B442,'本部部署'!B:B,'本部部署'!B:B,"×",0,"1")</f>
        <v>×</v>
      </c>
      <c r="F442" s="37" t="str">
        <f t="array" ref="F442">XLOOKUP($A442,'本部部署'!B:B,'本部部署'!B:B,"×",0,"1")</f>
        <v>×</v>
      </c>
      <c r="G442" s="37" t="str">
        <f t="array" ref="G442">XLOOKUP($B442,'本部部署'!A:A,'本部部署'!A:A,"×",0,"1")</f>
        <v>×</v>
      </c>
      <c r="H442" s="7" t="s">
        <v>1188</v>
      </c>
    </row>
    <row r="443">
      <c r="A443" s="8" t="s">
        <v>1075</v>
      </c>
      <c r="B443" s="8" t="s">
        <v>1328</v>
      </c>
      <c r="C443" s="8" t="s">
        <v>1102</v>
      </c>
      <c r="D443" s="37" t="str">
        <f t="array" ref="D443">XLOOKUP($A443,'本部部署'!A:A,'本部部署'!A:A,"×",0,"1")</f>
        <v>×</v>
      </c>
      <c r="E443" s="37" t="str">
        <f t="array" ref="E443">XLOOKUP($B443,'本部部署'!B:B,'本部部署'!B:B,"×",0,"1")</f>
        <v>×</v>
      </c>
      <c r="F443" s="37" t="str">
        <f t="array" ref="F443">XLOOKUP($A443,'本部部署'!B:B,'本部部署'!B:B,"×",0,"1")</f>
        <v>×</v>
      </c>
      <c r="G443" s="37" t="str">
        <f t="array" ref="G443">XLOOKUP($B443,'本部部署'!A:A,'本部部署'!A:A,"×",0,"1")</f>
        <v>×</v>
      </c>
      <c r="H443" s="7" t="s">
        <v>1103</v>
      </c>
    </row>
    <row r="444">
      <c r="A444" s="8" t="s">
        <v>1075</v>
      </c>
      <c r="B444" s="8" t="s">
        <v>1111</v>
      </c>
      <c r="C444" s="8" t="s">
        <v>1102</v>
      </c>
      <c r="D444" s="37" t="str">
        <f t="array" ref="D444">XLOOKUP($A444,'本部部署'!A:A,'本部部署'!A:A,"×",0,"1")</f>
        <v>×</v>
      </c>
      <c r="E444" s="37" t="str">
        <f t="array" ref="E444">XLOOKUP($B444,'本部部署'!B:B,'本部部署'!B:B,"×",0,"1")</f>
        <v>×</v>
      </c>
      <c r="F444" s="37" t="str">
        <f t="array" ref="F444">XLOOKUP($A444,'本部部署'!B:B,'本部部署'!B:B,"×",0,"1")</f>
        <v>×</v>
      </c>
      <c r="G444" s="37" t="str">
        <f t="array" ref="G444">XLOOKUP($B444,'本部部署'!A:A,'本部部署'!A:A,"×",0,"1")</f>
        <v>×</v>
      </c>
      <c r="H444" s="7" t="s">
        <v>1105</v>
      </c>
    </row>
    <row r="445">
      <c r="A445" s="8" t="s">
        <v>1075</v>
      </c>
      <c r="B445" s="8" t="s">
        <v>1112</v>
      </c>
      <c r="C445" s="8" t="s">
        <v>1102</v>
      </c>
      <c r="D445" s="37" t="str">
        <f t="array" ref="D445">XLOOKUP($A445,'本部部署'!A:A,'本部部署'!A:A,"×",0,"1")</f>
        <v>×</v>
      </c>
      <c r="E445" s="37" t="str">
        <f t="array" ref="E445">XLOOKUP($B445,'本部部署'!B:B,'本部部署'!B:B,"×",0,"1")</f>
        <v>×</v>
      </c>
      <c r="F445" s="37" t="str">
        <f t="array" ref="F445">XLOOKUP($A445,'本部部署'!B:B,'本部部署'!B:B,"×",0,"1")</f>
        <v>×</v>
      </c>
      <c r="G445" s="37" t="str">
        <f t="array" ref="G445">XLOOKUP($B445,'本部部署'!A:A,'本部部署'!A:A,"×",0,"1")</f>
        <v>×</v>
      </c>
      <c r="H445" s="7" t="s">
        <v>1110</v>
      </c>
    </row>
    <row r="446">
      <c r="A446" s="8" t="s">
        <v>1078</v>
      </c>
      <c r="B446" s="8" t="s">
        <v>1329</v>
      </c>
      <c r="C446" s="8" t="s">
        <v>1102</v>
      </c>
      <c r="D446" s="37" t="str">
        <f t="array" ref="D446">XLOOKUP($A446,'本部部署'!A:A,'本部部署'!A:A,"×",0,"1")</f>
        <v>×</v>
      </c>
      <c r="E446" s="37" t="str">
        <f t="array" ref="E446">XLOOKUP($B446,'本部部署'!B:B,'本部部署'!B:B,"×",0,"1")</f>
        <v>×</v>
      </c>
      <c r="F446" s="37" t="str">
        <f t="array" ref="F446">XLOOKUP($A446,'本部部署'!B:B,'本部部署'!B:B,"×",0,"1")</f>
        <v>×</v>
      </c>
      <c r="G446" s="37" t="str">
        <f t="array" ref="G446">XLOOKUP($B446,'本部部署'!A:A,'本部部署'!A:A,"×",0,"1")</f>
        <v>×</v>
      </c>
      <c r="H446" s="7" t="s">
        <v>587</v>
      </c>
    </row>
    <row r="447">
      <c r="A447" s="8" t="s">
        <v>1078</v>
      </c>
      <c r="B447" s="8" t="s">
        <v>432</v>
      </c>
      <c r="C447" s="8"/>
      <c r="D447" s="37" t="str">
        <f t="array" ref="D447">XLOOKUP($A447,'本部部署'!A:A,'本部部署'!A:A,"×",0,"1")</f>
        <v>×</v>
      </c>
      <c r="E447" s="37" t="str">
        <f t="array" ref="E447">XLOOKUP($B447,'本部部署'!B:B,'本部部署'!B:B,"×",0,"1")</f>
        <v>経営企画室</v>
      </c>
    </row>
    <row r="448">
      <c r="A448" s="8" t="s">
        <v>1078</v>
      </c>
      <c r="B448" s="8" t="s">
        <v>430</v>
      </c>
      <c r="C448" s="8"/>
      <c r="D448" s="37" t="str">
        <f t="array" ref="D448">XLOOKUP($A448,'本部部署'!A:A,'本部部署'!A:A,"×",0,"1")</f>
        <v>×</v>
      </c>
      <c r="E448" s="37" t="str">
        <f t="array" ref="E448">XLOOKUP($B448,'本部部署'!B:B,'本部部署'!B:B,"×",0,"1")</f>
        <v>経営管理部</v>
      </c>
    </row>
    <row r="449">
      <c r="A449" s="8" t="s">
        <v>1078</v>
      </c>
      <c r="B449" s="8" t="s">
        <v>1330</v>
      </c>
      <c r="C449" s="8" t="s">
        <v>1102</v>
      </c>
      <c r="D449" s="37" t="str">
        <f t="array" ref="D449">XLOOKUP($A449,'本部部署'!A:A,'本部部署'!A:A,"×",0,"1")</f>
        <v>×</v>
      </c>
      <c r="E449" s="37" t="str">
        <f t="array" ref="E449">XLOOKUP($B449,'本部部署'!B:B,'本部部署'!B:B,"×",0,"1")</f>
        <v>×</v>
      </c>
      <c r="F449" s="37" t="str">
        <f t="array" ref="F449">XLOOKUP($A449,'本部部署'!B:B,'本部部署'!B:B,"×",0,"1")</f>
        <v>×</v>
      </c>
      <c r="G449" s="37" t="str">
        <f t="array" ref="G449">XLOOKUP($B449,'本部部署'!A:A,'本部部署'!A:A,"×",0,"1")</f>
        <v>×</v>
      </c>
      <c r="H449" s="7" t="s">
        <v>1331</v>
      </c>
    </row>
    <row r="450">
      <c r="A450" s="8" t="s">
        <v>1078</v>
      </c>
      <c r="B450" s="8" t="s">
        <v>1332</v>
      </c>
      <c r="C450" s="8" t="s">
        <v>1102</v>
      </c>
      <c r="D450" s="37" t="str">
        <f t="array" ref="D450">XLOOKUP($A450,'本部部署'!A:A,'本部部署'!A:A,"×",0,"1")</f>
        <v>×</v>
      </c>
      <c r="E450" s="37" t="str">
        <f t="array" ref="E450">XLOOKUP($B450,'本部部署'!B:B,'本部部署'!B:B,"×",0,"1")</f>
        <v>×</v>
      </c>
      <c r="F450" s="37" t="str">
        <f t="array" ref="F450">XLOOKUP($A450,'本部部署'!B:B,'本部部署'!B:B,"×",0,"1")</f>
        <v>×</v>
      </c>
      <c r="G450" s="37" t="str">
        <f t="array" ref="G450">XLOOKUP($B450,'本部部署'!A:A,'本部部署'!A:A,"×",0,"1")</f>
        <v>×</v>
      </c>
      <c r="H450" s="7" t="s">
        <v>1215</v>
      </c>
    </row>
    <row r="451">
      <c r="A451" s="8" t="s">
        <v>1078</v>
      </c>
      <c r="B451" s="8" t="s">
        <v>1232</v>
      </c>
      <c r="C451" s="8" t="s">
        <v>1102</v>
      </c>
      <c r="D451" s="37" t="str">
        <f t="array" ref="D451">XLOOKUP($A451,'本部部署'!A:A,'本部部署'!A:A,"×",0,"1")</f>
        <v>×</v>
      </c>
      <c r="E451" s="37" t="str">
        <f t="array" ref="E451">XLOOKUP($B451,'本部部署'!B:B,'本部部署'!B:B,"×",0,"1")</f>
        <v>×</v>
      </c>
      <c r="F451" s="37" t="str">
        <f t="array" ref="F451">XLOOKUP($A451,'本部部署'!B:B,'本部部署'!B:B,"×",0,"1")</f>
        <v>×</v>
      </c>
      <c r="G451" s="37" t="str">
        <f t="array" ref="G451">XLOOKUP($B451,'本部部署'!A:A,'本部部署'!A:A,"×",0,"1")</f>
        <v>×</v>
      </c>
      <c r="H451" s="7" t="s">
        <v>587</v>
      </c>
    </row>
    <row r="452">
      <c r="A452" s="8" t="s">
        <v>1078</v>
      </c>
      <c r="B452" s="8" t="s">
        <v>1233</v>
      </c>
      <c r="C452" s="8" t="s">
        <v>1102</v>
      </c>
      <c r="D452" s="37" t="str">
        <f t="array" ref="D452">XLOOKUP($A452,'本部部署'!A:A,'本部部署'!A:A,"×",0,"1")</f>
        <v>×</v>
      </c>
      <c r="E452" s="37" t="str">
        <f t="array" ref="E452">XLOOKUP($B452,'本部部署'!B:B,'本部部署'!B:B,"×",0,"1")</f>
        <v>×</v>
      </c>
      <c r="F452" s="37" t="str">
        <f t="array" ref="F452">XLOOKUP($A452,'本部部署'!B:B,'本部部署'!B:B,"×",0,"1")</f>
        <v>×</v>
      </c>
      <c r="G452" s="37" t="str">
        <f t="array" ref="G452">XLOOKUP($B452,'本部部署'!A:A,'本部部署'!A:A,"×",0,"1")</f>
        <v>×</v>
      </c>
      <c r="H452" s="7" t="s">
        <v>587</v>
      </c>
    </row>
    <row r="453">
      <c r="A453" s="8" t="s">
        <v>1078</v>
      </c>
      <c r="B453" s="8" t="s">
        <v>443</v>
      </c>
      <c r="C453" s="8"/>
      <c r="D453" s="37" t="str">
        <f t="array" ref="D453">XLOOKUP($A453,'本部部署'!A:A,'本部部署'!A:A,"×",0,"1")</f>
        <v>×</v>
      </c>
      <c r="E453" s="37" t="str">
        <f t="array" ref="E453">XLOOKUP($B453,'本部部署'!B:B,'本部部署'!B:B,"×",0,"1")</f>
        <v>経営企画部</v>
      </c>
    </row>
    <row r="454">
      <c r="A454" s="8" t="s">
        <v>1078</v>
      </c>
      <c r="B454" s="8" t="s">
        <v>1236</v>
      </c>
      <c r="C454" s="8" t="s">
        <v>1102</v>
      </c>
      <c r="D454" s="37" t="str">
        <f t="array" ref="D454">XLOOKUP($A454,'本部部署'!A:A,'本部部署'!A:A,"×",0,"1")</f>
        <v>×</v>
      </c>
      <c r="E454" s="37" t="str">
        <f t="array" ref="E454">XLOOKUP($B454,'本部部署'!B:B,'本部部署'!B:B,"×",0,"1")</f>
        <v>×</v>
      </c>
      <c r="F454" s="37" t="str">
        <f t="array" ref="F454">XLOOKUP($A454,'本部部署'!B:B,'本部部署'!B:B,"×",0,"1")</f>
        <v>×</v>
      </c>
      <c r="G454" s="37" t="str">
        <f t="array" ref="G454">XLOOKUP($B454,'本部部署'!A:A,'本部部署'!A:A,"×",0,"1")</f>
        <v>×</v>
      </c>
      <c r="H454" s="7" t="s">
        <v>1331</v>
      </c>
    </row>
    <row r="455">
      <c r="A455" s="8" t="s">
        <v>1078</v>
      </c>
      <c r="B455" s="8" t="s">
        <v>1111</v>
      </c>
      <c r="C455" s="8" t="s">
        <v>1102</v>
      </c>
      <c r="D455" s="37" t="str">
        <f t="array" ref="D455">XLOOKUP($A455,'本部部署'!A:A,'本部部署'!A:A,"×",0,"1")</f>
        <v>×</v>
      </c>
      <c r="E455" s="37" t="str">
        <f t="array" ref="E455">XLOOKUP($B455,'本部部署'!B:B,'本部部署'!B:B,"×",0,"1")</f>
        <v>×</v>
      </c>
      <c r="F455" s="37" t="str">
        <f t="array" ref="F455">XLOOKUP($A455,'本部部署'!B:B,'本部部署'!B:B,"×",0,"1")</f>
        <v>×</v>
      </c>
      <c r="G455" s="37" t="str">
        <f t="array" ref="G455">XLOOKUP($B455,'本部部署'!A:A,'本部部署'!A:A,"×",0,"1")</f>
        <v>×</v>
      </c>
      <c r="H455" s="7" t="s">
        <v>1105</v>
      </c>
    </row>
    <row r="456">
      <c r="A456" s="8" t="s">
        <v>1078</v>
      </c>
      <c r="B456" s="8" t="s">
        <v>1333</v>
      </c>
      <c r="C456" s="8" t="s">
        <v>1102</v>
      </c>
      <c r="D456" s="37" t="str">
        <f t="array" ref="D456">XLOOKUP($A456,'本部部署'!A:A,'本部部署'!A:A,"×",0,"1")</f>
        <v>×</v>
      </c>
      <c r="E456" s="37" t="str">
        <f t="array" ref="E456">XLOOKUP($B456,'本部部署'!B:B,'本部部署'!B:B,"×",0,"1")</f>
        <v>×</v>
      </c>
      <c r="F456" s="37" t="str">
        <f t="array" ref="F456">XLOOKUP($A456,'本部部署'!B:B,'本部部署'!B:B,"×",0,"1")</f>
        <v>×</v>
      </c>
      <c r="G456" s="37" t="str">
        <f t="array" ref="G456">XLOOKUP($B456,'本部部署'!A:A,'本部部署'!A:A,"×",0,"1")</f>
        <v>×</v>
      </c>
      <c r="H456" s="7" t="s">
        <v>587</v>
      </c>
    </row>
    <row r="457">
      <c r="A457" s="8" t="s">
        <v>1081</v>
      </c>
      <c r="B457" s="8" t="s">
        <v>1159</v>
      </c>
      <c r="C457" s="8" t="s">
        <v>1102</v>
      </c>
      <c r="D457" s="37" t="str">
        <f t="array" ref="D457">XLOOKUP($A457,'本部部署'!A:A,'本部部署'!A:A,"×",0,"1")</f>
        <v>×</v>
      </c>
      <c r="E457" s="37" t="str">
        <f t="array" ref="E457">XLOOKUP($B457,'本部部署'!B:B,'本部部署'!B:B,"×",0,"1")</f>
        <v>×</v>
      </c>
      <c r="F457" s="37" t="str">
        <f t="array" ref="F457">XLOOKUP($A457,'本部部署'!B:B,'本部部署'!B:B,"×",0,"1")</f>
        <v>×</v>
      </c>
      <c r="G457" s="37" t="str">
        <f t="array" ref="G457">XLOOKUP($B457,'本部部署'!A:A,'本部部署'!A:A,"×",0,"1")</f>
        <v>×</v>
      </c>
      <c r="H457" s="7" t="s">
        <v>693</v>
      </c>
    </row>
    <row r="458">
      <c r="A458" s="8" t="s">
        <v>1081</v>
      </c>
      <c r="B458" s="8" t="s">
        <v>1111</v>
      </c>
      <c r="C458" s="8" t="s">
        <v>1102</v>
      </c>
      <c r="D458" s="37" t="str">
        <f t="array" ref="D458">XLOOKUP($A458,'本部部署'!A:A,'本部部署'!A:A,"×",0,"1")</f>
        <v>×</v>
      </c>
      <c r="E458" s="37" t="str">
        <f t="array" ref="E458">XLOOKUP($B458,'本部部署'!B:B,'本部部署'!B:B,"×",0,"1")</f>
        <v>×</v>
      </c>
      <c r="F458" s="37" t="str">
        <f t="array" ref="F458">XLOOKUP($A458,'本部部署'!B:B,'本部部署'!B:B,"×",0,"1")</f>
        <v>×</v>
      </c>
      <c r="G458" s="37" t="str">
        <f t="array" ref="G458">XLOOKUP($B458,'本部部署'!A:A,'本部部署'!A:A,"×",0,"1")</f>
        <v>×</v>
      </c>
      <c r="H458" s="7" t="s">
        <v>1105</v>
      </c>
    </row>
    <row r="459">
      <c r="A459" s="8" t="s">
        <v>1081</v>
      </c>
      <c r="B459" s="8" t="s">
        <v>1160</v>
      </c>
      <c r="C459" s="8" t="s">
        <v>1102</v>
      </c>
      <c r="D459" s="37" t="str">
        <f t="array" ref="D459">XLOOKUP($A459,'本部部署'!A:A,'本部部署'!A:A,"×",0,"1")</f>
        <v>×</v>
      </c>
      <c r="E459" s="37" t="str">
        <f t="array" ref="E459">XLOOKUP($B459,'本部部署'!B:B,'本部部署'!B:B,"×",0,"1")</f>
        <v>×</v>
      </c>
      <c r="F459" s="37" t="str">
        <f t="array" ref="F459">XLOOKUP($A459,'本部部署'!B:B,'本部部署'!B:B,"×",0,"1")</f>
        <v>×</v>
      </c>
      <c r="G459" s="37" t="str">
        <f t="array" ref="G459">XLOOKUP($B459,'本部部署'!A:A,'本部部署'!A:A,"×",0,"1")</f>
        <v>×</v>
      </c>
      <c r="H459" s="7" t="s">
        <v>693</v>
      </c>
    </row>
    <row r="460">
      <c r="A460" s="8" t="s">
        <v>1082</v>
      </c>
      <c r="B460" s="8" t="s">
        <v>1139</v>
      </c>
      <c r="C460" s="8" t="s">
        <v>1197</v>
      </c>
      <c r="D460" s="37" t="str">
        <f t="array" ref="D460">XLOOKUP($A460,'本部部署'!A:A,'本部部署'!A:A,"×",0,"1")</f>
        <v>×</v>
      </c>
      <c r="E460" s="37" t="str">
        <f t="array" ref="E460">XLOOKUP($B460,'本部部署'!B:B,'本部部署'!B:B,"×",0,"1")</f>
        <v>×</v>
      </c>
      <c r="F460" s="37" t="str">
        <f t="array" ref="F460">XLOOKUP($A460,'本部部署'!B:B,'本部部署'!B:B,"×",0,"1")</f>
        <v>×</v>
      </c>
      <c r="G460" s="37" t="str">
        <f t="array" ref="G460">XLOOKUP($B460,'本部部署'!A:A,'本部部署'!A:A,"×",0,"1")</f>
        <v>×</v>
      </c>
      <c r="H460" s="7" t="s">
        <v>1105</v>
      </c>
    </row>
    <row r="461">
      <c r="A461" s="8" t="s">
        <v>613</v>
      </c>
      <c r="B461" s="8" t="s">
        <v>104</v>
      </c>
      <c r="C461" s="8"/>
      <c r="D461" s="37" t="str">
        <f t="array" ref="D461">XLOOKUP($A461,'本部部署'!A:A,'本部部署'!A:A,"×",0,"1")</f>
        <v>ｺﾝﾌﾟﾗｲｱﾝｽ本部</v>
      </c>
      <c r="E461" s="37" t="str">
        <f t="array" ref="E461">XLOOKUP($B461,'本部部署'!B:B,'本部部署'!B:B,"×",0,"1")</f>
        <v>法務部</v>
      </c>
    </row>
    <row r="462">
      <c r="A462" s="8" t="s">
        <v>613</v>
      </c>
      <c r="B462" s="8" t="s">
        <v>1111</v>
      </c>
      <c r="C462" s="8"/>
      <c r="D462" s="37" t="str">
        <f t="array" ref="D462">XLOOKUP($A462,'本部部署'!A:A,'本部部署'!A:A,"×",0,"1")</f>
        <v>ｺﾝﾌﾟﾗｲｱﾝｽ本部</v>
      </c>
      <c r="E462" s="37" t="str">
        <f t="array" ref="E462">XLOOKUP($B462,'本部部署'!B:B,'本部部署'!B:B,"×",0,"1")</f>
        <v>×</v>
      </c>
    </row>
    <row r="463">
      <c r="A463" s="8" t="s">
        <v>613</v>
      </c>
      <c r="B463" s="8" t="s">
        <v>106</v>
      </c>
      <c r="C463" s="8"/>
      <c r="D463" s="37" t="str">
        <f t="array" ref="D463">XLOOKUP($A463,'本部部署'!A:A,'本部部署'!A:A,"×",0,"1")</f>
        <v>ｺﾝﾌﾟﾗｲｱﾝｽ本部</v>
      </c>
      <c r="E463" s="37" t="str">
        <f t="array" ref="E463">XLOOKUP($B463,'本部部署'!B:B,'本部部署'!B:B,"×",0,"1")</f>
        <v>知財室</v>
      </c>
    </row>
    <row r="464">
      <c r="A464" s="8" t="s">
        <v>1085</v>
      </c>
      <c r="B464" s="8" t="s">
        <v>1243</v>
      </c>
      <c r="C464" s="8" t="s">
        <v>1052</v>
      </c>
      <c r="D464" s="37" t="str">
        <f t="array" ref="D464">XLOOKUP($A464,'本部部署'!A:A,'本部部署'!A:A,"×",0,"1")</f>
        <v>×</v>
      </c>
      <c r="E464" s="37" t="str">
        <f t="array" ref="E464">XLOOKUP($B464,'本部部署'!B:B,'本部部署'!B:B,"×",0,"1")</f>
        <v>×</v>
      </c>
      <c r="F464" s="37" t="str">
        <f t="array" ref="F464">XLOOKUP($A464,'本部部署'!B:B,'本部部署'!B:B,"×",0,"1")</f>
        <v>×</v>
      </c>
      <c r="G464" s="37" t="str">
        <f t="array" ref="G464">XLOOKUP($B464,'本部部署'!A:A,'本部部署'!A:A,"×",0,"1")</f>
        <v>×</v>
      </c>
      <c r="H464" s="7" t="s">
        <v>1105</v>
      </c>
    </row>
    <row r="465">
      <c r="A465" s="8" t="s">
        <v>1085</v>
      </c>
      <c r="B465" s="8" t="s">
        <v>1226</v>
      </c>
      <c r="C465" s="8" t="s">
        <v>1102</v>
      </c>
      <c r="D465" s="37" t="str">
        <f t="array" ref="D465">XLOOKUP($A465,'本部部署'!A:A,'本部部署'!A:A,"×",0,"1")</f>
        <v>×</v>
      </c>
      <c r="E465" s="37" t="str">
        <f t="array" ref="E465">XLOOKUP($B465,'本部部署'!B:B,'本部部署'!B:B,"×",0,"1")</f>
        <v>×</v>
      </c>
      <c r="F465" s="37" t="str">
        <f t="array" ref="F465">XLOOKUP($A465,'本部部署'!B:B,'本部部署'!B:B,"×",0,"1")</f>
        <v>×</v>
      </c>
      <c r="G465" s="37" t="str">
        <f t="array" ref="G465">XLOOKUP($B465,'本部部署'!A:A,'本部部署'!A:A,"×",0,"1")</f>
        <v>×</v>
      </c>
      <c r="H465" s="7" t="s">
        <v>391</v>
      </c>
    </row>
    <row r="466">
      <c r="A466" s="8" t="s">
        <v>1085</v>
      </c>
      <c r="B466" s="8" t="s">
        <v>1334</v>
      </c>
      <c r="C466" s="8" t="s">
        <v>1197</v>
      </c>
      <c r="D466" s="37" t="str">
        <f t="array" ref="D466">XLOOKUP($A466,'本部部署'!A:A,'本部部署'!A:A,"×",0,"1")</f>
        <v>×</v>
      </c>
      <c r="E466" s="37" t="str">
        <f t="array" ref="E466">XLOOKUP($B466,'本部部署'!B:B,'本部部署'!B:B,"×",0,"1")</f>
        <v>×</v>
      </c>
      <c r="F466" s="37" t="str">
        <f t="array" ref="F466">XLOOKUP($A466,'本部部署'!B:B,'本部部署'!B:B,"×",0,"1")</f>
        <v>×</v>
      </c>
      <c r="G466" s="37" t="str">
        <f t="array" ref="G466">XLOOKUP($B466,'本部部署'!A:A,'本部部署'!A:A,"×",0,"1")</f>
        <v>×</v>
      </c>
      <c r="H466" s="7" t="s">
        <v>1105</v>
      </c>
    </row>
    <row r="467">
      <c r="A467" s="8" t="s">
        <v>1085</v>
      </c>
      <c r="B467" s="8" t="s">
        <v>1134</v>
      </c>
      <c r="C467" s="8" t="s">
        <v>1102</v>
      </c>
      <c r="D467" s="37" t="str">
        <f t="array" ref="D467">XLOOKUP($A467,'本部部署'!A:A,'本部部署'!A:A,"×",0,"1")</f>
        <v>×</v>
      </c>
      <c r="E467" s="37" t="str">
        <f t="array" ref="E467">XLOOKUP($B467,'本部部署'!B:B,'本部部署'!B:B,"×",0,"1")</f>
        <v>×</v>
      </c>
      <c r="F467" s="37" t="str">
        <f t="array" ref="F467">XLOOKUP($A467,'本部部署'!B:B,'本部部署'!B:B,"×",0,"1")</f>
        <v>×</v>
      </c>
      <c r="G467" s="37" t="str">
        <f t="array" ref="G467">XLOOKUP($B467,'本部部署'!A:A,'本部部署'!A:A,"×",0,"1")</f>
        <v>×</v>
      </c>
      <c r="H467" s="7" t="s">
        <v>1215</v>
      </c>
    </row>
    <row r="468">
      <c r="A468" s="8" t="s">
        <v>1085</v>
      </c>
      <c r="B468" s="8" t="s">
        <v>1109</v>
      </c>
      <c r="C468" s="8" t="s">
        <v>1102</v>
      </c>
      <c r="D468" s="37" t="str">
        <f t="array" ref="D468">XLOOKUP($A468,'本部部署'!A:A,'本部部署'!A:A,"×",0,"1")</f>
        <v>×</v>
      </c>
      <c r="E468" s="37" t="str">
        <f t="array" ref="E468">XLOOKUP($B468,'本部部署'!B:B,'本部部署'!B:B,"×",0,"1")</f>
        <v>×</v>
      </c>
      <c r="F468" s="37" t="str">
        <f t="array" ref="F468">XLOOKUP($A468,'本部部署'!B:B,'本部部署'!B:B,"×",0,"1")</f>
        <v>×</v>
      </c>
      <c r="G468" s="37" t="str">
        <f t="array" ref="G468">XLOOKUP($B468,'本部部署'!A:A,'本部部署'!A:A,"×",0,"1")</f>
        <v>×</v>
      </c>
      <c r="H468" s="7" t="s">
        <v>1110</v>
      </c>
    </row>
    <row r="469">
      <c r="A469" s="8" t="s">
        <v>1085</v>
      </c>
      <c r="B469" s="8" t="s">
        <v>1335</v>
      </c>
      <c r="C469" s="8" t="s">
        <v>1102</v>
      </c>
      <c r="D469" s="37" t="str">
        <f t="array" ref="D469">XLOOKUP($A469,'本部部署'!A:A,'本部部署'!A:A,"×",0,"1")</f>
        <v>×</v>
      </c>
      <c r="E469" s="37" t="str">
        <f t="array" ref="E469">XLOOKUP($B469,'本部部署'!B:B,'本部部署'!B:B,"×",0,"1")</f>
        <v>×</v>
      </c>
      <c r="F469" s="37" t="str">
        <f t="array" ref="F469">XLOOKUP($A469,'本部部署'!B:B,'本部部署'!B:B,"×",0,"1")</f>
        <v>×</v>
      </c>
      <c r="G469" s="37" t="str">
        <f t="array" ref="G469">XLOOKUP($B469,'本部部署'!A:A,'本部部署'!A:A,"×",0,"1")</f>
        <v>×</v>
      </c>
      <c r="H469" s="7" t="s">
        <v>1215</v>
      </c>
    </row>
    <row r="470">
      <c r="A470" s="8" t="s">
        <v>1085</v>
      </c>
      <c r="B470" s="8" t="s">
        <v>48</v>
      </c>
      <c r="C470" s="8"/>
      <c r="D470" s="37" t="str">
        <f t="array" ref="D470">XLOOKUP($A470,'本部部署'!A:A,'本部部署'!A:A,"×",0,"1")</f>
        <v>×</v>
      </c>
      <c r="E470" s="37" t="str">
        <f t="array" ref="E470">XLOOKUP($B470,'本部部署'!B:B,'本部部署'!B:B,"×",0,"1")</f>
        <v>mixi事業部</v>
      </c>
    </row>
    <row r="471">
      <c r="A471" s="8" t="s">
        <v>1085</v>
      </c>
      <c r="B471" s="8" t="s">
        <v>1111</v>
      </c>
      <c r="C471" s="8" t="s">
        <v>1102</v>
      </c>
      <c r="D471" s="37" t="str">
        <f t="array" ref="D471">XLOOKUP($A471,'本部部署'!A:A,'本部部署'!A:A,"×",0,"1")</f>
        <v>×</v>
      </c>
      <c r="E471" s="37" t="str">
        <f t="array" ref="E471">XLOOKUP($B471,'本部部署'!B:B,'本部部署'!B:B,"×",0,"1")</f>
        <v>×</v>
      </c>
      <c r="F471" s="37" t="str">
        <f t="array" ref="F471">XLOOKUP($A471,'本部部署'!B:B,'本部部署'!B:B,"×",0,"1")</f>
        <v>×</v>
      </c>
      <c r="G471" s="37" t="str">
        <f t="array" ref="G471">XLOOKUP($B471,'本部部署'!A:A,'本部部署'!A:A,"×",0,"1")</f>
        <v>×</v>
      </c>
      <c r="H471" s="7" t="s">
        <v>1105</v>
      </c>
    </row>
    <row r="472">
      <c r="A472" s="8" t="s">
        <v>1085</v>
      </c>
      <c r="B472" s="8" t="s">
        <v>1246</v>
      </c>
      <c r="C472" s="8" t="s">
        <v>1313</v>
      </c>
      <c r="D472" s="37" t="str">
        <f t="array" ref="D472">XLOOKUP($A472,'本部部署'!A:A,'本部部署'!A:A,"×",0,"1")</f>
        <v>×</v>
      </c>
      <c r="E472" s="37" t="str">
        <f t="array" ref="E472">XLOOKUP($B472,'本部部署'!B:B,'本部部署'!B:B,"×",0,"1")</f>
        <v>×</v>
      </c>
      <c r="F472" s="37" t="str">
        <f t="array" ref="F472">XLOOKUP($A472,'本部部署'!B:B,'本部部署'!B:B,"×",0,"1")</f>
        <v>×</v>
      </c>
      <c r="G472" s="37" t="str">
        <f t="array" ref="G472">XLOOKUP($B472,'本部部署'!A:A,'本部部署'!A:A,"×",0,"1")</f>
        <v>×</v>
      </c>
      <c r="H472" s="7" t="s">
        <v>1246</v>
      </c>
    </row>
    <row r="473">
      <c r="A473" s="8" t="s">
        <v>1085</v>
      </c>
      <c r="B473" s="8" t="s">
        <v>51</v>
      </c>
      <c r="C473" s="8"/>
      <c r="D473" s="37" t="str">
        <f t="array" ref="D473">XLOOKUP($A473,'本部部署'!A:A,'本部部署'!A:A,"×",0,"1")</f>
        <v>×</v>
      </c>
      <c r="E473" s="37" t="str">
        <f t="array" ref="E473">XLOOKUP($B473,'本部部署'!B:B,'本部部署'!B:B,"×",0,"1")</f>
        <v>minimo事業部</v>
      </c>
    </row>
    <row r="474">
      <c r="A474" s="8" t="s">
        <v>1085</v>
      </c>
      <c r="B474" s="8" t="s">
        <v>1336</v>
      </c>
      <c r="C474" s="8" t="s">
        <v>1102</v>
      </c>
      <c r="D474" s="37" t="str">
        <f t="array" ref="D474">XLOOKUP($A474,'本部部署'!A:A,'本部部署'!A:A,"×",0,"1")</f>
        <v>×</v>
      </c>
      <c r="E474" s="37" t="str">
        <f t="array" ref="E474">XLOOKUP($B474,'本部部署'!B:B,'本部部署'!B:B,"×",0,"1")</f>
        <v>×</v>
      </c>
      <c r="F474" s="37" t="str">
        <f t="array" ref="F474">XLOOKUP($A474,'本部部署'!B:B,'本部部署'!B:B,"×",0,"1")</f>
        <v>×</v>
      </c>
      <c r="G474" s="37" t="str">
        <f t="array" ref="G474">XLOOKUP($B474,'本部部署'!A:A,'本部部署'!A:A,"×",0,"1")</f>
        <v>×</v>
      </c>
      <c r="H474" s="7" t="s">
        <v>1108</v>
      </c>
    </row>
    <row r="475">
      <c r="A475" s="8" t="s">
        <v>1085</v>
      </c>
      <c r="B475" s="8" t="s">
        <v>43</v>
      </c>
      <c r="C475" s="8"/>
      <c r="D475" s="37" t="str">
        <f t="array" ref="D475">XLOOKUP($A475,'本部部署'!A:A,'本部部署'!A:A,"×",0,"1")</f>
        <v>×</v>
      </c>
      <c r="E475" s="37" t="str">
        <f t="array" ref="E475">XLOOKUP($B475,'本部部署'!B:B,'本部部署'!B:B,"×",0,"1")</f>
        <v>事業推進室</v>
      </c>
    </row>
    <row r="476">
      <c r="A476" s="8" t="s">
        <v>1085</v>
      </c>
      <c r="B476" s="8" t="s">
        <v>1113</v>
      </c>
      <c r="C476" s="8" t="s">
        <v>1102</v>
      </c>
      <c r="D476" s="37" t="str">
        <f t="array" ref="D476">XLOOKUP($A476,'本部部署'!A:A,'本部部署'!A:A,"×",0,"1")</f>
        <v>×</v>
      </c>
      <c r="E476" s="37" t="str">
        <f t="array" ref="E476">XLOOKUP($B476,'本部部署'!B:B,'本部部署'!B:B,"×",0,"1")</f>
        <v>×</v>
      </c>
      <c r="F476" s="37" t="str">
        <f t="array" ref="F476">XLOOKUP($A476,'本部部署'!B:B,'本部部署'!B:B,"×",0,"1")</f>
        <v>×</v>
      </c>
      <c r="G476" s="37" t="str">
        <f t="array" ref="G476">XLOOKUP($B476,'本部部署'!A:A,'本部部署'!A:A,"×",0,"1")</f>
        <v>×</v>
      </c>
      <c r="H476" s="7" t="s">
        <v>1110</v>
      </c>
    </row>
    <row r="477">
      <c r="A477" s="8" t="s">
        <v>186</v>
      </c>
      <c r="B477" s="8" t="s">
        <v>1337</v>
      </c>
      <c r="C477" s="8"/>
      <c r="D477" s="37" t="str">
        <f t="array" ref="D477">XLOOKUP($A477,'本部部署'!A:A,'本部部署'!A:A,"×",0,"1")</f>
        <v>×</v>
      </c>
      <c r="E477" s="37" t="str">
        <f t="array" ref="E477">XLOOKUP($B477,'本部部署'!B:B,'本部部署'!B:B,"×",0,"1")</f>
        <v>×</v>
      </c>
      <c r="F477" s="37" t="str">
        <f t="array" ref="F477">XLOOKUP($A477,'本部部署'!B:B,'本部部署'!B:B,"×",0,"1")</f>
        <v>内部監査室</v>
      </c>
      <c r="G477" s="37" t="str">
        <f t="array" ref="G477">XLOOKUP($B477,'本部部署'!A:A,'本部部署'!A:A,"×",0,"1")</f>
        <v>×</v>
      </c>
    </row>
    <row r="478">
      <c r="A478" s="8" t="s">
        <v>186</v>
      </c>
      <c r="B478" s="8" t="s">
        <v>1338</v>
      </c>
      <c r="C478" s="8"/>
      <c r="D478" s="37" t="str">
        <f t="array" ref="D478">XLOOKUP($A478,'本部部署'!A:A,'本部部署'!A:A,"×",0,"1")</f>
        <v>×</v>
      </c>
      <c r="E478" s="37" t="str">
        <f t="array" ref="E478">XLOOKUP($B478,'本部部署'!B:B,'本部部署'!B:B,"×",0,"1")</f>
        <v>×</v>
      </c>
      <c r="F478" s="37" t="str">
        <f t="array" ref="F478">XLOOKUP($A478,'本部部署'!B:B,'本部部署'!B:B,"×",0,"1")</f>
        <v>内部監査室</v>
      </c>
      <c r="G478" s="37" t="str">
        <f t="array" ref="G478">XLOOKUP($B478,'本部部署'!A:A,'本部部署'!A:A,"×",0,"1")</f>
        <v>×</v>
      </c>
    </row>
    <row r="479">
      <c r="A479" s="8" t="s">
        <v>186</v>
      </c>
      <c r="B479" s="8" t="s">
        <v>518</v>
      </c>
      <c r="C479" s="8"/>
      <c r="D479" s="37" t="str">
        <f t="array" ref="D479">XLOOKUP($A479,'本部部署'!A:A,'本部部署'!A:A,"×",0,"1")</f>
        <v>×</v>
      </c>
      <c r="E479" s="37" t="str">
        <f t="array" ref="E479">XLOOKUP($B479,'本部部署'!B:B,'本部部署'!B:B,"×",0,"1")</f>
        <v>×</v>
      </c>
      <c r="F479" s="37" t="str">
        <f t="array" ref="F479">XLOOKUP($A479,'本部部署'!B:B,'本部部署'!B:B,"×",0,"1")</f>
        <v>内部監査室</v>
      </c>
      <c r="G479" s="37" t="str">
        <f t="array" ref="G479">XLOOKUP($B479,'本部部署'!A:A,'本部部署'!A:A,"×",0,"1")</f>
        <v>×</v>
      </c>
    </row>
    <row r="480">
      <c r="A480" s="8" t="s">
        <v>186</v>
      </c>
      <c r="B480" s="8" t="s">
        <v>1339</v>
      </c>
      <c r="C480" s="8"/>
      <c r="D480" s="37" t="str">
        <f t="array" ref="D480">XLOOKUP($A480,'本部部署'!A:A,'本部部署'!A:A,"×",0,"1")</f>
        <v>×</v>
      </c>
      <c r="E480" s="37" t="str">
        <f t="array" ref="E480">XLOOKUP($B480,'本部部署'!B:B,'本部部署'!B:B,"×",0,"1")</f>
        <v>×</v>
      </c>
      <c r="F480" s="37" t="str">
        <f t="array" ref="F480">XLOOKUP($A480,'本部部署'!B:B,'本部部署'!B:B,"×",0,"1")</f>
        <v>内部監査室</v>
      </c>
      <c r="G480" s="37" t="str">
        <f t="array" ref="G480">XLOOKUP($B480,'本部部署'!A:A,'本部部署'!A:A,"×",0,"1")</f>
        <v>×</v>
      </c>
    </row>
    <row r="481">
      <c r="A481" s="8" t="s">
        <v>186</v>
      </c>
      <c r="B481" s="8" t="s">
        <v>1340</v>
      </c>
      <c r="C481" s="8"/>
      <c r="D481" s="37" t="str">
        <f t="array" ref="D481">XLOOKUP($A481,'本部部署'!A:A,'本部部署'!A:A,"×",0,"1")</f>
        <v>×</v>
      </c>
      <c r="E481" s="37" t="str">
        <f t="array" ref="E481">XLOOKUP($B481,'本部部署'!B:B,'本部部署'!B:B,"×",0,"1")</f>
        <v>×</v>
      </c>
      <c r="F481" s="37" t="str">
        <f t="array" ref="F481">XLOOKUP($A481,'本部部署'!B:B,'本部部署'!B:B,"×",0,"1")</f>
        <v>内部監査室</v>
      </c>
      <c r="G481" s="37" t="str">
        <f t="array" ref="G481">XLOOKUP($B481,'本部部署'!A:A,'本部部署'!A:A,"×",0,"1")</f>
        <v>×</v>
      </c>
    </row>
    <row r="482">
      <c r="A482" s="8" t="s">
        <v>186</v>
      </c>
      <c r="B482" s="8" t="s">
        <v>1341</v>
      </c>
      <c r="C482" s="8"/>
      <c r="D482" s="37" t="str">
        <f t="array" ref="D482">XLOOKUP($A482,'本部部署'!A:A,'本部部署'!A:A,"×",0,"1")</f>
        <v>×</v>
      </c>
      <c r="E482" s="37" t="str">
        <f t="array" ref="E482">XLOOKUP($B482,'本部部署'!B:B,'本部部署'!B:B,"×",0,"1")</f>
        <v>×</v>
      </c>
      <c r="F482" s="37" t="str">
        <f t="array" ref="F482">XLOOKUP($A482,'本部部署'!B:B,'本部部署'!B:B,"×",0,"1")</f>
        <v>内部監査室</v>
      </c>
      <c r="G482" s="37" t="str">
        <f t="array" ref="G482">XLOOKUP($B482,'本部部署'!A:A,'本部部署'!A:A,"×",0,"1")</f>
        <v>×</v>
      </c>
    </row>
    <row r="483">
      <c r="A483" s="8" t="s">
        <v>186</v>
      </c>
      <c r="B483" s="8" t="s">
        <v>1342</v>
      </c>
      <c r="C483" s="8"/>
      <c r="D483" s="37" t="str">
        <f t="array" ref="D483">XLOOKUP($A483,'本部部署'!A:A,'本部部署'!A:A,"×",0,"1")</f>
        <v>×</v>
      </c>
      <c r="E483" s="37" t="str">
        <f t="array" ref="E483">XLOOKUP($B483,'本部部署'!B:B,'本部部署'!B:B,"×",0,"1")</f>
        <v>×</v>
      </c>
      <c r="F483" s="37" t="str">
        <f t="array" ref="F483">XLOOKUP($A483,'本部部署'!B:B,'本部部署'!B:B,"×",0,"1")</f>
        <v>内部監査室</v>
      </c>
      <c r="G483" s="37" t="str">
        <f t="array" ref="G483">XLOOKUP($B483,'本部部署'!A:A,'本部部署'!A:A,"×",0,"1")</f>
        <v>×</v>
      </c>
    </row>
    <row r="484">
      <c r="A484" s="8" t="s">
        <v>186</v>
      </c>
      <c r="B484" s="8" t="s">
        <v>1343</v>
      </c>
      <c r="C484" s="8"/>
      <c r="D484" s="37" t="str">
        <f t="array" ref="D484">XLOOKUP($A484,'本部部署'!A:A,'本部部署'!A:A,"×",0,"1")</f>
        <v>×</v>
      </c>
      <c r="E484" s="37" t="str">
        <f t="array" ref="E484">XLOOKUP($B484,'本部部署'!B:B,'本部部署'!B:B,"×",0,"1")</f>
        <v>×</v>
      </c>
      <c r="F484" s="37" t="str">
        <f t="array" ref="F484">XLOOKUP($A484,'本部部署'!B:B,'本部部署'!B:B,"×",0,"1")</f>
        <v>内部監査室</v>
      </c>
      <c r="G484" s="37" t="str">
        <f t="array" ref="G484">XLOOKUP($B484,'本部部署'!A:A,'本部部署'!A:A,"×",0,"1")</f>
        <v>×</v>
      </c>
    </row>
    <row r="485">
      <c r="A485" s="8" t="s">
        <v>186</v>
      </c>
      <c r="B485" s="8" t="s">
        <v>1344</v>
      </c>
      <c r="C485" s="8"/>
      <c r="D485" s="37" t="str">
        <f t="array" ref="D485">XLOOKUP($A485,'本部部署'!A:A,'本部部署'!A:A,"×",0,"1")</f>
        <v>×</v>
      </c>
      <c r="E485" s="37" t="str">
        <f t="array" ref="E485">XLOOKUP($B485,'本部部署'!B:B,'本部部署'!B:B,"×",0,"1")</f>
        <v>×</v>
      </c>
      <c r="F485" s="37" t="str">
        <f t="array" ref="F485">XLOOKUP($A485,'本部部署'!B:B,'本部部署'!B:B,"×",0,"1")</f>
        <v>内部監査室</v>
      </c>
      <c r="G485" s="37" t="str">
        <f t="array" ref="G485">XLOOKUP($B485,'本部部署'!A:A,'本部部署'!A:A,"×",0,"1")</f>
        <v>×</v>
      </c>
    </row>
    <row r="486">
      <c r="A486" s="8" t="s">
        <v>186</v>
      </c>
      <c r="B486" s="8" t="s">
        <v>444</v>
      </c>
      <c r="C486" s="8"/>
      <c r="D486" s="37" t="str">
        <f t="array" ref="D486">XLOOKUP($A486,'本部部署'!A:A,'本部部署'!A:A,"×",0,"1")</f>
        <v>×</v>
      </c>
      <c r="E486" s="37" t="str">
        <f t="array" ref="E486">XLOOKUP($B486,'本部部署'!B:B,'本部部署'!B:B,"×",0,"1")</f>
        <v>×</v>
      </c>
      <c r="F486" s="37" t="str">
        <f t="array" ref="F486">XLOOKUP($A486,'本部部署'!B:B,'本部部署'!B:B,"×",0,"1")</f>
        <v>内部監査室</v>
      </c>
      <c r="G486" s="37" t="str">
        <f t="array" ref="G486">XLOOKUP($B486,'本部部署'!A:A,'本部部署'!A:A,"×",0,"1")</f>
        <v>×</v>
      </c>
    </row>
    <row r="487">
      <c r="A487" s="8" t="s">
        <v>186</v>
      </c>
      <c r="B487" s="8" t="s">
        <v>1345</v>
      </c>
      <c r="C487" s="8"/>
      <c r="D487" s="37" t="str">
        <f t="array" ref="D487">XLOOKUP($A487,'本部部署'!A:A,'本部部署'!A:A,"×",0,"1")</f>
        <v>×</v>
      </c>
      <c r="E487" s="37" t="str">
        <f t="array" ref="E487">XLOOKUP($B487,'本部部署'!B:B,'本部部署'!B:B,"×",0,"1")</f>
        <v>×</v>
      </c>
      <c r="F487" s="37" t="str">
        <f t="array" ref="F487">XLOOKUP($A487,'本部部署'!B:B,'本部部署'!B:B,"×",0,"1")</f>
        <v>内部監査室</v>
      </c>
      <c r="G487" s="37" t="str">
        <f t="array" ref="G487">XLOOKUP($B487,'本部部署'!A:A,'本部部署'!A:A,"×",0,"1")</f>
        <v>×</v>
      </c>
    </row>
    <row r="488">
      <c r="A488" s="8" t="s">
        <v>186</v>
      </c>
      <c r="B488" s="8" t="s">
        <v>1346</v>
      </c>
      <c r="C488" s="8"/>
      <c r="D488" s="37" t="str">
        <f t="array" ref="D488">XLOOKUP($A488,'本部部署'!A:A,'本部部署'!A:A,"×",0,"1")</f>
        <v>×</v>
      </c>
      <c r="E488" s="37" t="str">
        <f t="array" ref="E488">XLOOKUP($B488,'本部部署'!B:B,'本部部署'!B:B,"×",0,"1")</f>
        <v>×</v>
      </c>
      <c r="F488" s="37" t="str">
        <f t="array" ref="F488">XLOOKUP($A488,'本部部署'!B:B,'本部部署'!B:B,"×",0,"1")</f>
        <v>内部監査室</v>
      </c>
      <c r="G488" s="37" t="str">
        <f t="array" ref="G488">XLOOKUP($B488,'本部部署'!A:A,'本部部署'!A:A,"×",0,"1")</f>
        <v>×</v>
      </c>
    </row>
    <row r="489">
      <c r="A489" s="8" t="s">
        <v>186</v>
      </c>
      <c r="B489" s="8" t="s">
        <v>1347</v>
      </c>
      <c r="C489" s="8"/>
      <c r="D489" s="37" t="str">
        <f t="array" ref="D489">XLOOKUP($A489,'本部部署'!A:A,'本部部署'!A:A,"×",0,"1")</f>
        <v>×</v>
      </c>
      <c r="E489" s="37" t="str">
        <f t="array" ref="E489">XLOOKUP($B489,'本部部署'!B:B,'本部部署'!B:B,"×",0,"1")</f>
        <v>×</v>
      </c>
      <c r="F489" s="37" t="str">
        <f t="array" ref="F489">XLOOKUP($A489,'本部部署'!B:B,'本部部署'!B:B,"×",0,"1")</f>
        <v>内部監査室</v>
      </c>
      <c r="G489" s="37" t="str">
        <f t="array" ref="G489">XLOOKUP($B489,'本部部署'!A:A,'本部部署'!A:A,"×",0,"1")</f>
        <v>×</v>
      </c>
    </row>
    <row r="490">
      <c r="A490" s="8" t="s">
        <v>1087</v>
      </c>
      <c r="B490" s="8" t="s">
        <v>1348</v>
      </c>
      <c r="C490" s="8" t="s">
        <v>1197</v>
      </c>
      <c r="D490" s="37" t="str">
        <f t="array" ref="D490">XLOOKUP($A490,'本部部署'!A:A,'本部部署'!A:A,"×",0,"1")</f>
        <v>×</v>
      </c>
      <c r="E490" s="37" t="str">
        <f t="array" ref="E490">XLOOKUP($B490,'本部部署'!B:B,'本部部署'!B:B,"×",0,"1")</f>
        <v>×</v>
      </c>
      <c r="F490" s="37" t="str">
        <f t="array" ref="F490">XLOOKUP($A490,'本部部署'!B:B,'本部部署'!B:B,"×",0,"1")</f>
        <v>×</v>
      </c>
      <c r="G490" s="37" t="str">
        <f t="array" ref="G490">XLOOKUP($B490,'本部部署'!A:A,'本部部署'!A:A,"×",0,"1")</f>
        <v>×</v>
      </c>
      <c r="H490" s="7" t="s">
        <v>1105</v>
      </c>
    </row>
    <row r="491">
      <c r="A491" s="8" t="s">
        <v>1087</v>
      </c>
      <c r="B491" s="8" t="s">
        <v>1132</v>
      </c>
      <c r="C491" s="8" t="s">
        <v>1197</v>
      </c>
      <c r="D491" s="37" t="str">
        <f t="array" ref="D491">XLOOKUP($A491,'本部部署'!A:A,'本部部署'!A:A,"×",0,"1")</f>
        <v>×</v>
      </c>
      <c r="E491" s="37" t="str">
        <f t="array" ref="E491">XLOOKUP($B491,'本部部署'!B:B,'本部部署'!B:B,"×",0,"1")</f>
        <v>×</v>
      </c>
      <c r="F491" s="37" t="str">
        <f t="array" ref="F491">XLOOKUP($A491,'本部部署'!B:B,'本部部署'!B:B,"×",0,"1")</f>
        <v>×</v>
      </c>
      <c r="G491" s="37" t="str">
        <f t="array" ref="G491">XLOOKUP($B491,'本部部署'!A:A,'本部部署'!A:A,"×",0,"1")</f>
        <v>×</v>
      </c>
      <c r="H491" s="7" t="s">
        <v>1105</v>
      </c>
    </row>
    <row r="492">
      <c r="A492" s="8" t="s">
        <v>1087</v>
      </c>
      <c r="B492" s="8" t="s">
        <v>1349</v>
      </c>
      <c r="C492" s="8" t="s">
        <v>1197</v>
      </c>
      <c r="D492" s="37" t="str">
        <f t="array" ref="D492">XLOOKUP($A492,'本部部署'!A:A,'本部部署'!A:A,"×",0,"1")</f>
        <v>×</v>
      </c>
      <c r="E492" s="37" t="str">
        <f t="array" ref="E492">XLOOKUP($B492,'本部部署'!B:B,'本部部署'!B:B,"×",0,"1")</f>
        <v>×</v>
      </c>
      <c r="F492" s="37" t="str">
        <f t="array" ref="F492">XLOOKUP($A492,'本部部署'!B:B,'本部部署'!B:B,"×",0,"1")</f>
        <v>×</v>
      </c>
      <c r="G492" s="37" t="str">
        <f t="array" ref="G492">XLOOKUP($B492,'本部部署'!A:A,'本部部署'!A:A,"×",0,"1")</f>
        <v>×</v>
      </c>
      <c r="H492" s="7" t="s">
        <v>1105</v>
      </c>
    </row>
    <row r="493">
      <c r="A493" s="8" t="s">
        <v>1087</v>
      </c>
      <c r="B493" s="8" t="s">
        <v>1350</v>
      </c>
      <c r="C493" s="8" t="s">
        <v>1197</v>
      </c>
      <c r="D493" s="37" t="str">
        <f t="array" ref="D493">XLOOKUP($A493,'本部部署'!A:A,'本部部署'!A:A,"×",0,"1")</f>
        <v>×</v>
      </c>
      <c r="E493" s="37" t="str">
        <f t="array" ref="E493">XLOOKUP($B493,'本部部署'!B:B,'本部部署'!B:B,"×",0,"1")</f>
        <v>×</v>
      </c>
      <c r="F493" s="37" t="str">
        <f t="array" ref="F493">XLOOKUP($A493,'本部部署'!B:B,'本部部署'!B:B,"×",0,"1")</f>
        <v>×</v>
      </c>
      <c r="G493" s="37" t="str">
        <f t="array" ref="G493">XLOOKUP($B493,'本部部署'!A:A,'本部部署'!A:A,"×",0,"1")</f>
        <v>×</v>
      </c>
      <c r="H493" s="7" t="s">
        <v>1105</v>
      </c>
    </row>
    <row r="494">
      <c r="A494" s="8" t="s">
        <v>1087</v>
      </c>
      <c r="B494" s="8" t="s">
        <v>1351</v>
      </c>
      <c r="C494" s="8" t="s">
        <v>1197</v>
      </c>
      <c r="D494" s="37" t="str">
        <f t="array" ref="D494">XLOOKUP($A494,'本部部署'!A:A,'本部部署'!A:A,"×",0,"1")</f>
        <v>×</v>
      </c>
      <c r="E494" s="37" t="str">
        <f t="array" ref="E494">XLOOKUP($B494,'本部部署'!B:B,'本部部署'!B:B,"×",0,"1")</f>
        <v>×</v>
      </c>
      <c r="F494" s="37" t="str">
        <f t="array" ref="F494">XLOOKUP($A494,'本部部署'!B:B,'本部部署'!B:B,"×",0,"1")</f>
        <v>×</v>
      </c>
      <c r="G494" s="37" t="str">
        <f t="array" ref="G494">XLOOKUP($B494,'本部部署'!A:A,'本部部署'!A:A,"×",0,"1")</f>
        <v>×</v>
      </c>
      <c r="H494" s="7" t="s">
        <v>1105</v>
      </c>
    </row>
    <row r="495">
      <c r="A495" s="8" t="s">
        <v>1087</v>
      </c>
      <c r="B495" s="8" t="s">
        <v>1352</v>
      </c>
      <c r="C495" s="8" t="s">
        <v>1197</v>
      </c>
      <c r="D495" s="37" t="str">
        <f t="array" ref="D495">XLOOKUP($A495,'本部部署'!A:A,'本部部署'!A:A,"×",0,"1")</f>
        <v>×</v>
      </c>
      <c r="E495" s="37" t="str">
        <f t="array" ref="E495">XLOOKUP($B495,'本部部署'!B:B,'本部部署'!B:B,"×",0,"1")</f>
        <v>×</v>
      </c>
      <c r="F495" s="37" t="str">
        <f t="array" ref="F495">XLOOKUP($A495,'本部部署'!B:B,'本部部署'!B:B,"×",0,"1")</f>
        <v>×</v>
      </c>
      <c r="G495" s="37" t="str">
        <f t="array" ref="G495">XLOOKUP($B495,'本部部署'!A:A,'本部部署'!A:A,"×",0,"1")</f>
        <v>×</v>
      </c>
      <c r="H495" s="7" t="s">
        <v>1105</v>
      </c>
    </row>
    <row r="496">
      <c r="A496" s="8" t="s">
        <v>1087</v>
      </c>
      <c r="B496" s="8" t="s">
        <v>1353</v>
      </c>
      <c r="C496" s="8" t="s">
        <v>1197</v>
      </c>
      <c r="D496" s="37" t="str">
        <f t="array" ref="D496">XLOOKUP($A496,'本部部署'!A:A,'本部部署'!A:A,"×",0,"1")</f>
        <v>×</v>
      </c>
      <c r="E496" s="37" t="str">
        <f t="array" ref="E496">XLOOKUP($B496,'本部部署'!B:B,'本部部署'!B:B,"×",0,"1")</f>
        <v>×</v>
      </c>
      <c r="F496" s="37" t="str">
        <f t="array" ref="F496">XLOOKUP($A496,'本部部署'!B:B,'本部部署'!B:B,"×",0,"1")</f>
        <v>×</v>
      </c>
      <c r="G496" s="37" t="str">
        <f t="array" ref="G496">XLOOKUP($B496,'本部部署'!A:A,'本部部署'!A:A,"×",0,"1")</f>
        <v>×</v>
      </c>
      <c r="H496" s="7" t="s">
        <v>1105</v>
      </c>
    </row>
    <row r="497">
      <c r="A497" s="8" t="s">
        <v>1087</v>
      </c>
      <c r="B497" s="8" t="s">
        <v>369</v>
      </c>
      <c r="C497" s="8" t="s">
        <v>1197</v>
      </c>
      <c r="D497" s="37" t="str">
        <f t="array" ref="D497">XLOOKUP($A497,'本部部署'!A:A,'本部部署'!A:A,"×",0,"1")</f>
        <v>×</v>
      </c>
      <c r="E497" s="37" t="str">
        <f t="array" ref="E497">XLOOKUP($B497,'本部部署'!B:B,'本部部署'!B:B,"×",0,"1")</f>
        <v>×</v>
      </c>
      <c r="F497" s="37" t="str">
        <f t="array" ref="F497">XLOOKUP($A497,'本部部署'!B:B,'本部部署'!B:B,"×",0,"1")</f>
        <v>×</v>
      </c>
      <c r="G497" s="37" t="str">
        <f t="array" ref="G497">XLOOKUP($B497,'本部部署'!A:A,'本部部署'!A:A,"×",0,"1")</f>
        <v>×</v>
      </c>
      <c r="H497" s="7" t="s">
        <v>1105</v>
      </c>
    </row>
    <row r="498">
      <c r="A498" s="8" t="s">
        <v>1087</v>
      </c>
      <c r="B498" s="8" t="s">
        <v>1204</v>
      </c>
      <c r="C498" s="8" t="s">
        <v>1197</v>
      </c>
      <c r="D498" s="37" t="str">
        <f t="array" ref="D498">XLOOKUP($A498,'本部部署'!A:A,'本部部署'!A:A,"×",0,"1")</f>
        <v>×</v>
      </c>
      <c r="E498" s="37" t="str">
        <f t="array" ref="E498">XLOOKUP($B498,'本部部署'!B:B,'本部部署'!B:B,"×",0,"1")</f>
        <v>×</v>
      </c>
      <c r="F498" s="37" t="str">
        <f t="array" ref="F498">XLOOKUP($A498,'本部部署'!B:B,'本部部署'!B:B,"×",0,"1")</f>
        <v>×</v>
      </c>
      <c r="G498" s="37" t="str">
        <f t="array" ref="G498">XLOOKUP($B498,'本部部署'!A:A,'本部部署'!A:A,"×",0,"1")</f>
        <v>×</v>
      </c>
      <c r="H498" s="7" t="s">
        <v>1105</v>
      </c>
    </row>
    <row r="499">
      <c r="A499" s="8" t="s">
        <v>1090</v>
      </c>
      <c r="B499" s="8" t="s">
        <v>1109</v>
      </c>
      <c r="C499" s="8" t="s">
        <v>1181</v>
      </c>
      <c r="D499" s="37" t="str">
        <f t="array" ref="D499">XLOOKUP($A499,'本部部署'!A:A,'本部部署'!A:A,"×",0,"1")</f>
        <v>×</v>
      </c>
      <c r="E499" s="37" t="str">
        <f t="array" ref="E499">XLOOKUP($B499,'本部部署'!B:B,'本部部署'!B:B,"×",0,"1")</f>
        <v>×</v>
      </c>
      <c r="F499" s="37" t="str">
        <f t="array" ref="F499">XLOOKUP($A499,'本部部署'!B:B,'本部部署'!B:B,"×",0,"1")</f>
        <v>×</v>
      </c>
      <c r="G499" s="37" t="str">
        <f t="array" ref="G499">XLOOKUP($B499,'本部部署'!A:A,'本部部署'!A:A,"×",0,"1")</f>
        <v>×</v>
      </c>
      <c r="H499" s="7" t="s">
        <v>1110</v>
      </c>
    </row>
    <row r="500">
      <c r="A500" s="8" t="s">
        <v>1090</v>
      </c>
      <c r="B500" s="8" t="s">
        <v>1111</v>
      </c>
      <c r="C500" s="8" t="s">
        <v>1181</v>
      </c>
      <c r="D500" s="37" t="str">
        <f t="array" ref="D500">XLOOKUP($A500,'本部部署'!A:A,'本部部署'!A:A,"×",0,"1")</f>
        <v>×</v>
      </c>
      <c r="E500" s="37" t="str">
        <f t="array" ref="E500">XLOOKUP($B500,'本部部署'!B:B,'本部部署'!B:B,"×",0,"1")</f>
        <v>×</v>
      </c>
      <c r="F500" s="37" t="str">
        <f t="array" ref="F500">XLOOKUP($A500,'本部部署'!B:B,'本部部署'!B:B,"×",0,"1")</f>
        <v>×</v>
      </c>
      <c r="G500" s="37" t="str">
        <f t="array" ref="G500">XLOOKUP($B500,'本部部署'!A:A,'本部部署'!A:A,"×",0,"1")</f>
        <v>×</v>
      </c>
      <c r="H500" s="7" t="s">
        <v>1105</v>
      </c>
    </row>
    <row r="501">
      <c r="A501" s="8" t="s">
        <v>1090</v>
      </c>
      <c r="B501" s="8" t="s">
        <v>1336</v>
      </c>
      <c r="C501" s="8" t="s">
        <v>1181</v>
      </c>
      <c r="D501" s="37" t="str">
        <f t="array" ref="D501">XLOOKUP($A501,'本部部署'!A:A,'本部部署'!A:A,"×",0,"1")</f>
        <v>×</v>
      </c>
      <c r="E501" s="37" t="str">
        <f t="array" ref="E501">XLOOKUP($B501,'本部部署'!B:B,'本部部署'!B:B,"×",0,"1")</f>
        <v>×</v>
      </c>
      <c r="F501" s="37" t="str">
        <f t="array" ref="F501">XLOOKUP($A501,'本部部署'!B:B,'本部部署'!B:B,"×",0,"1")</f>
        <v>×</v>
      </c>
      <c r="G501" s="37" t="str">
        <f t="array" ref="G501">XLOOKUP($B501,'本部部署'!A:A,'本部部署'!A:A,"×",0,"1")</f>
        <v>×</v>
      </c>
      <c r="H501" s="7" t="s">
        <v>1108</v>
      </c>
    </row>
    <row r="502">
      <c r="A502" s="8" t="s">
        <v>1090</v>
      </c>
      <c r="B502" s="8" t="s">
        <v>1113</v>
      </c>
      <c r="C502" s="8" t="s">
        <v>1181</v>
      </c>
      <c r="D502" s="37" t="str">
        <f t="array" ref="D502">XLOOKUP($A502,'本部部署'!A:A,'本部部署'!A:A,"×",0,"1")</f>
        <v>×</v>
      </c>
      <c r="E502" s="37" t="str">
        <f t="array" ref="E502">XLOOKUP($B502,'本部部署'!B:B,'本部部署'!B:B,"×",0,"1")</f>
        <v>×</v>
      </c>
      <c r="F502" s="37" t="str">
        <f t="array" ref="F502">XLOOKUP($A502,'本部部署'!B:B,'本部部署'!B:B,"×",0,"1")</f>
        <v>×</v>
      </c>
      <c r="G502" s="37" t="str">
        <f t="array" ref="G502">XLOOKUP($B502,'本部部署'!A:A,'本部部署'!A:A,"×",0,"1")</f>
        <v>×</v>
      </c>
      <c r="H502" s="7" t="s">
        <v>1110</v>
      </c>
    </row>
    <row r="503">
      <c r="A503" s="8" t="s">
        <v>1093</v>
      </c>
      <c r="B503" s="8" t="s">
        <v>1108</v>
      </c>
      <c r="C503" s="8" t="s">
        <v>1102</v>
      </c>
      <c r="D503" s="37" t="str">
        <f t="array" ref="D503">XLOOKUP($A503,'本部部署'!A:A,'本部部署'!A:A,"×",0,"1")</f>
        <v>×</v>
      </c>
      <c r="E503" s="37" t="str">
        <f t="array" ref="E503">XLOOKUP($B503,'本部部署'!B:B,'本部部署'!B:B,"×",0,"1")</f>
        <v>×</v>
      </c>
      <c r="F503" s="37" t="str">
        <f t="array" ref="F503">XLOOKUP($A503,'本部部署'!B:B,'本部部署'!B:B,"×",0,"1")</f>
        <v>×</v>
      </c>
      <c r="G503" s="37" t="str">
        <f t="array" ref="G503">XLOOKUP($B503,'本部部署'!A:A,'本部部署'!A:A,"×",0,"1")</f>
        <v>×</v>
      </c>
      <c r="H503" s="7" t="s">
        <v>1354</v>
      </c>
    </row>
    <row r="504">
      <c r="A504" s="8" t="s">
        <v>1093</v>
      </c>
      <c r="B504" s="8" t="s">
        <v>1111</v>
      </c>
      <c r="C504" s="8" t="s">
        <v>1102</v>
      </c>
      <c r="D504" s="37" t="str">
        <f t="array" ref="D504">XLOOKUP($A504,'本部部署'!A:A,'本部部署'!A:A,"×",0,"1")</f>
        <v>×</v>
      </c>
      <c r="E504" s="37" t="str">
        <f t="array" ref="E504">XLOOKUP($B504,'本部部署'!B:B,'本部部署'!B:B,"×",0,"1")</f>
        <v>×</v>
      </c>
      <c r="F504" s="37" t="str">
        <f t="array" ref="F504">XLOOKUP($A504,'本部部署'!B:B,'本部部署'!B:B,"×",0,"1")</f>
        <v>×</v>
      </c>
      <c r="G504" s="37" t="str">
        <f t="array" ref="G504">XLOOKUP($B504,'本部部署'!A:A,'本部部署'!A:A,"×",0,"1")</f>
        <v>×</v>
      </c>
      <c r="H504" s="7" t="s">
        <v>1105</v>
      </c>
    </row>
    <row r="505">
      <c r="A505" s="8" t="s">
        <v>1096</v>
      </c>
      <c r="B505" s="8" t="s">
        <v>1355</v>
      </c>
      <c r="C505" s="8" t="s">
        <v>1102</v>
      </c>
      <c r="D505" s="37" t="str">
        <f t="array" ref="D505">XLOOKUP($A505,'本部部署'!A:A,'本部部署'!A:A,"×",0,"1")</f>
        <v>×</v>
      </c>
      <c r="E505" s="37" t="str">
        <f t="array" ref="E505">XLOOKUP($B505,'本部部署'!B:B,'本部部署'!B:B,"×",0,"1")</f>
        <v>×</v>
      </c>
      <c r="F505" s="37" t="str">
        <f t="array" ref="F505">XLOOKUP($A505,'本部部署'!B:B,'本部部署'!B:B,"×",0,"1")</f>
        <v>×</v>
      </c>
      <c r="G505" s="37" t="str">
        <f t="array" ref="G505">XLOOKUP($B505,'本部部署'!A:A,'本部部署'!A:A,"×",0,"1")</f>
        <v>×</v>
      </c>
      <c r="H505" s="7" t="s">
        <v>1097</v>
      </c>
    </row>
    <row r="506">
      <c r="A506" s="8" t="s">
        <v>1096</v>
      </c>
      <c r="B506" s="8" t="s">
        <v>1224</v>
      </c>
      <c r="C506" s="8" t="s">
        <v>1102</v>
      </c>
      <c r="D506" s="37" t="str">
        <f t="array" ref="D506">XLOOKUP($A506,'本部部署'!A:A,'本部部署'!A:A,"×",0,"1")</f>
        <v>×</v>
      </c>
      <c r="E506" s="37" t="str">
        <f t="array" ref="E506">XLOOKUP($B506,'本部部署'!B:B,'本部部署'!B:B,"×",0,"1")</f>
        <v>×</v>
      </c>
      <c r="F506" s="37" t="str">
        <f t="array" ref="F506">XLOOKUP($A506,'本部部署'!B:B,'本部部署'!B:B,"×",0,"1")</f>
        <v>×</v>
      </c>
      <c r="G506" s="37" t="str">
        <f t="array" ref="G506">XLOOKUP($B506,'本部部署'!A:A,'本部部署'!A:A,"×",0,"1")</f>
        <v>×</v>
      </c>
      <c r="H506" s="7" t="s">
        <v>1097</v>
      </c>
    </row>
    <row r="507">
      <c r="A507" s="8" t="s">
        <v>1096</v>
      </c>
      <c r="B507" s="8" t="s">
        <v>1356</v>
      </c>
      <c r="C507" s="8" t="s">
        <v>1102</v>
      </c>
      <c r="D507" s="37" t="str">
        <f t="array" ref="D507">XLOOKUP($A507,'本部部署'!A:A,'本部部署'!A:A,"×",0,"1")</f>
        <v>×</v>
      </c>
      <c r="E507" s="37" t="str">
        <f t="array" ref="E507">XLOOKUP($B507,'本部部署'!B:B,'本部部署'!B:B,"×",0,"1")</f>
        <v>×</v>
      </c>
      <c r="F507" s="37" t="str">
        <f t="array" ref="F507">XLOOKUP($A507,'本部部署'!B:B,'本部部署'!B:B,"×",0,"1")</f>
        <v>×</v>
      </c>
      <c r="G507" s="37" t="str">
        <f t="array" ref="G507">XLOOKUP($B507,'本部部署'!A:A,'本部部署'!A:A,"×",0,"1")</f>
        <v>×</v>
      </c>
      <c r="H507" s="7" t="s">
        <v>1097</v>
      </c>
    </row>
    <row r="508">
      <c r="A508" s="8" t="s">
        <v>1096</v>
      </c>
      <c r="B508" s="8" t="s">
        <v>1357</v>
      </c>
      <c r="C508" s="8" t="s">
        <v>1102</v>
      </c>
      <c r="D508" s="37" t="str">
        <f t="array" ref="D508">XLOOKUP($A508,'本部部署'!A:A,'本部部署'!A:A,"×",0,"1")</f>
        <v>×</v>
      </c>
      <c r="E508" s="37" t="str">
        <f t="array" ref="E508">XLOOKUP($B508,'本部部署'!B:B,'本部部署'!B:B,"×",0,"1")</f>
        <v>×</v>
      </c>
      <c r="F508" s="37" t="str">
        <f t="array" ref="F508">XLOOKUP($A508,'本部部署'!B:B,'本部部署'!B:B,"×",0,"1")</f>
        <v>×</v>
      </c>
      <c r="G508" s="37" t="str">
        <f t="array" ref="G508">XLOOKUP($B508,'本部部署'!A:A,'本部部署'!A:A,"×",0,"1")</f>
        <v>×</v>
      </c>
      <c r="H508" s="7" t="s">
        <v>1097</v>
      </c>
    </row>
    <row r="509">
      <c r="A509" s="8" t="s">
        <v>1096</v>
      </c>
      <c r="B509" s="8" t="s">
        <v>1227</v>
      </c>
      <c r="C509" s="8" t="s">
        <v>1102</v>
      </c>
      <c r="D509" s="37" t="str">
        <f t="array" ref="D509">XLOOKUP($A509,'本部部署'!A:A,'本部部署'!A:A,"×",0,"1")</f>
        <v>×</v>
      </c>
      <c r="E509" s="37" t="str">
        <f t="array" ref="E509">XLOOKUP($B509,'本部部署'!B:B,'本部部署'!B:B,"×",0,"1")</f>
        <v>×</v>
      </c>
      <c r="F509" s="37" t="str">
        <f t="array" ref="F509">XLOOKUP($A509,'本部部署'!B:B,'本部部署'!B:B,"×",0,"1")</f>
        <v>×</v>
      </c>
      <c r="G509" s="37" t="str">
        <f t="array" ref="G509">XLOOKUP($B509,'本部部署'!A:A,'本部部署'!A:A,"×",0,"1")</f>
        <v>×</v>
      </c>
      <c r="H509" s="7" t="s">
        <v>693</v>
      </c>
    </row>
    <row r="510">
      <c r="A510" s="8" t="s">
        <v>1096</v>
      </c>
      <c r="B510" s="8" t="s">
        <v>1358</v>
      </c>
      <c r="C510" s="8" t="s">
        <v>1102</v>
      </c>
      <c r="D510" s="37" t="str">
        <f t="array" ref="D510">XLOOKUP($A510,'本部部署'!A:A,'本部部署'!A:A,"×",0,"1")</f>
        <v>×</v>
      </c>
      <c r="E510" s="37" t="str">
        <f t="array" ref="E510">XLOOKUP($B510,'本部部署'!B:B,'本部部署'!B:B,"×",0,"1")</f>
        <v>×</v>
      </c>
      <c r="F510" s="37" t="str">
        <f t="array" ref="F510">XLOOKUP($A510,'本部部署'!B:B,'本部部署'!B:B,"×",0,"1")</f>
        <v>×</v>
      </c>
      <c r="G510" s="37" t="str">
        <f t="array" ref="G510">XLOOKUP($B510,'本部部署'!A:A,'本部部署'!A:A,"×",0,"1")</f>
        <v>×</v>
      </c>
      <c r="H510" s="7" t="s">
        <v>1097</v>
      </c>
    </row>
    <row r="511">
      <c r="A511" s="8" t="s">
        <v>1096</v>
      </c>
      <c r="B511" s="8" t="s">
        <v>1359</v>
      </c>
      <c r="C511" s="8" t="s">
        <v>1102</v>
      </c>
      <c r="D511" s="37" t="str">
        <f t="array" ref="D511">XLOOKUP($A511,'本部部署'!A:A,'本部部署'!A:A,"×",0,"1")</f>
        <v>×</v>
      </c>
      <c r="E511" s="37" t="str">
        <f t="array" ref="E511">XLOOKUP($B511,'本部部署'!B:B,'本部部署'!B:B,"×",0,"1")</f>
        <v>×</v>
      </c>
      <c r="F511" s="37" t="str">
        <f t="array" ref="F511">XLOOKUP($A511,'本部部署'!B:B,'本部部署'!B:B,"×",0,"1")</f>
        <v>×</v>
      </c>
      <c r="G511" s="37" t="str">
        <f t="array" ref="G511">XLOOKUP($B511,'本部部署'!A:A,'本部部署'!A:A,"×",0,"1")</f>
        <v>×</v>
      </c>
      <c r="H511" s="7" t="s">
        <v>693</v>
      </c>
    </row>
    <row r="512">
      <c r="A512" s="8" t="s">
        <v>1096</v>
      </c>
      <c r="B512" s="8" t="s">
        <v>1360</v>
      </c>
      <c r="C512" s="8" t="s">
        <v>1102</v>
      </c>
      <c r="D512" s="37" t="str">
        <f t="array" ref="D512">XLOOKUP($A512,'本部部署'!A:A,'本部部署'!A:A,"×",0,"1")</f>
        <v>×</v>
      </c>
      <c r="E512" s="37" t="str">
        <f t="array" ref="E512">XLOOKUP($B512,'本部部署'!B:B,'本部部署'!B:B,"×",0,"1")</f>
        <v>×</v>
      </c>
      <c r="F512" s="37" t="str">
        <f t="array" ref="F512">XLOOKUP($A512,'本部部署'!B:B,'本部部署'!B:B,"×",0,"1")</f>
        <v>×</v>
      </c>
      <c r="G512" s="37" t="str">
        <f t="array" ref="G512">XLOOKUP($B512,'本部部署'!A:A,'本部部署'!A:A,"×",0,"1")</f>
        <v>×</v>
      </c>
      <c r="H512" s="7" t="s">
        <v>1097</v>
      </c>
    </row>
    <row r="513">
      <c r="A513" s="8" t="s">
        <v>1096</v>
      </c>
      <c r="B513" s="8" t="s">
        <v>1361</v>
      </c>
      <c r="C513" s="8" t="s">
        <v>1102</v>
      </c>
      <c r="D513" s="37" t="str">
        <f t="array" ref="D513">XLOOKUP($A513,'本部部署'!A:A,'本部部署'!A:A,"×",0,"1")</f>
        <v>×</v>
      </c>
      <c r="E513" s="37" t="str">
        <f t="array" ref="E513">XLOOKUP($B513,'本部部署'!B:B,'本部部署'!B:B,"×",0,"1")</f>
        <v>×</v>
      </c>
      <c r="F513" s="37" t="str">
        <f t="array" ref="F513">XLOOKUP($A513,'本部部署'!B:B,'本部部署'!B:B,"×",0,"1")</f>
        <v>×</v>
      </c>
      <c r="G513" s="37" t="str">
        <f t="array" ref="G513">XLOOKUP($B513,'本部部署'!A:A,'本部部署'!A:A,"×",0,"1")</f>
        <v>×</v>
      </c>
      <c r="H513" s="7" t="s">
        <v>1097</v>
      </c>
    </row>
    <row r="514">
      <c r="A514" s="8" t="s">
        <v>1096</v>
      </c>
      <c r="B514" s="8" t="s">
        <v>1137</v>
      </c>
      <c r="C514" s="8" t="s">
        <v>1102</v>
      </c>
      <c r="D514" s="37" t="str">
        <f t="array" ref="D514">XLOOKUP($A514,'本部部署'!A:A,'本部部署'!A:A,"×",0,"1")</f>
        <v>×</v>
      </c>
      <c r="E514" s="37" t="str">
        <f t="array" ref="E514">XLOOKUP($B514,'本部部署'!B:B,'本部部署'!B:B,"×",0,"1")</f>
        <v>×</v>
      </c>
      <c r="F514" s="37" t="str">
        <f t="array" ref="F514">XLOOKUP($A514,'本部部署'!B:B,'本部部署'!B:B,"×",0,"1")</f>
        <v>×</v>
      </c>
      <c r="G514" s="37" t="str">
        <f t="array" ref="G514">XLOOKUP($B514,'本部部署'!A:A,'本部部署'!A:A,"×",0,"1")</f>
        <v>×</v>
      </c>
      <c r="H514" s="7" t="s">
        <v>1097</v>
      </c>
    </row>
    <row r="515">
      <c r="A515" s="8" t="s">
        <v>1096</v>
      </c>
      <c r="B515" s="8" t="s">
        <v>1362</v>
      </c>
      <c r="C515" s="8" t="s">
        <v>1102</v>
      </c>
      <c r="D515" s="37" t="str">
        <f t="array" ref="D515">XLOOKUP($A515,'本部部署'!A:A,'本部部署'!A:A,"×",0,"1")</f>
        <v>×</v>
      </c>
      <c r="E515" s="37" t="str">
        <f t="array" ref="E515">XLOOKUP($B515,'本部部署'!B:B,'本部部署'!B:B,"×",0,"1")</f>
        <v>×</v>
      </c>
      <c r="F515" s="37" t="str">
        <f t="array" ref="F515">XLOOKUP($A515,'本部部署'!B:B,'本部部署'!B:B,"×",0,"1")</f>
        <v>×</v>
      </c>
      <c r="G515" s="37" t="str">
        <f t="array" ref="G515">XLOOKUP($B515,'本部部署'!A:A,'本部部署'!A:A,"×",0,"1")</f>
        <v>×</v>
      </c>
      <c r="H515" s="7" t="s">
        <v>1097</v>
      </c>
    </row>
    <row r="516">
      <c r="A516" s="8" t="s">
        <v>1096</v>
      </c>
      <c r="B516" s="8" t="s">
        <v>1174</v>
      </c>
      <c r="C516" s="8" t="s">
        <v>1102</v>
      </c>
      <c r="D516" s="37" t="str">
        <f t="array" ref="D516">XLOOKUP($A516,'本部部署'!A:A,'本部部署'!A:A,"×",0,"1")</f>
        <v>×</v>
      </c>
      <c r="E516" s="37" t="str">
        <f t="array" ref="E516">XLOOKUP($B516,'本部部署'!B:B,'本部部署'!B:B,"×",0,"1")</f>
        <v>×</v>
      </c>
      <c r="F516" s="37" t="str">
        <f t="array" ref="F516">XLOOKUP($A516,'本部部署'!B:B,'本部部署'!B:B,"×",0,"1")</f>
        <v>×</v>
      </c>
      <c r="G516" s="37" t="str">
        <f t="array" ref="G516">XLOOKUP($B516,'本部部署'!A:A,'本部部署'!A:A,"×",0,"1")</f>
        <v>×</v>
      </c>
      <c r="H516" s="7" t="s">
        <v>693</v>
      </c>
    </row>
    <row r="517">
      <c r="A517" s="8" t="s">
        <v>1096</v>
      </c>
      <c r="B517" s="8" t="s">
        <v>148</v>
      </c>
      <c r="C517" s="8"/>
      <c r="D517" s="37" t="str">
        <f t="array" ref="D517">XLOOKUP($A517,'本部部署'!A:A,'本部部署'!A:A,"×",0,"1")</f>
        <v>×</v>
      </c>
      <c r="E517" s="37" t="str">
        <f t="array" ref="E517">XLOOKUP($B517,'本部部署'!B:B,'本部部署'!B:B,"×",0,"1")</f>
        <v>開発室</v>
      </c>
    </row>
    <row r="518">
      <c r="A518" s="8" t="s">
        <v>1096</v>
      </c>
      <c r="B518" s="8" t="s">
        <v>1111</v>
      </c>
      <c r="C518" s="8" t="s">
        <v>1102</v>
      </c>
      <c r="D518" s="37" t="str">
        <f t="array" ref="D518">XLOOKUP($A518,'本部部署'!A:A,'本部部署'!A:A,"×",0,"1")</f>
        <v>×</v>
      </c>
      <c r="E518" s="37" t="str">
        <f t="array" ref="E518">XLOOKUP($B518,'本部部署'!B:B,'本部部署'!B:B,"×",0,"1")</f>
        <v>×</v>
      </c>
      <c r="F518" s="37" t="str">
        <f t="array" ref="F518">XLOOKUP($A518,'本部部署'!B:B,'本部部署'!B:B,"×",0,"1")</f>
        <v>×</v>
      </c>
      <c r="G518" s="37" t="str">
        <f t="array" ref="G518">XLOOKUP($B518,'本部部署'!A:A,'本部部署'!A:A,"×",0,"1")</f>
        <v>×</v>
      </c>
      <c r="H518" s="7" t="s">
        <v>1105</v>
      </c>
    </row>
    <row r="519">
      <c r="A519" s="8" t="s">
        <v>1096</v>
      </c>
      <c r="B519" s="8" t="s">
        <v>1363</v>
      </c>
      <c r="C519" s="8" t="s">
        <v>1102</v>
      </c>
      <c r="D519" s="37" t="str">
        <f t="array" ref="D519">XLOOKUP($A519,'本部部署'!A:A,'本部部署'!A:A,"×",0,"1")</f>
        <v>×</v>
      </c>
      <c r="E519" s="37" t="str">
        <f t="array" ref="E519">XLOOKUP($B519,'本部部署'!B:B,'本部部署'!B:B,"×",0,"1")</f>
        <v>×</v>
      </c>
      <c r="F519" s="37" t="str">
        <f t="array" ref="F519">XLOOKUP($A519,'本部部署'!B:B,'本部部署'!B:B,"×",0,"1")</f>
        <v>×</v>
      </c>
      <c r="G519" s="37" t="str">
        <f t="array" ref="G519">XLOOKUP($B519,'本部部署'!A:A,'本部部署'!A:A,"×",0,"1")</f>
        <v>×</v>
      </c>
      <c r="H519" s="7" t="s">
        <v>1097</v>
      </c>
    </row>
    <row r="520">
      <c r="A520" s="8" t="s">
        <v>1096</v>
      </c>
      <c r="B520" s="8" t="s">
        <v>1229</v>
      </c>
      <c r="C520" s="8" t="s">
        <v>1102</v>
      </c>
      <c r="D520" s="37" t="str">
        <f t="array" ref="D520">XLOOKUP($A520,'本部部署'!A:A,'本部部署'!A:A,"×",0,"1")</f>
        <v>×</v>
      </c>
      <c r="E520" s="37" t="str">
        <f t="array" ref="E520">XLOOKUP($B520,'本部部署'!B:B,'本部部署'!B:B,"×",0,"1")</f>
        <v>×</v>
      </c>
      <c r="F520" s="37" t="str">
        <f t="array" ref="F520">XLOOKUP($A520,'本部部署'!B:B,'本部部署'!B:B,"×",0,"1")</f>
        <v>×</v>
      </c>
      <c r="G520" s="37" t="str">
        <f t="array" ref="G520">XLOOKUP($B520,'本部部署'!A:A,'本部部署'!A:A,"×",0,"1")</f>
        <v>×</v>
      </c>
      <c r="H520" s="7" t="s">
        <v>1097</v>
      </c>
    </row>
    <row r="521">
      <c r="A521" s="8" t="s">
        <v>1096</v>
      </c>
      <c r="B521" s="8" t="s">
        <v>359</v>
      </c>
      <c r="C521" s="8"/>
      <c r="D521" s="37" t="str">
        <f t="array" ref="D521">XLOOKUP($A521,'本部部署'!A:A,'本部部署'!A:A,"×",0,"1")</f>
        <v>×</v>
      </c>
      <c r="E521" s="37" t="str">
        <f t="array" ref="E521">XLOOKUP($B521,'本部部署'!B:B,'本部部署'!B:B,"×",0,"1")</f>
        <v>事業開発室</v>
      </c>
    </row>
    <row r="522">
      <c r="H522" s="7" t="s">
        <v>1097</v>
      </c>
    </row>
  </sheetData>
  <autoFilter ref="$A$1:$G$521"/>
  <conditionalFormatting sqref="A2:M22">
    <cfRule type="expression" dxfId="3" priority="1">
      <formula>countif($L2,"0file")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Col="1"/>
  <cols>
    <col customWidth="1" min="1" max="1" width="42.88"/>
    <col customWidth="1" min="2" max="2" width="8.5"/>
    <col customWidth="1" min="3" max="3" width="18.88" outlineLevel="1"/>
    <col customWidth="1" min="4" max="4" width="13.0" outlineLevel="1"/>
    <col customWidth="1" min="5" max="5" width="12.63"/>
    <col customWidth="1" min="7" max="7" width="18.88"/>
    <col customWidth="1" min="9" max="9" width="18.88"/>
    <col customWidth="1" min="11" max="11" width="18.88"/>
    <col customWidth="1" min="13" max="13" width="18.88"/>
    <col customWidth="1" min="15" max="15" width="18.88"/>
    <col customWidth="1" min="17" max="17" width="18.88"/>
    <col customWidth="1" min="19" max="19" width="18.88"/>
    <col min="20" max="20" width="12.63"/>
  </cols>
  <sheetData>
    <row r="1">
      <c r="A1" s="7" t="s">
        <v>1364</v>
      </c>
      <c r="B1" s="7"/>
      <c r="E1" s="7" t="s">
        <v>1365</v>
      </c>
    </row>
    <row r="2">
      <c r="A2" s="8" t="s">
        <v>1366</v>
      </c>
      <c r="B2" s="8"/>
      <c r="C2" s="40"/>
      <c r="D2" s="40"/>
      <c r="E2" s="40"/>
      <c r="F2" s="40"/>
      <c r="G2" s="40"/>
      <c r="H2" s="40"/>
      <c r="I2" s="40"/>
      <c r="J2" s="40"/>
      <c r="K2" s="40"/>
      <c r="L2" s="40"/>
      <c r="M2" s="40"/>
      <c r="N2" s="40"/>
      <c r="O2" s="40"/>
      <c r="P2" s="40"/>
      <c r="Q2" s="40"/>
      <c r="R2" s="40"/>
      <c r="S2" s="40"/>
      <c r="T2" s="40"/>
      <c r="U2" s="41"/>
      <c r="V2" s="41"/>
      <c r="W2" s="41"/>
      <c r="X2" s="41"/>
      <c r="Y2" s="41"/>
      <c r="Z2" s="41"/>
    </row>
    <row r="3">
      <c r="A3" s="8"/>
      <c r="B3" s="8"/>
      <c r="C3" s="40"/>
      <c r="D3" s="40"/>
      <c r="E3" s="40"/>
      <c r="F3" s="40"/>
      <c r="G3" s="40"/>
      <c r="H3" s="40"/>
      <c r="I3" s="40"/>
      <c r="J3" s="40"/>
      <c r="K3" s="40"/>
      <c r="L3" s="40"/>
      <c r="M3" s="40"/>
      <c r="N3" s="40"/>
      <c r="O3" s="40"/>
      <c r="P3" s="40"/>
      <c r="Q3" s="40"/>
      <c r="R3" s="40"/>
      <c r="S3" s="40"/>
      <c r="T3" s="40"/>
      <c r="U3" s="41"/>
      <c r="V3" s="41"/>
      <c r="W3" s="41"/>
      <c r="X3" s="41"/>
      <c r="Y3" s="41"/>
      <c r="Z3" s="41"/>
    </row>
    <row r="4">
      <c r="A4" s="11" t="s">
        <v>1367</v>
      </c>
      <c r="B4" s="42" t="s">
        <v>1368</v>
      </c>
      <c r="C4" s="10" t="s">
        <v>1369</v>
      </c>
      <c r="D4" s="43" t="s">
        <v>1370</v>
      </c>
      <c r="E4" s="44" t="s">
        <v>1369</v>
      </c>
      <c r="F4" s="45" t="s">
        <v>1371</v>
      </c>
      <c r="G4" s="44" t="s">
        <v>1369</v>
      </c>
      <c r="H4" s="45" t="s">
        <v>1371</v>
      </c>
      <c r="I4" s="44" t="s">
        <v>1369</v>
      </c>
      <c r="J4" s="45" t="s">
        <v>1371</v>
      </c>
      <c r="K4" s="44" t="s">
        <v>1369</v>
      </c>
      <c r="L4" s="45" t="s">
        <v>1371</v>
      </c>
      <c r="M4" s="44" t="s">
        <v>1369</v>
      </c>
      <c r="N4" s="45" t="s">
        <v>1371</v>
      </c>
      <c r="O4" s="44" t="s">
        <v>1369</v>
      </c>
      <c r="P4" s="45" t="s">
        <v>1371</v>
      </c>
      <c r="Q4" s="44" t="s">
        <v>1369</v>
      </c>
      <c r="R4" s="45" t="s">
        <v>1371</v>
      </c>
      <c r="S4" s="44" t="s">
        <v>1369</v>
      </c>
      <c r="T4" s="45" t="s">
        <v>1371</v>
      </c>
      <c r="U4" s="7" t="s">
        <v>1372</v>
      </c>
      <c r="V4" s="7" t="s">
        <v>1372</v>
      </c>
    </row>
    <row r="5">
      <c r="A5" s="8" t="s">
        <v>1373</v>
      </c>
      <c r="B5" s="8"/>
      <c r="C5" s="37" t="s">
        <v>1374</v>
      </c>
      <c r="D5" s="7" t="s">
        <v>420</v>
      </c>
      <c r="E5" s="7" t="s">
        <v>1375</v>
      </c>
    </row>
    <row r="6">
      <c r="A6" s="8" t="s">
        <v>1376</v>
      </c>
      <c r="B6" s="8"/>
      <c r="C6" s="37" t="s">
        <v>1377</v>
      </c>
      <c r="D6" s="7" t="s">
        <v>1378</v>
      </c>
      <c r="E6" s="7" t="s">
        <v>1379</v>
      </c>
    </row>
    <row r="7">
      <c r="A7" s="8" t="s">
        <v>1380</v>
      </c>
      <c r="B7" s="8"/>
      <c r="C7" s="37" t="s">
        <v>1381</v>
      </c>
      <c r="D7" s="7" t="s">
        <v>1382</v>
      </c>
      <c r="E7" s="7" t="s">
        <v>1383</v>
      </c>
    </row>
    <row r="8">
      <c r="A8" s="8" t="s">
        <v>1384</v>
      </c>
      <c r="B8" s="8"/>
      <c r="C8" s="37" t="s">
        <v>1385</v>
      </c>
      <c r="D8" s="7" t="s">
        <v>1386</v>
      </c>
      <c r="E8" s="7" t="s">
        <v>1387</v>
      </c>
    </row>
    <row r="9">
      <c r="A9" s="8" t="s">
        <v>1388</v>
      </c>
      <c r="B9" s="8"/>
      <c r="C9" s="37" t="s">
        <v>1389</v>
      </c>
      <c r="D9" s="7" t="s">
        <v>1390</v>
      </c>
      <c r="E9" s="7" t="s">
        <v>1391</v>
      </c>
    </row>
    <row r="10">
      <c r="A10" s="8" t="s">
        <v>1392</v>
      </c>
      <c r="B10" s="8"/>
      <c r="C10" s="37" t="s">
        <v>1393</v>
      </c>
      <c r="D10" s="7" t="s">
        <v>1394</v>
      </c>
      <c r="E10" s="7" t="s">
        <v>1395</v>
      </c>
    </row>
    <row r="11">
      <c r="A11" s="8" t="s">
        <v>1396</v>
      </c>
      <c r="B11" s="8"/>
      <c r="C11" s="37" t="s">
        <v>1397</v>
      </c>
      <c r="D11" s="7" t="s">
        <v>1398</v>
      </c>
      <c r="E11" s="7" t="s">
        <v>1399</v>
      </c>
      <c r="F11" s="7" t="s">
        <v>1400</v>
      </c>
      <c r="G11" s="7" t="s">
        <v>1401</v>
      </c>
      <c r="H11" s="7" t="s">
        <v>1402</v>
      </c>
      <c r="I11" s="7" t="s">
        <v>1403</v>
      </c>
      <c r="J11" s="7" t="s">
        <v>1404</v>
      </c>
      <c r="K11" s="7" t="s">
        <v>1405</v>
      </c>
      <c r="L11" s="7" t="s">
        <v>1404</v>
      </c>
      <c r="M11" s="7" t="s">
        <v>1406</v>
      </c>
      <c r="N11" s="7" t="s">
        <v>1407</v>
      </c>
      <c r="O11" s="7" t="s">
        <v>1408</v>
      </c>
      <c r="T11" s="7" t="s">
        <v>1398</v>
      </c>
    </row>
    <row r="12">
      <c r="A12" s="8" t="s">
        <v>1409</v>
      </c>
      <c r="B12" s="8"/>
      <c r="C12" s="37" t="s">
        <v>1410</v>
      </c>
      <c r="D12" s="7" t="s">
        <v>854</v>
      </c>
      <c r="E12" s="7" t="s">
        <v>1411</v>
      </c>
    </row>
    <row r="13">
      <c r="A13" s="8" t="s">
        <v>1412</v>
      </c>
      <c r="B13" s="8"/>
      <c r="C13" s="37" t="s">
        <v>1413</v>
      </c>
      <c r="D13" s="37" t="s">
        <v>1053</v>
      </c>
      <c r="E13" s="7" t="s">
        <v>1414</v>
      </c>
      <c r="F13" s="7" t="s">
        <v>1415</v>
      </c>
      <c r="G13" s="7" t="s">
        <v>1416</v>
      </c>
      <c r="H13" s="37" t="s">
        <v>1053</v>
      </c>
      <c r="T13" s="37" t="s">
        <v>1053</v>
      </c>
    </row>
    <row r="14">
      <c r="A14" s="8" t="s">
        <v>1417</v>
      </c>
      <c r="B14" s="8"/>
      <c r="C14" s="37" t="s">
        <v>1418</v>
      </c>
      <c r="D14" s="7" t="s">
        <v>1419</v>
      </c>
      <c r="E14" s="7" t="s">
        <v>1418</v>
      </c>
      <c r="T14" s="7" t="s">
        <v>1419</v>
      </c>
    </row>
    <row r="15">
      <c r="A15" s="8" t="s">
        <v>1420</v>
      </c>
      <c r="B15" s="8"/>
      <c r="C15" s="37" t="s">
        <v>1421</v>
      </c>
      <c r="D15" s="7" t="s">
        <v>1422</v>
      </c>
      <c r="E15" s="7" t="s">
        <v>1423</v>
      </c>
    </row>
    <row r="16" hidden="1">
      <c r="A16" s="8" t="s">
        <v>1424</v>
      </c>
      <c r="B16" s="8" t="s">
        <v>1425</v>
      </c>
      <c r="C16" s="37" t="s">
        <v>1426</v>
      </c>
      <c r="D16" s="37" t="s">
        <v>1427</v>
      </c>
      <c r="E16" s="7" t="s">
        <v>1428</v>
      </c>
      <c r="F16" s="37" t="s">
        <v>1427</v>
      </c>
      <c r="G16" s="7" t="s">
        <v>1429</v>
      </c>
      <c r="H16" s="37" t="s">
        <v>1053</v>
      </c>
      <c r="T16" s="37" t="s">
        <v>1430</v>
      </c>
      <c r="U16" s="37" t="s">
        <v>1427</v>
      </c>
      <c r="V16" s="37" t="s">
        <v>1430</v>
      </c>
    </row>
    <row r="17">
      <c r="A17" s="8" t="s">
        <v>1431</v>
      </c>
      <c r="B17" s="8"/>
      <c r="C17" s="37" t="s">
        <v>1432</v>
      </c>
      <c r="D17" s="7" t="s">
        <v>1433</v>
      </c>
      <c r="E17" s="7" t="s">
        <v>1434</v>
      </c>
      <c r="F17" s="37" t="s">
        <v>1053</v>
      </c>
      <c r="G17" s="7" t="s">
        <v>1435</v>
      </c>
      <c r="H17" s="37" t="s">
        <v>1053</v>
      </c>
      <c r="T17" s="7" t="s">
        <v>1433</v>
      </c>
    </row>
    <row r="18">
      <c r="A18" s="8" t="s">
        <v>1436</v>
      </c>
      <c r="B18" s="8"/>
      <c r="C18" s="37" t="s">
        <v>1437</v>
      </c>
      <c r="D18" s="7" t="s">
        <v>1438</v>
      </c>
      <c r="E18" s="7" t="s">
        <v>1439</v>
      </c>
    </row>
    <row r="19">
      <c r="A19" s="8" t="s">
        <v>1440</v>
      </c>
      <c r="B19" s="8"/>
      <c r="C19" s="37" t="s">
        <v>1389</v>
      </c>
      <c r="D19" s="7" t="s">
        <v>1390</v>
      </c>
      <c r="E19" s="7" t="s">
        <v>1391</v>
      </c>
    </row>
    <row r="20">
      <c r="A20" s="8" t="s">
        <v>1441</v>
      </c>
      <c r="B20" s="8"/>
      <c r="C20" s="7" t="s">
        <v>1442</v>
      </c>
      <c r="D20" s="7" t="s">
        <v>1443</v>
      </c>
      <c r="E20" s="7" t="s">
        <v>1444</v>
      </c>
      <c r="F20" s="37" t="s">
        <v>1053</v>
      </c>
      <c r="G20" s="7" t="s">
        <v>1445</v>
      </c>
      <c r="H20" s="37" t="s">
        <v>1053</v>
      </c>
      <c r="I20" s="7" t="s">
        <v>1446</v>
      </c>
      <c r="J20" s="37" t="s">
        <v>1053</v>
      </c>
      <c r="T20" s="7" t="s">
        <v>1443</v>
      </c>
    </row>
    <row r="21">
      <c r="A21" s="8" t="s">
        <v>1447</v>
      </c>
      <c r="B21" s="8"/>
      <c r="C21" s="37" t="s">
        <v>1410</v>
      </c>
      <c r="D21" s="7" t="s">
        <v>854</v>
      </c>
      <c r="E21" s="7" t="s">
        <v>1411</v>
      </c>
    </row>
    <row r="22">
      <c r="A22" s="8" t="s">
        <v>1448</v>
      </c>
      <c r="B22" s="8"/>
      <c r="C22" s="37" t="s">
        <v>1449</v>
      </c>
      <c r="D22" s="7" t="s">
        <v>1450</v>
      </c>
      <c r="E22" s="7" t="s">
        <v>1451</v>
      </c>
    </row>
    <row r="23">
      <c r="A23" s="8" t="s">
        <v>1452</v>
      </c>
      <c r="B23" s="8"/>
      <c r="C23" s="37" t="s">
        <v>1453</v>
      </c>
      <c r="D23" s="7" t="s">
        <v>422</v>
      </c>
      <c r="E23" s="7" t="s">
        <v>1454</v>
      </c>
    </row>
    <row r="24">
      <c r="A24" s="8" t="s">
        <v>1455</v>
      </c>
      <c r="B24" s="8"/>
      <c r="C24" s="37" t="s">
        <v>1456</v>
      </c>
      <c r="D24" s="7" t="s">
        <v>1457</v>
      </c>
      <c r="E24" s="7" t="s">
        <v>1458</v>
      </c>
    </row>
    <row r="25">
      <c r="A25" s="8" t="s">
        <v>1459</v>
      </c>
      <c r="B25" s="8"/>
      <c r="C25" s="37" t="s">
        <v>1460</v>
      </c>
      <c r="D25" s="7" t="s">
        <v>1461</v>
      </c>
      <c r="E25" s="7" t="s">
        <v>1460</v>
      </c>
      <c r="T25" s="7" t="s">
        <v>1461</v>
      </c>
    </row>
    <row r="26">
      <c r="A26" s="8" t="s">
        <v>1462</v>
      </c>
      <c r="B26" s="8"/>
      <c r="C26" s="37" t="s">
        <v>1463</v>
      </c>
      <c r="D26" s="7" t="s">
        <v>1464</v>
      </c>
      <c r="E26" s="7" t="s">
        <v>1465</v>
      </c>
    </row>
    <row r="27">
      <c r="A27" s="8" t="s">
        <v>1466</v>
      </c>
      <c r="B27" s="8"/>
      <c r="C27" s="37" t="s">
        <v>1467</v>
      </c>
      <c r="D27" s="7" t="s">
        <v>1468</v>
      </c>
      <c r="E27" s="7" t="s">
        <v>1469</v>
      </c>
    </row>
    <row r="28">
      <c r="A28" s="8" t="s">
        <v>1470</v>
      </c>
      <c r="B28" s="8"/>
      <c r="C28" s="37" t="s">
        <v>1381</v>
      </c>
      <c r="D28" s="7" t="s">
        <v>1382</v>
      </c>
      <c r="E28" s="7" t="s">
        <v>1383</v>
      </c>
    </row>
    <row r="29" hidden="1">
      <c r="A29" s="8" t="s">
        <v>1471</v>
      </c>
      <c r="B29" s="8" t="s">
        <v>1425</v>
      </c>
      <c r="C29" s="37" t="s">
        <v>1472</v>
      </c>
      <c r="D29" s="37" t="s">
        <v>1065</v>
      </c>
      <c r="E29" s="7" t="s">
        <v>1473</v>
      </c>
      <c r="F29" s="37" t="s">
        <v>1065</v>
      </c>
      <c r="H29" s="37" t="s">
        <v>1053</v>
      </c>
      <c r="T29" s="37" t="s">
        <v>1053</v>
      </c>
      <c r="U29" s="37" t="s">
        <v>1065</v>
      </c>
      <c r="V29" s="37" t="s">
        <v>1053</v>
      </c>
    </row>
    <row r="30" hidden="1">
      <c r="A30" s="8" t="s">
        <v>1474</v>
      </c>
      <c r="B30" s="8" t="s">
        <v>1425</v>
      </c>
      <c r="C30" s="37" t="s">
        <v>1475</v>
      </c>
      <c r="D30" s="37" t="s">
        <v>74</v>
      </c>
      <c r="E30" s="7" t="s">
        <v>1476</v>
      </c>
      <c r="F30" s="37" t="s">
        <v>74</v>
      </c>
      <c r="H30" s="37" t="s">
        <v>1053</v>
      </c>
      <c r="T30" s="37" t="s">
        <v>1053</v>
      </c>
      <c r="U30" s="37" t="s">
        <v>74</v>
      </c>
      <c r="V30" s="37" t="s">
        <v>1053</v>
      </c>
    </row>
    <row r="31">
      <c r="A31" s="8" t="s">
        <v>1477</v>
      </c>
      <c r="B31" s="8"/>
      <c r="C31" s="37" t="s">
        <v>1389</v>
      </c>
      <c r="D31" s="7" t="s">
        <v>1390</v>
      </c>
      <c r="E31" s="7" t="s">
        <v>1391</v>
      </c>
    </row>
    <row r="32">
      <c r="A32" s="8" t="s">
        <v>1478</v>
      </c>
      <c r="B32" s="8"/>
      <c r="C32" s="37" t="s">
        <v>1479</v>
      </c>
      <c r="D32" s="7" t="s">
        <v>1480</v>
      </c>
      <c r="E32" s="7" t="s">
        <v>1481</v>
      </c>
    </row>
    <row r="33" hidden="1">
      <c r="A33" s="8" t="s">
        <v>1482</v>
      </c>
      <c r="B33" s="8" t="s">
        <v>1425</v>
      </c>
      <c r="C33" s="37" t="s">
        <v>1483</v>
      </c>
      <c r="D33" s="37" t="s">
        <v>1311</v>
      </c>
      <c r="E33" s="7" t="s">
        <v>1484</v>
      </c>
      <c r="F33" s="37" t="s">
        <v>1311</v>
      </c>
      <c r="H33" s="37" t="s">
        <v>1053</v>
      </c>
      <c r="T33" s="37" t="s">
        <v>1053</v>
      </c>
      <c r="U33" s="37" t="s">
        <v>1311</v>
      </c>
      <c r="V33" s="37" t="s">
        <v>1053</v>
      </c>
    </row>
    <row r="34">
      <c r="A34" s="8" t="s">
        <v>1485</v>
      </c>
      <c r="B34" s="8"/>
      <c r="C34" s="37" t="s">
        <v>1486</v>
      </c>
      <c r="D34" s="7" t="s">
        <v>1487</v>
      </c>
      <c r="E34" s="7" t="s">
        <v>1488</v>
      </c>
    </row>
    <row r="35">
      <c r="A35" s="8" t="s">
        <v>1489</v>
      </c>
      <c r="B35" s="8"/>
      <c r="C35" s="7" t="s">
        <v>1490</v>
      </c>
      <c r="D35" s="7" t="s">
        <v>1491</v>
      </c>
      <c r="E35" s="7" t="s">
        <v>1492</v>
      </c>
    </row>
    <row r="36" hidden="1">
      <c r="A36" s="8" t="s">
        <v>1493</v>
      </c>
      <c r="B36" s="8" t="s">
        <v>1425</v>
      </c>
      <c r="C36" s="37" t="s">
        <v>1494</v>
      </c>
      <c r="D36" s="37" t="s">
        <v>1495</v>
      </c>
      <c r="E36" s="7" t="s">
        <v>1496</v>
      </c>
      <c r="F36" s="37" t="s">
        <v>1495</v>
      </c>
      <c r="H36" s="37" t="s">
        <v>1053</v>
      </c>
      <c r="T36" s="37" t="s">
        <v>1053</v>
      </c>
      <c r="U36" s="37" t="s">
        <v>1495</v>
      </c>
      <c r="V36" s="37" t="s">
        <v>1053</v>
      </c>
    </row>
    <row r="37">
      <c r="A37" s="8" t="s">
        <v>1497</v>
      </c>
      <c r="B37" s="8"/>
      <c r="C37" s="37" t="s">
        <v>1498</v>
      </c>
      <c r="D37" s="7" t="s">
        <v>780</v>
      </c>
      <c r="E37" s="7" t="s">
        <v>1499</v>
      </c>
    </row>
    <row r="38">
      <c r="A38" s="8" t="s">
        <v>1500</v>
      </c>
      <c r="B38" s="8"/>
      <c r="C38" s="37" t="s">
        <v>1501</v>
      </c>
      <c r="D38" s="7" t="s">
        <v>1502</v>
      </c>
      <c r="E38" s="7" t="s">
        <v>1503</v>
      </c>
    </row>
    <row r="39">
      <c r="A39" s="8" t="s">
        <v>1504</v>
      </c>
      <c r="B39" s="8"/>
      <c r="C39" s="37" t="s">
        <v>1505</v>
      </c>
      <c r="D39" s="7" t="s">
        <v>1506</v>
      </c>
      <c r="E39" s="7" t="s">
        <v>1507</v>
      </c>
    </row>
    <row r="40">
      <c r="A40" s="8" t="s">
        <v>1508</v>
      </c>
      <c r="B40" s="8"/>
      <c r="C40" s="37" t="s">
        <v>1509</v>
      </c>
      <c r="D40" s="7" t="s">
        <v>693</v>
      </c>
      <c r="E40" s="7" t="s">
        <v>1510</v>
      </c>
    </row>
    <row r="41" hidden="1">
      <c r="A41" s="8" t="s">
        <v>1511</v>
      </c>
      <c r="B41" s="8" t="s">
        <v>1425</v>
      </c>
      <c r="C41" s="7" t="s">
        <v>1512</v>
      </c>
      <c r="D41" s="37" t="s">
        <v>484</v>
      </c>
      <c r="E41" s="7" t="s">
        <v>1513</v>
      </c>
      <c r="F41" s="37" t="s">
        <v>484</v>
      </c>
      <c r="G41" s="7" t="s">
        <v>1492</v>
      </c>
      <c r="H41" s="37" t="s">
        <v>1053</v>
      </c>
      <c r="T41" s="37" t="s">
        <v>1053</v>
      </c>
      <c r="U41" s="37" t="s">
        <v>484</v>
      </c>
      <c r="V41" s="37" t="s">
        <v>1053</v>
      </c>
    </row>
    <row r="42">
      <c r="A42" s="8" t="s">
        <v>1514</v>
      </c>
      <c r="B42" s="8"/>
      <c r="C42" s="37" t="s">
        <v>1515</v>
      </c>
      <c r="D42" s="7" t="s">
        <v>1516</v>
      </c>
      <c r="E42" s="7" t="s">
        <v>1517</v>
      </c>
      <c r="F42" s="7" t="s">
        <v>1518</v>
      </c>
      <c r="G42" s="7" t="s">
        <v>1519</v>
      </c>
      <c r="H42" s="7" t="s">
        <v>1520</v>
      </c>
      <c r="I42" s="7" t="s">
        <v>1521</v>
      </c>
      <c r="J42" s="7" t="s">
        <v>1522</v>
      </c>
      <c r="K42" s="7" t="s">
        <v>1523</v>
      </c>
      <c r="L42" s="7" t="s">
        <v>1524</v>
      </c>
      <c r="M42" s="7" t="s">
        <v>1525</v>
      </c>
      <c r="N42" s="37" t="s">
        <v>1053</v>
      </c>
      <c r="T42" s="7" t="s">
        <v>1516</v>
      </c>
    </row>
    <row r="43">
      <c r="A43" s="8" t="s">
        <v>1526</v>
      </c>
      <c r="B43" s="8"/>
      <c r="C43" s="37" t="s">
        <v>1527</v>
      </c>
      <c r="D43" s="7" t="s">
        <v>1398</v>
      </c>
      <c r="E43" s="7" t="s">
        <v>1399</v>
      </c>
      <c r="F43" s="7" t="s">
        <v>1400</v>
      </c>
      <c r="G43" s="7" t="s">
        <v>1401</v>
      </c>
      <c r="H43" s="7" t="s">
        <v>1402</v>
      </c>
      <c r="I43" s="7" t="s">
        <v>1403</v>
      </c>
      <c r="J43" s="7" t="s">
        <v>1404</v>
      </c>
      <c r="K43" s="7" t="s">
        <v>1405</v>
      </c>
      <c r="L43" s="7" t="s">
        <v>1404</v>
      </c>
      <c r="M43" s="7" t="s">
        <v>1406</v>
      </c>
      <c r="N43" s="37" t="s">
        <v>1053</v>
      </c>
      <c r="T43" s="7" t="s">
        <v>1398</v>
      </c>
    </row>
    <row r="44">
      <c r="A44" s="8" t="s">
        <v>1528</v>
      </c>
      <c r="B44" s="8"/>
      <c r="C44" s="37" t="s">
        <v>1449</v>
      </c>
      <c r="D44" s="7" t="s">
        <v>1450</v>
      </c>
      <c r="E44" s="7" t="s">
        <v>1451</v>
      </c>
    </row>
    <row r="45">
      <c r="A45" s="8" t="s">
        <v>1529</v>
      </c>
      <c r="B45" s="8"/>
      <c r="C45" s="37" t="s">
        <v>1530</v>
      </c>
      <c r="D45" s="7" t="s">
        <v>1531</v>
      </c>
      <c r="E45" s="7" t="s">
        <v>1532</v>
      </c>
    </row>
    <row r="46">
      <c r="A46" s="8" t="s">
        <v>1533</v>
      </c>
      <c r="B46" s="8"/>
      <c r="C46" s="37" t="s">
        <v>1453</v>
      </c>
      <c r="D46" s="7" t="s">
        <v>422</v>
      </c>
      <c r="E46" s="7" t="s">
        <v>1454</v>
      </c>
    </row>
    <row r="47" hidden="1">
      <c r="A47" s="8" t="s">
        <v>1534</v>
      </c>
      <c r="B47" s="8" t="s">
        <v>1425</v>
      </c>
      <c r="C47" s="37" t="s">
        <v>1535</v>
      </c>
      <c r="D47" s="37" t="s">
        <v>1536</v>
      </c>
      <c r="E47" s="7" t="s">
        <v>1537</v>
      </c>
      <c r="F47" s="7" t="s">
        <v>1538</v>
      </c>
      <c r="H47" s="37" t="s">
        <v>1053</v>
      </c>
      <c r="T47" s="37" t="s">
        <v>1053</v>
      </c>
      <c r="U47" s="37" t="s">
        <v>1536</v>
      </c>
      <c r="V47" s="37" t="s">
        <v>1053</v>
      </c>
    </row>
    <row r="48" hidden="1">
      <c r="A48" s="8" t="s">
        <v>1539</v>
      </c>
      <c r="B48" s="8" t="s">
        <v>1425</v>
      </c>
      <c r="C48" s="37" t="s">
        <v>1540</v>
      </c>
      <c r="D48" s="37" t="s">
        <v>1053</v>
      </c>
      <c r="E48" s="7" t="s">
        <v>1541</v>
      </c>
      <c r="F48" s="37" t="s">
        <v>1053</v>
      </c>
      <c r="H48" s="37" t="s">
        <v>1053</v>
      </c>
      <c r="T48" s="37" t="s">
        <v>1053</v>
      </c>
      <c r="U48" s="37" t="s">
        <v>1053</v>
      </c>
      <c r="V48" s="37" t="s">
        <v>1053</v>
      </c>
    </row>
    <row r="49" hidden="1">
      <c r="A49" s="8" t="s">
        <v>1542</v>
      </c>
      <c r="B49" s="8" t="s">
        <v>1425</v>
      </c>
      <c r="C49" s="37" t="s">
        <v>1053</v>
      </c>
      <c r="E49" s="37" t="s">
        <v>1053</v>
      </c>
      <c r="H49" s="37" t="s">
        <v>1053</v>
      </c>
    </row>
    <row r="50" hidden="1">
      <c r="A50" s="8" t="s">
        <v>1543</v>
      </c>
      <c r="B50" s="8" t="s">
        <v>1425</v>
      </c>
      <c r="C50" s="37" t="s">
        <v>1544</v>
      </c>
      <c r="D50" s="37" t="s">
        <v>1495</v>
      </c>
      <c r="E50" s="7" t="s">
        <v>1545</v>
      </c>
      <c r="F50" s="37" t="s">
        <v>1495</v>
      </c>
      <c r="H50" s="37" t="s">
        <v>1053</v>
      </c>
      <c r="T50" s="37" t="s">
        <v>1053</v>
      </c>
      <c r="U50" s="37" t="s">
        <v>1495</v>
      </c>
      <c r="V50" s="37" t="s">
        <v>1053</v>
      </c>
    </row>
    <row r="51">
      <c r="A51" s="8" t="s">
        <v>1546</v>
      </c>
      <c r="B51" s="8"/>
      <c r="C51" s="37" t="s">
        <v>1547</v>
      </c>
      <c r="D51" s="7" t="s">
        <v>323</v>
      </c>
      <c r="E51" s="7" t="s">
        <v>1548</v>
      </c>
    </row>
    <row r="52">
      <c r="A52" s="8" t="s">
        <v>1549</v>
      </c>
      <c r="B52" s="8"/>
      <c r="C52" s="37" t="s">
        <v>1550</v>
      </c>
      <c r="D52" s="7" t="s">
        <v>1551</v>
      </c>
      <c r="E52" s="7" t="s">
        <v>1552</v>
      </c>
    </row>
    <row r="53" hidden="1">
      <c r="A53" s="8" t="s">
        <v>1553</v>
      </c>
      <c r="B53" s="8" t="s">
        <v>1425</v>
      </c>
      <c r="C53" s="7" t="s">
        <v>1512</v>
      </c>
      <c r="D53" s="37" t="s">
        <v>484</v>
      </c>
      <c r="E53" s="7" t="s">
        <v>1513</v>
      </c>
      <c r="F53" s="37" t="s">
        <v>484</v>
      </c>
      <c r="G53" s="7" t="s">
        <v>1492</v>
      </c>
      <c r="H53" s="37" t="s">
        <v>1053</v>
      </c>
      <c r="T53" s="37" t="s">
        <v>1053</v>
      </c>
      <c r="U53" s="37" t="s">
        <v>484</v>
      </c>
      <c r="V53" s="37" t="s">
        <v>1053</v>
      </c>
    </row>
    <row r="54">
      <c r="A54" s="8" t="s">
        <v>1554</v>
      </c>
      <c r="B54" s="8"/>
      <c r="C54" s="37" t="s">
        <v>1555</v>
      </c>
      <c r="D54" s="7" t="s">
        <v>1556</v>
      </c>
      <c r="E54" s="7" t="s">
        <v>1557</v>
      </c>
    </row>
    <row r="55">
      <c r="A55" s="8" t="s">
        <v>1558</v>
      </c>
      <c r="B55" s="8"/>
      <c r="C55" s="37" t="s">
        <v>1559</v>
      </c>
      <c r="D55" s="7" t="s">
        <v>1560</v>
      </c>
      <c r="E55" s="7" t="s">
        <v>1561</v>
      </c>
    </row>
    <row r="56">
      <c r="A56" s="8" t="s">
        <v>1562</v>
      </c>
      <c r="B56" s="8"/>
      <c r="C56" s="37" t="s">
        <v>1421</v>
      </c>
      <c r="D56" s="7" t="s">
        <v>1422</v>
      </c>
      <c r="E56" s="7" t="s">
        <v>1423</v>
      </c>
    </row>
    <row r="57">
      <c r="A57" s="8" t="s">
        <v>1563</v>
      </c>
      <c r="B57" s="8"/>
      <c r="C57" s="37" t="s">
        <v>1564</v>
      </c>
      <c r="D57" s="7" t="s">
        <v>1565</v>
      </c>
      <c r="E57" s="7" t="s">
        <v>1566</v>
      </c>
    </row>
    <row r="58" hidden="1">
      <c r="A58" s="8" t="s">
        <v>1567</v>
      </c>
      <c r="B58" s="8" t="s">
        <v>1425</v>
      </c>
      <c r="C58" s="37" t="s">
        <v>1568</v>
      </c>
      <c r="D58" s="37" t="s">
        <v>1142</v>
      </c>
      <c r="E58" s="7" t="s">
        <v>1414</v>
      </c>
      <c r="F58" s="37" t="s">
        <v>1142</v>
      </c>
      <c r="H58" s="37" t="s">
        <v>1053</v>
      </c>
      <c r="T58" s="37" t="s">
        <v>1053</v>
      </c>
      <c r="U58" s="37" t="s">
        <v>1142</v>
      </c>
      <c r="V58" s="37" t="s">
        <v>1053</v>
      </c>
    </row>
    <row r="59" hidden="1">
      <c r="A59" s="8" t="s">
        <v>1569</v>
      </c>
      <c r="B59" s="8" t="s">
        <v>1425</v>
      </c>
      <c r="C59" s="37" t="s">
        <v>1570</v>
      </c>
      <c r="D59" s="37" t="s">
        <v>1571</v>
      </c>
      <c r="E59" s="7" t="s">
        <v>1572</v>
      </c>
      <c r="F59" s="37" t="s">
        <v>1571</v>
      </c>
      <c r="H59" s="37" t="s">
        <v>1053</v>
      </c>
      <c r="T59" s="37" t="s">
        <v>1053</v>
      </c>
      <c r="U59" s="37" t="s">
        <v>1571</v>
      </c>
      <c r="V59" s="37" t="s">
        <v>1053</v>
      </c>
    </row>
    <row r="60" hidden="1">
      <c r="A60" s="8" t="s">
        <v>1573</v>
      </c>
      <c r="B60" s="8" t="s">
        <v>1425</v>
      </c>
      <c r="C60" s="37" t="s">
        <v>1574</v>
      </c>
      <c r="D60" s="37" t="s">
        <v>4</v>
      </c>
      <c r="E60" s="7" t="s">
        <v>1575</v>
      </c>
      <c r="F60" s="37" t="s">
        <v>4</v>
      </c>
      <c r="H60" s="37" t="s">
        <v>1053</v>
      </c>
      <c r="T60" s="37" t="s">
        <v>1053</v>
      </c>
      <c r="U60" s="37" t="s">
        <v>4</v>
      </c>
      <c r="V60" s="37" t="s">
        <v>1053</v>
      </c>
    </row>
    <row r="61">
      <c r="A61" s="8" t="s">
        <v>1576</v>
      </c>
      <c r="B61" s="8"/>
      <c r="C61" s="37" t="s">
        <v>1577</v>
      </c>
      <c r="D61" s="7" t="s">
        <v>1578</v>
      </c>
      <c r="E61" s="7" t="s">
        <v>1579</v>
      </c>
    </row>
    <row r="62">
      <c r="A62" s="8" t="s">
        <v>1580</v>
      </c>
      <c r="B62" s="8"/>
      <c r="C62" s="7" t="s">
        <v>1581</v>
      </c>
      <c r="D62" s="7" t="s">
        <v>1582</v>
      </c>
      <c r="E62" s="7" t="s">
        <v>1583</v>
      </c>
    </row>
    <row r="63">
      <c r="A63" s="8" t="s">
        <v>1584</v>
      </c>
      <c r="B63" s="8"/>
      <c r="C63" s="37" t="s">
        <v>1585</v>
      </c>
      <c r="D63" s="7" t="s">
        <v>1586</v>
      </c>
      <c r="E63" s="7" t="s">
        <v>1587</v>
      </c>
      <c r="F63" s="7" t="s">
        <v>1588</v>
      </c>
      <c r="G63" s="7" t="s">
        <v>1589</v>
      </c>
      <c r="H63" s="7" t="s">
        <v>1590</v>
      </c>
      <c r="I63" s="7" t="s">
        <v>1591</v>
      </c>
      <c r="J63" s="7" t="s">
        <v>1592</v>
      </c>
      <c r="K63" s="7" t="s">
        <v>1593</v>
      </c>
      <c r="L63" s="37" t="s">
        <v>1053</v>
      </c>
      <c r="T63" s="7" t="s">
        <v>1586</v>
      </c>
    </row>
    <row r="64">
      <c r="A64" s="8" t="s">
        <v>1594</v>
      </c>
      <c r="B64" s="8"/>
      <c r="C64" s="37" t="s">
        <v>1063</v>
      </c>
      <c r="D64" s="7" t="s">
        <v>298</v>
      </c>
      <c r="E64" s="7" t="s">
        <v>1595</v>
      </c>
    </row>
    <row r="65">
      <c r="A65" s="8" t="s">
        <v>1596</v>
      </c>
      <c r="B65" s="8"/>
      <c r="C65" s="37" t="s">
        <v>1597</v>
      </c>
      <c r="D65" s="7" t="s">
        <v>1438</v>
      </c>
      <c r="E65" s="7" t="s">
        <v>1439</v>
      </c>
    </row>
    <row r="66" hidden="1">
      <c r="A66" s="8" t="s">
        <v>1598</v>
      </c>
      <c r="B66" s="8" t="s">
        <v>1425</v>
      </c>
      <c r="C66" s="37" t="s">
        <v>1053</v>
      </c>
      <c r="E66" s="37" t="s">
        <v>1053</v>
      </c>
      <c r="H66" s="37" t="s">
        <v>1053</v>
      </c>
    </row>
    <row r="67">
      <c r="A67" s="8" t="s">
        <v>1599</v>
      </c>
      <c r="B67" s="8"/>
      <c r="C67" s="37" t="s">
        <v>1421</v>
      </c>
      <c r="D67" s="7" t="s">
        <v>1422</v>
      </c>
      <c r="E67" s="7" t="s">
        <v>1423</v>
      </c>
    </row>
    <row r="68" hidden="1">
      <c r="A68" s="8" t="s">
        <v>1600</v>
      </c>
      <c r="B68" s="8" t="s">
        <v>1425</v>
      </c>
      <c r="C68" s="37" t="s">
        <v>1601</v>
      </c>
      <c r="D68" s="37" t="s">
        <v>1602</v>
      </c>
      <c r="E68" s="7" t="s">
        <v>1601</v>
      </c>
      <c r="F68" s="37" t="s">
        <v>1602</v>
      </c>
      <c r="H68" s="37" t="s">
        <v>1053</v>
      </c>
      <c r="T68" s="37" t="s">
        <v>1053</v>
      </c>
      <c r="U68" s="37" t="s">
        <v>1602</v>
      </c>
      <c r="V68" s="37" t="s">
        <v>1053</v>
      </c>
    </row>
    <row r="69">
      <c r="A69" s="8" t="s">
        <v>1603</v>
      </c>
      <c r="B69" s="8"/>
      <c r="C69" s="37" t="s">
        <v>1604</v>
      </c>
      <c r="D69" s="7" t="s">
        <v>1605</v>
      </c>
      <c r="E69" s="7" t="s">
        <v>1606</v>
      </c>
    </row>
    <row r="70" hidden="1">
      <c r="A70" s="8" t="s">
        <v>1607</v>
      </c>
      <c r="B70" s="8" t="s">
        <v>1425</v>
      </c>
      <c r="C70" s="37" t="s">
        <v>1053</v>
      </c>
      <c r="E70" s="37" t="s">
        <v>1053</v>
      </c>
      <c r="H70" s="37" t="s">
        <v>1053</v>
      </c>
    </row>
    <row r="71">
      <c r="A71" s="8" t="s">
        <v>1608</v>
      </c>
      <c r="B71" s="8"/>
      <c r="C71" s="37" t="s">
        <v>1609</v>
      </c>
      <c r="D71" s="7" t="s">
        <v>1610</v>
      </c>
      <c r="E71" s="7" t="s">
        <v>1611</v>
      </c>
      <c r="F71" s="7" t="s">
        <v>1610</v>
      </c>
      <c r="G71" s="7" t="s">
        <v>1612</v>
      </c>
      <c r="H71" s="37" t="s">
        <v>1053</v>
      </c>
      <c r="T71" s="7" t="s">
        <v>1610</v>
      </c>
    </row>
    <row r="72">
      <c r="A72" s="8" t="s">
        <v>1613</v>
      </c>
      <c r="B72" s="8"/>
      <c r="C72" s="37" t="s">
        <v>1614</v>
      </c>
      <c r="D72" s="7" t="s">
        <v>1615</v>
      </c>
      <c r="E72" s="7" t="s">
        <v>1616</v>
      </c>
    </row>
    <row r="73" hidden="1">
      <c r="A73" s="8" t="s">
        <v>1617</v>
      </c>
      <c r="B73" s="8" t="s">
        <v>1425</v>
      </c>
      <c r="C73" s="37" t="s">
        <v>1618</v>
      </c>
      <c r="D73" s="37" t="s">
        <v>1305</v>
      </c>
      <c r="E73" s="7" t="s">
        <v>1619</v>
      </c>
      <c r="F73" s="37" t="s">
        <v>1305</v>
      </c>
      <c r="G73" s="7" t="s">
        <v>1620</v>
      </c>
      <c r="H73" s="37" t="s">
        <v>1053</v>
      </c>
      <c r="T73" s="37" t="s">
        <v>1053</v>
      </c>
      <c r="U73" s="37" t="s">
        <v>1305</v>
      </c>
      <c r="V73" s="37" t="s">
        <v>1053</v>
      </c>
    </row>
    <row r="74">
      <c r="A74" s="8" t="s">
        <v>1621</v>
      </c>
      <c r="B74" s="8"/>
      <c r="C74" s="37" t="s">
        <v>1622</v>
      </c>
      <c r="D74" s="37" t="s">
        <v>1053</v>
      </c>
      <c r="E74" s="7" t="s">
        <v>1623</v>
      </c>
      <c r="F74" s="7" t="s">
        <v>1624</v>
      </c>
      <c r="G74" s="7" t="s">
        <v>1625</v>
      </c>
      <c r="H74" s="37" t="s">
        <v>1053</v>
      </c>
      <c r="T74" s="37" t="s">
        <v>1053</v>
      </c>
    </row>
    <row r="75">
      <c r="A75" s="8" t="s">
        <v>1626</v>
      </c>
      <c r="B75" s="8"/>
      <c r="C75" s="37" t="s">
        <v>1627</v>
      </c>
      <c r="D75" s="7" t="s">
        <v>420</v>
      </c>
      <c r="E75" s="7" t="s">
        <v>1628</v>
      </c>
    </row>
    <row r="76">
      <c r="A76" s="8" t="s">
        <v>1629</v>
      </c>
      <c r="B76" s="8"/>
      <c r="C76" s="37" t="s">
        <v>1630</v>
      </c>
      <c r="D76" s="7" t="s">
        <v>1631</v>
      </c>
      <c r="E76" s="7" t="s">
        <v>1632</v>
      </c>
    </row>
    <row r="77">
      <c r="A77" s="8" t="s">
        <v>1633</v>
      </c>
      <c r="B77" s="8"/>
      <c r="C77" s="37" t="s">
        <v>1634</v>
      </c>
      <c r="D77" s="7" t="s">
        <v>1635</v>
      </c>
      <c r="E77" s="7" t="s">
        <v>1636</v>
      </c>
    </row>
    <row r="78">
      <c r="A78" s="8" t="s">
        <v>1637</v>
      </c>
      <c r="B78" s="8"/>
      <c r="C78" s="37" t="s">
        <v>1638</v>
      </c>
      <c r="D78" s="7" t="s">
        <v>478</v>
      </c>
      <c r="E78" s="7" t="s">
        <v>1639</v>
      </c>
    </row>
    <row r="79">
      <c r="A79" s="8" t="s">
        <v>1640</v>
      </c>
      <c r="B79" s="8"/>
      <c r="C79" s="37" t="s">
        <v>1421</v>
      </c>
      <c r="D79" s="7" t="s">
        <v>1422</v>
      </c>
      <c r="E79" s="7" t="s">
        <v>1423</v>
      </c>
    </row>
    <row r="80" hidden="1">
      <c r="A80" s="8" t="s">
        <v>1641</v>
      </c>
      <c r="B80" s="8" t="s">
        <v>1425</v>
      </c>
      <c r="C80" s="37" t="s">
        <v>1642</v>
      </c>
      <c r="D80" s="37" t="s">
        <v>1536</v>
      </c>
      <c r="E80" s="7" t="s">
        <v>1643</v>
      </c>
      <c r="F80" s="7" t="s">
        <v>1538</v>
      </c>
      <c r="H80" s="37" t="s">
        <v>1053</v>
      </c>
      <c r="T80" s="37" t="s">
        <v>1053</v>
      </c>
      <c r="U80" s="37" t="s">
        <v>1536</v>
      </c>
      <c r="V80" s="37" t="s">
        <v>1053</v>
      </c>
    </row>
    <row r="81" hidden="1">
      <c r="A81" s="8" t="s">
        <v>1644</v>
      </c>
      <c r="B81" s="8" t="s">
        <v>1425</v>
      </c>
      <c r="C81" s="37" t="s">
        <v>1645</v>
      </c>
      <c r="D81" s="37" t="s">
        <v>1536</v>
      </c>
      <c r="E81" s="7" t="s">
        <v>1646</v>
      </c>
      <c r="F81" s="7" t="s">
        <v>1538</v>
      </c>
      <c r="H81" s="37" t="s">
        <v>1053</v>
      </c>
      <c r="T81" s="37" t="s">
        <v>1053</v>
      </c>
      <c r="U81" s="37" t="s">
        <v>1536</v>
      </c>
      <c r="V81" s="37" t="s">
        <v>1053</v>
      </c>
    </row>
    <row r="82">
      <c r="A82" s="8" t="s">
        <v>1647</v>
      </c>
      <c r="B82" s="8"/>
      <c r="C82" s="37" t="s">
        <v>1509</v>
      </c>
      <c r="D82" s="7" t="s">
        <v>693</v>
      </c>
      <c r="E82" s="7" t="s">
        <v>1510</v>
      </c>
    </row>
    <row r="83">
      <c r="A83" s="8" t="s">
        <v>1648</v>
      </c>
      <c r="B83" s="8"/>
      <c r="C83" s="37" t="s">
        <v>1453</v>
      </c>
      <c r="D83" s="7" t="s">
        <v>422</v>
      </c>
      <c r="E83" s="7" t="s">
        <v>1454</v>
      </c>
    </row>
    <row r="84">
      <c r="A84" s="8" t="s">
        <v>1649</v>
      </c>
      <c r="B84" s="8"/>
      <c r="C84" s="37" t="s">
        <v>1650</v>
      </c>
      <c r="D84" s="7" t="s">
        <v>1651</v>
      </c>
      <c r="E84" s="7" t="s">
        <v>1652</v>
      </c>
    </row>
    <row r="85" hidden="1">
      <c r="A85" s="8" t="s">
        <v>1653</v>
      </c>
      <c r="B85" s="8" t="s">
        <v>1425</v>
      </c>
      <c r="C85" s="37" t="s">
        <v>1654</v>
      </c>
      <c r="D85" s="37" t="s">
        <v>1536</v>
      </c>
      <c r="E85" s="7" t="s">
        <v>1654</v>
      </c>
      <c r="F85" s="7" t="s">
        <v>1538</v>
      </c>
      <c r="H85" s="37" t="s">
        <v>1053</v>
      </c>
      <c r="T85" s="37" t="s">
        <v>1053</v>
      </c>
      <c r="U85" s="37" t="s">
        <v>1536</v>
      </c>
      <c r="V85" s="37" t="s">
        <v>1053</v>
      </c>
    </row>
    <row r="86">
      <c r="A86" s="8" t="s">
        <v>1318</v>
      </c>
      <c r="B86" s="8"/>
      <c r="C86" s="7" t="s">
        <v>1655</v>
      </c>
      <c r="D86" s="7" t="s">
        <v>1656</v>
      </c>
      <c r="E86" s="7" t="s">
        <v>1657</v>
      </c>
    </row>
    <row r="87">
      <c r="A87" s="8" t="s">
        <v>1658</v>
      </c>
      <c r="B87" s="8"/>
      <c r="C87" s="37" t="s">
        <v>1659</v>
      </c>
      <c r="D87" s="7" t="s">
        <v>1660</v>
      </c>
      <c r="E87" s="7" t="s">
        <v>1661</v>
      </c>
    </row>
    <row r="88">
      <c r="A88" s="8" t="s">
        <v>1662</v>
      </c>
      <c r="B88" s="8"/>
      <c r="C88" s="37" t="s">
        <v>1663</v>
      </c>
      <c r="D88" s="7" t="s">
        <v>1664</v>
      </c>
      <c r="E88" s="7" t="s">
        <v>1665</v>
      </c>
    </row>
    <row r="89">
      <c r="A89" s="8" t="s">
        <v>1666</v>
      </c>
      <c r="B89" s="8"/>
      <c r="C89" s="37" t="s">
        <v>1421</v>
      </c>
      <c r="D89" s="7" t="s">
        <v>1422</v>
      </c>
      <c r="E89" s="7" t="s">
        <v>1423</v>
      </c>
    </row>
    <row r="90">
      <c r="A90" s="8" t="s">
        <v>1667</v>
      </c>
      <c r="B90" s="8"/>
      <c r="C90" s="37" t="s">
        <v>1668</v>
      </c>
      <c r="D90" s="7" t="s">
        <v>422</v>
      </c>
      <c r="E90" s="7" t="s">
        <v>1454</v>
      </c>
    </row>
    <row r="91">
      <c r="A91" s="8" t="s">
        <v>1669</v>
      </c>
      <c r="B91" s="8"/>
      <c r="C91" s="37" t="s">
        <v>1670</v>
      </c>
      <c r="D91" s="7" t="s">
        <v>1671</v>
      </c>
      <c r="E91" s="7" t="s">
        <v>1672</v>
      </c>
    </row>
    <row r="92">
      <c r="A92" s="8" t="s">
        <v>1673</v>
      </c>
      <c r="B92" s="8"/>
      <c r="C92" s="37" t="s">
        <v>1674</v>
      </c>
      <c r="D92" s="7" t="s">
        <v>1675</v>
      </c>
      <c r="E92" s="7" t="s">
        <v>1676</v>
      </c>
    </row>
    <row r="93" hidden="1">
      <c r="A93" s="8" t="s">
        <v>1677</v>
      </c>
      <c r="B93" s="8" t="s">
        <v>1425</v>
      </c>
      <c r="C93" s="37" t="s">
        <v>1678</v>
      </c>
      <c r="D93" s="37" t="s">
        <v>1193</v>
      </c>
      <c r="E93" s="7" t="s">
        <v>1679</v>
      </c>
      <c r="F93" s="37" t="s">
        <v>1193</v>
      </c>
      <c r="H93" s="37" t="s">
        <v>1053</v>
      </c>
      <c r="T93" s="37" t="s">
        <v>1053</v>
      </c>
      <c r="U93" s="37" t="s">
        <v>1193</v>
      </c>
      <c r="V93" s="37" t="s">
        <v>1053</v>
      </c>
    </row>
    <row r="94">
      <c r="A94" s="8" t="s">
        <v>1680</v>
      </c>
      <c r="B94" s="8"/>
      <c r="C94" s="37" t="s">
        <v>1681</v>
      </c>
      <c r="D94" s="7" t="s">
        <v>1682</v>
      </c>
      <c r="E94" s="7" t="s">
        <v>1683</v>
      </c>
    </row>
    <row r="95" hidden="1">
      <c r="A95" s="8" t="s">
        <v>1684</v>
      </c>
      <c r="B95" s="8" t="s">
        <v>1425</v>
      </c>
      <c r="C95" s="37" t="s">
        <v>1053</v>
      </c>
      <c r="E95" s="37" t="s">
        <v>1053</v>
      </c>
      <c r="H95" s="37" t="s">
        <v>1053</v>
      </c>
    </row>
    <row r="96">
      <c r="A96" s="8" t="s">
        <v>1685</v>
      </c>
      <c r="B96" s="8"/>
      <c r="C96" s="37" t="s">
        <v>1389</v>
      </c>
      <c r="D96" s="7" t="s">
        <v>1390</v>
      </c>
      <c r="E96" s="7" t="s">
        <v>1391</v>
      </c>
    </row>
    <row r="97" hidden="1">
      <c r="A97" s="8" t="s">
        <v>1686</v>
      </c>
      <c r="B97" s="8" t="s">
        <v>1425</v>
      </c>
      <c r="C97" s="37" t="s">
        <v>1601</v>
      </c>
      <c r="D97" s="37" t="s">
        <v>1602</v>
      </c>
      <c r="E97" s="7" t="s">
        <v>1601</v>
      </c>
      <c r="F97" s="37" t="s">
        <v>1602</v>
      </c>
      <c r="H97" s="37" t="s">
        <v>1053</v>
      </c>
      <c r="T97" s="37" t="s">
        <v>1053</v>
      </c>
      <c r="U97" s="37" t="s">
        <v>1602</v>
      </c>
      <c r="V97" s="37" t="s">
        <v>1053</v>
      </c>
    </row>
    <row r="98">
      <c r="A98" s="8" t="s">
        <v>1687</v>
      </c>
      <c r="B98" s="8"/>
      <c r="C98" s="37" t="s">
        <v>1523</v>
      </c>
      <c r="D98" s="7" t="s">
        <v>1522</v>
      </c>
      <c r="E98" s="7" t="s">
        <v>1688</v>
      </c>
    </row>
    <row r="99">
      <c r="A99" s="8" t="s">
        <v>1689</v>
      </c>
      <c r="B99" s="8"/>
      <c r="C99" s="37" t="s">
        <v>1467</v>
      </c>
      <c r="D99" s="7" t="s">
        <v>1468</v>
      </c>
      <c r="E99" s="7" t="s">
        <v>1469</v>
      </c>
    </row>
    <row r="100">
      <c r="A100" s="8" t="s">
        <v>1690</v>
      </c>
      <c r="B100" s="8"/>
      <c r="C100" s="37" t="s">
        <v>1385</v>
      </c>
      <c r="D100" s="7" t="s">
        <v>1386</v>
      </c>
      <c r="E100" s="7" t="s">
        <v>1387</v>
      </c>
    </row>
    <row r="101" hidden="1">
      <c r="A101" s="8" t="s">
        <v>1691</v>
      </c>
      <c r="B101" s="8" t="s">
        <v>1425</v>
      </c>
      <c r="C101" s="37" t="s">
        <v>1692</v>
      </c>
      <c r="D101" s="37" t="s">
        <v>1053</v>
      </c>
      <c r="E101" s="7" t="s">
        <v>1693</v>
      </c>
      <c r="F101" s="37" t="s">
        <v>1053</v>
      </c>
      <c r="H101" s="37" t="s">
        <v>1053</v>
      </c>
      <c r="T101" s="37" t="s">
        <v>1053</v>
      </c>
      <c r="U101" s="37" t="s">
        <v>1053</v>
      </c>
      <c r="V101" s="37" t="s">
        <v>1053</v>
      </c>
    </row>
    <row r="102">
      <c r="A102" s="8" t="s">
        <v>1694</v>
      </c>
      <c r="B102" s="8"/>
      <c r="C102" s="37" t="s">
        <v>1663</v>
      </c>
      <c r="D102" s="7" t="s">
        <v>1664</v>
      </c>
      <c r="E102" s="7" t="s">
        <v>1665</v>
      </c>
    </row>
    <row r="103" hidden="1">
      <c r="A103" s="8" t="s">
        <v>1695</v>
      </c>
      <c r="B103" s="8" t="s">
        <v>1425</v>
      </c>
      <c r="C103" s="37" t="s">
        <v>1696</v>
      </c>
      <c r="D103" s="37" t="s">
        <v>1188</v>
      </c>
      <c r="E103" s="7" t="s">
        <v>1697</v>
      </c>
      <c r="F103" s="37" t="s">
        <v>1188</v>
      </c>
      <c r="H103" s="37" t="s">
        <v>1053</v>
      </c>
      <c r="T103" s="37" t="s">
        <v>1053</v>
      </c>
      <c r="U103" s="37" t="s">
        <v>1188</v>
      </c>
      <c r="V103" s="37" t="s">
        <v>1053</v>
      </c>
    </row>
    <row r="104">
      <c r="A104" s="8" t="s">
        <v>1698</v>
      </c>
      <c r="B104" s="8"/>
      <c r="C104" s="7" t="s">
        <v>1699</v>
      </c>
      <c r="D104" s="7" t="s">
        <v>1464</v>
      </c>
      <c r="E104" s="7" t="s">
        <v>1465</v>
      </c>
    </row>
    <row r="105">
      <c r="A105" s="8" t="s">
        <v>1700</v>
      </c>
      <c r="B105" s="8"/>
      <c r="C105" s="37" t="s">
        <v>1701</v>
      </c>
      <c r="D105" s="7" t="s">
        <v>1398</v>
      </c>
      <c r="E105" s="7" t="s">
        <v>1399</v>
      </c>
    </row>
    <row r="106">
      <c r="A106" s="8" t="s">
        <v>1702</v>
      </c>
      <c r="B106" s="8"/>
      <c r="C106" s="37" t="s">
        <v>1703</v>
      </c>
      <c r="D106" s="37" t="s">
        <v>1053</v>
      </c>
      <c r="E106" s="7" t="s">
        <v>1414</v>
      </c>
      <c r="F106" s="37" t="s">
        <v>1053</v>
      </c>
      <c r="G106" s="7" t="s">
        <v>1704</v>
      </c>
      <c r="H106" s="7" t="s">
        <v>1615</v>
      </c>
      <c r="I106" s="7" t="s">
        <v>1614</v>
      </c>
      <c r="J106" s="37" t="s">
        <v>1053</v>
      </c>
      <c r="K106" s="37" t="s">
        <v>1705</v>
      </c>
      <c r="L106" s="7" t="s">
        <v>1706</v>
      </c>
      <c r="M106" s="7" t="s">
        <v>1707</v>
      </c>
      <c r="N106" s="7" t="s">
        <v>1706</v>
      </c>
      <c r="O106" s="37" t="s">
        <v>1708</v>
      </c>
      <c r="P106" s="7" t="s">
        <v>1709</v>
      </c>
      <c r="Q106" s="37" t="s">
        <v>1710</v>
      </c>
      <c r="R106" s="37" t="s">
        <v>1053</v>
      </c>
      <c r="T106" s="37" t="s">
        <v>1053</v>
      </c>
    </row>
    <row r="107">
      <c r="A107" s="8" t="s">
        <v>1711</v>
      </c>
      <c r="B107" s="8"/>
      <c r="C107" s="37" t="s">
        <v>1063</v>
      </c>
      <c r="D107" s="7" t="s">
        <v>298</v>
      </c>
      <c r="E107" s="7" t="s">
        <v>1595</v>
      </c>
    </row>
    <row r="108" hidden="1">
      <c r="A108" s="8" t="s">
        <v>1712</v>
      </c>
      <c r="B108" s="8" t="s">
        <v>1425</v>
      </c>
      <c r="C108" s="7" t="s">
        <v>1512</v>
      </c>
      <c r="D108" s="37" t="s">
        <v>484</v>
      </c>
      <c r="E108" s="7" t="s">
        <v>1513</v>
      </c>
      <c r="F108" s="37" t="s">
        <v>484</v>
      </c>
      <c r="G108" s="7" t="s">
        <v>1492</v>
      </c>
      <c r="H108" s="37" t="s">
        <v>1053</v>
      </c>
      <c r="T108" s="37" t="s">
        <v>1053</v>
      </c>
      <c r="U108" s="37" t="s">
        <v>484</v>
      </c>
      <c r="V108" s="37" t="s">
        <v>1053</v>
      </c>
    </row>
    <row r="109">
      <c r="A109" s="8" t="s">
        <v>1713</v>
      </c>
      <c r="B109" s="8"/>
      <c r="C109" s="37" t="s">
        <v>1668</v>
      </c>
      <c r="D109" s="7" t="s">
        <v>422</v>
      </c>
      <c r="E109" s="7" t="s">
        <v>1454</v>
      </c>
    </row>
    <row r="110">
      <c r="A110" s="8" t="s">
        <v>1714</v>
      </c>
      <c r="B110" s="8"/>
      <c r="C110" s="37" t="s">
        <v>1715</v>
      </c>
      <c r="D110" s="7" t="s">
        <v>1716</v>
      </c>
      <c r="E110" s="7" t="s">
        <v>1717</v>
      </c>
    </row>
    <row r="111" hidden="1">
      <c r="A111" s="8" t="s">
        <v>1718</v>
      </c>
      <c r="B111" s="8" t="s">
        <v>1425</v>
      </c>
      <c r="C111" s="37" t="s">
        <v>1472</v>
      </c>
      <c r="D111" s="37" t="s">
        <v>1065</v>
      </c>
      <c r="E111" s="7" t="s">
        <v>1473</v>
      </c>
      <c r="F111" s="37" t="s">
        <v>1065</v>
      </c>
      <c r="H111" s="37" t="s">
        <v>1053</v>
      </c>
      <c r="T111" s="37" t="s">
        <v>1053</v>
      </c>
      <c r="U111" s="37" t="s">
        <v>1065</v>
      </c>
      <c r="V111" s="37" t="s">
        <v>1053</v>
      </c>
    </row>
    <row r="112">
      <c r="A112" s="8" t="s">
        <v>1719</v>
      </c>
      <c r="B112" s="8"/>
      <c r="C112" s="37" t="s">
        <v>1063</v>
      </c>
      <c r="D112" s="7" t="s">
        <v>298</v>
      </c>
      <c r="E112" s="7" t="s">
        <v>1595</v>
      </c>
    </row>
    <row r="113">
      <c r="A113" s="8" t="s">
        <v>1720</v>
      </c>
      <c r="B113" s="8"/>
      <c r="C113" s="37" t="s">
        <v>1721</v>
      </c>
      <c r="D113" s="7" t="s">
        <v>1588</v>
      </c>
      <c r="E113" s="7" t="s">
        <v>1589</v>
      </c>
    </row>
    <row r="114">
      <c r="A114" s="8" t="s">
        <v>1722</v>
      </c>
      <c r="B114" s="8"/>
      <c r="C114" s="37" t="s">
        <v>1723</v>
      </c>
      <c r="D114" s="7" t="s">
        <v>440</v>
      </c>
      <c r="E114" s="7" t="s">
        <v>1724</v>
      </c>
    </row>
    <row r="115">
      <c r="A115" s="8" t="s">
        <v>1725</v>
      </c>
      <c r="B115" s="8"/>
      <c r="C115" s="37" t="s">
        <v>1726</v>
      </c>
      <c r="D115" s="7" t="s">
        <v>1727</v>
      </c>
      <c r="E115" s="7" t="s">
        <v>1728</v>
      </c>
    </row>
    <row r="116">
      <c r="A116" s="8" t="s">
        <v>1729</v>
      </c>
      <c r="B116" s="8"/>
      <c r="C116" s="37" t="s">
        <v>1421</v>
      </c>
      <c r="D116" s="7" t="s">
        <v>1422</v>
      </c>
      <c r="E116" s="7" t="s">
        <v>1423</v>
      </c>
    </row>
    <row r="117">
      <c r="A117" s="8" t="s">
        <v>1730</v>
      </c>
      <c r="B117" s="8"/>
      <c r="C117" s="37" t="s">
        <v>1731</v>
      </c>
      <c r="D117" s="7" t="s">
        <v>1727</v>
      </c>
      <c r="E117" s="7" t="s">
        <v>1728</v>
      </c>
    </row>
    <row r="118">
      <c r="A118" s="8" t="s">
        <v>1732</v>
      </c>
      <c r="B118" s="8"/>
      <c r="C118" s="7" t="s">
        <v>1733</v>
      </c>
      <c r="D118" s="7" t="s">
        <v>1491</v>
      </c>
      <c r="E118" s="7" t="s">
        <v>1492</v>
      </c>
    </row>
    <row r="119" hidden="1">
      <c r="A119" s="8" t="s">
        <v>1734</v>
      </c>
      <c r="B119" s="8" t="s">
        <v>1425</v>
      </c>
      <c r="C119" s="37" t="s">
        <v>1735</v>
      </c>
      <c r="D119" s="37" t="s">
        <v>1536</v>
      </c>
      <c r="E119" s="7" t="s">
        <v>1735</v>
      </c>
      <c r="F119" s="7" t="s">
        <v>1538</v>
      </c>
      <c r="H119" s="37" t="s">
        <v>1053</v>
      </c>
      <c r="T119" s="37" t="s">
        <v>1053</v>
      </c>
      <c r="U119" s="37" t="s">
        <v>1536</v>
      </c>
      <c r="V119" s="37" t="s">
        <v>1053</v>
      </c>
    </row>
    <row r="120">
      <c r="A120" s="8" t="s">
        <v>1736</v>
      </c>
      <c r="B120" s="8"/>
      <c r="C120" s="37" t="s">
        <v>1737</v>
      </c>
      <c r="D120" s="37" t="s">
        <v>1738</v>
      </c>
      <c r="E120" s="7" t="s">
        <v>1739</v>
      </c>
    </row>
    <row r="121">
      <c r="A121" s="8" t="s">
        <v>1740</v>
      </c>
      <c r="B121" s="8"/>
      <c r="C121" s="37" t="s">
        <v>1741</v>
      </c>
      <c r="D121" s="7" t="s">
        <v>1742</v>
      </c>
      <c r="E121" s="7" t="s">
        <v>1743</v>
      </c>
    </row>
    <row r="122">
      <c r="A122" s="8" t="s">
        <v>1744</v>
      </c>
      <c r="B122" s="8"/>
      <c r="C122" s="37" t="s">
        <v>1745</v>
      </c>
      <c r="D122" s="7" t="s">
        <v>1631</v>
      </c>
      <c r="E122" s="7" t="s">
        <v>1632</v>
      </c>
    </row>
    <row r="123" hidden="1">
      <c r="A123" s="8" t="s">
        <v>1746</v>
      </c>
      <c r="B123" s="8" t="s">
        <v>1425</v>
      </c>
      <c r="C123" s="37" t="s">
        <v>1544</v>
      </c>
      <c r="D123" s="37" t="s">
        <v>1495</v>
      </c>
      <c r="E123" s="7" t="s">
        <v>1545</v>
      </c>
      <c r="F123" s="37" t="s">
        <v>1495</v>
      </c>
      <c r="H123" s="37" t="s">
        <v>1053</v>
      </c>
      <c r="T123" s="37" t="s">
        <v>1053</v>
      </c>
      <c r="U123" s="37" t="s">
        <v>1495</v>
      </c>
      <c r="V123" s="37" t="s">
        <v>1053</v>
      </c>
    </row>
    <row r="124">
      <c r="A124" s="8" t="s">
        <v>1747</v>
      </c>
      <c r="B124" s="8"/>
      <c r="C124" s="37" t="s">
        <v>1505</v>
      </c>
      <c r="D124" s="7" t="s">
        <v>1506</v>
      </c>
      <c r="E124" s="7" t="s">
        <v>1507</v>
      </c>
    </row>
    <row r="125">
      <c r="A125" s="8" t="s">
        <v>1748</v>
      </c>
      <c r="B125" s="8"/>
      <c r="C125" s="37" t="s">
        <v>1453</v>
      </c>
      <c r="D125" s="7" t="s">
        <v>422</v>
      </c>
      <c r="E125" s="7" t="s">
        <v>1454</v>
      </c>
    </row>
    <row r="126">
      <c r="A126" s="8" t="s">
        <v>1749</v>
      </c>
      <c r="B126" s="8"/>
      <c r="C126" s="37" t="s">
        <v>1421</v>
      </c>
      <c r="D126" s="7" t="s">
        <v>1422</v>
      </c>
      <c r="E126" s="7" t="s">
        <v>1423</v>
      </c>
    </row>
    <row r="127" hidden="1">
      <c r="A127" s="8" t="s">
        <v>1750</v>
      </c>
      <c r="B127" s="8" t="s">
        <v>1425</v>
      </c>
      <c r="C127" s="37" t="s">
        <v>1475</v>
      </c>
      <c r="D127" s="37" t="s">
        <v>74</v>
      </c>
      <c r="E127" s="7" t="s">
        <v>1476</v>
      </c>
      <c r="F127" s="37" t="s">
        <v>74</v>
      </c>
      <c r="H127" s="37" t="s">
        <v>1053</v>
      </c>
      <c r="T127" s="37" t="s">
        <v>1053</v>
      </c>
      <c r="U127" s="37" t="s">
        <v>74</v>
      </c>
      <c r="V127" s="37" t="s">
        <v>1053</v>
      </c>
    </row>
    <row r="128">
      <c r="A128" s="8" t="s">
        <v>1751</v>
      </c>
      <c r="B128" s="8"/>
      <c r="C128" s="37" t="s">
        <v>1752</v>
      </c>
      <c r="D128" s="7" t="s">
        <v>1753</v>
      </c>
      <c r="E128" s="7" t="s">
        <v>1754</v>
      </c>
    </row>
    <row r="129">
      <c r="A129" s="8" t="s">
        <v>1755</v>
      </c>
      <c r="B129" s="8"/>
      <c r="C129" s="37" t="s">
        <v>1756</v>
      </c>
      <c r="D129" s="7" t="s">
        <v>1757</v>
      </c>
      <c r="E129" s="7" t="s">
        <v>1758</v>
      </c>
    </row>
    <row r="130">
      <c r="A130" s="8" t="s">
        <v>1759</v>
      </c>
      <c r="B130" s="8"/>
      <c r="C130" s="37" t="s">
        <v>1453</v>
      </c>
      <c r="D130" s="7" t="s">
        <v>422</v>
      </c>
      <c r="E130" s="7" t="s">
        <v>1454</v>
      </c>
    </row>
    <row r="131" hidden="1">
      <c r="A131" s="8" t="s">
        <v>1760</v>
      </c>
      <c r="B131" s="8" t="s">
        <v>1425</v>
      </c>
      <c r="C131" s="37" t="s">
        <v>1678</v>
      </c>
      <c r="D131" s="37" t="s">
        <v>1193</v>
      </c>
      <c r="E131" s="7" t="s">
        <v>1679</v>
      </c>
      <c r="F131" s="37" t="s">
        <v>1193</v>
      </c>
      <c r="H131" s="37" t="s">
        <v>1053</v>
      </c>
      <c r="T131" s="37" t="s">
        <v>1053</v>
      </c>
      <c r="U131" s="37" t="s">
        <v>1193</v>
      </c>
      <c r="V131" s="37" t="s">
        <v>1053</v>
      </c>
    </row>
    <row r="132">
      <c r="A132" s="8" t="s">
        <v>1761</v>
      </c>
      <c r="B132" s="8"/>
      <c r="C132" s="37" t="s">
        <v>1486</v>
      </c>
      <c r="D132" s="7" t="s">
        <v>1487</v>
      </c>
      <c r="E132" s="7" t="s">
        <v>1488</v>
      </c>
    </row>
    <row r="133" hidden="1">
      <c r="A133" s="8" t="s">
        <v>1762</v>
      </c>
      <c r="B133" s="8" t="s">
        <v>1425</v>
      </c>
      <c r="C133" s="37" t="s">
        <v>1535</v>
      </c>
      <c r="D133" s="37" t="s">
        <v>1536</v>
      </c>
      <c r="E133" s="7" t="s">
        <v>1537</v>
      </c>
      <c r="F133" s="7" t="s">
        <v>1538</v>
      </c>
      <c r="H133" s="37" t="s">
        <v>1053</v>
      </c>
      <c r="T133" s="37" t="s">
        <v>1053</v>
      </c>
      <c r="U133" s="37" t="s">
        <v>1536</v>
      </c>
      <c r="V133" s="37" t="s">
        <v>1053</v>
      </c>
    </row>
    <row r="134">
      <c r="A134" s="8" t="s">
        <v>1763</v>
      </c>
      <c r="B134" s="8"/>
      <c r="C134" s="37" t="s">
        <v>1389</v>
      </c>
      <c r="D134" s="7" t="s">
        <v>1390</v>
      </c>
      <c r="E134" s="7" t="s">
        <v>1391</v>
      </c>
    </row>
    <row r="135">
      <c r="A135" s="8" t="s">
        <v>1764</v>
      </c>
      <c r="B135" s="8"/>
      <c r="C135" s="37" t="s">
        <v>1063</v>
      </c>
      <c r="D135" s="7" t="s">
        <v>298</v>
      </c>
      <c r="E135" s="7" t="s">
        <v>1595</v>
      </c>
    </row>
    <row r="136" hidden="1">
      <c r="A136" s="8" t="s">
        <v>1765</v>
      </c>
      <c r="B136" s="8" t="s">
        <v>1425</v>
      </c>
      <c r="C136" s="37" t="s">
        <v>1642</v>
      </c>
      <c r="D136" s="37" t="s">
        <v>1536</v>
      </c>
      <c r="E136" s="7" t="s">
        <v>1643</v>
      </c>
      <c r="F136" s="7" t="s">
        <v>1538</v>
      </c>
      <c r="H136" s="37" t="s">
        <v>1053</v>
      </c>
      <c r="T136" s="37" t="s">
        <v>1053</v>
      </c>
      <c r="U136" s="37" t="s">
        <v>1536</v>
      </c>
      <c r="V136" s="37" t="s">
        <v>1053</v>
      </c>
    </row>
    <row r="137">
      <c r="A137" s="8" t="s">
        <v>1766</v>
      </c>
      <c r="B137" s="8"/>
      <c r="C137" s="37" t="s">
        <v>1767</v>
      </c>
      <c r="D137" s="7" t="s">
        <v>1768</v>
      </c>
      <c r="E137" s="7" t="s">
        <v>1769</v>
      </c>
      <c r="F137" s="37" t="s">
        <v>1053</v>
      </c>
      <c r="G137" s="7" t="s">
        <v>1770</v>
      </c>
      <c r="H137" s="37" t="s">
        <v>1053</v>
      </c>
      <c r="T137" s="7" t="s">
        <v>1768</v>
      </c>
    </row>
    <row r="138">
      <c r="A138" s="8" t="s">
        <v>1771</v>
      </c>
      <c r="B138" s="8"/>
      <c r="C138" s="37" t="s">
        <v>1453</v>
      </c>
      <c r="D138" s="7" t="s">
        <v>422</v>
      </c>
      <c r="E138" s="7" t="s">
        <v>1454</v>
      </c>
    </row>
    <row r="139" hidden="1">
      <c r="A139" s="8" t="s">
        <v>1772</v>
      </c>
      <c r="B139" s="8" t="s">
        <v>1425</v>
      </c>
      <c r="C139" s="37" t="s">
        <v>1773</v>
      </c>
      <c r="D139" s="37" t="s">
        <v>1358</v>
      </c>
      <c r="E139" s="7" t="s">
        <v>1773</v>
      </c>
      <c r="F139" s="37" t="s">
        <v>1358</v>
      </c>
      <c r="H139" s="37" t="s">
        <v>1053</v>
      </c>
      <c r="T139" s="37" t="s">
        <v>1053</v>
      </c>
      <c r="U139" s="37" t="s">
        <v>1358</v>
      </c>
      <c r="V139" s="37" t="s">
        <v>1053</v>
      </c>
    </row>
    <row r="140">
      <c r="A140" s="8" t="s">
        <v>1774</v>
      </c>
      <c r="B140" s="8"/>
      <c r="C140" s="37" t="s">
        <v>1775</v>
      </c>
      <c r="D140" s="7" t="s">
        <v>1582</v>
      </c>
      <c r="E140" s="7" t="s">
        <v>1583</v>
      </c>
    </row>
    <row r="141">
      <c r="A141" s="8" t="s">
        <v>1776</v>
      </c>
      <c r="B141" s="8"/>
      <c r="C141" s="37" t="s">
        <v>1374</v>
      </c>
      <c r="D141" s="7" t="s">
        <v>420</v>
      </c>
      <c r="E141" s="7" t="s">
        <v>1375</v>
      </c>
    </row>
    <row r="142">
      <c r="A142" s="8" t="s">
        <v>1777</v>
      </c>
      <c r="B142" s="8"/>
      <c r="C142" s="37" t="s">
        <v>1377</v>
      </c>
      <c r="D142" s="7" t="s">
        <v>1378</v>
      </c>
      <c r="E142" s="7" t="s">
        <v>1379</v>
      </c>
    </row>
    <row r="143">
      <c r="A143" s="8" t="s">
        <v>1778</v>
      </c>
      <c r="B143" s="8"/>
      <c r="C143" s="37" t="s">
        <v>1479</v>
      </c>
      <c r="D143" s="7" t="s">
        <v>1480</v>
      </c>
      <c r="E143" s="7" t="s">
        <v>1481</v>
      </c>
    </row>
    <row r="144" hidden="1">
      <c r="A144" s="8" t="s">
        <v>1779</v>
      </c>
      <c r="B144" s="8" t="s">
        <v>1425</v>
      </c>
      <c r="C144" s="37" t="s">
        <v>1780</v>
      </c>
      <c r="D144" s="37" t="s">
        <v>1536</v>
      </c>
      <c r="E144" s="7" t="s">
        <v>1781</v>
      </c>
      <c r="F144" s="7" t="s">
        <v>1538</v>
      </c>
      <c r="H144" s="37" t="s">
        <v>1053</v>
      </c>
      <c r="T144" s="37" t="s">
        <v>1053</v>
      </c>
      <c r="U144" s="37" t="s">
        <v>1536</v>
      </c>
      <c r="V144" s="37" t="s">
        <v>1053</v>
      </c>
    </row>
    <row r="145">
      <c r="A145" s="8" t="s">
        <v>1782</v>
      </c>
      <c r="B145" s="8"/>
      <c r="C145" s="37" t="s">
        <v>1374</v>
      </c>
      <c r="D145" s="7" t="s">
        <v>420</v>
      </c>
      <c r="E145" s="7" t="s">
        <v>1375</v>
      </c>
    </row>
    <row r="146">
      <c r="A146" s="8" t="s">
        <v>1783</v>
      </c>
      <c r="B146" s="8"/>
      <c r="C146" s="37" t="s">
        <v>1421</v>
      </c>
      <c r="D146" s="7" t="s">
        <v>1422</v>
      </c>
      <c r="E146" s="7" t="s">
        <v>1423</v>
      </c>
    </row>
    <row r="147" hidden="1">
      <c r="A147" s="8" t="s">
        <v>1784</v>
      </c>
      <c r="B147" s="8" t="s">
        <v>1425</v>
      </c>
      <c r="C147" s="37" t="s">
        <v>1735</v>
      </c>
      <c r="D147" s="37" t="s">
        <v>1536</v>
      </c>
      <c r="E147" s="7" t="s">
        <v>1735</v>
      </c>
      <c r="F147" s="7" t="s">
        <v>1538</v>
      </c>
      <c r="H147" s="37" t="s">
        <v>1053</v>
      </c>
      <c r="T147" s="37" t="s">
        <v>1053</v>
      </c>
      <c r="U147" s="37" t="s">
        <v>1536</v>
      </c>
      <c r="V147" s="37" t="s">
        <v>1053</v>
      </c>
    </row>
    <row r="148" hidden="1">
      <c r="A148" s="8" t="s">
        <v>1785</v>
      </c>
      <c r="B148" s="8" t="s">
        <v>1425</v>
      </c>
      <c r="C148" s="37" t="s">
        <v>1053</v>
      </c>
      <c r="E148" s="37" t="s">
        <v>1053</v>
      </c>
      <c r="H148" s="37" t="s">
        <v>1053</v>
      </c>
    </row>
    <row r="149">
      <c r="A149" s="8" t="s">
        <v>1786</v>
      </c>
      <c r="B149" s="8"/>
      <c r="C149" s="37" t="s">
        <v>1787</v>
      </c>
      <c r="D149" s="7" t="s">
        <v>422</v>
      </c>
      <c r="E149" s="7" t="s">
        <v>1788</v>
      </c>
    </row>
    <row r="150">
      <c r="A150" s="8" t="s">
        <v>1789</v>
      </c>
      <c r="B150" s="8"/>
      <c r="C150" s="37" t="s">
        <v>1790</v>
      </c>
      <c r="D150" s="7" t="s">
        <v>1791</v>
      </c>
      <c r="E150" s="7" t="s">
        <v>1792</v>
      </c>
    </row>
    <row r="151">
      <c r="A151" s="8" t="s">
        <v>1793</v>
      </c>
      <c r="B151" s="8"/>
      <c r="C151" s="37" t="s">
        <v>1794</v>
      </c>
      <c r="D151" s="7" t="s">
        <v>1795</v>
      </c>
      <c r="E151" s="7" t="s">
        <v>1796</v>
      </c>
    </row>
    <row r="152">
      <c r="A152" s="8" t="s">
        <v>1797</v>
      </c>
      <c r="B152" s="8"/>
      <c r="C152" s="37" t="s">
        <v>1798</v>
      </c>
      <c r="D152" s="7" t="s">
        <v>1582</v>
      </c>
      <c r="E152" s="7" t="s">
        <v>1583</v>
      </c>
    </row>
    <row r="153">
      <c r="A153" s="8" t="s">
        <v>1799</v>
      </c>
      <c r="B153" s="8"/>
      <c r="C153" s="37" t="s">
        <v>1389</v>
      </c>
      <c r="D153" s="7" t="s">
        <v>1390</v>
      </c>
      <c r="E153" s="7" t="s">
        <v>1391</v>
      </c>
    </row>
    <row r="154">
      <c r="A154" s="8" t="s">
        <v>1800</v>
      </c>
      <c r="B154" s="8"/>
      <c r="C154" s="37" t="s">
        <v>1801</v>
      </c>
      <c r="D154" s="7" t="s">
        <v>1802</v>
      </c>
      <c r="E154" s="7" t="s">
        <v>1803</v>
      </c>
      <c r="F154" s="7" t="s">
        <v>1804</v>
      </c>
      <c r="G154" s="7" t="s">
        <v>1805</v>
      </c>
      <c r="H154" s="37" t="s">
        <v>1053</v>
      </c>
      <c r="T154" s="7" t="s">
        <v>1802</v>
      </c>
    </row>
    <row r="155">
      <c r="A155" s="8" t="s">
        <v>1806</v>
      </c>
      <c r="B155" s="8"/>
      <c r="C155" s="37" t="s">
        <v>1467</v>
      </c>
      <c r="D155" s="7" t="s">
        <v>1468</v>
      </c>
      <c r="E155" s="7" t="s">
        <v>1469</v>
      </c>
    </row>
    <row r="156">
      <c r="A156" s="8" t="s">
        <v>1807</v>
      </c>
      <c r="B156" s="8"/>
      <c r="C156" s="37" t="s">
        <v>1808</v>
      </c>
      <c r="D156" s="7" t="s">
        <v>1809</v>
      </c>
      <c r="E156" s="7" t="s">
        <v>1810</v>
      </c>
    </row>
    <row r="157">
      <c r="A157" s="8" t="s">
        <v>1811</v>
      </c>
      <c r="B157" s="8"/>
      <c r="C157" s="37" t="s">
        <v>1812</v>
      </c>
      <c r="D157" s="7" t="s">
        <v>420</v>
      </c>
      <c r="E157" s="7" t="s">
        <v>1375</v>
      </c>
      <c r="F157" s="7" t="s">
        <v>422</v>
      </c>
      <c r="G157" s="7" t="s">
        <v>1788</v>
      </c>
      <c r="H157" s="37" t="s">
        <v>1053</v>
      </c>
      <c r="T157" s="7" t="s">
        <v>420</v>
      </c>
    </row>
    <row r="158">
      <c r="A158" s="8" t="s">
        <v>1813</v>
      </c>
      <c r="B158" s="8"/>
      <c r="C158" s="37" t="s">
        <v>1814</v>
      </c>
      <c r="D158" s="7" t="s">
        <v>1556</v>
      </c>
      <c r="E158" s="7" t="s">
        <v>1557</v>
      </c>
    </row>
    <row r="159">
      <c r="A159" s="8" t="s">
        <v>1815</v>
      </c>
      <c r="B159" s="8"/>
      <c r="C159" s="7" t="s">
        <v>1816</v>
      </c>
      <c r="D159" s="7" t="s">
        <v>1817</v>
      </c>
      <c r="E159" s="7" t="s">
        <v>1818</v>
      </c>
    </row>
    <row r="160" hidden="1">
      <c r="A160" s="8" t="s">
        <v>1819</v>
      </c>
      <c r="B160" s="8" t="s">
        <v>1425</v>
      </c>
      <c r="C160" s="37" t="s">
        <v>1053</v>
      </c>
      <c r="E160" s="37" t="s">
        <v>1053</v>
      </c>
      <c r="H160" s="37" t="s">
        <v>1053</v>
      </c>
    </row>
    <row r="161">
      <c r="A161" s="8" t="s">
        <v>1820</v>
      </c>
      <c r="B161" s="8"/>
      <c r="C161" s="37" t="s">
        <v>1821</v>
      </c>
      <c r="D161" s="7" t="s">
        <v>1822</v>
      </c>
      <c r="E161" s="7" t="s">
        <v>1823</v>
      </c>
      <c r="F161" s="37" t="s">
        <v>1053</v>
      </c>
      <c r="G161" s="7" t="s">
        <v>1824</v>
      </c>
      <c r="H161" s="37" t="s">
        <v>1053</v>
      </c>
      <c r="T161" s="7" t="s">
        <v>1822</v>
      </c>
    </row>
    <row r="162">
      <c r="A162" s="8" t="s">
        <v>1825</v>
      </c>
      <c r="B162" s="8"/>
      <c r="C162" s="37" t="s">
        <v>1379</v>
      </c>
      <c r="D162" s="7" t="s">
        <v>1378</v>
      </c>
      <c r="E162" s="7" t="s">
        <v>1379</v>
      </c>
      <c r="F162" s="37" t="s">
        <v>1053</v>
      </c>
      <c r="H162" s="37" t="s">
        <v>1053</v>
      </c>
      <c r="T162" s="7" t="s">
        <v>1378</v>
      </c>
    </row>
    <row r="163">
      <c r="A163" s="8" t="s">
        <v>1826</v>
      </c>
      <c r="B163" s="8"/>
      <c r="C163" s="37" t="s">
        <v>1827</v>
      </c>
      <c r="D163" s="7" t="s">
        <v>1828</v>
      </c>
      <c r="E163" s="7" t="s">
        <v>1827</v>
      </c>
      <c r="F163" s="37" t="s">
        <v>1053</v>
      </c>
      <c r="H163" s="37" t="s">
        <v>1053</v>
      </c>
      <c r="T163" s="7" t="s">
        <v>1828</v>
      </c>
    </row>
    <row r="164">
      <c r="A164" s="8" t="s">
        <v>1829</v>
      </c>
      <c r="B164" s="8"/>
      <c r="C164" s="37" t="s">
        <v>1830</v>
      </c>
      <c r="D164" s="7" t="s">
        <v>1671</v>
      </c>
      <c r="E164" s="7" t="s">
        <v>1672</v>
      </c>
    </row>
    <row r="165">
      <c r="A165" s="8" t="s">
        <v>1831</v>
      </c>
      <c r="B165" s="8"/>
      <c r="C165" s="37" t="s">
        <v>1421</v>
      </c>
      <c r="D165" s="7" t="s">
        <v>1422</v>
      </c>
      <c r="E165" s="7" t="s">
        <v>1423</v>
      </c>
    </row>
    <row r="166">
      <c r="A166" s="8" t="s">
        <v>1832</v>
      </c>
      <c r="B166" s="8"/>
      <c r="C166" s="37" t="s">
        <v>1833</v>
      </c>
      <c r="D166" s="37" t="s">
        <v>1053</v>
      </c>
      <c r="E166" s="7" t="s">
        <v>1834</v>
      </c>
      <c r="F166" s="7" t="s">
        <v>1835</v>
      </c>
      <c r="G166" s="7" t="s">
        <v>1836</v>
      </c>
      <c r="H166" s="37" t="s">
        <v>1053</v>
      </c>
      <c r="I166" s="37" t="s">
        <v>1837</v>
      </c>
      <c r="J166" s="37" t="s">
        <v>1053</v>
      </c>
      <c r="T166" s="37" t="s">
        <v>1053</v>
      </c>
    </row>
    <row r="167">
      <c r="A167" s="8" t="s">
        <v>1838</v>
      </c>
      <c r="B167" s="8"/>
      <c r="C167" s="37" t="s">
        <v>1839</v>
      </c>
      <c r="D167" s="7" t="s">
        <v>1586</v>
      </c>
      <c r="E167" s="7" t="s">
        <v>1587</v>
      </c>
    </row>
    <row r="168" hidden="1">
      <c r="A168" s="8" t="s">
        <v>1840</v>
      </c>
      <c r="B168" s="8" t="s">
        <v>1425</v>
      </c>
      <c r="C168" s="37" t="s">
        <v>1642</v>
      </c>
      <c r="D168" s="37" t="s">
        <v>1536</v>
      </c>
      <c r="E168" s="7" t="s">
        <v>1643</v>
      </c>
      <c r="F168" s="7" t="s">
        <v>1538</v>
      </c>
      <c r="H168" s="37" t="s">
        <v>1053</v>
      </c>
      <c r="T168" s="37" t="s">
        <v>1053</v>
      </c>
      <c r="U168" s="37" t="s">
        <v>1536</v>
      </c>
      <c r="V168" s="37" t="s">
        <v>1053</v>
      </c>
    </row>
    <row r="169">
      <c r="A169" s="8" t="s">
        <v>1841</v>
      </c>
      <c r="B169" s="8"/>
      <c r="C169" s="37" t="s">
        <v>1842</v>
      </c>
      <c r="D169" s="7" t="s">
        <v>1631</v>
      </c>
      <c r="E169" s="7" t="s">
        <v>1632</v>
      </c>
      <c r="F169" s="37" t="s">
        <v>1053</v>
      </c>
      <c r="G169" s="7" t="s">
        <v>1843</v>
      </c>
      <c r="H169" s="37" t="s">
        <v>1053</v>
      </c>
      <c r="T169" s="7" t="s">
        <v>1631</v>
      </c>
    </row>
    <row r="170">
      <c r="A170" s="8" t="s">
        <v>1844</v>
      </c>
      <c r="B170" s="8"/>
      <c r="C170" s="37" t="s">
        <v>1389</v>
      </c>
      <c r="D170" s="7" t="s">
        <v>1390</v>
      </c>
      <c r="E170" s="7" t="s">
        <v>1391</v>
      </c>
    </row>
    <row r="171" hidden="1">
      <c r="A171" s="8" t="s">
        <v>1845</v>
      </c>
      <c r="B171" s="8" t="s">
        <v>1425</v>
      </c>
      <c r="C171" s="37" t="s">
        <v>1428</v>
      </c>
      <c r="D171" s="37" t="s">
        <v>1427</v>
      </c>
      <c r="E171" s="7" t="s">
        <v>1428</v>
      </c>
      <c r="F171" s="37" t="s">
        <v>1427</v>
      </c>
      <c r="H171" s="37" t="s">
        <v>1053</v>
      </c>
      <c r="T171" s="37" t="s">
        <v>1053</v>
      </c>
      <c r="U171" s="37" t="s">
        <v>1427</v>
      </c>
      <c r="V171" s="37" t="s">
        <v>1053</v>
      </c>
    </row>
    <row r="172">
      <c r="A172" s="8" t="s">
        <v>1846</v>
      </c>
      <c r="B172" s="8"/>
      <c r="C172" s="37" t="s">
        <v>1389</v>
      </c>
      <c r="D172" s="7" t="s">
        <v>1390</v>
      </c>
      <c r="E172" s="7" t="s">
        <v>1391</v>
      </c>
    </row>
    <row r="173">
      <c r="A173" s="8" t="s">
        <v>1847</v>
      </c>
      <c r="B173" s="8"/>
      <c r="C173" s="37" t="s">
        <v>1486</v>
      </c>
      <c r="D173" s="7" t="s">
        <v>1487</v>
      </c>
      <c r="E173" s="7" t="s">
        <v>1488</v>
      </c>
    </row>
    <row r="174">
      <c r="A174" s="8" t="s">
        <v>1848</v>
      </c>
      <c r="B174" s="8"/>
      <c r="C174" s="7" t="s">
        <v>1849</v>
      </c>
      <c r="D174" s="7" t="s">
        <v>1450</v>
      </c>
      <c r="E174" s="7" t="s">
        <v>1850</v>
      </c>
    </row>
    <row r="175" hidden="1">
      <c r="A175" s="8" t="s">
        <v>1851</v>
      </c>
      <c r="B175" s="8" t="s">
        <v>1425</v>
      </c>
      <c r="C175" s="37" t="s">
        <v>1852</v>
      </c>
      <c r="D175" s="37" t="s">
        <v>1536</v>
      </c>
      <c r="E175" s="7" t="s">
        <v>1735</v>
      </c>
      <c r="F175" s="7" t="s">
        <v>1538</v>
      </c>
      <c r="H175" s="37" t="s">
        <v>1053</v>
      </c>
      <c r="T175" s="37" t="s">
        <v>1053</v>
      </c>
      <c r="U175" s="37" t="s">
        <v>1536</v>
      </c>
      <c r="V175" s="37" t="s">
        <v>1053</v>
      </c>
    </row>
    <row r="176">
      <c r="A176" s="8" t="s">
        <v>1853</v>
      </c>
      <c r="B176" s="8"/>
      <c r="C176" s="37" t="s">
        <v>1798</v>
      </c>
      <c r="D176" s="7" t="s">
        <v>1582</v>
      </c>
      <c r="E176" s="7" t="s">
        <v>1583</v>
      </c>
    </row>
    <row r="177">
      <c r="A177" s="8" t="s">
        <v>1854</v>
      </c>
      <c r="B177" s="8"/>
      <c r="C177" s="37" t="s">
        <v>1421</v>
      </c>
      <c r="D177" s="7" t="s">
        <v>1422</v>
      </c>
      <c r="E177" s="7" t="s">
        <v>1423</v>
      </c>
    </row>
    <row r="178">
      <c r="A178" s="8" t="s">
        <v>1855</v>
      </c>
      <c r="B178" s="8"/>
      <c r="C178" s="37" t="s">
        <v>1856</v>
      </c>
      <c r="D178" s="7" t="s">
        <v>1615</v>
      </c>
      <c r="E178" s="7" t="s">
        <v>1857</v>
      </c>
      <c r="F178" s="7" t="s">
        <v>1858</v>
      </c>
      <c r="G178" s="7" t="s">
        <v>1859</v>
      </c>
      <c r="H178" s="7" t="s">
        <v>1615</v>
      </c>
      <c r="I178" s="7" t="s">
        <v>1614</v>
      </c>
      <c r="J178" s="37" t="s">
        <v>1053</v>
      </c>
      <c r="T178" s="7" t="s">
        <v>1615</v>
      </c>
    </row>
    <row r="179">
      <c r="A179" s="8" t="s">
        <v>1860</v>
      </c>
      <c r="B179" s="8"/>
      <c r="C179" s="37" t="s">
        <v>1374</v>
      </c>
      <c r="D179" s="7" t="s">
        <v>420</v>
      </c>
      <c r="E179" s="7" t="s">
        <v>1375</v>
      </c>
    </row>
    <row r="180" hidden="1">
      <c r="A180" s="8" t="s">
        <v>1861</v>
      </c>
      <c r="B180" s="8" t="s">
        <v>1425</v>
      </c>
      <c r="C180" s="37" t="s">
        <v>1862</v>
      </c>
      <c r="D180" s="37" t="s">
        <v>1053</v>
      </c>
      <c r="E180" s="7" t="s">
        <v>1863</v>
      </c>
      <c r="F180" s="37" t="s">
        <v>1053</v>
      </c>
      <c r="H180" s="37" t="s">
        <v>1053</v>
      </c>
      <c r="T180" s="37" t="s">
        <v>1053</v>
      </c>
      <c r="U180" s="37" t="s">
        <v>1053</v>
      </c>
      <c r="V180" s="37" t="s">
        <v>1053</v>
      </c>
    </row>
    <row r="181">
      <c r="A181" s="8" t="s">
        <v>1864</v>
      </c>
      <c r="B181" s="8"/>
      <c r="C181" s="37" t="s">
        <v>1451</v>
      </c>
      <c r="D181" s="7" t="s">
        <v>1450</v>
      </c>
      <c r="E181" s="7" t="s">
        <v>1451</v>
      </c>
      <c r="F181" s="37" t="s">
        <v>1053</v>
      </c>
      <c r="H181" s="37" t="s">
        <v>1053</v>
      </c>
      <c r="T181" s="7" t="s">
        <v>1450</v>
      </c>
    </row>
    <row r="182">
      <c r="A182" s="8" t="s">
        <v>1865</v>
      </c>
      <c r="B182" s="8"/>
      <c r="C182" s="37" t="s">
        <v>1866</v>
      </c>
      <c r="D182" s="7" t="s">
        <v>1867</v>
      </c>
      <c r="E182" s="7" t="s">
        <v>1868</v>
      </c>
    </row>
    <row r="183">
      <c r="A183" s="8" t="s">
        <v>1869</v>
      </c>
      <c r="B183" s="8"/>
      <c r="C183" s="37" t="s">
        <v>1389</v>
      </c>
      <c r="D183" s="7" t="s">
        <v>1390</v>
      </c>
      <c r="E183" s="7" t="s">
        <v>1391</v>
      </c>
    </row>
    <row r="184">
      <c r="A184" s="8" t="s">
        <v>1870</v>
      </c>
      <c r="B184" s="8"/>
      <c r="C184" s="37" t="s">
        <v>1871</v>
      </c>
      <c r="D184" s="7" t="s">
        <v>1872</v>
      </c>
      <c r="E184" s="7" t="s">
        <v>1873</v>
      </c>
    </row>
    <row r="185" hidden="1">
      <c r="A185" s="8" t="s">
        <v>1874</v>
      </c>
      <c r="B185" s="8" t="s">
        <v>1425</v>
      </c>
      <c r="C185" s="7" t="s">
        <v>1875</v>
      </c>
      <c r="D185" s="37" t="s">
        <v>1536</v>
      </c>
      <c r="E185" s="7" t="s">
        <v>1876</v>
      </c>
      <c r="F185" s="7" t="s">
        <v>1538</v>
      </c>
      <c r="G185" s="7" t="s">
        <v>1473</v>
      </c>
      <c r="H185" s="37" t="s">
        <v>1053</v>
      </c>
      <c r="T185" s="37" t="s">
        <v>1065</v>
      </c>
      <c r="U185" s="37" t="s">
        <v>1536</v>
      </c>
      <c r="V185" s="37" t="s">
        <v>1065</v>
      </c>
    </row>
    <row r="186" hidden="1">
      <c r="A186" s="8" t="s">
        <v>1877</v>
      </c>
      <c r="B186" s="8" t="s">
        <v>1425</v>
      </c>
      <c r="C186" s="37" t="s">
        <v>1053</v>
      </c>
      <c r="E186" s="37" t="s">
        <v>1053</v>
      </c>
      <c r="H186" s="37" t="s">
        <v>1053</v>
      </c>
    </row>
    <row r="187">
      <c r="A187" s="8" t="s">
        <v>1878</v>
      </c>
      <c r="B187" s="8"/>
      <c r="C187" s="37" t="s">
        <v>1794</v>
      </c>
      <c r="D187" s="7" t="s">
        <v>1795</v>
      </c>
      <c r="E187" s="7" t="s">
        <v>1796</v>
      </c>
    </row>
    <row r="188">
      <c r="A188" s="8" t="s">
        <v>1879</v>
      </c>
      <c r="B188" s="8"/>
      <c r="C188" s="7" t="s">
        <v>1880</v>
      </c>
      <c r="D188" s="37" t="s">
        <v>1053</v>
      </c>
      <c r="E188" s="7" t="s">
        <v>1513</v>
      </c>
      <c r="F188" s="7" t="s">
        <v>1491</v>
      </c>
      <c r="G188" s="7" t="s">
        <v>1492</v>
      </c>
      <c r="H188" s="37" t="s">
        <v>1053</v>
      </c>
      <c r="T188" s="37" t="s">
        <v>1053</v>
      </c>
    </row>
    <row r="189">
      <c r="A189" s="8" t="s">
        <v>1881</v>
      </c>
      <c r="B189" s="8"/>
      <c r="C189" s="37" t="s">
        <v>1882</v>
      </c>
      <c r="D189" s="7" t="s">
        <v>1394</v>
      </c>
      <c r="E189" s="7" t="s">
        <v>1883</v>
      </c>
    </row>
    <row r="190">
      <c r="A190" s="8" t="s">
        <v>1884</v>
      </c>
      <c r="B190" s="8"/>
      <c r="C190" s="37" t="s">
        <v>1389</v>
      </c>
      <c r="D190" s="7" t="s">
        <v>1390</v>
      </c>
      <c r="E190" s="7" t="s">
        <v>1391</v>
      </c>
    </row>
    <row r="191" hidden="1">
      <c r="A191" s="8" t="s">
        <v>1885</v>
      </c>
      <c r="B191" s="8" t="s">
        <v>1425</v>
      </c>
      <c r="C191" s="37" t="s">
        <v>1886</v>
      </c>
      <c r="D191" s="37" t="s">
        <v>1053</v>
      </c>
      <c r="E191" s="7" t="s">
        <v>1887</v>
      </c>
      <c r="F191" s="37" t="s">
        <v>1053</v>
      </c>
      <c r="H191" s="37" t="s">
        <v>1053</v>
      </c>
      <c r="T191" s="37" t="s">
        <v>1053</v>
      </c>
      <c r="U191" s="37" t="s">
        <v>1053</v>
      </c>
      <c r="V191" s="37" t="s">
        <v>1053</v>
      </c>
    </row>
    <row r="192">
      <c r="A192" s="8" t="s">
        <v>1888</v>
      </c>
      <c r="B192" s="8"/>
      <c r="C192" s="37" t="s">
        <v>1889</v>
      </c>
      <c r="D192" s="7" t="s">
        <v>1468</v>
      </c>
      <c r="E192" s="7" t="s">
        <v>1469</v>
      </c>
    </row>
    <row r="193">
      <c r="A193" s="8" t="s">
        <v>1890</v>
      </c>
      <c r="B193" s="8"/>
      <c r="C193" s="37" t="s">
        <v>1509</v>
      </c>
      <c r="D193" s="7" t="s">
        <v>693</v>
      </c>
      <c r="E193" s="7" t="s">
        <v>1510</v>
      </c>
    </row>
    <row r="194">
      <c r="A194" s="8" t="s">
        <v>1891</v>
      </c>
      <c r="B194" s="8"/>
      <c r="C194" s="37" t="s">
        <v>1892</v>
      </c>
      <c r="D194" s="37" t="s">
        <v>1053</v>
      </c>
      <c r="E194" s="7" t="s">
        <v>1893</v>
      </c>
      <c r="F194" s="7" t="s">
        <v>1615</v>
      </c>
      <c r="G194" s="7" t="s">
        <v>1616</v>
      </c>
      <c r="H194" s="7" t="s">
        <v>1894</v>
      </c>
      <c r="I194" s="37" t="s">
        <v>1895</v>
      </c>
      <c r="J194" s="37" t="s">
        <v>1053</v>
      </c>
      <c r="K194" s="37" t="s">
        <v>1896</v>
      </c>
      <c r="L194" s="37" t="s">
        <v>1053</v>
      </c>
      <c r="T194" s="37" t="s">
        <v>1053</v>
      </c>
    </row>
    <row r="195" hidden="1">
      <c r="A195" s="8" t="s">
        <v>1897</v>
      </c>
      <c r="B195" s="8" t="s">
        <v>1425</v>
      </c>
      <c r="C195" s="37" t="s">
        <v>1053</v>
      </c>
      <c r="E195" s="37" t="s">
        <v>1053</v>
      </c>
      <c r="H195" s="37" t="s">
        <v>1053</v>
      </c>
    </row>
    <row r="196">
      <c r="A196" s="8" t="s">
        <v>1898</v>
      </c>
      <c r="B196" s="8"/>
      <c r="C196" s="37" t="s">
        <v>1899</v>
      </c>
      <c r="D196" s="7" t="s">
        <v>1900</v>
      </c>
      <c r="E196" s="7" t="s">
        <v>1901</v>
      </c>
    </row>
    <row r="197" hidden="1">
      <c r="A197" s="8" t="s">
        <v>1902</v>
      </c>
      <c r="B197" s="8" t="s">
        <v>1425</v>
      </c>
      <c r="C197" s="37" t="s">
        <v>1540</v>
      </c>
      <c r="D197" s="37" t="s">
        <v>1053</v>
      </c>
      <c r="E197" s="7" t="s">
        <v>1541</v>
      </c>
      <c r="F197" s="37" t="s">
        <v>1053</v>
      </c>
      <c r="H197" s="37" t="s">
        <v>1053</v>
      </c>
      <c r="T197" s="37" t="s">
        <v>1053</v>
      </c>
      <c r="U197" s="37" t="s">
        <v>1053</v>
      </c>
      <c r="V197" s="37" t="s">
        <v>1053</v>
      </c>
    </row>
    <row r="198">
      <c r="A198" s="8" t="s">
        <v>1903</v>
      </c>
      <c r="B198" s="8"/>
      <c r="C198" s="37" t="s">
        <v>1904</v>
      </c>
      <c r="D198" s="7" t="s">
        <v>1905</v>
      </c>
      <c r="E198" s="7" t="s">
        <v>1906</v>
      </c>
    </row>
    <row r="199">
      <c r="A199" s="8" t="s">
        <v>1907</v>
      </c>
      <c r="B199" s="8"/>
      <c r="C199" s="37" t="s">
        <v>1509</v>
      </c>
      <c r="D199" s="7" t="s">
        <v>693</v>
      </c>
      <c r="E199" s="7" t="s">
        <v>1510</v>
      </c>
    </row>
    <row r="200">
      <c r="A200" s="8" t="s">
        <v>1908</v>
      </c>
      <c r="B200" s="8"/>
      <c r="C200" s="37" t="s">
        <v>1909</v>
      </c>
      <c r="D200" s="7" t="s">
        <v>1910</v>
      </c>
      <c r="E200" s="7" t="s">
        <v>1911</v>
      </c>
    </row>
    <row r="201">
      <c r="A201" s="8" t="s">
        <v>1912</v>
      </c>
      <c r="B201" s="8"/>
      <c r="C201" s="37" t="s">
        <v>1737</v>
      </c>
      <c r="D201" s="37" t="s">
        <v>1738</v>
      </c>
      <c r="E201" s="7" t="s">
        <v>1739</v>
      </c>
    </row>
    <row r="202">
      <c r="A202" s="8" t="s">
        <v>1913</v>
      </c>
      <c r="B202" s="8"/>
      <c r="C202" s="37" t="s">
        <v>1914</v>
      </c>
      <c r="D202" s="7" t="s">
        <v>1915</v>
      </c>
      <c r="E202" s="7" t="s">
        <v>1916</v>
      </c>
    </row>
    <row r="203">
      <c r="A203" s="8" t="s">
        <v>1917</v>
      </c>
      <c r="B203" s="8"/>
      <c r="C203" s="37" t="s">
        <v>1918</v>
      </c>
      <c r="D203" s="7" t="s">
        <v>1919</v>
      </c>
      <c r="E203" s="7" t="s">
        <v>1920</v>
      </c>
    </row>
    <row r="204" hidden="1">
      <c r="A204" s="8" t="s">
        <v>1921</v>
      </c>
      <c r="B204" s="8" t="s">
        <v>1425</v>
      </c>
      <c r="C204" s="37" t="s">
        <v>1642</v>
      </c>
      <c r="D204" s="37" t="s">
        <v>1536</v>
      </c>
      <c r="E204" s="7" t="s">
        <v>1643</v>
      </c>
      <c r="F204" s="7" t="s">
        <v>1538</v>
      </c>
      <c r="H204" s="37" t="s">
        <v>1053</v>
      </c>
      <c r="T204" s="37" t="s">
        <v>1053</v>
      </c>
      <c r="U204" s="37" t="s">
        <v>1536</v>
      </c>
      <c r="V204" s="37" t="s">
        <v>1053</v>
      </c>
    </row>
    <row r="205" hidden="1">
      <c r="A205" s="8" t="s">
        <v>1922</v>
      </c>
      <c r="B205" s="8" t="s">
        <v>1425</v>
      </c>
      <c r="C205" s="37" t="s">
        <v>1923</v>
      </c>
      <c r="D205" s="37" t="s">
        <v>1536</v>
      </c>
      <c r="E205" s="7" t="s">
        <v>1924</v>
      </c>
      <c r="F205" s="7" t="s">
        <v>1538</v>
      </c>
      <c r="H205" s="37" t="s">
        <v>1053</v>
      </c>
      <c r="T205" s="37" t="s">
        <v>1053</v>
      </c>
      <c r="U205" s="37" t="s">
        <v>1536</v>
      </c>
      <c r="V205" s="37" t="s">
        <v>1053</v>
      </c>
    </row>
    <row r="206" hidden="1">
      <c r="A206" s="8" t="s">
        <v>1925</v>
      </c>
      <c r="B206" s="8" t="s">
        <v>1425</v>
      </c>
      <c r="C206" s="37" t="s">
        <v>1926</v>
      </c>
      <c r="D206" s="37" t="s">
        <v>1184</v>
      </c>
      <c r="E206" s="7" t="s">
        <v>1927</v>
      </c>
      <c r="F206" s="37" t="s">
        <v>1184</v>
      </c>
      <c r="H206" s="37" t="s">
        <v>1053</v>
      </c>
      <c r="T206" s="37" t="s">
        <v>1053</v>
      </c>
      <c r="U206" s="37" t="s">
        <v>1184</v>
      </c>
      <c r="V206" s="37" t="s">
        <v>1053</v>
      </c>
    </row>
    <row r="207" hidden="1">
      <c r="A207" s="8" t="s">
        <v>1928</v>
      </c>
      <c r="B207" s="8" t="s">
        <v>1425</v>
      </c>
      <c r="C207" s="37" t="s">
        <v>1929</v>
      </c>
      <c r="D207" s="37" t="s">
        <v>1053</v>
      </c>
      <c r="E207" s="7" t="s">
        <v>1930</v>
      </c>
      <c r="F207" s="37" t="s">
        <v>1053</v>
      </c>
      <c r="H207" s="37" t="s">
        <v>1053</v>
      </c>
      <c r="T207" s="37" t="s">
        <v>1053</v>
      </c>
      <c r="U207" s="37" t="s">
        <v>1053</v>
      </c>
      <c r="V207" s="37" t="s">
        <v>1053</v>
      </c>
    </row>
    <row r="208">
      <c r="A208" s="8" t="s">
        <v>1931</v>
      </c>
      <c r="B208" s="8"/>
      <c r="C208" s="37" t="s">
        <v>1389</v>
      </c>
      <c r="D208" s="7" t="s">
        <v>1390</v>
      </c>
      <c r="E208" s="7" t="s">
        <v>1391</v>
      </c>
    </row>
    <row r="209">
      <c r="A209" s="8" t="s">
        <v>1932</v>
      </c>
      <c r="B209" s="8"/>
      <c r="C209" s="37" t="s">
        <v>1933</v>
      </c>
      <c r="D209" s="7" t="s">
        <v>422</v>
      </c>
      <c r="E209" s="7" t="s">
        <v>1454</v>
      </c>
      <c r="F209" s="7" t="s">
        <v>1934</v>
      </c>
      <c r="G209" s="7" t="s">
        <v>1935</v>
      </c>
      <c r="H209" s="37" t="s">
        <v>1053</v>
      </c>
      <c r="T209" s="7" t="s">
        <v>422</v>
      </c>
    </row>
    <row r="210" hidden="1">
      <c r="A210" s="8" t="s">
        <v>1936</v>
      </c>
      <c r="B210" s="8" t="s">
        <v>1425</v>
      </c>
      <c r="C210" s="37" t="s">
        <v>1535</v>
      </c>
      <c r="D210" s="37" t="s">
        <v>1536</v>
      </c>
      <c r="E210" s="7" t="s">
        <v>1537</v>
      </c>
      <c r="F210" s="7" t="s">
        <v>1538</v>
      </c>
      <c r="H210" s="37" t="s">
        <v>1053</v>
      </c>
      <c r="T210" s="37" t="s">
        <v>1053</v>
      </c>
      <c r="U210" s="37" t="s">
        <v>1536</v>
      </c>
      <c r="V210" s="37" t="s">
        <v>1053</v>
      </c>
    </row>
    <row r="211">
      <c r="A211" s="8" t="s">
        <v>1937</v>
      </c>
      <c r="B211" s="8"/>
      <c r="C211" s="37" t="s">
        <v>1486</v>
      </c>
      <c r="D211" s="7" t="s">
        <v>1487</v>
      </c>
      <c r="E211" s="7" t="s">
        <v>1488</v>
      </c>
    </row>
    <row r="212" hidden="1">
      <c r="A212" s="8" t="s">
        <v>1237</v>
      </c>
      <c r="B212" s="8" t="s">
        <v>1425</v>
      </c>
      <c r="C212" s="37" t="s">
        <v>1053</v>
      </c>
      <c r="E212" s="37" t="s">
        <v>1053</v>
      </c>
      <c r="H212" s="37" t="s">
        <v>1053</v>
      </c>
    </row>
    <row r="213">
      <c r="A213" s="8" t="s">
        <v>1938</v>
      </c>
      <c r="B213" s="8"/>
      <c r="C213" s="37" t="s">
        <v>1604</v>
      </c>
      <c r="D213" s="7" t="s">
        <v>1605</v>
      </c>
      <c r="E213" s="7" t="s">
        <v>1606</v>
      </c>
    </row>
    <row r="214">
      <c r="A214" s="8" t="s">
        <v>1939</v>
      </c>
      <c r="B214" s="8"/>
      <c r="C214" s="37" t="s">
        <v>1798</v>
      </c>
      <c r="D214" s="7" t="s">
        <v>1582</v>
      </c>
      <c r="E214" s="7" t="s">
        <v>1583</v>
      </c>
    </row>
    <row r="215">
      <c r="A215" s="8" t="s">
        <v>1940</v>
      </c>
      <c r="B215" s="8"/>
      <c r="C215" s="37" t="s">
        <v>1421</v>
      </c>
      <c r="D215" s="7" t="s">
        <v>1422</v>
      </c>
      <c r="E215" s="7" t="s">
        <v>1423</v>
      </c>
    </row>
    <row r="216" hidden="1">
      <c r="A216" s="8" t="s">
        <v>1941</v>
      </c>
      <c r="B216" s="8" t="s">
        <v>1425</v>
      </c>
      <c r="C216" s="37" t="s">
        <v>1642</v>
      </c>
      <c r="D216" s="37" t="s">
        <v>1536</v>
      </c>
      <c r="E216" s="7" t="s">
        <v>1643</v>
      </c>
      <c r="F216" s="7" t="s">
        <v>1538</v>
      </c>
      <c r="H216" s="37" t="s">
        <v>1053</v>
      </c>
      <c r="T216" s="37" t="s">
        <v>1053</v>
      </c>
      <c r="U216" s="37" t="s">
        <v>1536</v>
      </c>
      <c r="V216" s="37" t="s">
        <v>1053</v>
      </c>
    </row>
    <row r="217">
      <c r="A217" s="8" t="s">
        <v>1942</v>
      </c>
      <c r="B217" s="8"/>
      <c r="C217" s="37" t="s">
        <v>1943</v>
      </c>
      <c r="D217" s="7" t="s">
        <v>1768</v>
      </c>
      <c r="E217" s="7" t="s">
        <v>1769</v>
      </c>
    </row>
    <row r="218">
      <c r="A218" s="8" t="s">
        <v>1944</v>
      </c>
      <c r="B218" s="8"/>
      <c r="C218" s="37" t="s">
        <v>1945</v>
      </c>
      <c r="D218" s="7" t="s">
        <v>1582</v>
      </c>
      <c r="E218" s="7" t="s">
        <v>1583</v>
      </c>
    </row>
    <row r="219">
      <c r="A219" s="8" t="s">
        <v>1946</v>
      </c>
      <c r="B219" s="8"/>
      <c r="C219" s="37" t="s">
        <v>1947</v>
      </c>
      <c r="D219" s="7" t="s">
        <v>1656</v>
      </c>
      <c r="E219" s="7" t="s">
        <v>1657</v>
      </c>
    </row>
    <row r="220">
      <c r="A220" s="8" t="s">
        <v>1948</v>
      </c>
      <c r="B220" s="8"/>
      <c r="C220" s="37" t="s">
        <v>1949</v>
      </c>
      <c r="D220" s="7" t="s">
        <v>1950</v>
      </c>
      <c r="E220" s="7" t="s">
        <v>1951</v>
      </c>
    </row>
    <row r="221">
      <c r="A221" s="8" t="s">
        <v>1952</v>
      </c>
      <c r="B221" s="8"/>
      <c r="C221" s="37" t="s">
        <v>1798</v>
      </c>
      <c r="D221" s="7" t="s">
        <v>1582</v>
      </c>
      <c r="E221" s="7" t="s">
        <v>1583</v>
      </c>
    </row>
    <row r="222">
      <c r="A222" s="8" t="s">
        <v>1953</v>
      </c>
      <c r="B222" s="8"/>
      <c r="C222" s="37" t="s">
        <v>1564</v>
      </c>
      <c r="D222" s="7" t="s">
        <v>1565</v>
      </c>
      <c r="E222" s="7" t="s">
        <v>1566</v>
      </c>
    </row>
    <row r="223">
      <c r="A223" s="8" t="s">
        <v>1954</v>
      </c>
      <c r="B223" s="8"/>
      <c r="C223" s="37" t="s">
        <v>1955</v>
      </c>
      <c r="D223" s="37" t="s">
        <v>1053</v>
      </c>
      <c r="E223" s="7" t="s">
        <v>1956</v>
      </c>
      <c r="F223" s="7" t="s">
        <v>1551</v>
      </c>
      <c r="G223" s="7" t="s">
        <v>1552</v>
      </c>
      <c r="H223" s="37" t="s">
        <v>1053</v>
      </c>
      <c r="T223" s="37" t="s">
        <v>1053</v>
      </c>
    </row>
    <row r="224" hidden="1">
      <c r="A224" s="8" t="s">
        <v>1957</v>
      </c>
      <c r="B224" s="8" t="s">
        <v>1425</v>
      </c>
      <c r="C224" s="37" t="s">
        <v>1642</v>
      </c>
      <c r="D224" s="37" t="s">
        <v>1536</v>
      </c>
      <c r="E224" s="7" t="s">
        <v>1643</v>
      </c>
      <c r="F224" s="7" t="s">
        <v>1538</v>
      </c>
      <c r="H224" s="37" t="s">
        <v>1053</v>
      </c>
      <c r="T224" s="37" t="s">
        <v>1053</v>
      </c>
      <c r="U224" s="37" t="s">
        <v>1536</v>
      </c>
      <c r="V224" s="37" t="s">
        <v>1053</v>
      </c>
    </row>
    <row r="225" hidden="1">
      <c r="A225" s="8" t="s">
        <v>1958</v>
      </c>
      <c r="B225" s="8" t="s">
        <v>1425</v>
      </c>
      <c r="C225" s="7" t="s">
        <v>1875</v>
      </c>
      <c r="D225" s="37" t="s">
        <v>1536</v>
      </c>
      <c r="E225" s="7" t="s">
        <v>1876</v>
      </c>
      <c r="F225" s="7" t="s">
        <v>1538</v>
      </c>
      <c r="G225" s="7" t="s">
        <v>1473</v>
      </c>
      <c r="H225" s="37" t="s">
        <v>1053</v>
      </c>
      <c r="T225" s="37" t="s">
        <v>1065</v>
      </c>
      <c r="U225" s="37" t="s">
        <v>1536</v>
      </c>
      <c r="V225" s="37" t="s">
        <v>1065</v>
      </c>
    </row>
    <row r="226" hidden="1">
      <c r="A226" s="8" t="s">
        <v>1959</v>
      </c>
      <c r="B226" s="8" t="s">
        <v>1425</v>
      </c>
      <c r="C226" s="37" t="s">
        <v>1960</v>
      </c>
      <c r="D226" s="37" t="s">
        <v>1358</v>
      </c>
      <c r="E226" s="7" t="s">
        <v>1773</v>
      </c>
      <c r="F226" s="37" t="s">
        <v>1358</v>
      </c>
      <c r="H226" s="37" t="s">
        <v>1053</v>
      </c>
      <c r="T226" s="37" t="s">
        <v>1053</v>
      </c>
      <c r="U226" s="37" t="s">
        <v>1358</v>
      </c>
      <c r="V226" s="37" t="s">
        <v>1053</v>
      </c>
    </row>
    <row r="227">
      <c r="A227" s="8" t="s">
        <v>1961</v>
      </c>
      <c r="B227" s="8"/>
      <c r="C227" s="37" t="s">
        <v>1962</v>
      </c>
      <c r="D227" s="7" t="s">
        <v>1963</v>
      </c>
      <c r="E227" s="7" t="s">
        <v>1964</v>
      </c>
    </row>
    <row r="228">
      <c r="A228" s="8" t="s">
        <v>1965</v>
      </c>
      <c r="B228" s="8"/>
      <c r="C228" s="37" t="s">
        <v>1966</v>
      </c>
      <c r="D228" s="7" t="s">
        <v>1582</v>
      </c>
      <c r="E228" s="7" t="s">
        <v>1967</v>
      </c>
    </row>
    <row r="229" hidden="1">
      <c r="A229" s="8" t="s">
        <v>1968</v>
      </c>
      <c r="B229" s="8" t="s">
        <v>1425</v>
      </c>
      <c r="C229" s="37" t="s">
        <v>1642</v>
      </c>
      <c r="D229" s="37" t="s">
        <v>1536</v>
      </c>
      <c r="E229" s="7" t="s">
        <v>1643</v>
      </c>
      <c r="F229" s="7" t="s">
        <v>1538</v>
      </c>
      <c r="H229" s="37" t="s">
        <v>1053</v>
      </c>
      <c r="T229" s="37" t="s">
        <v>1053</v>
      </c>
      <c r="U229" s="37" t="s">
        <v>1536</v>
      </c>
      <c r="V229" s="37" t="s">
        <v>1053</v>
      </c>
    </row>
    <row r="230">
      <c r="A230" s="8" t="s">
        <v>1969</v>
      </c>
      <c r="B230" s="8"/>
      <c r="C230" s="37" t="s">
        <v>1970</v>
      </c>
      <c r="D230" s="7" t="s">
        <v>1656</v>
      </c>
      <c r="E230" s="7" t="s">
        <v>1657</v>
      </c>
    </row>
    <row r="231">
      <c r="A231" s="8" t="s">
        <v>1971</v>
      </c>
      <c r="B231" s="8"/>
      <c r="C231" s="37" t="s">
        <v>1972</v>
      </c>
      <c r="D231" s="7" t="s">
        <v>1973</v>
      </c>
      <c r="E231" s="7" t="s">
        <v>1974</v>
      </c>
    </row>
    <row r="232" hidden="1">
      <c r="A232" s="8" t="s">
        <v>1975</v>
      </c>
      <c r="B232" s="8" t="s">
        <v>1425</v>
      </c>
      <c r="C232" s="7" t="s">
        <v>1875</v>
      </c>
      <c r="D232" s="37" t="s">
        <v>1536</v>
      </c>
      <c r="E232" s="7" t="s">
        <v>1876</v>
      </c>
      <c r="F232" s="7" t="s">
        <v>1538</v>
      </c>
      <c r="G232" s="7" t="s">
        <v>1473</v>
      </c>
      <c r="H232" s="37" t="s">
        <v>1053</v>
      </c>
      <c r="T232" s="37" t="s">
        <v>1065</v>
      </c>
      <c r="U232" s="37" t="s">
        <v>1536</v>
      </c>
      <c r="V232" s="37" t="s">
        <v>1065</v>
      </c>
    </row>
    <row r="233">
      <c r="A233" s="8" t="s">
        <v>1976</v>
      </c>
      <c r="B233" s="8"/>
      <c r="C233" s="7" t="s">
        <v>1977</v>
      </c>
      <c r="D233" s="7" t="s">
        <v>1978</v>
      </c>
      <c r="E233" s="7" t="s">
        <v>1979</v>
      </c>
    </row>
    <row r="234" hidden="1">
      <c r="A234" s="8" t="s">
        <v>1980</v>
      </c>
      <c r="B234" s="8" t="s">
        <v>1425</v>
      </c>
      <c r="C234" s="37" t="s">
        <v>1053</v>
      </c>
      <c r="E234" s="37" t="s">
        <v>1053</v>
      </c>
      <c r="H234" s="37" t="s">
        <v>1053</v>
      </c>
    </row>
    <row r="235">
      <c r="A235" s="8" t="s">
        <v>1981</v>
      </c>
      <c r="B235" s="8"/>
      <c r="C235" s="37" t="s">
        <v>1374</v>
      </c>
      <c r="D235" s="7" t="s">
        <v>420</v>
      </c>
      <c r="E235" s="7" t="s">
        <v>1375</v>
      </c>
    </row>
    <row r="236">
      <c r="A236" s="8" t="s">
        <v>1982</v>
      </c>
      <c r="B236" s="8"/>
      <c r="C236" s="37" t="s">
        <v>1983</v>
      </c>
      <c r="D236" s="37" t="s">
        <v>1053</v>
      </c>
      <c r="E236" s="7" t="s">
        <v>1984</v>
      </c>
      <c r="F236" s="7" t="s">
        <v>1985</v>
      </c>
      <c r="G236" s="7" t="s">
        <v>1986</v>
      </c>
      <c r="H236" s="37" t="s">
        <v>1053</v>
      </c>
      <c r="T236" s="37" t="s">
        <v>1053</v>
      </c>
    </row>
    <row r="237">
      <c r="A237" s="8" t="s">
        <v>1324</v>
      </c>
      <c r="B237" s="8"/>
      <c r="C237" s="37" t="s">
        <v>1726</v>
      </c>
      <c r="D237" s="7" t="s">
        <v>1727</v>
      </c>
      <c r="E237" s="7" t="s">
        <v>1728</v>
      </c>
    </row>
    <row r="238">
      <c r="A238" s="8" t="s">
        <v>1987</v>
      </c>
      <c r="B238" s="8"/>
      <c r="C238" s="37" t="s">
        <v>1663</v>
      </c>
      <c r="D238" s="7" t="s">
        <v>1664</v>
      </c>
      <c r="E238" s="7" t="s">
        <v>1665</v>
      </c>
    </row>
    <row r="239">
      <c r="A239" s="8" t="s">
        <v>1988</v>
      </c>
      <c r="B239" s="8"/>
      <c r="C239" s="37" t="s">
        <v>1377</v>
      </c>
      <c r="D239" s="7" t="s">
        <v>1378</v>
      </c>
      <c r="E239" s="7" t="s">
        <v>1379</v>
      </c>
    </row>
    <row r="240">
      <c r="A240" s="8" t="s">
        <v>1989</v>
      </c>
      <c r="B240" s="8"/>
      <c r="C240" s="37" t="s">
        <v>1525</v>
      </c>
      <c r="D240" s="7" t="s">
        <v>1524</v>
      </c>
      <c r="E240" s="7" t="s">
        <v>1990</v>
      </c>
    </row>
    <row r="241">
      <c r="A241" s="8" t="s">
        <v>1991</v>
      </c>
      <c r="B241" s="8"/>
      <c r="C241" s="37" t="s">
        <v>1992</v>
      </c>
      <c r="D241" s="7" t="s">
        <v>1993</v>
      </c>
      <c r="E241" s="7" t="s">
        <v>1994</v>
      </c>
    </row>
    <row r="242">
      <c r="A242" s="8" t="s">
        <v>1995</v>
      </c>
      <c r="B242" s="8"/>
      <c r="C242" s="37" t="s">
        <v>1374</v>
      </c>
      <c r="D242" s="7" t="s">
        <v>420</v>
      </c>
      <c r="E242" s="7" t="s">
        <v>1375</v>
      </c>
    </row>
    <row r="243" hidden="1">
      <c r="A243" s="8" t="s">
        <v>1996</v>
      </c>
      <c r="B243" s="8" t="s">
        <v>1425</v>
      </c>
      <c r="C243" s="37" t="s">
        <v>1997</v>
      </c>
      <c r="D243" s="37" t="s">
        <v>1053</v>
      </c>
      <c r="E243" s="7" t="s">
        <v>1998</v>
      </c>
      <c r="F243" s="37" t="s">
        <v>1053</v>
      </c>
      <c r="H243" s="37" t="s">
        <v>1053</v>
      </c>
      <c r="T243" s="37" t="s">
        <v>1053</v>
      </c>
      <c r="U243" s="37" t="s">
        <v>1053</v>
      </c>
      <c r="V243" s="37" t="s">
        <v>1053</v>
      </c>
    </row>
    <row r="244" hidden="1">
      <c r="A244" s="8" t="s">
        <v>1999</v>
      </c>
      <c r="B244" s="8" t="s">
        <v>1425</v>
      </c>
      <c r="C244" s="37" t="s">
        <v>1472</v>
      </c>
      <c r="D244" s="37" t="s">
        <v>1065</v>
      </c>
      <c r="E244" s="7" t="s">
        <v>1473</v>
      </c>
      <c r="F244" s="37" t="s">
        <v>1065</v>
      </c>
      <c r="H244" s="37" t="s">
        <v>1053</v>
      </c>
      <c r="T244" s="37" t="s">
        <v>1053</v>
      </c>
      <c r="U244" s="37" t="s">
        <v>1065</v>
      </c>
      <c r="V244" s="37" t="s">
        <v>1053</v>
      </c>
    </row>
    <row r="245">
      <c r="A245" s="8" t="s">
        <v>2000</v>
      </c>
      <c r="B245" s="8"/>
      <c r="C245" s="37" t="s">
        <v>2001</v>
      </c>
      <c r="D245" s="7" t="s">
        <v>2002</v>
      </c>
      <c r="E245" s="7" t="s">
        <v>2003</v>
      </c>
    </row>
    <row r="246">
      <c r="A246" s="8" t="s">
        <v>2004</v>
      </c>
      <c r="B246" s="8"/>
      <c r="C246" s="7" t="s">
        <v>2005</v>
      </c>
      <c r="D246" s="7" t="s">
        <v>854</v>
      </c>
      <c r="E246" s="7" t="s">
        <v>2006</v>
      </c>
    </row>
    <row r="247">
      <c r="A247" s="8" t="s">
        <v>2007</v>
      </c>
      <c r="B247" s="8"/>
      <c r="C247" s="37" t="s">
        <v>1798</v>
      </c>
      <c r="D247" s="7" t="s">
        <v>1582</v>
      </c>
      <c r="E247" s="7" t="s">
        <v>1583</v>
      </c>
    </row>
    <row r="248">
      <c r="A248" s="8" t="s">
        <v>2008</v>
      </c>
      <c r="B248" s="8"/>
      <c r="C248" s="37" t="s">
        <v>2009</v>
      </c>
      <c r="D248" s="7" t="s">
        <v>1491</v>
      </c>
      <c r="E248" s="7" t="s">
        <v>1492</v>
      </c>
    </row>
    <row r="249">
      <c r="A249" s="8" t="s">
        <v>2010</v>
      </c>
      <c r="B249" s="8"/>
      <c r="C249" s="37" t="s">
        <v>1498</v>
      </c>
      <c r="D249" s="7" t="s">
        <v>780</v>
      </c>
      <c r="E249" s="7" t="s">
        <v>1499</v>
      </c>
    </row>
    <row r="250">
      <c r="A250" s="8" t="s">
        <v>2011</v>
      </c>
      <c r="B250" s="8"/>
      <c r="C250" s="37" t="s">
        <v>1798</v>
      </c>
      <c r="D250" s="7" t="s">
        <v>1582</v>
      </c>
      <c r="E250" s="7" t="s">
        <v>1583</v>
      </c>
    </row>
    <row r="251">
      <c r="A251" s="8" t="s">
        <v>2012</v>
      </c>
      <c r="B251" s="8"/>
      <c r="C251" s="37" t="s">
        <v>1389</v>
      </c>
      <c r="D251" s="7" t="s">
        <v>1390</v>
      </c>
      <c r="E251" s="7" t="s">
        <v>1391</v>
      </c>
    </row>
    <row r="252">
      <c r="A252" s="8" t="s">
        <v>2013</v>
      </c>
      <c r="B252" s="8"/>
      <c r="C252" s="37" t="s">
        <v>2014</v>
      </c>
      <c r="D252" s="37" t="s">
        <v>1053</v>
      </c>
      <c r="E252" s="7" t="s">
        <v>1391</v>
      </c>
      <c r="F252" s="7" t="s">
        <v>420</v>
      </c>
      <c r="G252" s="7" t="s">
        <v>1375</v>
      </c>
      <c r="H252" s="37" t="s">
        <v>1053</v>
      </c>
      <c r="T252" s="37" t="s">
        <v>1053</v>
      </c>
    </row>
    <row r="253">
      <c r="A253" s="8" t="s">
        <v>2015</v>
      </c>
      <c r="B253" s="8"/>
      <c r="C253" s="37" t="s">
        <v>2016</v>
      </c>
      <c r="D253" s="37" t="s">
        <v>1053</v>
      </c>
      <c r="E253" s="7" t="s">
        <v>1704</v>
      </c>
      <c r="F253" s="7" t="s">
        <v>2017</v>
      </c>
      <c r="G253" s="7" t="s">
        <v>2018</v>
      </c>
      <c r="H253" s="37" t="s">
        <v>1053</v>
      </c>
      <c r="T253" s="37" t="s">
        <v>1053</v>
      </c>
    </row>
    <row r="254">
      <c r="A254" s="8" t="s">
        <v>2019</v>
      </c>
      <c r="B254" s="8"/>
      <c r="C254" s="37" t="s">
        <v>1498</v>
      </c>
      <c r="D254" s="7" t="s">
        <v>780</v>
      </c>
      <c r="E254" s="7" t="s">
        <v>1499</v>
      </c>
    </row>
    <row r="255" hidden="1">
      <c r="A255" s="8" t="s">
        <v>2020</v>
      </c>
      <c r="B255" s="8" t="s">
        <v>1425</v>
      </c>
      <c r="C255" s="37" t="s">
        <v>2021</v>
      </c>
      <c r="D255" s="37" t="s">
        <v>173</v>
      </c>
      <c r="E255" s="7" t="s">
        <v>2022</v>
      </c>
      <c r="F255" s="37" t="s">
        <v>173</v>
      </c>
      <c r="H255" s="37" t="s">
        <v>1053</v>
      </c>
      <c r="T255" s="37" t="s">
        <v>1053</v>
      </c>
      <c r="U255" s="37" t="s">
        <v>173</v>
      </c>
      <c r="V255" s="37" t="s">
        <v>1053</v>
      </c>
    </row>
    <row r="256" hidden="1">
      <c r="A256" s="8" t="s">
        <v>2023</v>
      </c>
      <c r="B256" s="8" t="s">
        <v>1425</v>
      </c>
      <c r="C256" s="37" t="s">
        <v>2024</v>
      </c>
      <c r="D256" s="37" t="s">
        <v>1237</v>
      </c>
      <c r="E256" s="7" t="s">
        <v>2025</v>
      </c>
      <c r="F256" s="37" t="s">
        <v>1237</v>
      </c>
      <c r="H256" s="37" t="s">
        <v>1053</v>
      </c>
      <c r="T256" s="37" t="s">
        <v>1053</v>
      </c>
      <c r="U256" s="37" t="s">
        <v>1237</v>
      </c>
      <c r="V256" s="37" t="s">
        <v>1053</v>
      </c>
    </row>
    <row r="257">
      <c r="A257" s="8" t="s">
        <v>2026</v>
      </c>
      <c r="B257" s="8"/>
      <c r="C257" s="37" t="s">
        <v>2027</v>
      </c>
      <c r="D257" s="7" t="s">
        <v>2028</v>
      </c>
      <c r="E257" s="7" t="s">
        <v>2029</v>
      </c>
    </row>
    <row r="258">
      <c r="A258" s="8" t="s">
        <v>2030</v>
      </c>
      <c r="B258" s="8"/>
      <c r="C258" s="37" t="s">
        <v>1962</v>
      </c>
      <c r="D258" s="7" t="s">
        <v>1963</v>
      </c>
      <c r="E258" s="7" t="s">
        <v>1964</v>
      </c>
    </row>
    <row r="259">
      <c r="A259" s="8" t="s">
        <v>2031</v>
      </c>
      <c r="B259" s="8"/>
      <c r="C259" s="37" t="s">
        <v>1663</v>
      </c>
      <c r="D259" s="7" t="s">
        <v>1664</v>
      </c>
      <c r="E259" s="7" t="s">
        <v>1665</v>
      </c>
    </row>
    <row r="260">
      <c r="A260" s="8" t="s">
        <v>2032</v>
      </c>
      <c r="B260" s="8"/>
      <c r="C260" s="37" t="s">
        <v>1663</v>
      </c>
      <c r="D260" s="7" t="s">
        <v>1664</v>
      </c>
      <c r="E260" s="7" t="s">
        <v>1665</v>
      </c>
    </row>
    <row r="261" hidden="1">
      <c r="A261" s="8" t="s">
        <v>2033</v>
      </c>
      <c r="B261" s="8" t="s">
        <v>1425</v>
      </c>
      <c r="C261" s="37" t="s">
        <v>2034</v>
      </c>
      <c r="D261" s="37" t="s">
        <v>484</v>
      </c>
      <c r="E261" s="7" t="s">
        <v>1984</v>
      </c>
      <c r="F261" s="37" t="s">
        <v>484</v>
      </c>
      <c r="G261" s="7" t="s">
        <v>1476</v>
      </c>
      <c r="H261" s="37" t="s">
        <v>1053</v>
      </c>
      <c r="T261" s="37" t="s">
        <v>74</v>
      </c>
      <c r="U261" s="37" t="s">
        <v>484</v>
      </c>
      <c r="V261" s="37" t="s">
        <v>74</v>
      </c>
    </row>
    <row r="262">
      <c r="A262" s="8" t="s">
        <v>2035</v>
      </c>
      <c r="B262" s="8"/>
      <c r="C262" s="37" t="s">
        <v>2036</v>
      </c>
      <c r="D262" s="7" t="s">
        <v>2037</v>
      </c>
      <c r="E262" s="7" t="s">
        <v>2038</v>
      </c>
    </row>
    <row r="263">
      <c r="A263" s="8" t="s">
        <v>2039</v>
      </c>
      <c r="B263" s="8"/>
      <c r="C263" s="37" t="s">
        <v>1463</v>
      </c>
      <c r="D263" s="7" t="s">
        <v>1464</v>
      </c>
      <c r="E263" s="7" t="s">
        <v>1465</v>
      </c>
    </row>
    <row r="264" hidden="1">
      <c r="A264" s="8" t="s">
        <v>2040</v>
      </c>
      <c r="B264" s="8" t="s">
        <v>1425</v>
      </c>
      <c r="C264" s="7" t="s">
        <v>2041</v>
      </c>
      <c r="D264" s="37" t="s">
        <v>1536</v>
      </c>
      <c r="E264" s="7" t="s">
        <v>1876</v>
      </c>
      <c r="F264" s="7" t="s">
        <v>1538</v>
      </c>
      <c r="G264" s="7" t="s">
        <v>1473</v>
      </c>
      <c r="H264" s="37" t="s">
        <v>1053</v>
      </c>
      <c r="T264" s="37" t="s">
        <v>1065</v>
      </c>
      <c r="U264" s="37" t="s">
        <v>1536</v>
      </c>
      <c r="V264" s="37" t="s">
        <v>1065</v>
      </c>
    </row>
    <row r="265">
      <c r="A265" s="8" t="s">
        <v>2042</v>
      </c>
      <c r="B265" s="8"/>
      <c r="C265" s="37" t="s">
        <v>1756</v>
      </c>
      <c r="D265" s="7" t="s">
        <v>1757</v>
      </c>
      <c r="E265" s="7" t="s">
        <v>1758</v>
      </c>
    </row>
    <row r="266" hidden="1">
      <c r="A266" s="8" t="s">
        <v>2043</v>
      </c>
      <c r="B266" s="8" t="s">
        <v>1425</v>
      </c>
      <c r="C266" s="37" t="s">
        <v>1642</v>
      </c>
      <c r="D266" s="37" t="s">
        <v>1536</v>
      </c>
      <c r="E266" s="7" t="s">
        <v>1643</v>
      </c>
      <c r="F266" s="7" t="s">
        <v>1538</v>
      </c>
      <c r="H266" s="37" t="s">
        <v>1053</v>
      </c>
      <c r="T266" s="37" t="s">
        <v>1053</v>
      </c>
      <c r="U266" s="37" t="s">
        <v>1536</v>
      </c>
      <c r="V266" s="37" t="s">
        <v>1053</v>
      </c>
    </row>
    <row r="267" hidden="1">
      <c r="A267" s="8" t="s">
        <v>2044</v>
      </c>
      <c r="B267" s="8" t="s">
        <v>1425</v>
      </c>
      <c r="C267" s="37" t="s">
        <v>1642</v>
      </c>
      <c r="D267" s="37" t="s">
        <v>1536</v>
      </c>
      <c r="E267" s="7" t="s">
        <v>1643</v>
      </c>
      <c r="F267" s="7" t="s">
        <v>1538</v>
      </c>
      <c r="H267" s="37" t="s">
        <v>1053</v>
      </c>
      <c r="T267" s="37" t="s">
        <v>1053</v>
      </c>
      <c r="U267" s="37" t="s">
        <v>1536</v>
      </c>
      <c r="V267" s="37" t="s">
        <v>1053</v>
      </c>
    </row>
    <row r="268">
      <c r="A268" s="8" t="s">
        <v>2045</v>
      </c>
      <c r="B268" s="8"/>
      <c r="C268" s="37" t="s">
        <v>1389</v>
      </c>
      <c r="D268" s="7" t="s">
        <v>1390</v>
      </c>
      <c r="E268" s="7" t="s">
        <v>1391</v>
      </c>
    </row>
    <row r="269">
      <c r="A269" s="8" t="s">
        <v>2046</v>
      </c>
      <c r="B269" s="8"/>
      <c r="C269" s="37" t="s">
        <v>2047</v>
      </c>
      <c r="D269" s="7" t="s">
        <v>2048</v>
      </c>
      <c r="E269" s="7" t="s">
        <v>2049</v>
      </c>
    </row>
  </sheetData>
  <autoFilter ref="$A$4:$V$273">
    <filterColumn colId="1">
      <filters blank="1"/>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1100</v>
      </c>
      <c r="B1" s="8" t="s">
        <v>1101</v>
      </c>
    </row>
    <row r="2">
      <c r="A2" s="8" t="s">
        <v>1100</v>
      </c>
      <c r="B2" s="8" t="s">
        <v>444</v>
      </c>
    </row>
    <row r="3">
      <c r="A3" s="8" t="s">
        <v>1100</v>
      </c>
      <c r="B3" s="8" t="s">
        <v>56</v>
      </c>
    </row>
    <row r="4">
      <c r="A4" s="8" t="s">
        <v>1100</v>
      </c>
      <c r="B4" s="8" t="s">
        <v>1104</v>
      </c>
    </row>
    <row r="5">
      <c r="A5" s="8" t="s">
        <v>1106</v>
      </c>
      <c r="B5" s="8" t="s">
        <v>1107</v>
      </c>
    </row>
    <row r="6">
      <c r="A6" s="8" t="s">
        <v>1106</v>
      </c>
      <c r="B6" s="8" t="s">
        <v>1109</v>
      </c>
    </row>
    <row r="7">
      <c r="A7" s="8" t="s">
        <v>1106</v>
      </c>
      <c r="B7" s="8" t="s">
        <v>1111</v>
      </c>
    </row>
    <row r="8">
      <c r="A8" s="8" t="s">
        <v>1106</v>
      </c>
      <c r="B8" s="8" t="s">
        <v>1112</v>
      </c>
    </row>
    <row r="9">
      <c r="A9" s="8" t="s">
        <v>1106</v>
      </c>
      <c r="B9" s="8" t="s">
        <v>1113</v>
      </c>
    </row>
    <row r="10">
      <c r="A10" s="8" t="s">
        <v>1114</v>
      </c>
      <c r="B10" s="8" t="s">
        <v>1115</v>
      </c>
    </row>
    <row r="11">
      <c r="A11" s="8" t="s">
        <v>1114</v>
      </c>
      <c r="B11" s="8" t="s">
        <v>1118</v>
      </c>
    </row>
    <row r="12">
      <c r="A12" s="8" t="s">
        <v>1114</v>
      </c>
      <c r="B12" s="8" t="s">
        <v>1119</v>
      </c>
    </row>
    <row r="13">
      <c r="A13" s="8" t="s">
        <v>1114</v>
      </c>
      <c r="B13" s="8" t="s">
        <v>1120</v>
      </c>
    </row>
    <row r="14">
      <c r="A14" s="8" t="s">
        <v>1114</v>
      </c>
      <c r="B14" s="8" t="s">
        <v>1121</v>
      </c>
    </row>
    <row r="15">
      <c r="A15" s="8" t="s">
        <v>1114</v>
      </c>
      <c r="B15" s="8" t="s">
        <v>1122</v>
      </c>
    </row>
    <row r="16">
      <c r="A16" s="8" t="s">
        <v>1114</v>
      </c>
      <c r="B16" s="8" t="s">
        <v>1123</v>
      </c>
    </row>
    <row r="17">
      <c r="A17" s="8" t="s">
        <v>1114</v>
      </c>
      <c r="B17" s="8" t="s">
        <v>1124</v>
      </c>
    </row>
    <row r="18">
      <c r="A18" s="8" t="s">
        <v>1114</v>
      </c>
      <c r="B18" s="8" t="s">
        <v>1125</v>
      </c>
    </row>
    <row r="19">
      <c r="A19" s="8" t="s">
        <v>1114</v>
      </c>
      <c r="B19" s="8" t="s">
        <v>1126</v>
      </c>
    </row>
    <row r="20">
      <c r="A20" s="8" t="s">
        <v>1114</v>
      </c>
      <c r="B20" s="8" t="s">
        <v>1127</v>
      </c>
    </row>
    <row r="21">
      <c r="A21" s="8" t="s">
        <v>1114</v>
      </c>
      <c r="B21" s="8" t="s">
        <v>1128</v>
      </c>
    </row>
    <row r="22">
      <c r="A22" s="8" t="s">
        <v>1114</v>
      </c>
      <c r="B22" s="8" t="s">
        <v>1129</v>
      </c>
    </row>
    <row r="23">
      <c r="A23" s="8" t="s">
        <v>1114</v>
      </c>
      <c r="B23" s="8" t="s">
        <v>1111</v>
      </c>
    </row>
    <row r="24">
      <c r="A24" s="8" t="s">
        <v>1114</v>
      </c>
      <c r="B24" s="8" t="s">
        <v>1130</v>
      </c>
    </row>
    <row r="25">
      <c r="A25" s="8" t="s">
        <v>1131</v>
      </c>
      <c r="B25" s="8" t="s">
        <v>1132</v>
      </c>
    </row>
    <row r="26">
      <c r="A26" s="8" t="s">
        <v>1131</v>
      </c>
      <c r="B26" s="8" t="s">
        <v>1133</v>
      </c>
    </row>
    <row r="27">
      <c r="A27" s="8" t="s">
        <v>1131</v>
      </c>
      <c r="B27" s="8" t="s">
        <v>1134</v>
      </c>
    </row>
    <row r="28">
      <c r="A28" s="8" t="s">
        <v>1131</v>
      </c>
      <c r="B28" s="8" t="s">
        <v>1135</v>
      </c>
    </row>
    <row r="29">
      <c r="A29" s="8" t="s">
        <v>1131</v>
      </c>
      <c r="B29" s="8" t="s">
        <v>1136</v>
      </c>
    </row>
    <row r="30">
      <c r="A30" s="8" t="s">
        <v>1131</v>
      </c>
      <c r="B30" s="8" t="s">
        <v>1137</v>
      </c>
    </row>
    <row r="31">
      <c r="A31" s="8" t="s">
        <v>1131</v>
      </c>
      <c r="B31" s="8" t="s">
        <v>1111</v>
      </c>
    </row>
    <row r="32">
      <c r="A32" s="8" t="s">
        <v>1138</v>
      </c>
      <c r="B32" s="8" t="s">
        <v>1139</v>
      </c>
    </row>
    <row r="33">
      <c r="A33" s="8" t="s">
        <v>1149</v>
      </c>
      <c r="B33" s="8" t="s">
        <v>1150</v>
      </c>
    </row>
    <row r="34">
      <c r="A34" s="8" t="s">
        <v>1149</v>
      </c>
      <c r="B34" s="8" t="s">
        <v>1151</v>
      </c>
    </row>
    <row r="35">
      <c r="A35" s="8" t="s">
        <v>1149</v>
      </c>
      <c r="B35" s="8" t="s">
        <v>1152</v>
      </c>
    </row>
    <row r="36">
      <c r="A36" s="8" t="s">
        <v>1149</v>
      </c>
      <c r="B36" s="8" t="s">
        <v>1153</v>
      </c>
    </row>
    <row r="37">
      <c r="A37" s="8" t="s">
        <v>1149</v>
      </c>
      <c r="B37" s="8" t="s">
        <v>1111</v>
      </c>
    </row>
    <row r="38">
      <c r="A38" s="8" t="s">
        <v>1149</v>
      </c>
      <c r="B38" s="8" t="s">
        <v>1154</v>
      </c>
    </row>
    <row r="39">
      <c r="A39" s="8" t="s">
        <v>1164</v>
      </c>
      <c r="B39" s="8" t="s">
        <v>1139</v>
      </c>
    </row>
    <row r="40">
      <c r="A40" s="8" t="s">
        <v>1166</v>
      </c>
      <c r="B40" s="8" t="s">
        <v>1167</v>
      </c>
    </row>
    <row r="41">
      <c r="A41" s="8" t="s">
        <v>1166</v>
      </c>
      <c r="B41" s="8" t="s">
        <v>1133</v>
      </c>
    </row>
    <row r="42">
      <c r="A42" s="8" t="s">
        <v>1166</v>
      </c>
      <c r="B42" s="8" t="s">
        <v>1168</v>
      </c>
    </row>
    <row r="43">
      <c r="A43" s="8" t="s">
        <v>1166</v>
      </c>
      <c r="B43" s="8" t="s">
        <v>1169</v>
      </c>
    </row>
    <row r="44">
      <c r="A44" s="8" t="s">
        <v>1166</v>
      </c>
      <c r="B44" s="8" t="s">
        <v>1170</v>
      </c>
    </row>
    <row r="45">
      <c r="A45" s="8" t="s">
        <v>1166</v>
      </c>
      <c r="B45" s="8" t="s">
        <v>1144</v>
      </c>
    </row>
    <row r="46">
      <c r="A46" s="8" t="s">
        <v>1166</v>
      </c>
      <c r="B46" s="8" t="s">
        <v>1134</v>
      </c>
    </row>
    <row r="47">
      <c r="A47" s="8" t="s">
        <v>1166</v>
      </c>
      <c r="B47" s="8" t="s">
        <v>1171</v>
      </c>
    </row>
    <row r="48">
      <c r="A48" s="8" t="s">
        <v>1166</v>
      </c>
      <c r="B48" s="8" t="s">
        <v>1135</v>
      </c>
    </row>
    <row r="49">
      <c r="A49" s="8" t="s">
        <v>1166</v>
      </c>
      <c r="B49" s="8" t="s">
        <v>1172</v>
      </c>
    </row>
    <row r="50">
      <c r="A50" s="8" t="s">
        <v>1166</v>
      </c>
      <c r="B50" s="8" t="s">
        <v>1136</v>
      </c>
    </row>
    <row r="51">
      <c r="A51" s="8" t="s">
        <v>1166</v>
      </c>
      <c r="B51" s="8" t="s">
        <v>1173</v>
      </c>
    </row>
    <row r="52">
      <c r="A52" s="8" t="s">
        <v>1166</v>
      </c>
      <c r="B52" s="8" t="s">
        <v>1137</v>
      </c>
    </row>
    <row r="53">
      <c r="A53" s="8" t="s">
        <v>1166</v>
      </c>
      <c r="B53" s="8" t="s">
        <v>1174</v>
      </c>
    </row>
    <row r="54">
      <c r="A54" s="8" t="s">
        <v>1166</v>
      </c>
      <c r="B54" s="8" t="s">
        <v>1175</v>
      </c>
    </row>
    <row r="55">
      <c r="A55" s="8" t="s">
        <v>1166</v>
      </c>
      <c r="B55" s="8" t="s">
        <v>1111</v>
      </c>
    </row>
    <row r="56">
      <c r="A56" s="8" t="s">
        <v>1166</v>
      </c>
      <c r="B56" s="8" t="s">
        <v>1068</v>
      </c>
    </row>
    <row r="57">
      <c r="A57" s="8" t="s">
        <v>1166</v>
      </c>
      <c r="B57" s="8" t="s">
        <v>1177</v>
      </c>
    </row>
    <row r="58">
      <c r="A58" s="8" t="s">
        <v>1166</v>
      </c>
      <c r="B58" s="8" t="s">
        <v>1178</v>
      </c>
    </row>
    <row r="59">
      <c r="A59" s="8" t="s">
        <v>1166</v>
      </c>
      <c r="B59" s="8" t="s">
        <v>1081</v>
      </c>
    </row>
    <row r="60">
      <c r="A60" s="8" t="s">
        <v>1166</v>
      </c>
      <c r="B60" s="8" t="s">
        <v>1161</v>
      </c>
    </row>
    <row r="61">
      <c r="A61" s="8" t="s">
        <v>1179</v>
      </c>
      <c r="B61" s="8" t="s">
        <v>1180</v>
      </c>
    </row>
    <row r="62">
      <c r="A62" s="8" t="s">
        <v>1179</v>
      </c>
      <c r="B62" s="8" t="s">
        <v>1170</v>
      </c>
    </row>
    <row r="63">
      <c r="A63" s="8" t="s">
        <v>1179</v>
      </c>
      <c r="B63" s="8" t="s">
        <v>1183</v>
      </c>
    </row>
    <row r="64">
      <c r="A64" s="8" t="s">
        <v>1179</v>
      </c>
      <c r="B64" s="8" t="s">
        <v>1182</v>
      </c>
    </row>
    <row r="65">
      <c r="A65" s="8" t="s">
        <v>1179</v>
      </c>
      <c r="B65" s="8" t="s">
        <v>1151</v>
      </c>
    </row>
    <row r="66">
      <c r="A66" s="8" t="s">
        <v>1179</v>
      </c>
      <c r="B66" s="8" t="s">
        <v>1184</v>
      </c>
    </row>
    <row r="67">
      <c r="A67" s="8" t="s">
        <v>1179</v>
      </c>
      <c r="B67" s="8" t="s">
        <v>1153</v>
      </c>
    </row>
    <row r="68">
      <c r="A68" s="8" t="s">
        <v>1179</v>
      </c>
      <c r="B68" s="8" t="s">
        <v>1185</v>
      </c>
    </row>
    <row r="69">
      <c r="A69" s="8" t="s">
        <v>1179</v>
      </c>
      <c r="B69" s="8" t="s">
        <v>1186</v>
      </c>
    </row>
    <row r="70">
      <c r="A70" s="8" t="s">
        <v>1179</v>
      </c>
      <c r="B70" s="8" t="s">
        <v>1111</v>
      </c>
    </row>
    <row r="71">
      <c r="A71" s="8" t="s">
        <v>1179</v>
      </c>
      <c r="B71" s="8" t="s">
        <v>1187</v>
      </c>
    </row>
    <row r="72">
      <c r="A72" s="8" t="s">
        <v>1179</v>
      </c>
      <c r="B72" s="8" t="s">
        <v>1189</v>
      </c>
    </row>
    <row r="73">
      <c r="A73" s="8" t="s">
        <v>1179</v>
      </c>
      <c r="B73" s="8" t="s">
        <v>1191</v>
      </c>
    </row>
    <row r="74">
      <c r="A74" s="8" t="s">
        <v>1194</v>
      </c>
      <c r="B74" s="8" t="s">
        <v>1139</v>
      </c>
    </row>
    <row r="75">
      <c r="A75" s="8" t="s">
        <v>1195</v>
      </c>
      <c r="B75" s="8" t="s">
        <v>1196</v>
      </c>
    </row>
    <row r="76">
      <c r="A76" s="8" t="s">
        <v>1198</v>
      </c>
      <c r="B76" s="8" t="s">
        <v>1199</v>
      </c>
    </row>
    <row r="77">
      <c r="A77" s="8" t="s">
        <v>1198</v>
      </c>
      <c r="B77" s="8" t="s">
        <v>46</v>
      </c>
    </row>
    <row r="78">
      <c r="A78" s="8" t="s">
        <v>1198</v>
      </c>
      <c r="B78" s="8" t="s">
        <v>59</v>
      </c>
    </row>
    <row r="79">
      <c r="A79" s="8" t="s">
        <v>1198</v>
      </c>
      <c r="B79" s="8" t="s">
        <v>1200</v>
      </c>
    </row>
    <row r="80">
      <c r="A80" s="8" t="s">
        <v>1198</v>
      </c>
      <c r="B80" s="8" t="s">
        <v>1201</v>
      </c>
    </row>
    <row r="81">
      <c r="A81" s="8" t="s">
        <v>1198</v>
      </c>
      <c r="B81" s="8" t="s">
        <v>1202</v>
      </c>
    </row>
    <row r="82">
      <c r="A82" s="8" t="s">
        <v>1198</v>
      </c>
      <c r="B82" s="8" t="s">
        <v>56</v>
      </c>
    </row>
    <row r="83">
      <c r="A83" s="8" t="s">
        <v>1198</v>
      </c>
      <c r="B83" s="8" t="s">
        <v>292</v>
      </c>
    </row>
    <row r="84">
      <c r="A84" s="8" t="s">
        <v>1198</v>
      </c>
      <c r="B84" s="8" t="s">
        <v>1203</v>
      </c>
    </row>
    <row r="85">
      <c r="A85" s="8" t="s">
        <v>1198</v>
      </c>
      <c r="B85" s="8" t="s">
        <v>1204</v>
      </c>
    </row>
    <row r="86">
      <c r="A86" s="8" t="s">
        <v>1205</v>
      </c>
      <c r="B86" s="8" t="s">
        <v>1206</v>
      </c>
    </row>
    <row r="87">
      <c r="A87" s="8" t="s">
        <v>1205</v>
      </c>
      <c r="B87" s="8" t="s">
        <v>1207</v>
      </c>
    </row>
    <row r="88">
      <c r="A88" s="8" t="s">
        <v>1205</v>
      </c>
      <c r="B88" s="8" t="s">
        <v>1111</v>
      </c>
    </row>
    <row r="89">
      <c r="A89" s="8" t="s">
        <v>1205</v>
      </c>
      <c r="B89" s="8" t="s">
        <v>1065</v>
      </c>
    </row>
    <row r="90">
      <c r="A90" s="8" t="s">
        <v>1208</v>
      </c>
      <c r="B90" s="8" t="s">
        <v>1209</v>
      </c>
    </row>
    <row r="91">
      <c r="A91" s="8" t="s">
        <v>1208</v>
      </c>
      <c r="B91" s="8" t="s">
        <v>1148</v>
      </c>
    </row>
    <row r="92">
      <c r="A92" s="8" t="s">
        <v>1208</v>
      </c>
      <c r="B92" s="8" t="s">
        <v>1210</v>
      </c>
    </row>
    <row r="93">
      <c r="A93" s="8" t="s">
        <v>1208</v>
      </c>
      <c r="B93" s="8" t="s">
        <v>1188</v>
      </c>
    </row>
    <row r="94">
      <c r="A94" s="8" t="s">
        <v>1208</v>
      </c>
      <c r="B94" s="8" t="s">
        <v>1111</v>
      </c>
    </row>
    <row r="95">
      <c r="A95" s="8" t="s">
        <v>1211</v>
      </c>
      <c r="B95" s="8" t="s">
        <v>1212</v>
      </c>
    </row>
    <row r="96">
      <c r="A96" s="8" t="s">
        <v>1211</v>
      </c>
      <c r="B96" s="8" t="s">
        <v>1213</v>
      </c>
    </row>
    <row r="97">
      <c r="A97" s="8" t="s">
        <v>1211</v>
      </c>
      <c r="B97" s="8" t="s">
        <v>1214</v>
      </c>
    </row>
    <row r="98">
      <c r="A98" s="8" t="s">
        <v>1211</v>
      </c>
      <c r="B98" s="8" t="s">
        <v>1111</v>
      </c>
    </row>
    <row r="99">
      <c r="A99" s="8" t="s">
        <v>1216</v>
      </c>
      <c r="B99" s="8" t="s">
        <v>1217</v>
      </c>
    </row>
    <row r="100">
      <c r="A100" s="8" t="s">
        <v>1216</v>
      </c>
      <c r="B100" s="8" t="s">
        <v>1111</v>
      </c>
    </row>
    <row r="101">
      <c r="A101" s="8" t="s">
        <v>1216</v>
      </c>
      <c r="B101" s="8" t="s">
        <v>1218</v>
      </c>
    </row>
    <row r="102">
      <c r="A102" s="8" t="s">
        <v>1219</v>
      </c>
      <c r="B102" s="8" t="s">
        <v>1220</v>
      </c>
    </row>
    <row r="103">
      <c r="A103" s="8" t="s">
        <v>1219</v>
      </c>
      <c r="B103" s="8" t="s">
        <v>1139</v>
      </c>
    </row>
    <row r="104">
      <c r="A104" s="8" t="s">
        <v>1219</v>
      </c>
      <c r="B104" s="8" t="s">
        <v>1221</v>
      </c>
    </row>
    <row r="105">
      <c r="A105" s="8" t="s">
        <v>1252</v>
      </c>
      <c r="B105" s="8" t="s">
        <v>1253</v>
      </c>
    </row>
    <row r="106">
      <c r="A106" s="8" t="s">
        <v>1252</v>
      </c>
      <c r="B106" s="8" t="s">
        <v>1254</v>
      </c>
    </row>
    <row r="107">
      <c r="A107" s="8" t="s">
        <v>1252</v>
      </c>
      <c r="B107" s="8" t="s">
        <v>1256</v>
      </c>
    </row>
    <row r="108">
      <c r="A108" s="8" t="s">
        <v>1252</v>
      </c>
      <c r="B108" s="8" t="s">
        <v>1111</v>
      </c>
    </row>
    <row r="109">
      <c r="A109" s="8" t="s">
        <v>1213</v>
      </c>
      <c r="B109" s="8" t="s">
        <v>1257</v>
      </c>
    </row>
    <row r="110">
      <c r="A110" s="8" t="s">
        <v>1213</v>
      </c>
      <c r="B110" s="8" t="s">
        <v>444</v>
      </c>
    </row>
    <row r="111">
      <c r="A111" s="8" t="s">
        <v>1213</v>
      </c>
      <c r="B111" s="8" t="s">
        <v>56</v>
      </c>
    </row>
    <row r="112">
      <c r="A112" s="8" t="s">
        <v>1213</v>
      </c>
      <c r="B112" s="8" t="s">
        <v>1260</v>
      </c>
    </row>
    <row r="113">
      <c r="A113" s="8" t="s">
        <v>1213</v>
      </c>
      <c r="B113" s="8" t="s">
        <v>1104</v>
      </c>
    </row>
    <row r="114">
      <c r="A114" s="8" t="s">
        <v>1264</v>
      </c>
      <c r="B114" s="8" t="s">
        <v>1180</v>
      </c>
    </row>
    <row r="115">
      <c r="A115" s="8" t="s">
        <v>1264</v>
      </c>
      <c r="B115" s="8" t="s">
        <v>1170</v>
      </c>
    </row>
    <row r="116">
      <c r="A116" s="8" t="s">
        <v>1264</v>
      </c>
      <c r="B116" s="8" t="s">
        <v>1144</v>
      </c>
    </row>
    <row r="117">
      <c r="A117" s="8" t="s">
        <v>1264</v>
      </c>
      <c r="B117" s="8" t="s">
        <v>1134</v>
      </c>
    </row>
    <row r="118">
      <c r="A118" s="8" t="s">
        <v>1264</v>
      </c>
      <c r="B118" s="8" t="s">
        <v>1265</v>
      </c>
    </row>
    <row r="119">
      <c r="A119" s="8" t="s">
        <v>1264</v>
      </c>
      <c r="B119" s="8" t="s">
        <v>1175</v>
      </c>
    </row>
    <row r="120">
      <c r="A120" s="8" t="s">
        <v>1264</v>
      </c>
      <c r="B120" s="8" t="s">
        <v>1187</v>
      </c>
    </row>
    <row r="121">
      <c r="A121" s="8" t="s">
        <v>1264</v>
      </c>
      <c r="B121" s="8" t="s">
        <v>1068</v>
      </c>
    </row>
    <row r="122">
      <c r="A122" s="8" t="s">
        <v>1264</v>
      </c>
      <c r="B122" s="8" t="s">
        <v>1081</v>
      </c>
    </row>
    <row r="123">
      <c r="A123" s="8" t="s">
        <v>1264</v>
      </c>
      <c r="B123" s="8" t="s">
        <v>1266</v>
      </c>
    </row>
    <row r="124">
      <c r="A124" s="8" t="s">
        <v>1264</v>
      </c>
      <c r="B124" s="8" t="s">
        <v>1267</v>
      </c>
    </row>
    <row r="125">
      <c r="A125" s="8" t="s">
        <v>1264</v>
      </c>
      <c r="B125" s="8" t="s">
        <v>1161</v>
      </c>
    </row>
    <row r="126">
      <c r="A126" s="8" t="s">
        <v>1268</v>
      </c>
      <c r="B126" s="8" t="s">
        <v>1225</v>
      </c>
    </row>
    <row r="127">
      <c r="A127" s="8" t="s">
        <v>1268</v>
      </c>
      <c r="B127" s="8" t="s">
        <v>1226</v>
      </c>
    </row>
    <row r="128">
      <c r="A128" s="8" t="s">
        <v>1268</v>
      </c>
      <c r="B128" s="8" t="s">
        <v>1183</v>
      </c>
    </row>
    <row r="129">
      <c r="A129" s="8" t="s">
        <v>1268</v>
      </c>
      <c r="B129" s="8" t="s">
        <v>1182</v>
      </c>
    </row>
    <row r="130">
      <c r="A130" s="8" t="s">
        <v>1268</v>
      </c>
      <c r="B130" s="8" t="s">
        <v>1111</v>
      </c>
    </row>
    <row r="131">
      <c r="A131" s="8" t="s">
        <v>1272</v>
      </c>
      <c r="B131" s="8" t="s">
        <v>1225</v>
      </c>
    </row>
    <row r="132">
      <c r="A132" s="8" t="s">
        <v>1272</v>
      </c>
      <c r="B132" s="8" t="s">
        <v>1226</v>
      </c>
    </row>
    <row r="133">
      <c r="A133" s="8" t="s">
        <v>1272</v>
      </c>
      <c r="B133" s="8" t="s">
        <v>1186</v>
      </c>
    </row>
    <row r="134">
      <c r="A134" s="8" t="s">
        <v>1272</v>
      </c>
      <c r="B134" s="8" t="s">
        <v>1111</v>
      </c>
    </row>
    <row r="135">
      <c r="A135" s="8" t="s">
        <v>1273</v>
      </c>
      <c r="B135" s="8" t="s">
        <v>1119</v>
      </c>
    </row>
    <row r="136">
      <c r="A136" s="8" t="s">
        <v>1273</v>
      </c>
      <c r="B136" s="8" t="s">
        <v>1120</v>
      </c>
    </row>
    <row r="137">
      <c r="A137" s="8" t="s">
        <v>1273</v>
      </c>
      <c r="B137" s="8" t="s">
        <v>1148</v>
      </c>
    </row>
    <row r="138">
      <c r="A138" s="8" t="s">
        <v>1273</v>
      </c>
      <c r="B138" s="8" t="s">
        <v>1183</v>
      </c>
    </row>
    <row r="139">
      <c r="A139" s="8" t="s">
        <v>1273</v>
      </c>
      <c r="B139" s="8" t="s">
        <v>1274</v>
      </c>
    </row>
    <row r="140">
      <c r="A140" s="8" t="s">
        <v>1273</v>
      </c>
      <c r="B140" s="8" t="s">
        <v>1276</v>
      </c>
    </row>
    <row r="141">
      <c r="A141" s="8" t="s">
        <v>1273</v>
      </c>
      <c r="B141" s="8" t="s">
        <v>1277</v>
      </c>
    </row>
    <row r="142">
      <c r="A142" s="8" t="s">
        <v>1273</v>
      </c>
      <c r="B142" s="8" t="s">
        <v>1151</v>
      </c>
    </row>
    <row r="143">
      <c r="A143" s="8" t="s">
        <v>1273</v>
      </c>
      <c r="B143" s="8" t="s">
        <v>1185</v>
      </c>
    </row>
    <row r="144">
      <c r="A144" s="8" t="s">
        <v>1273</v>
      </c>
      <c r="B144" s="8" t="s">
        <v>1278</v>
      </c>
    </row>
    <row r="145">
      <c r="A145" s="8" t="s">
        <v>1273</v>
      </c>
      <c r="B145" s="8" t="s">
        <v>1262</v>
      </c>
    </row>
    <row r="146">
      <c r="A146" s="8" t="s">
        <v>1273</v>
      </c>
      <c r="B146" s="8" t="s">
        <v>1279</v>
      </c>
    </row>
    <row r="147">
      <c r="A147" s="8" t="s">
        <v>1273</v>
      </c>
      <c r="B147" s="8" t="s">
        <v>1280</v>
      </c>
    </row>
    <row r="148">
      <c r="A148" s="8" t="s">
        <v>1273</v>
      </c>
      <c r="B148" s="8" t="s">
        <v>1111</v>
      </c>
    </row>
    <row r="149">
      <c r="A149" s="8" t="s">
        <v>1273</v>
      </c>
      <c r="B149" s="8" t="s">
        <v>1187</v>
      </c>
    </row>
    <row r="150">
      <c r="A150" s="8" t="s">
        <v>1273</v>
      </c>
      <c r="B150" s="8" t="s">
        <v>1189</v>
      </c>
    </row>
    <row r="151">
      <c r="A151" s="8" t="s">
        <v>1273</v>
      </c>
      <c r="B151" s="8" t="s">
        <v>1281</v>
      </c>
    </row>
    <row r="152">
      <c r="A152" s="8" t="s">
        <v>1273</v>
      </c>
      <c r="B152" s="8" t="s">
        <v>1191</v>
      </c>
    </row>
    <row r="153">
      <c r="A153" s="8" t="s">
        <v>1282</v>
      </c>
      <c r="B153" s="8" t="s">
        <v>1193</v>
      </c>
    </row>
    <row r="154">
      <c r="A154" s="8" t="s">
        <v>1282</v>
      </c>
      <c r="B154" s="8" t="s">
        <v>1111</v>
      </c>
    </row>
    <row r="155">
      <c r="A155" s="8" t="s">
        <v>1285</v>
      </c>
      <c r="B155" s="8" t="s">
        <v>1111</v>
      </c>
    </row>
    <row r="156">
      <c r="A156" s="8" t="s">
        <v>1214</v>
      </c>
      <c r="B156" s="8" t="s">
        <v>1286</v>
      </c>
    </row>
    <row r="157">
      <c r="A157" s="8" t="s">
        <v>1214</v>
      </c>
      <c r="B157" s="8" t="s">
        <v>1287</v>
      </c>
    </row>
    <row r="158">
      <c r="A158" s="8" t="s">
        <v>1214</v>
      </c>
      <c r="B158" s="8" t="s">
        <v>1288</v>
      </c>
    </row>
    <row r="159">
      <c r="A159" s="8" t="s">
        <v>1214</v>
      </c>
      <c r="B159" s="8" t="s">
        <v>1289</v>
      </c>
    </row>
    <row r="160">
      <c r="A160" s="8" t="s">
        <v>1214</v>
      </c>
      <c r="B160" s="8" t="s">
        <v>1290</v>
      </c>
    </row>
    <row r="161">
      <c r="A161" s="8" t="s">
        <v>1214</v>
      </c>
      <c r="B161" s="8" t="s">
        <v>1292</v>
      </c>
    </row>
    <row r="162">
      <c r="A162" s="8" t="s">
        <v>1214</v>
      </c>
      <c r="B162" s="8" t="s">
        <v>1104</v>
      </c>
    </row>
    <row r="163">
      <c r="A163" s="8" t="s">
        <v>1293</v>
      </c>
      <c r="B163" s="8" t="s">
        <v>1294</v>
      </c>
    </row>
    <row r="164">
      <c r="A164" s="8" t="s">
        <v>1293</v>
      </c>
      <c r="B164" s="8" t="s">
        <v>1111</v>
      </c>
    </row>
    <row r="165">
      <c r="A165" s="8" t="s">
        <v>1295</v>
      </c>
      <c r="B165" s="8" t="s">
        <v>1296</v>
      </c>
    </row>
    <row r="166">
      <c r="A166" s="8" t="s">
        <v>1051</v>
      </c>
      <c r="B166" s="8" t="s">
        <v>1134</v>
      </c>
    </row>
    <row r="167">
      <c r="A167" s="8" t="s">
        <v>1051</v>
      </c>
      <c r="B167" s="8" t="s">
        <v>1298</v>
      </c>
    </row>
    <row r="168">
      <c r="A168" s="8" t="s">
        <v>1051</v>
      </c>
      <c r="B168" s="8" t="s">
        <v>1111</v>
      </c>
    </row>
    <row r="169">
      <c r="A169" s="8" t="s">
        <v>1051</v>
      </c>
      <c r="B169" s="8" t="s">
        <v>1299</v>
      </c>
    </row>
    <row r="170">
      <c r="A170" s="8" t="s">
        <v>1051</v>
      </c>
      <c r="B170" s="8" t="s">
        <v>1087</v>
      </c>
    </row>
    <row r="171">
      <c r="A171" s="8" t="s">
        <v>1054</v>
      </c>
      <c r="B171" s="8" t="s">
        <v>1300</v>
      </c>
    </row>
    <row r="172">
      <c r="A172" s="8" t="s">
        <v>1054</v>
      </c>
      <c r="B172" s="8" t="s">
        <v>1301</v>
      </c>
    </row>
    <row r="173">
      <c r="A173" s="8" t="s">
        <v>1054</v>
      </c>
      <c r="B173" s="8" t="s">
        <v>1302</v>
      </c>
    </row>
    <row r="174">
      <c r="A174" s="8" t="s">
        <v>1054</v>
      </c>
      <c r="B174" s="8" t="s">
        <v>1303</v>
      </c>
    </row>
    <row r="175">
      <c r="A175" s="8" t="s">
        <v>1054</v>
      </c>
      <c r="B175" s="8" t="s">
        <v>1304</v>
      </c>
    </row>
    <row r="176">
      <c r="A176" s="8" t="s">
        <v>1054</v>
      </c>
      <c r="B176" s="8" t="s">
        <v>1305</v>
      </c>
    </row>
    <row r="177">
      <c r="A177" s="8" t="s">
        <v>1054</v>
      </c>
      <c r="B177" s="8" t="s">
        <v>1306</v>
      </c>
    </row>
    <row r="178">
      <c r="A178" s="8" t="s">
        <v>1054</v>
      </c>
      <c r="B178" s="8" t="s">
        <v>1278</v>
      </c>
    </row>
    <row r="179">
      <c r="A179" s="8" t="s">
        <v>1054</v>
      </c>
      <c r="B179" s="8" t="s">
        <v>1307</v>
      </c>
    </row>
    <row r="180">
      <c r="A180" s="8" t="s">
        <v>1054</v>
      </c>
      <c r="B180" s="8" t="s">
        <v>1308</v>
      </c>
    </row>
    <row r="181">
      <c r="A181" s="8" t="s">
        <v>1054</v>
      </c>
      <c r="B181" s="8" t="s">
        <v>1309</v>
      </c>
    </row>
    <row r="182">
      <c r="A182" s="8" t="s">
        <v>1054</v>
      </c>
      <c r="B182" s="8" t="s">
        <v>1228</v>
      </c>
    </row>
    <row r="183">
      <c r="A183" s="8" t="s">
        <v>1054</v>
      </c>
      <c r="B183" s="8" t="s">
        <v>1310</v>
      </c>
    </row>
    <row r="184">
      <c r="A184" s="8" t="s">
        <v>1054</v>
      </c>
      <c r="B184" s="8" t="s">
        <v>1137</v>
      </c>
    </row>
    <row r="185">
      <c r="A185" s="8" t="s">
        <v>1054</v>
      </c>
      <c r="B185" s="8" t="s">
        <v>1311</v>
      </c>
    </row>
    <row r="186">
      <c r="A186" s="8" t="s">
        <v>1054</v>
      </c>
      <c r="B186" s="8" t="s">
        <v>1111</v>
      </c>
    </row>
    <row r="187">
      <c r="A187" s="8" t="s">
        <v>1054</v>
      </c>
      <c r="B187" s="8" t="s">
        <v>1187</v>
      </c>
    </row>
    <row r="188">
      <c r="A188" s="8" t="s">
        <v>1054</v>
      </c>
      <c r="B188" s="8" t="s">
        <v>1312</v>
      </c>
    </row>
    <row r="189">
      <c r="A189" s="8" t="s">
        <v>1054</v>
      </c>
      <c r="B189" s="8" t="s">
        <v>1162</v>
      </c>
    </row>
    <row r="190">
      <c r="A190" s="8" t="s">
        <v>1054</v>
      </c>
      <c r="B190" s="8" t="s">
        <v>1314</v>
      </c>
    </row>
    <row r="191">
      <c r="A191" s="8" t="s">
        <v>1054</v>
      </c>
      <c r="B191" s="8" t="s">
        <v>1266</v>
      </c>
    </row>
    <row r="192">
      <c r="A192" s="8" t="s">
        <v>1054</v>
      </c>
      <c r="B192" s="8" t="s">
        <v>1315</v>
      </c>
    </row>
    <row r="193">
      <c r="A193" s="8" t="s">
        <v>1054</v>
      </c>
      <c r="B193" s="8" t="s">
        <v>1267</v>
      </c>
    </row>
    <row r="194">
      <c r="A194" s="8" t="s">
        <v>1054</v>
      </c>
      <c r="B194" s="8" t="s">
        <v>1161</v>
      </c>
    </row>
    <row r="195">
      <c r="A195" s="8" t="s">
        <v>1057</v>
      </c>
      <c r="B195" s="8" t="s">
        <v>1139</v>
      </c>
    </row>
    <row r="196">
      <c r="A196" s="8" t="s">
        <v>1060</v>
      </c>
      <c r="B196" s="8" t="s">
        <v>1111</v>
      </c>
    </row>
    <row r="197">
      <c r="A197" s="8" t="s">
        <v>1060</v>
      </c>
      <c r="B197" s="8" t="s">
        <v>1317</v>
      </c>
    </row>
    <row r="198">
      <c r="A198" s="8" t="s">
        <v>1062</v>
      </c>
      <c r="B198" s="8" t="s">
        <v>1111</v>
      </c>
    </row>
    <row r="199">
      <c r="A199" s="8" t="s">
        <v>1062</v>
      </c>
      <c r="B199" s="8" t="s">
        <v>1237</v>
      </c>
    </row>
    <row r="200">
      <c r="A200" s="8" t="s">
        <v>1065</v>
      </c>
      <c r="B200" s="8" t="s">
        <v>1318</v>
      </c>
    </row>
    <row r="201">
      <c r="A201" s="8" t="s">
        <v>1065</v>
      </c>
      <c r="B201" s="8" t="s">
        <v>1319</v>
      </c>
    </row>
    <row r="202">
      <c r="A202" s="8" t="s">
        <v>1065</v>
      </c>
      <c r="B202" s="8" t="s">
        <v>1320</v>
      </c>
    </row>
    <row r="203">
      <c r="A203" s="8" t="s">
        <v>1065</v>
      </c>
      <c r="B203" s="8" t="s">
        <v>1321</v>
      </c>
    </row>
    <row r="204">
      <c r="A204" s="8" t="s">
        <v>1065</v>
      </c>
      <c r="B204" s="8" t="s">
        <v>1322</v>
      </c>
    </row>
    <row r="205">
      <c r="A205" s="8" t="s">
        <v>1065</v>
      </c>
      <c r="B205" s="8" t="s">
        <v>444</v>
      </c>
    </row>
    <row r="206">
      <c r="A206" s="8" t="s">
        <v>1065</v>
      </c>
      <c r="B206" s="8" t="s">
        <v>1323</v>
      </c>
    </row>
    <row r="207">
      <c r="A207" s="8" t="s">
        <v>1065</v>
      </c>
      <c r="B207" s="8" t="s">
        <v>1324</v>
      </c>
    </row>
    <row r="208">
      <c r="A208" s="8" t="s">
        <v>1065</v>
      </c>
      <c r="B208" s="8" t="s">
        <v>1204</v>
      </c>
    </row>
    <row r="209">
      <c r="A209" s="8" t="s">
        <v>1068</v>
      </c>
      <c r="B209" s="8" t="s">
        <v>1225</v>
      </c>
    </row>
    <row r="210">
      <c r="A210" s="8" t="s">
        <v>1068</v>
      </c>
      <c r="B210" s="8" t="s">
        <v>1227</v>
      </c>
    </row>
    <row r="211">
      <c r="A211" s="8" t="s">
        <v>1068</v>
      </c>
      <c r="B211" s="8" t="s">
        <v>1111</v>
      </c>
    </row>
    <row r="212">
      <c r="A212" s="8" t="s">
        <v>1068</v>
      </c>
      <c r="B212" s="8" t="s">
        <v>1229</v>
      </c>
    </row>
    <row r="213">
      <c r="A213" s="8" t="s">
        <v>1071</v>
      </c>
      <c r="B213" s="8" t="s">
        <v>1286</v>
      </c>
    </row>
    <row r="214">
      <c r="A214" s="8" t="s">
        <v>1071</v>
      </c>
      <c r="B214" s="8" t="s">
        <v>1289</v>
      </c>
    </row>
    <row r="215">
      <c r="A215" s="8" t="s">
        <v>1071</v>
      </c>
      <c r="B215" s="8" t="s">
        <v>1290</v>
      </c>
    </row>
    <row r="216">
      <c r="A216" s="8" t="s">
        <v>1071</v>
      </c>
      <c r="B216" s="8" t="s">
        <v>1292</v>
      </c>
    </row>
    <row r="217">
      <c r="A217" s="8" t="s">
        <v>1071</v>
      </c>
      <c r="B217" s="8" t="s">
        <v>1104</v>
      </c>
    </row>
    <row r="218">
      <c r="A218" s="8" t="s">
        <v>1072</v>
      </c>
      <c r="B218" s="8" t="s">
        <v>1325</v>
      </c>
    </row>
    <row r="219">
      <c r="A219" s="8" t="s">
        <v>1075</v>
      </c>
      <c r="B219" s="8" t="s">
        <v>1131</v>
      </c>
    </row>
    <row r="220">
      <c r="A220" s="8" t="s">
        <v>1075</v>
      </c>
      <c r="B220" s="8" t="s">
        <v>1326</v>
      </c>
    </row>
    <row r="221">
      <c r="A221" s="8" t="s">
        <v>1075</v>
      </c>
      <c r="B221" s="8" t="s">
        <v>1327</v>
      </c>
    </row>
    <row r="222">
      <c r="A222" s="8" t="s">
        <v>1075</v>
      </c>
      <c r="B222" s="8" t="s">
        <v>1109</v>
      </c>
    </row>
    <row r="223">
      <c r="A223" s="8" t="s">
        <v>1075</v>
      </c>
      <c r="B223" s="8" t="s">
        <v>1188</v>
      </c>
    </row>
    <row r="224">
      <c r="A224" s="8" t="s">
        <v>1075</v>
      </c>
      <c r="B224" s="8" t="s">
        <v>1328</v>
      </c>
    </row>
    <row r="225">
      <c r="A225" s="8" t="s">
        <v>1075</v>
      </c>
      <c r="B225" s="8" t="s">
        <v>1111</v>
      </c>
    </row>
    <row r="226">
      <c r="A226" s="8" t="s">
        <v>1075</v>
      </c>
      <c r="B226" s="8" t="s">
        <v>1112</v>
      </c>
    </row>
    <row r="227">
      <c r="A227" s="8" t="s">
        <v>1078</v>
      </c>
      <c r="B227" s="8" t="s">
        <v>1329</v>
      </c>
    </row>
    <row r="228">
      <c r="A228" s="8" t="s">
        <v>1078</v>
      </c>
      <c r="B228" s="8" t="s">
        <v>1330</v>
      </c>
    </row>
    <row r="229">
      <c r="A229" s="8" t="s">
        <v>1078</v>
      </c>
      <c r="B229" s="8" t="s">
        <v>1332</v>
      </c>
    </row>
    <row r="230">
      <c r="A230" s="8" t="s">
        <v>1078</v>
      </c>
      <c r="B230" s="8" t="s">
        <v>1232</v>
      </c>
    </row>
    <row r="231">
      <c r="A231" s="8" t="s">
        <v>1078</v>
      </c>
      <c r="B231" s="8" t="s">
        <v>1233</v>
      </c>
    </row>
    <row r="232">
      <c r="A232" s="8" t="s">
        <v>1078</v>
      </c>
      <c r="B232" s="8" t="s">
        <v>1236</v>
      </c>
    </row>
    <row r="233">
      <c r="A233" s="8" t="s">
        <v>1078</v>
      </c>
      <c r="B233" s="8" t="s">
        <v>1111</v>
      </c>
    </row>
    <row r="234">
      <c r="A234" s="8" t="s">
        <v>1078</v>
      </c>
      <c r="B234" s="8" t="s">
        <v>1333</v>
      </c>
    </row>
    <row r="235">
      <c r="A235" s="8" t="s">
        <v>1081</v>
      </c>
      <c r="B235" s="8" t="s">
        <v>1159</v>
      </c>
    </row>
    <row r="236">
      <c r="A236" s="8" t="s">
        <v>1081</v>
      </c>
      <c r="B236" s="8" t="s">
        <v>1111</v>
      </c>
    </row>
    <row r="237">
      <c r="A237" s="8" t="s">
        <v>1081</v>
      </c>
      <c r="B237" s="8" t="s">
        <v>1160</v>
      </c>
    </row>
    <row r="238">
      <c r="A238" s="8" t="s">
        <v>1082</v>
      </c>
      <c r="B238" s="8" t="s">
        <v>1139</v>
      </c>
    </row>
    <row r="239">
      <c r="A239" s="8" t="s">
        <v>1085</v>
      </c>
      <c r="B239" s="8" t="s">
        <v>1243</v>
      </c>
    </row>
    <row r="240">
      <c r="A240" s="8" t="s">
        <v>1085</v>
      </c>
      <c r="B240" s="8" t="s">
        <v>1226</v>
      </c>
    </row>
    <row r="241">
      <c r="A241" s="8" t="s">
        <v>1085</v>
      </c>
      <c r="B241" s="8" t="s">
        <v>1334</v>
      </c>
    </row>
    <row r="242">
      <c r="A242" s="8" t="s">
        <v>1085</v>
      </c>
      <c r="B242" s="8" t="s">
        <v>1134</v>
      </c>
    </row>
    <row r="243">
      <c r="A243" s="8" t="s">
        <v>1085</v>
      </c>
      <c r="B243" s="8" t="s">
        <v>1109</v>
      </c>
    </row>
    <row r="244">
      <c r="A244" s="8" t="s">
        <v>1085</v>
      </c>
      <c r="B244" s="8" t="s">
        <v>1335</v>
      </c>
    </row>
    <row r="245">
      <c r="A245" s="8" t="s">
        <v>1085</v>
      </c>
      <c r="B245" s="8" t="s">
        <v>1111</v>
      </c>
    </row>
    <row r="246">
      <c r="A246" s="8" t="s">
        <v>1085</v>
      </c>
      <c r="B246" s="8" t="s">
        <v>1246</v>
      </c>
    </row>
    <row r="247">
      <c r="A247" s="8" t="s">
        <v>1085</v>
      </c>
      <c r="B247" s="8" t="s">
        <v>1336</v>
      </c>
    </row>
    <row r="248">
      <c r="A248" s="8" t="s">
        <v>1085</v>
      </c>
      <c r="B248" s="8" t="s">
        <v>1113</v>
      </c>
    </row>
    <row r="249">
      <c r="A249" s="8" t="s">
        <v>1087</v>
      </c>
      <c r="B249" s="8" t="s">
        <v>1348</v>
      </c>
    </row>
    <row r="250">
      <c r="A250" s="8" t="s">
        <v>1087</v>
      </c>
      <c r="B250" s="8" t="s">
        <v>1132</v>
      </c>
    </row>
    <row r="251">
      <c r="A251" s="8" t="s">
        <v>1087</v>
      </c>
      <c r="B251" s="8" t="s">
        <v>1349</v>
      </c>
    </row>
    <row r="252">
      <c r="A252" s="8" t="s">
        <v>1087</v>
      </c>
      <c r="B252" s="8" t="s">
        <v>1350</v>
      </c>
    </row>
    <row r="253">
      <c r="A253" s="8" t="s">
        <v>1087</v>
      </c>
      <c r="B253" s="8" t="s">
        <v>1351</v>
      </c>
    </row>
    <row r="254">
      <c r="A254" s="8" t="s">
        <v>1087</v>
      </c>
      <c r="B254" s="8" t="s">
        <v>1352</v>
      </c>
    </row>
    <row r="255">
      <c r="A255" s="8" t="s">
        <v>1087</v>
      </c>
      <c r="B255" s="8" t="s">
        <v>1353</v>
      </c>
    </row>
    <row r="256">
      <c r="A256" s="8" t="s">
        <v>1087</v>
      </c>
      <c r="B256" s="8" t="s">
        <v>369</v>
      </c>
    </row>
    <row r="257">
      <c r="A257" s="8" t="s">
        <v>1087</v>
      </c>
      <c r="B257" s="8" t="s">
        <v>1204</v>
      </c>
    </row>
    <row r="258">
      <c r="A258" s="8" t="s">
        <v>1090</v>
      </c>
      <c r="B258" s="8" t="s">
        <v>1109</v>
      </c>
    </row>
    <row r="259">
      <c r="A259" s="8" t="s">
        <v>1090</v>
      </c>
      <c r="B259" s="8" t="s">
        <v>1111</v>
      </c>
    </row>
    <row r="260">
      <c r="A260" s="8" t="s">
        <v>1090</v>
      </c>
      <c r="B260" s="8" t="s">
        <v>1336</v>
      </c>
    </row>
    <row r="261">
      <c r="A261" s="8" t="s">
        <v>1090</v>
      </c>
      <c r="B261" s="8" t="s">
        <v>1113</v>
      </c>
    </row>
    <row r="262">
      <c r="A262" s="8" t="s">
        <v>1093</v>
      </c>
      <c r="B262" s="8" t="s">
        <v>1108</v>
      </c>
    </row>
    <row r="263">
      <c r="A263" s="8" t="s">
        <v>1093</v>
      </c>
      <c r="B263" s="8" t="s">
        <v>1111</v>
      </c>
    </row>
    <row r="264">
      <c r="A264" s="8" t="s">
        <v>1096</v>
      </c>
      <c r="B264" s="8" t="s">
        <v>1355</v>
      </c>
    </row>
    <row r="265">
      <c r="A265" s="8" t="s">
        <v>1096</v>
      </c>
      <c r="B265" s="8" t="s">
        <v>1224</v>
      </c>
    </row>
    <row r="266">
      <c r="A266" s="8" t="s">
        <v>1096</v>
      </c>
      <c r="B266" s="8" t="s">
        <v>1356</v>
      </c>
    </row>
    <row r="267">
      <c r="A267" s="8" t="s">
        <v>1096</v>
      </c>
      <c r="B267" s="8" t="s">
        <v>1357</v>
      </c>
    </row>
    <row r="268">
      <c r="A268" s="8" t="s">
        <v>1096</v>
      </c>
      <c r="B268" s="8" t="s">
        <v>1227</v>
      </c>
    </row>
    <row r="269">
      <c r="A269" s="8" t="s">
        <v>1096</v>
      </c>
      <c r="B269" s="8" t="s">
        <v>1358</v>
      </c>
    </row>
    <row r="270">
      <c r="A270" s="8" t="s">
        <v>1096</v>
      </c>
      <c r="B270" s="8" t="s">
        <v>1359</v>
      </c>
    </row>
    <row r="271">
      <c r="A271" s="8" t="s">
        <v>1096</v>
      </c>
      <c r="B271" s="8" t="s">
        <v>1360</v>
      </c>
    </row>
    <row r="272">
      <c r="A272" s="8" t="s">
        <v>1096</v>
      </c>
      <c r="B272" s="8" t="s">
        <v>1361</v>
      </c>
    </row>
    <row r="273">
      <c r="A273" s="8" t="s">
        <v>1096</v>
      </c>
      <c r="B273" s="8" t="s">
        <v>1137</v>
      </c>
    </row>
    <row r="274">
      <c r="A274" s="8" t="s">
        <v>1096</v>
      </c>
      <c r="B274" s="8" t="s">
        <v>1362</v>
      </c>
    </row>
    <row r="275">
      <c r="A275" s="8" t="s">
        <v>1096</v>
      </c>
      <c r="B275" s="8" t="s">
        <v>1174</v>
      </c>
    </row>
    <row r="276">
      <c r="A276" s="8" t="s">
        <v>1096</v>
      </c>
      <c r="B276" s="8" t="s">
        <v>1111</v>
      </c>
    </row>
    <row r="277">
      <c r="A277" s="8" t="s">
        <v>1096</v>
      </c>
      <c r="B277" s="8" t="s">
        <v>1363</v>
      </c>
    </row>
    <row r="278">
      <c r="A278" s="8" t="s">
        <v>1096</v>
      </c>
      <c r="B278" s="8" t="s">
        <v>1229</v>
      </c>
    </row>
    <row r="280">
      <c r="A280" s="7" t="s">
        <v>2050</v>
      </c>
      <c r="B280" s="7" t="s">
        <v>2051</v>
      </c>
      <c r="C280" s="7" t="s">
        <v>1021</v>
      </c>
      <c r="D280" s="7" t="s">
        <v>2052</v>
      </c>
      <c r="E280" s="7" t="s">
        <v>2053</v>
      </c>
    </row>
    <row r="281">
      <c r="A281" s="7" t="s">
        <v>1100</v>
      </c>
      <c r="B281" s="7" t="s">
        <v>1101</v>
      </c>
      <c r="C281" s="7" t="s">
        <v>1102</v>
      </c>
      <c r="D281" s="7" t="s">
        <v>1103</v>
      </c>
      <c r="E281" s="7" t="s">
        <v>988</v>
      </c>
    </row>
    <row r="282">
      <c r="A282" s="7" t="s">
        <v>1100</v>
      </c>
      <c r="B282" s="7" t="s">
        <v>444</v>
      </c>
      <c r="C282" s="7" t="s">
        <v>1102</v>
      </c>
      <c r="D282" s="7" t="s">
        <v>1103</v>
      </c>
      <c r="E282" s="7" t="s">
        <v>988</v>
      </c>
    </row>
    <row r="283">
      <c r="A283" s="7" t="s">
        <v>1100</v>
      </c>
      <c r="B283" s="7" t="s">
        <v>56</v>
      </c>
      <c r="C283" s="7" t="s">
        <v>1102</v>
      </c>
      <c r="D283" s="7" t="s">
        <v>1103</v>
      </c>
      <c r="E283" s="7" t="s">
        <v>988</v>
      </c>
    </row>
    <row r="284">
      <c r="A284" s="7" t="s">
        <v>1100</v>
      </c>
      <c r="B284" s="7" t="s">
        <v>1104</v>
      </c>
      <c r="C284" s="7" t="s">
        <v>1102</v>
      </c>
      <c r="D284" s="7" t="s">
        <v>1105</v>
      </c>
      <c r="E284" s="7" t="s">
        <v>1105</v>
      </c>
    </row>
    <row r="285">
      <c r="A285" s="7" t="s">
        <v>1106</v>
      </c>
      <c r="B285" s="7" t="s">
        <v>1107</v>
      </c>
      <c r="C285" s="7" t="s">
        <v>1102</v>
      </c>
      <c r="D285" s="7" t="s">
        <v>1108</v>
      </c>
      <c r="E285" s="7" t="s">
        <v>988</v>
      </c>
    </row>
    <row r="286">
      <c r="A286" s="7" t="s">
        <v>1106</v>
      </c>
      <c r="B286" s="7" t="s">
        <v>1109</v>
      </c>
      <c r="C286" s="7" t="s">
        <v>1102</v>
      </c>
      <c r="D286" s="7" t="s">
        <v>1110</v>
      </c>
      <c r="E286" s="7" t="s">
        <v>988</v>
      </c>
    </row>
    <row r="287">
      <c r="A287" s="7" t="s">
        <v>1106</v>
      </c>
      <c r="B287" s="7" t="s">
        <v>1111</v>
      </c>
      <c r="C287" s="7" t="s">
        <v>1102</v>
      </c>
      <c r="D287" s="7" t="s">
        <v>1105</v>
      </c>
      <c r="E287" s="7" t="s">
        <v>1105</v>
      </c>
    </row>
    <row r="288">
      <c r="A288" s="7" t="s">
        <v>1106</v>
      </c>
      <c r="B288" s="7" t="s">
        <v>1112</v>
      </c>
      <c r="C288" s="7" t="s">
        <v>1102</v>
      </c>
      <c r="D288" s="7" t="s">
        <v>1110</v>
      </c>
      <c r="E288" s="7" t="s">
        <v>988</v>
      </c>
    </row>
    <row r="289">
      <c r="A289" s="7" t="s">
        <v>1106</v>
      </c>
      <c r="B289" s="7" t="s">
        <v>1113</v>
      </c>
      <c r="C289" s="7" t="s">
        <v>1102</v>
      </c>
      <c r="D289" s="7" t="s">
        <v>1110</v>
      </c>
      <c r="E289" s="7" t="s">
        <v>988</v>
      </c>
    </row>
    <row r="290">
      <c r="A290" s="7" t="s">
        <v>1114</v>
      </c>
      <c r="B290" s="7" t="s">
        <v>1115</v>
      </c>
      <c r="C290" s="7" t="s">
        <v>1116</v>
      </c>
      <c r="D290" s="7" t="s">
        <v>1117</v>
      </c>
      <c r="E290" s="7" t="s">
        <v>988</v>
      </c>
    </row>
    <row r="291">
      <c r="A291" s="7" t="s">
        <v>1114</v>
      </c>
      <c r="B291" s="7" t="s">
        <v>1118</v>
      </c>
      <c r="C291" s="7" t="s">
        <v>1116</v>
      </c>
      <c r="D291" s="7" t="s">
        <v>1117</v>
      </c>
      <c r="E291" s="7" t="s">
        <v>988</v>
      </c>
    </row>
    <row r="292">
      <c r="A292" s="7" t="s">
        <v>1114</v>
      </c>
      <c r="B292" s="7" t="s">
        <v>1119</v>
      </c>
      <c r="C292" s="7" t="s">
        <v>1116</v>
      </c>
      <c r="D292" s="7" t="s">
        <v>1117</v>
      </c>
      <c r="E292" s="7" t="s">
        <v>988</v>
      </c>
    </row>
    <row r="293">
      <c r="A293" s="7" t="s">
        <v>1114</v>
      </c>
      <c r="B293" s="7" t="s">
        <v>1120</v>
      </c>
      <c r="C293" s="7" t="s">
        <v>1116</v>
      </c>
      <c r="D293" s="7" t="s">
        <v>1117</v>
      </c>
      <c r="E293" s="7" t="s">
        <v>988</v>
      </c>
    </row>
    <row r="294">
      <c r="A294" s="7" t="s">
        <v>1114</v>
      </c>
      <c r="B294" s="7" t="s">
        <v>1121</v>
      </c>
      <c r="C294" s="7" t="s">
        <v>1116</v>
      </c>
      <c r="D294" s="7" t="s">
        <v>1117</v>
      </c>
      <c r="E294" s="7" t="s">
        <v>988</v>
      </c>
    </row>
    <row r="295">
      <c r="A295" s="7" t="s">
        <v>1114</v>
      </c>
      <c r="B295" s="7" t="s">
        <v>1122</v>
      </c>
      <c r="C295" s="7" t="s">
        <v>1116</v>
      </c>
      <c r="D295" s="7" t="s">
        <v>1117</v>
      </c>
      <c r="E295" s="7" t="s">
        <v>988</v>
      </c>
    </row>
    <row r="296">
      <c r="A296" s="7" t="s">
        <v>1114</v>
      </c>
      <c r="B296" s="7" t="s">
        <v>1123</v>
      </c>
      <c r="C296" s="7" t="s">
        <v>1116</v>
      </c>
      <c r="D296" s="7" t="s">
        <v>1117</v>
      </c>
      <c r="E296" s="7" t="s">
        <v>988</v>
      </c>
    </row>
    <row r="297">
      <c r="A297" s="7" t="s">
        <v>1114</v>
      </c>
      <c r="B297" s="7" t="s">
        <v>1124</v>
      </c>
      <c r="C297" s="7" t="s">
        <v>1116</v>
      </c>
      <c r="D297" s="7" t="s">
        <v>1117</v>
      </c>
      <c r="E297" s="7" t="s">
        <v>988</v>
      </c>
    </row>
    <row r="298">
      <c r="A298" s="7" t="s">
        <v>1114</v>
      </c>
      <c r="B298" s="7" t="s">
        <v>1125</v>
      </c>
      <c r="C298" s="7" t="s">
        <v>1116</v>
      </c>
      <c r="D298" s="7" t="s">
        <v>1117</v>
      </c>
      <c r="E298" s="7" t="s">
        <v>988</v>
      </c>
    </row>
    <row r="299">
      <c r="A299" s="7" t="s">
        <v>1114</v>
      </c>
      <c r="B299" s="7" t="s">
        <v>1126</v>
      </c>
      <c r="C299" s="7" t="s">
        <v>1116</v>
      </c>
      <c r="D299" s="7" t="s">
        <v>1117</v>
      </c>
      <c r="E299" s="7" t="s">
        <v>988</v>
      </c>
    </row>
    <row r="300">
      <c r="A300" s="7" t="s">
        <v>1114</v>
      </c>
      <c r="B300" s="7" t="s">
        <v>1127</v>
      </c>
      <c r="C300" s="7" t="s">
        <v>1116</v>
      </c>
      <c r="D300" s="7" t="s">
        <v>1117</v>
      </c>
      <c r="E300" s="7" t="s">
        <v>988</v>
      </c>
    </row>
    <row r="301">
      <c r="A301" s="7" t="s">
        <v>1114</v>
      </c>
      <c r="B301" s="7" t="s">
        <v>1128</v>
      </c>
      <c r="C301" s="7" t="s">
        <v>1116</v>
      </c>
      <c r="D301" s="7" t="s">
        <v>1117</v>
      </c>
      <c r="E301" s="7" t="s">
        <v>988</v>
      </c>
    </row>
    <row r="302">
      <c r="A302" s="7" t="s">
        <v>1114</v>
      </c>
      <c r="B302" s="7" t="s">
        <v>1129</v>
      </c>
      <c r="C302" s="7" t="s">
        <v>1116</v>
      </c>
      <c r="D302" s="7" t="s">
        <v>1117</v>
      </c>
      <c r="E302" s="7" t="s">
        <v>988</v>
      </c>
    </row>
    <row r="303">
      <c r="A303" s="7" t="s">
        <v>1114</v>
      </c>
      <c r="B303" s="7" t="s">
        <v>1111</v>
      </c>
      <c r="C303" s="7" t="s">
        <v>1116</v>
      </c>
      <c r="D303" s="7" t="s">
        <v>1105</v>
      </c>
      <c r="E303" s="7" t="s">
        <v>1105</v>
      </c>
    </row>
    <row r="304">
      <c r="A304" s="7" t="s">
        <v>1114</v>
      </c>
      <c r="B304" s="7" t="s">
        <v>1130</v>
      </c>
      <c r="C304" s="7" t="s">
        <v>1116</v>
      </c>
      <c r="D304" s="7" t="s">
        <v>1117</v>
      </c>
      <c r="E304" s="7" t="s">
        <v>988</v>
      </c>
    </row>
    <row r="305">
      <c r="A305" s="7" t="s">
        <v>1131</v>
      </c>
      <c r="B305" s="7" t="s">
        <v>1132</v>
      </c>
      <c r="C305" s="7" t="s">
        <v>1102</v>
      </c>
      <c r="D305" s="7" t="s">
        <v>1097</v>
      </c>
      <c r="E305" s="7" t="s">
        <v>988</v>
      </c>
    </row>
    <row r="306">
      <c r="A306" s="7" t="s">
        <v>1131</v>
      </c>
      <c r="B306" s="7" t="s">
        <v>1133</v>
      </c>
      <c r="C306" s="7" t="s">
        <v>1102</v>
      </c>
      <c r="D306" s="7" t="s">
        <v>1097</v>
      </c>
      <c r="E306" s="7" t="s">
        <v>988</v>
      </c>
    </row>
    <row r="307">
      <c r="A307" s="7" t="s">
        <v>1131</v>
      </c>
      <c r="B307" s="7" t="s">
        <v>1134</v>
      </c>
      <c r="C307" s="7" t="s">
        <v>1102</v>
      </c>
      <c r="D307" s="7" t="s">
        <v>1097</v>
      </c>
      <c r="E307" s="7" t="s">
        <v>988</v>
      </c>
    </row>
    <row r="308">
      <c r="A308" s="7" t="s">
        <v>1131</v>
      </c>
      <c r="B308" s="7" t="s">
        <v>1135</v>
      </c>
      <c r="C308" s="7" t="s">
        <v>1102</v>
      </c>
      <c r="D308" s="7" t="s">
        <v>1097</v>
      </c>
      <c r="E308" s="7" t="s">
        <v>988</v>
      </c>
    </row>
    <row r="309">
      <c r="A309" s="7" t="s">
        <v>1131</v>
      </c>
      <c r="B309" s="7" t="s">
        <v>1136</v>
      </c>
      <c r="C309" s="7" t="s">
        <v>1102</v>
      </c>
      <c r="D309" s="7" t="s">
        <v>1097</v>
      </c>
      <c r="E309" s="7" t="s">
        <v>988</v>
      </c>
    </row>
    <row r="310">
      <c r="A310" s="7" t="s">
        <v>1131</v>
      </c>
      <c r="B310" s="7" t="s">
        <v>1137</v>
      </c>
      <c r="C310" s="7" t="s">
        <v>1102</v>
      </c>
      <c r="D310" s="7" t="s">
        <v>1097</v>
      </c>
      <c r="E310" s="7" t="s">
        <v>988</v>
      </c>
    </row>
    <row r="311">
      <c r="A311" s="7" t="s">
        <v>1131</v>
      </c>
      <c r="B311" s="7" t="s">
        <v>1111</v>
      </c>
      <c r="C311" s="7" t="s">
        <v>1102</v>
      </c>
      <c r="D311" s="7" t="s">
        <v>1105</v>
      </c>
      <c r="E311" s="7" t="s">
        <v>1105</v>
      </c>
    </row>
    <row r="312">
      <c r="A312" s="7" t="s">
        <v>1138</v>
      </c>
      <c r="B312" s="7" t="s">
        <v>1139</v>
      </c>
      <c r="C312" s="7" t="s">
        <v>1140</v>
      </c>
      <c r="D312" s="7" t="s">
        <v>1141</v>
      </c>
      <c r="E312" s="7" t="s">
        <v>1105</v>
      </c>
    </row>
    <row r="313">
      <c r="A313" s="7" t="s">
        <v>1149</v>
      </c>
      <c r="B313" s="7" t="s">
        <v>1150</v>
      </c>
      <c r="C313" s="7" t="s">
        <v>1102</v>
      </c>
      <c r="D313" s="7" t="s">
        <v>1058</v>
      </c>
      <c r="E313" s="7" t="s">
        <v>988</v>
      </c>
    </row>
    <row r="314">
      <c r="A314" s="7" t="s">
        <v>1149</v>
      </c>
      <c r="B314" s="7" t="s">
        <v>1151</v>
      </c>
      <c r="C314" s="7" t="s">
        <v>1102</v>
      </c>
      <c r="D314" s="7" t="s">
        <v>1058</v>
      </c>
      <c r="E314" s="7" t="s">
        <v>988</v>
      </c>
    </row>
    <row r="315">
      <c r="A315" s="7" t="s">
        <v>1149</v>
      </c>
      <c r="B315" s="7" t="s">
        <v>1152</v>
      </c>
      <c r="C315" s="7" t="s">
        <v>1102</v>
      </c>
      <c r="D315" s="7" t="s">
        <v>1058</v>
      </c>
      <c r="E315" s="7" t="s">
        <v>988</v>
      </c>
    </row>
    <row r="316">
      <c r="A316" s="7" t="s">
        <v>1149</v>
      </c>
      <c r="B316" s="7" t="s">
        <v>1153</v>
      </c>
      <c r="C316" s="7" t="s">
        <v>1102</v>
      </c>
      <c r="D316" s="7" t="s">
        <v>1058</v>
      </c>
      <c r="E316" s="7" t="s">
        <v>988</v>
      </c>
    </row>
    <row r="317">
      <c r="A317" s="7" t="s">
        <v>1149</v>
      </c>
      <c r="B317" s="7" t="s">
        <v>1111</v>
      </c>
      <c r="C317" s="7" t="s">
        <v>1102</v>
      </c>
      <c r="D317" s="7" t="s">
        <v>1105</v>
      </c>
      <c r="E317" s="7" t="s">
        <v>1105</v>
      </c>
    </row>
    <row r="318">
      <c r="A318" s="7" t="s">
        <v>1149</v>
      </c>
      <c r="B318" s="7" t="s">
        <v>1154</v>
      </c>
      <c r="C318" s="7" t="s">
        <v>1102</v>
      </c>
      <c r="D318" s="7" t="s">
        <v>1058</v>
      </c>
      <c r="E318" s="7" t="s">
        <v>988</v>
      </c>
    </row>
    <row r="319">
      <c r="A319" s="7" t="s">
        <v>1164</v>
      </c>
      <c r="B319" s="7" t="s">
        <v>1139</v>
      </c>
      <c r="C319" s="7" t="s">
        <v>1140</v>
      </c>
      <c r="D319" s="7" t="s">
        <v>1165</v>
      </c>
      <c r="E319" s="7" t="s">
        <v>1105</v>
      </c>
    </row>
    <row r="320">
      <c r="A320" s="7" t="s">
        <v>1166</v>
      </c>
      <c r="B320" s="7" t="s">
        <v>1167</v>
      </c>
      <c r="C320" s="7" t="s">
        <v>1102</v>
      </c>
      <c r="D320" s="7" t="s">
        <v>1103</v>
      </c>
      <c r="E320" s="7" t="s">
        <v>988</v>
      </c>
    </row>
    <row r="321">
      <c r="A321" s="7" t="s">
        <v>1166</v>
      </c>
      <c r="B321" s="7" t="s">
        <v>1133</v>
      </c>
      <c r="C321" s="7" t="s">
        <v>1102</v>
      </c>
      <c r="D321" s="7" t="s">
        <v>1069</v>
      </c>
      <c r="E321" s="7" t="s">
        <v>988</v>
      </c>
    </row>
    <row r="322">
      <c r="A322" s="7" t="s">
        <v>1166</v>
      </c>
      <c r="B322" s="7" t="s">
        <v>1168</v>
      </c>
      <c r="C322" s="7" t="s">
        <v>1102</v>
      </c>
      <c r="D322" s="7" t="s">
        <v>1069</v>
      </c>
      <c r="E322" s="7" t="s">
        <v>988</v>
      </c>
    </row>
    <row r="323">
      <c r="A323" s="7" t="s">
        <v>1166</v>
      </c>
      <c r="B323" s="7" t="s">
        <v>1169</v>
      </c>
      <c r="C323" s="7" t="s">
        <v>1102</v>
      </c>
      <c r="D323" s="7" t="s">
        <v>1069</v>
      </c>
      <c r="E323" s="7" t="s">
        <v>988</v>
      </c>
    </row>
    <row r="324">
      <c r="A324" s="7" t="s">
        <v>1166</v>
      </c>
      <c r="B324" s="7" t="s">
        <v>1170</v>
      </c>
      <c r="C324" s="7" t="s">
        <v>1102</v>
      </c>
      <c r="D324" s="7" t="s">
        <v>1069</v>
      </c>
      <c r="E324" s="7" t="s">
        <v>988</v>
      </c>
    </row>
    <row r="325">
      <c r="A325" s="7" t="s">
        <v>1166</v>
      </c>
      <c r="B325" s="7" t="s">
        <v>1144</v>
      </c>
      <c r="C325" s="7" t="s">
        <v>1102</v>
      </c>
      <c r="D325" s="7" t="s">
        <v>478</v>
      </c>
      <c r="E325" s="7" t="s">
        <v>988</v>
      </c>
    </row>
    <row r="326">
      <c r="A326" s="7" t="s">
        <v>1166</v>
      </c>
      <c r="B326" s="7" t="s">
        <v>1134</v>
      </c>
      <c r="C326" s="7" t="s">
        <v>1102</v>
      </c>
      <c r="D326" s="7" t="s">
        <v>1069</v>
      </c>
      <c r="E326" s="7" t="s">
        <v>988</v>
      </c>
    </row>
    <row r="327">
      <c r="A327" s="7" t="s">
        <v>1166</v>
      </c>
      <c r="B327" s="7" t="s">
        <v>1171</v>
      </c>
      <c r="C327" s="7" t="s">
        <v>1102</v>
      </c>
      <c r="D327" s="7" t="s">
        <v>1069</v>
      </c>
      <c r="E327" s="7" t="s">
        <v>988</v>
      </c>
    </row>
    <row r="328">
      <c r="A328" s="7" t="s">
        <v>1166</v>
      </c>
      <c r="B328" s="7" t="s">
        <v>1135</v>
      </c>
      <c r="C328" s="7" t="s">
        <v>1102</v>
      </c>
      <c r="D328" s="7" t="s">
        <v>391</v>
      </c>
      <c r="E328" s="7" t="s">
        <v>988</v>
      </c>
    </row>
    <row r="329">
      <c r="A329" s="7" t="s">
        <v>1166</v>
      </c>
      <c r="B329" s="7" t="s">
        <v>1172</v>
      </c>
      <c r="C329" s="7" t="s">
        <v>1102</v>
      </c>
      <c r="D329" s="7" t="s">
        <v>188</v>
      </c>
      <c r="E329" s="7" t="s">
        <v>988</v>
      </c>
    </row>
    <row r="330">
      <c r="A330" s="7" t="s">
        <v>1166</v>
      </c>
      <c r="B330" s="7" t="s">
        <v>1136</v>
      </c>
      <c r="C330" s="7" t="s">
        <v>1102</v>
      </c>
      <c r="D330" s="7" t="s">
        <v>1058</v>
      </c>
      <c r="E330" s="7" t="s">
        <v>988</v>
      </c>
    </row>
    <row r="331">
      <c r="A331" s="7" t="s">
        <v>1166</v>
      </c>
      <c r="B331" s="7" t="s">
        <v>1173</v>
      </c>
      <c r="C331" s="7" t="s">
        <v>1102</v>
      </c>
      <c r="D331" s="7" t="s">
        <v>1069</v>
      </c>
      <c r="E331" s="7" t="s">
        <v>988</v>
      </c>
    </row>
    <row r="332">
      <c r="A332" s="7" t="s">
        <v>1166</v>
      </c>
      <c r="B332" s="7" t="s">
        <v>1137</v>
      </c>
      <c r="C332" s="7" t="s">
        <v>1102</v>
      </c>
      <c r="D332" s="7" t="s">
        <v>1058</v>
      </c>
      <c r="E332" s="7" t="s">
        <v>988</v>
      </c>
    </row>
    <row r="333">
      <c r="A333" s="7" t="s">
        <v>1166</v>
      </c>
      <c r="B333" s="7" t="s">
        <v>1174</v>
      </c>
      <c r="C333" s="7" t="s">
        <v>1102</v>
      </c>
      <c r="D333" s="7" t="s">
        <v>693</v>
      </c>
      <c r="E333" s="7" t="s">
        <v>988</v>
      </c>
    </row>
    <row r="334">
      <c r="A334" s="7" t="s">
        <v>1166</v>
      </c>
      <c r="B334" s="7" t="s">
        <v>1175</v>
      </c>
      <c r="C334" s="7" t="s">
        <v>1102</v>
      </c>
      <c r="D334" s="7" t="s">
        <v>391</v>
      </c>
      <c r="E334" s="7" t="s">
        <v>988</v>
      </c>
    </row>
    <row r="335">
      <c r="A335" s="7" t="s">
        <v>1166</v>
      </c>
      <c r="B335" s="7" t="s">
        <v>1111</v>
      </c>
      <c r="C335" s="7" t="s">
        <v>1102</v>
      </c>
      <c r="D335" s="7" t="s">
        <v>1105</v>
      </c>
      <c r="E335" s="7" t="s">
        <v>1105</v>
      </c>
    </row>
    <row r="336">
      <c r="A336" s="7" t="s">
        <v>1166</v>
      </c>
      <c r="B336" s="7" t="s">
        <v>1068</v>
      </c>
      <c r="C336" s="7" t="s">
        <v>1102</v>
      </c>
      <c r="D336" s="7" t="s">
        <v>1176</v>
      </c>
      <c r="E336" s="7" t="s">
        <v>988</v>
      </c>
    </row>
    <row r="337">
      <c r="A337" s="7" t="s">
        <v>1166</v>
      </c>
      <c r="B337" s="7" t="s">
        <v>1177</v>
      </c>
      <c r="C337" s="7" t="s">
        <v>1102</v>
      </c>
      <c r="D337" s="7" t="s">
        <v>693</v>
      </c>
      <c r="E337" s="7" t="s">
        <v>988</v>
      </c>
    </row>
    <row r="338">
      <c r="A338" s="7" t="s">
        <v>1166</v>
      </c>
      <c r="B338" s="7" t="s">
        <v>1178</v>
      </c>
      <c r="C338" s="7" t="s">
        <v>1102</v>
      </c>
      <c r="D338" s="7" t="s">
        <v>1069</v>
      </c>
      <c r="E338" s="7" t="s">
        <v>988</v>
      </c>
    </row>
    <row r="339">
      <c r="A339" s="7" t="s">
        <v>1166</v>
      </c>
      <c r="B339" s="7" t="s">
        <v>1081</v>
      </c>
      <c r="C339" s="7" t="s">
        <v>1102</v>
      </c>
      <c r="D339" s="7" t="s">
        <v>693</v>
      </c>
      <c r="E339" s="7" t="s">
        <v>988</v>
      </c>
    </row>
    <row r="340">
      <c r="A340" s="7" t="s">
        <v>1166</v>
      </c>
      <c r="B340" s="7" t="s">
        <v>1161</v>
      </c>
      <c r="C340" s="7" t="s">
        <v>1102</v>
      </c>
      <c r="D340" s="7" t="s">
        <v>693</v>
      </c>
      <c r="E340" s="7" t="s">
        <v>988</v>
      </c>
    </row>
    <row r="341">
      <c r="A341" s="7" t="s">
        <v>1179</v>
      </c>
      <c r="B341" s="7" t="s">
        <v>1180</v>
      </c>
      <c r="C341" s="7" t="s">
        <v>1181</v>
      </c>
      <c r="D341" s="7" t="s">
        <v>1182</v>
      </c>
      <c r="E341" s="7" t="s">
        <v>988</v>
      </c>
    </row>
    <row r="342">
      <c r="A342" s="7" t="s">
        <v>1179</v>
      </c>
      <c r="B342" s="7" t="s">
        <v>1170</v>
      </c>
      <c r="C342" s="7" t="s">
        <v>1102</v>
      </c>
      <c r="D342" s="7" t="s">
        <v>1069</v>
      </c>
      <c r="E342" s="7" t="s">
        <v>988</v>
      </c>
    </row>
    <row r="343">
      <c r="A343" s="7" t="s">
        <v>1179</v>
      </c>
      <c r="B343" s="7" t="s">
        <v>1183</v>
      </c>
      <c r="C343" s="7" t="s">
        <v>1181</v>
      </c>
      <c r="D343" s="7" t="s">
        <v>1182</v>
      </c>
      <c r="E343" s="7" t="s">
        <v>988</v>
      </c>
    </row>
    <row r="344">
      <c r="A344" s="7" t="s">
        <v>1179</v>
      </c>
      <c r="B344" s="7" t="s">
        <v>1182</v>
      </c>
      <c r="C344" s="7" t="s">
        <v>1181</v>
      </c>
      <c r="D344" s="7" t="s">
        <v>1182</v>
      </c>
      <c r="E344" s="7" t="s">
        <v>988</v>
      </c>
    </row>
    <row r="345">
      <c r="A345" s="7" t="s">
        <v>1179</v>
      </c>
      <c r="B345" s="7" t="s">
        <v>1151</v>
      </c>
      <c r="C345" s="7" t="s">
        <v>1181</v>
      </c>
      <c r="D345" s="7" t="s">
        <v>693</v>
      </c>
      <c r="E345" s="7" t="s">
        <v>988</v>
      </c>
    </row>
    <row r="346">
      <c r="A346" s="7" t="s">
        <v>1179</v>
      </c>
      <c r="B346" s="7" t="s">
        <v>1184</v>
      </c>
      <c r="C346" s="7" t="s">
        <v>1181</v>
      </c>
      <c r="D346" s="7" t="s">
        <v>441</v>
      </c>
      <c r="E346" s="7" t="s">
        <v>988</v>
      </c>
    </row>
    <row r="347">
      <c r="A347" s="7" t="s">
        <v>1179</v>
      </c>
      <c r="B347" s="7" t="s">
        <v>1153</v>
      </c>
      <c r="C347" s="7" t="s">
        <v>1181</v>
      </c>
      <c r="D347" s="7" t="s">
        <v>441</v>
      </c>
      <c r="E347" s="7" t="s">
        <v>988</v>
      </c>
    </row>
    <row r="348">
      <c r="A348" s="7" t="s">
        <v>1179</v>
      </c>
      <c r="B348" s="7" t="s">
        <v>1185</v>
      </c>
      <c r="C348" s="7" t="s">
        <v>1181</v>
      </c>
      <c r="D348" s="7" t="s">
        <v>1110</v>
      </c>
      <c r="E348" s="7" t="s">
        <v>988</v>
      </c>
    </row>
    <row r="349">
      <c r="A349" s="7" t="s">
        <v>1179</v>
      </c>
      <c r="B349" s="7" t="s">
        <v>1186</v>
      </c>
      <c r="C349" s="7" t="s">
        <v>1181</v>
      </c>
      <c r="D349" s="7" t="s">
        <v>1182</v>
      </c>
      <c r="E349" s="7" t="s">
        <v>988</v>
      </c>
    </row>
    <row r="350">
      <c r="A350" s="7" t="s">
        <v>1179</v>
      </c>
      <c r="B350" s="7" t="s">
        <v>1111</v>
      </c>
      <c r="C350" s="7" t="s">
        <v>1181</v>
      </c>
      <c r="D350" s="7" t="s">
        <v>1105</v>
      </c>
      <c r="E350" s="7" t="s">
        <v>1105</v>
      </c>
    </row>
    <row r="351">
      <c r="A351" s="7" t="s">
        <v>1179</v>
      </c>
      <c r="B351" s="7" t="s">
        <v>1187</v>
      </c>
      <c r="C351" s="7" t="s">
        <v>1181</v>
      </c>
      <c r="D351" s="7" t="s">
        <v>1188</v>
      </c>
      <c r="E351" s="7" t="s">
        <v>988</v>
      </c>
    </row>
    <row r="352">
      <c r="A352" s="7" t="s">
        <v>1179</v>
      </c>
      <c r="B352" s="7" t="s">
        <v>1189</v>
      </c>
      <c r="C352" s="7" t="s">
        <v>1102</v>
      </c>
      <c r="D352" s="7" t="s">
        <v>1190</v>
      </c>
      <c r="E352" s="7" t="s">
        <v>988</v>
      </c>
    </row>
    <row r="353">
      <c r="A353" s="7" t="s">
        <v>1179</v>
      </c>
      <c r="B353" s="7" t="s">
        <v>1191</v>
      </c>
      <c r="C353" s="7" t="s">
        <v>1102</v>
      </c>
      <c r="D353" s="7" t="s">
        <v>1192</v>
      </c>
      <c r="E353" s="7" t="s">
        <v>988</v>
      </c>
    </row>
    <row r="354">
      <c r="A354" s="7" t="s">
        <v>1194</v>
      </c>
      <c r="B354" s="7" t="s">
        <v>1139</v>
      </c>
      <c r="C354" s="7" t="s">
        <v>988</v>
      </c>
      <c r="D354" s="7" t="s">
        <v>1105</v>
      </c>
      <c r="E354" s="7" t="s">
        <v>1105</v>
      </c>
    </row>
    <row r="355">
      <c r="A355" s="7" t="s">
        <v>1195</v>
      </c>
      <c r="B355" s="7" t="s">
        <v>1196</v>
      </c>
      <c r="C355" s="7" t="s">
        <v>1197</v>
      </c>
      <c r="D355" s="7" t="s">
        <v>1105</v>
      </c>
      <c r="E355" s="7" t="s">
        <v>1105</v>
      </c>
    </row>
    <row r="356">
      <c r="A356" s="7" t="s">
        <v>1198</v>
      </c>
      <c r="B356" s="7" t="s">
        <v>1199</v>
      </c>
      <c r="C356" s="7" t="s">
        <v>1197</v>
      </c>
      <c r="D356" s="7" t="s">
        <v>1105</v>
      </c>
      <c r="E356" s="7" t="s">
        <v>1105</v>
      </c>
    </row>
    <row r="357">
      <c r="A357" s="7" t="s">
        <v>1198</v>
      </c>
      <c r="B357" s="7" t="s">
        <v>46</v>
      </c>
      <c r="C357" s="7" t="s">
        <v>1197</v>
      </c>
      <c r="D357" s="7" t="s">
        <v>1105</v>
      </c>
      <c r="E357" s="7" t="s">
        <v>1105</v>
      </c>
    </row>
    <row r="358">
      <c r="A358" s="7" t="s">
        <v>1198</v>
      </c>
      <c r="B358" s="7" t="s">
        <v>59</v>
      </c>
      <c r="C358" s="7" t="s">
        <v>1197</v>
      </c>
      <c r="D358" s="7" t="s">
        <v>1105</v>
      </c>
      <c r="E358" s="7" t="s">
        <v>1105</v>
      </c>
    </row>
    <row r="359">
      <c r="A359" s="7" t="s">
        <v>1198</v>
      </c>
      <c r="B359" s="7" t="s">
        <v>1200</v>
      </c>
      <c r="C359" s="7" t="s">
        <v>1197</v>
      </c>
      <c r="D359" s="7" t="s">
        <v>1105</v>
      </c>
      <c r="E359" s="7" t="s">
        <v>1105</v>
      </c>
    </row>
    <row r="360">
      <c r="A360" s="7" t="s">
        <v>1198</v>
      </c>
      <c r="B360" s="7" t="s">
        <v>1201</v>
      </c>
      <c r="C360" s="7" t="s">
        <v>1197</v>
      </c>
      <c r="D360" s="7" t="s">
        <v>1105</v>
      </c>
      <c r="E360" s="7" t="s">
        <v>1105</v>
      </c>
    </row>
    <row r="361">
      <c r="A361" s="7" t="s">
        <v>1198</v>
      </c>
      <c r="B361" s="7" t="s">
        <v>1202</v>
      </c>
      <c r="C361" s="7" t="s">
        <v>1197</v>
      </c>
      <c r="D361" s="7" t="s">
        <v>1105</v>
      </c>
      <c r="E361" s="7" t="s">
        <v>1105</v>
      </c>
    </row>
    <row r="362">
      <c r="A362" s="7" t="s">
        <v>1198</v>
      </c>
      <c r="B362" s="7" t="s">
        <v>56</v>
      </c>
      <c r="C362" s="7" t="s">
        <v>1197</v>
      </c>
      <c r="D362" s="7" t="s">
        <v>1105</v>
      </c>
      <c r="E362" s="7" t="s">
        <v>1105</v>
      </c>
    </row>
    <row r="363">
      <c r="A363" s="7" t="s">
        <v>1198</v>
      </c>
      <c r="B363" s="7" t="s">
        <v>292</v>
      </c>
      <c r="C363" s="7" t="s">
        <v>1197</v>
      </c>
      <c r="D363" s="7" t="s">
        <v>1105</v>
      </c>
      <c r="E363" s="7" t="s">
        <v>1105</v>
      </c>
    </row>
    <row r="364">
      <c r="A364" s="7" t="s">
        <v>1198</v>
      </c>
      <c r="B364" s="7" t="s">
        <v>1203</v>
      </c>
      <c r="C364" s="7" t="s">
        <v>1197</v>
      </c>
      <c r="D364" s="7" t="s">
        <v>1105</v>
      </c>
      <c r="E364" s="7" t="s">
        <v>1105</v>
      </c>
    </row>
    <row r="365">
      <c r="A365" s="7" t="s">
        <v>1198</v>
      </c>
      <c r="B365" s="7" t="s">
        <v>1204</v>
      </c>
      <c r="C365" s="7" t="s">
        <v>1197</v>
      </c>
      <c r="D365" s="7" t="s">
        <v>1105</v>
      </c>
      <c r="E365" s="7" t="s">
        <v>1105</v>
      </c>
    </row>
    <row r="366">
      <c r="A366" s="7" t="s">
        <v>1205</v>
      </c>
      <c r="B366" s="7" t="s">
        <v>1206</v>
      </c>
      <c r="C366" s="7" t="s">
        <v>1181</v>
      </c>
      <c r="D366" s="7" t="s">
        <v>391</v>
      </c>
      <c r="E366" s="7" t="s">
        <v>988</v>
      </c>
    </row>
    <row r="367">
      <c r="A367" s="7" t="s">
        <v>1205</v>
      </c>
      <c r="B367" s="7" t="s">
        <v>1207</v>
      </c>
      <c r="C367" s="7" t="s">
        <v>1181</v>
      </c>
      <c r="D367" s="7" t="s">
        <v>391</v>
      </c>
      <c r="E367" s="7" t="s">
        <v>988</v>
      </c>
    </row>
    <row r="368">
      <c r="A368" s="7" t="s">
        <v>1205</v>
      </c>
      <c r="B368" s="7" t="s">
        <v>1111</v>
      </c>
      <c r="C368" s="7" t="s">
        <v>1181</v>
      </c>
      <c r="D368" s="7" t="s">
        <v>1105</v>
      </c>
      <c r="E368" s="7" t="s">
        <v>1105</v>
      </c>
    </row>
    <row r="369">
      <c r="A369" s="7" t="s">
        <v>1205</v>
      </c>
      <c r="B369" s="7" t="s">
        <v>1065</v>
      </c>
      <c r="C369" s="7" t="s">
        <v>1181</v>
      </c>
      <c r="D369" s="7" t="s">
        <v>478</v>
      </c>
      <c r="E369" s="7" t="s">
        <v>988</v>
      </c>
    </row>
    <row r="370">
      <c r="A370" s="7" t="s">
        <v>1208</v>
      </c>
      <c r="B370" s="7" t="s">
        <v>1209</v>
      </c>
      <c r="C370" s="7" t="s">
        <v>1181</v>
      </c>
      <c r="D370" s="7" t="s">
        <v>587</v>
      </c>
      <c r="E370" s="7" t="s">
        <v>988</v>
      </c>
    </row>
    <row r="371">
      <c r="A371" s="7" t="s">
        <v>1208</v>
      </c>
      <c r="B371" s="7" t="s">
        <v>1148</v>
      </c>
      <c r="C371" s="7" t="s">
        <v>1181</v>
      </c>
      <c r="D371" s="7" t="s">
        <v>587</v>
      </c>
      <c r="E371" s="7" t="s">
        <v>988</v>
      </c>
    </row>
    <row r="372">
      <c r="A372" s="7" t="s">
        <v>1208</v>
      </c>
      <c r="B372" s="7" t="s">
        <v>1210</v>
      </c>
      <c r="C372" s="7" t="s">
        <v>1181</v>
      </c>
      <c r="D372" s="7" t="s">
        <v>1188</v>
      </c>
      <c r="E372" s="7" t="s">
        <v>988</v>
      </c>
    </row>
    <row r="373">
      <c r="A373" s="7" t="s">
        <v>1208</v>
      </c>
      <c r="B373" s="7" t="s">
        <v>1188</v>
      </c>
      <c r="C373" s="7" t="s">
        <v>1181</v>
      </c>
      <c r="D373" s="7" t="s">
        <v>1188</v>
      </c>
      <c r="E373" s="7" t="s">
        <v>988</v>
      </c>
    </row>
    <row r="374">
      <c r="A374" s="7" t="s">
        <v>1208</v>
      </c>
      <c r="B374" s="7" t="s">
        <v>1111</v>
      </c>
      <c r="C374" s="7" t="s">
        <v>1181</v>
      </c>
      <c r="D374" s="7" t="s">
        <v>1105</v>
      </c>
      <c r="E374" s="7" t="s">
        <v>1105</v>
      </c>
    </row>
    <row r="375">
      <c r="A375" s="7" t="s">
        <v>1211</v>
      </c>
      <c r="B375" s="7" t="s">
        <v>1212</v>
      </c>
      <c r="C375" s="7" t="s">
        <v>1102</v>
      </c>
      <c r="D375" s="7" t="s">
        <v>391</v>
      </c>
      <c r="E375" s="7" t="s">
        <v>988</v>
      </c>
    </row>
    <row r="376">
      <c r="A376" s="7" t="s">
        <v>1211</v>
      </c>
      <c r="B376" s="7" t="s">
        <v>1213</v>
      </c>
      <c r="C376" s="7" t="s">
        <v>1102</v>
      </c>
      <c r="D376" s="7" t="s">
        <v>3</v>
      </c>
      <c r="E376" s="7" t="s">
        <v>988</v>
      </c>
    </row>
    <row r="377">
      <c r="A377" s="7" t="s">
        <v>1211</v>
      </c>
      <c r="B377" s="7" t="s">
        <v>1214</v>
      </c>
      <c r="C377" s="7" t="s">
        <v>1102</v>
      </c>
      <c r="D377" s="7" t="s">
        <v>1215</v>
      </c>
      <c r="E377" s="7" t="s">
        <v>988</v>
      </c>
    </row>
    <row r="378">
      <c r="A378" s="7" t="s">
        <v>1211</v>
      </c>
      <c r="B378" s="7" t="s">
        <v>1111</v>
      </c>
      <c r="C378" s="7" t="s">
        <v>1102</v>
      </c>
      <c r="D378" s="7" t="s">
        <v>1105</v>
      </c>
      <c r="E378" s="7" t="s">
        <v>1105</v>
      </c>
    </row>
    <row r="379">
      <c r="A379" s="7" t="s">
        <v>1216</v>
      </c>
      <c r="B379" s="7" t="s">
        <v>1217</v>
      </c>
      <c r="C379" s="7" t="s">
        <v>1102</v>
      </c>
      <c r="D379" s="7" t="s">
        <v>1097</v>
      </c>
      <c r="E379" s="7" t="s">
        <v>988</v>
      </c>
    </row>
    <row r="380">
      <c r="A380" s="7" t="s">
        <v>1216</v>
      </c>
      <c r="B380" s="7" t="s">
        <v>1111</v>
      </c>
      <c r="C380" s="7" t="s">
        <v>1102</v>
      </c>
      <c r="D380" s="7" t="s">
        <v>1105</v>
      </c>
      <c r="E380" s="7" t="s">
        <v>1105</v>
      </c>
    </row>
    <row r="381">
      <c r="A381" s="7" t="s">
        <v>1216</v>
      </c>
      <c r="B381" s="7" t="s">
        <v>1218</v>
      </c>
      <c r="C381" s="7" t="s">
        <v>1102</v>
      </c>
      <c r="D381" s="7" t="s">
        <v>3</v>
      </c>
      <c r="E381" s="7" t="s">
        <v>988</v>
      </c>
    </row>
    <row r="382">
      <c r="A382" s="7" t="s">
        <v>1219</v>
      </c>
      <c r="B382" s="7" t="s">
        <v>1220</v>
      </c>
      <c r="C382" s="7" t="s">
        <v>1052</v>
      </c>
      <c r="D382" s="7" t="s">
        <v>1105</v>
      </c>
      <c r="E382" s="7" t="s">
        <v>1105</v>
      </c>
    </row>
    <row r="383">
      <c r="A383" s="7" t="s">
        <v>1219</v>
      </c>
      <c r="B383" s="7" t="s">
        <v>1139</v>
      </c>
      <c r="C383" s="7" t="s">
        <v>1052</v>
      </c>
      <c r="D383" s="7" t="s">
        <v>1105</v>
      </c>
      <c r="E383" s="7" t="s">
        <v>1105</v>
      </c>
    </row>
    <row r="384">
      <c r="A384" s="7" t="s">
        <v>1219</v>
      </c>
      <c r="B384" s="7" t="s">
        <v>1221</v>
      </c>
      <c r="C384" s="7" t="s">
        <v>1052</v>
      </c>
      <c r="D384" s="7" t="s">
        <v>1105</v>
      </c>
      <c r="E384" s="7" t="s">
        <v>1105</v>
      </c>
    </row>
    <row r="385">
      <c r="A385" s="7" t="s">
        <v>1252</v>
      </c>
      <c r="B385" s="7" t="s">
        <v>1253</v>
      </c>
      <c r="C385" s="7" t="s">
        <v>1102</v>
      </c>
      <c r="D385" s="7" t="s">
        <v>3</v>
      </c>
      <c r="E385" s="7" t="s">
        <v>988</v>
      </c>
    </row>
    <row r="386">
      <c r="A386" s="7" t="s">
        <v>1252</v>
      </c>
      <c r="B386" s="7" t="s">
        <v>1254</v>
      </c>
      <c r="C386" s="7" t="s">
        <v>1102</v>
      </c>
      <c r="D386" s="7" t="s">
        <v>1255</v>
      </c>
      <c r="E386" s="7" t="s">
        <v>988</v>
      </c>
    </row>
    <row r="387">
      <c r="A387" s="7" t="s">
        <v>1252</v>
      </c>
      <c r="B387" s="7" t="s">
        <v>1256</v>
      </c>
      <c r="C387" s="7" t="s">
        <v>1102</v>
      </c>
      <c r="D387" s="7" t="s">
        <v>3</v>
      </c>
      <c r="E387" s="7" t="s">
        <v>988</v>
      </c>
    </row>
    <row r="388">
      <c r="A388" s="7" t="s">
        <v>1252</v>
      </c>
      <c r="B388" s="7" t="s">
        <v>1111</v>
      </c>
      <c r="C388" s="7" t="s">
        <v>1102</v>
      </c>
      <c r="D388" s="7" t="s">
        <v>1105</v>
      </c>
      <c r="E388" s="7" t="s">
        <v>1105</v>
      </c>
    </row>
    <row r="389">
      <c r="A389" s="7" t="s">
        <v>1213</v>
      </c>
      <c r="B389" s="7" t="s">
        <v>1257</v>
      </c>
      <c r="C389" s="7" t="s">
        <v>1181</v>
      </c>
      <c r="D389" s="7" t="s">
        <v>1258</v>
      </c>
      <c r="E389" s="7" t="s">
        <v>988</v>
      </c>
    </row>
    <row r="390">
      <c r="A390" s="7" t="s">
        <v>1213</v>
      </c>
      <c r="B390" s="7" t="s">
        <v>444</v>
      </c>
      <c r="C390" s="7" t="s">
        <v>1181</v>
      </c>
      <c r="D390" s="7" t="s">
        <v>1259</v>
      </c>
      <c r="E390" s="7" t="s">
        <v>988</v>
      </c>
    </row>
    <row r="391">
      <c r="A391" s="7" t="s">
        <v>1213</v>
      </c>
      <c r="B391" s="7" t="s">
        <v>56</v>
      </c>
      <c r="C391" s="7" t="s">
        <v>1181</v>
      </c>
      <c r="D391" s="7" t="s">
        <v>1255</v>
      </c>
      <c r="E391" s="7" t="s">
        <v>988</v>
      </c>
    </row>
    <row r="392">
      <c r="A392" s="7" t="s">
        <v>1213</v>
      </c>
      <c r="B392" s="7" t="s">
        <v>1260</v>
      </c>
      <c r="C392" s="7" t="s">
        <v>1181</v>
      </c>
      <c r="D392" s="7" t="s">
        <v>1261</v>
      </c>
      <c r="E392" s="7" t="s">
        <v>988</v>
      </c>
    </row>
    <row r="393">
      <c r="A393" s="7" t="s">
        <v>1213</v>
      </c>
      <c r="B393" s="7" t="s">
        <v>1104</v>
      </c>
      <c r="C393" s="7" t="s">
        <v>1181</v>
      </c>
      <c r="D393" s="7" t="s">
        <v>1105</v>
      </c>
      <c r="E393" s="7" t="s">
        <v>1105</v>
      </c>
    </row>
    <row r="394">
      <c r="A394" s="7" t="s">
        <v>1264</v>
      </c>
      <c r="B394" s="7" t="s">
        <v>1180</v>
      </c>
      <c r="C394" s="7" t="s">
        <v>1102</v>
      </c>
      <c r="D394" s="7" t="s">
        <v>1182</v>
      </c>
      <c r="E394" s="7" t="s">
        <v>988</v>
      </c>
    </row>
    <row r="395">
      <c r="A395" s="7" t="s">
        <v>1264</v>
      </c>
      <c r="B395" s="7" t="s">
        <v>1170</v>
      </c>
      <c r="C395" s="7" t="s">
        <v>1102</v>
      </c>
      <c r="D395" s="7" t="s">
        <v>1069</v>
      </c>
      <c r="E395" s="7" t="s">
        <v>988</v>
      </c>
    </row>
    <row r="396">
      <c r="A396" s="7" t="s">
        <v>1264</v>
      </c>
      <c r="B396" s="7" t="s">
        <v>1144</v>
      </c>
      <c r="C396" s="7" t="s">
        <v>1102</v>
      </c>
      <c r="D396" s="7" t="s">
        <v>478</v>
      </c>
      <c r="E396" s="7" t="s">
        <v>988</v>
      </c>
    </row>
    <row r="397">
      <c r="A397" s="7" t="s">
        <v>1264</v>
      </c>
      <c r="B397" s="7" t="s">
        <v>1134</v>
      </c>
      <c r="C397" s="7" t="s">
        <v>1102</v>
      </c>
      <c r="D397" s="7" t="s">
        <v>1069</v>
      </c>
      <c r="E397" s="7" t="s">
        <v>988</v>
      </c>
    </row>
    <row r="398">
      <c r="A398" s="7" t="s">
        <v>1264</v>
      </c>
      <c r="B398" s="7" t="s">
        <v>1265</v>
      </c>
      <c r="C398" s="7" t="s">
        <v>1102</v>
      </c>
      <c r="D398" s="7" t="s">
        <v>1110</v>
      </c>
      <c r="E398" s="7" t="s">
        <v>988</v>
      </c>
    </row>
    <row r="399">
      <c r="A399" s="7" t="s">
        <v>1264</v>
      </c>
      <c r="B399" s="7" t="s">
        <v>1175</v>
      </c>
      <c r="C399" s="7" t="s">
        <v>1102</v>
      </c>
      <c r="D399" s="7" t="s">
        <v>391</v>
      </c>
      <c r="E399" s="7" t="s">
        <v>988</v>
      </c>
    </row>
    <row r="400">
      <c r="A400" s="7" t="s">
        <v>1264</v>
      </c>
      <c r="B400" s="7" t="s">
        <v>1187</v>
      </c>
      <c r="C400" s="7" t="s">
        <v>1102</v>
      </c>
      <c r="D400" s="7" t="s">
        <v>1188</v>
      </c>
      <c r="E400" s="7" t="s">
        <v>988</v>
      </c>
    </row>
    <row r="401">
      <c r="A401" s="7" t="s">
        <v>1264</v>
      </c>
      <c r="B401" s="7" t="s">
        <v>1068</v>
      </c>
      <c r="C401" s="7" t="s">
        <v>1102</v>
      </c>
      <c r="D401" s="7" t="s">
        <v>1176</v>
      </c>
      <c r="E401" s="7" t="s">
        <v>988</v>
      </c>
    </row>
    <row r="402">
      <c r="A402" s="7" t="s">
        <v>1264</v>
      </c>
      <c r="B402" s="7" t="s">
        <v>1081</v>
      </c>
      <c r="C402" s="7" t="s">
        <v>1102</v>
      </c>
      <c r="D402" s="7" t="s">
        <v>693</v>
      </c>
      <c r="E402" s="7" t="s">
        <v>988</v>
      </c>
    </row>
    <row r="403">
      <c r="A403" s="7" t="s">
        <v>1264</v>
      </c>
      <c r="B403" s="7" t="s">
        <v>1266</v>
      </c>
      <c r="C403" s="7" t="s">
        <v>1102</v>
      </c>
      <c r="D403" s="7" t="s">
        <v>1105</v>
      </c>
      <c r="E403" s="7" t="s">
        <v>1105</v>
      </c>
    </row>
    <row r="404">
      <c r="A404" s="7" t="s">
        <v>1264</v>
      </c>
      <c r="B404" s="7" t="s">
        <v>1267</v>
      </c>
      <c r="C404" s="7" t="s">
        <v>1102</v>
      </c>
      <c r="D404" s="7" t="s">
        <v>693</v>
      </c>
      <c r="E404" s="7" t="s">
        <v>988</v>
      </c>
    </row>
    <row r="405">
      <c r="A405" s="7" t="s">
        <v>1264</v>
      </c>
      <c r="B405" s="7" t="s">
        <v>1161</v>
      </c>
      <c r="C405" s="7" t="s">
        <v>1102</v>
      </c>
      <c r="D405" s="7" t="s">
        <v>693</v>
      </c>
      <c r="E405" s="7" t="s">
        <v>988</v>
      </c>
    </row>
    <row r="406">
      <c r="A406" s="7" t="s">
        <v>1268</v>
      </c>
      <c r="B406" s="7" t="s">
        <v>1225</v>
      </c>
      <c r="C406" s="7" t="s">
        <v>1102</v>
      </c>
      <c r="D406" s="7" t="s">
        <v>1188</v>
      </c>
      <c r="E406" s="7" t="s">
        <v>988</v>
      </c>
    </row>
    <row r="407">
      <c r="A407" s="7" t="s">
        <v>1268</v>
      </c>
      <c r="B407" s="7" t="s">
        <v>1226</v>
      </c>
      <c r="C407" s="7" t="s">
        <v>1102</v>
      </c>
      <c r="D407" s="7" t="s">
        <v>391</v>
      </c>
      <c r="E407" s="7" t="s">
        <v>988</v>
      </c>
    </row>
    <row r="408">
      <c r="A408" s="7" t="s">
        <v>1268</v>
      </c>
      <c r="B408" s="7" t="s">
        <v>1183</v>
      </c>
      <c r="C408" s="7" t="s">
        <v>1102</v>
      </c>
      <c r="D408" s="7" t="s">
        <v>1182</v>
      </c>
      <c r="E408" s="7" t="s">
        <v>988</v>
      </c>
    </row>
    <row r="409">
      <c r="A409" s="7" t="s">
        <v>1268</v>
      </c>
      <c r="B409" s="7" t="s">
        <v>1182</v>
      </c>
      <c r="C409" s="7" t="s">
        <v>1102</v>
      </c>
      <c r="D409" s="7" t="s">
        <v>1182</v>
      </c>
      <c r="E409" s="7" t="s">
        <v>988</v>
      </c>
    </row>
    <row r="410">
      <c r="A410" s="7" t="s">
        <v>1268</v>
      </c>
      <c r="B410" s="7" t="s">
        <v>1111</v>
      </c>
      <c r="C410" s="7" t="s">
        <v>1102</v>
      </c>
      <c r="D410" s="7" t="s">
        <v>1105</v>
      </c>
      <c r="E410" s="7" t="s">
        <v>1105</v>
      </c>
    </row>
    <row r="411">
      <c r="A411" s="7" t="s">
        <v>1272</v>
      </c>
      <c r="B411" s="7" t="s">
        <v>1225</v>
      </c>
      <c r="C411" s="7" t="s">
        <v>1181</v>
      </c>
      <c r="D411" s="7" t="s">
        <v>1188</v>
      </c>
      <c r="E411" s="7" t="s">
        <v>988</v>
      </c>
    </row>
    <row r="412">
      <c r="A412" s="7" t="s">
        <v>1272</v>
      </c>
      <c r="B412" s="7" t="s">
        <v>1226</v>
      </c>
      <c r="C412" s="7" t="s">
        <v>1181</v>
      </c>
      <c r="D412" s="7" t="s">
        <v>391</v>
      </c>
      <c r="E412" s="7" t="s">
        <v>988</v>
      </c>
    </row>
    <row r="413">
      <c r="A413" s="7" t="s">
        <v>1272</v>
      </c>
      <c r="B413" s="7" t="s">
        <v>1186</v>
      </c>
      <c r="C413" s="7" t="s">
        <v>1181</v>
      </c>
      <c r="D413" s="7" t="s">
        <v>1182</v>
      </c>
      <c r="E413" s="7" t="s">
        <v>988</v>
      </c>
    </row>
    <row r="414">
      <c r="A414" s="7" t="s">
        <v>1272</v>
      </c>
      <c r="B414" s="7" t="s">
        <v>1111</v>
      </c>
      <c r="C414" s="7" t="s">
        <v>1181</v>
      </c>
      <c r="D414" s="7" t="s">
        <v>1105</v>
      </c>
      <c r="E414" s="7" t="s">
        <v>1105</v>
      </c>
    </row>
    <row r="415">
      <c r="A415" s="7" t="s">
        <v>1273</v>
      </c>
      <c r="B415" s="7" t="s">
        <v>1119</v>
      </c>
      <c r="C415" s="7" t="s">
        <v>1102</v>
      </c>
      <c r="D415" s="7" t="s">
        <v>1182</v>
      </c>
      <c r="E415" s="7" t="s">
        <v>988</v>
      </c>
    </row>
    <row r="416">
      <c r="A416" s="7" t="s">
        <v>1273</v>
      </c>
      <c r="B416" s="7" t="s">
        <v>1120</v>
      </c>
      <c r="C416" s="7" t="s">
        <v>1102</v>
      </c>
      <c r="D416" s="7" t="s">
        <v>1182</v>
      </c>
      <c r="E416" s="7" t="s">
        <v>988</v>
      </c>
    </row>
    <row r="417">
      <c r="A417" s="7" t="s">
        <v>1273</v>
      </c>
      <c r="B417" s="7" t="s">
        <v>1148</v>
      </c>
      <c r="C417" s="7" t="s">
        <v>1102</v>
      </c>
      <c r="D417" s="7" t="s">
        <v>1182</v>
      </c>
      <c r="E417" s="7" t="s">
        <v>988</v>
      </c>
    </row>
    <row r="418">
      <c r="A418" s="7" t="s">
        <v>1273</v>
      </c>
      <c r="B418" s="7" t="s">
        <v>1183</v>
      </c>
      <c r="C418" s="7" t="s">
        <v>1102</v>
      </c>
      <c r="D418" s="7" t="s">
        <v>1182</v>
      </c>
      <c r="E418" s="7" t="s">
        <v>988</v>
      </c>
    </row>
    <row r="419">
      <c r="A419" s="7" t="s">
        <v>1273</v>
      </c>
      <c r="B419" s="7" t="s">
        <v>1274</v>
      </c>
      <c r="C419" s="7" t="s">
        <v>1102</v>
      </c>
      <c r="D419" s="7" t="s">
        <v>1275</v>
      </c>
      <c r="E419" s="7" t="s">
        <v>988</v>
      </c>
    </row>
    <row r="420">
      <c r="A420" s="7" t="s">
        <v>1273</v>
      </c>
      <c r="B420" s="7" t="s">
        <v>1276</v>
      </c>
      <c r="C420" s="7" t="s">
        <v>1102</v>
      </c>
      <c r="D420" s="7" t="s">
        <v>1192</v>
      </c>
      <c r="E420" s="7" t="s">
        <v>988</v>
      </c>
    </row>
    <row r="421">
      <c r="A421" s="7" t="s">
        <v>1273</v>
      </c>
      <c r="B421" s="7" t="s">
        <v>1277</v>
      </c>
      <c r="C421" s="7" t="s">
        <v>1102</v>
      </c>
      <c r="D421" s="7" t="s">
        <v>1275</v>
      </c>
      <c r="E421" s="7" t="s">
        <v>988</v>
      </c>
    </row>
    <row r="422">
      <c r="A422" s="7" t="s">
        <v>1273</v>
      </c>
      <c r="B422" s="7" t="s">
        <v>1151</v>
      </c>
      <c r="C422" s="7" t="s">
        <v>1102</v>
      </c>
      <c r="D422" s="7" t="s">
        <v>693</v>
      </c>
      <c r="E422" s="7" t="s">
        <v>988</v>
      </c>
    </row>
    <row r="423">
      <c r="A423" s="7" t="s">
        <v>1273</v>
      </c>
      <c r="B423" s="7" t="s">
        <v>1185</v>
      </c>
      <c r="C423" s="7" t="s">
        <v>1102</v>
      </c>
      <c r="D423" s="7" t="s">
        <v>1110</v>
      </c>
      <c r="E423" s="7" t="s">
        <v>988</v>
      </c>
    </row>
    <row r="424">
      <c r="A424" s="7" t="s">
        <v>1273</v>
      </c>
      <c r="B424" s="7" t="s">
        <v>1278</v>
      </c>
      <c r="C424" s="7" t="s">
        <v>1102</v>
      </c>
      <c r="D424" s="7" t="s">
        <v>1182</v>
      </c>
      <c r="E424" s="7" t="s">
        <v>988</v>
      </c>
    </row>
    <row r="425">
      <c r="A425" s="7" t="s">
        <v>1273</v>
      </c>
      <c r="B425" s="7" t="s">
        <v>1262</v>
      </c>
      <c r="C425" s="7" t="s">
        <v>1102</v>
      </c>
      <c r="D425" s="7" t="s">
        <v>1182</v>
      </c>
      <c r="E425" s="7" t="s">
        <v>988</v>
      </c>
    </row>
    <row r="426">
      <c r="A426" s="7" t="s">
        <v>1273</v>
      </c>
      <c r="B426" s="7" t="s">
        <v>1279</v>
      </c>
      <c r="C426" s="7" t="s">
        <v>1102</v>
      </c>
      <c r="D426" s="7" t="s">
        <v>1182</v>
      </c>
      <c r="E426" s="7" t="s">
        <v>988</v>
      </c>
    </row>
    <row r="427">
      <c r="A427" s="7" t="s">
        <v>1273</v>
      </c>
      <c r="B427" s="7" t="s">
        <v>1280</v>
      </c>
      <c r="C427" s="7" t="s">
        <v>1102</v>
      </c>
      <c r="D427" s="7" t="s">
        <v>1192</v>
      </c>
      <c r="E427" s="7" t="s">
        <v>988</v>
      </c>
    </row>
    <row r="428">
      <c r="A428" s="7" t="s">
        <v>1273</v>
      </c>
      <c r="B428" s="7" t="s">
        <v>1111</v>
      </c>
      <c r="C428" s="7" t="s">
        <v>1102</v>
      </c>
      <c r="D428" s="7" t="s">
        <v>1105</v>
      </c>
      <c r="E428" s="7" t="s">
        <v>1105</v>
      </c>
    </row>
    <row r="429">
      <c r="A429" s="7" t="s">
        <v>1273</v>
      </c>
      <c r="B429" s="7" t="s">
        <v>1187</v>
      </c>
      <c r="C429" s="7" t="s">
        <v>1102</v>
      </c>
      <c r="D429" s="7" t="s">
        <v>1182</v>
      </c>
      <c r="E429" s="7" t="s">
        <v>988</v>
      </c>
    </row>
    <row r="430">
      <c r="A430" s="7" t="s">
        <v>1273</v>
      </c>
      <c r="B430" s="7" t="s">
        <v>1189</v>
      </c>
      <c r="C430" s="7" t="s">
        <v>1102</v>
      </c>
      <c r="D430" s="7" t="s">
        <v>1190</v>
      </c>
      <c r="E430" s="7" t="s">
        <v>988</v>
      </c>
    </row>
    <row r="431">
      <c r="A431" s="7" t="s">
        <v>1273</v>
      </c>
      <c r="B431" s="7" t="s">
        <v>1281</v>
      </c>
      <c r="C431" s="7" t="s">
        <v>1102</v>
      </c>
      <c r="D431" s="7" t="s">
        <v>1192</v>
      </c>
      <c r="E431" s="7" t="s">
        <v>988</v>
      </c>
    </row>
    <row r="432">
      <c r="A432" s="7" t="s">
        <v>1273</v>
      </c>
      <c r="B432" s="7" t="s">
        <v>1191</v>
      </c>
      <c r="C432" s="7" t="s">
        <v>1102</v>
      </c>
      <c r="D432" s="7" t="s">
        <v>1192</v>
      </c>
      <c r="E432" s="7" t="s">
        <v>988</v>
      </c>
    </row>
    <row r="433">
      <c r="A433" s="7" t="s">
        <v>1282</v>
      </c>
      <c r="B433" s="7" t="s">
        <v>1193</v>
      </c>
      <c r="C433" s="7" t="s">
        <v>1102</v>
      </c>
      <c r="D433" s="7" t="s">
        <v>391</v>
      </c>
      <c r="E433" s="7" t="s">
        <v>988</v>
      </c>
    </row>
    <row r="434">
      <c r="A434" s="7" t="s">
        <v>1282</v>
      </c>
      <c r="B434" s="7" t="s">
        <v>1111</v>
      </c>
      <c r="C434" s="7" t="s">
        <v>1102</v>
      </c>
      <c r="D434" s="7" t="s">
        <v>1105</v>
      </c>
      <c r="E434" s="7" t="s">
        <v>1105</v>
      </c>
    </row>
    <row r="435">
      <c r="A435" s="7" t="s">
        <v>1285</v>
      </c>
      <c r="B435" s="7" t="s">
        <v>1111</v>
      </c>
      <c r="C435" s="7" t="s">
        <v>1102</v>
      </c>
      <c r="D435" s="7" t="s">
        <v>587</v>
      </c>
      <c r="E435" s="7" t="s">
        <v>1105</v>
      </c>
    </row>
    <row r="436">
      <c r="A436" s="7" t="s">
        <v>1214</v>
      </c>
      <c r="B436" s="7" t="s">
        <v>1286</v>
      </c>
      <c r="C436" s="7" t="s">
        <v>1102</v>
      </c>
      <c r="D436" s="7" t="s">
        <v>1215</v>
      </c>
      <c r="E436" s="7" t="s">
        <v>988</v>
      </c>
    </row>
    <row r="437">
      <c r="A437" s="7" t="s">
        <v>1214</v>
      </c>
      <c r="B437" s="7" t="s">
        <v>1287</v>
      </c>
      <c r="C437" s="7" t="s">
        <v>1102</v>
      </c>
      <c r="D437" s="7" t="s">
        <v>1215</v>
      </c>
      <c r="E437" s="7" t="s">
        <v>988</v>
      </c>
    </row>
    <row r="438">
      <c r="A438" s="7" t="s">
        <v>1214</v>
      </c>
      <c r="B438" s="7" t="s">
        <v>1288</v>
      </c>
      <c r="C438" s="7" t="s">
        <v>1102</v>
      </c>
      <c r="D438" s="7" t="s">
        <v>1215</v>
      </c>
      <c r="E438" s="7" t="s">
        <v>988</v>
      </c>
    </row>
    <row r="439">
      <c r="A439" s="7" t="s">
        <v>1214</v>
      </c>
      <c r="B439" s="7" t="s">
        <v>1289</v>
      </c>
      <c r="C439" s="7" t="s">
        <v>1102</v>
      </c>
      <c r="D439" s="7" t="s">
        <v>1246</v>
      </c>
      <c r="E439" s="7" t="s">
        <v>988</v>
      </c>
    </row>
    <row r="440">
      <c r="A440" s="7" t="s">
        <v>1214</v>
      </c>
      <c r="B440" s="7" t="s">
        <v>1290</v>
      </c>
      <c r="C440" s="7" t="s">
        <v>1102</v>
      </c>
      <c r="D440" s="7" t="s">
        <v>1291</v>
      </c>
      <c r="E440" s="7" t="s">
        <v>988</v>
      </c>
    </row>
    <row r="441">
      <c r="A441" s="7" t="s">
        <v>1214</v>
      </c>
      <c r="B441" s="7" t="s">
        <v>1292</v>
      </c>
      <c r="C441" s="7" t="s">
        <v>1102</v>
      </c>
      <c r="D441" s="7" t="s">
        <v>391</v>
      </c>
      <c r="E441" s="7" t="s">
        <v>988</v>
      </c>
    </row>
    <row r="442">
      <c r="A442" s="7" t="s">
        <v>1214</v>
      </c>
      <c r="B442" s="7" t="s">
        <v>1104</v>
      </c>
      <c r="C442" s="7" t="s">
        <v>1102</v>
      </c>
      <c r="D442" s="7" t="s">
        <v>1105</v>
      </c>
      <c r="E442" s="7" t="s">
        <v>1105</v>
      </c>
    </row>
    <row r="443">
      <c r="A443" s="7" t="s">
        <v>1293</v>
      </c>
      <c r="B443" s="7" t="s">
        <v>1294</v>
      </c>
      <c r="C443" s="7" t="s">
        <v>1102</v>
      </c>
      <c r="D443" s="7" t="s">
        <v>441</v>
      </c>
      <c r="E443" s="7" t="s">
        <v>988</v>
      </c>
    </row>
    <row r="444">
      <c r="A444" s="7" t="s">
        <v>1293</v>
      </c>
      <c r="B444" s="7" t="s">
        <v>1111</v>
      </c>
      <c r="C444" s="7" t="s">
        <v>1102</v>
      </c>
      <c r="D444" s="7" t="s">
        <v>1105</v>
      </c>
      <c r="E444" s="7" t="s">
        <v>1105</v>
      </c>
    </row>
    <row r="445">
      <c r="A445" s="7" t="s">
        <v>1295</v>
      </c>
      <c r="B445" s="7" t="s">
        <v>1296</v>
      </c>
      <c r="C445" s="7" t="s">
        <v>1297</v>
      </c>
      <c r="D445" s="7" t="s">
        <v>1105</v>
      </c>
      <c r="E445" s="7" t="s">
        <v>1105</v>
      </c>
    </row>
    <row r="446">
      <c r="A446" s="7" t="s">
        <v>1051</v>
      </c>
      <c r="B446" s="7" t="s">
        <v>1134</v>
      </c>
      <c r="C446" s="7" t="s">
        <v>1052</v>
      </c>
      <c r="D446" s="7" t="s">
        <v>1105</v>
      </c>
      <c r="E446" s="7" t="s">
        <v>1105</v>
      </c>
    </row>
    <row r="447">
      <c r="A447" s="7" t="s">
        <v>1051</v>
      </c>
      <c r="B447" s="7" t="s">
        <v>1298</v>
      </c>
      <c r="C447" s="7" t="s">
        <v>1052</v>
      </c>
      <c r="D447" s="7" t="s">
        <v>1105</v>
      </c>
      <c r="E447" s="7" t="s">
        <v>1105</v>
      </c>
    </row>
    <row r="448">
      <c r="A448" s="7" t="s">
        <v>1051</v>
      </c>
      <c r="B448" s="7" t="s">
        <v>1111</v>
      </c>
      <c r="C448" s="7" t="s">
        <v>1052</v>
      </c>
      <c r="D448" s="7" t="s">
        <v>1105</v>
      </c>
      <c r="E448" s="7" t="s">
        <v>1105</v>
      </c>
    </row>
    <row r="449">
      <c r="A449" s="7" t="s">
        <v>1051</v>
      </c>
      <c r="B449" s="7" t="s">
        <v>1299</v>
      </c>
      <c r="C449" s="7" t="s">
        <v>1052</v>
      </c>
      <c r="D449" s="7" t="s">
        <v>1105</v>
      </c>
      <c r="E449" s="7" t="s">
        <v>1105</v>
      </c>
    </row>
    <row r="450">
      <c r="A450" s="7" t="s">
        <v>1051</v>
      </c>
      <c r="B450" s="7" t="s">
        <v>1087</v>
      </c>
      <c r="C450" s="7" t="s">
        <v>1197</v>
      </c>
      <c r="D450" s="7" t="s">
        <v>1105</v>
      </c>
      <c r="E450" s="7" t="s">
        <v>1105</v>
      </c>
    </row>
    <row r="451">
      <c r="A451" s="7" t="s">
        <v>1054</v>
      </c>
      <c r="B451" s="7" t="s">
        <v>1300</v>
      </c>
      <c r="C451" s="7" t="s">
        <v>1102</v>
      </c>
      <c r="D451" s="7" t="s">
        <v>391</v>
      </c>
      <c r="E451" s="7" t="s">
        <v>988</v>
      </c>
    </row>
    <row r="452">
      <c r="A452" s="7" t="s">
        <v>1054</v>
      </c>
      <c r="B452" s="7" t="s">
        <v>1301</v>
      </c>
      <c r="C452" s="7" t="s">
        <v>1102</v>
      </c>
      <c r="D452" s="7" t="s">
        <v>391</v>
      </c>
      <c r="E452" s="7" t="s">
        <v>988</v>
      </c>
    </row>
    <row r="453">
      <c r="A453" s="7" t="s">
        <v>1054</v>
      </c>
      <c r="B453" s="7" t="s">
        <v>1302</v>
      </c>
      <c r="C453" s="7" t="s">
        <v>1102</v>
      </c>
      <c r="D453" s="7" t="s">
        <v>391</v>
      </c>
      <c r="E453" s="7" t="s">
        <v>988</v>
      </c>
    </row>
    <row r="454">
      <c r="A454" s="7" t="s">
        <v>1054</v>
      </c>
      <c r="B454" s="7" t="s">
        <v>1303</v>
      </c>
      <c r="C454" s="7" t="s">
        <v>1102</v>
      </c>
      <c r="D454" s="7" t="s">
        <v>1097</v>
      </c>
      <c r="E454" s="7" t="s">
        <v>988</v>
      </c>
    </row>
    <row r="455">
      <c r="A455" s="7" t="s">
        <v>1054</v>
      </c>
      <c r="B455" s="7" t="s">
        <v>1304</v>
      </c>
      <c r="C455" s="7" t="s">
        <v>1102</v>
      </c>
      <c r="D455" s="7" t="s">
        <v>1105</v>
      </c>
      <c r="E455" s="7" t="s">
        <v>1105</v>
      </c>
    </row>
    <row r="456">
      <c r="A456" s="7" t="s">
        <v>1054</v>
      </c>
      <c r="B456" s="7" t="s">
        <v>1305</v>
      </c>
      <c r="C456" s="7" t="s">
        <v>1102</v>
      </c>
      <c r="D456" s="7" t="s">
        <v>1105</v>
      </c>
      <c r="E456" s="7" t="s">
        <v>1105</v>
      </c>
    </row>
    <row r="457">
      <c r="A457" s="7" t="s">
        <v>1054</v>
      </c>
      <c r="B457" s="7" t="s">
        <v>1306</v>
      </c>
      <c r="C457" s="7" t="s">
        <v>1102</v>
      </c>
      <c r="D457" s="7" t="s">
        <v>391</v>
      </c>
      <c r="E457" s="7" t="s">
        <v>988</v>
      </c>
    </row>
    <row r="458">
      <c r="A458" s="7" t="s">
        <v>1054</v>
      </c>
      <c r="B458" s="7" t="s">
        <v>1278</v>
      </c>
      <c r="C458" s="7" t="s">
        <v>1102</v>
      </c>
      <c r="D458" s="7" t="s">
        <v>1215</v>
      </c>
      <c r="E458" s="7" t="s">
        <v>988</v>
      </c>
    </row>
    <row r="459">
      <c r="A459" s="7" t="s">
        <v>1054</v>
      </c>
      <c r="B459" s="7" t="s">
        <v>1307</v>
      </c>
      <c r="C459" s="7" t="s">
        <v>1102</v>
      </c>
      <c r="D459" s="7" t="s">
        <v>1105</v>
      </c>
      <c r="E459" s="7" t="s">
        <v>1105</v>
      </c>
    </row>
    <row r="460">
      <c r="A460" s="7" t="s">
        <v>1054</v>
      </c>
      <c r="B460" s="7" t="s">
        <v>1308</v>
      </c>
      <c r="C460" s="7" t="s">
        <v>1102</v>
      </c>
      <c r="D460" s="7" t="s">
        <v>391</v>
      </c>
      <c r="E460" s="7" t="s">
        <v>988</v>
      </c>
    </row>
    <row r="461">
      <c r="A461" s="7" t="s">
        <v>1054</v>
      </c>
      <c r="B461" s="7" t="s">
        <v>1309</v>
      </c>
      <c r="C461" s="7" t="s">
        <v>1102</v>
      </c>
      <c r="D461" s="7" t="s">
        <v>1097</v>
      </c>
      <c r="E461" s="7" t="s">
        <v>988</v>
      </c>
    </row>
    <row r="462">
      <c r="A462" s="7" t="s">
        <v>1054</v>
      </c>
      <c r="B462" s="7" t="s">
        <v>1228</v>
      </c>
      <c r="C462" s="7" t="s">
        <v>1102</v>
      </c>
      <c r="D462" s="7" t="s">
        <v>1215</v>
      </c>
      <c r="E462" s="7" t="s">
        <v>988</v>
      </c>
    </row>
    <row r="463">
      <c r="A463" s="7" t="s">
        <v>1054</v>
      </c>
      <c r="B463" s="7" t="s">
        <v>1310</v>
      </c>
      <c r="C463" s="7" t="s">
        <v>1102</v>
      </c>
      <c r="D463" s="7" t="s">
        <v>478</v>
      </c>
      <c r="E463" s="7" t="s">
        <v>988</v>
      </c>
    </row>
    <row r="464">
      <c r="A464" s="7" t="s">
        <v>1054</v>
      </c>
      <c r="B464" s="7" t="s">
        <v>1137</v>
      </c>
      <c r="C464" s="7" t="s">
        <v>1102</v>
      </c>
      <c r="D464" s="7" t="s">
        <v>1058</v>
      </c>
      <c r="E464" s="7" t="s">
        <v>988</v>
      </c>
    </row>
    <row r="465">
      <c r="A465" s="7" t="s">
        <v>1054</v>
      </c>
      <c r="B465" s="7" t="s">
        <v>1311</v>
      </c>
      <c r="C465" s="7" t="s">
        <v>1102</v>
      </c>
      <c r="D465" s="7" t="s">
        <v>391</v>
      </c>
      <c r="E465" s="7" t="s">
        <v>988</v>
      </c>
    </row>
    <row r="466">
      <c r="A466" s="7" t="s">
        <v>1054</v>
      </c>
      <c r="B466" s="7" t="s">
        <v>1111</v>
      </c>
      <c r="C466" s="7" t="s">
        <v>1102</v>
      </c>
      <c r="D466" s="7" t="s">
        <v>1105</v>
      </c>
      <c r="E466" s="7" t="s">
        <v>1105</v>
      </c>
    </row>
    <row r="467">
      <c r="A467" s="7" t="s">
        <v>1054</v>
      </c>
      <c r="B467" s="7" t="s">
        <v>1187</v>
      </c>
      <c r="C467" s="7" t="s">
        <v>1102</v>
      </c>
      <c r="D467" s="7" t="s">
        <v>1188</v>
      </c>
      <c r="E467" s="7" t="s">
        <v>988</v>
      </c>
    </row>
    <row r="468">
      <c r="A468" s="7" t="s">
        <v>1054</v>
      </c>
      <c r="B468" s="7" t="s">
        <v>1312</v>
      </c>
      <c r="C468" s="7" t="s">
        <v>1102</v>
      </c>
      <c r="D468" s="7" t="s">
        <v>1097</v>
      </c>
      <c r="E468" s="7" t="s">
        <v>988</v>
      </c>
    </row>
    <row r="469">
      <c r="A469" s="7" t="s">
        <v>1054</v>
      </c>
      <c r="B469" s="7" t="s">
        <v>1162</v>
      </c>
      <c r="C469" s="7" t="s">
        <v>1313</v>
      </c>
      <c r="D469" s="7" t="s">
        <v>1162</v>
      </c>
      <c r="E469" s="7" t="s">
        <v>988</v>
      </c>
    </row>
    <row r="470">
      <c r="A470" s="7" t="s">
        <v>1054</v>
      </c>
      <c r="B470" s="7" t="s">
        <v>1314</v>
      </c>
      <c r="C470" s="7" t="s">
        <v>1102</v>
      </c>
      <c r="D470" s="7" t="s">
        <v>1105</v>
      </c>
      <c r="E470" s="7" t="s">
        <v>1105</v>
      </c>
    </row>
    <row r="471">
      <c r="A471" s="7" t="s">
        <v>1054</v>
      </c>
      <c r="B471" s="7" t="s">
        <v>1266</v>
      </c>
      <c r="C471" s="7" t="s">
        <v>1102</v>
      </c>
      <c r="D471" s="7" t="s">
        <v>1105</v>
      </c>
      <c r="E471" s="7" t="s">
        <v>1105</v>
      </c>
    </row>
    <row r="472">
      <c r="A472" s="7" t="s">
        <v>1054</v>
      </c>
      <c r="B472" s="7" t="s">
        <v>1315</v>
      </c>
      <c r="C472" s="7" t="s">
        <v>1102</v>
      </c>
      <c r="D472" s="7" t="s">
        <v>1097</v>
      </c>
      <c r="E472" s="7" t="s">
        <v>988</v>
      </c>
    </row>
    <row r="473">
      <c r="A473" s="7" t="s">
        <v>1054</v>
      </c>
      <c r="B473" s="7" t="s">
        <v>1267</v>
      </c>
      <c r="C473" s="7" t="s">
        <v>1102</v>
      </c>
      <c r="D473" s="7" t="s">
        <v>693</v>
      </c>
      <c r="E473" s="7" t="s">
        <v>988</v>
      </c>
    </row>
    <row r="474">
      <c r="A474" s="7" t="s">
        <v>1054</v>
      </c>
      <c r="B474" s="7" t="s">
        <v>1161</v>
      </c>
      <c r="C474" s="7" t="s">
        <v>1102</v>
      </c>
      <c r="D474" s="7" t="s">
        <v>693</v>
      </c>
      <c r="E474" s="7" t="s">
        <v>988</v>
      </c>
    </row>
    <row r="475">
      <c r="A475" s="7" t="s">
        <v>1057</v>
      </c>
      <c r="B475" s="7" t="s">
        <v>1139</v>
      </c>
      <c r="C475" s="7" t="s">
        <v>1102</v>
      </c>
      <c r="D475" s="7" t="s">
        <v>1058</v>
      </c>
      <c r="E475" s="7" t="s">
        <v>1105</v>
      </c>
    </row>
    <row r="476">
      <c r="A476" s="7" t="s">
        <v>1060</v>
      </c>
      <c r="B476" s="7" t="s">
        <v>1111</v>
      </c>
      <c r="C476" s="7" t="s">
        <v>1181</v>
      </c>
      <c r="D476" s="7" t="s">
        <v>693</v>
      </c>
      <c r="E476" s="7" t="s">
        <v>1105</v>
      </c>
    </row>
    <row r="477">
      <c r="A477" s="7" t="s">
        <v>1060</v>
      </c>
      <c r="B477" s="7" t="s">
        <v>1317</v>
      </c>
      <c r="C477" s="7" t="s">
        <v>1181</v>
      </c>
      <c r="D477" s="7" t="s">
        <v>693</v>
      </c>
      <c r="E477" s="7" t="s">
        <v>988</v>
      </c>
    </row>
    <row r="478">
      <c r="A478" s="7" t="s">
        <v>1062</v>
      </c>
      <c r="B478" s="7" t="s">
        <v>1111</v>
      </c>
      <c r="C478" s="7" t="s">
        <v>1181</v>
      </c>
      <c r="D478" s="7" t="s">
        <v>298</v>
      </c>
      <c r="E478" s="7" t="s">
        <v>1105</v>
      </c>
    </row>
    <row r="479">
      <c r="A479" s="7" t="s">
        <v>1062</v>
      </c>
      <c r="B479" s="7" t="s">
        <v>1237</v>
      </c>
      <c r="C479" s="7" t="s">
        <v>1181</v>
      </c>
      <c r="D479" s="7" t="s">
        <v>298</v>
      </c>
      <c r="E479" s="7" t="s">
        <v>988</v>
      </c>
    </row>
    <row r="480">
      <c r="A480" s="7" t="s">
        <v>1065</v>
      </c>
      <c r="B480" s="7" t="s">
        <v>1318</v>
      </c>
      <c r="C480" s="7" t="s">
        <v>1181</v>
      </c>
      <c r="D480" s="7" t="s">
        <v>478</v>
      </c>
      <c r="E480" s="7" t="s">
        <v>988</v>
      </c>
    </row>
    <row r="481">
      <c r="A481" s="7" t="s">
        <v>1065</v>
      </c>
      <c r="B481" s="7" t="s">
        <v>1319</v>
      </c>
      <c r="C481" s="7" t="s">
        <v>1181</v>
      </c>
      <c r="D481" s="7" t="s">
        <v>478</v>
      </c>
      <c r="E481" s="7" t="s">
        <v>988</v>
      </c>
    </row>
    <row r="482">
      <c r="A482" s="7" t="s">
        <v>1065</v>
      </c>
      <c r="B482" s="7" t="s">
        <v>1320</v>
      </c>
      <c r="C482" s="7" t="s">
        <v>1181</v>
      </c>
      <c r="D482" s="7" t="s">
        <v>298</v>
      </c>
      <c r="E482" s="7" t="s">
        <v>988</v>
      </c>
    </row>
    <row r="483">
      <c r="A483" s="7" t="s">
        <v>1065</v>
      </c>
      <c r="B483" s="7" t="s">
        <v>1321</v>
      </c>
      <c r="C483" s="7" t="s">
        <v>1181</v>
      </c>
      <c r="D483" s="7" t="s">
        <v>478</v>
      </c>
      <c r="E483" s="7" t="s">
        <v>988</v>
      </c>
    </row>
    <row r="484">
      <c r="A484" s="7" t="s">
        <v>1065</v>
      </c>
      <c r="B484" s="7" t="s">
        <v>1322</v>
      </c>
      <c r="C484" s="7" t="s">
        <v>1181</v>
      </c>
      <c r="D484" s="7" t="s">
        <v>478</v>
      </c>
      <c r="E484" s="7" t="s">
        <v>988</v>
      </c>
    </row>
    <row r="485">
      <c r="A485" s="7" t="s">
        <v>1065</v>
      </c>
      <c r="B485" s="7" t="s">
        <v>444</v>
      </c>
      <c r="C485" s="7" t="s">
        <v>1181</v>
      </c>
      <c r="D485" s="7" t="s">
        <v>478</v>
      </c>
      <c r="E485" s="7" t="s">
        <v>988</v>
      </c>
    </row>
    <row r="486">
      <c r="A486" s="7" t="s">
        <v>1065</v>
      </c>
      <c r="B486" s="7" t="s">
        <v>1323</v>
      </c>
      <c r="C486" s="7" t="s">
        <v>1181</v>
      </c>
      <c r="D486" s="7" t="s">
        <v>478</v>
      </c>
      <c r="E486" s="7" t="s">
        <v>988</v>
      </c>
    </row>
    <row r="487">
      <c r="A487" s="7" t="s">
        <v>1065</v>
      </c>
      <c r="B487" s="7" t="s">
        <v>1324</v>
      </c>
      <c r="C487" s="7" t="s">
        <v>1181</v>
      </c>
      <c r="D487" s="7" t="s">
        <v>478</v>
      </c>
      <c r="E487" s="7" t="s">
        <v>988</v>
      </c>
    </row>
    <row r="488">
      <c r="A488" s="7" t="s">
        <v>1065</v>
      </c>
      <c r="B488" s="7" t="s">
        <v>1204</v>
      </c>
      <c r="C488" s="7" t="s">
        <v>1181</v>
      </c>
      <c r="D488" s="7" t="s">
        <v>1105</v>
      </c>
      <c r="E488" s="7" t="s">
        <v>1105</v>
      </c>
    </row>
    <row r="489">
      <c r="A489" s="7" t="s">
        <v>1068</v>
      </c>
      <c r="B489" s="7" t="s">
        <v>1225</v>
      </c>
      <c r="C489" s="7" t="s">
        <v>1102</v>
      </c>
      <c r="D489" s="7" t="s">
        <v>1188</v>
      </c>
      <c r="E489" s="7" t="s">
        <v>988</v>
      </c>
    </row>
    <row r="490">
      <c r="A490" s="7" t="s">
        <v>1068</v>
      </c>
      <c r="B490" s="7" t="s">
        <v>1227</v>
      </c>
      <c r="C490" s="7" t="s">
        <v>1102</v>
      </c>
      <c r="D490" s="7" t="s">
        <v>693</v>
      </c>
      <c r="E490" s="7" t="s">
        <v>988</v>
      </c>
    </row>
    <row r="491">
      <c r="A491" s="7" t="s">
        <v>1068</v>
      </c>
      <c r="B491" s="7" t="s">
        <v>1111</v>
      </c>
      <c r="C491" s="7" t="s">
        <v>1102</v>
      </c>
      <c r="D491" s="7" t="s">
        <v>1105</v>
      </c>
      <c r="E491" s="7" t="s">
        <v>1105</v>
      </c>
    </row>
    <row r="492">
      <c r="A492" s="7" t="s">
        <v>1068</v>
      </c>
      <c r="B492" s="7" t="s">
        <v>1229</v>
      </c>
      <c r="C492" s="7" t="s">
        <v>1102</v>
      </c>
      <c r="D492" s="7" t="s">
        <v>1188</v>
      </c>
      <c r="E492" s="7" t="s">
        <v>988</v>
      </c>
    </row>
    <row r="493">
      <c r="A493" s="7" t="s">
        <v>1071</v>
      </c>
      <c r="B493" s="7" t="s">
        <v>1286</v>
      </c>
      <c r="C493" s="7" t="s">
        <v>1181</v>
      </c>
      <c r="D493" s="7" t="s">
        <v>1215</v>
      </c>
      <c r="E493" s="7" t="s">
        <v>988</v>
      </c>
    </row>
    <row r="494">
      <c r="A494" s="7" t="s">
        <v>1071</v>
      </c>
      <c r="B494" s="7" t="s">
        <v>1289</v>
      </c>
      <c r="C494" s="7" t="s">
        <v>1181</v>
      </c>
      <c r="D494" s="7" t="s">
        <v>1246</v>
      </c>
      <c r="E494" s="7" t="s">
        <v>988</v>
      </c>
    </row>
    <row r="495">
      <c r="A495" s="7" t="s">
        <v>1071</v>
      </c>
      <c r="B495" s="7" t="s">
        <v>1290</v>
      </c>
      <c r="C495" s="7" t="s">
        <v>1181</v>
      </c>
      <c r="D495" s="7" t="s">
        <v>1291</v>
      </c>
      <c r="E495" s="7" t="s">
        <v>988</v>
      </c>
    </row>
    <row r="496">
      <c r="A496" s="7" t="s">
        <v>1071</v>
      </c>
      <c r="B496" s="7" t="s">
        <v>1292</v>
      </c>
      <c r="C496" s="7" t="s">
        <v>1181</v>
      </c>
      <c r="D496" s="7" t="s">
        <v>391</v>
      </c>
      <c r="E496" s="7" t="s">
        <v>988</v>
      </c>
    </row>
    <row r="497">
      <c r="A497" s="7" t="s">
        <v>1071</v>
      </c>
      <c r="B497" s="7" t="s">
        <v>1104</v>
      </c>
      <c r="C497" s="7" t="s">
        <v>1181</v>
      </c>
      <c r="D497" s="7" t="s">
        <v>1105</v>
      </c>
      <c r="E497" s="7" t="s">
        <v>1105</v>
      </c>
    </row>
    <row r="498">
      <c r="A498" s="7" t="s">
        <v>1072</v>
      </c>
      <c r="B498" s="7" t="s">
        <v>1325</v>
      </c>
      <c r="C498" s="7" t="s">
        <v>1052</v>
      </c>
      <c r="D498" s="7" t="s">
        <v>1105</v>
      </c>
      <c r="E498" s="7" t="s">
        <v>1105</v>
      </c>
    </row>
    <row r="499">
      <c r="A499" s="7" t="s">
        <v>1075</v>
      </c>
      <c r="B499" s="7" t="s">
        <v>1131</v>
      </c>
      <c r="C499" s="7" t="s">
        <v>1102</v>
      </c>
      <c r="D499" s="7" t="s">
        <v>1097</v>
      </c>
      <c r="E499" s="7" t="s">
        <v>988</v>
      </c>
    </row>
    <row r="500">
      <c r="A500" s="7" t="s">
        <v>1075</v>
      </c>
      <c r="B500" s="7" t="s">
        <v>1326</v>
      </c>
      <c r="C500" s="7" t="s">
        <v>1102</v>
      </c>
      <c r="D500" s="7" t="s">
        <v>693</v>
      </c>
      <c r="E500" s="7" t="s">
        <v>988</v>
      </c>
    </row>
    <row r="501">
      <c r="A501" s="7" t="s">
        <v>1075</v>
      </c>
      <c r="B501" s="7" t="s">
        <v>1327</v>
      </c>
      <c r="C501" s="7" t="s">
        <v>1102</v>
      </c>
      <c r="D501" s="7" t="s">
        <v>1188</v>
      </c>
      <c r="E501" s="7" t="s">
        <v>988</v>
      </c>
    </row>
    <row r="502">
      <c r="A502" s="7" t="s">
        <v>1075</v>
      </c>
      <c r="B502" s="7" t="s">
        <v>1109</v>
      </c>
      <c r="C502" s="7" t="s">
        <v>1102</v>
      </c>
      <c r="D502" s="7" t="s">
        <v>1110</v>
      </c>
      <c r="E502" s="7" t="s">
        <v>988</v>
      </c>
    </row>
    <row r="503">
      <c r="A503" s="7" t="s">
        <v>1075</v>
      </c>
      <c r="B503" s="7" t="s">
        <v>1188</v>
      </c>
      <c r="C503" s="7" t="s">
        <v>1102</v>
      </c>
      <c r="D503" s="7" t="s">
        <v>1188</v>
      </c>
      <c r="E503" s="7" t="s">
        <v>988</v>
      </c>
    </row>
    <row r="504">
      <c r="A504" s="7" t="s">
        <v>1075</v>
      </c>
      <c r="B504" s="7" t="s">
        <v>1328</v>
      </c>
      <c r="C504" s="7" t="s">
        <v>1102</v>
      </c>
      <c r="D504" s="7" t="s">
        <v>1103</v>
      </c>
      <c r="E504" s="7" t="s">
        <v>988</v>
      </c>
    </row>
    <row r="505">
      <c r="A505" s="7" t="s">
        <v>1075</v>
      </c>
      <c r="B505" s="7" t="s">
        <v>1111</v>
      </c>
      <c r="C505" s="7" t="s">
        <v>1102</v>
      </c>
      <c r="D505" s="7" t="s">
        <v>1105</v>
      </c>
      <c r="E505" s="7" t="s">
        <v>1105</v>
      </c>
    </row>
    <row r="506">
      <c r="A506" s="7" t="s">
        <v>1075</v>
      </c>
      <c r="B506" s="7" t="s">
        <v>1112</v>
      </c>
      <c r="C506" s="7" t="s">
        <v>1102</v>
      </c>
      <c r="D506" s="7" t="s">
        <v>1110</v>
      </c>
      <c r="E506" s="7" t="s">
        <v>988</v>
      </c>
    </row>
    <row r="507">
      <c r="A507" s="7" t="s">
        <v>1078</v>
      </c>
      <c r="B507" s="7" t="s">
        <v>1329</v>
      </c>
      <c r="C507" s="7" t="s">
        <v>1102</v>
      </c>
      <c r="D507" s="7" t="s">
        <v>587</v>
      </c>
      <c r="E507" s="7" t="s">
        <v>988</v>
      </c>
    </row>
    <row r="508">
      <c r="A508" s="7" t="s">
        <v>1078</v>
      </c>
      <c r="B508" s="7" t="s">
        <v>1330</v>
      </c>
      <c r="C508" s="7" t="s">
        <v>1102</v>
      </c>
      <c r="D508" s="7" t="s">
        <v>1331</v>
      </c>
      <c r="E508" s="7" t="s">
        <v>988</v>
      </c>
    </row>
    <row r="509">
      <c r="A509" s="7" t="s">
        <v>1078</v>
      </c>
      <c r="B509" s="7" t="s">
        <v>1332</v>
      </c>
      <c r="C509" s="7" t="s">
        <v>1102</v>
      </c>
      <c r="D509" s="7" t="s">
        <v>1215</v>
      </c>
      <c r="E509" s="7" t="s">
        <v>988</v>
      </c>
    </row>
    <row r="510">
      <c r="A510" s="7" t="s">
        <v>1078</v>
      </c>
      <c r="B510" s="7" t="s">
        <v>1232</v>
      </c>
      <c r="C510" s="7" t="s">
        <v>1102</v>
      </c>
      <c r="D510" s="7" t="s">
        <v>587</v>
      </c>
      <c r="E510" s="7" t="s">
        <v>988</v>
      </c>
    </row>
    <row r="511">
      <c r="A511" s="7" t="s">
        <v>1078</v>
      </c>
      <c r="B511" s="7" t="s">
        <v>1233</v>
      </c>
      <c r="C511" s="7" t="s">
        <v>1102</v>
      </c>
      <c r="D511" s="7" t="s">
        <v>587</v>
      </c>
      <c r="E511" s="7" t="s">
        <v>988</v>
      </c>
    </row>
    <row r="512">
      <c r="A512" s="7" t="s">
        <v>1078</v>
      </c>
      <c r="B512" s="7" t="s">
        <v>1236</v>
      </c>
      <c r="C512" s="7" t="s">
        <v>1102</v>
      </c>
      <c r="D512" s="7" t="s">
        <v>1331</v>
      </c>
      <c r="E512" s="7" t="s">
        <v>988</v>
      </c>
    </row>
    <row r="513">
      <c r="A513" s="7" t="s">
        <v>1078</v>
      </c>
      <c r="B513" s="7" t="s">
        <v>1111</v>
      </c>
      <c r="C513" s="7" t="s">
        <v>1102</v>
      </c>
      <c r="D513" s="7" t="s">
        <v>1105</v>
      </c>
      <c r="E513" s="7" t="s">
        <v>1105</v>
      </c>
    </row>
    <row r="514">
      <c r="A514" s="7" t="s">
        <v>1078</v>
      </c>
      <c r="B514" s="7" t="s">
        <v>1333</v>
      </c>
      <c r="C514" s="7" t="s">
        <v>1102</v>
      </c>
      <c r="D514" s="7" t="s">
        <v>587</v>
      </c>
      <c r="E514" s="7" t="s">
        <v>988</v>
      </c>
    </row>
    <row r="515">
      <c r="A515" s="7" t="s">
        <v>1081</v>
      </c>
      <c r="B515" s="7" t="s">
        <v>1159</v>
      </c>
      <c r="C515" s="7" t="s">
        <v>1102</v>
      </c>
      <c r="D515" s="7" t="s">
        <v>693</v>
      </c>
      <c r="E515" s="7" t="s">
        <v>988</v>
      </c>
    </row>
    <row r="516">
      <c r="A516" s="7" t="s">
        <v>1081</v>
      </c>
      <c r="B516" s="7" t="s">
        <v>1111</v>
      </c>
      <c r="C516" s="7" t="s">
        <v>1102</v>
      </c>
      <c r="D516" s="7" t="s">
        <v>1105</v>
      </c>
      <c r="E516" s="7" t="s">
        <v>1105</v>
      </c>
    </row>
    <row r="517">
      <c r="A517" s="7" t="s">
        <v>1081</v>
      </c>
      <c r="B517" s="7" t="s">
        <v>1160</v>
      </c>
      <c r="C517" s="7" t="s">
        <v>1102</v>
      </c>
      <c r="D517" s="7" t="s">
        <v>693</v>
      </c>
      <c r="E517" s="7" t="s">
        <v>988</v>
      </c>
    </row>
    <row r="518">
      <c r="A518" s="7" t="s">
        <v>1082</v>
      </c>
      <c r="B518" s="7" t="s">
        <v>1139</v>
      </c>
      <c r="C518" s="7" t="s">
        <v>1197</v>
      </c>
      <c r="D518" s="7" t="s">
        <v>1105</v>
      </c>
      <c r="E518" s="7" t="s">
        <v>1105</v>
      </c>
    </row>
    <row r="519">
      <c r="A519" s="7" t="s">
        <v>1085</v>
      </c>
      <c r="B519" s="7" t="s">
        <v>1243</v>
      </c>
      <c r="C519" s="7" t="s">
        <v>1052</v>
      </c>
      <c r="D519" s="7" t="s">
        <v>1105</v>
      </c>
      <c r="E519" s="7" t="s">
        <v>1105</v>
      </c>
    </row>
    <row r="520">
      <c r="A520" s="7" t="s">
        <v>1085</v>
      </c>
      <c r="B520" s="7" t="s">
        <v>1226</v>
      </c>
      <c r="C520" s="7" t="s">
        <v>1102</v>
      </c>
      <c r="D520" s="7" t="s">
        <v>391</v>
      </c>
      <c r="E520" s="7" t="s">
        <v>988</v>
      </c>
    </row>
    <row r="521">
      <c r="A521" s="7" t="s">
        <v>1085</v>
      </c>
      <c r="B521" s="7" t="s">
        <v>1334</v>
      </c>
      <c r="C521" s="7" t="s">
        <v>1197</v>
      </c>
      <c r="D521" s="7" t="s">
        <v>1105</v>
      </c>
      <c r="E521" s="7" t="s">
        <v>1105</v>
      </c>
    </row>
    <row r="522">
      <c r="A522" s="7" t="s">
        <v>1085</v>
      </c>
      <c r="B522" s="7" t="s">
        <v>1134</v>
      </c>
      <c r="C522" s="7" t="s">
        <v>1102</v>
      </c>
      <c r="D522" s="7" t="s">
        <v>1215</v>
      </c>
      <c r="E522" s="7" t="s">
        <v>988</v>
      </c>
    </row>
    <row r="523">
      <c r="A523" s="7" t="s">
        <v>1085</v>
      </c>
      <c r="B523" s="7" t="s">
        <v>1109</v>
      </c>
      <c r="C523" s="7" t="s">
        <v>1102</v>
      </c>
      <c r="D523" s="7" t="s">
        <v>1110</v>
      </c>
      <c r="E523" s="7" t="s">
        <v>988</v>
      </c>
    </row>
    <row r="524">
      <c r="A524" s="7" t="s">
        <v>1085</v>
      </c>
      <c r="B524" s="7" t="s">
        <v>1335</v>
      </c>
      <c r="C524" s="7" t="s">
        <v>1102</v>
      </c>
      <c r="D524" s="7" t="s">
        <v>1215</v>
      </c>
      <c r="E524" s="7" t="s">
        <v>988</v>
      </c>
    </row>
    <row r="525">
      <c r="A525" s="7" t="s">
        <v>1085</v>
      </c>
      <c r="B525" s="7" t="s">
        <v>1111</v>
      </c>
      <c r="C525" s="7" t="s">
        <v>1102</v>
      </c>
      <c r="D525" s="7" t="s">
        <v>1105</v>
      </c>
      <c r="E525" s="7" t="s">
        <v>1105</v>
      </c>
    </row>
    <row r="526">
      <c r="A526" s="7" t="s">
        <v>1085</v>
      </c>
      <c r="B526" s="7" t="s">
        <v>1246</v>
      </c>
      <c r="C526" s="7" t="s">
        <v>1313</v>
      </c>
      <c r="D526" s="7" t="s">
        <v>1246</v>
      </c>
      <c r="E526" s="7" t="s">
        <v>988</v>
      </c>
    </row>
    <row r="527">
      <c r="A527" s="7" t="s">
        <v>1085</v>
      </c>
      <c r="B527" s="7" t="s">
        <v>1336</v>
      </c>
      <c r="C527" s="7" t="s">
        <v>1102</v>
      </c>
      <c r="D527" s="7" t="s">
        <v>1108</v>
      </c>
      <c r="E527" s="7" t="s">
        <v>988</v>
      </c>
    </row>
    <row r="528">
      <c r="A528" s="7" t="s">
        <v>1085</v>
      </c>
      <c r="B528" s="7" t="s">
        <v>1113</v>
      </c>
      <c r="C528" s="7" t="s">
        <v>1102</v>
      </c>
      <c r="D528" s="7" t="s">
        <v>1110</v>
      </c>
      <c r="E528" s="7" t="s">
        <v>988</v>
      </c>
    </row>
    <row r="529">
      <c r="A529" s="7" t="s">
        <v>1087</v>
      </c>
      <c r="B529" s="7" t="s">
        <v>1348</v>
      </c>
      <c r="C529" s="7" t="s">
        <v>1197</v>
      </c>
      <c r="D529" s="7" t="s">
        <v>1105</v>
      </c>
      <c r="E529" s="7" t="s">
        <v>1105</v>
      </c>
    </row>
    <row r="530">
      <c r="A530" s="7" t="s">
        <v>1087</v>
      </c>
      <c r="B530" s="7" t="s">
        <v>1132</v>
      </c>
      <c r="C530" s="7" t="s">
        <v>1197</v>
      </c>
      <c r="D530" s="7" t="s">
        <v>1105</v>
      </c>
      <c r="E530" s="7" t="s">
        <v>1105</v>
      </c>
    </row>
    <row r="531">
      <c r="A531" s="7" t="s">
        <v>1087</v>
      </c>
      <c r="B531" s="7" t="s">
        <v>1349</v>
      </c>
      <c r="C531" s="7" t="s">
        <v>1197</v>
      </c>
      <c r="D531" s="7" t="s">
        <v>1105</v>
      </c>
      <c r="E531" s="7" t="s">
        <v>1105</v>
      </c>
    </row>
    <row r="532">
      <c r="A532" s="7" t="s">
        <v>1087</v>
      </c>
      <c r="B532" s="7" t="s">
        <v>1350</v>
      </c>
      <c r="C532" s="7" t="s">
        <v>1197</v>
      </c>
      <c r="D532" s="7" t="s">
        <v>1105</v>
      </c>
      <c r="E532" s="7" t="s">
        <v>1105</v>
      </c>
    </row>
    <row r="533">
      <c r="A533" s="7" t="s">
        <v>1087</v>
      </c>
      <c r="B533" s="7" t="s">
        <v>1351</v>
      </c>
      <c r="C533" s="7" t="s">
        <v>1197</v>
      </c>
      <c r="D533" s="7" t="s">
        <v>1105</v>
      </c>
      <c r="E533" s="7" t="s">
        <v>1105</v>
      </c>
    </row>
    <row r="534">
      <c r="A534" s="7" t="s">
        <v>1087</v>
      </c>
      <c r="B534" s="7" t="s">
        <v>1352</v>
      </c>
      <c r="C534" s="7" t="s">
        <v>1197</v>
      </c>
      <c r="D534" s="7" t="s">
        <v>1105</v>
      </c>
      <c r="E534" s="7" t="s">
        <v>1105</v>
      </c>
    </row>
    <row r="535">
      <c r="A535" s="7" t="s">
        <v>1087</v>
      </c>
      <c r="B535" s="7" t="s">
        <v>1353</v>
      </c>
      <c r="C535" s="7" t="s">
        <v>1197</v>
      </c>
      <c r="D535" s="7" t="s">
        <v>1105</v>
      </c>
      <c r="E535" s="7" t="s">
        <v>1105</v>
      </c>
    </row>
    <row r="536">
      <c r="A536" s="7" t="s">
        <v>1087</v>
      </c>
      <c r="B536" s="7" t="s">
        <v>369</v>
      </c>
      <c r="C536" s="7" t="s">
        <v>1197</v>
      </c>
      <c r="D536" s="7" t="s">
        <v>1105</v>
      </c>
      <c r="E536" s="7" t="s">
        <v>1105</v>
      </c>
    </row>
    <row r="537">
      <c r="A537" s="7" t="s">
        <v>1087</v>
      </c>
      <c r="B537" s="7" t="s">
        <v>1204</v>
      </c>
      <c r="C537" s="7" t="s">
        <v>1197</v>
      </c>
      <c r="D537" s="7" t="s">
        <v>1105</v>
      </c>
      <c r="E537" s="7" t="s">
        <v>1105</v>
      </c>
    </row>
    <row r="538">
      <c r="A538" s="7" t="s">
        <v>1090</v>
      </c>
      <c r="B538" s="7" t="s">
        <v>1109</v>
      </c>
      <c r="C538" s="7" t="s">
        <v>1181</v>
      </c>
      <c r="D538" s="7" t="s">
        <v>1110</v>
      </c>
      <c r="E538" s="7" t="s">
        <v>988</v>
      </c>
    </row>
    <row r="539">
      <c r="A539" s="7" t="s">
        <v>1090</v>
      </c>
      <c r="B539" s="7" t="s">
        <v>1111</v>
      </c>
      <c r="C539" s="7" t="s">
        <v>1181</v>
      </c>
      <c r="D539" s="7" t="s">
        <v>1105</v>
      </c>
      <c r="E539" s="7" t="s">
        <v>1105</v>
      </c>
    </row>
    <row r="540">
      <c r="A540" s="7" t="s">
        <v>1090</v>
      </c>
      <c r="B540" s="7" t="s">
        <v>1336</v>
      </c>
      <c r="C540" s="7" t="s">
        <v>1181</v>
      </c>
      <c r="D540" s="7" t="s">
        <v>1108</v>
      </c>
      <c r="E540" s="7" t="s">
        <v>988</v>
      </c>
    </row>
    <row r="541">
      <c r="A541" s="7" t="s">
        <v>1090</v>
      </c>
      <c r="B541" s="7" t="s">
        <v>1113</v>
      </c>
      <c r="C541" s="7" t="s">
        <v>1181</v>
      </c>
      <c r="D541" s="7" t="s">
        <v>1110</v>
      </c>
      <c r="E541" s="7" t="s">
        <v>988</v>
      </c>
    </row>
    <row r="542">
      <c r="A542" s="7" t="s">
        <v>1093</v>
      </c>
      <c r="B542" s="7" t="s">
        <v>1108</v>
      </c>
      <c r="C542" s="7" t="s">
        <v>1102</v>
      </c>
      <c r="D542" s="7" t="s">
        <v>1354</v>
      </c>
      <c r="E542" s="7" t="s">
        <v>988</v>
      </c>
    </row>
    <row r="543">
      <c r="A543" s="7" t="s">
        <v>1093</v>
      </c>
      <c r="B543" s="7" t="s">
        <v>1111</v>
      </c>
      <c r="C543" s="7" t="s">
        <v>1102</v>
      </c>
      <c r="D543" s="7" t="s">
        <v>1105</v>
      </c>
      <c r="E543" s="7" t="s">
        <v>1105</v>
      </c>
    </row>
    <row r="544">
      <c r="A544" s="7" t="s">
        <v>1096</v>
      </c>
      <c r="B544" s="7" t="s">
        <v>1355</v>
      </c>
      <c r="C544" s="7" t="s">
        <v>1102</v>
      </c>
      <c r="D544" s="7" t="s">
        <v>1097</v>
      </c>
      <c r="E544" s="7" t="s">
        <v>988</v>
      </c>
    </row>
    <row r="545">
      <c r="A545" s="7" t="s">
        <v>1096</v>
      </c>
      <c r="B545" s="7" t="s">
        <v>1224</v>
      </c>
      <c r="C545" s="7" t="s">
        <v>1102</v>
      </c>
      <c r="D545" s="7" t="s">
        <v>1097</v>
      </c>
      <c r="E545" s="7" t="s">
        <v>988</v>
      </c>
    </row>
    <row r="546">
      <c r="A546" s="7" t="s">
        <v>1096</v>
      </c>
      <c r="B546" s="7" t="s">
        <v>1356</v>
      </c>
      <c r="C546" s="7" t="s">
        <v>1102</v>
      </c>
      <c r="D546" s="7" t="s">
        <v>1097</v>
      </c>
      <c r="E546" s="7" t="s">
        <v>988</v>
      </c>
    </row>
    <row r="547">
      <c r="A547" s="7" t="s">
        <v>1096</v>
      </c>
      <c r="B547" s="7" t="s">
        <v>1357</v>
      </c>
      <c r="C547" s="7" t="s">
        <v>1102</v>
      </c>
      <c r="D547" s="7" t="s">
        <v>1097</v>
      </c>
      <c r="E547" s="7" t="s">
        <v>988</v>
      </c>
    </row>
    <row r="548">
      <c r="A548" s="7" t="s">
        <v>1096</v>
      </c>
      <c r="B548" s="7" t="s">
        <v>1227</v>
      </c>
      <c r="C548" s="7" t="s">
        <v>1102</v>
      </c>
      <c r="D548" s="7" t="s">
        <v>693</v>
      </c>
      <c r="E548" s="7" t="s">
        <v>988</v>
      </c>
    </row>
    <row r="549">
      <c r="A549" s="7" t="s">
        <v>1096</v>
      </c>
      <c r="B549" s="7" t="s">
        <v>1358</v>
      </c>
      <c r="C549" s="7" t="s">
        <v>1102</v>
      </c>
      <c r="D549" s="7" t="s">
        <v>1097</v>
      </c>
      <c r="E549" s="7" t="s">
        <v>988</v>
      </c>
    </row>
    <row r="550">
      <c r="A550" s="7" t="s">
        <v>1096</v>
      </c>
      <c r="B550" s="7" t="s">
        <v>1359</v>
      </c>
      <c r="C550" s="7" t="s">
        <v>1102</v>
      </c>
      <c r="D550" s="7" t="s">
        <v>693</v>
      </c>
      <c r="E550" s="7" t="s">
        <v>988</v>
      </c>
    </row>
    <row r="551">
      <c r="A551" s="7" t="s">
        <v>1096</v>
      </c>
      <c r="B551" s="7" t="s">
        <v>1360</v>
      </c>
      <c r="C551" s="7" t="s">
        <v>1102</v>
      </c>
      <c r="D551" s="7" t="s">
        <v>1097</v>
      </c>
      <c r="E551" s="7" t="s">
        <v>988</v>
      </c>
    </row>
    <row r="552">
      <c r="A552" s="7" t="s">
        <v>1096</v>
      </c>
      <c r="B552" s="7" t="s">
        <v>1361</v>
      </c>
      <c r="C552" s="7" t="s">
        <v>1102</v>
      </c>
      <c r="D552" s="7" t="s">
        <v>1097</v>
      </c>
      <c r="E552" s="7" t="s">
        <v>988</v>
      </c>
    </row>
    <row r="553">
      <c r="A553" s="7" t="s">
        <v>1096</v>
      </c>
      <c r="B553" s="7" t="s">
        <v>1137</v>
      </c>
      <c r="C553" s="7" t="s">
        <v>1102</v>
      </c>
      <c r="D553" s="7" t="s">
        <v>1097</v>
      </c>
      <c r="E553" s="7" t="s">
        <v>988</v>
      </c>
    </row>
    <row r="554">
      <c r="A554" s="7" t="s">
        <v>1096</v>
      </c>
      <c r="B554" s="7" t="s">
        <v>1362</v>
      </c>
      <c r="C554" s="7" t="s">
        <v>1102</v>
      </c>
      <c r="D554" s="7" t="s">
        <v>1097</v>
      </c>
      <c r="E554" s="7" t="s">
        <v>988</v>
      </c>
    </row>
    <row r="555">
      <c r="A555" s="7" t="s">
        <v>1096</v>
      </c>
      <c r="B555" s="7" t="s">
        <v>1174</v>
      </c>
      <c r="C555" s="7" t="s">
        <v>1102</v>
      </c>
      <c r="D555" s="7" t="s">
        <v>693</v>
      </c>
      <c r="E555" s="7" t="s">
        <v>988</v>
      </c>
    </row>
    <row r="556">
      <c r="A556" s="7" t="s">
        <v>1096</v>
      </c>
      <c r="B556" s="7" t="s">
        <v>1111</v>
      </c>
      <c r="C556" s="7" t="s">
        <v>1102</v>
      </c>
      <c r="D556" s="7" t="s">
        <v>1105</v>
      </c>
      <c r="E556" s="7" t="s">
        <v>1105</v>
      </c>
    </row>
    <row r="557">
      <c r="A557" s="7" t="s">
        <v>1096</v>
      </c>
      <c r="B557" s="7" t="s">
        <v>1363</v>
      </c>
      <c r="C557" s="7" t="s">
        <v>1102</v>
      </c>
      <c r="D557" s="7" t="s">
        <v>1097</v>
      </c>
      <c r="E557" s="7" t="s">
        <v>988</v>
      </c>
    </row>
    <row r="558">
      <c r="A558" s="7" t="s">
        <v>1096</v>
      </c>
      <c r="B558" s="7" t="s">
        <v>1229</v>
      </c>
      <c r="C558" s="7" t="s">
        <v>1102</v>
      </c>
      <c r="D558" s="7" t="s">
        <v>1097</v>
      </c>
      <c r="E558" s="7" t="s">
        <v>988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46" t="s">
        <v>2054</v>
      </c>
      <c r="C3" s="46" t="s">
        <v>2055</v>
      </c>
    </row>
    <row r="4">
      <c r="B4" s="46" t="s">
        <v>985</v>
      </c>
      <c r="C4" s="46" t="s">
        <v>2056</v>
      </c>
    </row>
    <row r="5">
      <c r="B5" s="46" t="s">
        <v>988</v>
      </c>
      <c r="C5" s="46" t="s">
        <v>2057</v>
      </c>
    </row>
    <row r="6">
      <c r="B6" s="46" t="s">
        <v>987</v>
      </c>
      <c r="C6" s="46" t="s">
        <v>2058</v>
      </c>
      <c r="H6" s="7" t="s">
        <v>2059</v>
      </c>
    </row>
    <row r="10">
      <c r="B10" s="7" t="s">
        <v>2060</v>
      </c>
      <c r="C10" s="7" t="s">
        <v>2061</v>
      </c>
      <c r="D10" s="7" t="s">
        <v>2062</v>
      </c>
      <c r="E10" s="7" t="s">
        <v>1021</v>
      </c>
      <c r="F10" s="7" t="s">
        <v>1369</v>
      </c>
      <c r="G10" s="7" t="s">
        <v>1369</v>
      </c>
    </row>
    <row r="11">
      <c r="C11" s="7">
        <v>0.0</v>
      </c>
    </row>
    <row r="12">
      <c r="C12" s="7" t="s">
        <v>2063</v>
      </c>
    </row>
    <row r="14">
      <c r="D14" s="7" t="s">
        <v>2064</v>
      </c>
      <c r="E14" s="7" t="s">
        <v>2065</v>
      </c>
      <c r="F14" s="7" t="s">
        <v>2065</v>
      </c>
    </row>
    <row r="15">
      <c r="A15" s="7" t="s">
        <v>2066</v>
      </c>
      <c r="G15" s="7" t="s">
        <v>2067</v>
      </c>
    </row>
    <row r="16">
      <c r="A16" s="7" t="s">
        <v>2068</v>
      </c>
      <c r="G16" s="7" t="s">
        <v>2069</v>
      </c>
    </row>
    <row r="17">
      <c r="G17" s="7" t="s">
        <v>2070</v>
      </c>
    </row>
    <row r="18">
      <c r="A18" s="7" t="s">
        <v>2071</v>
      </c>
    </row>
    <row r="19">
      <c r="A19" s="7" t="s">
        <v>2072</v>
      </c>
    </row>
    <row r="21">
      <c r="A21" s="47" t="s">
        <v>2073</v>
      </c>
    </row>
    <row r="22">
      <c r="A22" s="7" t="s">
        <v>2074</v>
      </c>
    </row>
    <row r="23">
      <c r="A23" s="47" t="s">
        <v>2075</v>
      </c>
    </row>
    <row r="24">
      <c r="A24" s="7" t="s">
        <v>2076</v>
      </c>
    </row>
    <row r="27">
      <c r="A27" s="7" t="s">
        <v>2077</v>
      </c>
    </row>
    <row r="28">
      <c r="A28" s="7" t="s">
        <v>2078</v>
      </c>
    </row>
    <row r="30">
      <c r="A30" s="7" t="s">
        <v>2079</v>
      </c>
    </row>
    <row r="31">
      <c r="A31" s="7" t="s">
        <v>2080</v>
      </c>
    </row>
    <row r="32">
      <c r="A32" s="7" t="s">
        <v>2081</v>
      </c>
    </row>
    <row r="33">
      <c r="A33" s="7" t="s">
        <v>2082</v>
      </c>
    </row>
    <row r="35">
      <c r="A35" s="7" t="s">
        <v>2083</v>
      </c>
    </row>
    <row r="36">
      <c r="A36" s="7" t="s">
        <v>2084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25"/>
  </cols>
  <sheetData>
    <row r="1">
      <c r="A1" s="48" t="s">
        <v>2085</v>
      </c>
      <c r="B1" s="48" t="s">
        <v>2086</v>
      </c>
    </row>
    <row r="2">
      <c r="A2" s="37" t="str">
        <f>IFERROR(__xludf.DUMMYFUNCTION("UNIQUE(FLATTEN('（新）div'!L2:M379))"),"三島 圭介")</f>
        <v>三島 圭介</v>
      </c>
      <c r="B2" s="37" t="str">
        <f>IFERROR(__xludf.DUMMYFUNCTION("UNIQUE(FLATTEN('（新）project_bk'!E5:E269,'（新）project_bk'!G5:G269,'（新）project_bk'!I5:I269,'（新）project_bk'!K5:K269,'（新）project_bk'!M5:M269,'（新）project_bk'!O5:O269,'（新）project_bk'!S5:S269))"),"山口祥子")</f>
        <v>山口祥子</v>
      </c>
    </row>
    <row r="3">
      <c r="A3" s="37" t="str">
        <f>IFERROR(__xludf.DUMMYFUNCTION("""COMPUTED_VALUE"""),"松本 太寛")</f>
        <v>松本 太寛</v>
      </c>
      <c r="B3" s="37" t="str">
        <f>IFERROR(__xludf.DUMMYFUNCTION("""COMPUTED_VALUE"""),"×")</f>
        <v>×</v>
      </c>
    </row>
    <row r="4">
      <c r="A4" s="37" t="str">
        <f>IFERROR(__xludf.DUMMYFUNCTION("""COMPUTED_VALUE"""),"×")</f>
        <v>×</v>
      </c>
      <c r="B4" s="37" t="str">
        <f>IFERROR(__xludf.DUMMYFUNCTION("""COMPUTED_VALUE"""),"佐藤僚")</f>
        <v>佐藤僚</v>
      </c>
    </row>
    <row r="5">
      <c r="A5" s="37" t="str">
        <f>IFERROR(__xludf.DUMMYFUNCTION("""COMPUTED_VALUE"""),"薮崎 泰一")</f>
        <v>薮崎 泰一</v>
      </c>
      <c r="B5" s="37" t="str">
        <f>IFERROR(__xludf.DUMMYFUNCTION("""COMPUTED_VALUE"""),"安井聡史")</f>
        <v>安井聡史</v>
      </c>
    </row>
    <row r="6">
      <c r="A6" s="37" t="str">
        <f>IFERROR(__xludf.DUMMYFUNCTION("""COMPUTED_VALUE"""),"横山 義之")</f>
        <v>横山 義之</v>
      </c>
      <c r="B6" s="37" t="str">
        <f>IFERROR(__xludf.DUMMYFUNCTION("""COMPUTED_VALUE"""),"山本陽司")</f>
        <v>山本陽司</v>
      </c>
    </row>
    <row r="7">
      <c r="A7" s="37" t="str">
        <f>IFERROR(__xludf.DUMMYFUNCTION("""COMPUTED_VALUE"""),"野原 孝行")</f>
        <v>野原 孝行</v>
      </c>
      <c r="B7" s="37" t="str">
        <f>IFERROR(__xludf.DUMMYFUNCTION("""COMPUTED_VALUE"""),"楠井大地")</f>
        <v>楠井大地</v>
      </c>
    </row>
    <row r="8">
      <c r="A8" s="37" t="str">
        <f>IFERROR(__xludf.DUMMYFUNCTION("""COMPUTED_VALUE"""),"石井 公二")</f>
        <v>石井 公二</v>
      </c>
      <c r="B8" s="37" t="str">
        <f>IFERROR(__xludf.DUMMYFUNCTION("""COMPUTED_VALUE"""),"佐藤貴亮")</f>
        <v>佐藤貴亮</v>
      </c>
    </row>
    <row r="9">
      <c r="A9" s="37" t="str">
        <f>IFERROR(__xludf.DUMMYFUNCTION("""COMPUTED_VALUE"""),"青山 智史")</f>
        <v>青山 智史</v>
      </c>
      <c r="B9" s="37" t="str">
        <f>IFERROR(__xludf.DUMMYFUNCTION("""COMPUTED_VALUE"""),"島村恒平")</f>
        <v>島村恒平</v>
      </c>
    </row>
    <row r="10">
      <c r="A10" s="37" t="str">
        <f>IFERROR(__xludf.DUMMYFUNCTION("""COMPUTED_VALUE"""),"杉村 元規")</f>
        <v>杉村 元規</v>
      </c>
      <c r="B10" s="37" t="str">
        <f>IFERROR(__xludf.DUMMYFUNCTION("""COMPUTED_VALUE"""),"大田由香")</f>
        <v>大田由香</v>
      </c>
    </row>
    <row r="11">
      <c r="A11" s="37" t="str">
        <f>IFERROR(__xludf.DUMMYFUNCTION("""COMPUTED_VALUE"""),"坂田 信隆a")</f>
        <v>坂田 信隆a</v>
      </c>
      <c r="B11" s="37" t="str">
        <f>IFERROR(__xludf.DUMMYFUNCTION("""COMPUTED_VALUE"""),"杉田絵美")</f>
        <v>杉田絵美</v>
      </c>
    </row>
    <row r="12">
      <c r="A12" s="37" t="str">
        <f>IFERROR(__xludf.DUMMYFUNCTION("""COMPUTED_VALUE"""),"中川 真紀子")</f>
        <v>中川 真紀子</v>
      </c>
      <c r="B12" s="37" t="str">
        <f>IFERROR(__xludf.DUMMYFUNCTION("""COMPUTED_VALUE"""),"熊本満里奈")</f>
        <v>熊本満里奈</v>
      </c>
    </row>
    <row r="13">
      <c r="A13" s="37" t="str">
        <f>IFERROR(__xludf.DUMMYFUNCTION("""COMPUTED_VALUE"""),"加藤 里紗")</f>
        <v>加藤 里紗</v>
      </c>
      <c r="B13" s="37" t="str">
        <f>IFERROR(__xludf.DUMMYFUNCTION("""COMPUTED_VALUE"""),"長岡輝")</f>
        <v>長岡輝</v>
      </c>
    </row>
    <row r="14">
      <c r="A14" s="37" t="str">
        <f>IFERROR(__xludf.DUMMYFUNCTION("""COMPUTED_VALUE"""),"山本 陽司")</f>
        <v>山本 陽司</v>
      </c>
      <c r="B14" s="37" t="str">
        <f>IFERROR(__xludf.DUMMYFUNCTION("""COMPUTED_VALUE"""),"安田勇大")</f>
        <v>安田勇大</v>
      </c>
    </row>
    <row r="15">
      <c r="A15" s="37" t="str">
        <f>IFERROR(__xludf.DUMMYFUNCTION("""COMPUTED_VALUE"""),"柳本 修平")</f>
        <v>柳本 修平</v>
      </c>
      <c r="B15" s="37" t="str">
        <f>IFERROR(__xludf.DUMMYFUNCTION("""COMPUTED_VALUE"""),"木村俊也")</f>
        <v>木村俊也</v>
      </c>
    </row>
    <row r="16">
      <c r="A16" s="37" t="str">
        <f>IFERROR(__xludf.DUMMYFUNCTION("""COMPUTED_VALUE"""),"井上 慎也")</f>
        <v>井上 慎也</v>
      </c>
      <c r="B16" s="37" t="str">
        <f>IFERROR(__xludf.DUMMYFUNCTION("""COMPUTED_VALUE"""),"向中野智志")</f>
        <v>向中野智志</v>
      </c>
    </row>
    <row r="17">
      <c r="A17" s="37" t="str">
        <f>IFERROR(__xludf.DUMMYFUNCTION("""COMPUTED_VALUE"""),"望月 大輔")</f>
        <v>望月 大輔</v>
      </c>
      <c r="B17" s="37" t="str">
        <f>IFERROR(__xludf.DUMMYFUNCTION("""COMPUTED_VALUE"""),"菅原亜弓")</f>
        <v>菅原亜弓</v>
      </c>
    </row>
    <row r="18">
      <c r="A18" s="37" t="str">
        <f>IFERROR(__xludf.DUMMYFUNCTION("""COMPUTED_VALUE"""),"荒木 豪司")</f>
        <v>荒木 豪司</v>
      </c>
      <c r="B18" s="37" t="str">
        <f>IFERROR(__xludf.DUMMYFUNCTION("""COMPUTED_VALUE"""),"宇高邦弘")</f>
        <v>宇高邦弘</v>
      </c>
    </row>
    <row r="19">
      <c r="A19" s="37" t="str">
        <f>IFERROR(__xludf.DUMMYFUNCTION("""COMPUTED_VALUE"""),"大場 大史")</f>
        <v>大場 大史</v>
      </c>
      <c r="B19" s="37" t="str">
        <f>IFERROR(__xludf.DUMMYFUNCTION("""COMPUTED_VALUE"""),"西澤明日香")</f>
        <v>西澤明日香</v>
      </c>
    </row>
    <row r="20">
      <c r="A20" s="37" t="str">
        <f>IFERROR(__xludf.DUMMYFUNCTION("""COMPUTED_VALUE"""),"宇田川 浩彦")</f>
        <v>宇田川 浩彦</v>
      </c>
      <c r="B20" s="37" t="str">
        <f>IFERROR(__xludf.DUMMYFUNCTION("""COMPUTED_VALUE"""),"岨中健太")</f>
        <v>岨中健太</v>
      </c>
    </row>
    <row r="21">
      <c r="A21" s="37" t="str">
        <f>IFERROR(__xludf.DUMMYFUNCTION("""COMPUTED_VALUE"""),"志々目 孝広")</f>
        <v>志々目 孝広</v>
      </c>
      <c r="B21" s="37" t="str">
        <f>IFERROR(__xludf.DUMMYFUNCTION("""COMPUTED_VALUE"""),"横山義之")</f>
        <v>横山義之</v>
      </c>
    </row>
    <row r="22">
      <c r="A22" s="37" t="str">
        <f>IFERROR(__xludf.DUMMYFUNCTION("""COMPUTED_VALUE"""),"谷 賢史")</f>
        <v>谷 賢史</v>
      </c>
      <c r="B22" s="37" t="str">
        <f>IFERROR(__xludf.DUMMYFUNCTION("""COMPUTED_VALUE"""),"早川泰彦")</f>
        <v>早川泰彦</v>
      </c>
    </row>
    <row r="23">
      <c r="A23" s="37" t="str">
        <f>IFERROR(__xludf.DUMMYFUNCTION("""COMPUTED_VALUE"""),"安井 聡史")</f>
        <v>安井 聡史</v>
      </c>
      <c r="B23" s="37" t="str">
        <f>IFERROR(__xludf.DUMMYFUNCTION("""COMPUTED_VALUE"""),"小野里浩司")</f>
        <v>小野里浩司</v>
      </c>
    </row>
    <row r="24">
      <c r="A24" s="37" t="str">
        <f>IFERROR(__xludf.DUMMYFUNCTION("""COMPUTED_VALUE"""),"越智 純平")</f>
        <v>越智 純平</v>
      </c>
      <c r="B24" s="37" t="str">
        <f>IFERROR(__xludf.DUMMYFUNCTION("""COMPUTED_VALUE"""),"寺谷祐樹")</f>
        <v>寺谷祐樹</v>
      </c>
    </row>
    <row r="25">
      <c r="A25" s="37" t="str">
        <f>IFERROR(__xludf.DUMMYFUNCTION("""COMPUTED_VALUE"""),"大槻 一彦")</f>
        <v>大槻 一彦</v>
      </c>
      <c r="B25" s="37" t="str">
        <f>IFERROR(__xludf.DUMMYFUNCTION("""COMPUTED_VALUE"""),"櫻井謙士")</f>
        <v>櫻井謙士</v>
      </c>
    </row>
    <row r="26">
      <c r="A26" s="37" t="str">
        <f>IFERROR(__xludf.DUMMYFUNCTION("""COMPUTED_VALUE"""),"髙橋 勇太")</f>
        <v>髙橋 勇太</v>
      </c>
      <c r="B26" s="37" t="str">
        <f>IFERROR(__xludf.DUMMYFUNCTION("""COMPUTED_VALUE"""),"三嶋佳織")</f>
        <v>三嶋佳織</v>
      </c>
    </row>
    <row r="27">
      <c r="A27" s="37" t="str">
        <f>IFERROR(__xludf.DUMMYFUNCTION("""COMPUTED_VALUE"""),"岡本 勇太")</f>
        <v>岡本 勇太</v>
      </c>
      <c r="B27" s="37" t="str">
        <f>IFERROR(__xludf.DUMMYFUNCTION("""COMPUTED_VALUE"""),"新和博")</f>
        <v>新和博</v>
      </c>
    </row>
    <row r="28">
      <c r="A28" s="37" t="str">
        <f>IFERROR(__xludf.DUMMYFUNCTION("""COMPUTED_VALUE"""),"吉永 英恵")</f>
        <v>吉永 英恵</v>
      </c>
      <c r="B28" s="37" t="str">
        <f>IFERROR(__xludf.DUMMYFUNCTION("""COMPUTED_VALUE"""),"加奈山怜")</f>
        <v>加奈山怜</v>
      </c>
    </row>
    <row r="29">
      <c r="A29" s="37" t="str">
        <f>IFERROR(__xludf.DUMMYFUNCTION("""COMPUTED_VALUE"""),"照内 大丈")</f>
        <v>照内 大丈</v>
      </c>
      <c r="B29" s="37" t="str">
        <f>IFERROR(__xludf.DUMMYFUNCTION("""COMPUTED_VALUE"""),"小林誠")</f>
        <v>小林誠</v>
      </c>
    </row>
    <row r="30">
      <c r="A30" s="37" t="str">
        <f>IFERROR(__xludf.DUMMYFUNCTION("""COMPUTED_VALUE"""),"砂村 哲平")</f>
        <v>砂村 哲平</v>
      </c>
      <c r="B30" s="37" t="str">
        <f>IFERROR(__xludf.DUMMYFUNCTION("""COMPUTED_VALUE"""),"玉井賀子")</f>
        <v>玉井賀子</v>
      </c>
    </row>
    <row r="31">
      <c r="A31" s="37" t="str">
        <f>IFERROR(__xludf.DUMMYFUNCTION("""COMPUTED_VALUE"""),"吉野 純平")</f>
        <v>吉野 純平</v>
      </c>
      <c r="B31" s="37" t="str">
        <f>IFERROR(__xludf.DUMMYFUNCTION("""COMPUTED_VALUE"""),"加藤佳代")</f>
        <v>加藤佳代</v>
      </c>
    </row>
    <row r="32">
      <c r="A32" s="37"/>
      <c r="B32" s="37" t="str">
        <f>IFERROR(__xludf.DUMMYFUNCTION("""COMPUTED_VALUE"""),"塚田亜希子")</f>
        <v>塚田亜希子</v>
      </c>
    </row>
    <row r="33">
      <c r="A33" s="37" t="str">
        <f>IFERROR(__xludf.DUMMYFUNCTION("""COMPUTED_VALUE"""),"小林 家光")</f>
        <v>小林 家光</v>
      </c>
      <c r="B33" s="37" t="str">
        <f>IFERROR(__xludf.DUMMYFUNCTION("""COMPUTED_VALUE"""),"木村真")</f>
        <v>木村真</v>
      </c>
    </row>
    <row r="34">
      <c r="A34" s="37" t="str">
        <f>IFERROR(__xludf.DUMMYFUNCTION("""COMPUTED_VALUE"""),"大崎 敦士")</f>
        <v>大崎 敦士</v>
      </c>
      <c r="B34" s="37" t="str">
        <f>IFERROR(__xludf.DUMMYFUNCTION("""COMPUTED_VALUE"""),"小林完爾")</f>
        <v>小林完爾</v>
      </c>
    </row>
    <row r="35">
      <c r="A35" s="37" t="str">
        <f>IFERROR(__xludf.DUMMYFUNCTION("""COMPUTED_VALUE"""),"川岸 滋也")</f>
        <v>川岸 滋也</v>
      </c>
      <c r="B35" s="37" t="str">
        <f>IFERROR(__xludf.DUMMYFUNCTION("""COMPUTED_VALUE"""),"石井瞬")</f>
        <v>石井瞬</v>
      </c>
    </row>
    <row r="36">
      <c r="A36" s="37" t="str">
        <f>IFERROR(__xludf.DUMMYFUNCTION("""COMPUTED_VALUE"""),"長井 一悟")</f>
        <v>長井 一悟</v>
      </c>
      <c r="B36" s="37" t="str">
        <f>IFERROR(__xludf.DUMMYFUNCTION("""COMPUTED_VALUE"""),"嵯峨勇")</f>
        <v>嵯峨勇</v>
      </c>
    </row>
    <row r="37">
      <c r="A37" s="37" t="str">
        <f>IFERROR(__xludf.DUMMYFUNCTION("""COMPUTED_VALUE"""),"石田 哲久")</f>
        <v>石田 哲久</v>
      </c>
      <c r="B37" s="37" t="str">
        <f>IFERROR(__xludf.DUMMYFUNCTION("""COMPUTED_VALUE"""),"小林一希")</f>
        <v>小林一希</v>
      </c>
    </row>
    <row r="38">
      <c r="A38" s="37" t="str">
        <f>IFERROR(__xludf.DUMMYFUNCTION("""COMPUTED_VALUE"""),"菊池 翔平")</f>
        <v>菊池 翔平</v>
      </c>
      <c r="B38" s="37" t="str">
        <f>IFERROR(__xludf.DUMMYFUNCTION("""COMPUTED_VALUE"""),"加藤徳英")</f>
        <v>加藤徳英</v>
      </c>
    </row>
    <row r="39">
      <c r="A39" s="37" t="str">
        <f>IFERROR(__xludf.DUMMYFUNCTION("""COMPUTED_VALUE"""),"岨中 健太")</f>
        <v>岨中 健太</v>
      </c>
      <c r="B39" s="37" t="str">
        <f>IFERROR(__xludf.DUMMYFUNCTION("""COMPUTED_VALUE"""),"渡部喜正")</f>
        <v>渡部喜正</v>
      </c>
    </row>
    <row r="40">
      <c r="A40" s="37" t="str">
        <f>IFERROR(__xludf.DUMMYFUNCTION("""COMPUTED_VALUE"""),"佐藤 太一")</f>
        <v>佐藤 太一</v>
      </c>
      <c r="B40" s="37" t="str">
        <f>IFERROR(__xludf.DUMMYFUNCTION("""COMPUTED_VALUE"""),"譚正文")</f>
        <v>譚正文</v>
      </c>
    </row>
    <row r="41">
      <c r="A41" s="37" t="str">
        <f>IFERROR(__xludf.DUMMYFUNCTION("""COMPUTED_VALUE"""),"小池 知裕")</f>
        <v>小池 知裕</v>
      </c>
      <c r="B41" s="37" t="str">
        <f>IFERROR(__xludf.DUMMYFUNCTION("""COMPUTED_VALUE"""),"坂田信隆a")</f>
        <v>坂田信隆a</v>
      </c>
    </row>
    <row r="42">
      <c r="A42" s="37" t="str">
        <f>IFERROR(__xludf.DUMMYFUNCTION("""COMPUTED_VALUE"""),"亀山 直生")</f>
        <v>亀山 直生</v>
      </c>
      <c r="B42" s="37" t="str">
        <f>IFERROR(__xludf.DUMMYFUNCTION("""COMPUTED_VALUE"""),"日下ななみ")</f>
        <v>日下ななみ</v>
      </c>
    </row>
    <row r="43">
      <c r="A43" s="37" t="str">
        <f>IFERROR(__xludf.DUMMYFUNCTION("""COMPUTED_VALUE"""),"船隠 大介")</f>
        <v>船隠 大介</v>
      </c>
      <c r="B43" s="37" t="str">
        <f>IFERROR(__xludf.DUMMYFUNCTION("""COMPUTED_VALUE"""),"石井万祐子")</f>
        <v>石井万祐子</v>
      </c>
    </row>
    <row r="44">
      <c r="A44" s="37" t="str">
        <f>IFERROR(__xludf.DUMMYFUNCTION("""COMPUTED_VALUE"""),"中野 康太朗")</f>
        <v>中野 康太朗</v>
      </c>
      <c r="B44" s="37" t="str">
        <f>IFERROR(__xludf.DUMMYFUNCTION("""COMPUTED_VALUE"""),"武本泰伸")</f>
        <v>武本泰伸</v>
      </c>
    </row>
    <row r="45">
      <c r="A45" s="37" t="str">
        <f>IFERROR(__xludf.DUMMYFUNCTION("""COMPUTED_VALUE"""),"横井 速人")</f>
        <v>横井 速人</v>
      </c>
      <c r="B45" s="37" t="str">
        <f>IFERROR(__xludf.DUMMYFUNCTION("""COMPUTED_VALUE"""),"瀧本晋也")</f>
        <v>瀧本晋也</v>
      </c>
    </row>
    <row r="46">
      <c r="A46" s="37" t="str">
        <f>IFERROR(__xludf.DUMMYFUNCTION("""COMPUTED_VALUE"""),"小林 完爾")</f>
        <v>小林 完爾</v>
      </c>
      <c r="B46" s="37" t="str">
        <f>IFERROR(__xludf.DUMMYFUNCTION("""COMPUTED_VALUE"""),"森本周平")</f>
        <v>森本周平</v>
      </c>
    </row>
    <row r="47">
      <c r="A47" s="37" t="str">
        <f>IFERROR(__xludf.DUMMYFUNCTION("""COMPUTED_VALUE"""),"石原 洋輔")</f>
        <v>石原 洋輔</v>
      </c>
      <c r="B47" s="37" t="str">
        <f>IFERROR(__xludf.DUMMYFUNCTION("""COMPUTED_VALUE"""),"周軼駿")</f>
        <v>周軼駿</v>
      </c>
    </row>
    <row r="48">
      <c r="A48" s="37" t="str">
        <f>IFERROR(__xludf.DUMMYFUNCTION("""COMPUTED_VALUE"""),"加藤 翔石")</f>
        <v>加藤 翔石</v>
      </c>
      <c r="B48" s="37" t="str">
        <f>IFERROR(__xludf.DUMMYFUNCTION("""COMPUTED_VALUE"""),"酒井優")</f>
        <v>酒井優</v>
      </c>
    </row>
    <row r="49">
      <c r="A49" s="37" t="str">
        <f>IFERROR(__xludf.DUMMYFUNCTION("""COMPUTED_VALUE"""),"小原 蓉童")</f>
        <v>小原 蓉童</v>
      </c>
      <c r="B49" s="37" t="str">
        <f>IFERROR(__xludf.DUMMYFUNCTION("""COMPUTED_VALUE"""),"山本忠智香")</f>
        <v>山本忠智香</v>
      </c>
    </row>
    <row r="50">
      <c r="A50" s="37" t="str">
        <f>IFERROR(__xludf.DUMMYFUNCTION("""COMPUTED_VALUE"""),"須貝 一貴")</f>
        <v>須貝 一貴</v>
      </c>
      <c r="B50" s="37" t="str">
        <f>IFERROR(__xludf.DUMMYFUNCTION("""COMPUTED_VALUE"""),"竹井香織")</f>
        <v>竹井香織</v>
      </c>
    </row>
    <row r="51">
      <c r="A51" s="37" t="str">
        <f>IFERROR(__xludf.DUMMYFUNCTION("""COMPUTED_VALUE"""),"開 光太朗")</f>
        <v>開 光太朗</v>
      </c>
      <c r="B51" s="37" t="str">
        <f>IFERROR(__xludf.DUMMYFUNCTION("""COMPUTED_VALUE"""),"栢木英行")</f>
        <v>栢木英行</v>
      </c>
    </row>
    <row r="52">
      <c r="A52" s="37" t="str">
        <f>IFERROR(__xludf.DUMMYFUNCTION("""COMPUTED_VALUE"""),"照井 英人")</f>
        <v>照井 英人</v>
      </c>
      <c r="B52" s="37" t="str">
        <f>IFERROR(__xludf.DUMMYFUNCTION("""COMPUTED_VALUE"""),"長谷川純子")</f>
        <v>長谷川純子</v>
      </c>
    </row>
    <row r="53">
      <c r="A53" s="37" t="str">
        <f>IFERROR(__xludf.DUMMYFUNCTION("""COMPUTED_VALUE"""),"渡辺 和宏")</f>
        <v>渡辺 和宏</v>
      </c>
      <c r="B53" s="37" t="str">
        <f>IFERROR(__xludf.DUMMYFUNCTION("""COMPUTED_VALUE"""),"柳本修平")</f>
        <v>柳本修平</v>
      </c>
    </row>
    <row r="54">
      <c r="A54" s="37" t="str">
        <f>IFERROR(__xludf.DUMMYFUNCTION("""COMPUTED_VALUE"""),"竹内 潤")</f>
        <v>竹内 潤</v>
      </c>
      <c r="B54" s="37" t="str">
        <f>IFERROR(__xludf.DUMMYFUNCTION("""COMPUTED_VALUE"""),"北村奈緒美")</f>
        <v>北村奈緒美</v>
      </c>
    </row>
    <row r="55">
      <c r="A55" s="37" t="str">
        <f>IFERROR(__xludf.DUMMYFUNCTION("""COMPUTED_VALUE"""),"貫井 広幸")</f>
        <v>貫井 広幸</v>
      </c>
      <c r="B55" s="37" t="str">
        <f>IFERROR(__xludf.DUMMYFUNCTION("""COMPUTED_VALUE"""),"根本悠子")</f>
        <v>根本悠子</v>
      </c>
    </row>
    <row r="56">
      <c r="A56" s="37" t="str">
        <f>IFERROR(__xludf.DUMMYFUNCTION("""COMPUTED_VALUE"""),"笠原 健治")</f>
        <v>笠原 健治</v>
      </c>
      <c r="B56" s="37" t="str">
        <f>IFERROR(__xludf.DUMMYFUNCTION("""COMPUTED_VALUE"""),"福森美貴")</f>
        <v>福森美貴</v>
      </c>
    </row>
    <row r="57">
      <c r="A57" s="37" t="str">
        <f>IFERROR(__xludf.DUMMYFUNCTION("""COMPUTED_VALUE"""),"清水 勲")</f>
        <v>清水 勲</v>
      </c>
      <c r="B57" s="37" t="str">
        <f>IFERROR(__xludf.DUMMYFUNCTION("""COMPUTED_VALUE"""),"戸谷栄一")</f>
        <v>戸谷栄一</v>
      </c>
    </row>
    <row r="58">
      <c r="A58" s="37" t="str">
        <f>IFERROR(__xludf.DUMMYFUNCTION("""COMPUTED_VALUE"""),"平田 将久a")</f>
        <v>平田 将久a</v>
      </c>
      <c r="B58" s="37" t="str">
        <f>IFERROR(__xludf.DUMMYFUNCTION("""COMPUTED_VALUE"""),"田村征也")</f>
        <v>田村征也</v>
      </c>
    </row>
    <row r="59">
      <c r="A59" s="37" t="str">
        <f>IFERROR(__xludf.DUMMYFUNCTION("""COMPUTED_VALUE"""),"渡部 喜正")</f>
        <v>渡部 喜正</v>
      </c>
      <c r="B59" s="37" t="str">
        <f>IFERROR(__xludf.DUMMYFUNCTION("""COMPUTED_VALUE"""),"中川真紀子")</f>
        <v>中川真紀子</v>
      </c>
    </row>
    <row r="60">
      <c r="A60" s="37" t="str">
        <f>IFERROR(__xludf.DUMMYFUNCTION("""COMPUTED_VALUE"""),"佐藤 僚")</f>
        <v>佐藤 僚</v>
      </c>
      <c r="B60" s="37" t="str">
        <f>IFERROR(__xludf.DUMMYFUNCTION("""COMPUTED_VALUE"""),"石井公二")</f>
        <v>石井公二</v>
      </c>
    </row>
    <row r="61">
      <c r="A61" s="37" t="str">
        <f>IFERROR(__xludf.DUMMYFUNCTION("""COMPUTED_VALUE"""),"北村 有吾")</f>
        <v>北村 有吾</v>
      </c>
      <c r="B61" s="37" t="str">
        <f>IFERROR(__xludf.DUMMYFUNCTION("""COMPUTED_VALUE"""),"安藤希倫")</f>
        <v>安藤希倫</v>
      </c>
    </row>
    <row r="62">
      <c r="A62" s="37" t="str">
        <f>IFERROR(__xludf.DUMMYFUNCTION("""COMPUTED_VALUE"""),"杉山 潤")</f>
        <v>杉山 潤</v>
      </c>
      <c r="B62" s="37" t="str">
        <f>IFERROR(__xludf.DUMMYFUNCTION("""COMPUTED_VALUE"""),"石井訓象")</f>
        <v>石井訓象</v>
      </c>
    </row>
    <row r="63">
      <c r="A63" s="37" t="str">
        <f>IFERROR(__xludf.DUMMYFUNCTION("""COMPUTED_VALUE"""),"奥山 翔")</f>
        <v>奥山 翔</v>
      </c>
      <c r="B63" s="37" t="str">
        <f>IFERROR(__xludf.DUMMYFUNCTION("""COMPUTED_VALUE"""),"佐野直美")</f>
        <v>佐野直美</v>
      </c>
    </row>
    <row r="64">
      <c r="A64" s="37" t="str">
        <f>IFERROR(__xludf.DUMMYFUNCTION("""COMPUTED_VALUE"""),"向江 俊和01")</f>
        <v>向江 俊和01</v>
      </c>
      <c r="B64" s="37" t="str">
        <f>IFERROR(__xludf.DUMMYFUNCTION("""COMPUTED_VALUE"""),"渡辺和宏")</f>
        <v>渡辺和宏</v>
      </c>
    </row>
    <row r="65">
      <c r="A65" s="37" t="str">
        <f>IFERROR(__xludf.DUMMYFUNCTION("""COMPUTED_VALUE"""),"馬場 大輝")</f>
        <v>馬場 大輝</v>
      </c>
      <c r="B65" s="37" t="str">
        <f>IFERROR(__xludf.DUMMYFUNCTION("""COMPUTED_VALUE"""),"成田悟")</f>
        <v>成田悟</v>
      </c>
    </row>
    <row r="66">
      <c r="A66" s="37" t="str">
        <f>IFERROR(__xludf.DUMMYFUNCTION("""COMPUTED_VALUE"""),"川又 義照")</f>
        <v>川又 義照</v>
      </c>
      <c r="B66" s="37" t="str">
        <f>IFERROR(__xludf.DUMMYFUNCTION("""COMPUTED_VALUE"""),"越智純平")</f>
        <v>越智純平</v>
      </c>
    </row>
    <row r="67">
      <c r="A67" s="37" t="str">
        <f>IFERROR(__xludf.DUMMYFUNCTION("""COMPUTED_VALUE"""),"岩佐 知則")</f>
        <v>岩佐 知則</v>
      </c>
      <c r="B67" s="37" t="str">
        <f>IFERROR(__xludf.DUMMYFUNCTION("""COMPUTED_VALUE"""),"八木貴也")</f>
        <v>八木貴也</v>
      </c>
    </row>
    <row r="68">
      <c r="A68" s="37" t="str">
        <f>IFERROR(__xludf.DUMMYFUNCTION("""COMPUTED_VALUE"""),"平山 英輝")</f>
        <v>平山 英輝</v>
      </c>
      <c r="B68" s="37" t="str">
        <f>IFERROR(__xludf.DUMMYFUNCTION("""COMPUTED_VALUE"""),"紅露大輔")</f>
        <v>紅露大輔</v>
      </c>
    </row>
    <row r="69">
      <c r="A69" s="37" t="str">
        <f>IFERROR(__xludf.DUMMYFUNCTION("""COMPUTED_VALUE"""),"加藤 徳英")</f>
        <v>加藤 徳英</v>
      </c>
      <c r="B69" s="37" t="str">
        <f>IFERROR(__xludf.DUMMYFUNCTION("""COMPUTED_VALUE"""),"宮本憲枝")</f>
        <v>宮本憲枝</v>
      </c>
    </row>
    <row r="70">
      <c r="A70" s="37" t="str">
        <f>IFERROR(__xludf.DUMMYFUNCTION("""COMPUTED_VALUE"""),"朝倉 文彦")</f>
        <v>朝倉 文彦</v>
      </c>
      <c r="B70" s="37" t="str">
        <f>IFERROR(__xludf.DUMMYFUNCTION("""COMPUTED_VALUE"""),"砂村哲平")</f>
        <v>砂村哲平</v>
      </c>
    </row>
    <row r="71">
      <c r="A71" s="37" t="str">
        <f>IFERROR(__xludf.DUMMYFUNCTION("""COMPUTED_VALUE"""),"宮本 憲枝")</f>
        <v>宮本 憲枝</v>
      </c>
      <c r="B71" s="37" t="str">
        <f>IFERROR(__xludf.DUMMYFUNCTION("""COMPUTED_VALUE"""),"鈴木景子")</f>
        <v>鈴木景子</v>
      </c>
    </row>
    <row r="72">
      <c r="A72" s="37" t="str">
        <f>IFERROR(__xludf.DUMMYFUNCTION("""COMPUTED_VALUE"""),"兼吉 完聡01")</f>
        <v>兼吉 完聡01</v>
      </c>
      <c r="B72" s="37" t="str">
        <f>IFERROR(__xludf.DUMMYFUNCTION("""COMPUTED_VALUE"""),"髙橋勇太")</f>
        <v>髙橋勇太</v>
      </c>
    </row>
    <row r="73">
      <c r="A73" s="37" t="str">
        <f>IFERROR(__xludf.DUMMYFUNCTION("""COMPUTED_VALUE"""),"吉田 聡史")</f>
        <v>吉田 聡史</v>
      </c>
      <c r="B73" s="37" t="str">
        <f>IFERROR(__xludf.DUMMYFUNCTION("""COMPUTED_VALUE"""),"齋藤敦子")</f>
        <v>齋藤敦子</v>
      </c>
    </row>
    <row r="74">
      <c r="B74" s="37" t="str">
        <f>IFERROR(__xludf.DUMMYFUNCTION("""COMPUTED_VALUE"""),"望月大輔")</f>
        <v>望月大輔</v>
      </c>
    </row>
    <row r="75">
      <c r="B75" s="37" t="str">
        <f>IFERROR(__xludf.DUMMYFUNCTION("""COMPUTED_VALUE"""),"竹田広平")</f>
        <v>竹田広平</v>
      </c>
    </row>
    <row r="76">
      <c r="B76" s="37" t="str">
        <f>IFERROR(__xludf.DUMMYFUNCTION("""COMPUTED_VALUE"""),"田所将")</f>
        <v>田所将</v>
      </c>
    </row>
    <row r="77">
      <c r="B77" s="37" t="str">
        <f>IFERROR(__xludf.DUMMYFUNCTION("""COMPUTED_VALUE"""),"今野ひとみ")</f>
        <v>今野ひとみ</v>
      </c>
    </row>
    <row r="78">
      <c r="B78" s="37" t="str">
        <f>IFERROR(__xludf.DUMMYFUNCTION("""COMPUTED_VALUE"""),"松崎徳子")</f>
        <v>松崎徳子</v>
      </c>
    </row>
    <row r="79">
      <c r="B79" s="37" t="str">
        <f>IFERROR(__xludf.DUMMYFUNCTION("""COMPUTED_VALUE"""),"杉村元規")</f>
        <v>杉村元規</v>
      </c>
    </row>
    <row r="80">
      <c r="B80" s="37" t="str">
        <f>IFERROR(__xludf.DUMMYFUNCTION("""COMPUTED_VALUE"""),"中島清貴")</f>
        <v>中島清貴</v>
      </c>
    </row>
    <row r="81">
      <c r="B81" s="37" t="str">
        <f>IFERROR(__xludf.DUMMYFUNCTION("""COMPUTED_VALUE"""),"石田哲久")</f>
        <v>石田哲久</v>
      </c>
    </row>
    <row r="82">
      <c r="B82" s="37" t="str">
        <f>IFERROR(__xludf.DUMMYFUNCTION("""COMPUTED_VALUE"""),"平山英輝")</f>
        <v>平山英輝</v>
      </c>
    </row>
    <row r="83">
      <c r="B83" s="37" t="str">
        <f>IFERROR(__xludf.DUMMYFUNCTION("""COMPUTED_VALUE"""),"泉望")</f>
        <v>泉望</v>
      </c>
    </row>
    <row r="84">
      <c r="B84" s="37" t="str">
        <f>IFERROR(__xludf.DUMMYFUNCTION("""COMPUTED_VALUE"""),"比奈本真")</f>
        <v>比奈本真</v>
      </c>
    </row>
    <row r="85">
      <c r="B85" s="37" t="str">
        <f>IFERROR(__xludf.DUMMYFUNCTION("""COMPUTED_VALUE"""),"河村勇")</f>
        <v>河村勇</v>
      </c>
    </row>
    <row r="86">
      <c r="B86" s="37" t="str">
        <f>IFERROR(__xludf.DUMMYFUNCTION("""COMPUTED_VALUE"""),"蛭川幸太郎")</f>
        <v>蛭川幸太郎</v>
      </c>
    </row>
    <row r="87">
      <c r="B87" s="37" t="str">
        <f>IFERROR(__xludf.DUMMYFUNCTION("""COMPUTED_VALUE"""),"卯木源一")</f>
        <v>卯木源一</v>
      </c>
    </row>
    <row r="88">
      <c r="B88" s="37" t="str">
        <f>IFERROR(__xludf.DUMMYFUNCTION("""COMPUTED_VALUE"""),"谷賢史")</f>
        <v>谷賢史</v>
      </c>
    </row>
    <row r="89">
      <c r="B89" s="37" t="str">
        <f>IFERROR(__xludf.DUMMYFUNCTION("""COMPUTED_VALUE"""),"上野桂子")</f>
        <v>上野桂子</v>
      </c>
    </row>
    <row r="90">
      <c r="B90" s="37" t="str">
        <f>IFERROR(__xludf.DUMMYFUNCTION("""COMPUTED_VALUE"""),"澤田祐希")</f>
        <v>澤田祐希</v>
      </c>
    </row>
    <row r="91">
      <c r="B91" s="37" t="str">
        <f>IFERROR(__xludf.DUMMYFUNCTION("""COMPUTED_VALUE"""),"原由佳理")</f>
        <v>原由佳理</v>
      </c>
    </row>
    <row r="92">
      <c r="B92" s="37" t="str">
        <f>IFERROR(__xludf.DUMMYFUNCTION("""COMPUTED_VALUE"""),"齊藤優太")</f>
        <v>齊藤優太</v>
      </c>
    </row>
    <row r="93">
      <c r="B93" s="37" t="str">
        <f>IFERROR(__xludf.DUMMYFUNCTION("""COMPUTED_VALUE"""),"早坂匠")</f>
        <v>早坂匠</v>
      </c>
    </row>
    <row r="94">
      <c r="B94" s="37" t="str">
        <f>IFERROR(__xludf.DUMMYFUNCTION("""COMPUTED_VALUE"""),"荒川司")</f>
        <v>荒川司</v>
      </c>
    </row>
    <row r="95">
      <c r="B95" s="37" t="str">
        <f>IFERROR(__xludf.DUMMYFUNCTION("""COMPUTED_VALUE"""),"洪嘉優")</f>
        <v>洪嘉優</v>
      </c>
    </row>
    <row r="96">
      <c r="B96" s="37" t="str">
        <f>IFERROR(__xludf.DUMMYFUNCTION("""COMPUTED_VALUE"""),"吉村順也")</f>
        <v>吉村順也</v>
      </c>
    </row>
    <row r="97">
      <c r="B97" s="37" t="str">
        <f>IFERROR(__xludf.DUMMYFUNCTION("""COMPUTED_VALUE"""),"木下智子")</f>
        <v>木下智子</v>
      </c>
    </row>
    <row r="98">
      <c r="B98" s="37" t="str">
        <f>IFERROR(__xludf.DUMMYFUNCTION("""COMPUTED_VALUE"""),"澁谷高広")</f>
        <v>澁谷高広</v>
      </c>
    </row>
    <row r="99">
      <c r="B99" s="37" t="str">
        <f>IFERROR(__xludf.DUMMYFUNCTION("""COMPUTED_VALUE"""),"奥田匡彦")</f>
        <v>奥田匡彦</v>
      </c>
    </row>
    <row r="100">
      <c r="B100" s="37" t="str">
        <f>IFERROR(__xludf.DUMMYFUNCTION("""COMPUTED_VALUE"""),"太田雅登")</f>
        <v>太田雅登</v>
      </c>
    </row>
    <row r="101">
      <c r="B101" s="37" t="str">
        <f>IFERROR(__xludf.DUMMYFUNCTION("""COMPUTED_VALUE"""),"疋田建典")</f>
        <v>疋田建典</v>
      </c>
    </row>
    <row r="102">
      <c r="B102" s="37" t="str">
        <f>IFERROR(__xludf.DUMMYFUNCTION("""COMPUTED_VALUE"""),"開光太朗")</f>
        <v>開光太朗</v>
      </c>
    </row>
    <row r="103">
      <c r="B103" s="37" t="str">
        <f>IFERROR(__xludf.DUMMYFUNCTION("""COMPUTED_VALUE"""),"諸橋裕")</f>
        <v>諸橋裕</v>
      </c>
    </row>
    <row r="104">
      <c r="B104" s="37" t="str">
        <f>IFERROR(__xludf.DUMMYFUNCTION("""COMPUTED_VALUE"""),"百瀬絵里香")</f>
        <v>百瀬絵里香</v>
      </c>
    </row>
    <row r="105">
      <c r="B105" s="37" t="str">
        <f>IFERROR(__xludf.DUMMYFUNCTION("""COMPUTED_VALUE"""),"船隠大介")</f>
        <v>船隠大介</v>
      </c>
    </row>
    <row r="106">
      <c r="B106" s="37" t="str">
        <f>IFERROR(__xludf.DUMMYFUNCTION("""COMPUTED_VALUE"""),"奥山翔")</f>
        <v>奥山翔</v>
      </c>
    </row>
    <row r="107">
      <c r="B107" s="37" t="str">
        <f>IFERROR(__xludf.DUMMYFUNCTION("""COMPUTED_VALUE"""),"牛田美穂")</f>
        <v>牛田美穂</v>
      </c>
    </row>
    <row r="108">
      <c r="B108" s="37" t="str">
        <f>IFERROR(__xludf.DUMMYFUNCTION("""COMPUTED_VALUE"""),"大森和悦")</f>
        <v>大森和悦</v>
      </c>
    </row>
    <row r="109">
      <c r="B109" s="37" t="str">
        <f>IFERROR(__xludf.DUMMYFUNCTION("""COMPUTED_VALUE"""),"北由布子")</f>
        <v>北由布子</v>
      </c>
    </row>
    <row r="110">
      <c r="B110" s="37" t="str">
        <f>IFERROR(__xludf.DUMMYFUNCTION("""COMPUTED_VALUE"""),"室井かなえ")</f>
        <v>室井かなえ</v>
      </c>
    </row>
    <row r="111">
      <c r="B111" s="37" t="str">
        <f>IFERROR(__xludf.DUMMYFUNCTION("""COMPUTED_VALUE"""),"大崎敦士")</f>
        <v>大崎敦士</v>
      </c>
    </row>
    <row r="112">
      <c r="B112" s="37" t="str">
        <f>IFERROR(__xludf.DUMMYFUNCTION("""COMPUTED_VALUE"""),"白川裕介")</f>
        <v>白川裕介</v>
      </c>
    </row>
    <row r="113">
      <c r="B113" s="37" t="str">
        <f>IFERROR(__xludf.DUMMYFUNCTION("""COMPUTED_VALUE"""),"中村良一")</f>
        <v>中村良一</v>
      </c>
    </row>
    <row r="114">
      <c r="B114" s="37" t="str">
        <f>IFERROR(__xludf.DUMMYFUNCTION("""COMPUTED_VALUE"""),"望月美詠")</f>
        <v>望月美詠</v>
      </c>
    </row>
    <row r="115">
      <c r="B115" s="37" t="str">
        <f>IFERROR(__xludf.DUMMYFUNCTION("""COMPUTED_VALUE"""),"渡辺隆志")</f>
        <v>渡辺隆志</v>
      </c>
    </row>
    <row r="116">
      <c r="B116" s="37" t="str">
        <f>IFERROR(__xludf.DUMMYFUNCTION("""COMPUTED_VALUE"""),"亀山直生")</f>
        <v>亀山直生</v>
      </c>
    </row>
    <row r="117">
      <c r="B117" s="37" t="str">
        <f>IFERROR(__xludf.DUMMYFUNCTION("""COMPUTED_VALUE"""),"平岡晃")</f>
        <v>平岡晃</v>
      </c>
    </row>
    <row r="118">
      <c r="B118" s="37" t="str">
        <f>IFERROR(__xludf.DUMMYFUNCTION("""COMPUTED_VALUE"""),"島田茂樹")</f>
        <v>島田茂樹</v>
      </c>
    </row>
    <row r="119">
      <c r="B119" s="37" t="str">
        <f>IFERROR(__xludf.DUMMYFUNCTION("""COMPUTED_VALUE"""),"村津文武")</f>
        <v>村津文武</v>
      </c>
    </row>
    <row r="120">
      <c r="B120" s="37" t="str">
        <f>IFERROR(__xludf.DUMMYFUNCTION("""COMPUTED_VALUE"""),"尾関芳郎")</f>
        <v>尾関芳郎</v>
      </c>
    </row>
    <row r="121">
      <c r="B121" s="37" t="str">
        <f>IFERROR(__xludf.DUMMYFUNCTION("""COMPUTED_VALUE"""),"木村弘毅")</f>
        <v>木村弘毅</v>
      </c>
    </row>
    <row r="122">
      <c r="B122" s="37" t="str">
        <f>IFERROR(__xludf.DUMMYFUNCTION("""COMPUTED_VALUE"""),"白岩優子")</f>
        <v>白岩優子</v>
      </c>
    </row>
    <row r="123">
      <c r="B123" s="37" t="str">
        <f>IFERROR(__xludf.DUMMYFUNCTION("""COMPUTED_VALUE"""),"山口太樹")</f>
        <v>山口太樹</v>
      </c>
    </row>
    <row r="124">
      <c r="B124" s="37" t="str">
        <f>IFERROR(__xludf.DUMMYFUNCTION("""COMPUTED_VALUE"""),"飯塚京")</f>
        <v>飯塚京</v>
      </c>
    </row>
    <row r="125">
      <c r="B125" s="37" t="str">
        <f>IFERROR(__xludf.DUMMYFUNCTION("""COMPUTED_VALUE"""),"森本淳")</f>
        <v>森本淳</v>
      </c>
    </row>
    <row r="126">
      <c r="B126" s="37" t="str">
        <f>IFERROR(__xludf.DUMMYFUNCTION("""COMPUTED_VALUE"""),"森田潤也")</f>
        <v>森田潤也</v>
      </c>
    </row>
    <row r="127">
      <c r="B127" s="37" t="str">
        <f>IFERROR(__xludf.DUMMYFUNCTION("""COMPUTED_VALUE"""),"安藤真祐子")</f>
        <v>安藤真祐子</v>
      </c>
    </row>
    <row r="128">
      <c r="B128" s="37" t="str">
        <f>IFERROR(__xludf.DUMMYFUNCTION("""COMPUTED_VALUE"""),"荻野泰弘")</f>
        <v>荻野泰弘</v>
      </c>
    </row>
    <row r="129">
      <c r="B129" s="37" t="str">
        <f>IFERROR(__xludf.DUMMYFUNCTION("""COMPUTED_VALUE"""),"内藤梓")</f>
        <v>内藤梓</v>
      </c>
    </row>
    <row r="130">
      <c r="B130" s="37" t="str">
        <f>IFERROR(__xludf.DUMMYFUNCTION("""COMPUTED_VALUE"""),"藤崎宏司")</f>
        <v>藤崎宏司</v>
      </c>
    </row>
    <row r="131">
      <c r="B131" s="37" t="str">
        <f>IFERROR(__xludf.DUMMYFUNCTION("""COMPUTED_VALUE"""),"間瀬琴巳")</f>
        <v>間瀬琴巳</v>
      </c>
    </row>
    <row r="132">
      <c r="B132" s="37"/>
    </row>
    <row r="133">
      <c r="B133" s="37" t="str">
        <f>IFERROR(__xludf.DUMMYFUNCTION("""COMPUTED_VALUE"""),"荒井真人")</f>
        <v>荒井真人</v>
      </c>
    </row>
    <row r="134">
      <c r="B134" s="37" t="str">
        <f>IFERROR(__xludf.DUMMYFUNCTION("""COMPUTED_VALUE"""),"堀江信弘")</f>
        <v>堀江信弘</v>
      </c>
    </row>
    <row r="135">
      <c r="B135" s="37" t="str">
        <f>IFERROR(__xludf.DUMMYFUNCTION("""COMPUTED_VALUE"""),"佐藤光里")</f>
        <v>佐藤光里</v>
      </c>
    </row>
    <row r="136">
      <c r="B136" s="37" t="str">
        <f>IFERROR(__xludf.DUMMYFUNCTION("""COMPUTED_VALUE"""),"大槻一彦")</f>
        <v>大槻一彦</v>
      </c>
    </row>
    <row r="137">
      <c r="B137" s="37" t="str">
        <f>IFERROR(__xludf.DUMMYFUNCTION("""COMPUTED_VALUE"""),"土田希望")</f>
        <v>土田希望</v>
      </c>
    </row>
    <row r="138">
      <c r="B138" s="37" t="str">
        <f>IFERROR(__xludf.DUMMYFUNCTION("""COMPUTED_VALUE"""),"野口直希")</f>
        <v>野口直希</v>
      </c>
    </row>
    <row r="139">
      <c r="B139" s="37" t="str">
        <f>IFERROR(__xludf.DUMMYFUNCTION("""COMPUTED_VALUE"""),"栗丸侑大")</f>
        <v>栗丸侑大</v>
      </c>
    </row>
    <row r="140">
      <c r="B140" s="37" t="str">
        <f>IFERROR(__xludf.DUMMYFUNCTION("""COMPUTED_VALUE"""),"桑谷貴志")</f>
        <v>桑谷貴志</v>
      </c>
    </row>
    <row r="141">
      <c r="B141" s="37" t="str">
        <f>IFERROR(__xludf.DUMMYFUNCTION("""COMPUTED_VALUE"""),"笠島伸吾")</f>
        <v>笠島伸吾</v>
      </c>
    </row>
    <row r="142">
      <c r="B142" s="37" t="str">
        <f>IFERROR(__xludf.DUMMYFUNCTION("""COMPUTED_VALUE"""),"内田洋平")</f>
        <v>内田洋平</v>
      </c>
    </row>
    <row r="143">
      <c r="B143" s="37" t="str">
        <f>IFERROR(__xludf.DUMMYFUNCTION("""COMPUTED_VALUE"""),"山本直樹")</f>
        <v>山本直樹</v>
      </c>
    </row>
    <row r="144">
      <c r="B144" s="37" t="str">
        <f>IFERROR(__xludf.DUMMYFUNCTION("""COMPUTED_VALUE"""),"菊池翔平")</f>
        <v>菊池翔平</v>
      </c>
    </row>
    <row r="145">
      <c r="B145" s="37" t="str">
        <f>IFERROR(__xludf.DUMMYFUNCTION("""COMPUTED_VALUE"""),"小川大輔")</f>
        <v>小川大輔</v>
      </c>
    </row>
    <row r="146">
      <c r="B146" s="37" t="str">
        <f>IFERROR(__xludf.DUMMYFUNCTION("""COMPUTED_VALUE"""),"檜田拓也")</f>
        <v>檜田拓也</v>
      </c>
    </row>
    <row r="147">
      <c r="B147" s="37" t="str">
        <f>IFERROR(__xludf.DUMMYFUNCTION("""COMPUTED_VALUE"""),"高杉沙耶")</f>
        <v>高杉沙耶</v>
      </c>
    </row>
    <row r="148">
      <c r="B148" s="37" t="str">
        <f>IFERROR(__xludf.DUMMYFUNCTION("""COMPUTED_VALUE"""),"津嶌託也")</f>
        <v>津嶌託也</v>
      </c>
    </row>
    <row r="149">
      <c r="B149" s="37" t="str">
        <f>IFERROR(__xludf.DUMMYFUNCTION("""COMPUTED_VALUE"""),"神村武")</f>
        <v>神村武</v>
      </c>
    </row>
    <row r="150">
      <c r="B150" s="37" t="str">
        <f>IFERROR(__xludf.DUMMYFUNCTION("""COMPUTED_VALUE"""),"村瀨龍馬")</f>
        <v>村瀨龍馬</v>
      </c>
    </row>
    <row r="151">
      <c r="B151" s="37" t="str">
        <f>IFERROR(__xludf.DUMMYFUNCTION("""COMPUTED_VALUE"""),"東海 貴士")</f>
        <v>東海 貴士</v>
      </c>
    </row>
    <row r="152">
      <c r="B152" s="37" t="str">
        <f>IFERROR(__xludf.DUMMYFUNCTION("""COMPUTED_VALUE"""),"吉田明広")</f>
        <v>吉田明広</v>
      </c>
    </row>
    <row r="153">
      <c r="B153" s="37" t="str">
        <f>IFERROR(__xludf.DUMMYFUNCTION("""COMPUTED_VALUE"""),"岡本三敬")</f>
        <v>岡本三敬</v>
      </c>
    </row>
    <row r="154">
      <c r="B154" s="37" t="str">
        <f>IFERROR(__xludf.DUMMYFUNCTION("""COMPUTED_VALUE"""),"池谷洋平")</f>
        <v>池谷洋平</v>
      </c>
    </row>
    <row r="155">
      <c r="B155" s="37" t="str">
        <f>IFERROR(__xludf.DUMMYFUNCTION("""COMPUTED_VALUE"""),"貝島梨紗")</f>
        <v>貝島梨紗</v>
      </c>
    </row>
    <row r="156">
      <c r="B156" s="37" t="str">
        <f>IFERROR(__xludf.DUMMYFUNCTION("""COMPUTED_VALUE"""),"草村衣未")</f>
        <v>草村衣未</v>
      </c>
    </row>
    <row r="157">
      <c r="B157" s="37" t="str">
        <f>IFERROR(__xludf.DUMMYFUNCTION("""COMPUTED_VALUE"""),"アコップカンエド")</f>
        <v>アコップカンエド</v>
      </c>
    </row>
    <row r="158">
      <c r="B158" s="37" t="str">
        <f>IFERROR(__xludf.DUMMYFUNCTION("""COMPUTED_VALUE"""),"須藤 雄樹")</f>
        <v>須藤 雄樹</v>
      </c>
    </row>
    <row r="159">
      <c r="B159" s="37" t="str">
        <f>IFERROR(__xludf.DUMMYFUNCTION("""COMPUTED_VALUE"""),"寺岡浩史")</f>
        <v>寺岡浩史</v>
      </c>
    </row>
    <row r="160">
      <c r="B160" s="37" t="str">
        <f>IFERROR(__xludf.DUMMYFUNCTION("""COMPUTED_VALUE"""),"阿部久美")</f>
        <v>阿部久美</v>
      </c>
    </row>
    <row r="161">
      <c r="B161" s="37" t="str">
        <f>IFERROR(__xludf.DUMMYFUNCTION("""COMPUTED_VALUE"""),"関 あずさ")</f>
        <v>関 あずさ</v>
      </c>
    </row>
    <row r="162">
      <c r="B162" s="37" t="str">
        <f>IFERROR(__xludf.DUMMYFUNCTION("""COMPUTED_VALUE"""),"町井香織")</f>
        <v>町井香織</v>
      </c>
    </row>
    <row r="163">
      <c r="B163" s="37" t="str">
        <f>IFERROR(__xludf.DUMMYFUNCTION("""COMPUTED_VALUE"""),"江下 僚")</f>
        <v>江下 僚</v>
      </c>
    </row>
    <row r="164">
      <c r="B164" s="37" t="str">
        <f>IFERROR(__xludf.DUMMYFUNCTION("""COMPUTED_VALUE"""),"古澤祐幸")</f>
        <v>古澤祐幸</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77.25"/>
    <col customWidth="1" min="3" max="3" width="3.63"/>
  </cols>
  <sheetData>
    <row r="1">
      <c r="A1" s="7" t="s">
        <v>2087</v>
      </c>
      <c r="B1" s="7" t="s">
        <v>2088</v>
      </c>
      <c r="C1" s="7" t="s">
        <v>2089</v>
      </c>
    </row>
    <row r="2">
      <c r="A2" s="7" t="s">
        <v>2090</v>
      </c>
      <c r="B2" s="49" t="s">
        <v>2091</v>
      </c>
      <c r="C2" s="50">
        <v>3.0</v>
      </c>
    </row>
    <row r="3">
      <c r="A3" s="7" t="s">
        <v>2092</v>
      </c>
      <c r="B3" s="49" t="s">
        <v>2093</v>
      </c>
      <c r="C3" s="50">
        <v>6.0</v>
      </c>
    </row>
    <row r="4">
      <c r="A4" s="7" t="s">
        <v>2094</v>
      </c>
      <c r="B4" s="49" t="s">
        <v>2095</v>
      </c>
      <c r="C4" s="50">
        <v>12.0</v>
      </c>
    </row>
    <row r="5">
      <c r="A5" s="7" t="s">
        <v>2096</v>
      </c>
      <c r="B5" s="49" t="s">
        <v>2097</v>
      </c>
      <c r="C5" s="50">
        <v>1.0</v>
      </c>
    </row>
    <row r="6">
      <c r="A6" s="7" t="s">
        <v>2098</v>
      </c>
      <c r="B6" s="49" t="s">
        <v>2099</v>
      </c>
      <c r="C6" s="50">
        <v>39.0</v>
      </c>
    </row>
    <row r="7">
      <c r="A7" s="7" t="s">
        <v>2100</v>
      </c>
      <c r="B7" s="49" t="s">
        <v>2101</v>
      </c>
      <c r="C7" s="50">
        <v>27.0</v>
      </c>
    </row>
    <row r="8">
      <c r="A8" s="7" t="s">
        <v>1947</v>
      </c>
      <c r="B8" s="49" t="s">
        <v>2102</v>
      </c>
      <c r="C8" s="50">
        <v>1.0</v>
      </c>
    </row>
    <row r="9">
      <c r="A9" s="7" t="s">
        <v>1066</v>
      </c>
      <c r="B9" s="49" t="s">
        <v>2103</v>
      </c>
      <c r="C9" s="50">
        <v>12.0</v>
      </c>
    </row>
    <row r="10">
      <c r="A10" s="7" t="s">
        <v>2104</v>
      </c>
      <c r="B10" s="49" t="s">
        <v>2105</v>
      </c>
      <c r="C10" s="50">
        <v>1.0</v>
      </c>
    </row>
    <row r="11">
      <c r="A11" s="7" t="s">
        <v>1523</v>
      </c>
      <c r="B11" s="49" t="s">
        <v>2106</v>
      </c>
      <c r="C11" s="50">
        <v>1.0</v>
      </c>
    </row>
    <row r="12">
      <c r="A12" s="7" t="s">
        <v>2107</v>
      </c>
      <c r="B12" s="49" t="s">
        <v>2108</v>
      </c>
      <c r="C12" s="50">
        <v>1.0</v>
      </c>
    </row>
    <row r="13">
      <c r="A13" s="7" t="s">
        <v>2109</v>
      </c>
      <c r="B13" s="49" t="s">
        <v>2110</v>
      </c>
      <c r="C13" s="50">
        <v>5.0</v>
      </c>
    </row>
    <row r="14">
      <c r="A14" s="7" t="s">
        <v>2111</v>
      </c>
      <c r="B14" s="49" t="s">
        <v>2112</v>
      </c>
      <c r="C14" s="50">
        <v>2.0</v>
      </c>
    </row>
    <row r="15">
      <c r="A15" s="7" t="s">
        <v>2113</v>
      </c>
      <c r="B15" s="49" t="s">
        <v>2114</v>
      </c>
      <c r="C15" s="50">
        <v>1.0</v>
      </c>
    </row>
    <row r="16">
      <c r="A16" s="7" t="s">
        <v>1674</v>
      </c>
      <c r="B16" s="49" t="s">
        <v>2115</v>
      </c>
      <c r="C16" s="50">
        <v>1.0</v>
      </c>
    </row>
    <row r="17">
      <c r="A17" s="7" t="s">
        <v>2116</v>
      </c>
      <c r="B17" s="49" t="s">
        <v>2117</v>
      </c>
      <c r="C17" s="50">
        <v>5.0</v>
      </c>
    </row>
    <row r="18">
      <c r="A18" s="7" t="s">
        <v>1410</v>
      </c>
      <c r="B18" s="49" t="s">
        <v>2118</v>
      </c>
      <c r="C18" s="50">
        <v>10.0</v>
      </c>
    </row>
    <row r="19">
      <c r="A19" s="7" t="s">
        <v>2119</v>
      </c>
      <c r="B19" s="49" t="s">
        <v>2120</v>
      </c>
      <c r="C19" s="50">
        <v>3.0</v>
      </c>
    </row>
    <row r="20">
      <c r="A20" s="7" t="s">
        <v>2121</v>
      </c>
      <c r="B20" s="49" t="s">
        <v>2122</v>
      </c>
      <c r="C20" s="50">
        <v>1.0</v>
      </c>
    </row>
    <row r="21">
      <c r="A21" s="7" t="s">
        <v>1745</v>
      </c>
      <c r="B21" s="49" t="s">
        <v>2123</v>
      </c>
      <c r="C21" s="50">
        <v>11.0</v>
      </c>
    </row>
    <row r="22">
      <c r="A22" s="7" t="s">
        <v>2124</v>
      </c>
      <c r="B22" s="49" t="s">
        <v>2125</v>
      </c>
      <c r="C22" s="50">
        <v>2.0</v>
      </c>
    </row>
    <row r="23">
      <c r="A23" s="7" t="s">
        <v>2126</v>
      </c>
      <c r="B23" s="49" t="s">
        <v>2127</v>
      </c>
      <c r="C23" s="50">
        <v>3.0</v>
      </c>
    </row>
    <row r="24">
      <c r="A24" s="7" t="s">
        <v>1453</v>
      </c>
      <c r="B24" s="49" t="s">
        <v>2128</v>
      </c>
      <c r="C24" s="50">
        <v>8.0</v>
      </c>
    </row>
    <row r="25">
      <c r="A25" s="7" t="s">
        <v>2129</v>
      </c>
      <c r="B25" s="49" t="s">
        <v>2130</v>
      </c>
      <c r="C25" s="50">
        <v>1.0</v>
      </c>
    </row>
    <row r="26">
      <c r="A26" s="7" t="s">
        <v>1723</v>
      </c>
      <c r="B26" s="49" t="s">
        <v>2131</v>
      </c>
      <c r="C26" s="50">
        <v>16.0</v>
      </c>
    </row>
    <row r="27">
      <c r="A27" s="7" t="s">
        <v>2132</v>
      </c>
      <c r="B27" s="49" t="s">
        <v>2133</v>
      </c>
      <c r="C27" s="50">
        <v>2.0</v>
      </c>
    </row>
    <row r="28">
      <c r="A28" s="7" t="s">
        <v>2027</v>
      </c>
      <c r="B28" s="49" t="s">
        <v>2134</v>
      </c>
      <c r="C28" s="50">
        <v>3.0</v>
      </c>
    </row>
    <row r="29">
      <c r="A29" s="7" t="s">
        <v>2135</v>
      </c>
      <c r="B29" s="49" t="s">
        <v>2136</v>
      </c>
      <c r="C29" s="50">
        <v>6.0</v>
      </c>
    </row>
    <row r="30">
      <c r="A30" s="7" t="s">
        <v>1467</v>
      </c>
      <c r="B30" s="49" t="s">
        <v>2137</v>
      </c>
      <c r="C30" s="50">
        <v>8.0</v>
      </c>
    </row>
    <row r="31">
      <c r="A31" s="7" t="s">
        <v>1421</v>
      </c>
      <c r="B31" s="49" t="s">
        <v>2138</v>
      </c>
      <c r="C31" s="50">
        <v>3.0</v>
      </c>
    </row>
    <row r="32">
      <c r="A32" s="7" t="s">
        <v>1498</v>
      </c>
      <c r="B32" s="49" t="s">
        <v>2139</v>
      </c>
      <c r="C32" s="50">
        <v>1.0</v>
      </c>
    </row>
    <row r="33">
      <c r="A33" s="7" t="s">
        <v>1063</v>
      </c>
      <c r="B33" s="49" t="s">
        <v>2140</v>
      </c>
      <c r="C33" s="50">
        <v>4.0</v>
      </c>
    </row>
    <row r="34">
      <c r="A34" s="7" t="s">
        <v>1798</v>
      </c>
      <c r="B34" s="49" t="s">
        <v>2141</v>
      </c>
      <c r="C34" s="50">
        <v>1.0</v>
      </c>
    </row>
    <row r="35">
      <c r="A35" s="7" t="s">
        <v>2142</v>
      </c>
      <c r="B35" s="49" t="s">
        <v>2143</v>
      </c>
      <c r="C35" s="50">
        <v>1.0</v>
      </c>
    </row>
    <row r="36">
      <c r="A36" s="7" t="s">
        <v>2144</v>
      </c>
      <c r="B36" s="49" t="s">
        <v>2145</v>
      </c>
      <c r="C36" s="50">
        <v>2.0</v>
      </c>
    </row>
    <row r="37">
      <c r="A37" s="7" t="s">
        <v>1790</v>
      </c>
      <c r="B37" s="49" t="s">
        <v>2146</v>
      </c>
      <c r="C37" s="50">
        <v>1.0</v>
      </c>
    </row>
    <row r="38">
      <c r="A38" s="7" t="s">
        <v>2147</v>
      </c>
      <c r="B38" s="49" t="s">
        <v>2148</v>
      </c>
      <c r="C38" s="50">
        <v>1.0</v>
      </c>
    </row>
    <row r="39">
      <c r="A39" s="7" t="s">
        <v>2149</v>
      </c>
      <c r="B39" s="49" t="s">
        <v>2150</v>
      </c>
      <c r="C39" s="50">
        <v>1.0</v>
      </c>
    </row>
    <row r="40">
      <c r="A40" s="7" t="s">
        <v>1547</v>
      </c>
      <c r="B40" s="49" t="s">
        <v>2151</v>
      </c>
      <c r="C40" s="50">
        <v>1.0</v>
      </c>
    </row>
    <row r="41">
      <c r="A41" s="7" t="s">
        <v>2152</v>
      </c>
      <c r="B41" s="49" t="s">
        <v>2153</v>
      </c>
      <c r="C41" s="50">
        <v>1.0</v>
      </c>
    </row>
    <row r="42">
      <c r="A42" s="7" t="s">
        <v>2154</v>
      </c>
      <c r="B42" s="49" t="s">
        <v>2155</v>
      </c>
      <c r="C42" s="50">
        <v>1.0</v>
      </c>
    </row>
    <row r="43">
      <c r="A43" s="7" t="s">
        <v>2156</v>
      </c>
      <c r="B43" s="49" t="s">
        <v>2157</v>
      </c>
      <c r="C43" s="50">
        <v>1.0</v>
      </c>
    </row>
    <row r="44">
      <c r="A44" s="7" t="s">
        <v>2158</v>
      </c>
      <c r="B44" s="49" t="s">
        <v>2159</v>
      </c>
      <c r="C44" s="50">
        <v>286.0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s>
  <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74.5"/>
    <col customWidth="1" min="3" max="3" width="3.63"/>
  </cols>
  <sheetData>
    <row r="1">
      <c r="A1" s="7" t="s">
        <v>2087</v>
      </c>
      <c r="B1" s="7" t="s">
        <v>2088</v>
      </c>
      <c r="C1" s="7" t="s">
        <v>2089</v>
      </c>
    </row>
    <row r="2">
      <c r="A2" s="7" t="s">
        <v>2160</v>
      </c>
      <c r="B2" s="49" t="s">
        <v>2161</v>
      </c>
      <c r="C2" s="50">
        <v>324.0</v>
      </c>
    </row>
  </sheetData>
  <hyperlinks>
    <hyperlink r:id="rId1" ref="B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41.0"/>
    <col customWidth="1" min="2" max="2" width="31.0"/>
    <col customWidth="1" min="3" max="3" width="11.13"/>
    <col customWidth="1" min="6" max="6" width="16.0"/>
    <col customWidth="1" min="8" max="8" width="17.88"/>
    <col customWidth="1" min="10" max="10" width="44.0"/>
    <col customWidth="1" min="11" max="11" width="29.13"/>
    <col customWidth="1" min="12" max="13" width="29.63"/>
    <col customWidth="1" min="14" max="14" width="12.63" outlineLevel="1"/>
    <col customWidth="1" min="15" max="15" width="44.0" outlineLevel="1"/>
    <col customWidth="1" min="16" max="16" width="35.25" outlineLevel="1"/>
    <col customWidth="1" min="17" max="17" width="15.88"/>
  </cols>
  <sheetData>
    <row r="1">
      <c r="A1" s="35" t="s">
        <v>1099</v>
      </c>
      <c r="B1" s="35" t="s">
        <v>2162</v>
      </c>
      <c r="C1" s="8" t="s">
        <v>1021</v>
      </c>
      <c r="D1" s="51" t="s">
        <v>2163</v>
      </c>
      <c r="E1" s="51" t="s">
        <v>2164</v>
      </c>
      <c r="F1" s="51" t="s">
        <v>2165</v>
      </c>
      <c r="G1" s="7" t="s">
        <v>2166</v>
      </c>
      <c r="H1" s="32" t="s">
        <v>2167</v>
      </c>
      <c r="I1" s="32" t="s">
        <v>2168</v>
      </c>
      <c r="J1" s="7" t="s">
        <v>2169</v>
      </c>
      <c r="K1" s="7" t="s">
        <v>2170</v>
      </c>
      <c r="L1" s="7" t="s">
        <v>2171</v>
      </c>
      <c r="M1" s="7" t="s">
        <v>2172</v>
      </c>
      <c r="N1" s="8" t="s">
        <v>2173</v>
      </c>
      <c r="O1" s="7" t="s">
        <v>987</v>
      </c>
      <c r="P1" s="7" t="s">
        <v>2174</v>
      </c>
    </row>
    <row r="2">
      <c r="A2" s="52" t="s">
        <v>1100</v>
      </c>
      <c r="B2" s="52" t="s">
        <v>1101</v>
      </c>
      <c r="C2" s="46" t="s">
        <v>986</v>
      </c>
      <c r="D2" s="53">
        <f>IFERROR(__xludf.DUMMYFUNCTION("XLOOKUP(JOIN(""/"",$A2:$B2),'source merged_div_data'!$A:$A,'source merged_div_data'!B:B)"),4.0)</f>
        <v>4</v>
      </c>
      <c r="E2" s="53">
        <f>IFERROR(__xludf.DUMMYFUNCTION("XLOOKUP(JOIN(""/"",$A2:$B2),'source merged_div_data'!$A:$A,'source merged_div_data'!C:C)"),0.0)</f>
        <v>0</v>
      </c>
      <c r="F2" s="54" t="str">
        <f t="array" ref="F2">IFERROR(
  IFS(
    XLOOKUP(TEXTJOIN("/", TRUE, $A2:$B2), 'source merged_div_data'!$A:$A, 'source merged_div_data'!F:F) &lt; 1024,
      XLOOKUP(TEXTJOIN("/", TRUE, $A2:$B2), 'source merged_div_data'!$A:$A, 'source merged_div_data'!F:F) &amp; " B",
    XLOOKUP(TEXTJOIN("/", TRUE, $A2:$B2), 'source merged_div_data'!$A:$A, 'source merged_div_data'!F:F) &lt; 1048576,
      ROUND(XLOOKUP(TEXTJOIN("/", TRUE, $A2:$B2), 'source merged_div_data'!$A:$A, 'source merged_div_data'!F:F)/1024, 2) &amp; " KB",
    XLOOKUP(TEXTJOIN("/", TRUE, $A2:$B2), 'source merged_div_data'!$A:$A, 'source merged_div_data'!F:F) &lt; 1073741824,
      ROUND(XLOOKUP(TEXTJOIN("/", TRUE, $A2:$B2), 'source merged_div_data'!$A:$A, 'source merged_div_data'!F:F)/1048576, 2) &amp; " MB",
    TRUE,
      ROUND(XLOOKUP(TEXTJOIN("/", TRUE, $A2:$B2), 'source merged_div_data'!$A:$A, 'source merged_div_data'!F:F)/1073741824, 2) &amp; " GB"
  ),
  "×"
)</f>
        <v>86 B</v>
      </c>
      <c r="G2" s="55" t="s">
        <v>1053</v>
      </c>
      <c r="H2" s="55"/>
      <c r="I2" s="55"/>
      <c r="J2" s="31" t="s">
        <v>717</v>
      </c>
      <c r="K2" s="30" t="s">
        <v>2175</v>
      </c>
      <c r="L2" s="30" t="s">
        <v>2100</v>
      </c>
      <c r="M2" s="30" t="s">
        <v>2090</v>
      </c>
      <c r="N2" s="52" t="s">
        <v>1102</v>
      </c>
      <c r="O2" s="46" t="s">
        <v>1103</v>
      </c>
      <c r="P2" s="37" t="str">
        <f>IFERROR(__xludf.DUMMYFUNCTION("XLOOKUP(JOIN(""/"",$A2:$B2),'source isilon_divまとめ'!$A:$A,'source isilon_divまとめ'!$D:$D,XLOOKUP(JOIN(""\"",$A2:$B2),'source NetApp-file-sv01-div'!A:A,TEXT('source NetApp-file-sv01-div'!C:C,""yyyy/mm/dd"")))"),"#N/A")</f>
        <v>#N/A</v>
      </c>
    </row>
    <row r="3">
      <c r="A3" s="52" t="s">
        <v>1100</v>
      </c>
      <c r="B3" s="52" t="s">
        <v>444</v>
      </c>
      <c r="C3" s="46" t="s">
        <v>986</v>
      </c>
      <c r="D3" s="53">
        <f>IFERROR(__xludf.DUMMYFUNCTION("XLOOKUP(JOIN(""/"",$A3:$B3),'source merged_div_data'!$A:$A,'source merged_div_data'!B:B)"),3.0)</f>
        <v>3</v>
      </c>
      <c r="E3" s="53">
        <f>IFERROR(__xludf.DUMMYFUNCTION("XLOOKUP(JOIN(""/"",$A3:$B3),'source merged_div_data'!$A:$A,'source merged_div_data'!C:C)"),0.0)</f>
        <v>0</v>
      </c>
      <c r="F3" s="54" t="str">
        <f t="array" ref="F3">IFERROR(
  IFS(
    XLOOKUP(TEXTJOIN("/", TRUE, $A3:$B3), 'source merged_div_data'!$A:$A, 'source merged_div_data'!F:F) &lt; 1024,
      XLOOKUP(TEXTJOIN("/", TRUE, $A3:$B3), 'source merged_div_data'!$A:$A, 'source merged_div_data'!F:F) &amp; " B",
    XLOOKUP(TEXTJOIN("/", TRUE, $A3:$B3), 'source merged_div_data'!$A:$A, 'source merged_div_data'!F:F) &lt; 1048576,
      ROUND(XLOOKUP(TEXTJOIN("/", TRUE, $A3:$B3), 'source merged_div_data'!$A:$A, 'source merged_div_data'!F:F)/1024, 2) &amp; " KB",
    XLOOKUP(TEXTJOIN("/", TRUE, $A3:$B3), 'source merged_div_data'!$A:$A, 'source merged_div_data'!F:F) &lt; 1073741824,
      ROUND(XLOOKUP(TEXTJOIN("/", TRUE, $A3:$B3), 'source merged_div_data'!$A:$A, 'source merged_div_data'!F:F)/1048576, 2) &amp; " MB",
    TRUE,
      ROUND(XLOOKUP(TEXTJOIN("/", TRUE, $A3:$B3), 'source merged_div_data'!$A:$A, 'source merged_div_data'!F:F)/1073741824, 2) &amp; " GB"
  ),
  "×"
)</f>
        <v>61 B</v>
      </c>
      <c r="G3" s="55" t="s">
        <v>1053</v>
      </c>
      <c r="H3" s="55"/>
      <c r="I3" s="55"/>
      <c r="J3" s="31" t="s">
        <v>717</v>
      </c>
      <c r="K3" s="30" t="s">
        <v>2175</v>
      </c>
      <c r="L3" s="30" t="s">
        <v>2100</v>
      </c>
      <c r="M3" s="30" t="s">
        <v>2090</v>
      </c>
      <c r="N3" s="52" t="s">
        <v>1102</v>
      </c>
      <c r="O3" s="46" t="s">
        <v>1103</v>
      </c>
      <c r="P3" s="37" t="str">
        <f>IFERROR(__xludf.DUMMYFUNCTION("XLOOKUP(JOIN(""/"",$A3:$B3),'source isilon_divまとめ'!$A:$A,'source isilon_divまとめ'!$D:$D,XLOOKUP(JOIN(""\"",$A3:$B3),'source NetApp-file-sv01-div'!A:A,TEXT('source NetApp-file-sv01-div'!C:C,""yyyy/mm/dd"")))"),"#N/A")</f>
        <v>#N/A</v>
      </c>
    </row>
    <row r="4">
      <c r="A4" s="52" t="s">
        <v>1100</v>
      </c>
      <c r="B4" s="52" t="s">
        <v>56</v>
      </c>
      <c r="C4" s="46" t="s">
        <v>986</v>
      </c>
      <c r="D4" s="53">
        <f>IFERROR(__xludf.DUMMYFUNCTION("XLOOKUP(JOIN(""/"",$A4:$B4),'source merged_div_data'!$A:$A,'source merged_div_data'!B:B)"),3.0)</f>
        <v>3</v>
      </c>
      <c r="E4" s="53">
        <f>IFERROR(__xludf.DUMMYFUNCTION("XLOOKUP(JOIN(""/"",$A4:$B4),'source merged_div_data'!$A:$A,'source merged_div_data'!C:C)"),0.0)</f>
        <v>0</v>
      </c>
      <c r="F4" s="54" t="str">
        <f t="array" ref="F4">IFERROR(
  IFS(
    XLOOKUP(TEXTJOIN("/", TRUE, $A4:$B4), 'source merged_div_data'!$A:$A, 'source merged_div_data'!F:F) &lt; 1024,
      XLOOKUP(TEXTJOIN("/", TRUE, $A4:$B4), 'source merged_div_data'!$A:$A, 'source merged_div_data'!F:F) &amp; " B",
    XLOOKUP(TEXTJOIN("/", TRUE, $A4:$B4), 'source merged_div_data'!$A:$A, 'source merged_div_data'!F:F) &lt; 1048576,
      ROUND(XLOOKUP(TEXTJOIN("/", TRUE, $A4:$B4), 'source merged_div_data'!$A:$A, 'source merged_div_data'!F:F)/1024, 2) &amp; " KB",
    XLOOKUP(TEXTJOIN("/", TRUE, $A4:$B4), 'source merged_div_data'!$A:$A, 'source merged_div_data'!F:F) &lt; 1073741824,
      ROUND(XLOOKUP(TEXTJOIN("/", TRUE, $A4:$B4), 'source merged_div_data'!$A:$A, 'source merged_div_data'!F:F)/1048576, 2) &amp; " MB",
    TRUE,
      ROUND(XLOOKUP(TEXTJOIN("/", TRUE, $A4:$B4), 'source merged_div_data'!$A:$A, 'source merged_div_data'!F:F)/1073741824, 2) &amp; " GB"
  ),
  "×"
)</f>
        <v>61 B</v>
      </c>
      <c r="G4" s="55" t="s">
        <v>1053</v>
      </c>
      <c r="H4" s="55"/>
      <c r="I4" s="55"/>
      <c r="J4" s="31" t="s">
        <v>717</v>
      </c>
      <c r="K4" s="30" t="s">
        <v>2175</v>
      </c>
      <c r="L4" s="30" t="s">
        <v>2100</v>
      </c>
      <c r="M4" s="30" t="s">
        <v>2090</v>
      </c>
      <c r="N4" s="52" t="s">
        <v>1102</v>
      </c>
      <c r="O4" s="46" t="s">
        <v>1103</v>
      </c>
      <c r="P4" s="37" t="str">
        <f>IFERROR(__xludf.DUMMYFUNCTION("XLOOKUP(JOIN(""/"",$A4:$B4),'source isilon_divまとめ'!$A:$A,'source isilon_divまとめ'!$D:$D,XLOOKUP(JOIN(""\"",$A4:$B4),'source NetApp-file-sv01-div'!A:A,TEXT('source NetApp-file-sv01-div'!C:C,""yyyy/mm/dd"")))"),"#N/A")</f>
        <v>#N/A</v>
      </c>
    </row>
    <row r="5">
      <c r="A5" s="52" t="s">
        <v>1100</v>
      </c>
      <c r="B5" s="52" t="s">
        <v>1104</v>
      </c>
      <c r="C5" s="46" t="s">
        <v>986</v>
      </c>
      <c r="D5" s="53">
        <f>IFERROR(__xludf.DUMMYFUNCTION("XLOOKUP(JOIN(""/"",$A5:$B5),'source merged_div_data'!$A:$A,'source merged_div_data'!B:B)"),2.0)</f>
        <v>2</v>
      </c>
      <c r="E5" s="53">
        <f>IFERROR(__xludf.DUMMYFUNCTION("XLOOKUP(JOIN(""/"",$A5:$B5),'source merged_div_data'!$A:$A,'source merged_div_data'!C:C)"),0.0)</f>
        <v>0</v>
      </c>
      <c r="F5" s="54" t="str">
        <f t="array" ref="F5">IFERROR(
  IFS(
    XLOOKUP(TEXTJOIN("/", TRUE, $A5:$B5), 'source merged_div_data'!$A:$A, 'source merged_div_data'!F:F) &lt; 1024,
      XLOOKUP(TEXTJOIN("/", TRUE, $A5:$B5), 'source merged_div_data'!$A:$A, 'source merged_div_data'!F:F) &amp; " B",
    XLOOKUP(TEXTJOIN("/", TRUE, $A5:$B5), 'source merged_div_data'!$A:$A, 'source merged_div_data'!F:F) &lt; 1048576,
      ROUND(XLOOKUP(TEXTJOIN("/", TRUE, $A5:$B5), 'source merged_div_data'!$A:$A, 'source merged_div_data'!F:F)/1024, 2) &amp; " KB",
    XLOOKUP(TEXTJOIN("/", TRUE, $A5:$B5), 'source merged_div_data'!$A:$A, 'source merged_div_data'!F:F) &lt; 1073741824,
      ROUND(XLOOKUP(TEXTJOIN("/", TRUE, $A5:$B5), 'source merged_div_data'!$A:$A, 'source merged_div_data'!F:F)/1048576, 2) &amp; " MB",
    TRUE,
      ROUND(XLOOKUP(TEXTJOIN("/", TRUE, $A5:$B5), 'source merged_div_data'!$A:$A, 'source merged_div_data'!F:F)/1073741824, 2) &amp; " GB"
  ),
  "×"
)</f>
        <v>39 B</v>
      </c>
      <c r="G5" s="55" t="s">
        <v>1053</v>
      </c>
      <c r="H5" s="55"/>
      <c r="I5" s="55"/>
      <c r="J5" s="31" t="s">
        <v>717</v>
      </c>
      <c r="K5" s="30" t="s">
        <v>2175</v>
      </c>
      <c r="L5" s="30" t="s">
        <v>2100</v>
      </c>
      <c r="M5" s="30" t="s">
        <v>2090</v>
      </c>
      <c r="N5" s="52" t="s">
        <v>1102</v>
      </c>
      <c r="O5" s="46" t="s">
        <v>1105</v>
      </c>
      <c r="P5" s="37" t="str">
        <f>IFERROR(__xludf.DUMMYFUNCTION("XLOOKUP(JOIN(""/"",$A5:$B5),'source isilon_divまとめ'!$A:$A,'source isilon_divまとめ'!$D:$D,XLOOKUP(JOIN(""\"",$A5:$B5),'source NetApp-file-sv01-div'!A:A,TEXT('source NetApp-file-sv01-div'!C:C,""yyyy/mm/dd"")))"),"#N/A")</f>
        <v>#N/A</v>
      </c>
    </row>
    <row r="6">
      <c r="A6" s="8" t="s">
        <v>1106</v>
      </c>
      <c r="B6" s="8" t="s">
        <v>1107</v>
      </c>
      <c r="C6" s="7" t="s">
        <v>987</v>
      </c>
      <c r="D6" s="56">
        <f>IFERROR(__xludf.DUMMYFUNCTION("XLOOKUP(JOIN(""/"",$A6:$B6),'source merged_div_data'!$A:$A,'source merged_div_data'!B:B)"),32.0)</f>
        <v>32</v>
      </c>
      <c r="E6" s="56">
        <f>IFERROR(__xludf.DUMMYFUNCTION("XLOOKUP(JOIN(""/"",$A6:$B6),'source merged_div_data'!$A:$A,'source merged_div_data'!C:C)"),17.0)</f>
        <v>17</v>
      </c>
      <c r="F6" s="54" t="str">
        <f t="array" ref="F6">IFERROR(
  IFS(
    XLOOKUP(TEXTJOIN("/", TRUE, $A6:$B6), 'source merged_div_data'!$A:$A, 'source merged_div_data'!F:F) &lt; 1024,
      XLOOKUP(TEXTJOIN("/", TRUE, $A6:$B6), 'source merged_div_data'!$A:$A, 'source merged_div_data'!F:F) &amp; " B",
    XLOOKUP(TEXTJOIN("/", TRUE, $A6:$B6), 'source merged_div_data'!$A:$A, 'source merged_div_data'!F:F) &lt; 1048576,
      ROUND(XLOOKUP(TEXTJOIN("/", TRUE, $A6:$B6), 'source merged_div_data'!$A:$A, 'source merged_div_data'!F:F)/1024, 2) &amp; " KB",
    XLOOKUP(TEXTJOIN("/", TRUE, $A6:$B6), 'source merged_div_data'!$A:$A, 'source merged_div_data'!F:F) &lt; 1073741824,
      ROUND(XLOOKUP(TEXTJOIN("/", TRUE, $A6:$B6), 'source merged_div_data'!$A:$A, 'source merged_div_data'!F:F)/1048576, 2) &amp; " MB",
    TRUE,
      ROUND(XLOOKUP(TEXTJOIN("/", TRUE, $A6:$B6), 'source merged_div_data'!$A:$A, 'source merged_div_data'!F:F)/1073741824, 2) &amp; " GB"
  ),
  "×"
)</f>
        <v>19.25 MB</v>
      </c>
      <c r="G6" s="57" t="s">
        <v>2176</v>
      </c>
      <c r="H6" s="58" t="s">
        <v>2177</v>
      </c>
      <c r="I6" s="57"/>
      <c r="J6" s="7" t="s">
        <v>717</v>
      </c>
      <c r="K6" s="7" t="s">
        <v>2175</v>
      </c>
      <c r="L6" s="7" t="s">
        <v>2100</v>
      </c>
      <c r="M6" s="7" t="s">
        <v>2090</v>
      </c>
      <c r="N6" s="8" t="s">
        <v>1102</v>
      </c>
      <c r="O6" s="7" t="s">
        <v>1108</v>
      </c>
      <c r="P6" s="57" t="str">
        <f>IFERROR(__xludf.DUMMYFUNCTION("XLOOKUP(JOIN(""/"",$A6:$B6),'source isilon_divまとめ'!$A:$A,'source isilon_divまとめ'!$D:$D,XLOOKUP(JOIN(""\"",$A6:$B6),'source NetApp-file-sv01-div'!A:A,TEXT('source NetApp-file-sv01-div'!C:C,""yyyy/mm/dd"")))"),"2016/04/20")</f>
        <v>2016/04/20</v>
      </c>
    </row>
    <row r="7">
      <c r="A7" s="8" t="s">
        <v>1106</v>
      </c>
      <c r="B7" s="8" t="s">
        <v>1109</v>
      </c>
      <c r="C7" s="7" t="s">
        <v>987</v>
      </c>
      <c r="D7" s="56">
        <f>IFERROR(__xludf.DUMMYFUNCTION("XLOOKUP(JOIN(""/"",$A7:$B7),'source merged_div_data'!$A:$A,'source merged_div_data'!B:B)"),55.0)</f>
        <v>55</v>
      </c>
      <c r="E7" s="56">
        <f>IFERROR(__xludf.DUMMYFUNCTION("XLOOKUP(JOIN(""/"",$A7:$B7),'source merged_div_data'!$A:$A,'source merged_div_data'!C:C)"),53.0)</f>
        <v>53</v>
      </c>
      <c r="F7" s="54" t="str">
        <f t="array" ref="F7">IFERROR(
  IFS(
    XLOOKUP(TEXTJOIN("/", TRUE, $A7:$B7), 'source merged_div_data'!$A:$A, 'source merged_div_data'!F:F) &lt; 1024,
      XLOOKUP(TEXTJOIN("/", TRUE, $A7:$B7), 'source merged_div_data'!$A:$A, 'source merged_div_data'!F:F) &amp; " B",
    XLOOKUP(TEXTJOIN("/", TRUE, $A7:$B7), 'source merged_div_data'!$A:$A, 'source merged_div_data'!F:F) &lt; 1048576,
      ROUND(XLOOKUP(TEXTJOIN("/", TRUE, $A7:$B7), 'source merged_div_data'!$A:$A, 'source merged_div_data'!F:F)/1024, 2) &amp; " KB",
    XLOOKUP(TEXTJOIN("/", TRUE, $A7:$B7), 'source merged_div_data'!$A:$A, 'source merged_div_data'!F:F) &lt; 1073741824,
      ROUND(XLOOKUP(TEXTJOIN("/", TRUE, $A7:$B7), 'source merged_div_data'!$A:$A, 'source merged_div_data'!F:F)/1048576, 2) &amp; " MB",
    TRUE,
      ROUND(XLOOKUP(TEXTJOIN("/", TRUE, $A7:$B7), 'source merged_div_data'!$A:$A, 'source merged_div_data'!F:F)/1073741824, 2) &amp; " GB"
  ),
  "×"
)</f>
        <v>8.61 MB</v>
      </c>
      <c r="G7" s="57" t="s">
        <v>2178</v>
      </c>
      <c r="H7" s="58" t="s">
        <v>2177</v>
      </c>
      <c r="I7" s="57"/>
      <c r="J7" s="7" t="s">
        <v>391</v>
      </c>
      <c r="K7" s="7" t="s">
        <v>395</v>
      </c>
      <c r="L7" s="37" t="s">
        <v>1053</v>
      </c>
      <c r="M7" s="7" t="s">
        <v>2092</v>
      </c>
      <c r="N7" s="8" t="s">
        <v>1102</v>
      </c>
      <c r="O7" s="7" t="s">
        <v>1110</v>
      </c>
      <c r="P7" s="57" t="str">
        <f>IFERROR(__xludf.DUMMYFUNCTION("XLOOKUP(JOIN(""/"",$A7:$B7),'source isilon_divまとめ'!$A:$A,'source isilon_divまとめ'!$D:$D,XLOOKUP(JOIN(""\"",$A7:$B7),'source NetApp-file-sv01-div'!A:A,TEXT('source NetApp-file-sv01-div'!C:C,""yyyy/mm/dd"")))"),"2016/03/04")</f>
        <v>2016/03/04</v>
      </c>
    </row>
    <row r="8">
      <c r="A8" s="8" t="s">
        <v>1106</v>
      </c>
      <c r="B8" s="8" t="s">
        <v>1111</v>
      </c>
      <c r="C8" s="7" t="s">
        <v>988</v>
      </c>
      <c r="D8" s="56">
        <f>IFERROR(__xludf.DUMMYFUNCTION("XLOOKUP(JOIN(""/"",$A8:$B8),'source merged_div_data'!$A:$A,'source merged_div_data'!B:B)"),1345.0)</f>
        <v>1345</v>
      </c>
      <c r="E8" s="56">
        <f>IFERROR(__xludf.DUMMYFUNCTION("XLOOKUP(JOIN(""/"",$A8:$B8),'source merged_div_data'!$A:$A,'source merged_div_data'!C:C)"),9883.0)</f>
        <v>9883</v>
      </c>
      <c r="F8" s="54" t="str">
        <f t="array" ref="F8">IFERROR(
  IFS(
    XLOOKUP(TEXTJOIN("/", TRUE, $A8:$B8), 'source merged_div_data'!$A:$A, 'source merged_div_data'!F:F) &lt; 1024,
      XLOOKUP(TEXTJOIN("/", TRUE, $A8:$B8), 'source merged_div_data'!$A:$A, 'source merged_div_data'!F:F) &amp; " B",
    XLOOKUP(TEXTJOIN("/", TRUE, $A8:$B8), 'source merged_div_data'!$A:$A, 'source merged_div_data'!F:F) &lt; 1048576,
      ROUND(XLOOKUP(TEXTJOIN("/", TRUE, $A8:$B8), 'source merged_div_data'!$A:$A, 'source merged_div_data'!F:F)/1024, 2) &amp; " KB",
    XLOOKUP(TEXTJOIN("/", TRUE, $A8:$B8), 'source merged_div_data'!$A:$A, 'source merged_div_data'!F:F) &lt; 1073741824,
      ROUND(XLOOKUP(TEXTJOIN("/", TRUE, $A8:$B8), 'source merged_div_data'!$A:$A, 'source merged_div_data'!F:F)/1048576, 2) &amp; " MB",
    TRUE,
      ROUND(XLOOKUP(TEXTJOIN("/", TRUE, $A8:$B8), 'source merged_div_data'!$A:$A, 'source merged_div_data'!F:F)/1073741824, 2) &amp; " GB"
  ),
  "×"
)</f>
        <v>7.72 GB</v>
      </c>
      <c r="G8" s="57" t="s">
        <v>2179</v>
      </c>
      <c r="H8" s="58" t="s">
        <v>2177</v>
      </c>
      <c r="I8" s="57"/>
      <c r="J8" s="31" t="s">
        <v>693</v>
      </c>
      <c r="K8" s="30"/>
      <c r="L8" s="30" t="s">
        <v>2094</v>
      </c>
      <c r="M8" s="30" t="s">
        <v>1053</v>
      </c>
      <c r="N8" s="8" t="s">
        <v>1102</v>
      </c>
      <c r="O8" s="7" t="s">
        <v>1105</v>
      </c>
      <c r="P8" s="57" t="str">
        <f>IFERROR(__xludf.DUMMYFUNCTION("XLOOKUP(JOIN(""/"",$A8:$B8),'source isilon_divまとめ'!$A:$A,'source isilon_divまとめ'!$D:$D,XLOOKUP(JOIN(""\"",$A8:$B8),'source NetApp-file-sv01-div'!A:A,TEXT('source NetApp-file-sv01-div'!C:C,""yyyy/mm/dd"")))"),"2022/04/16")</f>
        <v>2022/04/16</v>
      </c>
    </row>
    <row r="9">
      <c r="A9" s="52" t="s">
        <v>1106</v>
      </c>
      <c r="B9" s="52" t="s">
        <v>1112</v>
      </c>
      <c r="C9" s="46" t="s">
        <v>986</v>
      </c>
      <c r="D9" s="53">
        <f>IFERROR(__xludf.DUMMYFUNCTION("XLOOKUP(JOIN(""/"",$A9:$B9),'source merged_div_data'!$A:$A,'source merged_div_data'!B:B)"),29.0)</f>
        <v>29</v>
      </c>
      <c r="E9" s="53">
        <f>IFERROR(__xludf.DUMMYFUNCTION("XLOOKUP(JOIN(""/"",$A9:$B9),'source merged_div_data'!$A:$A,'source merged_div_data'!C:C)"),0.0)</f>
        <v>0</v>
      </c>
      <c r="F9" s="54" t="str">
        <f t="array" ref="F9">IFERROR(
  IFS(
    XLOOKUP(TEXTJOIN("/", TRUE, $A9:$B9), 'source merged_div_data'!$A:$A, 'source merged_div_data'!F:F) &lt; 1024,
      XLOOKUP(TEXTJOIN("/", TRUE, $A9:$B9), 'source merged_div_data'!$A:$A, 'source merged_div_data'!F:F) &amp; " B",
    XLOOKUP(TEXTJOIN("/", TRUE, $A9:$B9), 'source merged_div_data'!$A:$A, 'source merged_div_data'!F:F) &lt; 1048576,
      ROUND(XLOOKUP(TEXTJOIN("/", TRUE, $A9:$B9), 'source merged_div_data'!$A:$A, 'source merged_div_data'!F:F)/1024, 2) &amp; " KB",
    XLOOKUP(TEXTJOIN("/", TRUE, $A9:$B9), 'source merged_div_data'!$A:$A, 'source merged_div_data'!F:F) &lt; 1073741824,
      ROUND(XLOOKUP(TEXTJOIN("/", TRUE, $A9:$B9), 'source merged_div_data'!$A:$A, 'source merged_div_data'!F:F)/1048576, 2) &amp; " MB",
    TRUE,
      ROUND(XLOOKUP(TEXTJOIN("/", TRUE, $A9:$B9), 'source merged_div_data'!$A:$A, 'source merged_div_data'!F:F)/1073741824, 2) &amp; " GB"
  ),
  "×"
)</f>
        <v>868 B</v>
      </c>
      <c r="G9" s="55" t="s">
        <v>1053</v>
      </c>
      <c r="H9" s="55"/>
      <c r="I9" s="55"/>
      <c r="J9" s="31" t="s">
        <v>391</v>
      </c>
      <c r="K9" s="30" t="s">
        <v>395</v>
      </c>
      <c r="L9" s="30" t="s">
        <v>1053</v>
      </c>
      <c r="M9" s="30" t="s">
        <v>2092</v>
      </c>
      <c r="N9" s="52" t="s">
        <v>1102</v>
      </c>
      <c r="O9" s="46" t="s">
        <v>1110</v>
      </c>
      <c r="P9" s="37" t="str">
        <f>IFERROR(__xludf.DUMMYFUNCTION("XLOOKUP(JOIN(""/"",$A9:$B9),'source isilon_divまとめ'!$A:$A,'source isilon_divまとめ'!$D:$D,XLOOKUP(JOIN(""\"",$A9:$B9),'source NetApp-file-sv01-div'!A:A,TEXT('source NetApp-file-sv01-div'!C:C,""yyyy/mm/dd"")))"),"#N/A")</f>
        <v>#N/A</v>
      </c>
    </row>
    <row r="10">
      <c r="A10" s="8" t="s">
        <v>1106</v>
      </c>
      <c r="B10" s="8" t="s">
        <v>1113</v>
      </c>
      <c r="C10" s="7" t="s">
        <v>987</v>
      </c>
      <c r="D10" s="56">
        <f>IFERROR(__xludf.DUMMYFUNCTION("XLOOKUP(JOIN(""/"",$A10:$B10),'source merged_div_data'!$A:$A,'source merged_div_data'!B:B)"),19.0)</f>
        <v>19</v>
      </c>
      <c r="E10" s="56">
        <f>IFERROR(__xludf.DUMMYFUNCTION("XLOOKUP(JOIN(""/"",$A10:$B10),'source merged_div_data'!$A:$A,'source merged_div_data'!C:C)"),19.0)</f>
        <v>19</v>
      </c>
      <c r="F10" s="54" t="str">
        <f t="array" ref="F10">IFERROR(
  IFS(
    XLOOKUP(TEXTJOIN("/", TRUE, $A10:$B10), 'source merged_div_data'!$A:$A, 'source merged_div_data'!F:F) &lt; 1024,
      XLOOKUP(TEXTJOIN("/", TRUE, $A10:$B10), 'source merged_div_data'!$A:$A, 'source merged_div_data'!F:F) &amp; " B",
    XLOOKUP(TEXTJOIN("/", TRUE, $A10:$B10), 'source merged_div_data'!$A:$A, 'source merged_div_data'!F:F) &lt; 1048576,
      ROUND(XLOOKUP(TEXTJOIN("/", TRUE, $A10:$B10), 'source merged_div_data'!$A:$A, 'source merged_div_data'!F:F)/1024, 2) &amp; " KB",
    XLOOKUP(TEXTJOIN("/", TRUE, $A10:$B10), 'source merged_div_data'!$A:$A, 'source merged_div_data'!F:F) &lt; 1073741824,
      ROUND(XLOOKUP(TEXTJOIN("/", TRUE, $A10:$B10), 'source merged_div_data'!$A:$A, 'source merged_div_data'!F:F)/1048576, 2) &amp; " MB",
    TRUE,
      ROUND(XLOOKUP(TEXTJOIN("/", TRUE, $A10:$B10), 'source merged_div_data'!$A:$A, 'source merged_div_data'!F:F)/1073741824, 2) &amp; " GB"
  ),
  "×"
)</f>
        <v>29.29 MB</v>
      </c>
      <c r="G10" s="57" t="s">
        <v>2180</v>
      </c>
      <c r="H10" s="58" t="s">
        <v>2177</v>
      </c>
      <c r="I10" s="57"/>
      <c r="J10" s="7" t="s">
        <v>391</v>
      </c>
      <c r="K10" s="7" t="s">
        <v>395</v>
      </c>
      <c r="L10" s="37" t="s">
        <v>1053</v>
      </c>
      <c r="M10" s="7" t="s">
        <v>2092</v>
      </c>
      <c r="N10" s="8" t="s">
        <v>1102</v>
      </c>
      <c r="O10" s="7" t="s">
        <v>1110</v>
      </c>
      <c r="P10" s="57" t="str">
        <f>IFERROR(__xludf.DUMMYFUNCTION("XLOOKUP(JOIN(""/"",$A10:$B10),'source isilon_divまとめ'!$A:$A,'source isilon_divまとめ'!$D:$D,XLOOKUP(JOIN(""\"",$A10:$B10),'source NetApp-file-sv01-div'!A:A,TEXT('source NetApp-file-sv01-div'!C:C,""yyyy/mm/dd"")))"),"2016/05/19")</f>
        <v>2016/05/19</v>
      </c>
    </row>
    <row r="11">
      <c r="A11" s="52" t="s">
        <v>1114</v>
      </c>
      <c r="B11" s="52" t="s">
        <v>1115</v>
      </c>
      <c r="C11" s="46" t="s">
        <v>988</v>
      </c>
      <c r="D11" s="53">
        <f>IFERROR(__xludf.DUMMYFUNCTION("XLOOKUP(JOIN(""/"",$A11:$B11),'source merged_div_data'!$A:$A,'source merged_div_data'!B:B)"),4.0)</f>
        <v>4</v>
      </c>
      <c r="E11" s="53">
        <f>IFERROR(__xludf.DUMMYFUNCTION("XLOOKUP(JOIN(""/"",$A11:$B11),'source merged_div_data'!$A:$A,'source merged_div_data'!C:C)"),0.0)</f>
        <v>0</v>
      </c>
      <c r="F11" s="54" t="str">
        <f t="array" ref="F11">IFERROR(
  IFS(
    XLOOKUP(TEXTJOIN("/", TRUE, $A11:$B11), 'source merged_div_data'!$A:$A, 'source merged_div_data'!F:F) &lt; 1024,
      XLOOKUP(TEXTJOIN("/", TRUE, $A11:$B11), 'source merged_div_data'!$A:$A, 'source merged_div_data'!F:F) &amp; " B",
    XLOOKUP(TEXTJOIN("/", TRUE, $A11:$B11), 'source merged_div_data'!$A:$A, 'source merged_div_data'!F:F) &lt; 1048576,
      ROUND(XLOOKUP(TEXTJOIN("/", TRUE, $A11:$B11), 'source merged_div_data'!$A:$A, 'source merged_div_data'!F:F)/1024, 2) &amp; " KB",
    XLOOKUP(TEXTJOIN("/", TRUE, $A11:$B11), 'source merged_div_data'!$A:$A, 'source merged_div_data'!F:F) &lt; 1073741824,
      ROUND(XLOOKUP(TEXTJOIN("/", TRUE, $A11:$B11), 'source merged_div_data'!$A:$A, 'source merged_div_data'!F:F)/1048576, 2) &amp; " MB",
    TRUE,
      ROUND(XLOOKUP(TEXTJOIN("/", TRUE, $A11:$B11), 'source merged_div_data'!$A:$A, 'source merged_div_data'!F:F)/1073741824, 2) &amp; " GB"
  ),
  "×"
)</f>
        <v>106 B</v>
      </c>
      <c r="G11" s="55" t="s">
        <v>1053</v>
      </c>
      <c r="H11" s="55"/>
      <c r="I11" s="55"/>
      <c r="J11" s="46" t="s">
        <v>1117</v>
      </c>
      <c r="K11" s="55"/>
      <c r="L11" s="55" t="s">
        <v>1053</v>
      </c>
      <c r="M11" s="55" t="s">
        <v>1053</v>
      </c>
      <c r="N11" s="52" t="s">
        <v>1116</v>
      </c>
      <c r="O11" s="46" t="s">
        <v>1117</v>
      </c>
      <c r="P11" s="37" t="str">
        <f>IFERROR(__xludf.DUMMYFUNCTION("XLOOKUP(JOIN(""/"",$A11:$B11),'source isilon_divまとめ'!$A:$A,'source isilon_divまとめ'!$D:$D,XLOOKUP(JOIN(""\"",$A11:$B11),'source NetApp-file-sv01-div'!A:A,TEXT('source NetApp-file-sv01-div'!C:C,""yyyy/mm/dd"")))"),"#N/A")</f>
        <v>#N/A</v>
      </c>
    </row>
    <row r="12">
      <c r="A12" s="52" t="s">
        <v>1114</v>
      </c>
      <c r="B12" s="52" t="s">
        <v>1118</v>
      </c>
      <c r="C12" s="46" t="s">
        <v>988</v>
      </c>
      <c r="D12" s="53">
        <f>IFERROR(__xludf.DUMMYFUNCTION("XLOOKUP(JOIN(""/"",$A12:$B12),'source merged_div_data'!$A:$A,'source merged_div_data'!B:B)"),2.0)</f>
        <v>2</v>
      </c>
      <c r="E12" s="53">
        <f>IFERROR(__xludf.DUMMYFUNCTION("XLOOKUP(JOIN(""/"",$A12:$B12),'source merged_div_data'!$A:$A,'source merged_div_data'!C:C)"),0.0)</f>
        <v>0</v>
      </c>
      <c r="F12" s="54" t="str">
        <f t="array" ref="F12">IFERROR(
  IFS(
    XLOOKUP(TEXTJOIN("/", TRUE, $A12:$B12), 'source merged_div_data'!$A:$A, 'source merged_div_data'!F:F) &lt; 1024,
      XLOOKUP(TEXTJOIN("/", TRUE, $A12:$B12), 'source merged_div_data'!$A:$A, 'source merged_div_data'!F:F) &amp; " B",
    XLOOKUP(TEXTJOIN("/", TRUE, $A12:$B12), 'source merged_div_data'!$A:$A, 'source merged_div_data'!F:F) &lt; 1048576,
      ROUND(XLOOKUP(TEXTJOIN("/", TRUE, $A12:$B12), 'source merged_div_data'!$A:$A, 'source merged_div_data'!F:F)/1024, 2) &amp; " KB",
    XLOOKUP(TEXTJOIN("/", TRUE, $A12:$B12), 'source merged_div_data'!$A:$A, 'source merged_div_data'!F:F) &lt; 1073741824,
      ROUND(XLOOKUP(TEXTJOIN("/", TRUE, $A12:$B12), 'source merged_div_data'!$A:$A, 'source merged_div_data'!F:F)/1048576, 2) &amp; " MB",
    TRUE,
      ROUND(XLOOKUP(TEXTJOIN("/", TRUE, $A12:$B12), 'source merged_div_data'!$A:$A, 'source merged_div_data'!F:F)/1073741824, 2) &amp; " GB"
  ),
  "×"
)</f>
        <v>27 B</v>
      </c>
      <c r="G12" s="55" t="s">
        <v>1053</v>
      </c>
      <c r="H12" s="55"/>
      <c r="I12" s="55"/>
      <c r="J12" s="46" t="s">
        <v>1117</v>
      </c>
      <c r="K12" s="55"/>
      <c r="L12" s="55" t="s">
        <v>1053</v>
      </c>
      <c r="M12" s="55" t="s">
        <v>1053</v>
      </c>
      <c r="N12" s="52" t="s">
        <v>1116</v>
      </c>
      <c r="O12" s="46" t="s">
        <v>1117</v>
      </c>
      <c r="P12" s="37" t="str">
        <f>IFERROR(__xludf.DUMMYFUNCTION("XLOOKUP(JOIN(""/"",$A12:$B12),'source isilon_divまとめ'!$A:$A,'source isilon_divまとめ'!$D:$D,XLOOKUP(JOIN(""\"",$A12:$B12),'source NetApp-file-sv01-div'!A:A,TEXT('source NetApp-file-sv01-div'!C:C,""yyyy/mm/dd"")))"),"#N/A")</f>
        <v>#N/A</v>
      </c>
    </row>
    <row r="13">
      <c r="A13" s="52" t="s">
        <v>1114</v>
      </c>
      <c r="B13" s="52" t="s">
        <v>1119</v>
      </c>
      <c r="C13" s="46" t="s">
        <v>988</v>
      </c>
      <c r="D13" s="53">
        <f>IFERROR(__xludf.DUMMYFUNCTION("XLOOKUP(JOIN(""/"",$A13:$B13),'source merged_div_data'!$A:$A,'source merged_div_data'!B:B)"),2.0)</f>
        <v>2</v>
      </c>
      <c r="E13" s="53">
        <f>IFERROR(__xludf.DUMMYFUNCTION("XLOOKUP(JOIN(""/"",$A13:$B13),'source merged_div_data'!$A:$A,'source merged_div_data'!C:C)"),0.0)</f>
        <v>0</v>
      </c>
      <c r="F13" s="54" t="str">
        <f t="array" ref="F13">IFERROR(
  IFS(
    XLOOKUP(TEXTJOIN("/", TRUE, $A13:$B13), 'source merged_div_data'!$A:$A, 'source merged_div_data'!F:F) &lt; 1024,
      XLOOKUP(TEXTJOIN("/", TRUE, $A13:$B13), 'source merged_div_data'!$A:$A, 'source merged_div_data'!F:F) &amp; " B",
    XLOOKUP(TEXTJOIN("/", TRUE, $A13:$B13), 'source merged_div_data'!$A:$A, 'source merged_div_data'!F:F) &lt; 1048576,
      ROUND(XLOOKUP(TEXTJOIN("/", TRUE, $A13:$B13), 'source merged_div_data'!$A:$A, 'source merged_div_data'!F:F)/1024, 2) &amp; " KB",
    XLOOKUP(TEXTJOIN("/", TRUE, $A13:$B13), 'source merged_div_data'!$A:$A, 'source merged_div_data'!F:F) &lt; 1073741824,
      ROUND(XLOOKUP(TEXTJOIN("/", TRUE, $A13:$B13), 'source merged_div_data'!$A:$A, 'source merged_div_data'!F:F)/1048576, 2) &amp; " MB",
    TRUE,
      ROUND(XLOOKUP(TEXTJOIN("/", TRUE, $A13:$B13), 'source merged_div_data'!$A:$A, 'source merged_div_data'!F:F)/1073741824, 2) &amp; " GB"
  ),
  "×"
)</f>
        <v>27 B</v>
      </c>
      <c r="G13" s="55" t="s">
        <v>1053</v>
      </c>
      <c r="H13" s="55"/>
      <c r="I13" s="55"/>
      <c r="J13" s="46" t="s">
        <v>1117</v>
      </c>
      <c r="K13" s="55"/>
      <c r="L13" s="55" t="s">
        <v>1053</v>
      </c>
      <c r="M13" s="55" t="s">
        <v>1053</v>
      </c>
      <c r="N13" s="52" t="s">
        <v>1116</v>
      </c>
      <c r="O13" s="46" t="s">
        <v>1117</v>
      </c>
      <c r="P13" s="37" t="str">
        <f>IFERROR(__xludf.DUMMYFUNCTION("XLOOKUP(JOIN(""/"",$A13:$B13),'source isilon_divまとめ'!$A:$A,'source isilon_divまとめ'!$D:$D,XLOOKUP(JOIN(""\"",$A13:$B13),'source NetApp-file-sv01-div'!A:A,TEXT('source NetApp-file-sv01-div'!C:C,""yyyy/mm/dd"")))"),"#N/A")</f>
        <v>#N/A</v>
      </c>
    </row>
    <row r="14">
      <c r="A14" s="52" t="s">
        <v>1114</v>
      </c>
      <c r="B14" s="52" t="s">
        <v>1120</v>
      </c>
      <c r="C14" s="46" t="s">
        <v>988</v>
      </c>
      <c r="D14" s="53">
        <f>IFERROR(__xludf.DUMMYFUNCTION("XLOOKUP(JOIN(""/"",$A14:$B14),'source merged_div_data'!$A:$A,'source merged_div_data'!B:B)"),10.0)</f>
        <v>10</v>
      </c>
      <c r="E14" s="53">
        <f>IFERROR(__xludf.DUMMYFUNCTION("XLOOKUP(JOIN(""/"",$A14:$B14),'source merged_div_data'!$A:$A,'source merged_div_data'!C:C)"),0.0)</f>
        <v>0</v>
      </c>
      <c r="F14" s="54" t="str">
        <f t="array" ref="F14">IFERROR(
  IFS(
    XLOOKUP(TEXTJOIN("/", TRUE, $A14:$B14), 'source merged_div_data'!$A:$A, 'source merged_div_data'!F:F) &lt; 1024,
      XLOOKUP(TEXTJOIN("/", TRUE, $A14:$B14), 'source merged_div_data'!$A:$A, 'source merged_div_data'!F:F) &amp; " B",
    XLOOKUP(TEXTJOIN("/", TRUE, $A14:$B14), 'source merged_div_data'!$A:$A, 'source merged_div_data'!F:F) &lt; 1048576,
      ROUND(XLOOKUP(TEXTJOIN("/", TRUE, $A14:$B14), 'source merged_div_data'!$A:$A, 'source merged_div_data'!F:F)/1024, 2) &amp; " KB",
    XLOOKUP(TEXTJOIN("/", TRUE, $A14:$B14), 'source merged_div_data'!$A:$A, 'source merged_div_data'!F:F) &lt; 1073741824,
      ROUND(XLOOKUP(TEXTJOIN("/", TRUE, $A14:$B14), 'source merged_div_data'!$A:$A, 'source merged_div_data'!F:F)/1048576, 2) &amp; " MB",
    TRUE,
      ROUND(XLOOKUP(TEXTJOIN("/", TRUE, $A14:$B14), 'source merged_div_data'!$A:$A, 'source merged_div_data'!F:F)/1073741824, 2) &amp; " GB"
  ),
  "×"
)</f>
        <v>288 B</v>
      </c>
      <c r="G14" s="55" t="s">
        <v>1053</v>
      </c>
      <c r="H14" s="55"/>
      <c r="I14" s="55"/>
      <c r="J14" s="46" t="s">
        <v>1117</v>
      </c>
      <c r="K14" s="55"/>
      <c r="L14" s="55" t="s">
        <v>1053</v>
      </c>
      <c r="M14" s="55" t="s">
        <v>1053</v>
      </c>
      <c r="N14" s="52" t="s">
        <v>1116</v>
      </c>
      <c r="O14" s="46" t="s">
        <v>1117</v>
      </c>
      <c r="P14" s="37" t="str">
        <f>IFERROR(__xludf.DUMMYFUNCTION("XLOOKUP(JOIN(""/"",$A14:$B14),'source isilon_divまとめ'!$A:$A,'source isilon_divまとめ'!$D:$D,XLOOKUP(JOIN(""\"",$A14:$B14),'source NetApp-file-sv01-div'!A:A,TEXT('source NetApp-file-sv01-div'!C:C,""yyyy/mm/dd"")))"),"#N/A")</f>
        <v>#N/A</v>
      </c>
    </row>
    <row r="15">
      <c r="A15" s="52" t="s">
        <v>1114</v>
      </c>
      <c r="B15" s="52" t="s">
        <v>1121</v>
      </c>
      <c r="C15" s="46" t="s">
        <v>988</v>
      </c>
      <c r="D15" s="53">
        <f>IFERROR(__xludf.DUMMYFUNCTION("XLOOKUP(JOIN(""/"",$A15:$B15),'source merged_div_data'!$A:$A,'source merged_div_data'!B:B)"),4.0)</f>
        <v>4</v>
      </c>
      <c r="E15" s="53">
        <f>IFERROR(__xludf.DUMMYFUNCTION("XLOOKUP(JOIN(""/"",$A15:$B15),'source merged_div_data'!$A:$A,'source merged_div_data'!C:C)"),0.0)</f>
        <v>0</v>
      </c>
      <c r="F15" s="54" t="str">
        <f t="array" ref="F15">IFERROR(
  IFS(
    XLOOKUP(TEXTJOIN("/", TRUE, $A15:$B15), 'source merged_div_data'!$A:$A, 'source merged_div_data'!F:F) &lt; 1024,
      XLOOKUP(TEXTJOIN("/", TRUE, $A15:$B15), 'source merged_div_data'!$A:$A, 'source merged_div_data'!F:F) &amp; " B",
    XLOOKUP(TEXTJOIN("/", TRUE, $A15:$B15), 'source merged_div_data'!$A:$A, 'source merged_div_data'!F:F) &lt; 1048576,
      ROUND(XLOOKUP(TEXTJOIN("/", TRUE, $A15:$B15), 'source merged_div_data'!$A:$A, 'source merged_div_data'!F:F)/1024, 2) &amp; " KB",
    XLOOKUP(TEXTJOIN("/", TRUE, $A15:$B15), 'source merged_div_data'!$A:$A, 'source merged_div_data'!F:F) &lt; 1073741824,
      ROUND(XLOOKUP(TEXTJOIN("/", TRUE, $A15:$B15), 'source merged_div_data'!$A:$A, 'source merged_div_data'!F:F)/1048576, 2) &amp; " MB",
    TRUE,
      ROUND(XLOOKUP(TEXTJOIN("/", TRUE, $A15:$B15), 'source merged_div_data'!$A:$A, 'source merged_div_data'!F:F)/1073741824, 2) &amp; " GB"
  ),
  "×"
)</f>
        <v>88 B</v>
      </c>
      <c r="G15" s="55" t="s">
        <v>1053</v>
      </c>
      <c r="H15" s="55"/>
      <c r="I15" s="55"/>
      <c r="J15" s="46" t="s">
        <v>1117</v>
      </c>
      <c r="K15" s="55"/>
      <c r="L15" s="55" t="s">
        <v>1053</v>
      </c>
      <c r="M15" s="55" t="s">
        <v>1053</v>
      </c>
      <c r="N15" s="52" t="s">
        <v>1116</v>
      </c>
      <c r="O15" s="46" t="s">
        <v>1117</v>
      </c>
      <c r="P15" s="37" t="str">
        <f>IFERROR(__xludf.DUMMYFUNCTION("XLOOKUP(JOIN(""/"",$A15:$B15),'source isilon_divまとめ'!$A:$A,'source isilon_divまとめ'!$D:$D,XLOOKUP(JOIN(""\"",$A15:$B15),'source NetApp-file-sv01-div'!A:A,TEXT('source NetApp-file-sv01-div'!C:C,""yyyy/mm/dd"")))"),"#N/A")</f>
        <v>#N/A</v>
      </c>
    </row>
    <row r="16">
      <c r="A16" s="8" t="s">
        <v>1114</v>
      </c>
      <c r="B16" s="8" t="s">
        <v>430</v>
      </c>
      <c r="C16" s="7" t="s">
        <v>987</v>
      </c>
      <c r="D16" s="56">
        <f>IFERROR(__xludf.DUMMYFUNCTION("XLOOKUP(JOIN(""/"",$A16:$B16),'source merged_div_data'!$A:$A,'source merged_div_data'!B:B)"),4342.0)</f>
        <v>4342</v>
      </c>
      <c r="E16" s="56">
        <f>IFERROR(__xludf.DUMMYFUNCTION("XLOOKUP(JOIN(""/"",$A16:$B16),'source merged_div_data'!$A:$A,'source merged_div_data'!C:C)"),26544.0)</f>
        <v>26544</v>
      </c>
      <c r="F16" s="54" t="str">
        <f t="array" ref="F16">IFERROR(
  IFS(
    XLOOKUP(TEXTJOIN("/", TRUE, $A16:$B16), 'source merged_div_data'!$A:$A, 'source merged_div_data'!F:F) &lt; 1024,
      XLOOKUP(TEXTJOIN("/", TRUE, $A16:$B16), 'source merged_div_data'!$A:$A, 'source merged_div_data'!F:F) &amp; " B",
    XLOOKUP(TEXTJOIN("/", TRUE, $A16:$B16), 'source merged_div_data'!$A:$A, 'source merged_div_data'!F:F) &lt; 1048576,
      ROUND(XLOOKUP(TEXTJOIN("/", TRUE, $A16:$B16), 'source merged_div_data'!$A:$A, 'source merged_div_data'!F:F)/1024, 2) &amp; " KB",
    XLOOKUP(TEXTJOIN("/", TRUE, $A16:$B16), 'source merged_div_data'!$A:$A, 'source merged_div_data'!F:F) &lt; 1073741824,
      ROUND(XLOOKUP(TEXTJOIN("/", TRUE, $A16:$B16), 'source merged_div_data'!$A:$A, 'source merged_div_data'!F:F)/1048576, 2) &amp; " MB",
    TRUE,
      ROUND(XLOOKUP(TEXTJOIN("/", TRUE, $A16:$B16), 'source merged_div_data'!$A:$A, 'source merged_div_data'!F:F)/1073741824, 2) &amp; " GB"
  ),
  "×"
)</f>
        <v>24.1 GB</v>
      </c>
      <c r="G16" s="57" t="s">
        <v>2181</v>
      </c>
      <c r="H16" s="58" t="s">
        <v>2177</v>
      </c>
      <c r="I16" s="57"/>
      <c r="J16" s="37" t="s">
        <v>429</v>
      </c>
      <c r="K16" s="37" t="s">
        <v>430</v>
      </c>
      <c r="L16" s="37" t="s">
        <v>2096</v>
      </c>
      <c r="M16" s="37" t="s">
        <v>1053</v>
      </c>
      <c r="N16" s="8"/>
      <c r="P16" s="57" t="str">
        <f>IFERROR(__xludf.DUMMYFUNCTION("XLOOKUP(JOIN(""/"",$A16:$B16),'source isilon_divまとめ'!$A:$A,'source isilon_divまとめ'!$D:$D,XLOOKUP(JOIN(""\"",$A16:$B16),'source NetApp-file-sv01-div'!A:A,TEXT('source NetApp-file-sv01-div'!C:C,""yyyy/mm/dd"")))"),"2019/03/12")</f>
        <v>2019/03/12</v>
      </c>
    </row>
    <row r="17">
      <c r="A17" s="52" t="s">
        <v>1114</v>
      </c>
      <c r="B17" s="52" t="s">
        <v>1122</v>
      </c>
      <c r="C17" s="46" t="s">
        <v>988</v>
      </c>
      <c r="D17" s="53">
        <f>IFERROR(__xludf.DUMMYFUNCTION("XLOOKUP(JOIN(""/"",$A17:$B17),'source merged_div_data'!$A:$A,'source merged_div_data'!B:B)"),13.0)</f>
        <v>13</v>
      </c>
      <c r="E17" s="53">
        <f>IFERROR(__xludf.DUMMYFUNCTION("XLOOKUP(JOIN(""/"",$A17:$B17),'source merged_div_data'!$A:$A,'source merged_div_data'!C:C)"),0.0)</f>
        <v>0</v>
      </c>
      <c r="F17" s="54" t="str">
        <f t="array" ref="F17">IFERROR(
  IFS(
    XLOOKUP(TEXTJOIN("/", TRUE, $A17:$B17), 'source merged_div_data'!$A:$A, 'source merged_div_data'!F:F) &lt; 1024,
      XLOOKUP(TEXTJOIN("/", TRUE, $A17:$B17), 'source merged_div_data'!$A:$A, 'source merged_div_data'!F:F) &amp; " B",
    XLOOKUP(TEXTJOIN("/", TRUE, $A17:$B17), 'source merged_div_data'!$A:$A, 'source merged_div_data'!F:F) &lt; 1048576,
      ROUND(XLOOKUP(TEXTJOIN("/", TRUE, $A17:$B17), 'source merged_div_data'!$A:$A, 'source merged_div_data'!F:F)/1024, 2) &amp; " KB",
    XLOOKUP(TEXTJOIN("/", TRUE, $A17:$B17), 'source merged_div_data'!$A:$A, 'source merged_div_data'!F:F) &lt; 1073741824,
      ROUND(XLOOKUP(TEXTJOIN("/", TRUE, $A17:$B17), 'source merged_div_data'!$A:$A, 'source merged_div_data'!F:F)/1048576, 2) &amp; " MB",
    TRUE,
      ROUND(XLOOKUP(TEXTJOIN("/", TRUE, $A17:$B17), 'source merged_div_data'!$A:$A, 'source merged_div_data'!F:F)/1073741824, 2) &amp; " GB"
  ),
  "×"
)</f>
        <v>372 B</v>
      </c>
      <c r="G17" s="55" t="s">
        <v>1053</v>
      </c>
      <c r="H17" s="55"/>
      <c r="I17" s="55"/>
      <c r="J17" s="46" t="s">
        <v>1117</v>
      </c>
      <c r="K17" s="55"/>
      <c r="L17" s="55" t="s">
        <v>1053</v>
      </c>
      <c r="M17" s="55" t="s">
        <v>1053</v>
      </c>
      <c r="N17" s="52" t="s">
        <v>1116</v>
      </c>
      <c r="O17" s="46" t="s">
        <v>1117</v>
      </c>
      <c r="P17" s="37" t="str">
        <f>IFERROR(__xludf.DUMMYFUNCTION("XLOOKUP(JOIN(""/"",$A17:$B17),'source isilon_divまとめ'!$A:$A,'source isilon_divまとめ'!$D:$D,XLOOKUP(JOIN(""\"",$A17:$B17),'source NetApp-file-sv01-div'!A:A,TEXT('source NetApp-file-sv01-div'!C:C,""yyyy/mm/dd"")))"),"#N/A")</f>
        <v>#N/A</v>
      </c>
    </row>
    <row r="18">
      <c r="A18" s="52" t="s">
        <v>1114</v>
      </c>
      <c r="B18" s="52" t="s">
        <v>1123</v>
      </c>
      <c r="C18" s="46" t="s">
        <v>988</v>
      </c>
      <c r="D18" s="53">
        <f>IFERROR(__xludf.DUMMYFUNCTION("XLOOKUP(JOIN(""/"",$A18:$B18),'source merged_div_data'!$A:$A,'source merged_div_data'!B:B)"),6.0)</f>
        <v>6</v>
      </c>
      <c r="E18" s="53">
        <f>IFERROR(__xludf.DUMMYFUNCTION("XLOOKUP(JOIN(""/"",$A18:$B18),'source merged_div_data'!$A:$A,'source merged_div_data'!C:C)"),0.0)</f>
        <v>0</v>
      </c>
      <c r="F18" s="54" t="str">
        <f t="array" ref="F18">IFERROR(
  IFS(
    XLOOKUP(TEXTJOIN("/", TRUE, $A18:$B18), 'source merged_div_data'!$A:$A, 'source merged_div_data'!F:F) &lt; 1024,
      XLOOKUP(TEXTJOIN("/", TRUE, $A18:$B18), 'source merged_div_data'!$A:$A, 'source merged_div_data'!F:F) &amp; " B",
    XLOOKUP(TEXTJOIN("/", TRUE, $A18:$B18), 'source merged_div_data'!$A:$A, 'source merged_div_data'!F:F) &lt; 1048576,
      ROUND(XLOOKUP(TEXTJOIN("/", TRUE, $A18:$B18), 'source merged_div_data'!$A:$A, 'source merged_div_data'!F:F)/1024, 2) &amp; " KB",
    XLOOKUP(TEXTJOIN("/", TRUE, $A18:$B18), 'source merged_div_data'!$A:$A, 'source merged_div_data'!F:F) &lt; 1073741824,
      ROUND(XLOOKUP(TEXTJOIN("/", TRUE, $A18:$B18), 'source merged_div_data'!$A:$A, 'source merged_div_data'!F:F)/1048576, 2) &amp; " MB",
    TRUE,
      ROUND(XLOOKUP(TEXTJOIN("/", TRUE, $A18:$B18), 'source merged_div_data'!$A:$A, 'source merged_div_data'!F:F)/1073741824, 2) &amp; " GB"
  ),
  "×"
)</f>
        <v>148 B</v>
      </c>
      <c r="G18" s="55" t="s">
        <v>1053</v>
      </c>
      <c r="H18" s="55"/>
      <c r="I18" s="55"/>
      <c r="J18" s="46" t="s">
        <v>1117</v>
      </c>
      <c r="K18" s="55"/>
      <c r="L18" s="55" t="s">
        <v>1053</v>
      </c>
      <c r="M18" s="55" t="s">
        <v>1053</v>
      </c>
      <c r="N18" s="52" t="s">
        <v>1116</v>
      </c>
      <c r="O18" s="46" t="s">
        <v>1117</v>
      </c>
      <c r="P18" s="37" t="str">
        <f>IFERROR(__xludf.DUMMYFUNCTION("XLOOKUP(JOIN(""/"",$A18:$B18),'source isilon_divまとめ'!$A:$A,'source isilon_divまとめ'!$D:$D,XLOOKUP(JOIN(""\"",$A18:$B18),'source NetApp-file-sv01-div'!A:A,TEXT('source NetApp-file-sv01-div'!C:C,""yyyy/mm/dd"")))"),"#N/A")</f>
        <v>#N/A</v>
      </c>
    </row>
    <row r="19">
      <c r="A19" s="52" t="s">
        <v>1114</v>
      </c>
      <c r="B19" s="52" t="s">
        <v>1124</v>
      </c>
      <c r="C19" s="46" t="s">
        <v>988</v>
      </c>
      <c r="D19" s="53">
        <f>IFERROR(__xludf.DUMMYFUNCTION("XLOOKUP(JOIN(""/"",$A19:$B19),'source merged_div_data'!$A:$A,'source merged_div_data'!B:B)"),4.0)</f>
        <v>4</v>
      </c>
      <c r="E19" s="53">
        <f>IFERROR(__xludf.DUMMYFUNCTION("XLOOKUP(JOIN(""/"",$A19:$B19),'source merged_div_data'!$A:$A,'source merged_div_data'!C:C)"),0.0)</f>
        <v>0</v>
      </c>
      <c r="F19" s="54" t="str">
        <f t="array" ref="F19">IFERROR(
  IFS(
    XLOOKUP(TEXTJOIN("/", TRUE, $A19:$B19), 'source merged_div_data'!$A:$A, 'source merged_div_data'!F:F) &lt; 1024,
      XLOOKUP(TEXTJOIN("/", TRUE, $A19:$B19), 'source merged_div_data'!$A:$A, 'source merged_div_data'!F:F) &amp; " B",
    XLOOKUP(TEXTJOIN("/", TRUE, $A19:$B19), 'source merged_div_data'!$A:$A, 'source merged_div_data'!F:F) &lt; 1048576,
      ROUND(XLOOKUP(TEXTJOIN("/", TRUE, $A19:$B19), 'source merged_div_data'!$A:$A, 'source merged_div_data'!F:F)/1024, 2) &amp; " KB",
    XLOOKUP(TEXTJOIN("/", TRUE, $A19:$B19), 'source merged_div_data'!$A:$A, 'source merged_div_data'!F:F) &lt; 1073741824,
      ROUND(XLOOKUP(TEXTJOIN("/", TRUE, $A19:$B19), 'source merged_div_data'!$A:$A, 'source merged_div_data'!F:F)/1048576, 2) &amp; " MB",
    TRUE,
      ROUND(XLOOKUP(TEXTJOIN("/", TRUE, $A19:$B19), 'source merged_div_data'!$A:$A, 'source merged_div_data'!F:F)/1073741824, 2) &amp; " GB"
  ),
  "×"
)</f>
        <v>90 B</v>
      </c>
      <c r="G19" s="55" t="s">
        <v>1053</v>
      </c>
      <c r="H19" s="55"/>
      <c r="I19" s="55"/>
      <c r="J19" s="46" t="s">
        <v>1117</v>
      </c>
      <c r="K19" s="55"/>
      <c r="L19" s="55" t="s">
        <v>1053</v>
      </c>
      <c r="M19" s="55" t="s">
        <v>1053</v>
      </c>
      <c r="N19" s="52" t="s">
        <v>1116</v>
      </c>
      <c r="O19" s="46" t="s">
        <v>1117</v>
      </c>
      <c r="P19" s="37" t="str">
        <f>IFERROR(__xludf.DUMMYFUNCTION("XLOOKUP(JOIN(""/"",$A19:$B19),'source isilon_divまとめ'!$A:$A,'source isilon_divまとめ'!$D:$D,XLOOKUP(JOIN(""\"",$A19:$B19),'source NetApp-file-sv01-div'!A:A,TEXT('source NetApp-file-sv01-div'!C:C,""yyyy/mm/dd"")))"),"#N/A")</f>
        <v>#N/A</v>
      </c>
    </row>
    <row r="20">
      <c r="A20" s="52" t="s">
        <v>1114</v>
      </c>
      <c r="B20" s="52" t="s">
        <v>1125</v>
      </c>
      <c r="C20" s="46" t="s">
        <v>988</v>
      </c>
      <c r="D20" s="53">
        <f>IFERROR(__xludf.DUMMYFUNCTION("XLOOKUP(JOIN(""/"",$A20:$B20),'source merged_div_data'!$A:$A,'source merged_div_data'!B:B)"),2.0)</f>
        <v>2</v>
      </c>
      <c r="E20" s="53">
        <f>IFERROR(__xludf.DUMMYFUNCTION("XLOOKUP(JOIN(""/"",$A20:$B20),'source merged_div_data'!$A:$A,'source merged_div_data'!C:C)"),0.0)</f>
        <v>0</v>
      </c>
      <c r="F20" s="54" t="str">
        <f t="array" ref="F20">IFERROR(
  IFS(
    XLOOKUP(TEXTJOIN("/", TRUE, $A20:$B20), 'source merged_div_data'!$A:$A, 'source merged_div_data'!F:F) &lt; 1024,
      XLOOKUP(TEXTJOIN("/", TRUE, $A20:$B20), 'source merged_div_data'!$A:$A, 'source merged_div_data'!F:F) &amp; " B",
    XLOOKUP(TEXTJOIN("/", TRUE, $A20:$B20), 'source merged_div_data'!$A:$A, 'source merged_div_data'!F:F) &lt; 1048576,
      ROUND(XLOOKUP(TEXTJOIN("/", TRUE, $A20:$B20), 'source merged_div_data'!$A:$A, 'source merged_div_data'!F:F)/1024, 2) &amp; " KB",
    XLOOKUP(TEXTJOIN("/", TRUE, $A20:$B20), 'source merged_div_data'!$A:$A, 'source merged_div_data'!F:F) &lt; 1073741824,
      ROUND(XLOOKUP(TEXTJOIN("/", TRUE, $A20:$B20), 'source merged_div_data'!$A:$A, 'source merged_div_data'!F:F)/1048576, 2) &amp; " MB",
    TRUE,
      ROUND(XLOOKUP(TEXTJOIN("/", TRUE, $A20:$B20), 'source merged_div_data'!$A:$A, 'source merged_div_data'!F:F)/1073741824, 2) &amp; " GB"
  ),
  "×"
)</f>
        <v>27 B</v>
      </c>
      <c r="G20" s="55" t="s">
        <v>1053</v>
      </c>
      <c r="H20" s="55"/>
      <c r="I20" s="55"/>
      <c r="J20" s="46" t="s">
        <v>1117</v>
      </c>
      <c r="K20" s="55"/>
      <c r="L20" s="55" t="s">
        <v>1053</v>
      </c>
      <c r="M20" s="55" t="s">
        <v>1053</v>
      </c>
      <c r="N20" s="52" t="s">
        <v>1116</v>
      </c>
      <c r="O20" s="46" t="s">
        <v>1117</v>
      </c>
      <c r="P20" s="37" t="str">
        <f>IFERROR(__xludf.DUMMYFUNCTION("XLOOKUP(JOIN(""/"",$A20:$B20),'source isilon_divまとめ'!$A:$A,'source isilon_divまとめ'!$D:$D,XLOOKUP(JOIN(""\"",$A20:$B20),'source NetApp-file-sv01-div'!A:A,TEXT('source NetApp-file-sv01-div'!C:C,""yyyy/mm/dd"")))"),"#N/A")</f>
        <v>#N/A</v>
      </c>
    </row>
    <row r="21">
      <c r="A21" s="52" t="s">
        <v>1114</v>
      </c>
      <c r="B21" s="52" t="s">
        <v>1126</v>
      </c>
      <c r="C21" s="46" t="s">
        <v>988</v>
      </c>
      <c r="D21" s="53">
        <f>IFERROR(__xludf.DUMMYFUNCTION("XLOOKUP(JOIN(""/"",$A21:$B21),'source merged_div_data'!$A:$A,'source merged_div_data'!B:B)"),2.0)</f>
        <v>2</v>
      </c>
      <c r="E21" s="53">
        <f>IFERROR(__xludf.DUMMYFUNCTION("XLOOKUP(JOIN(""/"",$A21:$B21),'source merged_div_data'!$A:$A,'source merged_div_data'!C:C)"),0.0)</f>
        <v>0</v>
      </c>
      <c r="F21" s="54" t="str">
        <f t="array" ref="F21">IFERROR(
  IFS(
    XLOOKUP(TEXTJOIN("/", TRUE, $A21:$B21), 'source merged_div_data'!$A:$A, 'source merged_div_data'!F:F) &lt; 1024,
      XLOOKUP(TEXTJOIN("/", TRUE, $A21:$B21), 'source merged_div_data'!$A:$A, 'source merged_div_data'!F:F) &amp; " B",
    XLOOKUP(TEXTJOIN("/", TRUE, $A21:$B21), 'source merged_div_data'!$A:$A, 'source merged_div_data'!F:F) &lt; 1048576,
      ROUND(XLOOKUP(TEXTJOIN("/", TRUE, $A21:$B21), 'source merged_div_data'!$A:$A, 'source merged_div_data'!F:F)/1024, 2) &amp; " KB",
    XLOOKUP(TEXTJOIN("/", TRUE, $A21:$B21), 'source merged_div_data'!$A:$A, 'source merged_div_data'!F:F) &lt; 1073741824,
      ROUND(XLOOKUP(TEXTJOIN("/", TRUE, $A21:$B21), 'source merged_div_data'!$A:$A, 'source merged_div_data'!F:F)/1048576, 2) &amp; " MB",
    TRUE,
      ROUND(XLOOKUP(TEXTJOIN("/", TRUE, $A21:$B21), 'source merged_div_data'!$A:$A, 'source merged_div_data'!F:F)/1073741824, 2) &amp; " GB"
  ),
  "×"
)</f>
        <v>27 B</v>
      </c>
      <c r="G21" s="55" t="s">
        <v>1053</v>
      </c>
      <c r="H21" s="55"/>
      <c r="I21" s="55"/>
      <c r="J21" s="46" t="s">
        <v>1117</v>
      </c>
      <c r="K21" s="55"/>
      <c r="L21" s="55" t="s">
        <v>1053</v>
      </c>
      <c r="M21" s="55" t="s">
        <v>1053</v>
      </c>
      <c r="N21" s="52" t="s">
        <v>1116</v>
      </c>
      <c r="O21" s="46" t="s">
        <v>1117</v>
      </c>
      <c r="P21" s="37" t="str">
        <f>IFERROR(__xludf.DUMMYFUNCTION("XLOOKUP(JOIN(""/"",$A21:$B21),'source isilon_divまとめ'!$A:$A,'source isilon_divまとめ'!$D:$D,XLOOKUP(JOIN(""\"",$A21:$B21),'source NetApp-file-sv01-div'!A:A,TEXT('source NetApp-file-sv01-div'!C:C,""yyyy/mm/dd"")))"),"#N/A")</f>
        <v>#N/A</v>
      </c>
    </row>
    <row r="22">
      <c r="A22" s="52" t="s">
        <v>1114</v>
      </c>
      <c r="B22" s="52" t="s">
        <v>1127</v>
      </c>
      <c r="C22" s="46" t="s">
        <v>988</v>
      </c>
      <c r="D22" s="53">
        <f>IFERROR(__xludf.DUMMYFUNCTION("XLOOKUP(JOIN(""/"",$A22:$B22),'source merged_div_data'!$A:$A,'source merged_div_data'!B:B)"),4.0)</f>
        <v>4</v>
      </c>
      <c r="E22" s="53">
        <f>IFERROR(__xludf.DUMMYFUNCTION("XLOOKUP(JOIN(""/"",$A22:$B22),'source merged_div_data'!$A:$A,'source merged_div_data'!C:C)"),0.0)</f>
        <v>0</v>
      </c>
      <c r="F22" s="54" t="str">
        <f t="array" ref="F22">IFERROR(
  IFS(
    XLOOKUP(TEXTJOIN("/", TRUE, $A22:$B22), 'source merged_div_data'!$A:$A, 'source merged_div_data'!F:F) &lt; 1024,
      XLOOKUP(TEXTJOIN("/", TRUE, $A22:$B22), 'source merged_div_data'!$A:$A, 'source merged_div_data'!F:F) &amp; " B",
    XLOOKUP(TEXTJOIN("/", TRUE, $A22:$B22), 'source merged_div_data'!$A:$A, 'source merged_div_data'!F:F) &lt; 1048576,
      ROUND(XLOOKUP(TEXTJOIN("/", TRUE, $A22:$B22), 'source merged_div_data'!$A:$A, 'source merged_div_data'!F:F)/1024, 2) &amp; " KB",
    XLOOKUP(TEXTJOIN("/", TRUE, $A22:$B22), 'source merged_div_data'!$A:$A, 'source merged_div_data'!F:F) &lt; 1073741824,
      ROUND(XLOOKUP(TEXTJOIN("/", TRUE, $A22:$B22), 'source merged_div_data'!$A:$A, 'source merged_div_data'!F:F)/1048576, 2) &amp; " MB",
    TRUE,
      ROUND(XLOOKUP(TEXTJOIN("/", TRUE, $A22:$B22), 'source merged_div_data'!$A:$A, 'source merged_div_data'!F:F)/1073741824, 2) &amp; " GB"
  ),
  "×"
)</f>
        <v>86 B</v>
      </c>
      <c r="G22" s="54" t="str">
        <f t="array" ref="G22">IFERROR(
  IFS(
    XLOOKUP(TEXTJOIN("/", TRUE, $A22:$B22), 'source merged_div_data'!$A:$A, 'source merged_div_data'!G:G) &lt; 1024,
      XLOOKUP(TEXTJOIN("/", TRUE, $A22:$B22), 'source merged_div_data'!$A:$A, 'source merged_div_data'!G:G) &amp; " B",
    XLOOKUP(TEXTJOIN("/", TRUE, $A22:$B22), 'source merged_div_data'!$A:$A, 'source merged_div_data'!G:G) &lt; 1048576,
      ROUND(XLOOKUP(TEXTJOIN("/", TRUE, $A22:$B22), 'source merged_div_data'!$A:$A, 'source merged_div_data'!G:G)/1024, 2) &amp; " KB",
    XLOOKUP(TEXTJOIN("/", TRUE, $A22:$B22), 'source merged_div_data'!$A:$A, 'source merged_div_data'!G:G) &lt; 1073741824,
      ROUND(XLOOKUP(TEXTJOIN("/", TRUE, $A22:$B22), 'source merged_div_data'!$A:$A, 'source merged_div_data'!G:G)/1048576, 2) &amp; " MB",
    TRUE,
      ROUND(XLOOKUP(TEXTJOIN("/", TRUE, $A22:$B22), 'source merged_div_data'!$A:$A, 'source merged_div_data'!G:G)/1073741824, 2) &amp; " GB"
  ),
  "×"
)</f>
        <v>128 KB</v>
      </c>
      <c r="H22" s="55"/>
      <c r="I22" s="55"/>
      <c r="J22" s="46" t="s">
        <v>1117</v>
      </c>
      <c r="K22" s="55"/>
      <c r="L22" s="55" t="s">
        <v>1053</v>
      </c>
      <c r="M22" s="55" t="s">
        <v>1053</v>
      </c>
      <c r="N22" s="52" t="s">
        <v>1116</v>
      </c>
      <c r="O22" s="46" t="s">
        <v>1117</v>
      </c>
      <c r="P22" s="37" t="str">
        <f>IFERROR(__xludf.DUMMYFUNCTION("XLOOKUP(JOIN(""/"",$A22:$B22),'source isilon_divまとめ'!$A:$A,'source isilon_divまとめ'!$D:$D,XLOOKUP(JOIN(""\"",$A22:$B22),'source NetApp-file-sv01-div'!A:A,TEXT('source NetApp-file-sv01-div'!C:C,""yyyy/mm/dd"")))"),"#N/A")</f>
        <v>#N/A</v>
      </c>
    </row>
    <row r="23">
      <c r="A23" s="52" t="s">
        <v>1114</v>
      </c>
      <c r="B23" s="52" t="s">
        <v>1128</v>
      </c>
      <c r="C23" s="46" t="s">
        <v>988</v>
      </c>
      <c r="D23" s="53">
        <f>IFERROR(__xludf.DUMMYFUNCTION("XLOOKUP(JOIN(""/"",$A23:$B23),'source merged_div_data'!$A:$A,'source merged_div_data'!B:B)"),6.0)</f>
        <v>6</v>
      </c>
      <c r="E23" s="53">
        <f>IFERROR(__xludf.DUMMYFUNCTION("XLOOKUP(JOIN(""/"",$A23:$B23),'source merged_div_data'!$A:$A,'source merged_div_data'!C:C)"),0.0)</f>
        <v>0</v>
      </c>
      <c r="F23" s="54" t="str">
        <f t="array" ref="F23">IFERROR(
  IFS(
    XLOOKUP(TEXTJOIN("/", TRUE, $A23:$B23), 'source merged_div_data'!$A:$A, 'source merged_div_data'!F:F) &lt; 1024,
      XLOOKUP(TEXTJOIN("/", TRUE, $A23:$B23), 'source merged_div_data'!$A:$A, 'source merged_div_data'!F:F) &amp; " B",
    XLOOKUP(TEXTJOIN("/", TRUE, $A23:$B23), 'source merged_div_data'!$A:$A, 'source merged_div_data'!F:F) &lt; 1048576,
      ROUND(XLOOKUP(TEXTJOIN("/", TRUE, $A23:$B23), 'source merged_div_data'!$A:$A, 'source merged_div_data'!F:F)/1024, 2) &amp; " KB",
    XLOOKUP(TEXTJOIN("/", TRUE, $A23:$B23), 'source merged_div_data'!$A:$A, 'source merged_div_data'!F:F) &lt; 1073741824,
      ROUND(XLOOKUP(TEXTJOIN("/", TRUE, $A23:$B23), 'source merged_div_data'!$A:$A, 'source merged_div_data'!F:F)/1048576, 2) &amp; " MB",
    TRUE,
      ROUND(XLOOKUP(TEXTJOIN("/", TRUE, $A23:$B23), 'source merged_div_data'!$A:$A, 'source merged_div_data'!F:F)/1073741824, 2) &amp; " GB"
  ),
  "×"
)</f>
        <v>151 B</v>
      </c>
      <c r="G23" s="55" t="s">
        <v>1053</v>
      </c>
      <c r="H23" s="55"/>
      <c r="I23" s="55"/>
      <c r="J23" s="46" t="s">
        <v>1117</v>
      </c>
      <c r="K23" s="55"/>
      <c r="L23" s="55" t="s">
        <v>1053</v>
      </c>
      <c r="M23" s="55" t="s">
        <v>1053</v>
      </c>
      <c r="N23" s="52" t="s">
        <v>1116</v>
      </c>
      <c r="O23" s="46" t="s">
        <v>1117</v>
      </c>
      <c r="P23" s="37" t="str">
        <f>IFERROR(__xludf.DUMMYFUNCTION("XLOOKUP(JOIN(""/"",$A23:$B23),'source isilon_divまとめ'!$A:$A,'source isilon_divまとめ'!$D:$D,XLOOKUP(JOIN(""\"",$A23:$B23),'source NetApp-file-sv01-div'!A:A,TEXT('source NetApp-file-sv01-div'!C:C,""yyyy/mm/dd"")))"),"#N/A")</f>
        <v>#N/A</v>
      </c>
    </row>
    <row r="24">
      <c r="A24" s="52" t="s">
        <v>1114</v>
      </c>
      <c r="B24" s="52" t="s">
        <v>1129</v>
      </c>
      <c r="C24" s="46" t="s">
        <v>988</v>
      </c>
      <c r="D24" s="53">
        <f>IFERROR(__xludf.DUMMYFUNCTION("XLOOKUP(JOIN(""/"",$A24:$B24),'source merged_div_data'!$A:$A,'source merged_div_data'!B:B)"),7.0)</f>
        <v>7</v>
      </c>
      <c r="E24" s="53">
        <f>IFERROR(__xludf.DUMMYFUNCTION("XLOOKUP(JOIN(""/"",$A24:$B24),'source merged_div_data'!$A:$A,'source merged_div_data'!C:C)"),0.0)</f>
        <v>0</v>
      </c>
      <c r="F24" s="54" t="str">
        <f t="array" ref="F24">IFERROR(
  IFS(
    XLOOKUP(TEXTJOIN("/", TRUE, $A24:$B24), 'source merged_div_data'!$A:$A, 'source merged_div_data'!F:F) &lt; 1024,
      XLOOKUP(TEXTJOIN("/", TRUE, $A24:$B24), 'source merged_div_data'!$A:$A, 'source merged_div_data'!F:F) &amp; " B",
    XLOOKUP(TEXTJOIN("/", TRUE, $A24:$B24), 'source merged_div_data'!$A:$A, 'source merged_div_data'!F:F) &lt; 1048576,
      ROUND(XLOOKUP(TEXTJOIN("/", TRUE, $A24:$B24), 'source merged_div_data'!$A:$A, 'source merged_div_data'!F:F)/1024, 2) &amp; " KB",
    XLOOKUP(TEXTJOIN("/", TRUE, $A24:$B24), 'source merged_div_data'!$A:$A, 'source merged_div_data'!F:F) &lt; 1073741824,
      ROUND(XLOOKUP(TEXTJOIN("/", TRUE, $A24:$B24), 'source merged_div_data'!$A:$A, 'source merged_div_data'!F:F)/1048576, 2) &amp; " MB",
    TRUE,
      ROUND(XLOOKUP(TEXTJOIN("/", TRUE, $A24:$B24), 'source merged_div_data'!$A:$A, 'source merged_div_data'!F:F)/1073741824, 2) &amp; " GB"
  ),
  "×"
)</f>
        <v>213 B</v>
      </c>
      <c r="G24" s="55" t="s">
        <v>1053</v>
      </c>
      <c r="H24" s="55"/>
      <c r="I24" s="55"/>
      <c r="J24" s="46" t="s">
        <v>1117</v>
      </c>
      <c r="K24" s="55"/>
      <c r="L24" s="55" t="s">
        <v>1053</v>
      </c>
      <c r="M24" s="55" t="s">
        <v>1053</v>
      </c>
      <c r="N24" s="52" t="s">
        <v>1116</v>
      </c>
      <c r="O24" s="46" t="s">
        <v>1117</v>
      </c>
      <c r="P24" s="37" t="str">
        <f>IFERROR(__xludf.DUMMYFUNCTION("XLOOKUP(JOIN(""/"",$A24:$B24),'source isilon_divまとめ'!$A:$A,'source isilon_divまとめ'!$D:$D,XLOOKUP(JOIN(""\"",$A24:$B24),'source NetApp-file-sv01-div'!A:A,TEXT('source NetApp-file-sv01-div'!C:C,""yyyy/mm/dd"")))"),"#N/A")</f>
        <v>#N/A</v>
      </c>
    </row>
    <row r="25">
      <c r="A25" s="8" t="s">
        <v>1114</v>
      </c>
      <c r="B25" s="8" t="s">
        <v>1111</v>
      </c>
      <c r="C25" s="7" t="s">
        <v>987</v>
      </c>
      <c r="D25" s="56">
        <f>IFERROR(__xludf.DUMMYFUNCTION("XLOOKUP(JOIN(""/"",$A25:$B25),'source merged_div_data'!$A:$A,'source merged_div_data'!B:B)"),1.0)</f>
        <v>1</v>
      </c>
      <c r="E25" s="56">
        <f>IFERROR(__xludf.DUMMYFUNCTION("XLOOKUP(JOIN(""/"",$A25:$B25),'source merged_div_data'!$A:$A,'source merged_div_data'!C:C)"),1.0)</f>
        <v>1</v>
      </c>
      <c r="F25" s="54" t="str">
        <f t="array" ref="F25">IFERROR(
  IFS(
    XLOOKUP(TEXTJOIN("/", TRUE, $A25:$B25), 'source merged_div_data'!$A:$A, 'source merged_div_data'!F:F) &lt; 1024,
      XLOOKUP(TEXTJOIN("/", TRUE, $A25:$B25), 'source merged_div_data'!$A:$A, 'source merged_div_data'!F:F) &amp; " B",
    XLOOKUP(TEXTJOIN("/", TRUE, $A25:$B25), 'source merged_div_data'!$A:$A, 'source merged_div_data'!F:F) &lt; 1048576,
      ROUND(XLOOKUP(TEXTJOIN("/", TRUE, $A25:$B25), 'source merged_div_data'!$A:$A, 'source merged_div_data'!F:F)/1024, 2) &amp; " KB",
    XLOOKUP(TEXTJOIN("/", TRUE, $A25:$B25), 'source merged_div_data'!$A:$A, 'source merged_div_data'!F:F) &lt; 1073741824,
      ROUND(XLOOKUP(TEXTJOIN("/", TRUE, $A25:$B25), 'source merged_div_data'!$A:$A, 'source merged_div_data'!F:F)/1048576, 2) &amp; " MB",
    TRUE,
      ROUND(XLOOKUP(TEXTJOIN("/", TRUE, $A25:$B25), 'source merged_div_data'!$A:$A, 'source merged_div_data'!F:F)/1073741824, 2) &amp; " GB"
  ),
  "×"
)</f>
        <v>6.03 KB</v>
      </c>
      <c r="G25" s="37" t="s">
        <v>1053</v>
      </c>
      <c r="H25" s="7" t="s">
        <v>2177</v>
      </c>
      <c r="I25" s="37"/>
      <c r="J25" s="7" t="s">
        <v>1117</v>
      </c>
      <c r="L25" s="37" t="s">
        <v>1053</v>
      </c>
      <c r="M25" s="37" t="s">
        <v>1053</v>
      </c>
      <c r="N25" s="8" t="s">
        <v>1116</v>
      </c>
      <c r="O25" s="7" t="s">
        <v>1105</v>
      </c>
      <c r="P25" s="37" t="str">
        <f>IFERROR(__xludf.DUMMYFUNCTION("XLOOKUP(JOIN(""/"",$A25:$B25),'source isilon_divまとめ'!$A:$A,'source isilon_divまとめ'!$D:$D,XLOOKUP(JOIN(""\"",$A25:$B25),'source NetApp-file-sv01-div'!A:A,TEXT('source NetApp-file-sv01-div'!C:C,""yyyy/mm/dd"")))"),"#N/A")</f>
        <v>#N/A</v>
      </c>
    </row>
    <row r="26">
      <c r="A26" s="52" t="s">
        <v>1114</v>
      </c>
      <c r="B26" s="52" t="s">
        <v>1130</v>
      </c>
      <c r="C26" s="46" t="s">
        <v>988</v>
      </c>
      <c r="D26" s="53">
        <f>IFERROR(__xludf.DUMMYFUNCTION("XLOOKUP(JOIN(""/"",$A26:$B26),'source merged_div_data'!$A:$A,'source merged_div_data'!B:B)"),9.0)</f>
        <v>9</v>
      </c>
      <c r="E26" s="53">
        <f>IFERROR(__xludf.DUMMYFUNCTION("XLOOKUP(JOIN(""/"",$A26:$B26),'source merged_div_data'!$A:$A,'source merged_div_data'!C:C)"),0.0)</f>
        <v>0</v>
      </c>
      <c r="F26" s="54" t="str">
        <f t="array" ref="F26">IFERROR(
  IFS(
    XLOOKUP(TEXTJOIN("/", TRUE, $A26:$B26), 'source merged_div_data'!$A:$A, 'source merged_div_data'!F:F) &lt; 1024,
      XLOOKUP(TEXTJOIN("/", TRUE, $A26:$B26), 'source merged_div_data'!$A:$A, 'source merged_div_data'!F:F) &amp; " B",
    XLOOKUP(TEXTJOIN("/", TRUE, $A26:$B26), 'source merged_div_data'!$A:$A, 'source merged_div_data'!F:F) &lt; 1048576,
      ROUND(XLOOKUP(TEXTJOIN("/", TRUE, $A26:$B26), 'source merged_div_data'!$A:$A, 'source merged_div_data'!F:F)/1024, 2) &amp; " KB",
    XLOOKUP(TEXTJOIN("/", TRUE, $A26:$B26), 'source merged_div_data'!$A:$A, 'source merged_div_data'!F:F) &lt; 1073741824,
      ROUND(XLOOKUP(TEXTJOIN("/", TRUE, $A26:$B26), 'source merged_div_data'!$A:$A, 'source merged_div_data'!F:F)/1048576, 2) &amp; " MB",
    TRUE,
      ROUND(XLOOKUP(TEXTJOIN("/", TRUE, $A26:$B26), 'source merged_div_data'!$A:$A, 'source merged_div_data'!F:F)/1073741824, 2) &amp; " GB"
  ),
  "×"
)</f>
        <v>276 B</v>
      </c>
      <c r="G26" s="55" t="s">
        <v>1053</v>
      </c>
      <c r="H26" s="55"/>
      <c r="I26" s="55"/>
      <c r="J26" s="46" t="s">
        <v>1117</v>
      </c>
      <c r="K26" s="55"/>
      <c r="L26" s="55" t="s">
        <v>1053</v>
      </c>
      <c r="M26" s="55" t="s">
        <v>1053</v>
      </c>
      <c r="N26" s="52" t="s">
        <v>1116</v>
      </c>
      <c r="O26" s="46" t="s">
        <v>1117</v>
      </c>
      <c r="P26" s="37" t="str">
        <f>IFERROR(__xludf.DUMMYFUNCTION("XLOOKUP(JOIN(""/"",$A26:$B26),'source isilon_divまとめ'!$A:$A,'source isilon_divまとめ'!$D:$D,XLOOKUP(JOIN(""\"",$A26:$B26),'source NetApp-file-sv01-div'!A:A,TEXT('source NetApp-file-sv01-div'!C:C,""yyyy/mm/dd"")))"),"#N/A")</f>
        <v>#N/A</v>
      </c>
    </row>
    <row r="27">
      <c r="A27" s="8" t="s">
        <v>1131</v>
      </c>
      <c r="B27" s="8" t="s">
        <v>1132</v>
      </c>
      <c r="C27" s="7" t="s">
        <v>987</v>
      </c>
      <c r="D27" s="56">
        <f>IFERROR(__xludf.DUMMYFUNCTION("XLOOKUP(JOIN(""/"",$A27:$B27),'source merged_div_data'!$A:$A,'source merged_div_data'!B:B)"),275.0)</f>
        <v>275</v>
      </c>
      <c r="E27" s="56">
        <f>IFERROR(__xludf.DUMMYFUNCTION("XLOOKUP(JOIN(""/"",$A27:$B27),'source merged_div_data'!$A:$A,'source merged_div_data'!C:C)"),909.0)</f>
        <v>909</v>
      </c>
      <c r="F27" s="54" t="str">
        <f t="array" ref="F27">IFERROR(
  IFS(
    XLOOKUP(TEXTJOIN("/", TRUE, $A27:$B27), 'source merged_div_data'!$A:$A, 'source merged_div_data'!F:F) &lt; 1024,
      XLOOKUP(TEXTJOIN("/", TRUE, $A27:$B27), 'source merged_div_data'!$A:$A, 'source merged_div_data'!F:F) &amp; " B",
    XLOOKUP(TEXTJOIN("/", TRUE, $A27:$B27), 'source merged_div_data'!$A:$A, 'source merged_div_data'!F:F) &lt; 1048576,
      ROUND(XLOOKUP(TEXTJOIN("/", TRUE, $A27:$B27), 'source merged_div_data'!$A:$A, 'source merged_div_data'!F:F)/1024, 2) &amp; " KB",
    XLOOKUP(TEXTJOIN("/", TRUE, $A27:$B27), 'source merged_div_data'!$A:$A, 'source merged_div_data'!F:F) &lt; 1073741824,
      ROUND(XLOOKUP(TEXTJOIN("/", TRUE, $A27:$B27), 'source merged_div_data'!$A:$A, 'source merged_div_data'!F:F)/1048576, 2) &amp; " MB",
    TRUE,
      ROUND(XLOOKUP(TEXTJOIN("/", TRUE, $A27:$B27), 'source merged_div_data'!$A:$A, 'source merged_div_data'!F:F)/1073741824, 2) &amp; " GB"
  ),
  "×"
)</f>
        <v>20.85 GB</v>
      </c>
      <c r="G27" s="57" t="s">
        <v>2182</v>
      </c>
      <c r="H27" s="58" t="s">
        <v>2177</v>
      </c>
      <c r="I27" s="57"/>
      <c r="J27" s="7" t="s">
        <v>717</v>
      </c>
      <c r="L27" s="7" t="s">
        <v>2100</v>
      </c>
      <c r="M27" s="37" t="s">
        <v>1053</v>
      </c>
      <c r="N27" s="8" t="s">
        <v>1102</v>
      </c>
      <c r="O27" s="7" t="s">
        <v>1097</v>
      </c>
      <c r="P27" s="57" t="str">
        <f>IFERROR(__xludf.DUMMYFUNCTION("XLOOKUP(JOIN(""/"",$A27:$B27),'source isilon_divまとめ'!$A:$A,'source isilon_divまとめ'!$D:$D,XLOOKUP(JOIN(""\"",$A27:$B27),'source NetApp-file-sv01-div'!A:A,TEXT('source NetApp-file-sv01-div'!C:C,""yyyy/mm/dd"")))"),"2014/12/16")</f>
        <v>2014/12/16</v>
      </c>
    </row>
    <row r="28">
      <c r="A28" s="8" t="s">
        <v>1131</v>
      </c>
      <c r="B28" s="8" t="s">
        <v>1133</v>
      </c>
      <c r="C28" s="7" t="s">
        <v>987</v>
      </c>
      <c r="D28" s="56">
        <f>IFERROR(__xludf.DUMMYFUNCTION("XLOOKUP(JOIN(""/"",$A28:$B28),'source merged_div_data'!$A:$A,'source merged_div_data'!B:B)"),3844.0)</f>
        <v>3844</v>
      </c>
      <c r="E28" s="56">
        <f>IFERROR(__xludf.DUMMYFUNCTION("XLOOKUP(JOIN(""/"",$A28:$B28),'source merged_div_data'!$A:$A,'source merged_div_data'!C:C)"),91526.0)</f>
        <v>91526</v>
      </c>
      <c r="F28" s="54" t="str">
        <f t="array" ref="F28">IFERROR(
  IFS(
    XLOOKUP(TEXTJOIN("/", TRUE, $A28:$B28), 'source merged_div_data'!$A:$A, 'source merged_div_data'!F:F) &lt; 1024,
      XLOOKUP(TEXTJOIN("/", TRUE, $A28:$B28), 'source merged_div_data'!$A:$A, 'source merged_div_data'!F:F) &amp; " B",
    XLOOKUP(TEXTJOIN("/", TRUE, $A28:$B28), 'source merged_div_data'!$A:$A, 'source merged_div_data'!F:F) &lt; 1048576,
      ROUND(XLOOKUP(TEXTJOIN("/", TRUE, $A28:$B28), 'source merged_div_data'!$A:$A, 'source merged_div_data'!F:F)/1024, 2) &amp; " KB",
    XLOOKUP(TEXTJOIN("/", TRUE, $A28:$B28), 'source merged_div_data'!$A:$A, 'source merged_div_data'!F:F) &lt; 1073741824,
      ROUND(XLOOKUP(TEXTJOIN("/", TRUE, $A28:$B28), 'source merged_div_data'!$A:$A, 'source merged_div_data'!F:F)/1048576, 2) &amp; " MB",
    TRUE,
      ROUND(XLOOKUP(TEXTJOIN("/", TRUE, $A28:$B28), 'source merged_div_data'!$A:$A, 'source merged_div_data'!F:F)/1073741824, 2) &amp; " GB"
  ),
  "×"
)</f>
        <v>358.06 GB</v>
      </c>
      <c r="G28" s="57" t="s">
        <v>2183</v>
      </c>
      <c r="H28" s="58" t="s">
        <v>2184</v>
      </c>
      <c r="I28" s="57"/>
      <c r="J28" s="7" t="s">
        <v>717</v>
      </c>
      <c r="L28" s="7" t="s">
        <v>2100</v>
      </c>
      <c r="M28" s="37" t="s">
        <v>1053</v>
      </c>
      <c r="N28" s="8" t="s">
        <v>1102</v>
      </c>
      <c r="O28" s="7" t="s">
        <v>1097</v>
      </c>
      <c r="P28" s="57" t="str">
        <f>IFERROR(__xludf.DUMMYFUNCTION("XLOOKUP(JOIN(""/"",$A28:$B28),'source isilon_divまとめ'!$A:$A,'source isilon_divまとめ'!$D:$D,XLOOKUP(JOIN(""\"",$A28:$B28),'source NetApp-file-sv01-div'!A:A,TEXT('source NetApp-file-sv01-div'!C:C,""yyyy/mm/dd"")))"),"2025/07/07")</f>
        <v>2025/07/07</v>
      </c>
    </row>
    <row r="29">
      <c r="A29" s="8" t="s">
        <v>1131</v>
      </c>
      <c r="B29" s="8" t="s">
        <v>1134</v>
      </c>
      <c r="C29" s="7" t="s">
        <v>987</v>
      </c>
      <c r="D29" s="56">
        <f>IFERROR(__xludf.DUMMYFUNCTION("XLOOKUP(JOIN(""/"",$A29:$B29),'source merged_div_data'!$A:$A,'source merged_div_data'!B:B)"),58.0)</f>
        <v>58</v>
      </c>
      <c r="E29" s="56">
        <f>IFERROR(__xludf.DUMMYFUNCTION("XLOOKUP(JOIN(""/"",$A29:$B29),'source merged_div_data'!$A:$A,'source merged_div_data'!C:C)"),103.0)</f>
        <v>103</v>
      </c>
      <c r="F29" s="54" t="str">
        <f t="array" ref="F29">IFERROR(
  IFS(
    XLOOKUP(TEXTJOIN("/", TRUE, $A29:$B29), 'source merged_div_data'!$A:$A, 'source merged_div_data'!F:F) &lt; 1024,
      XLOOKUP(TEXTJOIN("/", TRUE, $A29:$B29), 'source merged_div_data'!$A:$A, 'source merged_div_data'!F:F) &amp; " B",
    XLOOKUP(TEXTJOIN("/", TRUE, $A29:$B29), 'source merged_div_data'!$A:$A, 'source merged_div_data'!F:F) &lt; 1048576,
      ROUND(XLOOKUP(TEXTJOIN("/", TRUE, $A29:$B29), 'source merged_div_data'!$A:$A, 'source merged_div_data'!F:F)/1024, 2) &amp; " KB",
    XLOOKUP(TEXTJOIN("/", TRUE, $A29:$B29), 'source merged_div_data'!$A:$A, 'source merged_div_data'!F:F) &lt; 1073741824,
      ROUND(XLOOKUP(TEXTJOIN("/", TRUE, $A29:$B29), 'source merged_div_data'!$A:$A, 'source merged_div_data'!F:F)/1048576, 2) &amp; " MB",
    TRUE,
      ROUND(XLOOKUP(TEXTJOIN("/", TRUE, $A29:$B29), 'source merged_div_data'!$A:$A, 'source merged_div_data'!F:F)/1073741824, 2) &amp; " GB"
  ),
  "×"
)</f>
        <v>91.86 MB</v>
      </c>
      <c r="G29" s="57" t="s">
        <v>2185</v>
      </c>
      <c r="H29" s="58" t="s">
        <v>2177</v>
      </c>
      <c r="I29" s="57"/>
      <c r="J29" s="7" t="s">
        <v>717</v>
      </c>
      <c r="L29" s="7" t="s">
        <v>2100</v>
      </c>
      <c r="M29" s="37" t="s">
        <v>1053</v>
      </c>
      <c r="N29" s="8" t="s">
        <v>1102</v>
      </c>
      <c r="O29" s="7" t="s">
        <v>1097</v>
      </c>
      <c r="P29" s="57" t="str">
        <f>IFERROR(__xludf.DUMMYFUNCTION("XLOOKUP(JOIN(""/"",$A29:$B29),'source isilon_divまとめ'!$A:$A,'source isilon_divまとめ'!$D:$D,XLOOKUP(JOIN(""\"",$A29:$B29),'source NetApp-file-sv01-div'!A:A,TEXT('source NetApp-file-sv01-div'!C:C,""yyyy/mm/dd"")))"),"2015/12/01")</f>
        <v>2015/12/01</v>
      </c>
    </row>
    <row r="30">
      <c r="A30" s="8" t="s">
        <v>1131</v>
      </c>
      <c r="B30" s="8" t="s">
        <v>1135</v>
      </c>
      <c r="C30" s="7" t="s">
        <v>987</v>
      </c>
      <c r="D30" s="56">
        <f>IFERROR(__xludf.DUMMYFUNCTION("XLOOKUP(JOIN(""/"",$A30:$B30),'source merged_div_data'!$A:$A,'source merged_div_data'!B:B)"),447.0)</f>
        <v>447</v>
      </c>
      <c r="E30" s="56">
        <f>IFERROR(__xludf.DUMMYFUNCTION("XLOOKUP(JOIN(""/"",$A30:$B30),'source merged_div_data'!$A:$A,'source merged_div_data'!C:C)"),4523.0)</f>
        <v>4523</v>
      </c>
      <c r="F30" s="54" t="str">
        <f t="array" ref="F30">IFERROR(
  IFS(
    XLOOKUP(TEXTJOIN("/", TRUE, $A30:$B30), 'source merged_div_data'!$A:$A, 'source merged_div_data'!F:F) &lt; 1024,
      XLOOKUP(TEXTJOIN("/", TRUE, $A30:$B30), 'source merged_div_data'!$A:$A, 'source merged_div_data'!F:F) &amp; " B",
    XLOOKUP(TEXTJOIN("/", TRUE, $A30:$B30), 'source merged_div_data'!$A:$A, 'source merged_div_data'!F:F) &lt; 1048576,
      ROUND(XLOOKUP(TEXTJOIN("/", TRUE, $A30:$B30), 'source merged_div_data'!$A:$A, 'source merged_div_data'!F:F)/1024, 2) &amp; " KB",
    XLOOKUP(TEXTJOIN("/", TRUE, $A30:$B30), 'source merged_div_data'!$A:$A, 'source merged_div_data'!F:F) &lt; 1073741824,
      ROUND(XLOOKUP(TEXTJOIN("/", TRUE, $A30:$B30), 'source merged_div_data'!$A:$A, 'source merged_div_data'!F:F)/1048576, 2) &amp; " MB",
    TRUE,
      ROUND(XLOOKUP(TEXTJOIN("/", TRUE, $A30:$B30), 'source merged_div_data'!$A:$A, 'source merged_div_data'!F:F)/1073741824, 2) &amp; " GB"
  ),
  "×"
)</f>
        <v>404.83 MB</v>
      </c>
      <c r="G30" s="57" t="s">
        <v>2186</v>
      </c>
      <c r="H30" s="58" t="s">
        <v>2177</v>
      </c>
      <c r="I30" s="57"/>
      <c r="J30" s="7" t="s">
        <v>717</v>
      </c>
      <c r="L30" s="7" t="s">
        <v>2100</v>
      </c>
      <c r="M30" s="37" t="s">
        <v>1053</v>
      </c>
      <c r="N30" s="8" t="s">
        <v>1102</v>
      </c>
      <c r="O30" s="7" t="s">
        <v>1097</v>
      </c>
      <c r="P30" s="57" t="str">
        <f>IFERROR(__xludf.DUMMYFUNCTION("XLOOKUP(JOIN(""/"",$A30:$B30),'source isilon_divまとめ'!$A:$A,'source isilon_divまとめ'!$D:$D,XLOOKUP(JOIN(""\"",$A30:$B30),'source NetApp-file-sv01-div'!A:A,TEXT('source NetApp-file-sv01-div'!C:C,""yyyy/mm/dd"")))"),"2017/04/11")</f>
        <v>2017/04/11</v>
      </c>
    </row>
    <row r="31">
      <c r="A31" s="8" t="s">
        <v>1131</v>
      </c>
      <c r="B31" s="8" t="s">
        <v>1136</v>
      </c>
      <c r="C31" s="7" t="s">
        <v>987</v>
      </c>
      <c r="D31" s="56">
        <f>IFERROR(__xludf.DUMMYFUNCTION("XLOOKUP(JOIN(""/"",$A31:$B31),'source merged_div_data'!$A:$A,'source merged_div_data'!B:B)"),1626.0)</f>
        <v>1626</v>
      </c>
      <c r="E31" s="56">
        <f>IFERROR(__xludf.DUMMYFUNCTION("XLOOKUP(JOIN(""/"",$A31:$B31),'source merged_div_data'!$A:$A,'source merged_div_data'!C:C)"),10752.0)</f>
        <v>10752</v>
      </c>
      <c r="F31" s="54" t="str">
        <f t="array" ref="F31">IFERROR(
  IFS(
    XLOOKUP(TEXTJOIN("/", TRUE, $A31:$B31), 'source merged_div_data'!$A:$A, 'source merged_div_data'!F:F) &lt; 1024,
      XLOOKUP(TEXTJOIN("/", TRUE, $A31:$B31), 'source merged_div_data'!$A:$A, 'source merged_div_data'!F:F) &amp; " B",
    XLOOKUP(TEXTJOIN("/", TRUE, $A31:$B31), 'source merged_div_data'!$A:$A, 'source merged_div_data'!F:F) &lt; 1048576,
      ROUND(XLOOKUP(TEXTJOIN("/", TRUE, $A31:$B31), 'source merged_div_data'!$A:$A, 'source merged_div_data'!F:F)/1024, 2) &amp; " KB",
    XLOOKUP(TEXTJOIN("/", TRUE, $A31:$B31), 'source merged_div_data'!$A:$A, 'source merged_div_data'!F:F) &lt; 1073741824,
      ROUND(XLOOKUP(TEXTJOIN("/", TRUE, $A31:$B31), 'source merged_div_data'!$A:$A, 'source merged_div_data'!F:F)/1048576, 2) &amp; " MB",
    TRUE,
      ROUND(XLOOKUP(TEXTJOIN("/", TRUE, $A31:$B31), 'source merged_div_data'!$A:$A, 'source merged_div_data'!F:F)/1073741824, 2) &amp; " GB"
  ),
  "×"
)</f>
        <v>118.1 GB</v>
      </c>
      <c r="G31" s="57" t="s">
        <v>2187</v>
      </c>
      <c r="H31" s="58" t="s">
        <v>2177</v>
      </c>
      <c r="I31" s="57"/>
      <c r="J31" s="7" t="s">
        <v>717</v>
      </c>
      <c r="L31" s="7" t="s">
        <v>2100</v>
      </c>
      <c r="M31" s="37" t="s">
        <v>1053</v>
      </c>
      <c r="N31" s="8" t="s">
        <v>1102</v>
      </c>
      <c r="O31" s="7" t="s">
        <v>1097</v>
      </c>
      <c r="P31" s="57" t="str">
        <f>IFERROR(__xludf.DUMMYFUNCTION("XLOOKUP(JOIN(""/"",$A31:$B31),'source isilon_divまとめ'!$A:$A,'source isilon_divまとめ'!$D:$D,XLOOKUP(JOIN(""\"",$A31:$B31),'source NetApp-file-sv01-div'!A:A,TEXT('source NetApp-file-sv01-div'!C:C,""yyyy/mm/dd"")))"),"2016/01/20")</f>
        <v>2016/01/20</v>
      </c>
    </row>
    <row r="32">
      <c r="A32" s="8" t="s">
        <v>1131</v>
      </c>
      <c r="B32" s="8" t="s">
        <v>1137</v>
      </c>
      <c r="C32" s="7" t="s">
        <v>987</v>
      </c>
      <c r="D32" s="56">
        <f>IFERROR(__xludf.DUMMYFUNCTION("XLOOKUP(JOIN(""/"",$A32:$B32),'source merged_div_data'!$A:$A,'source merged_div_data'!B:B)"),59696.0)</f>
        <v>59696</v>
      </c>
      <c r="E32" s="56">
        <f>IFERROR(__xludf.DUMMYFUNCTION("XLOOKUP(JOIN(""/"",$A32:$B32),'source merged_div_data'!$A:$A,'source merged_div_data'!C:C)"),263909.0)</f>
        <v>263909</v>
      </c>
      <c r="F32" s="54" t="str">
        <f t="array" ref="F32">IFERROR(
  IFS(
    XLOOKUP(TEXTJOIN("/", TRUE, $A32:$B32), 'source merged_div_data'!$A:$A, 'source merged_div_data'!F:F) &lt; 1024,
      XLOOKUP(TEXTJOIN("/", TRUE, $A32:$B32), 'source merged_div_data'!$A:$A, 'source merged_div_data'!F:F) &amp; " B",
    XLOOKUP(TEXTJOIN("/", TRUE, $A32:$B32), 'source merged_div_data'!$A:$A, 'source merged_div_data'!F:F) &lt; 1048576,
      ROUND(XLOOKUP(TEXTJOIN("/", TRUE, $A32:$B32), 'source merged_div_data'!$A:$A, 'source merged_div_data'!F:F)/1024, 2) &amp; " KB",
    XLOOKUP(TEXTJOIN("/", TRUE, $A32:$B32), 'source merged_div_data'!$A:$A, 'source merged_div_data'!F:F) &lt; 1073741824,
      ROUND(XLOOKUP(TEXTJOIN("/", TRUE, $A32:$B32), 'source merged_div_data'!$A:$A, 'source merged_div_data'!F:F)/1048576, 2) &amp; " MB",
    TRUE,
      ROUND(XLOOKUP(TEXTJOIN("/", TRUE, $A32:$B32), 'source merged_div_data'!$A:$A, 'source merged_div_data'!F:F)/1073741824, 2) &amp; " GB"
  ),
  "×"
)</f>
        <v>1479.68 GB</v>
      </c>
      <c r="G32" s="57" t="s">
        <v>2188</v>
      </c>
      <c r="H32" s="58" t="s">
        <v>2177</v>
      </c>
      <c r="I32" s="57"/>
      <c r="J32" s="7" t="s">
        <v>717</v>
      </c>
      <c r="L32" s="7" t="s">
        <v>2100</v>
      </c>
      <c r="M32" s="37" t="s">
        <v>1053</v>
      </c>
      <c r="N32" s="8" t="s">
        <v>1102</v>
      </c>
      <c r="O32" s="7" t="s">
        <v>1097</v>
      </c>
      <c r="P32" s="57" t="str">
        <f>IFERROR(__xludf.DUMMYFUNCTION("XLOOKUP(JOIN(""/"",$A32:$B32),'source isilon_divまとめ'!$A:$A,'source isilon_divまとめ'!$D:$D,XLOOKUP(JOIN(""\"",$A32:$B32),'source NetApp-file-sv01-div'!A:A,TEXT('source NetApp-file-sv01-div'!C:C,""yyyy/mm/dd"")))"),"2022/06/03")</f>
        <v>2022/06/03</v>
      </c>
    </row>
    <row r="33">
      <c r="A33" s="52" t="s">
        <v>1131</v>
      </c>
      <c r="B33" s="52" t="s">
        <v>286</v>
      </c>
      <c r="C33" s="46" t="s">
        <v>986</v>
      </c>
      <c r="D33" s="53">
        <f>IFERROR(__xludf.DUMMYFUNCTION("XLOOKUP(JOIN(""/"",$A33:$B33),'source merged_div_data'!$A:$A,'source merged_div_data'!B:B)"),6.0)</f>
        <v>6</v>
      </c>
      <c r="E33" s="53">
        <f>IFERROR(__xludf.DUMMYFUNCTION("XLOOKUP(JOIN(""/"",$A33:$B33),'source merged_div_data'!$A:$A,'source merged_div_data'!C:C)"),0.0)</f>
        <v>0</v>
      </c>
      <c r="F33" s="54" t="str">
        <f t="array" ref="F33">IFERROR(
  IFS(
    XLOOKUP(TEXTJOIN("/", TRUE, $A33:$B33), 'source merged_div_data'!$A:$A, 'source merged_div_data'!F:F) &lt; 1024,
      XLOOKUP(TEXTJOIN("/", TRUE, $A33:$B33), 'source merged_div_data'!$A:$A, 'source merged_div_data'!F:F) &amp; " B",
    XLOOKUP(TEXTJOIN("/", TRUE, $A33:$B33), 'source merged_div_data'!$A:$A, 'source merged_div_data'!F:F) &lt; 1048576,
      ROUND(XLOOKUP(TEXTJOIN("/", TRUE, $A33:$B33), 'source merged_div_data'!$A:$A, 'source merged_div_data'!F:F)/1024, 2) &amp; " KB",
    XLOOKUP(TEXTJOIN("/", TRUE, $A33:$B33), 'source merged_div_data'!$A:$A, 'source merged_div_data'!F:F) &lt; 1073741824,
      ROUND(XLOOKUP(TEXTJOIN("/", TRUE, $A33:$B33), 'source merged_div_data'!$A:$A, 'source merged_div_data'!F:F)/1048576, 2) &amp; " MB",
    TRUE,
      ROUND(XLOOKUP(TEXTJOIN("/", TRUE, $A33:$B33), 'source merged_div_data'!$A:$A, 'source merged_div_data'!F:F)/1073741824, 2) &amp; " GB"
  ),
  "×"
)</f>
        <v>170 B</v>
      </c>
      <c r="G33" s="55" t="s">
        <v>1053</v>
      </c>
      <c r="H33" s="55"/>
      <c r="I33" s="55"/>
      <c r="J33" s="55" t="s">
        <v>281</v>
      </c>
      <c r="K33" s="55" t="s">
        <v>286</v>
      </c>
      <c r="L33" s="46" t="s">
        <v>1498</v>
      </c>
      <c r="M33" s="46" t="s">
        <v>2111</v>
      </c>
      <c r="N33" s="52"/>
      <c r="O33" s="55"/>
      <c r="P33" s="37" t="str">
        <f>IFERROR(__xludf.DUMMYFUNCTION("XLOOKUP(JOIN(""/"",$A33:$B33),'source isilon_divまとめ'!$A:$A,'source isilon_divまとめ'!$D:$D,XLOOKUP(JOIN(""\"",$A33:$B33),'source NetApp-file-sv01-div'!A:A,TEXT('source NetApp-file-sv01-div'!C:C,""yyyy/mm/dd"")))"),"#N/A")</f>
        <v>#N/A</v>
      </c>
    </row>
    <row r="34">
      <c r="A34" s="8" t="s">
        <v>1131</v>
      </c>
      <c r="B34" s="8" t="s">
        <v>1111</v>
      </c>
      <c r="C34" s="7" t="s">
        <v>988</v>
      </c>
      <c r="D34" s="56">
        <f>IFERROR(__xludf.DUMMYFUNCTION("XLOOKUP(JOIN(""/"",$A34:$B34),'source merged_div_data'!$A:$A,'source merged_div_data'!B:B)"),3062.0)</f>
        <v>3062</v>
      </c>
      <c r="E34" s="56">
        <f>IFERROR(__xludf.DUMMYFUNCTION("XLOOKUP(JOIN(""/"",$A34:$B34),'source merged_div_data'!$A:$A,'source merged_div_data'!C:C)"),143503.0)</f>
        <v>143503</v>
      </c>
      <c r="F34" s="54" t="str">
        <f t="array" ref="F34">IFERROR(
  IFS(
    XLOOKUP(TEXTJOIN("/", TRUE, $A34:$B34), 'source merged_div_data'!$A:$A, 'source merged_div_data'!F:F) &lt; 1024,
      XLOOKUP(TEXTJOIN("/", TRUE, $A34:$B34), 'source merged_div_data'!$A:$A, 'source merged_div_data'!F:F) &amp; " B",
    XLOOKUP(TEXTJOIN("/", TRUE, $A34:$B34), 'source merged_div_data'!$A:$A, 'source merged_div_data'!F:F) &lt; 1048576,
      ROUND(XLOOKUP(TEXTJOIN("/", TRUE, $A34:$B34), 'source merged_div_data'!$A:$A, 'source merged_div_data'!F:F)/1024, 2) &amp; " KB",
    XLOOKUP(TEXTJOIN("/", TRUE, $A34:$B34), 'source merged_div_data'!$A:$A, 'source merged_div_data'!F:F) &lt; 1073741824,
      ROUND(XLOOKUP(TEXTJOIN("/", TRUE, $A34:$B34), 'source merged_div_data'!$A:$A, 'source merged_div_data'!F:F)/1048576, 2) &amp; " MB",
    TRUE,
      ROUND(XLOOKUP(TEXTJOIN("/", TRUE, $A34:$B34), 'source merged_div_data'!$A:$A, 'source merged_div_data'!F:F)/1073741824, 2) &amp; " GB"
  ),
  "×"
)</f>
        <v>499.2 GB</v>
      </c>
      <c r="G34" s="57" t="s">
        <v>2189</v>
      </c>
      <c r="H34" s="58" t="s">
        <v>2177</v>
      </c>
      <c r="I34" s="57"/>
      <c r="J34" s="7" t="s">
        <v>1105</v>
      </c>
      <c r="L34" s="37" t="s">
        <v>1053</v>
      </c>
      <c r="M34" s="37" t="s">
        <v>1053</v>
      </c>
      <c r="N34" s="8" t="s">
        <v>1102</v>
      </c>
      <c r="O34" s="7" t="s">
        <v>1105</v>
      </c>
      <c r="P34" s="57" t="str">
        <f>IFERROR(__xludf.DUMMYFUNCTION("XLOOKUP(JOIN(""/"",$A34:$B34),'source isilon_divまとめ'!$A:$A,'source isilon_divまとめ'!$D:$D,XLOOKUP(JOIN(""\"",$A34:$B34),'source NetApp-file-sv01-div'!A:A,TEXT('source NetApp-file-sv01-div'!C:C,""yyyy/mm/dd"")))"),"2018/04/15")</f>
        <v>2018/04/15</v>
      </c>
    </row>
    <row r="35">
      <c r="A35" s="8" t="s">
        <v>1138</v>
      </c>
      <c r="B35" s="8" t="s">
        <v>1139</v>
      </c>
      <c r="C35" s="7" t="s">
        <v>988</v>
      </c>
      <c r="D35" s="56">
        <f>IFERROR(__xludf.DUMMYFUNCTION("XLOOKUP(JOIN(""/"",$A35:$B35),'source merged_div_data'!$A:$A,'source merged_div_data'!B:B)"),16182.0)</f>
        <v>16182</v>
      </c>
      <c r="E35" s="56">
        <f>IFERROR(__xludf.DUMMYFUNCTION("XLOOKUP(JOIN(""/"",$A35:$B35),'source merged_div_data'!$A:$A,'source merged_div_data'!C:C)"),185216.0)</f>
        <v>185216</v>
      </c>
      <c r="F35" s="54" t="str">
        <f t="array" ref="F35">IFERROR(
  IFS(
    XLOOKUP(TEXTJOIN("/", TRUE, $A35:$B35), 'source merged_div_data'!$A:$A, 'source merged_div_data'!F:F) &lt; 1024,
      XLOOKUP(TEXTJOIN("/", TRUE, $A35:$B35), 'source merged_div_data'!$A:$A, 'source merged_div_data'!F:F) &amp; " B",
    XLOOKUP(TEXTJOIN("/", TRUE, $A35:$B35), 'source merged_div_data'!$A:$A, 'source merged_div_data'!F:F) &lt; 1048576,
      ROUND(XLOOKUP(TEXTJOIN("/", TRUE, $A35:$B35), 'source merged_div_data'!$A:$A, 'source merged_div_data'!F:F)/1024, 2) &amp; " KB",
    XLOOKUP(TEXTJOIN("/", TRUE, $A35:$B35), 'source merged_div_data'!$A:$A, 'source merged_div_data'!F:F) &lt; 1073741824,
      ROUND(XLOOKUP(TEXTJOIN("/", TRUE, $A35:$B35), 'source merged_div_data'!$A:$A, 'source merged_div_data'!F:F)/1048576, 2) &amp; " MB",
    TRUE,
      ROUND(XLOOKUP(TEXTJOIN("/", TRUE, $A35:$B35), 'source merged_div_data'!$A:$A, 'source merged_div_data'!F:F)/1073741824, 2) &amp; " GB"
  ),
  "×"
)</f>
        <v>735.66 GB</v>
      </c>
      <c r="G35" s="57" t="s">
        <v>2190</v>
      </c>
      <c r="H35" s="58" t="s">
        <v>2177</v>
      </c>
      <c r="I35" s="57"/>
      <c r="J35" s="7" t="s">
        <v>1141</v>
      </c>
      <c r="L35" s="37" t="s">
        <v>1053</v>
      </c>
      <c r="M35" s="37" t="s">
        <v>1053</v>
      </c>
      <c r="N35" s="8" t="s">
        <v>1140</v>
      </c>
      <c r="O35" s="7" t="s">
        <v>1141</v>
      </c>
      <c r="P35" s="57" t="str">
        <f>IFERROR(__xludf.DUMMYFUNCTION("XLOOKUP(JOIN(""/"",$A35:$B35),'source isilon_divまとめ'!$A:$A,'source isilon_divまとめ'!$D:$D,XLOOKUP(JOIN(""\"",$A35:$B35),'source NetApp-file-sv01-div'!A:A,TEXT('source NetApp-file-sv01-div'!C:C,""yyyy/mm/dd"")))"),"2019/03/29")</f>
        <v>2019/03/29</v>
      </c>
    </row>
    <row r="36">
      <c r="A36" s="8" t="s">
        <v>478</v>
      </c>
      <c r="B36" s="8" t="s">
        <v>484</v>
      </c>
      <c r="C36" s="8" t="s">
        <v>985</v>
      </c>
      <c r="D36" s="56">
        <f>IFERROR(__xludf.DUMMYFUNCTION("XLOOKUP(JOIN(""/"",$A36:$B36),'source merged_div_data'!$A:$A,'source merged_div_data'!B:B)"),47.0)</f>
        <v>47</v>
      </c>
      <c r="E36" s="56">
        <f>IFERROR(__xludf.DUMMYFUNCTION("XLOOKUP(JOIN(""/"",$A36:$B36),'source merged_div_data'!$A:$A,'source merged_div_data'!C:C)"),1.0)</f>
        <v>1</v>
      </c>
      <c r="F36" s="54" t="str">
        <f t="array" ref="F36">IFERROR(
  IFS(
    XLOOKUP(TEXTJOIN("/", TRUE, $A36:$B36), 'source merged_div_data'!$A:$A, 'source merged_div_data'!F:F) &lt; 1024,
      XLOOKUP(TEXTJOIN("/", TRUE, $A36:$B36), 'source merged_div_data'!$A:$A, 'source merged_div_data'!F:F) &amp; " B",
    XLOOKUP(TEXTJOIN("/", TRUE, $A36:$B36), 'source merged_div_data'!$A:$A, 'source merged_div_data'!F:F) &lt; 1048576,
      ROUND(XLOOKUP(TEXTJOIN("/", TRUE, $A36:$B36), 'source merged_div_data'!$A:$A, 'source merged_div_data'!F:F)/1024, 2) &amp; " KB",
    XLOOKUP(TEXTJOIN("/", TRUE, $A36:$B36), 'source merged_div_data'!$A:$A, 'source merged_div_data'!F:F) &lt; 1073741824,
      ROUND(XLOOKUP(TEXTJOIN("/", TRUE, $A36:$B36), 'source merged_div_data'!$A:$A, 'source merged_div_data'!F:F)/1048576, 2) &amp; " MB",
    TRUE,
      ROUND(XLOOKUP(TEXTJOIN("/", TRUE, $A36:$B36), 'source merged_div_data'!$A:$A, 'source merged_div_data'!F:F)/1073741824, 2) &amp; " GB"
  ),
  "×"
)</f>
        <v>7.54 KB</v>
      </c>
      <c r="G36" s="37" t="s">
        <v>1053</v>
      </c>
      <c r="H36" s="7" t="s">
        <v>2177</v>
      </c>
      <c r="I36" s="37"/>
      <c r="J36" s="37" t="s">
        <v>478</v>
      </c>
      <c r="K36" s="37" t="s">
        <v>484</v>
      </c>
      <c r="L36" s="37" t="s">
        <v>1066</v>
      </c>
      <c r="M36" s="37" t="s">
        <v>1947</v>
      </c>
      <c r="N36" s="8"/>
      <c r="P36" s="37" t="str">
        <f>IFERROR(__xludf.DUMMYFUNCTION("XLOOKUP(JOIN(""/"",$A36:$B36),'source isilon_divまとめ'!$A:$A,'source isilon_divまとめ'!$D:$D,XLOOKUP(JOIN(""\"",$A36:$B36),'source NetApp-file-sv01-div'!A:A,TEXT('source NetApp-file-sv01-div'!C:C,""yyyy/mm/dd"")))"),"#N/A")</f>
        <v>#N/A</v>
      </c>
    </row>
    <row r="37">
      <c r="A37" s="52" t="s">
        <v>478</v>
      </c>
      <c r="B37" s="52" t="s">
        <v>508</v>
      </c>
      <c r="C37" s="46" t="s">
        <v>986</v>
      </c>
      <c r="D37" s="53">
        <f>IFERROR(__xludf.DUMMYFUNCTION("XLOOKUP(JOIN(""/"",$A37:$B37),'source merged_div_data'!$A:$A,'source merged_div_data'!B:B)"),2.0)</f>
        <v>2</v>
      </c>
      <c r="E37" s="53">
        <f>IFERROR(__xludf.DUMMYFUNCTION("XLOOKUP(JOIN(""/"",$A37:$B37),'source merged_div_data'!$A:$A,'source merged_div_data'!C:C)"),0.0)</f>
        <v>0</v>
      </c>
      <c r="F37" s="54" t="str">
        <f t="array" ref="F37">IFERROR(
  IFS(
    XLOOKUP(TEXTJOIN("/", TRUE, $A37:$B37), 'source merged_div_data'!$A:$A, 'source merged_div_data'!F:F) &lt; 1024,
      XLOOKUP(TEXTJOIN("/", TRUE, $A37:$B37), 'source merged_div_data'!$A:$A, 'source merged_div_data'!F:F) &amp; " B",
    XLOOKUP(TEXTJOIN("/", TRUE, $A37:$B37), 'source merged_div_data'!$A:$A, 'source merged_div_data'!F:F) &lt; 1048576,
      ROUND(XLOOKUP(TEXTJOIN("/", TRUE, $A37:$B37), 'source merged_div_data'!$A:$A, 'source merged_div_data'!F:F)/1024, 2) &amp; " KB",
    XLOOKUP(TEXTJOIN("/", TRUE, $A37:$B37), 'source merged_div_data'!$A:$A, 'source merged_div_data'!F:F) &lt; 1073741824,
      ROUND(XLOOKUP(TEXTJOIN("/", TRUE, $A37:$B37), 'source merged_div_data'!$A:$A, 'source merged_div_data'!F:F)/1048576, 2) &amp; " MB",
    TRUE,
      ROUND(XLOOKUP(TEXTJOIN("/", TRUE, $A37:$B37), 'source merged_div_data'!$A:$A, 'source merged_div_data'!F:F)/1073741824, 2) &amp; " GB"
  ),
  "×"
)</f>
        <v>27 B</v>
      </c>
      <c r="G37" s="55" t="s">
        <v>1053</v>
      </c>
      <c r="H37" s="55"/>
      <c r="I37" s="55"/>
      <c r="J37" s="55" t="s">
        <v>478</v>
      </c>
      <c r="K37" s="55" t="s">
        <v>508</v>
      </c>
      <c r="L37" s="55" t="s">
        <v>1066</v>
      </c>
      <c r="M37" s="55" t="s">
        <v>1053</v>
      </c>
      <c r="N37" s="52"/>
      <c r="O37" s="55"/>
      <c r="P37" s="37" t="str">
        <f>IFERROR(__xludf.DUMMYFUNCTION("XLOOKUP(JOIN(""/"",$A37:$B37),'source isilon_divまとめ'!$A:$A,'source isilon_divまとめ'!$D:$D,XLOOKUP(JOIN(""\"",$A37:$B37),'source NetApp-file-sv01-div'!A:A,TEXT('source NetApp-file-sv01-div'!C:C,""yyyy/mm/dd"")))"),"#N/A")</f>
        <v>#N/A</v>
      </c>
    </row>
    <row r="38">
      <c r="A38" s="52" t="s">
        <v>478</v>
      </c>
      <c r="B38" s="52" t="s">
        <v>1142</v>
      </c>
      <c r="C38" s="46" t="s">
        <v>986</v>
      </c>
      <c r="D38" s="53">
        <f>IFERROR(__xludf.DUMMYFUNCTION("XLOOKUP(JOIN(""/"",$A38:$B38),'source merged_div_data'!$A:$A,'source merged_div_data'!B:B)"),2.0)</f>
        <v>2</v>
      </c>
      <c r="E38" s="53">
        <f>IFERROR(__xludf.DUMMYFUNCTION("XLOOKUP(JOIN(""/"",$A38:$B38),'source merged_div_data'!$A:$A,'source merged_div_data'!C:C)"),0.0)</f>
        <v>0</v>
      </c>
      <c r="F38" s="54" t="str">
        <f t="array" ref="F38">IFERROR(
  IFS(
    XLOOKUP(TEXTJOIN("/", TRUE, $A38:$B38), 'source merged_div_data'!$A:$A, 'source merged_div_data'!F:F) &lt; 1024,
      XLOOKUP(TEXTJOIN("/", TRUE, $A38:$B38), 'source merged_div_data'!$A:$A, 'source merged_div_data'!F:F) &amp; " B",
    XLOOKUP(TEXTJOIN("/", TRUE, $A38:$B38), 'source merged_div_data'!$A:$A, 'source merged_div_data'!F:F) &lt; 1048576,
      ROUND(XLOOKUP(TEXTJOIN("/", TRUE, $A38:$B38), 'source merged_div_data'!$A:$A, 'source merged_div_data'!F:F)/1024, 2) &amp; " KB",
    XLOOKUP(TEXTJOIN("/", TRUE, $A38:$B38), 'source merged_div_data'!$A:$A, 'source merged_div_data'!F:F) &lt; 1073741824,
      ROUND(XLOOKUP(TEXTJOIN("/", TRUE, $A38:$B38), 'source merged_div_data'!$A:$A, 'source merged_div_data'!F:F)/1048576, 2) &amp; " MB",
    TRUE,
      ROUND(XLOOKUP(TEXTJOIN("/", TRUE, $A38:$B38), 'source merged_div_data'!$A:$A, 'source merged_div_data'!F:F)/1073741824, 2) &amp; " GB"
  ),
  "×"
)</f>
        <v>27 B</v>
      </c>
      <c r="G38" s="55" t="s">
        <v>1053</v>
      </c>
      <c r="H38" s="55"/>
      <c r="I38" s="55"/>
      <c r="J38" s="55" t="s">
        <v>478</v>
      </c>
      <c r="K38" s="55" t="s">
        <v>1053</v>
      </c>
      <c r="L38" s="55" t="s">
        <v>1066</v>
      </c>
      <c r="M38" s="55" t="s">
        <v>1053</v>
      </c>
      <c r="N38" s="52"/>
      <c r="O38" s="55"/>
      <c r="P38" s="37" t="str">
        <f>IFERROR(__xludf.DUMMYFUNCTION("XLOOKUP(JOIN(""/"",$A38:$B38),'source isilon_divまとめ'!$A:$A,'source isilon_divまとめ'!$D:$D,XLOOKUP(JOIN(""\"",$A38:$B38),'source NetApp-file-sv01-div'!A:A,TEXT('source NetApp-file-sv01-div'!C:C,""yyyy/mm/dd"")))"),"#N/A")</f>
        <v>#N/A</v>
      </c>
    </row>
    <row r="39">
      <c r="A39" s="8" t="s">
        <v>478</v>
      </c>
      <c r="B39" s="8" t="s">
        <v>1143</v>
      </c>
      <c r="C39" s="8" t="s">
        <v>985</v>
      </c>
      <c r="D39" s="56">
        <f>IFERROR(__xludf.DUMMYFUNCTION("XLOOKUP(JOIN(""/"",$A39:$B39),'source merged_div_data'!$A:$A,'source merged_div_data'!B:B)"),19.0)</f>
        <v>19</v>
      </c>
      <c r="E39" s="56">
        <f>IFERROR(__xludf.DUMMYFUNCTION("XLOOKUP(JOIN(""/"",$A39:$B39),'source merged_div_data'!$A:$A,'source merged_div_data'!C:C)"),26.0)</f>
        <v>26</v>
      </c>
      <c r="F39" s="54" t="str">
        <f t="array" ref="F39">IFERROR(
  IFS(
    XLOOKUP(TEXTJOIN("/", TRUE, $A39:$B39), 'source merged_div_data'!$A:$A, 'source merged_div_data'!F:F) &lt; 1024,
      XLOOKUP(TEXTJOIN("/", TRUE, $A39:$B39), 'source merged_div_data'!$A:$A, 'source merged_div_data'!F:F) &amp; " B",
    XLOOKUP(TEXTJOIN("/", TRUE, $A39:$B39), 'source merged_div_data'!$A:$A, 'source merged_div_data'!F:F) &lt; 1048576,
      ROUND(XLOOKUP(TEXTJOIN("/", TRUE, $A39:$B39), 'source merged_div_data'!$A:$A, 'source merged_div_data'!F:F)/1024, 2) &amp; " KB",
    XLOOKUP(TEXTJOIN("/", TRUE, $A39:$B39), 'source merged_div_data'!$A:$A, 'source merged_div_data'!F:F) &lt; 1073741824,
      ROUND(XLOOKUP(TEXTJOIN("/", TRUE, $A39:$B39), 'source merged_div_data'!$A:$A, 'source merged_div_data'!F:F)/1048576, 2) &amp; " MB",
    TRUE,
      ROUND(XLOOKUP(TEXTJOIN("/", TRUE, $A39:$B39), 'source merged_div_data'!$A:$A, 'source merged_div_data'!F:F)/1073741824, 2) &amp; " GB"
  ),
  "×"
)</f>
        <v>2.37 MB</v>
      </c>
      <c r="G39" s="57" t="s">
        <v>2191</v>
      </c>
      <c r="H39" s="58" t="s">
        <v>2177</v>
      </c>
      <c r="I39" s="57"/>
      <c r="J39" s="37" t="s">
        <v>478</v>
      </c>
      <c r="K39" s="37" t="s">
        <v>1053</v>
      </c>
      <c r="L39" s="37" t="s">
        <v>1066</v>
      </c>
      <c r="M39" s="37" t="s">
        <v>1053</v>
      </c>
      <c r="N39" s="8"/>
      <c r="P39" s="57" t="str">
        <f>IFERROR(__xludf.DUMMYFUNCTION("XLOOKUP(JOIN(""/"",$A39:$B39),'source isilon_divまとめ'!$A:$A,'source isilon_divまとめ'!$D:$D,XLOOKUP(JOIN(""\"",$A39:$B39),'source NetApp-file-sv01-div'!A:A,TEXT('source NetApp-file-sv01-div'!C:C,""yyyy/mm/dd"")))"),"2021/05/13")</f>
        <v>2021/05/13</v>
      </c>
    </row>
    <row r="40">
      <c r="A40" s="8" t="s">
        <v>478</v>
      </c>
      <c r="B40" s="8" t="s">
        <v>487</v>
      </c>
      <c r="C40" s="8" t="s">
        <v>985</v>
      </c>
      <c r="D40" s="56">
        <f>IFERROR(__xludf.DUMMYFUNCTION("XLOOKUP(JOIN(""/"",$A40:$B40),'source merged_div_data'!$A:$A,'source merged_div_data'!B:B)"),894.0)</f>
        <v>894</v>
      </c>
      <c r="E40" s="56">
        <f>IFERROR(__xludf.DUMMYFUNCTION("XLOOKUP(JOIN(""/"",$A40:$B40),'source merged_div_data'!$A:$A,'source merged_div_data'!C:C)"),5215.0)</f>
        <v>5215</v>
      </c>
      <c r="F40" s="54" t="str">
        <f t="array" ref="F40">IFERROR(
  IFS(
    XLOOKUP(TEXTJOIN("/", TRUE, $A40:$B40), 'source merged_div_data'!$A:$A, 'source merged_div_data'!F:F) &lt; 1024,
      XLOOKUP(TEXTJOIN("/", TRUE, $A40:$B40), 'source merged_div_data'!$A:$A, 'source merged_div_data'!F:F) &amp; " B",
    XLOOKUP(TEXTJOIN("/", TRUE, $A40:$B40), 'source merged_div_data'!$A:$A, 'source merged_div_data'!F:F) &lt; 1048576,
      ROUND(XLOOKUP(TEXTJOIN("/", TRUE, $A40:$B40), 'source merged_div_data'!$A:$A, 'source merged_div_data'!F:F)/1024, 2) &amp; " KB",
    XLOOKUP(TEXTJOIN("/", TRUE, $A40:$B40), 'source merged_div_data'!$A:$A, 'source merged_div_data'!F:F) &lt; 1073741824,
      ROUND(XLOOKUP(TEXTJOIN("/", TRUE, $A40:$B40), 'source merged_div_data'!$A:$A, 'source merged_div_data'!F:F)/1048576, 2) &amp; " MB",
    TRUE,
      ROUND(XLOOKUP(TEXTJOIN("/", TRUE, $A40:$B40), 'source merged_div_data'!$A:$A, 'source merged_div_data'!F:F)/1073741824, 2) &amp; " GB"
  ),
  "×"
)</f>
        <v>7.18 GB</v>
      </c>
      <c r="G40" s="57" t="s">
        <v>2192</v>
      </c>
      <c r="H40" s="58" t="s">
        <v>2184</v>
      </c>
      <c r="I40" s="57"/>
      <c r="J40" s="37" t="s">
        <v>478</v>
      </c>
      <c r="K40" s="37" t="s">
        <v>487</v>
      </c>
      <c r="L40" s="37" t="s">
        <v>1066</v>
      </c>
      <c r="M40" s="37" t="s">
        <v>1053</v>
      </c>
      <c r="N40" s="8"/>
      <c r="P40" s="57" t="str">
        <f>IFERROR(__xludf.DUMMYFUNCTION("XLOOKUP(JOIN(""/"",$A40:$B40),'source isilon_divまとめ'!$A:$A,'source isilon_divまとめ'!$D:$D,XLOOKUP(JOIN(""\"",$A40:$B40),'source NetApp-file-sv01-div'!A:A,TEXT('source NetApp-file-sv01-div'!C:C,""yyyy/mm/dd"")))"),"2025/07/08")</f>
        <v>2025/07/08</v>
      </c>
    </row>
    <row r="41">
      <c r="A41" s="52" t="s">
        <v>478</v>
      </c>
      <c r="B41" s="52" t="s">
        <v>1144</v>
      </c>
      <c r="C41" s="46" t="s">
        <v>986</v>
      </c>
      <c r="D41" s="53">
        <f>IFERROR(__xludf.DUMMYFUNCTION("XLOOKUP(JOIN(""/"",$A41:$B41),'source merged_div_data'!$A:$A,'source merged_div_data'!B:B)"),6.0)</f>
        <v>6</v>
      </c>
      <c r="E41" s="53">
        <f>IFERROR(__xludf.DUMMYFUNCTION("XLOOKUP(JOIN(""/"",$A41:$B41),'source merged_div_data'!$A:$A,'source merged_div_data'!C:C)"),0.0)</f>
        <v>0</v>
      </c>
      <c r="F41" s="54" t="str">
        <f t="array" ref="F41">IFERROR(
  IFS(
    XLOOKUP(TEXTJOIN("/", TRUE, $A41:$B41), 'source merged_div_data'!$A:$A, 'source merged_div_data'!F:F) &lt; 1024,
      XLOOKUP(TEXTJOIN("/", TRUE, $A41:$B41), 'source merged_div_data'!$A:$A, 'source merged_div_data'!F:F) &amp; " B",
    XLOOKUP(TEXTJOIN("/", TRUE, $A41:$B41), 'source merged_div_data'!$A:$A, 'source merged_div_data'!F:F) &lt; 1048576,
      ROUND(XLOOKUP(TEXTJOIN("/", TRUE, $A41:$B41), 'source merged_div_data'!$A:$A, 'source merged_div_data'!F:F)/1024, 2) &amp; " KB",
    XLOOKUP(TEXTJOIN("/", TRUE, $A41:$B41), 'source merged_div_data'!$A:$A, 'source merged_div_data'!F:F) &lt; 1073741824,
      ROUND(XLOOKUP(TEXTJOIN("/", TRUE, $A41:$B41), 'source merged_div_data'!$A:$A, 'source merged_div_data'!F:F)/1048576, 2) &amp; " MB",
    TRUE,
      ROUND(XLOOKUP(TEXTJOIN("/", TRUE, $A41:$B41), 'source merged_div_data'!$A:$A, 'source merged_div_data'!F:F)/1073741824, 2) &amp; " GB"
  ),
  "×"
)</f>
        <v>153 B</v>
      </c>
      <c r="G41" s="55" t="s">
        <v>1053</v>
      </c>
      <c r="H41" s="55"/>
      <c r="I41" s="55"/>
      <c r="J41" s="55" t="s">
        <v>478</v>
      </c>
      <c r="K41" s="55" t="s">
        <v>1053</v>
      </c>
      <c r="L41" s="55" t="s">
        <v>1066</v>
      </c>
      <c r="M41" s="55" t="s">
        <v>1053</v>
      </c>
      <c r="N41" s="52"/>
      <c r="O41" s="55"/>
      <c r="P41" s="37" t="str">
        <f>IFERROR(__xludf.DUMMYFUNCTION("XLOOKUP(JOIN(""/"",$A41:$B41),'source isilon_divまとめ'!$A:$A,'source isilon_divまとめ'!$D:$D,XLOOKUP(JOIN(""\"",$A41:$B41),'source NetApp-file-sv01-div'!A:A,TEXT('source NetApp-file-sv01-div'!C:C,""yyyy/mm/dd"")))"),"#N/A")</f>
        <v>#N/A</v>
      </c>
    </row>
    <row r="42">
      <c r="A42" s="52" t="s">
        <v>478</v>
      </c>
      <c r="B42" s="52" t="s">
        <v>1145</v>
      </c>
      <c r="C42" s="46" t="s">
        <v>986</v>
      </c>
      <c r="D42" s="53">
        <f>IFERROR(__xludf.DUMMYFUNCTION("XLOOKUP(JOIN(""/"",$A42:$B42),'source merged_div_data'!$A:$A,'source merged_div_data'!B:B)"),2.0)</f>
        <v>2</v>
      </c>
      <c r="E42" s="53">
        <f>IFERROR(__xludf.DUMMYFUNCTION("XLOOKUP(JOIN(""/"",$A42:$B42),'source merged_div_data'!$A:$A,'source merged_div_data'!C:C)"),0.0)</f>
        <v>0</v>
      </c>
      <c r="F42" s="54" t="str">
        <f t="array" ref="F42">IFERROR(
  IFS(
    XLOOKUP(TEXTJOIN("/", TRUE, $A42:$B42), 'source merged_div_data'!$A:$A, 'source merged_div_data'!F:F) &lt; 1024,
      XLOOKUP(TEXTJOIN("/", TRUE, $A42:$B42), 'source merged_div_data'!$A:$A, 'source merged_div_data'!F:F) &amp; " B",
    XLOOKUP(TEXTJOIN("/", TRUE, $A42:$B42), 'source merged_div_data'!$A:$A, 'source merged_div_data'!F:F) &lt; 1048576,
      ROUND(XLOOKUP(TEXTJOIN("/", TRUE, $A42:$B42), 'source merged_div_data'!$A:$A, 'source merged_div_data'!F:F)/1024, 2) &amp; " KB",
    XLOOKUP(TEXTJOIN("/", TRUE, $A42:$B42), 'source merged_div_data'!$A:$A, 'source merged_div_data'!F:F) &lt; 1073741824,
      ROUND(XLOOKUP(TEXTJOIN("/", TRUE, $A42:$B42), 'source merged_div_data'!$A:$A, 'source merged_div_data'!F:F)/1048576, 2) &amp; " MB",
    TRUE,
      ROUND(XLOOKUP(TEXTJOIN("/", TRUE, $A42:$B42), 'source merged_div_data'!$A:$A, 'source merged_div_data'!F:F)/1073741824, 2) &amp; " GB"
  ),
  "×"
)</f>
        <v>27 B</v>
      </c>
      <c r="G42" s="55" t="s">
        <v>1053</v>
      </c>
      <c r="H42" s="55"/>
      <c r="I42" s="55"/>
      <c r="J42" s="55" t="s">
        <v>478</v>
      </c>
      <c r="K42" s="55" t="s">
        <v>1053</v>
      </c>
      <c r="L42" s="55" t="s">
        <v>1066</v>
      </c>
      <c r="M42" s="55" t="s">
        <v>1053</v>
      </c>
      <c r="N42" s="52"/>
      <c r="O42" s="55"/>
      <c r="P42" s="37" t="str">
        <f>IFERROR(__xludf.DUMMYFUNCTION("XLOOKUP(JOIN(""/"",$A42:$B42),'source isilon_divまとめ'!$A:$A,'source isilon_divまとめ'!$D:$D,XLOOKUP(JOIN(""\"",$A42:$B42),'source NetApp-file-sv01-div'!A:A,TEXT('source NetApp-file-sv01-div'!C:C,""yyyy/mm/dd"")))"),"#N/A")</f>
        <v>#N/A</v>
      </c>
    </row>
    <row r="43">
      <c r="A43" s="52" t="s">
        <v>478</v>
      </c>
      <c r="B43" s="52" t="s">
        <v>958</v>
      </c>
      <c r="C43" s="46" t="s">
        <v>986</v>
      </c>
      <c r="D43" s="53">
        <f>IFERROR(__xludf.DUMMYFUNCTION("XLOOKUP(JOIN(""/"",$A43:$B43),'source merged_div_data'!$A:$A,'source merged_div_data'!B:B)"),7.0)</f>
        <v>7</v>
      </c>
      <c r="E43" s="53">
        <f>IFERROR(__xludf.DUMMYFUNCTION("XLOOKUP(JOIN(""/"",$A43:$B43),'source merged_div_data'!$A:$A,'source merged_div_data'!C:C)"),0.0)</f>
        <v>0</v>
      </c>
      <c r="F43" s="54" t="str">
        <f t="array" ref="F43">IFERROR(
  IFS(
    XLOOKUP(TEXTJOIN("/", TRUE, $A43:$B43), 'source merged_div_data'!$A:$A, 'source merged_div_data'!F:F) &lt; 1024,
      XLOOKUP(TEXTJOIN("/", TRUE, $A43:$B43), 'source merged_div_data'!$A:$A, 'source merged_div_data'!F:F) &amp; " B",
    XLOOKUP(TEXTJOIN("/", TRUE, $A43:$B43), 'source merged_div_data'!$A:$A, 'source merged_div_data'!F:F) &lt; 1048576,
      ROUND(XLOOKUP(TEXTJOIN("/", TRUE, $A43:$B43), 'source merged_div_data'!$A:$A, 'source merged_div_data'!F:F)/1024, 2) &amp; " KB",
    XLOOKUP(TEXTJOIN("/", TRUE, $A43:$B43), 'source merged_div_data'!$A:$A, 'source merged_div_data'!F:F) &lt; 1073741824,
      ROUND(XLOOKUP(TEXTJOIN("/", TRUE, $A43:$B43), 'source merged_div_data'!$A:$A, 'source merged_div_data'!F:F)/1048576, 2) &amp; " MB",
    TRUE,
      ROUND(XLOOKUP(TEXTJOIN("/", TRUE, $A43:$B43), 'source merged_div_data'!$A:$A, 'source merged_div_data'!F:F)/1073741824, 2) &amp; " GB"
  ),
  "×"
)</f>
        <v>201 B</v>
      </c>
      <c r="G43" s="55" t="s">
        <v>1053</v>
      </c>
      <c r="H43" s="55"/>
      <c r="I43" s="55"/>
      <c r="J43" s="55" t="s">
        <v>478</v>
      </c>
      <c r="K43" s="55" t="s">
        <v>958</v>
      </c>
      <c r="L43" s="55" t="s">
        <v>1066</v>
      </c>
      <c r="M43" s="55" t="s">
        <v>2193</v>
      </c>
      <c r="N43" s="52"/>
      <c r="O43" s="55"/>
      <c r="P43" s="37" t="str">
        <f>IFERROR(__xludf.DUMMYFUNCTION("XLOOKUP(JOIN(""/"",$A43:$B43),'source isilon_divまとめ'!$A:$A,'source isilon_divまとめ'!$D:$D,XLOOKUP(JOIN(""\"",$A43:$B43),'source NetApp-file-sv01-div'!A:A,TEXT('source NetApp-file-sv01-div'!C:C,""yyyy/mm/dd"")))"),"#N/A")</f>
        <v>#N/A</v>
      </c>
    </row>
    <row r="44">
      <c r="A44" s="8" t="s">
        <v>478</v>
      </c>
      <c r="B44" s="8" t="s">
        <v>1146</v>
      </c>
      <c r="C44" s="8" t="s">
        <v>985</v>
      </c>
      <c r="D44" s="56">
        <f>IFERROR(__xludf.DUMMYFUNCTION("XLOOKUP(JOIN(""/"",$A44:$B44),'source merged_div_data'!$A:$A,'source merged_div_data'!B:B)"),26.0)</f>
        <v>26</v>
      </c>
      <c r="E44" s="56">
        <f>IFERROR(__xludf.DUMMYFUNCTION("XLOOKUP(JOIN(""/"",$A44:$B44),'source merged_div_data'!$A:$A,'source merged_div_data'!C:C)"),30.0)</f>
        <v>30</v>
      </c>
      <c r="F44" s="54" t="str">
        <f t="array" ref="F44">IFERROR(
  IFS(
    XLOOKUP(TEXTJOIN("/", TRUE, $A44:$B44), 'source merged_div_data'!$A:$A, 'source merged_div_data'!F:F) &lt; 1024,
      XLOOKUP(TEXTJOIN("/", TRUE, $A44:$B44), 'source merged_div_data'!$A:$A, 'source merged_div_data'!F:F) &amp; " B",
    XLOOKUP(TEXTJOIN("/", TRUE, $A44:$B44), 'source merged_div_data'!$A:$A, 'source merged_div_data'!F:F) &lt; 1048576,
      ROUND(XLOOKUP(TEXTJOIN("/", TRUE, $A44:$B44), 'source merged_div_data'!$A:$A, 'source merged_div_data'!F:F)/1024, 2) &amp; " KB",
    XLOOKUP(TEXTJOIN("/", TRUE, $A44:$B44), 'source merged_div_data'!$A:$A, 'source merged_div_data'!F:F) &lt; 1073741824,
      ROUND(XLOOKUP(TEXTJOIN("/", TRUE, $A44:$B44), 'source merged_div_data'!$A:$A, 'source merged_div_data'!F:F)/1048576, 2) &amp; " MB",
    TRUE,
      ROUND(XLOOKUP(TEXTJOIN("/", TRUE, $A44:$B44), 'source merged_div_data'!$A:$A, 'source merged_div_data'!F:F)/1073741824, 2) &amp; " GB"
  ),
  "×"
)</f>
        <v>4.98 MB</v>
      </c>
      <c r="G44" s="57" t="s">
        <v>2194</v>
      </c>
      <c r="H44" s="58" t="s">
        <v>2177</v>
      </c>
      <c r="I44" s="57"/>
      <c r="J44" s="37" t="str">
        <f t="array" ref="J44">XLOOKUP(K44,'部署遍歴'!D:D,'部署遍歴'!B:B,"×")</f>
        <v>人事本部</v>
      </c>
      <c r="K44" s="37" t="s">
        <v>487</v>
      </c>
      <c r="L44" s="37" t="s">
        <v>1066</v>
      </c>
      <c r="M44" s="37" t="s">
        <v>1053</v>
      </c>
      <c r="N44" s="8"/>
      <c r="P44" s="57" t="str">
        <f>IFERROR(__xludf.DUMMYFUNCTION("XLOOKUP(JOIN(""/"",$A44:$B44),'source isilon_divまとめ'!$A:$A,'source isilon_divまとめ'!$D:$D,XLOOKUP(JOIN(""\"",$A44:$B44),'source NetApp-file-sv01-div'!A:A,TEXT('source NetApp-file-sv01-div'!C:C,""yyyy/mm/dd"")))"),"2022/09/30")</f>
        <v>2022/09/30</v>
      </c>
    </row>
    <row r="45">
      <c r="A45" s="52" t="s">
        <v>478</v>
      </c>
      <c r="B45" s="52" t="s">
        <v>1147</v>
      </c>
      <c r="C45" s="46" t="s">
        <v>986</v>
      </c>
      <c r="D45" s="53">
        <f>IFERROR(__xludf.DUMMYFUNCTION("XLOOKUP(JOIN(""/"",$A45:$B45),'source merged_div_data'!$A:$A,'source merged_div_data'!B:B)"),2.0)</f>
        <v>2</v>
      </c>
      <c r="E45" s="53">
        <f>IFERROR(__xludf.DUMMYFUNCTION("XLOOKUP(JOIN(""/"",$A45:$B45),'source merged_div_data'!$A:$A,'source merged_div_data'!C:C)"),0.0)</f>
        <v>0</v>
      </c>
      <c r="F45" s="54" t="str">
        <f t="array" ref="F45">IFERROR(
  IFS(
    XLOOKUP(TEXTJOIN("/", TRUE, $A45:$B45), 'source merged_div_data'!$A:$A, 'source merged_div_data'!F:F) &lt; 1024,
      XLOOKUP(TEXTJOIN("/", TRUE, $A45:$B45), 'source merged_div_data'!$A:$A, 'source merged_div_data'!F:F) &amp; " B",
    XLOOKUP(TEXTJOIN("/", TRUE, $A45:$B45), 'source merged_div_data'!$A:$A, 'source merged_div_data'!F:F) &lt; 1048576,
      ROUND(XLOOKUP(TEXTJOIN("/", TRUE, $A45:$B45), 'source merged_div_data'!$A:$A, 'source merged_div_data'!F:F)/1024, 2) &amp; " KB",
    XLOOKUP(TEXTJOIN("/", TRUE, $A45:$B45), 'source merged_div_data'!$A:$A, 'source merged_div_data'!F:F) &lt; 1073741824,
      ROUND(XLOOKUP(TEXTJOIN("/", TRUE, $A45:$B45), 'source merged_div_data'!$A:$A, 'source merged_div_data'!F:F)/1048576, 2) &amp; " MB",
    TRUE,
      ROUND(XLOOKUP(TEXTJOIN("/", TRUE, $A45:$B45), 'source merged_div_data'!$A:$A, 'source merged_div_data'!F:F)/1073741824, 2) &amp; " GB"
  ),
  "×"
)</f>
        <v>27 B</v>
      </c>
      <c r="G45" s="55" t="s">
        <v>1053</v>
      </c>
      <c r="H45" s="55"/>
      <c r="I45" s="55"/>
      <c r="J45" s="55" t="s">
        <v>478</v>
      </c>
      <c r="K45" s="55" t="s">
        <v>1053</v>
      </c>
      <c r="L45" s="55" t="s">
        <v>1066</v>
      </c>
      <c r="M45" s="55" t="s">
        <v>1053</v>
      </c>
      <c r="N45" s="52"/>
      <c r="O45" s="55"/>
      <c r="P45" s="37" t="str">
        <f>IFERROR(__xludf.DUMMYFUNCTION("XLOOKUP(JOIN(""/"",$A45:$B45),'source isilon_divまとめ'!$A:$A,'source isilon_divまとめ'!$D:$D,XLOOKUP(JOIN(""\"",$A45:$B45),'source NetApp-file-sv01-div'!A:A,TEXT('source NetApp-file-sv01-div'!C:C,""yyyy/mm/dd"")))"),"#N/A")</f>
        <v>#N/A</v>
      </c>
    </row>
    <row r="46">
      <c r="A46" s="8" t="s">
        <v>478</v>
      </c>
      <c r="B46" s="8" t="s">
        <v>482</v>
      </c>
      <c r="C46" s="8" t="s">
        <v>985</v>
      </c>
      <c r="D46" s="56">
        <f>IFERROR(__xludf.DUMMYFUNCTION("XLOOKUP(JOIN(""/"",$A46:$B46),'source merged_div_data'!$A:$A,'source merged_div_data'!B:B)"),3705.0)</f>
        <v>3705</v>
      </c>
      <c r="E46" s="56">
        <f>IFERROR(__xludf.DUMMYFUNCTION("XLOOKUP(JOIN(""/"",$A46:$B46),'source merged_div_data'!$A:$A,'source merged_div_data'!C:C)"),6381.0)</f>
        <v>6381</v>
      </c>
      <c r="F46" s="54" t="str">
        <f t="array" ref="F46">IFERROR(
  IFS(
    XLOOKUP(TEXTJOIN("/", TRUE, $A46:$B46), 'source merged_div_data'!$A:$A, 'source merged_div_data'!F:F) &lt; 1024,
      XLOOKUP(TEXTJOIN("/", TRUE, $A46:$B46), 'source merged_div_data'!$A:$A, 'source merged_div_data'!F:F) &amp; " B",
    XLOOKUP(TEXTJOIN("/", TRUE, $A46:$B46), 'source merged_div_data'!$A:$A, 'source merged_div_data'!F:F) &lt; 1048576,
      ROUND(XLOOKUP(TEXTJOIN("/", TRUE, $A46:$B46), 'source merged_div_data'!$A:$A, 'source merged_div_data'!F:F)/1024, 2) &amp; " KB",
    XLOOKUP(TEXTJOIN("/", TRUE, $A46:$B46), 'source merged_div_data'!$A:$A, 'source merged_div_data'!F:F) &lt; 1073741824,
      ROUND(XLOOKUP(TEXTJOIN("/", TRUE, $A46:$B46), 'source merged_div_data'!$A:$A, 'source merged_div_data'!F:F)/1048576, 2) &amp; " MB",
    TRUE,
      ROUND(XLOOKUP(TEXTJOIN("/", TRUE, $A46:$B46), 'source merged_div_data'!$A:$A, 'source merged_div_data'!F:F)/1073741824, 2) &amp; " GB"
  ),
  "×"
)</f>
        <v>12.84 GB</v>
      </c>
      <c r="G46" s="57" t="s">
        <v>2195</v>
      </c>
      <c r="H46" s="58" t="s">
        <v>2184</v>
      </c>
      <c r="I46" s="57"/>
      <c r="J46" s="37" t="s">
        <v>478</v>
      </c>
      <c r="K46" s="37" t="s">
        <v>482</v>
      </c>
      <c r="L46" s="37" t="s">
        <v>1066</v>
      </c>
      <c r="M46" s="37" t="s">
        <v>2104</v>
      </c>
      <c r="N46" s="8"/>
      <c r="P46" s="57" t="str">
        <f>IFERROR(__xludf.DUMMYFUNCTION("XLOOKUP(JOIN(""/"",$A46:$B46),'source isilon_divまとめ'!$A:$A,'source isilon_divまとめ'!$D:$D,XLOOKUP(JOIN(""\"",$A46:$B46),'source NetApp-file-sv01-div'!A:A,TEXT('source NetApp-file-sv01-div'!C:C,""yyyy/mm/dd"")))"),"2025/06/18")</f>
        <v>2025/06/18</v>
      </c>
    </row>
    <row r="47">
      <c r="A47" s="8" t="s">
        <v>478</v>
      </c>
      <c r="B47" s="8" t="s">
        <v>491</v>
      </c>
      <c r="C47" s="8" t="s">
        <v>985</v>
      </c>
      <c r="D47" s="56">
        <f>IFERROR(__xludf.DUMMYFUNCTION("XLOOKUP(JOIN(""/"",$A47:$B47),'source merged_div_data'!$A:$A,'source merged_div_data'!B:B)"),3512.0)</f>
        <v>3512</v>
      </c>
      <c r="E47" s="56">
        <f>IFERROR(__xludf.DUMMYFUNCTION("XLOOKUP(JOIN(""/"",$A47:$B47),'source merged_div_data'!$A:$A,'source merged_div_data'!C:C)"),10523.0)</f>
        <v>10523</v>
      </c>
      <c r="F47" s="54" t="str">
        <f t="array" ref="F47">IFERROR(
  IFS(
    XLOOKUP(TEXTJOIN("/", TRUE, $A47:$B47), 'source merged_div_data'!$A:$A, 'source merged_div_data'!F:F) &lt; 1024,
      XLOOKUP(TEXTJOIN("/", TRUE, $A47:$B47), 'source merged_div_data'!$A:$A, 'source merged_div_data'!F:F) &amp; " B",
    XLOOKUP(TEXTJOIN("/", TRUE, $A47:$B47), 'source merged_div_data'!$A:$A, 'source merged_div_data'!F:F) &lt; 1048576,
      ROUND(XLOOKUP(TEXTJOIN("/", TRUE, $A47:$B47), 'source merged_div_data'!$A:$A, 'source merged_div_data'!F:F)/1024, 2) &amp; " KB",
    XLOOKUP(TEXTJOIN("/", TRUE, $A47:$B47), 'source merged_div_data'!$A:$A, 'source merged_div_data'!F:F) &lt; 1073741824,
      ROUND(XLOOKUP(TEXTJOIN("/", TRUE, $A47:$B47), 'source merged_div_data'!$A:$A, 'source merged_div_data'!F:F)/1048576, 2) &amp; " MB",
    TRUE,
      ROUND(XLOOKUP(TEXTJOIN("/", TRUE, $A47:$B47), 'source merged_div_data'!$A:$A, 'source merged_div_data'!F:F)/1073741824, 2) &amp; " GB"
  ),
  "×"
)</f>
        <v>1.66 GB</v>
      </c>
      <c r="G47" s="57" t="s">
        <v>2192</v>
      </c>
      <c r="H47" s="58" t="s">
        <v>2184</v>
      </c>
      <c r="I47" s="57"/>
      <c r="J47" s="37" t="s">
        <v>478</v>
      </c>
      <c r="K47" s="37" t="s">
        <v>491</v>
      </c>
      <c r="L47" s="37" t="s">
        <v>1066</v>
      </c>
      <c r="M47" s="37" t="s">
        <v>1523</v>
      </c>
      <c r="N47" s="8"/>
      <c r="P47" s="57" t="str">
        <f>IFERROR(__xludf.DUMMYFUNCTION("XLOOKUP(JOIN(""/"",$A47:$B47),'source isilon_divまとめ'!$A:$A,'source isilon_divまとめ'!$D:$D,XLOOKUP(JOIN(""\"",$A47:$B47),'source NetApp-file-sv01-div'!A:A,TEXT('source NetApp-file-sv01-div'!C:C,""yyyy/mm/dd"")))"),"2025/07/08")</f>
        <v>2025/07/08</v>
      </c>
    </row>
    <row r="48">
      <c r="A48" s="52" t="s">
        <v>478</v>
      </c>
      <c r="B48" s="52" t="s">
        <v>953</v>
      </c>
      <c r="C48" s="46" t="s">
        <v>986</v>
      </c>
      <c r="D48" s="53">
        <f>IFERROR(__xludf.DUMMYFUNCTION("XLOOKUP(JOIN(""/"",$A48:$B48),'source merged_div_data'!$A:$A,'source merged_div_data'!B:B)"),11.0)</f>
        <v>11</v>
      </c>
      <c r="E48" s="53">
        <f>IFERROR(__xludf.DUMMYFUNCTION("XLOOKUP(JOIN(""/"",$A48:$B48),'source merged_div_data'!$A:$A,'source merged_div_data'!C:C)"),0.0)</f>
        <v>0</v>
      </c>
      <c r="F48" s="54" t="str">
        <f t="array" ref="F48">IFERROR(
  IFS(
    XLOOKUP(TEXTJOIN("/", TRUE, $A48:$B48), 'source merged_div_data'!$A:$A, 'source merged_div_data'!F:F) &lt; 1024,
      XLOOKUP(TEXTJOIN("/", TRUE, $A48:$B48), 'source merged_div_data'!$A:$A, 'source merged_div_data'!F:F) &amp; " B",
    XLOOKUP(TEXTJOIN("/", TRUE, $A48:$B48), 'source merged_div_data'!$A:$A, 'source merged_div_data'!F:F) &lt; 1048576,
      ROUND(XLOOKUP(TEXTJOIN("/", TRUE, $A48:$B48), 'source merged_div_data'!$A:$A, 'source merged_div_data'!F:F)/1024, 2) &amp; " KB",
    XLOOKUP(TEXTJOIN("/", TRUE, $A48:$B48), 'source merged_div_data'!$A:$A, 'source merged_div_data'!F:F) &lt; 1073741824,
      ROUND(XLOOKUP(TEXTJOIN("/", TRUE, $A48:$B48), 'source merged_div_data'!$A:$A, 'source merged_div_data'!F:F)/1048576, 2) &amp; " MB",
    TRUE,
      ROUND(XLOOKUP(TEXTJOIN("/", TRUE, $A48:$B48), 'source merged_div_data'!$A:$A, 'source merged_div_data'!F:F)/1073741824, 2) &amp; " GB"
  ),
  "×"
)</f>
        <v>338 B</v>
      </c>
      <c r="G48" s="55" t="s">
        <v>1053</v>
      </c>
      <c r="H48" s="55"/>
      <c r="I48" s="55"/>
      <c r="J48" s="55" t="s">
        <v>478</v>
      </c>
      <c r="K48" s="55" t="s">
        <v>953</v>
      </c>
      <c r="L48" s="55" t="s">
        <v>1066</v>
      </c>
      <c r="M48" s="55" t="s">
        <v>1053</v>
      </c>
      <c r="N48" s="52"/>
      <c r="O48" s="55"/>
      <c r="P48" s="37" t="str">
        <f>IFERROR(__xludf.DUMMYFUNCTION("XLOOKUP(JOIN(""/"",$A48:$B48),'source isilon_divまとめ'!$A:$A,'source isilon_divまとめ'!$D:$D,XLOOKUP(JOIN(""\"",$A48:$B48),'source NetApp-file-sv01-div'!A:A,TEXT('source NetApp-file-sv01-div'!C:C,""yyyy/mm/dd"")))"),"#N/A")</f>
        <v>#N/A</v>
      </c>
    </row>
    <row r="49">
      <c r="A49" s="8" t="s">
        <v>478</v>
      </c>
      <c r="B49" s="8" t="s">
        <v>1111</v>
      </c>
      <c r="C49" s="8" t="s">
        <v>985</v>
      </c>
      <c r="D49" s="56">
        <f>IFERROR(__xludf.DUMMYFUNCTION("XLOOKUP(JOIN(""/"",$A49:$B49),'source merged_div_data'!$A:$A,'source merged_div_data'!B:B)"),220.0)</f>
        <v>220</v>
      </c>
      <c r="E49" s="56">
        <f>IFERROR(__xludf.DUMMYFUNCTION("XLOOKUP(JOIN(""/"",$A49:$B49),'source merged_div_data'!$A:$A,'source merged_div_data'!C:C)"),1083.0)</f>
        <v>1083</v>
      </c>
      <c r="F49" s="54" t="str">
        <f t="array" ref="F49">IFERROR(
  IFS(
    XLOOKUP(TEXTJOIN("/", TRUE, $A49:$B49), 'source merged_div_data'!$A:$A, 'source merged_div_data'!F:F) &lt; 1024,
      XLOOKUP(TEXTJOIN("/", TRUE, $A49:$B49), 'source merged_div_data'!$A:$A, 'source merged_div_data'!F:F) &amp; " B",
    XLOOKUP(TEXTJOIN("/", TRUE, $A49:$B49), 'source merged_div_data'!$A:$A, 'source merged_div_data'!F:F) &lt; 1048576,
      ROUND(XLOOKUP(TEXTJOIN("/", TRUE, $A49:$B49), 'source merged_div_data'!$A:$A, 'source merged_div_data'!F:F)/1024, 2) &amp; " KB",
    XLOOKUP(TEXTJOIN("/", TRUE, $A49:$B49), 'source merged_div_data'!$A:$A, 'source merged_div_data'!F:F) &lt; 1073741824,
      ROUND(XLOOKUP(TEXTJOIN("/", TRUE, $A49:$B49), 'source merged_div_data'!$A:$A, 'source merged_div_data'!F:F)/1048576, 2) &amp; " MB",
    TRUE,
      ROUND(XLOOKUP(TEXTJOIN("/", TRUE, $A49:$B49), 'source merged_div_data'!$A:$A, 'source merged_div_data'!F:F)/1073741824, 2) &amp; " GB"
  ),
  "×"
)</f>
        <v>479.34 MB</v>
      </c>
      <c r="G49" s="57" t="s">
        <v>2196</v>
      </c>
      <c r="H49" s="58" t="s">
        <v>2184</v>
      </c>
      <c r="I49" s="57"/>
      <c r="J49" s="37" t="s">
        <v>478</v>
      </c>
      <c r="K49" s="37" t="s">
        <v>1053</v>
      </c>
      <c r="L49" s="37" t="s">
        <v>1066</v>
      </c>
      <c r="M49" s="37" t="s">
        <v>1053</v>
      </c>
      <c r="N49" s="8"/>
      <c r="P49" s="57" t="str">
        <f>IFERROR(__xludf.DUMMYFUNCTION("XLOOKUP(JOIN(""/"",$A49:$B49),'source isilon_divまとめ'!$A:$A,'source isilon_divまとめ'!$D:$D,XLOOKUP(JOIN(""\"",$A49:$B49),'source NetApp-file-sv01-div'!A:A,TEXT('source NetApp-file-sv01-div'!C:C,""yyyy/mm/dd"")))"),"2025/07/03")</f>
        <v>2025/07/03</v>
      </c>
    </row>
    <row r="50">
      <c r="A50" s="8" t="s">
        <v>478</v>
      </c>
      <c r="B50" s="8" t="s">
        <v>1065</v>
      </c>
      <c r="C50" s="8" t="s">
        <v>985</v>
      </c>
      <c r="D50" s="56">
        <f>IFERROR(__xludf.DUMMYFUNCTION("XLOOKUP(JOIN(""/"",$A50:$B50),'source merged_div_data'!$A:$A,'source merged_div_data'!B:B)"),2477.0)</f>
        <v>2477</v>
      </c>
      <c r="E50" s="56">
        <f>IFERROR(__xludf.DUMMYFUNCTION("XLOOKUP(JOIN(""/"",$A50:$B50),'source merged_div_data'!$A:$A,'source merged_div_data'!C:C)"),15890.0)</f>
        <v>15890</v>
      </c>
      <c r="F50" s="54" t="str">
        <f t="array" ref="F50">IFERROR(
  IFS(
    XLOOKUP(TEXTJOIN("/", TRUE, $A50:$B50), 'source merged_div_data'!$A:$A, 'source merged_div_data'!F:F) &lt; 1024,
      XLOOKUP(TEXTJOIN("/", TRUE, $A50:$B50), 'source merged_div_data'!$A:$A, 'source merged_div_data'!F:F) &amp; " B",
    XLOOKUP(TEXTJOIN("/", TRUE, $A50:$B50), 'source merged_div_data'!$A:$A, 'source merged_div_data'!F:F) &lt; 1048576,
      ROUND(XLOOKUP(TEXTJOIN("/", TRUE, $A50:$B50), 'source merged_div_data'!$A:$A, 'source merged_div_data'!F:F)/1024, 2) &amp; " KB",
    XLOOKUP(TEXTJOIN("/", TRUE, $A50:$B50), 'source merged_div_data'!$A:$A, 'source merged_div_data'!F:F) &lt; 1073741824,
      ROUND(XLOOKUP(TEXTJOIN("/", TRUE, $A50:$B50), 'source merged_div_data'!$A:$A, 'source merged_div_data'!F:F)/1048576, 2) &amp; " MB",
    TRUE,
      ROUND(XLOOKUP(TEXTJOIN("/", TRUE, $A50:$B50), 'source merged_div_data'!$A:$A, 'source merged_div_data'!F:F)/1073741824, 2) &amp; " GB"
  ),
  "×"
)</f>
        <v>20.07 GB</v>
      </c>
      <c r="G50" s="57" t="s">
        <v>2197</v>
      </c>
      <c r="H50" s="58" t="s">
        <v>2177</v>
      </c>
      <c r="I50" s="57"/>
      <c r="J50" s="37" t="s">
        <v>478</v>
      </c>
      <c r="K50" s="37" t="s">
        <v>1053</v>
      </c>
      <c r="L50" s="37" t="s">
        <v>1066</v>
      </c>
      <c r="M50" s="37" t="s">
        <v>1053</v>
      </c>
      <c r="N50" s="8"/>
      <c r="P50" s="57" t="str">
        <f>IFERROR(__xludf.DUMMYFUNCTION("XLOOKUP(JOIN(""/"",$A50:$B50),'source isilon_divまとめ'!$A:$A,'source isilon_divまとめ'!$D:$D,XLOOKUP(JOIN(""\"",$A50:$B50),'source NetApp-file-sv01-div'!A:A,TEXT('source NetApp-file-sv01-div'!C:C,""yyyy/mm/dd"")))"),"2020/03/11")</f>
        <v>2020/03/11</v>
      </c>
    </row>
    <row r="51">
      <c r="A51" s="52" t="s">
        <v>478</v>
      </c>
      <c r="B51" s="52" t="s">
        <v>1072</v>
      </c>
      <c r="C51" s="46" t="s">
        <v>986</v>
      </c>
      <c r="D51" s="53">
        <f>IFERROR(__xludf.DUMMYFUNCTION("XLOOKUP(JOIN(""/"",$A51:$B51),'source merged_div_data'!$A:$A,'source merged_div_data'!B:B)"),2.0)</f>
        <v>2</v>
      </c>
      <c r="E51" s="53">
        <f>IFERROR(__xludf.DUMMYFUNCTION("XLOOKUP(JOIN(""/"",$A51:$B51),'source merged_div_data'!$A:$A,'source merged_div_data'!C:C)"),0.0)</f>
        <v>0</v>
      </c>
      <c r="F51" s="54" t="str">
        <f t="array" ref="F51">IFERROR(
  IFS(
    XLOOKUP(TEXTJOIN("/", TRUE, $A51:$B51), 'source merged_div_data'!$A:$A, 'source merged_div_data'!F:F) &lt; 1024,
      XLOOKUP(TEXTJOIN("/", TRUE, $A51:$B51), 'source merged_div_data'!$A:$A, 'source merged_div_data'!F:F) &amp; " B",
    XLOOKUP(TEXTJOIN("/", TRUE, $A51:$B51), 'source merged_div_data'!$A:$A, 'source merged_div_data'!F:F) &lt; 1048576,
      ROUND(XLOOKUP(TEXTJOIN("/", TRUE, $A51:$B51), 'source merged_div_data'!$A:$A, 'source merged_div_data'!F:F)/1024, 2) &amp; " KB",
    XLOOKUP(TEXTJOIN("/", TRUE, $A51:$B51), 'source merged_div_data'!$A:$A, 'source merged_div_data'!F:F) &lt; 1073741824,
      ROUND(XLOOKUP(TEXTJOIN("/", TRUE, $A51:$B51), 'source merged_div_data'!$A:$A, 'source merged_div_data'!F:F)/1048576, 2) &amp; " MB",
    TRUE,
      ROUND(XLOOKUP(TEXTJOIN("/", TRUE, $A51:$B51), 'source merged_div_data'!$A:$A, 'source merged_div_data'!F:F)/1073741824, 2) &amp; " GB"
  ),
  "×"
)</f>
        <v>27 B</v>
      </c>
      <c r="G51" s="55" t="s">
        <v>1053</v>
      </c>
      <c r="H51" s="55"/>
      <c r="I51" s="55"/>
      <c r="J51" s="55" t="s">
        <v>478</v>
      </c>
      <c r="K51" s="55" t="s">
        <v>1053</v>
      </c>
      <c r="L51" s="55" t="s">
        <v>1066</v>
      </c>
      <c r="M51" s="55" t="s">
        <v>1053</v>
      </c>
      <c r="N51" s="52"/>
      <c r="O51" s="55"/>
      <c r="P51" s="37" t="str">
        <f>IFERROR(__xludf.DUMMYFUNCTION("XLOOKUP(JOIN(""/"",$A51:$B51),'source isilon_divまとめ'!$A:$A,'source isilon_divまとめ'!$D:$D,XLOOKUP(JOIN(""\"",$A51:$B51),'source NetApp-file-sv01-div'!A:A,TEXT('source NetApp-file-sv01-div'!C:C,""yyyy/mm/dd"")))"),"#N/A")</f>
        <v>#N/A</v>
      </c>
    </row>
    <row r="52">
      <c r="A52" s="52" t="s">
        <v>478</v>
      </c>
      <c r="B52" s="52" t="s">
        <v>479</v>
      </c>
      <c r="C52" s="46" t="s">
        <v>986</v>
      </c>
      <c r="D52" s="53">
        <f>IFERROR(__xludf.DUMMYFUNCTION("XLOOKUP(JOIN(""/"",$A52:$B52),'source merged_div_data'!$A:$A,'source merged_div_data'!B:B)"),4.0)</f>
        <v>4</v>
      </c>
      <c r="E52" s="53">
        <f>IFERROR(__xludf.DUMMYFUNCTION("XLOOKUP(JOIN(""/"",$A52:$B52),'source merged_div_data'!$A:$A,'source merged_div_data'!C:C)"),0.0)</f>
        <v>0</v>
      </c>
      <c r="F52" s="54" t="str">
        <f t="array" ref="F52">IFERROR(
  IFS(
    XLOOKUP(TEXTJOIN("/", TRUE, $A52:$B52), 'source merged_div_data'!$A:$A, 'source merged_div_data'!F:F) &lt; 1024,
      XLOOKUP(TEXTJOIN("/", TRUE, $A52:$B52), 'source merged_div_data'!$A:$A, 'source merged_div_data'!F:F) &amp; " B",
    XLOOKUP(TEXTJOIN("/", TRUE, $A52:$B52), 'source merged_div_data'!$A:$A, 'source merged_div_data'!F:F) &lt; 1048576,
      ROUND(XLOOKUP(TEXTJOIN("/", TRUE, $A52:$B52), 'source merged_div_data'!$A:$A, 'source merged_div_data'!F:F)/1024, 2) &amp; " KB",
    XLOOKUP(TEXTJOIN("/", TRUE, $A52:$B52), 'source merged_div_data'!$A:$A, 'source merged_div_data'!F:F) &lt; 1073741824,
      ROUND(XLOOKUP(TEXTJOIN("/", TRUE, $A52:$B52), 'source merged_div_data'!$A:$A, 'source merged_div_data'!F:F)/1048576, 2) &amp; " MB",
    TRUE,
      ROUND(XLOOKUP(TEXTJOIN("/", TRUE, $A52:$B52), 'source merged_div_data'!$A:$A, 'source merged_div_data'!F:F)/1073741824, 2) &amp; " GB"
  ),
  "×"
)</f>
        <v>91 B</v>
      </c>
      <c r="G52" s="55" t="s">
        <v>1053</v>
      </c>
      <c r="H52" s="55"/>
      <c r="I52" s="55"/>
      <c r="J52" s="55" t="s">
        <v>478</v>
      </c>
      <c r="K52" s="55" t="s">
        <v>479</v>
      </c>
      <c r="L52" s="55" t="s">
        <v>1066</v>
      </c>
      <c r="M52" s="55" t="s">
        <v>1525</v>
      </c>
      <c r="N52" s="52"/>
      <c r="O52" s="55"/>
      <c r="P52" s="37" t="str">
        <f>IFERROR(__xludf.DUMMYFUNCTION("XLOOKUP(JOIN(""/"",$A52:$B52),'source isilon_divまとめ'!$A:$A,'source isilon_divまとめ'!$D:$D,XLOOKUP(JOIN(""\"",$A52:$B52),'source NetApp-file-sv01-div'!A:A,TEXT('source NetApp-file-sv01-div'!C:C,""yyyy/mm/dd"")))"),"#N/A")</f>
        <v>#N/A</v>
      </c>
    </row>
    <row r="53">
      <c r="A53" s="59" t="s">
        <v>603</v>
      </c>
      <c r="B53" s="59" t="s">
        <v>97</v>
      </c>
      <c r="C53" s="59" t="s">
        <v>985</v>
      </c>
      <c r="D53" s="60">
        <f>IFERROR(__xludf.DUMMYFUNCTION("XLOOKUP(JOIN(""/"",$A53:$B53),'source merged_div_data'!$A:$A,'source merged_div_data'!B:B)"),14.0)</f>
        <v>14</v>
      </c>
      <c r="E53" s="60">
        <f>IFERROR(__xludf.DUMMYFUNCTION("XLOOKUP(JOIN(""/"",$A53:$B53),'source merged_div_data'!$A:$A,'source merged_div_data'!C:C)"),24.0)</f>
        <v>24</v>
      </c>
      <c r="F53" s="54" t="str">
        <f t="array" ref="F53">IFERROR(
  IFS(
    XLOOKUP(TEXTJOIN("/", TRUE, $A53:$B53), 'source merged_div_data'!$A:$A, 'source merged_div_data'!F:F) &lt; 1024,
      XLOOKUP(TEXTJOIN("/", TRUE, $A53:$B53), 'source merged_div_data'!$A:$A, 'source merged_div_data'!F:F) &amp; " B",
    XLOOKUP(TEXTJOIN("/", TRUE, $A53:$B53), 'source merged_div_data'!$A:$A, 'source merged_div_data'!F:F) &lt; 1048576,
      ROUND(XLOOKUP(TEXTJOIN("/", TRUE, $A53:$B53), 'source merged_div_data'!$A:$A, 'source merged_div_data'!F:F)/1024, 2) &amp; " KB",
    XLOOKUP(TEXTJOIN("/", TRUE, $A53:$B53), 'source merged_div_data'!$A:$A, 'source merged_div_data'!F:F) &lt; 1073741824,
      ROUND(XLOOKUP(TEXTJOIN("/", TRUE, $A53:$B53), 'source merged_div_data'!$A:$A, 'source merged_div_data'!F:F)/1048576, 2) &amp; " MB",
    TRUE,
      ROUND(XLOOKUP(TEXTJOIN("/", TRUE, $A53:$B53), 'source merged_div_data'!$A:$A, 'source merged_div_data'!F:F)/1073741824, 2) &amp; " GB"
  ),
  "×"
)</f>
        <v>4.77 MB</v>
      </c>
      <c r="G53" s="37" t="s">
        <v>1053</v>
      </c>
      <c r="H53" s="7" t="s">
        <v>2177</v>
      </c>
      <c r="I53" s="37"/>
      <c r="J53" s="37" t="s">
        <v>603</v>
      </c>
      <c r="K53" s="37" t="s">
        <v>97</v>
      </c>
      <c r="L53" s="37" t="s">
        <v>2107</v>
      </c>
      <c r="M53" s="37" t="s">
        <v>1053</v>
      </c>
      <c r="N53" s="8"/>
      <c r="P53" s="37" t="str">
        <f>IFERROR(__xludf.DUMMYFUNCTION("XLOOKUP(JOIN(""/"",$A53:$B53),'source isilon_divまとめ'!$A:$A,'source isilon_divまとめ'!$D:$D,XLOOKUP(JOIN(""\"",$A53:$B53),'source NetApp-file-sv01-div'!A:A,TEXT('source NetApp-file-sv01-div'!C:C,""yyyy/mm/dd"")))"),"#N/A")</f>
        <v>#N/A</v>
      </c>
    </row>
    <row r="54">
      <c r="A54" s="52" t="s">
        <v>603</v>
      </c>
      <c r="B54" s="52" t="s">
        <v>1111</v>
      </c>
      <c r="C54" s="46" t="s">
        <v>986</v>
      </c>
      <c r="D54" s="53">
        <f>IFERROR(__xludf.DUMMYFUNCTION("XLOOKUP(JOIN(""/"",$A54:$B54),'source merged_div_data'!$A:$A,'source merged_div_data'!B:B)"),1.0)</f>
        <v>1</v>
      </c>
      <c r="E54" s="53">
        <f>IFERROR(__xludf.DUMMYFUNCTION("XLOOKUP(JOIN(""/"",$A54:$B54),'source merged_div_data'!$A:$A,'source merged_div_data'!C:C)"),0.0)</f>
        <v>0</v>
      </c>
      <c r="F54" s="54" t="str">
        <f t="array" ref="F54">IFERROR(
  IFS(
    XLOOKUP(TEXTJOIN("/", TRUE, $A54:$B54), 'source merged_div_data'!$A:$A, 'source merged_div_data'!F:F) &lt; 1024,
      XLOOKUP(TEXTJOIN("/", TRUE, $A54:$B54), 'source merged_div_data'!$A:$A, 'source merged_div_data'!F:F) &amp; " B",
    XLOOKUP(TEXTJOIN("/", TRUE, $A54:$B54), 'source merged_div_data'!$A:$A, 'source merged_div_data'!F:F) &lt; 1048576,
      ROUND(XLOOKUP(TEXTJOIN("/", TRUE, $A54:$B54), 'source merged_div_data'!$A:$A, 'source merged_div_data'!F:F)/1024, 2) &amp; " KB",
    XLOOKUP(TEXTJOIN("/", TRUE, $A54:$B54), 'source merged_div_data'!$A:$A, 'source merged_div_data'!F:F) &lt; 1073741824,
      ROUND(XLOOKUP(TEXTJOIN("/", TRUE, $A54:$B54), 'source merged_div_data'!$A:$A, 'source merged_div_data'!F:F)/1048576, 2) &amp; " MB",
    TRUE,
      ROUND(XLOOKUP(TEXTJOIN("/", TRUE, $A54:$B54), 'source merged_div_data'!$A:$A, 'source merged_div_data'!F:F)/1073741824, 2) &amp; " GB"
  ),
  "×"
)</f>
        <v>0 B</v>
      </c>
      <c r="G54" s="55" t="s">
        <v>1053</v>
      </c>
      <c r="H54" s="55"/>
      <c r="I54" s="55"/>
      <c r="J54" s="55" t="s">
        <v>603</v>
      </c>
      <c r="K54" s="55" t="s">
        <v>1053</v>
      </c>
      <c r="L54" s="55" t="s">
        <v>2107</v>
      </c>
      <c r="M54" s="55" t="s">
        <v>1053</v>
      </c>
      <c r="N54" s="52"/>
      <c r="O54" s="55"/>
      <c r="P54" s="37" t="str">
        <f>IFERROR(__xludf.DUMMYFUNCTION("XLOOKUP(JOIN(""/"",$A54:$B54),'source isilon_divまとめ'!$A:$A,'source isilon_divまとめ'!$D:$D,XLOOKUP(JOIN(""\"",$A54:$B54),'source NetApp-file-sv01-div'!A:A,TEXT('source NetApp-file-sv01-div'!C:C,""yyyy/mm/dd"")))"),"#N/A")</f>
        <v>#N/A</v>
      </c>
    </row>
    <row r="55">
      <c r="A55" s="52" t="s">
        <v>603</v>
      </c>
      <c r="B55" s="52" t="s">
        <v>90</v>
      </c>
      <c r="C55" s="46" t="s">
        <v>986</v>
      </c>
      <c r="D55" s="53">
        <f>IFERROR(__xludf.DUMMYFUNCTION("XLOOKUP(JOIN(""/"",$A55:$B55),'source merged_div_data'!$A:$A,'source merged_div_data'!B:B)"),11.0)</f>
        <v>11</v>
      </c>
      <c r="E55" s="53">
        <f>IFERROR(__xludf.DUMMYFUNCTION("XLOOKUP(JOIN(""/"",$A55:$B55),'source merged_div_data'!$A:$A,'source merged_div_data'!C:C)"),0.0)</f>
        <v>0</v>
      </c>
      <c r="F55" s="54" t="str">
        <f t="array" ref="F55">IFERROR(
  IFS(
    XLOOKUP(TEXTJOIN("/", TRUE, $A55:$B55), 'source merged_div_data'!$A:$A, 'source merged_div_data'!F:F) &lt; 1024,
      XLOOKUP(TEXTJOIN("/", TRUE, $A55:$B55), 'source merged_div_data'!$A:$A, 'source merged_div_data'!F:F) &amp; " B",
    XLOOKUP(TEXTJOIN("/", TRUE, $A55:$B55), 'source merged_div_data'!$A:$A, 'source merged_div_data'!F:F) &lt; 1048576,
      ROUND(XLOOKUP(TEXTJOIN("/", TRUE, $A55:$B55), 'source merged_div_data'!$A:$A, 'source merged_div_data'!F:F)/1024, 2) &amp; " KB",
    XLOOKUP(TEXTJOIN("/", TRUE, $A55:$B55), 'source merged_div_data'!$A:$A, 'source merged_div_data'!F:F) &lt; 1073741824,
      ROUND(XLOOKUP(TEXTJOIN("/", TRUE, $A55:$B55), 'source merged_div_data'!$A:$A, 'source merged_div_data'!F:F)/1048576, 2) &amp; " MB",
    TRUE,
      ROUND(XLOOKUP(TEXTJOIN("/", TRUE, $A55:$B55), 'source merged_div_data'!$A:$A, 'source merged_div_data'!F:F)/1073741824, 2) &amp; " GB"
  ),
  "×"
)</f>
        <v>323 B</v>
      </c>
      <c r="G55" s="55" t="s">
        <v>1053</v>
      </c>
      <c r="H55" s="55"/>
      <c r="I55" s="55"/>
      <c r="J55" s="55" t="s">
        <v>603</v>
      </c>
      <c r="K55" s="55" t="s">
        <v>90</v>
      </c>
      <c r="L55" s="55" t="s">
        <v>2107</v>
      </c>
      <c r="M55" s="55" t="s">
        <v>1479</v>
      </c>
      <c r="N55" s="52"/>
      <c r="O55" s="55"/>
      <c r="P55" s="37" t="str">
        <f>IFERROR(__xludf.DUMMYFUNCTION("XLOOKUP(JOIN(""/"",$A55:$B55),'source isilon_divまとめ'!$A:$A,'source isilon_divまとめ'!$D:$D,XLOOKUP(JOIN(""\"",$A55:$B55),'source NetApp-file-sv01-div'!A:A,TEXT('source NetApp-file-sv01-div'!C:C,""yyyy/mm/dd"")))"),"#N/A")</f>
        <v>#N/A</v>
      </c>
    </row>
    <row r="56">
      <c r="A56" s="52" t="s">
        <v>587</v>
      </c>
      <c r="B56" s="52" t="s">
        <v>81</v>
      </c>
      <c r="C56" s="46" t="s">
        <v>986</v>
      </c>
      <c r="D56" s="53">
        <f>IFERROR(__xludf.DUMMYFUNCTION("XLOOKUP(JOIN(""/"",$A56:$B56),'source merged_div_data'!$A:$A,'source merged_div_data'!B:B)"),2.0)</f>
        <v>2</v>
      </c>
      <c r="E56" s="53">
        <f>IFERROR(__xludf.DUMMYFUNCTION("XLOOKUP(JOIN(""/"",$A56:$B56),'source merged_div_data'!$A:$A,'source merged_div_data'!C:C)"),0.0)</f>
        <v>0</v>
      </c>
      <c r="F56" s="54" t="str">
        <f t="array" ref="F56">IFERROR(
  IFS(
    XLOOKUP(TEXTJOIN("/", TRUE, $A56:$B56), 'source merged_div_data'!$A:$A, 'source merged_div_data'!F:F) &lt; 1024,
      XLOOKUP(TEXTJOIN("/", TRUE, $A56:$B56), 'source merged_div_data'!$A:$A, 'source merged_div_data'!F:F) &amp; " B",
    XLOOKUP(TEXTJOIN("/", TRUE, $A56:$B56), 'source merged_div_data'!$A:$A, 'source merged_div_data'!F:F) &lt; 1048576,
      ROUND(XLOOKUP(TEXTJOIN("/", TRUE, $A56:$B56), 'source merged_div_data'!$A:$A, 'source merged_div_data'!F:F)/1024, 2) &amp; " KB",
    XLOOKUP(TEXTJOIN("/", TRUE, $A56:$B56), 'source merged_div_data'!$A:$A, 'source merged_div_data'!F:F) &lt; 1073741824,
      ROUND(XLOOKUP(TEXTJOIN("/", TRUE, $A56:$B56), 'source merged_div_data'!$A:$A, 'source merged_div_data'!F:F)/1048576, 2) &amp; " MB",
    TRUE,
      ROUND(XLOOKUP(TEXTJOIN("/", TRUE, $A56:$B56), 'source merged_div_data'!$A:$A, 'source merged_div_data'!F:F)/1073741824, 2) &amp; " GB"
  ),
  "×"
)</f>
        <v>27 B</v>
      </c>
      <c r="G56" s="55" t="s">
        <v>1053</v>
      </c>
      <c r="H56" s="55"/>
      <c r="I56" s="55"/>
      <c r="J56" s="55" t="s">
        <v>587</v>
      </c>
      <c r="K56" s="55" t="s">
        <v>81</v>
      </c>
      <c r="L56" s="55" t="s">
        <v>2198</v>
      </c>
      <c r="M56" s="55" t="s">
        <v>2199</v>
      </c>
      <c r="N56" s="52"/>
      <c r="O56" s="55"/>
      <c r="P56" s="37" t="str">
        <f>IFERROR(__xludf.DUMMYFUNCTION("XLOOKUP(JOIN(""/"",$A56:$B56),'source isilon_divまとめ'!$A:$A,'source isilon_divまとめ'!$D:$D,XLOOKUP(JOIN(""\"",$A56:$B56),'source NetApp-file-sv01-div'!A:A,TEXT('source NetApp-file-sv01-div'!C:C,""yyyy/mm/dd"")))"),"#N/A")</f>
        <v>#N/A</v>
      </c>
    </row>
    <row r="57">
      <c r="A57" s="52" t="s">
        <v>587</v>
      </c>
      <c r="B57" s="52" t="s">
        <v>1148</v>
      </c>
      <c r="C57" s="46" t="s">
        <v>986</v>
      </c>
      <c r="D57" s="53">
        <f>IFERROR(__xludf.DUMMYFUNCTION("XLOOKUP(JOIN(""/"",$A57:$B57),'source merged_div_data'!$A:$A,'source merged_div_data'!B:B)"),8.0)</f>
        <v>8</v>
      </c>
      <c r="E57" s="53">
        <f>IFERROR(__xludf.DUMMYFUNCTION("XLOOKUP(JOIN(""/"",$A57:$B57),'source merged_div_data'!$A:$A,'source merged_div_data'!C:C)"),0.0)</f>
        <v>0</v>
      </c>
      <c r="F57" s="54" t="str">
        <f t="array" ref="F57">IFERROR(
  IFS(
    XLOOKUP(TEXTJOIN("/", TRUE, $A57:$B57), 'source merged_div_data'!$A:$A, 'source merged_div_data'!F:F) &lt; 1024,
      XLOOKUP(TEXTJOIN("/", TRUE, $A57:$B57), 'source merged_div_data'!$A:$A, 'source merged_div_data'!F:F) &amp; " B",
    XLOOKUP(TEXTJOIN("/", TRUE, $A57:$B57), 'source merged_div_data'!$A:$A, 'source merged_div_data'!F:F) &lt; 1048576,
      ROUND(XLOOKUP(TEXTJOIN("/", TRUE, $A57:$B57), 'source merged_div_data'!$A:$A, 'source merged_div_data'!F:F)/1024, 2) &amp; " KB",
    XLOOKUP(TEXTJOIN("/", TRUE, $A57:$B57), 'source merged_div_data'!$A:$A, 'source merged_div_data'!F:F) &lt; 1073741824,
      ROUND(XLOOKUP(TEXTJOIN("/", TRUE, $A57:$B57), 'source merged_div_data'!$A:$A, 'source merged_div_data'!F:F)/1048576, 2) &amp; " MB",
    TRUE,
      ROUND(XLOOKUP(TEXTJOIN("/", TRUE, $A57:$B57), 'source merged_div_data'!$A:$A, 'source merged_div_data'!F:F)/1073741824, 2) &amp; " GB"
  ),
  "×"
)</f>
        <v>224 B</v>
      </c>
      <c r="G57" s="55" t="s">
        <v>1053</v>
      </c>
      <c r="H57" s="55"/>
      <c r="I57" s="55"/>
      <c r="J57" s="55" t="s">
        <v>587</v>
      </c>
      <c r="K57" s="55" t="s">
        <v>1053</v>
      </c>
      <c r="L57" s="55" t="s">
        <v>2198</v>
      </c>
      <c r="M57" s="55" t="s">
        <v>1053</v>
      </c>
      <c r="N57" s="52"/>
      <c r="O57" s="55"/>
      <c r="P57" s="37" t="str">
        <f>IFERROR(__xludf.DUMMYFUNCTION("XLOOKUP(JOIN(""/"",$A57:$B57),'source isilon_divまとめ'!$A:$A,'source isilon_divまとめ'!$D:$D,XLOOKUP(JOIN(""\"",$A57:$B57),'source NetApp-file-sv01-div'!A:A,TEXT('source NetApp-file-sv01-div'!C:C,""yyyy/mm/dd"")))"),"#N/A")</f>
        <v>#N/A</v>
      </c>
    </row>
    <row r="58">
      <c r="A58" s="52" t="s">
        <v>587</v>
      </c>
      <c r="B58" s="52" t="s">
        <v>1111</v>
      </c>
      <c r="C58" s="46" t="s">
        <v>986</v>
      </c>
      <c r="D58" s="53">
        <f>IFERROR(__xludf.DUMMYFUNCTION("XLOOKUP(JOIN(""/"",$A58:$B58),'source merged_div_data'!$A:$A,'source merged_div_data'!B:B)"),1.0)</f>
        <v>1</v>
      </c>
      <c r="E58" s="53">
        <f>IFERROR(__xludf.DUMMYFUNCTION("XLOOKUP(JOIN(""/"",$A58:$B58),'source merged_div_data'!$A:$A,'source merged_div_data'!C:C)"),0.0)</f>
        <v>0</v>
      </c>
      <c r="F58" s="54" t="str">
        <f t="array" ref="F58">IFERROR(
  IFS(
    XLOOKUP(TEXTJOIN("/", TRUE, $A58:$B58), 'source merged_div_data'!$A:$A, 'source merged_div_data'!F:F) &lt; 1024,
      XLOOKUP(TEXTJOIN("/", TRUE, $A58:$B58), 'source merged_div_data'!$A:$A, 'source merged_div_data'!F:F) &amp; " B",
    XLOOKUP(TEXTJOIN("/", TRUE, $A58:$B58), 'source merged_div_data'!$A:$A, 'source merged_div_data'!F:F) &lt; 1048576,
      ROUND(XLOOKUP(TEXTJOIN("/", TRUE, $A58:$B58), 'source merged_div_data'!$A:$A, 'source merged_div_data'!F:F)/1024, 2) &amp; " KB",
    XLOOKUP(TEXTJOIN("/", TRUE, $A58:$B58), 'source merged_div_data'!$A:$A, 'source merged_div_data'!F:F) &lt; 1073741824,
      ROUND(XLOOKUP(TEXTJOIN("/", TRUE, $A58:$B58), 'source merged_div_data'!$A:$A, 'source merged_div_data'!F:F)/1048576, 2) &amp; " MB",
    TRUE,
      ROUND(XLOOKUP(TEXTJOIN("/", TRUE, $A58:$B58), 'source merged_div_data'!$A:$A, 'source merged_div_data'!F:F)/1073741824, 2) &amp; " GB"
  ),
  "×"
)</f>
        <v>0 B</v>
      </c>
      <c r="G58" s="55" t="s">
        <v>1053</v>
      </c>
      <c r="H58" s="55"/>
      <c r="I58" s="55"/>
      <c r="J58" s="55" t="s">
        <v>587</v>
      </c>
      <c r="K58" s="55" t="s">
        <v>1053</v>
      </c>
      <c r="L58" s="55" t="s">
        <v>2198</v>
      </c>
      <c r="M58" s="55" t="s">
        <v>1053</v>
      </c>
      <c r="N58" s="52"/>
      <c r="O58" s="55"/>
      <c r="P58" s="37" t="str">
        <f>IFERROR(__xludf.DUMMYFUNCTION("XLOOKUP(JOIN(""/"",$A58:$B58),'source isilon_divまとめ'!$A:$A,'source isilon_divまとめ'!$D:$D,XLOOKUP(JOIN(""\"",$A58:$B58),'source NetApp-file-sv01-div'!A:A,TEXT('source NetApp-file-sv01-div'!C:C,""yyyy/mm/dd"")))"),"#N/A")</f>
        <v>#N/A</v>
      </c>
    </row>
    <row r="59">
      <c r="A59" s="52" t="s">
        <v>587</v>
      </c>
      <c r="B59" s="52" t="s">
        <v>74</v>
      </c>
      <c r="C59" s="46" t="s">
        <v>986</v>
      </c>
      <c r="D59" s="53">
        <f>IFERROR(__xludf.DUMMYFUNCTION("XLOOKUP(JOIN(""/"",$A59:$B59),'source merged_div_data'!$A:$A,'source merged_div_data'!B:B)"),30.0)</f>
        <v>30</v>
      </c>
      <c r="E59" s="53">
        <f>IFERROR(__xludf.DUMMYFUNCTION("XLOOKUP(JOIN(""/"",$A59:$B59),'source merged_div_data'!$A:$A,'source merged_div_data'!C:C)"),0.0)</f>
        <v>0</v>
      </c>
      <c r="F59" s="54" t="str">
        <f t="array" ref="F59">IFERROR(
  IFS(
    XLOOKUP(TEXTJOIN("/", TRUE, $A59:$B59), 'source merged_div_data'!$A:$A, 'source merged_div_data'!F:F) &lt; 1024,
      XLOOKUP(TEXTJOIN("/", TRUE, $A59:$B59), 'source merged_div_data'!$A:$A, 'source merged_div_data'!F:F) &amp; " B",
    XLOOKUP(TEXTJOIN("/", TRUE, $A59:$B59), 'source merged_div_data'!$A:$A, 'source merged_div_data'!F:F) &lt; 1048576,
      ROUND(XLOOKUP(TEXTJOIN("/", TRUE, $A59:$B59), 'source merged_div_data'!$A:$A, 'source merged_div_data'!F:F)/1024, 2) &amp; " KB",
    XLOOKUP(TEXTJOIN("/", TRUE, $A59:$B59), 'source merged_div_data'!$A:$A, 'source merged_div_data'!F:F) &lt; 1073741824,
      ROUND(XLOOKUP(TEXTJOIN("/", TRUE, $A59:$B59), 'source merged_div_data'!$A:$A, 'source merged_div_data'!F:F)/1048576, 2) &amp; " MB",
    TRUE,
      ROUND(XLOOKUP(TEXTJOIN("/", TRUE, $A59:$B59), 'source merged_div_data'!$A:$A, 'source merged_div_data'!F:F)/1073741824, 2) &amp; " GB"
  ),
  "×"
)</f>
        <v>1011 B</v>
      </c>
      <c r="G59" s="55" t="s">
        <v>1053</v>
      </c>
      <c r="H59" s="55"/>
      <c r="I59" s="55"/>
      <c r="J59" s="55" t="s">
        <v>587</v>
      </c>
      <c r="K59" s="55" t="s">
        <v>74</v>
      </c>
      <c r="L59" s="55" t="s">
        <v>2198</v>
      </c>
      <c r="M59" s="55" t="s">
        <v>1053</v>
      </c>
      <c r="N59" s="52"/>
      <c r="O59" s="55"/>
      <c r="P59" s="37" t="str">
        <f>IFERROR(__xludf.DUMMYFUNCTION("XLOOKUP(JOIN(""/"",$A59:$B59),'source isilon_divまとめ'!$A:$A,'source isilon_divまとめ'!$D:$D,XLOOKUP(JOIN(""\"",$A59:$B59),'source NetApp-file-sv01-div'!A:A,TEXT('source NetApp-file-sv01-div'!C:C,""yyyy/mm/dd"")))"),"#N/A")</f>
        <v>#N/A</v>
      </c>
    </row>
    <row r="60">
      <c r="A60" s="52" t="s">
        <v>587</v>
      </c>
      <c r="B60" s="52" t="s">
        <v>72</v>
      </c>
      <c r="C60" s="46" t="s">
        <v>986</v>
      </c>
      <c r="D60" s="53">
        <f>IFERROR(__xludf.DUMMYFUNCTION("XLOOKUP(JOIN(""/"",$A60:$B60),'source merged_div_data'!$A:$A,'source merged_div_data'!B:B)"),9.0)</f>
        <v>9</v>
      </c>
      <c r="E60" s="53">
        <f>IFERROR(__xludf.DUMMYFUNCTION("XLOOKUP(JOIN(""/"",$A60:$B60),'source merged_div_data'!$A:$A,'source merged_div_data'!C:C)"),0.0)</f>
        <v>0</v>
      </c>
      <c r="F60" s="54" t="str">
        <f t="array" ref="F60">IFERROR(
  IFS(
    XLOOKUP(TEXTJOIN("/", TRUE, $A60:$B60), 'source merged_div_data'!$A:$A, 'source merged_div_data'!F:F) &lt; 1024,
      XLOOKUP(TEXTJOIN("/", TRUE, $A60:$B60), 'source merged_div_data'!$A:$A, 'source merged_div_data'!F:F) &amp; " B",
    XLOOKUP(TEXTJOIN("/", TRUE, $A60:$B60), 'source merged_div_data'!$A:$A, 'source merged_div_data'!F:F) &lt; 1048576,
      ROUND(XLOOKUP(TEXTJOIN("/", TRUE, $A60:$B60), 'source merged_div_data'!$A:$A, 'source merged_div_data'!F:F)/1024, 2) &amp; " KB",
    XLOOKUP(TEXTJOIN("/", TRUE, $A60:$B60), 'source merged_div_data'!$A:$A, 'source merged_div_data'!F:F) &lt; 1073741824,
      ROUND(XLOOKUP(TEXTJOIN("/", TRUE, $A60:$B60), 'source merged_div_data'!$A:$A, 'source merged_div_data'!F:F)/1048576, 2) &amp; " MB",
    TRUE,
      ROUND(XLOOKUP(TEXTJOIN("/", TRUE, $A60:$B60), 'source merged_div_data'!$A:$A, 'source merged_div_data'!F:F)/1073741824, 2) &amp; " GB"
  ),
  "×"
)</f>
        <v>274 B</v>
      </c>
      <c r="G60" s="55" t="s">
        <v>1053</v>
      </c>
      <c r="H60" s="55"/>
      <c r="I60" s="55"/>
      <c r="J60" s="55" t="s">
        <v>587</v>
      </c>
      <c r="K60" s="55" t="s">
        <v>72</v>
      </c>
      <c r="L60" s="55" t="s">
        <v>2198</v>
      </c>
      <c r="M60" s="55" t="s">
        <v>2200</v>
      </c>
      <c r="N60" s="52"/>
      <c r="O60" s="55"/>
      <c r="P60" s="37" t="str">
        <f>IFERROR(__xludf.DUMMYFUNCTION("XLOOKUP(JOIN(""/"",$A60:$B60),'source isilon_divまとめ'!$A:$A,'source isilon_divまとめ'!$D:$D,XLOOKUP(JOIN(""\"",$A60:$B60),'source NetApp-file-sv01-div'!A:A,TEXT('source NetApp-file-sv01-div'!C:C,""yyyy/mm/dd"")))"),"#N/A")</f>
        <v>#N/A</v>
      </c>
    </row>
    <row r="61">
      <c r="A61" s="8" t="s">
        <v>432</v>
      </c>
      <c r="B61" s="8" t="s">
        <v>1104</v>
      </c>
      <c r="C61" s="8" t="s">
        <v>985</v>
      </c>
      <c r="D61" s="56">
        <f>IFERROR(__xludf.DUMMYFUNCTION("XLOOKUP(JOIN(""/"",$A61:$B61),'source merged_div_data'!$A:$A,'source merged_div_data'!B:B)"),228.0)</f>
        <v>228</v>
      </c>
      <c r="E61" s="56">
        <f>IFERROR(__xludf.DUMMYFUNCTION("XLOOKUP(JOIN(""/"",$A61:$B61),'source merged_div_data'!$A:$A,'source merged_div_data'!C:C)"),1811.0)</f>
        <v>1811</v>
      </c>
      <c r="F61" s="54" t="str">
        <f t="array" ref="F61">IFERROR(
  IFS(
    XLOOKUP(TEXTJOIN("/", TRUE, $A61:$B61), 'source merged_div_data'!$A:$A, 'source merged_div_data'!F:F) &lt; 1024,
      XLOOKUP(TEXTJOIN("/", TRUE, $A61:$B61), 'source merged_div_data'!$A:$A, 'source merged_div_data'!F:F) &amp; " B",
    XLOOKUP(TEXTJOIN("/", TRUE, $A61:$B61), 'source merged_div_data'!$A:$A, 'source merged_div_data'!F:F) &lt; 1048576,
      ROUND(XLOOKUP(TEXTJOIN("/", TRUE, $A61:$B61), 'source merged_div_data'!$A:$A, 'source merged_div_data'!F:F)/1024, 2) &amp; " KB",
    XLOOKUP(TEXTJOIN("/", TRUE, $A61:$B61), 'source merged_div_data'!$A:$A, 'source merged_div_data'!F:F) &lt; 1073741824,
      ROUND(XLOOKUP(TEXTJOIN("/", TRUE, $A61:$B61), 'source merged_div_data'!$A:$A, 'source merged_div_data'!F:F)/1048576, 2) &amp; " MB",
    TRUE,
      ROUND(XLOOKUP(TEXTJOIN("/", TRUE, $A61:$B61), 'source merged_div_data'!$A:$A, 'source merged_div_data'!F:F)/1073741824, 2) &amp; " GB"
  ),
  "×"
)</f>
        <v>1.44 GB</v>
      </c>
      <c r="G61" s="57" t="s">
        <v>2201</v>
      </c>
      <c r="H61" s="58" t="s">
        <v>2177</v>
      </c>
      <c r="I61" s="57"/>
      <c r="J61" s="37" t="s">
        <v>429</v>
      </c>
      <c r="K61" s="37" t="s">
        <v>432</v>
      </c>
      <c r="L61" s="37" t="s">
        <v>2096</v>
      </c>
      <c r="M61" s="37" t="s">
        <v>2109</v>
      </c>
      <c r="N61" s="8"/>
      <c r="P61" s="57" t="str">
        <f>IFERROR(__xludf.DUMMYFUNCTION("XLOOKUP(JOIN(""/"",$A61:$B61),'source isilon_divまとめ'!$A:$A,'source isilon_divまとめ'!$D:$D,XLOOKUP(JOIN(""\"",$A61:$B61),'source NetApp-file-sv01-div'!A:A,TEXT('source NetApp-file-sv01-div'!C:C,""yyyy/mm/dd"")))"),"2013/09/12")</f>
        <v>2013/09/12</v>
      </c>
    </row>
    <row r="62">
      <c r="A62" s="52" t="s">
        <v>1149</v>
      </c>
      <c r="B62" s="52" t="s">
        <v>1150</v>
      </c>
      <c r="C62" s="46" t="s">
        <v>988</v>
      </c>
      <c r="D62" s="53">
        <f>IFERROR(__xludf.DUMMYFUNCTION("XLOOKUP(JOIN(""/"",$A62:$B62),'source merged_div_data'!$A:$A,'source merged_div_data'!B:B)"),14.0)</f>
        <v>14</v>
      </c>
      <c r="E62" s="53">
        <f>IFERROR(__xludf.DUMMYFUNCTION("XLOOKUP(JOIN(""/"",$A62:$B62),'source merged_div_data'!$A:$A,'source merged_div_data'!C:C)"),0.0)</f>
        <v>0</v>
      </c>
      <c r="F62" s="54" t="str">
        <f t="array" ref="F62">IFERROR(
  IFS(
    XLOOKUP(TEXTJOIN("/", TRUE, $A62:$B62), 'source merged_div_data'!$A:$A, 'source merged_div_data'!F:F) &lt; 1024,
      XLOOKUP(TEXTJOIN("/", TRUE, $A62:$B62), 'source merged_div_data'!$A:$A, 'source merged_div_data'!F:F) &amp; " B",
    XLOOKUP(TEXTJOIN("/", TRUE, $A62:$B62), 'source merged_div_data'!$A:$A, 'source merged_div_data'!F:F) &lt; 1048576,
      ROUND(XLOOKUP(TEXTJOIN("/", TRUE, $A62:$B62), 'source merged_div_data'!$A:$A, 'source merged_div_data'!F:F)/1024, 2) &amp; " KB",
    XLOOKUP(TEXTJOIN("/", TRUE, $A62:$B62), 'source merged_div_data'!$A:$A, 'source merged_div_data'!F:F) &lt; 1073741824,
      ROUND(XLOOKUP(TEXTJOIN("/", TRUE, $A62:$B62), 'source merged_div_data'!$A:$A, 'source merged_div_data'!F:F)/1048576, 2) &amp; " MB",
    TRUE,
      ROUND(XLOOKUP(TEXTJOIN("/", TRUE, $A62:$B62), 'source merged_div_data'!$A:$A, 'source merged_div_data'!F:F)/1073741824, 2) &amp; " GB"
  ),
  "×"
)</f>
        <v>509 B</v>
      </c>
      <c r="G62" s="55" t="s">
        <v>1053</v>
      </c>
      <c r="H62" s="55"/>
      <c r="I62" s="55"/>
      <c r="J62" s="46" t="s">
        <v>1058</v>
      </c>
      <c r="K62" s="55"/>
      <c r="L62" s="55" t="s">
        <v>1053</v>
      </c>
      <c r="M62" s="55" t="s">
        <v>1053</v>
      </c>
      <c r="N62" s="52" t="s">
        <v>1102</v>
      </c>
      <c r="O62" s="46" t="s">
        <v>1058</v>
      </c>
      <c r="P62" s="37" t="str">
        <f>IFERROR(__xludf.DUMMYFUNCTION("XLOOKUP(JOIN(""/"",$A62:$B62),'source isilon_divまとめ'!$A:$A,'source isilon_divまとめ'!$D:$D,XLOOKUP(JOIN(""\"",$A62:$B62),'source NetApp-file-sv01-div'!A:A,TEXT('source NetApp-file-sv01-div'!C:C,""yyyy/mm/dd"")))"),"#N/A")</f>
        <v>#N/A</v>
      </c>
    </row>
    <row r="63">
      <c r="A63" s="52" t="s">
        <v>1149</v>
      </c>
      <c r="B63" s="52" t="s">
        <v>1151</v>
      </c>
      <c r="C63" s="46" t="s">
        <v>988</v>
      </c>
      <c r="D63" s="53">
        <f>IFERROR(__xludf.DUMMYFUNCTION("XLOOKUP(JOIN(""/"",$A63:$B63),'source merged_div_data'!$A:$A,'source merged_div_data'!B:B)"),6.0)</f>
        <v>6</v>
      </c>
      <c r="E63" s="53">
        <f>IFERROR(__xludf.DUMMYFUNCTION("XLOOKUP(JOIN(""/"",$A63:$B63),'source merged_div_data'!$A:$A,'source merged_div_data'!C:C)"),0.0)</f>
        <v>0</v>
      </c>
      <c r="F63" s="54" t="str">
        <f t="array" ref="F63">IFERROR(
  IFS(
    XLOOKUP(TEXTJOIN("/", TRUE, $A63:$B63), 'source merged_div_data'!$A:$A, 'source merged_div_data'!F:F) &lt; 1024,
      XLOOKUP(TEXTJOIN("/", TRUE, $A63:$B63), 'source merged_div_data'!$A:$A, 'source merged_div_data'!F:F) &amp; " B",
    XLOOKUP(TEXTJOIN("/", TRUE, $A63:$B63), 'source merged_div_data'!$A:$A, 'source merged_div_data'!F:F) &lt; 1048576,
      ROUND(XLOOKUP(TEXTJOIN("/", TRUE, $A63:$B63), 'source merged_div_data'!$A:$A, 'source merged_div_data'!F:F)/1024, 2) &amp; " KB",
    XLOOKUP(TEXTJOIN("/", TRUE, $A63:$B63), 'source merged_div_data'!$A:$A, 'source merged_div_data'!F:F) &lt; 1073741824,
      ROUND(XLOOKUP(TEXTJOIN("/", TRUE, $A63:$B63), 'source merged_div_data'!$A:$A, 'source merged_div_data'!F:F)/1048576, 2) &amp; " MB",
    TRUE,
      ROUND(XLOOKUP(TEXTJOIN("/", TRUE, $A63:$B63), 'source merged_div_data'!$A:$A, 'source merged_div_data'!F:F)/1073741824, 2) &amp; " GB"
  ),
  "×"
)</f>
        <v>185 B</v>
      </c>
      <c r="G63" s="55" t="s">
        <v>1053</v>
      </c>
      <c r="H63" s="55"/>
      <c r="I63" s="55"/>
      <c r="J63" s="46" t="s">
        <v>1058</v>
      </c>
      <c r="K63" s="55"/>
      <c r="L63" s="55" t="s">
        <v>1053</v>
      </c>
      <c r="M63" s="55" t="s">
        <v>1053</v>
      </c>
      <c r="N63" s="52" t="s">
        <v>1102</v>
      </c>
      <c r="O63" s="46" t="s">
        <v>1058</v>
      </c>
      <c r="P63" s="37" t="str">
        <f>IFERROR(__xludf.DUMMYFUNCTION("XLOOKUP(JOIN(""/"",$A63:$B63),'source isilon_divまとめ'!$A:$A,'source isilon_divまとめ'!$D:$D,XLOOKUP(JOIN(""\"",$A63:$B63),'source NetApp-file-sv01-div'!A:A,TEXT('source NetApp-file-sv01-div'!C:C,""yyyy/mm/dd"")))"),"#N/A")</f>
        <v>#N/A</v>
      </c>
    </row>
    <row r="64">
      <c r="A64" s="52" t="s">
        <v>1149</v>
      </c>
      <c r="B64" s="52" t="s">
        <v>1152</v>
      </c>
      <c r="C64" s="46" t="s">
        <v>988</v>
      </c>
      <c r="D64" s="53">
        <f>IFERROR(__xludf.DUMMYFUNCTION("XLOOKUP(JOIN(""/"",$A64:$B64),'source merged_div_data'!$A:$A,'source merged_div_data'!B:B)"),16.0)</f>
        <v>16</v>
      </c>
      <c r="E64" s="53">
        <f>IFERROR(__xludf.DUMMYFUNCTION("XLOOKUP(JOIN(""/"",$A64:$B64),'source merged_div_data'!$A:$A,'source merged_div_data'!C:C)"),0.0)</f>
        <v>0</v>
      </c>
      <c r="F64" s="54" t="str">
        <f t="array" ref="F64">IFERROR(
  IFS(
    XLOOKUP(TEXTJOIN("/", TRUE, $A64:$B64), 'source merged_div_data'!$A:$A, 'source merged_div_data'!F:F) &lt; 1024,
      XLOOKUP(TEXTJOIN("/", TRUE, $A64:$B64), 'source merged_div_data'!$A:$A, 'source merged_div_data'!F:F) &amp; " B",
    XLOOKUP(TEXTJOIN("/", TRUE, $A64:$B64), 'source merged_div_data'!$A:$A, 'source merged_div_data'!F:F) &lt; 1048576,
      ROUND(XLOOKUP(TEXTJOIN("/", TRUE, $A64:$B64), 'source merged_div_data'!$A:$A, 'source merged_div_data'!F:F)/1024, 2) &amp; " KB",
    XLOOKUP(TEXTJOIN("/", TRUE, $A64:$B64), 'source merged_div_data'!$A:$A, 'source merged_div_data'!F:F) &lt; 1073741824,
      ROUND(XLOOKUP(TEXTJOIN("/", TRUE, $A64:$B64), 'source merged_div_data'!$A:$A, 'source merged_div_data'!F:F)/1048576, 2) &amp; " MB",
    TRUE,
      ROUND(XLOOKUP(TEXTJOIN("/", TRUE, $A64:$B64), 'source merged_div_data'!$A:$A, 'source merged_div_data'!F:F)/1073741824, 2) &amp; " GB"
  ),
  "×"
)</f>
        <v>673 B</v>
      </c>
      <c r="G64" s="55" t="s">
        <v>1053</v>
      </c>
      <c r="H64" s="55"/>
      <c r="I64" s="55"/>
      <c r="J64" s="46" t="s">
        <v>1058</v>
      </c>
      <c r="K64" s="55"/>
      <c r="L64" s="55" t="s">
        <v>1053</v>
      </c>
      <c r="M64" s="55" t="s">
        <v>1053</v>
      </c>
      <c r="N64" s="52" t="s">
        <v>1102</v>
      </c>
      <c r="O64" s="46" t="s">
        <v>1058</v>
      </c>
      <c r="P64" s="37" t="str">
        <f>IFERROR(__xludf.DUMMYFUNCTION("XLOOKUP(JOIN(""/"",$A64:$B64),'source isilon_divまとめ'!$A:$A,'source isilon_divまとめ'!$D:$D,XLOOKUP(JOIN(""\"",$A64:$B64),'source NetApp-file-sv01-div'!A:A,TEXT('source NetApp-file-sv01-div'!C:C,""yyyy/mm/dd"")))"),"#N/A")</f>
        <v>#N/A</v>
      </c>
    </row>
    <row r="65">
      <c r="A65" s="52" t="s">
        <v>1149</v>
      </c>
      <c r="B65" s="52" t="s">
        <v>1153</v>
      </c>
      <c r="C65" s="46" t="s">
        <v>988</v>
      </c>
      <c r="D65" s="53">
        <f>IFERROR(__xludf.DUMMYFUNCTION("XLOOKUP(JOIN(""/"",$A65:$B65),'source merged_div_data'!$A:$A,'source merged_div_data'!B:B)"),5.0)</f>
        <v>5</v>
      </c>
      <c r="E65" s="53">
        <f>IFERROR(__xludf.DUMMYFUNCTION("XLOOKUP(JOIN(""/"",$A65:$B65),'source merged_div_data'!$A:$A,'source merged_div_data'!C:C)"),0.0)</f>
        <v>0</v>
      </c>
      <c r="F65" s="54" t="str">
        <f t="array" ref="F65">IFERROR(
  IFS(
    XLOOKUP(TEXTJOIN("/", TRUE, $A65:$B65), 'source merged_div_data'!$A:$A, 'source merged_div_data'!F:F) &lt; 1024,
      XLOOKUP(TEXTJOIN("/", TRUE, $A65:$B65), 'source merged_div_data'!$A:$A, 'source merged_div_data'!F:F) &amp; " B",
    XLOOKUP(TEXTJOIN("/", TRUE, $A65:$B65), 'source merged_div_data'!$A:$A, 'source merged_div_data'!F:F) &lt; 1048576,
      ROUND(XLOOKUP(TEXTJOIN("/", TRUE, $A65:$B65), 'source merged_div_data'!$A:$A, 'source merged_div_data'!F:F)/1024, 2) &amp; " KB",
    XLOOKUP(TEXTJOIN("/", TRUE, $A65:$B65), 'source merged_div_data'!$A:$A, 'source merged_div_data'!F:F) &lt; 1073741824,
      ROUND(XLOOKUP(TEXTJOIN("/", TRUE, $A65:$B65), 'source merged_div_data'!$A:$A, 'source merged_div_data'!F:F)/1048576, 2) &amp; " MB",
    TRUE,
      ROUND(XLOOKUP(TEXTJOIN("/", TRUE, $A65:$B65), 'source merged_div_data'!$A:$A, 'source merged_div_data'!F:F)/1073741824, 2) &amp; " GB"
  ),
  "×"
)</f>
        <v>111 B</v>
      </c>
      <c r="G65" s="55" t="s">
        <v>1053</v>
      </c>
      <c r="H65" s="55"/>
      <c r="I65" s="55"/>
      <c r="J65" s="46" t="s">
        <v>1058</v>
      </c>
      <c r="K65" s="55"/>
      <c r="L65" s="55" t="s">
        <v>1053</v>
      </c>
      <c r="M65" s="55" t="s">
        <v>1053</v>
      </c>
      <c r="N65" s="52" t="s">
        <v>1102</v>
      </c>
      <c r="O65" s="46" t="s">
        <v>1058</v>
      </c>
      <c r="P65" s="37" t="str">
        <f>IFERROR(__xludf.DUMMYFUNCTION("XLOOKUP(JOIN(""/"",$A65:$B65),'source isilon_divまとめ'!$A:$A,'source isilon_divまとめ'!$D:$D,XLOOKUP(JOIN(""\"",$A65:$B65),'source NetApp-file-sv01-div'!A:A,TEXT('source NetApp-file-sv01-div'!C:C,""yyyy/mm/dd"")))"),"#N/A")</f>
        <v>#N/A</v>
      </c>
    </row>
    <row r="66">
      <c r="A66" s="52" t="s">
        <v>1149</v>
      </c>
      <c r="B66" s="52" t="s">
        <v>1111</v>
      </c>
      <c r="C66" s="46" t="s">
        <v>988</v>
      </c>
      <c r="D66" s="53">
        <f>IFERROR(__xludf.DUMMYFUNCTION("XLOOKUP(JOIN(""/"",$A66:$B66),'source merged_div_data'!$A:$A,'source merged_div_data'!B:B)"),1.0)</f>
        <v>1</v>
      </c>
      <c r="E66" s="53">
        <f>IFERROR(__xludf.DUMMYFUNCTION("XLOOKUP(JOIN(""/"",$A66:$B66),'source merged_div_data'!$A:$A,'source merged_div_data'!C:C)"),0.0)</f>
        <v>0</v>
      </c>
      <c r="F66" s="54" t="str">
        <f t="array" ref="F66">IFERROR(
  IFS(
    XLOOKUP(TEXTJOIN("/", TRUE, $A66:$B66), 'source merged_div_data'!$A:$A, 'source merged_div_data'!F:F) &lt; 1024,
      XLOOKUP(TEXTJOIN("/", TRUE, $A66:$B66), 'source merged_div_data'!$A:$A, 'source merged_div_data'!F:F) &amp; " B",
    XLOOKUP(TEXTJOIN("/", TRUE, $A66:$B66), 'source merged_div_data'!$A:$A, 'source merged_div_data'!F:F) &lt; 1048576,
      ROUND(XLOOKUP(TEXTJOIN("/", TRUE, $A66:$B66), 'source merged_div_data'!$A:$A, 'source merged_div_data'!F:F)/1024, 2) &amp; " KB",
    XLOOKUP(TEXTJOIN("/", TRUE, $A66:$B66), 'source merged_div_data'!$A:$A, 'source merged_div_data'!F:F) &lt; 1073741824,
      ROUND(XLOOKUP(TEXTJOIN("/", TRUE, $A66:$B66), 'source merged_div_data'!$A:$A, 'source merged_div_data'!F:F)/1048576, 2) &amp; " MB",
    TRUE,
      ROUND(XLOOKUP(TEXTJOIN("/", TRUE, $A66:$B66), 'source merged_div_data'!$A:$A, 'source merged_div_data'!F:F)/1073741824, 2) &amp; " GB"
  ),
  "×"
)</f>
        <v>0 B</v>
      </c>
      <c r="G66" s="55" t="s">
        <v>1053</v>
      </c>
      <c r="H66" s="55"/>
      <c r="I66" s="55"/>
      <c r="J66" s="46" t="s">
        <v>1105</v>
      </c>
      <c r="K66" s="55"/>
      <c r="L66" s="55" t="s">
        <v>1053</v>
      </c>
      <c r="M66" s="55" t="s">
        <v>1053</v>
      </c>
      <c r="N66" s="52" t="s">
        <v>1102</v>
      </c>
      <c r="O66" s="46" t="s">
        <v>1105</v>
      </c>
      <c r="P66" s="37" t="str">
        <f>IFERROR(__xludf.DUMMYFUNCTION("XLOOKUP(JOIN(""/"",$A66:$B66),'source isilon_divまとめ'!$A:$A,'source isilon_divまとめ'!$D:$D,XLOOKUP(JOIN(""\"",$A66:$B66),'source NetApp-file-sv01-div'!A:A,TEXT('source NetApp-file-sv01-div'!C:C,""yyyy/mm/dd"")))"),"#N/A")</f>
        <v>#N/A</v>
      </c>
    </row>
    <row r="67">
      <c r="A67" s="8" t="s">
        <v>1149</v>
      </c>
      <c r="B67" s="8" t="s">
        <v>1154</v>
      </c>
      <c r="C67" s="7" t="s">
        <v>987</v>
      </c>
      <c r="D67" s="56">
        <f>IFERROR(__xludf.DUMMYFUNCTION("XLOOKUP(JOIN(""/"",$A67:$B67),'source merged_div_data'!$A:$A,'source merged_div_data'!B:B)"),2792.0)</f>
        <v>2792</v>
      </c>
      <c r="E67" s="56">
        <f>IFERROR(__xludf.DUMMYFUNCTION("XLOOKUP(JOIN(""/"",$A67:$B67),'source merged_div_data'!$A:$A,'source merged_div_data'!C:C)"),13760.0)</f>
        <v>13760</v>
      </c>
      <c r="F67" s="54" t="str">
        <f t="array" ref="F67">IFERROR(
  IFS(
    XLOOKUP(TEXTJOIN("/", TRUE, $A67:$B67), 'source merged_div_data'!$A:$A, 'source merged_div_data'!F:F) &lt; 1024,
      XLOOKUP(TEXTJOIN("/", TRUE, $A67:$B67), 'source merged_div_data'!$A:$A, 'source merged_div_data'!F:F) &amp; " B",
    XLOOKUP(TEXTJOIN("/", TRUE, $A67:$B67), 'source merged_div_data'!$A:$A, 'source merged_div_data'!F:F) &lt; 1048576,
      ROUND(XLOOKUP(TEXTJOIN("/", TRUE, $A67:$B67), 'source merged_div_data'!$A:$A, 'source merged_div_data'!F:F)/1024, 2) &amp; " KB",
    XLOOKUP(TEXTJOIN("/", TRUE, $A67:$B67), 'source merged_div_data'!$A:$A, 'source merged_div_data'!F:F) &lt; 1073741824,
      ROUND(XLOOKUP(TEXTJOIN("/", TRUE, $A67:$B67), 'source merged_div_data'!$A:$A, 'source merged_div_data'!F:F)/1048576, 2) &amp; " MB",
    TRUE,
      ROUND(XLOOKUP(TEXTJOIN("/", TRUE, $A67:$B67), 'source merged_div_data'!$A:$A, 'source merged_div_data'!F:F)/1073741824, 2) &amp; " GB"
  ),
  "×"
)</f>
        <v>70.76 GB</v>
      </c>
      <c r="G67" s="57" t="s">
        <v>2202</v>
      </c>
      <c r="H67" s="58" t="s">
        <v>2177</v>
      </c>
      <c r="I67" s="57"/>
      <c r="J67" s="7" t="s">
        <v>717</v>
      </c>
      <c r="K67" s="7" t="s">
        <v>223</v>
      </c>
      <c r="L67" s="37" t="s">
        <v>1053</v>
      </c>
      <c r="M67" s="7" t="s">
        <v>2111</v>
      </c>
      <c r="N67" s="8" t="s">
        <v>1102</v>
      </c>
      <c r="O67" s="7" t="s">
        <v>1058</v>
      </c>
      <c r="P67" s="57" t="str">
        <f>IFERROR(__xludf.DUMMYFUNCTION("XLOOKUP(JOIN(""/"",$A67:$B67),'source isilon_divまとめ'!$A:$A,'source isilon_divまとめ'!$D:$D,XLOOKUP(JOIN(""\"",$A67:$B67),'source NetApp-file-sv01-div'!A:A,TEXT('source NetApp-file-sv01-div'!C:C,""yyyy/mm/dd"")))"),"2019/03/14")</f>
        <v>2019/03/14</v>
      </c>
    </row>
    <row r="68">
      <c r="A68" s="8" t="s">
        <v>693</v>
      </c>
      <c r="B68" s="8" t="s">
        <v>1155</v>
      </c>
      <c r="C68" s="7" t="s">
        <v>987</v>
      </c>
      <c r="D68" s="56">
        <f>IFERROR(__xludf.DUMMYFUNCTION("XLOOKUP(JOIN(""/"",$A68:$B68),'source merged_div_data'!$A:$A,'source merged_div_data'!B:B)"),43.0)</f>
        <v>43</v>
      </c>
      <c r="E68" s="56">
        <f>IFERROR(__xludf.DUMMYFUNCTION("XLOOKUP(JOIN(""/"",$A68:$B68),'source merged_div_data'!$A:$A,'source merged_div_data'!C:C)"),45.0)</f>
        <v>45</v>
      </c>
      <c r="F68" s="54" t="str">
        <f t="array" ref="F68">IFERROR(
  IFS(
    XLOOKUP(TEXTJOIN("/", TRUE, $A68:$B68), 'source merged_div_data'!$A:$A, 'source merged_div_data'!F:F) &lt; 1024,
      XLOOKUP(TEXTJOIN("/", TRUE, $A68:$B68), 'source merged_div_data'!$A:$A, 'source merged_div_data'!F:F) &amp; " B",
    XLOOKUP(TEXTJOIN("/", TRUE, $A68:$B68), 'source merged_div_data'!$A:$A, 'source merged_div_data'!F:F) &lt; 1048576,
      ROUND(XLOOKUP(TEXTJOIN("/", TRUE, $A68:$B68), 'source merged_div_data'!$A:$A, 'source merged_div_data'!F:F)/1024, 2) &amp; " KB",
    XLOOKUP(TEXTJOIN("/", TRUE, $A68:$B68), 'source merged_div_data'!$A:$A, 'source merged_div_data'!F:F) &lt; 1073741824,
      ROUND(XLOOKUP(TEXTJOIN("/", TRUE, $A68:$B68), 'source merged_div_data'!$A:$A, 'source merged_div_data'!F:F)/1048576, 2) &amp; " MB",
    TRUE,
      ROUND(XLOOKUP(TEXTJOIN("/", TRUE, $A68:$B68), 'source merged_div_data'!$A:$A, 'source merged_div_data'!F:F)/1073741824, 2) &amp; " GB"
  ),
  "×"
)</f>
        <v>7.47 MB</v>
      </c>
      <c r="G68" s="57" t="s">
        <v>2203</v>
      </c>
      <c r="H68" s="58" t="s">
        <v>2184</v>
      </c>
      <c r="I68" s="57"/>
      <c r="J68" s="7" t="s">
        <v>693</v>
      </c>
      <c r="K68" s="37" t="s">
        <v>1053</v>
      </c>
      <c r="L68" s="7" t="s">
        <v>2094</v>
      </c>
      <c r="M68" s="37" t="s">
        <v>1053</v>
      </c>
      <c r="N68" s="8"/>
      <c r="P68" s="57" t="str">
        <f>IFERROR(__xludf.DUMMYFUNCTION("XLOOKUP(JOIN(""/"",$A68:$B68),'source isilon_divまとめ'!$A:$A,'source isilon_divまとめ'!$D:$D,XLOOKUP(JOIN(""\"",$A68:$B68),'source NetApp-file-sv01-div'!A:A,TEXT('source NetApp-file-sv01-div'!C:C,""yyyy/mm/dd"")))"),"2023/11/07")</f>
        <v>2023/11/07</v>
      </c>
    </row>
    <row r="69">
      <c r="A69" s="8" t="s">
        <v>693</v>
      </c>
      <c r="B69" s="8" t="s">
        <v>1156</v>
      </c>
      <c r="C69" s="7" t="s">
        <v>987</v>
      </c>
      <c r="D69" s="56">
        <f>IFERROR(__xludf.DUMMYFUNCTION("XLOOKUP(JOIN(""/"",$A69:$B69),'source merged_div_data'!$A:$A,'source merged_div_data'!B:B)"),1044.0)</f>
        <v>1044</v>
      </c>
      <c r="E69" s="56">
        <f>IFERROR(__xludf.DUMMYFUNCTION("XLOOKUP(JOIN(""/"",$A69:$B69),'source merged_div_data'!$A:$A,'source merged_div_data'!C:C)"),245586.0)</f>
        <v>245586</v>
      </c>
      <c r="F69" s="54" t="str">
        <f t="array" ref="F69">IFERROR(
  IFS(
    XLOOKUP(TEXTJOIN("/", TRUE, $A69:$B69), 'source merged_div_data'!$A:$A, 'source merged_div_data'!F:F) &lt; 1024,
      XLOOKUP(TEXTJOIN("/", TRUE, $A69:$B69), 'source merged_div_data'!$A:$A, 'source merged_div_data'!F:F) &amp; " B",
    XLOOKUP(TEXTJOIN("/", TRUE, $A69:$B69), 'source merged_div_data'!$A:$A, 'source merged_div_data'!F:F) &lt; 1048576,
      ROUND(XLOOKUP(TEXTJOIN("/", TRUE, $A69:$B69), 'source merged_div_data'!$A:$A, 'source merged_div_data'!F:F)/1024, 2) &amp; " KB",
    XLOOKUP(TEXTJOIN("/", TRUE, $A69:$B69), 'source merged_div_data'!$A:$A, 'source merged_div_data'!F:F) &lt; 1073741824,
      ROUND(XLOOKUP(TEXTJOIN("/", TRUE, $A69:$B69), 'source merged_div_data'!$A:$A, 'source merged_div_data'!F:F)/1048576, 2) &amp; " MB",
    TRUE,
      ROUND(XLOOKUP(TEXTJOIN("/", TRUE, $A69:$B69), 'source merged_div_data'!$A:$A, 'source merged_div_data'!F:F)/1073741824, 2) &amp; " GB"
  ),
  "×"
)</f>
        <v>1549.98 GB</v>
      </c>
      <c r="G69" s="61" t="s">
        <v>2204</v>
      </c>
      <c r="H69" s="58" t="s">
        <v>2177</v>
      </c>
      <c r="I69" s="61"/>
      <c r="J69" s="7" t="s">
        <v>693</v>
      </c>
      <c r="K69" s="7" t="s">
        <v>1053</v>
      </c>
      <c r="L69" s="7" t="s">
        <v>2094</v>
      </c>
      <c r="M69" s="37" t="s">
        <v>1053</v>
      </c>
      <c r="N69" s="7" t="s">
        <v>1052</v>
      </c>
      <c r="P69" s="57" t="str">
        <f>IFERROR(__xludf.DUMMYFUNCTION("XLOOKUP(JOIN(""/"",$A69:$B69),'source isilon_divまとめ'!$A:$A,'source isilon_divまとめ'!$D:$D,XLOOKUP(JOIN(""\"",$A69:$B69),'source NetApp-file-sv01-div'!A:A,TEXT('source NetApp-file-sv01-div'!C:C,""yyyy/mm/dd"")))"),"2019/03/19")</f>
        <v>2019/03/19</v>
      </c>
    </row>
    <row r="70">
      <c r="A70" s="8" t="s">
        <v>693</v>
      </c>
      <c r="B70" s="8" t="s">
        <v>703</v>
      </c>
      <c r="C70" s="8" t="s">
        <v>985</v>
      </c>
      <c r="D70" s="56">
        <f>IFERROR(__xludf.DUMMYFUNCTION("XLOOKUP(JOIN(""/"",$A70:$B70),'source merged_div_data'!$A:$A,'source merged_div_data'!B:B)"),919.0)</f>
        <v>919</v>
      </c>
      <c r="E70" s="56">
        <f>IFERROR(__xludf.DUMMYFUNCTION("XLOOKUP(JOIN(""/"",$A70:$B70),'source merged_div_data'!$A:$A,'source merged_div_data'!C:C)"),10232.0)</f>
        <v>10232</v>
      </c>
      <c r="F70" s="54" t="str">
        <f t="array" ref="F70">IFERROR(
  IFS(
    XLOOKUP(TEXTJOIN("/", TRUE, $A70:$B70), 'source merged_div_data'!$A:$A, 'source merged_div_data'!F:F) &lt; 1024,
      XLOOKUP(TEXTJOIN("/", TRUE, $A70:$B70), 'source merged_div_data'!$A:$A, 'source merged_div_data'!F:F) &amp; " B",
    XLOOKUP(TEXTJOIN("/", TRUE, $A70:$B70), 'source merged_div_data'!$A:$A, 'source merged_div_data'!F:F) &lt; 1048576,
      ROUND(XLOOKUP(TEXTJOIN("/", TRUE, $A70:$B70), 'source merged_div_data'!$A:$A, 'source merged_div_data'!F:F)/1024, 2) &amp; " KB",
    XLOOKUP(TEXTJOIN("/", TRUE, $A70:$B70), 'source merged_div_data'!$A:$A, 'source merged_div_data'!F:F) &lt; 1073741824,
      ROUND(XLOOKUP(TEXTJOIN("/", TRUE, $A70:$B70), 'source merged_div_data'!$A:$A, 'source merged_div_data'!F:F)/1048576, 2) &amp; " MB",
    TRUE,
      ROUND(XLOOKUP(TEXTJOIN("/", TRUE, $A70:$B70), 'source merged_div_data'!$A:$A, 'source merged_div_data'!F:F)/1073741824, 2) &amp; " GB"
  ),
  "×"
)</f>
        <v>163.21 GB</v>
      </c>
      <c r="G70" s="57" t="s">
        <v>2205</v>
      </c>
      <c r="H70" s="58" t="s">
        <v>2184</v>
      </c>
      <c r="I70" s="57"/>
      <c r="J70" s="37" t="s">
        <v>192</v>
      </c>
      <c r="K70" s="37" t="s">
        <v>202</v>
      </c>
      <c r="L70" s="37" t="s">
        <v>1053</v>
      </c>
      <c r="M70" s="37" t="s">
        <v>2113</v>
      </c>
      <c r="N70" s="8"/>
      <c r="P70" s="57" t="str">
        <f>IFERROR(__xludf.DUMMYFUNCTION("XLOOKUP(JOIN(""/"",$A70:$B70),'source isilon_divまとめ'!$A:$A,'source isilon_divまとめ'!$D:$D,XLOOKUP(JOIN(""\"",$A70:$B70),'source NetApp-file-sv01-div'!A:A,TEXT('source NetApp-file-sv01-div'!C:C,""yyyy/mm/dd"")))"),"2025/05/27")</f>
        <v>2025/05/27</v>
      </c>
    </row>
    <row r="71">
      <c r="A71" s="8" t="s">
        <v>693</v>
      </c>
      <c r="B71" s="8" t="s">
        <v>696</v>
      </c>
      <c r="C71" s="8" t="s">
        <v>987</v>
      </c>
      <c r="D71" s="56">
        <f>IFERROR(__xludf.DUMMYFUNCTION("XLOOKUP(JOIN(""/"",$A71:$B71),'source merged_div_data'!$A:$A,'source merged_div_data'!B:B)"),43.0)</f>
        <v>43</v>
      </c>
      <c r="E71" s="56">
        <f>IFERROR(__xludf.DUMMYFUNCTION("XLOOKUP(JOIN(""/"",$A71:$B71),'source merged_div_data'!$A:$A,'source merged_div_data'!C:C)"),2.0)</f>
        <v>2</v>
      </c>
      <c r="F71" s="54" t="str">
        <f t="array" ref="F71">IFERROR(
  IFS(
    XLOOKUP(TEXTJOIN("/", TRUE, $A71:$B71), 'source merged_div_data'!$A:$A, 'source merged_div_data'!F:F) &lt; 1024,
      XLOOKUP(TEXTJOIN("/", TRUE, $A71:$B71), 'source merged_div_data'!$A:$A, 'source merged_div_data'!F:F) &amp; " B",
    XLOOKUP(TEXTJOIN("/", TRUE, $A71:$B71), 'source merged_div_data'!$A:$A, 'source merged_div_data'!F:F) &lt; 1048576,
      ROUND(XLOOKUP(TEXTJOIN("/", TRUE, $A71:$B71), 'source merged_div_data'!$A:$A, 'source merged_div_data'!F:F)/1024, 2) &amp; " KB",
    XLOOKUP(TEXTJOIN("/", TRUE, $A71:$B71), 'source merged_div_data'!$A:$A, 'source merged_div_data'!F:F) &lt; 1073741824,
      ROUND(XLOOKUP(TEXTJOIN("/", TRUE, $A71:$B71), 'source merged_div_data'!$A:$A, 'source merged_div_data'!F:F)/1048576, 2) &amp; " MB",
    TRUE,
      ROUND(XLOOKUP(TEXTJOIN("/", TRUE, $A71:$B71), 'source merged_div_data'!$A:$A, 'source merged_div_data'!F:F)/1073741824, 2) &amp; " GB"
  ),
  "×"
)</f>
        <v>13.73 KB</v>
      </c>
      <c r="G71" s="37" t="s">
        <v>1053</v>
      </c>
      <c r="H71" s="7" t="s">
        <v>2177</v>
      </c>
      <c r="I71" s="37"/>
      <c r="J71" s="7" t="s">
        <v>693</v>
      </c>
      <c r="K71" s="7" t="s">
        <v>696</v>
      </c>
      <c r="L71" s="7" t="s">
        <v>2094</v>
      </c>
      <c r="M71" s="37" t="s">
        <v>1053</v>
      </c>
      <c r="N71" s="8"/>
      <c r="P71" s="37" t="str">
        <f>IFERROR(__xludf.DUMMYFUNCTION("XLOOKUP(JOIN(""/"",$A71:$B71),'source isilon_divまとめ'!$A:$A,'source isilon_divまとめ'!$D:$D,XLOOKUP(JOIN(""\"",$A71:$B71),'source NetApp-file-sv01-div'!A:A,TEXT('source NetApp-file-sv01-div'!C:C,""yyyy/mm/dd"")))"),"#N/A")</f>
        <v>#N/A</v>
      </c>
    </row>
    <row r="72">
      <c r="A72" s="8" t="s">
        <v>693</v>
      </c>
      <c r="B72" s="8" t="s">
        <v>701</v>
      </c>
      <c r="C72" s="8" t="s">
        <v>985</v>
      </c>
      <c r="D72" s="56">
        <f>IFERROR(__xludf.DUMMYFUNCTION("XLOOKUP(JOIN(""/"",$A72:$B72),'source merged_div_data'!$A:$A,'source merged_div_data'!B:B)"),29.0)</f>
        <v>29</v>
      </c>
      <c r="E72" s="56">
        <f>IFERROR(__xludf.DUMMYFUNCTION("XLOOKUP(JOIN(""/"",$A72:$B72),'source merged_div_data'!$A:$A,'source merged_div_data'!C:C)"),8.0)</f>
        <v>8</v>
      </c>
      <c r="F72" s="54" t="str">
        <f t="array" ref="F72">IFERROR(
  IFS(
    XLOOKUP(TEXTJOIN("/", TRUE, $A72:$B72), 'source merged_div_data'!$A:$A, 'source merged_div_data'!F:F) &lt; 1024,
      XLOOKUP(TEXTJOIN("/", TRUE, $A72:$B72), 'source merged_div_data'!$A:$A, 'source merged_div_data'!F:F) &amp; " B",
    XLOOKUP(TEXTJOIN("/", TRUE, $A72:$B72), 'source merged_div_data'!$A:$A, 'source merged_div_data'!F:F) &lt; 1048576,
      ROUND(XLOOKUP(TEXTJOIN("/", TRUE, $A72:$B72), 'source merged_div_data'!$A:$A, 'source merged_div_data'!F:F)/1024, 2) &amp; " KB",
    XLOOKUP(TEXTJOIN("/", TRUE, $A72:$B72), 'source merged_div_data'!$A:$A, 'source merged_div_data'!F:F) &lt; 1073741824,
      ROUND(XLOOKUP(TEXTJOIN("/", TRUE, $A72:$B72), 'source merged_div_data'!$A:$A, 'source merged_div_data'!F:F)/1048576, 2) &amp; " MB",
    TRUE,
      ROUND(XLOOKUP(TEXTJOIN("/", TRUE, $A72:$B72), 'source merged_div_data'!$A:$A, 'source merged_div_data'!F:F)/1073741824, 2) &amp; " GB"
  ),
  "×"
)</f>
        <v>2.92 MB</v>
      </c>
      <c r="G72" s="57" t="s">
        <v>2206</v>
      </c>
      <c r="H72" s="58" t="s">
        <v>2184</v>
      </c>
      <c r="I72" s="57"/>
      <c r="J72" s="37" t="s">
        <v>192</v>
      </c>
      <c r="K72" s="37" t="s">
        <v>200</v>
      </c>
      <c r="L72" s="37" t="s">
        <v>1053</v>
      </c>
      <c r="M72" s="37" t="s">
        <v>1674</v>
      </c>
      <c r="N72" s="8"/>
      <c r="P72" s="57" t="str">
        <f>IFERROR(__xludf.DUMMYFUNCTION("XLOOKUP(JOIN(""/"",$A72:$B72),'source isilon_divまとめ'!$A:$A,'source isilon_divまとめ'!$D:$D,XLOOKUP(JOIN(""\"",$A72:$B72),'source NetApp-file-sv01-div'!A:A,TEXT('source NetApp-file-sv01-div'!C:C,""yyyy/mm/dd"")))"),"2024/06/05")</f>
        <v>2024/06/05</v>
      </c>
    </row>
    <row r="73">
      <c r="A73" s="8" t="s">
        <v>693</v>
      </c>
      <c r="B73" s="8" t="s">
        <v>1157</v>
      </c>
      <c r="C73" s="8" t="s">
        <v>987</v>
      </c>
      <c r="D73" s="56">
        <f>IFERROR(__xludf.DUMMYFUNCTION("XLOOKUP(JOIN(""/"",$A73:$B73),'source merged_div_data'!$A:$A,'source merged_div_data'!B:B)"),137.0)</f>
        <v>137</v>
      </c>
      <c r="E73" s="56">
        <f>IFERROR(__xludf.DUMMYFUNCTION("XLOOKUP(JOIN(""/"",$A73:$B73),'source merged_div_data'!$A:$A,'source merged_div_data'!C:C)"),1031.0)</f>
        <v>1031</v>
      </c>
      <c r="F73" s="54" t="str">
        <f t="array" ref="F73">IFERROR(
  IFS(
    XLOOKUP(TEXTJOIN("/", TRUE, $A73:$B73), 'source merged_div_data'!$A:$A, 'source merged_div_data'!F:F) &lt; 1024,
      XLOOKUP(TEXTJOIN("/", TRUE, $A73:$B73), 'source merged_div_data'!$A:$A, 'source merged_div_data'!F:F) &amp; " B",
    XLOOKUP(TEXTJOIN("/", TRUE, $A73:$B73), 'source merged_div_data'!$A:$A, 'source merged_div_data'!F:F) &lt; 1048576,
      ROUND(XLOOKUP(TEXTJOIN("/", TRUE, $A73:$B73), 'source merged_div_data'!$A:$A, 'source merged_div_data'!F:F)/1024, 2) &amp; " KB",
    XLOOKUP(TEXTJOIN("/", TRUE, $A73:$B73), 'source merged_div_data'!$A:$A, 'source merged_div_data'!F:F) &lt; 1073741824,
      ROUND(XLOOKUP(TEXTJOIN("/", TRUE, $A73:$B73), 'source merged_div_data'!$A:$A, 'source merged_div_data'!F:F)/1048576, 2) &amp; " MB",
    TRUE,
      ROUND(XLOOKUP(TEXTJOIN("/", TRUE, $A73:$B73), 'source merged_div_data'!$A:$A, 'source merged_div_data'!F:F)/1073741824, 2) &amp; " GB"
  ),
  "×"
)</f>
        <v>1.59 GB</v>
      </c>
      <c r="G73" s="57" t="s">
        <v>2207</v>
      </c>
      <c r="H73" s="58" t="s">
        <v>2184</v>
      </c>
      <c r="I73" s="57"/>
      <c r="J73" s="7" t="s">
        <v>693</v>
      </c>
      <c r="K73" s="7" t="s">
        <v>1155</v>
      </c>
      <c r="L73" s="7" t="s">
        <v>2094</v>
      </c>
      <c r="M73" s="37" t="s">
        <v>1053</v>
      </c>
      <c r="N73" s="8"/>
      <c r="P73" s="57" t="str">
        <f>IFERROR(__xludf.DUMMYFUNCTION("XLOOKUP(JOIN(""/"",$A73:$B73),'source isilon_divまとめ'!$A:$A,'source isilon_divまとめ'!$D:$D,XLOOKUP(JOIN(""\"",$A73:$B73),'source NetApp-file-sv01-div'!A:A,TEXT('source NetApp-file-sv01-div'!C:C,""yyyy/mm/dd"")))"),"2023/05/31")</f>
        <v>2023/05/31</v>
      </c>
    </row>
    <row r="74">
      <c r="A74" s="52" t="s">
        <v>693</v>
      </c>
      <c r="B74" s="52" t="s">
        <v>1158</v>
      </c>
      <c r="C74" s="46" t="s">
        <v>986</v>
      </c>
      <c r="D74" s="53">
        <f>IFERROR(__xludf.DUMMYFUNCTION("XLOOKUP(JOIN(""/"",$A74:$B74),'source merged_div_data'!$A:$A,'source merged_div_data'!B:B)"),8.0)</f>
        <v>8</v>
      </c>
      <c r="E74" s="53">
        <f>IFERROR(__xludf.DUMMYFUNCTION("XLOOKUP(JOIN(""/"",$A74:$B74),'source merged_div_data'!$A:$A,'source merged_div_data'!C:C)"),0.0)</f>
        <v>0</v>
      </c>
      <c r="F74" s="54" t="str">
        <f t="array" ref="F74">IFERROR(
  IFS(
    XLOOKUP(TEXTJOIN("/", TRUE, $A74:$B74), 'source merged_div_data'!$A:$A, 'source merged_div_data'!F:F) &lt; 1024,
      XLOOKUP(TEXTJOIN("/", TRUE, $A74:$B74), 'source merged_div_data'!$A:$A, 'source merged_div_data'!F:F) &amp; " B",
    XLOOKUP(TEXTJOIN("/", TRUE, $A74:$B74), 'source merged_div_data'!$A:$A, 'source merged_div_data'!F:F) &lt; 1048576,
      ROUND(XLOOKUP(TEXTJOIN("/", TRUE, $A74:$B74), 'source merged_div_data'!$A:$A, 'source merged_div_data'!F:F)/1024, 2) &amp; " KB",
    XLOOKUP(TEXTJOIN("/", TRUE, $A74:$B74), 'source merged_div_data'!$A:$A, 'source merged_div_data'!F:F) &lt; 1073741824,
      ROUND(XLOOKUP(TEXTJOIN("/", TRUE, $A74:$B74), 'source merged_div_data'!$A:$A, 'source merged_div_data'!F:F)/1048576, 2) &amp; " MB",
    TRUE,
      ROUND(XLOOKUP(TEXTJOIN("/", TRUE, $A74:$B74), 'source merged_div_data'!$A:$A, 'source merged_div_data'!F:F)/1073741824, 2) &amp; " GB"
  ),
  "×"
)</f>
        <v>321 B</v>
      </c>
      <c r="G74" s="55" t="s">
        <v>1053</v>
      </c>
      <c r="H74" s="55"/>
      <c r="I74" s="55"/>
      <c r="J74" s="55" t="s">
        <v>192</v>
      </c>
      <c r="K74" s="55" t="s">
        <v>1053</v>
      </c>
      <c r="L74" s="46" t="s">
        <v>2094</v>
      </c>
      <c r="M74" s="46" t="s">
        <v>1053</v>
      </c>
      <c r="N74" s="46" t="s">
        <v>1052</v>
      </c>
      <c r="O74" s="55"/>
      <c r="P74" s="37" t="str">
        <f>IFERROR(__xludf.DUMMYFUNCTION("XLOOKUP(JOIN(""/"",$A74:$B74),'source isilon_divまとめ'!$A:$A,'source isilon_divまとめ'!$D:$D,XLOOKUP(JOIN(""\"",$A74:$B74),'source NetApp-file-sv01-div'!A:A,TEXT('source NetApp-file-sv01-div'!C:C,""yyyy/mm/dd"")))"),"#N/A")</f>
        <v>#N/A</v>
      </c>
    </row>
    <row r="75">
      <c r="A75" s="52" t="s">
        <v>693</v>
      </c>
      <c r="B75" s="52" t="s">
        <v>1159</v>
      </c>
      <c r="C75" s="46" t="s">
        <v>986</v>
      </c>
      <c r="D75" s="53">
        <f>IFERROR(__xludf.DUMMYFUNCTION("XLOOKUP(JOIN(""/"",$A75:$B75),'source merged_div_data'!$A:$A,'source merged_div_data'!B:B)"),10.0)</f>
        <v>10</v>
      </c>
      <c r="E75" s="53">
        <f>IFERROR(__xludf.DUMMYFUNCTION("XLOOKUP(JOIN(""/"",$A75:$B75),'source merged_div_data'!$A:$A,'source merged_div_data'!C:C)"),0.0)</f>
        <v>0</v>
      </c>
      <c r="F75" s="54" t="str">
        <f t="array" ref="F75">IFERROR(
  IFS(
    XLOOKUP(TEXTJOIN("/", TRUE, $A75:$B75), 'source merged_div_data'!$A:$A, 'source merged_div_data'!F:F) &lt; 1024,
      XLOOKUP(TEXTJOIN("/", TRUE, $A75:$B75), 'source merged_div_data'!$A:$A, 'source merged_div_data'!F:F) &amp; " B",
    XLOOKUP(TEXTJOIN("/", TRUE, $A75:$B75), 'source merged_div_data'!$A:$A, 'source merged_div_data'!F:F) &lt; 1048576,
      ROUND(XLOOKUP(TEXTJOIN("/", TRUE, $A75:$B75), 'source merged_div_data'!$A:$A, 'source merged_div_data'!F:F)/1024, 2) &amp; " KB",
    XLOOKUP(TEXTJOIN("/", TRUE, $A75:$B75), 'source merged_div_data'!$A:$A, 'source merged_div_data'!F:F) &lt; 1073741824,
      ROUND(XLOOKUP(TEXTJOIN("/", TRUE, $A75:$B75), 'source merged_div_data'!$A:$A, 'source merged_div_data'!F:F)/1048576, 2) &amp; " MB",
    TRUE,
      ROUND(XLOOKUP(TEXTJOIN("/", TRUE, $A75:$B75), 'source merged_div_data'!$A:$A, 'source merged_div_data'!F:F)/1073741824, 2) &amp; " GB"
  ),
  "×"
)</f>
        <v>363 B</v>
      </c>
      <c r="G75" s="55" t="s">
        <v>1053</v>
      </c>
      <c r="H75" s="55"/>
      <c r="I75" s="55"/>
      <c r="J75" s="55" t="s">
        <v>192</v>
      </c>
      <c r="K75" s="55" t="s">
        <v>1053</v>
      </c>
      <c r="L75" s="46" t="s">
        <v>2094</v>
      </c>
      <c r="M75" s="46" t="s">
        <v>1053</v>
      </c>
      <c r="N75" s="52"/>
      <c r="O75" s="55"/>
      <c r="P75" s="37" t="str">
        <f>IFERROR(__xludf.DUMMYFUNCTION("XLOOKUP(JOIN(""/"",$A75:$B75),'source isilon_divまとめ'!$A:$A,'source isilon_divまとめ'!$D:$D,XLOOKUP(JOIN(""\"",$A75:$B75),'source NetApp-file-sv01-div'!A:A,TEXT('source NetApp-file-sv01-div'!C:C,""yyyy/mm/dd"")))"),"#N/A")</f>
        <v>#N/A</v>
      </c>
    </row>
    <row r="76">
      <c r="A76" s="8" t="s">
        <v>693</v>
      </c>
      <c r="B76" s="8" t="s">
        <v>1111</v>
      </c>
      <c r="C76" s="8" t="s">
        <v>987</v>
      </c>
      <c r="D76" s="56">
        <f>IFERROR(__xludf.DUMMYFUNCTION("XLOOKUP(JOIN(""/"",$A76:$B76),'source merged_div_data'!$A:$A,'source merged_div_data'!B:B)"),23.0)</f>
        <v>23</v>
      </c>
      <c r="E76" s="56">
        <f>IFERROR(__xludf.DUMMYFUNCTION("XLOOKUP(JOIN(""/"",$A76:$B76),'source merged_div_data'!$A:$A,'source merged_div_data'!C:C)"),244.0)</f>
        <v>244</v>
      </c>
      <c r="F76" s="54" t="str">
        <f t="array" ref="F76">IFERROR(
  IFS(
    XLOOKUP(TEXTJOIN("/", TRUE, $A76:$B76), 'source merged_div_data'!$A:$A, 'source merged_div_data'!F:F) &lt; 1024,
      XLOOKUP(TEXTJOIN("/", TRUE, $A76:$B76), 'source merged_div_data'!$A:$A, 'source merged_div_data'!F:F) &amp; " B",
    XLOOKUP(TEXTJOIN("/", TRUE, $A76:$B76), 'source merged_div_data'!$A:$A, 'source merged_div_data'!F:F) &lt; 1048576,
      ROUND(XLOOKUP(TEXTJOIN("/", TRUE, $A76:$B76), 'source merged_div_data'!$A:$A, 'source merged_div_data'!F:F)/1024, 2) &amp; " KB",
    XLOOKUP(TEXTJOIN("/", TRUE, $A76:$B76), 'source merged_div_data'!$A:$A, 'source merged_div_data'!F:F) &lt; 1073741824,
      ROUND(XLOOKUP(TEXTJOIN("/", TRUE, $A76:$B76), 'source merged_div_data'!$A:$A, 'source merged_div_data'!F:F)/1048576, 2) &amp; " MB",
    TRUE,
      ROUND(XLOOKUP(TEXTJOIN("/", TRUE, $A76:$B76), 'source merged_div_data'!$A:$A, 'source merged_div_data'!F:F)/1073741824, 2) &amp; " GB"
  ),
  "×"
)</f>
        <v>32.29 GB</v>
      </c>
      <c r="G76" s="57" t="s">
        <v>2208</v>
      </c>
      <c r="H76" s="58" t="s">
        <v>2184</v>
      </c>
      <c r="I76" s="57"/>
      <c r="J76" s="7" t="s">
        <v>693</v>
      </c>
      <c r="K76" s="7" t="s">
        <v>1053</v>
      </c>
      <c r="L76" s="7" t="s">
        <v>2094</v>
      </c>
      <c r="M76" s="37" t="s">
        <v>1053</v>
      </c>
      <c r="N76" s="8"/>
      <c r="P76" s="57" t="str">
        <f>IFERROR(__xludf.DUMMYFUNCTION("XLOOKUP(JOIN(""/"",$A76:$B76),'source isilon_divまとめ'!$A:$A,'source isilon_divまとめ'!$D:$D,XLOOKUP(JOIN(""\"",$A76:$B76),'source NetApp-file-sv01-div'!A:A,TEXT('source NetApp-file-sv01-div'!C:C,""yyyy/mm/dd"")))"),"2023/01/31")</f>
        <v>2023/01/31</v>
      </c>
    </row>
    <row r="77">
      <c r="A77" s="8" t="s">
        <v>693</v>
      </c>
      <c r="B77" s="8" t="s">
        <v>1160</v>
      </c>
      <c r="C77" s="8" t="s">
        <v>987</v>
      </c>
      <c r="D77" s="56">
        <f>IFERROR(__xludf.DUMMYFUNCTION("XLOOKUP(JOIN(""/"",$A77:$B77),'source merged_div_data'!$A:$A,'source merged_div_data'!B:B)"),46.0)</f>
        <v>46</v>
      </c>
      <c r="E77" s="56">
        <f>IFERROR(__xludf.DUMMYFUNCTION("XLOOKUP(JOIN(""/"",$A77:$B77),'source merged_div_data'!$A:$A,'source merged_div_data'!C:C)"),7.0)</f>
        <v>7</v>
      </c>
      <c r="F77" s="54" t="str">
        <f t="array" ref="F77">IFERROR(
  IFS(
    XLOOKUP(TEXTJOIN("/", TRUE, $A77:$B77), 'source merged_div_data'!$A:$A, 'source merged_div_data'!F:F) &lt; 1024,
      XLOOKUP(TEXTJOIN("/", TRUE, $A77:$B77), 'source merged_div_data'!$A:$A, 'source merged_div_data'!F:F) &amp; " B",
    XLOOKUP(TEXTJOIN("/", TRUE, $A77:$B77), 'source merged_div_data'!$A:$A, 'source merged_div_data'!F:F) &lt; 1048576,
      ROUND(XLOOKUP(TEXTJOIN("/", TRUE, $A77:$B77), 'source merged_div_data'!$A:$A, 'source merged_div_data'!F:F)/1024, 2) &amp; " KB",
    XLOOKUP(TEXTJOIN("/", TRUE, $A77:$B77), 'source merged_div_data'!$A:$A, 'source merged_div_data'!F:F) &lt; 1073741824,
      ROUND(XLOOKUP(TEXTJOIN("/", TRUE, $A77:$B77), 'source merged_div_data'!$A:$A, 'source merged_div_data'!F:F)/1048576, 2) &amp; " MB",
    TRUE,
      ROUND(XLOOKUP(TEXTJOIN("/", TRUE, $A77:$B77), 'source merged_div_data'!$A:$A, 'source merged_div_data'!F:F)/1073741824, 2) &amp; " GB"
  ),
  "×"
)</f>
        <v>95.65 MB</v>
      </c>
      <c r="G77" s="57" t="s">
        <v>2209</v>
      </c>
      <c r="H77" s="58" t="s">
        <v>2177</v>
      </c>
      <c r="I77" s="57"/>
      <c r="J77" s="7" t="s">
        <v>693</v>
      </c>
      <c r="K77" s="7" t="s">
        <v>1053</v>
      </c>
      <c r="L77" s="7" t="s">
        <v>2094</v>
      </c>
      <c r="M77" s="37" t="s">
        <v>1053</v>
      </c>
      <c r="N77" s="8"/>
      <c r="P77" s="57" t="str">
        <f>IFERROR(__xludf.DUMMYFUNCTION("XLOOKUP(JOIN(""/"",$A77:$B77),'source isilon_divまとめ'!$A:$A,'source isilon_divまとめ'!$D:$D,XLOOKUP(JOIN(""\"",$A77:$B77),'source NetApp-file-sv01-div'!A:A,TEXT('source NetApp-file-sv01-div'!C:C,""yyyy/mm/dd"")))"),"2018/12/20")</f>
        <v>2018/12/20</v>
      </c>
    </row>
    <row r="78">
      <c r="A78" s="52" t="s">
        <v>693</v>
      </c>
      <c r="B78" s="52" t="s">
        <v>698</v>
      </c>
      <c r="C78" s="46" t="s">
        <v>986</v>
      </c>
      <c r="D78" s="53">
        <f>IFERROR(__xludf.DUMMYFUNCTION("XLOOKUP(JOIN(""/"",$A78:$B78),'source merged_div_data'!$A:$A,'source merged_div_data'!B:B)"),52.0)</f>
        <v>52</v>
      </c>
      <c r="E78" s="53">
        <f>IFERROR(__xludf.DUMMYFUNCTION("XLOOKUP(JOIN(""/"",$A78:$B78),'source merged_div_data'!$A:$A,'source merged_div_data'!C:C)"),0.0)</f>
        <v>0</v>
      </c>
      <c r="F78" s="54" t="str">
        <f t="array" ref="F78">IFERROR(
  IFS(
    XLOOKUP(TEXTJOIN("/", TRUE, $A78:$B78), 'source merged_div_data'!$A:$A, 'source merged_div_data'!F:F) &lt; 1024,
      XLOOKUP(TEXTJOIN("/", TRUE, $A78:$B78), 'source merged_div_data'!$A:$A, 'source merged_div_data'!F:F) &amp; " B",
    XLOOKUP(TEXTJOIN("/", TRUE, $A78:$B78), 'source merged_div_data'!$A:$A, 'source merged_div_data'!F:F) &lt; 1048576,
      ROUND(XLOOKUP(TEXTJOIN("/", TRUE, $A78:$B78), 'source merged_div_data'!$A:$A, 'source merged_div_data'!F:F)/1024, 2) &amp; " KB",
    XLOOKUP(TEXTJOIN("/", TRUE, $A78:$B78), 'source merged_div_data'!$A:$A, 'source merged_div_data'!F:F) &lt; 1073741824,
      ROUND(XLOOKUP(TEXTJOIN("/", TRUE, $A78:$B78), 'source merged_div_data'!$A:$A, 'source merged_div_data'!F:F)/1048576, 2) &amp; " MB",
    TRUE,
      ROUND(XLOOKUP(TEXTJOIN("/", TRUE, $A78:$B78), 'source merged_div_data'!$A:$A, 'source merged_div_data'!F:F)/1073741824, 2) &amp; " GB"
  ),
  "×"
)</f>
        <v>1.97 KB</v>
      </c>
      <c r="G78" s="55" t="s">
        <v>1053</v>
      </c>
      <c r="H78" s="55"/>
      <c r="I78" s="55"/>
      <c r="J78" s="55" t="s">
        <v>192</v>
      </c>
      <c r="K78" s="55" t="s">
        <v>197</v>
      </c>
      <c r="L78" s="55" t="s">
        <v>1053</v>
      </c>
      <c r="M78" s="55" t="s">
        <v>1463</v>
      </c>
      <c r="N78" s="52"/>
      <c r="O78" s="55"/>
      <c r="P78" s="37" t="str">
        <f>IFERROR(__xludf.DUMMYFUNCTION("XLOOKUP(JOIN(""/"",$A78:$B78),'source isilon_divまとめ'!$A:$A,'source isilon_divまとめ'!$D:$D,XLOOKUP(JOIN(""\"",$A78:$B78),'source NetApp-file-sv01-div'!A:A,TEXT('source NetApp-file-sv01-div'!C:C,""yyyy/mm/dd"")))"),"#N/A")</f>
        <v>#N/A</v>
      </c>
    </row>
    <row r="79">
      <c r="A79" s="8" t="s">
        <v>693</v>
      </c>
      <c r="B79" s="8" t="s">
        <v>1161</v>
      </c>
      <c r="C79" s="7" t="s">
        <v>987</v>
      </c>
      <c r="D79" s="56">
        <f>IFERROR(__xludf.DUMMYFUNCTION("XLOOKUP(JOIN(""/"",$A79:$B79),'source merged_div_data'!$A:$A,'source merged_div_data'!B:B)"),366.0)</f>
        <v>366</v>
      </c>
      <c r="E79" s="56">
        <f>IFERROR(__xludf.DUMMYFUNCTION("XLOOKUP(JOIN(""/"",$A79:$B79),'source merged_div_data'!$A:$A,'source merged_div_data'!C:C)"),624.0)</f>
        <v>624</v>
      </c>
      <c r="F79" s="54" t="str">
        <f t="array" ref="F79">IFERROR(
  IFS(
    XLOOKUP(TEXTJOIN("/", TRUE, $A79:$B79), 'source merged_div_data'!$A:$A, 'source merged_div_data'!F:F) &lt; 1024,
      XLOOKUP(TEXTJOIN("/", TRUE, $A79:$B79), 'source merged_div_data'!$A:$A, 'source merged_div_data'!F:F) &amp; " B",
    XLOOKUP(TEXTJOIN("/", TRUE, $A79:$B79), 'source merged_div_data'!$A:$A, 'source merged_div_data'!F:F) &lt; 1048576,
      ROUND(XLOOKUP(TEXTJOIN("/", TRUE, $A79:$B79), 'source merged_div_data'!$A:$A, 'source merged_div_data'!F:F)/1024, 2) &amp; " KB",
    XLOOKUP(TEXTJOIN("/", TRUE, $A79:$B79), 'source merged_div_data'!$A:$A, 'source merged_div_data'!F:F) &lt; 1073741824,
      ROUND(XLOOKUP(TEXTJOIN("/", TRUE, $A79:$B79), 'source merged_div_data'!$A:$A, 'source merged_div_data'!F:F)/1048576, 2) &amp; " MB",
    TRUE,
      ROUND(XLOOKUP(TEXTJOIN("/", TRUE, $A79:$B79), 'source merged_div_data'!$A:$A, 'source merged_div_data'!F:F)/1073741824, 2) &amp; " GB"
  ),
  "×"
)</f>
        <v>58.75 MB</v>
      </c>
      <c r="G79" s="57" t="s">
        <v>2210</v>
      </c>
      <c r="H79" s="58" t="s">
        <v>2177</v>
      </c>
      <c r="I79" s="57"/>
      <c r="J79" s="7" t="s">
        <v>693</v>
      </c>
      <c r="K79" s="7" t="s">
        <v>1053</v>
      </c>
      <c r="L79" s="7" t="s">
        <v>2094</v>
      </c>
      <c r="M79" s="37" t="s">
        <v>1053</v>
      </c>
      <c r="N79" s="7" t="s">
        <v>1052</v>
      </c>
      <c r="P79" s="57" t="str">
        <f>IFERROR(__xludf.DUMMYFUNCTION("XLOOKUP(JOIN(""/"",$A79:$B79),'source isilon_divまとめ'!$A:$A,'source isilon_divまとめ'!$D:$D,XLOOKUP(JOIN(""\"",$A79:$B79),'source NetApp-file-sv01-div'!A:A,TEXT('source NetApp-file-sv01-div'!C:C,""yyyy/mm/dd"")))"),"2021/01/06")</f>
        <v>2021/01/06</v>
      </c>
    </row>
    <row r="80">
      <c r="A80" s="52" t="s">
        <v>717</v>
      </c>
      <c r="B80" s="52" t="s">
        <v>738</v>
      </c>
      <c r="C80" s="46" t="s">
        <v>986</v>
      </c>
      <c r="D80" s="53">
        <f>IFERROR(__xludf.DUMMYFUNCTION("XLOOKUP(JOIN(""/"",$A80:$B80),'source merged_div_data'!$A:$A,'source merged_div_data'!B:B)"),34.0)</f>
        <v>34</v>
      </c>
      <c r="E80" s="53">
        <f>IFERROR(__xludf.DUMMYFUNCTION("XLOOKUP(JOIN(""/"",$A80:$B80),'source merged_div_data'!$A:$A,'source merged_div_data'!C:C)"),0.0)</f>
        <v>0</v>
      </c>
      <c r="F80" s="54" t="str">
        <f t="array" ref="F80">IFERROR(
  IFS(
    XLOOKUP(TEXTJOIN("/", TRUE, $A80:$B80), 'source merged_div_data'!$A:$A, 'source merged_div_data'!F:F) &lt; 1024,
      XLOOKUP(TEXTJOIN("/", TRUE, $A80:$B80), 'source merged_div_data'!$A:$A, 'source merged_div_data'!F:F) &amp; " B",
    XLOOKUP(TEXTJOIN("/", TRUE, $A80:$B80), 'source merged_div_data'!$A:$A, 'source merged_div_data'!F:F) &lt; 1048576,
      ROUND(XLOOKUP(TEXTJOIN("/", TRUE, $A80:$B80), 'source merged_div_data'!$A:$A, 'source merged_div_data'!F:F)/1024, 2) &amp; " KB",
    XLOOKUP(TEXTJOIN("/", TRUE, $A80:$B80), 'source merged_div_data'!$A:$A, 'source merged_div_data'!F:F) &lt; 1073741824,
      ROUND(XLOOKUP(TEXTJOIN("/", TRUE, $A80:$B80), 'source merged_div_data'!$A:$A, 'source merged_div_data'!F:F)/1048576, 2) &amp; " MB",
    TRUE,
      ROUND(XLOOKUP(TEXTJOIN("/", TRUE, $A80:$B80), 'source merged_div_data'!$A:$A, 'source merged_div_data'!F:F)/1073741824, 2) &amp; " GB"
  ),
  "×"
)</f>
        <v>1.23 KB</v>
      </c>
      <c r="G80" s="55" t="s">
        <v>1053</v>
      </c>
      <c r="H80" s="55"/>
      <c r="I80" s="55"/>
      <c r="J80" s="55" t="s">
        <v>717</v>
      </c>
      <c r="K80" s="55" t="s">
        <v>238</v>
      </c>
      <c r="L80" s="55" t="s">
        <v>1053</v>
      </c>
      <c r="M80" s="55" t="s">
        <v>2211</v>
      </c>
      <c r="N80" s="52"/>
      <c r="O80" s="55"/>
      <c r="P80" s="37" t="str">
        <f>IFERROR(__xludf.DUMMYFUNCTION("XLOOKUP(JOIN(""/"",$A80:$B80),'source isilon_divまとめ'!$A:$A,'source isilon_divまとめ'!$D:$D,XLOOKUP(JOIN(""\"",$A80:$B80),'source NetApp-file-sv01-div'!A:A,TEXT('source NetApp-file-sv01-div'!C:C,""yyyy/mm/dd"")))"),"#N/A")</f>
        <v>#N/A</v>
      </c>
    </row>
    <row r="81">
      <c r="A81" s="52" t="s">
        <v>717</v>
      </c>
      <c r="B81" s="52" t="s">
        <v>251</v>
      </c>
      <c r="C81" s="46" t="s">
        <v>986</v>
      </c>
      <c r="D81" s="53">
        <f>IFERROR(__xludf.DUMMYFUNCTION("XLOOKUP(JOIN(""/"",$A81:$B81),'source merged_div_data'!$A:$A,'source merged_div_data'!B:B)"),28.0)</f>
        <v>28</v>
      </c>
      <c r="E81" s="53">
        <f>IFERROR(__xludf.DUMMYFUNCTION("XLOOKUP(JOIN(""/"",$A81:$B81),'source merged_div_data'!$A:$A,'source merged_div_data'!C:C)"),0.0)</f>
        <v>0</v>
      </c>
      <c r="F81" s="54" t="str">
        <f t="array" ref="F81">IFERROR(
  IFS(
    XLOOKUP(TEXTJOIN("/", TRUE, $A81:$B81), 'source merged_div_data'!$A:$A, 'source merged_div_data'!F:F) &lt; 1024,
      XLOOKUP(TEXTJOIN("/", TRUE, $A81:$B81), 'source merged_div_data'!$A:$A, 'source merged_div_data'!F:F) &amp; " B",
    XLOOKUP(TEXTJOIN("/", TRUE, $A81:$B81), 'source merged_div_data'!$A:$A, 'source merged_div_data'!F:F) &lt; 1048576,
      ROUND(XLOOKUP(TEXTJOIN("/", TRUE, $A81:$B81), 'source merged_div_data'!$A:$A, 'source merged_div_data'!F:F)/1024, 2) &amp; " KB",
    XLOOKUP(TEXTJOIN("/", TRUE, $A81:$B81), 'source merged_div_data'!$A:$A, 'source merged_div_data'!F:F) &lt; 1073741824,
      ROUND(XLOOKUP(TEXTJOIN("/", TRUE, $A81:$B81), 'source merged_div_data'!$A:$A, 'source merged_div_data'!F:F)/1048576, 2) &amp; " MB",
    TRUE,
      ROUND(XLOOKUP(TEXTJOIN("/", TRUE, $A81:$B81), 'source merged_div_data'!$A:$A, 'source merged_div_data'!F:F)/1073741824, 2) &amp; " GB"
  ),
  "×"
)</f>
        <v>977 B</v>
      </c>
      <c r="G81" s="55" t="s">
        <v>1053</v>
      </c>
      <c r="H81" s="55"/>
      <c r="I81" s="55"/>
      <c r="J81" s="55" t="s">
        <v>717</v>
      </c>
      <c r="K81" s="55" t="s">
        <v>251</v>
      </c>
      <c r="L81" s="55" t="s">
        <v>1053</v>
      </c>
      <c r="M81" s="55" t="s">
        <v>2090</v>
      </c>
      <c r="N81" s="52"/>
      <c r="O81" s="55"/>
      <c r="P81" s="37" t="str">
        <f>IFERROR(__xludf.DUMMYFUNCTION("XLOOKUP(JOIN(""/"",$A81:$B81),'source isilon_divまとめ'!$A:$A,'source isilon_divまとめ'!$D:$D,XLOOKUP(JOIN(""\"",$A81:$B81),'source NetApp-file-sv01-div'!A:A,TEXT('source NetApp-file-sv01-div'!C:C,""yyyy/mm/dd"")))"),"#N/A")</f>
        <v>#N/A</v>
      </c>
    </row>
    <row r="82">
      <c r="A82" s="52" t="s">
        <v>717</v>
      </c>
      <c r="B82" s="52" t="s">
        <v>223</v>
      </c>
      <c r="C82" s="46" t="s">
        <v>986</v>
      </c>
      <c r="D82" s="53">
        <f>IFERROR(__xludf.DUMMYFUNCTION("XLOOKUP(JOIN(""/"",$A82:$B82),'source merged_div_data'!$A:$A,'source merged_div_data'!B:B)"),29.0)</f>
        <v>29</v>
      </c>
      <c r="E82" s="53">
        <f>IFERROR(__xludf.DUMMYFUNCTION("XLOOKUP(JOIN(""/"",$A82:$B82),'source merged_div_data'!$A:$A,'source merged_div_data'!C:C)"),0.0)</f>
        <v>0</v>
      </c>
      <c r="F82" s="54" t="str">
        <f t="array" ref="F82">IFERROR(
  IFS(
    XLOOKUP(TEXTJOIN("/", TRUE, $A82:$B82), 'source merged_div_data'!$A:$A, 'source merged_div_data'!F:F) &lt; 1024,
      XLOOKUP(TEXTJOIN("/", TRUE, $A82:$B82), 'source merged_div_data'!$A:$A, 'source merged_div_data'!F:F) &amp; " B",
    XLOOKUP(TEXTJOIN("/", TRUE, $A82:$B82), 'source merged_div_data'!$A:$A, 'source merged_div_data'!F:F) &lt; 1048576,
      ROUND(XLOOKUP(TEXTJOIN("/", TRUE, $A82:$B82), 'source merged_div_data'!$A:$A, 'source merged_div_data'!F:F)/1024, 2) &amp; " KB",
    XLOOKUP(TEXTJOIN("/", TRUE, $A82:$B82), 'source merged_div_data'!$A:$A, 'source merged_div_data'!F:F) &lt; 1073741824,
      ROUND(XLOOKUP(TEXTJOIN("/", TRUE, $A82:$B82), 'source merged_div_data'!$A:$A, 'source merged_div_data'!F:F)/1048576, 2) &amp; " MB",
    TRUE,
      ROUND(XLOOKUP(TEXTJOIN("/", TRUE, $A82:$B82), 'source merged_div_data'!$A:$A, 'source merged_div_data'!F:F)/1073741824, 2) &amp; " GB"
  ),
  "×"
)</f>
        <v>901 B</v>
      </c>
      <c r="G82" s="55" t="s">
        <v>1053</v>
      </c>
      <c r="H82" s="55"/>
      <c r="I82" s="55"/>
      <c r="J82" s="55" t="s">
        <v>717</v>
      </c>
      <c r="K82" s="55" t="s">
        <v>223</v>
      </c>
      <c r="L82" s="55" t="s">
        <v>1053</v>
      </c>
      <c r="M82" s="55" t="s">
        <v>2111</v>
      </c>
      <c r="N82" s="52"/>
      <c r="O82" s="55"/>
      <c r="P82" s="37" t="str">
        <f>IFERROR(__xludf.DUMMYFUNCTION("XLOOKUP(JOIN(""/"",$A82:$B82),'source isilon_divまとめ'!$A:$A,'source isilon_divまとめ'!$D:$D,XLOOKUP(JOIN(""\"",$A82:$B82),'source NetApp-file-sv01-div'!A:A,TEXT('source NetApp-file-sv01-div'!C:C,""yyyy/mm/dd"")))"),"#N/A")</f>
        <v>#N/A</v>
      </c>
    </row>
    <row r="83">
      <c r="A83" s="52" t="s">
        <v>717</v>
      </c>
      <c r="B83" s="52" t="s">
        <v>722</v>
      </c>
      <c r="C83" s="46" t="s">
        <v>986</v>
      </c>
      <c r="D83" s="53">
        <f>IFERROR(__xludf.DUMMYFUNCTION("XLOOKUP(JOIN(""/"",$A83:$B83),'source merged_div_data'!$A:$A,'source merged_div_data'!B:B)"),24.0)</f>
        <v>24</v>
      </c>
      <c r="E83" s="53">
        <f>IFERROR(__xludf.DUMMYFUNCTION("XLOOKUP(JOIN(""/"",$A83:$B83),'source merged_div_data'!$A:$A,'source merged_div_data'!C:C)"),0.0)</f>
        <v>0</v>
      </c>
      <c r="F83" s="54" t="str">
        <f t="array" ref="F83">IFERROR(
  IFS(
    XLOOKUP(TEXTJOIN("/", TRUE, $A83:$B83), 'source merged_div_data'!$A:$A, 'source merged_div_data'!F:F) &lt; 1024,
      XLOOKUP(TEXTJOIN("/", TRUE, $A83:$B83), 'source merged_div_data'!$A:$A, 'source merged_div_data'!F:F) &amp; " B",
    XLOOKUP(TEXTJOIN("/", TRUE, $A83:$B83), 'source merged_div_data'!$A:$A, 'source merged_div_data'!F:F) &lt; 1048576,
      ROUND(XLOOKUP(TEXTJOIN("/", TRUE, $A83:$B83), 'source merged_div_data'!$A:$A, 'source merged_div_data'!F:F)/1024, 2) &amp; " KB",
    XLOOKUP(TEXTJOIN("/", TRUE, $A83:$B83), 'source merged_div_data'!$A:$A, 'source merged_div_data'!F:F) &lt; 1073741824,
      ROUND(XLOOKUP(TEXTJOIN("/", TRUE, $A83:$B83), 'source merged_div_data'!$A:$A, 'source merged_div_data'!F:F)/1048576, 2) &amp; " MB",
    TRUE,
      ROUND(XLOOKUP(TEXTJOIN("/", TRUE, $A83:$B83), 'source merged_div_data'!$A:$A, 'source merged_div_data'!F:F)/1073741824, 2) &amp; " GB"
  ),
  "×"
)</f>
        <v>791 B</v>
      </c>
      <c r="G83" s="55" t="s">
        <v>1053</v>
      </c>
      <c r="H83" s="55"/>
      <c r="I83" s="55"/>
      <c r="J83" s="55" t="s">
        <v>717</v>
      </c>
      <c r="K83" s="55" t="s">
        <v>221</v>
      </c>
      <c r="L83" s="55" t="s">
        <v>1053</v>
      </c>
      <c r="M83" s="55" t="s">
        <v>2212</v>
      </c>
      <c r="N83" s="52"/>
      <c r="O83" s="55"/>
      <c r="P83" s="37" t="str">
        <f>IFERROR(__xludf.DUMMYFUNCTION("XLOOKUP(JOIN(""/"",$A83:$B83),'source isilon_divまとめ'!$A:$A,'source isilon_divまとめ'!$D:$D,XLOOKUP(JOIN(""\"",$A83:$B83),'source NetApp-file-sv01-div'!A:A,TEXT('source NetApp-file-sv01-div'!C:C,""yyyy/mm/dd"")))"),"#N/A")</f>
        <v>#N/A</v>
      </c>
    </row>
    <row r="84">
      <c r="A84" s="52" t="s">
        <v>717</v>
      </c>
      <c r="B84" s="52" t="s">
        <v>725</v>
      </c>
      <c r="C84" s="46" t="s">
        <v>986</v>
      </c>
      <c r="D84" s="53">
        <f>IFERROR(__xludf.DUMMYFUNCTION("XLOOKUP(JOIN(""/"",$A84:$B84),'source merged_div_data'!$A:$A,'source merged_div_data'!B:B)"),41.0)</f>
        <v>41</v>
      </c>
      <c r="E84" s="53">
        <f>IFERROR(__xludf.DUMMYFUNCTION("XLOOKUP(JOIN(""/"",$A84:$B84),'source merged_div_data'!$A:$A,'source merged_div_data'!C:C)"),0.0)</f>
        <v>0</v>
      </c>
      <c r="F84" s="54" t="str">
        <f t="array" ref="F84">IFERROR(
  IFS(
    XLOOKUP(TEXTJOIN("/", TRUE, $A84:$B84), 'source merged_div_data'!$A:$A, 'source merged_div_data'!F:F) &lt; 1024,
      XLOOKUP(TEXTJOIN("/", TRUE, $A84:$B84), 'source merged_div_data'!$A:$A, 'source merged_div_data'!F:F) &amp; " B",
    XLOOKUP(TEXTJOIN("/", TRUE, $A84:$B84), 'source merged_div_data'!$A:$A, 'source merged_div_data'!F:F) &lt; 1048576,
      ROUND(XLOOKUP(TEXTJOIN("/", TRUE, $A84:$B84), 'source merged_div_data'!$A:$A, 'source merged_div_data'!F:F)/1024, 2) &amp; " KB",
    XLOOKUP(TEXTJOIN("/", TRUE, $A84:$B84), 'source merged_div_data'!$A:$A, 'source merged_div_data'!F:F) &lt; 1073741824,
      ROUND(XLOOKUP(TEXTJOIN("/", TRUE, $A84:$B84), 'source merged_div_data'!$A:$A, 'source merged_div_data'!F:F)/1048576, 2) &amp; " MB",
    TRUE,
      ROUND(XLOOKUP(TEXTJOIN("/", TRUE, $A84:$B84), 'source merged_div_data'!$A:$A, 'source merged_div_data'!F:F)/1073741824, 2) &amp; " GB"
  ),
  "×"
)</f>
        <v>1.33 KB</v>
      </c>
      <c r="G84" s="55" t="s">
        <v>1053</v>
      </c>
      <c r="H84" s="55"/>
      <c r="I84" s="55"/>
      <c r="J84" s="55" t="s">
        <v>717</v>
      </c>
      <c r="K84" s="55" t="s">
        <v>225</v>
      </c>
      <c r="L84" s="55" t="s">
        <v>1053</v>
      </c>
      <c r="M84" s="55" t="s">
        <v>2213</v>
      </c>
      <c r="N84" s="52"/>
      <c r="O84" s="55"/>
      <c r="P84" s="37" t="str">
        <f>IFERROR(__xludf.DUMMYFUNCTION("XLOOKUP(JOIN(""/"",$A84:$B84),'source isilon_divまとめ'!$A:$A,'source isilon_divまとめ'!$D:$D,XLOOKUP(JOIN(""\"",$A84:$B84),'source NetApp-file-sv01-div'!A:A,TEXT('source NetApp-file-sv01-div'!C:C,""yyyy/mm/dd"")))"),"#N/A")</f>
        <v>#N/A</v>
      </c>
    </row>
    <row r="85">
      <c r="A85" s="52" t="s">
        <v>717</v>
      </c>
      <c r="B85" s="52" t="s">
        <v>1111</v>
      </c>
      <c r="C85" s="46" t="s">
        <v>986</v>
      </c>
      <c r="D85" s="53">
        <f>IFERROR(__xludf.DUMMYFUNCTION("XLOOKUP(JOIN(""/"",$A85:$B85),'source merged_div_data'!$A:$A,'source merged_div_data'!B:B)"),1.0)</f>
        <v>1</v>
      </c>
      <c r="E85" s="53">
        <f>IFERROR(__xludf.DUMMYFUNCTION("XLOOKUP(JOIN(""/"",$A85:$B85),'source merged_div_data'!$A:$A,'source merged_div_data'!C:C)"),0.0)</f>
        <v>0</v>
      </c>
      <c r="F85" s="54" t="str">
        <f t="array" ref="F85">IFERROR(
  IFS(
    XLOOKUP(TEXTJOIN("/", TRUE, $A85:$B85), 'source merged_div_data'!$A:$A, 'source merged_div_data'!F:F) &lt; 1024,
      XLOOKUP(TEXTJOIN("/", TRUE, $A85:$B85), 'source merged_div_data'!$A:$A, 'source merged_div_data'!F:F) &amp; " B",
    XLOOKUP(TEXTJOIN("/", TRUE, $A85:$B85), 'source merged_div_data'!$A:$A, 'source merged_div_data'!F:F) &lt; 1048576,
      ROUND(XLOOKUP(TEXTJOIN("/", TRUE, $A85:$B85), 'source merged_div_data'!$A:$A, 'source merged_div_data'!F:F)/1024, 2) &amp; " KB",
    XLOOKUP(TEXTJOIN("/", TRUE, $A85:$B85), 'source merged_div_data'!$A:$A, 'source merged_div_data'!F:F) &lt; 1073741824,
      ROUND(XLOOKUP(TEXTJOIN("/", TRUE, $A85:$B85), 'source merged_div_data'!$A:$A, 'source merged_div_data'!F:F)/1048576, 2) &amp; " MB",
    TRUE,
      ROUND(XLOOKUP(TEXTJOIN("/", TRUE, $A85:$B85), 'source merged_div_data'!$A:$A, 'source merged_div_data'!F:F)/1073741824, 2) &amp; " GB"
  ),
  "×"
)</f>
        <v>0 B</v>
      </c>
      <c r="G85" s="55" t="s">
        <v>1053</v>
      </c>
      <c r="H85" s="55"/>
      <c r="I85" s="55"/>
      <c r="J85" s="55" t="s">
        <v>717</v>
      </c>
      <c r="K85" s="55" t="s">
        <v>1053</v>
      </c>
      <c r="L85" s="46" t="s">
        <v>2100</v>
      </c>
      <c r="M85" s="46" t="s">
        <v>1053</v>
      </c>
      <c r="N85" s="52"/>
      <c r="O85" s="55"/>
      <c r="P85" s="37" t="str">
        <f>IFERROR(__xludf.DUMMYFUNCTION("XLOOKUP(JOIN(""/"",$A85:$B85),'source isilon_divまとめ'!$A:$A,'source isilon_divまとめ'!$D:$D,XLOOKUP(JOIN(""\"",$A85:$B85),'source NetApp-file-sv01-div'!A:A,TEXT('source NetApp-file-sv01-div'!C:C,""yyyy/mm/dd"")))"),"#N/A")</f>
        <v>#N/A</v>
      </c>
    </row>
    <row r="86">
      <c r="A86" s="52" t="s">
        <v>717</v>
      </c>
      <c r="B86" s="52" t="s">
        <v>730</v>
      </c>
      <c r="C86" s="46" t="s">
        <v>986</v>
      </c>
      <c r="D86" s="53">
        <f>IFERROR(__xludf.DUMMYFUNCTION("XLOOKUP(JOIN(""/"",$A86:$B86),'source merged_div_data'!$A:$A,'source merged_div_data'!B:B)"),29.0)</f>
        <v>29</v>
      </c>
      <c r="E86" s="53">
        <f>IFERROR(__xludf.DUMMYFUNCTION("XLOOKUP(JOIN(""/"",$A86:$B86),'source merged_div_data'!$A:$A,'source merged_div_data'!C:C)"),0.0)</f>
        <v>0</v>
      </c>
      <c r="F86" s="54" t="str">
        <f t="array" ref="F86">IFERROR(
  IFS(
    XLOOKUP(TEXTJOIN("/", TRUE, $A86:$B86), 'source merged_div_data'!$A:$A, 'source merged_div_data'!F:F) &lt; 1024,
      XLOOKUP(TEXTJOIN("/", TRUE, $A86:$B86), 'source merged_div_data'!$A:$A, 'source merged_div_data'!F:F) &amp; " B",
    XLOOKUP(TEXTJOIN("/", TRUE, $A86:$B86), 'source merged_div_data'!$A:$A, 'source merged_div_data'!F:F) &lt; 1048576,
      ROUND(XLOOKUP(TEXTJOIN("/", TRUE, $A86:$B86), 'source merged_div_data'!$A:$A, 'source merged_div_data'!F:F)/1024, 2) &amp; " KB",
    XLOOKUP(TEXTJOIN("/", TRUE, $A86:$B86), 'source merged_div_data'!$A:$A, 'source merged_div_data'!F:F) &lt; 1073741824,
      ROUND(XLOOKUP(TEXTJOIN("/", TRUE, $A86:$B86), 'source merged_div_data'!$A:$A, 'source merged_div_data'!F:F)/1048576, 2) &amp; " MB",
    TRUE,
      ROUND(XLOOKUP(TEXTJOIN("/", TRUE, $A86:$B86), 'source merged_div_data'!$A:$A, 'source merged_div_data'!F:F)/1073741824, 2) &amp; " GB"
  ),
  "×"
)</f>
        <v>999 B</v>
      </c>
      <c r="G86" s="55" t="s">
        <v>1053</v>
      </c>
      <c r="H86" s="55"/>
      <c r="I86" s="55"/>
      <c r="J86" s="55" t="s">
        <v>717</v>
      </c>
      <c r="K86" s="55" t="s">
        <v>730</v>
      </c>
      <c r="L86" s="55" t="s">
        <v>1053</v>
      </c>
      <c r="M86" s="55" t="s">
        <v>2154</v>
      </c>
      <c r="N86" s="52"/>
      <c r="O86" s="55"/>
      <c r="P86" s="37" t="str">
        <f>IFERROR(__xludf.DUMMYFUNCTION("XLOOKUP(JOIN(""/"",$A86:$B86),'source isilon_divまとめ'!$A:$A,'source isilon_divまとめ'!$D:$D,XLOOKUP(JOIN(""\"",$A86:$B86),'source NetApp-file-sv01-div'!A:A,TEXT('source NetApp-file-sv01-div'!C:C,""yyyy/mm/dd"")))"),"#N/A")</f>
        <v>#N/A</v>
      </c>
    </row>
    <row r="87">
      <c r="A87" s="52" t="s">
        <v>717</v>
      </c>
      <c r="B87" s="52" t="s">
        <v>720</v>
      </c>
      <c r="C87" s="46" t="s">
        <v>986</v>
      </c>
      <c r="D87" s="53">
        <f>IFERROR(__xludf.DUMMYFUNCTION("XLOOKUP(JOIN(""/"",$A87:$B87),'source merged_div_data'!$A:$A,'source merged_div_data'!B:B)"),44.0)</f>
        <v>44</v>
      </c>
      <c r="E87" s="53">
        <f>IFERROR(__xludf.DUMMYFUNCTION("XLOOKUP(JOIN(""/"",$A87:$B87),'source merged_div_data'!$A:$A,'source merged_div_data'!C:C)"),0.0)</f>
        <v>0</v>
      </c>
      <c r="F87" s="54" t="str">
        <f t="array" ref="F87">IFERROR(
  IFS(
    XLOOKUP(TEXTJOIN("/", TRUE, $A87:$B87), 'source merged_div_data'!$A:$A, 'source merged_div_data'!F:F) &lt; 1024,
      XLOOKUP(TEXTJOIN("/", TRUE, $A87:$B87), 'source merged_div_data'!$A:$A, 'source merged_div_data'!F:F) &amp; " B",
    XLOOKUP(TEXTJOIN("/", TRUE, $A87:$B87), 'source merged_div_data'!$A:$A, 'source merged_div_data'!F:F) &lt; 1048576,
      ROUND(XLOOKUP(TEXTJOIN("/", TRUE, $A87:$B87), 'source merged_div_data'!$A:$A, 'source merged_div_data'!F:F)/1024, 2) &amp; " KB",
    XLOOKUP(TEXTJOIN("/", TRUE, $A87:$B87), 'source merged_div_data'!$A:$A, 'source merged_div_data'!F:F) &lt; 1073741824,
      ROUND(XLOOKUP(TEXTJOIN("/", TRUE, $A87:$B87), 'source merged_div_data'!$A:$A, 'source merged_div_data'!F:F)/1048576, 2) &amp; " MB",
    TRUE,
      ROUND(XLOOKUP(TEXTJOIN("/", TRUE, $A87:$B87), 'source merged_div_data'!$A:$A, 'source merged_div_data'!F:F)/1073741824, 2) &amp; " GB"
  ),
  "×"
)</f>
        <v>1.34 KB</v>
      </c>
      <c r="G87" s="55" t="s">
        <v>1053</v>
      </c>
      <c r="H87" s="55"/>
      <c r="I87" s="55"/>
      <c r="J87" s="55" t="s">
        <v>717</v>
      </c>
      <c r="K87" s="55" t="s">
        <v>219</v>
      </c>
      <c r="L87" s="55" t="s">
        <v>1053</v>
      </c>
      <c r="M87" s="55" t="s">
        <v>2214</v>
      </c>
      <c r="N87" s="52"/>
      <c r="O87" s="55"/>
      <c r="P87" s="37" t="str">
        <f>IFERROR(__xludf.DUMMYFUNCTION("XLOOKUP(JOIN(""/"",$A87:$B87),'source isilon_divまとめ'!$A:$A,'source isilon_divまとめ'!$D:$D,XLOOKUP(JOIN(""\"",$A87:$B87),'source NetApp-file-sv01-div'!A:A,TEXT('source NetApp-file-sv01-div'!C:C,""yyyy/mm/dd"")))"),"#N/A")</f>
        <v>#N/A</v>
      </c>
    </row>
    <row r="88">
      <c r="A88" s="52" t="s">
        <v>717</v>
      </c>
      <c r="B88" s="52" t="s">
        <v>1162</v>
      </c>
      <c r="C88" s="46" t="s">
        <v>986</v>
      </c>
      <c r="D88" s="53">
        <f>IFERROR(__xludf.DUMMYFUNCTION("XLOOKUP(JOIN(""/"",$A88:$B88),'source merged_div_data'!$A:$A,'source merged_div_data'!B:B)"),70.0)</f>
        <v>70</v>
      </c>
      <c r="E88" s="53">
        <f>IFERROR(__xludf.DUMMYFUNCTION("XLOOKUP(JOIN(""/"",$A88:$B88),'source merged_div_data'!$A:$A,'source merged_div_data'!C:C)"),0.0)</f>
        <v>0</v>
      </c>
      <c r="F88" s="54" t="str">
        <f t="array" ref="F88">IFERROR(
  IFS(
    XLOOKUP(TEXTJOIN("/", TRUE, $A88:$B88), 'source merged_div_data'!$A:$A, 'source merged_div_data'!F:F) &lt; 1024,
      XLOOKUP(TEXTJOIN("/", TRUE, $A88:$B88), 'source merged_div_data'!$A:$A, 'source merged_div_data'!F:F) &amp; " B",
    XLOOKUP(TEXTJOIN("/", TRUE, $A88:$B88), 'source merged_div_data'!$A:$A, 'source merged_div_data'!F:F) &lt; 1048576,
      ROUND(XLOOKUP(TEXTJOIN("/", TRUE, $A88:$B88), 'source merged_div_data'!$A:$A, 'source merged_div_data'!F:F)/1024, 2) &amp; " KB",
    XLOOKUP(TEXTJOIN("/", TRUE, $A88:$B88), 'source merged_div_data'!$A:$A, 'source merged_div_data'!F:F) &lt; 1073741824,
      ROUND(XLOOKUP(TEXTJOIN("/", TRUE, $A88:$B88), 'source merged_div_data'!$A:$A, 'source merged_div_data'!F:F)/1048576, 2) &amp; " MB",
    TRUE,
      ROUND(XLOOKUP(TEXTJOIN("/", TRUE, $A88:$B88), 'source merged_div_data'!$A:$A, 'source merged_div_data'!F:F)/1073741824, 2) &amp; " GB"
  ),
  "×"
)</f>
        <v>2.43 KB</v>
      </c>
      <c r="G88" s="55" t="s">
        <v>1053</v>
      </c>
      <c r="H88" s="55"/>
      <c r="I88" s="55"/>
      <c r="J88" s="55" t="str">
        <f t="array" ref="J88">XLOOKUP(K88,'部署遍歴'!D:D,'部署遍歴'!B:B,"×")</f>
        <v>デジタルエンターテインメントオペレーションズ本部</v>
      </c>
      <c r="K88" s="55" t="s">
        <v>738</v>
      </c>
      <c r="L88" s="46" t="s">
        <v>2100</v>
      </c>
      <c r="M88" s="46" t="s">
        <v>1053</v>
      </c>
      <c r="N88" s="52"/>
      <c r="O88" s="55"/>
      <c r="P88" s="37" t="str">
        <f>IFERROR(__xludf.DUMMYFUNCTION("XLOOKUP(JOIN(""/"",$A88:$B88),'source isilon_divまとめ'!$A:$A,'source isilon_divまとめ'!$D:$D,XLOOKUP(JOIN(""\"",$A88:$B88),'source NetApp-file-sv01-div'!A:A,TEXT('source NetApp-file-sv01-div'!C:C,""yyyy/mm/dd"")))"),"#N/A")</f>
        <v>#N/A</v>
      </c>
    </row>
    <row r="89">
      <c r="A89" s="52" t="s">
        <v>717</v>
      </c>
      <c r="B89" s="52" t="s">
        <v>1163</v>
      </c>
      <c r="C89" s="46" t="s">
        <v>986</v>
      </c>
      <c r="D89" s="53">
        <f>IFERROR(__xludf.DUMMYFUNCTION("XLOOKUP(JOIN(""/"",$A89:$B89),'source merged_div_data'!$A:$A,'source merged_div_data'!B:B)"),43.0)</f>
        <v>43</v>
      </c>
      <c r="E89" s="53">
        <f>IFERROR(__xludf.DUMMYFUNCTION("XLOOKUP(JOIN(""/"",$A89:$B89),'source merged_div_data'!$A:$A,'source merged_div_data'!C:C)"),0.0)</f>
        <v>0</v>
      </c>
      <c r="F89" s="54" t="str">
        <f t="array" ref="F89">IFERROR(
  IFS(
    XLOOKUP(TEXTJOIN("/", TRUE, $A89:$B89), 'source merged_div_data'!$A:$A, 'source merged_div_data'!F:F) &lt; 1024,
      XLOOKUP(TEXTJOIN("/", TRUE, $A89:$B89), 'source merged_div_data'!$A:$A, 'source merged_div_data'!F:F) &amp; " B",
    XLOOKUP(TEXTJOIN("/", TRUE, $A89:$B89), 'source merged_div_data'!$A:$A, 'source merged_div_data'!F:F) &lt; 1048576,
      ROUND(XLOOKUP(TEXTJOIN("/", TRUE, $A89:$B89), 'source merged_div_data'!$A:$A, 'source merged_div_data'!F:F)/1024, 2) &amp; " KB",
    XLOOKUP(TEXTJOIN("/", TRUE, $A89:$B89), 'source merged_div_data'!$A:$A, 'source merged_div_data'!F:F) &lt; 1073741824,
      ROUND(XLOOKUP(TEXTJOIN("/", TRUE, $A89:$B89), 'source merged_div_data'!$A:$A, 'source merged_div_data'!F:F)/1048576, 2) &amp; " MB",
    TRUE,
      ROUND(XLOOKUP(TEXTJOIN("/", TRUE, $A89:$B89), 'source merged_div_data'!$A:$A, 'source merged_div_data'!F:F)/1073741824, 2) &amp; " GB"
  ),
  "×"
)</f>
        <v>1.36 KB</v>
      </c>
      <c r="G89" s="55" t="s">
        <v>1053</v>
      </c>
      <c r="H89" s="55"/>
      <c r="I89" s="55"/>
      <c r="J89" s="55" t="s">
        <v>717</v>
      </c>
      <c r="K89" s="55" t="s">
        <v>217</v>
      </c>
      <c r="L89" s="55" t="s">
        <v>1053</v>
      </c>
      <c r="M89" s="55" t="s">
        <v>2215</v>
      </c>
      <c r="N89" s="52"/>
      <c r="O89" s="55"/>
      <c r="P89" s="37" t="str">
        <f>IFERROR(__xludf.DUMMYFUNCTION("XLOOKUP(JOIN(""/"",$A89:$B89),'source isilon_divまとめ'!$A:$A,'source isilon_divまとめ'!$D:$D,XLOOKUP(JOIN(""\"",$A89:$B89),'source NetApp-file-sv01-div'!A:A,TEXT('source NetApp-file-sv01-div'!C:C,""yyyy/mm/dd"")))"),"#N/A")</f>
        <v>#N/A</v>
      </c>
    </row>
    <row r="90">
      <c r="A90" s="52" t="s">
        <v>1164</v>
      </c>
      <c r="B90" s="52" t="s">
        <v>1139</v>
      </c>
      <c r="C90" s="46" t="s">
        <v>988</v>
      </c>
      <c r="D90" s="53">
        <f>IFERROR(__xludf.DUMMYFUNCTION("XLOOKUP(JOIN(""/"",$A90:$B90),'source merged_div_data'!$A:$A,'source merged_div_data'!B:B)"),1.0)</f>
        <v>1</v>
      </c>
      <c r="E90" s="53">
        <f>IFERROR(__xludf.DUMMYFUNCTION("XLOOKUP(JOIN(""/"",$A90:$B90),'source merged_div_data'!$A:$A,'source merged_div_data'!C:C)"),0.0)</f>
        <v>0</v>
      </c>
      <c r="F90" s="54" t="str">
        <f t="array" ref="F90">IFERROR(
  IFS(
    XLOOKUP(TEXTJOIN("/", TRUE, $A90:$B90), 'source merged_div_data'!$A:$A, 'source merged_div_data'!F:F) &lt; 1024,
      XLOOKUP(TEXTJOIN("/", TRUE, $A90:$B90), 'source merged_div_data'!$A:$A, 'source merged_div_data'!F:F) &amp; " B",
    XLOOKUP(TEXTJOIN("/", TRUE, $A90:$B90), 'source merged_div_data'!$A:$A, 'source merged_div_data'!F:F) &lt; 1048576,
      ROUND(XLOOKUP(TEXTJOIN("/", TRUE, $A90:$B90), 'source merged_div_data'!$A:$A, 'source merged_div_data'!F:F)/1024, 2) &amp; " KB",
    XLOOKUP(TEXTJOIN("/", TRUE, $A90:$B90), 'source merged_div_data'!$A:$A, 'source merged_div_data'!F:F) &lt; 1073741824,
      ROUND(XLOOKUP(TEXTJOIN("/", TRUE, $A90:$B90), 'source merged_div_data'!$A:$A, 'source merged_div_data'!F:F)/1048576, 2) &amp; " MB",
    TRUE,
      ROUND(XLOOKUP(TEXTJOIN("/", TRUE, $A90:$B90), 'source merged_div_data'!$A:$A, 'source merged_div_data'!F:F)/1073741824, 2) &amp; " GB"
  ),
  "×"
)</f>
        <v>0 B</v>
      </c>
      <c r="G90" s="55" t="s">
        <v>1053</v>
      </c>
      <c r="H90" s="55"/>
      <c r="I90" s="55"/>
      <c r="J90" s="46" t="s">
        <v>1165</v>
      </c>
      <c r="K90" s="55"/>
      <c r="L90" s="55" t="s">
        <v>1053</v>
      </c>
      <c r="M90" s="55" t="s">
        <v>1053</v>
      </c>
      <c r="N90" s="52" t="s">
        <v>1140</v>
      </c>
      <c r="O90" s="46" t="s">
        <v>1165</v>
      </c>
      <c r="P90" s="37" t="str">
        <f>IFERROR(__xludf.DUMMYFUNCTION("XLOOKUP(JOIN(""/"",$A90:$B90),'source isilon_divまとめ'!$A:$A,'source isilon_divまとめ'!$D:$D,XLOOKUP(JOIN(""\"",$A90:$B90),'source NetApp-file-sv01-div'!A:A,TEXT('source NetApp-file-sv01-div'!C:C,""yyyy/mm/dd"")))"),"#N/A")</f>
        <v>#N/A</v>
      </c>
    </row>
    <row r="91">
      <c r="A91" s="8" t="s">
        <v>1166</v>
      </c>
      <c r="B91" s="8" t="s">
        <v>1167</v>
      </c>
      <c r="C91" s="7" t="s">
        <v>988</v>
      </c>
      <c r="D91" s="56">
        <f>IFERROR(__xludf.DUMMYFUNCTION("XLOOKUP(JOIN(""/"",$A91:$B91),'source merged_div_data'!$A:$A,'source merged_div_data'!B:B)"),13.0)</f>
        <v>13</v>
      </c>
      <c r="E91" s="56">
        <f>IFERROR(__xludf.DUMMYFUNCTION("XLOOKUP(JOIN(""/"",$A91:$B91),'source merged_div_data'!$A:$A,'source merged_div_data'!C:C)"),4.0)</f>
        <v>4</v>
      </c>
      <c r="F91" s="54" t="str">
        <f t="array" ref="F91">IFERROR(
  IFS(
    XLOOKUP(TEXTJOIN("/", TRUE, $A91:$B91), 'source merged_div_data'!$A:$A, 'source merged_div_data'!F:F) &lt; 1024,
      XLOOKUP(TEXTJOIN("/", TRUE, $A91:$B91), 'source merged_div_data'!$A:$A, 'source merged_div_data'!F:F) &amp; " B",
    XLOOKUP(TEXTJOIN("/", TRUE, $A91:$B91), 'source merged_div_data'!$A:$A, 'source merged_div_data'!F:F) &lt; 1048576,
      ROUND(XLOOKUP(TEXTJOIN("/", TRUE, $A91:$B91), 'source merged_div_data'!$A:$A, 'source merged_div_data'!F:F)/1024, 2) &amp; " KB",
    XLOOKUP(TEXTJOIN("/", TRUE, $A91:$B91), 'source merged_div_data'!$A:$A, 'source merged_div_data'!F:F) &lt; 1073741824,
      ROUND(XLOOKUP(TEXTJOIN("/", TRUE, $A91:$B91), 'source merged_div_data'!$A:$A, 'source merged_div_data'!F:F)/1048576, 2) &amp; " MB",
    TRUE,
      ROUND(XLOOKUP(TEXTJOIN("/", TRUE, $A91:$B91), 'source merged_div_data'!$A:$A, 'source merged_div_data'!F:F)/1073741824, 2) &amp; " GB"
  ),
  "×"
)</f>
        <v>1.74 GB</v>
      </c>
      <c r="G91" s="57" t="s">
        <v>2216</v>
      </c>
      <c r="H91" s="58" t="s">
        <v>2177</v>
      </c>
      <c r="I91" s="57"/>
      <c r="J91" s="7" t="s">
        <v>1103</v>
      </c>
      <c r="L91" s="37" t="s">
        <v>1053</v>
      </c>
      <c r="M91" s="37" t="s">
        <v>1053</v>
      </c>
      <c r="N91" s="8" t="s">
        <v>1102</v>
      </c>
      <c r="O91" s="7" t="s">
        <v>1103</v>
      </c>
      <c r="P91" s="57" t="str">
        <f>IFERROR(__xludf.DUMMYFUNCTION("XLOOKUP(JOIN(""/"",$A91:$B91),'source isilon_divまとめ'!$A:$A,'source isilon_divまとめ'!$D:$D,XLOOKUP(JOIN(""\"",$A91:$B91),'source NetApp-file-sv01-div'!A:A,TEXT('source NetApp-file-sv01-div'!C:C,""yyyy/mm/dd"")))"),"2016/07/05")</f>
        <v>2016/07/05</v>
      </c>
    </row>
    <row r="92">
      <c r="A92" s="8" t="s">
        <v>1166</v>
      </c>
      <c r="B92" s="8" t="s">
        <v>1133</v>
      </c>
      <c r="C92" s="7" t="s">
        <v>988</v>
      </c>
      <c r="D92" s="56">
        <f>IFERROR(__xludf.DUMMYFUNCTION("XLOOKUP(JOIN(""/"",$A92:$B92),'source merged_div_data'!$A:$A,'source merged_div_data'!B:B)"),4363.0)</f>
        <v>4363</v>
      </c>
      <c r="E92" s="56">
        <f>IFERROR(__xludf.DUMMYFUNCTION("XLOOKUP(JOIN(""/"",$A92:$B92),'source merged_div_data'!$A:$A,'source merged_div_data'!C:C)"),29376.0)</f>
        <v>29376</v>
      </c>
      <c r="F92" s="54" t="str">
        <f t="array" ref="F92">IFERROR(
  IFS(
    XLOOKUP(TEXTJOIN("/", TRUE, $A92:$B92), 'source merged_div_data'!$A:$A, 'source merged_div_data'!F:F) &lt; 1024,
      XLOOKUP(TEXTJOIN("/", TRUE, $A92:$B92), 'source merged_div_data'!$A:$A, 'source merged_div_data'!F:F) &amp; " B",
    XLOOKUP(TEXTJOIN("/", TRUE, $A92:$B92), 'source merged_div_data'!$A:$A, 'source merged_div_data'!F:F) &lt; 1048576,
      ROUND(XLOOKUP(TEXTJOIN("/", TRUE, $A92:$B92), 'source merged_div_data'!$A:$A, 'source merged_div_data'!F:F)/1024, 2) &amp; " KB",
    XLOOKUP(TEXTJOIN("/", TRUE, $A92:$B92), 'source merged_div_data'!$A:$A, 'source merged_div_data'!F:F) &lt; 1073741824,
      ROUND(XLOOKUP(TEXTJOIN("/", TRUE, $A92:$B92), 'source merged_div_data'!$A:$A, 'source merged_div_data'!F:F)/1048576, 2) &amp; " MB",
    TRUE,
      ROUND(XLOOKUP(TEXTJOIN("/", TRUE, $A92:$B92), 'source merged_div_data'!$A:$A, 'source merged_div_data'!F:F)/1073741824, 2) &amp; " GB"
  ),
  "×"
)</f>
        <v>60.25 GB</v>
      </c>
      <c r="G92" s="57" t="s">
        <v>2217</v>
      </c>
      <c r="H92" s="58" t="s">
        <v>2177</v>
      </c>
      <c r="I92" s="57"/>
      <c r="J92" s="7" t="s">
        <v>1069</v>
      </c>
      <c r="L92" s="37" t="s">
        <v>1053</v>
      </c>
      <c r="M92" s="37" t="s">
        <v>1053</v>
      </c>
      <c r="N92" s="8" t="s">
        <v>1102</v>
      </c>
      <c r="O92" s="7" t="s">
        <v>1069</v>
      </c>
      <c r="P92" s="57" t="str">
        <f>IFERROR(__xludf.DUMMYFUNCTION("XLOOKUP(JOIN(""/"",$A92:$B92),'source isilon_divまとめ'!$A:$A,'source isilon_divまとめ'!$D:$D,XLOOKUP(JOIN(""\"",$A92:$B92),'source NetApp-file-sv01-div'!A:A,TEXT('source NetApp-file-sv01-div'!C:C,""yyyy/mm/dd"")))"),"2020/04/02")</f>
        <v>2020/04/02</v>
      </c>
    </row>
    <row r="93">
      <c r="A93" s="8" t="s">
        <v>1166</v>
      </c>
      <c r="B93" s="8" t="s">
        <v>1168</v>
      </c>
      <c r="C93" s="7" t="s">
        <v>988</v>
      </c>
      <c r="D93" s="56">
        <f>IFERROR(__xludf.DUMMYFUNCTION("XLOOKUP(JOIN(""/"",$A93:$B93),'source merged_div_data'!$A:$A,'source merged_div_data'!B:B)"),43.0)</f>
        <v>43</v>
      </c>
      <c r="E93" s="56">
        <f>IFERROR(__xludf.DUMMYFUNCTION("XLOOKUP(JOIN(""/"",$A93:$B93),'source merged_div_data'!$A:$A,'source merged_div_data'!C:C)"),2.0)</f>
        <v>2</v>
      </c>
      <c r="F93" s="54" t="str">
        <f t="array" ref="F93">IFERROR(
  IFS(
    XLOOKUP(TEXTJOIN("/", TRUE, $A93:$B93), 'source merged_div_data'!$A:$A, 'source merged_div_data'!F:F) &lt; 1024,
      XLOOKUP(TEXTJOIN("/", TRUE, $A93:$B93), 'source merged_div_data'!$A:$A, 'source merged_div_data'!F:F) &amp; " B",
    XLOOKUP(TEXTJOIN("/", TRUE, $A93:$B93), 'source merged_div_data'!$A:$A, 'source merged_div_data'!F:F) &lt; 1048576,
      ROUND(XLOOKUP(TEXTJOIN("/", TRUE, $A93:$B93), 'source merged_div_data'!$A:$A, 'source merged_div_data'!F:F)/1024, 2) &amp; " KB",
    XLOOKUP(TEXTJOIN("/", TRUE, $A93:$B93), 'source merged_div_data'!$A:$A, 'source merged_div_data'!F:F) &lt; 1073741824,
      ROUND(XLOOKUP(TEXTJOIN("/", TRUE, $A93:$B93), 'source merged_div_data'!$A:$A, 'source merged_div_data'!F:F)/1048576, 2) &amp; " MB",
    TRUE,
      ROUND(XLOOKUP(TEXTJOIN("/", TRUE, $A93:$B93), 'source merged_div_data'!$A:$A, 'source merged_div_data'!F:F)/1073741824, 2) &amp; " GB"
  ),
  "×"
)</f>
        <v>4.76 GB</v>
      </c>
      <c r="G93" s="57" t="s">
        <v>2218</v>
      </c>
      <c r="H93" s="58" t="s">
        <v>2177</v>
      </c>
      <c r="I93" s="57"/>
      <c r="J93" s="7" t="s">
        <v>1069</v>
      </c>
      <c r="L93" s="37" t="s">
        <v>1053</v>
      </c>
      <c r="M93" s="37" t="s">
        <v>1053</v>
      </c>
      <c r="N93" s="8" t="s">
        <v>1102</v>
      </c>
      <c r="O93" s="7" t="s">
        <v>1069</v>
      </c>
      <c r="P93" s="57" t="str">
        <f>IFERROR(__xludf.DUMMYFUNCTION("XLOOKUP(JOIN(""/"",$A93:$B93),'source isilon_divまとめ'!$A:$A,'source isilon_divまとめ'!$D:$D,XLOOKUP(JOIN(""\"",$A93:$B93),'source NetApp-file-sv01-div'!A:A,TEXT('source NetApp-file-sv01-div'!C:C,""yyyy/mm/dd"")))"),"2017/10/24")</f>
        <v>2017/10/24</v>
      </c>
    </row>
    <row r="94">
      <c r="A94" s="52" t="s">
        <v>1166</v>
      </c>
      <c r="B94" s="52" t="s">
        <v>1169</v>
      </c>
      <c r="C94" s="46" t="s">
        <v>988</v>
      </c>
      <c r="D94" s="53">
        <f>IFERROR(__xludf.DUMMYFUNCTION("XLOOKUP(JOIN(""/"",$A94:$B94),'source merged_div_data'!$A:$A,'source merged_div_data'!B:B)"),1.0)</f>
        <v>1</v>
      </c>
      <c r="E94" s="53">
        <f>IFERROR(__xludf.DUMMYFUNCTION("XLOOKUP(JOIN(""/"",$A94:$B94),'source merged_div_data'!$A:$A,'source merged_div_data'!C:C)"),0.0)</f>
        <v>0</v>
      </c>
      <c r="F94" s="54" t="str">
        <f t="array" ref="F94">IFERROR(
  IFS(
    XLOOKUP(TEXTJOIN("/", TRUE, $A94:$B94), 'source merged_div_data'!$A:$A, 'source merged_div_data'!F:F) &lt; 1024,
      XLOOKUP(TEXTJOIN("/", TRUE, $A94:$B94), 'source merged_div_data'!$A:$A, 'source merged_div_data'!F:F) &amp; " B",
    XLOOKUP(TEXTJOIN("/", TRUE, $A94:$B94), 'source merged_div_data'!$A:$A, 'source merged_div_data'!F:F) &lt; 1048576,
      ROUND(XLOOKUP(TEXTJOIN("/", TRUE, $A94:$B94), 'source merged_div_data'!$A:$A, 'source merged_div_data'!F:F)/1024, 2) &amp; " KB",
    XLOOKUP(TEXTJOIN("/", TRUE, $A94:$B94), 'source merged_div_data'!$A:$A, 'source merged_div_data'!F:F) &lt; 1073741824,
      ROUND(XLOOKUP(TEXTJOIN("/", TRUE, $A94:$B94), 'source merged_div_data'!$A:$A, 'source merged_div_data'!F:F)/1048576, 2) &amp; " MB",
    TRUE,
      ROUND(XLOOKUP(TEXTJOIN("/", TRUE, $A94:$B94), 'source merged_div_data'!$A:$A, 'source merged_div_data'!F:F)/1073741824, 2) &amp; " GB"
  ),
  "×"
)</f>
        <v>0 B</v>
      </c>
      <c r="G94" s="55" t="s">
        <v>1053</v>
      </c>
      <c r="H94" s="55"/>
      <c r="I94" s="55"/>
      <c r="J94" s="46" t="s">
        <v>1069</v>
      </c>
      <c r="K94" s="55"/>
      <c r="L94" s="55" t="s">
        <v>1053</v>
      </c>
      <c r="M94" s="55" t="s">
        <v>1053</v>
      </c>
      <c r="N94" s="52" t="s">
        <v>1102</v>
      </c>
      <c r="O94" s="46" t="s">
        <v>1069</v>
      </c>
      <c r="P94" s="37" t="str">
        <f>IFERROR(__xludf.DUMMYFUNCTION("XLOOKUP(JOIN(""/"",$A94:$B94),'source isilon_divまとめ'!$A:$A,'source isilon_divまとめ'!$D:$D,XLOOKUP(JOIN(""\"",$A94:$B94),'source NetApp-file-sv01-div'!A:A,TEXT('source NetApp-file-sv01-div'!C:C,""yyyy/mm/dd"")))"),"#N/A")</f>
        <v>#N/A</v>
      </c>
    </row>
    <row r="95">
      <c r="A95" s="8" t="s">
        <v>1166</v>
      </c>
      <c r="B95" s="8" t="s">
        <v>1170</v>
      </c>
      <c r="C95" s="7" t="s">
        <v>987</v>
      </c>
      <c r="D95" s="56">
        <f>IFERROR(__xludf.DUMMYFUNCTION("XLOOKUP(JOIN(""/"",$A95:$B95),'source merged_div_data'!$A:$A,'source merged_div_data'!B:B)"),44.0)</f>
        <v>44</v>
      </c>
      <c r="E95" s="56">
        <f>IFERROR(__xludf.DUMMYFUNCTION("XLOOKUP(JOIN(""/"",$A95:$B95),'source merged_div_data'!$A:$A,'source merged_div_data'!C:C)"),12.0)</f>
        <v>12</v>
      </c>
      <c r="F95" s="54" t="str">
        <f t="array" ref="F95">IFERROR(
  IFS(
    XLOOKUP(TEXTJOIN("/", TRUE, $A95:$B95), 'source merged_div_data'!$A:$A, 'source merged_div_data'!F:F) &lt; 1024,
      XLOOKUP(TEXTJOIN("/", TRUE, $A95:$B95), 'source merged_div_data'!$A:$A, 'source merged_div_data'!F:F) &amp; " B",
    XLOOKUP(TEXTJOIN("/", TRUE, $A95:$B95), 'source merged_div_data'!$A:$A, 'source merged_div_data'!F:F) &lt; 1048576,
      ROUND(XLOOKUP(TEXTJOIN("/", TRUE, $A95:$B95), 'source merged_div_data'!$A:$A, 'source merged_div_data'!F:F)/1024, 2) &amp; " KB",
    XLOOKUP(TEXTJOIN("/", TRUE, $A95:$B95), 'source merged_div_data'!$A:$A, 'source merged_div_data'!F:F) &lt; 1073741824,
      ROUND(XLOOKUP(TEXTJOIN("/", TRUE, $A95:$B95), 'source merged_div_data'!$A:$A, 'source merged_div_data'!F:F)/1048576, 2) &amp; " MB",
    TRUE,
      ROUND(XLOOKUP(TEXTJOIN("/", TRUE, $A95:$B95), 'source merged_div_data'!$A:$A, 'source merged_div_data'!F:F)/1073741824, 2) &amp; " GB"
  ),
  "×"
)</f>
        <v>27.3 MB</v>
      </c>
      <c r="G95" s="57" t="s">
        <v>2219</v>
      </c>
      <c r="H95" s="58" t="s">
        <v>2177</v>
      </c>
      <c r="I95" s="57"/>
      <c r="J95" s="7" t="s">
        <v>717</v>
      </c>
      <c r="L95" s="7" t="s">
        <v>2100</v>
      </c>
      <c r="M95" s="37" t="s">
        <v>1053</v>
      </c>
      <c r="N95" s="8" t="s">
        <v>1102</v>
      </c>
      <c r="O95" s="7" t="s">
        <v>1069</v>
      </c>
      <c r="P95" s="57" t="str">
        <f>IFERROR(__xludf.DUMMYFUNCTION("XLOOKUP(JOIN(""/"",$A95:$B95),'source isilon_divまとめ'!$A:$A,'source isilon_divまとめ'!$D:$D,XLOOKUP(JOIN(""\"",$A95:$B95),'source NetApp-file-sv01-div'!A:A,TEXT('source NetApp-file-sv01-div'!C:C,""yyyy/mm/dd"")))"),"2022/03/15")</f>
        <v>2022/03/15</v>
      </c>
    </row>
    <row r="96">
      <c r="A96" s="52" t="s">
        <v>1166</v>
      </c>
      <c r="B96" s="52" t="s">
        <v>1144</v>
      </c>
      <c r="C96" s="46" t="s">
        <v>986</v>
      </c>
      <c r="D96" s="53">
        <f>IFERROR(__xludf.DUMMYFUNCTION("XLOOKUP(JOIN(""/"",$A96:$B96),'source merged_div_data'!$A:$A,'source merged_div_data'!B:B)"),5.0)</f>
        <v>5</v>
      </c>
      <c r="E96" s="53">
        <f>IFERROR(__xludf.DUMMYFUNCTION("XLOOKUP(JOIN(""/"",$A96:$B96),'source merged_div_data'!$A:$A,'source merged_div_data'!C:C)"),0.0)</f>
        <v>0</v>
      </c>
      <c r="F96" s="54" t="str">
        <f t="array" ref="F96">IFERROR(
  IFS(
    XLOOKUP(TEXTJOIN("/", TRUE, $A96:$B96), 'source merged_div_data'!$A:$A, 'source merged_div_data'!F:F) &lt; 1024,
      XLOOKUP(TEXTJOIN("/", TRUE, $A96:$B96), 'source merged_div_data'!$A:$A, 'source merged_div_data'!F:F) &amp; " B",
    XLOOKUP(TEXTJOIN("/", TRUE, $A96:$B96), 'source merged_div_data'!$A:$A, 'source merged_div_data'!F:F) &lt; 1048576,
      ROUND(XLOOKUP(TEXTJOIN("/", TRUE, $A96:$B96), 'source merged_div_data'!$A:$A, 'source merged_div_data'!F:F)/1024, 2) &amp; " KB",
    XLOOKUP(TEXTJOIN("/", TRUE, $A96:$B96), 'source merged_div_data'!$A:$A, 'source merged_div_data'!F:F) &lt; 1073741824,
      ROUND(XLOOKUP(TEXTJOIN("/", TRUE, $A96:$B96), 'source merged_div_data'!$A:$A, 'source merged_div_data'!F:F)/1048576, 2) &amp; " MB",
    TRUE,
      ROUND(XLOOKUP(TEXTJOIN("/", TRUE, $A96:$B96), 'source merged_div_data'!$A:$A, 'source merged_div_data'!F:F)/1073741824, 2) &amp; " GB"
  ),
  "×"
)</f>
        <v>125 B</v>
      </c>
      <c r="G96" s="55" t="s">
        <v>1053</v>
      </c>
      <c r="H96" s="55"/>
      <c r="I96" s="55"/>
      <c r="J96" s="46" t="s">
        <v>478</v>
      </c>
      <c r="K96" s="55"/>
      <c r="L96" s="55" t="s">
        <v>1066</v>
      </c>
      <c r="M96" s="55" t="s">
        <v>1053</v>
      </c>
      <c r="N96" s="52" t="s">
        <v>1102</v>
      </c>
      <c r="O96" s="46" t="s">
        <v>478</v>
      </c>
      <c r="P96" s="37" t="str">
        <f>IFERROR(__xludf.DUMMYFUNCTION("XLOOKUP(JOIN(""/"",$A96:$B96),'source isilon_divまとめ'!$A:$A,'source isilon_divまとめ'!$D:$D,XLOOKUP(JOIN(""\"",$A96:$B96),'source NetApp-file-sv01-div'!A:A,TEXT('source NetApp-file-sv01-div'!C:C,""yyyy/mm/dd"")))"),"#N/A")</f>
        <v>#N/A</v>
      </c>
    </row>
    <row r="97">
      <c r="A97" s="8" t="s">
        <v>1166</v>
      </c>
      <c r="B97" s="8" t="s">
        <v>1134</v>
      </c>
      <c r="C97" s="7" t="s">
        <v>988</v>
      </c>
      <c r="D97" s="56">
        <f>IFERROR(__xludf.DUMMYFUNCTION("XLOOKUP(JOIN(""/"",$A97:$B97),'source merged_div_data'!$A:$A,'source merged_div_data'!B:B)"),655.0)</f>
        <v>655</v>
      </c>
      <c r="E97" s="56">
        <f>IFERROR(__xludf.DUMMYFUNCTION("XLOOKUP(JOIN(""/"",$A97:$B97),'source merged_div_data'!$A:$A,'source merged_div_data'!C:C)"),2379.0)</f>
        <v>2379</v>
      </c>
      <c r="F97" s="54" t="str">
        <f t="array" ref="F97">IFERROR(
  IFS(
    XLOOKUP(TEXTJOIN("/", TRUE, $A97:$B97), 'source merged_div_data'!$A:$A, 'source merged_div_data'!F:F) &lt; 1024,
      XLOOKUP(TEXTJOIN("/", TRUE, $A97:$B97), 'source merged_div_data'!$A:$A, 'source merged_div_data'!F:F) &amp; " B",
    XLOOKUP(TEXTJOIN("/", TRUE, $A97:$B97), 'source merged_div_data'!$A:$A, 'source merged_div_data'!F:F) &lt; 1048576,
      ROUND(XLOOKUP(TEXTJOIN("/", TRUE, $A97:$B97), 'source merged_div_data'!$A:$A, 'source merged_div_data'!F:F)/1024, 2) &amp; " KB",
    XLOOKUP(TEXTJOIN("/", TRUE, $A97:$B97), 'source merged_div_data'!$A:$A, 'source merged_div_data'!F:F) &lt; 1073741824,
      ROUND(XLOOKUP(TEXTJOIN("/", TRUE, $A97:$B97), 'source merged_div_data'!$A:$A, 'source merged_div_data'!F:F)/1048576, 2) &amp; " MB",
    TRUE,
      ROUND(XLOOKUP(TEXTJOIN("/", TRUE, $A97:$B97), 'source merged_div_data'!$A:$A, 'source merged_div_data'!F:F)/1073741824, 2) &amp; " GB"
  ),
  "×"
)</f>
        <v>310.25 MB</v>
      </c>
      <c r="G97" s="57" t="s">
        <v>2220</v>
      </c>
      <c r="H97" s="58" t="s">
        <v>2177</v>
      </c>
      <c r="I97" s="57"/>
      <c r="J97" s="7" t="s">
        <v>1069</v>
      </c>
      <c r="L97" s="37" t="s">
        <v>1053</v>
      </c>
      <c r="M97" s="37" t="s">
        <v>1053</v>
      </c>
      <c r="N97" s="8" t="s">
        <v>1102</v>
      </c>
      <c r="O97" s="7" t="s">
        <v>1069</v>
      </c>
      <c r="P97" s="57" t="str">
        <f>IFERROR(__xludf.DUMMYFUNCTION("XLOOKUP(JOIN(""/"",$A97:$B97),'source isilon_divまとめ'!$A:$A,'source isilon_divまとめ'!$D:$D,XLOOKUP(JOIN(""\"",$A97:$B97),'source NetApp-file-sv01-div'!A:A,TEXT('source NetApp-file-sv01-div'!C:C,""yyyy/mm/dd"")))"),"2017/11/30")</f>
        <v>2017/11/30</v>
      </c>
    </row>
    <row r="98">
      <c r="A98" s="8" t="s">
        <v>1166</v>
      </c>
      <c r="B98" s="8" t="s">
        <v>1171</v>
      </c>
      <c r="C98" s="7" t="s">
        <v>987</v>
      </c>
      <c r="D98" s="56">
        <f>IFERROR(__xludf.DUMMYFUNCTION("XLOOKUP(JOIN(""/"",$A98:$B98),'source merged_div_data'!$A:$A,'source merged_div_data'!B:B)"),73077.0)</f>
        <v>73077</v>
      </c>
      <c r="E98" s="56">
        <f>IFERROR(__xludf.DUMMYFUNCTION("XLOOKUP(JOIN(""/"",$A98:$B98),'source merged_div_data'!$A:$A,'source merged_div_data'!C:C)"),374524.0)</f>
        <v>374524</v>
      </c>
      <c r="F98" s="54" t="str">
        <f t="array" ref="F98">IFERROR(
  IFS(
    XLOOKUP(TEXTJOIN("/", TRUE, $A98:$B98), 'source merged_div_data'!$A:$A, 'source merged_div_data'!F:F) &lt; 1024,
      XLOOKUP(TEXTJOIN("/", TRUE, $A98:$B98), 'source merged_div_data'!$A:$A, 'source merged_div_data'!F:F) &amp; " B",
    XLOOKUP(TEXTJOIN("/", TRUE, $A98:$B98), 'source merged_div_data'!$A:$A, 'source merged_div_data'!F:F) &lt; 1048576,
      ROUND(XLOOKUP(TEXTJOIN("/", TRUE, $A98:$B98), 'source merged_div_data'!$A:$A, 'source merged_div_data'!F:F)/1024, 2) &amp; " KB",
    XLOOKUP(TEXTJOIN("/", TRUE, $A98:$B98), 'source merged_div_data'!$A:$A, 'source merged_div_data'!F:F) &lt; 1073741824,
      ROUND(XLOOKUP(TEXTJOIN("/", TRUE, $A98:$B98), 'source merged_div_data'!$A:$A, 'source merged_div_data'!F:F)/1048576, 2) &amp; " MB",
    TRUE,
      ROUND(XLOOKUP(TEXTJOIN("/", TRUE, $A98:$B98), 'source merged_div_data'!$A:$A, 'source merged_div_data'!F:F)/1073741824, 2) &amp; " GB"
  ),
  "×"
)</f>
        <v>714.04 GB</v>
      </c>
      <c r="G98" s="57" t="s">
        <v>2188</v>
      </c>
      <c r="H98" s="58" t="s">
        <v>2177</v>
      </c>
      <c r="I98" s="57"/>
      <c r="J98" s="7" t="s">
        <v>717</v>
      </c>
      <c r="L98" s="7" t="s">
        <v>2100</v>
      </c>
      <c r="M98" s="37" t="s">
        <v>1053</v>
      </c>
      <c r="N98" s="8" t="s">
        <v>1102</v>
      </c>
      <c r="O98" s="7" t="s">
        <v>1069</v>
      </c>
      <c r="P98" s="57" t="str">
        <f>IFERROR(__xludf.DUMMYFUNCTION("XLOOKUP(JOIN(""/"",$A98:$B98),'source isilon_divまとめ'!$A:$A,'source isilon_divまとめ'!$D:$D,XLOOKUP(JOIN(""\"",$A98:$B98),'source NetApp-file-sv01-div'!A:A,TEXT('source NetApp-file-sv01-div'!C:C,""yyyy/mm/dd"")))"),"2022/06/03")</f>
        <v>2022/06/03</v>
      </c>
    </row>
    <row r="99">
      <c r="A99" s="8" t="s">
        <v>1166</v>
      </c>
      <c r="B99" s="8" t="s">
        <v>1135</v>
      </c>
      <c r="C99" s="7" t="s">
        <v>987</v>
      </c>
      <c r="D99" s="56">
        <f>IFERROR(__xludf.DUMMYFUNCTION("XLOOKUP(JOIN(""/"",$A99:$B99),'source merged_div_data'!$A:$A,'source merged_div_data'!B:B)"),3134.0)</f>
        <v>3134</v>
      </c>
      <c r="E99" s="56">
        <f>IFERROR(__xludf.DUMMYFUNCTION("XLOOKUP(JOIN(""/"",$A99:$B99),'source merged_div_data'!$A:$A,'source merged_div_data'!C:C)"),10851.0)</f>
        <v>10851</v>
      </c>
      <c r="F99" s="54" t="str">
        <f t="array" ref="F99">IFERROR(
  IFS(
    XLOOKUP(TEXTJOIN("/", TRUE, $A99:$B99), 'source merged_div_data'!$A:$A, 'source merged_div_data'!F:F) &lt; 1024,
      XLOOKUP(TEXTJOIN("/", TRUE, $A99:$B99), 'source merged_div_data'!$A:$A, 'source merged_div_data'!F:F) &amp; " B",
    XLOOKUP(TEXTJOIN("/", TRUE, $A99:$B99), 'source merged_div_data'!$A:$A, 'source merged_div_data'!F:F) &lt; 1048576,
      ROUND(XLOOKUP(TEXTJOIN("/", TRUE, $A99:$B99), 'source merged_div_data'!$A:$A, 'source merged_div_data'!F:F)/1024, 2) &amp; " KB",
    XLOOKUP(TEXTJOIN("/", TRUE, $A99:$B99), 'source merged_div_data'!$A:$A, 'source merged_div_data'!F:F) &lt; 1073741824,
      ROUND(XLOOKUP(TEXTJOIN("/", TRUE, $A99:$B99), 'source merged_div_data'!$A:$A, 'source merged_div_data'!F:F)/1048576, 2) &amp; " MB",
    TRUE,
      ROUND(XLOOKUP(TEXTJOIN("/", TRUE, $A99:$B99), 'source merged_div_data'!$A:$A, 'source merged_div_data'!F:F)/1073741824, 2) &amp; " GB"
  ),
  "×"
)</f>
        <v>6.95 GB</v>
      </c>
      <c r="G99" s="57" t="s">
        <v>2221</v>
      </c>
      <c r="H99" s="58" t="s">
        <v>2177</v>
      </c>
      <c r="I99" s="57"/>
      <c r="J99" s="7" t="s">
        <v>391</v>
      </c>
      <c r="L99" s="7" t="s">
        <v>2116</v>
      </c>
      <c r="M99" s="37" t="s">
        <v>1053</v>
      </c>
      <c r="N99" s="8" t="s">
        <v>1102</v>
      </c>
      <c r="O99" s="7" t="s">
        <v>391</v>
      </c>
      <c r="P99" s="57" t="str">
        <f>IFERROR(__xludf.DUMMYFUNCTION("XLOOKUP(JOIN(""/"",$A99:$B99),'source isilon_divまとめ'!$A:$A,'source isilon_divまとめ'!$D:$D,XLOOKUP(JOIN(""\"",$A99:$B99),'source NetApp-file-sv01-div'!A:A,TEXT('source NetApp-file-sv01-div'!C:C,""yyyy/mm/dd"")))"),"2017/12/05")</f>
        <v>2017/12/05</v>
      </c>
    </row>
    <row r="100">
      <c r="A100" s="8" t="s">
        <v>1166</v>
      </c>
      <c r="B100" s="8" t="s">
        <v>1172</v>
      </c>
      <c r="C100" s="7" t="s">
        <v>987</v>
      </c>
      <c r="D100" s="56">
        <f>IFERROR(__xludf.DUMMYFUNCTION("XLOOKUP(JOIN(""/"",$A100:$B100),'source merged_div_data'!$A:$A,'source merged_div_data'!B:B)"),1320.0)</f>
        <v>1320</v>
      </c>
      <c r="E100" s="56">
        <f>IFERROR(__xludf.DUMMYFUNCTION("XLOOKUP(JOIN(""/"",$A100:$B100),'source merged_div_data'!$A:$A,'source merged_div_data'!C:C)"),6901.0)</f>
        <v>6901</v>
      </c>
      <c r="F100" s="54" t="str">
        <f t="array" ref="F100">IFERROR(
  IFS(
    XLOOKUP(TEXTJOIN("/", TRUE, $A100:$B100), 'source merged_div_data'!$A:$A, 'source merged_div_data'!F:F) &lt; 1024,
      XLOOKUP(TEXTJOIN("/", TRUE, $A100:$B100), 'source merged_div_data'!$A:$A, 'source merged_div_data'!F:F) &amp; " B",
    XLOOKUP(TEXTJOIN("/", TRUE, $A100:$B100), 'source merged_div_data'!$A:$A, 'source merged_div_data'!F:F) &lt; 1048576,
      ROUND(XLOOKUP(TEXTJOIN("/", TRUE, $A100:$B100), 'source merged_div_data'!$A:$A, 'source merged_div_data'!F:F)/1024, 2) &amp; " KB",
    XLOOKUP(TEXTJOIN("/", TRUE, $A100:$B100), 'source merged_div_data'!$A:$A, 'source merged_div_data'!F:F) &lt; 1073741824,
      ROUND(XLOOKUP(TEXTJOIN("/", TRUE, $A100:$B100), 'source merged_div_data'!$A:$A, 'source merged_div_data'!F:F)/1048576, 2) &amp; " MB",
    TRUE,
      ROUND(XLOOKUP(TEXTJOIN("/", TRUE, $A100:$B100), 'source merged_div_data'!$A:$A, 'source merged_div_data'!F:F)/1073741824, 2) &amp; " GB"
  ),
  "×"
)</f>
        <v>10.43 GB</v>
      </c>
      <c r="G100" s="57" t="s">
        <v>2222</v>
      </c>
      <c r="H100" s="58" t="s">
        <v>2177</v>
      </c>
      <c r="I100" s="57"/>
      <c r="J100" s="7" t="s">
        <v>188</v>
      </c>
      <c r="K100" s="7" t="s">
        <v>2223</v>
      </c>
      <c r="M100" s="7" t="s">
        <v>2224</v>
      </c>
      <c r="N100" s="8" t="s">
        <v>1102</v>
      </c>
      <c r="O100" s="7" t="s">
        <v>188</v>
      </c>
      <c r="P100" s="57" t="str">
        <f>IFERROR(__xludf.DUMMYFUNCTION("XLOOKUP(JOIN(""/"",$A100:$B100),'source isilon_divまとめ'!$A:$A,'source isilon_divまとめ'!$D:$D,XLOOKUP(JOIN(""\"",$A100:$B100),'source NetApp-file-sv01-div'!A:A,TEXT('source NetApp-file-sv01-div'!C:C,""yyyy/mm/dd"")))"),"2018/10/25")</f>
        <v>2018/10/25</v>
      </c>
    </row>
    <row r="101">
      <c r="A101" s="8" t="s">
        <v>1166</v>
      </c>
      <c r="B101" s="8" t="s">
        <v>1136</v>
      </c>
      <c r="C101" s="7" t="s">
        <v>988</v>
      </c>
      <c r="D101" s="56">
        <f>IFERROR(__xludf.DUMMYFUNCTION("XLOOKUP(JOIN(""/"",$A101:$B101),'source merged_div_data'!$A:$A,'source merged_div_data'!B:B)"),2498.0)</f>
        <v>2498</v>
      </c>
      <c r="E101" s="56">
        <f>IFERROR(__xludf.DUMMYFUNCTION("XLOOKUP(JOIN(""/"",$A101:$B101),'source merged_div_data'!$A:$A,'source merged_div_data'!C:C)"),19384.0)</f>
        <v>19384</v>
      </c>
      <c r="F101" s="54" t="str">
        <f t="array" ref="F101">IFERROR(
  IFS(
    XLOOKUP(TEXTJOIN("/", TRUE, $A101:$B101), 'source merged_div_data'!$A:$A, 'source merged_div_data'!F:F) &lt; 1024,
      XLOOKUP(TEXTJOIN("/", TRUE, $A101:$B101), 'source merged_div_data'!$A:$A, 'source merged_div_data'!F:F) &amp; " B",
    XLOOKUP(TEXTJOIN("/", TRUE, $A101:$B101), 'source merged_div_data'!$A:$A, 'source merged_div_data'!F:F) &lt; 1048576,
      ROUND(XLOOKUP(TEXTJOIN("/", TRUE, $A101:$B101), 'source merged_div_data'!$A:$A, 'source merged_div_data'!F:F)/1024, 2) &amp; " KB",
    XLOOKUP(TEXTJOIN("/", TRUE, $A101:$B101), 'source merged_div_data'!$A:$A, 'source merged_div_data'!F:F) &lt; 1073741824,
      ROUND(XLOOKUP(TEXTJOIN("/", TRUE, $A101:$B101), 'source merged_div_data'!$A:$A, 'source merged_div_data'!F:F)/1048576, 2) &amp; " MB",
    TRUE,
      ROUND(XLOOKUP(TEXTJOIN("/", TRUE, $A101:$B101), 'source merged_div_data'!$A:$A, 'source merged_div_data'!F:F)/1073741824, 2) &amp; " GB"
  ),
  "×"
)</f>
        <v>741.27 GB</v>
      </c>
      <c r="G101" s="57" t="s">
        <v>2225</v>
      </c>
      <c r="H101" s="58" t="s">
        <v>2177</v>
      </c>
      <c r="I101" s="57"/>
      <c r="J101" s="7" t="s">
        <v>1058</v>
      </c>
      <c r="L101" s="37" t="s">
        <v>1053</v>
      </c>
      <c r="M101" s="37" t="s">
        <v>1053</v>
      </c>
      <c r="N101" s="8" t="s">
        <v>1102</v>
      </c>
      <c r="O101" s="7" t="s">
        <v>1058</v>
      </c>
      <c r="P101" s="57" t="str">
        <f>IFERROR(__xludf.DUMMYFUNCTION("XLOOKUP(JOIN(""/"",$A101:$B101),'source isilon_divまとめ'!$A:$A,'source isilon_divまとめ'!$D:$D,XLOOKUP(JOIN(""\"",$A101:$B101),'source NetApp-file-sv01-div'!A:A,TEXT('source NetApp-file-sv01-div'!C:C,""yyyy/mm/dd"")))"),"2017/07/06")</f>
        <v>2017/07/06</v>
      </c>
    </row>
    <row r="102">
      <c r="A102" s="52" t="s">
        <v>1166</v>
      </c>
      <c r="B102" s="52" t="s">
        <v>1173</v>
      </c>
      <c r="C102" s="46" t="s">
        <v>988</v>
      </c>
      <c r="D102" s="53">
        <f>IFERROR(__xludf.DUMMYFUNCTION("XLOOKUP(JOIN(""/"",$A102:$B102),'source merged_div_data'!$A:$A,'source merged_div_data'!B:B)"),1.0)</f>
        <v>1</v>
      </c>
      <c r="E102" s="53">
        <f>IFERROR(__xludf.DUMMYFUNCTION("XLOOKUP(JOIN(""/"",$A102:$B102),'source merged_div_data'!$A:$A,'source merged_div_data'!C:C)"),0.0)</f>
        <v>0</v>
      </c>
      <c r="F102" s="54" t="str">
        <f t="array" ref="F102">IFERROR(
  IFS(
    XLOOKUP(TEXTJOIN("/", TRUE, $A102:$B102), 'source merged_div_data'!$A:$A, 'source merged_div_data'!F:F) &lt; 1024,
      XLOOKUP(TEXTJOIN("/", TRUE, $A102:$B102), 'source merged_div_data'!$A:$A, 'source merged_div_data'!F:F) &amp; " B",
    XLOOKUP(TEXTJOIN("/", TRUE, $A102:$B102), 'source merged_div_data'!$A:$A, 'source merged_div_data'!F:F) &lt; 1048576,
      ROUND(XLOOKUP(TEXTJOIN("/", TRUE, $A102:$B102), 'source merged_div_data'!$A:$A, 'source merged_div_data'!F:F)/1024, 2) &amp; " KB",
    XLOOKUP(TEXTJOIN("/", TRUE, $A102:$B102), 'source merged_div_data'!$A:$A, 'source merged_div_data'!F:F) &lt; 1073741824,
      ROUND(XLOOKUP(TEXTJOIN("/", TRUE, $A102:$B102), 'source merged_div_data'!$A:$A, 'source merged_div_data'!F:F)/1048576, 2) &amp; " MB",
    TRUE,
      ROUND(XLOOKUP(TEXTJOIN("/", TRUE, $A102:$B102), 'source merged_div_data'!$A:$A, 'source merged_div_data'!F:F)/1073741824, 2) &amp; " GB"
  ),
  "×"
)</f>
        <v>0 B</v>
      </c>
      <c r="G102" s="55" t="s">
        <v>1053</v>
      </c>
      <c r="H102" s="55"/>
      <c r="I102" s="55"/>
      <c r="J102" s="46" t="s">
        <v>1069</v>
      </c>
      <c r="K102" s="55"/>
      <c r="L102" s="55" t="s">
        <v>1053</v>
      </c>
      <c r="M102" s="55" t="s">
        <v>1053</v>
      </c>
      <c r="N102" s="52" t="s">
        <v>1102</v>
      </c>
      <c r="O102" s="46" t="s">
        <v>1069</v>
      </c>
      <c r="P102" s="37" t="str">
        <f>IFERROR(__xludf.DUMMYFUNCTION("XLOOKUP(JOIN(""/"",$A102:$B102),'source isilon_divまとめ'!$A:$A,'source isilon_divまとめ'!$D:$D,XLOOKUP(JOIN(""\"",$A102:$B102),'source NetApp-file-sv01-div'!A:A,TEXT('source NetApp-file-sv01-div'!C:C,""yyyy/mm/dd"")))"),"#N/A")</f>
        <v>#N/A</v>
      </c>
    </row>
    <row r="103">
      <c r="A103" s="8" t="s">
        <v>1166</v>
      </c>
      <c r="B103" s="8" t="s">
        <v>1137</v>
      </c>
      <c r="C103" s="7" t="s">
        <v>988</v>
      </c>
      <c r="D103" s="56">
        <f>IFERROR(__xludf.DUMMYFUNCTION("XLOOKUP(JOIN(""/"",$A103:$B103),'source merged_div_data'!$A:$A,'source merged_div_data'!B:B)"),8222.0)</f>
        <v>8222</v>
      </c>
      <c r="E103" s="56">
        <f>IFERROR(__xludf.DUMMYFUNCTION("XLOOKUP(JOIN(""/"",$A103:$B103),'source merged_div_data'!$A:$A,'source merged_div_data'!C:C)"),73682.0)</f>
        <v>73682</v>
      </c>
      <c r="F103" s="54" t="str">
        <f t="array" ref="F103">IFERROR(
  IFS(
    XLOOKUP(TEXTJOIN("/", TRUE, $A103:$B103), 'source merged_div_data'!$A:$A, 'source merged_div_data'!F:F) &lt; 1024,
      XLOOKUP(TEXTJOIN("/", TRUE, $A103:$B103), 'source merged_div_data'!$A:$A, 'source merged_div_data'!F:F) &amp; " B",
    XLOOKUP(TEXTJOIN("/", TRUE, $A103:$B103), 'source merged_div_data'!$A:$A, 'source merged_div_data'!F:F) &lt; 1048576,
      ROUND(XLOOKUP(TEXTJOIN("/", TRUE, $A103:$B103), 'source merged_div_data'!$A:$A, 'source merged_div_data'!F:F)/1024, 2) &amp; " KB",
    XLOOKUP(TEXTJOIN("/", TRUE, $A103:$B103), 'source merged_div_data'!$A:$A, 'source merged_div_data'!F:F) &lt; 1073741824,
      ROUND(XLOOKUP(TEXTJOIN("/", TRUE, $A103:$B103), 'source merged_div_data'!$A:$A, 'source merged_div_data'!F:F)/1048576, 2) &amp; " MB",
    TRUE,
      ROUND(XLOOKUP(TEXTJOIN("/", TRUE, $A103:$B103), 'source merged_div_data'!$A:$A, 'source merged_div_data'!F:F)/1073741824, 2) &amp; " GB"
  ),
  "×"
)</f>
        <v>623.43 GB</v>
      </c>
      <c r="G103" s="57" t="s">
        <v>2188</v>
      </c>
      <c r="H103" s="58" t="s">
        <v>2177</v>
      </c>
      <c r="I103" s="57"/>
      <c r="J103" s="7" t="s">
        <v>1058</v>
      </c>
      <c r="L103" s="37" t="s">
        <v>1053</v>
      </c>
      <c r="M103" s="37" t="s">
        <v>1053</v>
      </c>
      <c r="N103" s="8" t="s">
        <v>1102</v>
      </c>
      <c r="O103" s="7" t="s">
        <v>1058</v>
      </c>
      <c r="P103" s="57" t="str">
        <f>IFERROR(__xludf.DUMMYFUNCTION("XLOOKUP(JOIN(""/"",$A103:$B103),'source isilon_divまとめ'!$A:$A,'source isilon_divまとめ'!$D:$D,XLOOKUP(JOIN(""\"",$A103:$B103),'source NetApp-file-sv01-div'!A:A,TEXT('source NetApp-file-sv01-div'!C:C,""yyyy/mm/dd"")))"),"2022/06/03")</f>
        <v>2022/06/03</v>
      </c>
    </row>
    <row r="104">
      <c r="A104" s="52" t="s">
        <v>1166</v>
      </c>
      <c r="B104" s="52" t="s">
        <v>1174</v>
      </c>
      <c r="C104" s="46" t="s">
        <v>986</v>
      </c>
      <c r="D104" s="53">
        <f>IFERROR(__xludf.DUMMYFUNCTION("XLOOKUP(JOIN(""/"",$A104:$B104),'source merged_div_data'!$A:$A,'source merged_div_data'!B:B)"),13.0)</f>
        <v>13</v>
      </c>
      <c r="E104" s="53">
        <f>IFERROR(__xludf.DUMMYFUNCTION("XLOOKUP(JOIN(""/"",$A104:$B104),'source merged_div_data'!$A:$A,'source merged_div_data'!C:C)"),0.0)</f>
        <v>0</v>
      </c>
      <c r="F104" s="54" t="str">
        <f t="array" ref="F104">IFERROR(
  IFS(
    XLOOKUP(TEXTJOIN("/", TRUE, $A104:$B104), 'source merged_div_data'!$A:$A, 'source merged_div_data'!F:F) &lt; 1024,
      XLOOKUP(TEXTJOIN("/", TRUE, $A104:$B104), 'source merged_div_data'!$A:$A, 'source merged_div_data'!F:F) &amp; " B",
    XLOOKUP(TEXTJOIN("/", TRUE, $A104:$B104), 'source merged_div_data'!$A:$A, 'source merged_div_data'!F:F) &lt; 1048576,
      ROUND(XLOOKUP(TEXTJOIN("/", TRUE, $A104:$B104), 'source merged_div_data'!$A:$A, 'source merged_div_data'!F:F)/1024, 2) &amp; " KB",
    XLOOKUP(TEXTJOIN("/", TRUE, $A104:$B104), 'source merged_div_data'!$A:$A, 'source merged_div_data'!F:F) &lt; 1073741824,
      ROUND(XLOOKUP(TEXTJOIN("/", TRUE, $A104:$B104), 'source merged_div_data'!$A:$A, 'source merged_div_data'!F:F)/1048576, 2) &amp; " MB",
    TRUE,
      ROUND(XLOOKUP(TEXTJOIN("/", TRUE, $A104:$B104), 'source merged_div_data'!$A:$A, 'source merged_div_data'!F:F)/1073741824, 2) &amp; " GB"
  ),
  "×"
)</f>
        <v>436 B</v>
      </c>
      <c r="G104" s="55" t="s">
        <v>1053</v>
      </c>
      <c r="H104" s="55"/>
      <c r="I104" s="55"/>
      <c r="J104" s="46" t="s">
        <v>693</v>
      </c>
      <c r="K104" s="55"/>
      <c r="L104" s="46" t="s">
        <v>2094</v>
      </c>
      <c r="M104" s="46" t="s">
        <v>1053</v>
      </c>
      <c r="N104" s="52" t="s">
        <v>1102</v>
      </c>
      <c r="O104" s="46" t="s">
        <v>693</v>
      </c>
      <c r="P104" s="37" t="str">
        <f>IFERROR(__xludf.DUMMYFUNCTION("XLOOKUP(JOIN(""/"",$A104:$B104),'source isilon_divまとめ'!$A:$A,'source isilon_divまとめ'!$D:$D,XLOOKUP(JOIN(""\"",$A104:$B104),'source NetApp-file-sv01-div'!A:A,TEXT('source NetApp-file-sv01-div'!C:C,""yyyy/mm/dd"")))"),"#N/A")</f>
        <v>#N/A</v>
      </c>
    </row>
    <row r="105">
      <c r="A105" s="8" t="s">
        <v>1166</v>
      </c>
      <c r="B105" s="8" t="s">
        <v>1175</v>
      </c>
      <c r="C105" s="7" t="s">
        <v>987</v>
      </c>
      <c r="D105" s="56">
        <f>IFERROR(__xludf.DUMMYFUNCTION("XLOOKUP(JOIN(""/"",$A105:$B105),'source merged_div_data'!$A:$A,'source merged_div_data'!B:B)"),27.0)</f>
        <v>27</v>
      </c>
      <c r="E105" s="56">
        <f>IFERROR(__xludf.DUMMYFUNCTION("XLOOKUP(JOIN(""/"",$A105:$B105),'source merged_div_data'!$A:$A,'source merged_div_data'!C:C)"),20.0)</f>
        <v>20</v>
      </c>
      <c r="F105" s="54" t="str">
        <f t="array" ref="F105">IFERROR(
  IFS(
    XLOOKUP(TEXTJOIN("/", TRUE, $A105:$B105), 'source merged_div_data'!$A:$A, 'source merged_div_data'!F:F) &lt; 1024,
      XLOOKUP(TEXTJOIN("/", TRUE, $A105:$B105), 'source merged_div_data'!$A:$A, 'source merged_div_data'!F:F) &amp; " B",
    XLOOKUP(TEXTJOIN("/", TRUE, $A105:$B105), 'source merged_div_data'!$A:$A, 'source merged_div_data'!F:F) &lt; 1048576,
      ROUND(XLOOKUP(TEXTJOIN("/", TRUE, $A105:$B105), 'source merged_div_data'!$A:$A, 'source merged_div_data'!F:F)/1024, 2) &amp; " KB",
    XLOOKUP(TEXTJOIN("/", TRUE, $A105:$B105), 'source merged_div_data'!$A:$A, 'source merged_div_data'!F:F) &lt; 1073741824,
      ROUND(XLOOKUP(TEXTJOIN("/", TRUE, $A105:$B105), 'source merged_div_data'!$A:$A, 'source merged_div_data'!F:F)/1048576, 2) &amp; " MB",
    TRUE,
      ROUND(XLOOKUP(TEXTJOIN("/", TRUE, $A105:$B105), 'source merged_div_data'!$A:$A, 'source merged_div_data'!F:F)/1073741824, 2) &amp; " GB"
  ),
  "×"
)</f>
        <v>21.56 KB</v>
      </c>
      <c r="G105" s="57" t="s">
        <v>2226</v>
      </c>
      <c r="H105" s="58" t="s">
        <v>2177</v>
      </c>
      <c r="I105" s="57"/>
      <c r="J105" s="7" t="s">
        <v>391</v>
      </c>
      <c r="L105" s="7" t="s">
        <v>2116</v>
      </c>
      <c r="M105" s="37" t="s">
        <v>1053</v>
      </c>
      <c r="N105" s="8" t="s">
        <v>1102</v>
      </c>
      <c r="O105" s="7" t="s">
        <v>391</v>
      </c>
      <c r="P105" s="57" t="str">
        <f>IFERROR(__xludf.DUMMYFUNCTION("XLOOKUP(JOIN(""/"",$A105:$B105),'source isilon_divまとめ'!$A:$A,'source isilon_divまとめ'!$D:$D,XLOOKUP(JOIN(""\"",$A105:$B105),'source NetApp-file-sv01-div'!A:A,TEXT('source NetApp-file-sv01-div'!C:C,""yyyy/mm/dd"")))"),"2016/09/23")</f>
        <v>2016/09/23</v>
      </c>
    </row>
    <row r="106">
      <c r="A106" s="8" t="s">
        <v>1166</v>
      </c>
      <c r="B106" s="8" t="s">
        <v>286</v>
      </c>
      <c r="C106" s="7" t="s">
        <v>987</v>
      </c>
      <c r="D106" s="56">
        <f>IFERROR(__xludf.DUMMYFUNCTION("XLOOKUP(JOIN(""/"",$A106:$B106),'source merged_div_data'!$A:$A,'source merged_div_data'!B:B)"),73864.0)</f>
        <v>73864</v>
      </c>
      <c r="E106" s="56">
        <f>IFERROR(__xludf.DUMMYFUNCTION("XLOOKUP(JOIN(""/"",$A106:$B106),'source merged_div_data'!$A:$A,'source merged_div_data'!C:C)"),464823.0)</f>
        <v>464823</v>
      </c>
      <c r="F106" s="54" t="str">
        <f t="array" ref="F106">IFERROR(
  IFS(
    XLOOKUP(TEXTJOIN("/", TRUE, $A106:$B106), 'source merged_div_data'!$A:$A, 'source merged_div_data'!F:F) &lt; 1024,
      XLOOKUP(TEXTJOIN("/", TRUE, $A106:$B106), 'source merged_div_data'!$A:$A, 'source merged_div_data'!F:F) &amp; " B",
    XLOOKUP(TEXTJOIN("/", TRUE, $A106:$B106), 'source merged_div_data'!$A:$A, 'source merged_div_data'!F:F) &lt; 1048576,
      ROUND(XLOOKUP(TEXTJOIN("/", TRUE, $A106:$B106), 'source merged_div_data'!$A:$A, 'source merged_div_data'!F:F)/1024, 2) &amp; " KB",
    XLOOKUP(TEXTJOIN("/", TRUE, $A106:$B106), 'source merged_div_data'!$A:$A, 'source merged_div_data'!F:F) &lt; 1073741824,
      ROUND(XLOOKUP(TEXTJOIN("/", TRUE, $A106:$B106), 'source merged_div_data'!$A:$A, 'source merged_div_data'!F:F)/1048576, 2) &amp; " MB",
    TRUE,
      ROUND(XLOOKUP(TEXTJOIN("/", TRUE, $A106:$B106), 'source merged_div_data'!$A:$A, 'source merged_div_data'!F:F)/1073741824, 2) &amp; " GB"
  ),
  "×"
)</f>
        <v>684.92 GB</v>
      </c>
      <c r="G106" s="57" t="s">
        <v>2227</v>
      </c>
      <c r="H106" s="58" t="s">
        <v>2184</v>
      </c>
      <c r="I106" s="57"/>
      <c r="J106" s="37" t="s">
        <v>281</v>
      </c>
      <c r="K106" s="37" t="s">
        <v>286</v>
      </c>
      <c r="L106" s="7" t="s">
        <v>1498</v>
      </c>
      <c r="M106" s="7" t="s">
        <v>2111</v>
      </c>
      <c r="N106" s="8"/>
      <c r="P106" s="57" t="str">
        <f>IFERROR(__xludf.DUMMYFUNCTION("XLOOKUP(JOIN(""/"",$A106:$B106),'source isilon_divまとめ'!$A:$A,'source isilon_divまとめ'!$D:$D,XLOOKUP(JOIN(""\"",$A106:$B106),'source NetApp-file-sv01-div'!A:A,TEXT('source NetApp-file-sv01-div'!C:C,""yyyy/mm/dd"")))"),"2025/06/27")</f>
        <v>2025/06/27</v>
      </c>
    </row>
    <row r="107">
      <c r="A107" s="8" t="s">
        <v>1166</v>
      </c>
      <c r="B107" s="8" t="s">
        <v>1111</v>
      </c>
      <c r="C107" s="7" t="s">
        <v>988</v>
      </c>
      <c r="D107" s="56">
        <f>IFERROR(__xludf.DUMMYFUNCTION("XLOOKUP(JOIN(""/"",$A107:$B107),'source merged_div_data'!$A:$A,'source merged_div_data'!B:B)"),46864.0)</f>
        <v>46864</v>
      </c>
      <c r="E107" s="56">
        <f>IFERROR(__xludf.DUMMYFUNCTION("XLOOKUP(JOIN(""/"",$A107:$B107),'source merged_div_data'!$A:$A,'source merged_div_data'!C:C)"),315041.0)</f>
        <v>315041</v>
      </c>
      <c r="F107" s="54" t="str">
        <f t="array" ref="F107">IFERROR(
  IFS(
    XLOOKUP(TEXTJOIN("/", TRUE, $A107:$B107), 'source merged_div_data'!$A:$A, 'source merged_div_data'!F:F) &lt; 1024,
      XLOOKUP(TEXTJOIN("/", TRUE, $A107:$B107), 'source merged_div_data'!$A:$A, 'source merged_div_data'!F:F) &amp; " B",
    XLOOKUP(TEXTJOIN("/", TRUE, $A107:$B107), 'source merged_div_data'!$A:$A, 'source merged_div_data'!F:F) &lt; 1048576,
      ROUND(XLOOKUP(TEXTJOIN("/", TRUE, $A107:$B107), 'source merged_div_data'!$A:$A, 'source merged_div_data'!F:F)/1024, 2) &amp; " KB",
    XLOOKUP(TEXTJOIN("/", TRUE, $A107:$B107), 'source merged_div_data'!$A:$A, 'source merged_div_data'!F:F) &lt; 1073741824,
      ROUND(XLOOKUP(TEXTJOIN("/", TRUE, $A107:$B107), 'source merged_div_data'!$A:$A, 'source merged_div_data'!F:F)/1048576, 2) &amp; " MB",
    TRUE,
      ROUND(XLOOKUP(TEXTJOIN("/", TRUE, $A107:$B107), 'source merged_div_data'!$A:$A, 'source merged_div_data'!F:F)/1073741824, 2) &amp; " GB"
  ),
  "×"
)</f>
        <v>5289.45 GB</v>
      </c>
      <c r="G107" s="57" t="s">
        <v>2188</v>
      </c>
      <c r="H107" s="58" t="s">
        <v>2177</v>
      </c>
      <c r="I107" s="57"/>
      <c r="J107" s="7" t="s">
        <v>1105</v>
      </c>
      <c r="L107" s="37" t="s">
        <v>1053</v>
      </c>
      <c r="M107" s="37" t="s">
        <v>1053</v>
      </c>
      <c r="N107" s="8" t="s">
        <v>1102</v>
      </c>
      <c r="O107" s="7" t="s">
        <v>1105</v>
      </c>
      <c r="P107" s="57" t="str">
        <f>IFERROR(__xludf.DUMMYFUNCTION("XLOOKUP(JOIN(""/"",$A107:$B107),'source isilon_divまとめ'!$A:$A,'source isilon_divまとめ'!$D:$D,XLOOKUP(JOIN(""\"",$A107:$B107),'source NetApp-file-sv01-div'!A:A,TEXT('source NetApp-file-sv01-div'!C:C,""yyyy/mm/dd"")))"),"2022/06/03")</f>
        <v>2022/06/03</v>
      </c>
    </row>
    <row r="108">
      <c r="A108" s="8" t="s">
        <v>1166</v>
      </c>
      <c r="B108" s="8" t="s">
        <v>1068</v>
      </c>
      <c r="C108" s="7" t="s">
        <v>987</v>
      </c>
      <c r="D108" s="56">
        <f>IFERROR(__xludf.DUMMYFUNCTION("XLOOKUP(JOIN(""/"",$A108:$B108),'source merged_div_data'!$A:$A,'source merged_div_data'!B:B)"),16577.0)</f>
        <v>16577</v>
      </c>
      <c r="E108" s="56">
        <f>IFERROR(__xludf.DUMMYFUNCTION("XLOOKUP(JOIN(""/"",$A108:$B108),'source merged_div_data'!$A:$A,'source merged_div_data'!C:C)"),215180.0)</f>
        <v>215180</v>
      </c>
      <c r="F108" s="54" t="str">
        <f t="array" ref="F108">IFERROR(
  IFS(
    XLOOKUP(TEXTJOIN("/", TRUE, $A108:$B108), 'source merged_div_data'!$A:$A, 'source merged_div_data'!F:F) &lt; 1024,
      XLOOKUP(TEXTJOIN("/", TRUE, $A108:$B108), 'source merged_div_data'!$A:$A, 'source merged_div_data'!F:F) &amp; " B",
    XLOOKUP(TEXTJOIN("/", TRUE, $A108:$B108), 'source merged_div_data'!$A:$A, 'source merged_div_data'!F:F) &lt; 1048576,
      ROUND(XLOOKUP(TEXTJOIN("/", TRUE, $A108:$B108), 'source merged_div_data'!$A:$A, 'source merged_div_data'!F:F)/1024, 2) &amp; " KB",
    XLOOKUP(TEXTJOIN("/", TRUE, $A108:$B108), 'source merged_div_data'!$A:$A, 'source merged_div_data'!F:F) &lt; 1073741824,
      ROUND(XLOOKUP(TEXTJOIN("/", TRUE, $A108:$B108), 'source merged_div_data'!$A:$A, 'source merged_div_data'!F:F)/1048576, 2) &amp; " MB",
    TRUE,
      ROUND(XLOOKUP(TEXTJOIN("/", TRUE, $A108:$B108), 'source merged_div_data'!$A:$A, 'source merged_div_data'!F:F)/1073741824, 2) &amp; " GB"
  ),
  "×"
)</f>
        <v>1406.78 GB</v>
      </c>
      <c r="G108" s="57" t="s">
        <v>2228</v>
      </c>
      <c r="H108" s="58" t="s">
        <v>2177</v>
      </c>
      <c r="I108" s="57"/>
      <c r="J108" s="7" t="s">
        <v>717</v>
      </c>
      <c r="L108" s="7" t="s">
        <v>2100</v>
      </c>
      <c r="M108" s="37" t="s">
        <v>1053</v>
      </c>
      <c r="N108" s="8" t="s">
        <v>1102</v>
      </c>
      <c r="O108" s="7" t="s">
        <v>1176</v>
      </c>
      <c r="P108" s="57" t="str">
        <f>IFERROR(__xludf.DUMMYFUNCTION("XLOOKUP(JOIN(""/"",$A108:$B108),'source isilon_divまとめ'!$A:$A,'source isilon_divまとめ'!$D:$D,XLOOKUP(JOIN(""\"",$A108:$B108),'source NetApp-file-sv01-div'!A:A,TEXT('source NetApp-file-sv01-div'!C:C,""yyyy/mm/dd"")))"),"2021/05/12")</f>
        <v>2021/05/12</v>
      </c>
    </row>
    <row r="109">
      <c r="A109" s="52" t="s">
        <v>1166</v>
      </c>
      <c r="B109" s="52" t="s">
        <v>1177</v>
      </c>
      <c r="C109" s="46" t="s">
        <v>986</v>
      </c>
      <c r="D109" s="53">
        <f>IFERROR(__xludf.DUMMYFUNCTION("XLOOKUP(JOIN(""/"",$A109:$B109),'source merged_div_data'!$A:$A,'source merged_div_data'!B:B)"),22.0)</f>
        <v>22</v>
      </c>
      <c r="E109" s="53">
        <f>IFERROR(__xludf.DUMMYFUNCTION("XLOOKUP(JOIN(""/"",$A109:$B109),'source merged_div_data'!$A:$A,'source merged_div_data'!C:C)"),0.0)</f>
        <v>0</v>
      </c>
      <c r="F109" s="54" t="str">
        <f t="array" ref="F109">IFERROR(
  IFS(
    XLOOKUP(TEXTJOIN("/", TRUE, $A109:$B109), 'source merged_div_data'!$A:$A, 'source merged_div_data'!F:F) &lt; 1024,
      XLOOKUP(TEXTJOIN("/", TRUE, $A109:$B109), 'source merged_div_data'!$A:$A, 'source merged_div_data'!F:F) &amp; " B",
    XLOOKUP(TEXTJOIN("/", TRUE, $A109:$B109), 'source merged_div_data'!$A:$A, 'source merged_div_data'!F:F) &lt; 1048576,
      ROUND(XLOOKUP(TEXTJOIN("/", TRUE, $A109:$B109), 'source merged_div_data'!$A:$A, 'source merged_div_data'!F:F)/1024, 2) &amp; " KB",
    XLOOKUP(TEXTJOIN("/", TRUE, $A109:$B109), 'source merged_div_data'!$A:$A, 'source merged_div_data'!F:F) &lt; 1073741824,
      ROUND(XLOOKUP(TEXTJOIN("/", TRUE, $A109:$B109), 'source merged_div_data'!$A:$A, 'source merged_div_data'!F:F)/1048576, 2) &amp; " MB",
    TRUE,
      ROUND(XLOOKUP(TEXTJOIN("/", TRUE, $A109:$B109), 'source merged_div_data'!$A:$A, 'source merged_div_data'!F:F)/1073741824, 2) &amp; " GB"
  ),
  "×"
)</f>
        <v>748 B</v>
      </c>
      <c r="G109" s="55" t="s">
        <v>1053</v>
      </c>
      <c r="H109" s="55"/>
      <c r="I109" s="55"/>
      <c r="J109" s="46" t="s">
        <v>693</v>
      </c>
      <c r="K109" s="55"/>
      <c r="L109" s="46" t="s">
        <v>2094</v>
      </c>
      <c r="M109" s="46" t="s">
        <v>1053</v>
      </c>
      <c r="N109" s="52" t="s">
        <v>1102</v>
      </c>
      <c r="O109" s="46" t="s">
        <v>693</v>
      </c>
      <c r="P109" s="37" t="str">
        <f>IFERROR(__xludf.DUMMYFUNCTION("XLOOKUP(JOIN(""/"",$A109:$B109),'source isilon_divまとめ'!$A:$A,'source isilon_divまとめ'!$D:$D,XLOOKUP(JOIN(""\"",$A109:$B109),'source NetApp-file-sv01-div'!A:A,TEXT('source NetApp-file-sv01-div'!C:C,""yyyy/mm/dd"")))"),"#N/A")</f>
        <v>#N/A</v>
      </c>
    </row>
    <row r="110">
      <c r="A110" s="8" t="s">
        <v>1166</v>
      </c>
      <c r="B110" s="8" t="s">
        <v>1178</v>
      </c>
      <c r="C110" s="7" t="s">
        <v>988</v>
      </c>
      <c r="D110" s="56">
        <f>IFERROR(__xludf.DUMMYFUNCTION("XLOOKUP(JOIN(""/"",$A110:$B110),'source merged_div_data'!$A:$A,'source merged_div_data'!B:B)"),11.0)</f>
        <v>11</v>
      </c>
      <c r="E110" s="56">
        <f>IFERROR(__xludf.DUMMYFUNCTION("XLOOKUP(JOIN(""/"",$A110:$B110),'source merged_div_data'!$A:$A,'source merged_div_data'!C:C)"),29.0)</f>
        <v>29</v>
      </c>
      <c r="F110" s="54" t="str">
        <f t="array" ref="F110">IFERROR(
  IFS(
    XLOOKUP(TEXTJOIN("/", TRUE, $A110:$B110), 'source merged_div_data'!$A:$A, 'source merged_div_data'!F:F) &lt; 1024,
      XLOOKUP(TEXTJOIN("/", TRUE, $A110:$B110), 'source merged_div_data'!$A:$A, 'source merged_div_data'!F:F) &amp; " B",
    XLOOKUP(TEXTJOIN("/", TRUE, $A110:$B110), 'source merged_div_data'!$A:$A, 'source merged_div_data'!F:F) &lt; 1048576,
      ROUND(XLOOKUP(TEXTJOIN("/", TRUE, $A110:$B110), 'source merged_div_data'!$A:$A, 'source merged_div_data'!F:F)/1024, 2) &amp; " KB",
    XLOOKUP(TEXTJOIN("/", TRUE, $A110:$B110), 'source merged_div_data'!$A:$A, 'source merged_div_data'!F:F) &lt; 1073741824,
      ROUND(XLOOKUP(TEXTJOIN("/", TRUE, $A110:$B110), 'source merged_div_data'!$A:$A, 'source merged_div_data'!F:F)/1048576, 2) &amp; " MB",
    TRUE,
      ROUND(XLOOKUP(TEXTJOIN("/", TRUE, $A110:$B110), 'source merged_div_data'!$A:$A, 'source merged_div_data'!F:F)/1073741824, 2) &amp; " GB"
  ),
  "×"
)</f>
        <v>48.42 MB</v>
      </c>
      <c r="G110" s="57" t="s">
        <v>2229</v>
      </c>
      <c r="H110" s="58" t="s">
        <v>2177</v>
      </c>
      <c r="I110" s="57"/>
      <c r="J110" s="7" t="s">
        <v>1069</v>
      </c>
      <c r="L110" s="37" t="s">
        <v>1053</v>
      </c>
      <c r="M110" s="37" t="s">
        <v>1053</v>
      </c>
      <c r="N110" s="8" t="s">
        <v>1102</v>
      </c>
      <c r="O110" s="7" t="s">
        <v>1069</v>
      </c>
      <c r="P110" s="57" t="str">
        <f>IFERROR(__xludf.DUMMYFUNCTION("XLOOKUP(JOIN(""/"",$A110:$B110),'source isilon_divまとめ'!$A:$A,'source isilon_divまとめ'!$D:$D,XLOOKUP(JOIN(""\"",$A110:$B110),'source NetApp-file-sv01-div'!A:A,TEXT('source NetApp-file-sv01-div'!C:C,""yyyy/mm/dd"")))"),"2016/09/07")</f>
        <v>2016/09/07</v>
      </c>
    </row>
    <row r="111">
      <c r="A111" s="8" t="s">
        <v>1166</v>
      </c>
      <c r="B111" s="8" t="s">
        <v>1081</v>
      </c>
      <c r="C111" s="7" t="s">
        <v>987</v>
      </c>
      <c r="D111" s="56">
        <f>IFERROR(__xludf.DUMMYFUNCTION("XLOOKUP(JOIN(""/"",$A111:$B111),'source merged_div_data'!$A:$A,'source merged_div_data'!B:B)"),8997.0)</f>
        <v>8997</v>
      </c>
      <c r="E111" s="56">
        <f>IFERROR(__xludf.DUMMYFUNCTION("XLOOKUP(JOIN(""/"",$A111:$B111),'source merged_div_data'!$A:$A,'source merged_div_data'!C:C)"),106583.0)</f>
        <v>106583</v>
      </c>
      <c r="F111" s="54" t="str">
        <f t="array" ref="F111">IFERROR(
  IFS(
    XLOOKUP(TEXTJOIN("/", TRUE, $A111:$B111), 'source merged_div_data'!$A:$A, 'source merged_div_data'!F:F) &lt; 1024,
      XLOOKUP(TEXTJOIN("/", TRUE, $A111:$B111), 'source merged_div_data'!$A:$A, 'source merged_div_data'!F:F) &amp; " B",
    XLOOKUP(TEXTJOIN("/", TRUE, $A111:$B111), 'source merged_div_data'!$A:$A, 'source merged_div_data'!F:F) &lt; 1048576,
      ROUND(XLOOKUP(TEXTJOIN("/", TRUE, $A111:$B111), 'source merged_div_data'!$A:$A, 'source merged_div_data'!F:F)/1024, 2) &amp; " KB",
    XLOOKUP(TEXTJOIN("/", TRUE, $A111:$B111), 'source merged_div_data'!$A:$A, 'source merged_div_data'!F:F) &lt; 1073741824,
      ROUND(XLOOKUP(TEXTJOIN("/", TRUE, $A111:$B111), 'source merged_div_data'!$A:$A, 'source merged_div_data'!F:F)/1048576, 2) &amp; " MB",
    TRUE,
      ROUND(XLOOKUP(TEXTJOIN("/", TRUE, $A111:$B111), 'source merged_div_data'!$A:$A, 'source merged_div_data'!F:F)/1073741824, 2) &amp; " GB"
  ),
  "×"
)</f>
        <v>252.11 GB</v>
      </c>
      <c r="G111" s="57" t="s">
        <v>2230</v>
      </c>
      <c r="H111" s="58" t="s">
        <v>2177</v>
      </c>
      <c r="I111" s="57"/>
      <c r="J111" s="7" t="s">
        <v>717</v>
      </c>
      <c r="L111" s="7" t="s">
        <v>2100</v>
      </c>
      <c r="M111" s="37" t="s">
        <v>1053</v>
      </c>
      <c r="N111" s="8" t="s">
        <v>1102</v>
      </c>
      <c r="O111" s="7" t="s">
        <v>693</v>
      </c>
      <c r="P111" s="57" t="str">
        <f>IFERROR(__xludf.DUMMYFUNCTION("XLOOKUP(JOIN(""/"",$A111:$B111),'source isilon_divまとめ'!$A:$A,'source isilon_divまとめ'!$D:$D,XLOOKUP(JOIN(""\"",$A111:$B111),'source NetApp-file-sv01-div'!A:A,TEXT('source NetApp-file-sv01-div'!C:C,""yyyy/mm/dd"")))"),"2020/10/02")</f>
        <v>2020/10/02</v>
      </c>
    </row>
    <row r="112">
      <c r="A112" s="8" t="s">
        <v>1166</v>
      </c>
      <c r="B112" s="8" t="s">
        <v>1161</v>
      </c>
      <c r="C112" s="7" t="s">
        <v>987</v>
      </c>
      <c r="D112" s="56">
        <f>IFERROR(__xludf.DUMMYFUNCTION("XLOOKUP(JOIN(""/"",$A112:$B112),'source merged_div_data'!$A:$A,'source merged_div_data'!B:B)"),251.0)</f>
        <v>251</v>
      </c>
      <c r="E112" s="56">
        <f>IFERROR(__xludf.DUMMYFUNCTION("XLOOKUP(JOIN(""/"",$A112:$B112),'source merged_div_data'!$A:$A,'source merged_div_data'!C:C)"),1428.0)</f>
        <v>1428</v>
      </c>
      <c r="F112" s="54" t="str">
        <f t="array" ref="F112">IFERROR(
  IFS(
    XLOOKUP(TEXTJOIN("/", TRUE, $A112:$B112), 'source merged_div_data'!$A:$A, 'source merged_div_data'!F:F) &lt; 1024,
      XLOOKUP(TEXTJOIN("/", TRUE, $A112:$B112), 'source merged_div_data'!$A:$A, 'source merged_div_data'!F:F) &amp; " B",
    XLOOKUP(TEXTJOIN("/", TRUE, $A112:$B112), 'source merged_div_data'!$A:$A, 'source merged_div_data'!F:F) &lt; 1048576,
      ROUND(XLOOKUP(TEXTJOIN("/", TRUE, $A112:$B112), 'source merged_div_data'!$A:$A, 'source merged_div_data'!F:F)/1024, 2) &amp; " KB",
    XLOOKUP(TEXTJOIN("/", TRUE, $A112:$B112), 'source merged_div_data'!$A:$A, 'source merged_div_data'!F:F) &lt; 1073741824,
      ROUND(XLOOKUP(TEXTJOIN("/", TRUE, $A112:$B112), 'source merged_div_data'!$A:$A, 'source merged_div_data'!F:F)/1048576, 2) &amp; " MB",
    TRUE,
      ROUND(XLOOKUP(TEXTJOIN("/", TRUE, $A112:$B112), 'source merged_div_data'!$A:$A, 'source merged_div_data'!F:F)/1073741824, 2) &amp; " GB"
  ),
  "×"
)</f>
        <v>640.95 MB</v>
      </c>
      <c r="G112" s="57" t="s">
        <v>2231</v>
      </c>
      <c r="H112" s="58" t="s">
        <v>2184</v>
      </c>
      <c r="I112" s="57"/>
      <c r="J112" s="7" t="s">
        <v>717</v>
      </c>
      <c r="L112" s="7" t="s">
        <v>2100</v>
      </c>
      <c r="M112" s="37" t="s">
        <v>1053</v>
      </c>
      <c r="N112" s="8" t="s">
        <v>1102</v>
      </c>
      <c r="O112" s="7" t="s">
        <v>693</v>
      </c>
      <c r="P112" s="57" t="str">
        <f>IFERROR(__xludf.DUMMYFUNCTION("XLOOKUP(JOIN(""/"",$A112:$B112),'source isilon_divまとめ'!$A:$A,'source isilon_divまとめ'!$D:$D,XLOOKUP(JOIN(""\"",$A112:$B112),'source NetApp-file-sv01-div'!A:A,TEXT('source NetApp-file-sv01-div'!C:C,""yyyy/mm/dd"")))"),"2024/10/02")</f>
        <v>2024/10/02</v>
      </c>
    </row>
    <row r="113">
      <c r="A113" s="52" t="s">
        <v>1179</v>
      </c>
      <c r="B113" s="52" t="s">
        <v>1180</v>
      </c>
      <c r="C113" s="46" t="s">
        <v>986</v>
      </c>
      <c r="D113" s="53">
        <f>IFERROR(__xludf.DUMMYFUNCTION("XLOOKUP(JOIN(""/"",$A113:$B113),'source merged_div_data'!$A:$A,'source merged_div_data'!B:B)"),26.0)</f>
        <v>26</v>
      </c>
      <c r="E113" s="53">
        <f>IFERROR(__xludf.DUMMYFUNCTION("XLOOKUP(JOIN(""/"",$A113:$B113),'source merged_div_data'!$A:$A,'source merged_div_data'!C:C)"),0.0)</f>
        <v>0</v>
      </c>
      <c r="F113" s="54" t="str">
        <f t="array" ref="F113">IFERROR(
  IFS(
    XLOOKUP(TEXTJOIN("/", TRUE, $A113:$B113), 'source merged_div_data'!$A:$A, 'source merged_div_data'!F:F) &lt; 1024,
      XLOOKUP(TEXTJOIN("/", TRUE, $A113:$B113), 'source merged_div_data'!$A:$A, 'source merged_div_data'!F:F) &amp; " B",
    XLOOKUP(TEXTJOIN("/", TRUE, $A113:$B113), 'source merged_div_data'!$A:$A, 'source merged_div_data'!F:F) &lt; 1048576,
      ROUND(XLOOKUP(TEXTJOIN("/", TRUE, $A113:$B113), 'source merged_div_data'!$A:$A, 'source merged_div_data'!F:F)/1024, 2) &amp; " KB",
    XLOOKUP(TEXTJOIN("/", TRUE, $A113:$B113), 'source merged_div_data'!$A:$A, 'source merged_div_data'!F:F) &lt; 1073741824,
      ROUND(XLOOKUP(TEXTJOIN("/", TRUE, $A113:$B113), 'source merged_div_data'!$A:$A, 'source merged_div_data'!F:F)/1048576, 2) &amp; " MB",
    TRUE,
      ROUND(XLOOKUP(TEXTJOIN("/", TRUE, $A113:$B113), 'source merged_div_data'!$A:$A, 'source merged_div_data'!F:F)/1073741824, 2) &amp; " GB"
  ),
  "×"
)</f>
        <v>880 B</v>
      </c>
      <c r="G113" s="55" t="s">
        <v>1053</v>
      </c>
      <c r="H113" s="55"/>
      <c r="I113" s="55"/>
      <c r="J113" s="46" t="s">
        <v>854</v>
      </c>
      <c r="K113" s="55"/>
      <c r="L113" s="46" t="s">
        <v>1410</v>
      </c>
      <c r="M113" s="55" t="s">
        <v>1053</v>
      </c>
      <c r="N113" s="52" t="s">
        <v>1181</v>
      </c>
      <c r="O113" s="46" t="s">
        <v>1182</v>
      </c>
      <c r="P113" s="37" t="str">
        <f>IFERROR(__xludf.DUMMYFUNCTION("XLOOKUP(JOIN(""/"",$A113:$B113),'source isilon_divまとめ'!$A:$A,'source isilon_divまとめ'!$D:$D,XLOOKUP(JOIN(""\"",$A113:$B113),'source NetApp-file-sv01-div'!A:A,TEXT('source NetApp-file-sv01-div'!C:C,""yyyy/mm/dd"")))"),"#N/A")</f>
        <v>#N/A</v>
      </c>
    </row>
    <row r="114">
      <c r="A114" s="52" t="s">
        <v>1179</v>
      </c>
      <c r="B114" s="52" t="s">
        <v>1170</v>
      </c>
      <c r="C114" s="46" t="s">
        <v>988</v>
      </c>
      <c r="D114" s="53">
        <f>IFERROR(__xludf.DUMMYFUNCTION("XLOOKUP(JOIN(""/"",$A114:$B114),'source merged_div_data'!$A:$A,'source merged_div_data'!B:B)"),2.0)</f>
        <v>2</v>
      </c>
      <c r="E114" s="53">
        <f>IFERROR(__xludf.DUMMYFUNCTION("XLOOKUP(JOIN(""/"",$A114:$B114),'source merged_div_data'!$A:$A,'source merged_div_data'!C:C)"),0.0)</f>
        <v>0</v>
      </c>
      <c r="F114" s="54" t="str">
        <f t="array" ref="F114">IFERROR(
  IFS(
    XLOOKUP(TEXTJOIN("/", TRUE, $A114:$B114), 'source merged_div_data'!$A:$A, 'source merged_div_data'!F:F) &lt; 1024,
      XLOOKUP(TEXTJOIN("/", TRUE, $A114:$B114), 'source merged_div_data'!$A:$A, 'source merged_div_data'!F:F) &amp; " B",
    XLOOKUP(TEXTJOIN("/", TRUE, $A114:$B114), 'source merged_div_data'!$A:$A, 'source merged_div_data'!F:F) &lt; 1048576,
      ROUND(XLOOKUP(TEXTJOIN("/", TRUE, $A114:$B114), 'source merged_div_data'!$A:$A, 'source merged_div_data'!F:F)/1024, 2) &amp; " KB",
    XLOOKUP(TEXTJOIN("/", TRUE, $A114:$B114), 'source merged_div_data'!$A:$A, 'source merged_div_data'!F:F) &lt; 1073741824,
      ROUND(XLOOKUP(TEXTJOIN("/", TRUE, $A114:$B114), 'source merged_div_data'!$A:$A, 'source merged_div_data'!F:F)/1048576, 2) &amp; " MB",
    TRUE,
      ROUND(XLOOKUP(TEXTJOIN("/", TRUE, $A114:$B114), 'source merged_div_data'!$A:$A, 'source merged_div_data'!F:F)/1073741824, 2) &amp; " GB"
  ),
  "×"
)</f>
        <v>27 B</v>
      </c>
      <c r="G114" s="55" t="s">
        <v>1053</v>
      </c>
      <c r="H114" s="55"/>
      <c r="I114" s="55"/>
      <c r="J114" s="46" t="s">
        <v>1069</v>
      </c>
      <c r="K114" s="55"/>
      <c r="L114" s="55" t="s">
        <v>1053</v>
      </c>
      <c r="M114" s="55" t="s">
        <v>1053</v>
      </c>
      <c r="N114" s="52" t="s">
        <v>1102</v>
      </c>
      <c r="O114" s="46" t="s">
        <v>1069</v>
      </c>
      <c r="P114" s="37" t="str">
        <f>IFERROR(__xludf.DUMMYFUNCTION("XLOOKUP(JOIN(""/"",$A114:$B114),'source isilon_divまとめ'!$A:$A,'source isilon_divまとめ'!$D:$D,XLOOKUP(JOIN(""\"",$A114:$B114),'source NetApp-file-sv01-div'!A:A,TEXT('source NetApp-file-sv01-div'!C:C,""yyyy/mm/dd"")))"),"#N/A")</f>
        <v>#N/A</v>
      </c>
    </row>
    <row r="115">
      <c r="A115" s="52" t="s">
        <v>1179</v>
      </c>
      <c r="B115" s="52" t="s">
        <v>859</v>
      </c>
      <c r="C115" s="46" t="s">
        <v>986</v>
      </c>
      <c r="D115" s="53">
        <f>IFERROR(__xludf.DUMMYFUNCTION("XLOOKUP(JOIN(""/"",$A115:$B115),'source merged_div_data'!$A:$A,'source merged_div_data'!B:B)"),4.0)</f>
        <v>4</v>
      </c>
      <c r="E115" s="53">
        <f>IFERROR(__xludf.DUMMYFUNCTION("XLOOKUP(JOIN(""/"",$A115:$B115),'source merged_div_data'!$A:$A,'source merged_div_data'!C:C)"),0.0)</f>
        <v>0</v>
      </c>
      <c r="F115" s="54" t="str">
        <f t="array" ref="F115">IFERROR(
  IFS(
    XLOOKUP(TEXTJOIN("/", TRUE, $A115:$B115), 'source merged_div_data'!$A:$A, 'source merged_div_data'!F:F) &lt; 1024,
      XLOOKUP(TEXTJOIN("/", TRUE, $A115:$B115), 'source merged_div_data'!$A:$A, 'source merged_div_data'!F:F) &amp; " B",
    XLOOKUP(TEXTJOIN("/", TRUE, $A115:$B115), 'source merged_div_data'!$A:$A, 'source merged_div_data'!F:F) &lt; 1048576,
      ROUND(XLOOKUP(TEXTJOIN("/", TRUE, $A115:$B115), 'source merged_div_data'!$A:$A, 'source merged_div_data'!F:F)/1024, 2) &amp; " KB",
    XLOOKUP(TEXTJOIN("/", TRUE, $A115:$B115), 'source merged_div_data'!$A:$A, 'source merged_div_data'!F:F) &lt; 1073741824,
      ROUND(XLOOKUP(TEXTJOIN("/", TRUE, $A115:$B115), 'source merged_div_data'!$A:$A, 'source merged_div_data'!F:F)/1048576, 2) &amp; " MB",
    TRUE,
      ROUND(XLOOKUP(TEXTJOIN("/", TRUE, $A115:$B115), 'source merged_div_data'!$A:$A, 'source merged_div_data'!F:F)/1073741824, 2) &amp; " GB"
  ),
  "×"
)</f>
        <v>100 B</v>
      </c>
      <c r="G115" s="55" t="s">
        <v>1053</v>
      </c>
      <c r="H115" s="55"/>
      <c r="I115" s="55"/>
      <c r="J115" s="55" t="s">
        <v>854</v>
      </c>
      <c r="K115" s="55" t="s">
        <v>859</v>
      </c>
      <c r="L115" s="55" t="s">
        <v>1410</v>
      </c>
      <c r="M115" s="55" t="s">
        <v>2232</v>
      </c>
      <c r="N115" s="52"/>
      <c r="O115" s="55"/>
      <c r="P115" s="37" t="str">
        <f>IFERROR(__xludf.DUMMYFUNCTION("XLOOKUP(JOIN(""/"",$A115:$B115),'source isilon_divまとめ'!$A:$A,'source isilon_divまとめ'!$D:$D,XLOOKUP(JOIN(""\"",$A115:$B115),'source NetApp-file-sv01-div'!A:A,TEXT('source NetApp-file-sv01-div'!C:C,""yyyy/mm/dd"")))"),"#N/A")</f>
        <v>#N/A</v>
      </c>
    </row>
    <row r="116">
      <c r="A116" s="8" t="s">
        <v>1179</v>
      </c>
      <c r="B116" s="8" t="s">
        <v>1183</v>
      </c>
      <c r="C116" s="7" t="s">
        <v>987</v>
      </c>
      <c r="D116" s="56">
        <f>IFERROR(__xludf.DUMMYFUNCTION("XLOOKUP(JOIN(""/"",$A116:$B116),'source merged_div_data'!$A:$A,'source merged_div_data'!B:B)"),583.0)</f>
        <v>583</v>
      </c>
      <c r="E116" s="56">
        <f>IFERROR(__xludf.DUMMYFUNCTION("XLOOKUP(JOIN(""/"",$A116:$B116),'source merged_div_data'!$A:$A,'source merged_div_data'!C:C)"),10814.0)</f>
        <v>10814</v>
      </c>
      <c r="F116" s="54" t="str">
        <f t="array" ref="F116">IFERROR(
  IFS(
    XLOOKUP(TEXTJOIN("/", TRUE, $A116:$B116), 'source merged_div_data'!$A:$A, 'source merged_div_data'!F:F) &lt; 1024,
      XLOOKUP(TEXTJOIN("/", TRUE, $A116:$B116), 'source merged_div_data'!$A:$A, 'source merged_div_data'!F:F) &amp; " B",
    XLOOKUP(TEXTJOIN("/", TRUE, $A116:$B116), 'source merged_div_data'!$A:$A, 'source merged_div_data'!F:F) &lt; 1048576,
      ROUND(XLOOKUP(TEXTJOIN("/", TRUE, $A116:$B116), 'source merged_div_data'!$A:$A, 'source merged_div_data'!F:F)/1024, 2) &amp; " KB",
    XLOOKUP(TEXTJOIN("/", TRUE, $A116:$B116), 'source merged_div_data'!$A:$A, 'source merged_div_data'!F:F) &lt; 1073741824,
      ROUND(XLOOKUP(TEXTJOIN("/", TRUE, $A116:$B116), 'source merged_div_data'!$A:$A, 'source merged_div_data'!F:F)/1048576, 2) &amp; " MB",
    TRUE,
      ROUND(XLOOKUP(TEXTJOIN("/", TRUE, $A116:$B116), 'source merged_div_data'!$A:$A, 'source merged_div_data'!F:F)/1073741824, 2) &amp; " GB"
  ),
  "×"
)</f>
        <v>3810.27 GB</v>
      </c>
      <c r="G116" s="57" t="s">
        <v>2233</v>
      </c>
      <c r="H116" s="58" t="s">
        <v>2177</v>
      </c>
      <c r="I116" s="57"/>
      <c r="J116" s="7" t="s">
        <v>854</v>
      </c>
      <c r="K116" s="7" t="s">
        <v>173</v>
      </c>
      <c r="L116" s="7" t="s">
        <v>1410</v>
      </c>
      <c r="M116" s="7" t="s">
        <v>1410</v>
      </c>
      <c r="N116" s="8" t="s">
        <v>1181</v>
      </c>
      <c r="O116" s="7" t="s">
        <v>1182</v>
      </c>
      <c r="P116" s="57" t="str">
        <f>IFERROR(__xludf.DUMMYFUNCTION("XLOOKUP(JOIN(""/"",$A116:$B116),'source isilon_divまとめ'!$A:$A,'source isilon_divまとめ'!$D:$D,XLOOKUP(JOIN(""\"",$A116:$B116),'source NetApp-file-sv01-div'!A:A,TEXT('source NetApp-file-sv01-div'!C:C,""yyyy/mm/dd"")))"),"2019/07/11")</f>
        <v>2019/07/11</v>
      </c>
    </row>
    <row r="117">
      <c r="A117" s="52" t="s">
        <v>1179</v>
      </c>
      <c r="B117" s="52" t="s">
        <v>188</v>
      </c>
      <c r="C117" s="46" t="s">
        <v>986</v>
      </c>
      <c r="D117" s="53">
        <f>IFERROR(__xludf.DUMMYFUNCTION("XLOOKUP(JOIN(""/"",$A117:$B117),'source merged_div_data'!$A:$A,'source merged_div_data'!B:B)"),19.0)</f>
        <v>19</v>
      </c>
      <c r="E117" s="53">
        <f>IFERROR(__xludf.DUMMYFUNCTION("XLOOKUP(JOIN(""/"",$A117:$B117),'source merged_div_data'!$A:$A,'source merged_div_data'!C:C)"),0.0)</f>
        <v>0</v>
      </c>
      <c r="F117" s="54" t="str">
        <f t="array" ref="F117">IFERROR(
  IFS(
    XLOOKUP(TEXTJOIN("/", TRUE, $A117:$B117), 'source merged_div_data'!$A:$A, 'source merged_div_data'!F:F) &lt; 1024,
      XLOOKUP(TEXTJOIN("/", TRUE, $A117:$B117), 'source merged_div_data'!$A:$A, 'source merged_div_data'!F:F) &amp; " B",
    XLOOKUP(TEXTJOIN("/", TRUE, $A117:$B117), 'source merged_div_data'!$A:$A, 'source merged_div_data'!F:F) &lt; 1048576,
      ROUND(XLOOKUP(TEXTJOIN("/", TRUE, $A117:$B117), 'source merged_div_data'!$A:$A, 'source merged_div_data'!F:F)/1024, 2) &amp; " KB",
    XLOOKUP(TEXTJOIN("/", TRUE, $A117:$B117), 'source merged_div_data'!$A:$A, 'source merged_div_data'!F:F) &lt; 1073741824,
      ROUND(XLOOKUP(TEXTJOIN("/", TRUE, $A117:$B117), 'source merged_div_data'!$A:$A, 'source merged_div_data'!F:F)/1048576, 2) &amp; " MB",
    TRUE,
      ROUND(XLOOKUP(TEXTJOIN("/", TRUE, $A117:$B117), 'source merged_div_data'!$A:$A, 'source merged_div_data'!F:F)/1073741824, 2) &amp; " GB"
  ),
  "×"
)</f>
        <v>632 B</v>
      </c>
      <c r="G117" s="55" t="s">
        <v>1053</v>
      </c>
      <c r="H117" s="55"/>
      <c r="I117" s="55"/>
      <c r="J117" s="55" t="s">
        <v>183</v>
      </c>
      <c r="K117" s="55" t="s">
        <v>188</v>
      </c>
      <c r="L117" s="55" t="s">
        <v>1053</v>
      </c>
      <c r="M117" s="55" t="s">
        <v>2132</v>
      </c>
      <c r="N117" s="52"/>
      <c r="O117" s="55"/>
      <c r="P117" s="37" t="str">
        <f>IFERROR(__xludf.DUMMYFUNCTION("XLOOKUP(JOIN(""/"",$A117:$B117),'source isilon_divまとめ'!$A:$A,'source isilon_divまとめ'!$D:$D,XLOOKUP(JOIN(""\"",$A117:$B117),'source NetApp-file-sv01-div'!A:A,TEXT('source NetApp-file-sv01-div'!C:C,""yyyy/mm/dd"")))"),"#N/A")</f>
        <v>#N/A</v>
      </c>
    </row>
    <row r="118">
      <c r="A118" s="52" t="s">
        <v>1179</v>
      </c>
      <c r="B118" s="52" t="s">
        <v>1182</v>
      </c>
      <c r="C118" s="46" t="s">
        <v>986</v>
      </c>
      <c r="D118" s="53">
        <f>IFERROR(__xludf.DUMMYFUNCTION("XLOOKUP(JOIN(""/"",$A118:$B118),'source merged_div_data'!$A:$A,'source merged_div_data'!B:B)"),11.0)</f>
        <v>11</v>
      </c>
      <c r="E118" s="53">
        <f>IFERROR(__xludf.DUMMYFUNCTION("XLOOKUP(JOIN(""/"",$A118:$B118),'source merged_div_data'!$A:$A,'source merged_div_data'!C:C)"),0.0)</f>
        <v>0</v>
      </c>
      <c r="F118" s="54" t="str">
        <f t="array" ref="F118">IFERROR(
  IFS(
    XLOOKUP(TEXTJOIN("/", TRUE, $A118:$B118), 'source merged_div_data'!$A:$A, 'source merged_div_data'!F:F) &lt; 1024,
      XLOOKUP(TEXTJOIN("/", TRUE, $A118:$B118), 'source merged_div_data'!$A:$A, 'source merged_div_data'!F:F) &amp; " B",
    XLOOKUP(TEXTJOIN("/", TRUE, $A118:$B118), 'source merged_div_data'!$A:$A, 'source merged_div_data'!F:F) &lt; 1048576,
      ROUND(XLOOKUP(TEXTJOIN("/", TRUE, $A118:$B118), 'source merged_div_data'!$A:$A, 'source merged_div_data'!F:F)/1024, 2) &amp; " KB",
    XLOOKUP(TEXTJOIN("/", TRUE, $A118:$B118), 'source merged_div_data'!$A:$A, 'source merged_div_data'!F:F) &lt; 1073741824,
      ROUND(XLOOKUP(TEXTJOIN("/", TRUE, $A118:$B118), 'source merged_div_data'!$A:$A, 'source merged_div_data'!F:F)/1048576, 2) &amp; " MB",
    TRUE,
      ROUND(XLOOKUP(TEXTJOIN("/", TRUE, $A118:$B118), 'source merged_div_data'!$A:$A, 'source merged_div_data'!F:F)/1073741824, 2) &amp; " GB"
  ),
  "×"
)</f>
        <v>356 B</v>
      </c>
      <c r="G118" s="55" t="s">
        <v>1053</v>
      </c>
      <c r="H118" s="55"/>
      <c r="I118" s="55"/>
      <c r="J118" s="46" t="s">
        <v>854</v>
      </c>
      <c r="K118" s="55"/>
      <c r="L118" s="46" t="s">
        <v>1410</v>
      </c>
      <c r="M118" s="55" t="s">
        <v>1053</v>
      </c>
      <c r="N118" s="52" t="s">
        <v>1181</v>
      </c>
      <c r="O118" s="46" t="s">
        <v>1182</v>
      </c>
      <c r="P118" s="37" t="str">
        <f>IFERROR(__xludf.DUMMYFUNCTION("XLOOKUP(JOIN(""/"",$A118:$B118),'source isilon_divまとめ'!$A:$A,'source isilon_divまとめ'!$D:$D,XLOOKUP(JOIN(""\"",$A118:$B118),'source NetApp-file-sv01-div'!A:A,TEXT('source NetApp-file-sv01-div'!C:C,""yyyy/mm/dd"")))"),"#N/A")</f>
        <v>#N/A</v>
      </c>
    </row>
    <row r="119">
      <c r="A119" s="52" t="s">
        <v>1179</v>
      </c>
      <c r="B119" s="52" t="s">
        <v>1151</v>
      </c>
      <c r="C119" s="46" t="s">
        <v>986</v>
      </c>
      <c r="D119" s="53">
        <f>IFERROR(__xludf.DUMMYFUNCTION("XLOOKUP(JOIN(""/"",$A119:$B119),'source merged_div_data'!$A:$A,'source merged_div_data'!B:B)"),18.0)</f>
        <v>18</v>
      </c>
      <c r="E119" s="53">
        <f>IFERROR(__xludf.DUMMYFUNCTION("XLOOKUP(JOIN(""/"",$A119:$B119),'source merged_div_data'!$A:$A,'source merged_div_data'!C:C)"),0.0)</f>
        <v>0</v>
      </c>
      <c r="F119" s="54" t="str">
        <f t="array" ref="F119">IFERROR(
  IFS(
    XLOOKUP(TEXTJOIN("/", TRUE, $A119:$B119), 'source merged_div_data'!$A:$A, 'source merged_div_data'!F:F) &lt; 1024,
      XLOOKUP(TEXTJOIN("/", TRUE, $A119:$B119), 'source merged_div_data'!$A:$A, 'source merged_div_data'!F:F) &amp; " B",
    XLOOKUP(TEXTJOIN("/", TRUE, $A119:$B119), 'source merged_div_data'!$A:$A, 'source merged_div_data'!F:F) &lt; 1048576,
      ROUND(XLOOKUP(TEXTJOIN("/", TRUE, $A119:$B119), 'source merged_div_data'!$A:$A, 'source merged_div_data'!F:F)/1024, 2) &amp; " KB",
    XLOOKUP(TEXTJOIN("/", TRUE, $A119:$B119), 'source merged_div_data'!$A:$A, 'source merged_div_data'!F:F) &lt; 1073741824,
      ROUND(XLOOKUP(TEXTJOIN("/", TRUE, $A119:$B119), 'source merged_div_data'!$A:$A, 'source merged_div_data'!F:F)/1048576, 2) &amp; " MB",
    TRUE,
      ROUND(XLOOKUP(TEXTJOIN("/", TRUE, $A119:$B119), 'source merged_div_data'!$A:$A, 'source merged_div_data'!F:F)/1073741824, 2) &amp; " GB"
  ),
  "×"
)</f>
        <v>606 B</v>
      </c>
      <c r="G119" s="55" t="s">
        <v>1053</v>
      </c>
      <c r="H119" s="55"/>
      <c r="I119" s="55"/>
      <c r="J119" s="46" t="s">
        <v>693</v>
      </c>
      <c r="K119" s="55"/>
      <c r="L119" s="46" t="s">
        <v>1410</v>
      </c>
      <c r="M119" s="55" t="s">
        <v>1053</v>
      </c>
      <c r="N119" s="52" t="s">
        <v>1181</v>
      </c>
      <c r="O119" s="46" t="s">
        <v>693</v>
      </c>
      <c r="P119" s="37" t="str">
        <f>IFERROR(__xludf.DUMMYFUNCTION("XLOOKUP(JOIN(""/"",$A119:$B119),'source isilon_divまとめ'!$A:$A,'source isilon_divまとめ'!$D:$D,XLOOKUP(JOIN(""\"",$A119:$B119),'source NetApp-file-sv01-div'!A:A,TEXT('source NetApp-file-sv01-div'!C:C,""yyyy/mm/dd"")))"),"#N/A")</f>
        <v>#N/A</v>
      </c>
    </row>
    <row r="120">
      <c r="A120" s="8" t="s">
        <v>1179</v>
      </c>
      <c r="B120" s="8" t="s">
        <v>1184</v>
      </c>
      <c r="C120" s="7" t="s">
        <v>987</v>
      </c>
      <c r="D120" s="56">
        <f>IFERROR(__xludf.DUMMYFUNCTION("XLOOKUP(JOIN(""/"",$A120:$B120),'source merged_div_data'!$A:$A,'source merged_div_data'!B:B)"),149.0)</f>
        <v>149</v>
      </c>
      <c r="E120" s="56">
        <f>IFERROR(__xludf.DUMMYFUNCTION("XLOOKUP(JOIN(""/"",$A120:$B120),'source merged_div_data'!$A:$A,'source merged_div_data'!C:C)"),868.0)</f>
        <v>868</v>
      </c>
      <c r="F120" s="54" t="str">
        <f t="array" ref="F120">IFERROR(
  IFS(
    XLOOKUP(TEXTJOIN("/", TRUE, $A120:$B120), 'source merged_div_data'!$A:$A, 'source merged_div_data'!F:F) &lt; 1024,
      XLOOKUP(TEXTJOIN("/", TRUE, $A120:$B120), 'source merged_div_data'!$A:$A, 'source merged_div_data'!F:F) &amp; " B",
    XLOOKUP(TEXTJOIN("/", TRUE, $A120:$B120), 'source merged_div_data'!$A:$A, 'source merged_div_data'!F:F) &lt; 1048576,
      ROUND(XLOOKUP(TEXTJOIN("/", TRUE, $A120:$B120), 'source merged_div_data'!$A:$A, 'source merged_div_data'!F:F)/1024, 2) &amp; " KB",
    XLOOKUP(TEXTJOIN("/", TRUE, $A120:$B120), 'source merged_div_data'!$A:$A, 'source merged_div_data'!F:F) &lt; 1073741824,
      ROUND(XLOOKUP(TEXTJOIN("/", TRUE, $A120:$B120), 'source merged_div_data'!$A:$A, 'source merged_div_data'!F:F)/1048576, 2) &amp; " MB",
    TRUE,
      ROUND(XLOOKUP(TEXTJOIN("/", TRUE, $A120:$B120), 'source merged_div_data'!$A:$A, 'source merged_div_data'!F:F)/1073741824, 2) &amp; " GB"
  ),
  "×"
)</f>
        <v>1.29 GB</v>
      </c>
      <c r="G120" s="57" t="s">
        <v>2234</v>
      </c>
      <c r="H120" s="58" t="s">
        <v>2177</v>
      </c>
      <c r="I120" s="57"/>
      <c r="J120" s="7" t="s">
        <v>440</v>
      </c>
      <c r="K120" s="7" t="s">
        <v>441</v>
      </c>
      <c r="L120" s="7" t="s">
        <v>1723</v>
      </c>
      <c r="M120" s="7" t="s">
        <v>2119</v>
      </c>
      <c r="N120" s="7" t="s">
        <v>1052</v>
      </c>
      <c r="O120" s="7" t="s">
        <v>441</v>
      </c>
      <c r="P120" s="57" t="str">
        <f>IFERROR(__xludf.DUMMYFUNCTION("XLOOKUP(JOIN(""/"",$A120:$B120),'source isilon_divまとめ'!$A:$A,'source isilon_divまとめ'!$D:$D,XLOOKUP(JOIN(""\"",$A120:$B120),'source NetApp-file-sv01-div'!A:A,TEXT('source NetApp-file-sv01-div'!C:C,""yyyy/mm/dd"")))"),"2020/02/25")</f>
        <v>2020/02/25</v>
      </c>
    </row>
    <row r="121">
      <c r="A121" s="52" t="s">
        <v>1179</v>
      </c>
      <c r="B121" s="52" t="s">
        <v>1153</v>
      </c>
      <c r="C121" s="46" t="s">
        <v>986</v>
      </c>
      <c r="D121" s="53">
        <f>IFERROR(__xludf.DUMMYFUNCTION("XLOOKUP(JOIN(""/"",$A121:$B121),'source merged_div_data'!$A:$A,'source merged_div_data'!B:B)"),9.0)</f>
        <v>9</v>
      </c>
      <c r="E121" s="53">
        <f>IFERROR(__xludf.DUMMYFUNCTION("XLOOKUP(JOIN(""/"",$A121:$B121),'source merged_div_data'!$A:$A,'source merged_div_data'!C:C)"),0.0)</f>
        <v>0</v>
      </c>
      <c r="F121" s="54" t="str">
        <f t="array" ref="F121">IFERROR(
  IFS(
    XLOOKUP(TEXTJOIN("/", TRUE, $A121:$B121), 'source merged_div_data'!$A:$A, 'source merged_div_data'!F:F) &lt; 1024,
      XLOOKUP(TEXTJOIN("/", TRUE, $A121:$B121), 'source merged_div_data'!$A:$A, 'source merged_div_data'!F:F) &amp; " B",
    XLOOKUP(TEXTJOIN("/", TRUE, $A121:$B121), 'source merged_div_data'!$A:$A, 'source merged_div_data'!F:F) &lt; 1048576,
      ROUND(XLOOKUP(TEXTJOIN("/", TRUE, $A121:$B121), 'source merged_div_data'!$A:$A, 'source merged_div_data'!F:F)/1024, 2) &amp; " KB",
    XLOOKUP(TEXTJOIN("/", TRUE, $A121:$B121), 'source merged_div_data'!$A:$A, 'source merged_div_data'!F:F) &lt; 1073741824,
      ROUND(XLOOKUP(TEXTJOIN("/", TRUE, $A121:$B121), 'source merged_div_data'!$A:$A, 'source merged_div_data'!F:F)/1048576, 2) &amp; " MB",
    TRUE,
      ROUND(XLOOKUP(TEXTJOIN("/", TRUE, $A121:$B121), 'source merged_div_data'!$A:$A, 'source merged_div_data'!F:F)/1073741824, 2) &amp; " GB"
  ),
  "×"
)</f>
        <v>247 B</v>
      </c>
      <c r="G121" s="55" t="s">
        <v>1053</v>
      </c>
      <c r="H121" s="55"/>
      <c r="I121" s="55"/>
      <c r="J121" s="46" t="s">
        <v>440</v>
      </c>
      <c r="K121" s="46" t="s">
        <v>441</v>
      </c>
      <c r="L121" s="46" t="s">
        <v>1723</v>
      </c>
      <c r="M121" s="46" t="s">
        <v>2119</v>
      </c>
      <c r="N121" s="52" t="s">
        <v>1181</v>
      </c>
      <c r="O121" s="46" t="s">
        <v>441</v>
      </c>
      <c r="P121" s="37" t="str">
        <f>IFERROR(__xludf.DUMMYFUNCTION("XLOOKUP(JOIN(""/"",$A121:$B121),'source isilon_divまとめ'!$A:$A,'source isilon_divまとめ'!$D:$D,XLOOKUP(JOIN(""\"",$A121:$B121),'source NetApp-file-sv01-div'!A:A,TEXT('source NetApp-file-sv01-div'!C:C,""yyyy/mm/dd"")))"),"#N/A")</f>
        <v>#N/A</v>
      </c>
    </row>
    <row r="122">
      <c r="A122" s="52" t="s">
        <v>1179</v>
      </c>
      <c r="B122" s="52" t="s">
        <v>1185</v>
      </c>
      <c r="C122" s="46" t="s">
        <v>986</v>
      </c>
      <c r="D122" s="53">
        <f>IFERROR(__xludf.DUMMYFUNCTION("XLOOKUP(JOIN(""/"",$A122:$B122),'source merged_div_data'!$A:$A,'source merged_div_data'!B:B)"),6.0)</f>
        <v>6</v>
      </c>
      <c r="E122" s="53">
        <f>IFERROR(__xludf.DUMMYFUNCTION("XLOOKUP(JOIN(""/"",$A122:$B122),'source merged_div_data'!$A:$A,'source merged_div_data'!C:C)"),0.0)</f>
        <v>0</v>
      </c>
      <c r="F122" s="54" t="str">
        <f t="array" ref="F122">IFERROR(
  IFS(
    XLOOKUP(TEXTJOIN("/", TRUE, $A122:$B122), 'source merged_div_data'!$A:$A, 'source merged_div_data'!F:F) &lt; 1024,
      XLOOKUP(TEXTJOIN("/", TRUE, $A122:$B122), 'source merged_div_data'!$A:$A, 'source merged_div_data'!F:F) &amp; " B",
    XLOOKUP(TEXTJOIN("/", TRUE, $A122:$B122), 'source merged_div_data'!$A:$A, 'source merged_div_data'!F:F) &lt; 1048576,
      ROUND(XLOOKUP(TEXTJOIN("/", TRUE, $A122:$B122), 'source merged_div_data'!$A:$A, 'source merged_div_data'!F:F)/1024, 2) &amp; " KB",
    XLOOKUP(TEXTJOIN("/", TRUE, $A122:$B122), 'source merged_div_data'!$A:$A, 'source merged_div_data'!F:F) &lt; 1073741824,
      ROUND(XLOOKUP(TEXTJOIN("/", TRUE, $A122:$B122), 'source merged_div_data'!$A:$A, 'source merged_div_data'!F:F)/1048576, 2) &amp; " MB",
    TRUE,
      ROUND(XLOOKUP(TEXTJOIN("/", TRUE, $A122:$B122), 'source merged_div_data'!$A:$A, 'source merged_div_data'!F:F)/1073741824, 2) &amp; " GB"
  ),
  "×"
)</f>
        <v>164 B</v>
      </c>
      <c r="G122" s="55" t="s">
        <v>1053</v>
      </c>
      <c r="H122" s="55"/>
      <c r="I122" s="55"/>
      <c r="J122" s="46" t="s">
        <v>391</v>
      </c>
      <c r="K122" s="46" t="s">
        <v>395</v>
      </c>
      <c r="L122" s="46" t="s">
        <v>1053</v>
      </c>
      <c r="M122" s="46" t="s">
        <v>2092</v>
      </c>
      <c r="N122" s="52" t="s">
        <v>1181</v>
      </c>
      <c r="O122" s="46" t="s">
        <v>1110</v>
      </c>
      <c r="P122" s="37" t="str">
        <f>IFERROR(__xludf.DUMMYFUNCTION("XLOOKUP(JOIN(""/"",$A122:$B122),'source isilon_divまとめ'!$A:$A,'source isilon_divまとめ'!$D:$D,XLOOKUP(JOIN(""\"",$A122:$B122),'source NetApp-file-sv01-div'!A:A,TEXT('source NetApp-file-sv01-div'!C:C,""yyyy/mm/dd"")))"),"#N/A")</f>
        <v>#N/A</v>
      </c>
    </row>
    <row r="123">
      <c r="A123" s="8" t="s">
        <v>1179</v>
      </c>
      <c r="B123" s="8" t="s">
        <v>1186</v>
      </c>
      <c r="C123" s="7" t="s">
        <v>987</v>
      </c>
      <c r="D123" s="56">
        <f>IFERROR(__xludf.DUMMYFUNCTION("XLOOKUP(JOIN(""/"",$A123:$B123),'source merged_div_data'!$A:$A,'source merged_div_data'!B:B)"),307.0)</f>
        <v>307</v>
      </c>
      <c r="E123" s="56">
        <f>IFERROR(__xludf.DUMMYFUNCTION("XLOOKUP(JOIN(""/"",$A123:$B123),'source merged_div_data'!$A:$A,'source merged_div_data'!C:C)"),15810.0)</f>
        <v>15810</v>
      </c>
      <c r="F123" s="54" t="str">
        <f t="array" ref="F123">IFERROR(
  IFS(
    XLOOKUP(TEXTJOIN("/", TRUE, $A123:$B123), 'source merged_div_data'!$A:$A, 'source merged_div_data'!F:F) &lt; 1024,
      XLOOKUP(TEXTJOIN("/", TRUE, $A123:$B123), 'source merged_div_data'!$A:$A, 'source merged_div_data'!F:F) &amp; " B",
    XLOOKUP(TEXTJOIN("/", TRUE, $A123:$B123), 'source merged_div_data'!$A:$A, 'source merged_div_data'!F:F) &lt; 1048576,
      ROUND(XLOOKUP(TEXTJOIN("/", TRUE, $A123:$B123), 'source merged_div_data'!$A:$A, 'source merged_div_data'!F:F)/1024, 2) &amp; " KB",
    XLOOKUP(TEXTJOIN("/", TRUE, $A123:$B123), 'source merged_div_data'!$A:$A, 'source merged_div_data'!F:F) &lt; 1073741824,
      ROUND(XLOOKUP(TEXTJOIN("/", TRUE, $A123:$B123), 'source merged_div_data'!$A:$A, 'source merged_div_data'!F:F)/1048576, 2) &amp; " MB",
    TRUE,
      ROUND(XLOOKUP(TEXTJOIN("/", TRUE, $A123:$B123), 'source merged_div_data'!$A:$A, 'source merged_div_data'!F:F)/1073741824, 2) &amp; " GB"
  ),
  "×"
)</f>
        <v>54.96 GB</v>
      </c>
      <c r="G123" s="57" t="s">
        <v>2235</v>
      </c>
      <c r="H123" s="58" t="s">
        <v>2177</v>
      </c>
      <c r="I123" s="57"/>
      <c r="J123" s="7" t="s">
        <v>854</v>
      </c>
      <c r="K123" s="7" t="s">
        <v>173</v>
      </c>
      <c r="L123" s="7" t="s">
        <v>1410</v>
      </c>
      <c r="M123" s="7" t="s">
        <v>1410</v>
      </c>
      <c r="N123" s="8" t="s">
        <v>1181</v>
      </c>
      <c r="O123" s="7" t="s">
        <v>1182</v>
      </c>
      <c r="P123" s="57" t="str">
        <f>IFERROR(__xludf.DUMMYFUNCTION("XLOOKUP(JOIN(""/"",$A123:$B123),'source isilon_divまとめ'!$A:$A,'source isilon_divまとめ'!$D:$D,XLOOKUP(JOIN(""\"",$A123:$B123),'source NetApp-file-sv01-div'!A:A,TEXT('source NetApp-file-sv01-div'!C:C,""yyyy/mm/dd"")))"),"2020/07/29")</f>
        <v>2020/07/29</v>
      </c>
    </row>
    <row r="124">
      <c r="A124" s="52" t="s">
        <v>1179</v>
      </c>
      <c r="B124" s="52" t="s">
        <v>857</v>
      </c>
      <c r="C124" s="46" t="s">
        <v>986</v>
      </c>
      <c r="D124" s="53">
        <f>IFERROR(__xludf.DUMMYFUNCTION("XLOOKUP(JOIN(""/"",$A124:$B124),'source merged_div_data'!$A:$A,'source merged_div_data'!B:B)"),10.0)</f>
        <v>10</v>
      </c>
      <c r="E124" s="53">
        <f>IFERROR(__xludf.DUMMYFUNCTION("XLOOKUP(JOIN(""/"",$A124:$B124),'source merged_div_data'!$A:$A,'source merged_div_data'!C:C)"),0.0)</f>
        <v>0</v>
      </c>
      <c r="F124" s="54" t="str">
        <f t="array" ref="F124">IFERROR(
  IFS(
    XLOOKUP(TEXTJOIN("/", TRUE, $A124:$B124), 'source merged_div_data'!$A:$A, 'source merged_div_data'!F:F) &lt; 1024,
      XLOOKUP(TEXTJOIN("/", TRUE, $A124:$B124), 'source merged_div_data'!$A:$A, 'source merged_div_data'!F:F) &amp; " B",
    XLOOKUP(TEXTJOIN("/", TRUE, $A124:$B124), 'source merged_div_data'!$A:$A, 'source merged_div_data'!F:F) &lt; 1048576,
      ROUND(XLOOKUP(TEXTJOIN("/", TRUE, $A124:$B124), 'source merged_div_data'!$A:$A, 'source merged_div_data'!F:F)/1024, 2) &amp; " KB",
    XLOOKUP(TEXTJOIN("/", TRUE, $A124:$B124), 'source merged_div_data'!$A:$A, 'source merged_div_data'!F:F) &lt; 1073741824,
      ROUND(XLOOKUP(TEXTJOIN("/", TRUE, $A124:$B124), 'source merged_div_data'!$A:$A, 'source merged_div_data'!F:F)/1048576, 2) &amp; " MB",
    TRUE,
      ROUND(XLOOKUP(TEXTJOIN("/", TRUE, $A124:$B124), 'source merged_div_data'!$A:$A, 'source merged_div_data'!F:F)/1073741824, 2) &amp; " GB"
  ),
  "×"
)</f>
        <v>296 B</v>
      </c>
      <c r="G124" s="55" t="s">
        <v>1053</v>
      </c>
      <c r="H124" s="55"/>
      <c r="I124" s="55"/>
      <c r="J124" s="55" t="s">
        <v>854</v>
      </c>
      <c r="K124" s="55" t="s">
        <v>857</v>
      </c>
      <c r="L124" s="55" t="s">
        <v>1410</v>
      </c>
      <c r="M124" s="55" t="s">
        <v>1053</v>
      </c>
      <c r="N124" s="52"/>
      <c r="O124" s="55"/>
      <c r="P124" s="37" t="str">
        <f>IFERROR(__xludf.DUMMYFUNCTION("XLOOKUP(JOIN(""/"",$A124:$B124),'source isilon_divまとめ'!$A:$A,'source isilon_divまとめ'!$D:$D,XLOOKUP(JOIN(""\"",$A124:$B124),'source NetApp-file-sv01-div'!A:A,TEXT('source NetApp-file-sv01-div'!C:C,""yyyy/mm/dd"")))"),"#N/A")</f>
        <v>#N/A</v>
      </c>
    </row>
    <row r="125">
      <c r="A125" s="52" t="s">
        <v>1179</v>
      </c>
      <c r="B125" s="52" t="s">
        <v>1111</v>
      </c>
      <c r="C125" s="46" t="s">
        <v>986</v>
      </c>
      <c r="D125" s="53">
        <f>IFERROR(__xludf.DUMMYFUNCTION("XLOOKUP(JOIN(""/"",$A125:$B125),'source merged_div_data'!$A:$A,'source merged_div_data'!B:B)"),1.0)</f>
        <v>1</v>
      </c>
      <c r="E125" s="53">
        <f>IFERROR(__xludf.DUMMYFUNCTION("XLOOKUP(JOIN(""/"",$A125:$B125),'source merged_div_data'!$A:$A,'source merged_div_data'!C:C)"),0.0)</f>
        <v>0</v>
      </c>
      <c r="F125" s="54" t="str">
        <f t="array" ref="F125">IFERROR(
  IFS(
    XLOOKUP(TEXTJOIN("/", TRUE, $A125:$B125), 'source merged_div_data'!$A:$A, 'source merged_div_data'!F:F) &lt; 1024,
      XLOOKUP(TEXTJOIN("/", TRUE, $A125:$B125), 'source merged_div_data'!$A:$A, 'source merged_div_data'!F:F) &amp; " B",
    XLOOKUP(TEXTJOIN("/", TRUE, $A125:$B125), 'source merged_div_data'!$A:$A, 'source merged_div_data'!F:F) &lt; 1048576,
      ROUND(XLOOKUP(TEXTJOIN("/", TRUE, $A125:$B125), 'source merged_div_data'!$A:$A, 'source merged_div_data'!F:F)/1024, 2) &amp; " KB",
    XLOOKUP(TEXTJOIN("/", TRUE, $A125:$B125), 'source merged_div_data'!$A:$A, 'source merged_div_data'!F:F) &lt; 1073741824,
      ROUND(XLOOKUP(TEXTJOIN("/", TRUE, $A125:$B125), 'source merged_div_data'!$A:$A, 'source merged_div_data'!F:F)/1048576, 2) &amp; " MB",
    TRUE,
      ROUND(XLOOKUP(TEXTJOIN("/", TRUE, $A125:$B125), 'source merged_div_data'!$A:$A, 'source merged_div_data'!F:F)/1073741824, 2) &amp; " GB"
  ),
  "×"
)</f>
        <v>0 B</v>
      </c>
      <c r="G125" s="55" t="s">
        <v>1053</v>
      </c>
      <c r="H125" s="55"/>
      <c r="I125" s="55"/>
      <c r="J125" s="62" t="s">
        <v>188</v>
      </c>
      <c r="K125" s="62" t="s">
        <v>2223</v>
      </c>
      <c r="L125" s="55"/>
      <c r="M125" s="46" t="s">
        <v>2224</v>
      </c>
      <c r="N125" s="52" t="s">
        <v>1181</v>
      </c>
      <c r="O125" s="46" t="s">
        <v>1105</v>
      </c>
      <c r="P125" s="37" t="str">
        <f>IFERROR(__xludf.DUMMYFUNCTION("XLOOKUP(JOIN(""/"",$A125:$B125),'source isilon_divまとめ'!$A:$A,'source isilon_divまとめ'!$D:$D,XLOOKUP(JOIN(""\"",$A125:$B125),'source NetApp-file-sv01-div'!A:A,TEXT('source NetApp-file-sv01-div'!C:C,""yyyy/mm/dd"")))"),"#N/A")</f>
        <v>#N/A</v>
      </c>
    </row>
    <row r="126">
      <c r="A126" s="52" t="s">
        <v>1179</v>
      </c>
      <c r="B126" s="52" t="s">
        <v>1187</v>
      </c>
      <c r="C126" s="46" t="s">
        <v>988</v>
      </c>
      <c r="D126" s="53">
        <f>IFERROR(__xludf.DUMMYFUNCTION("XLOOKUP(JOIN(""/"",$A126:$B126),'source merged_div_data'!$A:$A,'source merged_div_data'!B:B)"),5.0)</f>
        <v>5</v>
      </c>
      <c r="E126" s="53">
        <f>IFERROR(__xludf.DUMMYFUNCTION("XLOOKUP(JOIN(""/"",$A126:$B126),'source merged_div_data'!$A:$A,'source merged_div_data'!C:C)"),0.0)</f>
        <v>0</v>
      </c>
      <c r="F126" s="54" t="str">
        <f t="array" ref="F126">IFERROR(
  IFS(
    XLOOKUP(TEXTJOIN("/", TRUE, $A126:$B126), 'source merged_div_data'!$A:$A, 'source merged_div_data'!F:F) &lt; 1024,
      XLOOKUP(TEXTJOIN("/", TRUE, $A126:$B126), 'source merged_div_data'!$A:$A, 'source merged_div_data'!F:F) &amp; " B",
    XLOOKUP(TEXTJOIN("/", TRUE, $A126:$B126), 'source merged_div_data'!$A:$A, 'source merged_div_data'!F:F) &lt; 1048576,
      ROUND(XLOOKUP(TEXTJOIN("/", TRUE, $A126:$B126), 'source merged_div_data'!$A:$A, 'source merged_div_data'!F:F)/1024, 2) &amp; " KB",
    XLOOKUP(TEXTJOIN("/", TRUE, $A126:$B126), 'source merged_div_data'!$A:$A, 'source merged_div_data'!F:F) &lt; 1073741824,
      ROUND(XLOOKUP(TEXTJOIN("/", TRUE, $A126:$B126), 'source merged_div_data'!$A:$A, 'source merged_div_data'!F:F)/1048576, 2) &amp; " MB",
    TRUE,
      ROUND(XLOOKUP(TEXTJOIN("/", TRUE, $A126:$B126), 'source merged_div_data'!$A:$A, 'source merged_div_data'!F:F)/1073741824, 2) &amp; " GB"
  ),
  "×"
)</f>
        <v>137 B</v>
      </c>
      <c r="G126" s="55" t="s">
        <v>1053</v>
      </c>
      <c r="H126" s="55"/>
      <c r="I126" s="55"/>
      <c r="J126" s="55" t="s">
        <v>38</v>
      </c>
      <c r="K126" s="46" t="s">
        <v>43</v>
      </c>
      <c r="L126" s="55" t="s">
        <v>1053</v>
      </c>
      <c r="M126" s="46" t="s">
        <v>1467</v>
      </c>
      <c r="N126" s="52" t="s">
        <v>1181</v>
      </c>
      <c r="O126" s="46" t="s">
        <v>1188</v>
      </c>
      <c r="P126" s="37" t="str">
        <f>IFERROR(__xludf.DUMMYFUNCTION("XLOOKUP(JOIN(""/"",$A126:$B126),'source isilon_divまとめ'!$A:$A,'source isilon_divまとめ'!$D:$D,XLOOKUP(JOIN(""\"",$A126:$B126),'source NetApp-file-sv01-div'!A:A,TEXT('source NetApp-file-sv01-div'!C:C,""yyyy/mm/dd"")))"),"#N/A")</f>
        <v>#N/A</v>
      </c>
    </row>
    <row r="127">
      <c r="A127" s="52" t="s">
        <v>1179</v>
      </c>
      <c r="B127" s="52" t="s">
        <v>1189</v>
      </c>
      <c r="C127" s="46" t="s">
        <v>986</v>
      </c>
      <c r="D127" s="53">
        <f>IFERROR(__xludf.DUMMYFUNCTION("XLOOKUP(JOIN(""/"",$A127:$B127),'source merged_div_data'!$A:$A,'source merged_div_data'!B:B)"),2.0)</f>
        <v>2</v>
      </c>
      <c r="E127" s="53">
        <f>IFERROR(__xludf.DUMMYFUNCTION("XLOOKUP(JOIN(""/"",$A127:$B127),'source merged_div_data'!$A:$A,'source merged_div_data'!C:C)"),0.0)</f>
        <v>0</v>
      </c>
      <c r="F127" s="54" t="str">
        <f t="array" ref="F127">IFERROR(
  IFS(
    XLOOKUP(TEXTJOIN("/", TRUE, $A127:$B127), 'source merged_div_data'!$A:$A, 'source merged_div_data'!F:F) &lt; 1024,
      XLOOKUP(TEXTJOIN("/", TRUE, $A127:$B127), 'source merged_div_data'!$A:$A, 'source merged_div_data'!F:F) &amp; " B",
    XLOOKUP(TEXTJOIN("/", TRUE, $A127:$B127), 'source merged_div_data'!$A:$A, 'source merged_div_data'!F:F) &lt; 1048576,
      ROUND(XLOOKUP(TEXTJOIN("/", TRUE, $A127:$B127), 'source merged_div_data'!$A:$A, 'source merged_div_data'!F:F)/1024, 2) &amp; " KB",
    XLOOKUP(TEXTJOIN("/", TRUE, $A127:$B127), 'source merged_div_data'!$A:$A, 'source merged_div_data'!F:F) &lt; 1073741824,
      ROUND(XLOOKUP(TEXTJOIN("/", TRUE, $A127:$B127), 'source merged_div_data'!$A:$A, 'source merged_div_data'!F:F)/1048576, 2) &amp; " MB",
    TRUE,
      ROUND(XLOOKUP(TEXTJOIN("/", TRUE, $A127:$B127), 'source merged_div_data'!$A:$A, 'source merged_div_data'!F:F)/1073741824, 2) &amp; " GB"
  ),
  "×"
)</f>
        <v>27 B</v>
      </c>
      <c r="G127" s="55" t="s">
        <v>1053</v>
      </c>
      <c r="H127" s="55"/>
      <c r="I127" s="55"/>
      <c r="J127" s="46" t="s">
        <v>854</v>
      </c>
      <c r="K127" s="55"/>
      <c r="L127" s="46" t="s">
        <v>1410</v>
      </c>
      <c r="M127" s="55" t="s">
        <v>1053</v>
      </c>
      <c r="N127" s="52" t="s">
        <v>1102</v>
      </c>
      <c r="O127" s="46" t="s">
        <v>1190</v>
      </c>
      <c r="P127" s="37" t="str">
        <f>IFERROR(__xludf.DUMMYFUNCTION("XLOOKUP(JOIN(""/"",$A127:$B127),'source isilon_divまとめ'!$A:$A,'source isilon_divまとめ'!$D:$D,XLOOKUP(JOIN(""\"",$A127:$B127),'source NetApp-file-sv01-div'!A:A,TEXT('source NetApp-file-sv01-div'!C:C,""yyyy/mm/dd"")))"),"#N/A")</f>
        <v>#N/A</v>
      </c>
    </row>
    <row r="128">
      <c r="A128" s="52" t="s">
        <v>1179</v>
      </c>
      <c r="B128" s="52" t="s">
        <v>1191</v>
      </c>
      <c r="C128" s="46" t="s">
        <v>986</v>
      </c>
      <c r="D128" s="53">
        <f>IFERROR(__xludf.DUMMYFUNCTION("XLOOKUP(JOIN(""/"",$A128:$B128),'source merged_div_data'!$A:$A,'source merged_div_data'!B:B)"),19.0)</f>
        <v>19</v>
      </c>
      <c r="E128" s="53">
        <f>IFERROR(__xludf.DUMMYFUNCTION("XLOOKUP(JOIN(""/"",$A128:$B128),'source merged_div_data'!$A:$A,'source merged_div_data'!C:C)"),0.0)</f>
        <v>0</v>
      </c>
      <c r="F128" s="54" t="str">
        <f t="array" ref="F128">IFERROR(
  IFS(
    XLOOKUP(TEXTJOIN("/", TRUE, $A128:$B128), 'source merged_div_data'!$A:$A, 'source merged_div_data'!F:F) &lt; 1024,
      XLOOKUP(TEXTJOIN("/", TRUE, $A128:$B128), 'source merged_div_data'!$A:$A, 'source merged_div_data'!F:F) &amp; " B",
    XLOOKUP(TEXTJOIN("/", TRUE, $A128:$B128), 'source merged_div_data'!$A:$A, 'source merged_div_data'!F:F) &lt; 1048576,
      ROUND(XLOOKUP(TEXTJOIN("/", TRUE, $A128:$B128), 'source merged_div_data'!$A:$A, 'source merged_div_data'!F:F)/1024, 2) &amp; " KB",
    XLOOKUP(TEXTJOIN("/", TRUE, $A128:$B128), 'source merged_div_data'!$A:$A, 'source merged_div_data'!F:F) &lt; 1073741824,
      ROUND(XLOOKUP(TEXTJOIN("/", TRUE, $A128:$B128), 'source merged_div_data'!$A:$A, 'source merged_div_data'!F:F)/1048576, 2) &amp; " MB",
    TRUE,
      ROUND(XLOOKUP(TEXTJOIN("/", TRUE, $A128:$B128), 'source merged_div_data'!$A:$A, 'source merged_div_data'!F:F)/1073741824, 2) &amp; " GB"
  ),
  "×"
)</f>
        <v>625 B</v>
      </c>
      <c r="G128" s="55" t="s">
        <v>1053</v>
      </c>
      <c r="H128" s="55"/>
      <c r="I128" s="55"/>
      <c r="J128" s="46" t="s">
        <v>854</v>
      </c>
      <c r="K128" s="55"/>
      <c r="L128" s="46" t="s">
        <v>1410</v>
      </c>
      <c r="M128" s="55" t="s">
        <v>1053</v>
      </c>
      <c r="N128" s="52" t="s">
        <v>1102</v>
      </c>
      <c r="O128" s="46" t="s">
        <v>1192</v>
      </c>
      <c r="P128" s="37" t="str">
        <f>IFERROR(__xludf.DUMMYFUNCTION("XLOOKUP(JOIN(""/"",$A128:$B128),'source isilon_divまとめ'!$A:$A,'source isilon_divまとめ'!$D:$D,XLOOKUP(JOIN(""\"",$A128:$B128),'source NetApp-file-sv01-div'!A:A,TEXT('source NetApp-file-sv01-div'!C:C,""yyyy/mm/dd"")))"),"#N/A")</f>
        <v>#N/A</v>
      </c>
    </row>
    <row r="129">
      <c r="A129" s="52" t="s">
        <v>391</v>
      </c>
      <c r="B129" s="52" t="s">
        <v>890</v>
      </c>
      <c r="C129" s="46" t="s">
        <v>986</v>
      </c>
      <c r="D129" s="53">
        <f>IFERROR(__xludf.DUMMYFUNCTION("XLOOKUP(JOIN(""/"",$A129:$B129),'source merged_div_data'!$A:$A,'source merged_div_data'!B:B)"),8.0)</f>
        <v>8</v>
      </c>
      <c r="E129" s="53">
        <f>IFERROR(__xludf.DUMMYFUNCTION("XLOOKUP(JOIN(""/"",$A129:$B129),'source merged_div_data'!$A:$A,'source merged_div_data'!C:C)"),0.0)</f>
        <v>0</v>
      </c>
      <c r="F129" s="54" t="str">
        <f t="array" ref="F129">IFERROR(
  IFS(
    XLOOKUP(TEXTJOIN("/", TRUE, $A129:$B129), 'source merged_div_data'!$A:$A, 'source merged_div_data'!F:F) &lt; 1024,
      XLOOKUP(TEXTJOIN("/", TRUE, $A129:$B129), 'source merged_div_data'!$A:$A, 'source merged_div_data'!F:F) &amp; " B",
    XLOOKUP(TEXTJOIN("/", TRUE, $A129:$B129), 'source merged_div_data'!$A:$A, 'source merged_div_data'!F:F) &lt; 1048576,
      ROUND(XLOOKUP(TEXTJOIN("/", TRUE, $A129:$B129), 'source merged_div_data'!$A:$A, 'source merged_div_data'!F:F)/1024, 2) &amp; " KB",
    XLOOKUP(TEXTJOIN("/", TRUE, $A129:$B129), 'source merged_div_data'!$A:$A, 'source merged_div_data'!F:F) &lt; 1073741824,
      ROUND(XLOOKUP(TEXTJOIN("/", TRUE, $A129:$B129), 'source merged_div_data'!$A:$A, 'source merged_div_data'!F:F)/1048576, 2) &amp; " MB",
    TRUE,
      ROUND(XLOOKUP(TEXTJOIN("/", TRUE, $A129:$B129), 'source merged_div_data'!$A:$A, 'source merged_div_data'!F:F)/1073741824, 2) &amp; " GB"
  ),
  "×"
)</f>
        <v>240 B</v>
      </c>
      <c r="G129" s="55" t="s">
        <v>1053</v>
      </c>
      <c r="H129" s="55"/>
      <c r="I129" s="55"/>
      <c r="J129" s="55" t="s">
        <v>391</v>
      </c>
      <c r="K129" s="55" t="s">
        <v>403</v>
      </c>
      <c r="L129" s="55" t="s">
        <v>1053</v>
      </c>
      <c r="M129" s="55" t="s">
        <v>2236</v>
      </c>
      <c r="N129" s="52"/>
      <c r="O129" s="55"/>
      <c r="P129" s="37" t="str">
        <f>IFERROR(__xludf.DUMMYFUNCTION("XLOOKUP(JOIN(""/"",$A129:$B129),'source isilon_divまとめ'!$A:$A,'source isilon_divまとめ'!$D:$D,XLOOKUP(JOIN(""\"",$A129:$B129),'source NetApp-file-sv01-div'!A:A,TEXT('source NetApp-file-sv01-div'!C:C,""yyyy/mm/dd"")))"),"#N/A")</f>
        <v>#N/A</v>
      </c>
    </row>
    <row r="130">
      <c r="A130" s="8" t="s">
        <v>391</v>
      </c>
      <c r="B130" s="8" t="s">
        <v>399</v>
      </c>
      <c r="C130" s="8" t="s">
        <v>985</v>
      </c>
      <c r="D130" s="56">
        <f>IFERROR(__xludf.DUMMYFUNCTION("XLOOKUP(JOIN(""/"",$A130:$B130),'source merged_div_data'!$A:$A,'source merged_div_data'!B:B)"),44.0)</f>
        <v>44</v>
      </c>
      <c r="E130" s="56">
        <f>IFERROR(__xludf.DUMMYFUNCTION("XLOOKUP(JOIN(""/"",$A130:$B130),'source merged_div_data'!$A:$A,'source merged_div_data'!C:C)"),2.0)</f>
        <v>2</v>
      </c>
      <c r="F130" s="54" t="str">
        <f t="array" ref="F130">IFERROR(
  IFS(
    XLOOKUP(TEXTJOIN("/", TRUE, $A130:$B130), 'source merged_div_data'!$A:$A, 'source merged_div_data'!F:F) &lt; 1024,
      XLOOKUP(TEXTJOIN("/", TRUE, $A130:$B130), 'source merged_div_data'!$A:$A, 'source merged_div_data'!F:F) &amp; " B",
    XLOOKUP(TEXTJOIN("/", TRUE, $A130:$B130), 'source merged_div_data'!$A:$A, 'source merged_div_data'!F:F) &lt; 1048576,
      ROUND(XLOOKUP(TEXTJOIN("/", TRUE, $A130:$B130), 'source merged_div_data'!$A:$A, 'source merged_div_data'!F:F)/1024, 2) &amp; " KB",
    XLOOKUP(TEXTJOIN("/", TRUE, $A130:$B130), 'source merged_div_data'!$A:$A, 'source merged_div_data'!F:F) &lt; 1073741824,
      ROUND(XLOOKUP(TEXTJOIN("/", TRUE, $A130:$B130), 'source merged_div_data'!$A:$A, 'source merged_div_data'!F:F)/1048576, 2) &amp; " MB",
    TRUE,
      ROUND(XLOOKUP(TEXTJOIN("/", TRUE, $A130:$B130), 'source merged_div_data'!$A:$A, 'source merged_div_data'!F:F)/1073741824, 2) &amp; " GB"
  ),
  "×"
)</f>
        <v>13.41 KB</v>
      </c>
      <c r="G130" s="37" t="s">
        <v>1053</v>
      </c>
      <c r="H130" s="7" t="s">
        <v>2177</v>
      </c>
      <c r="I130" s="37"/>
      <c r="J130" s="37" t="s">
        <v>391</v>
      </c>
      <c r="K130" s="37" t="s">
        <v>399</v>
      </c>
      <c r="L130" s="37" t="s">
        <v>1053</v>
      </c>
      <c r="M130" s="37" t="s">
        <v>2121</v>
      </c>
      <c r="N130" s="8"/>
      <c r="P130" s="37" t="str">
        <f>IFERROR(__xludf.DUMMYFUNCTION("XLOOKUP(JOIN(""/"",$A130:$B130),'source isilon_divまとめ'!$A:$A,'source isilon_divまとめ'!$D:$D,XLOOKUP(JOIN(""\"",$A130:$B130),'source NetApp-file-sv01-div'!A:A,TEXT('source NetApp-file-sv01-div'!C:C,""yyyy/mm/dd"")))"),"#N/A")</f>
        <v>#N/A</v>
      </c>
    </row>
    <row r="131">
      <c r="A131" s="52" t="s">
        <v>391</v>
      </c>
      <c r="B131" s="52" t="s">
        <v>395</v>
      </c>
      <c r="C131" s="46" t="s">
        <v>986</v>
      </c>
      <c r="D131" s="53">
        <f>IFERROR(__xludf.DUMMYFUNCTION("XLOOKUP(JOIN(""/"",$A131:$B131),'source merged_div_data'!$A:$A,'source merged_div_data'!B:B)"),28.0)</f>
        <v>28</v>
      </c>
      <c r="E131" s="53">
        <f>IFERROR(__xludf.DUMMYFUNCTION("XLOOKUP(JOIN(""/"",$A131:$B131),'source merged_div_data'!$A:$A,'source merged_div_data'!C:C)"),0.0)</f>
        <v>0</v>
      </c>
      <c r="F131" s="54" t="str">
        <f t="array" ref="F131">IFERROR(
  IFS(
    XLOOKUP(TEXTJOIN("/", TRUE, $A131:$B131), 'source merged_div_data'!$A:$A, 'source merged_div_data'!F:F) &lt; 1024,
      XLOOKUP(TEXTJOIN("/", TRUE, $A131:$B131), 'source merged_div_data'!$A:$A, 'source merged_div_data'!F:F) &amp; " B",
    XLOOKUP(TEXTJOIN("/", TRUE, $A131:$B131), 'source merged_div_data'!$A:$A, 'source merged_div_data'!F:F) &lt; 1048576,
      ROUND(XLOOKUP(TEXTJOIN("/", TRUE, $A131:$B131), 'source merged_div_data'!$A:$A, 'source merged_div_data'!F:F)/1024, 2) &amp; " KB",
    XLOOKUP(TEXTJOIN("/", TRUE, $A131:$B131), 'source merged_div_data'!$A:$A, 'source merged_div_data'!F:F) &lt; 1073741824,
      ROUND(XLOOKUP(TEXTJOIN("/", TRUE, $A131:$B131), 'source merged_div_data'!$A:$A, 'source merged_div_data'!F:F)/1048576, 2) &amp; " MB",
    TRUE,
      ROUND(XLOOKUP(TEXTJOIN("/", TRUE, $A131:$B131), 'source merged_div_data'!$A:$A, 'source merged_div_data'!F:F)/1073741824, 2) &amp; " GB"
  ),
  "×"
)</f>
        <v>835 B</v>
      </c>
      <c r="G131" s="55" t="s">
        <v>1053</v>
      </c>
      <c r="H131" s="55"/>
      <c r="I131" s="55"/>
      <c r="J131" s="55" t="s">
        <v>391</v>
      </c>
      <c r="K131" s="55" t="s">
        <v>395</v>
      </c>
      <c r="L131" s="55" t="s">
        <v>1053</v>
      </c>
      <c r="M131" s="46" t="s">
        <v>2092</v>
      </c>
      <c r="N131" s="52"/>
      <c r="O131" s="55"/>
      <c r="P131" s="37" t="str">
        <f>IFERROR(__xludf.DUMMYFUNCTION("XLOOKUP(JOIN(""/"",$A131:$B131),'source isilon_divまとめ'!$A:$A,'source isilon_divまとめ'!$D:$D,XLOOKUP(JOIN(""\"",$A131:$B131),'source NetApp-file-sv01-div'!A:A,TEXT('source NetApp-file-sv01-div'!C:C,""yyyy/mm/dd"")))"),"#N/A")</f>
        <v>#N/A</v>
      </c>
    </row>
    <row r="132">
      <c r="A132" s="52" t="s">
        <v>391</v>
      </c>
      <c r="B132" s="52" t="s">
        <v>644</v>
      </c>
      <c r="C132" s="46" t="s">
        <v>986</v>
      </c>
      <c r="D132" s="53">
        <f>IFERROR(__xludf.DUMMYFUNCTION("XLOOKUP(JOIN(""/"",$A132:$B132),'source merged_div_data'!$A:$A,'source merged_div_data'!B:B)"),2.0)</f>
        <v>2</v>
      </c>
      <c r="E132" s="53">
        <f>IFERROR(__xludf.DUMMYFUNCTION("XLOOKUP(JOIN(""/"",$A132:$B132),'source merged_div_data'!$A:$A,'source merged_div_data'!C:C)"),0.0)</f>
        <v>0</v>
      </c>
      <c r="F132" s="54" t="str">
        <f t="array" ref="F132">IFERROR(
  IFS(
    XLOOKUP(TEXTJOIN("/", TRUE, $A132:$B132), 'source merged_div_data'!$A:$A, 'source merged_div_data'!F:F) &lt; 1024,
      XLOOKUP(TEXTJOIN("/", TRUE, $A132:$B132), 'source merged_div_data'!$A:$A, 'source merged_div_data'!F:F) &amp; " B",
    XLOOKUP(TEXTJOIN("/", TRUE, $A132:$B132), 'source merged_div_data'!$A:$A, 'source merged_div_data'!F:F) &lt; 1048576,
      ROUND(XLOOKUP(TEXTJOIN("/", TRUE, $A132:$B132), 'source merged_div_data'!$A:$A, 'source merged_div_data'!F:F)/1024, 2) &amp; " KB",
    XLOOKUP(TEXTJOIN("/", TRUE, $A132:$B132), 'source merged_div_data'!$A:$A, 'source merged_div_data'!F:F) &lt; 1073741824,
      ROUND(XLOOKUP(TEXTJOIN("/", TRUE, $A132:$B132), 'source merged_div_data'!$A:$A, 'source merged_div_data'!F:F)/1048576, 2) &amp; " MB",
    TRUE,
      ROUND(XLOOKUP(TEXTJOIN("/", TRUE, $A132:$B132), 'source merged_div_data'!$A:$A, 'source merged_div_data'!F:F)/1073741824, 2) &amp; " GB"
  ),
  "×"
)</f>
        <v>27 B</v>
      </c>
      <c r="G132" s="55" t="s">
        <v>1053</v>
      </c>
      <c r="H132" s="55"/>
      <c r="I132" s="55"/>
      <c r="J132" s="46" t="s">
        <v>1433</v>
      </c>
      <c r="K132" s="55" t="s">
        <v>136</v>
      </c>
      <c r="L132" s="46" t="s">
        <v>2129</v>
      </c>
      <c r="M132" s="55" t="s">
        <v>1053</v>
      </c>
      <c r="N132" s="52"/>
      <c r="O132" s="55"/>
      <c r="P132" s="37" t="str">
        <f>IFERROR(__xludf.DUMMYFUNCTION("XLOOKUP(JOIN(""/"",$A132:$B132),'source isilon_divまとめ'!$A:$A,'source isilon_divまとめ'!$D:$D,XLOOKUP(JOIN(""\"",$A132:$B132),'source NetApp-file-sv01-div'!A:A,TEXT('source NetApp-file-sv01-div'!C:C,""yyyy/mm/dd"")))"),"#N/A")</f>
        <v>#N/A</v>
      </c>
    </row>
    <row r="133">
      <c r="A133" s="52" t="s">
        <v>391</v>
      </c>
      <c r="B133" s="52" t="s">
        <v>1193</v>
      </c>
      <c r="C133" s="46" t="s">
        <v>986</v>
      </c>
      <c r="D133" s="53">
        <f>IFERROR(__xludf.DUMMYFUNCTION("XLOOKUP(JOIN(""/"",$A133:$B133),'source merged_div_data'!$A:$A,'source merged_div_data'!B:B)"),10.0)</f>
        <v>10</v>
      </c>
      <c r="E133" s="53">
        <f>IFERROR(__xludf.DUMMYFUNCTION("XLOOKUP(JOIN(""/"",$A133:$B133),'source merged_div_data'!$A:$A,'source merged_div_data'!C:C)"),0.0)</f>
        <v>0</v>
      </c>
      <c r="F133" s="54" t="str">
        <f t="array" ref="F133">IFERROR(
  IFS(
    XLOOKUP(TEXTJOIN("/", TRUE, $A133:$B133), 'source merged_div_data'!$A:$A, 'source merged_div_data'!F:F) &lt; 1024,
      XLOOKUP(TEXTJOIN("/", TRUE, $A133:$B133), 'source merged_div_data'!$A:$A, 'source merged_div_data'!F:F) &amp; " B",
    XLOOKUP(TEXTJOIN("/", TRUE, $A133:$B133), 'source merged_div_data'!$A:$A, 'source merged_div_data'!F:F) &lt; 1048576,
      ROUND(XLOOKUP(TEXTJOIN("/", TRUE, $A133:$B133), 'source merged_div_data'!$A:$A, 'source merged_div_data'!F:F)/1024, 2) &amp; " KB",
    XLOOKUP(TEXTJOIN("/", TRUE, $A133:$B133), 'source merged_div_data'!$A:$A, 'source merged_div_data'!F:F) &lt; 1073741824,
      ROUND(XLOOKUP(TEXTJOIN("/", TRUE, $A133:$B133), 'source merged_div_data'!$A:$A, 'source merged_div_data'!F:F)/1048576, 2) &amp; " MB",
    TRUE,
      ROUND(XLOOKUP(TEXTJOIN("/", TRUE, $A133:$B133), 'source merged_div_data'!$A:$A, 'source merged_div_data'!F:F)/1073741824, 2) &amp; " GB"
  ),
  "×"
)</f>
        <v>304 B</v>
      </c>
      <c r="G133" s="55" t="s">
        <v>1053</v>
      </c>
      <c r="H133" s="55"/>
      <c r="I133" s="55"/>
      <c r="J133" s="55" t="s">
        <v>391</v>
      </c>
      <c r="K133" s="55" t="s">
        <v>1053</v>
      </c>
      <c r="L133" s="46" t="s">
        <v>2116</v>
      </c>
      <c r="M133" s="55" t="s">
        <v>1053</v>
      </c>
      <c r="N133" s="52"/>
      <c r="O133" s="55"/>
      <c r="P133" s="37" t="str">
        <f>IFERROR(__xludf.DUMMYFUNCTION("XLOOKUP(JOIN(""/"",$A133:$B133),'source isilon_divまとめ'!$A:$A,'source isilon_divまとめ'!$D:$D,XLOOKUP(JOIN(""\"",$A133:$B133),'source NetApp-file-sv01-div'!A:A,TEXT('source NetApp-file-sv01-div'!C:C,""yyyy/mm/dd"")))"),"#N/A")</f>
        <v>#N/A</v>
      </c>
    </row>
    <row r="134">
      <c r="A134" s="52" t="s">
        <v>391</v>
      </c>
      <c r="B134" s="52" t="s">
        <v>392</v>
      </c>
      <c r="C134" s="46" t="s">
        <v>986</v>
      </c>
      <c r="D134" s="53">
        <f>IFERROR(__xludf.DUMMYFUNCTION("XLOOKUP(JOIN(""/"",$A134:$B134),'source merged_div_data'!$A:$A,'source merged_div_data'!B:B)"),32.0)</f>
        <v>32</v>
      </c>
      <c r="E134" s="53">
        <f>IFERROR(__xludf.DUMMYFUNCTION("XLOOKUP(JOIN(""/"",$A134:$B134),'source merged_div_data'!$A:$A,'source merged_div_data'!C:C)"),0.0)</f>
        <v>0</v>
      </c>
      <c r="F134" s="54" t="str">
        <f t="array" ref="F134">IFERROR(
  IFS(
    XLOOKUP(TEXTJOIN("/", TRUE, $A134:$B134), 'source merged_div_data'!$A:$A, 'source merged_div_data'!F:F) &lt; 1024,
      XLOOKUP(TEXTJOIN("/", TRUE, $A134:$B134), 'source merged_div_data'!$A:$A, 'source merged_div_data'!F:F) &amp; " B",
    XLOOKUP(TEXTJOIN("/", TRUE, $A134:$B134), 'source merged_div_data'!$A:$A, 'source merged_div_data'!F:F) &lt; 1048576,
      ROUND(XLOOKUP(TEXTJOIN("/", TRUE, $A134:$B134), 'source merged_div_data'!$A:$A, 'source merged_div_data'!F:F)/1024, 2) &amp; " KB",
    XLOOKUP(TEXTJOIN("/", TRUE, $A134:$B134), 'source merged_div_data'!$A:$A, 'source merged_div_data'!F:F) &lt; 1073741824,
      ROUND(XLOOKUP(TEXTJOIN("/", TRUE, $A134:$B134), 'source merged_div_data'!$A:$A, 'source merged_div_data'!F:F)/1048576, 2) &amp; " MB",
    TRUE,
      ROUND(XLOOKUP(TEXTJOIN("/", TRUE, $A134:$B134), 'source merged_div_data'!$A:$A, 'source merged_div_data'!F:F)/1073741824, 2) &amp; " GB"
  ),
  "×"
)</f>
        <v>996 B</v>
      </c>
      <c r="G134" s="55" t="s">
        <v>1053</v>
      </c>
      <c r="H134" s="55"/>
      <c r="I134" s="55"/>
      <c r="J134" s="55" t="s">
        <v>391</v>
      </c>
      <c r="K134" s="55" t="s">
        <v>392</v>
      </c>
      <c r="L134" s="55" t="s">
        <v>1053</v>
      </c>
      <c r="M134" s="55" t="s">
        <v>2092</v>
      </c>
      <c r="N134" s="52"/>
      <c r="O134" s="55"/>
      <c r="P134" s="37" t="str">
        <f>IFERROR(__xludf.DUMMYFUNCTION("XLOOKUP(JOIN(""/"",$A134:$B134),'source isilon_divまとめ'!$A:$A,'source isilon_divまとめ'!$D:$D,XLOOKUP(JOIN(""\"",$A134:$B134),'source NetApp-file-sv01-div'!A:A,TEXT('source NetApp-file-sv01-div'!C:C,""yyyy/mm/dd"")))"),"#N/A")</f>
        <v>#N/A</v>
      </c>
    </row>
    <row r="135">
      <c r="A135" s="52" t="s">
        <v>391</v>
      </c>
      <c r="B135" s="52" t="s">
        <v>1111</v>
      </c>
      <c r="C135" s="46" t="s">
        <v>986</v>
      </c>
      <c r="D135" s="53">
        <f>IFERROR(__xludf.DUMMYFUNCTION("XLOOKUP(JOIN(""/"",$A135:$B135),'source merged_div_data'!$A:$A,'source merged_div_data'!B:B)"),1.0)</f>
        <v>1</v>
      </c>
      <c r="E135" s="53">
        <f>IFERROR(__xludf.DUMMYFUNCTION("XLOOKUP(JOIN(""/"",$A135:$B135),'source merged_div_data'!$A:$A,'source merged_div_data'!C:C)"),0.0)</f>
        <v>0</v>
      </c>
      <c r="F135" s="54" t="str">
        <f t="array" ref="F135">IFERROR(
  IFS(
    XLOOKUP(TEXTJOIN("/", TRUE, $A135:$B135), 'source merged_div_data'!$A:$A, 'source merged_div_data'!F:F) &lt; 1024,
      XLOOKUP(TEXTJOIN("/", TRUE, $A135:$B135), 'source merged_div_data'!$A:$A, 'source merged_div_data'!F:F) &amp; " B",
    XLOOKUP(TEXTJOIN("/", TRUE, $A135:$B135), 'source merged_div_data'!$A:$A, 'source merged_div_data'!F:F) &lt; 1048576,
      ROUND(XLOOKUP(TEXTJOIN("/", TRUE, $A135:$B135), 'source merged_div_data'!$A:$A, 'source merged_div_data'!F:F)/1024, 2) &amp; " KB",
    XLOOKUP(TEXTJOIN("/", TRUE, $A135:$B135), 'source merged_div_data'!$A:$A, 'source merged_div_data'!F:F) &lt; 1073741824,
      ROUND(XLOOKUP(TEXTJOIN("/", TRUE, $A135:$B135), 'source merged_div_data'!$A:$A, 'source merged_div_data'!F:F)/1048576, 2) &amp; " MB",
    TRUE,
      ROUND(XLOOKUP(TEXTJOIN("/", TRUE, $A135:$B135), 'source merged_div_data'!$A:$A, 'source merged_div_data'!F:F)/1073741824, 2) &amp; " GB"
  ),
  "×"
)</f>
        <v>0 B</v>
      </c>
      <c r="G135" s="55" t="s">
        <v>1053</v>
      </c>
      <c r="H135" s="55"/>
      <c r="I135" s="55"/>
      <c r="J135" s="55" t="s">
        <v>391</v>
      </c>
      <c r="K135" s="55" t="s">
        <v>1053</v>
      </c>
      <c r="L135" s="46" t="s">
        <v>2116</v>
      </c>
      <c r="M135" s="55" t="s">
        <v>1053</v>
      </c>
      <c r="N135" s="52"/>
      <c r="O135" s="55"/>
      <c r="P135" s="37" t="str">
        <f>IFERROR(__xludf.DUMMYFUNCTION("XLOOKUP(JOIN(""/"",$A135:$B135),'source isilon_divまとめ'!$A:$A,'source isilon_divまとめ'!$D:$D,XLOOKUP(JOIN(""\"",$A135:$B135),'source NetApp-file-sv01-div'!A:A,TEXT('source NetApp-file-sv01-div'!C:C,""yyyy/mm/dd"")))"),"#N/A")</f>
        <v>#N/A</v>
      </c>
    </row>
    <row r="136">
      <c r="A136" s="52" t="s">
        <v>1194</v>
      </c>
      <c r="B136" s="52" t="s">
        <v>1139</v>
      </c>
      <c r="C136" s="46" t="s">
        <v>988</v>
      </c>
      <c r="D136" s="53">
        <f>IFERROR(__xludf.DUMMYFUNCTION("XLOOKUP(JOIN(""/"",$A136:$B136),'source merged_div_data'!$A:$A,'source merged_div_data'!B:B)"),1.0)</f>
        <v>1</v>
      </c>
      <c r="E136" s="53">
        <f>IFERROR(__xludf.DUMMYFUNCTION("XLOOKUP(JOIN(""/"",$A136:$B136),'source merged_div_data'!$A:$A,'source merged_div_data'!C:C)"),0.0)</f>
        <v>0</v>
      </c>
      <c r="F136" s="54" t="str">
        <f t="array" ref="F136">IFERROR(
  IFS(
    XLOOKUP(TEXTJOIN("/", TRUE, $A136:$B136), 'source merged_div_data'!$A:$A, 'source merged_div_data'!F:F) &lt; 1024,
      XLOOKUP(TEXTJOIN("/", TRUE, $A136:$B136), 'source merged_div_data'!$A:$A, 'source merged_div_data'!F:F) &amp; " B",
    XLOOKUP(TEXTJOIN("/", TRUE, $A136:$B136), 'source merged_div_data'!$A:$A, 'source merged_div_data'!F:F) &lt; 1048576,
      ROUND(XLOOKUP(TEXTJOIN("/", TRUE, $A136:$B136), 'source merged_div_data'!$A:$A, 'source merged_div_data'!F:F)/1024, 2) &amp; " KB",
    XLOOKUP(TEXTJOIN("/", TRUE, $A136:$B136), 'source merged_div_data'!$A:$A, 'source merged_div_data'!F:F) &lt; 1073741824,
      ROUND(XLOOKUP(TEXTJOIN("/", TRUE, $A136:$B136), 'source merged_div_data'!$A:$A, 'source merged_div_data'!F:F)/1048576, 2) &amp; " MB",
    TRUE,
      ROUND(XLOOKUP(TEXTJOIN("/", TRUE, $A136:$B136), 'source merged_div_data'!$A:$A, 'source merged_div_data'!F:F)/1073741824, 2) &amp; " GB"
  ),
  "×"
)</f>
        <v>0 B</v>
      </c>
      <c r="G136" s="55" t="s">
        <v>1053</v>
      </c>
      <c r="H136" s="55"/>
      <c r="I136" s="55"/>
      <c r="J136" s="46" t="s">
        <v>1105</v>
      </c>
      <c r="K136" s="55"/>
      <c r="L136" s="55" t="s">
        <v>1053</v>
      </c>
      <c r="M136" s="55" t="s">
        <v>1053</v>
      </c>
      <c r="N136" s="52" t="s">
        <v>988</v>
      </c>
      <c r="O136" s="46" t="s">
        <v>1105</v>
      </c>
      <c r="P136" s="37" t="str">
        <f>IFERROR(__xludf.DUMMYFUNCTION("XLOOKUP(JOIN(""/"",$A136:$B136),'source isilon_divまとめ'!$A:$A,'source isilon_divまとめ'!$D:$D,XLOOKUP(JOIN(""\"",$A136:$B136),'source NetApp-file-sv01-div'!A:A,TEXT('source NetApp-file-sv01-div'!C:C,""yyyy/mm/dd"")))"),"#N/A")</f>
        <v>#N/A</v>
      </c>
    </row>
    <row r="137">
      <c r="A137" s="8" t="s">
        <v>1195</v>
      </c>
      <c r="B137" s="8" t="s">
        <v>1196</v>
      </c>
      <c r="C137" s="7" t="s">
        <v>988</v>
      </c>
      <c r="D137" s="56">
        <f>IFERROR(__xludf.DUMMYFUNCTION("XLOOKUP(JOIN(""/"",$A137:$B137),'source merged_div_data'!$A:$A,'source merged_div_data'!B:B)"),27456.0)</f>
        <v>27456</v>
      </c>
      <c r="E137" s="56">
        <f>IFERROR(__xludf.DUMMYFUNCTION("XLOOKUP(JOIN(""/"",$A137:$B137),'source merged_div_data'!$A:$A,'source merged_div_data'!C:C)"),273316.0)</f>
        <v>273316</v>
      </c>
      <c r="F137" s="54" t="str">
        <f t="array" ref="F137">IFERROR(
  IFS(
    XLOOKUP(TEXTJOIN("/", TRUE, $A137:$B137), 'source merged_div_data'!$A:$A, 'source merged_div_data'!F:F) &lt; 1024,
      XLOOKUP(TEXTJOIN("/", TRUE, $A137:$B137), 'source merged_div_data'!$A:$A, 'source merged_div_data'!F:F) &amp; " B",
    XLOOKUP(TEXTJOIN("/", TRUE, $A137:$B137), 'source merged_div_data'!$A:$A, 'source merged_div_data'!F:F) &lt; 1048576,
      ROUND(XLOOKUP(TEXTJOIN("/", TRUE, $A137:$B137), 'source merged_div_data'!$A:$A, 'source merged_div_data'!F:F)/1024, 2) &amp; " KB",
    XLOOKUP(TEXTJOIN("/", TRUE, $A137:$B137), 'source merged_div_data'!$A:$A, 'source merged_div_data'!F:F) &lt; 1073741824,
      ROUND(XLOOKUP(TEXTJOIN("/", TRUE, $A137:$B137), 'source merged_div_data'!$A:$A, 'source merged_div_data'!F:F)/1048576, 2) &amp; " MB",
    TRUE,
      ROUND(XLOOKUP(TEXTJOIN("/", TRUE, $A137:$B137), 'source merged_div_data'!$A:$A, 'source merged_div_data'!F:F)/1073741824, 2) &amp; " GB"
  ),
  "×"
)</f>
        <v>83 GB</v>
      </c>
      <c r="G137" s="57" t="s">
        <v>2237</v>
      </c>
      <c r="H137" s="58" t="s">
        <v>2177</v>
      </c>
      <c r="I137" s="57"/>
      <c r="J137" s="7" t="s">
        <v>1105</v>
      </c>
      <c r="L137" s="37" t="s">
        <v>1053</v>
      </c>
      <c r="M137" s="37" t="s">
        <v>1053</v>
      </c>
      <c r="N137" s="8" t="s">
        <v>1197</v>
      </c>
      <c r="O137" s="7" t="s">
        <v>1105</v>
      </c>
      <c r="P137" s="57" t="str">
        <f>IFERROR(__xludf.DUMMYFUNCTION("XLOOKUP(JOIN(""/"",$A137:$B137),'source isilon_divまとめ'!$A:$A,'source isilon_divまとめ'!$D:$D,XLOOKUP(JOIN(""\"",$A137:$B137),'source NetApp-file-sv01-div'!A:A,TEXT('source NetApp-file-sv01-div'!C:C,""yyyy/mm/dd"")))"),"2017/01/20")</f>
        <v>2017/01/20</v>
      </c>
    </row>
    <row r="138">
      <c r="A138" s="8" t="s">
        <v>427</v>
      </c>
      <c r="B138" s="8" t="s">
        <v>1104</v>
      </c>
      <c r="C138" s="8" t="s">
        <v>987</v>
      </c>
      <c r="D138" s="56">
        <f>IFERROR(__xludf.DUMMYFUNCTION("XLOOKUP(JOIN(""/"",$A138:$B138),'source merged_div_data'!$A:$A,'source merged_div_data'!B:B)"),55.0)</f>
        <v>55</v>
      </c>
      <c r="E138" s="56">
        <f>IFERROR(__xludf.DUMMYFUNCTION("XLOOKUP(JOIN(""/"",$A138:$B138),'source merged_div_data'!$A:$A,'source merged_div_data'!C:C)"),196.0)</f>
        <v>196</v>
      </c>
      <c r="F138" s="54" t="str">
        <f t="array" ref="F138">IFERROR(
  IFS(
    XLOOKUP(TEXTJOIN("/", TRUE, $A138:$B138), 'source merged_div_data'!$A:$A, 'source merged_div_data'!F:F) &lt; 1024,
      XLOOKUP(TEXTJOIN("/", TRUE, $A138:$B138), 'source merged_div_data'!$A:$A, 'source merged_div_data'!F:F) &amp; " B",
    XLOOKUP(TEXTJOIN("/", TRUE, $A138:$B138), 'source merged_div_data'!$A:$A, 'source merged_div_data'!F:F) &lt; 1048576,
      ROUND(XLOOKUP(TEXTJOIN("/", TRUE, $A138:$B138), 'source merged_div_data'!$A:$A, 'source merged_div_data'!F:F)/1024, 2) &amp; " KB",
    XLOOKUP(TEXTJOIN("/", TRUE, $A138:$B138), 'source merged_div_data'!$A:$A, 'source merged_div_data'!F:F) &lt; 1073741824,
      ROUND(XLOOKUP(TEXTJOIN("/", TRUE, $A138:$B138), 'source merged_div_data'!$A:$A, 'source merged_div_data'!F:F)/1048576, 2) &amp; " MB",
    TRUE,
      ROUND(XLOOKUP(TEXTJOIN("/", TRUE, $A138:$B138), 'source merged_div_data'!$A:$A, 'source merged_div_data'!F:F)/1073741824, 2) &amp; " GB"
  ),
  "×"
)</f>
        <v>867.95 MB</v>
      </c>
      <c r="G138" s="57" t="s">
        <v>2238</v>
      </c>
      <c r="H138" s="58" t="s">
        <v>2184</v>
      </c>
      <c r="I138" s="57"/>
      <c r="J138" s="7" t="s">
        <v>426</v>
      </c>
      <c r="K138" s="7" t="s">
        <v>427</v>
      </c>
      <c r="L138" s="37" t="str">
        <f t="array" ref="L138">XLOOKUP(J138,'本部長検索'!P:P,'本部長検索'!A:A,"×")</f>
        <v>×</v>
      </c>
      <c r="M138" s="7" t="s">
        <v>1745</v>
      </c>
      <c r="N138" s="8"/>
      <c r="P138" s="57" t="str">
        <f>IFERROR(__xludf.DUMMYFUNCTION("XLOOKUP(JOIN(""/"",$A138:$B138),'source isilon_divまとめ'!$A:$A,'source isilon_divまとめ'!$D:$D,XLOOKUP(JOIN(""\"",$A138:$B138),'source NetApp-file-sv01-div'!A:A,TEXT('source NetApp-file-sv01-div'!C:C,""yyyy/mm/dd"")))"),"2025/01/09")</f>
        <v>2025/01/09</v>
      </c>
    </row>
    <row r="139">
      <c r="A139" s="52" t="s">
        <v>1198</v>
      </c>
      <c r="B139" s="52" t="s">
        <v>1199</v>
      </c>
      <c r="C139" s="46" t="s">
        <v>988</v>
      </c>
      <c r="D139" s="53">
        <f>IFERROR(__xludf.DUMMYFUNCTION("XLOOKUP(JOIN(""/"",$A139:$B139),'source merged_div_data'!$A:$A,'source merged_div_data'!B:B)"),2.0)</f>
        <v>2</v>
      </c>
      <c r="E139" s="53">
        <f>IFERROR(__xludf.DUMMYFUNCTION("XLOOKUP(JOIN(""/"",$A139:$B139),'source merged_div_data'!$A:$A,'source merged_div_data'!C:C)"),0.0)</f>
        <v>0</v>
      </c>
      <c r="F139" s="54" t="str">
        <f t="array" ref="F139">IFERROR(
  IFS(
    XLOOKUP(TEXTJOIN("/", TRUE, $A139:$B139), 'source merged_div_data'!$A:$A, 'source merged_div_data'!F:F) &lt; 1024,
      XLOOKUP(TEXTJOIN("/", TRUE, $A139:$B139), 'source merged_div_data'!$A:$A, 'source merged_div_data'!F:F) &amp; " B",
    XLOOKUP(TEXTJOIN("/", TRUE, $A139:$B139), 'source merged_div_data'!$A:$A, 'source merged_div_data'!F:F) &lt; 1048576,
      ROUND(XLOOKUP(TEXTJOIN("/", TRUE, $A139:$B139), 'source merged_div_data'!$A:$A, 'source merged_div_data'!F:F)/1024, 2) &amp; " KB",
    XLOOKUP(TEXTJOIN("/", TRUE, $A139:$B139), 'source merged_div_data'!$A:$A, 'source merged_div_data'!F:F) &lt; 1073741824,
      ROUND(XLOOKUP(TEXTJOIN("/", TRUE, $A139:$B139), 'source merged_div_data'!$A:$A, 'source merged_div_data'!F:F)/1048576, 2) &amp; " MB",
    TRUE,
      ROUND(XLOOKUP(TEXTJOIN("/", TRUE, $A139:$B139), 'source merged_div_data'!$A:$A, 'source merged_div_data'!F:F)/1073741824, 2) &amp; " GB"
  ),
  "×"
)</f>
        <v>36 B</v>
      </c>
      <c r="G139" s="55" t="s">
        <v>1053</v>
      </c>
      <c r="H139" s="55"/>
      <c r="I139" s="55"/>
      <c r="J139" s="46" t="s">
        <v>1105</v>
      </c>
      <c r="K139" s="55"/>
      <c r="L139" s="55" t="s">
        <v>1053</v>
      </c>
      <c r="M139" s="55" t="s">
        <v>1053</v>
      </c>
      <c r="N139" s="52" t="s">
        <v>1197</v>
      </c>
      <c r="O139" s="46" t="s">
        <v>1105</v>
      </c>
      <c r="P139" s="37" t="str">
        <f>IFERROR(__xludf.DUMMYFUNCTION("XLOOKUP(JOIN(""/"",$A139:$B139),'source isilon_divまとめ'!$A:$A,'source isilon_divまとめ'!$D:$D,XLOOKUP(JOIN(""\"",$A139:$B139),'source NetApp-file-sv01-div'!A:A,TEXT('source NetApp-file-sv01-div'!C:C,""yyyy/mm/dd"")))"),"#N/A")</f>
        <v>#N/A</v>
      </c>
    </row>
    <row r="140">
      <c r="A140" s="52" t="s">
        <v>1198</v>
      </c>
      <c r="B140" s="52" t="s">
        <v>46</v>
      </c>
      <c r="C140" s="46" t="s">
        <v>988</v>
      </c>
      <c r="D140" s="53">
        <f>IFERROR(__xludf.DUMMYFUNCTION("XLOOKUP(JOIN(""/"",$A140:$B140),'source merged_div_data'!$A:$A,'source merged_div_data'!B:B)"),4.0)</f>
        <v>4</v>
      </c>
      <c r="E140" s="53">
        <f>IFERROR(__xludf.DUMMYFUNCTION("XLOOKUP(JOIN(""/"",$A140:$B140),'source merged_div_data'!$A:$A,'source merged_div_data'!C:C)"),0.0)</f>
        <v>0</v>
      </c>
      <c r="F140" s="54" t="str">
        <f t="array" ref="F140">IFERROR(
  IFS(
    XLOOKUP(TEXTJOIN("/", TRUE, $A140:$B140), 'source merged_div_data'!$A:$A, 'source merged_div_data'!F:F) &lt; 1024,
      XLOOKUP(TEXTJOIN("/", TRUE, $A140:$B140), 'source merged_div_data'!$A:$A, 'source merged_div_data'!F:F) &amp; " B",
    XLOOKUP(TEXTJOIN("/", TRUE, $A140:$B140), 'source merged_div_data'!$A:$A, 'source merged_div_data'!F:F) &lt; 1048576,
      ROUND(XLOOKUP(TEXTJOIN("/", TRUE, $A140:$B140), 'source merged_div_data'!$A:$A, 'source merged_div_data'!F:F)/1024, 2) &amp; " KB",
    XLOOKUP(TEXTJOIN("/", TRUE, $A140:$B140), 'source merged_div_data'!$A:$A, 'source merged_div_data'!F:F) &lt; 1073741824,
      ROUND(XLOOKUP(TEXTJOIN("/", TRUE, $A140:$B140), 'source merged_div_data'!$A:$A, 'source merged_div_data'!F:F)/1048576, 2) &amp; " MB",
    TRUE,
      ROUND(XLOOKUP(TEXTJOIN("/", TRUE, $A140:$B140), 'source merged_div_data'!$A:$A, 'source merged_div_data'!F:F)/1073741824, 2) &amp; " GB"
  ),
  "×"
)</f>
        <v>98 B</v>
      </c>
      <c r="G140" s="55" t="s">
        <v>1053</v>
      </c>
      <c r="H140" s="55"/>
      <c r="I140" s="55"/>
      <c r="J140" s="46" t="s">
        <v>1105</v>
      </c>
      <c r="K140" s="55"/>
      <c r="L140" s="55" t="s">
        <v>1053</v>
      </c>
      <c r="M140" s="55" t="s">
        <v>1053</v>
      </c>
      <c r="N140" s="52" t="s">
        <v>1197</v>
      </c>
      <c r="O140" s="46" t="s">
        <v>1105</v>
      </c>
      <c r="P140" s="37" t="str">
        <f>IFERROR(__xludf.DUMMYFUNCTION("XLOOKUP(JOIN(""/"",$A140:$B140),'source isilon_divまとめ'!$A:$A,'source isilon_divまとめ'!$D:$D,XLOOKUP(JOIN(""\"",$A140:$B140),'source NetApp-file-sv01-div'!A:A,TEXT('source NetApp-file-sv01-div'!C:C,""yyyy/mm/dd"")))"),"#N/A")</f>
        <v>#N/A</v>
      </c>
    </row>
    <row r="141">
      <c r="A141" s="52" t="s">
        <v>1198</v>
      </c>
      <c r="B141" s="52" t="s">
        <v>59</v>
      </c>
      <c r="C141" s="46" t="s">
        <v>988</v>
      </c>
      <c r="D141" s="53">
        <f>IFERROR(__xludf.DUMMYFUNCTION("XLOOKUP(JOIN(""/"",$A141:$B141),'source merged_div_data'!$A:$A,'source merged_div_data'!B:B)"),2.0)</f>
        <v>2</v>
      </c>
      <c r="E141" s="53">
        <f>IFERROR(__xludf.DUMMYFUNCTION("XLOOKUP(JOIN(""/"",$A141:$B141),'source merged_div_data'!$A:$A,'source merged_div_data'!C:C)"),0.0)</f>
        <v>0</v>
      </c>
      <c r="F141" s="54" t="str">
        <f t="array" ref="F141">IFERROR(
  IFS(
    XLOOKUP(TEXTJOIN("/", TRUE, $A141:$B141), 'source merged_div_data'!$A:$A, 'source merged_div_data'!F:F) &lt; 1024,
      XLOOKUP(TEXTJOIN("/", TRUE, $A141:$B141), 'source merged_div_data'!$A:$A, 'source merged_div_data'!F:F) &amp; " B",
    XLOOKUP(TEXTJOIN("/", TRUE, $A141:$B141), 'source merged_div_data'!$A:$A, 'source merged_div_data'!F:F) &lt; 1048576,
      ROUND(XLOOKUP(TEXTJOIN("/", TRUE, $A141:$B141), 'source merged_div_data'!$A:$A, 'source merged_div_data'!F:F)/1024, 2) &amp; " KB",
    XLOOKUP(TEXTJOIN("/", TRUE, $A141:$B141), 'source merged_div_data'!$A:$A, 'source merged_div_data'!F:F) &lt; 1073741824,
      ROUND(XLOOKUP(TEXTJOIN("/", TRUE, $A141:$B141), 'source merged_div_data'!$A:$A, 'source merged_div_data'!F:F)/1048576, 2) &amp; " MB",
    TRUE,
      ROUND(XLOOKUP(TEXTJOIN("/", TRUE, $A141:$B141), 'source merged_div_data'!$A:$A, 'source merged_div_data'!F:F)/1073741824, 2) &amp; " GB"
  ),
  "×"
)</f>
        <v>36 B</v>
      </c>
      <c r="G141" s="55" t="s">
        <v>1053</v>
      </c>
      <c r="H141" s="55"/>
      <c r="I141" s="55"/>
      <c r="J141" s="46" t="s">
        <v>1105</v>
      </c>
      <c r="K141" s="55"/>
      <c r="L141" s="55" t="s">
        <v>1053</v>
      </c>
      <c r="M141" s="55" t="s">
        <v>1053</v>
      </c>
      <c r="N141" s="52" t="s">
        <v>1197</v>
      </c>
      <c r="O141" s="46" t="s">
        <v>1105</v>
      </c>
      <c r="P141" s="37" t="str">
        <f>IFERROR(__xludf.DUMMYFUNCTION("XLOOKUP(JOIN(""/"",$A141:$B141),'source isilon_divまとめ'!$A:$A,'source isilon_divまとめ'!$D:$D,XLOOKUP(JOIN(""\"",$A141:$B141),'source NetApp-file-sv01-div'!A:A,TEXT('source NetApp-file-sv01-div'!C:C,""yyyy/mm/dd"")))"),"#N/A")</f>
        <v>#N/A</v>
      </c>
    </row>
    <row r="142">
      <c r="A142" s="8" t="s">
        <v>1198</v>
      </c>
      <c r="B142" s="8" t="s">
        <v>1200</v>
      </c>
      <c r="C142" s="7" t="s">
        <v>987</v>
      </c>
      <c r="D142" s="56">
        <f>IFERROR(__xludf.DUMMYFUNCTION("XLOOKUP(JOIN(""/"",$A142:$B142),'source merged_div_data'!$A:$A,'source merged_div_data'!B:B)"),3.0)</f>
        <v>3</v>
      </c>
      <c r="E142" s="56">
        <f>IFERROR(__xludf.DUMMYFUNCTION("XLOOKUP(JOIN(""/"",$A142:$B142),'source merged_div_data'!$A:$A,'source merged_div_data'!C:C)"),1.0)</f>
        <v>1</v>
      </c>
      <c r="F142" s="54" t="str">
        <f t="array" ref="F142">IFERROR(
  IFS(
    XLOOKUP(TEXTJOIN("/", TRUE, $A142:$B142), 'source merged_div_data'!$A:$A, 'source merged_div_data'!F:F) &lt; 1024,
      XLOOKUP(TEXTJOIN("/", TRUE, $A142:$B142), 'source merged_div_data'!$A:$A, 'source merged_div_data'!F:F) &amp; " B",
    XLOOKUP(TEXTJOIN("/", TRUE, $A142:$B142), 'source merged_div_data'!$A:$A, 'source merged_div_data'!F:F) &lt; 1048576,
      ROUND(XLOOKUP(TEXTJOIN("/", TRUE, $A142:$B142), 'source merged_div_data'!$A:$A, 'source merged_div_data'!F:F)/1024, 2) &amp; " KB",
    XLOOKUP(TEXTJOIN("/", TRUE, $A142:$B142), 'source merged_div_data'!$A:$A, 'source merged_div_data'!F:F) &lt; 1073741824,
      ROUND(XLOOKUP(TEXTJOIN("/", TRUE, $A142:$B142), 'source merged_div_data'!$A:$A, 'source merged_div_data'!F:F)/1048576, 2) &amp; " MB",
    TRUE,
      ROUND(XLOOKUP(TEXTJOIN("/", TRUE, $A142:$B142), 'source merged_div_data'!$A:$A, 'source merged_div_data'!F:F)/1073741824, 2) &amp; " GB"
  ),
  "×"
)</f>
        <v>6.09 KB</v>
      </c>
      <c r="G142" s="37" t="s">
        <v>1053</v>
      </c>
      <c r="H142" s="7" t="s">
        <v>2177</v>
      </c>
      <c r="I142" s="37"/>
      <c r="J142" s="7" t="s">
        <v>1105</v>
      </c>
      <c r="L142" s="37" t="s">
        <v>1053</v>
      </c>
      <c r="M142" s="37" t="s">
        <v>1053</v>
      </c>
      <c r="N142" s="8" t="s">
        <v>1197</v>
      </c>
      <c r="O142" s="7" t="s">
        <v>1105</v>
      </c>
      <c r="P142" s="37" t="str">
        <f>IFERROR(__xludf.DUMMYFUNCTION("XLOOKUP(JOIN(""/"",$A142:$B142),'source isilon_divまとめ'!$A:$A,'source isilon_divまとめ'!$D:$D,XLOOKUP(JOIN(""\"",$A142:$B142),'source NetApp-file-sv01-div'!A:A,TEXT('source NetApp-file-sv01-div'!C:C,""yyyy/mm/dd"")))"),"#N/A")</f>
        <v>#N/A</v>
      </c>
    </row>
    <row r="143">
      <c r="A143" s="52" t="s">
        <v>1198</v>
      </c>
      <c r="B143" s="52" t="s">
        <v>1201</v>
      </c>
      <c r="C143" s="46" t="s">
        <v>988</v>
      </c>
      <c r="D143" s="53">
        <f>IFERROR(__xludf.DUMMYFUNCTION("XLOOKUP(JOIN(""/"",$A143:$B143),'source merged_div_data'!$A:$A,'source merged_div_data'!B:B)"),2.0)</f>
        <v>2</v>
      </c>
      <c r="E143" s="53">
        <f>IFERROR(__xludf.DUMMYFUNCTION("XLOOKUP(JOIN(""/"",$A143:$B143),'source merged_div_data'!$A:$A,'source merged_div_data'!C:C)"),0.0)</f>
        <v>0</v>
      </c>
      <c r="F143" s="54" t="str">
        <f t="array" ref="F143">IFERROR(
  IFS(
    XLOOKUP(TEXTJOIN("/", TRUE, $A143:$B143), 'source merged_div_data'!$A:$A, 'source merged_div_data'!F:F) &lt; 1024,
      XLOOKUP(TEXTJOIN("/", TRUE, $A143:$B143), 'source merged_div_data'!$A:$A, 'source merged_div_data'!F:F) &amp; " B",
    XLOOKUP(TEXTJOIN("/", TRUE, $A143:$B143), 'source merged_div_data'!$A:$A, 'source merged_div_data'!F:F) &lt; 1048576,
      ROUND(XLOOKUP(TEXTJOIN("/", TRUE, $A143:$B143), 'source merged_div_data'!$A:$A, 'source merged_div_data'!F:F)/1024, 2) &amp; " KB",
    XLOOKUP(TEXTJOIN("/", TRUE, $A143:$B143), 'source merged_div_data'!$A:$A, 'source merged_div_data'!F:F) &lt; 1073741824,
      ROUND(XLOOKUP(TEXTJOIN("/", TRUE, $A143:$B143), 'source merged_div_data'!$A:$A, 'source merged_div_data'!F:F)/1048576, 2) &amp; " MB",
    TRUE,
      ROUND(XLOOKUP(TEXTJOIN("/", TRUE, $A143:$B143), 'source merged_div_data'!$A:$A, 'source merged_div_data'!F:F)/1073741824, 2) &amp; " GB"
  ),
  "×"
)</f>
        <v>36 B</v>
      </c>
      <c r="G143" s="55" t="s">
        <v>1053</v>
      </c>
      <c r="H143" s="55"/>
      <c r="I143" s="55"/>
      <c r="J143" s="46" t="s">
        <v>1105</v>
      </c>
      <c r="K143" s="55"/>
      <c r="L143" s="55" t="s">
        <v>1053</v>
      </c>
      <c r="M143" s="55" t="s">
        <v>1053</v>
      </c>
      <c r="N143" s="52" t="s">
        <v>1197</v>
      </c>
      <c r="O143" s="46" t="s">
        <v>1105</v>
      </c>
      <c r="P143" s="37" t="str">
        <f>IFERROR(__xludf.DUMMYFUNCTION("XLOOKUP(JOIN(""/"",$A143:$B143),'source isilon_divまとめ'!$A:$A,'source isilon_divまとめ'!$D:$D,XLOOKUP(JOIN(""\"",$A143:$B143),'source NetApp-file-sv01-div'!A:A,TEXT('source NetApp-file-sv01-div'!C:C,""yyyy/mm/dd"")))"),"#N/A")</f>
        <v>#N/A</v>
      </c>
    </row>
    <row r="144">
      <c r="A144" s="52" t="s">
        <v>1198</v>
      </c>
      <c r="B144" s="52" t="s">
        <v>1202</v>
      </c>
      <c r="C144" s="46" t="s">
        <v>988</v>
      </c>
      <c r="D144" s="53">
        <f>IFERROR(__xludf.DUMMYFUNCTION("XLOOKUP(JOIN(""/"",$A144:$B144),'source merged_div_data'!$A:$A,'source merged_div_data'!B:B)"),4.0)</f>
        <v>4</v>
      </c>
      <c r="E144" s="53">
        <f>IFERROR(__xludf.DUMMYFUNCTION("XLOOKUP(JOIN(""/"",$A144:$B144),'source merged_div_data'!$A:$A,'source merged_div_data'!C:C)"),0.0)</f>
        <v>0</v>
      </c>
      <c r="F144" s="54" t="str">
        <f t="array" ref="F144">IFERROR(
  IFS(
    XLOOKUP(TEXTJOIN("/", TRUE, $A144:$B144), 'source merged_div_data'!$A:$A, 'source merged_div_data'!F:F) &lt; 1024,
      XLOOKUP(TEXTJOIN("/", TRUE, $A144:$B144), 'source merged_div_data'!$A:$A, 'source merged_div_data'!F:F) &amp; " B",
    XLOOKUP(TEXTJOIN("/", TRUE, $A144:$B144), 'source merged_div_data'!$A:$A, 'source merged_div_data'!F:F) &lt; 1048576,
      ROUND(XLOOKUP(TEXTJOIN("/", TRUE, $A144:$B144), 'source merged_div_data'!$A:$A, 'source merged_div_data'!F:F)/1024, 2) &amp; " KB",
    XLOOKUP(TEXTJOIN("/", TRUE, $A144:$B144), 'source merged_div_data'!$A:$A, 'source merged_div_data'!F:F) &lt; 1073741824,
      ROUND(XLOOKUP(TEXTJOIN("/", TRUE, $A144:$B144), 'source merged_div_data'!$A:$A, 'source merged_div_data'!F:F)/1048576, 2) &amp; " MB",
    TRUE,
      ROUND(XLOOKUP(TEXTJOIN("/", TRUE, $A144:$B144), 'source merged_div_data'!$A:$A, 'source merged_div_data'!F:F)/1073741824, 2) &amp; " GB"
  ),
  "×"
)</f>
        <v>113 B</v>
      </c>
      <c r="G144" s="55" t="s">
        <v>1053</v>
      </c>
      <c r="H144" s="55"/>
      <c r="I144" s="55"/>
      <c r="J144" s="46" t="s">
        <v>1105</v>
      </c>
      <c r="K144" s="55"/>
      <c r="L144" s="55" t="s">
        <v>1053</v>
      </c>
      <c r="M144" s="55" t="s">
        <v>1053</v>
      </c>
      <c r="N144" s="52" t="s">
        <v>1197</v>
      </c>
      <c r="O144" s="46" t="s">
        <v>1105</v>
      </c>
      <c r="P144" s="37" t="str">
        <f>IFERROR(__xludf.DUMMYFUNCTION("XLOOKUP(JOIN(""/"",$A144:$B144),'source isilon_divまとめ'!$A:$A,'source isilon_divまとめ'!$D:$D,XLOOKUP(JOIN(""\"",$A144:$B144),'source NetApp-file-sv01-div'!A:A,TEXT('source NetApp-file-sv01-div'!C:C,""yyyy/mm/dd"")))"),"#N/A")</f>
        <v>#N/A</v>
      </c>
    </row>
    <row r="145">
      <c r="A145" s="52" t="s">
        <v>1198</v>
      </c>
      <c r="B145" s="52" t="s">
        <v>56</v>
      </c>
      <c r="C145" s="46" t="s">
        <v>988</v>
      </c>
      <c r="D145" s="53">
        <f>IFERROR(__xludf.DUMMYFUNCTION("XLOOKUP(JOIN(""/"",$A145:$B145),'source merged_div_data'!$A:$A,'source merged_div_data'!B:B)"),2.0)</f>
        <v>2</v>
      </c>
      <c r="E145" s="53">
        <f>IFERROR(__xludf.DUMMYFUNCTION("XLOOKUP(JOIN(""/"",$A145:$B145),'source merged_div_data'!$A:$A,'source merged_div_data'!C:C)"),0.0)</f>
        <v>0</v>
      </c>
      <c r="F145" s="54" t="str">
        <f t="array" ref="F145">IFERROR(
  IFS(
    XLOOKUP(TEXTJOIN("/", TRUE, $A145:$B145), 'source merged_div_data'!$A:$A, 'source merged_div_data'!F:F) &lt; 1024,
      XLOOKUP(TEXTJOIN("/", TRUE, $A145:$B145), 'source merged_div_data'!$A:$A, 'source merged_div_data'!F:F) &amp; " B",
    XLOOKUP(TEXTJOIN("/", TRUE, $A145:$B145), 'source merged_div_data'!$A:$A, 'source merged_div_data'!F:F) &lt; 1048576,
      ROUND(XLOOKUP(TEXTJOIN("/", TRUE, $A145:$B145), 'source merged_div_data'!$A:$A, 'source merged_div_data'!F:F)/1024, 2) &amp; " KB",
    XLOOKUP(TEXTJOIN("/", TRUE, $A145:$B145), 'source merged_div_data'!$A:$A, 'source merged_div_data'!F:F) &lt; 1073741824,
      ROUND(XLOOKUP(TEXTJOIN("/", TRUE, $A145:$B145), 'source merged_div_data'!$A:$A, 'source merged_div_data'!F:F)/1048576, 2) &amp; " MB",
    TRUE,
      ROUND(XLOOKUP(TEXTJOIN("/", TRUE, $A145:$B145), 'source merged_div_data'!$A:$A, 'source merged_div_data'!F:F)/1073741824, 2) &amp; " GB"
  ),
  "×"
)</f>
        <v>36 B</v>
      </c>
      <c r="G145" s="55" t="s">
        <v>1053</v>
      </c>
      <c r="H145" s="55"/>
      <c r="I145" s="55"/>
      <c r="J145" s="46" t="s">
        <v>1105</v>
      </c>
      <c r="K145" s="55"/>
      <c r="L145" s="55" t="s">
        <v>1053</v>
      </c>
      <c r="M145" s="55" t="s">
        <v>1053</v>
      </c>
      <c r="N145" s="52" t="s">
        <v>1197</v>
      </c>
      <c r="O145" s="46" t="s">
        <v>1105</v>
      </c>
      <c r="P145" s="37" t="str">
        <f>IFERROR(__xludf.DUMMYFUNCTION("XLOOKUP(JOIN(""/"",$A145:$B145),'source isilon_divまとめ'!$A:$A,'source isilon_divまとめ'!$D:$D,XLOOKUP(JOIN(""\"",$A145:$B145),'source NetApp-file-sv01-div'!A:A,TEXT('source NetApp-file-sv01-div'!C:C,""yyyy/mm/dd"")))"),"#N/A")</f>
        <v>#N/A</v>
      </c>
    </row>
    <row r="146">
      <c r="A146" s="52" t="s">
        <v>1198</v>
      </c>
      <c r="B146" s="52" t="s">
        <v>292</v>
      </c>
      <c r="C146" s="46" t="s">
        <v>988</v>
      </c>
      <c r="D146" s="53">
        <f>IFERROR(__xludf.DUMMYFUNCTION("XLOOKUP(JOIN(""/"",$A146:$B146),'source merged_div_data'!$A:$A,'source merged_div_data'!B:B)"),2.0)</f>
        <v>2</v>
      </c>
      <c r="E146" s="53">
        <f>IFERROR(__xludf.DUMMYFUNCTION("XLOOKUP(JOIN(""/"",$A146:$B146),'source merged_div_data'!$A:$A,'source merged_div_data'!C:C)"),0.0)</f>
        <v>0</v>
      </c>
      <c r="F146" s="54" t="str">
        <f t="array" ref="F146">IFERROR(
  IFS(
    XLOOKUP(TEXTJOIN("/", TRUE, $A146:$B146), 'source merged_div_data'!$A:$A, 'source merged_div_data'!F:F) &lt; 1024,
      XLOOKUP(TEXTJOIN("/", TRUE, $A146:$B146), 'source merged_div_data'!$A:$A, 'source merged_div_data'!F:F) &amp; " B",
    XLOOKUP(TEXTJOIN("/", TRUE, $A146:$B146), 'source merged_div_data'!$A:$A, 'source merged_div_data'!F:F) &lt; 1048576,
      ROUND(XLOOKUP(TEXTJOIN("/", TRUE, $A146:$B146), 'source merged_div_data'!$A:$A, 'source merged_div_data'!F:F)/1024, 2) &amp; " KB",
    XLOOKUP(TEXTJOIN("/", TRUE, $A146:$B146), 'source merged_div_data'!$A:$A, 'source merged_div_data'!F:F) &lt; 1073741824,
      ROUND(XLOOKUP(TEXTJOIN("/", TRUE, $A146:$B146), 'source merged_div_data'!$A:$A, 'source merged_div_data'!F:F)/1048576, 2) &amp; " MB",
    TRUE,
      ROUND(XLOOKUP(TEXTJOIN("/", TRUE, $A146:$B146), 'source merged_div_data'!$A:$A, 'source merged_div_data'!F:F)/1073741824, 2) &amp; " GB"
  ),
  "×"
)</f>
        <v>36 B</v>
      </c>
      <c r="G146" s="55" t="s">
        <v>1053</v>
      </c>
      <c r="H146" s="55"/>
      <c r="I146" s="55"/>
      <c r="J146" s="46" t="s">
        <v>1105</v>
      </c>
      <c r="K146" s="55"/>
      <c r="L146" s="55" t="s">
        <v>1053</v>
      </c>
      <c r="M146" s="55" t="s">
        <v>1053</v>
      </c>
      <c r="N146" s="52" t="s">
        <v>1197</v>
      </c>
      <c r="O146" s="46" t="s">
        <v>1105</v>
      </c>
      <c r="P146" s="37" t="str">
        <f>IFERROR(__xludf.DUMMYFUNCTION("XLOOKUP(JOIN(""/"",$A146:$B146),'source isilon_divまとめ'!$A:$A,'source isilon_divまとめ'!$D:$D,XLOOKUP(JOIN(""\"",$A146:$B146),'source NetApp-file-sv01-div'!A:A,TEXT('source NetApp-file-sv01-div'!C:C,""yyyy/mm/dd"")))"),"#N/A")</f>
        <v>#N/A</v>
      </c>
    </row>
    <row r="147">
      <c r="A147" s="52" t="s">
        <v>1198</v>
      </c>
      <c r="B147" s="52" t="s">
        <v>1203</v>
      </c>
      <c r="C147" s="46" t="s">
        <v>988</v>
      </c>
      <c r="D147" s="53">
        <f>IFERROR(__xludf.DUMMYFUNCTION("XLOOKUP(JOIN(""/"",$A147:$B147),'source merged_div_data'!$A:$A,'source merged_div_data'!B:B)"),2.0)</f>
        <v>2</v>
      </c>
      <c r="E147" s="53">
        <f>IFERROR(__xludf.DUMMYFUNCTION("XLOOKUP(JOIN(""/"",$A147:$B147),'source merged_div_data'!$A:$A,'source merged_div_data'!C:C)"),0.0)</f>
        <v>0</v>
      </c>
      <c r="F147" s="54" t="str">
        <f t="array" ref="F147">IFERROR(
  IFS(
    XLOOKUP(TEXTJOIN("/", TRUE, $A147:$B147), 'source merged_div_data'!$A:$A, 'source merged_div_data'!F:F) &lt; 1024,
      XLOOKUP(TEXTJOIN("/", TRUE, $A147:$B147), 'source merged_div_data'!$A:$A, 'source merged_div_data'!F:F) &amp; " B",
    XLOOKUP(TEXTJOIN("/", TRUE, $A147:$B147), 'source merged_div_data'!$A:$A, 'source merged_div_data'!F:F) &lt; 1048576,
      ROUND(XLOOKUP(TEXTJOIN("/", TRUE, $A147:$B147), 'source merged_div_data'!$A:$A, 'source merged_div_data'!F:F)/1024, 2) &amp; " KB",
    XLOOKUP(TEXTJOIN("/", TRUE, $A147:$B147), 'source merged_div_data'!$A:$A, 'source merged_div_data'!F:F) &lt; 1073741824,
      ROUND(XLOOKUP(TEXTJOIN("/", TRUE, $A147:$B147), 'source merged_div_data'!$A:$A, 'source merged_div_data'!F:F)/1048576, 2) &amp; " MB",
    TRUE,
      ROUND(XLOOKUP(TEXTJOIN("/", TRUE, $A147:$B147), 'source merged_div_data'!$A:$A, 'source merged_div_data'!F:F)/1073741824, 2) &amp; " GB"
  ),
  "×"
)</f>
        <v>36 B</v>
      </c>
      <c r="G147" s="55" t="s">
        <v>1053</v>
      </c>
      <c r="H147" s="55"/>
      <c r="I147" s="55"/>
      <c r="J147" s="46" t="s">
        <v>1105</v>
      </c>
      <c r="K147" s="55"/>
      <c r="L147" s="55" t="s">
        <v>1053</v>
      </c>
      <c r="M147" s="55" t="s">
        <v>1053</v>
      </c>
      <c r="N147" s="52" t="s">
        <v>1197</v>
      </c>
      <c r="O147" s="46" t="s">
        <v>1105</v>
      </c>
      <c r="P147" s="37" t="str">
        <f>IFERROR(__xludf.DUMMYFUNCTION("XLOOKUP(JOIN(""/"",$A147:$B147),'source isilon_divまとめ'!$A:$A,'source isilon_divまとめ'!$D:$D,XLOOKUP(JOIN(""\"",$A147:$B147),'source NetApp-file-sv01-div'!A:A,TEXT('source NetApp-file-sv01-div'!C:C,""yyyy/mm/dd"")))"),"#N/A")</f>
        <v>#N/A</v>
      </c>
    </row>
    <row r="148">
      <c r="A148" s="52" t="s">
        <v>1198</v>
      </c>
      <c r="B148" s="52" t="s">
        <v>1204</v>
      </c>
      <c r="C148" s="46" t="s">
        <v>988</v>
      </c>
      <c r="D148" s="53">
        <f>IFERROR(__xludf.DUMMYFUNCTION("XLOOKUP(JOIN(""/"",$A148:$B148),'source merged_div_data'!$A:$A,'source merged_div_data'!B:B)"),2.0)</f>
        <v>2</v>
      </c>
      <c r="E148" s="53">
        <f>IFERROR(__xludf.DUMMYFUNCTION("XLOOKUP(JOIN(""/"",$A148:$B148),'source merged_div_data'!$A:$A,'source merged_div_data'!C:C)"),0.0)</f>
        <v>0</v>
      </c>
      <c r="F148" s="54" t="str">
        <f t="array" ref="F148">IFERROR(
  IFS(
    XLOOKUP(TEXTJOIN("/", TRUE, $A148:$B148), 'source merged_div_data'!$A:$A, 'source merged_div_data'!F:F) &lt; 1024,
      XLOOKUP(TEXTJOIN("/", TRUE, $A148:$B148), 'source merged_div_data'!$A:$A, 'source merged_div_data'!F:F) &amp; " B",
    XLOOKUP(TEXTJOIN("/", TRUE, $A148:$B148), 'source merged_div_data'!$A:$A, 'source merged_div_data'!F:F) &lt; 1048576,
      ROUND(XLOOKUP(TEXTJOIN("/", TRUE, $A148:$B148), 'source merged_div_data'!$A:$A, 'source merged_div_data'!F:F)/1024, 2) &amp; " KB",
    XLOOKUP(TEXTJOIN("/", TRUE, $A148:$B148), 'source merged_div_data'!$A:$A, 'source merged_div_data'!F:F) &lt; 1073741824,
      ROUND(XLOOKUP(TEXTJOIN("/", TRUE, $A148:$B148), 'source merged_div_data'!$A:$A, 'source merged_div_data'!F:F)/1048576, 2) &amp; " MB",
    TRUE,
      ROUND(XLOOKUP(TEXTJOIN("/", TRUE, $A148:$B148), 'source merged_div_data'!$A:$A, 'source merged_div_data'!F:F)/1073741824, 2) &amp; " GB"
  ),
  "×"
)</f>
        <v>33 B</v>
      </c>
      <c r="G148" s="55" t="s">
        <v>1053</v>
      </c>
      <c r="H148" s="55"/>
      <c r="I148" s="55"/>
      <c r="J148" s="46" t="s">
        <v>1105</v>
      </c>
      <c r="K148" s="55"/>
      <c r="L148" s="55" t="s">
        <v>1053</v>
      </c>
      <c r="M148" s="55" t="s">
        <v>1053</v>
      </c>
      <c r="N148" s="52" t="s">
        <v>1197</v>
      </c>
      <c r="O148" s="46" t="s">
        <v>1105</v>
      </c>
      <c r="P148" s="37" t="str">
        <f>IFERROR(__xludf.DUMMYFUNCTION("XLOOKUP(JOIN(""/"",$A148:$B148),'source isilon_divまとめ'!$A:$A,'source isilon_divまとめ'!$D:$D,XLOOKUP(JOIN(""\"",$A148:$B148),'source NetApp-file-sv01-div'!A:A,TEXT('source NetApp-file-sv01-div'!C:C,""yyyy/mm/dd"")))"),"#N/A")</f>
        <v>#N/A</v>
      </c>
    </row>
    <row r="149">
      <c r="A149" s="8" t="s">
        <v>1205</v>
      </c>
      <c r="B149" s="8" t="s">
        <v>1206</v>
      </c>
      <c r="C149" s="7" t="s">
        <v>987</v>
      </c>
      <c r="D149" s="56">
        <f>IFERROR(__xludf.DUMMYFUNCTION("XLOOKUP(JOIN(""/"",$A149:$B149),'source merged_div_data'!$A:$A,'source merged_div_data'!B:B)"),8258.0)</f>
        <v>8258</v>
      </c>
      <c r="E149" s="56">
        <f>IFERROR(__xludf.DUMMYFUNCTION("XLOOKUP(JOIN(""/"",$A149:$B149),'source merged_div_data'!$A:$A,'source merged_div_data'!C:C)"),60196.0)</f>
        <v>60196</v>
      </c>
      <c r="F149" s="54" t="str">
        <f t="array" ref="F149">IFERROR(
  IFS(
    XLOOKUP(TEXTJOIN("/", TRUE, $A149:$B149), 'source merged_div_data'!$A:$A, 'source merged_div_data'!F:F) &lt; 1024,
      XLOOKUP(TEXTJOIN("/", TRUE, $A149:$B149), 'source merged_div_data'!$A:$A, 'source merged_div_data'!F:F) &amp; " B",
    XLOOKUP(TEXTJOIN("/", TRUE, $A149:$B149), 'source merged_div_data'!$A:$A, 'source merged_div_data'!F:F) &lt; 1048576,
      ROUND(XLOOKUP(TEXTJOIN("/", TRUE, $A149:$B149), 'source merged_div_data'!$A:$A, 'source merged_div_data'!F:F)/1024, 2) &amp; " KB",
    XLOOKUP(TEXTJOIN("/", TRUE, $A149:$B149), 'source merged_div_data'!$A:$A, 'source merged_div_data'!F:F) &lt; 1073741824,
      ROUND(XLOOKUP(TEXTJOIN("/", TRUE, $A149:$B149), 'source merged_div_data'!$A:$A, 'source merged_div_data'!F:F)/1048576, 2) &amp; " MB",
    TRUE,
      ROUND(XLOOKUP(TEXTJOIN("/", TRUE, $A149:$B149), 'source merged_div_data'!$A:$A, 'source merged_div_data'!F:F)/1073741824, 2) &amp; " GB"
  ),
  "×"
)</f>
        <v>18.88 GB</v>
      </c>
      <c r="G149" s="57" t="s">
        <v>2239</v>
      </c>
      <c r="H149" s="58" t="s">
        <v>2177</v>
      </c>
      <c r="I149" s="57"/>
      <c r="J149" s="7" t="s">
        <v>391</v>
      </c>
      <c r="L149" s="7" t="s">
        <v>2116</v>
      </c>
      <c r="M149" s="37" t="s">
        <v>1053</v>
      </c>
      <c r="N149" s="8" t="s">
        <v>1181</v>
      </c>
      <c r="O149" s="7" t="s">
        <v>391</v>
      </c>
      <c r="P149" s="57" t="str">
        <f>IFERROR(__xludf.DUMMYFUNCTION("XLOOKUP(JOIN(""/"",$A149:$B149),'source isilon_divまとめ'!$A:$A,'source isilon_divまとめ'!$D:$D,XLOOKUP(JOIN(""\"",$A149:$B149),'source NetApp-file-sv01-div'!A:A,TEXT('source NetApp-file-sv01-div'!C:C,""yyyy/mm/dd"")))"),"2016/10/12")</f>
        <v>2016/10/12</v>
      </c>
    </row>
    <row r="150">
      <c r="A150" s="8" t="s">
        <v>1205</v>
      </c>
      <c r="B150" s="8" t="s">
        <v>1207</v>
      </c>
      <c r="C150" s="7" t="s">
        <v>987</v>
      </c>
      <c r="D150" s="56">
        <f>IFERROR(__xludf.DUMMYFUNCTION("XLOOKUP(JOIN(""/"",$A150:$B150),'source merged_div_data'!$A:$A,'source merged_div_data'!B:B)"),3118.0)</f>
        <v>3118</v>
      </c>
      <c r="E150" s="56">
        <f>IFERROR(__xludf.DUMMYFUNCTION("XLOOKUP(JOIN(""/"",$A150:$B150),'source merged_div_data'!$A:$A,'source merged_div_data'!C:C)"),34642.0)</f>
        <v>34642</v>
      </c>
      <c r="F150" s="54" t="str">
        <f t="array" ref="F150">IFERROR(
  IFS(
    XLOOKUP(TEXTJOIN("/", TRUE, $A150:$B150), 'source merged_div_data'!$A:$A, 'source merged_div_data'!F:F) &lt; 1024,
      XLOOKUP(TEXTJOIN("/", TRUE, $A150:$B150), 'source merged_div_data'!$A:$A, 'source merged_div_data'!F:F) &amp; " B",
    XLOOKUP(TEXTJOIN("/", TRUE, $A150:$B150), 'source merged_div_data'!$A:$A, 'source merged_div_data'!F:F) &lt; 1048576,
      ROUND(XLOOKUP(TEXTJOIN("/", TRUE, $A150:$B150), 'source merged_div_data'!$A:$A, 'source merged_div_data'!F:F)/1024, 2) &amp; " KB",
    XLOOKUP(TEXTJOIN("/", TRUE, $A150:$B150), 'source merged_div_data'!$A:$A, 'source merged_div_data'!F:F) &lt; 1073741824,
      ROUND(XLOOKUP(TEXTJOIN("/", TRUE, $A150:$B150), 'source merged_div_data'!$A:$A, 'source merged_div_data'!F:F)/1048576, 2) &amp; " MB",
    TRUE,
      ROUND(XLOOKUP(TEXTJOIN("/", TRUE, $A150:$B150), 'source merged_div_data'!$A:$A, 'source merged_div_data'!F:F)/1073741824, 2) &amp; " GB"
  ),
  "×"
)</f>
        <v>32.36 GB</v>
      </c>
      <c r="G150" s="57" t="s">
        <v>2240</v>
      </c>
      <c r="H150" s="58" t="s">
        <v>2177</v>
      </c>
      <c r="I150" s="57"/>
      <c r="J150" s="7" t="s">
        <v>391</v>
      </c>
      <c r="L150" s="7" t="s">
        <v>2116</v>
      </c>
      <c r="M150" s="37" t="s">
        <v>1053</v>
      </c>
      <c r="N150" s="8" t="s">
        <v>1181</v>
      </c>
      <c r="O150" s="7" t="s">
        <v>391</v>
      </c>
      <c r="P150" s="57" t="str">
        <f>IFERROR(__xludf.DUMMYFUNCTION("XLOOKUP(JOIN(""/"",$A150:$B150),'source isilon_divまとめ'!$A:$A,'source isilon_divまとめ'!$D:$D,XLOOKUP(JOIN(""\"",$A150:$B150),'source NetApp-file-sv01-div'!A:A,TEXT('source NetApp-file-sv01-div'!C:C,""yyyy/mm/dd"")))"),"2017/09/11")</f>
        <v>2017/09/11</v>
      </c>
    </row>
    <row r="151">
      <c r="A151" s="8" t="s">
        <v>1205</v>
      </c>
      <c r="B151" s="8" t="s">
        <v>1111</v>
      </c>
      <c r="C151" s="7" t="s">
        <v>988</v>
      </c>
      <c r="D151" s="56">
        <f>IFERROR(__xludf.DUMMYFUNCTION("XLOOKUP(JOIN(""/"",$A151:$B151),'source merged_div_data'!$A:$A,'source merged_div_data'!B:B)"),341.0)</f>
        <v>341</v>
      </c>
      <c r="E151" s="56">
        <f>IFERROR(__xludf.DUMMYFUNCTION("XLOOKUP(JOIN(""/"",$A151:$B151),'source merged_div_data'!$A:$A,'source merged_div_data'!C:C)"),1146.0)</f>
        <v>1146</v>
      </c>
      <c r="F151" s="54" t="str">
        <f t="array" ref="F151">IFERROR(
  IFS(
    XLOOKUP(TEXTJOIN("/", TRUE, $A151:$B151), 'source merged_div_data'!$A:$A, 'source merged_div_data'!F:F) &lt; 1024,
      XLOOKUP(TEXTJOIN("/", TRUE, $A151:$B151), 'source merged_div_data'!$A:$A, 'source merged_div_data'!F:F) &amp; " B",
    XLOOKUP(TEXTJOIN("/", TRUE, $A151:$B151), 'source merged_div_data'!$A:$A, 'source merged_div_data'!F:F) &lt; 1048576,
      ROUND(XLOOKUP(TEXTJOIN("/", TRUE, $A151:$B151), 'source merged_div_data'!$A:$A, 'source merged_div_data'!F:F)/1024, 2) &amp; " KB",
    XLOOKUP(TEXTJOIN("/", TRUE, $A151:$B151), 'source merged_div_data'!$A:$A, 'source merged_div_data'!F:F) &lt; 1073741824,
      ROUND(XLOOKUP(TEXTJOIN("/", TRUE, $A151:$B151), 'source merged_div_data'!$A:$A, 'source merged_div_data'!F:F)/1048576, 2) &amp; " MB",
    TRUE,
      ROUND(XLOOKUP(TEXTJOIN("/", TRUE, $A151:$B151), 'source merged_div_data'!$A:$A, 'source merged_div_data'!F:F)/1073741824, 2) &amp; " GB"
  ),
  "×"
)</f>
        <v>189.65 MB</v>
      </c>
      <c r="G151" s="57" t="s">
        <v>2241</v>
      </c>
      <c r="H151" s="58" t="s">
        <v>2177</v>
      </c>
      <c r="I151" s="57"/>
      <c r="J151" s="7" t="s">
        <v>1105</v>
      </c>
      <c r="L151" s="37" t="s">
        <v>1053</v>
      </c>
      <c r="M151" s="37" t="s">
        <v>1053</v>
      </c>
      <c r="N151" s="8" t="s">
        <v>1181</v>
      </c>
      <c r="O151" s="7" t="s">
        <v>1105</v>
      </c>
      <c r="P151" s="57" t="str">
        <f>IFERROR(__xludf.DUMMYFUNCTION("XLOOKUP(JOIN(""/"",$A151:$B151),'source isilon_divまとめ'!$A:$A,'source isilon_divまとめ'!$D:$D,XLOOKUP(JOIN(""\"",$A151:$B151),'source NetApp-file-sv01-div'!A:A,TEXT('source NetApp-file-sv01-div'!C:C,""yyyy/mm/dd"")))"),"2014/05/26")</f>
        <v>2014/05/26</v>
      </c>
    </row>
    <row r="152">
      <c r="A152" s="8" t="s">
        <v>1205</v>
      </c>
      <c r="B152" s="8" t="s">
        <v>1065</v>
      </c>
      <c r="C152" s="7" t="s">
        <v>987</v>
      </c>
      <c r="D152" s="56">
        <f>IFERROR(__xludf.DUMMYFUNCTION("XLOOKUP(JOIN(""/"",$A152:$B152),'source merged_div_data'!$A:$A,'source merged_div_data'!B:B)"),20265.0)</f>
        <v>20265</v>
      </c>
      <c r="E152" s="56">
        <f>IFERROR(__xludf.DUMMYFUNCTION("XLOOKUP(JOIN(""/"",$A152:$B152),'source merged_div_data'!$A:$A,'source merged_div_data'!C:C)"),132289.0)</f>
        <v>132289</v>
      </c>
      <c r="F152" s="54" t="str">
        <f t="array" ref="F152">IFERROR(
  IFS(
    XLOOKUP(TEXTJOIN("/", TRUE, $A152:$B152), 'source merged_div_data'!$A:$A, 'source merged_div_data'!F:F) &lt; 1024,
      XLOOKUP(TEXTJOIN("/", TRUE, $A152:$B152), 'source merged_div_data'!$A:$A, 'source merged_div_data'!F:F) &amp; " B",
    XLOOKUP(TEXTJOIN("/", TRUE, $A152:$B152), 'source merged_div_data'!$A:$A, 'source merged_div_data'!F:F) &lt; 1048576,
      ROUND(XLOOKUP(TEXTJOIN("/", TRUE, $A152:$B152), 'source merged_div_data'!$A:$A, 'source merged_div_data'!F:F)/1024, 2) &amp; " KB",
    XLOOKUP(TEXTJOIN("/", TRUE, $A152:$B152), 'source merged_div_data'!$A:$A, 'source merged_div_data'!F:F) &lt; 1073741824,
      ROUND(XLOOKUP(TEXTJOIN("/", TRUE, $A152:$B152), 'source merged_div_data'!$A:$A, 'source merged_div_data'!F:F)/1048576, 2) &amp; " MB",
    TRUE,
      ROUND(XLOOKUP(TEXTJOIN("/", TRUE, $A152:$B152), 'source merged_div_data'!$A:$A, 'source merged_div_data'!F:F)/1073741824, 2) &amp; " GB"
  ),
  "×"
)</f>
        <v>139.76 GB</v>
      </c>
      <c r="G152" s="57" t="s">
        <v>2242</v>
      </c>
      <c r="H152" s="58" t="s">
        <v>2177</v>
      </c>
      <c r="I152" s="57"/>
      <c r="J152" s="7" t="s">
        <v>478</v>
      </c>
      <c r="L152" s="37" t="s">
        <v>1066</v>
      </c>
      <c r="M152" s="37" t="s">
        <v>1053</v>
      </c>
      <c r="N152" s="8" t="s">
        <v>1181</v>
      </c>
      <c r="O152" s="7" t="s">
        <v>478</v>
      </c>
      <c r="P152" s="57" t="str">
        <f>IFERROR(__xludf.DUMMYFUNCTION("XLOOKUP(JOIN(""/"",$A152:$B152),'source isilon_divまとめ'!$A:$A,'source isilon_divまとめ'!$D:$D,XLOOKUP(JOIN(""\"",$A152:$B152),'source NetApp-file-sv01-div'!A:A,TEXT('source NetApp-file-sv01-div'!C:C,""yyyy/mm/dd"")))"),"2013/12/12")</f>
        <v>2013/12/12</v>
      </c>
    </row>
    <row r="153">
      <c r="A153" s="8" t="s">
        <v>3</v>
      </c>
      <c r="B153" s="8" t="s">
        <v>9</v>
      </c>
      <c r="C153" s="8" t="s">
        <v>985</v>
      </c>
      <c r="D153" s="56">
        <f>IFERROR(__xludf.DUMMYFUNCTION("XLOOKUP(JOIN(""/"",$A153:$B153),'source merged_div_data'!$A:$A,'source merged_div_data'!B:B)"),80.0)</f>
        <v>80</v>
      </c>
      <c r="E153" s="56">
        <f>IFERROR(__xludf.DUMMYFUNCTION("XLOOKUP(JOIN(""/"",$A153:$B153),'source merged_div_data'!$A:$A,'source merged_div_data'!C:C)"),252.0)</f>
        <v>252</v>
      </c>
      <c r="F153" s="54" t="str">
        <f t="array" ref="F153">IFERROR(
  IFS(
    XLOOKUP(TEXTJOIN("/", TRUE, $A153:$B153), 'source merged_div_data'!$A:$A, 'source merged_div_data'!F:F) &lt; 1024,
      XLOOKUP(TEXTJOIN("/", TRUE, $A153:$B153), 'source merged_div_data'!$A:$A, 'source merged_div_data'!F:F) &amp; " B",
    XLOOKUP(TEXTJOIN("/", TRUE, $A153:$B153), 'source merged_div_data'!$A:$A, 'source merged_div_data'!F:F) &lt; 1048576,
      ROUND(XLOOKUP(TEXTJOIN("/", TRUE, $A153:$B153), 'source merged_div_data'!$A:$A, 'source merged_div_data'!F:F)/1024, 2) &amp; " KB",
    XLOOKUP(TEXTJOIN("/", TRUE, $A153:$B153), 'source merged_div_data'!$A:$A, 'source merged_div_data'!F:F) &lt; 1073741824,
      ROUND(XLOOKUP(TEXTJOIN("/", TRUE, $A153:$B153), 'source merged_div_data'!$A:$A, 'source merged_div_data'!F:F)/1048576, 2) &amp; " MB",
    TRUE,
      ROUND(XLOOKUP(TEXTJOIN("/", TRUE, $A153:$B153), 'source merged_div_data'!$A:$A, 'source merged_div_data'!F:F)/1073741824, 2) &amp; " GB"
  ),
  "×"
)</f>
        <v>220.38 MB</v>
      </c>
      <c r="G153" s="57" t="s">
        <v>2243</v>
      </c>
      <c r="H153" s="58" t="s">
        <v>2184</v>
      </c>
      <c r="I153" s="57"/>
      <c r="J153" s="37" t="s">
        <v>3</v>
      </c>
      <c r="K153" s="37" t="s">
        <v>9</v>
      </c>
      <c r="L153" s="37" t="s">
        <v>1053</v>
      </c>
      <c r="M153" s="37" t="s">
        <v>2124</v>
      </c>
      <c r="N153" s="8"/>
      <c r="P153" s="57" t="str">
        <f>IFERROR(__xludf.DUMMYFUNCTION("XLOOKUP(JOIN(""/"",$A153:$B153),'source isilon_divまとめ'!$A:$A,'source isilon_divまとめ'!$D:$D,XLOOKUP(JOIN(""\"",$A153:$B153),'source NetApp-file-sv01-div'!A:A,TEXT('source NetApp-file-sv01-div'!C:C,""yyyy/mm/dd"")))"),"2025/07/01")</f>
        <v>2025/07/01</v>
      </c>
    </row>
    <row r="154">
      <c r="A154" s="8" t="s">
        <v>3</v>
      </c>
      <c r="B154" s="8" t="s">
        <v>4</v>
      </c>
      <c r="C154" s="8" t="s">
        <v>985</v>
      </c>
      <c r="D154" s="56">
        <f>IFERROR(__xludf.DUMMYFUNCTION("XLOOKUP(JOIN(""/"",$A154:$B154),'source merged_div_data'!$A:$A,'source merged_div_data'!B:B)"),33.0)</f>
        <v>33</v>
      </c>
      <c r="E154" s="56">
        <f>IFERROR(__xludf.DUMMYFUNCTION("XLOOKUP(JOIN(""/"",$A154:$B154),'source merged_div_data'!$A:$A,'source merged_div_data'!C:C)"),75.0)</f>
        <v>75</v>
      </c>
      <c r="F154" s="54" t="str">
        <f t="array" ref="F154">IFERROR(
  IFS(
    XLOOKUP(TEXTJOIN("/", TRUE, $A154:$B154), 'source merged_div_data'!$A:$A, 'source merged_div_data'!F:F) &lt; 1024,
      XLOOKUP(TEXTJOIN("/", TRUE, $A154:$B154), 'source merged_div_data'!$A:$A, 'source merged_div_data'!F:F) &amp; " B",
    XLOOKUP(TEXTJOIN("/", TRUE, $A154:$B154), 'source merged_div_data'!$A:$A, 'source merged_div_data'!F:F) &lt; 1048576,
      ROUND(XLOOKUP(TEXTJOIN("/", TRUE, $A154:$B154), 'source merged_div_data'!$A:$A, 'source merged_div_data'!F:F)/1024, 2) &amp; " KB",
    XLOOKUP(TEXTJOIN("/", TRUE, $A154:$B154), 'source merged_div_data'!$A:$A, 'source merged_div_data'!F:F) &lt; 1073741824,
      ROUND(XLOOKUP(TEXTJOIN("/", TRUE, $A154:$B154), 'source merged_div_data'!$A:$A, 'source merged_div_data'!F:F)/1048576, 2) &amp; " MB",
    TRUE,
      ROUND(XLOOKUP(TEXTJOIN("/", TRUE, $A154:$B154), 'source merged_div_data'!$A:$A, 'source merged_div_data'!F:F)/1073741824, 2) &amp; " GB"
  ),
  "×"
)</f>
        <v>88.18 MB</v>
      </c>
      <c r="G154" s="57" t="s">
        <v>2244</v>
      </c>
      <c r="H154" s="58" t="s">
        <v>2184</v>
      </c>
      <c r="I154" s="57"/>
      <c r="J154" s="37" t="s">
        <v>3</v>
      </c>
      <c r="K154" s="37" t="s">
        <v>4</v>
      </c>
      <c r="L154" s="37" t="s">
        <v>1053</v>
      </c>
      <c r="M154" s="37" t="s">
        <v>2126</v>
      </c>
      <c r="N154" s="8"/>
      <c r="P154" s="57" t="str">
        <f>IFERROR(__xludf.DUMMYFUNCTION("XLOOKUP(JOIN(""/"",$A154:$B154),'source isilon_divまとめ'!$A:$A,'source isilon_divまとめ'!$D:$D,XLOOKUP(JOIN(""\"",$A154:$B154),'source NetApp-file-sv01-div'!A:A,TEXT('source NetApp-file-sv01-div'!C:C,""yyyy/mm/dd"")))"),"2025/05/09")</f>
        <v>2025/05/09</v>
      </c>
    </row>
    <row r="155">
      <c r="A155" s="52" t="s">
        <v>3</v>
      </c>
      <c r="B155" s="52" t="s">
        <v>1207</v>
      </c>
      <c r="C155" s="46" t="s">
        <v>986</v>
      </c>
      <c r="D155" s="53">
        <f>IFERROR(__xludf.DUMMYFUNCTION("XLOOKUP(JOIN(""/"",$A155:$B155),'source merged_div_data'!$A:$A,'source merged_div_data'!B:B)"),8.0)</f>
        <v>8</v>
      </c>
      <c r="E155" s="53">
        <f>IFERROR(__xludf.DUMMYFUNCTION("XLOOKUP(JOIN(""/"",$A155:$B155),'source merged_div_data'!$A:$A,'source merged_div_data'!C:C)"),0.0)</f>
        <v>0</v>
      </c>
      <c r="F155" s="54" t="str">
        <f t="array" ref="F155">IFERROR(
  IFS(
    XLOOKUP(TEXTJOIN("/", TRUE, $A155:$B155), 'source merged_div_data'!$A:$A, 'source merged_div_data'!F:F) &lt; 1024,
      XLOOKUP(TEXTJOIN("/", TRUE, $A155:$B155), 'source merged_div_data'!$A:$A, 'source merged_div_data'!F:F) &amp; " B",
    XLOOKUP(TEXTJOIN("/", TRUE, $A155:$B155), 'source merged_div_data'!$A:$A, 'source merged_div_data'!F:F) &lt; 1048576,
      ROUND(XLOOKUP(TEXTJOIN("/", TRUE, $A155:$B155), 'source merged_div_data'!$A:$A, 'source merged_div_data'!F:F)/1024, 2) &amp; " KB",
    XLOOKUP(TEXTJOIN("/", TRUE, $A155:$B155), 'source merged_div_data'!$A:$A, 'source merged_div_data'!F:F) &lt; 1073741824,
      ROUND(XLOOKUP(TEXTJOIN("/", TRUE, $A155:$B155), 'source merged_div_data'!$A:$A, 'source merged_div_data'!F:F)/1048576, 2) &amp; " MB",
    TRUE,
      ROUND(XLOOKUP(TEXTJOIN("/", TRUE, $A155:$B155), 'source merged_div_data'!$A:$A, 'source merged_div_data'!F:F)/1073741824, 2) &amp; " GB"
  ),
  "×"
)</f>
        <v>217 B</v>
      </c>
      <c r="G155" s="55" t="s">
        <v>1053</v>
      </c>
      <c r="H155" s="55"/>
      <c r="I155" s="55"/>
      <c r="J155" s="55" t="s">
        <v>3</v>
      </c>
      <c r="K155" s="55" t="s">
        <v>1053</v>
      </c>
      <c r="L155" s="46" t="s">
        <v>1453</v>
      </c>
      <c r="M155" s="55" t="s">
        <v>1053</v>
      </c>
      <c r="N155" s="46" t="s">
        <v>1052</v>
      </c>
      <c r="O155" s="55"/>
      <c r="P155" s="37" t="str">
        <f>IFERROR(__xludf.DUMMYFUNCTION("XLOOKUP(JOIN(""/"",$A155:$B155),'source isilon_divまとめ'!$A:$A,'source isilon_divまとめ'!$D:$D,XLOOKUP(JOIN(""\"",$A155:$B155),'source NetApp-file-sv01-div'!A:A,TEXT('source NetApp-file-sv01-div'!C:C,""yyyy/mm/dd"")))"),"#N/A")</f>
        <v>#N/A</v>
      </c>
    </row>
    <row r="156">
      <c r="A156" s="8" t="s">
        <v>3</v>
      </c>
      <c r="B156" s="8" t="s">
        <v>1111</v>
      </c>
      <c r="C156" s="8" t="s">
        <v>987</v>
      </c>
      <c r="D156" s="56">
        <f>IFERROR(__xludf.DUMMYFUNCTION("XLOOKUP(JOIN(""/"",$A156:$B156),'source merged_div_data'!$A:$A,'source merged_div_data'!B:B)"),1035.0)</f>
        <v>1035</v>
      </c>
      <c r="E156" s="56">
        <f>IFERROR(__xludf.DUMMYFUNCTION("XLOOKUP(JOIN(""/"",$A156:$B156),'source merged_div_data'!$A:$A,'source merged_div_data'!C:C)"),3969.0)</f>
        <v>3969</v>
      </c>
      <c r="F156" s="54" t="str">
        <f t="array" ref="F156">IFERROR(
  IFS(
    XLOOKUP(TEXTJOIN("/", TRUE, $A156:$B156), 'source merged_div_data'!$A:$A, 'source merged_div_data'!F:F) &lt; 1024,
      XLOOKUP(TEXTJOIN("/", TRUE, $A156:$B156), 'source merged_div_data'!$A:$A, 'source merged_div_data'!F:F) &amp; " B",
    XLOOKUP(TEXTJOIN("/", TRUE, $A156:$B156), 'source merged_div_data'!$A:$A, 'source merged_div_data'!F:F) &lt; 1048576,
      ROUND(XLOOKUP(TEXTJOIN("/", TRUE, $A156:$B156), 'source merged_div_data'!$A:$A, 'source merged_div_data'!F:F)/1024, 2) &amp; " KB",
    XLOOKUP(TEXTJOIN("/", TRUE, $A156:$B156), 'source merged_div_data'!$A:$A, 'source merged_div_data'!F:F) &lt; 1073741824,
      ROUND(XLOOKUP(TEXTJOIN("/", TRUE, $A156:$B156), 'source merged_div_data'!$A:$A, 'source merged_div_data'!F:F)/1048576, 2) &amp; " MB",
    TRUE,
      ROUND(XLOOKUP(TEXTJOIN("/", TRUE, $A156:$B156), 'source merged_div_data'!$A:$A, 'source merged_div_data'!F:F)/1073741824, 2) &amp; " GB"
  ),
  "×"
)</f>
        <v>1.23 GB</v>
      </c>
      <c r="G156" s="57" t="s">
        <v>2245</v>
      </c>
      <c r="H156" s="58" t="s">
        <v>2184</v>
      </c>
      <c r="I156" s="57"/>
      <c r="J156" s="7" t="s">
        <v>520</v>
      </c>
      <c r="K156" s="7" t="s">
        <v>1053</v>
      </c>
      <c r="L156" s="7" t="s">
        <v>1453</v>
      </c>
      <c r="M156" s="37" t="s">
        <v>1053</v>
      </c>
      <c r="N156" s="8"/>
      <c r="P156" s="57" t="str">
        <f>IFERROR(__xludf.DUMMYFUNCTION("XLOOKUP(JOIN(""/"",$A156:$B156),'source isilon_divまとめ'!$A:$A,'source isilon_divまとめ'!$D:$D,XLOOKUP(JOIN(""\"",$A156:$B156),'source NetApp-file-sv01-div'!A:A,TEXT('source NetApp-file-sv01-div'!C:C,""yyyy/mm/dd"")))"),"2025/07/04")</f>
        <v>2025/07/04</v>
      </c>
    </row>
    <row r="157">
      <c r="A157" s="52" t="s">
        <v>1208</v>
      </c>
      <c r="B157" s="52" t="s">
        <v>1209</v>
      </c>
      <c r="C157" s="46" t="s">
        <v>986</v>
      </c>
      <c r="D157" s="53">
        <f>IFERROR(__xludf.DUMMYFUNCTION("XLOOKUP(JOIN(""/"",$A157:$B157),'source merged_div_data'!$A:$A,'source merged_div_data'!B:B)"),24.0)</f>
        <v>24</v>
      </c>
      <c r="E157" s="53">
        <f>IFERROR(__xludf.DUMMYFUNCTION("XLOOKUP(JOIN(""/"",$A157:$B157),'source merged_div_data'!$A:$A,'source merged_div_data'!C:C)"),0.0)</f>
        <v>0</v>
      </c>
      <c r="F157" s="54" t="str">
        <f t="array" ref="F157">IFERROR(
  IFS(
    XLOOKUP(TEXTJOIN("/", TRUE, $A157:$B157), 'source merged_div_data'!$A:$A, 'source merged_div_data'!F:F) &lt; 1024,
      XLOOKUP(TEXTJOIN("/", TRUE, $A157:$B157), 'source merged_div_data'!$A:$A, 'source merged_div_data'!F:F) &amp; " B",
    XLOOKUP(TEXTJOIN("/", TRUE, $A157:$B157), 'source merged_div_data'!$A:$A, 'source merged_div_data'!F:F) &lt; 1048576,
      ROUND(XLOOKUP(TEXTJOIN("/", TRUE, $A157:$B157), 'source merged_div_data'!$A:$A, 'source merged_div_data'!F:F)/1024, 2) &amp; " KB",
    XLOOKUP(TEXTJOIN("/", TRUE, $A157:$B157), 'source merged_div_data'!$A:$A, 'source merged_div_data'!F:F) &lt; 1073741824,
      ROUND(XLOOKUP(TEXTJOIN("/", TRUE, $A157:$B157), 'source merged_div_data'!$A:$A, 'source merged_div_data'!F:F)/1048576, 2) &amp; " MB",
    TRUE,
      ROUND(XLOOKUP(TEXTJOIN("/", TRUE, $A157:$B157), 'source merged_div_data'!$A:$A, 'source merged_div_data'!F:F)/1073741824, 2) &amp; " GB"
  ),
  "×"
)</f>
        <v>704 B</v>
      </c>
      <c r="G157" s="55" t="s">
        <v>1053</v>
      </c>
      <c r="H157" s="55"/>
      <c r="I157" s="55"/>
      <c r="J157" s="46" t="s">
        <v>587</v>
      </c>
      <c r="K157" s="55"/>
      <c r="L157" s="55" t="s">
        <v>2198</v>
      </c>
      <c r="M157" s="55" t="s">
        <v>1053</v>
      </c>
      <c r="N157" s="52" t="s">
        <v>1181</v>
      </c>
      <c r="O157" s="46" t="s">
        <v>587</v>
      </c>
      <c r="P157" s="37" t="str">
        <f>IFERROR(__xludf.DUMMYFUNCTION("XLOOKUP(JOIN(""/"",$A157:$B157),'source isilon_divまとめ'!$A:$A,'source isilon_divまとめ'!$D:$D,XLOOKUP(JOIN(""\"",$A157:$B157),'source NetApp-file-sv01-div'!A:A,TEXT('source NetApp-file-sv01-div'!C:C,""yyyy/mm/dd"")))"),"#N/A")</f>
        <v>#N/A</v>
      </c>
    </row>
    <row r="158">
      <c r="A158" s="52" t="s">
        <v>1208</v>
      </c>
      <c r="B158" s="52" t="s">
        <v>1148</v>
      </c>
      <c r="C158" s="46" t="s">
        <v>986</v>
      </c>
      <c r="D158" s="53">
        <f>IFERROR(__xludf.DUMMYFUNCTION("XLOOKUP(JOIN(""/"",$A158:$B158),'source merged_div_data'!$A:$A,'source merged_div_data'!B:B)"),28.0)</f>
        <v>28</v>
      </c>
      <c r="E158" s="53">
        <f>IFERROR(__xludf.DUMMYFUNCTION("XLOOKUP(JOIN(""/"",$A158:$B158),'source merged_div_data'!$A:$A,'source merged_div_data'!C:C)"),0.0)</f>
        <v>0</v>
      </c>
      <c r="F158" s="54" t="str">
        <f t="array" ref="F158">IFERROR(
  IFS(
    XLOOKUP(TEXTJOIN("/", TRUE, $A158:$B158), 'source merged_div_data'!$A:$A, 'source merged_div_data'!F:F) &lt; 1024,
      XLOOKUP(TEXTJOIN("/", TRUE, $A158:$B158), 'source merged_div_data'!$A:$A, 'source merged_div_data'!F:F) &amp; " B",
    XLOOKUP(TEXTJOIN("/", TRUE, $A158:$B158), 'source merged_div_data'!$A:$A, 'source merged_div_data'!F:F) &lt; 1048576,
      ROUND(XLOOKUP(TEXTJOIN("/", TRUE, $A158:$B158), 'source merged_div_data'!$A:$A, 'source merged_div_data'!F:F)/1024, 2) &amp; " KB",
    XLOOKUP(TEXTJOIN("/", TRUE, $A158:$B158), 'source merged_div_data'!$A:$A, 'source merged_div_data'!F:F) &lt; 1073741824,
      ROUND(XLOOKUP(TEXTJOIN("/", TRUE, $A158:$B158), 'source merged_div_data'!$A:$A, 'source merged_div_data'!F:F)/1048576, 2) &amp; " MB",
    TRUE,
      ROUND(XLOOKUP(TEXTJOIN("/", TRUE, $A158:$B158), 'source merged_div_data'!$A:$A, 'source merged_div_data'!F:F)/1073741824, 2) &amp; " GB"
  ),
  "×"
)</f>
        <v>942 B</v>
      </c>
      <c r="G158" s="55" t="s">
        <v>1053</v>
      </c>
      <c r="H158" s="55"/>
      <c r="I158" s="55"/>
      <c r="J158" s="46" t="s">
        <v>587</v>
      </c>
      <c r="K158" s="55"/>
      <c r="L158" s="55" t="s">
        <v>2198</v>
      </c>
      <c r="M158" s="55" t="s">
        <v>1053</v>
      </c>
      <c r="N158" s="52" t="s">
        <v>1181</v>
      </c>
      <c r="O158" s="46" t="s">
        <v>587</v>
      </c>
      <c r="P158" s="37" t="str">
        <f>IFERROR(__xludf.DUMMYFUNCTION("XLOOKUP(JOIN(""/"",$A158:$B158),'source isilon_divまとめ'!$A:$A,'source isilon_divまとめ'!$D:$D,XLOOKUP(JOIN(""\"",$A158:$B158),'source NetApp-file-sv01-div'!A:A,TEXT('source NetApp-file-sv01-div'!C:C,""yyyy/mm/dd"")))"),"#N/A")</f>
        <v>#N/A</v>
      </c>
    </row>
    <row r="159">
      <c r="A159" s="52" t="s">
        <v>1208</v>
      </c>
      <c r="B159" s="52" t="s">
        <v>1210</v>
      </c>
      <c r="C159" s="46" t="s">
        <v>986</v>
      </c>
      <c r="D159" s="53">
        <f>IFERROR(__xludf.DUMMYFUNCTION("XLOOKUP(JOIN(""/"",$A159:$B159),'source merged_div_data'!$A:$A,'source merged_div_data'!B:B)"),2.0)</f>
        <v>2</v>
      </c>
      <c r="E159" s="53">
        <f>IFERROR(__xludf.DUMMYFUNCTION("XLOOKUP(JOIN(""/"",$A159:$B159),'source merged_div_data'!$A:$A,'source merged_div_data'!C:C)"),0.0)</f>
        <v>0</v>
      </c>
      <c r="F159" s="54" t="str">
        <f t="array" ref="F159">IFERROR(
  IFS(
    XLOOKUP(TEXTJOIN("/", TRUE, $A159:$B159), 'source merged_div_data'!$A:$A, 'source merged_div_data'!F:F) &lt; 1024,
      XLOOKUP(TEXTJOIN("/", TRUE, $A159:$B159), 'source merged_div_data'!$A:$A, 'source merged_div_data'!F:F) &amp; " B",
    XLOOKUP(TEXTJOIN("/", TRUE, $A159:$B159), 'source merged_div_data'!$A:$A, 'source merged_div_data'!F:F) &lt; 1048576,
      ROUND(XLOOKUP(TEXTJOIN("/", TRUE, $A159:$B159), 'source merged_div_data'!$A:$A, 'source merged_div_data'!F:F)/1024, 2) &amp; " KB",
    XLOOKUP(TEXTJOIN("/", TRUE, $A159:$B159), 'source merged_div_data'!$A:$A, 'source merged_div_data'!F:F) &lt; 1073741824,
      ROUND(XLOOKUP(TEXTJOIN("/", TRUE, $A159:$B159), 'source merged_div_data'!$A:$A, 'source merged_div_data'!F:F)/1048576, 2) &amp; " MB",
    TRUE,
      ROUND(XLOOKUP(TEXTJOIN("/", TRUE, $A159:$B159), 'source merged_div_data'!$A:$A, 'source merged_div_data'!F:F)/1073741824, 2) &amp; " GB"
  ),
  "×"
)</f>
        <v>27 B</v>
      </c>
      <c r="G159" s="55" t="s">
        <v>1053</v>
      </c>
      <c r="H159" s="55"/>
      <c r="I159" s="55"/>
      <c r="J159" s="55" t="s">
        <v>38</v>
      </c>
      <c r="K159" s="46" t="s">
        <v>43</v>
      </c>
      <c r="L159" s="55" t="s">
        <v>1053</v>
      </c>
      <c r="M159" s="46" t="s">
        <v>1467</v>
      </c>
      <c r="N159" s="46" t="s">
        <v>1052</v>
      </c>
      <c r="O159" s="46" t="s">
        <v>1188</v>
      </c>
      <c r="P159" s="37" t="str">
        <f>IFERROR(__xludf.DUMMYFUNCTION("XLOOKUP(JOIN(""/"",$A159:$B159),'source isilon_divまとめ'!$A:$A,'source isilon_divまとめ'!$D:$D,XLOOKUP(JOIN(""\"",$A159:$B159),'source NetApp-file-sv01-div'!A:A,TEXT('source NetApp-file-sv01-div'!C:C,""yyyy/mm/dd"")))"),"#N/A")</f>
        <v>#N/A</v>
      </c>
    </row>
    <row r="160">
      <c r="A160" s="52" t="s">
        <v>1208</v>
      </c>
      <c r="B160" s="52" t="s">
        <v>651</v>
      </c>
      <c r="C160" s="46" t="s">
        <v>986</v>
      </c>
      <c r="D160" s="53">
        <f>IFERROR(__xludf.DUMMYFUNCTION("XLOOKUP(JOIN(""/"",$A160:$B160),'source merged_div_data'!$A:$A,'source merged_div_data'!B:B)"),21.0)</f>
        <v>21</v>
      </c>
      <c r="E160" s="53">
        <f>IFERROR(__xludf.DUMMYFUNCTION("XLOOKUP(JOIN(""/"",$A160:$B160),'source merged_div_data'!$A:$A,'source merged_div_data'!C:C)"),0.0)</f>
        <v>0</v>
      </c>
      <c r="F160" s="54" t="str">
        <f t="array" ref="F160">IFERROR(
  IFS(
    XLOOKUP(TEXTJOIN("/", TRUE, $A160:$B160), 'source merged_div_data'!$A:$A, 'source merged_div_data'!F:F) &lt; 1024,
      XLOOKUP(TEXTJOIN("/", TRUE, $A160:$B160), 'source merged_div_data'!$A:$A, 'source merged_div_data'!F:F) &amp; " B",
    XLOOKUP(TEXTJOIN("/", TRUE, $A160:$B160), 'source merged_div_data'!$A:$A, 'source merged_div_data'!F:F) &lt; 1048576,
      ROUND(XLOOKUP(TEXTJOIN("/", TRUE, $A160:$B160), 'source merged_div_data'!$A:$A, 'source merged_div_data'!F:F)/1024, 2) &amp; " KB",
    XLOOKUP(TEXTJOIN("/", TRUE, $A160:$B160), 'source merged_div_data'!$A:$A, 'source merged_div_data'!F:F) &lt; 1073741824,
      ROUND(XLOOKUP(TEXTJOIN("/", TRUE, $A160:$B160), 'source merged_div_data'!$A:$A, 'source merged_div_data'!F:F)/1048576, 2) &amp; " MB",
    TRUE,
      ROUND(XLOOKUP(TEXTJOIN("/", TRUE, $A160:$B160), 'source merged_div_data'!$A:$A, 'source merged_div_data'!F:F)/1073741824, 2) &amp; " GB"
  ),
  "×"
)</f>
        <v>669 B</v>
      </c>
      <c r="G160" s="55" t="s">
        <v>1053</v>
      </c>
      <c r="H160" s="55"/>
      <c r="I160" s="55"/>
      <c r="J160" s="55" t="s">
        <v>140</v>
      </c>
      <c r="K160" s="55" t="s">
        <v>144</v>
      </c>
      <c r="L160" s="55" t="s">
        <v>1053</v>
      </c>
      <c r="M160" s="55" t="s">
        <v>2246</v>
      </c>
      <c r="N160" s="52"/>
      <c r="O160" s="55"/>
      <c r="P160" s="37" t="str">
        <f>IFERROR(__xludf.DUMMYFUNCTION("XLOOKUP(JOIN(""/"",$A160:$B160),'source isilon_divまとめ'!$A:$A,'source isilon_divまとめ'!$D:$D,XLOOKUP(JOIN(""\"",$A160:$B160),'source NetApp-file-sv01-div'!A:A,TEXT('source NetApp-file-sv01-div'!C:C,""yyyy/mm/dd"")))"),"#N/A")</f>
        <v>#N/A</v>
      </c>
    </row>
    <row r="161">
      <c r="A161" s="52" t="s">
        <v>1208</v>
      </c>
      <c r="B161" s="52" t="s">
        <v>1188</v>
      </c>
      <c r="C161" s="46" t="s">
        <v>986</v>
      </c>
      <c r="D161" s="53">
        <f>IFERROR(__xludf.DUMMYFUNCTION("XLOOKUP(JOIN(""/"",$A161:$B161),'source merged_div_data'!$A:$A,'source merged_div_data'!B:B)"),67.0)</f>
        <v>67</v>
      </c>
      <c r="E161" s="53">
        <f>IFERROR(__xludf.DUMMYFUNCTION("XLOOKUP(JOIN(""/"",$A161:$B161),'source merged_div_data'!$A:$A,'source merged_div_data'!C:C)"),0.0)</f>
        <v>0</v>
      </c>
      <c r="F161" s="54" t="str">
        <f t="array" ref="F161">IFERROR(
  IFS(
    XLOOKUP(TEXTJOIN("/", TRUE, $A161:$B161), 'source merged_div_data'!$A:$A, 'source merged_div_data'!F:F) &lt; 1024,
      XLOOKUP(TEXTJOIN("/", TRUE, $A161:$B161), 'source merged_div_data'!$A:$A, 'source merged_div_data'!F:F) &amp; " B",
    XLOOKUP(TEXTJOIN("/", TRUE, $A161:$B161), 'source merged_div_data'!$A:$A, 'source merged_div_data'!F:F) &lt; 1048576,
      ROUND(XLOOKUP(TEXTJOIN("/", TRUE, $A161:$B161), 'source merged_div_data'!$A:$A, 'source merged_div_data'!F:F)/1024, 2) &amp; " KB",
    XLOOKUP(TEXTJOIN("/", TRUE, $A161:$B161), 'source merged_div_data'!$A:$A, 'source merged_div_data'!F:F) &lt; 1073741824,
      ROUND(XLOOKUP(TEXTJOIN("/", TRUE, $A161:$B161), 'source merged_div_data'!$A:$A, 'source merged_div_data'!F:F)/1048576, 2) &amp; " MB",
    TRUE,
      ROUND(XLOOKUP(TEXTJOIN("/", TRUE, $A161:$B161), 'source merged_div_data'!$A:$A, 'source merged_div_data'!F:F)/1073741824, 2) &amp; " GB"
  ),
  "×"
)</f>
        <v>2.27 KB</v>
      </c>
      <c r="G161" s="55" t="s">
        <v>1053</v>
      </c>
      <c r="H161" s="55"/>
      <c r="I161" s="55"/>
      <c r="J161" s="55" t="s">
        <v>38</v>
      </c>
      <c r="K161" s="46" t="s">
        <v>43</v>
      </c>
      <c r="L161" s="55" t="s">
        <v>1053</v>
      </c>
      <c r="M161" s="46" t="s">
        <v>1467</v>
      </c>
      <c r="N161" s="46" t="s">
        <v>1052</v>
      </c>
      <c r="O161" s="46" t="s">
        <v>1188</v>
      </c>
      <c r="P161" s="37" t="str">
        <f>IFERROR(__xludf.DUMMYFUNCTION("XLOOKUP(JOIN(""/"",$A161:$B161),'source isilon_divまとめ'!$A:$A,'source isilon_divまとめ'!$D:$D,XLOOKUP(JOIN(""\"",$A161:$B161),'source NetApp-file-sv01-div'!A:A,TEXT('source NetApp-file-sv01-div'!C:C,""yyyy/mm/dd"")))"),"#N/A")</f>
        <v>#N/A</v>
      </c>
    </row>
    <row r="162">
      <c r="A162" s="52" t="s">
        <v>1208</v>
      </c>
      <c r="B162" s="52" t="s">
        <v>1111</v>
      </c>
      <c r="C162" s="46" t="s">
        <v>988</v>
      </c>
      <c r="D162" s="53">
        <f>IFERROR(__xludf.DUMMYFUNCTION("XLOOKUP(JOIN(""/"",$A162:$B162),'source merged_div_data'!$A:$A,'source merged_div_data'!B:B)"),1.0)</f>
        <v>1</v>
      </c>
      <c r="E162" s="53">
        <f>IFERROR(__xludf.DUMMYFUNCTION("XLOOKUP(JOIN(""/"",$A162:$B162),'source merged_div_data'!$A:$A,'source merged_div_data'!C:C)"),0.0)</f>
        <v>0</v>
      </c>
      <c r="F162" s="54" t="str">
        <f t="array" ref="F162">IFERROR(
  IFS(
    XLOOKUP(TEXTJOIN("/", TRUE, $A162:$B162), 'source merged_div_data'!$A:$A, 'source merged_div_data'!F:F) &lt; 1024,
      XLOOKUP(TEXTJOIN("/", TRUE, $A162:$B162), 'source merged_div_data'!$A:$A, 'source merged_div_data'!F:F) &amp; " B",
    XLOOKUP(TEXTJOIN("/", TRUE, $A162:$B162), 'source merged_div_data'!$A:$A, 'source merged_div_data'!F:F) &lt; 1048576,
      ROUND(XLOOKUP(TEXTJOIN("/", TRUE, $A162:$B162), 'source merged_div_data'!$A:$A, 'source merged_div_data'!F:F)/1024, 2) &amp; " KB",
    XLOOKUP(TEXTJOIN("/", TRUE, $A162:$B162), 'source merged_div_data'!$A:$A, 'source merged_div_data'!F:F) &lt; 1073741824,
      ROUND(XLOOKUP(TEXTJOIN("/", TRUE, $A162:$B162), 'source merged_div_data'!$A:$A, 'source merged_div_data'!F:F)/1048576, 2) &amp; " MB",
    TRUE,
      ROUND(XLOOKUP(TEXTJOIN("/", TRUE, $A162:$B162), 'source merged_div_data'!$A:$A, 'source merged_div_data'!F:F)/1073741824, 2) &amp; " GB"
  ),
  "×"
)</f>
        <v>0 B</v>
      </c>
      <c r="G162" s="55" t="s">
        <v>1053</v>
      </c>
      <c r="H162" s="55"/>
      <c r="I162" s="55"/>
      <c r="J162" s="46" t="s">
        <v>1105</v>
      </c>
      <c r="K162" s="55"/>
      <c r="L162" s="55" t="s">
        <v>1053</v>
      </c>
      <c r="M162" s="55" t="s">
        <v>1053</v>
      </c>
      <c r="N162" s="52" t="s">
        <v>1181</v>
      </c>
      <c r="O162" s="46" t="s">
        <v>1105</v>
      </c>
      <c r="P162" s="37" t="str">
        <f>IFERROR(__xludf.DUMMYFUNCTION("XLOOKUP(JOIN(""/"",$A162:$B162),'source isilon_divまとめ'!$A:$A,'source isilon_divまとめ'!$D:$D,XLOOKUP(JOIN(""\"",$A162:$B162),'source NetApp-file-sv01-div'!A:A,TEXT('source NetApp-file-sv01-div'!C:C,""yyyy/mm/dd"")))"),"#N/A")</f>
        <v>#N/A</v>
      </c>
    </row>
    <row r="163">
      <c r="A163" s="52" t="s">
        <v>1208</v>
      </c>
      <c r="B163" s="52" t="s">
        <v>74</v>
      </c>
      <c r="C163" s="46" t="s">
        <v>986</v>
      </c>
      <c r="D163" s="53">
        <f>IFERROR(__xludf.DUMMYFUNCTION("XLOOKUP(JOIN(""/"",$A163:$B163),'source merged_div_data'!$A:$A,'source merged_div_data'!B:B)"),52.0)</f>
        <v>52</v>
      </c>
      <c r="E163" s="53">
        <f>IFERROR(__xludf.DUMMYFUNCTION("XLOOKUP(JOIN(""/"",$A163:$B163),'source merged_div_data'!$A:$A,'source merged_div_data'!C:C)"),0.0)</f>
        <v>0</v>
      </c>
      <c r="F163" s="54" t="str">
        <f t="array" ref="F163">IFERROR(
  IFS(
    XLOOKUP(TEXTJOIN("/", TRUE, $A163:$B163), 'source merged_div_data'!$A:$A, 'source merged_div_data'!F:F) &lt; 1024,
      XLOOKUP(TEXTJOIN("/", TRUE, $A163:$B163), 'source merged_div_data'!$A:$A, 'source merged_div_data'!F:F) &amp; " B",
    XLOOKUP(TEXTJOIN("/", TRUE, $A163:$B163), 'source merged_div_data'!$A:$A, 'source merged_div_data'!F:F) &lt; 1048576,
      ROUND(XLOOKUP(TEXTJOIN("/", TRUE, $A163:$B163), 'source merged_div_data'!$A:$A, 'source merged_div_data'!F:F)/1024, 2) &amp; " KB",
    XLOOKUP(TEXTJOIN("/", TRUE, $A163:$B163), 'source merged_div_data'!$A:$A, 'source merged_div_data'!F:F) &lt; 1073741824,
      ROUND(XLOOKUP(TEXTJOIN("/", TRUE, $A163:$B163), 'source merged_div_data'!$A:$A, 'source merged_div_data'!F:F)/1048576, 2) &amp; " MB",
    TRUE,
      ROUND(XLOOKUP(TEXTJOIN("/", TRUE, $A163:$B163), 'source merged_div_data'!$A:$A, 'source merged_div_data'!F:F)/1073741824, 2) &amp; " GB"
  ),
  "×"
)</f>
        <v>1.59 KB</v>
      </c>
      <c r="G163" s="55" t="s">
        <v>1053</v>
      </c>
      <c r="H163" s="55"/>
      <c r="I163" s="55"/>
      <c r="J163" s="55" t="s">
        <v>71</v>
      </c>
      <c r="K163" s="55" t="s">
        <v>74</v>
      </c>
      <c r="L163" s="55" t="s">
        <v>1053</v>
      </c>
      <c r="M163" s="46" t="s">
        <v>2198</v>
      </c>
      <c r="N163" s="52"/>
      <c r="O163" s="55"/>
      <c r="P163" s="37" t="str">
        <f>IFERROR(__xludf.DUMMYFUNCTION("XLOOKUP(JOIN(""/"",$A163:$B163),'source isilon_divまとめ'!$A:$A,'source isilon_divまとめ'!$D:$D,XLOOKUP(JOIN(""\"",$A163:$B163),'source NetApp-file-sv01-div'!A:A,TEXT('source NetApp-file-sv01-div'!C:C,""yyyy/mm/dd"")))"),"#N/A")</f>
        <v>#N/A</v>
      </c>
    </row>
    <row r="164">
      <c r="A164" s="8" t="s">
        <v>1211</v>
      </c>
      <c r="B164" s="8" t="s">
        <v>1212</v>
      </c>
      <c r="C164" s="7" t="s">
        <v>987</v>
      </c>
      <c r="D164" s="56">
        <f>IFERROR(__xludf.DUMMYFUNCTION("XLOOKUP(JOIN(""/"",$A164:$B164),'source merged_div_data'!$A:$A,'source merged_div_data'!B:B)"),1421.0)</f>
        <v>1421</v>
      </c>
      <c r="E164" s="56">
        <f>IFERROR(__xludf.DUMMYFUNCTION("XLOOKUP(JOIN(""/"",$A164:$B164),'source merged_div_data'!$A:$A,'source merged_div_data'!C:C)"),8581.0)</f>
        <v>8581</v>
      </c>
      <c r="F164" s="54" t="str">
        <f t="array" ref="F164">IFERROR(
  IFS(
    XLOOKUP(TEXTJOIN("/", TRUE, $A164:$B164), 'source merged_div_data'!$A:$A, 'source merged_div_data'!F:F) &lt; 1024,
      XLOOKUP(TEXTJOIN("/", TRUE, $A164:$B164), 'source merged_div_data'!$A:$A, 'source merged_div_data'!F:F) &amp; " B",
    XLOOKUP(TEXTJOIN("/", TRUE, $A164:$B164), 'source merged_div_data'!$A:$A, 'source merged_div_data'!F:F) &lt; 1048576,
      ROUND(XLOOKUP(TEXTJOIN("/", TRUE, $A164:$B164), 'source merged_div_data'!$A:$A, 'source merged_div_data'!F:F)/1024, 2) &amp; " KB",
    XLOOKUP(TEXTJOIN("/", TRUE, $A164:$B164), 'source merged_div_data'!$A:$A, 'source merged_div_data'!F:F) &lt; 1073741824,
      ROUND(XLOOKUP(TEXTJOIN("/", TRUE, $A164:$B164), 'source merged_div_data'!$A:$A, 'source merged_div_data'!F:F)/1048576, 2) &amp; " MB",
    TRUE,
      ROUND(XLOOKUP(TEXTJOIN("/", TRUE, $A164:$B164), 'source merged_div_data'!$A:$A, 'source merged_div_data'!F:F)/1073741824, 2) &amp; " GB"
  ),
  "×"
)</f>
        <v>1.63 GB</v>
      </c>
      <c r="G164" s="57" t="s">
        <v>2247</v>
      </c>
      <c r="H164" s="58" t="s">
        <v>2177</v>
      </c>
      <c r="I164" s="57"/>
      <c r="J164" s="7" t="s">
        <v>391</v>
      </c>
      <c r="L164" s="7" t="s">
        <v>2116</v>
      </c>
      <c r="M164" s="37" t="s">
        <v>1053</v>
      </c>
      <c r="N164" s="8" t="s">
        <v>1102</v>
      </c>
      <c r="O164" s="7" t="s">
        <v>391</v>
      </c>
      <c r="P164" s="57" t="str">
        <f>IFERROR(__xludf.DUMMYFUNCTION("XLOOKUP(JOIN(""/"",$A164:$B164),'source isilon_divまとめ'!$A:$A,'source isilon_divまとめ'!$D:$D,XLOOKUP(JOIN(""\"",$A164:$B164),'source NetApp-file-sv01-div'!A:A,TEXT('source NetApp-file-sv01-div'!C:C,""yyyy/mm/dd"")))"),"2015/04/01")</f>
        <v>2015/04/01</v>
      </c>
    </row>
    <row r="165">
      <c r="A165" s="8" t="s">
        <v>1211</v>
      </c>
      <c r="B165" s="8" t="s">
        <v>1213</v>
      </c>
      <c r="C165" s="7" t="s">
        <v>987</v>
      </c>
      <c r="D165" s="56">
        <f>IFERROR(__xludf.DUMMYFUNCTION("XLOOKUP(JOIN(""/"",$A165:$B165),'source merged_div_data'!$A:$A,'source merged_div_data'!B:B)"),624.0)</f>
        <v>624</v>
      </c>
      <c r="E165" s="56">
        <f>IFERROR(__xludf.DUMMYFUNCTION("XLOOKUP(JOIN(""/"",$A165:$B165),'source merged_div_data'!$A:$A,'source merged_div_data'!C:C)"),11969.0)</f>
        <v>11969</v>
      </c>
      <c r="F165" s="54" t="str">
        <f t="array" ref="F165">IFERROR(
  IFS(
    XLOOKUP(TEXTJOIN("/", TRUE, $A165:$B165), 'source merged_div_data'!$A:$A, 'source merged_div_data'!F:F) &lt; 1024,
      XLOOKUP(TEXTJOIN("/", TRUE, $A165:$B165), 'source merged_div_data'!$A:$A, 'source merged_div_data'!F:F) &amp; " B",
    XLOOKUP(TEXTJOIN("/", TRUE, $A165:$B165), 'source merged_div_data'!$A:$A, 'source merged_div_data'!F:F) &lt; 1048576,
      ROUND(XLOOKUP(TEXTJOIN("/", TRUE, $A165:$B165), 'source merged_div_data'!$A:$A, 'source merged_div_data'!F:F)/1024, 2) &amp; " KB",
    XLOOKUP(TEXTJOIN("/", TRUE, $A165:$B165), 'source merged_div_data'!$A:$A, 'source merged_div_data'!F:F) &lt; 1073741824,
      ROUND(XLOOKUP(TEXTJOIN("/", TRUE, $A165:$B165), 'source merged_div_data'!$A:$A, 'source merged_div_data'!F:F)/1048576, 2) &amp; " MB",
    TRUE,
      ROUND(XLOOKUP(TEXTJOIN("/", TRUE, $A165:$B165), 'source merged_div_data'!$A:$A, 'source merged_div_data'!F:F)/1073741824, 2) &amp; " GB"
  ),
  "×"
)</f>
        <v>706.24 MB</v>
      </c>
      <c r="G165" s="57" t="s">
        <v>2248</v>
      </c>
      <c r="H165" s="58" t="s">
        <v>2177</v>
      </c>
      <c r="I165" s="57"/>
      <c r="J165" s="7" t="s">
        <v>3</v>
      </c>
      <c r="L165" s="7" t="s">
        <v>1453</v>
      </c>
      <c r="M165" s="37" t="s">
        <v>1053</v>
      </c>
      <c r="N165" s="8" t="s">
        <v>1102</v>
      </c>
      <c r="O165" s="7" t="s">
        <v>3</v>
      </c>
      <c r="P165" s="57" t="str">
        <f>IFERROR(__xludf.DUMMYFUNCTION("XLOOKUP(JOIN(""/"",$A165:$B165),'source isilon_divまとめ'!$A:$A,'source isilon_divまとめ'!$D:$D,XLOOKUP(JOIN(""\"",$A165:$B165),'source NetApp-file-sv01-div'!A:A,TEXT('source NetApp-file-sv01-div'!C:C,""yyyy/mm/dd"")))"),"2022/04/19")</f>
        <v>2022/04/19</v>
      </c>
    </row>
    <row r="166">
      <c r="A166" s="8" t="s">
        <v>1211</v>
      </c>
      <c r="B166" s="8" t="s">
        <v>1214</v>
      </c>
      <c r="C166" s="7" t="s">
        <v>988</v>
      </c>
      <c r="D166" s="56">
        <f>IFERROR(__xludf.DUMMYFUNCTION("XLOOKUP(JOIN(""/"",$A166:$B166),'source merged_div_data'!$A:$A,'source merged_div_data'!B:B)"),20.0)</f>
        <v>20</v>
      </c>
      <c r="E166" s="56">
        <f>IFERROR(__xludf.DUMMYFUNCTION("XLOOKUP(JOIN(""/"",$A166:$B166),'source merged_div_data'!$A:$A,'source merged_div_data'!C:C)"),10.0)</f>
        <v>10</v>
      </c>
      <c r="F166" s="54" t="str">
        <f t="array" ref="F166">IFERROR(
  IFS(
    XLOOKUP(TEXTJOIN("/", TRUE, $A166:$B166), 'source merged_div_data'!$A:$A, 'source merged_div_data'!F:F) &lt; 1024,
      XLOOKUP(TEXTJOIN("/", TRUE, $A166:$B166), 'source merged_div_data'!$A:$A, 'source merged_div_data'!F:F) &amp; " B",
    XLOOKUP(TEXTJOIN("/", TRUE, $A166:$B166), 'source merged_div_data'!$A:$A, 'source merged_div_data'!F:F) &lt; 1048576,
      ROUND(XLOOKUP(TEXTJOIN("/", TRUE, $A166:$B166), 'source merged_div_data'!$A:$A, 'source merged_div_data'!F:F)/1024, 2) &amp; " KB",
    XLOOKUP(TEXTJOIN("/", TRUE, $A166:$B166), 'source merged_div_data'!$A:$A, 'source merged_div_data'!F:F) &lt; 1073741824,
      ROUND(XLOOKUP(TEXTJOIN("/", TRUE, $A166:$B166), 'source merged_div_data'!$A:$A, 'source merged_div_data'!F:F)/1048576, 2) &amp; " MB",
    TRUE,
      ROUND(XLOOKUP(TEXTJOIN("/", TRUE, $A166:$B166), 'source merged_div_data'!$A:$A, 'source merged_div_data'!F:F)/1073741824, 2) &amp; " GB"
  ),
  "×"
)</f>
        <v>11.68 GB</v>
      </c>
      <c r="G166" s="57" t="s">
        <v>2249</v>
      </c>
      <c r="H166" s="58" t="s">
        <v>2177</v>
      </c>
      <c r="I166" s="57"/>
      <c r="J166" s="7" t="s">
        <v>1215</v>
      </c>
      <c r="L166" s="37" t="s">
        <v>1053</v>
      </c>
      <c r="M166" s="37" t="s">
        <v>1053</v>
      </c>
      <c r="N166" s="8" t="s">
        <v>1102</v>
      </c>
      <c r="O166" s="7" t="s">
        <v>1215</v>
      </c>
      <c r="P166" s="57" t="str">
        <f>IFERROR(__xludf.DUMMYFUNCTION("XLOOKUP(JOIN(""/"",$A166:$B166),'source isilon_divまとめ'!$A:$A,'source isilon_divまとめ'!$D:$D,XLOOKUP(JOIN(""\"",$A166:$B166),'source NetApp-file-sv01-div'!A:A,TEXT('source NetApp-file-sv01-div'!C:C,""yyyy/mm/dd"")))"),"2014/06/10")</f>
        <v>2014/06/10</v>
      </c>
    </row>
    <row r="167">
      <c r="A167" s="52" t="s">
        <v>1211</v>
      </c>
      <c r="B167" s="52" t="s">
        <v>1111</v>
      </c>
      <c r="C167" s="46" t="s">
        <v>988</v>
      </c>
      <c r="D167" s="53">
        <f>IFERROR(__xludf.DUMMYFUNCTION("XLOOKUP(JOIN(""/"",$A167:$B167),'source merged_div_data'!$A:$A,'source merged_div_data'!B:B)"),1.0)</f>
        <v>1</v>
      </c>
      <c r="E167" s="53">
        <f>IFERROR(__xludf.DUMMYFUNCTION("XLOOKUP(JOIN(""/"",$A167:$B167),'source merged_div_data'!$A:$A,'source merged_div_data'!C:C)"),0.0)</f>
        <v>0</v>
      </c>
      <c r="F167" s="54" t="str">
        <f t="array" ref="F167">IFERROR(
  IFS(
    XLOOKUP(TEXTJOIN("/", TRUE, $A167:$B167), 'source merged_div_data'!$A:$A, 'source merged_div_data'!F:F) &lt; 1024,
      XLOOKUP(TEXTJOIN("/", TRUE, $A167:$B167), 'source merged_div_data'!$A:$A, 'source merged_div_data'!F:F) &amp; " B",
    XLOOKUP(TEXTJOIN("/", TRUE, $A167:$B167), 'source merged_div_data'!$A:$A, 'source merged_div_data'!F:F) &lt; 1048576,
      ROUND(XLOOKUP(TEXTJOIN("/", TRUE, $A167:$B167), 'source merged_div_data'!$A:$A, 'source merged_div_data'!F:F)/1024, 2) &amp; " KB",
    XLOOKUP(TEXTJOIN("/", TRUE, $A167:$B167), 'source merged_div_data'!$A:$A, 'source merged_div_data'!F:F) &lt; 1073741824,
      ROUND(XLOOKUP(TEXTJOIN("/", TRUE, $A167:$B167), 'source merged_div_data'!$A:$A, 'source merged_div_data'!F:F)/1048576, 2) &amp; " MB",
    TRUE,
      ROUND(XLOOKUP(TEXTJOIN("/", TRUE, $A167:$B167), 'source merged_div_data'!$A:$A, 'source merged_div_data'!F:F)/1073741824, 2) &amp; " GB"
  ),
  "×"
)</f>
        <v>0 B</v>
      </c>
      <c r="G167" s="55" t="s">
        <v>1053</v>
      </c>
      <c r="H167" s="55"/>
      <c r="I167" s="55"/>
      <c r="J167" s="46" t="s">
        <v>1105</v>
      </c>
      <c r="K167" s="55"/>
      <c r="L167" s="55" t="s">
        <v>1053</v>
      </c>
      <c r="M167" s="55" t="s">
        <v>1053</v>
      </c>
      <c r="N167" s="52" t="s">
        <v>1102</v>
      </c>
      <c r="O167" s="46" t="s">
        <v>1105</v>
      </c>
      <c r="P167" s="37" t="str">
        <f>IFERROR(__xludf.DUMMYFUNCTION("XLOOKUP(JOIN(""/"",$A167:$B167),'source isilon_divまとめ'!$A:$A,'source isilon_divまとめ'!$D:$D,XLOOKUP(JOIN(""\"",$A167:$B167),'source NetApp-file-sv01-div'!A:A,TEXT('source NetApp-file-sv01-div'!C:C,""yyyy/mm/dd"")))"),"#N/A")</f>
        <v>#N/A</v>
      </c>
    </row>
    <row r="168">
      <c r="A168" s="8" t="s">
        <v>1216</v>
      </c>
      <c r="B168" s="8" t="s">
        <v>1217</v>
      </c>
      <c r="C168" s="7" t="s">
        <v>987</v>
      </c>
      <c r="D168" s="56">
        <f>IFERROR(__xludf.DUMMYFUNCTION("XLOOKUP(JOIN(""/"",$A168:$B168),'source merged_div_data'!$A:$A,'source merged_div_data'!B:B)"),654.0)</f>
        <v>654</v>
      </c>
      <c r="E168" s="56">
        <f>IFERROR(__xludf.DUMMYFUNCTION("XLOOKUP(JOIN(""/"",$A168:$B168),'source merged_div_data'!$A:$A,'source merged_div_data'!C:C)"),11265.0)</f>
        <v>11265</v>
      </c>
      <c r="F168" s="54" t="str">
        <f t="array" ref="F168">IFERROR(
  IFS(
    XLOOKUP(TEXTJOIN("/", TRUE, $A168:$B168), 'source merged_div_data'!$A:$A, 'source merged_div_data'!F:F) &lt; 1024,
      XLOOKUP(TEXTJOIN("/", TRUE, $A168:$B168), 'source merged_div_data'!$A:$A, 'source merged_div_data'!F:F) &amp; " B",
    XLOOKUP(TEXTJOIN("/", TRUE, $A168:$B168), 'source merged_div_data'!$A:$A, 'source merged_div_data'!F:F) &lt; 1048576,
      ROUND(XLOOKUP(TEXTJOIN("/", TRUE, $A168:$B168), 'source merged_div_data'!$A:$A, 'source merged_div_data'!F:F)/1024, 2) &amp; " KB",
    XLOOKUP(TEXTJOIN("/", TRUE, $A168:$B168), 'source merged_div_data'!$A:$A, 'source merged_div_data'!F:F) &lt; 1073741824,
      ROUND(XLOOKUP(TEXTJOIN("/", TRUE, $A168:$B168), 'source merged_div_data'!$A:$A, 'source merged_div_data'!F:F)/1048576, 2) &amp; " MB",
    TRUE,
      ROUND(XLOOKUP(TEXTJOIN("/", TRUE, $A168:$B168), 'source merged_div_data'!$A:$A, 'source merged_div_data'!F:F)/1073741824, 2) &amp; " GB"
  ),
  "×"
)</f>
        <v>1.43 GB</v>
      </c>
      <c r="G168" s="57" t="s">
        <v>2250</v>
      </c>
      <c r="H168" s="58" t="s">
        <v>2177</v>
      </c>
      <c r="I168" s="57"/>
      <c r="J168" s="7" t="s">
        <v>717</v>
      </c>
      <c r="L168" s="7" t="s">
        <v>2100</v>
      </c>
      <c r="M168" s="37" t="s">
        <v>1053</v>
      </c>
      <c r="N168" s="8" t="s">
        <v>1102</v>
      </c>
      <c r="O168" s="7" t="s">
        <v>1097</v>
      </c>
      <c r="P168" s="57" t="str">
        <f>IFERROR(__xludf.DUMMYFUNCTION("XLOOKUP(JOIN(""/"",$A168:$B168),'source isilon_divまとめ'!$A:$A,'source isilon_divまとめ'!$D:$D,XLOOKUP(JOIN(""\"",$A168:$B168),'source NetApp-file-sv01-div'!A:A,TEXT('source NetApp-file-sv01-div'!C:C,""yyyy/mm/dd"")))"),"2016/02/10")</f>
        <v>2016/02/10</v>
      </c>
    </row>
    <row r="169">
      <c r="A169" s="8" t="s">
        <v>1216</v>
      </c>
      <c r="B169" s="8" t="s">
        <v>644</v>
      </c>
      <c r="C169" s="8" t="s">
        <v>987</v>
      </c>
      <c r="D169" s="56">
        <f>IFERROR(__xludf.DUMMYFUNCTION("XLOOKUP(JOIN(""/"",$A169:$B169),'source merged_div_data'!$A:$A,'source merged_div_data'!B:B)"),4.0)</f>
        <v>4</v>
      </c>
      <c r="E169" s="56">
        <f>IFERROR(__xludf.DUMMYFUNCTION("XLOOKUP(JOIN(""/"",$A169:$B169),'source merged_div_data'!$A:$A,'source merged_div_data'!C:C)"),28.0)</f>
        <v>28</v>
      </c>
      <c r="F169" s="54" t="str">
        <f t="array" ref="F169">IFERROR(
  IFS(
    XLOOKUP(TEXTJOIN("/", TRUE, $A169:$B169), 'source merged_div_data'!$A:$A, 'source merged_div_data'!F:F) &lt; 1024,
      XLOOKUP(TEXTJOIN("/", TRUE, $A169:$B169), 'source merged_div_data'!$A:$A, 'source merged_div_data'!F:F) &amp; " B",
    XLOOKUP(TEXTJOIN("/", TRUE, $A169:$B169), 'source merged_div_data'!$A:$A, 'source merged_div_data'!F:F) &lt; 1048576,
      ROUND(XLOOKUP(TEXTJOIN("/", TRUE, $A169:$B169), 'source merged_div_data'!$A:$A, 'source merged_div_data'!F:F)/1024, 2) &amp; " KB",
    XLOOKUP(TEXTJOIN("/", TRUE, $A169:$B169), 'source merged_div_data'!$A:$A, 'source merged_div_data'!F:F) &lt; 1073741824,
      ROUND(XLOOKUP(TEXTJOIN("/", TRUE, $A169:$B169), 'source merged_div_data'!$A:$A, 'source merged_div_data'!F:F)/1048576, 2) &amp; " MB",
    TRUE,
      ROUND(XLOOKUP(TEXTJOIN("/", TRUE, $A169:$B169), 'source merged_div_data'!$A:$A, 'source merged_div_data'!F:F)/1073741824, 2) &amp; " GB"
  ),
  "×"
)</f>
        <v>39.39 MB</v>
      </c>
      <c r="G169" s="57" t="s">
        <v>2251</v>
      </c>
      <c r="H169" s="58" t="s">
        <v>2177</v>
      </c>
      <c r="I169" s="57"/>
      <c r="J169" s="7" t="s">
        <v>641</v>
      </c>
      <c r="K169" s="7" t="s">
        <v>644</v>
      </c>
      <c r="L169" s="7" t="s">
        <v>2129</v>
      </c>
      <c r="M169" s="37" t="s">
        <v>1053</v>
      </c>
      <c r="N169" s="8"/>
      <c r="P169" s="57" t="str">
        <f>IFERROR(__xludf.DUMMYFUNCTION("XLOOKUP(JOIN(""/"",$A169:$B169),'source isilon_divまとめ'!$A:$A,'source isilon_divまとめ'!$D:$D,XLOOKUP(JOIN(""\"",$A169:$B169),'source NetApp-file-sv01-div'!A:A,TEXT('source NetApp-file-sv01-div'!C:C,""yyyy/mm/dd"")))"),"2016/01/25")</f>
        <v>2016/01/25</v>
      </c>
    </row>
    <row r="170">
      <c r="A170" s="8" t="s">
        <v>1216</v>
      </c>
      <c r="B170" s="8" t="s">
        <v>1111</v>
      </c>
      <c r="C170" s="7" t="s">
        <v>988</v>
      </c>
      <c r="D170" s="56">
        <f>IFERROR(__xludf.DUMMYFUNCTION("XLOOKUP(JOIN(""/"",$A170:$B170),'source merged_div_data'!$A:$A,'source merged_div_data'!B:B)"),1974.0)</f>
        <v>1974</v>
      </c>
      <c r="E170" s="56">
        <f>IFERROR(__xludf.DUMMYFUNCTION("XLOOKUP(JOIN(""/"",$A170:$B170),'source merged_div_data'!$A:$A,'source merged_div_data'!C:C)"),9989.0)</f>
        <v>9989</v>
      </c>
      <c r="F170" s="54" t="str">
        <f t="array" ref="F170">IFERROR(
  IFS(
    XLOOKUP(TEXTJOIN("/", TRUE, $A170:$B170), 'source merged_div_data'!$A:$A, 'source merged_div_data'!F:F) &lt; 1024,
      XLOOKUP(TEXTJOIN("/", TRUE, $A170:$B170), 'source merged_div_data'!$A:$A, 'source merged_div_data'!F:F) &amp; " B",
    XLOOKUP(TEXTJOIN("/", TRUE, $A170:$B170), 'source merged_div_data'!$A:$A, 'source merged_div_data'!F:F) &lt; 1048576,
      ROUND(XLOOKUP(TEXTJOIN("/", TRUE, $A170:$B170), 'source merged_div_data'!$A:$A, 'source merged_div_data'!F:F)/1024, 2) &amp; " KB",
    XLOOKUP(TEXTJOIN("/", TRUE, $A170:$B170), 'source merged_div_data'!$A:$A, 'source merged_div_data'!F:F) &lt; 1073741824,
      ROUND(XLOOKUP(TEXTJOIN("/", TRUE, $A170:$B170), 'source merged_div_data'!$A:$A, 'source merged_div_data'!F:F)/1048576, 2) &amp; " MB",
    TRUE,
      ROUND(XLOOKUP(TEXTJOIN("/", TRUE, $A170:$B170), 'source merged_div_data'!$A:$A, 'source merged_div_data'!F:F)/1073741824, 2) &amp; " GB"
  ),
  "×"
)</f>
        <v>12.1 GB</v>
      </c>
      <c r="G170" s="57" t="s">
        <v>2252</v>
      </c>
      <c r="H170" s="58" t="s">
        <v>2177</v>
      </c>
      <c r="I170" s="57"/>
      <c r="J170" s="7" t="s">
        <v>1105</v>
      </c>
      <c r="L170" s="37" t="s">
        <v>1053</v>
      </c>
      <c r="M170" s="37" t="s">
        <v>1053</v>
      </c>
      <c r="N170" s="8" t="s">
        <v>1102</v>
      </c>
      <c r="O170" s="7" t="s">
        <v>1105</v>
      </c>
      <c r="P170" s="57" t="str">
        <f>IFERROR(__xludf.DUMMYFUNCTION("XLOOKUP(JOIN(""/"",$A170:$B170),'source isilon_divまとめ'!$A:$A,'source isilon_divまとめ'!$D:$D,XLOOKUP(JOIN(""\"",$A170:$B170),'source NetApp-file-sv01-div'!A:A,TEXT('source NetApp-file-sv01-div'!C:C,""yyyy/mm/dd"")))"),"2022/11/18")</f>
        <v>2022/11/18</v>
      </c>
    </row>
    <row r="171">
      <c r="A171" s="8" t="s">
        <v>1216</v>
      </c>
      <c r="B171" s="8" t="s">
        <v>1218</v>
      </c>
      <c r="C171" s="7" t="s">
        <v>987</v>
      </c>
      <c r="D171" s="56">
        <f>IFERROR(__xludf.DUMMYFUNCTION("XLOOKUP(JOIN(""/"",$A171:$B171),'source merged_div_data'!$A:$A,'source merged_div_data'!B:B)"),9690.0)</f>
        <v>9690</v>
      </c>
      <c r="E171" s="56">
        <f>IFERROR(__xludf.DUMMYFUNCTION("XLOOKUP(JOIN(""/"",$A171:$B171),'source merged_div_data'!$A:$A,'source merged_div_data'!C:C)"),72649.0)</f>
        <v>72649</v>
      </c>
      <c r="F171" s="54" t="str">
        <f t="array" ref="F171">IFERROR(
  IFS(
    XLOOKUP(TEXTJOIN("/", TRUE, $A171:$B171), 'source merged_div_data'!$A:$A, 'source merged_div_data'!F:F) &lt; 1024,
      XLOOKUP(TEXTJOIN("/", TRUE, $A171:$B171), 'source merged_div_data'!$A:$A, 'source merged_div_data'!F:F) &amp; " B",
    XLOOKUP(TEXTJOIN("/", TRUE, $A171:$B171), 'source merged_div_data'!$A:$A, 'source merged_div_data'!F:F) &lt; 1048576,
      ROUND(XLOOKUP(TEXTJOIN("/", TRUE, $A171:$B171), 'source merged_div_data'!$A:$A, 'source merged_div_data'!F:F)/1024, 2) &amp; " KB",
    XLOOKUP(TEXTJOIN("/", TRUE, $A171:$B171), 'source merged_div_data'!$A:$A, 'source merged_div_data'!F:F) &lt; 1073741824,
      ROUND(XLOOKUP(TEXTJOIN("/", TRUE, $A171:$B171), 'source merged_div_data'!$A:$A, 'source merged_div_data'!F:F)/1048576, 2) &amp; " MB",
    TRUE,
      ROUND(XLOOKUP(TEXTJOIN("/", TRUE, $A171:$B171), 'source merged_div_data'!$A:$A, 'source merged_div_data'!F:F)/1073741824, 2) &amp; " GB"
  ),
  "×"
)</f>
        <v>81.14 GB</v>
      </c>
      <c r="G171" s="57" t="s">
        <v>2253</v>
      </c>
      <c r="H171" s="58" t="s">
        <v>2177</v>
      </c>
      <c r="I171" s="57"/>
      <c r="J171" s="7" t="s">
        <v>3</v>
      </c>
      <c r="L171" s="7" t="s">
        <v>1453</v>
      </c>
      <c r="M171" s="37" t="s">
        <v>1053</v>
      </c>
      <c r="N171" s="8" t="s">
        <v>1102</v>
      </c>
      <c r="O171" s="7" t="s">
        <v>3</v>
      </c>
      <c r="P171" s="57" t="str">
        <f>IFERROR(__xludf.DUMMYFUNCTION("XLOOKUP(JOIN(""/"",$A171:$B171),'source isilon_divまとめ'!$A:$A,'source isilon_divまとめ'!$D:$D,XLOOKUP(JOIN(""\"",$A171:$B171),'source NetApp-file-sv01-div'!A:A,TEXT('source NetApp-file-sv01-div'!C:C,""yyyy/mm/dd"")))"),"2016/12/01")</f>
        <v>2016/12/01</v>
      </c>
    </row>
    <row r="172">
      <c r="A172" s="8" t="s">
        <v>1219</v>
      </c>
      <c r="B172" s="8" t="s">
        <v>1220</v>
      </c>
      <c r="C172" s="8" t="s">
        <v>988</v>
      </c>
      <c r="D172" s="56">
        <f>IFERROR(__xludf.DUMMYFUNCTION("XLOOKUP(JOIN(""/"",$A172:$B172),'source merged_div_data'!$A:$A,'source merged_div_data'!B:B)"),2.0)</f>
        <v>2</v>
      </c>
      <c r="E172" s="56">
        <f>IFERROR(__xludf.DUMMYFUNCTION("XLOOKUP(JOIN(""/"",$A172:$B172),'source merged_div_data'!$A:$A,'source merged_div_data'!C:C)"),1.0)</f>
        <v>1</v>
      </c>
      <c r="F172" s="54" t="str">
        <f t="array" ref="F172">IFERROR(
  IFS(
    XLOOKUP(TEXTJOIN("/", TRUE, $A172:$B172), 'source merged_div_data'!$A:$A, 'source merged_div_data'!F:F) &lt; 1024,
      XLOOKUP(TEXTJOIN("/", TRUE, $A172:$B172), 'source merged_div_data'!$A:$A, 'source merged_div_data'!F:F) &amp; " B",
    XLOOKUP(TEXTJOIN("/", TRUE, $A172:$B172), 'source merged_div_data'!$A:$A, 'source merged_div_data'!F:F) &lt; 1048576,
      ROUND(XLOOKUP(TEXTJOIN("/", TRUE, $A172:$B172), 'source merged_div_data'!$A:$A, 'source merged_div_data'!F:F)/1024, 2) &amp; " KB",
    XLOOKUP(TEXTJOIN("/", TRUE, $A172:$B172), 'source merged_div_data'!$A:$A, 'source merged_div_data'!F:F) &lt; 1073741824,
      ROUND(XLOOKUP(TEXTJOIN("/", TRUE, $A172:$B172), 'source merged_div_data'!$A:$A, 'source merged_div_data'!F:F)/1048576, 2) &amp; " MB",
    TRUE,
      ROUND(XLOOKUP(TEXTJOIN("/", TRUE, $A172:$B172), 'source merged_div_data'!$A:$A, 'source merged_div_data'!F:F)/1073741824, 2) &amp; " GB"
  ),
  "×"
)</f>
        <v>6.06 KB</v>
      </c>
      <c r="G172" s="37" t="s">
        <v>1053</v>
      </c>
      <c r="H172" s="7" t="s">
        <v>2177</v>
      </c>
      <c r="I172" s="37"/>
      <c r="J172" s="7" t="s">
        <v>1105</v>
      </c>
      <c r="L172" s="37" t="s">
        <v>1053</v>
      </c>
      <c r="M172" s="37" t="s">
        <v>1053</v>
      </c>
      <c r="N172" s="8" t="s">
        <v>1052</v>
      </c>
      <c r="O172" s="7" t="s">
        <v>1105</v>
      </c>
      <c r="P172" s="37" t="str">
        <f>IFERROR(__xludf.DUMMYFUNCTION("XLOOKUP(JOIN(""/"",$A172:$B172),'source isilon_divまとめ'!$A:$A,'source isilon_divまとめ'!$D:$D,XLOOKUP(JOIN(""\"",$A172:$B172),'source NetApp-file-sv01-div'!A:A,TEXT('source NetApp-file-sv01-div'!C:C,""yyyy/mm/dd"")))"),"#N/A")</f>
        <v>#N/A</v>
      </c>
    </row>
    <row r="173">
      <c r="A173" s="8" t="s">
        <v>1219</v>
      </c>
      <c r="B173" s="8" t="s">
        <v>432</v>
      </c>
      <c r="C173" s="8" t="s">
        <v>985</v>
      </c>
      <c r="D173" s="56">
        <f>IFERROR(__xludf.DUMMYFUNCTION("XLOOKUP(JOIN(""/"",$A173:$B173),'source merged_div_data'!$A:$A,'source merged_div_data'!B:B)"),343.0)</f>
        <v>343</v>
      </c>
      <c r="E173" s="56">
        <f>IFERROR(__xludf.DUMMYFUNCTION("XLOOKUP(JOIN(""/"",$A173:$B173),'source merged_div_data'!$A:$A,'source merged_div_data'!C:C)"),1725.0)</f>
        <v>1725</v>
      </c>
      <c r="F173" s="54" t="str">
        <f t="array" ref="F173">IFERROR(
  IFS(
    XLOOKUP(TEXTJOIN("/", TRUE, $A173:$B173), 'source merged_div_data'!$A:$A, 'source merged_div_data'!F:F) &lt; 1024,
      XLOOKUP(TEXTJOIN("/", TRUE, $A173:$B173), 'source merged_div_data'!$A:$A, 'source merged_div_data'!F:F) &amp; " B",
    XLOOKUP(TEXTJOIN("/", TRUE, $A173:$B173), 'source merged_div_data'!$A:$A, 'source merged_div_data'!F:F) &lt; 1048576,
      ROUND(XLOOKUP(TEXTJOIN("/", TRUE, $A173:$B173), 'source merged_div_data'!$A:$A, 'source merged_div_data'!F:F)/1024, 2) &amp; " KB",
    XLOOKUP(TEXTJOIN("/", TRUE, $A173:$B173), 'source merged_div_data'!$A:$A, 'source merged_div_data'!F:F) &lt; 1073741824,
      ROUND(XLOOKUP(TEXTJOIN("/", TRUE, $A173:$B173), 'source merged_div_data'!$A:$A, 'source merged_div_data'!F:F)/1048576, 2) &amp; " MB",
    TRUE,
      ROUND(XLOOKUP(TEXTJOIN("/", TRUE, $A173:$B173), 'source merged_div_data'!$A:$A, 'source merged_div_data'!F:F)/1073741824, 2) &amp; " GB"
  ),
  "×"
)</f>
        <v>644.38 MB</v>
      </c>
      <c r="G173" s="57" t="s">
        <v>2254</v>
      </c>
      <c r="H173" s="58" t="s">
        <v>2177</v>
      </c>
      <c r="I173" s="57"/>
      <c r="J173" s="37" t="s">
        <v>429</v>
      </c>
      <c r="K173" s="37" t="s">
        <v>432</v>
      </c>
      <c r="L173" s="37" t="s">
        <v>2096</v>
      </c>
      <c r="M173" s="37" t="s">
        <v>2109</v>
      </c>
      <c r="N173" s="8"/>
      <c r="P173" s="57" t="str">
        <f>IFERROR(__xludf.DUMMYFUNCTION("XLOOKUP(JOIN(""/"",$A173:$B173),'source isilon_divまとめ'!$A:$A,'source isilon_divまとめ'!$D:$D,XLOOKUP(JOIN(""\"",$A173:$B173),'source NetApp-file-sv01-div'!A:A,TEXT('source NetApp-file-sv01-div'!C:C,""yyyy/mm/dd"")))"),"2017/04/12")</f>
        <v>2017/04/12</v>
      </c>
    </row>
    <row r="174">
      <c r="A174" s="8" t="s">
        <v>1219</v>
      </c>
      <c r="B174" s="8" t="s">
        <v>1139</v>
      </c>
      <c r="C174" s="7" t="s">
        <v>988</v>
      </c>
      <c r="D174" s="56">
        <f>IFERROR(__xludf.DUMMYFUNCTION("XLOOKUP(JOIN(""/"",$A174:$B174),'source merged_div_data'!$A:$A,'source merged_div_data'!B:B)"),43735.0)</f>
        <v>43735</v>
      </c>
      <c r="E174" s="56">
        <f>IFERROR(__xludf.DUMMYFUNCTION("XLOOKUP(JOIN(""/"",$A174:$B174),'source merged_div_data'!$A:$A,'source merged_div_data'!C:C)"),414981.0)</f>
        <v>414981</v>
      </c>
      <c r="F174" s="54" t="str">
        <f t="array" ref="F174">IFERROR(
  IFS(
    XLOOKUP(TEXTJOIN("/", TRUE, $A174:$B174), 'source merged_div_data'!$A:$A, 'source merged_div_data'!F:F) &lt; 1024,
      XLOOKUP(TEXTJOIN("/", TRUE, $A174:$B174), 'source merged_div_data'!$A:$A, 'source merged_div_data'!F:F) &amp; " B",
    XLOOKUP(TEXTJOIN("/", TRUE, $A174:$B174), 'source merged_div_data'!$A:$A, 'source merged_div_data'!F:F) &lt; 1048576,
      ROUND(XLOOKUP(TEXTJOIN("/", TRUE, $A174:$B174), 'source merged_div_data'!$A:$A, 'source merged_div_data'!F:F)/1024, 2) &amp; " KB",
    XLOOKUP(TEXTJOIN("/", TRUE, $A174:$B174), 'source merged_div_data'!$A:$A, 'source merged_div_data'!F:F) &lt; 1073741824,
      ROUND(XLOOKUP(TEXTJOIN("/", TRUE, $A174:$B174), 'source merged_div_data'!$A:$A, 'source merged_div_data'!F:F)/1048576, 2) &amp; " MB",
    TRUE,
      ROUND(XLOOKUP(TEXTJOIN("/", TRUE, $A174:$B174), 'source merged_div_data'!$A:$A, 'source merged_div_data'!F:F)/1073741824, 2) &amp; " GB"
  ),
  "×"
)</f>
        <v>286.27 GB</v>
      </c>
      <c r="G174" s="57" t="s">
        <v>2255</v>
      </c>
      <c r="H174" s="58" t="s">
        <v>2184</v>
      </c>
      <c r="I174" s="57"/>
      <c r="J174" s="7" t="s">
        <v>1105</v>
      </c>
      <c r="L174" s="37" t="s">
        <v>1053</v>
      </c>
      <c r="M174" s="37" t="s">
        <v>1053</v>
      </c>
      <c r="N174" s="8" t="s">
        <v>1052</v>
      </c>
      <c r="O174" s="7" t="s">
        <v>1105</v>
      </c>
      <c r="P174" s="57" t="str">
        <f>IFERROR(__xludf.DUMMYFUNCTION("XLOOKUP(JOIN(""/"",$A174:$B174),'source isilon_divまとめ'!$A:$A,'source isilon_divまとめ'!$D:$D,XLOOKUP(JOIN(""\"",$A174:$B174),'source NetApp-file-sv01-div'!A:A,TEXT('source NetApp-file-sv01-div'!C:C,""yyyy/mm/dd"")))"),"2024/03/13")</f>
        <v>2024/03/13</v>
      </c>
    </row>
    <row r="175">
      <c r="A175" s="8" t="s">
        <v>1219</v>
      </c>
      <c r="B175" s="8" t="s">
        <v>1221</v>
      </c>
      <c r="C175" s="7" t="s">
        <v>988</v>
      </c>
      <c r="D175" s="56">
        <f>IFERROR(__xludf.DUMMYFUNCTION("XLOOKUP(JOIN(""/"",$A175:$B175),'source merged_div_data'!$A:$A,'source merged_div_data'!B:B)"),33922.0)</f>
        <v>33922</v>
      </c>
      <c r="E175" s="56">
        <f>IFERROR(__xludf.DUMMYFUNCTION("XLOOKUP(JOIN(""/"",$A175:$B175),'source merged_div_data'!$A:$A,'source merged_div_data'!C:C)"),150423.0)</f>
        <v>150423</v>
      </c>
      <c r="F175" s="54" t="str">
        <f t="array" ref="F175">IFERROR(
  IFS(
    XLOOKUP(TEXTJOIN("/", TRUE, $A175:$B175), 'source merged_div_data'!$A:$A, 'source merged_div_data'!F:F) &lt; 1024,
      XLOOKUP(TEXTJOIN("/", TRUE, $A175:$B175), 'source merged_div_data'!$A:$A, 'source merged_div_data'!F:F) &amp; " B",
    XLOOKUP(TEXTJOIN("/", TRUE, $A175:$B175), 'source merged_div_data'!$A:$A, 'source merged_div_data'!F:F) &lt; 1048576,
      ROUND(XLOOKUP(TEXTJOIN("/", TRUE, $A175:$B175), 'source merged_div_data'!$A:$A, 'source merged_div_data'!F:F)/1024, 2) &amp; " KB",
    XLOOKUP(TEXTJOIN("/", TRUE, $A175:$B175), 'source merged_div_data'!$A:$A, 'source merged_div_data'!F:F) &lt; 1073741824,
      ROUND(XLOOKUP(TEXTJOIN("/", TRUE, $A175:$B175), 'source merged_div_data'!$A:$A, 'source merged_div_data'!F:F)/1048576, 2) &amp; " MB",
    TRUE,
      ROUND(XLOOKUP(TEXTJOIN("/", TRUE, $A175:$B175), 'source merged_div_data'!$A:$A, 'source merged_div_data'!F:F)/1073741824, 2) &amp; " GB"
  ),
  "×"
)</f>
        <v>93.34 GB</v>
      </c>
      <c r="G175" s="57" t="s">
        <v>2256</v>
      </c>
      <c r="H175" s="58" t="s">
        <v>2184</v>
      </c>
      <c r="I175" s="57"/>
      <c r="J175" s="7" t="s">
        <v>1105</v>
      </c>
      <c r="L175" s="37" t="s">
        <v>1053</v>
      </c>
      <c r="M175" s="37" t="s">
        <v>1053</v>
      </c>
      <c r="N175" s="8" t="s">
        <v>1052</v>
      </c>
      <c r="O175" s="7" t="s">
        <v>1105</v>
      </c>
      <c r="P175" s="57" t="str">
        <f>IFERROR(__xludf.DUMMYFUNCTION("XLOOKUP(JOIN(""/"",$A175:$B175),'source isilon_divまとめ'!$A:$A,'source isilon_divまとめ'!$D:$D,XLOOKUP(JOIN(""\"",$A175:$B175),'source NetApp-file-sv01-div'!A:A,TEXT('source NetApp-file-sv01-div'!C:C,""yyyy/mm/dd"")))"),"2023/06/28")</f>
        <v>2023/06/28</v>
      </c>
    </row>
    <row r="176">
      <c r="A176" s="52" t="s">
        <v>854</v>
      </c>
      <c r="B176" s="52" t="s">
        <v>1222</v>
      </c>
      <c r="C176" s="46" t="s">
        <v>986</v>
      </c>
      <c r="D176" s="53">
        <f>IFERROR(__xludf.DUMMYFUNCTION("XLOOKUP(JOIN(""/"",$A176:$B176),'source merged_div_data'!$A:$A,'source merged_div_data'!B:B)"),7.0)</f>
        <v>7</v>
      </c>
      <c r="E176" s="53">
        <f>IFERROR(__xludf.DUMMYFUNCTION("XLOOKUP(JOIN(""/"",$A176:$B176),'source merged_div_data'!$A:$A,'source merged_div_data'!C:C)"),0.0)</f>
        <v>0</v>
      </c>
      <c r="F176" s="54" t="str">
        <f t="array" ref="F176">IFERROR(
  IFS(
    XLOOKUP(TEXTJOIN("/", TRUE, $A176:$B176), 'source merged_div_data'!$A:$A, 'source merged_div_data'!F:F) &lt; 1024,
      XLOOKUP(TEXTJOIN("/", TRUE, $A176:$B176), 'source merged_div_data'!$A:$A, 'source merged_div_data'!F:F) &amp; " B",
    XLOOKUP(TEXTJOIN("/", TRUE, $A176:$B176), 'source merged_div_data'!$A:$A, 'source merged_div_data'!F:F) &lt; 1048576,
      ROUND(XLOOKUP(TEXTJOIN("/", TRUE, $A176:$B176), 'source merged_div_data'!$A:$A, 'source merged_div_data'!F:F)/1024, 2) &amp; " KB",
    XLOOKUP(TEXTJOIN("/", TRUE, $A176:$B176), 'source merged_div_data'!$A:$A, 'source merged_div_data'!F:F) &lt; 1073741824,
      ROUND(XLOOKUP(TEXTJOIN("/", TRUE, $A176:$B176), 'source merged_div_data'!$A:$A, 'source merged_div_data'!F:F)/1048576, 2) &amp; " MB",
    TRUE,
      ROUND(XLOOKUP(TEXTJOIN("/", TRUE, $A176:$B176), 'source merged_div_data'!$A:$A, 'source merged_div_data'!F:F)/1073741824, 2) &amp; " GB"
  ),
  "×"
)</f>
        <v>214 B</v>
      </c>
      <c r="G176" s="55" t="s">
        <v>1053</v>
      </c>
      <c r="H176" s="55"/>
      <c r="I176" s="55"/>
      <c r="J176" s="55" t="s">
        <v>363</v>
      </c>
      <c r="K176" s="55" t="s">
        <v>1053</v>
      </c>
      <c r="L176" s="55" t="s">
        <v>1410</v>
      </c>
      <c r="M176" s="55" t="s">
        <v>1053</v>
      </c>
      <c r="N176" s="46" t="s">
        <v>1052</v>
      </c>
      <c r="O176" s="55"/>
      <c r="P176" s="37" t="str">
        <f>IFERROR(__xludf.DUMMYFUNCTION("XLOOKUP(JOIN(""/"",$A176:$B176),'source isilon_divまとめ'!$A:$A,'source isilon_divまとめ'!$D:$D,XLOOKUP(JOIN(""\"",$A176:$B176),'source NetApp-file-sv01-div'!A:A,TEXT('source NetApp-file-sv01-div'!C:C,""yyyy/mm/dd"")))"),"#N/A")</f>
        <v>#N/A</v>
      </c>
    </row>
    <row r="177">
      <c r="A177" s="8" t="s">
        <v>854</v>
      </c>
      <c r="B177" s="8" t="s">
        <v>1223</v>
      </c>
      <c r="C177" s="8" t="s">
        <v>985</v>
      </c>
      <c r="D177" s="56">
        <f>IFERROR(__xludf.DUMMYFUNCTION("XLOOKUP(JOIN(""/"",$A177:$B177),'source merged_div_data'!$A:$A,'source merged_div_data'!B:B)"),34.0)</f>
        <v>34</v>
      </c>
      <c r="E177" s="56">
        <f>IFERROR(__xludf.DUMMYFUNCTION("XLOOKUP(JOIN(""/"",$A177:$B177),'source merged_div_data'!$A:$A,'source merged_div_data'!C:C)"),30.0)</f>
        <v>30</v>
      </c>
      <c r="F177" s="54" t="str">
        <f t="array" ref="F177">IFERROR(
  IFS(
    XLOOKUP(TEXTJOIN("/", TRUE, $A177:$B177), 'source merged_div_data'!$A:$A, 'source merged_div_data'!F:F) &lt; 1024,
      XLOOKUP(TEXTJOIN("/", TRUE, $A177:$B177), 'source merged_div_data'!$A:$A, 'source merged_div_data'!F:F) &amp; " B",
    XLOOKUP(TEXTJOIN("/", TRUE, $A177:$B177), 'source merged_div_data'!$A:$A, 'source merged_div_data'!F:F) &lt; 1048576,
      ROUND(XLOOKUP(TEXTJOIN("/", TRUE, $A177:$B177), 'source merged_div_data'!$A:$A, 'source merged_div_data'!F:F)/1024, 2) &amp; " KB",
    XLOOKUP(TEXTJOIN("/", TRUE, $A177:$B177), 'source merged_div_data'!$A:$A, 'source merged_div_data'!F:F) &lt; 1073741824,
      ROUND(XLOOKUP(TEXTJOIN("/", TRUE, $A177:$B177), 'source merged_div_data'!$A:$A, 'source merged_div_data'!F:F)/1048576, 2) &amp; " MB",
    TRUE,
      ROUND(XLOOKUP(TEXTJOIN("/", TRUE, $A177:$B177), 'source merged_div_data'!$A:$A, 'source merged_div_data'!F:F)/1073741824, 2) &amp; " GB"
  ),
  "×"
)</f>
        <v>82.78 MB</v>
      </c>
      <c r="G177" s="57" t="s">
        <v>2257</v>
      </c>
      <c r="H177" s="58" t="s">
        <v>2177</v>
      </c>
      <c r="I177" s="57"/>
      <c r="J177" s="37" t="s">
        <v>363</v>
      </c>
      <c r="K177" s="37" t="s">
        <v>1053</v>
      </c>
      <c r="L177" s="37" t="s">
        <v>1410</v>
      </c>
      <c r="M177" s="37" t="s">
        <v>1053</v>
      </c>
      <c r="N177" s="8"/>
      <c r="P177" s="57" t="str">
        <f>IFERROR(__xludf.DUMMYFUNCTION("XLOOKUP(JOIN(""/"",$A177:$B177),'source isilon_divまとめ'!$A:$A,'source isilon_divまとめ'!$D:$D,XLOOKUP(JOIN(""\"",$A177:$B177),'source NetApp-file-sv01-div'!A:A,TEXT('source NetApp-file-sv01-div'!C:C,""yyyy/mm/dd"")))"),"2018/11/05")</f>
        <v>2018/11/05</v>
      </c>
    </row>
    <row r="178">
      <c r="A178" s="8" t="s">
        <v>854</v>
      </c>
      <c r="B178" s="8" t="s">
        <v>1224</v>
      </c>
      <c r="C178" s="8" t="s">
        <v>985</v>
      </c>
      <c r="D178" s="56">
        <f>IFERROR(__xludf.DUMMYFUNCTION("XLOOKUP(JOIN(""/"",$A178:$B178),'source merged_div_data'!$A:$A,'source merged_div_data'!B:B)"),40.0)</f>
        <v>40</v>
      </c>
      <c r="E178" s="56">
        <f>IFERROR(__xludf.DUMMYFUNCTION("XLOOKUP(JOIN(""/"",$A178:$B178),'source merged_div_data'!$A:$A,'source merged_div_data'!C:C)"),8.0)</f>
        <v>8</v>
      </c>
      <c r="F178" s="54" t="str">
        <f t="array" ref="F178">IFERROR(
  IFS(
    XLOOKUP(TEXTJOIN("/", TRUE, $A178:$B178), 'source merged_div_data'!$A:$A, 'source merged_div_data'!F:F) &lt; 1024,
      XLOOKUP(TEXTJOIN("/", TRUE, $A178:$B178), 'source merged_div_data'!$A:$A, 'source merged_div_data'!F:F) &amp; " B",
    XLOOKUP(TEXTJOIN("/", TRUE, $A178:$B178), 'source merged_div_data'!$A:$A, 'source merged_div_data'!F:F) &lt; 1048576,
      ROUND(XLOOKUP(TEXTJOIN("/", TRUE, $A178:$B178), 'source merged_div_data'!$A:$A, 'source merged_div_data'!F:F)/1024, 2) &amp; " KB",
    XLOOKUP(TEXTJOIN("/", TRUE, $A178:$B178), 'source merged_div_data'!$A:$A, 'source merged_div_data'!F:F) &lt; 1073741824,
      ROUND(XLOOKUP(TEXTJOIN("/", TRUE, $A178:$B178), 'source merged_div_data'!$A:$A, 'source merged_div_data'!F:F)/1048576, 2) &amp; " MB",
    TRUE,
      ROUND(XLOOKUP(TEXTJOIN("/", TRUE, $A178:$B178), 'source merged_div_data'!$A:$A, 'source merged_div_data'!F:F)/1073741824, 2) &amp; " GB"
  ),
  "×"
)</f>
        <v>92.05 KB</v>
      </c>
      <c r="G178" s="57" t="s">
        <v>2258</v>
      </c>
      <c r="H178" s="58" t="s">
        <v>2177</v>
      </c>
      <c r="I178" s="57"/>
      <c r="J178" s="37" t="s">
        <v>363</v>
      </c>
      <c r="K178" s="37" t="s">
        <v>1053</v>
      </c>
      <c r="L178" s="37" t="s">
        <v>1410</v>
      </c>
      <c r="M178" s="37" t="s">
        <v>1053</v>
      </c>
      <c r="N178" s="8"/>
      <c r="P178" s="57" t="str">
        <f>IFERROR(__xludf.DUMMYFUNCTION("XLOOKUP(JOIN(""/"",$A178:$B178),'source isilon_divまとめ'!$A:$A,'source isilon_divまとめ'!$D:$D,XLOOKUP(JOIN(""\"",$A178:$B178),'source NetApp-file-sv01-div'!A:A,TEXT('source NetApp-file-sv01-div'!C:C,""yyyy/mm/dd"")))"),"2020/01/14")</f>
        <v>2020/01/14</v>
      </c>
    </row>
    <row r="179">
      <c r="A179" s="52" t="s">
        <v>854</v>
      </c>
      <c r="B179" s="52" t="s">
        <v>861</v>
      </c>
      <c r="C179" s="46" t="s">
        <v>986</v>
      </c>
      <c r="D179" s="53">
        <f>IFERROR(__xludf.DUMMYFUNCTION("XLOOKUP(JOIN(""/"",$A179:$B179),'source merged_div_data'!$A:$A,'source merged_div_data'!B:B)"),19.0)</f>
        <v>19</v>
      </c>
      <c r="E179" s="53">
        <f>IFERROR(__xludf.DUMMYFUNCTION("XLOOKUP(JOIN(""/"",$A179:$B179),'source merged_div_data'!$A:$A,'source merged_div_data'!C:C)"),0.0)</f>
        <v>0</v>
      </c>
      <c r="F179" s="54" t="str">
        <f t="array" ref="F179">IFERROR(
  IFS(
    XLOOKUP(TEXTJOIN("/", TRUE, $A179:$B179), 'source merged_div_data'!$A:$A, 'source merged_div_data'!F:F) &lt; 1024,
      XLOOKUP(TEXTJOIN("/", TRUE, $A179:$B179), 'source merged_div_data'!$A:$A, 'source merged_div_data'!F:F) &amp; " B",
    XLOOKUP(TEXTJOIN("/", TRUE, $A179:$B179), 'source merged_div_data'!$A:$A, 'source merged_div_data'!F:F) &lt; 1048576,
      ROUND(XLOOKUP(TEXTJOIN("/", TRUE, $A179:$B179), 'source merged_div_data'!$A:$A, 'source merged_div_data'!F:F)/1024, 2) &amp; " KB",
    XLOOKUP(TEXTJOIN("/", TRUE, $A179:$B179), 'source merged_div_data'!$A:$A, 'source merged_div_data'!F:F) &lt; 1073741824,
      ROUND(XLOOKUP(TEXTJOIN("/", TRUE, $A179:$B179), 'source merged_div_data'!$A:$A, 'source merged_div_data'!F:F)/1048576, 2) &amp; " MB",
    TRUE,
      ROUND(XLOOKUP(TEXTJOIN("/", TRUE, $A179:$B179), 'source merged_div_data'!$A:$A, 'source merged_div_data'!F:F)/1073741824, 2) &amp; " GB"
  ),
  "×"
)</f>
        <v>588 B</v>
      </c>
      <c r="G179" s="55" t="s">
        <v>1053</v>
      </c>
      <c r="H179" s="55"/>
      <c r="I179" s="55"/>
      <c r="J179" s="55" t="s">
        <v>363</v>
      </c>
      <c r="K179" s="55" t="s">
        <v>861</v>
      </c>
      <c r="L179" s="55" t="s">
        <v>1410</v>
      </c>
      <c r="M179" s="55" t="s">
        <v>2259</v>
      </c>
      <c r="N179" s="52"/>
      <c r="O179" s="55"/>
      <c r="P179" s="37" t="str">
        <f>IFERROR(__xludf.DUMMYFUNCTION("XLOOKUP(JOIN(""/"",$A179:$B179),'source isilon_divまとめ'!$A:$A,'source isilon_divまとめ'!$D:$D,XLOOKUP(JOIN(""\"",$A179:$B179),'source NetApp-file-sv01-div'!A:A,TEXT('source NetApp-file-sv01-div'!C:C,""yyyy/mm/dd"")))"),"#N/A")</f>
        <v>#N/A</v>
      </c>
    </row>
    <row r="180">
      <c r="A180" s="52" t="s">
        <v>854</v>
      </c>
      <c r="B180" s="52" t="s">
        <v>1225</v>
      </c>
      <c r="C180" s="46" t="s">
        <v>986</v>
      </c>
      <c r="D180" s="53">
        <f>IFERROR(__xludf.DUMMYFUNCTION("XLOOKUP(JOIN(""/"",$A180:$B180),'source merged_div_data'!$A:$A,'source merged_div_data'!B:B)"),18.0)</f>
        <v>18</v>
      </c>
      <c r="E180" s="53">
        <f>IFERROR(__xludf.DUMMYFUNCTION("XLOOKUP(JOIN(""/"",$A180:$B180),'source merged_div_data'!$A:$A,'source merged_div_data'!C:C)"),0.0)</f>
        <v>0</v>
      </c>
      <c r="F180" s="54" t="str">
        <f t="array" ref="F180">IFERROR(
  IFS(
    XLOOKUP(TEXTJOIN("/", TRUE, $A180:$B180), 'source merged_div_data'!$A:$A, 'source merged_div_data'!F:F) &lt; 1024,
      XLOOKUP(TEXTJOIN("/", TRUE, $A180:$B180), 'source merged_div_data'!$A:$A, 'source merged_div_data'!F:F) &amp; " B",
    XLOOKUP(TEXTJOIN("/", TRUE, $A180:$B180), 'source merged_div_data'!$A:$A, 'source merged_div_data'!F:F) &lt; 1048576,
      ROUND(XLOOKUP(TEXTJOIN("/", TRUE, $A180:$B180), 'source merged_div_data'!$A:$A, 'source merged_div_data'!F:F)/1024, 2) &amp; " KB",
    XLOOKUP(TEXTJOIN("/", TRUE, $A180:$B180), 'source merged_div_data'!$A:$A, 'source merged_div_data'!F:F) &lt; 1073741824,
      ROUND(XLOOKUP(TEXTJOIN("/", TRUE, $A180:$B180), 'source merged_div_data'!$A:$A, 'source merged_div_data'!F:F)/1048576, 2) &amp; " MB",
    TRUE,
      ROUND(XLOOKUP(TEXTJOIN("/", TRUE, $A180:$B180), 'source merged_div_data'!$A:$A, 'source merged_div_data'!F:F)/1073741824, 2) &amp; " GB"
  ),
  "×"
)</f>
        <v>680 B</v>
      </c>
      <c r="G180" s="55" t="s">
        <v>1053</v>
      </c>
      <c r="H180" s="55"/>
      <c r="I180" s="55"/>
      <c r="J180" s="55" t="s">
        <v>363</v>
      </c>
      <c r="K180" s="55" t="s">
        <v>1053</v>
      </c>
      <c r="L180" s="55" t="s">
        <v>1410</v>
      </c>
      <c r="M180" s="55" t="s">
        <v>1053</v>
      </c>
      <c r="N180" s="52"/>
      <c r="O180" s="55"/>
      <c r="P180" s="37" t="str">
        <f>IFERROR(__xludf.DUMMYFUNCTION("XLOOKUP(JOIN(""/"",$A180:$B180),'source isilon_divまとめ'!$A:$A,'source isilon_divまとめ'!$D:$D,XLOOKUP(JOIN(""\"",$A180:$B180),'source NetApp-file-sv01-div'!A:A,TEXT('source NetApp-file-sv01-div'!C:C,""yyyy/mm/dd"")))"),"#N/A")</f>
        <v>#N/A</v>
      </c>
    </row>
    <row r="181">
      <c r="A181" s="52" t="s">
        <v>854</v>
      </c>
      <c r="B181" s="52" t="s">
        <v>1226</v>
      </c>
      <c r="C181" s="46" t="s">
        <v>986</v>
      </c>
      <c r="D181" s="53">
        <f>IFERROR(__xludf.DUMMYFUNCTION("XLOOKUP(JOIN(""/"",$A181:$B181),'source merged_div_data'!$A:$A,'source merged_div_data'!B:B)"),27.0)</f>
        <v>27</v>
      </c>
      <c r="E181" s="53">
        <f>IFERROR(__xludf.DUMMYFUNCTION("XLOOKUP(JOIN(""/"",$A181:$B181),'source merged_div_data'!$A:$A,'source merged_div_data'!C:C)"),0.0)</f>
        <v>0</v>
      </c>
      <c r="F181" s="54" t="str">
        <f t="array" ref="F181">IFERROR(
  IFS(
    XLOOKUP(TEXTJOIN("/", TRUE, $A181:$B181), 'source merged_div_data'!$A:$A, 'source merged_div_data'!F:F) &lt; 1024,
      XLOOKUP(TEXTJOIN("/", TRUE, $A181:$B181), 'source merged_div_data'!$A:$A, 'source merged_div_data'!F:F) &amp; " B",
    XLOOKUP(TEXTJOIN("/", TRUE, $A181:$B181), 'source merged_div_data'!$A:$A, 'source merged_div_data'!F:F) &lt; 1048576,
      ROUND(XLOOKUP(TEXTJOIN("/", TRUE, $A181:$B181), 'source merged_div_data'!$A:$A, 'source merged_div_data'!F:F)/1024, 2) &amp; " KB",
    XLOOKUP(TEXTJOIN("/", TRUE, $A181:$B181), 'source merged_div_data'!$A:$A, 'source merged_div_data'!F:F) &lt; 1073741824,
      ROUND(XLOOKUP(TEXTJOIN("/", TRUE, $A181:$B181), 'source merged_div_data'!$A:$A, 'source merged_div_data'!F:F)/1048576, 2) &amp; " MB",
    TRUE,
      ROUND(XLOOKUP(TEXTJOIN("/", TRUE, $A181:$B181), 'source merged_div_data'!$A:$A, 'source merged_div_data'!F:F)/1073741824, 2) &amp; " GB"
  ),
  "×"
)</f>
        <v>904 B</v>
      </c>
      <c r="G181" s="55" t="s">
        <v>1053</v>
      </c>
      <c r="H181" s="55"/>
      <c r="I181" s="55"/>
      <c r="J181" s="55" t="s">
        <v>363</v>
      </c>
      <c r="K181" s="55" t="s">
        <v>1053</v>
      </c>
      <c r="L181" s="55" t="s">
        <v>1410</v>
      </c>
      <c r="M181" s="55" t="s">
        <v>1053</v>
      </c>
      <c r="N181" s="46" t="s">
        <v>1052</v>
      </c>
      <c r="O181" s="55"/>
      <c r="P181" s="37" t="str">
        <f>IFERROR(__xludf.DUMMYFUNCTION("XLOOKUP(JOIN(""/"",$A181:$B181),'source isilon_divまとめ'!$A:$A,'source isilon_divまとめ'!$D:$D,XLOOKUP(JOIN(""\"",$A181:$B181),'source NetApp-file-sv01-div'!A:A,TEXT('source NetApp-file-sv01-div'!C:C,""yyyy/mm/dd"")))"),"#N/A")</f>
        <v>#N/A</v>
      </c>
    </row>
    <row r="182">
      <c r="A182" s="52" t="s">
        <v>854</v>
      </c>
      <c r="B182" s="52" t="s">
        <v>859</v>
      </c>
      <c r="C182" s="46" t="s">
        <v>986</v>
      </c>
      <c r="D182" s="53">
        <f>IFERROR(__xludf.DUMMYFUNCTION("XLOOKUP(JOIN(""/"",$A182:$B182),'source merged_div_data'!$A:$A,'source merged_div_data'!B:B)"),18.0)</f>
        <v>18</v>
      </c>
      <c r="E182" s="53">
        <f>IFERROR(__xludf.DUMMYFUNCTION("XLOOKUP(JOIN(""/"",$A182:$B182),'source merged_div_data'!$A:$A,'source merged_div_data'!C:C)"),0.0)</f>
        <v>0</v>
      </c>
      <c r="F182" s="54" t="str">
        <f t="array" ref="F182">IFERROR(
  IFS(
    XLOOKUP(TEXTJOIN("/", TRUE, $A182:$B182), 'source merged_div_data'!$A:$A, 'source merged_div_data'!F:F) &lt; 1024,
      XLOOKUP(TEXTJOIN("/", TRUE, $A182:$B182), 'source merged_div_data'!$A:$A, 'source merged_div_data'!F:F) &amp; " B",
    XLOOKUP(TEXTJOIN("/", TRUE, $A182:$B182), 'source merged_div_data'!$A:$A, 'source merged_div_data'!F:F) &lt; 1048576,
      ROUND(XLOOKUP(TEXTJOIN("/", TRUE, $A182:$B182), 'source merged_div_data'!$A:$A, 'source merged_div_data'!F:F)/1024, 2) &amp; " KB",
    XLOOKUP(TEXTJOIN("/", TRUE, $A182:$B182), 'source merged_div_data'!$A:$A, 'source merged_div_data'!F:F) &lt; 1073741824,
      ROUND(XLOOKUP(TEXTJOIN("/", TRUE, $A182:$B182), 'source merged_div_data'!$A:$A, 'source merged_div_data'!F:F)/1048576, 2) &amp; " MB",
    TRUE,
      ROUND(XLOOKUP(TEXTJOIN("/", TRUE, $A182:$B182), 'source merged_div_data'!$A:$A, 'source merged_div_data'!F:F)/1073741824, 2) &amp; " GB"
  ),
  "×"
)</f>
        <v>627 B</v>
      </c>
      <c r="G182" s="55" t="s">
        <v>1053</v>
      </c>
      <c r="H182" s="55"/>
      <c r="I182" s="55"/>
      <c r="J182" s="55" t="s">
        <v>363</v>
      </c>
      <c r="K182" s="55" t="s">
        <v>859</v>
      </c>
      <c r="L182" s="55" t="s">
        <v>1410</v>
      </c>
      <c r="M182" s="55" t="s">
        <v>2232</v>
      </c>
      <c r="N182" s="52"/>
      <c r="O182" s="55"/>
      <c r="P182" s="37" t="str">
        <f>IFERROR(__xludf.DUMMYFUNCTION("XLOOKUP(JOIN(""/"",$A182:$B182),'source isilon_divまとめ'!$A:$A,'source isilon_divまとめ'!$D:$D,XLOOKUP(JOIN(""\"",$A182:$B182),'source NetApp-file-sv01-div'!A:A,TEXT('source NetApp-file-sv01-div'!C:C,""yyyy/mm/dd"")))"),"#N/A")</f>
        <v>#N/A</v>
      </c>
    </row>
    <row r="183">
      <c r="A183" s="52" t="s">
        <v>854</v>
      </c>
      <c r="B183" s="52" t="s">
        <v>173</v>
      </c>
      <c r="C183" s="46" t="s">
        <v>986</v>
      </c>
      <c r="D183" s="53">
        <f>IFERROR(__xludf.DUMMYFUNCTION("XLOOKUP(JOIN(""/"",$A183:$B183),'source merged_div_data'!$A:$A,'source merged_div_data'!B:B)"),44.0)</f>
        <v>44</v>
      </c>
      <c r="E183" s="53">
        <f>IFERROR(__xludf.DUMMYFUNCTION("XLOOKUP(JOIN(""/"",$A183:$B183),'source merged_div_data'!$A:$A,'source merged_div_data'!C:C)"),0.0)</f>
        <v>0</v>
      </c>
      <c r="F183" s="54" t="str">
        <f t="array" ref="F183">IFERROR(
  IFS(
    XLOOKUP(TEXTJOIN("/", TRUE, $A183:$B183), 'source merged_div_data'!$A:$A, 'source merged_div_data'!F:F) &lt; 1024,
      XLOOKUP(TEXTJOIN("/", TRUE, $A183:$B183), 'source merged_div_data'!$A:$A, 'source merged_div_data'!F:F) &amp; " B",
    XLOOKUP(TEXTJOIN("/", TRUE, $A183:$B183), 'source merged_div_data'!$A:$A, 'source merged_div_data'!F:F) &lt; 1048576,
      ROUND(XLOOKUP(TEXTJOIN("/", TRUE, $A183:$B183), 'source merged_div_data'!$A:$A, 'source merged_div_data'!F:F)/1024, 2) &amp; " KB",
    XLOOKUP(TEXTJOIN("/", TRUE, $A183:$B183), 'source merged_div_data'!$A:$A, 'source merged_div_data'!F:F) &lt; 1073741824,
      ROUND(XLOOKUP(TEXTJOIN("/", TRUE, $A183:$B183), 'source merged_div_data'!$A:$A, 'source merged_div_data'!F:F)/1048576, 2) &amp; " MB",
    TRUE,
      ROUND(XLOOKUP(TEXTJOIN("/", TRUE, $A183:$B183), 'source merged_div_data'!$A:$A, 'source merged_div_data'!F:F)/1073741824, 2) &amp; " GB"
  ),
  "×"
)</f>
        <v>1.55 KB</v>
      </c>
      <c r="G183" s="55" t="s">
        <v>1053</v>
      </c>
      <c r="H183" s="55"/>
      <c r="I183" s="55"/>
      <c r="J183" s="55" t="s">
        <v>363</v>
      </c>
      <c r="K183" s="55" t="s">
        <v>173</v>
      </c>
      <c r="L183" s="55" t="s">
        <v>1410</v>
      </c>
      <c r="M183" s="55" t="s">
        <v>1053</v>
      </c>
      <c r="N183" s="52"/>
      <c r="O183" s="55"/>
      <c r="P183" s="37" t="str">
        <f>IFERROR(__xludf.DUMMYFUNCTION("XLOOKUP(JOIN(""/"",$A183:$B183),'source isilon_divまとめ'!$A:$A,'source isilon_divまとめ'!$D:$D,XLOOKUP(JOIN(""\"",$A183:$B183),'source NetApp-file-sv01-div'!A:A,TEXT('source NetApp-file-sv01-div'!C:C,""yyyy/mm/dd"")))"),"#N/A")</f>
        <v>#N/A</v>
      </c>
    </row>
    <row r="184">
      <c r="A184" s="52" t="s">
        <v>854</v>
      </c>
      <c r="B184" s="52" t="s">
        <v>1183</v>
      </c>
      <c r="C184" s="46" t="s">
        <v>986</v>
      </c>
      <c r="D184" s="53">
        <f>IFERROR(__xludf.DUMMYFUNCTION("XLOOKUP(JOIN(""/"",$A184:$B184),'source merged_div_data'!$A:$A,'source merged_div_data'!B:B)"),10.0)</f>
        <v>10</v>
      </c>
      <c r="E184" s="53">
        <f>IFERROR(__xludf.DUMMYFUNCTION("XLOOKUP(JOIN(""/"",$A184:$B184),'source merged_div_data'!$A:$A,'source merged_div_data'!C:C)"),0.0)</f>
        <v>0</v>
      </c>
      <c r="F184" s="54" t="str">
        <f t="array" ref="F184">IFERROR(
  IFS(
    XLOOKUP(TEXTJOIN("/", TRUE, $A184:$B184), 'source merged_div_data'!$A:$A, 'source merged_div_data'!F:F) &lt; 1024,
      XLOOKUP(TEXTJOIN("/", TRUE, $A184:$B184), 'source merged_div_data'!$A:$A, 'source merged_div_data'!F:F) &amp; " B",
    XLOOKUP(TEXTJOIN("/", TRUE, $A184:$B184), 'source merged_div_data'!$A:$A, 'source merged_div_data'!F:F) &lt; 1048576,
      ROUND(XLOOKUP(TEXTJOIN("/", TRUE, $A184:$B184), 'source merged_div_data'!$A:$A, 'source merged_div_data'!F:F)/1024, 2) &amp; " KB",
    XLOOKUP(TEXTJOIN("/", TRUE, $A184:$B184), 'source merged_div_data'!$A:$A, 'source merged_div_data'!F:F) &lt; 1073741824,
      ROUND(XLOOKUP(TEXTJOIN("/", TRUE, $A184:$B184), 'source merged_div_data'!$A:$A, 'source merged_div_data'!F:F)/1048576, 2) &amp; " MB",
    TRUE,
      ROUND(XLOOKUP(TEXTJOIN("/", TRUE, $A184:$B184), 'source merged_div_data'!$A:$A, 'source merged_div_data'!F:F)/1073741824, 2) &amp; " GB"
  ),
  "×"
)</f>
        <v>254 B</v>
      </c>
      <c r="G184" s="55" t="s">
        <v>1053</v>
      </c>
      <c r="H184" s="55"/>
      <c r="I184" s="55"/>
      <c r="J184" s="55" t="s">
        <v>363</v>
      </c>
      <c r="K184" s="55" t="s">
        <v>1053</v>
      </c>
      <c r="L184" s="55" t="s">
        <v>1410</v>
      </c>
      <c r="M184" s="55" t="s">
        <v>1053</v>
      </c>
      <c r="N184" s="46" t="s">
        <v>1052</v>
      </c>
      <c r="O184" s="55"/>
      <c r="P184" s="37" t="str">
        <f>IFERROR(__xludf.DUMMYFUNCTION("XLOOKUP(JOIN(""/"",$A184:$B184),'source isilon_divまとめ'!$A:$A,'source isilon_divまとめ'!$D:$D,XLOOKUP(JOIN(""\"",$A184:$B184),'source NetApp-file-sv01-div'!A:A,TEXT('source NetApp-file-sv01-div'!C:C,""yyyy/mm/dd"")))"),"#N/A")</f>
        <v>#N/A</v>
      </c>
    </row>
    <row r="185">
      <c r="A185" s="8" t="s">
        <v>854</v>
      </c>
      <c r="B185" s="8" t="s">
        <v>1227</v>
      </c>
      <c r="C185" s="8" t="s">
        <v>985</v>
      </c>
      <c r="D185" s="56">
        <f>IFERROR(__xludf.DUMMYFUNCTION("XLOOKUP(JOIN(""/"",$A185:$B185),'source merged_div_data'!$A:$A,'source merged_div_data'!B:B)"),2307.0)</f>
        <v>2307</v>
      </c>
      <c r="E185" s="56">
        <f>IFERROR(__xludf.DUMMYFUNCTION("XLOOKUP(JOIN(""/"",$A185:$B185),'source merged_div_data'!$A:$A,'source merged_div_data'!C:C)"),14044.0)</f>
        <v>14044</v>
      </c>
      <c r="F185" s="54" t="str">
        <f t="array" ref="F185">IFERROR(
  IFS(
    XLOOKUP(TEXTJOIN("/", TRUE, $A185:$B185), 'source merged_div_data'!$A:$A, 'source merged_div_data'!F:F) &lt; 1024,
      XLOOKUP(TEXTJOIN("/", TRUE, $A185:$B185), 'source merged_div_data'!$A:$A, 'source merged_div_data'!F:F) &amp; " B",
    XLOOKUP(TEXTJOIN("/", TRUE, $A185:$B185), 'source merged_div_data'!$A:$A, 'source merged_div_data'!F:F) &lt; 1048576,
      ROUND(XLOOKUP(TEXTJOIN("/", TRUE, $A185:$B185), 'source merged_div_data'!$A:$A, 'source merged_div_data'!F:F)/1024, 2) &amp; " KB",
    XLOOKUP(TEXTJOIN("/", TRUE, $A185:$B185), 'source merged_div_data'!$A:$A, 'source merged_div_data'!F:F) &lt; 1073741824,
      ROUND(XLOOKUP(TEXTJOIN("/", TRUE, $A185:$B185), 'source merged_div_data'!$A:$A, 'source merged_div_data'!F:F)/1048576, 2) &amp; " MB",
    TRUE,
      ROUND(XLOOKUP(TEXTJOIN("/", TRUE, $A185:$B185), 'source merged_div_data'!$A:$A, 'source merged_div_data'!F:F)/1073741824, 2) &amp; " GB"
  ),
  "×"
)</f>
        <v>56.02 GB</v>
      </c>
      <c r="G185" s="57" t="s">
        <v>2260</v>
      </c>
      <c r="H185" s="58" t="s">
        <v>2177</v>
      </c>
      <c r="I185" s="57"/>
      <c r="J185" s="37" t="s">
        <v>363</v>
      </c>
      <c r="K185" s="37" t="s">
        <v>1053</v>
      </c>
      <c r="L185" s="37" t="s">
        <v>1410</v>
      </c>
      <c r="M185" s="37" t="s">
        <v>1053</v>
      </c>
      <c r="N185" s="8"/>
      <c r="P185" s="57" t="str">
        <f>IFERROR(__xludf.DUMMYFUNCTION("XLOOKUP(JOIN(""/"",$A185:$B185),'source isilon_divまとめ'!$A:$A,'source isilon_divまとめ'!$D:$D,XLOOKUP(JOIN(""\"",$A185:$B185),'source NetApp-file-sv01-div'!A:A,TEXT('source NetApp-file-sv01-div'!C:C,""yyyy/mm/dd"")))"),"2020/02/05")</f>
        <v>2020/02/05</v>
      </c>
    </row>
    <row r="186">
      <c r="A186" s="52" t="s">
        <v>854</v>
      </c>
      <c r="B186" s="52" t="s">
        <v>1182</v>
      </c>
      <c r="C186" s="46" t="s">
        <v>986</v>
      </c>
      <c r="D186" s="53">
        <f>IFERROR(__xludf.DUMMYFUNCTION("XLOOKUP(JOIN(""/"",$A186:$B186),'source merged_div_data'!$A:$A,'source merged_div_data'!B:B)"),14.0)</f>
        <v>14</v>
      </c>
      <c r="E186" s="53">
        <f>IFERROR(__xludf.DUMMYFUNCTION("XLOOKUP(JOIN(""/"",$A186:$B186),'source merged_div_data'!$A:$A,'source merged_div_data'!C:C)"),0.0)</f>
        <v>0</v>
      </c>
      <c r="F186" s="54" t="str">
        <f t="array" ref="F186">IFERROR(
  IFS(
    XLOOKUP(TEXTJOIN("/", TRUE, $A186:$B186), 'source merged_div_data'!$A:$A, 'source merged_div_data'!F:F) &lt; 1024,
      XLOOKUP(TEXTJOIN("/", TRUE, $A186:$B186), 'source merged_div_data'!$A:$A, 'source merged_div_data'!F:F) &amp; " B",
    XLOOKUP(TEXTJOIN("/", TRUE, $A186:$B186), 'source merged_div_data'!$A:$A, 'source merged_div_data'!F:F) &lt; 1048576,
      ROUND(XLOOKUP(TEXTJOIN("/", TRUE, $A186:$B186), 'source merged_div_data'!$A:$A, 'source merged_div_data'!F:F)/1024, 2) &amp; " KB",
    XLOOKUP(TEXTJOIN("/", TRUE, $A186:$B186), 'source merged_div_data'!$A:$A, 'source merged_div_data'!F:F) &lt; 1073741824,
      ROUND(XLOOKUP(TEXTJOIN("/", TRUE, $A186:$B186), 'source merged_div_data'!$A:$A, 'source merged_div_data'!F:F)/1048576, 2) &amp; " MB",
    TRUE,
      ROUND(XLOOKUP(TEXTJOIN("/", TRUE, $A186:$B186), 'source merged_div_data'!$A:$A, 'source merged_div_data'!F:F)/1073741824, 2) &amp; " GB"
  ),
  "×"
)</f>
        <v>469 B</v>
      </c>
      <c r="G186" s="55" t="s">
        <v>1053</v>
      </c>
      <c r="H186" s="55"/>
      <c r="I186" s="55"/>
      <c r="J186" s="55" t="str">
        <f t="array" ref="J186">XLOOKUP(K186,'部署遍歴'!D:D,'部署遍歴'!B:B,"×")</f>
        <v/>
      </c>
      <c r="K186" s="55" t="s">
        <v>1228</v>
      </c>
      <c r="L186" s="55" t="s">
        <v>1410</v>
      </c>
      <c r="M186" s="55" t="s">
        <v>1053</v>
      </c>
      <c r="N186" s="52"/>
      <c r="O186" s="55"/>
      <c r="P186" s="37" t="str">
        <f>IFERROR(__xludf.DUMMYFUNCTION("XLOOKUP(JOIN(""/"",$A186:$B186),'source isilon_divまとめ'!$A:$A,'source isilon_divまとめ'!$D:$D,XLOOKUP(JOIN(""\"",$A186:$B186),'source NetApp-file-sv01-div'!A:A,TEXT('source NetApp-file-sv01-div'!C:C,""yyyy/mm/dd"")))"),"#N/A")</f>
        <v>#N/A</v>
      </c>
    </row>
    <row r="187">
      <c r="A187" s="52" t="s">
        <v>854</v>
      </c>
      <c r="B187" s="52" t="s">
        <v>1186</v>
      </c>
      <c r="C187" s="46" t="s">
        <v>986</v>
      </c>
      <c r="D187" s="53">
        <f>IFERROR(__xludf.DUMMYFUNCTION("XLOOKUP(JOIN(""/"",$A187:$B187),'source merged_div_data'!$A:$A,'source merged_div_data'!B:B)"),7.0)</f>
        <v>7</v>
      </c>
      <c r="E187" s="53">
        <f>IFERROR(__xludf.DUMMYFUNCTION("XLOOKUP(JOIN(""/"",$A187:$B187),'source merged_div_data'!$A:$A,'source merged_div_data'!C:C)"),0.0)</f>
        <v>0</v>
      </c>
      <c r="F187" s="54" t="str">
        <f t="array" ref="F187">IFERROR(
  IFS(
    XLOOKUP(TEXTJOIN("/", TRUE, $A187:$B187), 'source merged_div_data'!$A:$A, 'source merged_div_data'!F:F) &lt; 1024,
      XLOOKUP(TEXTJOIN("/", TRUE, $A187:$B187), 'source merged_div_data'!$A:$A, 'source merged_div_data'!F:F) &amp; " B",
    XLOOKUP(TEXTJOIN("/", TRUE, $A187:$B187), 'source merged_div_data'!$A:$A, 'source merged_div_data'!F:F) &lt; 1048576,
      ROUND(XLOOKUP(TEXTJOIN("/", TRUE, $A187:$B187), 'source merged_div_data'!$A:$A, 'source merged_div_data'!F:F)/1024, 2) &amp; " KB",
    XLOOKUP(TEXTJOIN("/", TRUE, $A187:$B187), 'source merged_div_data'!$A:$A, 'source merged_div_data'!F:F) &lt; 1073741824,
      ROUND(XLOOKUP(TEXTJOIN("/", TRUE, $A187:$B187), 'source merged_div_data'!$A:$A, 'source merged_div_data'!F:F)/1048576, 2) &amp; " MB",
    TRUE,
      ROUND(XLOOKUP(TEXTJOIN("/", TRUE, $A187:$B187), 'source merged_div_data'!$A:$A, 'source merged_div_data'!F:F)/1073741824, 2) &amp; " GB"
  ),
  "×"
)</f>
        <v>201 B</v>
      </c>
      <c r="G187" s="55" t="s">
        <v>1053</v>
      </c>
      <c r="H187" s="55"/>
      <c r="I187" s="55"/>
      <c r="J187" s="55" t="s">
        <v>363</v>
      </c>
      <c r="K187" s="55" t="s">
        <v>1053</v>
      </c>
      <c r="L187" s="55" t="s">
        <v>1410</v>
      </c>
      <c r="M187" s="55" t="s">
        <v>1053</v>
      </c>
      <c r="N187" s="52"/>
      <c r="O187" s="55"/>
      <c r="P187" s="37" t="str">
        <f>IFERROR(__xludf.DUMMYFUNCTION("XLOOKUP(JOIN(""/"",$A187:$B187),'source isilon_divまとめ'!$A:$A,'source isilon_divまとめ'!$D:$D,XLOOKUP(JOIN(""\"",$A187:$B187),'source NetApp-file-sv01-div'!A:A,TEXT('source NetApp-file-sv01-div'!C:C,""yyyy/mm/dd"")))"),"#N/A")</f>
        <v>#N/A</v>
      </c>
    </row>
    <row r="188">
      <c r="A188" s="52" t="s">
        <v>854</v>
      </c>
      <c r="B188" s="52" t="s">
        <v>1228</v>
      </c>
      <c r="C188" s="46" t="s">
        <v>986</v>
      </c>
      <c r="D188" s="53">
        <f>IFERROR(__xludf.DUMMYFUNCTION("XLOOKUP(JOIN(""/"",$A188:$B188),'source merged_div_data'!$A:$A,'source merged_div_data'!B:B)"),14.0)</f>
        <v>14</v>
      </c>
      <c r="E188" s="53">
        <f>IFERROR(__xludf.DUMMYFUNCTION("XLOOKUP(JOIN(""/"",$A188:$B188),'source merged_div_data'!$A:$A,'source merged_div_data'!C:C)"),0.0)</f>
        <v>0</v>
      </c>
      <c r="F188" s="54" t="str">
        <f t="array" ref="F188">IFERROR(
  IFS(
    XLOOKUP(TEXTJOIN("/", TRUE, $A188:$B188), 'source merged_div_data'!$A:$A, 'source merged_div_data'!F:F) &lt; 1024,
      XLOOKUP(TEXTJOIN("/", TRUE, $A188:$B188), 'source merged_div_data'!$A:$A, 'source merged_div_data'!F:F) &amp; " B",
    XLOOKUP(TEXTJOIN("/", TRUE, $A188:$B188), 'source merged_div_data'!$A:$A, 'source merged_div_data'!F:F) &lt; 1048576,
      ROUND(XLOOKUP(TEXTJOIN("/", TRUE, $A188:$B188), 'source merged_div_data'!$A:$A, 'source merged_div_data'!F:F)/1024, 2) &amp; " KB",
    XLOOKUP(TEXTJOIN("/", TRUE, $A188:$B188), 'source merged_div_data'!$A:$A, 'source merged_div_data'!F:F) &lt; 1073741824,
      ROUND(XLOOKUP(TEXTJOIN("/", TRUE, $A188:$B188), 'source merged_div_data'!$A:$A, 'source merged_div_data'!F:F)/1048576, 2) &amp; " MB",
    TRUE,
      ROUND(XLOOKUP(TEXTJOIN("/", TRUE, $A188:$B188), 'source merged_div_data'!$A:$A, 'source merged_div_data'!F:F)/1073741824, 2) &amp; " GB"
  ),
  "×"
)</f>
        <v>461 B</v>
      </c>
      <c r="G188" s="55" t="s">
        <v>1053</v>
      </c>
      <c r="H188" s="55"/>
      <c r="I188" s="55"/>
      <c r="J188" s="55" t="str">
        <f t="array" ref="J188">XLOOKUP(K188,'部署遍歴'!D:D,'部署遍歴'!B:B,"×")</f>
        <v>ライブエクスペリエンス事業本部</v>
      </c>
      <c r="K188" s="55" t="s">
        <v>173</v>
      </c>
      <c r="L188" s="55" t="s">
        <v>1410</v>
      </c>
      <c r="M188" s="55" t="s">
        <v>1053</v>
      </c>
      <c r="N188" s="52"/>
      <c r="O188" s="55"/>
      <c r="P188" s="37" t="str">
        <f>IFERROR(__xludf.DUMMYFUNCTION("XLOOKUP(JOIN(""/"",$A188:$B188),'source isilon_divまとめ'!$A:$A,'source isilon_divまとめ'!$D:$D,XLOOKUP(JOIN(""\"",$A188:$B188),'source NetApp-file-sv01-div'!A:A,TEXT('source NetApp-file-sv01-div'!C:C,""yyyy/mm/dd"")))"),"#N/A")</f>
        <v>#N/A</v>
      </c>
    </row>
    <row r="189">
      <c r="A189" s="52" t="s">
        <v>854</v>
      </c>
      <c r="B189" s="52" t="s">
        <v>857</v>
      </c>
      <c r="C189" s="46" t="s">
        <v>986</v>
      </c>
      <c r="D189" s="53">
        <f>IFERROR(__xludf.DUMMYFUNCTION("XLOOKUP(JOIN(""/"",$A189:$B189),'source merged_div_data'!$A:$A,'source merged_div_data'!B:B)"),8.0)</f>
        <v>8</v>
      </c>
      <c r="E189" s="53">
        <f>IFERROR(__xludf.DUMMYFUNCTION("XLOOKUP(JOIN(""/"",$A189:$B189),'source merged_div_data'!$A:$A,'source merged_div_data'!C:C)"),0.0)</f>
        <v>0</v>
      </c>
      <c r="F189" s="54" t="str">
        <f t="array" ref="F189">IFERROR(
  IFS(
    XLOOKUP(TEXTJOIN("/", TRUE, $A189:$B189), 'source merged_div_data'!$A:$A, 'source merged_div_data'!F:F) &lt; 1024,
      XLOOKUP(TEXTJOIN("/", TRUE, $A189:$B189), 'source merged_div_data'!$A:$A, 'source merged_div_data'!F:F) &amp; " B",
    XLOOKUP(TEXTJOIN("/", TRUE, $A189:$B189), 'source merged_div_data'!$A:$A, 'source merged_div_data'!F:F) &lt; 1048576,
      ROUND(XLOOKUP(TEXTJOIN("/", TRUE, $A189:$B189), 'source merged_div_data'!$A:$A, 'source merged_div_data'!F:F)/1024, 2) &amp; " KB",
    XLOOKUP(TEXTJOIN("/", TRUE, $A189:$B189), 'source merged_div_data'!$A:$A, 'source merged_div_data'!F:F) &lt; 1073741824,
      ROUND(XLOOKUP(TEXTJOIN("/", TRUE, $A189:$B189), 'source merged_div_data'!$A:$A, 'source merged_div_data'!F:F)/1048576, 2) &amp; " MB",
    TRUE,
      ROUND(XLOOKUP(TEXTJOIN("/", TRUE, $A189:$B189), 'source merged_div_data'!$A:$A, 'source merged_div_data'!F:F)/1073741824, 2) &amp; " GB"
  ),
  "×"
)</f>
        <v>231 B</v>
      </c>
      <c r="G189" s="55" t="s">
        <v>1053</v>
      </c>
      <c r="H189" s="55"/>
      <c r="I189" s="55"/>
      <c r="J189" s="55" t="s">
        <v>363</v>
      </c>
      <c r="K189" s="55" t="s">
        <v>857</v>
      </c>
      <c r="L189" s="55" t="s">
        <v>1410</v>
      </c>
      <c r="M189" s="55" t="s">
        <v>1053</v>
      </c>
      <c r="N189" s="52"/>
      <c r="O189" s="55"/>
      <c r="P189" s="37" t="str">
        <f>IFERROR(__xludf.DUMMYFUNCTION("XLOOKUP(JOIN(""/"",$A189:$B189),'source isilon_divまとめ'!$A:$A,'source isilon_divまとめ'!$D:$D,XLOOKUP(JOIN(""\"",$A189:$B189),'source NetApp-file-sv01-div'!A:A,TEXT('source NetApp-file-sv01-div'!C:C,""yyyy/mm/dd"")))"),"#N/A")</f>
        <v>#N/A</v>
      </c>
    </row>
    <row r="190">
      <c r="A190" s="52" t="s">
        <v>854</v>
      </c>
      <c r="B190" s="52" t="s">
        <v>286</v>
      </c>
      <c r="C190" s="46" t="s">
        <v>986</v>
      </c>
      <c r="D190" s="53">
        <f>IFERROR(__xludf.DUMMYFUNCTION("XLOOKUP(JOIN(""/"",$A190:$B190),'source merged_div_data'!$A:$A,'source merged_div_data'!B:B)"),31.0)</f>
        <v>31</v>
      </c>
      <c r="E190" s="53">
        <f>IFERROR(__xludf.DUMMYFUNCTION("XLOOKUP(JOIN(""/"",$A190:$B190),'source merged_div_data'!$A:$A,'source merged_div_data'!C:C)"),0.0)</f>
        <v>0</v>
      </c>
      <c r="F190" s="54" t="str">
        <f t="array" ref="F190">IFERROR(
  IFS(
    XLOOKUP(TEXTJOIN("/", TRUE, $A190:$B190), 'source merged_div_data'!$A:$A, 'source merged_div_data'!F:F) &lt; 1024,
      XLOOKUP(TEXTJOIN("/", TRUE, $A190:$B190), 'source merged_div_data'!$A:$A, 'source merged_div_data'!F:F) &amp; " B",
    XLOOKUP(TEXTJOIN("/", TRUE, $A190:$B190), 'source merged_div_data'!$A:$A, 'source merged_div_data'!F:F) &lt; 1048576,
      ROUND(XLOOKUP(TEXTJOIN("/", TRUE, $A190:$B190), 'source merged_div_data'!$A:$A, 'source merged_div_data'!F:F)/1024, 2) &amp; " KB",
    XLOOKUP(TEXTJOIN("/", TRUE, $A190:$B190), 'source merged_div_data'!$A:$A, 'source merged_div_data'!F:F) &lt; 1073741824,
      ROUND(XLOOKUP(TEXTJOIN("/", TRUE, $A190:$B190), 'source merged_div_data'!$A:$A, 'source merged_div_data'!F:F)/1048576, 2) &amp; " MB",
    TRUE,
      ROUND(XLOOKUP(TEXTJOIN("/", TRUE, $A190:$B190), 'source merged_div_data'!$A:$A, 'source merged_div_data'!F:F)/1073741824, 2) &amp; " GB"
  ),
  "×"
)</f>
        <v>1 KB</v>
      </c>
      <c r="G190" s="55" t="s">
        <v>1053</v>
      </c>
      <c r="H190" s="55"/>
      <c r="I190" s="55"/>
      <c r="J190" s="55" t="s">
        <v>363</v>
      </c>
      <c r="K190" s="55" t="s">
        <v>286</v>
      </c>
      <c r="L190" s="55" t="s">
        <v>1410</v>
      </c>
      <c r="M190" s="55" t="s">
        <v>1053</v>
      </c>
      <c r="N190" s="46" t="s">
        <v>1052</v>
      </c>
      <c r="O190" s="55"/>
      <c r="P190" s="37" t="str">
        <f>IFERROR(__xludf.DUMMYFUNCTION("XLOOKUP(JOIN(""/"",$A190:$B190),'source isilon_divまとめ'!$A:$A,'source isilon_divまとめ'!$D:$D,XLOOKUP(JOIN(""\"",$A190:$B190),'source NetApp-file-sv01-div'!A:A,TEXT('source NetApp-file-sv01-div'!C:C,""yyyy/mm/dd"")))"),"#N/A")</f>
        <v>#N/A</v>
      </c>
    </row>
    <row r="191">
      <c r="A191" s="8" t="s">
        <v>854</v>
      </c>
      <c r="B191" s="8" t="s">
        <v>1111</v>
      </c>
      <c r="C191" s="8" t="s">
        <v>985</v>
      </c>
      <c r="D191" s="56">
        <f>IFERROR(__xludf.DUMMYFUNCTION("XLOOKUP(JOIN(""/"",$A191:$B191),'source merged_div_data'!$A:$A,'source merged_div_data'!B:B)"),5.0)</f>
        <v>5</v>
      </c>
      <c r="E191" s="56">
        <f>IFERROR(__xludf.DUMMYFUNCTION("XLOOKUP(JOIN(""/"",$A191:$B191),'source merged_div_data'!$A:$A,'source merged_div_data'!C:C)"),1.0)</f>
        <v>1</v>
      </c>
      <c r="F191" s="54" t="str">
        <f t="array" ref="F191">IFERROR(
  IFS(
    XLOOKUP(TEXTJOIN("/", TRUE, $A191:$B191), 'source merged_div_data'!$A:$A, 'source merged_div_data'!F:F) &lt; 1024,
      XLOOKUP(TEXTJOIN("/", TRUE, $A191:$B191), 'source merged_div_data'!$A:$A, 'source merged_div_data'!F:F) &amp; " B",
    XLOOKUP(TEXTJOIN("/", TRUE, $A191:$B191), 'source merged_div_data'!$A:$A, 'source merged_div_data'!F:F) &lt; 1048576,
      ROUND(XLOOKUP(TEXTJOIN("/", TRUE, $A191:$B191), 'source merged_div_data'!$A:$A, 'source merged_div_data'!F:F)/1024, 2) &amp; " KB",
    XLOOKUP(TEXTJOIN("/", TRUE, $A191:$B191), 'source merged_div_data'!$A:$A, 'source merged_div_data'!F:F) &lt; 1073741824,
      ROUND(XLOOKUP(TEXTJOIN("/", TRUE, $A191:$B191), 'source merged_div_data'!$A:$A, 'source merged_div_data'!F:F)/1048576, 2) &amp; " MB",
    TRUE,
      ROUND(XLOOKUP(TEXTJOIN("/", TRUE, $A191:$B191), 'source merged_div_data'!$A:$A, 'source merged_div_data'!F:F)/1073741824, 2) &amp; " GB"
  ),
  "×"
)</f>
        <v>35.89 GB</v>
      </c>
      <c r="G191" s="57" t="s">
        <v>2261</v>
      </c>
      <c r="H191" s="58" t="s">
        <v>2177</v>
      </c>
      <c r="I191" s="57"/>
      <c r="J191" s="37" t="s">
        <v>363</v>
      </c>
      <c r="K191" s="37" t="s">
        <v>1053</v>
      </c>
      <c r="L191" s="37" t="s">
        <v>1410</v>
      </c>
      <c r="M191" s="37" t="s">
        <v>1053</v>
      </c>
      <c r="N191" s="8"/>
      <c r="P191" s="57" t="str">
        <f>IFERROR(__xludf.DUMMYFUNCTION("XLOOKUP(JOIN(""/"",$A191:$B191),'source isilon_divまとめ'!$A:$A,'source isilon_divまとめ'!$D:$D,XLOOKUP(JOIN(""\"",$A191:$B191),'source NetApp-file-sv01-div'!A:A,TEXT('source NetApp-file-sv01-div'!C:C,""yyyy/mm/dd"")))"),"2019/04/15")</f>
        <v>2019/04/15</v>
      </c>
    </row>
    <row r="192">
      <c r="A192" s="8" t="s">
        <v>854</v>
      </c>
      <c r="B192" s="8" t="s">
        <v>1229</v>
      </c>
      <c r="C192" s="8" t="s">
        <v>985</v>
      </c>
      <c r="D192" s="56">
        <f>IFERROR(__xludf.DUMMYFUNCTION("XLOOKUP(JOIN(""/"",$A192:$B192),'source merged_div_data'!$A:$A,'source merged_div_data'!B:B)"),35.0)</f>
        <v>35</v>
      </c>
      <c r="E192" s="56">
        <f>IFERROR(__xludf.DUMMYFUNCTION("XLOOKUP(JOIN(""/"",$A192:$B192),'source merged_div_data'!$A:$A,'source merged_div_data'!C:C)"),5.0)</f>
        <v>5</v>
      </c>
      <c r="F192" s="54" t="str">
        <f t="array" ref="F192">IFERROR(
  IFS(
    XLOOKUP(TEXTJOIN("/", TRUE, $A192:$B192), 'source merged_div_data'!$A:$A, 'source merged_div_data'!F:F) &lt; 1024,
      XLOOKUP(TEXTJOIN("/", TRUE, $A192:$B192), 'source merged_div_data'!$A:$A, 'source merged_div_data'!F:F) &amp; " B",
    XLOOKUP(TEXTJOIN("/", TRUE, $A192:$B192), 'source merged_div_data'!$A:$A, 'source merged_div_data'!F:F) &lt; 1048576,
      ROUND(XLOOKUP(TEXTJOIN("/", TRUE, $A192:$B192), 'source merged_div_data'!$A:$A, 'source merged_div_data'!F:F)/1024, 2) &amp; " KB",
    XLOOKUP(TEXTJOIN("/", TRUE, $A192:$B192), 'source merged_div_data'!$A:$A, 'source merged_div_data'!F:F) &lt; 1073741824,
      ROUND(XLOOKUP(TEXTJOIN("/", TRUE, $A192:$B192), 'source merged_div_data'!$A:$A, 'source merged_div_data'!F:F)/1048576, 2) &amp; " MB",
    TRUE,
      ROUND(XLOOKUP(TEXTJOIN("/", TRUE, $A192:$B192), 'source merged_div_data'!$A:$A, 'source merged_div_data'!F:F)/1073741824, 2) &amp; " GB"
  ),
  "×"
)</f>
        <v>49.46 KB</v>
      </c>
      <c r="G192" s="37" t="s">
        <v>1053</v>
      </c>
      <c r="H192" s="7" t="s">
        <v>2177</v>
      </c>
      <c r="I192" s="37"/>
      <c r="J192" s="37" t="s">
        <v>363</v>
      </c>
      <c r="K192" s="37" t="s">
        <v>1053</v>
      </c>
      <c r="L192" s="37" t="s">
        <v>1410</v>
      </c>
      <c r="M192" s="37" t="s">
        <v>1053</v>
      </c>
      <c r="N192" s="8"/>
      <c r="P192" s="37" t="str">
        <f>IFERROR(__xludf.DUMMYFUNCTION("XLOOKUP(JOIN(""/"",$A192:$B192),'source isilon_divまとめ'!$A:$A,'source isilon_divまとめ'!$D:$D,XLOOKUP(JOIN(""\"",$A192:$B192),'source NetApp-file-sv01-div'!A:A,TEXT('source NetApp-file-sv01-div'!C:C,""yyyy/mm/dd"")))"),"#N/A")</f>
        <v>#N/A</v>
      </c>
    </row>
    <row r="193">
      <c r="A193" s="52" t="s">
        <v>854</v>
      </c>
      <c r="B193" s="52" t="s">
        <v>51</v>
      </c>
      <c r="C193" s="46" t="s">
        <v>986</v>
      </c>
      <c r="D193" s="53">
        <f>IFERROR(__xludf.DUMMYFUNCTION("XLOOKUP(JOIN(""/"",$A193:$B193),'source merged_div_data'!$A:$A,'source merged_div_data'!B:B)"),28.0)</f>
        <v>28</v>
      </c>
      <c r="E193" s="53">
        <f>IFERROR(__xludf.DUMMYFUNCTION("XLOOKUP(JOIN(""/"",$A193:$B193),'source merged_div_data'!$A:$A,'source merged_div_data'!C:C)"),0.0)</f>
        <v>0</v>
      </c>
      <c r="F193" s="54" t="str">
        <f t="array" ref="F193">IFERROR(
  IFS(
    XLOOKUP(TEXTJOIN("/", TRUE, $A193:$B193), 'source merged_div_data'!$A:$A, 'source merged_div_data'!F:F) &lt; 1024,
      XLOOKUP(TEXTJOIN("/", TRUE, $A193:$B193), 'source merged_div_data'!$A:$A, 'source merged_div_data'!F:F) &amp; " B",
    XLOOKUP(TEXTJOIN("/", TRUE, $A193:$B193), 'source merged_div_data'!$A:$A, 'source merged_div_data'!F:F) &lt; 1048576,
      ROUND(XLOOKUP(TEXTJOIN("/", TRUE, $A193:$B193), 'source merged_div_data'!$A:$A, 'source merged_div_data'!F:F)/1024, 2) &amp; " KB",
    XLOOKUP(TEXTJOIN("/", TRUE, $A193:$B193), 'source merged_div_data'!$A:$A, 'source merged_div_data'!F:F) &lt; 1073741824,
      ROUND(XLOOKUP(TEXTJOIN("/", TRUE, $A193:$B193), 'source merged_div_data'!$A:$A, 'source merged_div_data'!F:F)/1048576, 2) &amp; " MB",
    TRUE,
      ROUND(XLOOKUP(TEXTJOIN("/", TRUE, $A193:$B193), 'source merged_div_data'!$A:$A, 'source merged_div_data'!F:F)/1073741824, 2) &amp; " GB"
  ),
  "×"
)</f>
        <v>899 B</v>
      </c>
      <c r="G193" s="55" t="s">
        <v>1053</v>
      </c>
      <c r="H193" s="55"/>
      <c r="I193" s="55"/>
      <c r="J193" s="55" t="s">
        <v>363</v>
      </c>
      <c r="K193" s="55" t="s">
        <v>51</v>
      </c>
      <c r="L193" s="55" t="s">
        <v>1410</v>
      </c>
      <c r="M193" s="55" t="s">
        <v>2152</v>
      </c>
      <c r="N193" s="52"/>
      <c r="O193" s="55"/>
      <c r="P193" s="37" t="str">
        <f>IFERROR(__xludf.DUMMYFUNCTION("XLOOKUP(JOIN(""/"",$A193:$B193),'source isilon_divまとめ'!$A:$A,'source isilon_divまとめ'!$D:$D,XLOOKUP(JOIN(""\"",$A193:$B193),'source NetApp-file-sv01-div'!A:A,TEXT('source NetApp-file-sv01-div'!C:C,""yyyy/mm/dd"")))"),"#N/A")</f>
        <v>#N/A</v>
      </c>
    </row>
    <row r="194">
      <c r="A194" s="52" t="s">
        <v>854</v>
      </c>
      <c r="B194" s="52" t="s">
        <v>864</v>
      </c>
      <c r="C194" s="46" t="s">
        <v>986</v>
      </c>
      <c r="D194" s="53">
        <f>IFERROR(__xludf.DUMMYFUNCTION("XLOOKUP(JOIN(""/"",$A194:$B194),'source merged_div_data'!$A:$A,'source merged_div_data'!B:B)"),26.0)</f>
        <v>26</v>
      </c>
      <c r="E194" s="53">
        <f>IFERROR(__xludf.DUMMYFUNCTION("XLOOKUP(JOIN(""/"",$A194:$B194),'source merged_div_data'!$A:$A,'source merged_div_data'!C:C)"),0.0)</f>
        <v>0</v>
      </c>
      <c r="F194" s="54" t="str">
        <f t="array" ref="F194">IFERROR(
  IFS(
    XLOOKUP(TEXTJOIN("/", TRUE, $A194:$B194), 'source merged_div_data'!$A:$A, 'source merged_div_data'!F:F) &lt; 1024,
      XLOOKUP(TEXTJOIN("/", TRUE, $A194:$B194), 'source merged_div_data'!$A:$A, 'source merged_div_data'!F:F) &amp; " B",
    XLOOKUP(TEXTJOIN("/", TRUE, $A194:$B194), 'source merged_div_data'!$A:$A, 'source merged_div_data'!F:F) &lt; 1048576,
      ROUND(XLOOKUP(TEXTJOIN("/", TRUE, $A194:$B194), 'source merged_div_data'!$A:$A, 'source merged_div_data'!F:F)/1024, 2) &amp; " KB",
    XLOOKUP(TEXTJOIN("/", TRUE, $A194:$B194), 'source merged_div_data'!$A:$A, 'source merged_div_data'!F:F) &lt; 1073741824,
      ROUND(XLOOKUP(TEXTJOIN("/", TRUE, $A194:$B194), 'source merged_div_data'!$A:$A, 'source merged_div_data'!F:F)/1048576, 2) &amp; " MB",
    TRUE,
      ROUND(XLOOKUP(TEXTJOIN("/", TRUE, $A194:$B194), 'source merged_div_data'!$A:$A, 'source merged_div_data'!F:F)/1073741824, 2) &amp; " GB"
  ),
  "×"
)</f>
        <v>941 B</v>
      </c>
      <c r="G194" s="55" t="s">
        <v>1053</v>
      </c>
      <c r="H194" s="55"/>
      <c r="I194" s="55"/>
      <c r="J194" s="55" t="s">
        <v>363</v>
      </c>
      <c r="K194" s="55" t="s">
        <v>864</v>
      </c>
      <c r="L194" s="55" t="s">
        <v>1410</v>
      </c>
      <c r="M194" s="55" t="s">
        <v>2262</v>
      </c>
      <c r="N194" s="52"/>
      <c r="O194" s="55"/>
      <c r="P194" s="37" t="str">
        <f>IFERROR(__xludf.DUMMYFUNCTION("XLOOKUP(JOIN(""/"",$A194:$B194),'source isilon_divまとめ'!$A:$A,'source isilon_divまとめ'!$D:$D,XLOOKUP(JOIN(""\"",$A194:$B194),'source NetApp-file-sv01-div'!A:A,TEXT('source NetApp-file-sv01-div'!C:C,""yyyy/mm/dd"")))"),"#N/A")</f>
        <v>#N/A</v>
      </c>
    </row>
    <row r="195">
      <c r="A195" s="8" t="s">
        <v>440</v>
      </c>
      <c r="B195" s="8" t="s">
        <v>97</v>
      </c>
      <c r="C195" s="8" t="s">
        <v>985</v>
      </c>
      <c r="D195" s="56">
        <f>IFERROR(__xludf.DUMMYFUNCTION("XLOOKUP(JOIN(""/"",$A195:$B195),'source merged_div_data'!$A:$A,'source merged_div_data'!B:B)"),51.0)</f>
        <v>51</v>
      </c>
      <c r="E195" s="56">
        <f>IFERROR(__xludf.DUMMYFUNCTION("XLOOKUP(JOIN(""/"",$A195:$B195),'source merged_div_data'!$A:$A,'source merged_div_data'!C:C)"),128.0)</f>
        <v>128</v>
      </c>
      <c r="F195" s="54" t="str">
        <f t="array" ref="F195">IFERROR(
  IFS(
    XLOOKUP(TEXTJOIN("/", TRUE, $A195:$B195), 'source merged_div_data'!$A:$A, 'source merged_div_data'!F:F) &lt; 1024,
      XLOOKUP(TEXTJOIN("/", TRUE, $A195:$B195), 'source merged_div_data'!$A:$A, 'source merged_div_data'!F:F) &amp; " B",
    XLOOKUP(TEXTJOIN("/", TRUE, $A195:$B195), 'source merged_div_data'!$A:$A, 'source merged_div_data'!F:F) &lt; 1048576,
      ROUND(XLOOKUP(TEXTJOIN("/", TRUE, $A195:$B195), 'source merged_div_data'!$A:$A, 'source merged_div_data'!F:F)/1024, 2) &amp; " KB",
    XLOOKUP(TEXTJOIN("/", TRUE, $A195:$B195), 'source merged_div_data'!$A:$A, 'source merged_div_data'!F:F) &lt; 1073741824,
      ROUND(XLOOKUP(TEXTJOIN("/", TRUE, $A195:$B195), 'source merged_div_data'!$A:$A, 'source merged_div_data'!F:F)/1048576, 2) &amp; " MB",
    TRUE,
      ROUND(XLOOKUP(TEXTJOIN("/", TRUE, $A195:$B195), 'source merged_div_data'!$A:$A, 'source merged_div_data'!F:F)/1073741824, 2) &amp; " GB"
  ),
  "×"
)</f>
        <v>31.17 MB</v>
      </c>
      <c r="G195" s="57" t="s">
        <v>2192</v>
      </c>
      <c r="H195" s="58" t="s">
        <v>2184</v>
      </c>
      <c r="I195" s="57"/>
      <c r="J195" s="37" t="s">
        <v>440</v>
      </c>
      <c r="K195" s="37" t="s">
        <v>97</v>
      </c>
      <c r="L195" s="37" t="s">
        <v>1723</v>
      </c>
      <c r="M195" s="37" t="s">
        <v>1053</v>
      </c>
      <c r="N195" s="8"/>
      <c r="P195" s="57" t="str">
        <f>IFERROR(__xludf.DUMMYFUNCTION("XLOOKUP(JOIN(""/"",$A195:$B195),'source isilon_divまとめ'!$A:$A,'source isilon_divまとめ'!$D:$D,XLOOKUP(JOIN(""\"",$A195:$B195),'source NetApp-file-sv01-div'!A:A,TEXT('source NetApp-file-sv01-div'!C:C,""yyyy/mm/dd"")))"),"2025/07/08")</f>
        <v>2025/07/08</v>
      </c>
    </row>
    <row r="196">
      <c r="A196" s="8" t="s">
        <v>440</v>
      </c>
      <c r="B196" s="8" t="s">
        <v>432</v>
      </c>
      <c r="C196" s="8" t="s">
        <v>985</v>
      </c>
      <c r="D196" s="56">
        <f>IFERROR(__xludf.DUMMYFUNCTION("XLOOKUP(JOIN(""/"",$A196:$B196),'source merged_div_data'!$A:$A,'source merged_div_data'!B:B)"),8007.0)</f>
        <v>8007</v>
      </c>
      <c r="E196" s="56">
        <f>IFERROR(__xludf.DUMMYFUNCTION("XLOOKUP(JOIN(""/"",$A196:$B196),'source merged_div_data'!$A:$A,'source merged_div_data'!C:C)"),38713.0)</f>
        <v>38713</v>
      </c>
      <c r="F196" s="54" t="str">
        <f t="array" ref="F196">IFERROR(
  IFS(
    XLOOKUP(TEXTJOIN("/", TRUE, $A196:$B196), 'source merged_div_data'!$A:$A, 'source merged_div_data'!F:F) &lt; 1024,
      XLOOKUP(TEXTJOIN("/", TRUE, $A196:$B196), 'source merged_div_data'!$A:$A, 'source merged_div_data'!F:F) &amp; " B",
    XLOOKUP(TEXTJOIN("/", TRUE, $A196:$B196), 'source merged_div_data'!$A:$A, 'source merged_div_data'!F:F) &lt; 1048576,
      ROUND(XLOOKUP(TEXTJOIN("/", TRUE, $A196:$B196), 'source merged_div_data'!$A:$A, 'source merged_div_data'!F:F)/1024, 2) &amp; " KB",
    XLOOKUP(TEXTJOIN("/", TRUE, $A196:$B196), 'source merged_div_data'!$A:$A, 'source merged_div_data'!F:F) &lt; 1073741824,
      ROUND(XLOOKUP(TEXTJOIN("/", TRUE, $A196:$B196), 'source merged_div_data'!$A:$A, 'source merged_div_data'!F:F)/1048576, 2) &amp; " MB",
    TRUE,
      ROUND(XLOOKUP(TEXTJOIN("/", TRUE, $A196:$B196), 'source merged_div_data'!$A:$A, 'source merged_div_data'!F:F)/1073741824, 2) &amp; " GB"
  ),
  "×"
)</f>
        <v>41.7 GB</v>
      </c>
      <c r="G196" s="57" t="s">
        <v>2263</v>
      </c>
      <c r="H196" s="58" t="s">
        <v>2177</v>
      </c>
      <c r="I196" s="57"/>
      <c r="J196" s="37" t="s">
        <v>440</v>
      </c>
      <c r="K196" s="37" t="s">
        <v>432</v>
      </c>
      <c r="L196" s="37" t="s">
        <v>1723</v>
      </c>
      <c r="M196" s="37" t="s">
        <v>2109</v>
      </c>
      <c r="N196" s="8"/>
      <c r="P196" s="57" t="str">
        <f>IFERROR(__xludf.DUMMYFUNCTION("XLOOKUP(JOIN(""/"",$A196:$B196),'source isilon_divまとめ'!$A:$A,'source isilon_divまとめ'!$D:$D,XLOOKUP(JOIN(""\"",$A196:$B196),'source NetApp-file-sv01-div'!A:A,TEXT('source NetApp-file-sv01-div'!C:C,""yyyy/mm/dd"")))"),"2019/09/03")</f>
        <v>2019/09/03</v>
      </c>
    </row>
    <row r="197">
      <c r="A197" s="52" t="s">
        <v>440</v>
      </c>
      <c r="B197" s="52" t="s">
        <v>430</v>
      </c>
      <c r="C197" s="46" t="s">
        <v>986</v>
      </c>
      <c r="D197" s="53">
        <f>IFERROR(__xludf.DUMMYFUNCTION("XLOOKUP(JOIN(""/"",$A197:$B197),'source merged_div_data'!$A:$A,'source merged_div_data'!B:B)"),10.0)</f>
        <v>10</v>
      </c>
      <c r="E197" s="53">
        <f>IFERROR(__xludf.DUMMYFUNCTION("XLOOKUP(JOIN(""/"",$A197:$B197),'source merged_div_data'!$A:$A,'source merged_div_data'!C:C)"),0.0)</f>
        <v>0</v>
      </c>
      <c r="F197" s="54" t="str">
        <f t="array" ref="F197">IFERROR(
  IFS(
    XLOOKUP(TEXTJOIN("/", TRUE, $A197:$B197), 'source merged_div_data'!$A:$A, 'source merged_div_data'!F:F) &lt; 1024,
      XLOOKUP(TEXTJOIN("/", TRUE, $A197:$B197), 'source merged_div_data'!$A:$A, 'source merged_div_data'!F:F) &amp; " B",
    XLOOKUP(TEXTJOIN("/", TRUE, $A197:$B197), 'source merged_div_data'!$A:$A, 'source merged_div_data'!F:F) &lt; 1048576,
      ROUND(XLOOKUP(TEXTJOIN("/", TRUE, $A197:$B197), 'source merged_div_data'!$A:$A, 'source merged_div_data'!F:F)/1024, 2) &amp; " KB",
    XLOOKUP(TEXTJOIN("/", TRUE, $A197:$B197), 'source merged_div_data'!$A:$A, 'source merged_div_data'!F:F) &lt; 1073741824,
      ROUND(XLOOKUP(TEXTJOIN("/", TRUE, $A197:$B197), 'source merged_div_data'!$A:$A, 'source merged_div_data'!F:F)/1048576, 2) &amp; " MB",
    TRUE,
      ROUND(XLOOKUP(TEXTJOIN("/", TRUE, $A197:$B197), 'source merged_div_data'!$A:$A, 'source merged_div_data'!F:F)/1073741824, 2) &amp; " GB"
  ),
  "×"
)</f>
        <v>274 B</v>
      </c>
      <c r="G197" s="55" t="s">
        <v>1053</v>
      </c>
      <c r="H197" s="55"/>
      <c r="I197" s="55"/>
      <c r="J197" s="55" t="s">
        <v>440</v>
      </c>
      <c r="K197" s="55" t="s">
        <v>430</v>
      </c>
      <c r="L197" s="55" t="s">
        <v>1723</v>
      </c>
      <c r="M197" s="55" t="s">
        <v>1053</v>
      </c>
      <c r="N197" s="46" t="s">
        <v>1052</v>
      </c>
      <c r="O197" s="55"/>
      <c r="P197" s="37" t="str">
        <f>IFERROR(__xludf.DUMMYFUNCTION("XLOOKUP(JOIN(""/"",$A197:$B197),'source isilon_divまとめ'!$A:$A,'source isilon_divまとめ'!$D:$D,XLOOKUP(JOIN(""\"",$A197:$B197),'source NetApp-file-sv01-div'!A:A,TEXT('source NetApp-file-sv01-div'!C:C,""yyyy/mm/dd"")))"),"#N/A")</f>
        <v>#N/A</v>
      </c>
    </row>
    <row r="198">
      <c r="A198" s="8" t="s">
        <v>440</v>
      </c>
      <c r="B198" s="8" t="s">
        <v>1198</v>
      </c>
      <c r="C198" s="8" t="s">
        <v>985</v>
      </c>
      <c r="D198" s="56">
        <f>IFERROR(__xludf.DUMMYFUNCTION("XLOOKUP(JOIN(""/"",$A198:$B198),'source merged_div_data'!$A:$A,'source merged_div_data'!B:B)"),12.0)</f>
        <v>12</v>
      </c>
      <c r="E198" s="56">
        <f>IFERROR(__xludf.DUMMYFUNCTION("XLOOKUP(JOIN(""/"",$A198:$B198),'source merged_div_data'!$A:$A,'source merged_div_data'!C:C)"),3.0)</f>
        <v>3</v>
      </c>
      <c r="F198" s="54" t="str">
        <f t="array" ref="F198">IFERROR(
  IFS(
    XLOOKUP(TEXTJOIN("/", TRUE, $A198:$B198), 'source merged_div_data'!$A:$A, 'source merged_div_data'!F:F) &lt; 1024,
      XLOOKUP(TEXTJOIN("/", TRUE, $A198:$B198), 'source merged_div_data'!$A:$A, 'source merged_div_data'!F:F) &amp; " B",
    XLOOKUP(TEXTJOIN("/", TRUE, $A198:$B198), 'source merged_div_data'!$A:$A, 'source merged_div_data'!F:F) &lt; 1048576,
      ROUND(XLOOKUP(TEXTJOIN("/", TRUE, $A198:$B198), 'source merged_div_data'!$A:$A, 'source merged_div_data'!F:F)/1024, 2) &amp; " KB",
    XLOOKUP(TEXTJOIN("/", TRUE, $A198:$B198), 'source merged_div_data'!$A:$A, 'source merged_div_data'!F:F) &lt; 1073741824,
      ROUND(XLOOKUP(TEXTJOIN("/", TRUE, $A198:$B198), 'source merged_div_data'!$A:$A, 'source merged_div_data'!F:F)/1048576, 2) &amp; " MB",
    TRUE,
      ROUND(XLOOKUP(TEXTJOIN("/", TRUE, $A198:$B198), 'source merged_div_data'!$A:$A, 'source merged_div_data'!F:F)/1073741824, 2) &amp; " GB"
  ),
  "×"
)</f>
        <v>201.98 KB</v>
      </c>
      <c r="G198" s="57" t="s">
        <v>2264</v>
      </c>
      <c r="H198" s="58" t="s">
        <v>2177</v>
      </c>
      <c r="I198" s="57"/>
      <c r="J198" s="37" t="s">
        <v>440</v>
      </c>
      <c r="K198" s="37" t="s">
        <v>1053</v>
      </c>
      <c r="L198" s="37" t="s">
        <v>1723</v>
      </c>
      <c r="M198" s="37" t="s">
        <v>1053</v>
      </c>
      <c r="N198" s="8"/>
      <c r="P198" s="57" t="str">
        <f>IFERROR(__xludf.DUMMYFUNCTION("XLOOKUP(JOIN(""/"",$A198:$B198),'source isilon_divまとめ'!$A:$A,'source isilon_divまとめ'!$D:$D,XLOOKUP(JOIN(""\"",$A198:$B198),'source NetApp-file-sv01-div'!A:A,TEXT('source NetApp-file-sv01-div'!C:C,""yyyy/mm/dd"")))"),"2017/07/21")</f>
        <v>2017/07/21</v>
      </c>
    </row>
    <row r="199">
      <c r="A199" s="52" t="s">
        <v>440</v>
      </c>
      <c r="B199" s="52" t="s">
        <v>1230</v>
      </c>
      <c r="C199" s="46" t="s">
        <v>986</v>
      </c>
      <c r="D199" s="53">
        <f>IFERROR(__xludf.DUMMYFUNCTION("XLOOKUP(JOIN(""/"",$A199:$B199),'source merged_div_data'!$A:$A,'source merged_div_data'!B:B)"),1.0)</f>
        <v>1</v>
      </c>
      <c r="E199" s="53">
        <f>IFERROR(__xludf.DUMMYFUNCTION("XLOOKUP(JOIN(""/"",$A199:$B199),'source merged_div_data'!$A:$A,'source merged_div_data'!C:C)"),0.0)</f>
        <v>0</v>
      </c>
      <c r="F199" s="54" t="str">
        <f t="array" ref="F199">IFERROR(
  IFS(
    XLOOKUP(TEXTJOIN("/", TRUE, $A199:$B199), 'source merged_div_data'!$A:$A, 'source merged_div_data'!F:F) &lt; 1024,
      XLOOKUP(TEXTJOIN("/", TRUE, $A199:$B199), 'source merged_div_data'!$A:$A, 'source merged_div_data'!F:F) &amp; " B",
    XLOOKUP(TEXTJOIN("/", TRUE, $A199:$B199), 'source merged_div_data'!$A:$A, 'source merged_div_data'!F:F) &lt; 1048576,
      ROUND(XLOOKUP(TEXTJOIN("/", TRUE, $A199:$B199), 'source merged_div_data'!$A:$A, 'source merged_div_data'!F:F)/1024, 2) &amp; " KB",
    XLOOKUP(TEXTJOIN("/", TRUE, $A199:$B199), 'source merged_div_data'!$A:$A, 'source merged_div_data'!F:F) &lt; 1073741824,
      ROUND(XLOOKUP(TEXTJOIN("/", TRUE, $A199:$B199), 'source merged_div_data'!$A:$A, 'source merged_div_data'!F:F)/1048576, 2) &amp; " MB",
    TRUE,
      ROUND(XLOOKUP(TEXTJOIN("/", TRUE, $A199:$B199), 'source merged_div_data'!$A:$A, 'source merged_div_data'!F:F)/1073741824, 2) &amp; " GB"
  ),
  "×"
)</f>
        <v>0 B</v>
      </c>
      <c r="G199" s="55" t="s">
        <v>1053</v>
      </c>
      <c r="H199" s="55"/>
      <c r="I199" s="55"/>
      <c r="J199" s="55" t="s">
        <v>440</v>
      </c>
      <c r="K199" s="55" t="s">
        <v>1053</v>
      </c>
      <c r="L199" s="55" t="s">
        <v>1723</v>
      </c>
      <c r="M199" s="55" t="s">
        <v>1053</v>
      </c>
      <c r="N199" s="52"/>
      <c r="O199" s="55"/>
      <c r="P199" s="37" t="str">
        <f>IFERROR(__xludf.DUMMYFUNCTION("XLOOKUP(JOIN(""/"",$A199:$B199),'source isilon_divまとめ'!$A:$A,'source isilon_divまとめ'!$D:$D,XLOOKUP(JOIN(""\"",$A199:$B199),'source NetApp-file-sv01-div'!A:A,TEXT('source NetApp-file-sv01-div'!C:C,""yyyy/mm/dd"")))"),"#N/A")</f>
        <v>#N/A</v>
      </c>
    </row>
    <row r="200">
      <c r="A200" s="8" t="s">
        <v>440</v>
      </c>
      <c r="B200" s="8" t="s">
        <v>1231</v>
      </c>
      <c r="C200" s="8" t="s">
        <v>985</v>
      </c>
      <c r="D200" s="56">
        <f>IFERROR(__xludf.DUMMYFUNCTION("XLOOKUP(JOIN(""/"",$A200:$B200),'source merged_div_data'!$A:$A,'source merged_div_data'!B:B)"),4871.0)</f>
        <v>4871</v>
      </c>
      <c r="E200" s="56">
        <f>IFERROR(__xludf.DUMMYFUNCTION("XLOOKUP(JOIN(""/"",$A200:$B200),'source merged_div_data'!$A:$A,'source merged_div_data'!C:C)"),31362.0)</f>
        <v>31362</v>
      </c>
      <c r="F200" s="54" t="str">
        <f t="array" ref="F200">IFERROR(
  IFS(
    XLOOKUP(TEXTJOIN("/", TRUE, $A200:$B200), 'source merged_div_data'!$A:$A, 'source merged_div_data'!F:F) &lt; 1024,
      XLOOKUP(TEXTJOIN("/", TRUE, $A200:$B200), 'source merged_div_data'!$A:$A, 'source merged_div_data'!F:F) &amp; " B",
    XLOOKUP(TEXTJOIN("/", TRUE, $A200:$B200), 'source merged_div_data'!$A:$A, 'source merged_div_data'!F:F) &lt; 1048576,
      ROUND(XLOOKUP(TEXTJOIN("/", TRUE, $A200:$B200), 'source merged_div_data'!$A:$A, 'source merged_div_data'!F:F)/1024, 2) &amp; " KB",
    XLOOKUP(TEXTJOIN("/", TRUE, $A200:$B200), 'source merged_div_data'!$A:$A, 'source merged_div_data'!F:F) &lt; 1073741824,
      ROUND(XLOOKUP(TEXTJOIN("/", TRUE, $A200:$B200), 'source merged_div_data'!$A:$A, 'source merged_div_data'!F:F)/1048576, 2) &amp; " MB",
    TRUE,
      ROUND(XLOOKUP(TEXTJOIN("/", TRUE, $A200:$B200), 'source merged_div_data'!$A:$A, 'source merged_div_data'!F:F)/1073741824, 2) &amp; " GB"
  ),
  "×"
)</f>
        <v>161.6 GB</v>
      </c>
      <c r="G200" s="57" t="s">
        <v>2192</v>
      </c>
      <c r="H200" s="58" t="s">
        <v>2184</v>
      </c>
      <c r="I200" s="57"/>
      <c r="J200" s="37" t="s">
        <v>440</v>
      </c>
      <c r="K200" s="37" t="s">
        <v>1053</v>
      </c>
      <c r="L200" s="37" t="s">
        <v>1723</v>
      </c>
      <c r="M200" s="37" t="s">
        <v>1053</v>
      </c>
      <c r="N200" s="8"/>
      <c r="P200" s="57" t="str">
        <f>IFERROR(__xludf.DUMMYFUNCTION("XLOOKUP(JOIN(""/"",$A200:$B200),'source isilon_divまとめ'!$A:$A,'source isilon_divまとめ'!$D:$D,XLOOKUP(JOIN(""\"",$A200:$B200),'source NetApp-file-sv01-div'!A:A,TEXT('source NetApp-file-sv01-div'!C:C,""yyyy/mm/dd"")))"),"2025/07/08")</f>
        <v>2025/07/08</v>
      </c>
    </row>
    <row r="201">
      <c r="A201" s="52" t="s">
        <v>440</v>
      </c>
      <c r="B201" s="52" t="s">
        <v>1232</v>
      </c>
      <c r="C201" s="46" t="s">
        <v>986</v>
      </c>
      <c r="D201" s="53">
        <f>IFERROR(__xludf.DUMMYFUNCTION("XLOOKUP(JOIN(""/"",$A201:$B201),'source merged_div_data'!$A:$A,'source merged_div_data'!B:B)"),13.0)</f>
        <v>13</v>
      </c>
      <c r="E201" s="53">
        <f>IFERROR(__xludf.DUMMYFUNCTION("XLOOKUP(JOIN(""/"",$A201:$B201),'source merged_div_data'!$A:$A,'source merged_div_data'!C:C)"),0.0)</f>
        <v>0</v>
      </c>
      <c r="F201" s="54" t="str">
        <f t="array" ref="F201">IFERROR(
  IFS(
    XLOOKUP(TEXTJOIN("/", TRUE, $A201:$B201), 'source merged_div_data'!$A:$A, 'source merged_div_data'!F:F) &lt; 1024,
      XLOOKUP(TEXTJOIN("/", TRUE, $A201:$B201), 'source merged_div_data'!$A:$A, 'source merged_div_data'!F:F) &amp; " B",
    XLOOKUP(TEXTJOIN("/", TRUE, $A201:$B201), 'source merged_div_data'!$A:$A, 'source merged_div_data'!F:F) &lt; 1048576,
      ROUND(XLOOKUP(TEXTJOIN("/", TRUE, $A201:$B201), 'source merged_div_data'!$A:$A, 'source merged_div_data'!F:F)/1024, 2) &amp; " KB",
    XLOOKUP(TEXTJOIN("/", TRUE, $A201:$B201), 'source merged_div_data'!$A:$A, 'source merged_div_data'!F:F) &lt; 1073741824,
      ROUND(XLOOKUP(TEXTJOIN("/", TRUE, $A201:$B201), 'source merged_div_data'!$A:$A, 'source merged_div_data'!F:F)/1048576, 2) &amp; " MB",
    TRUE,
      ROUND(XLOOKUP(TEXTJOIN("/", TRUE, $A201:$B201), 'source merged_div_data'!$A:$A, 'source merged_div_data'!F:F)/1073741824, 2) &amp; " GB"
  ),
  "×"
)</f>
        <v>372 B</v>
      </c>
      <c r="G201" s="55" t="s">
        <v>1053</v>
      </c>
      <c r="H201" s="55"/>
      <c r="I201" s="55"/>
      <c r="J201" s="55" t="s">
        <v>440</v>
      </c>
      <c r="K201" s="55" t="s">
        <v>1053</v>
      </c>
      <c r="L201" s="55" t="s">
        <v>1723</v>
      </c>
      <c r="M201" s="55" t="s">
        <v>1053</v>
      </c>
      <c r="N201" s="52"/>
      <c r="O201" s="55"/>
      <c r="P201" s="37" t="str">
        <f>IFERROR(__xludf.DUMMYFUNCTION("XLOOKUP(JOIN(""/"",$A201:$B201),'source isilon_divまとめ'!$A:$A,'source isilon_divまとめ'!$D:$D,XLOOKUP(JOIN(""\"",$A201:$B201),'source NetApp-file-sv01-div'!A:A,TEXT('source NetApp-file-sv01-div'!C:C,""yyyy/mm/dd"")))"),"#N/A")</f>
        <v>#N/A</v>
      </c>
    </row>
    <row r="202">
      <c r="A202" s="8" t="s">
        <v>440</v>
      </c>
      <c r="B202" s="8" t="s">
        <v>188</v>
      </c>
      <c r="C202" s="8" t="s">
        <v>985</v>
      </c>
      <c r="D202" s="56">
        <f>IFERROR(__xludf.DUMMYFUNCTION("XLOOKUP(JOIN(""/"",$A202:$B202),'source merged_div_data'!$A:$A,'source merged_div_data'!B:B)"),12.0)</f>
        <v>12</v>
      </c>
      <c r="E202" s="56">
        <f>IFERROR(__xludf.DUMMYFUNCTION("XLOOKUP(JOIN(""/"",$A202:$B202),'source merged_div_data'!$A:$A,'source merged_div_data'!C:C)"),6.0)</f>
        <v>6</v>
      </c>
      <c r="F202" s="54" t="str">
        <f t="array" ref="F202">IFERROR(
  IFS(
    XLOOKUP(TEXTJOIN("/", TRUE, $A202:$B202), 'source merged_div_data'!$A:$A, 'source merged_div_data'!F:F) &lt; 1024,
      XLOOKUP(TEXTJOIN("/", TRUE, $A202:$B202), 'source merged_div_data'!$A:$A, 'source merged_div_data'!F:F) &amp; " B",
    XLOOKUP(TEXTJOIN("/", TRUE, $A202:$B202), 'source merged_div_data'!$A:$A, 'source merged_div_data'!F:F) &lt; 1048576,
      ROUND(XLOOKUP(TEXTJOIN("/", TRUE, $A202:$B202), 'source merged_div_data'!$A:$A, 'source merged_div_data'!F:F)/1024, 2) &amp; " KB",
    XLOOKUP(TEXTJOIN("/", TRUE, $A202:$B202), 'source merged_div_data'!$A:$A, 'source merged_div_data'!F:F) &lt; 1073741824,
      ROUND(XLOOKUP(TEXTJOIN("/", TRUE, $A202:$B202), 'source merged_div_data'!$A:$A, 'source merged_div_data'!F:F)/1048576, 2) &amp; " MB",
    TRUE,
      ROUND(XLOOKUP(TEXTJOIN("/", TRUE, $A202:$B202), 'source merged_div_data'!$A:$A, 'source merged_div_data'!F:F)/1073741824, 2) &amp; " GB"
  ),
  "×"
)</f>
        <v>12.66 MB</v>
      </c>
      <c r="G202" s="57" t="s">
        <v>2265</v>
      </c>
      <c r="H202" s="58" t="s">
        <v>2184</v>
      </c>
      <c r="I202" s="57"/>
      <c r="J202" s="37" t="s">
        <v>440</v>
      </c>
      <c r="K202" s="37" t="s">
        <v>188</v>
      </c>
      <c r="L202" s="37" t="s">
        <v>1723</v>
      </c>
      <c r="M202" s="37" t="s">
        <v>2132</v>
      </c>
      <c r="N202" s="8"/>
      <c r="P202" s="57" t="str">
        <f>IFERROR(__xludf.DUMMYFUNCTION("XLOOKUP(JOIN(""/"",$A202:$B202),'source isilon_divまとめ'!$A:$A,'source isilon_divまとめ'!$D:$D,XLOOKUP(JOIN(""\"",$A202:$B202),'source NetApp-file-sv01-div'!A:A,TEXT('source NetApp-file-sv01-div'!C:C,""yyyy/mm/dd"")))"),"2023/02/28")</f>
        <v>2023/02/28</v>
      </c>
    </row>
    <row r="203">
      <c r="A203" s="8" t="s">
        <v>440</v>
      </c>
      <c r="B203" s="8" t="s">
        <v>1213</v>
      </c>
      <c r="C203" s="8" t="s">
        <v>985</v>
      </c>
      <c r="D203" s="56">
        <f>IFERROR(__xludf.DUMMYFUNCTION("XLOOKUP(JOIN(""/"",$A203:$B203),'source merged_div_data'!$A:$A,'source merged_div_data'!B:B)"),1623.0)</f>
        <v>1623</v>
      </c>
      <c r="E203" s="56">
        <f>IFERROR(__xludf.DUMMYFUNCTION("XLOOKUP(JOIN(""/"",$A203:$B203),'source merged_div_data'!$A:$A,'source merged_div_data'!C:C)"),24865.0)</f>
        <v>24865</v>
      </c>
      <c r="F203" s="54" t="str">
        <f t="array" ref="F203">IFERROR(
  IFS(
    XLOOKUP(TEXTJOIN("/", TRUE, $A203:$B203), 'source merged_div_data'!$A:$A, 'source merged_div_data'!F:F) &lt; 1024,
      XLOOKUP(TEXTJOIN("/", TRUE, $A203:$B203), 'source merged_div_data'!$A:$A, 'source merged_div_data'!F:F) &amp; " B",
    XLOOKUP(TEXTJOIN("/", TRUE, $A203:$B203), 'source merged_div_data'!$A:$A, 'source merged_div_data'!F:F) &lt; 1048576,
      ROUND(XLOOKUP(TEXTJOIN("/", TRUE, $A203:$B203), 'source merged_div_data'!$A:$A, 'source merged_div_data'!F:F)/1024, 2) &amp; " KB",
    XLOOKUP(TEXTJOIN("/", TRUE, $A203:$B203), 'source merged_div_data'!$A:$A, 'source merged_div_data'!F:F) &lt; 1073741824,
      ROUND(XLOOKUP(TEXTJOIN("/", TRUE, $A203:$B203), 'source merged_div_data'!$A:$A, 'source merged_div_data'!F:F)/1048576, 2) &amp; " MB",
    TRUE,
      ROUND(XLOOKUP(TEXTJOIN("/", TRUE, $A203:$B203), 'source merged_div_data'!$A:$A, 'source merged_div_data'!F:F)/1073741824, 2) &amp; " GB"
  ),
  "×"
)</f>
        <v>5.41 GB</v>
      </c>
      <c r="G203" s="57" t="s">
        <v>2266</v>
      </c>
      <c r="H203" s="58" t="s">
        <v>2177</v>
      </c>
      <c r="I203" s="57"/>
      <c r="J203" s="37" t="s">
        <v>440</v>
      </c>
      <c r="K203" s="37" t="s">
        <v>1053</v>
      </c>
      <c r="L203" s="37" t="s">
        <v>1723</v>
      </c>
      <c r="M203" s="37" t="s">
        <v>1053</v>
      </c>
      <c r="N203" s="8"/>
      <c r="P203" s="57" t="str">
        <f>IFERROR(__xludf.DUMMYFUNCTION("XLOOKUP(JOIN(""/"",$A203:$B203),'source isilon_divまとめ'!$A:$A,'source isilon_divまとめ'!$D:$D,XLOOKUP(JOIN(""\"",$A203:$B203),'source NetApp-file-sv01-div'!A:A,TEXT('source NetApp-file-sv01-div'!C:C,""yyyy/mm/dd"")))"),"2015/04/06")</f>
        <v>2015/04/06</v>
      </c>
    </row>
    <row r="204">
      <c r="A204" s="52" t="s">
        <v>440</v>
      </c>
      <c r="B204" s="52" t="s">
        <v>1233</v>
      </c>
      <c r="C204" s="46" t="s">
        <v>986</v>
      </c>
      <c r="D204" s="53">
        <f>IFERROR(__xludf.DUMMYFUNCTION("XLOOKUP(JOIN(""/"",$A204:$B204),'source merged_div_data'!$A:$A,'source merged_div_data'!B:B)"),14.0)</f>
        <v>14</v>
      </c>
      <c r="E204" s="53">
        <f>IFERROR(__xludf.DUMMYFUNCTION("XLOOKUP(JOIN(""/"",$A204:$B204),'source merged_div_data'!$A:$A,'source merged_div_data'!C:C)"),0.0)</f>
        <v>0</v>
      </c>
      <c r="F204" s="54" t="str">
        <f t="array" ref="F204">IFERROR(
  IFS(
    XLOOKUP(TEXTJOIN("/", TRUE, $A204:$B204), 'source merged_div_data'!$A:$A, 'source merged_div_data'!F:F) &lt; 1024,
      XLOOKUP(TEXTJOIN("/", TRUE, $A204:$B204), 'source merged_div_data'!$A:$A, 'source merged_div_data'!F:F) &amp; " B",
    XLOOKUP(TEXTJOIN("/", TRUE, $A204:$B204), 'source merged_div_data'!$A:$A, 'source merged_div_data'!F:F) &lt; 1048576,
      ROUND(XLOOKUP(TEXTJOIN("/", TRUE, $A204:$B204), 'source merged_div_data'!$A:$A, 'source merged_div_data'!F:F)/1024, 2) &amp; " KB",
    XLOOKUP(TEXTJOIN("/", TRUE, $A204:$B204), 'source merged_div_data'!$A:$A, 'source merged_div_data'!F:F) &lt; 1073741824,
      ROUND(XLOOKUP(TEXTJOIN("/", TRUE, $A204:$B204), 'source merged_div_data'!$A:$A, 'source merged_div_data'!F:F)/1048576, 2) &amp; " MB",
    TRUE,
      ROUND(XLOOKUP(TEXTJOIN("/", TRUE, $A204:$B204), 'source merged_div_data'!$A:$A, 'source merged_div_data'!F:F)/1073741824, 2) &amp; " GB"
  ),
  "×"
)</f>
        <v>423 B</v>
      </c>
      <c r="G204" s="55" t="s">
        <v>1053</v>
      </c>
      <c r="H204" s="55"/>
      <c r="I204" s="55"/>
      <c r="J204" s="55" t="s">
        <v>440</v>
      </c>
      <c r="K204" s="55" t="s">
        <v>1053</v>
      </c>
      <c r="L204" s="55" t="s">
        <v>1723</v>
      </c>
      <c r="M204" s="55" t="s">
        <v>1053</v>
      </c>
      <c r="N204" s="52"/>
      <c r="O204" s="55"/>
      <c r="P204" s="37" t="str">
        <f>IFERROR(__xludf.DUMMYFUNCTION("XLOOKUP(JOIN(""/"",$A204:$B204),'source isilon_divまとめ'!$A:$A,'source isilon_divまとめ'!$D:$D,XLOOKUP(JOIN(""\"",$A204:$B204),'source NetApp-file-sv01-div'!A:A,TEXT('source NetApp-file-sv01-div'!C:C,""yyyy/mm/dd"")))"),"#N/A")</f>
        <v>#N/A</v>
      </c>
    </row>
    <row r="205">
      <c r="A205" s="52" t="s">
        <v>440</v>
      </c>
      <c r="B205" s="52" t="s">
        <v>924</v>
      </c>
      <c r="C205" s="46" t="s">
        <v>986</v>
      </c>
      <c r="D205" s="53">
        <f>IFERROR(__xludf.DUMMYFUNCTION("XLOOKUP(JOIN(""/"",$A205:$B205),'source merged_div_data'!$A:$A,'source merged_div_data'!B:B)"),11.0)</f>
        <v>11</v>
      </c>
      <c r="E205" s="53">
        <f>IFERROR(__xludf.DUMMYFUNCTION("XLOOKUP(JOIN(""/"",$A205:$B205),'source merged_div_data'!$A:$A,'source merged_div_data'!C:C)"),0.0)</f>
        <v>0</v>
      </c>
      <c r="F205" s="54" t="str">
        <f t="array" ref="F205">IFERROR(
  IFS(
    XLOOKUP(TEXTJOIN("/", TRUE, $A205:$B205), 'source merged_div_data'!$A:$A, 'source merged_div_data'!F:F) &lt; 1024,
      XLOOKUP(TEXTJOIN("/", TRUE, $A205:$B205), 'source merged_div_data'!$A:$A, 'source merged_div_data'!F:F) &amp; " B",
    XLOOKUP(TEXTJOIN("/", TRUE, $A205:$B205), 'source merged_div_data'!$A:$A, 'source merged_div_data'!F:F) &lt; 1048576,
      ROUND(XLOOKUP(TEXTJOIN("/", TRUE, $A205:$B205), 'source merged_div_data'!$A:$A, 'source merged_div_data'!F:F)/1024, 2) &amp; " KB",
    XLOOKUP(TEXTJOIN("/", TRUE, $A205:$B205), 'source merged_div_data'!$A:$A, 'source merged_div_data'!F:F) &lt; 1073741824,
      ROUND(XLOOKUP(TEXTJOIN("/", TRUE, $A205:$B205), 'source merged_div_data'!$A:$A, 'source merged_div_data'!F:F)/1048576, 2) &amp; " MB",
    TRUE,
      ROUND(XLOOKUP(TEXTJOIN("/", TRUE, $A205:$B205), 'source merged_div_data'!$A:$A, 'source merged_div_data'!F:F)/1073741824, 2) &amp; " GB"
  ),
  "×"
)</f>
        <v>334 B</v>
      </c>
      <c r="G205" s="55" t="s">
        <v>1053</v>
      </c>
      <c r="H205" s="55"/>
      <c r="I205" s="55"/>
      <c r="J205" s="55" t="s">
        <v>440</v>
      </c>
      <c r="K205" s="55" t="s">
        <v>924</v>
      </c>
      <c r="L205" s="55" t="s">
        <v>1723</v>
      </c>
      <c r="M205" s="55" t="s">
        <v>1650</v>
      </c>
      <c r="N205" s="52"/>
      <c r="O205" s="55"/>
      <c r="P205" s="37" t="str">
        <f>IFERROR(__xludf.DUMMYFUNCTION("XLOOKUP(JOIN(""/"",$A205:$B205),'source isilon_divまとめ'!$A:$A,'source isilon_divまとめ'!$D:$D,XLOOKUP(JOIN(""\"",$A205:$B205),'source NetApp-file-sv01-div'!A:A,TEXT('source NetApp-file-sv01-div'!C:C,""yyyy/mm/dd"")))"),"#N/A")</f>
        <v>#N/A</v>
      </c>
    </row>
    <row r="206">
      <c r="A206" s="52" t="s">
        <v>440</v>
      </c>
      <c r="B206" s="52" t="s">
        <v>1234</v>
      </c>
      <c r="C206" s="46" t="s">
        <v>986</v>
      </c>
      <c r="D206" s="53">
        <f>IFERROR(__xludf.DUMMYFUNCTION("XLOOKUP(JOIN(""/"",$A206:$B206),'source merged_div_data'!$A:$A,'source merged_div_data'!B:B)"),9.0)</f>
        <v>9</v>
      </c>
      <c r="E206" s="53">
        <f>IFERROR(__xludf.DUMMYFUNCTION("XLOOKUP(JOIN(""/"",$A206:$B206),'source merged_div_data'!$A:$A,'source merged_div_data'!C:C)"),0.0)</f>
        <v>0</v>
      </c>
      <c r="F206" s="54" t="str">
        <f t="array" ref="F206">IFERROR(
  IFS(
    XLOOKUP(TEXTJOIN("/", TRUE, $A206:$B206), 'source merged_div_data'!$A:$A, 'source merged_div_data'!F:F) &lt; 1024,
      XLOOKUP(TEXTJOIN("/", TRUE, $A206:$B206), 'source merged_div_data'!$A:$A, 'source merged_div_data'!F:F) &amp; " B",
    XLOOKUP(TEXTJOIN("/", TRUE, $A206:$B206), 'source merged_div_data'!$A:$A, 'source merged_div_data'!F:F) &lt; 1048576,
      ROUND(XLOOKUP(TEXTJOIN("/", TRUE, $A206:$B206), 'source merged_div_data'!$A:$A, 'source merged_div_data'!F:F)/1024, 2) &amp; " KB",
    XLOOKUP(TEXTJOIN("/", TRUE, $A206:$B206), 'source merged_div_data'!$A:$A, 'source merged_div_data'!F:F) &lt; 1073741824,
      ROUND(XLOOKUP(TEXTJOIN("/", TRUE, $A206:$B206), 'source merged_div_data'!$A:$A, 'source merged_div_data'!F:F)/1048576, 2) &amp; " MB",
    TRUE,
      ROUND(XLOOKUP(TEXTJOIN("/", TRUE, $A206:$B206), 'source merged_div_data'!$A:$A, 'source merged_div_data'!F:F)/1073741824, 2) &amp; " GB"
  ),
  "×"
)</f>
        <v>325 B</v>
      </c>
      <c r="G206" s="55" t="s">
        <v>1053</v>
      </c>
      <c r="H206" s="55"/>
      <c r="I206" s="55"/>
      <c r="J206" s="55" t="s">
        <v>440</v>
      </c>
      <c r="K206" s="55" t="s">
        <v>454</v>
      </c>
      <c r="L206" s="55" t="s">
        <v>1723</v>
      </c>
      <c r="M206" s="55" t="s">
        <v>2267</v>
      </c>
      <c r="N206" s="52"/>
      <c r="O206" s="55"/>
      <c r="P206" s="37" t="str">
        <f>IFERROR(__xludf.DUMMYFUNCTION("XLOOKUP(JOIN(""/"",$A206:$B206),'source isilon_divまとめ'!$A:$A,'source isilon_divまとめ'!$D:$D,XLOOKUP(JOIN(""\"",$A206:$B206),'source NetApp-file-sv01-div'!A:A,TEXT('source NetApp-file-sv01-div'!C:C,""yyyy/mm/dd"")))"),"#N/A")</f>
        <v>#N/A</v>
      </c>
    </row>
    <row r="207">
      <c r="A207" s="8" t="s">
        <v>440</v>
      </c>
      <c r="B207" s="8" t="s">
        <v>443</v>
      </c>
      <c r="C207" s="8" t="s">
        <v>985</v>
      </c>
      <c r="D207" s="56">
        <f>IFERROR(__xludf.DUMMYFUNCTION("XLOOKUP(JOIN(""/"",$A207:$B207),'source merged_div_data'!$A:$A,'source merged_div_data'!B:B)"),20191.0)</f>
        <v>20191</v>
      </c>
      <c r="E207" s="56">
        <f>IFERROR(__xludf.DUMMYFUNCTION("XLOOKUP(JOIN(""/"",$A207:$B207),'source merged_div_data'!$A:$A,'source merged_div_data'!C:C)"),145455.0)</f>
        <v>145455</v>
      </c>
      <c r="F207" s="54" t="str">
        <f t="array" ref="F207">IFERROR(
  IFS(
    XLOOKUP(TEXTJOIN("/", TRUE, $A207:$B207), 'source merged_div_data'!$A:$A, 'source merged_div_data'!F:F) &lt; 1024,
      XLOOKUP(TEXTJOIN("/", TRUE, $A207:$B207), 'source merged_div_data'!$A:$A, 'source merged_div_data'!F:F) &amp; " B",
    XLOOKUP(TEXTJOIN("/", TRUE, $A207:$B207), 'source merged_div_data'!$A:$A, 'source merged_div_data'!F:F) &lt; 1048576,
      ROUND(XLOOKUP(TEXTJOIN("/", TRUE, $A207:$B207), 'source merged_div_data'!$A:$A, 'source merged_div_data'!F:F)/1024, 2) &amp; " KB",
    XLOOKUP(TEXTJOIN("/", TRUE, $A207:$B207), 'source merged_div_data'!$A:$A, 'source merged_div_data'!F:F) &lt; 1073741824,
      ROUND(XLOOKUP(TEXTJOIN("/", TRUE, $A207:$B207), 'source merged_div_data'!$A:$A, 'source merged_div_data'!F:F)/1048576, 2) &amp; " MB",
    TRUE,
      ROUND(XLOOKUP(TEXTJOIN("/", TRUE, $A207:$B207), 'source merged_div_data'!$A:$A, 'source merged_div_data'!F:F)/1073741824, 2) &amp; " GB"
  ),
  "×"
)</f>
        <v>539.71 GB</v>
      </c>
      <c r="G207" s="57" t="s">
        <v>2183</v>
      </c>
      <c r="H207" s="58" t="s">
        <v>2184</v>
      </c>
      <c r="I207" s="57"/>
      <c r="J207" s="37" t="s">
        <v>440</v>
      </c>
      <c r="K207" s="37" t="s">
        <v>443</v>
      </c>
      <c r="L207" s="37" t="s">
        <v>1723</v>
      </c>
      <c r="M207" s="37" t="s">
        <v>1053</v>
      </c>
      <c r="N207" s="8"/>
      <c r="P207" s="57" t="str">
        <f>IFERROR(__xludf.DUMMYFUNCTION("XLOOKUP(JOIN(""/"",$A207:$B207),'source isilon_divまとめ'!$A:$A,'source isilon_divまとめ'!$D:$D,XLOOKUP(JOIN(""\"",$A207:$B207),'source NetApp-file-sv01-div'!A:A,TEXT('source NetApp-file-sv01-div'!C:C,""yyyy/mm/dd"")))"),"2025/07/07")</f>
        <v>2025/07/07</v>
      </c>
    </row>
    <row r="208">
      <c r="A208" s="8" t="s">
        <v>440</v>
      </c>
      <c r="B208" s="8" t="s">
        <v>104</v>
      </c>
      <c r="C208" s="8" t="s">
        <v>985</v>
      </c>
      <c r="D208" s="56">
        <f>IFERROR(__xludf.DUMMYFUNCTION("XLOOKUP(JOIN(""/"",$A208:$B208),'source merged_div_data'!$A:$A,'source merged_div_data'!B:B)"),1115.0)</f>
        <v>1115</v>
      </c>
      <c r="E208" s="56">
        <f>IFERROR(__xludf.DUMMYFUNCTION("XLOOKUP(JOIN(""/"",$A208:$B208),'source merged_div_data'!$A:$A,'source merged_div_data'!C:C)"),6611.0)</f>
        <v>6611</v>
      </c>
      <c r="F208" s="54" t="str">
        <f t="array" ref="F208">IFERROR(
  IFS(
    XLOOKUP(TEXTJOIN("/", TRUE, $A208:$B208), 'source merged_div_data'!$A:$A, 'source merged_div_data'!F:F) &lt; 1024,
      XLOOKUP(TEXTJOIN("/", TRUE, $A208:$B208), 'source merged_div_data'!$A:$A, 'source merged_div_data'!F:F) &amp; " B",
    XLOOKUP(TEXTJOIN("/", TRUE, $A208:$B208), 'source merged_div_data'!$A:$A, 'source merged_div_data'!F:F) &lt; 1048576,
      ROUND(XLOOKUP(TEXTJOIN("/", TRUE, $A208:$B208), 'source merged_div_data'!$A:$A, 'source merged_div_data'!F:F)/1024, 2) &amp; " KB",
    XLOOKUP(TEXTJOIN("/", TRUE, $A208:$B208), 'source merged_div_data'!$A:$A, 'source merged_div_data'!F:F) &lt; 1073741824,
      ROUND(XLOOKUP(TEXTJOIN("/", TRUE, $A208:$B208), 'source merged_div_data'!$A:$A, 'source merged_div_data'!F:F)/1048576, 2) &amp; " MB",
    TRUE,
      ROUND(XLOOKUP(TEXTJOIN("/", TRUE, $A208:$B208), 'source merged_div_data'!$A:$A, 'source merged_div_data'!F:F)/1073741824, 2) &amp; " GB"
  ),
  "×"
)</f>
        <v>15.05 GB</v>
      </c>
      <c r="G208" s="57" t="s">
        <v>2209</v>
      </c>
      <c r="H208" s="58" t="s">
        <v>2177</v>
      </c>
      <c r="I208" s="57"/>
      <c r="J208" s="37" t="s">
        <v>440</v>
      </c>
      <c r="K208" s="37" t="s">
        <v>104</v>
      </c>
      <c r="L208" s="37" t="s">
        <v>1723</v>
      </c>
      <c r="M208" s="37" t="s">
        <v>2027</v>
      </c>
      <c r="N208" s="8"/>
      <c r="P208" s="57" t="str">
        <f>IFERROR(__xludf.DUMMYFUNCTION("XLOOKUP(JOIN(""/"",$A208:$B208),'source isilon_divまとめ'!$A:$A,'source isilon_divまとめ'!$D:$D,XLOOKUP(JOIN(""\"",$A208:$B208),'source NetApp-file-sv01-div'!A:A,TEXT('source NetApp-file-sv01-div'!C:C,""yyyy/mm/dd"")))"),"2018/12/20")</f>
        <v>2018/12/20</v>
      </c>
    </row>
    <row r="209">
      <c r="A209" s="52" t="s">
        <v>440</v>
      </c>
      <c r="B209" s="52" t="s">
        <v>802</v>
      </c>
      <c r="C209" s="46" t="s">
        <v>986</v>
      </c>
      <c r="D209" s="53">
        <f>IFERROR(__xludf.DUMMYFUNCTION("XLOOKUP(JOIN(""/"",$A209:$B209),'source merged_div_data'!$A:$A,'source merged_div_data'!B:B)"),11.0)</f>
        <v>11</v>
      </c>
      <c r="E209" s="53">
        <f>IFERROR(__xludf.DUMMYFUNCTION("XLOOKUP(JOIN(""/"",$A209:$B209),'source merged_div_data'!$A:$A,'source merged_div_data'!C:C)"),0.0)</f>
        <v>0</v>
      </c>
      <c r="F209" s="54" t="str">
        <f t="array" ref="F209">IFERROR(
  IFS(
    XLOOKUP(TEXTJOIN("/", TRUE, $A209:$B209), 'source merged_div_data'!$A:$A, 'source merged_div_data'!F:F) &lt; 1024,
      XLOOKUP(TEXTJOIN("/", TRUE, $A209:$B209), 'source merged_div_data'!$A:$A, 'source merged_div_data'!F:F) &amp; " B",
    XLOOKUP(TEXTJOIN("/", TRUE, $A209:$B209), 'source merged_div_data'!$A:$A, 'source merged_div_data'!F:F) &lt; 1048576,
      ROUND(XLOOKUP(TEXTJOIN("/", TRUE, $A209:$B209), 'source merged_div_data'!$A:$A, 'source merged_div_data'!F:F)/1024, 2) &amp; " KB",
    XLOOKUP(TEXTJOIN("/", TRUE, $A209:$B209), 'source merged_div_data'!$A:$A, 'source merged_div_data'!F:F) &lt; 1073741824,
      ROUND(XLOOKUP(TEXTJOIN("/", TRUE, $A209:$B209), 'source merged_div_data'!$A:$A, 'source merged_div_data'!F:F)/1048576, 2) &amp; " MB",
    TRUE,
      ROUND(XLOOKUP(TEXTJOIN("/", TRUE, $A209:$B209), 'source merged_div_data'!$A:$A, 'source merged_div_data'!F:F)/1073741824, 2) &amp; " GB"
  ),
  "×"
)</f>
        <v>341 B</v>
      </c>
      <c r="G209" s="55" t="s">
        <v>1053</v>
      </c>
      <c r="H209" s="55"/>
      <c r="I209" s="55"/>
      <c r="J209" s="55" t="s">
        <v>440</v>
      </c>
      <c r="K209" s="55" t="s">
        <v>802</v>
      </c>
      <c r="L209" s="55" t="s">
        <v>1723</v>
      </c>
      <c r="M209" s="55" t="s">
        <v>2144</v>
      </c>
      <c r="N209" s="52"/>
      <c r="O209" s="55"/>
      <c r="P209" s="37" t="str">
        <f>IFERROR(__xludf.DUMMYFUNCTION("XLOOKUP(JOIN(""/"",$A209:$B209),'source isilon_divまとめ'!$A:$A,'source isilon_divまとめ'!$D:$D,XLOOKUP(JOIN(""\"",$A209:$B209),'source NetApp-file-sv01-div'!A:A,TEXT('source NetApp-file-sv01-div'!C:C,""yyyy/mm/dd"")))"),"#N/A")</f>
        <v>#N/A</v>
      </c>
    </row>
    <row r="210">
      <c r="A210" s="8" t="s">
        <v>440</v>
      </c>
      <c r="B210" s="8" t="s">
        <v>1235</v>
      </c>
      <c r="C210" s="8" t="s">
        <v>985</v>
      </c>
      <c r="D210" s="56">
        <f>IFERROR(__xludf.DUMMYFUNCTION("XLOOKUP(JOIN(""/"",$A210:$B210),'source merged_div_data'!$A:$A,'source merged_div_data'!B:B)"),12765.0)</f>
        <v>12765</v>
      </c>
      <c r="E210" s="56">
        <f>IFERROR(__xludf.DUMMYFUNCTION("XLOOKUP(JOIN(""/"",$A210:$B210),'source merged_div_data'!$A:$A,'source merged_div_data'!C:C)"),54670.0)</f>
        <v>54670</v>
      </c>
      <c r="F210" s="54" t="str">
        <f t="array" ref="F210">IFERROR(
  IFS(
    XLOOKUP(TEXTJOIN("/", TRUE, $A210:$B210), 'source merged_div_data'!$A:$A, 'source merged_div_data'!F:F) &lt; 1024,
      XLOOKUP(TEXTJOIN("/", TRUE, $A210:$B210), 'source merged_div_data'!$A:$A, 'source merged_div_data'!F:F) &amp; " B",
    XLOOKUP(TEXTJOIN("/", TRUE, $A210:$B210), 'source merged_div_data'!$A:$A, 'source merged_div_data'!F:F) &lt; 1048576,
      ROUND(XLOOKUP(TEXTJOIN("/", TRUE, $A210:$B210), 'source merged_div_data'!$A:$A, 'source merged_div_data'!F:F)/1024, 2) &amp; " KB",
    XLOOKUP(TEXTJOIN("/", TRUE, $A210:$B210), 'source merged_div_data'!$A:$A, 'source merged_div_data'!F:F) &lt; 1073741824,
      ROUND(XLOOKUP(TEXTJOIN("/", TRUE, $A210:$B210), 'source merged_div_data'!$A:$A, 'source merged_div_data'!F:F)/1048576, 2) &amp; " MB",
    TRUE,
      ROUND(XLOOKUP(TEXTJOIN("/", TRUE, $A210:$B210), 'source merged_div_data'!$A:$A, 'source merged_div_data'!F:F)/1073741824, 2) &amp; " GB"
  ),
  "×"
)</f>
        <v>22.95 GB</v>
      </c>
      <c r="G210" s="57" t="s">
        <v>2268</v>
      </c>
      <c r="H210" s="58" t="s">
        <v>2177</v>
      </c>
      <c r="I210" s="57"/>
      <c r="J210" s="37" t="s">
        <v>440</v>
      </c>
      <c r="K210" s="37" t="s">
        <v>1053</v>
      </c>
      <c r="L210" s="37" t="s">
        <v>1723</v>
      </c>
      <c r="M210" s="37" t="s">
        <v>1053</v>
      </c>
      <c r="N210" s="8"/>
      <c r="P210" s="57" t="str">
        <f>IFERROR(__xludf.DUMMYFUNCTION("XLOOKUP(JOIN(""/"",$A210:$B210),'source isilon_divまとめ'!$A:$A,'source isilon_divまとめ'!$D:$D,XLOOKUP(JOIN(""\"",$A210:$B210),'source NetApp-file-sv01-div'!A:A,TEXT('source NetApp-file-sv01-div'!C:C,""yyyy/mm/dd"")))"),"2017/01/23")</f>
        <v>2017/01/23</v>
      </c>
    </row>
    <row r="211">
      <c r="A211" s="8" t="s">
        <v>440</v>
      </c>
      <c r="B211" s="8" t="s">
        <v>1236</v>
      </c>
      <c r="C211" s="8" t="s">
        <v>985</v>
      </c>
      <c r="D211" s="56">
        <f>IFERROR(__xludf.DUMMYFUNCTION("XLOOKUP(JOIN(""/"",$A211:$B211),'source merged_div_data'!$A:$A,'source merged_div_data'!B:B)"),546.0)</f>
        <v>546</v>
      </c>
      <c r="E211" s="56">
        <f>IFERROR(__xludf.DUMMYFUNCTION("XLOOKUP(JOIN(""/"",$A211:$B211),'source merged_div_data'!$A:$A,'source merged_div_data'!C:C)"),3554.0)</f>
        <v>3554</v>
      </c>
      <c r="F211" s="54" t="str">
        <f t="array" ref="F211">IFERROR(
  IFS(
    XLOOKUP(TEXTJOIN("/", TRUE, $A211:$B211), 'source merged_div_data'!$A:$A, 'source merged_div_data'!F:F) &lt; 1024,
      XLOOKUP(TEXTJOIN("/", TRUE, $A211:$B211), 'source merged_div_data'!$A:$A, 'source merged_div_data'!F:F) &amp; " B",
    XLOOKUP(TEXTJOIN("/", TRUE, $A211:$B211), 'source merged_div_data'!$A:$A, 'source merged_div_data'!F:F) &lt; 1048576,
      ROUND(XLOOKUP(TEXTJOIN("/", TRUE, $A211:$B211), 'source merged_div_data'!$A:$A, 'source merged_div_data'!F:F)/1024, 2) &amp; " KB",
    XLOOKUP(TEXTJOIN("/", TRUE, $A211:$B211), 'source merged_div_data'!$A:$A, 'source merged_div_data'!F:F) &lt; 1073741824,
      ROUND(XLOOKUP(TEXTJOIN("/", TRUE, $A211:$B211), 'source merged_div_data'!$A:$A, 'source merged_div_data'!F:F)/1048576, 2) &amp; " MB",
    TRUE,
      ROUND(XLOOKUP(TEXTJOIN("/", TRUE, $A211:$B211), 'source merged_div_data'!$A:$A, 'source merged_div_data'!F:F)/1073741824, 2) &amp; " GB"
  ),
  "×"
)</f>
        <v>1.21 GB</v>
      </c>
      <c r="G211" s="57" t="s">
        <v>2269</v>
      </c>
      <c r="H211" s="58" t="s">
        <v>2177</v>
      </c>
      <c r="I211" s="57"/>
      <c r="J211" s="37" t="str">
        <f t="array" ref="J211">XLOOKUP(K211,'部署遍歴'!D:D,'部署遍歴'!B:B,"×")</f>
        <v>経営推進本部</v>
      </c>
      <c r="K211" s="37" t="s">
        <v>90</v>
      </c>
      <c r="L211" s="37" t="s">
        <v>1723</v>
      </c>
      <c r="M211" s="37" t="s">
        <v>1053</v>
      </c>
      <c r="N211" s="8"/>
      <c r="P211" s="57" t="str">
        <f>IFERROR(__xludf.DUMMYFUNCTION("XLOOKUP(JOIN(""/"",$A211:$B211),'source isilon_divまとめ'!$A:$A,'source isilon_divまとめ'!$D:$D,XLOOKUP(JOIN(""\"",$A211:$B211),'source NetApp-file-sv01-div'!A:A,TEXT('source NetApp-file-sv01-div'!C:C,""yyyy/mm/dd"")))"),"2017/08/31")</f>
        <v>2017/08/31</v>
      </c>
    </row>
    <row r="212">
      <c r="A212" s="8" t="s">
        <v>440</v>
      </c>
      <c r="B212" s="8" t="s">
        <v>441</v>
      </c>
      <c r="C212" s="8" t="s">
        <v>985</v>
      </c>
      <c r="D212" s="56">
        <f>IFERROR(__xludf.DUMMYFUNCTION("XLOOKUP(JOIN(""/"",$A212:$B212),'source merged_div_data'!$A:$A,'source merged_div_data'!B:B)"),18935.0)</f>
        <v>18935</v>
      </c>
      <c r="E212" s="56">
        <f>IFERROR(__xludf.DUMMYFUNCTION("XLOOKUP(JOIN(""/"",$A212:$B212),'source merged_div_data'!$A:$A,'source merged_div_data'!C:C)"),140386.0)</f>
        <v>140386</v>
      </c>
      <c r="F212" s="54" t="str">
        <f t="array" ref="F212">IFERROR(
  IFS(
    XLOOKUP(TEXTJOIN("/", TRUE, $A212:$B212), 'source merged_div_data'!$A:$A, 'source merged_div_data'!F:F) &lt; 1024,
      XLOOKUP(TEXTJOIN("/", TRUE, $A212:$B212), 'source merged_div_data'!$A:$A, 'source merged_div_data'!F:F) &amp; " B",
    XLOOKUP(TEXTJOIN("/", TRUE, $A212:$B212), 'source merged_div_data'!$A:$A, 'source merged_div_data'!F:F) &lt; 1048576,
      ROUND(XLOOKUP(TEXTJOIN("/", TRUE, $A212:$B212), 'source merged_div_data'!$A:$A, 'source merged_div_data'!F:F)/1024, 2) &amp; " KB",
    XLOOKUP(TEXTJOIN("/", TRUE, $A212:$B212), 'source merged_div_data'!$A:$A, 'source merged_div_data'!F:F) &lt; 1073741824,
      ROUND(XLOOKUP(TEXTJOIN("/", TRUE, $A212:$B212), 'source merged_div_data'!$A:$A, 'source merged_div_data'!F:F)/1048576, 2) &amp; " MB",
    TRUE,
      ROUND(XLOOKUP(TEXTJOIN("/", TRUE, $A212:$B212), 'source merged_div_data'!$A:$A, 'source merged_div_data'!F:F)/1073741824, 2) &amp; " GB"
  ),
  "×"
)</f>
        <v>532.75 GB</v>
      </c>
      <c r="G212" s="57" t="s">
        <v>2270</v>
      </c>
      <c r="H212" s="58" t="s">
        <v>2184</v>
      </c>
      <c r="I212" s="57"/>
      <c r="J212" s="37" t="s">
        <v>440</v>
      </c>
      <c r="K212" s="37" t="s">
        <v>441</v>
      </c>
      <c r="L212" s="37" t="s">
        <v>1723</v>
      </c>
      <c r="M212" s="37" t="s">
        <v>2119</v>
      </c>
      <c r="N212" s="8"/>
      <c r="P212" s="57" t="str">
        <f>IFERROR(__xludf.DUMMYFUNCTION("XLOOKUP(JOIN(""/"",$A212:$B212),'source isilon_divまとめ'!$A:$A,'source isilon_divまとめ'!$D:$D,XLOOKUP(JOIN(""\"",$A212:$B212),'source NetApp-file-sv01-div'!A:A,TEXT('source NetApp-file-sv01-div'!C:C,""yyyy/mm/dd"")))"),"2023/08/18")</f>
        <v>2023/08/18</v>
      </c>
    </row>
    <row r="213">
      <c r="A213" s="8" t="s">
        <v>440</v>
      </c>
      <c r="B213" s="8" t="s">
        <v>1111</v>
      </c>
      <c r="C213" s="8" t="s">
        <v>985</v>
      </c>
      <c r="D213" s="56">
        <f>IFERROR(__xludf.DUMMYFUNCTION("XLOOKUP(JOIN(""/"",$A213:$B213),'source merged_div_data'!$A:$A,'source merged_div_data'!B:B)"),31.0)</f>
        <v>31</v>
      </c>
      <c r="E213" s="56">
        <f>IFERROR(__xludf.DUMMYFUNCTION("XLOOKUP(JOIN(""/"",$A213:$B213),'source merged_div_data'!$A:$A,'source merged_div_data'!C:C)"),5.0)</f>
        <v>5</v>
      </c>
      <c r="F213" s="54" t="str">
        <f t="array" ref="F213">IFERROR(
  IFS(
    XLOOKUP(TEXTJOIN("/", TRUE, $A213:$B213), 'source merged_div_data'!$A:$A, 'source merged_div_data'!F:F) &lt; 1024,
      XLOOKUP(TEXTJOIN("/", TRUE, $A213:$B213), 'source merged_div_data'!$A:$A, 'source merged_div_data'!F:F) &amp; " B",
    XLOOKUP(TEXTJOIN("/", TRUE, $A213:$B213), 'source merged_div_data'!$A:$A, 'source merged_div_data'!F:F) &lt; 1048576,
      ROUND(XLOOKUP(TEXTJOIN("/", TRUE, $A213:$B213), 'source merged_div_data'!$A:$A, 'source merged_div_data'!F:F)/1024, 2) &amp; " KB",
    XLOOKUP(TEXTJOIN("/", TRUE, $A213:$B213), 'source merged_div_data'!$A:$A, 'source merged_div_data'!F:F) &lt; 1073741824,
      ROUND(XLOOKUP(TEXTJOIN("/", TRUE, $A213:$B213), 'source merged_div_data'!$A:$A, 'source merged_div_data'!F:F)/1048576, 2) &amp; " MB",
    TRUE,
      ROUND(XLOOKUP(TEXTJOIN("/", TRUE, $A213:$B213), 'source merged_div_data'!$A:$A, 'source merged_div_data'!F:F)/1073741824, 2) &amp; " GB"
  ),
  "×"
)</f>
        <v>328.83 KB</v>
      </c>
      <c r="G213" s="57" t="s">
        <v>2271</v>
      </c>
      <c r="H213" s="58" t="s">
        <v>2177</v>
      </c>
      <c r="I213" s="57"/>
      <c r="J213" s="37" t="s">
        <v>440</v>
      </c>
      <c r="K213" s="37" t="s">
        <v>1053</v>
      </c>
      <c r="L213" s="37" t="s">
        <v>1723</v>
      </c>
      <c r="M213" s="37" t="s">
        <v>1053</v>
      </c>
      <c r="N213" s="8"/>
      <c r="P213" s="57" t="str">
        <f>IFERROR(__xludf.DUMMYFUNCTION("XLOOKUP(JOIN(""/"",$A213:$B213),'source isilon_divまとめ'!$A:$A,'source isilon_divまとめ'!$D:$D,XLOOKUP(JOIN(""\"",$A213:$B213),'source NetApp-file-sv01-div'!A:A,TEXT('source NetApp-file-sv01-div'!C:C,""yyyy/mm/dd"")))"),"2013/06/06")</f>
        <v>2013/06/06</v>
      </c>
    </row>
    <row r="214">
      <c r="A214" s="8" t="s">
        <v>440</v>
      </c>
      <c r="B214" s="8" t="s">
        <v>1187</v>
      </c>
      <c r="C214" s="7" t="s">
        <v>987</v>
      </c>
      <c r="D214" s="56">
        <f>IFERROR(__xludf.DUMMYFUNCTION("XLOOKUP(JOIN(""/"",$A214:$B214),'source merged_div_data'!$A:$A,'source merged_div_data'!B:B)"),151.0)</f>
        <v>151</v>
      </c>
      <c r="E214" s="56">
        <f>IFERROR(__xludf.DUMMYFUNCTION("XLOOKUP(JOIN(""/"",$A214:$B214),'source merged_div_data'!$A:$A,'source merged_div_data'!C:C)"),1323.0)</f>
        <v>1323</v>
      </c>
      <c r="F214" s="54" t="str">
        <f t="array" ref="F214">IFERROR(
  IFS(
    XLOOKUP(TEXTJOIN("/", TRUE, $A214:$B214), 'source merged_div_data'!$A:$A, 'source merged_div_data'!F:F) &lt; 1024,
      XLOOKUP(TEXTJOIN("/", TRUE, $A214:$B214), 'source merged_div_data'!$A:$A, 'source merged_div_data'!F:F) &amp; " B",
    XLOOKUP(TEXTJOIN("/", TRUE, $A214:$B214), 'source merged_div_data'!$A:$A, 'source merged_div_data'!F:F) &lt; 1048576,
      ROUND(XLOOKUP(TEXTJOIN("/", TRUE, $A214:$B214), 'source merged_div_data'!$A:$A, 'source merged_div_data'!F:F)/1024, 2) &amp; " KB",
    XLOOKUP(TEXTJOIN("/", TRUE, $A214:$B214), 'source merged_div_data'!$A:$A, 'source merged_div_data'!F:F) &lt; 1073741824,
      ROUND(XLOOKUP(TEXTJOIN("/", TRUE, $A214:$B214), 'source merged_div_data'!$A:$A, 'source merged_div_data'!F:F)/1048576, 2) &amp; " MB",
    TRUE,
      ROUND(XLOOKUP(TEXTJOIN("/", TRUE, $A214:$B214), 'source merged_div_data'!$A:$A, 'source merged_div_data'!F:F)/1073741824, 2) &amp; " GB"
  ),
  "×"
)</f>
        <v>897.36 MB</v>
      </c>
      <c r="G214" s="57" t="s">
        <v>2272</v>
      </c>
      <c r="H214" s="58" t="s">
        <v>2177</v>
      </c>
      <c r="I214" s="57"/>
      <c r="J214" s="37" t="s">
        <v>440</v>
      </c>
      <c r="K214" s="37" t="s">
        <v>1053</v>
      </c>
      <c r="L214" s="37" t="s">
        <v>1723</v>
      </c>
      <c r="M214" s="37" t="s">
        <v>1053</v>
      </c>
      <c r="N214" s="8"/>
      <c r="P214" s="57" t="str">
        <f>IFERROR(__xludf.DUMMYFUNCTION("XLOOKUP(JOIN(""/"",$A214:$B214),'source isilon_divまとめ'!$A:$A,'source isilon_divまとめ'!$D:$D,XLOOKUP(JOIN(""\"",$A214:$B214),'source NetApp-file-sv01-div'!A:A,TEXT('source NetApp-file-sv01-div'!C:C,""yyyy/mm/dd"")))"),"2022/04/06")</f>
        <v>2022/04/06</v>
      </c>
    </row>
    <row r="215">
      <c r="A215" s="8" t="s">
        <v>440</v>
      </c>
      <c r="B215" s="8" t="s">
        <v>1065</v>
      </c>
      <c r="C215" s="8" t="s">
        <v>985</v>
      </c>
      <c r="D215" s="56">
        <f>IFERROR(__xludf.DUMMYFUNCTION("XLOOKUP(JOIN(""/"",$A215:$B215),'source merged_div_data'!$A:$A,'source merged_div_data'!B:B)"),19018.0)</f>
        <v>19018</v>
      </c>
      <c r="E215" s="56">
        <f>IFERROR(__xludf.DUMMYFUNCTION("XLOOKUP(JOIN(""/"",$A215:$B215),'source merged_div_data'!$A:$A,'source merged_div_data'!C:C)"),149219.0)</f>
        <v>149219</v>
      </c>
      <c r="F215" s="54" t="str">
        <f t="array" ref="F215">IFERROR(
  IFS(
    XLOOKUP(TEXTJOIN("/", TRUE, $A215:$B215), 'source merged_div_data'!$A:$A, 'source merged_div_data'!F:F) &lt; 1024,
      XLOOKUP(TEXTJOIN("/", TRUE, $A215:$B215), 'source merged_div_data'!$A:$A, 'source merged_div_data'!F:F) &amp; " B",
    XLOOKUP(TEXTJOIN("/", TRUE, $A215:$B215), 'source merged_div_data'!$A:$A, 'source merged_div_data'!F:F) &lt; 1048576,
      ROUND(XLOOKUP(TEXTJOIN("/", TRUE, $A215:$B215), 'source merged_div_data'!$A:$A, 'source merged_div_data'!F:F)/1024, 2) &amp; " KB",
    XLOOKUP(TEXTJOIN("/", TRUE, $A215:$B215), 'source merged_div_data'!$A:$A, 'source merged_div_data'!F:F) &lt; 1073741824,
      ROUND(XLOOKUP(TEXTJOIN("/", TRUE, $A215:$B215), 'source merged_div_data'!$A:$A, 'source merged_div_data'!F:F)/1048576, 2) &amp; " MB",
    TRUE,
      ROUND(XLOOKUP(TEXTJOIN("/", TRUE, $A215:$B215), 'source merged_div_data'!$A:$A, 'source merged_div_data'!F:F)/1073741824, 2) &amp; " GB"
  ),
  "×"
)</f>
        <v>386.6 GB</v>
      </c>
      <c r="G215" s="57" t="s">
        <v>2273</v>
      </c>
      <c r="H215" s="58" t="s">
        <v>2177</v>
      </c>
      <c r="I215" s="57"/>
      <c r="J215" s="37" t="s">
        <v>440</v>
      </c>
      <c r="K215" s="37" t="s">
        <v>1053</v>
      </c>
      <c r="L215" s="37" t="s">
        <v>1723</v>
      </c>
      <c r="M215" s="37" t="s">
        <v>1053</v>
      </c>
      <c r="N215" s="8"/>
      <c r="P215" s="57" t="str">
        <f>IFERROR(__xludf.DUMMYFUNCTION("XLOOKUP(JOIN(""/"",$A215:$B215),'source isilon_divまとめ'!$A:$A,'source isilon_divまとめ'!$D:$D,XLOOKUP(JOIN(""\"",$A215:$B215),'source NetApp-file-sv01-div'!A:A,TEXT('source NetApp-file-sv01-div'!C:C,""yyyy/mm/dd"")))"),"2014/12/25")</f>
        <v>2014/12/25</v>
      </c>
    </row>
    <row r="216">
      <c r="A216" s="8" t="s">
        <v>440</v>
      </c>
      <c r="B216" s="8" t="s">
        <v>1237</v>
      </c>
      <c r="C216" s="8" t="s">
        <v>985</v>
      </c>
      <c r="D216" s="56">
        <f>IFERROR(__xludf.DUMMYFUNCTION("XLOOKUP(JOIN(""/"",$A216:$B216),'source merged_div_data'!$A:$A,'source merged_div_data'!B:B)"),16.0)</f>
        <v>16</v>
      </c>
      <c r="E216" s="56">
        <f>IFERROR(__xludf.DUMMYFUNCTION("XLOOKUP(JOIN(""/"",$A216:$B216),'source merged_div_data'!$A:$A,'source merged_div_data'!C:C)"),12.0)</f>
        <v>12</v>
      </c>
      <c r="F216" s="54" t="str">
        <f t="array" ref="F216">IFERROR(
  IFS(
    XLOOKUP(TEXTJOIN("/", TRUE, $A216:$B216), 'source merged_div_data'!$A:$A, 'source merged_div_data'!F:F) &lt; 1024,
      XLOOKUP(TEXTJOIN("/", TRUE, $A216:$B216), 'source merged_div_data'!$A:$A, 'source merged_div_data'!F:F) &amp; " B",
    XLOOKUP(TEXTJOIN("/", TRUE, $A216:$B216), 'source merged_div_data'!$A:$A, 'source merged_div_data'!F:F) &lt; 1048576,
      ROUND(XLOOKUP(TEXTJOIN("/", TRUE, $A216:$B216), 'source merged_div_data'!$A:$A, 'source merged_div_data'!F:F)/1024, 2) &amp; " KB",
    XLOOKUP(TEXTJOIN("/", TRUE, $A216:$B216), 'source merged_div_data'!$A:$A, 'source merged_div_data'!F:F) &lt; 1073741824,
      ROUND(XLOOKUP(TEXTJOIN("/", TRUE, $A216:$B216), 'source merged_div_data'!$A:$A, 'source merged_div_data'!F:F)/1048576, 2) &amp; " MB",
    TRUE,
      ROUND(XLOOKUP(TEXTJOIN("/", TRUE, $A216:$B216), 'source merged_div_data'!$A:$A, 'source merged_div_data'!F:F)/1073741824, 2) &amp; " GB"
  ),
  "×"
)</f>
        <v>10.31 MB</v>
      </c>
      <c r="G216" s="57" t="s">
        <v>2274</v>
      </c>
      <c r="H216" s="58" t="s">
        <v>2177</v>
      </c>
      <c r="I216" s="57"/>
      <c r="J216" s="37" t="s">
        <v>440</v>
      </c>
      <c r="K216" s="37" t="s">
        <v>1053</v>
      </c>
      <c r="L216" s="37" t="s">
        <v>1723</v>
      </c>
      <c r="M216" s="37" t="s">
        <v>1053</v>
      </c>
      <c r="N216" s="8"/>
      <c r="P216" s="57" t="str">
        <f>IFERROR(__xludf.DUMMYFUNCTION("XLOOKUP(JOIN(""/"",$A216:$B216),'source isilon_divまとめ'!$A:$A,'source isilon_divまとめ'!$D:$D,XLOOKUP(JOIN(""\"",$A216:$B216),'source NetApp-file-sv01-div'!A:A,TEXT('source NetApp-file-sv01-div'!C:C,""yyyy/mm/dd"")))"),"2019/04/08")</f>
        <v>2019/04/08</v>
      </c>
    </row>
    <row r="217">
      <c r="A217" s="52" t="s">
        <v>440</v>
      </c>
      <c r="B217" s="52" t="s">
        <v>1238</v>
      </c>
      <c r="C217" s="46" t="s">
        <v>986</v>
      </c>
      <c r="D217" s="53">
        <f>IFERROR(__xludf.DUMMYFUNCTION("XLOOKUP(JOIN(""/"",$A217:$B217),'source merged_div_data'!$A:$A,'source merged_div_data'!B:B)"),12.0)</f>
        <v>12</v>
      </c>
      <c r="E217" s="53">
        <f>IFERROR(__xludf.DUMMYFUNCTION("XLOOKUP(JOIN(""/"",$A217:$B217),'source merged_div_data'!$A:$A,'source merged_div_data'!C:C)"),0.0)</f>
        <v>0</v>
      </c>
      <c r="F217" s="54" t="str">
        <f t="array" ref="F217">IFERROR(
  IFS(
    XLOOKUP(TEXTJOIN("/", TRUE, $A217:$B217), 'source merged_div_data'!$A:$A, 'source merged_div_data'!F:F) &lt; 1024,
      XLOOKUP(TEXTJOIN("/", TRUE, $A217:$B217), 'source merged_div_data'!$A:$A, 'source merged_div_data'!F:F) &amp; " B",
    XLOOKUP(TEXTJOIN("/", TRUE, $A217:$B217), 'source merged_div_data'!$A:$A, 'source merged_div_data'!F:F) &lt; 1048576,
      ROUND(XLOOKUP(TEXTJOIN("/", TRUE, $A217:$B217), 'source merged_div_data'!$A:$A, 'source merged_div_data'!F:F)/1024, 2) &amp; " KB",
    XLOOKUP(TEXTJOIN("/", TRUE, $A217:$B217), 'source merged_div_data'!$A:$A, 'source merged_div_data'!F:F) &lt; 1073741824,
      ROUND(XLOOKUP(TEXTJOIN("/", TRUE, $A217:$B217), 'source merged_div_data'!$A:$A, 'source merged_div_data'!F:F)/1048576, 2) &amp; " MB",
    TRUE,
      ROUND(XLOOKUP(TEXTJOIN("/", TRUE, $A217:$B217), 'source merged_div_data'!$A:$A, 'source merged_div_data'!F:F)/1073741824, 2) &amp; " GB"
  ),
  "×"
)</f>
        <v>326 B</v>
      </c>
      <c r="G217" s="55" t="s">
        <v>1053</v>
      </c>
      <c r="H217" s="55"/>
      <c r="I217" s="55"/>
      <c r="J217" s="55" t="str">
        <f t="array" ref="J217">XLOOKUP(K217,'部署遍歴'!D:D,'部署遍歴'!B:B,"×")</f>
        <v>経営推進本部</v>
      </c>
      <c r="K217" s="55" t="s">
        <v>924</v>
      </c>
      <c r="L217" s="55" t="s">
        <v>1723</v>
      </c>
      <c r="M217" s="55" t="s">
        <v>1053</v>
      </c>
      <c r="N217" s="52"/>
      <c r="O217" s="55"/>
      <c r="P217" s="37" t="str">
        <f>IFERROR(__xludf.DUMMYFUNCTION("XLOOKUP(JOIN(""/"",$A217:$B217),'source isilon_divまとめ'!$A:$A,'source isilon_divまとめ'!$D:$D,XLOOKUP(JOIN(""\"",$A217:$B217),'source NetApp-file-sv01-div'!A:A,TEXT('source NetApp-file-sv01-div'!C:C,""yyyy/mm/dd"")))"),"#N/A")</f>
        <v>#N/A</v>
      </c>
    </row>
    <row r="218">
      <c r="A218" s="52" t="s">
        <v>440</v>
      </c>
      <c r="B218" s="52" t="s">
        <v>1239</v>
      </c>
      <c r="C218" s="46" t="s">
        <v>986</v>
      </c>
      <c r="D218" s="53">
        <f>IFERROR(__xludf.DUMMYFUNCTION("XLOOKUP(JOIN(""/"",$A218:$B218),'source merged_div_data'!$A:$A,'source merged_div_data'!B:B)"),2.0)</f>
        <v>2</v>
      </c>
      <c r="E218" s="53">
        <f>IFERROR(__xludf.DUMMYFUNCTION("XLOOKUP(JOIN(""/"",$A218:$B218),'source merged_div_data'!$A:$A,'source merged_div_data'!C:C)"),0.0)</f>
        <v>0</v>
      </c>
      <c r="F218" s="54" t="str">
        <f t="array" ref="F218">IFERROR(
  IFS(
    XLOOKUP(TEXTJOIN("/", TRUE, $A218:$B218), 'source merged_div_data'!$A:$A, 'source merged_div_data'!F:F) &lt; 1024,
      XLOOKUP(TEXTJOIN("/", TRUE, $A218:$B218), 'source merged_div_data'!$A:$A, 'source merged_div_data'!F:F) &amp; " B",
    XLOOKUP(TEXTJOIN("/", TRUE, $A218:$B218), 'source merged_div_data'!$A:$A, 'source merged_div_data'!F:F) &lt; 1048576,
      ROUND(XLOOKUP(TEXTJOIN("/", TRUE, $A218:$B218), 'source merged_div_data'!$A:$A, 'source merged_div_data'!F:F)/1024, 2) &amp; " KB",
    XLOOKUP(TEXTJOIN("/", TRUE, $A218:$B218), 'source merged_div_data'!$A:$A, 'source merged_div_data'!F:F) &lt; 1073741824,
      ROUND(XLOOKUP(TEXTJOIN("/", TRUE, $A218:$B218), 'source merged_div_data'!$A:$A, 'source merged_div_data'!F:F)/1048576, 2) &amp; " MB",
    TRUE,
      ROUND(XLOOKUP(TEXTJOIN("/", TRUE, $A218:$B218), 'source merged_div_data'!$A:$A, 'source merged_div_data'!F:F)/1073741824, 2) &amp; " GB"
  ),
  "×"
)</f>
        <v>27 B</v>
      </c>
      <c r="G218" s="55" t="s">
        <v>1053</v>
      </c>
      <c r="H218" s="55"/>
      <c r="I218" s="55"/>
      <c r="J218" s="55" t="s">
        <v>440</v>
      </c>
      <c r="K218" s="55" t="s">
        <v>1053</v>
      </c>
      <c r="L218" s="55" t="s">
        <v>1723</v>
      </c>
      <c r="M218" s="55" t="s">
        <v>1053</v>
      </c>
      <c r="N218" s="52"/>
      <c r="O218" s="55"/>
      <c r="P218" s="37" t="str">
        <f>IFERROR(__xludf.DUMMYFUNCTION("XLOOKUP(JOIN(""/"",$A218:$B218),'source isilon_divまとめ'!$A:$A,'source isilon_divまとめ'!$D:$D,XLOOKUP(JOIN(""\"",$A218:$B218),'source NetApp-file-sv01-div'!A:A,TEXT('source NetApp-file-sv01-div'!C:C,""yyyy/mm/dd"")))"),"#N/A")</f>
        <v>#N/A</v>
      </c>
    </row>
    <row r="219">
      <c r="A219" s="8" t="s">
        <v>440</v>
      </c>
      <c r="B219" s="8" t="s">
        <v>1218</v>
      </c>
      <c r="C219" s="8" t="s">
        <v>985</v>
      </c>
      <c r="D219" s="56">
        <f>IFERROR(__xludf.DUMMYFUNCTION("XLOOKUP(JOIN(""/"",$A219:$B219),'source merged_div_data'!$A:$A,'source merged_div_data'!B:B)"),1439.0)</f>
        <v>1439</v>
      </c>
      <c r="E219" s="56">
        <f>IFERROR(__xludf.DUMMYFUNCTION("XLOOKUP(JOIN(""/"",$A219:$B219),'source merged_div_data'!$A:$A,'source merged_div_data'!C:C)"),16150.0)</f>
        <v>16150</v>
      </c>
      <c r="F219" s="54" t="str">
        <f t="array" ref="F219">IFERROR(
  IFS(
    XLOOKUP(TEXTJOIN("/", TRUE, $A219:$B219), 'source merged_div_data'!$A:$A, 'source merged_div_data'!F:F) &lt; 1024,
      XLOOKUP(TEXTJOIN("/", TRUE, $A219:$B219), 'source merged_div_data'!$A:$A, 'source merged_div_data'!F:F) &amp; " B",
    XLOOKUP(TEXTJOIN("/", TRUE, $A219:$B219), 'source merged_div_data'!$A:$A, 'source merged_div_data'!F:F) &lt; 1048576,
      ROUND(XLOOKUP(TEXTJOIN("/", TRUE, $A219:$B219), 'source merged_div_data'!$A:$A, 'source merged_div_data'!F:F)/1024, 2) &amp; " KB",
    XLOOKUP(TEXTJOIN("/", TRUE, $A219:$B219), 'source merged_div_data'!$A:$A, 'source merged_div_data'!F:F) &lt; 1073741824,
      ROUND(XLOOKUP(TEXTJOIN("/", TRUE, $A219:$B219), 'source merged_div_data'!$A:$A, 'source merged_div_data'!F:F)/1048576, 2) &amp; " MB",
    TRUE,
      ROUND(XLOOKUP(TEXTJOIN("/", TRUE, $A219:$B219), 'source merged_div_data'!$A:$A, 'source merged_div_data'!F:F)/1073741824, 2) &amp; " GB"
  ),
  "×"
)</f>
        <v>8.37 GB</v>
      </c>
      <c r="G219" s="57" t="s">
        <v>2275</v>
      </c>
      <c r="H219" s="58" t="s">
        <v>2177</v>
      </c>
      <c r="I219" s="57"/>
      <c r="J219" s="37" t="s">
        <v>440</v>
      </c>
      <c r="K219" s="37" t="s">
        <v>1053</v>
      </c>
      <c r="L219" s="37" t="s">
        <v>1723</v>
      </c>
      <c r="M219" s="37" t="s">
        <v>1053</v>
      </c>
      <c r="N219" s="8"/>
      <c r="P219" s="57" t="str">
        <f>IFERROR(__xludf.DUMMYFUNCTION("XLOOKUP(JOIN(""/"",$A219:$B219),'source isilon_divまとめ'!$A:$A,'source isilon_divまとめ'!$D:$D,XLOOKUP(JOIN(""\"",$A219:$B219),'source NetApp-file-sv01-div'!A:A,TEXT('source NetApp-file-sv01-div'!C:C,""yyyy/mm/dd"")))"),"2015/02/03")</f>
        <v>2015/02/03</v>
      </c>
    </row>
    <row r="220">
      <c r="A220" s="52" t="s">
        <v>440</v>
      </c>
      <c r="B220" s="52" t="s">
        <v>90</v>
      </c>
      <c r="C220" s="46" t="s">
        <v>986</v>
      </c>
      <c r="D220" s="53">
        <f>IFERROR(__xludf.DUMMYFUNCTION("XLOOKUP(JOIN(""/"",$A220:$B220),'source merged_div_data'!$A:$A,'source merged_div_data'!B:B)"),21.0)</f>
        <v>21</v>
      </c>
      <c r="E220" s="53">
        <f>IFERROR(__xludf.DUMMYFUNCTION("XLOOKUP(JOIN(""/"",$A220:$B220),'source merged_div_data'!$A:$A,'source merged_div_data'!C:C)"),0.0)</f>
        <v>0</v>
      </c>
      <c r="F220" s="54" t="str">
        <f t="array" ref="F220">IFERROR(
  IFS(
    XLOOKUP(TEXTJOIN("/", TRUE, $A220:$B220), 'source merged_div_data'!$A:$A, 'source merged_div_data'!F:F) &lt; 1024,
      XLOOKUP(TEXTJOIN("/", TRUE, $A220:$B220), 'source merged_div_data'!$A:$A, 'source merged_div_data'!F:F) &amp; " B",
    XLOOKUP(TEXTJOIN("/", TRUE, $A220:$B220), 'source merged_div_data'!$A:$A, 'source merged_div_data'!F:F) &lt; 1048576,
      ROUND(XLOOKUP(TEXTJOIN("/", TRUE, $A220:$B220), 'source merged_div_data'!$A:$A, 'source merged_div_data'!F:F)/1024, 2) &amp; " KB",
    XLOOKUP(TEXTJOIN("/", TRUE, $A220:$B220), 'source merged_div_data'!$A:$A, 'source merged_div_data'!F:F) &lt; 1073741824,
      ROUND(XLOOKUP(TEXTJOIN("/", TRUE, $A220:$B220), 'source merged_div_data'!$A:$A, 'source merged_div_data'!F:F)/1048576, 2) &amp; " MB",
    TRUE,
      ROUND(XLOOKUP(TEXTJOIN("/", TRUE, $A220:$B220), 'source merged_div_data'!$A:$A, 'source merged_div_data'!F:F)/1073741824, 2) &amp; " GB"
  ),
  "×"
)</f>
        <v>648 B</v>
      </c>
      <c r="G220" s="55" t="s">
        <v>1053</v>
      </c>
      <c r="H220" s="55"/>
      <c r="I220" s="55"/>
      <c r="J220" s="55" t="s">
        <v>440</v>
      </c>
      <c r="K220" s="55" t="s">
        <v>90</v>
      </c>
      <c r="L220" s="55" t="s">
        <v>1723</v>
      </c>
      <c r="M220" s="55" t="s">
        <v>1479</v>
      </c>
      <c r="N220" s="52"/>
      <c r="O220" s="55"/>
      <c r="P220" s="37" t="str">
        <f>IFERROR(__xludf.DUMMYFUNCTION("XLOOKUP(JOIN(""/"",$A220:$B220),'source isilon_divまとめ'!$A:$A,'source isilon_divまとめ'!$D:$D,XLOOKUP(JOIN(""\"",$A220:$B220),'source NetApp-file-sv01-div'!A:A,TEXT('source NetApp-file-sv01-div'!C:C,""yyyy/mm/dd"")))"),"#N/A")</f>
        <v>#N/A</v>
      </c>
    </row>
    <row r="221">
      <c r="A221" s="8" t="s">
        <v>440</v>
      </c>
      <c r="B221" s="8" t="s">
        <v>1240</v>
      </c>
      <c r="C221" s="8" t="s">
        <v>985</v>
      </c>
      <c r="D221" s="56">
        <f>IFERROR(__xludf.DUMMYFUNCTION("XLOOKUP(JOIN(""/"",$A221:$B221),'source merged_div_data'!$A:$A,'source merged_div_data'!B:B)"),39.0)</f>
        <v>39</v>
      </c>
      <c r="E221" s="56">
        <f>IFERROR(__xludf.DUMMYFUNCTION("XLOOKUP(JOIN(""/"",$A221:$B221),'source merged_div_data'!$A:$A,'source merged_div_data'!C:C)"),20.0)</f>
        <v>20</v>
      </c>
      <c r="F221" s="54" t="str">
        <f t="array" ref="F221">IFERROR(
  IFS(
    XLOOKUP(TEXTJOIN("/", TRUE, $A221:$B221), 'source merged_div_data'!$A:$A, 'source merged_div_data'!F:F) &lt; 1024,
      XLOOKUP(TEXTJOIN("/", TRUE, $A221:$B221), 'source merged_div_data'!$A:$A, 'source merged_div_data'!F:F) &amp; " B",
    XLOOKUP(TEXTJOIN("/", TRUE, $A221:$B221), 'source merged_div_data'!$A:$A, 'source merged_div_data'!F:F) &lt; 1048576,
      ROUND(XLOOKUP(TEXTJOIN("/", TRUE, $A221:$B221), 'source merged_div_data'!$A:$A, 'source merged_div_data'!F:F)/1024, 2) &amp; " KB",
    XLOOKUP(TEXTJOIN("/", TRUE, $A221:$B221), 'source merged_div_data'!$A:$A, 'source merged_div_data'!F:F) &lt; 1073741824,
      ROUND(XLOOKUP(TEXTJOIN("/", TRUE, $A221:$B221), 'source merged_div_data'!$A:$A, 'source merged_div_data'!F:F)/1048576, 2) &amp; " MB",
    TRUE,
      ROUND(XLOOKUP(TEXTJOIN("/", TRUE, $A221:$B221), 'source merged_div_data'!$A:$A, 'source merged_div_data'!F:F)/1073741824, 2) &amp; " GB"
  ),
  "×"
)</f>
        <v>20.44 MB</v>
      </c>
      <c r="G221" s="57" t="s">
        <v>2276</v>
      </c>
      <c r="H221" s="58" t="s">
        <v>2177</v>
      </c>
      <c r="I221" s="57"/>
      <c r="J221" s="37" t="s">
        <v>440</v>
      </c>
      <c r="K221" s="37" t="s">
        <v>1053</v>
      </c>
      <c r="L221" s="37" t="s">
        <v>1723</v>
      </c>
      <c r="M221" s="37" t="s">
        <v>1053</v>
      </c>
      <c r="N221" s="8"/>
      <c r="P221" s="57" t="str">
        <f>IFERROR(__xludf.DUMMYFUNCTION("XLOOKUP(JOIN(""/"",$A221:$B221),'source isilon_divまとめ'!$A:$A,'source isilon_divまとめ'!$D:$D,XLOOKUP(JOIN(""\"",$A221:$B221),'source NetApp-file-sv01-div'!A:A,TEXT('source NetApp-file-sv01-div'!C:C,""yyyy/mm/dd"")))"),"2016/01/19")</f>
        <v>2016/01/19</v>
      </c>
    </row>
    <row r="222">
      <c r="A222" s="8" t="s">
        <v>440</v>
      </c>
      <c r="B222" s="8" t="s">
        <v>1241</v>
      </c>
      <c r="C222" s="8" t="s">
        <v>985</v>
      </c>
      <c r="D222" s="56">
        <f>IFERROR(__xludf.DUMMYFUNCTION("XLOOKUP(JOIN(""/"",$A222:$B222),'source merged_div_data'!$A:$A,'source merged_div_data'!B:B)"),5402.0)</f>
        <v>5402</v>
      </c>
      <c r="E222" s="56">
        <f>IFERROR(__xludf.DUMMYFUNCTION("XLOOKUP(JOIN(""/"",$A222:$B222),'source merged_div_data'!$A:$A,'source merged_div_data'!C:C)"),39155.0)</f>
        <v>39155</v>
      </c>
      <c r="F222" s="54" t="str">
        <f t="array" ref="F222">IFERROR(
  IFS(
    XLOOKUP(TEXTJOIN("/", TRUE, $A222:$B222), 'source merged_div_data'!$A:$A, 'source merged_div_data'!F:F) &lt; 1024,
      XLOOKUP(TEXTJOIN("/", TRUE, $A222:$B222), 'source merged_div_data'!$A:$A, 'source merged_div_data'!F:F) &amp; " B",
    XLOOKUP(TEXTJOIN("/", TRUE, $A222:$B222), 'source merged_div_data'!$A:$A, 'source merged_div_data'!F:F) &lt; 1048576,
      ROUND(XLOOKUP(TEXTJOIN("/", TRUE, $A222:$B222), 'source merged_div_data'!$A:$A, 'source merged_div_data'!F:F)/1024, 2) &amp; " KB",
    XLOOKUP(TEXTJOIN("/", TRUE, $A222:$B222), 'source merged_div_data'!$A:$A, 'source merged_div_data'!F:F) &lt; 1073741824,
      ROUND(XLOOKUP(TEXTJOIN("/", TRUE, $A222:$B222), 'source merged_div_data'!$A:$A, 'source merged_div_data'!F:F)/1048576, 2) &amp; " MB",
    TRUE,
      ROUND(XLOOKUP(TEXTJOIN("/", TRUE, $A222:$B222), 'source merged_div_data'!$A:$A, 'source merged_div_data'!F:F)/1073741824, 2) &amp; " GB"
  ),
  "×"
)</f>
        <v>112.41 GB</v>
      </c>
      <c r="G222" s="57" t="s">
        <v>2277</v>
      </c>
      <c r="H222" s="58" t="s">
        <v>2177</v>
      </c>
      <c r="I222" s="57"/>
      <c r="J222" s="37" t="s">
        <v>440</v>
      </c>
      <c r="K222" s="37" t="s">
        <v>1053</v>
      </c>
      <c r="L222" s="37" t="s">
        <v>1723</v>
      </c>
      <c r="M222" s="37" t="s">
        <v>1053</v>
      </c>
      <c r="N222" s="8"/>
      <c r="P222" s="57" t="str">
        <f>IFERROR(__xludf.DUMMYFUNCTION("XLOOKUP(JOIN(""/"",$A222:$B222),'source isilon_divまとめ'!$A:$A,'source isilon_divまとめ'!$D:$D,XLOOKUP(JOIN(""\"",$A222:$B222),'source NetApp-file-sv01-div'!A:A,TEXT('source NetApp-file-sv01-div'!C:C,""yyyy/mm/dd"")))"),"2014/10/22")</f>
        <v>2014/10/22</v>
      </c>
    </row>
    <row r="223">
      <c r="A223" s="52" t="s">
        <v>1242</v>
      </c>
      <c r="B223" s="52" t="s">
        <v>819</v>
      </c>
      <c r="C223" s="46" t="s">
        <v>986</v>
      </c>
      <c r="D223" s="53">
        <f>IFERROR(__xludf.DUMMYFUNCTION("XLOOKUP(JOIN(""/"",$A223:$B223),'source merged_div_data'!$A:$A,'source merged_div_data'!B:B)"),8.0)</f>
        <v>8</v>
      </c>
      <c r="E223" s="53">
        <f>IFERROR(__xludf.DUMMYFUNCTION("XLOOKUP(JOIN(""/"",$A223:$B223),'source merged_div_data'!$A:$A,'source merged_div_data'!C:C)"),0.0)</f>
        <v>0</v>
      </c>
      <c r="F223" s="54" t="str">
        <f t="array" ref="F223">IFERROR(
  IFS(
    XLOOKUP(TEXTJOIN("/", TRUE, $A223:$B223), 'source merged_div_data'!$A:$A, 'source merged_div_data'!F:F) &lt; 1024,
      XLOOKUP(TEXTJOIN("/", TRUE, $A223:$B223), 'source merged_div_data'!$A:$A, 'source merged_div_data'!F:F) &amp; " B",
    XLOOKUP(TEXTJOIN("/", TRUE, $A223:$B223), 'source merged_div_data'!$A:$A, 'source merged_div_data'!F:F) &lt; 1048576,
      ROUND(XLOOKUP(TEXTJOIN("/", TRUE, $A223:$B223), 'source merged_div_data'!$A:$A, 'source merged_div_data'!F:F)/1024, 2) &amp; " KB",
    XLOOKUP(TEXTJOIN("/", TRUE, $A223:$B223), 'source merged_div_data'!$A:$A, 'source merged_div_data'!F:F) &lt; 1073741824,
      ROUND(XLOOKUP(TEXTJOIN("/", TRUE, $A223:$B223), 'source merged_div_data'!$A:$A, 'source merged_div_data'!F:F)/1048576, 2) &amp; " MB",
    TRUE,
      ROUND(XLOOKUP(TEXTJOIN("/", TRUE, $A223:$B223), 'source merged_div_data'!$A:$A, 'source merged_div_data'!F:F)/1073741824, 2) &amp; " GB"
  ),
  "×"
)</f>
        <v>310 B</v>
      </c>
      <c r="G223" s="55" t="s">
        <v>1053</v>
      </c>
      <c r="H223" s="55"/>
      <c r="I223" s="55"/>
      <c r="J223" s="55" t="s">
        <v>38</v>
      </c>
      <c r="K223" s="55" t="s">
        <v>819</v>
      </c>
      <c r="L223" s="55" t="s">
        <v>1053</v>
      </c>
      <c r="M223" s="55" t="s">
        <v>2278</v>
      </c>
      <c r="N223" s="52"/>
      <c r="O223" s="55"/>
      <c r="P223" s="37" t="str">
        <f>IFERROR(__xludf.DUMMYFUNCTION("XLOOKUP(JOIN(""/"",$A223:$B223),'source isilon_divまとめ'!$A:$A,'source isilon_divまとめ'!$D:$D,XLOOKUP(JOIN(""\"",$A223:$B223),'source NetApp-file-sv01-div'!A:A,TEXT('source NetApp-file-sv01-div'!C:C,""yyyy/mm/dd"")))"),"#N/A")</f>
        <v>#N/A</v>
      </c>
    </row>
    <row r="224">
      <c r="A224" s="8" t="s">
        <v>1242</v>
      </c>
      <c r="B224" s="8" t="s">
        <v>1243</v>
      </c>
      <c r="C224" s="7" t="s">
        <v>987</v>
      </c>
      <c r="D224" s="56">
        <f>IFERROR(__xludf.DUMMYFUNCTION("XLOOKUP(JOIN(""/"",$A224:$B224),'source merged_div_data'!$A:$A,'source merged_div_data'!B:B)"),31.0)</f>
        <v>31</v>
      </c>
      <c r="E224" s="56">
        <f>IFERROR(__xludf.DUMMYFUNCTION("XLOOKUP(JOIN(""/"",$A224:$B224),'source merged_div_data'!$A:$A,'source merged_div_data'!C:C)"),1.0)</f>
        <v>1</v>
      </c>
      <c r="F224" s="54" t="str">
        <f t="array" ref="F224">IFERROR(
  IFS(
    XLOOKUP(TEXTJOIN("/", TRUE, $A224:$B224), 'source merged_div_data'!$A:$A, 'source merged_div_data'!F:F) &lt; 1024,
      XLOOKUP(TEXTJOIN("/", TRUE, $A224:$B224), 'source merged_div_data'!$A:$A, 'source merged_div_data'!F:F) &amp; " B",
    XLOOKUP(TEXTJOIN("/", TRUE, $A224:$B224), 'source merged_div_data'!$A:$A, 'source merged_div_data'!F:F) &lt; 1048576,
      ROUND(XLOOKUP(TEXTJOIN("/", TRUE, $A224:$B224), 'source merged_div_data'!$A:$A, 'source merged_div_data'!F:F)/1024, 2) &amp; " KB",
    XLOOKUP(TEXTJOIN("/", TRUE, $A224:$B224), 'source merged_div_data'!$A:$A, 'source merged_div_data'!F:F) &lt; 1073741824,
      ROUND(XLOOKUP(TEXTJOIN("/", TRUE, $A224:$B224), 'source merged_div_data'!$A:$A, 'source merged_div_data'!F:F)/1048576, 2) &amp; " MB",
    TRUE,
      ROUND(XLOOKUP(TEXTJOIN("/", TRUE, $A224:$B224), 'source merged_div_data'!$A:$A, 'source merged_div_data'!F:F)/1073741824, 2) &amp; " GB"
  ),
  "×"
)</f>
        <v>7.06 KB</v>
      </c>
      <c r="G224" s="37" t="s">
        <v>1053</v>
      </c>
      <c r="H224" s="7" t="s">
        <v>2177</v>
      </c>
      <c r="I224" s="37"/>
      <c r="J224" s="8" t="s">
        <v>1242</v>
      </c>
      <c r="K224" s="7" t="s">
        <v>1053</v>
      </c>
      <c r="L224" s="7" t="s">
        <v>2135</v>
      </c>
      <c r="M224" s="37" t="s">
        <v>1053</v>
      </c>
      <c r="N224" s="7" t="s">
        <v>1052</v>
      </c>
      <c r="P224" s="37" t="str">
        <f>IFERROR(__xludf.DUMMYFUNCTION("XLOOKUP(JOIN(""/"",$A224:$B224),'source isilon_divまとめ'!$A:$A,'source isilon_divまとめ'!$D:$D,XLOOKUP(JOIN(""\"",$A224:$B224),'source NetApp-file-sv01-div'!A:A,TEXT('source NetApp-file-sv01-div'!C:C,""yyyy/mm/dd"")))"),"#N/A")</f>
        <v>#N/A</v>
      </c>
    </row>
    <row r="225">
      <c r="A225" s="52" t="s">
        <v>1242</v>
      </c>
      <c r="B225" s="52" t="s">
        <v>1226</v>
      </c>
      <c r="C225" s="46" t="s">
        <v>986</v>
      </c>
      <c r="D225" s="53">
        <f>IFERROR(__xludf.DUMMYFUNCTION("XLOOKUP(JOIN(""/"",$A225:$B225),'source merged_div_data'!$A:$A,'source merged_div_data'!B:B)"),3.0)</f>
        <v>3</v>
      </c>
      <c r="E225" s="53">
        <f>IFERROR(__xludf.DUMMYFUNCTION("XLOOKUP(JOIN(""/"",$A225:$B225),'source merged_div_data'!$A:$A,'source merged_div_data'!C:C)"),0.0)</f>
        <v>0</v>
      </c>
      <c r="F225" s="54" t="str">
        <f t="array" ref="F225">IFERROR(
  IFS(
    XLOOKUP(TEXTJOIN("/", TRUE, $A225:$B225), 'source merged_div_data'!$A:$A, 'source merged_div_data'!F:F) &lt; 1024,
      XLOOKUP(TEXTJOIN("/", TRUE, $A225:$B225), 'source merged_div_data'!$A:$A, 'source merged_div_data'!F:F) &amp; " B",
    XLOOKUP(TEXTJOIN("/", TRUE, $A225:$B225), 'source merged_div_data'!$A:$A, 'source merged_div_data'!F:F) &lt; 1048576,
      ROUND(XLOOKUP(TEXTJOIN("/", TRUE, $A225:$B225), 'source merged_div_data'!$A:$A, 'source merged_div_data'!F:F)/1024, 2) &amp; " KB",
    XLOOKUP(TEXTJOIN("/", TRUE, $A225:$B225), 'source merged_div_data'!$A:$A, 'source merged_div_data'!F:F) &lt; 1073741824,
      ROUND(XLOOKUP(TEXTJOIN("/", TRUE, $A225:$B225), 'source merged_div_data'!$A:$A, 'source merged_div_data'!F:F)/1048576, 2) &amp; " MB",
    TRUE,
      ROUND(XLOOKUP(TEXTJOIN("/", TRUE, $A225:$B225), 'source merged_div_data'!$A:$A, 'source merged_div_data'!F:F)/1073741824, 2) &amp; " GB"
  ),
  "×"
)</f>
        <v>77 B</v>
      </c>
      <c r="G225" s="55" t="s">
        <v>1053</v>
      </c>
      <c r="H225" s="55"/>
      <c r="I225" s="55"/>
      <c r="J225" s="55" t="s">
        <v>38</v>
      </c>
      <c r="K225" s="55" t="s">
        <v>1053</v>
      </c>
      <c r="L225" s="46" t="s">
        <v>2135</v>
      </c>
      <c r="M225" s="55" t="s">
        <v>1053</v>
      </c>
      <c r="N225" s="52"/>
      <c r="O225" s="55"/>
      <c r="P225" s="37" t="str">
        <f>IFERROR(__xludf.DUMMYFUNCTION("XLOOKUP(JOIN(""/"",$A225:$B225),'source isilon_divまとめ'!$A:$A,'source isilon_divまとめ'!$D:$D,XLOOKUP(JOIN(""\"",$A225:$B225),'source NetApp-file-sv01-div'!A:A,TEXT('source NetApp-file-sv01-div'!C:C,""yyyy/mm/dd"")))"),"#N/A")</f>
        <v>#N/A</v>
      </c>
    </row>
    <row r="226">
      <c r="A226" s="52" t="s">
        <v>1242</v>
      </c>
      <c r="B226" s="52" t="s">
        <v>1244</v>
      </c>
      <c r="C226" s="46" t="s">
        <v>986</v>
      </c>
      <c r="D226" s="53">
        <f>IFERROR(__xludf.DUMMYFUNCTION("XLOOKUP(JOIN(""/"",$A226:$B226),'source merged_div_data'!$A:$A,'source merged_div_data'!B:B)"),6.0)</f>
        <v>6</v>
      </c>
      <c r="E226" s="53">
        <f>IFERROR(__xludf.DUMMYFUNCTION("XLOOKUP(JOIN(""/"",$A226:$B226),'source merged_div_data'!$A:$A,'source merged_div_data'!C:C)"),0.0)</f>
        <v>0</v>
      </c>
      <c r="F226" s="54" t="str">
        <f t="array" ref="F226">IFERROR(
  IFS(
    XLOOKUP(TEXTJOIN("/", TRUE, $A226:$B226), 'source merged_div_data'!$A:$A, 'source merged_div_data'!F:F) &lt; 1024,
      XLOOKUP(TEXTJOIN("/", TRUE, $A226:$B226), 'source merged_div_data'!$A:$A, 'source merged_div_data'!F:F) &amp; " B",
    XLOOKUP(TEXTJOIN("/", TRUE, $A226:$B226), 'source merged_div_data'!$A:$A, 'source merged_div_data'!F:F) &lt; 1048576,
      ROUND(XLOOKUP(TEXTJOIN("/", TRUE, $A226:$B226), 'source merged_div_data'!$A:$A, 'source merged_div_data'!F:F)/1024, 2) &amp; " KB",
    XLOOKUP(TEXTJOIN("/", TRUE, $A226:$B226), 'source merged_div_data'!$A:$A, 'source merged_div_data'!F:F) &lt; 1073741824,
      ROUND(XLOOKUP(TEXTJOIN("/", TRUE, $A226:$B226), 'source merged_div_data'!$A:$A, 'source merged_div_data'!F:F)/1048576, 2) &amp; " MB",
    TRUE,
      ROUND(XLOOKUP(TEXTJOIN("/", TRUE, $A226:$B226), 'source merged_div_data'!$A:$A, 'source merged_div_data'!F:F)/1073741824, 2) &amp; " GB"
  ),
  "×"
)</f>
        <v>164 B</v>
      </c>
      <c r="G226" s="55" t="s">
        <v>1053</v>
      </c>
      <c r="H226" s="55"/>
      <c r="I226" s="55"/>
      <c r="J226" s="55" t="s">
        <v>38</v>
      </c>
      <c r="K226" s="55" t="s">
        <v>1053</v>
      </c>
      <c r="L226" s="46" t="s">
        <v>2135</v>
      </c>
      <c r="M226" s="55" t="s">
        <v>1053</v>
      </c>
      <c r="N226" s="52"/>
      <c r="O226" s="55"/>
      <c r="P226" s="37" t="str">
        <f>IFERROR(__xludf.DUMMYFUNCTION("XLOOKUP(JOIN(""/"",$A226:$B226),'source isilon_divまとめ'!$A:$A,'source isilon_divまとめ'!$D:$D,XLOOKUP(JOIN(""\"",$A226:$B226),'source NetApp-file-sv01-div'!A:A,TEXT('source NetApp-file-sv01-div'!C:C,""yyyy/mm/dd"")))"),"#N/A")</f>
        <v>#N/A</v>
      </c>
    </row>
    <row r="227">
      <c r="A227" s="8" t="s">
        <v>1242</v>
      </c>
      <c r="B227" s="8" t="s">
        <v>1245</v>
      </c>
      <c r="C227" s="7" t="s">
        <v>987</v>
      </c>
      <c r="D227" s="56">
        <f>IFERROR(__xludf.DUMMYFUNCTION("XLOOKUP(JOIN(""/"",$A227:$B227),'source merged_div_data'!$A:$A,'source merged_div_data'!B:B)"),1976.0)</f>
        <v>1976</v>
      </c>
      <c r="E227" s="56">
        <f>IFERROR(__xludf.DUMMYFUNCTION("XLOOKUP(JOIN(""/"",$A227:$B227),'source merged_div_data'!$A:$A,'source merged_div_data'!C:C)"),33543.0)</f>
        <v>33543</v>
      </c>
      <c r="F227" s="54" t="str">
        <f t="array" ref="F227">IFERROR(
  IFS(
    XLOOKUP(TEXTJOIN("/", TRUE, $A227:$B227), 'source merged_div_data'!$A:$A, 'source merged_div_data'!F:F) &lt; 1024,
      XLOOKUP(TEXTJOIN("/", TRUE, $A227:$B227), 'source merged_div_data'!$A:$A, 'source merged_div_data'!F:F) &amp; " B",
    XLOOKUP(TEXTJOIN("/", TRUE, $A227:$B227), 'source merged_div_data'!$A:$A, 'source merged_div_data'!F:F) &lt; 1048576,
      ROUND(XLOOKUP(TEXTJOIN("/", TRUE, $A227:$B227), 'source merged_div_data'!$A:$A, 'source merged_div_data'!F:F)/1024, 2) &amp; " KB",
    XLOOKUP(TEXTJOIN("/", TRUE, $A227:$B227), 'source merged_div_data'!$A:$A, 'source merged_div_data'!F:F) &lt; 1073741824,
      ROUND(XLOOKUP(TEXTJOIN("/", TRUE, $A227:$B227), 'source merged_div_data'!$A:$A, 'source merged_div_data'!F:F)/1048576, 2) &amp; " MB",
    TRUE,
      ROUND(XLOOKUP(TEXTJOIN("/", TRUE, $A227:$B227), 'source merged_div_data'!$A:$A, 'source merged_div_data'!F:F)/1073741824, 2) &amp; " GB"
  ),
  "×"
)</f>
        <v>60.39 GB</v>
      </c>
      <c r="G227" s="57" t="s">
        <v>2279</v>
      </c>
      <c r="H227" s="58" t="s">
        <v>2177</v>
      </c>
      <c r="I227" s="57"/>
      <c r="J227" s="8" t="s">
        <v>1242</v>
      </c>
      <c r="K227" s="7" t="s">
        <v>43</v>
      </c>
      <c r="L227" s="37" t="str">
        <f t="array" ref="L227">XLOOKUP(J227,'本部長検索'!P:P,'本部長検索'!A:A,"×")</f>
        <v>×</v>
      </c>
      <c r="M227" s="7" t="s">
        <v>1467</v>
      </c>
      <c r="N227" s="7" t="s">
        <v>1052</v>
      </c>
      <c r="P227" s="57" t="str">
        <f>IFERROR(__xludf.DUMMYFUNCTION("XLOOKUP(JOIN(""/"",$A227:$B227),'source isilon_divまとめ'!$A:$A,'source isilon_divまとめ'!$D:$D,XLOOKUP(JOIN(""\"",$A227:$B227),'source NetApp-file-sv01-div'!A:A,TEXT('source NetApp-file-sv01-div'!C:C,""yyyy/mm/dd"")))"),"2020/01/30")</f>
        <v>2020/01/30</v>
      </c>
    </row>
    <row r="228">
      <c r="A228" s="52" t="s">
        <v>1242</v>
      </c>
      <c r="B228" s="52" t="s">
        <v>821</v>
      </c>
      <c r="C228" s="46" t="s">
        <v>986</v>
      </c>
      <c r="D228" s="53">
        <f>IFERROR(__xludf.DUMMYFUNCTION("XLOOKUP(JOIN(""/"",$A228:$B228),'source merged_div_data'!$A:$A,'source merged_div_data'!B:B)"),8.0)</f>
        <v>8</v>
      </c>
      <c r="E228" s="53">
        <f>IFERROR(__xludf.DUMMYFUNCTION("XLOOKUP(JOIN(""/"",$A228:$B228),'source merged_div_data'!$A:$A,'source merged_div_data'!C:C)"),0.0)</f>
        <v>0</v>
      </c>
      <c r="F228" s="54" t="str">
        <f t="array" ref="F228">IFERROR(
  IFS(
    XLOOKUP(TEXTJOIN("/", TRUE, $A228:$B228), 'source merged_div_data'!$A:$A, 'source merged_div_data'!F:F) &lt; 1024,
      XLOOKUP(TEXTJOIN("/", TRUE, $A228:$B228), 'source merged_div_data'!$A:$A, 'source merged_div_data'!F:F) &amp; " B",
    XLOOKUP(TEXTJOIN("/", TRUE, $A228:$B228), 'source merged_div_data'!$A:$A, 'source merged_div_data'!F:F) &lt; 1048576,
      ROUND(XLOOKUP(TEXTJOIN("/", TRUE, $A228:$B228), 'source merged_div_data'!$A:$A, 'source merged_div_data'!F:F)/1024, 2) &amp; " KB",
    XLOOKUP(TEXTJOIN("/", TRUE, $A228:$B228), 'source merged_div_data'!$A:$A, 'source merged_div_data'!F:F) &lt; 1073741824,
      ROUND(XLOOKUP(TEXTJOIN("/", TRUE, $A228:$B228), 'source merged_div_data'!$A:$A, 'source merged_div_data'!F:F)/1048576, 2) &amp; " MB",
    TRUE,
      ROUND(XLOOKUP(TEXTJOIN("/", TRUE, $A228:$B228), 'source merged_div_data'!$A:$A, 'source merged_div_data'!F:F)/1073741824, 2) &amp; " GB"
  ),
  "×"
)</f>
        <v>216 B</v>
      </c>
      <c r="G228" s="55" t="s">
        <v>1053</v>
      </c>
      <c r="H228" s="55"/>
      <c r="I228" s="55"/>
      <c r="J228" s="55" t="s">
        <v>38</v>
      </c>
      <c r="K228" s="55" t="s">
        <v>821</v>
      </c>
      <c r="L228" s="55" t="s">
        <v>1053</v>
      </c>
      <c r="M228" s="55" t="s">
        <v>2280</v>
      </c>
      <c r="N228" s="52"/>
      <c r="O228" s="55"/>
      <c r="P228" s="37" t="str">
        <f>IFERROR(__xludf.DUMMYFUNCTION("XLOOKUP(JOIN(""/"",$A228:$B228),'source isilon_divまとめ'!$A:$A,'source isilon_divまとめ'!$D:$D,XLOOKUP(JOIN(""\"",$A228:$B228),'source NetApp-file-sv01-div'!A:A,TEXT('source NetApp-file-sv01-div'!C:C,""yyyy/mm/dd"")))"),"#N/A")</f>
        <v>#N/A</v>
      </c>
    </row>
    <row r="229">
      <c r="A229" s="52" t="s">
        <v>1242</v>
      </c>
      <c r="B229" s="52" t="s">
        <v>824</v>
      </c>
      <c r="C229" s="46" t="s">
        <v>986</v>
      </c>
      <c r="D229" s="53">
        <f>IFERROR(__xludf.DUMMYFUNCTION("XLOOKUP(JOIN(""/"",$A229:$B229),'source merged_div_data'!$A:$A,'source merged_div_data'!B:B)"),49.0)</f>
        <v>49</v>
      </c>
      <c r="E229" s="53">
        <f>IFERROR(__xludf.DUMMYFUNCTION("XLOOKUP(JOIN(""/"",$A229:$B229),'source merged_div_data'!$A:$A,'source merged_div_data'!C:C)"),0.0)</f>
        <v>0</v>
      </c>
      <c r="F229" s="54" t="str">
        <f t="array" ref="F229">IFERROR(
  IFS(
    XLOOKUP(TEXTJOIN("/", TRUE, $A229:$B229), 'source merged_div_data'!$A:$A, 'source merged_div_data'!F:F) &lt; 1024,
      XLOOKUP(TEXTJOIN("/", TRUE, $A229:$B229), 'source merged_div_data'!$A:$A, 'source merged_div_data'!F:F) &amp; " B",
    XLOOKUP(TEXTJOIN("/", TRUE, $A229:$B229), 'source merged_div_data'!$A:$A, 'source merged_div_data'!F:F) &lt; 1048576,
      ROUND(XLOOKUP(TEXTJOIN("/", TRUE, $A229:$B229), 'source merged_div_data'!$A:$A, 'source merged_div_data'!F:F)/1024, 2) &amp; " KB",
    XLOOKUP(TEXTJOIN("/", TRUE, $A229:$B229), 'source merged_div_data'!$A:$A, 'source merged_div_data'!F:F) &lt; 1073741824,
      ROUND(XLOOKUP(TEXTJOIN("/", TRUE, $A229:$B229), 'source merged_div_data'!$A:$A, 'source merged_div_data'!F:F)/1048576, 2) &amp; " MB",
    TRUE,
      ROUND(XLOOKUP(TEXTJOIN("/", TRUE, $A229:$B229), 'source merged_div_data'!$A:$A, 'source merged_div_data'!F:F)/1073741824, 2) &amp; " GB"
  ),
  "×"
)</f>
        <v>1.63 KB</v>
      </c>
      <c r="G229" s="55" t="s">
        <v>1053</v>
      </c>
      <c r="H229" s="55"/>
      <c r="I229" s="55"/>
      <c r="J229" s="55" t="s">
        <v>38</v>
      </c>
      <c r="K229" s="55" t="s">
        <v>331</v>
      </c>
      <c r="L229" s="55" t="s">
        <v>1053</v>
      </c>
      <c r="M229" s="55" t="s">
        <v>2281</v>
      </c>
      <c r="N229" s="52"/>
      <c r="O229" s="55"/>
      <c r="P229" s="37" t="str">
        <f>IFERROR(__xludf.DUMMYFUNCTION("XLOOKUP(JOIN(""/"",$A229:$B229),'source isilon_divまとめ'!$A:$A,'source isilon_divまとめ'!$D:$D,XLOOKUP(JOIN(""\"",$A229:$B229),'source NetApp-file-sv01-div'!A:A,TEXT('source NetApp-file-sv01-div'!C:C,""yyyy/mm/dd"")))"),"#N/A")</f>
        <v>#N/A</v>
      </c>
    </row>
    <row r="230">
      <c r="A230" s="8" t="s">
        <v>1242</v>
      </c>
      <c r="B230" s="8" t="s">
        <v>48</v>
      </c>
      <c r="C230" s="8" t="s">
        <v>985</v>
      </c>
      <c r="D230" s="56">
        <f>IFERROR(__xludf.DUMMYFUNCTION("XLOOKUP(JOIN(""/"",$A230:$B230),'source merged_div_data'!$A:$A,'source merged_div_data'!B:B)"),21644.0)</f>
        <v>21644</v>
      </c>
      <c r="E230" s="56">
        <f>IFERROR(__xludf.DUMMYFUNCTION("XLOOKUP(JOIN(""/"",$A230:$B230),'source merged_div_data'!$A:$A,'source merged_div_data'!C:C)"),99138.0)</f>
        <v>99138</v>
      </c>
      <c r="F230" s="54" t="str">
        <f t="array" ref="F230">IFERROR(
  IFS(
    XLOOKUP(TEXTJOIN("/", TRUE, $A230:$B230), 'source merged_div_data'!$A:$A, 'source merged_div_data'!F:F) &lt; 1024,
      XLOOKUP(TEXTJOIN("/", TRUE, $A230:$B230), 'source merged_div_data'!$A:$A, 'source merged_div_data'!F:F) &amp; " B",
    XLOOKUP(TEXTJOIN("/", TRUE, $A230:$B230), 'source merged_div_data'!$A:$A, 'source merged_div_data'!F:F) &lt; 1048576,
      ROUND(XLOOKUP(TEXTJOIN("/", TRUE, $A230:$B230), 'source merged_div_data'!$A:$A, 'source merged_div_data'!F:F)/1024, 2) &amp; " KB",
    XLOOKUP(TEXTJOIN("/", TRUE, $A230:$B230), 'source merged_div_data'!$A:$A, 'source merged_div_data'!F:F) &lt; 1073741824,
      ROUND(XLOOKUP(TEXTJOIN("/", TRUE, $A230:$B230), 'source merged_div_data'!$A:$A, 'source merged_div_data'!F:F)/1048576, 2) &amp; " MB",
    TRUE,
      ROUND(XLOOKUP(TEXTJOIN("/", TRUE, $A230:$B230), 'source merged_div_data'!$A:$A, 'source merged_div_data'!F:F)/1073741824, 2) &amp; " GB"
  ),
  "×"
)</f>
        <v>163.42 GB</v>
      </c>
      <c r="G230" s="57" t="s">
        <v>2192</v>
      </c>
      <c r="H230" s="58" t="s">
        <v>2184</v>
      </c>
      <c r="I230" s="57"/>
      <c r="J230" s="37" t="s">
        <v>38</v>
      </c>
      <c r="K230" s="37" t="s">
        <v>48</v>
      </c>
      <c r="L230" s="37" t="s">
        <v>1053</v>
      </c>
      <c r="M230" s="37" t="s">
        <v>1421</v>
      </c>
      <c r="N230" s="8"/>
      <c r="P230" s="57" t="str">
        <f>IFERROR(__xludf.DUMMYFUNCTION("XLOOKUP(JOIN(""/"",$A230:$B230),'source isilon_divまとめ'!$A:$A,'source isilon_divまとめ'!$D:$D,XLOOKUP(JOIN(""\"",$A230:$B230),'source NetApp-file-sv01-div'!A:A,TEXT('source NetApp-file-sv01-div'!C:C,""yyyy/mm/dd"")))"),"2025/07/08")</f>
        <v>2025/07/08</v>
      </c>
    </row>
    <row r="231">
      <c r="A231" s="8" t="s">
        <v>1242</v>
      </c>
      <c r="B231" s="8" t="s">
        <v>953</v>
      </c>
      <c r="C231" s="8" t="s">
        <v>987</v>
      </c>
      <c r="D231" s="56">
        <f>IFERROR(__xludf.DUMMYFUNCTION("XLOOKUP(JOIN(""/"",$A231:$B231),'source merged_div_data'!$A:$A,'source merged_div_data'!B:B)"),10.0)</f>
        <v>10</v>
      </c>
      <c r="E231" s="56">
        <f>IFERROR(__xludf.DUMMYFUNCTION("XLOOKUP(JOIN(""/"",$A231:$B231),'source merged_div_data'!$A:$A,'source merged_div_data'!C:C)"),1.0)</f>
        <v>1</v>
      </c>
      <c r="F231" s="54" t="str">
        <f t="array" ref="F231">IFERROR(
  IFS(
    XLOOKUP(TEXTJOIN("/", TRUE, $A231:$B231), 'source merged_div_data'!$A:$A, 'source merged_div_data'!F:F) &lt; 1024,
      XLOOKUP(TEXTJOIN("/", TRUE, $A231:$B231), 'source merged_div_data'!$A:$A, 'source merged_div_data'!F:F) &amp; " B",
    XLOOKUP(TEXTJOIN("/", TRUE, $A231:$B231), 'source merged_div_data'!$A:$A, 'source merged_div_data'!F:F) &lt; 1048576,
      ROUND(XLOOKUP(TEXTJOIN("/", TRUE, $A231:$B231), 'source merged_div_data'!$A:$A, 'source merged_div_data'!F:F)/1024, 2) &amp; " KB",
    XLOOKUP(TEXTJOIN("/", TRUE, $A231:$B231), 'source merged_div_data'!$A:$A, 'source merged_div_data'!F:F) &lt; 1073741824,
      ROUND(XLOOKUP(TEXTJOIN("/", TRUE, $A231:$B231), 'source merged_div_data'!$A:$A, 'source merged_div_data'!F:F)/1048576, 2) &amp; " MB",
    TRUE,
      ROUND(XLOOKUP(TEXTJOIN("/", TRUE, $A231:$B231), 'source merged_div_data'!$A:$A, 'source merged_div_data'!F:F)/1073741824, 2) &amp; " GB"
  ),
  "×"
)</f>
        <v>335.59 KB</v>
      </c>
      <c r="G231" s="57" t="s">
        <v>2282</v>
      </c>
      <c r="H231" s="58" t="s">
        <v>2177</v>
      </c>
      <c r="I231" s="57"/>
      <c r="J231" s="7" t="s">
        <v>555</v>
      </c>
      <c r="K231" s="7" t="s">
        <v>953</v>
      </c>
      <c r="L231" s="7" t="s">
        <v>2135</v>
      </c>
      <c r="M231" s="37" t="s">
        <v>1053</v>
      </c>
      <c r="N231" s="8"/>
      <c r="P231" s="57" t="str">
        <f>IFERROR(__xludf.DUMMYFUNCTION("XLOOKUP(JOIN(""/"",$A231:$B231),'source isilon_divまとめ'!$A:$A,'source isilon_divまとめ'!$D:$D,XLOOKUP(JOIN(""\"",$A231:$B231),'source NetApp-file-sv01-div'!A:A,TEXT('source NetApp-file-sv01-div'!C:C,""yyyy/mm/dd"")))"),"2018/06/13")</f>
        <v>2018/06/13</v>
      </c>
    </row>
    <row r="232">
      <c r="A232" s="52" t="s">
        <v>1242</v>
      </c>
      <c r="B232" s="52" t="s">
        <v>1111</v>
      </c>
      <c r="C232" s="46" t="s">
        <v>986</v>
      </c>
      <c r="D232" s="53">
        <f>IFERROR(__xludf.DUMMYFUNCTION("XLOOKUP(JOIN(""/"",$A232:$B232),'source merged_div_data'!$A:$A,'source merged_div_data'!B:B)"),1.0)</f>
        <v>1</v>
      </c>
      <c r="E232" s="53">
        <f>IFERROR(__xludf.DUMMYFUNCTION("XLOOKUP(JOIN(""/"",$A232:$B232),'source merged_div_data'!$A:$A,'source merged_div_data'!C:C)"),0.0)</f>
        <v>0</v>
      </c>
      <c r="F232" s="54" t="str">
        <f t="array" ref="F232">IFERROR(
  IFS(
    XLOOKUP(TEXTJOIN("/", TRUE, $A232:$B232), 'source merged_div_data'!$A:$A, 'source merged_div_data'!F:F) &lt; 1024,
      XLOOKUP(TEXTJOIN("/", TRUE, $A232:$B232), 'source merged_div_data'!$A:$A, 'source merged_div_data'!F:F) &amp; " B",
    XLOOKUP(TEXTJOIN("/", TRUE, $A232:$B232), 'source merged_div_data'!$A:$A, 'source merged_div_data'!F:F) &lt; 1048576,
      ROUND(XLOOKUP(TEXTJOIN("/", TRUE, $A232:$B232), 'source merged_div_data'!$A:$A, 'source merged_div_data'!F:F)/1024, 2) &amp; " KB",
    XLOOKUP(TEXTJOIN("/", TRUE, $A232:$B232), 'source merged_div_data'!$A:$A, 'source merged_div_data'!F:F) &lt; 1073741824,
      ROUND(XLOOKUP(TEXTJOIN("/", TRUE, $A232:$B232), 'source merged_div_data'!$A:$A, 'source merged_div_data'!F:F)/1048576, 2) &amp; " MB",
    TRUE,
      ROUND(XLOOKUP(TEXTJOIN("/", TRUE, $A232:$B232), 'source merged_div_data'!$A:$A, 'source merged_div_data'!F:F)/1073741824, 2) &amp; " GB"
  ),
  "×"
)</f>
        <v>0 B</v>
      </c>
      <c r="G232" s="55" t="s">
        <v>1053</v>
      </c>
      <c r="H232" s="55"/>
      <c r="I232" s="55"/>
      <c r="J232" s="55" t="s">
        <v>38</v>
      </c>
      <c r="K232" s="55" t="s">
        <v>1053</v>
      </c>
      <c r="L232" s="46" t="s">
        <v>2135</v>
      </c>
      <c r="M232" s="55" t="s">
        <v>1053</v>
      </c>
      <c r="N232" s="52"/>
      <c r="O232" s="55"/>
      <c r="P232" s="37" t="str">
        <f>IFERROR(__xludf.DUMMYFUNCTION("XLOOKUP(JOIN(""/"",$A232:$B232),'source isilon_divまとめ'!$A:$A,'source isilon_divまとめ'!$D:$D,XLOOKUP(JOIN(""\"",$A232:$B232),'source NetApp-file-sv01-div'!A:A,TEXT('source NetApp-file-sv01-div'!C:C,""yyyy/mm/dd"")))"),"#N/A")</f>
        <v>#N/A</v>
      </c>
    </row>
    <row r="233">
      <c r="A233" s="8" t="s">
        <v>1242</v>
      </c>
      <c r="B233" s="8" t="s">
        <v>1246</v>
      </c>
      <c r="C233" s="8" t="s">
        <v>987</v>
      </c>
      <c r="D233" s="56">
        <f>IFERROR(__xludf.DUMMYFUNCTION("XLOOKUP(JOIN(""/"",$A233:$B233),'source merged_div_data'!$A:$A,'source merged_div_data'!B:B)"),32.0)</f>
        <v>32</v>
      </c>
      <c r="E233" s="56">
        <f>IFERROR(__xludf.DUMMYFUNCTION("XLOOKUP(JOIN(""/"",$A233:$B233),'source merged_div_data'!$A:$A,'source merged_div_data'!C:C)"),4.0)</f>
        <v>4</v>
      </c>
      <c r="F233" s="54" t="str">
        <f t="array" ref="F233">IFERROR(
  IFS(
    XLOOKUP(TEXTJOIN("/", TRUE, $A233:$B233), 'source merged_div_data'!$A:$A, 'source merged_div_data'!F:F) &lt; 1024,
      XLOOKUP(TEXTJOIN("/", TRUE, $A233:$B233), 'source merged_div_data'!$A:$A, 'source merged_div_data'!F:F) &amp; " B",
    XLOOKUP(TEXTJOIN("/", TRUE, $A233:$B233), 'source merged_div_data'!$A:$A, 'source merged_div_data'!F:F) &lt; 1048576,
      ROUND(XLOOKUP(TEXTJOIN("/", TRUE, $A233:$B233), 'source merged_div_data'!$A:$A, 'source merged_div_data'!F:F)/1024, 2) &amp; " KB",
    XLOOKUP(TEXTJOIN("/", TRUE, $A233:$B233), 'source merged_div_data'!$A:$A, 'source merged_div_data'!F:F) &lt; 1073741824,
      ROUND(XLOOKUP(TEXTJOIN("/", TRUE, $A233:$B233), 'source merged_div_data'!$A:$A, 'source merged_div_data'!F:F)/1048576, 2) &amp; " MB",
    TRUE,
      ROUND(XLOOKUP(TEXTJOIN("/", TRUE, $A233:$B233), 'source merged_div_data'!$A:$A, 'source merged_div_data'!F:F)/1073741824, 2) &amp; " GB"
  ),
  "×"
)</f>
        <v>32.85 KB</v>
      </c>
      <c r="G233" s="57" t="s">
        <v>2283</v>
      </c>
      <c r="H233" s="58" t="s">
        <v>2177</v>
      </c>
      <c r="I233" s="57"/>
      <c r="J233" s="7" t="s">
        <v>555</v>
      </c>
      <c r="K233" s="7" t="s">
        <v>1053</v>
      </c>
      <c r="L233" s="7" t="s">
        <v>2135</v>
      </c>
      <c r="M233" s="37" t="s">
        <v>1053</v>
      </c>
      <c r="N233" s="8"/>
      <c r="P233" s="57" t="str">
        <f>IFERROR(__xludf.DUMMYFUNCTION("XLOOKUP(JOIN(""/"",$A233:$B233),'source isilon_divまとめ'!$A:$A,'source isilon_divまとめ'!$D:$D,XLOOKUP(JOIN(""\"",$A233:$B233),'source NetApp-file-sv01-div'!A:A,TEXT('source NetApp-file-sv01-div'!C:C,""yyyy/mm/dd"")))"),"2019/04/18")</f>
        <v>2019/04/18</v>
      </c>
    </row>
    <row r="234">
      <c r="A234" s="52" t="s">
        <v>1242</v>
      </c>
      <c r="B234" s="52" t="s">
        <v>39</v>
      </c>
      <c r="C234" s="46" t="s">
        <v>986</v>
      </c>
      <c r="D234" s="53">
        <f>IFERROR(__xludf.DUMMYFUNCTION("XLOOKUP(JOIN(""/"",$A234:$B234),'source merged_div_data'!$A:$A,'source merged_div_data'!B:B)"),19.0)</f>
        <v>19</v>
      </c>
      <c r="E234" s="53">
        <f>IFERROR(__xludf.DUMMYFUNCTION("XLOOKUP(JOIN(""/"",$A234:$B234),'source merged_div_data'!$A:$A,'source merged_div_data'!C:C)"),0.0)</f>
        <v>0</v>
      </c>
      <c r="F234" s="54" t="str">
        <f t="array" ref="F234">IFERROR(
  IFS(
    XLOOKUP(TEXTJOIN("/", TRUE, $A234:$B234), 'source merged_div_data'!$A:$A, 'source merged_div_data'!F:F) &lt; 1024,
      XLOOKUP(TEXTJOIN("/", TRUE, $A234:$B234), 'source merged_div_data'!$A:$A, 'source merged_div_data'!F:F) &amp; " B",
    XLOOKUP(TEXTJOIN("/", TRUE, $A234:$B234), 'source merged_div_data'!$A:$A, 'source merged_div_data'!F:F) &lt; 1048576,
      ROUND(XLOOKUP(TEXTJOIN("/", TRUE, $A234:$B234), 'source merged_div_data'!$A:$A, 'source merged_div_data'!F:F)/1024, 2) &amp; " KB",
    XLOOKUP(TEXTJOIN("/", TRUE, $A234:$B234), 'source merged_div_data'!$A:$A, 'source merged_div_data'!F:F) &lt; 1073741824,
      ROUND(XLOOKUP(TEXTJOIN("/", TRUE, $A234:$B234), 'source merged_div_data'!$A:$A, 'source merged_div_data'!F:F)/1048576, 2) &amp; " MB",
    TRUE,
      ROUND(XLOOKUP(TEXTJOIN("/", TRUE, $A234:$B234), 'source merged_div_data'!$A:$A, 'source merged_div_data'!F:F)/1073741824, 2) &amp; " GB"
  ),
  "×"
)</f>
        <v>584 B</v>
      </c>
      <c r="G234" s="55" t="s">
        <v>1053</v>
      </c>
      <c r="H234" s="55"/>
      <c r="I234" s="55"/>
      <c r="J234" s="55" t="s">
        <v>38</v>
      </c>
      <c r="K234" s="55" t="s">
        <v>39</v>
      </c>
      <c r="L234" s="55" t="s">
        <v>1053</v>
      </c>
      <c r="M234" s="46" t="s">
        <v>2135</v>
      </c>
      <c r="N234" s="52"/>
      <c r="O234" s="55"/>
      <c r="P234" s="37" t="str">
        <f>IFERROR(__xludf.DUMMYFUNCTION("XLOOKUP(JOIN(""/"",$A234:$B234),'source isilon_divまとめ'!$A:$A,'source isilon_divまとめ'!$D:$D,XLOOKUP(JOIN(""\"",$A234:$B234),'source NetApp-file-sv01-div'!A:A,TEXT('source NetApp-file-sv01-div'!C:C,""yyyy/mm/dd"")))"),"#N/A")</f>
        <v>#N/A</v>
      </c>
    </row>
    <row r="235">
      <c r="A235" s="52" t="s">
        <v>1242</v>
      </c>
      <c r="B235" s="52" t="s">
        <v>51</v>
      </c>
      <c r="C235" s="46" t="s">
        <v>986</v>
      </c>
      <c r="D235" s="53">
        <f>IFERROR(__xludf.DUMMYFUNCTION("XLOOKUP(JOIN(""/"",$A235:$B235),'source merged_div_data'!$A:$A,'source merged_div_data'!B:B)"),81.0)</f>
        <v>81</v>
      </c>
      <c r="E235" s="53">
        <f>IFERROR(__xludf.DUMMYFUNCTION("XLOOKUP(JOIN(""/"",$A235:$B235),'source merged_div_data'!$A:$A,'source merged_div_data'!C:C)"),0.0)</f>
        <v>0</v>
      </c>
      <c r="F235" s="54" t="str">
        <f t="array" ref="F235">IFERROR(
  IFS(
    XLOOKUP(TEXTJOIN("/", TRUE, $A235:$B235), 'source merged_div_data'!$A:$A, 'source merged_div_data'!F:F) &lt; 1024,
      XLOOKUP(TEXTJOIN("/", TRUE, $A235:$B235), 'source merged_div_data'!$A:$A, 'source merged_div_data'!F:F) &amp; " B",
    XLOOKUP(TEXTJOIN("/", TRUE, $A235:$B235), 'source merged_div_data'!$A:$A, 'source merged_div_data'!F:F) &lt; 1048576,
      ROUND(XLOOKUP(TEXTJOIN("/", TRUE, $A235:$B235), 'source merged_div_data'!$A:$A, 'source merged_div_data'!F:F)/1024, 2) &amp; " KB",
    XLOOKUP(TEXTJOIN("/", TRUE, $A235:$B235), 'source merged_div_data'!$A:$A, 'source merged_div_data'!F:F) &lt; 1073741824,
      ROUND(XLOOKUP(TEXTJOIN("/", TRUE, $A235:$B235), 'source merged_div_data'!$A:$A, 'source merged_div_data'!F:F)/1048576, 2) &amp; " MB",
    TRUE,
      ROUND(XLOOKUP(TEXTJOIN("/", TRUE, $A235:$B235), 'source merged_div_data'!$A:$A, 'source merged_div_data'!F:F)/1073741824, 2) &amp; " GB"
  ),
  "×"
)</f>
        <v>2.73 KB</v>
      </c>
      <c r="G235" s="55" t="s">
        <v>1053</v>
      </c>
      <c r="H235" s="55"/>
      <c r="I235" s="55"/>
      <c r="J235" s="55" t="s">
        <v>38</v>
      </c>
      <c r="K235" s="55" t="s">
        <v>51</v>
      </c>
      <c r="L235" s="55" t="s">
        <v>1053</v>
      </c>
      <c r="M235" s="55" t="s">
        <v>2152</v>
      </c>
      <c r="N235" s="52"/>
      <c r="O235" s="55"/>
      <c r="P235" s="37" t="str">
        <f>IFERROR(__xludf.DUMMYFUNCTION("XLOOKUP(JOIN(""/"",$A235:$B235),'source isilon_divまとめ'!$A:$A,'source isilon_divまとめ'!$D:$D,XLOOKUP(JOIN(""\"",$A235:$B235),'source NetApp-file-sv01-div'!A:A,TEXT('source NetApp-file-sv01-div'!C:C,""yyyy/mm/dd"")))"),"#N/A")</f>
        <v>#N/A</v>
      </c>
    </row>
    <row r="236">
      <c r="A236" s="52" t="s">
        <v>1242</v>
      </c>
      <c r="B236" s="52" t="s">
        <v>324</v>
      </c>
      <c r="C236" s="46" t="s">
        <v>986</v>
      </c>
      <c r="D236" s="53">
        <f>IFERROR(__xludf.DUMMYFUNCTION("XLOOKUP(JOIN(""/"",$A236:$B236),'source merged_div_data'!$A:$A,'source merged_div_data'!B:B)"),16.0)</f>
        <v>16</v>
      </c>
      <c r="E236" s="53">
        <f>IFERROR(__xludf.DUMMYFUNCTION("XLOOKUP(JOIN(""/"",$A236:$B236),'source merged_div_data'!$A:$A,'source merged_div_data'!C:C)"),0.0)</f>
        <v>0</v>
      </c>
      <c r="F236" s="54" t="str">
        <f t="array" ref="F236">IFERROR(
  IFS(
    XLOOKUP(TEXTJOIN("/", TRUE, $A236:$B236), 'source merged_div_data'!$A:$A, 'source merged_div_data'!F:F) &lt; 1024,
      XLOOKUP(TEXTJOIN("/", TRUE, $A236:$B236), 'source merged_div_data'!$A:$A, 'source merged_div_data'!F:F) &amp; " B",
    XLOOKUP(TEXTJOIN("/", TRUE, $A236:$B236), 'source merged_div_data'!$A:$A, 'source merged_div_data'!F:F) &lt; 1048576,
      ROUND(XLOOKUP(TEXTJOIN("/", TRUE, $A236:$B236), 'source merged_div_data'!$A:$A, 'source merged_div_data'!F:F)/1024, 2) &amp; " KB",
    XLOOKUP(TEXTJOIN("/", TRUE, $A236:$B236), 'source merged_div_data'!$A:$A, 'source merged_div_data'!F:F) &lt; 1073741824,
      ROUND(XLOOKUP(TEXTJOIN("/", TRUE, $A236:$B236), 'source merged_div_data'!$A:$A, 'source merged_div_data'!F:F)/1048576, 2) &amp; " MB",
    TRUE,
      ROUND(XLOOKUP(TEXTJOIN("/", TRUE, $A236:$B236), 'source merged_div_data'!$A:$A, 'source merged_div_data'!F:F)/1073741824, 2) &amp; " GB"
  ),
  "×"
)</f>
        <v>475 B</v>
      </c>
      <c r="G236" s="55" t="s">
        <v>1053</v>
      </c>
      <c r="H236" s="55"/>
      <c r="I236" s="55"/>
      <c r="J236" s="46" t="s">
        <v>323</v>
      </c>
      <c r="K236" s="55" t="s">
        <v>324</v>
      </c>
      <c r="L236" s="55" t="s">
        <v>1053</v>
      </c>
      <c r="M236" s="46" t="s">
        <v>1547</v>
      </c>
      <c r="N236" s="52"/>
      <c r="O236" s="55"/>
      <c r="P236" s="37" t="str">
        <f>IFERROR(__xludf.DUMMYFUNCTION("XLOOKUP(JOIN(""/"",$A236:$B236),'source isilon_divまとめ'!$A:$A,'source isilon_divまとめ'!$D:$D,XLOOKUP(JOIN(""\"",$A236:$B236),'source NetApp-file-sv01-div'!A:A,TEXT('source NetApp-file-sv01-div'!C:C,""yyyy/mm/dd"")))"),"#N/A")</f>
        <v>#N/A</v>
      </c>
    </row>
    <row r="237">
      <c r="A237" s="8" t="s">
        <v>1242</v>
      </c>
      <c r="B237" s="8" t="s">
        <v>43</v>
      </c>
      <c r="C237" s="8" t="s">
        <v>985</v>
      </c>
      <c r="D237" s="56">
        <f>IFERROR(__xludf.DUMMYFUNCTION("XLOOKUP(JOIN(""/"",$A237:$B237),'source merged_div_data'!$A:$A,'source merged_div_data'!B:B)"),36.0)</f>
        <v>36</v>
      </c>
      <c r="E237" s="56">
        <f>IFERROR(__xludf.DUMMYFUNCTION("XLOOKUP(JOIN(""/"",$A237:$B237),'source merged_div_data'!$A:$A,'source merged_div_data'!C:C)"),1.0)</f>
        <v>1</v>
      </c>
      <c r="F237" s="54" t="str">
        <f t="array" ref="F237">IFERROR(
  IFS(
    XLOOKUP(TEXTJOIN("/", TRUE, $A237:$B237), 'source merged_div_data'!$A:$A, 'source merged_div_data'!F:F) &lt; 1024,
      XLOOKUP(TEXTJOIN("/", TRUE, $A237:$B237), 'source merged_div_data'!$A:$A, 'source merged_div_data'!F:F) &amp; " B",
    XLOOKUP(TEXTJOIN("/", TRUE, $A237:$B237), 'source merged_div_data'!$A:$A, 'source merged_div_data'!F:F) &lt; 1048576,
      ROUND(XLOOKUP(TEXTJOIN("/", TRUE, $A237:$B237), 'source merged_div_data'!$A:$A, 'source merged_div_data'!F:F)/1024, 2) &amp; " KB",
    XLOOKUP(TEXTJOIN("/", TRUE, $A237:$B237), 'source merged_div_data'!$A:$A, 'source merged_div_data'!F:F) &lt; 1073741824,
      ROUND(XLOOKUP(TEXTJOIN("/", TRUE, $A237:$B237), 'source merged_div_data'!$A:$A, 'source merged_div_data'!F:F)/1048576, 2) &amp; " MB",
    TRUE,
      ROUND(XLOOKUP(TEXTJOIN("/", TRUE, $A237:$B237), 'source merged_div_data'!$A:$A, 'source merged_div_data'!F:F)/1073741824, 2) &amp; " GB"
  ),
  "×"
)</f>
        <v>9.14 KB</v>
      </c>
      <c r="G237" s="37" t="s">
        <v>1053</v>
      </c>
      <c r="H237" s="7" t="s">
        <v>2177</v>
      </c>
      <c r="I237" s="37"/>
      <c r="J237" s="37" t="s">
        <v>38</v>
      </c>
      <c r="K237" s="37" t="s">
        <v>43</v>
      </c>
      <c r="L237" s="37" t="s">
        <v>1053</v>
      </c>
      <c r="M237" s="37" t="s">
        <v>1467</v>
      </c>
      <c r="N237" s="8"/>
      <c r="P237" s="37" t="str">
        <f>IFERROR(__xludf.DUMMYFUNCTION("XLOOKUP(JOIN(""/"",$A237:$B237),'source isilon_divまとめ'!$A:$A,'source isilon_divまとめ'!$D:$D,XLOOKUP(JOIN(""\"",$A237:$B237),'source NetApp-file-sv01-div'!A:A,TEXT('source NetApp-file-sv01-div'!C:C,""yyyy/mm/dd"")))"),"#N/A")</f>
        <v>#N/A</v>
      </c>
    </row>
    <row r="238">
      <c r="A238" s="8" t="s">
        <v>188</v>
      </c>
      <c r="B238" s="8" t="s">
        <v>114</v>
      </c>
      <c r="C238" s="8" t="s">
        <v>985</v>
      </c>
      <c r="D238" s="7">
        <v>0.0</v>
      </c>
      <c r="E238" s="7">
        <v>0.0</v>
      </c>
      <c r="F238" s="54" t="str">
        <f t="array" ref="F238">IFERROR(
  IFS(
    XLOOKUP(TEXTJOIN("/", TRUE, $A238:$B238), 'source merged_div_data'!$A:$A, 'source merged_div_data'!F:F) &lt; 1024,
      XLOOKUP(TEXTJOIN("/", TRUE, $A238:$B238), 'source merged_div_data'!$A:$A, 'source merged_div_data'!F:F) &amp; " B",
    XLOOKUP(TEXTJOIN("/", TRUE, $A238:$B238), 'source merged_div_data'!$A:$A, 'source merged_div_data'!F:F) &lt; 1048576,
      ROUND(XLOOKUP(TEXTJOIN("/", TRUE, $A238:$B238), 'source merged_div_data'!$A:$A, 'source merged_div_data'!F:F)/1024, 2) &amp; " KB",
    XLOOKUP(TEXTJOIN("/", TRUE, $A238:$B238), 'source merged_div_data'!$A:$A, 'source merged_div_data'!F:F) &lt; 1073741824,
      ROUND(XLOOKUP(TEXTJOIN("/", TRUE, $A238:$B238), 'source merged_div_data'!$A:$A, 'source merged_div_data'!F:F)/1048576, 2) &amp; " MB",
    TRUE,
      ROUND(XLOOKUP(TEXTJOIN("/", TRUE, $A238:$B238), 'source merged_div_data'!$A:$A, 'source merged_div_data'!F:F)/1073741824, 2) &amp; " GB"
  ),
  "×"
)</f>
        <v>×</v>
      </c>
      <c r="G238" s="37" t="s">
        <v>1053</v>
      </c>
      <c r="H238" s="7" t="s">
        <v>2177</v>
      </c>
      <c r="I238" s="37"/>
      <c r="J238" s="38" t="s">
        <v>470</v>
      </c>
      <c r="K238" s="37" t="s">
        <v>188</v>
      </c>
      <c r="L238" s="37" t="s">
        <v>1053</v>
      </c>
      <c r="M238" s="37" t="s">
        <v>2132</v>
      </c>
      <c r="N238" s="8"/>
      <c r="O238" s="37"/>
      <c r="P238" s="37" t="str">
        <f>IFERROR(__xludf.DUMMYFUNCTION("XLOOKUP(JOIN(""/"",$A238:$B238),'source isilon_divまとめ'!$A:$A,'source isilon_divまとめ'!$D:$D,XLOOKUP(JOIN(""\"",$A238:$B238),'source NetApp-file-sv01-div'!A:A,TEXT('source NetApp-file-sv01-div'!C:C,""yyyy/mm/dd"")))"),"#N/A")</f>
        <v>#N/A</v>
      </c>
    </row>
    <row r="239">
      <c r="A239" s="8" t="s">
        <v>188</v>
      </c>
      <c r="B239" s="8" t="s">
        <v>1247</v>
      </c>
      <c r="C239" s="8" t="s">
        <v>985</v>
      </c>
      <c r="D239" s="7">
        <v>0.0</v>
      </c>
      <c r="E239" s="7">
        <v>0.0</v>
      </c>
      <c r="F239" s="54" t="str">
        <f t="array" ref="F239">IFERROR(
  IFS(
    XLOOKUP(TEXTJOIN("/", TRUE, $A239:$B239), 'source merged_div_data'!$A:$A, 'source merged_div_data'!F:F) &lt; 1024,
      XLOOKUP(TEXTJOIN("/", TRUE, $A239:$B239), 'source merged_div_data'!$A:$A, 'source merged_div_data'!F:F) &amp; " B",
    XLOOKUP(TEXTJOIN("/", TRUE, $A239:$B239), 'source merged_div_data'!$A:$A, 'source merged_div_data'!F:F) &lt; 1048576,
      ROUND(XLOOKUP(TEXTJOIN("/", TRUE, $A239:$B239), 'source merged_div_data'!$A:$A, 'source merged_div_data'!F:F)/1024, 2) &amp; " KB",
    XLOOKUP(TEXTJOIN("/", TRUE, $A239:$B239), 'source merged_div_data'!$A:$A, 'source merged_div_data'!F:F) &lt; 1073741824,
      ROUND(XLOOKUP(TEXTJOIN("/", TRUE, $A239:$B239), 'source merged_div_data'!$A:$A, 'source merged_div_data'!F:F)/1048576, 2) &amp; " MB",
    TRUE,
      ROUND(XLOOKUP(TEXTJOIN("/", TRUE, $A239:$B239), 'source merged_div_data'!$A:$A, 'source merged_div_data'!F:F)/1073741824, 2) &amp; " GB"
  ),
  "×"
)</f>
        <v>×</v>
      </c>
      <c r="G239" s="37" t="s">
        <v>1053</v>
      </c>
      <c r="H239" s="7" t="s">
        <v>2177</v>
      </c>
      <c r="I239" s="37"/>
      <c r="J239" s="38" t="s">
        <v>470</v>
      </c>
      <c r="K239" s="37" t="s">
        <v>188</v>
      </c>
      <c r="L239" s="37" t="s">
        <v>1053</v>
      </c>
      <c r="M239" s="37" t="s">
        <v>2132</v>
      </c>
      <c r="N239" s="8"/>
      <c r="O239" s="37"/>
      <c r="P239" s="37" t="str">
        <f>IFERROR(__xludf.DUMMYFUNCTION("XLOOKUP(JOIN(""/"",$A239:$B239),'source isilon_divまとめ'!$A:$A,'source isilon_divまとめ'!$D:$D,XLOOKUP(JOIN(""\"",$A239:$B239),'source NetApp-file-sv01-div'!A:A,TEXT('source NetApp-file-sv01-div'!C:C,""yyyy/mm/dd"")))"),"#N/A")</f>
        <v>#N/A</v>
      </c>
    </row>
    <row r="240">
      <c r="A240" s="8" t="s">
        <v>188</v>
      </c>
      <c r="B240" s="8" t="s">
        <v>46</v>
      </c>
      <c r="C240" s="8" t="s">
        <v>985</v>
      </c>
      <c r="D240" s="7">
        <v>0.0</v>
      </c>
      <c r="E240" s="7">
        <v>0.0</v>
      </c>
      <c r="F240" s="54" t="str">
        <f t="array" ref="F240">IFERROR(
  IFS(
    XLOOKUP(TEXTJOIN("/", TRUE, $A240:$B240), 'source merged_div_data'!$A:$A, 'source merged_div_data'!F:F) &lt; 1024,
      XLOOKUP(TEXTJOIN("/", TRUE, $A240:$B240), 'source merged_div_data'!$A:$A, 'source merged_div_data'!F:F) &amp; " B",
    XLOOKUP(TEXTJOIN("/", TRUE, $A240:$B240), 'source merged_div_data'!$A:$A, 'source merged_div_data'!F:F) &lt; 1048576,
      ROUND(XLOOKUP(TEXTJOIN("/", TRUE, $A240:$B240), 'source merged_div_data'!$A:$A, 'source merged_div_data'!F:F)/1024, 2) &amp; " KB",
    XLOOKUP(TEXTJOIN("/", TRUE, $A240:$B240), 'source merged_div_data'!$A:$A, 'source merged_div_data'!F:F) &lt; 1073741824,
      ROUND(XLOOKUP(TEXTJOIN("/", TRUE, $A240:$B240), 'source merged_div_data'!$A:$A, 'source merged_div_data'!F:F)/1048576, 2) &amp; " MB",
    TRUE,
      ROUND(XLOOKUP(TEXTJOIN("/", TRUE, $A240:$B240), 'source merged_div_data'!$A:$A, 'source merged_div_data'!F:F)/1073741824, 2) &amp; " GB"
  ),
  "×"
)</f>
        <v>×</v>
      </c>
      <c r="G240" s="37" t="s">
        <v>1053</v>
      </c>
      <c r="H240" s="7" t="s">
        <v>2177</v>
      </c>
      <c r="I240" s="37"/>
      <c r="J240" s="38" t="s">
        <v>470</v>
      </c>
      <c r="K240" s="37" t="s">
        <v>188</v>
      </c>
      <c r="L240" s="37" t="s">
        <v>1053</v>
      </c>
      <c r="M240" s="37" t="s">
        <v>2132</v>
      </c>
      <c r="N240" s="8"/>
      <c r="O240" s="37"/>
      <c r="P240" s="37" t="str">
        <f>IFERROR(__xludf.DUMMYFUNCTION("XLOOKUP(JOIN(""/"",$A240:$B240),'source isilon_divまとめ'!$A:$A,'source isilon_divまとめ'!$D:$D,XLOOKUP(JOIN(""\"",$A240:$B240),'source NetApp-file-sv01-div'!A:A,TEXT('source NetApp-file-sv01-div'!C:C,""yyyy/mm/dd"")))"),"#N/A")</f>
        <v>#N/A</v>
      </c>
    </row>
    <row r="241">
      <c r="A241" s="8" t="s">
        <v>188</v>
      </c>
      <c r="B241" s="8" t="s">
        <v>471</v>
      </c>
      <c r="C241" s="8" t="s">
        <v>985</v>
      </c>
      <c r="D241" s="7">
        <v>0.0</v>
      </c>
      <c r="E241" s="7">
        <v>0.0</v>
      </c>
      <c r="F241" s="54" t="str">
        <f t="array" ref="F241">IFERROR(
  IFS(
    XLOOKUP(TEXTJOIN("/", TRUE, $A241:$B241), 'source merged_div_data'!$A:$A, 'source merged_div_data'!F:F) &lt; 1024,
      XLOOKUP(TEXTJOIN("/", TRUE, $A241:$B241), 'source merged_div_data'!$A:$A, 'source merged_div_data'!F:F) &amp; " B",
    XLOOKUP(TEXTJOIN("/", TRUE, $A241:$B241), 'source merged_div_data'!$A:$A, 'source merged_div_data'!F:F) &lt; 1048576,
      ROUND(XLOOKUP(TEXTJOIN("/", TRUE, $A241:$B241), 'source merged_div_data'!$A:$A, 'source merged_div_data'!F:F)/1024, 2) &amp; " KB",
    XLOOKUP(TEXTJOIN("/", TRUE, $A241:$B241), 'source merged_div_data'!$A:$A, 'source merged_div_data'!F:F) &lt; 1073741824,
      ROUND(XLOOKUP(TEXTJOIN("/", TRUE, $A241:$B241), 'source merged_div_data'!$A:$A, 'source merged_div_data'!F:F)/1048576, 2) &amp; " MB",
    TRUE,
      ROUND(XLOOKUP(TEXTJOIN("/", TRUE, $A241:$B241), 'source merged_div_data'!$A:$A, 'source merged_div_data'!F:F)/1073741824, 2) &amp; " GB"
  ),
  "×"
)</f>
        <v>×</v>
      </c>
      <c r="G241" s="37" t="s">
        <v>1053</v>
      </c>
      <c r="H241" s="7" t="s">
        <v>2177</v>
      </c>
      <c r="I241" s="37"/>
      <c r="J241" s="38" t="s">
        <v>470</v>
      </c>
      <c r="K241" s="37" t="s">
        <v>188</v>
      </c>
      <c r="L241" s="37" t="s">
        <v>1053</v>
      </c>
      <c r="M241" s="37" t="s">
        <v>2132</v>
      </c>
      <c r="N241" s="8"/>
      <c r="O241" s="37"/>
      <c r="P241" s="37" t="str">
        <f>IFERROR(__xludf.DUMMYFUNCTION("XLOOKUP(JOIN(""/"",$A241:$B241),'source isilon_divまとめ'!$A:$A,'source isilon_divまとめ'!$D:$D,XLOOKUP(JOIN(""\"",$A241:$B241),'source NetApp-file-sv01-div'!A:A,TEXT('source NetApp-file-sv01-div'!C:C,""yyyy/mm/dd"")))"),"#N/A")</f>
        <v>#N/A</v>
      </c>
    </row>
    <row r="242">
      <c r="A242" s="8" t="s">
        <v>188</v>
      </c>
      <c r="B242" s="8" t="s">
        <v>1248</v>
      </c>
      <c r="C242" s="8" t="s">
        <v>985</v>
      </c>
      <c r="D242" s="7">
        <v>0.0</v>
      </c>
      <c r="E242" s="7">
        <v>0.0</v>
      </c>
      <c r="F242" s="54" t="str">
        <f t="array" ref="F242">IFERROR(
  IFS(
    XLOOKUP(TEXTJOIN("/", TRUE, $A242:$B242), 'source merged_div_data'!$A:$A, 'source merged_div_data'!F:F) &lt; 1024,
      XLOOKUP(TEXTJOIN("/", TRUE, $A242:$B242), 'source merged_div_data'!$A:$A, 'source merged_div_data'!F:F) &amp; " B",
    XLOOKUP(TEXTJOIN("/", TRUE, $A242:$B242), 'source merged_div_data'!$A:$A, 'source merged_div_data'!F:F) &lt; 1048576,
      ROUND(XLOOKUP(TEXTJOIN("/", TRUE, $A242:$B242), 'source merged_div_data'!$A:$A, 'source merged_div_data'!F:F)/1024, 2) &amp; " KB",
    XLOOKUP(TEXTJOIN("/", TRUE, $A242:$B242), 'source merged_div_data'!$A:$A, 'source merged_div_data'!F:F) &lt; 1073741824,
      ROUND(XLOOKUP(TEXTJOIN("/", TRUE, $A242:$B242), 'source merged_div_data'!$A:$A, 'source merged_div_data'!F:F)/1048576, 2) &amp; " MB",
    TRUE,
      ROUND(XLOOKUP(TEXTJOIN("/", TRUE, $A242:$B242), 'source merged_div_data'!$A:$A, 'source merged_div_data'!F:F)/1073741824, 2) &amp; " GB"
  ),
  "×"
)</f>
        <v>×</v>
      </c>
      <c r="G242" s="37" t="s">
        <v>1053</v>
      </c>
      <c r="H242" s="7" t="s">
        <v>2177</v>
      </c>
      <c r="I242" s="37"/>
      <c r="J242" s="38" t="s">
        <v>470</v>
      </c>
      <c r="K242" s="37" t="s">
        <v>188</v>
      </c>
      <c r="L242" s="37" t="s">
        <v>1053</v>
      </c>
      <c r="M242" s="37" t="s">
        <v>2132</v>
      </c>
      <c r="N242" s="8"/>
      <c r="O242" s="37"/>
      <c r="P242" s="37" t="str">
        <f>IFERROR(__xludf.DUMMYFUNCTION("XLOOKUP(JOIN(""/"",$A242:$B242),'source isilon_divまとめ'!$A:$A,'source isilon_divまとめ'!$D:$D,XLOOKUP(JOIN(""\"",$A242:$B242),'source NetApp-file-sv01-div'!A:A,TEXT('source NetApp-file-sv01-div'!C:C,""yyyy/mm/dd"")))"),"#N/A")</f>
        <v>#N/A</v>
      </c>
    </row>
    <row r="243">
      <c r="A243" s="8" t="s">
        <v>188</v>
      </c>
      <c r="B243" s="8" t="s">
        <v>1249</v>
      </c>
      <c r="C243" s="8" t="s">
        <v>985</v>
      </c>
      <c r="D243" s="7">
        <v>0.0</v>
      </c>
      <c r="E243" s="7">
        <v>0.0</v>
      </c>
      <c r="F243" s="54" t="str">
        <f t="array" ref="F243">IFERROR(
  IFS(
    XLOOKUP(TEXTJOIN("/", TRUE, $A243:$B243), 'source merged_div_data'!$A:$A, 'source merged_div_data'!F:F) &lt; 1024,
      XLOOKUP(TEXTJOIN("/", TRUE, $A243:$B243), 'source merged_div_data'!$A:$A, 'source merged_div_data'!F:F) &amp; " B",
    XLOOKUP(TEXTJOIN("/", TRUE, $A243:$B243), 'source merged_div_data'!$A:$A, 'source merged_div_data'!F:F) &lt; 1048576,
      ROUND(XLOOKUP(TEXTJOIN("/", TRUE, $A243:$B243), 'source merged_div_data'!$A:$A, 'source merged_div_data'!F:F)/1024, 2) &amp; " KB",
    XLOOKUP(TEXTJOIN("/", TRUE, $A243:$B243), 'source merged_div_data'!$A:$A, 'source merged_div_data'!F:F) &lt; 1073741824,
      ROUND(XLOOKUP(TEXTJOIN("/", TRUE, $A243:$B243), 'source merged_div_data'!$A:$A, 'source merged_div_data'!F:F)/1048576, 2) &amp; " MB",
    TRUE,
      ROUND(XLOOKUP(TEXTJOIN("/", TRUE, $A243:$B243), 'source merged_div_data'!$A:$A, 'source merged_div_data'!F:F)/1073741824, 2) &amp; " GB"
  ),
  "×"
)</f>
        <v>×</v>
      </c>
      <c r="G243" s="37" t="s">
        <v>1053</v>
      </c>
      <c r="H243" s="7" t="s">
        <v>2177</v>
      </c>
      <c r="I243" s="37"/>
      <c r="J243" s="38" t="s">
        <v>470</v>
      </c>
      <c r="K243" s="37" t="s">
        <v>188</v>
      </c>
      <c r="L243" s="37" t="s">
        <v>1053</v>
      </c>
      <c r="M243" s="37" t="s">
        <v>2132</v>
      </c>
      <c r="N243" s="8"/>
      <c r="O243" s="37"/>
      <c r="P243" s="37" t="str">
        <f>IFERROR(__xludf.DUMMYFUNCTION("XLOOKUP(JOIN(""/"",$A243:$B243),'source isilon_divまとめ'!$A:$A,'source isilon_divまとめ'!$D:$D,XLOOKUP(JOIN(""\"",$A243:$B243),'source NetApp-file-sv01-div'!A:A,TEXT('source NetApp-file-sv01-div'!C:C,""yyyy/mm/dd"")))"),"#N/A")</f>
        <v>#N/A</v>
      </c>
    </row>
    <row r="244">
      <c r="A244" s="8" t="s">
        <v>188</v>
      </c>
      <c r="B244" s="8" t="s">
        <v>1250</v>
      </c>
      <c r="C244" s="8" t="s">
        <v>985</v>
      </c>
      <c r="D244" s="37" t="str">
        <f>IFERROR(__xludf.DUMMYFUNCTION("XLOOKUP(JOIN(""/"",$A244:$B244),'source merged_div_data'!$A:$A,'source merged_div_data'!B:B)"),"#N/A")</f>
        <v>#N/A</v>
      </c>
      <c r="E244" s="37" t="str">
        <f>IFERROR(__xludf.DUMMYFUNCTION("XLOOKUP(JOIN(""/"",$A244:$B244),'source merged_div_data'!$A:$A,'source merged_div_data'!C:C)"),"#N/A")</f>
        <v>#N/A</v>
      </c>
      <c r="F244" s="54" t="str">
        <f t="array" ref="F244">IFERROR(
  IFS(
    XLOOKUP(TEXTJOIN("/", TRUE, $A244:$B244), 'source merged_div_data'!$A:$A, 'source merged_div_data'!F:F) &lt; 1024,
      XLOOKUP(TEXTJOIN("/", TRUE, $A244:$B244), 'source merged_div_data'!$A:$A, 'source merged_div_data'!F:F) &amp; " B",
    XLOOKUP(TEXTJOIN("/", TRUE, $A244:$B244), 'source merged_div_data'!$A:$A, 'source merged_div_data'!F:F) &lt; 1048576,
      ROUND(XLOOKUP(TEXTJOIN("/", TRUE, $A244:$B244), 'source merged_div_data'!$A:$A, 'source merged_div_data'!F:F)/1024, 2) &amp; " KB",
    XLOOKUP(TEXTJOIN("/", TRUE, $A244:$B244), 'source merged_div_data'!$A:$A, 'source merged_div_data'!F:F) &lt; 1073741824,
      ROUND(XLOOKUP(TEXTJOIN("/", TRUE, $A244:$B244), 'source merged_div_data'!$A:$A, 'source merged_div_data'!F:F)/1048576, 2) &amp; " MB",
    TRUE,
      ROUND(XLOOKUP(TEXTJOIN("/", TRUE, $A244:$B244), 'source merged_div_data'!$A:$A, 'source merged_div_data'!F:F)/1073741824, 2) &amp; " GB"
  ),
  "×"
)</f>
        <v>×</v>
      </c>
      <c r="G244" s="57" t="s">
        <v>2284</v>
      </c>
      <c r="H244" s="58" t="s">
        <v>2177</v>
      </c>
      <c r="I244" s="57"/>
      <c r="J244" s="38" t="s">
        <v>470</v>
      </c>
      <c r="K244" s="37" t="s">
        <v>188</v>
      </c>
      <c r="L244" s="37" t="s">
        <v>1053</v>
      </c>
      <c r="M244" s="37" t="s">
        <v>2132</v>
      </c>
      <c r="N244" s="8"/>
      <c r="P244" s="57" t="str">
        <f>IFERROR(__xludf.DUMMYFUNCTION("XLOOKUP(JOIN(""/"",$A244:$B244),'source isilon_divまとめ'!$A:$A,'source isilon_divまとめ'!$D:$D,XLOOKUP(JOIN(""\"",$A244:$B244),'source NetApp-file-sv01-div'!A:A,TEXT('source NetApp-file-sv01-div'!C:C,""yyyy/mm/dd"")))"),"2014/02/12")</f>
        <v>2014/02/12</v>
      </c>
    </row>
    <row r="245">
      <c r="A245" s="8" t="s">
        <v>188</v>
      </c>
      <c r="B245" s="8" t="s">
        <v>1251</v>
      </c>
      <c r="C245" s="8" t="s">
        <v>985</v>
      </c>
      <c r="D245" s="7">
        <v>0.0</v>
      </c>
      <c r="E245" s="7">
        <v>0.0</v>
      </c>
      <c r="F245" s="54" t="str">
        <f t="array" ref="F245">IFERROR(
  IFS(
    XLOOKUP(TEXTJOIN("/", TRUE, $A245:$B245), 'source merged_div_data'!$A:$A, 'source merged_div_data'!F:F) &lt; 1024,
      XLOOKUP(TEXTJOIN("/", TRUE, $A245:$B245), 'source merged_div_data'!$A:$A, 'source merged_div_data'!F:F) &amp; " B",
    XLOOKUP(TEXTJOIN("/", TRUE, $A245:$B245), 'source merged_div_data'!$A:$A, 'source merged_div_data'!F:F) &lt; 1048576,
      ROUND(XLOOKUP(TEXTJOIN("/", TRUE, $A245:$B245), 'source merged_div_data'!$A:$A, 'source merged_div_data'!F:F)/1024, 2) &amp; " KB",
    XLOOKUP(TEXTJOIN("/", TRUE, $A245:$B245), 'source merged_div_data'!$A:$A, 'source merged_div_data'!F:F) &lt; 1073741824,
      ROUND(XLOOKUP(TEXTJOIN("/", TRUE, $A245:$B245), 'source merged_div_data'!$A:$A, 'source merged_div_data'!F:F)/1048576, 2) &amp; " MB",
    TRUE,
      ROUND(XLOOKUP(TEXTJOIN("/", TRUE, $A245:$B245), 'source merged_div_data'!$A:$A, 'source merged_div_data'!F:F)/1073741824, 2) &amp; " GB"
  ),
  "×"
)</f>
        <v>×</v>
      </c>
      <c r="G245" s="37" t="s">
        <v>1053</v>
      </c>
      <c r="H245" s="58" t="s">
        <v>2177</v>
      </c>
      <c r="I245" s="37"/>
      <c r="J245" s="38" t="s">
        <v>470</v>
      </c>
      <c r="K245" s="37" t="s">
        <v>188</v>
      </c>
      <c r="L245" s="37" t="s">
        <v>1053</v>
      </c>
      <c r="M245" s="37" t="s">
        <v>2132</v>
      </c>
      <c r="N245" s="8"/>
      <c r="O245" s="37"/>
      <c r="P245" s="37" t="str">
        <f>IFERROR(__xludf.DUMMYFUNCTION("XLOOKUP(JOIN(""/"",$A245:$B245),'source isilon_divまとめ'!$A:$A,'source isilon_divまとめ'!$D:$D,XLOOKUP(JOIN(""\"",$A245:$B245),'source NetApp-file-sv01-div'!A:A,TEXT('source NetApp-file-sv01-div'!C:C,""yyyy/mm/dd"")))"),"#N/A")</f>
        <v>#N/A</v>
      </c>
    </row>
    <row r="246">
      <c r="A246" s="8" t="s">
        <v>188</v>
      </c>
      <c r="B246" s="8" t="s">
        <v>1104</v>
      </c>
      <c r="C246" s="8" t="s">
        <v>985</v>
      </c>
      <c r="D246" s="7">
        <v>0.0</v>
      </c>
      <c r="E246" s="7">
        <v>0.0</v>
      </c>
      <c r="F246" s="54" t="str">
        <f t="array" ref="F246">IFERROR(
  IFS(
    XLOOKUP(TEXTJOIN("/", TRUE, $A246:$B246), 'source merged_div_data'!$A:$A, 'source merged_div_data'!F:F) &lt; 1024,
      XLOOKUP(TEXTJOIN("/", TRUE, $A246:$B246), 'source merged_div_data'!$A:$A, 'source merged_div_data'!F:F) &amp; " B",
    XLOOKUP(TEXTJOIN("/", TRUE, $A246:$B246), 'source merged_div_data'!$A:$A, 'source merged_div_data'!F:F) &lt; 1048576,
      ROUND(XLOOKUP(TEXTJOIN("/", TRUE, $A246:$B246), 'source merged_div_data'!$A:$A, 'source merged_div_data'!F:F)/1024, 2) &amp; " KB",
    XLOOKUP(TEXTJOIN("/", TRUE, $A246:$B246), 'source merged_div_data'!$A:$A, 'source merged_div_data'!F:F) &lt; 1073741824,
      ROUND(XLOOKUP(TEXTJOIN("/", TRUE, $A246:$B246), 'source merged_div_data'!$A:$A, 'source merged_div_data'!F:F)/1048576, 2) &amp; " MB",
    TRUE,
      ROUND(XLOOKUP(TEXTJOIN("/", TRUE, $A246:$B246), 'source merged_div_data'!$A:$A, 'source merged_div_data'!F:F)/1073741824, 2) &amp; " GB"
  ),
  "×"
)</f>
        <v>×</v>
      </c>
      <c r="G246" s="37" t="s">
        <v>1053</v>
      </c>
      <c r="H246" s="58" t="s">
        <v>2177</v>
      </c>
      <c r="I246" s="37"/>
      <c r="J246" s="38" t="s">
        <v>470</v>
      </c>
      <c r="K246" s="37" t="s">
        <v>188</v>
      </c>
      <c r="L246" s="37" t="s">
        <v>1053</v>
      </c>
      <c r="M246" s="37" t="s">
        <v>2132</v>
      </c>
      <c r="N246" s="8"/>
      <c r="O246" s="37"/>
      <c r="P246" s="37" t="str">
        <f>IFERROR(__xludf.DUMMYFUNCTION("XLOOKUP(JOIN(""/"",$A246:$B246),'source isilon_divまとめ'!$A:$A,'source isilon_divまとめ'!$D:$D,XLOOKUP(JOIN(""\"",$A246:$B246),'source NetApp-file-sv01-div'!A:A,TEXT('source NetApp-file-sv01-div'!C:C,""yyyy/mm/dd"")))"),"#N/A")</f>
        <v>#N/A</v>
      </c>
    </row>
    <row r="247">
      <c r="A247" s="8" t="s">
        <v>1252</v>
      </c>
      <c r="B247" s="8" t="s">
        <v>1253</v>
      </c>
      <c r="C247" s="7" t="s">
        <v>987</v>
      </c>
      <c r="D247" s="56">
        <f>IFERROR(__xludf.DUMMYFUNCTION("XLOOKUP(JOIN(""/"",$A247:$B247),'source merged_div_data'!$A:$A,'source merged_div_data'!B:B)"),145.0)</f>
        <v>145</v>
      </c>
      <c r="E247" s="56">
        <f>IFERROR(__xludf.DUMMYFUNCTION("XLOOKUP(JOIN(""/"",$A247:$B247),'source merged_div_data'!$A:$A,'source merged_div_data'!C:C)"),686.0)</f>
        <v>686</v>
      </c>
      <c r="F247" s="54" t="str">
        <f t="array" ref="F247">IFERROR(
  IFS(
    XLOOKUP(TEXTJOIN("/", TRUE, $A247:$B247), 'source merged_div_data'!$A:$A, 'source merged_div_data'!F:F) &lt; 1024,
      XLOOKUP(TEXTJOIN("/", TRUE, $A247:$B247), 'source merged_div_data'!$A:$A, 'source merged_div_data'!F:F) &amp; " B",
    XLOOKUP(TEXTJOIN("/", TRUE, $A247:$B247), 'source merged_div_data'!$A:$A, 'source merged_div_data'!F:F) &lt; 1048576,
      ROUND(XLOOKUP(TEXTJOIN("/", TRUE, $A247:$B247), 'source merged_div_data'!$A:$A, 'source merged_div_data'!F:F)/1024, 2) &amp; " KB",
    XLOOKUP(TEXTJOIN("/", TRUE, $A247:$B247), 'source merged_div_data'!$A:$A, 'source merged_div_data'!F:F) &lt; 1073741824,
      ROUND(XLOOKUP(TEXTJOIN("/", TRUE, $A247:$B247), 'source merged_div_data'!$A:$A, 'source merged_div_data'!F:F)/1048576, 2) &amp; " MB",
    TRUE,
      ROUND(XLOOKUP(TEXTJOIN("/", TRUE, $A247:$B247), 'source merged_div_data'!$A:$A, 'source merged_div_data'!F:F)/1073741824, 2) &amp; " GB"
  ),
  "×"
)</f>
        <v>260.35 MB</v>
      </c>
      <c r="G247" s="57" t="s">
        <v>2285</v>
      </c>
      <c r="H247" s="58" t="s">
        <v>2177</v>
      </c>
      <c r="I247" s="57"/>
      <c r="J247" s="7" t="s">
        <v>3</v>
      </c>
      <c r="L247" s="7" t="s">
        <v>1453</v>
      </c>
      <c r="M247" s="37" t="s">
        <v>1053</v>
      </c>
      <c r="N247" s="8" t="s">
        <v>1102</v>
      </c>
      <c r="O247" s="7" t="s">
        <v>3</v>
      </c>
      <c r="P247" s="57" t="str">
        <f>IFERROR(__xludf.DUMMYFUNCTION("XLOOKUP(JOIN(""/"",$A247:$B247),'source isilon_divまとめ'!$A:$A,'source isilon_divまとめ'!$D:$D,XLOOKUP(JOIN(""\"",$A247:$B247),'source NetApp-file-sv01-div'!A:A,TEXT('source NetApp-file-sv01-div'!C:C,""yyyy/mm/dd"")))"),"2012/08/06")</f>
        <v>2012/08/06</v>
      </c>
    </row>
    <row r="248">
      <c r="A248" s="8" t="s">
        <v>1252</v>
      </c>
      <c r="B248" s="8" t="s">
        <v>1254</v>
      </c>
      <c r="C248" s="7" t="s">
        <v>987</v>
      </c>
      <c r="D248" s="56">
        <f>IFERROR(__xludf.DUMMYFUNCTION("XLOOKUP(JOIN(""/"",$A248:$B248),'source merged_div_data'!$A:$A,'source merged_div_data'!B:B)"),31.0)</f>
        <v>31</v>
      </c>
      <c r="E248" s="56">
        <f>IFERROR(__xludf.DUMMYFUNCTION("XLOOKUP(JOIN(""/"",$A248:$B248),'source merged_div_data'!$A:$A,'source merged_div_data'!C:C)"),44.0)</f>
        <v>44</v>
      </c>
      <c r="F248" s="54" t="str">
        <f t="array" ref="F248">IFERROR(
  IFS(
    XLOOKUP(TEXTJOIN("/", TRUE, $A248:$B248), 'source merged_div_data'!$A:$A, 'source merged_div_data'!F:F) &lt; 1024,
      XLOOKUP(TEXTJOIN("/", TRUE, $A248:$B248), 'source merged_div_data'!$A:$A, 'source merged_div_data'!F:F) &amp; " B",
    XLOOKUP(TEXTJOIN("/", TRUE, $A248:$B248), 'source merged_div_data'!$A:$A, 'source merged_div_data'!F:F) &lt; 1048576,
      ROUND(XLOOKUP(TEXTJOIN("/", TRUE, $A248:$B248), 'source merged_div_data'!$A:$A, 'source merged_div_data'!F:F)/1024, 2) &amp; " KB",
    XLOOKUP(TEXTJOIN("/", TRUE, $A248:$B248), 'source merged_div_data'!$A:$A, 'source merged_div_data'!F:F) &lt; 1073741824,
      ROUND(XLOOKUP(TEXTJOIN("/", TRUE, $A248:$B248), 'source merged_div_data'!$A:$A, 'source merged_div_data'!F:F)/1048576, 2) &amp; " MB",
    TRUE,
      ROUND(XLOOKUP(TEXTJOIN("/", TRUE, $A248:$B248), 'source merged_div_data'!$A:$A, 'source merged_div_data'!F:F)/1073741824, 2) &amp; " GB"
  ),
  "×"
)</f>
        <v>24.09 MB</v>
      </c>
      <c r="G248" s="57" t="s">
        <v>2286</v>
      </c>
      <c r="H248" s="58" t="s">
        <v>2177</v>
      </c>
      <c r="I248" s="57"/>
      <c r="J248" s="7" t="s">
        <v>3</v>
      </c>
      <c r="L248" s="7" t="s">
        <v>1453</v>
      </c>
      <c r="M248" s="37" t="s">
        <v>1053</v>
      </c>
      <c r="N248" s="8" t="s">
        <v>1102</v>
      </c>
      <c r="O248" s="7" t="s">
        <v>1255</v>
      </c>
      <c r="P248" s="57" t="str">
        <f>IFERROR(__xludf.DUMMYFUNCTION("XLOOKUP(JOIN(""/"",$A248:$B248),'source isilon_divまとめ'!$A:$A,'source isilon_divまとめ'!$D:$D,XLOOKUP(JOIN(""\"",$A248:$B248),'source NetApp-file-sv01-div'!A:A,TEXT('source NetApp-file-sv01-div'!C:C,""yyyy/mm/dd"")))"),"2013/10/10")</f>
        <v>2013/10/10</v>
      </c>
    </row>
    <row r="249">
      <c r="A249" s="8" t="s">
        <v>1252</v>
      </c>
      <c r="B249" s="8" t="s">
        <v>1256</v>
      </c>
      <c r="C249" s="7" t="s">
        <v>987</v>
      </c>
      <c r="D249" s="56">
        <f>IFERROR(__xludf.DUMMYFUNCTION("XLOOKUP(JOIN(""/"",$A249:$B249),'source merged_div_data'!$A:$A,'source merged_div_data'!B:B)"),17180.0)</f>
        <v>17180</v>
      </c>
      <c r="E249" s="56">
        <f>IFERROR(__xludf.DUMMYFUNCTION("XLOOKUP(JOIN(""/"",$A249:$B249),'source merged_div_data'!$A:$A,'source merged_div_data'!C:C)"),90849.0)</f>
        <v>90849</v>
      </c>
      <c r="F249" s="54" t="str">
        <f t="array" ref="F249">IFERROR(
  IFS(
    XLOOKUP(TEXTJOIN("/", TRUE, $A249:$B249), 'source merged_div_data'!$A:$A, 'source merged_div_data'!F:F) &lt; 1024,
      XLOOKUP(TEXTJOIN("/", TRUE, $A249:$B249), 'source merged_div_data'!$A:$A, 'source merged_div_data'!F:F) &amp; " B",
    XLOOKUP(TEXTJOIN("/", TRUE, $A249:$B249), 'source merged_div_data'!$A:$A, 'source merged_div_data'!F:F) &lt; 1048576,
      ROUND(XLOOKUP(TEXTJOIN("/", TRUE, $A249:$B249), 'source merged_div_data'!$A:$A, 'source merged_div_data'!F:F)/1024, 2) &amp; " KB",
    XLOOKUP(TEXTJOIN("/", TRUE, $A249:$B249), 'source merged_div_data'!$A:$A, 'source merged_div_data'!F:F) &lt; 1073741824,
      ROUND(XLOOKUP(TEXTJOIN("/", TRUE, $A249:$B249), 'source merged_div_data'!$A:$A, 'source merged_div_data'!F:F)/1048576, 2) &amp; " MB",
    TRUE,
      ROUND(XLOOKUP(TEXTJOIN("/", TRUE, $A249:$B249), 'source merged_div_data'!$A:$A, 'source merged_div_data'!F:F)/1073741824, 2) &amp; " GB"
  ),
  "×"
)</f>
        <v>36.8 GB</v>
      </c>
      <c r="G249" s="57" t="s">
        <v>2287</v>
      </c>
      <c r="H249" s="58" t="s">
        <v>2177</v>
      </c>
      <c r="I249" s="57"/>
      <c r="J249" s="7" t="s">
        <v>3</v>
      </c>
      <c r="L249" s="7" t="s">
        <v>1453</v>
      </c>
      <c r="M249" s="37" t="s">
        <v>1053</v>
      </c>
      <c r="N249" s="8" t="s">
        <v>1102</v>
      </c>
      <c r="O249" s="7" t="s">
        <v>3</v>
      </c>
      <c r="P249" s="57" t="str">
        <f>IFERROR(__xludf.DUMMYFUNCTION("XLOOKUP(JOIN(""/"",$A249:$B249),'source isilon_divまとめ'!$A:$A,'source isilon_divまとめ'!$D:$D,XLOOKUP(JOIN(""\"",$A249:$B249),'source NetApp-file-sv01-div'!A:A,TEXT('source NetApp-file-sv01-div'!C:C,""yyyy/mm/dd"")))"),"2015/04/30")</f>
        <v>2015/04/30</v>
      </c>
    </row>
    <row r="250">
      <c r="A250" s="8" t="s">
        <v>1252</v>
      </c>
      <c r="B250" s="8" t="s">
        <v>1111</v>
      </c>
      <c r="C250" s="7" t="s">
        <v>988</v>
      </c>
      <c r="D250" s="56">
        <f>IFERROR(__xludf.DUMMYFUNCTION("XLOOKUP(JOIN(""/"",$A250:$B250),'source merged_div_data'!$A:$A,'source merged_div_data'!B:B)"),13.0)</f>
        <v>13</v>
      </c>
      <c r="E250" s="56">
        <f>IFERROR(__xludf.DUMMYFUNCTION("XLOOKUP(JOIN(""/"",$A250:$B250),'source merged_div_data'!$A:$A,'source merged_div_data'!C:C)"),115.0)</f>
        <v>115</v>
      </c>
      <c r="F250" s="54" t="str">
        <f t="array" ref="F250">IFERROR(
  IFS(
    XLOOKUP(TEXTJOIN("/", TRUE, $A250:$B250), 'source merged_div_data'!$A:$A, 'source merged_div_data'!F:F) &lt; 1024,
      XLOOKUP(TEXTJOIN("/", TRUE, $A250:$B250), 'source merged_div_data'!$A:$A, 'source merged_div_data'!F:F) &amp; " B",
    XLOOKUP(TEXTJOIN("/", TRUE, $A250:$B250), 'source merged_div_data'!$A:$A, 'source merged_div_data'!F:F) &lt; 1048576,
      ROUND(XLOOKUP(TEXTJOIN("/", TRUE, $A250:$B250), 'source merged_div_data'!$A:$A, 'source merged_div_data'!F:F)/1024, 2) &amp; " KB",
    XLOOKUP(TEXTJOIN("/", TRUE, $A250:$B250), 'source merged_div_data'!$A:$A, 'source merged_div_data'!F:F) &lt; 1073741824,
      ROUND(XLOOKUP(TEXTJOIN("/", TRUE, $A250:$B250), 'source merged_div_data'!$A:$A, 'source merged_div_data'!F:F)/1048576, 2) &amp; " MB",
    TRUE,
      ROUND(XLOOKUP(TEXTJOIN("/", TRUE, $A250:$B250), 'source merged_div_data'!$A:$A, 'source merged_div_data'!F:F)/1073741824, 2) &amp; " GB"
  ),
  "×"
)</f>
        <v>273.87 MB</v>
      </c>
      <c r="G250" s="57" t="s">
        <v>2288</v>
      </c>
      <c r="H250" s="58" t="s">
        <v>2177</v>
      </c>
      <c r="I250" s="57"/>
      <c r="J250" s="7" t="s">
        <v>1105</v>
      </c>
      <c r="L250" s="37" t="s">
        <v>1053</v>
      </c>
      <c r="M250" s="37" t="s">
        <v>1053</v>
      </c>
      <c r="N250" s="8" t="s">
        <v>1102</v>
      </c>
      <c r="O250" s="7" t="s">
        <v>1105</v>
      </c>
      <c r="P250" s="57" t="str">
        <f>IFERROR(__xludf.DUMMYFUNCTION("XLOOKUP(JOIN(""/"",$A250:$B250),'source isilon_divまとめ'!$A:$A,'source isilon_divまとめ'!$D:$D,XLOOKUP(JOIN(""\"",$A250:$B250),'source NetApp-file-sv01-div'!A:A,TEXT('source NetApp-file-sv01-div'!C:C,""yyyy/mm/dd"")))"),"2013/09/04")</f>
        <v>2013/09/04</v>
      </c>
    </row>
    <row r="251">
      <c r="A251" s="8" t="s">
        <v>1213</v>
      </c>
      <c r="B251" s="8" t="s">
        <v>1257</v>
      </c>
      <c r="C251" s="7" t="s">
        <v>987</v>
      </c>
      <c r="D251" s="56">
        <f>IFERROR(__xludf.DUMMYFUNCTION("XLOOKUP(JOIN(""/"",$A251:$B251),'source merged_div_data'!$A:$A,'source merged_div_data'!B:B)"),1224.0)</f>
        <v>1224</v>
      </c>
      <c r="E251" s="56">
        <f>IFERROR(__xludf.DUMMYFUNCTION("XLOOKUP(JOIN(""/"",$A251:$B251),'source merged_div_data'!$A:$A,'source merged_div_data'!C:C)"),15605.0)</f>
        <v>15605</v>
      </c>
      <c r="F251" s="54" t="str">
        <f t="array" ref="F251">IFERROR(
  IFS(
    XLOOKUP(TEXTJOIN("/", TRUE, $A251:$B251), 'source merged_div_data'!$A:$A, 'source merged_div_data'!F:F) &lt; 1024,
      XLOOKUP(TEXTJOIN("/", TRUE, $A251:$B251), 'source merged_div_data'!$A:$A, 'source merged_div_data'!F:F) &amp; " B",
    XLOOKUP(TEXTJOIN("/", TRUE, $A251:$B251), 'source merged_div_data'!$A:$A, 'source merged_div_data'!F:F) &lt; 1048576,
      ROUND(XLOOKUP(TEXTJOIN("/", TRUE, $A251:$B251), 'source merged_div_data'!$A:$A, 'source merged_div_data'!F:F)/1024, 2) &amp; " KB",
    XLOOKUP(TEXTJOIN("/", TRUE, $A251:$B251), 'source merged_div_data'!$A:$A, 'source merged_div_data'!F:F) &lt; 1073741824,
      ROUND(XLOOKUP(TEXTJOIN("/", TRUE, $A251:$B251), 'source merged_div_data'!$A:$A, 'source merged_div_data'!F:F)/1048576, 2) &amp; " MB",
    TRUE,
      ROUND(XLOOKUP(TEXTJOIN("/", TRUE, $A251:$B251), 'source merged_div_data'!$A:$A, 'source merged_div_data'!F:F)/1073741824, 2) &amp; " GB"
  ),
  "×"
)</f>
        <v>4.6 GB</v>
      </c>
      <c r="G251" s="57" t="s">
        <v>2289</v>
      </c>
      <c r="H251" s="58" t="s">
        <v>2177</v>
      </c>
      <c r="I251" s="57"/>
      <c r="J251" s="7" t="s">
        <v>2290</v>
      </c>
      <c r="K251" s="7" t="s">
        <v>4</v>
      </c>
      <c r="L251" s="37" t="s">
        <v>1053</v>
      </c>
      <c r="M251" s="7" t="s">
        <v>2126</v>
      </c>
      <c r="N251" s="8" t="s">
        <v>1181</v>
      </c>
      <c r="O251" s="7" t="s">
        <v>1258</v>
      </c>
      <c r="P251" s="57" t="str">
        <f>IFERROR(__xludf.DUMMYFUNCTION("XLOOKUP(JOIN(""/"",$A251:$B251),'source isilon_divまとめ'!$A:$A,'source isilon_divまとめ'!$D:$D,XLOOKUP(JOIN(""\"",$A251:$B251),'source NetApp-file-sv01-div'!A:A,TEXT('source NetApp-file-sv01-div'!C:C,""yyyy/mm/dd"")))"),"2022/04/18")</f>
        <v>2022/04/18</v>
      </c>
    </row>
    <row r="252">
      <c r="A252" s="8" t="s">
        <v>1213</v>
      </c>
      <c r="B252" s="8" t="s">
        <v>444</v>
      </c>
      <c r="C252" s="7" t="s">
        <v>987</v>
      </c>
      <c r="D252" s="56">
        <f>IFERROR(__xludf.DUMMYFUNCTION("XLOOKUP(JOIN(""/"",$A252:$B252),'source merged_div_data'!$A:$A,'source merged_div_data'!B:B)"),53.0)</f>
        <v>53</v>
      </c>
      <c r="E252" s="56">
        <f>IFERROR(__xludf.DUMMYFUNCTION("XLOOKUP(JOIN(""/"",$A252:$B252),'source merged_div_data'!$A:$A,'source merged_div_data'!C:C)"),1172.0)</f>
        <v>1172</v>
      </c>
      <c r="F252" s="54" t="str">
        <f t="array" ref="F252">IFERROR(
  IFS(
    XLOOKUP(TEXTJOIN("/", TRUE, $A252:$B252), 'source merged_div_data'!$A:$A, 'source merged_div_data'!F:F) &lt; 1024,
      XLOOKUP(TEXTJOIN("/", TRUE, $A252:$B252), 'source merged_div_data'!$A:$A, 'source merged_div_data'!F:F) &amp; " B",
    XLOOKUP(TEXTJOIN("/", TRUE, $A252:$B252), 'source merged_div_data'!$A:$A, 'source merged_div_data'!F:F) &lt; 1048576,
      ROUND(XLOOKUP(TEXTJOIN("/", TRUE, $A252:$B252), 'source merged_div_data'!$A:$A, 'source merged_div_data'!F:F)/1024, 2) &amp; " KB",
    XLOOKUP(TEXTJOIN("/", TRUE, $A252:$B252), 'source merged_div_data'!$A:$A, 'source merged_div_data'!F:F) &lt; 1073741824,
      ROUND(XLOOKUP(TEXTJOIN("/", TRUE, $A252:$B252), 'source merged_div_data'!$A:$A, 'source merged_div_data'!F:F)/1048576, 2) &amp; " MB",
    TRUE,
      ROUND(XLOOKUP(TEXTJOIN("/", TRUE, $A252:$B252), 'source merged_div_data'!$A:$A, 'source merged_div_data'!F:F)/1073741824, 2) &amp; " GB"
  ),
  "×"
)</f>
        <v>137.17 MB</v>
      </c>
      <c r="G252" s="57" t="s">
        <v>2291</v>
      </c>
      <c r="H252" s="58" t="s">
        <v>2177</v>
      </c>
      <c r="I252" s="57"/>
      <c r="J252" s="7" t="s">
        <v>2290</v>
      </c>
      <c r="K252" s="7" t="s">
        <v>9</v>
      </c>
      <c r="L252" s="37" t="s">
        <v>1053</v>
      </c>
      <c r="M252" s="7" t="s">
        <v>2124</v>
      </c>
      <c r="N252" s="8" t="s">
        <v>1181</v>
      </c>
      <c r="O252" s="7" t="s">
        <v>1259</v>
      </c>
      <c r="P252" s="57" t="str">
        <f>IFERROR(__xludf.DUMMYFUNCTION("XLOOKUP(JOIN(""/"",$A252:$B252),'source isilon_divまとめ'!$A:$A,'source isilon_divまとめ'!$D:$D,XLOOKUP(JOIN(""\"",$A252:$B252),'source NetApp-file-sv01-div'!A:A,TEXT('source NetApp-file-sv01-div'!C:C,""yyyy/mm/dd"")))"),"2014/12/31")</f>
        <v>2014/12/31</v>
      </c>
    </row>
    <row r="253">
      <c r="A253" s="52" t="s">
        <v>1213</v>
      </c>
      <c r="B253" s="52" t="s">
        <v>56</v>
      </c>
      <c r="C253" s="46" t="s">
        <v>988</v>
      </c>
      <c r="D253" s="53">
        <f>IFERROR(__xludf.DUMMYFUNCTION("XLOOKUP(JOIN(""/"",$A253:$B253),'source merged_div_data'!$A:$A,'source merged_div_data'!B:B)"),2.0)</f>
        <v>2</v>
      </c>
      <c r="E253" s="53">
        <f>IFERROR(__xludf.DUMMYFUNCTION("XLOOKUP(JOIN(""/"",$A253:$B253),'source merged_div_data'!$A:$A,'source merged_div_data'!C:C)"),0.0)</f>
        <v>0</v>
      </c>
      <c r="F253" s="54" t="str">
        <f t="array" ref="F253">IFERROR(
  IFS(
    XLOOKUP(TEXTJOIN("/", TRUE, $A253:$B253), 'source merged_div_data'!$A:$A, 'source merged_div_data'!F:F) &lt; 1024,
      XLOOKUP(TEXTJOIN("/", TRUE, $A253:$B253), 'source merged_div_data'!$A:$A, 'source merged_div_data'!F:F) &amp; " B",
    XLOOKUP(TEXTJOIN("/", TRUE, $A253:$B253), 'source merged_div_data'!$A:$A, 'source merged_div_data'!F:F) &lt; 1048576,
      ROUND(XLOOKUP(TEXTJOIN("/", TRUE, $A253:$B253), 'source merged_div_data'!$A:$A, 'source merged_div_data'!F:F)/1024, 2) &amp; " KB",
    XLOOKUP(TEXTJOIN("/", TRUE, $A253:$B253), 'source merged_div_data'!$A:$A, 'source merged_div_data'!F:F) &lt; 1073741824,
      ROUND(XLOOKUP(TEXTJOIN("/", TRUE, $A253:$B253), 'source merged_div_data'!$A:$A, 'source merged_div_data'!F:F)/1048576, 2) &amp; " MB",
    TRUE,
      ROUND(XLOOKUP(TEXTJOIN("/", TRUE, $A253:$B253), 'source merged_div_data'!$A:$A, 'source merged_div_data'!F:F)/1073741824, 2) &amp; " GB"
  ),
  "×"
)</f>
        <v>36 B</v>
      </c>
      <c r="G253" s="55" t="s">
        <v>1053</v>
      </c>
      <c r="H253" s="55"/>
      <c r="I253" s="55"/>
      <c r="J253" s="46" t="s">
        <v>1255</v>
      </c>
      <c r="K253" s="55"/>
      <c r="L253" s="55" t="s">
        <v>1053</v>
      </c>
      <c r="M253" s="55" t="s">
        <v>1053</v>
      </c>
      <c r="N253" s="52" t="s">
        <v>1181</v>
      </c>
      <c r="O253" s="46" t="s">
        <v>1255</v>
      </c>
      <c r="P253" s="37" t="str">
        <f>IFERROR(__xludf.DUMMYFUNCTION("XLOOKUP(JOIN(""/"",$A253:$B253),'source isilon_divまとめ'!$A:$A,'source isilon_divまとめ'!$D:$D,XLOOKUP(JOIN(""\"",$A253:$B253),'source NetApp-file-sv01-div'!A:A,TEXT('source NetApp-file-sv01-div'!C:C,""yyyy/mm/dd"")))"),"#N/A")</f>
        <v>#N/A</v>
      </c>
    </row>
    <row r="254">
      <c r="A254" s="8" t="s">
        <v>1213</v>
      </c>
      <c r="B254" s="8" t="s">
        <v>1260</v>
      </c>
      <c r="C254" s="7" t="s">
        <v>987</v>
      </c>
      <c r="D254" s="56">
        <f>IFERROR(__xludf.DUMMYFUNCTION("XLOOKUP(JOIN(""/"",$A254:$B254),'source merged_div_data'!$A:$A,'source merged_div_data'!B:B)"),627.0)</f>
        <v>627</v>
      </c>
      <c r="E254" s="56">
        <f>IFERROR(__xludf.DUMMYFUNCTION("XLOOKUP(JOIN(""/"",$A254:$B254),'source merged_div_data'!$A:$A,'source merged_div_data'!C:C)"),12993.0)</f>
        <v>12993</v>
      </c>
      <c r="F254" s="54" t="str">
        <f t="array" ref="F254">IFERROR(
  IFS(
    XLOOKUP(TEXTJOIN("/", TRUE, $A254:$B254), 'source merged_div_data'!$A:$A, 'source merged_div_data'!F:F) &lt; 1024,
      XLOOKUP(TEXTJOIN("/", TRUE, $A254:$B254), 'source merged_div_data'!$A:$A, 'source merged_div_data'!F:F) &amp; " B",
    XLOOKUP(TEXTJOIN("/", TRUE, $A254:$B254), 'source merged_div_data'!$A:$A, 'source merged_div_data'!F:F) &lt; 1048576,
      ROUND(XLOOKUP(TEXTJOIN("/", TRUE, $A254:$B254), 'source merged_div_data'!$A:$A, 'source merged_div_data'!F:F)/1024, 2) &amp; " KB",
    XLOOKUP(TEXTJOIN("/", TRUE, $A254:$B254), 'source merged_div_data'!$A:$A, 'source merged_div_data'!F:F) &lt; 1073741824,
      ROUND(XLOOKUP(TEXTJOIN("/", TRUE, $A254:$B254), 'source merged_div_data'!$A:$A, 'source merged_div_data'!F:F)/1048576, 2) &amp; " MB",
    TRUE,
      ROUND(XLOOKUP(TEXTJOIN("/", TRUE, $A254:$B254), 'source merged_div_data'!$A:$A, 'source merged_div_data'!F:F)/1073741824, 2) &amp; " GB"
  ),
  "×"
)</f>
        <v>2.83 GB</v>
      </c>
      <c r="G254" s="57" t="s">
        <v>2292</v>
      </c>
      <c r="H254" s="58" t="s">
        <v>2177</v>
      </c>
      <c r="I254" s="57"/>
      <c r="J254" s="7" t="s">
        <v>1261</v>
      </c>
      <c r="K254" s="7" t="s">
        <v>613</v>
      </c>
      <c r="L254" s="7" t="s">
        <v>1453</v>
      </c>
      <c r="M254" s="37" t="s">
        <v>1053</v>
      </c>
      <c r="N254" s="8" t="s">
        <v>1181</v>
      </c>
      <c r="O254" s="7" t="s">
        <v>1261</v>
      </c>
      <c r="P254" s="57" t="str">
        <f>IFERROR(__xludf.DUMMYFUNCTION("XLOOKUP(JOIN(""/"",$A254:$B254),'source isilon_divまとめ'!$A:$A,'source isilon_divまとめ'!$D:$D,XLOOKUP(JOIN(""\"",$A254:$B254),'source NetApp-file-sv01-div'!A:A,TEXT('source NetApp-file-sv01-div'!C:C,""yyyy/mm/dd"")))"),"2018/12/17")</f>
        <v>2018/12/17</v>
      </c>
    </row>
    <row r="255">
      <c r="A255" s="8" t="s">
        <v>1213</v>
      </c>
      <c r="B255" s="8" t="s">
        <v>1104</v>
      </c>
      <c r="C255" s="7" t="s">
        <v>988</v>
      </c>
      <c r="D255" s="56">
        <f>IFERROR(__xludf.DUMMYFUNCTION("XLOOKUP(JOIN(""/"",$A255:$B255),'source merged_div_data'!$A:$A,'source merged_div_data'!B:B)"),6403.0)</f>
        <v>6403</v>
      </c>
      <c r="E255" s="56">
        <f>IFERROR(__xludf.DUMMYFUNCTION("XLOOKUP(JOIN(""/"",$A255:$B255),'source merged_div_data'!$A:$A,'source merged_div_data'!C:C)"),42443.0)</f>
        <v>42443</v>
      </c>
      <c r="F255" s="54" t="str">
        <f t="array" ref="F255">IFERROR(
  IFS(
    XLOOKUP(TEXTJOIN("/", TRUE, $A255:$B255), 'source merged_div_data'!$A:$A, 'source merged_div_data'!F:F) &lt; 1024,
      XLOOKUP(TEXTJOIN("/", TRUE, $A255:$B255), 'source merged_div_data'!$A:$A, 'source merged_div_data'!F:F) &amp; " B",
    XLOOKUP(TEXTJOIN("/", TRUE, $A255:$B255), 'source merged_div_data'!$A:$A, 'source merged_div_data'!F:F) &lt; 1048576,
      ROUND(XLOOKUP(TEXTJOIN("/", TRUE, $A255:$B255), 'source merged_div_data'!$A:$A, 'source merged_div_data'!F:F)/1024, 2) &amp; " KB",
    XLOOKUP(TEXTJOIN("/", TRUE, $A255:$B255), 'source merged_div_data'!$A:$A, 'source merged_div_data'!F:F) &lt; 1073741824,
      ROUND(XLOOKUP(TEXTJOIN("/", TRUE, $A255:$B255), 'source merged_div_data'!$A:$A, 'source merged_div_data'!F:F)/1048576, 2) &amp; " MB",
    TRUE,
      ROUND(XLOOKUP(TEXTJOIN("/", TRUE, $A255:$B255), 'source merged_div_data'!$A:$A, 'source merged_div_data'!F:F)/1073741824, 2) &amp; " GB"
  ),
  "×"
)</f>
        <v>65.44 GB</v>
      </c>
      <c r="G255" s="57" t="s">
        <v>2248</v>
      </c>
      <c r="H255" s="58" t="s">
        <v>2177</v>
      </c>
      <c r="I255" s="57"/>
      <c r="J255" s="7" t="s">
        <v>1105</v>
      </c>
      <c r="L255" s="37" t="s">
        <v>1053</v>
      </c>
      <c r="M255" s="37" t="s">
        <v>1053</v>
      </c>
      <c r="N255" s="8" t="s">
        <v>1181</v>
      </c>
      <c r="O255" s="7" t="s">
        <v>1105</v>
      </c>
      <c r="P255" s="57" t="str">
        <f>IFERROR(__xludf.DUMMYFUNCTION("XLOOKUP(JOIN(""/"",$A255:$B255),'source isilon_divまとめ'!$A:$A,'source isilon_divまとめ'!$D:$D,XLOOKUP(JOIN(""\"",$A255:$B255),'source NetApp-file-sv01-div'!A:A,TEXT('source NetApp-file-sv01-div'!C:C,""yyyy/mm/dd"")))"),"2022/04/19")</f>
        <v>2022/04/19</v>
      </c>
    </row>
    <row r="256">
      <c r="A256" s="52" t="s">
        <v>780</v>
      </c>
      <c r="B256" s="52" t="s">
        <v>786</v>
      </c>
      <c r="C256" s="46" t="s">
        <v>986</v>
      </c>
      <c r="D256" s="53">
        <f>IFERROR(__xludf.DUMMYFUNCTION("XLOOKUP(JOIN(""/"",$A256:$B256),'source merged_div_data'!$A:$A,'source merged_div_data'!B:B)"),28.0)</f>
        <v>28</v>
      </c>
      <c r="E256" s="53">
        <f>IFERROR(__xludf.DUMMYFUNCTION("XLOOKUP(JOIN(""/"",$A256:$B256),'source merged_div_data'!$A:$A,'source merged_div_data'!C:C)"),0.0)</f>
        <v>0</v>
      </c>
      <c r="F256" s="54" t="str">
        <f t="array" ref="F256">IFERROR(
  IFS(
    XLOOKUP(TEXTJOIN("/", TRUE, $A256:$B256), 'source merged_div_data'!$A:$A, 'source merged_div_data'!F:F) &lt; 1024,
      XLOOKUP(TEXTJOIN("/", TRUE, $A256:$B256), 'source merged_div_data'!$A:$A, 'source merged_div_data'!F:F) &amp; " B",
    XLOOKUP(TEXTJOIN("/", TRUE, $A256:$B256), 'source merged_div_data'!$A:$A, 'source merged_div_data'!F:F) &lt; 1048576,
      ROUND(XLOOKUP(TEXTJOIN("/", TRUE, $A256:$B256), 'source merged_div_data'!$A:$A, 'source merged_div_data'!F:F)/1024, 2) &amp; " KB",
    XLOOKUP(TEXTJOIN("/", TRUE, $A256:$B256), 'source merged_div_data'!$A:$A, 'source merged_div_data'!F:F) &lt; 1073741824,
      ROUND(XLOOKUP(TEXTJOIN("/", TRUE, $A256:$B256), 'source merged_div_data'!$A:$A, 'source merged_div_data'!F:F)/1048576, 2) &amp; " MB",
    TRUE,
      ROUND(XLOOKUP(TEXTJOIN("/", TRUE, $A256:$B256), 'source merged_div_data'!$A:$A, 'source merged_div_data'!F:F)/1073741824, 2) &amp; " GB"
  ),
  "×"
)</f>
        <v>999 B</v>
      </c>
      <c r="G256" s="55" t="s">
        <v>1053</v>
      </c>
      <c r="H256" s="55"/>
      <c r="I256" s="55"/>
      <c r="J256" s="55" t="s">
        <v>780</v>
      </c>
      <c r="K256" s="55" t="s">
        <v>786</v>
      </c>
      <c r="L256" s="55" t="s">
        <v>1498</v>
      </c>
      <c r="M256" s="55" t="s">
        <v>2293</v>
      </c>
      <c r="N256" s="52"/>
      <c r="O256" s="55"/>
      <c r="P256" s="37" t="str">
        <f>IFERROR(__xludf.DUMMYFUNCTION("XLOOKUP(JOIN(""/"",$A256:$B256),'source isilon_divまとめ'!$A:$A,'source isilon_divまとめ'!$D:$D,XLOOKUP(JOIN(""\"",$A256:$B256),'source NetApp-file-sv01-div'!A:A,TEXT('source NetApp-file-sv01-div'!C:C,""yyyy/mm/dd"")))"),"#N/A")</f>
        <v>#N/A</v>
      </c>
    </row>
    <row r="257">
      <c r="A257" s="52" t="s">
        <v>780</v>
      </c>
      <c r="B257" s="52" t="s">
        <v>284</v>
      </c>
      <c r="C257" s="46" t="s">
        <v>986</v>
      </c>
      <c r="D257" s="53">
        <f>IFERROR(__xludf.DUMMYFUNCTION("XLOOKUP(JOIN(""/"",$A257:$B257),'source merged_div_data'!$A:$A,'source merged_div_data'!B:B)"),20.0)</f>
        <v>20</v>
      </c>
      <c r="E257" s="53">
        <f>IFERROR(__xludf.DUMMYFUNCTION("XLOOKUP(JOIN(""/"",$A257:$B257),'source merged_div_data'!$A:$A,'source merged_div_data'!C:C)"),0.0)</f>
        <v>0</v>
      </c>
      <c r="F257" s="54" t="str">
        <f t="array" ref="F257">IFERROR(
  IFS(
    XLOOKUP(TEXTJOIN("/", TRUE, $A257:$B257), 'source merged_div_data'!$A:$A, 'source merged_div_data'!F:F) &lt; 1024,
      XLOOKUP(TEXTJOIN("/", TRUE, $A257:$B257), 'source merged_div_data'!$A:$A, 'source merged_div_data'!F:F) &amp; " B",
    XLOOKUP(TEXTJOIN("/", TRUE, $A257:$B257), 'source merged_div_data'!$A:$A, 'source merged_div_data'!F:F) &lt; 1048576,
      ROUND(XLOOKUP(TEXTJOIN("/", TRUE, $A257:$B257), 'source merged_div_data'!$A:$A, 'source merged_div_data'!F:F)/1024, 2) &amp; " KB",
    XLOOKUP(TEXTJOIN("/", TRUE, $A257:$B257), 'source merged_div_data'!$A:$A, 'source merged_div_data'!F:F) &lt; 1073741824,
      ROUND(XLOOKUP(TEXTJOIN("/", TRUE, $A257:$B257), 'source merged_div_data'!$A:$A, 'source merged_div_data'!F:F)/1048576, 2) &amp; " MB",
    TRUE,
      ROUND(XLOOKUP(TEXTJOIN("/", TRUE, $A257:$B257), 'source merged_div_data'!$A:$A, 'source merged_div_data'!F:F)/1073741824, 2) &amp; " GB"
  ),
  "×"
)</f>
        <v>586 B</v>
      </c>
      <c r="G257" s="55" t="s">
        <v>1053</v>
      </c>
      <c r="H257" s="55"/>
      <c r="I257" s="55"/>
      <c r="J257" s="55" t="s">
        <v>780</v>
      </c>
      <c r="K257" s="55" t="s">
        <v>284</v>
      </c>
      <c r="L257" s="55" t="s">
        <v>1498</v>
      </c>
      <c r="M257" s="55" t="s">
        <v>1053</v>
      </c>
      <c r="N257" s="52"/>
      <c r="O257" s="55"/>
      <c r="P257" s="37" t="str">
        <f>IFERROR(__xludf.DUMMYFUNCTION("XLOOKUP(JOIN(""/"",$A257:$B257),'source isilon_divまとめ'!$A:$A,'source isilon_divまとめ'!$D:$D,XLOOKUP(JOIN(""\"",$A257:$B257),'source NetApp-file-sv01-div'!A:A,TEXT('source NetApp-file-sv01-div'!C:C,""yyyy/mm/dd"")))"),"#N/A")</f>
        <v>#N/A</v>
      </c>
    </row>
    <row r="258">
      <c r="A258" s="52" t="s">
        <v>780</v>
      </c>
      <c r="B258" s="52" t="s">
        <v>286</v>
      </c>
      <c r="C258" s="46" t="s">
        <v>986</v>
      </c>
      <c r="D258" s="53">
        <f>IFERROR(__xludf.DUMMYFUNCTION("XLOOKUP(JOIN(""/"",$A258:$B258),'source merged_div_data'!$A:$A,'source merged_div_data'!B:B)"),4.0)</f>
        <v>4</v>
      </c>
      <c r="E258" s="53">
        <f>IFERROR(__xludf.DUMMYFUNCTION("XLOOKUP(JOIN(""/"",$A258:$B258),'source merged_div_data'!$A:$A,'source merged_div_data'!C:C)"),0.0)</f>
        <v>0</v>
      </c>
      <c r="F258" s="54" t="str">
        <f t="array" ref="F258">IFERROR(
  IFS(
    XLOOKUP(TEXTJOIN("/", TRUE, $A258:$B258), 'source merged_div_data'!$A:$A, 'source merged_div_data'!F:F) &lt; 1024,
      XLOOKUP(TEXTJOIN("/", TRUE, $A258:$B258), 'source merged_div_data'!$A:$A, 'source merged_div_data'!F:F) &amp; " B",
    XLOOKUP(TEXTJOIN("/", TRUE, $A258:$B258), 'source merged_div_data'!$A:$A, 'source merged_div_data'!F:F) &lt; 1048576,
      ROUND(XLOOKUP(TEXTJOIN("/", TRUE, $A258:$B258), 'source merged_div_data'!$A:$A, 'source merged_div_data'!F:F)/1024, 2) &amp; " KB",
    XLOOKUP(TEXTJOIN("/", TRUE, $A258:$B258), 'source merged_div_data'!$A:$A, 'source merged_div_data'!F:F) &lt; 1073741824,
      ROUND(XLOOKUP(TEXTJOIN("/", TRUE, $A258:$B258), 'source merged_div_data'!$A:$A, 'source merged_div_data'!F:F)/1048576, 2) &amp; " MB",
    TRUE,
      ROUND(XLOOKUP(TEXTJOIN("/", TRUE, $A258:$B258), 'source merged_div_data'!$A:$A, 'source merged_div_data'!F:F)/1073741824, 2) &amp; " GB"
  ),
  "×"
)</f>
        <v>94 B</v>
      </c>
      <c r="G258" s="55" t="s">
        <v>1053</v>
      </c>
      <c r="H258" s="55"/>
      <c r="I258" s="55"/>
      <c r="J258" s="55" t="s">
        <v>780</v>
      </c>
      <c r="K258" s="55" t="s">
        <v>286</v>
      </c>
      <c r="L258" s="55" t="s">
        <v>1498</v>
      </c>
      <c r="M258" s="55" t="s">
        <v>1053</v>
      </c>
      <c r="N258" s="52"/>
      <c r="O258" s="55"/>
      <c r="P258" s="37" t="str">
        <f>IFERROR(__xludf.DUMMYFUNCTION("XLOOKUP(JOIN(""/"",$A258:$B258),'source isilon_divまとめ'!$A:$A,'source isilon_divまとめ'!$D:$D,XLOOKUP(JOIN(""\"",$A258:$B258),'source NetApp-file-sv01-div'!A:A,TEXT('source NetApp-file-sv01-div'!C:C,""yyyy/mm/dd"")))"),"#N/A")</f>
        <v>#N/A</v>
      </c>
    </row>
    <row r="259">
      <c r="A259" s="52" t="s">
        <v>780</v>
      </c>
      <c r="B259" s="52" t="s">
        <v>1111</v>
      </c>
      <c r="C259" s="46" t="s">
        <v>986</v>
      </c>
      <c r="D259" s="53">
        <f>IFERROR(__xludf.DUMMYFUNCTION("XLOOKUP(JOIN(""/"",$A259:$B259),'source merged_div_data'!$A:$A,'source merged_div_data'!B:B)"),1.0)</f>
        <v>1</v>
      </c>
      <c r="E259" s="53">
        <f>IFERROR(__xludf.DUMMYFUNCTION("XLOOKUP(JOIN(""/"",$A259:$B259),'source merged_div_data'!$A:$A,'source merged_div_data'!C:C)"),0.0)</f>
        <v>0</v>
      </c>
      <c r="F259" s="54" t="str">
        <f t="array" ref="F259">IFERROR(
  IFS(
    XLOOKUP(TEXTJOIN("/", TRUE, $A259:$B259), 'source merged_div_data'!$A:$A, 'source merged_div_data'!F:F) &lt; 1024,
      XLOOKUP(TEXTJOIN("/", TRUE, $A259:$B259), 'source merged_div_data'!$A:$A, 'source merged_div_data'!F:F) &amp; " B",
    XLOOKUP(TEXTJOIN("/", TRUE, $A259:$B259), 'source merged_div_data'!$A:$A, 'source merged_div_data'!F:F) &lt; 1048576,
      ROUND(XLOOKUP(TEXTJOIN("/", TRUE, $A259:$B259), 'source merged_div_data'!$A:$A, 'source merged_div_data'!F:F)/1024, 2) &amp; " KB",
    XLOOKUP(TEXTJOIN("/", TRUE, $A259:$B259), 'source merged_div_data'!$A:$A, 'source merged_div_data'!F:F) &lt; 1073741824,
      ROUND(XLOOKUP(TEXTJOIN("/", TRUE, $A259:$B259), 'source merged_div_data'!$A:$A, 'source merged_div_data'!F:F)/1048576, 2) &amp; " MB",
    TRUE,
      ROUND(XLOOKUP(TEXTJOIN("/", TRUE, $A259:$B259), 'source merged_div_data'!$A:$A, 'source merged_div_data'!F:F)/1073741824, 2) &amp; " GB"
  ),
  "×"
)</f>
        <v>0 B</v>
      </c>
      <c r="G259" s="55" t="s">
        <v>1053</v>
      </c>
      <c r="H259" s="55"/>
      <c r="I259" s="55"/>
      <c r="J259" s="55" t="s">
        <v>780</v>
      </c>
      <c r="K259" s="55" t="s">
        <v>1053</v>
      </c>
      <c r="L259" s="55" t="s">
        <v>1498</v>
      </c>
      <c r="M259" s="55" t="s">
        <v>1053</v>
      </c>
      <c r="N259" s="52"/>
      <c r="O259" s="55"/>
      <c r="P259" s="37" t="str">
        <f>IFERROR(__xludf.DUMMYFUNCTION("XLOOKUP(JOIN(""/"",$A259:$B259),'source isilon_divまとめ'!$A:$A,'source isilon_divまとめ'!$D:$D,XLOOKUP(JOIN(""\"",$A259:$B259),'source NetApp-file-sv01-div'!A:A,TEXT('source NetApp-file-sv01-div'!C:C,""yyyy/mm/dd"")))"),"#N/A")</f>
        <v>#N/A</v>
      </c>
    </row>
    <row r="260">
      <c r="A260" s="52" t="s">
        <v>648</v>
      </c>
      <c r="B260" s="52" t="s">
        <v>143</v>
      </c>
      <c r="C260" s="46" t="s">
        <v>986</v>
      </c>
      <c r="D260" s="53">
        <f>IFERROR(__xludf.DUMMYFUNCTION("XLOOKUP(JOIN(""/"",$A260:$B260),'source merged_div_data'!$A:$A,'source merged_div_data'!B:B)"),53.0)</f>
        <v>53</v>
      </c>
      <c r="E260" s="53">
        <f>IFERROR(__xludf.DUMMYFUNCTION("XLOOKUP(JOIN(""/"",$A260:$B260),'source merged_div_data'!$A:$A,'source merged_div_data'!C:C)"),0.0)</f>
        <v>0</v>
      </c>
      <c r="F260" s="54" t="str">
        <f t="array" ref="F260">IFERROR(
  IFS(
    XLOOKUP(TEXTJOIN("/", TRUE, $A260:$B260), 'source merged_div_data'!$A:$A, 'source merged_div_data'!F:F) &lt; 1024,
      XLOOKUP(TEXTJOIN("/", TRUE, $A260:$B260), 'source merged_div_data'!$A:$A, 'source merged_div_data'!F:F) &amp; " B",
    XLOOKUP(TEXTJOIN("/", TRUE, $A260:$B260), 'source merged_div_data'!$A:$A, 'source merged_div_data'!F:F) &lt; 1048576,
      ROUND(XLOOKUP(TEXTJOIN("/", TRUE, $A260:$B260), 'source merged_div_data'!$A:$A, 'source merged_div_data'!F:F)/1024, 2) &amp; " KB",
    XLOOKUP(TEXTJOIN("/", TRUE, $A260:$B260), 'source merged_div_data'!$A:$A, 'source merged_div_data'!F:F) &lt; 1073741824,
      ROUND(XLOOKUP(TEXTJOIN("/", TRUE, $A260:$B260), 'source merged_div_data'!$A:$A, 'source merged_div_data'!F:F)/1048576, 2) &amp; " MB",
    TRUE,
      ROUND(XLOOKUP(TEXTJOIN("/", TRUE, $A260:$B260), 'source merged_div_data'!$A:$A, 'source merged_div_data'!F:F)/1073741824, 2) &amp; " GB"
  ),
  "×"
)</f>
        <v>1.81 KB</v>
      </c>
      <c r="G260" s="55" t="s">
        <v>1053</v>
      </c>
      <c r="H260" s="55"/>
      <c r="I260" s="55"/>
      <c r="J260" s="55" t="s">
        <v>648</v>
      </c>
      <c r="K260" s="55" t="s">
        <v>143</v>
      </c>
      <c r="L260" s="55" t="s">
        <v>1053</v>
      </c>
      <c r="M260" s="55" t="s">
        <v>2294</v>
      </c>
      <c r="N260" s="52"/>
      <c r="O260" s="55"/>
      <c r="P260" s="37" t="str">
        <f>IFERROR(__xludf.DUMMYFUNCTION("XLOOKUP(JOIN(""/"",$A260:$B260),'source isilon_divまとめ'!$A:$A,'source isilon_divまとめ'!$D:$D,XLOOKUP(JOIN(""\"",$A260:$B260),'source NetApp-file-sv01-div'!A:A,TEXT('source NetApp-file-sv01-div'!C:C,""yyyy/mm/dd"")))"),"#N/A")</f>
        <v>#N/A</v>
      </c>
    </row>
    <row r="261">
      <c r="A261" s="52" t="s">
        <v>648</v>
      </c>
      <c r="B261" s="52" t="s">
        <v>668</v>
      </c>
      <c r="C261" s="46" t="s">
        <v>986</v>
      </c>
      <c r="D261" s="53">
        <f>IFERROR(__xludf.DUMMYFUNCTION("XLOOKUP(JOIN(""/"",$A261:$B261),'source merged_div_data'!$A:$A,'source merged_div_data'!B:B)"),2.0)</f>
        <v>2</v>
      </c>
      <c r="E261" s="53">
        <f>IFERROR(__xludf.DUMMYFUNCTION("XLOOKUP(JOIN(""/"",$A261:$B261),'source merged_div_data'!$A:$A,'source merged_div_data'!C:C)"),0.0)</f>
        <v>0</v>
      </c>
      <c r="F261" s="54" t="str">
        <f t="array" ref="F261">IFERROR(
  IFS(
    XLOOKUP(TEXTJOIN("/", TRUE, $A261:$B261), 'source merged_div_data'!$A:$A, 'source merged_div_data'!F:F) &lt; 1024,
      XLOOKUP(TEXTJOIN("/", TRUE, $A261:$B261), 'source merged_div_data'!$A:$A, 'source merged_div_data'!F:F) &amp; " B",
    XLOOKUP(TEXTJOIN("/", TRUE, $A261:$B261), 'source merged_div_data'!$A:$A, 'source merged_div_data'!F:F) &lt; 1048576,
      ROUND(XLOOKUP(TEXTJOIN("/", TRUE, $A261:$B261), 'source merged_div_data'!$A:$A, 'source merged_div_data'!F:F)/1024, 2) &amp; " KB",
    XLOOKUP(TEXTJOIN("/", TRUE, $A261:$B261), 'source merged_div_data'!$A:$A, 'source merged_div_data'!F:F) &lt; 1073741824,
      ROUND(XLOOKUP(TEXTJOIN("/", TRUE, $A261:$B261), 'source merged_div_data'!$A:$A, 'source merged_div_data'!F:F)/1048576, 2) &amp; " MB",
    TRUE,
      ROUND(XLOOKUP(TEXTJOIN("/", TRUE, $A261:$B261), 'source merged_div_data'!$A:$A, 'source merged_div_data'!F:F)/1073741824, 2) &amp; " GB"
  ),
  "×"
)</f>
        <v>27 B</v>
      </c>
      <c r="G261" s="55" t="s">
        <v>1053</v>
      </c>
      <c r="H261" s="55"/>
      <c r="I261" s="55"/>
      <c r="J261" s="55" t="s">
        <v>648</v>
      </c>
      <c r="K261" s="55" t="s">
        <v>163</v>
      </c>
      <c r="L261" s="46" t="s">
        <v>2295</v>
      </c>
      <c r="M261" s="55" t="s">
        <v>1053</v>
      </c>
      <c r="N261" s="46" t="s">
        <v>1052</v>
      </c>
      <c r="O261" s="55"/>
      <c r="P261" s="37" t="str">
        <f>IFERROR(__xludf.DUMMYFUNCTION("XLOOKUP(JOIN(""/"",$A261:$B261),'source isilon_divまとめ'!$A:$A,'source isilon_divまとめ'!$D:$D,XLOOKUP(JOIN(""\"",$A261:$B261),'source NetApp-file-sv01-div'!A:A,TEXT('source NetApp-file-sv01-div'!C:C,""yyyy/mm/dd"")))"),"#N/A")</f>
        <v>#N/A</v>
      </c>
    </row>
    <row r="262">
      <c r="A262" s="52" t="s">
        <v>648</v>
      </c>
      <c r="B262" s="52" t="s">
        <v>662</v>
      </c>
      <c r="C262" s="46" t="s">
        <v>986</v>
      </c>
      <c r="D262" s="53">
        <f>IFERROR(__xludf.DUMMYFUNCTION("XLOOKUP(JOIN(""/"",$A262:$B262),'source merged_div_data'!$A:$A,'source merged_div_data'!B:B)"),6.0)</f>
        <v>6</v>
      </c>
      <c r="E262" s="53">
        <f>IFERROR(__xludf.DUMMYFUNCTION("XLOOKUP(JOIN(""/"",$A262:$B262),'source merged_div_data'!$A:$A,'source merged_div_data'!C:C)"),0.0)</f>
        <v>0</v>
      </c>
      <c r="F262" s="54" t="str">
        <f t="array" ref="F262">IFERROR(
  IFS(
    XLOOKUP(TEXTJOIN("/", TRUE, $A262:$B262), 'source merged_div_data'!$A:$A, 'source merged_div_data'!F:F) &lt; 1024,
      XLOOKUP(TEXTJOIN("/", TRUE, $A262:$B262), 'source merged_div_data'!$A:$A, 'source merged_div_data'!F:F) &amp; " B",
    XLOOKUP(TEXTJOIN("/", TRUE, $A262:$B262), 'source merged_div_data'!$A:$A, 'source merged_div_data'!F:F) &lt; 1048576,
      ROUND(XLOOKUP(TEXTJOIN("/", TRUE, $A262:$B262), 'source merged_div_data'!$A:$A, 'source merged_div_data'!F:F)/1024, 2) &amp; " KB",
    XLOOKUP(TEXTJOIN("/", TRUE, $A262:$B262), 'source merged_div_data'!$A:$A, 'source merged_div_data'!F:F) &lt; 1073741824,
      ROUND(XLOOKUP(TEXTJOIN("/", TRUE, $A262:$B262), 'source merged_div_data'!$A:$A, 'source merged_div_data'!F:F)/1048576, 2) &amp; " MB",
    TRUE,
      ROUND(XLOOKUP(TEXTJOIN("/", TRUE, $A262:$B262), 'source merged_div_data'!$A:$A, 'source merged_div_data'!F:F)/1073741824, 2) &amp; " GB"
  ),
  "×"
)</f>
        <v>158 B</v>
      </c>
      <c r="G262" s="55" t="s">
        <v>1053</v>
      </c>
      <c r="H262" s="55"/>
      <c r="I262" s="55"/>
      <c r="J262" s="55" t="s">
        <v>648</v>
      </c>
      <c r="K262" s="55" t="s">
        <v>662</v>
      </c>
      <c r="L262" s="55" t="s">
        <v>1053</v>
      </c>
      <c r="M262" s="55" t="s">
        <v>2296</v>
      </c>
      <c r="N262" s="52"/>
      <c r="O262" s="55"/>
      <c r="P262" s="37" t="str">
        <f>IFERROR(__xludf.DUMMYFUNCTION("XLOOKUP(JOIN(""/"",$A262:$B262),'source isilon_divまとめ'!$A:$A,'source isilon_divまとめ'!$D:$D,XLOOKUP(JOIN(""\"",$A262:$B262),'source NetApp-file-sv01-div'!A:A,TEXT('source NetApp-file-sv01-div'!C:C,""yyyy/mm/dd"")))"),"#N/A")</f>
        <v>#N/A</v>
      </c>
    </row>
    <row r="263">
      <c r="A263" s="52" t="s">
        <v>648</v>
      </c>
      <c r="B263" s="52" t="s">
        <v>155</v>
      </c>
      <c r="C263" s="46" t="s">
        <v>986</v>
      </c>
      <c r="D263" s="53">
        <f>IFERROR(__xludf.DUMMYFUNCTION("XLOOKUP(JOIN(""/"",$A263:$B263),'source merged_div_data'!$A:$A,'source merged_div_data'!B:B)"),4.0)</f>
        <v>4</v>
      </c>
      <c r="E263" s="53">
        <f>IFERROR(__xludf.DUMMYFUNCTION("XLOOKUP(JOIN(""/"",$A263:$B263),'source merged_div_data'!$A:$A,'source merged_div_data'!C:C)"),0.0)</f>
        <v>0</v>
      </c>
      <c r="F263" s="54" t="str">
        <f t="array" ref="F263">IFERROR(
  IFS(
    XLOOKUP(TEXTJOIN("/", TRUE, $A263:$B263), 'source merged_div_data'!$A:$A, 'source merged_div_data'!F:F) &lt; 1024,
      XLOOKUP(TEXTJOIN("/", TRUE, $A263:$B263), 'source merged_div_data'!$A:$A, 'source merged_div_data'!F:F) &amp; " B",
    XLOOKUP(TEXTJOIN("/", TRUE, $A263:$B263), 'source merged_div_data'!$A:$A, 'source merged_div_data'!F:F) &lt; 1048576,
      ROUND(XLOOKUP(TEXTJOIN("/", TRUE, $A263:$B263), 'source merged_div_data'!$A:$A, 'source merged_div_data'!F:F)/1024, 2) &amp; " KB",
    XLOOKUP(TEXTJOIN("/", TRUE, $A263:$B263), 'source merged_div_data'!$A:$A, 'source merged_div_data'!F:F) &lt; 1073741824,
      ROUND(XLOOKUP(TEXTJOIN("/", TRUE, $A263:$B263), 'source merged_div_data'!$A:$A, 'source merged_div_data'!F:F)/1048576, 2) &amp; " MB",
    TRUE,
      ROUND(XLOOKUP(TEXTJOIN("/", TRUE, $A263:$B263), 'source merged_div_data'!$A:$A, 'source merged_div_data'!F:F)/1073741824, 2) &amp; " GB"
  ),
  "×"
)</f>
        <v>94 B</v>
      </c>
      <c r="G263" s="55" t="s">
        <v>1053</v>
      </c>
      <c r="H263" s="55"/>
      <c r="I263" s="55"/>
      <c r="J263" s="55" t="s">
        <v>648</v>
      </c>
      <c r="K263" s="55" t="s">
        <v>155</v>
      </c>
      <c r="L263" s="55" t="s">
        <v>1053</v>
      </c>
      <c r="M263" s="55" t="s">
        <v>2297</v>
      </c>
      <c r="N263" s="52"/>
      <c r="O263" s="55"/>
      <c r="P263" s="37" t="str">
        <f>IFERROR(__xludf.DUMMYFUNCTION("XLOOKUP(JOIN(""/"",$A263:$B263),'source isilon_divまとめ'!$A:$A,'source isilon_divまとめ'!$D:$D,XLOOKUP(JOIN(""\"",$A263:$B263),'source NetApp-file-sv01-div'!A:A,TEXT('source NetApp-file-sv01-div'!C:C,""yyyy/mm/dd"")))"),"#N/A")</f>
        <v>#N/A</v>
      </c>
    </row>
    <row r="264">
      <c r="A264" s="52" t="s">
        <v>648</v>
      </c>
      <c r="B264" s="52" t="s">
        <v>651</v>
      </c>
      <c r="C264" s="46" t="s">
        <v>986</v>
      </c>
      <c r="D264" s="53">
        <f>IFERROR(__xludf.DUMMYFUNCTION("XLOOKUP(JOIN(""/"",$A264:$B264),'source merged_div_data'!$A:$A,'source merged_div_data'!B:B)"),11.0)</f>
        <v>11</v>
      </c>
      <c r="E264" s="53">
        <f>IFERROR(__xludf.DUMMYFUNCTION("XLOOKUP(JOIN(""/"",$A264:$B264),'source merged_div_data'!$A:$A,'source merged_div_data'!C:C)"),0.0)</f>
        <v>0</v>
      </c>
      <c r="F264" s="54" t="str">
        <f t="array" ref="F264">IFERROR(
  IFS(
    XLOOKUP(TEXTJOIN("/", TRUE, $A264:$B264), 'source merged_div_data'!$A:$A, 'source merged_div_data'!F:F) &lt; 1024,
      XLOOKUP(TEXTJOIN("/", TRUE, $A264:$B264), 'source merged_div_data'!$A:$A, 'source merged_div_data'!F:F) &amp; " B",
    XLOOKUP(TEXTJOIN("/", TRUE, $A264:$B264), 'source merged_div_data'!$A:$A, 'source merged_div_data'!F:F) &lt; 1048576,
      ROUND(XLOOKUP(TEXTJOIN("/", TRUE, $A264:$B264), 'source merged_div_data'!$A:$A, 'source merged_div_data'!F:F)/1024, 2) &amp; " KB",
    XLOOKUP(TEXTJOIN("/", TRUE, $A264:$B264), 'source merged_div_data'!$A:$A, 'source merged_div_data'!F:F) &lt; 1073741824,
      ROUND(XLOOKUP(TEXTJOIN("/", TRUE, $A264:$B264), 'source merged_div_data'!$A:$A, 'source merged_div_data'!F:F)/1048576, 2) &amp; " MB",
    TRUE,
      ROUND(XLOOKUP(TEXTJOIN("/", TRUE, $A264:$B264), 'source merged_div_data'!$A:$A, 'source merged_div_data'!F:F)/1073741824, 2) &amp; " GB"
  ),
  "×"
)</f>
        <v>313 B</v>
      </c>
      <c r="G264" s="55" t="s">
        <v>1053</v>
      </c>
      <c r="H264" s="55"/>
      <c r="I264" s="55"/>
      <c r="J264" s="55" t="s">
        <v>648</v>
      </c>
      <c r="K264" s="55" t="s">
        <v>144</v>
      </c>
      <c r="L264" s="55" t="s">
        <v>1053</v>
      </c>
      <c r="M264" s="55" t="s">
        <v>2246</v>
      </c>
      <c r="N264" s="52"/>
      <c r="O264" s="55"/>
      <c r="P264" s="37" t="str">
        <f>IFERROR(__xludf.DUMMYFUNCTION("XLOOKUP(JOIN(""/"",$A264:$B264),'source isilon_divまとめ'!$A:$A,'source isilon_divまとめ'!$D:$D,XLOOKUP(JOIN(""\"",$A264:$B264),'source NetApp-file-sv01-div'!A:A,TEXT('source NetApp-file-sv01-div'!C:C,""yyyy/mm/dd"")))"),"#N/A")</f>
        <v>#N/A</v>
      </c>
    </row>
    <row r="265">
      <c r="A265" s="52" t="s">
        <v>648</v>
      </c>
      <c r="B265" s="52" t="s">
        <v>1262</v>
      </c>
      <c r="C265" s="46" t="s">
        <v>986</v>
      </c>
      <c r="D265" s="53">
        <f>IFERROR(__xludf.DUMMYFUNCTION("XLOOKUP(JOIN(""/"",$A265:$B265),'source merged_div_data'!$A:$A,'source merged_div_data'!B:B)"),8.0)</f>
        <v>8</v>
      </c>
      <c r="E265" s="53">
        <f>IFERROR(__xludf.DUMMYFUNCTION("XLOOKUP(JOIN(""/"",$A265:$B265),'source merged_div_data'!$A:$A,'source merged_div_data'!C:C)"),0.0)</f>
        <v>0</v>
      </c>
      <c r="F265" s="54" t="str">
        <f t="array" ref="F265">IFERROR(
  IFS(
    XLOOKUP(TEXTJOIN("/", TRUE, $A265:$B265), 'source merged_div_data'!$A:$A, 'source merged_div_data'!F:F) &lt; 1024,
      XLOOKUP(TEXTJOIN("/", TRUE, $A265:$B265), 'source merged_div_data'!$A:$A, 'source merged_div_data'!F:F) &amp; " B",
    XLOOKUP(TEXTJOIN("/", TRUE, $A265:$B265), 'source merged_div_data'!$A:$A, 'source merged_div_data'!F:F) &lt; 1048576,
      ROUND(XLOOKUP(TEXTJOIN("/", TRUE, $A265:$B265), 'source merged_div_data'!$A:$A, 'source merged_div_data'!F:F)/1024, 2) &amp; " KB",
    XLOOKUP(TEXTJOIN("/", TRUE, $A265:$B265), 'source merged_div_data'!$A:$A, 'source merged_div_data'!F:F) &lt; 1073741824,
      ROUND(XLOOKUP(TEXTJOIN("/", TRUE, $A265:$B265), 'source merged_div_data'!$A:$A, 'source merged_div_data'!F:F)/1048576, 2) &amp; " MB",
    TRUE,
      ROUND(XLOOKUP(TEXTJOIN("/", TRUE, $A265:$B265), 'source merged_div_data'!$A:$A, 'source merged_div_data'!F:F)/1073741824, 2) &amp; " GB"
  ),
  "×"
)</f>
        <v>222 B</v>
      </c>
      <c r="G265" s="55" t="s">
        <v>1053</v>
      </c>
      <c r="H265" s="55"/>
      <c r="I265" s="55"/>
      <c r="J265" s="55" t="str">
        <f t="array" ref="J265">XLOOKUP(K265,'部署遍歴'!D:D,'部署遍歴'!B:B,"×")</f>
        <v>ソーシャルベッティング事業本部</v>
      </c>
      <c r="K265" s="55" t="s">
        <v>141</v>
      </c>
      <c r="L265" s="46" t="s">
        <v>2295</v>
      </c>
      <c r="M265" s="55" t="s">
        <v>1053</v>
      </c>
      <c r="N265" s="52"/>
      <c r="O265" s="55"/>
      <c r="P265" s="37" t="str">
        <f>IFERROR(__xludf.DUMMYFUNCTION("XLOOKUP(JOIN(""/"",$A265:$B265),'source isilon_divまとめ'!$A:$A,'source isilon_divまとめ'!$D:$D,XLOOKUP(JOIN(""\"",$A265:$B265),'source NetApp-file-sv01-div'!A:A,TEXT('source NetApp-file-sv01-div'!C:C,""yyyy/mm/dd"")))"),"#N/A")</f>
        <v>#N/A</v>
      </c>
    </row>
    <row r="266">
      <c r="A266" s="52" t="s">
        <v>648</v>
      </c>
      <c r="B266" s="52" t="s">
        <v>1263</v>
      </c>
      <c r="C266" s="46" t="s">
        <v>986</v>
      </c>
      <c r="D266" s="53">
        <f>IFERROR(__xludf.DUMMYFUNCTION("XLOOKUP(JOIN(""/"",$A266:$B266),'source merged_div_data'!$A:$A,'source merged_div_data'!B:B)"),54.0)</f>
        <v>54</v>
      </c>
      <c r="E266" s="53">
        <f>IFERROR(__xludf.DUMMYFUNCTION("XLOOKUP(JOIN(""/"",$A266:$B266),'source merged_div_data'!$A:$A,'source merged_div_data'!C:C)"),0.0)</f>
        <v>0</v>
      </c>
      <c r="F266" s="54" t="str">
        <f t="array" ref="F266">IFERROR(
  IFS(
    XLOOKUP(TEXTJOIN("/", TRUE, $A266:$B266), 'source merged_div_data'!$A:$A, 'source merged_div_data'!F:F) &lt; 1024,
      XLOOKUP(TEXTJOIN("/", TRUE, $A266:$B266), 'source merged_div_data'!$A:$A, 'source merged_div_data'!F:F) &amp; " B",
    XLOOKUP(TEXTJOIN("/", TRUE, $A266:$B266), 'source merged_div_data'!$A:$A, 'source merged_div_data'!F:F) &lt; 1048576,
      ROUND(XLOOKUP(TEXTJOIN("/", TRUE, $A266:$B266), 'source merged_div_data'!$A:$A, 'source merged_div_data'!F:F)/1024, 2) &amp; " KB",
    XLOOKUP(TEXTJOIN("/", TRUE, $A266:$B266), 'source merged_div_data'!$A:$A, 'source merged_div_data'!F:F) &lt; 1073741824,
      ROUND(XLOOKUP(TEXTJOIN("/", TRUE, $A266:$B266), 'source merged_div_data'!$A:$A, 'source merged_div_data'!F:F)/1048576, 2) &amp; " MB",
    TRUE,
      ROUND(XLOOKUP(TEXTJOIN("/", TRUE, $A266:$B266), 'source merged_div_data'!$A:$A, 'source merged_div_data'!F:F)/1073741824, 2) &amp; " GB"
  ),
  "×"
)</f>
        <v>1.69 KB</v>
      </c>
      <c r="G266" s="55" t="s">
        <v>1053</v>
      </c>
      <c r="H266" s="55"/>
      <c r="I266" s="55"/>
      <c r="J266" s="55" t="str">
        <f t="array" ref="J266">XLOOKUP(K266,'部署遍歴'!D:D,'部署遍歴'!B:B,"×")</f>
        <v>ソーシャルベッティング事業本部</v>
      </c>
      <c r="K266" s="55" t="s">
        <v>668</v>
      </c>
      <c r="L266" s="46" t="s">
        <v>2295</v>
      </c>
      <c r="M266" s="55" t="s">
        <v>1053</v>
      </c>
      <c r="N266" s="52"/>
      <c r="O266" s="55"/>
      <c r="P266" s="37" t="str">
        <f>IFERROR(__xludf.DUMMYFUNCTION("XLOOKUP(JOIN(""/"",$A266:$B266),'source isilon_divまとめ'!$A:$A,'source isilon_divまとめ'!$D:$D,XLOOKUP(JOIN(""\"",$A266:$B266),'source NetApp-file-sv01-div'!A:A,TEXT('source NetApp-file-sv01-div'!C:C,""yyyy/mm/dd"")))"),"#N/A")</f>
        <v>#N/A</v>
      </c>
    </row>
    <row r="267">
      <c r="A267" s="52" t="s">
        <v>648</v>
      </c>
      <c r="B267" s="52" t="s">
        <v>148</v>
      </c>
      <c r="C267" s="46" t="s">
        <v>986</v>
      </c>
      <c r="D267" s="53">
        <f>IFERROR(__xludf.DUMMYFUNCTION("XLOOKUP(JOIN(""/"",$A267:$B267),'source merged_div_data'!$A:$A,'source merged_div_data'!B:B)"),23.0)</f>
        <v>23</v>
      </c>
      <c r="E267" s="53">
        <f>IFERROR(__xludf.DUMMYFUNCTION("XLOOKUP(JOIN(""/"",$A267:$B267),'source merged_div_data'!$A:$A,'source merged_div_data'!C:C)"),0.0)</f>
        <v>0</v>
      </c>
      <c r="F267" s="54" t="str">
        <f t="array" ref="F267">IFERROR(
  IFS(
    XLOOKUP(TEXTJOIN("/", TRUE, $A267:$B267), 'source merged_div_data'!$A:$A, 'source merged_div_data'!F:F) &lt; 1024,
      XLOOKUP(TEXTJOIN("/", TRUE, $A267:$B267), 'source merged_div_data'!$A:$A, 'source merged_div_data'!F:F) &amp; " B",
    XLOOKUP(TEXTJOIN("/", TRUE, $A267:$B267), 'source merged_div_data'!$A:$A, 'source merged_div_data'!F:F) &lt; 1048576,
      ROUND(XLOOKUP(TEXTJOIN("/", TRUE, $A267:$B267), 'source merged_div_data'!$A:$A, 'source merged_div_data'!F:F)/1024, 2) &amp; " KB",
    XLOOKUP(TEXTJOIN("/", TRUE, $A267:$B267), 'source merged_div_data'!$A:$A, 'source merged_div_data'!F:F) &lt; 1073741824,
      ROUND(XLOOKUP(TEXTJOIN("/", TRUE, $A267:$B267), 'source merged_div_data'!$A:$A, 'source merged_div_data'!F:F)/1048576, 2) &amp; " MB",
    TRUE,
      ROUND(XLOOKUP(TEXTJOIN("/", TRUE, $A267:$B267), 'source merged_div_data'!$A:$A, 'source merged_div_data'!F:F)/1073741824, 2) &amp; " GB"
  ),
  "×"
)</f>
        <v>684 B</v>
      </c>
      <c r="G267" s="55" t="s">
        <v>1053</v>
      </c>
      <c r="H267" s="55"/>
      <c r="I267" s="55"/>
      <c r="J267" s="55" t="s">
        <v>648</v>
      </c>
      <c r="K267" s="55" t="s">
        <v>148</v>
      </c>
      <c r="L267" s="55" t="s">
        <v>1053</v>
      </c>
      <c r="M267" s="55" t="s">
        <v>2156</v>
      </c>
      <c r="N267" s="52"/>
      <c r="O267" s="55"/>
      <c r="P267" s="37" t="str">
        <f>IFERROR(__xludf.DUMMYFUNCTION("XLOOKUP(JOIN(""/"",$A267:$B267),'source isilon_divまとめ'!$A:$A,'source isilon_divまとめ'!$D:$D,XLOOKUP(JOIN(""\"",$A267:$B267),'source NetApp-file-sv01-div'!A:A,TEXT('source NetApp-file-sv01-div'!C:C,""yyyy/mm/dd"")))"),"#N/A")</f>
        <v>#N/A</v>
      </c>
    </row>
    <row r="268">
      <c r="A268" s="52" t="s">
        <v>648</v>
      </c>
      <c r="B268" s="52" t="s">
        <v>1111</v>
      </c>
      <c r="C268" s="46" t="s">
        <v>986</v>
      </c>
      <c r="D268" s="53">
        <f>IFERROR(__xludf.DUMMYFUNCTION("XLOOKUP(JOIN(""/"",$A268:$B268),'source merged_div_data'!$A:$A,'source merged_div_data'!B:B)"),1.0)</f>
        <v>1</v>
      </c>
      <c r="E268" s="53">
        <f>IFERROR(__xludf.DUMMYFUNCTION("XLOOKUP(JOIN(""/"",$A268:$B268),'source merged_div_data'!$A:$A,'source merged_div_data'!C:C)"),0.0)</f>
        <v>0</v>
      </c>
      <c r="F268" s="54" t="str">
        <f t="array" ref="F268">IFERROR(
  IFS(
    XLOOKUP(TEXTJOIN("/", TRUE, $A268:$B268), 'source merged_div_data'!$A:$A, 'source merged_div_data'!F:F) &lt; 1024,
      XLOOKUP(TEXTJOIN("/", TRUE, $A268:$B268), 'source merged_div_data'!$A:$A, 'source merged_div_data'!F:F) &amp; " B",
    XLOOKUP(TEXTJOIN("/", TRUE, $A268:$B268), 'source merged_div_data'!$A:$A, 'source merged_div_data'!F:F) &lt; 1048576,
      ROUND(XLOOKUP(TEXTJOIN("/", TRUE, $A268:$B268), 'source merged_div_data'!$A:$A, 'source merged_div_data'!F:F)/1024, 2) &amp; " KB",
    XLOOKUP(TEXTJOIN("/", TRUE, $A268:$B268), 'source merged_div_data'!$A:$A, 'source merged_div_data'!F:F) &lt; 1073741824,
      ROUND(XLOOKUP(TEXTJOIN("/", TRUE, $A268:$B268), 'source merged_div_data'!$A:$A, 'source merged_div_data'!F:F)/1048576, 2) &amp; " MB",
    TRUE,
      ROUND(XLOOKUP(TEXTJOIN("/", TRUE, $A268:$B268), 'source merged_div_data'!$A:$A, 'source merged_div_data'!F:F)/1073741824, 2) &amp; " GB"
  ),
  "×"
)</f>
        <v>0 B</v>
      </c>
      <c r="G268" s="55" t="s">
        <v>1053</v>
      </c>
      <c r="H268" s="55"/>
      <c r="I268" s="55"/>
      <c r="J268" s="55" t="s">
        <v>648</v>
      </c>
      <c r="K268" s="55" t="s">
        <v>1053</v>
      </c>
      <c r="L268" s="46" t="s">
        <v>2295</v>
      </c>
      <c r="M268" s="55" t="s">
        <v>1053</v>
      </c>
      <c r="N268" s="52"/>
      <c r="O268" s="55"/>
      <c r="P268" s="37" t="str">
        <f>IFERROR(__xludf.DUMMYFUNCTION("XLOOKUP(JOIN(""/"",$A268:$B268),'source isilon_divまとめ'!$A:$A,'source isilon_divまとめ'!$D:$D,XLOOKUP(JOIN(""\"",$A268:$B268),'source NetApp-file-sv01-div'!A:A,TEXT('source NetApp-file-sv01-div'!C:C,""yyyy/mm/dd"")))"),"#N/A")</f>
        <v>#N/A</v>
      </c>
    </row>
    <row r="269">
      <c r="A269" s="52" t="s">
        <v>648</v>
      </c>
      <c r="B269" s="52" t="s">
        <v>141</v>
      </c>
      <c r="C269" s="46" t="s">
        <v>986</v>
      </c>
      <c r="D269" s="53">
        <f>IFERROR(__xludf.DUMMYFUNCTION("XLOOKUP(JOIN(""/"",$A269:$B269),'source merged_div_data'!$A:$A,'source merged_div_data'!B:B)"),11.0)</f>
        <v>11</v>
      </c>
      <c r="E269" s="53">
        <f>IFERROR(__xludf.DUMMYFUNCTION("XLOOKUP(JOIN(""/"",$A269:$B269),'source merged_div_data'!$A:$A,'source merged_div_data'!C:C)"),0.0)</f>
        <v>0</v>
      </c>
      <c r="F269" s="54" t="str">
        <f t="array" ref="F269">IFERROR(
  IFS(
    XLOOKUP(TEXTJOIN("/", TRUE, $A269:$B269), 'source merged_div_data'!$A:$A, 'source merged_div_data'!F:F) &lt; 1024,
      XLOOKUP(TEXTJOIN("/", TRUE, $A269:$B269), 'source merged_div_data'!$A:$A, 'source merged_div_data'!F:F) &amp; " B",
    XLOOKUP(TEXTJOIN("/", TRUE, $A269:$B269), 'source merged_div_data'!$A:$A, 'source merged_div_data'!F:F) &lt; 1048576,
      ROUND(XLOOKUP(TEXTJOIN("/", TRUE, $A269:$B269), 'source merged_div_data'!$A:$A, 'source merged_div_data'!F:F)/1024, 2) &amp; " KB",
    XLOOKUP(TEXTJOIN("/", TRUE, $A269:$B269), 'source merged_div_data'!$A:$A, 'source merged_div_data'!F:F) &lt; 1073741824,
      ROUND(XLOOKUP(TEXTJOIN("/", TRUE, $A269:$B269), 'source merged_div_data'!$A:$A, 'source merged_div_data'!F:F)/1048576, 2) &amp; " MB",
    TRUE,
      ROUND(XLOOKUP(TEXTJOIN("/", TRUE, $A269:$B269), 'source merged_div_data'!$A:$A, 'source merged_div_data'!F:F)/1073741824, 2) &amp; " GB"
  ),
  "×"
)</f>
        <v>353 B</v>
      </c>
      <c r="G269" s="55" t="s">
        <v>1053</v>
      </c>
      <c r="H269" s="55"/>
      <c r="I269" s="55"/>
      <c r="J269" s="55" t="s">
        <v>648</v>
      </c>
      <c r="K269" s="55" t="s">
        <v>141</v>
      </c>
      <c r="L269" s="55" t="s">
        <v>1053</v>
      </c>
      <c r="M269" s="55" t="s">
        <v>2298</v>
      </c>
      <c r="N269" s="52"/>
      <c r="O269" s="55"/>
      <c r="P269" s="37" t="str">
        <f>IFERROR(__xludf.DUMMYFUNCTION("XLOOKUP(JOIN(""/"",$A269:$B269),'source isilon_divまとめ'!$A:$A,'source isilon_divまとめ'!$D:$D,XLOOKUP(JOIN(""\"",$A269:$B269),'source NetApp-file-sv01-div'!A:A,TEXT('source NetApp-file-sv01-div'!C:C,""yyyy/mm/dd"")))"),"#N/A")</f>
        <v>#N/A</v>
      </c>
    </row>
    <row r="270">
      <c r="A270" s="52" t="s">
        <v>1264</v>
      </c>
      <c r="B270" s="52" t="s">
        <v>1180</v>
      </c>
      <c r="C270" s="46" t="s">
        <v>986</v>
      </c>
      <c r="D270" s="53">
        <f>IFERROR(__xludf.DUMMYFUNCTION("XLOOKUP(JOIN(""/"",$A270:$B270),'source merged_div_data'!$A:$A,'source merged_div_data'!B:B)"),16.0)</f>
        <v>16</v>
      </c>
      <c r="E270" s="53">
        <f>IFERROR(__xludf.DUMMYFUNCTION("XLOOKUP(JOIN(""/"",$A270:$B270),'source merged_div_data'!$A:$A,'source merged_div_data'!C:C)"),0.0)</f>
        <v>0</v>
      </c>
      <c r="F270" s="54" t="str">
        <f t="array" ref="F270">IFERROR(
  IFS(
    XLOOKUP(TEXTJOIN("/", TRUE, $A270:$B270), 'source merged_div_data'!$A:$A, 'source merged_div_data'!F:F) &lt; 1024,
      XLOOKUP(TEXTJOIN("/", TRUE, $A270:$B270), 'source merged_div_data'!$A:$A, 'source merged_div_data'!F:F) &amp; " B",
    XLOOKUP(TEXTJOIN("/", TRUE, $A270:$B270), 'source merged_div_data'!$A:$A, 'source merged_div_data'!F:F) &lt; 1048576,
      ROUND(XLOOKUP(TEXTJOIN("/", TRUE, $A270:$B270), 'source merged_div_data'!$A:$A, 'source merged_div_data'!F:F)/1024, 2) &amp; " KB",
    XLOOKUP(TEXTJOIN("/", TRUE, $A270:$B270), 'source merged_div_data'!$A:$A, 'source merged_div_data'!F:F) &lt; 1073741824,
      ROUND(XLOOKUP(TEXTJOIN("/", TRUE, $A270:$B270), 'source merged_div_data'!$A:$A, 'source merged_div_data'!F:F)/1048576, 2) &amp; " MB",
    TRUE,
      ROUND(XLOOKUP(TEXTJOIN("/", TRUE, $A270:$B270), 'source merged_div_data'!$A:$A, 'source merged_div_data'!F:F)/1073741824, 2) &amp; " GB"
  ),
  "×"
)</f>
        <v>484 B</v>
      </c>
      <c r="G270" s="55" t="s">
        <v>1053</v>
      </c>
      <c r="H270" s="55"/>
      <c r="I270" s="55"/>
      <c r="J270" s="46" t="s">
        <v>854</v>
      </c>
      <c r="K270" s="55"/>
      <c r="L270" s="46" t="s">
        <v>1410</v>
      </c>
      <c r="M270" s="55" t="s">
        <v>1053</v>
      </c>
      <c r="N270" s="52" t="s">
        <v>1102</v>
      </c>
      <c r="O270" s="46" t="s">
        <v>1182</v>
      </c>
      <c r="P270" s="37" t="str">
        <f>IFERROR(__xludf.DUMMYFUNCTION("XLOOKUP(JOIN(""/"",$A270:$B270),'source isilon_divまとめ'!$A:$A,'source isilon_divまとめ'!$D:$D,XLOOKUP(JOIN(""\"",$A270:$B270),'source NetApp-file-sv01-div'!A:A,TEXT('source NetApp-file-sv01-div'!C:C,""yyyy/mm/dd"")))"),"#N/A")</f>
        <v>#N/A</v>
      </c>
    </row>
    <row r="271">
      <c r="A271" s="8" t="s">
        <v>1264</v>
      </c>
      <c r="B271" s="8" t="s">
        <v>1170</v>
      </c>
      <c r="C271" s="7" t="s">
        <v>987</v>
      </c>
      <c r="D271" s="56">
        <f>IFERROR(__xludf.DUMMYFUNCTION("XLOOKUP(JOIN(""/"",$A271:$B271),'source merged_div_data'!$A:$A,'source merged_div_data'!B:B)"),111.0)</f>
        <v>111</v>
      </c>
      <c r="E271" s="56">
        <f>IFERROR(__xludf.DUMMYFUNCTION("XLOOKUP(JOIN(""/"",$A271:$B271),'source merged_div_data'!$A:$A,'source merged_div_data'!C:C)"),6.0)</f>
        <v>6</v>
      </c>
      <c r="F271" s="54" t="str">
        <f t="array" ref="F271">IFERROR(
  IFS(
    XLOOKUP(TEXTJOIN("/", TRUE, $A271:$B271), 'source merged_div_data'!$A:$A, 'source merged_div_data'!F:F) &lt; 1024,
      XLOOKUP(TEXTJOIN("/", TRUE, $A271:$B271), 'source merged_div_data'!$A:$A, 'source merged_div_data'!F:F) &amp; " B",
    XLOOKUP(TEXTJOIN("/", TRUE, $A271:$B271), 'source merged_div_data'!$A:$A, 'source merged_div_data'!F:F) &lt; 1048576,
      ROUND(XLOOKUP(TEXTJOIN("/", TRUE, $A271:$B271), 'source merged_div_data'!$A:$A, 'source merged_div_data'!F:F)/1024, 2) &amp; " KB",
    XLOOKUP(TEXTJOIN("/", TRUE, $A271:$B271), 'source merged_div_data'!$A:$A, 'source merged_div_data'!F:F) &lt; 1073741824,
      ROUND(XLOOKUP(TEXTJOIN("/", TRUE, $A271:$B271), 'source merged_div_data'!$A:$A, 'source merged_div_data'!F:F)/1048576, 2) &amp; " MB",
    TRUE,
      ROUND(XLOOKUP(TEXTJOIN("/", TRUE, $A271:$B271), 'source merged_div_data'!$A:$A, 'source merged_div_data'!F:F)/1073741824, 2) &amp; " GB"
  ),
  "×"
)</f>
        <v>143.32 KB</v>
      </c>
      <c r="G271" s="57" t="s">
        <v>2299</v>
      </c>
      <c r="H271" s="58" t="s">
        <v>2177</v>
      </c>
      <c r="I271" s="57"/>
      <c r="J271" s="7" t="s">
        <v>717</v>
      </c>
      <c r="L271" s="7" t="s">
        <v>2100</v>
      </c>
      <c r="M271" s="37" t="s">
        <v>1053</v>
      </c>
      <c r="N271" s="8" t="s">
        <v>1102</v>
      </c>
      <c r="O271" s="7" t="s">
        <v>1069</v>
      </c>
      <c r="P271" s="57" t="str">
        <f>IFERROR(__xludf.DUMMYFUNCTION("XLOOKUP(JOIN(""/"",$A271:$B271),'source isilon_divまとめ'!$A:$A,'source isilon_divまとめ'!$D:$D,XLOOKUP(JOIN(""\"",$A271:$B271),'source NetApp-file-sv01-div'!A:A,TEXT('source NetApp-file-sv01-div'!C:C,""yyyy/mm/dd"")))"),"2021/08/26")</f>
        <v>2021/08/26</v>
      </c>
    </row>
    <row r="272">
      <c r="A272" s="52" t="s">
        <v>1264</v>
      </c>
      <c r="B272" s="52" t="s">
        <v>1144</v>
      </c>
      <c r="C272" s="46" t="s">
        <v>986</v>
      </c>
      <c r="D272" s="53">
        <f>IFERROR(__xludf.DUMMYFUNCTION("XLOOKUP(JOIN(""/"",$A272:$B272),'source merged_div_data'!$A:$A,'source merged_div_data'!B:B)"),5.0)</f>
        <v>5</v>
      </c>
      <c r="E272" s="53">
        <f>IFERROR(__xludf.DUMMYFUNCTION("XLOOKUP(JOIN(""/"",$A272:$B272),'source merged_div_data'!$A:$A,'source merged_div_data'!C:C)"),0.0)</f>
        <v>0</v>
      </c>
      <c r="F272" s="54" t="str">
        <f t="array" ref="F272">IFERROR(
  IFS(
    XLOOKUP(TEXTJOIN("/", TRUE, $A272:$B272), 'source merged_div_data'!$A:$A, 'source merged_div_data'!F:F) &lt; 1024,
      XLOOKUP(TEXTJOIN("/", TRUE, $A272:$B272), 'source merged_div_data'!$A:$A, 'source merged_div_data'!F:F) &amp; " B",
    XLOOKUP(TEXTJOIN("/", TRUE, $A272:$B272), 'source merged_div_data'!$A:$A, 'source merged_div_data'!F:F) &lt; 1048576,
      ROUND(XLOOKUP(TEXTJOIN("/", TRUE, $A272:$B272), 'source merged_div_data'!$A:$A, 'source merged_div_data'!F:F)/1024, 2) &amp; " KB",
    XLOOKUP(TEXTJOIN("/", TRUE, $A272:$B272), 'source merged_div_data'!$A:$A, 'source merged_div_data'!F:F) &lt; 1073741824,
      ROUND(XLOOKUP(TEXTJOIN("/", TRUE, $A272:$B272), 'source merged_div_data'!$A:$A, 'source merged_div_data'!F:F)/1048576, 2) &amp; " MB",
    TRUE,
      ROUND(XLOOKUP(TEXTJOIN("/", TRUE, $A272:$B272), 'source merged_div_data'!$A:$A, 'source merged_div_data'!F:F)/1073741824, 2) &amp; " GB"
  ),
  "×"
)</f>
        <v>125 B</v>
      </c>
      <c r="G272" s="55" t="s">
        <v>1053</v>
      </c>
      <c r="H272" s="55"/>
      <c r="I272" s="55"/>
      <c r="J272" s="46" t="s">
        <v>478</v>
      </c>
      <c r="K272" s="55"/>
      <c r="L272" s="55" t="s">
        <v>1066</v>
      </c>
      <c r="M272" s="55" t="s">
        <v>1053</v>
      </c>
      <c r="N272" s="52" t="s">
        <v>1102</v>
      </c>
      <c r="O272" s="46" t="s">
        <v>478</v>
      </c>
      <c r="P272" s="37" t="str">
        <f>IFERROR(__xludf.DUMMYFUNCTION("XLOOKUP(JOIN(""/"",$A272:$B272),'source isilon_divまとめ'!$A:$A,'source isilon_divまとめ'!$D:$D,XLOOKUP(JOIN(""\"",$A272:$B272),'source NetApp-file-sv01-div'!A:A,TEXT('source NetApp-file-sv01-div'!C:C,""yyyy/mm/dd"")))"),"#N/A")</f>
        <v>#N/A</v>
      </c>
    </row>
    <row r="273">
      <c r="A273" s="8" t="s">
        <v>1264</v>
      </c>
      <c r="B273" s="8" t="s">
        <v>1134</v>
      </c>
      <c r="C273" s="7" t="s">
        <v>987</v>
      </c>
      <c r="D273" s="56">
        <f>IFERROR(__xludf.DUMMYFUNCTION("XLOOKUP(JOIN(""/"",$A273:$B273),'source merged_div_data'!$A:$A,'source merged_div_data'!B:B)"),47.0)</f>
        <v>47</v>
      </c>
      <c r="E273" s="56">
        <f>IFERROR(__xludf.DUMMYFUNCTION("XLOOKUP(JOIN(""/"",$A273:$B273),'source merged_div_data'!$A:$A,'source merged_div_data'!C:C)"),3.0)</f>
        <v>3</v>
      </c>
      <c r="F273" s="54" t="str">
        <f t="array" ref="F273">IFERROR(
  IFS(
    XLOOKUP(TEXTJOIN("/", TRUE, $A273:$B273), 'source merged_div_data'!$A:$A, 'source merged_div_data'!F:F) &lt; 1024,
      XLOOKUP(TEXTJOIN("/", TRUE, $A273:$B273), 'source merged_div_data'!$A:$A, 'source merged_div_data'!F:F) &amp; " B",
    XLOOKUP(TEXTJOIN("/", TRUE, $A273:$B273), 'source merged_div_data'!$A:$A, 'source merged_div_data'!F:F) &lt; 1048576,
      ROUND(XLOOKUP(TEXTJOIN("/", TRUE, $A273:$B273), 'source merged_div_data'!$A:$A, 'source merged_div_data'!F:F)/1024, 2) &amp; " KB",
    XLOOKUP(TEXTJOIN("/", TRUE, $A273:$B273), 'source merged_div_data'!$A:$A, 'source merged_div_data'!F:F) &lt; 1073741824,
      ROUND(XLOOKUP(TEXTJOIN("/", TRUE, $A273:$B273), 'source merged_div_data'!$A:$A, 'source merged_div_data'!F:F)/1048576, 2) &amp; " MB",
    TRUE,
      ROUND(XLOOKUP(TEXTJOIN("/", TRUE, $A273:$B273), 'source merged_div_data'!$A:$A, 'source merged_div_data'!F:F)/1073741824, 2) &amp; " GB"
  ),
  "×"
)</f>
        <v>23.82 KB</v>
      </c>
      <c r="G273" s="37" t="s">
        <v>1053</v>
      </c>
      <c r="H273" s="7" t="s">
        <v>2177</v>
      </c>
      <c r="I273" s="37"/>
      <c r="J273" s="7" t="s">
        <v>1069</v>
      </c>
      <c r="L273" s="37" t="s">
        <v>1053</v>
      </c>
      <c r="M273" s="37" t="s">
        <v>1053</v>
      </c>
      <c r="N273" s="8" t="s">
        <v>1102</v>
      </c>
      <c r="O273" s="7" t="s">
        <v>1069</v>
      </c>
      <c r="P273" s="37" t="str">
        <f>IFERROR(__xludf.DUMMYFUNCTION("XLOOKUP(JOIN(""/"",$A273:$B273),'source isilon_divまとめ'!$A:$A,'source isilon_divまとめ'!$D:$D,XLOOKUP(JOIN(""\"",$A273:$B273),'source NetApp-file-sv01-div'!A:A,TEXT('source NetApp-file-sv01-div'!C:C,""yyyy/mm/dd"")))"),"#N/A")</f>
        <v>#N/A</v>
      </c>
    </row>
    <row r="274">
      <c r="A274" s="52" t="s">
        <v>1264</v>
      </c>
      <c r="B274" s="52" t="s">
        <v>1265</v>
      </c>
      <c r="C274" s="46" t="s">
        <v>986</v>
      </c>
      <c r="D274" s="53">
        <f>IFERROR(__xludf.DUMMYFUNCTION("XLOOKUP(JOIN(""/"",$A274:$B274),'source merged_div_data'!$A:$A,'source merged_div_data'!B:B)"),4.0)</f>
        <v>4</v>
      </c>
      <c r="E274" s="53">
        <f>IFERROR(__xludf.DUMMYFUNCTION("XLOOKUP(JOIN(""/"",$A274:$B274),'source merged_div_data'!$A:$A,'source merged_div_data'!C:C)"),0.0)</f>
        <v>0</v>
      </c>
      <c r="F274" s="54" t="str">
        <f t="array" ref="F274">IFERROR(
  IFS(
    XLOOKUP(TEXTJOIN("/", TRUE, $A274:$B274), 'source merged_div_data'!$A:$A, 'source merged_div_data'!F:F) &lt; 1024,
      XLOOKUP(TEXTJOIN("/", TRUE, $A274:$B274), 'source merged_div_data'!$A:$A, 'source merged_div_data'!F:F) &amp; " B",
    XLOOKUP(TEXTJOIN("/", TRUE, $A274:$B274), 'source merged_div_data'!$A:$A, 'source merged_div_data'!F:F) &lt; 1048576,
      ROUND(XLOOKUP(TEXTJOIN("/", TRUE, $A274:$B274), 'source merged_div_data'!$A:$A, 'source merged_div_data'!F:F)/1024, 2) &amp; " KB",
    XLOOKUP(TEXTJOIN("/", TRUE, $A274:$B274), 'source merged_div_data'!$A:$A, 'source merged_div_data'!F:F) &lt; 1073741824,
      ROUND(XLOOKUP(TEXTJOIN("/", TRUE, $A274:$B274), 'source merged_div_data'!$A:$A, 'source merged_div_data'!F:F)/1048576, 2) &amp; " MB",
    TRUE,
      ROUND(XLOOKUP(TEXTJOIN("/", TRUE, $A274:$B274), 'source merged_div_data'!$A:$A, 'source merged_div_data'!F:F)/1073741824, 2) &amp; " GB"
  ),
  "×"
)</f>
        <v>100 B</v>
      </c>
      <c r="G274" s="55" t="s">
        <v>1053</v>
      </c>
      <c r="H274" s="55"/>
      <c r="I274" s="55"/>
      <c r="J274" s="46" t="s">
        <v>391</v>
      </c>
      <c r="K274" s="46" t="s">
        <v>395</v>
      </c>
      <c r="L274" s="46" t="s">
        <v>1053</v>
      </c>
      <c r="M274" s="46" t="s">
        <v>2092</v>
      </c>
      <c r="N274" s="52" t="s">
        <v>1102</v>
      </c>
      <c r="O274" s="46" t="s">
        <v>1110</v>
      </c>
      <c r="P274" s="37" t="str">
        <f>IFERROR(__xludf.DUMMYFUNCTION("XLOOKUP(JOIN(""/"",$A274:$B274),'source isilon_divまとめ'!$A:$A,'source isilon_divまとめ'!$D:$D,XLOOKUP(JOIN(""\"",$A274:$B274),'source NetApp-file-sv01-div'!A:A,TEXT('source NetApp-file-sv01-div'!C:C,""yyyy/mm/dd"")))"),"#N/A")</f>
        <v>#N/A</v>
      </c>
    </row>
    <row r="275">
      <c r="A275" s="52" t="s">
        <v>1264</v>
      </c>
      <c r="B275" s="52" t="s">
        <v>1175</v>
      </c>
      <c r="C275" s="46" t="s">
        <v>986</v>
      </c>
      <c r="D275" s="53">
        <f>IFERROR(__xludf.DUMMYFUNCTION("XLOOKUP(JOIN(""/"",$A275:$B275),'source merged_div_data'!$A:$A,'source merged_div_data'!B:B)"),13.0)</f>
        <v>13</v>
      </c>
      <c r="E275" s="53">
        <f>IFERROR(__xludf.DUMMYFUNCTION("XLOOKUP(JOIN(""/"",$A275:$B275),'source merged_div_data'!$A:$A,'source merged_div_data'!C:C)"),0.0)</f>
        <v>0</v>
      </c>
      <c r="F275" s="54" t="str">
        <f t="array" ref="F275">IFERROR(
  IFS(
    XLOOKUP(TEXTJOIN("/", TRUE, $A275:$B275), 'source merged_div_data'!$A:$A, 'source merged_div_data'!F:F) &lt; 1024,
      XLOOKUP(TEXTJOIN("/", TRUE, $A275:$B275), 'source merged_div_data'!$A:$A, 'source merged_div_data'!F:F) &amp; " B",
    XLOOKUP(TEXTJOIN("/", TRUE, $A275:$B275), 'source merged_div_data'!$A:$A, 'source merged_div_data'!F:F) &lt; 1048576,
      ROUND(XLOOKUP(TEXTJOIN("/", TRUE, $A275:$B275), 'source merged_div_data'!$A:$A, 'source merged_div_data'!F:F)/1024, 2) &amp; " KB",
    XLOOKUP(TEXTJOIN("/", TRUE, $A275:$B275), 'source merged_div_data'!$A:$A, 'source merged_div_data'!F:F) &lt; 1073741824,
      ROUND(XLOOKUP(TEXTJOIN("/", TRUE, $A275:$B275), 'source merged_div_data'!$A:$A, 'source merged_div_data'!F:F)/1048576, 2) &amp; " MB",
    TRUE,
      ROUND(XLOOKUP(TEXTJOIN("/", TRUE, $A275:$B275), 'source merged_div_data'!$A:$A, 'source merged_div_data'!F:F)/1073741824, 2) &amp; " GB"
  ),
  "×"
)</f>
        <v>433 B</v>
      </c>
      <c r="G275" s="55" t="s">
        <v>1053</v>
      </c>
      <c r="H275" s="55"/>
      <c r="I275" s="55"/>
      <c r="J275" s="46" t="s">
        <v>391</v>
      </c>
      <c r="K275" s="55"/>
      <c r="L275" s="46" t="s">
        <v>2116</v>
      </c>
      <c r="M275" s="55" t="s">
        <v>1053</v>
      </c>
      <c r="N275" s="52" t="s">
        <v>1102</v>
      </c>
      <c r="O275" s="46" t="s">
        <v>391</v>
      </c>
      <c r="P275" s="37" t="str">
        <f>IFERROR(__xludf.DUMMYFUNCTION("XLOOKUP(JOIN(""/"",$A275:$B275),'source isilon_divまとめ'!$A:$A,'source isilon_divまとめ'!$D:$D,XLOOKUP(JOIN(""\"",$A275:$B275),'source NetApp-file-sv01-div'!A:A,TEXT('source NetApp-file-sv01-div'!C:C,""yyyy/mm/dd"")))"),"#N/A")</f>
        <v>#N/A</v>
      </c>
    </row>
    <row r="276">
      <c r="A276" s="52" t="s">
        <v>1264</v>
      </c>
      <c r="B276" s="52" t="s">
        <v>286</v>
      </c>
      <c r="C276" s="46" t="s">
        <v>986</v>
      </c>
      <c r="D276" s="53">
        <f>IFERROR(__xludf.DUMMYFUNCTION("XLOOKUP(JOIN(""/"",$A276:$B276),'source merged_div_data'!$A:$A,'source merged_div_data'!B:B)"),6.0)</f>
        <v>6</v>
      </c>
      <c r="E276" s="53">
        <f>IFERROR(__xludf.DUMMYFUNCTION("XLOOKUP(JOIN(""/"",$A276:$B276),'source merged_div_data'!$A:$A,'source merged_div_data'!C:C)"),0.0)</f>
        <v>0</v>
      </c>
      <c r="F276" s="54" t="str">
        <f t="array" ref="F276">IFERROR(
  IFS(
    XLOOKUP(TEXTJOIN("/", TRUE, $A276:$B276), 'source merged_div_data'!$A:$A, 'source merged_div_data'!F:F) &lt; 1024,
      XLOOKUP(TEXTJOIN("/", TRUE, $A276:$B276), 'source merged_div_data'!$A:$A, 'source merged_div_data'!F:F) &amp; " B",
    XLOOKUP(TEXTJOIN("/", TRUE, $A276:$B276), 'source merged_div_data'!$A:$A, 'source merged_div_data'!F:F) &lt; 1048576,
      ROUND(XLOOKUP(TEXTJOIN("/", TRUE, $A276:$B276), 'source merged_div_data'!$A:$A, 'source merged_div_data'!F:F)/1024, 2) &amp; " KB",
    XLOOKUP(TEXTJOIN("/", TRUE, $A276:$B276), 'source merged_div_data'!$A:$A, 'source merged_div_data'!F:F) &lt; 1073741824,
      ROUND(XLOOKUP(TEXTJOIN("/", TRUE, $A276:$B276), 'source merged_div_data'!$A:$A, 'source merged_div_data'!F:F)/1048576, 2) &amp; " MB",
    TRUE,
      ROUND(XLOOKUP(TEXTJOIN("/", TRUE, $A276:$B276), 'source merged_div_data'!$A:$A, 'source merged_div_data'!F:F)/1073741824, 2) &amp; " GB"
  ),
  "×"
)</f>
        <v>178 B</v>
      </c>
      <c r="G276" s="55" t="s">
        <v>1053</v>
      </c>
      <c r="H276" s="55"/>
      <c r="I276" s="55"/>
      <c r="J276" s="55" t="s">
        <v>281</v>
      </c>
      <c r="K276" s="55" t="s">
        <v>286</v>
      </c>
      <c r="L276" s="46" t="s">
        <v>1498</v>
      </c>
      <c r="M276" s="46" t="s">
        <v>2111</v>
      </c>
      <c r="N276" s="52"/>
      <c r="O276" s="55"/>
      <c r="P276" s="37" t="str">
        <f>IFERROR(__xludf.DUMMYFUNCTION("XLOOKUP(JOIN(""/"",$A276:$B276),'source isilon_divまとめ'!$A:$A,'source isilon_divまとめ'!$D:$D,XLOOKUP(JOIN(""\"",$A276:$B276),'source NetApp-file-sv01-div'!A:A,TEXT('source NetApp-file-sv01-div'!C:C,""yyyy/mm/dd"")))"),"#N/A")</f>
        <v>#N/A</v>
      </c>
    </row>
    <row r="277">
      <c r="A277" s="8" t="s">
        <v>1264</v>
      </c>
      <c r="B277" s="8" t="s">
        <v>1187</v>
      </c>
      <c r="C277" s="7" t="s">
        <v>987</v>
      </c>
      <c r="D277" s="56">
        <f>IFERROR(__xludf.DUMMYFUNCTION("XLOOKUP(JOIN(""/"",$A277:$B277),'source merged_div_data'!$A:$A,'source merged_div_data'!B:B)"),61.0)</f>
        <v>61</v>
      </c>
      <c r="E277" s="56">
        <f>IFERROR(__xludf.DUMMYFUNCTION("XLOOKUP(JOIN(""/"",$A277:$B277),'source merged_div_data'!$A:$A,'source merged_div_data'!C:C)"),514.0)</f>
        <v>514</v>
      </c>
      <c r="F277" s="54" t="str">
        <f t="array" ref="F277">IFERROR(
  IFS(
    XLOOKUP(TEXTJOIN("/", TRUE, $A277:$B277), 'source merged_div_data'!$A:$A, 'source merged_div_data'!F:F) &lt; 1024,
      XLOOKUP(TEXTJOIN("/", TRUE, $A277:$B277), 'source merged_div_data'!$A:$A, 'source merged_div_data'!F:F) &amp; " B",
    XLOOKUP(TEXTJOIN("/", TRUE, $A277:$B277), 'source merged_div_data'!$A:$A, 'source merged_div_data'!F:F) &lt; 1048576,
      ROUND(XLOOKUP(TEXTJOIN("/", TRUE, $A277:$B277), 'source merged_div_data'!$A:$A, 'source merged_div_data'!F:F)/1024, 2) &amp; " KB",
    XLOOKUP(TEXTJOIN("/", TRUE, $A277:$B277), 'source merged_div_data'!$A:$A, 'source merged_div_data'!F:F) &lt; 1073741824,
      ROUND(XLOOKUP(TEXTJOIN("/", TRUE, $A277:$B277), 'source merged_div_data'!$A:$A, 'source merged_div_data'!F:F)/1048576, 2) &amp; " MB",
    TRUE,
      ROUND(XLOOKUP(TEXTJOIN("/", TRUE, $A277:$B277), 'source merged_div_data'!$A:$A, 'source merged_div_data'!F:F)/1073741824, 2) &amp; " GB"
  ),
  "×"
)</f>
        <v>26.41 GB</v>
      </c>
      <c r="G277" s="57" t="s">
        <v>2300</v>
      </c>
      <c r="H277" s="58" t="s">
        <v>2177</v>
      </c>
      <c r="I277" s="57"/>
      <c r="J277" s="7" t="s">
        <v>717</v>
      </c>
      <c r="L277" s="7" t="s">
        <v>2100</v>
      </c>
      <c r="M277" s="37" t="s">
        <v>1053</v>
      </c>
      <c r="N277" s="8" t="s">
        <v>1102</v>
      </c>
      <c r="O277" s="7" t="s">
        <v>1188</v>
      </c>
      <c r="P277" s="57" t="str">
        <f>IFERROR(__xludf.DUMMYFUNCTION("XLOOKUP(JOIN(""/"",$A277:$B277),'source isilon_divまとめ'!$A:$A,'source isilon_divまとめ'!$D:$D,XLOOKUP(JOIN(""\"",$A277:$B277),'source NetApp-file-sv01-div'!A:A,TEXT('source NetApp-file-sv01-div'!C:C,""yyyy/mm/dd"")))"),"2017/06/16")</f>
        <v>2017/06/16</v>
      </c>
    </row>
    <row r="278">
      <c r="A278" s="52" t="s">
        <v>1264</v>
      </c>
      <c r="B278" s="52" t="s">
        <v>1068</v>
      </c>
      <c r="C278" s="46" t="s">
        <v>988</v>
      </c>
      <c r="D278" s="53">
        <f>IFERROR(__xludf.DUMMYFUNCTION("XLOOKUP(JOIN(""/"",$A278:$B278),'source merged_div_data'!$A:$A,'source merged_div_data'!B:B)"),22.0)</f>
        <v>22</v>
      </c>
      <c r="E278" s="53">
        <f>IFERROR(__xludf.DUMMYFUNCTION("XLOOKUP(JOIN(""/"",$A278:$B278),'source merged_div_data'!$A:$A,'source merged_div_data'!C:C)"),0.0)</f>
        <v>0</v>
      </c>
      <c r="F278" s="54" t="str">
        <f t="array" ref="F278">IFERROR(
  IFS(
    XLOOKUP(TEXTJOIN("/", TRUE, $A278:$B278), 'source merged_div_data'!$A:$A, 'source merged_div_data'!F:F) &lt; 1024,
      XLOOKUP(TEXTJOIN("/", TRUE, $A278:$B278), 'source merged_div_data'!$A:$A, 'source merged_div_data'!F:F) &amp; " B",
    XLOOKUP(TEXTJOIN("/", TRUE, $A278:$B278), 'source merged_div_data'!$A:$A, 'source merged_div_data'!F:F) &lt; 1048576,
      ROUND(XLOOKUP(TEXTJOIN("/", TRUE, $A278:$B278), 'source merged_div_data'!$A:$A, 'source merged_div_data'!F:F)/1024, 2) &amp; " KB",
    XLOOKUP(TEXTJOIN("/", TRUE, $A278:$B278), 'source merged_div_data'!$A:$A, 'source merged_div_data'!F:F) &lt; 1073741824,
      ROUND(XLOOKUP(TEXTJOIN("/", TRUE, $A278:$B278), 'source merged_div_data'!$A:$A, 'source merged_div_data'!F:F)/1048576, 2) &amp; " MB",
    TRUE,
      ROUND(XLOOKUP(TEXTJOIN("/", TRUE, $A278:$B278), 'source merged_div_data'!$A:$A, 'source merged_div_data'!F:F)/1073741824, 2) &amp; " GB"
  ),
  "×"
)</f>
        <v>761 B</v>
      </c>
      <c r="G278" s="55" t="s">
        <v>1053</v>
      </c>
      <c r="H278" s="55"/>
      <c r="I278" s="55"/>
      <c r="J278" s="46" t="s">
        <v>1176</v>
      </c>
      <c r="K278" s="55"/>
      <c r="L278" s="55" t="s">
        <v>1053</v>
      </c>
      <c r="M278" s="55" t="s">
        <v>1053</v>
      </c>
      <c r="N278" s="52" t="s">
        <v>1102</v>
      </c>
      <c r="O278" s="46" t="s">
        <v>1176</v>
      </c>
      <c r="P278" s="37" t="str">
        <f>IFERROR(__xludf.DUMMYFUNCTION("XLOOKUP(JOIN(""/"",$A278:$B278),'source isilon_divまとめ'!$A:$A,'source isilon_divまとめ'!$D:$D,XLOOKUP(JOIN(""\"",$A278:$B278),'source NetApp-file-sv01-div'!A:A,TEXT('source NetApp-file-sv01-div'!C:C,""yyyy/mm/dd"")))"),"#N/A")</f>
        <v>#N/A</v>
      </c>
    </row>
    <row r="279">
      <c r="A279" s="8" t="s">
        <v>1264</v>
      </c>
      <c r="B279" s="8" t="s">
        <v>1081</v>
      </c>
      <c r="C279" s="7" t="s">
        <v>987</v>
      </c>
      <c r="D279" s="56">
        <f>IFERROR(__xludf.DUMMYFUNCTION("XLOOKUP(JOIN(""/"",$A279:$B279),'source merged_div_data'!$A:$A,'source merged_div_data'!B:B)"),2331.0)</f>
        <v>2331</v>
      </c>
      <c r="E279" s="56">
        <f>IFERROR(__xludf.DUMMYFUNCTION("XLOOKUP(JOIN(""/"",$A279:$B279),'source merged_div_data'!$A:$A,'source merged_div_data'!C:C)"),11946.0)</f>
        <v>11946</v>
      </c>
      <c r="F279" s="54" t="str">
        <f t="array" ref="F279">IFERROR(
  IFS(
    XLOOKUP(TEXTJOIN("/", TRUE, $A279:$B279), 'source merged_div_data'!$A:$A, 'source merged_div_data'!F:F) &lt; 1024,
      XLOOKUP(TEXTJOIN("/", TRUE, $A279:$B279), 'source merged_div_data'!$A:$A, 'source merged_div_data'!F:F) &amp; " B",
    XLOOKUP(TEXTJOIN("/", TRUE, $A279:$B279), 'source merged_div_data'!$A:$A, 'source merged_div_data'!F:F) &lt; 1048576,
      ROUND(XLOOKUP(TEXTJOIN("/", TRUE, $A279:$B279), 'source merged_div_data'!$A:$A, 'source merged_div_data'!F:F)/1024, 2) &amp; " KB",
    XLOOKUP(TEXTJOIN("/", TRUE, $A279:$B279), 'source merged_div_data'!$A:$A, 'source merged_div_data'!F:F) &lt; 1073741824,
      ROUND(XLOOKUP(TEXTJOIN("/", TRUE, $A279:$B279), 'source merged_div_data'!$A:$A, 'source merged_div_data'!F:F)/1048576, 2) &amp; " MB",
    TRUE,
      ROUND(XLOOKUP(TEXTJOIN("/", TRUE, $A279:$B279), 'source merged_div_data'!$A:$A, 'source merged_div_data'!F:F)/1073741824, 2) &amp; " GB"
  ),
  "×"
)</f>
        <v>275.58 GB</v>
      </c>
      <c r="G279" s="57" t="s">
        <v>2301</v>
      </c>
      <c r="H279" s="58" t="s">
        <v>2177</v>
      </c>
      <c r="I279" s="57"/>
      <c r="J279" s="7" t="s">
        <v>717</v>
      </c>
      <c r="L279" s="7" t="s">
        <v>2100</v>
      </c>
      <c r="M279" s="37" t="s">
        <v>1053</v>
      </c>
      <c r="N279" s="8" t="s">
        <v>1102</v>
      </c>
      <c r="O279" s="7" t="s">
        <v>693</v>
      </c>
      <c r="P279" s="57" t="str">
        <f>IFERROR(__xludf.DUMMYFUNCTION("XLOOKUP(JOIN(""/"",$A279:$B279),'source isilon_divまとめ'!$A:$A,'source isilon_divまとめ'!$D:$D,XLOOKUP(JOIN(""\"",$A279:$B279),'source NetApp-file-sv01-div'!A:A,TEXT('source NetApp-file-sv01-div'!C:C,""yyyy/mm/dd"")))"),"2018/07/31")</f>
        <v>2018/07/31</v>
      </c>
    </row>
    <row r="280">
      <c r="A280" s="8" t="s">
        <v>1264</v>
      </c>
      <c r="B280" s="8" t="s">
        <v>1266</v>
      </c>
      <c r="C280" s="7" t="s">
        <v>987</v>
      </c>
      <c r="D280" s="56">
        <f>IFERROR(__xludf.DUMMYFUNCTION("XLOOKUP(JOIN(""/"",$A280:$B280),'source merged_div_data'!$A:$A,'source merged_div_data'!B:B)"),34.0)</f>
        <v>34</v>
      </c>
      <c r="E280" s="56">
        <f>IFERROR(__xludf.DUMMYFUNCTION("XLOOKUP(JOIN(""/"",$A280:$B280),'source merged_div_data'!$A:$A,'source merged_div_data'!C:C)"),3.0)</f>
        <v>3</v>
      </c>
      <c r="F280" s="54" t="str">
        <f t="array" ref="F280">IFERROR(
  IFS(
    XLOOKUP(TEXTJOIN("/", TRUE, $A280:$B280), 'source merged_div_data'!$A:$A, 'source merged_div_data'!F:F) &lt; 1024,
      XLOOKUP(TEXTJOIN("/", TRUE, $A280:$B280), 'source merged_div_data'!$A:$A, 'source merged_div_data'!F:F) &amp; " B",
    XLOOKUP(TEXTJOIN("/", TRUE, $A280:$B280), 'source merged_div_data'!$A:$A, 'source merged_div_data'!F:F) &lt; 1048576,
      ROUND(XLOOKUP(TEXTJOIN("/", TRUE, $A280:$B280), 'source merged_div_data'!$A:$A, 'source merged_div_data'!F:F)/1024, 2) &amp; " KB",
    XLOOKUP(TEXTJOIN("/", TRUE, $A280:$B280), 'source merged_div_data'!$A:$A, 'source merged_div_data'!F:F) &lt; 1073741824,
      ROUND(XLOOKUP(TEXTJOIN("/", TRUE, $A280:$B280), 'source merged_div_data'!$A:$A, 'source merged_div_data'!F:F)/1048576, 2) &amp; " MB",
    TRUE,
      ROUND(XLOOKUP(TEXTJOIN("/", TRUE, $A280:$B280), 'source merged_div_data'!$A:$A, 'source merged_div_data'!F:F)/1073741824, 2) &amp; " GB"
  ),
  "×"
)</f>
        <v>19.14 KB</v>
      </c>
      <c r="G280" s="37" t="s">
        <v>1053</v>
      </c>
      <c r="H280" s="7" t="s">
        <v>2177</v>
      </c>
      <c r="I280" s="37"/>
      <c r="J280" s="7" t="s">
        <v>1105</v>
      </c>
      <c r="L280" s="37" t="s">
        <v>1053</v>
      </c>
      <c r="M280" s="37" t="s">
        <v>1053</v>
      </c>
      <c r="N280" s="8" t="s">
        <v>1102</v>
      </c>
      <c r="O280" s="7" t="s">
        <v>1105</v>
      </c>
      <c r="P280" s="37" t="str">
        <f>IFERROR(__xludf.DUMMYFUNCTION("XLOOKUP(JOIN(""/"",$A280:$B280),'source isilon_divまとめ'!$A:$A,'source isilon_divまとめ'!$D:$D,XLOOKUP(JOIN(""\"",$A280:$B280),'source NetApp-file-sv01-div'!A:A,TEXT('source NetApp-file-sv01-div'!C:C,""yyyy/mm/dd"")))"),"#N/A")</f>
        <v>#N/A</v>
      </c>
    </row>
    <row r="281">
      <c r="A281" s="8" t="s">
        <v>1264</v>
      </c>
      <c r="B281" s="8" t="s">
        <v>1267</v>
      </c>
      <c r="C281" s="7" t="s">
        <v>987</v>
      </c>
      <c r="D281" s="56">
        <f>IFERROR(__xludf.DUMMYFUNCTION("XLOOKUP(JOIN(""/"",$A281:$B281),'source merged_div_data'!$A:$A,'source merged_div_data'!B:B)"),5782.0)</f>
        <v>5782</v>
      </c>
      <c r="E281" s="56">
        <f>IFERROR(__xludf.DUMMYFUNCTION("XLOOKUP(JOIN(""/"",$A281:$B281),'source merged_div_data'!$A:$A,'source merged_div_data'!C:C)"),97346.0)</f>
        <v>97346</v>
      </c>
      <c r="F281" s="54" t="str">
        <f t="array" ref="F281">IFERROR(
  IFS(
    XLOOKUP(TEXTJOIN("/", TRUE, $A281:$B281), 'source merged_div_data'!$A:$A, 'source merged_div_data'!F:F) &lt; 1024,
      XLOOKUP(TEXTJOIN("/", TRUE, $A281:$B281), 'source merged_div_data'!$A:$A, 'source merged_div_data'!F:F) &amp; " B",
    XLOOKUP(TEXTJOIN("/", TRUE, $A281:$B281), 'source merged_div_data'!$A:$A, 'source merged_div_data'!F:F) &lt; 1048576,
      ROUND(XLOOKUP(TEXTJOIN("/", TRUE, $A281:$B281), 'source merged_div_data'!$A:$A, 'source merged_div_data'!F:F)/1024, 2) &amp; " KB",
    XLOOKUP(TEXTJOIN("/", TRUE, $A281:$B281), 'source merged_div_data'!$A:$A, 'source merged_div_data'!F:F) &lt; 1073741824,
      ROUND(XLOOKUP(TEXTJOIN("/", TRUE, $A281:$B281), 'source merged_div_data'!$A:$A, 'source merged_div_data'!F:F)/1048576, 2) &amp; " MB",
    TRUE,
      ROUND(XLOOKUP(TEXTJOIN("/", TRUE, $A281:$B281), 'source merged_div_data'!$A:$A, 'source merged_div_data'!F:F)/1073741824, 2) &amp; " GB"
  ),
  "×"
)</f>
        <v>334.05 GB</v>
      </c>
      <c r="G281" s="57" t="s">
        <v>2302</v>
      </c>
      <c r="H281" s="58" t="s">
        <v>2177</v>
      </c>
      <c r="I281" s="57"/>
      <c r="J281" s="7" t="s">
        <v>717</v>
      </c>
      <c r="L281" s="7" t="s">
        <v>2100</v>
      </c>
      <c r="M281" s="37" t="s">
        <v>1053</v>
      </c>
      <c r="N281" s="8" t="s">
        <v>1102</v>
      </c>
      <c r="O281" s="7" t="s">
        <v>693</v>
      </c>
      <c r="P281" s="57" t="str">
        <f>IFERROR(__xludf.DUMMYFUNCTION("XLOOKUP(JOIN(""/"",$A281:$B281),'source isilon_divまとめ'!$A:$A,'source isilon_divまとめ'!$D:$D,XLOOKUP(JOIN(""\"",$A281:$B281),'source NetApp-file-sv01-div'!A:A,TEXT('source NetApp-file-sv01-div'!C:C,""yyyy/mm/dd"")))"),"2020/08/17")</f>
        <v>2020/08/17</v>
      </c>
    </row>
    <row r="282">
      <c r="A282" s="8" t="s">
        <v>1264</v>
      </c>
      <c r="B282" s="8" t="s">
        <v>1161</v>
      </c>
      <c r="C282" s="7" t="s">
        <v>987</v>
      </c>
      <c r="D282" s="56">
        <f>IFERROR(__xludf.DUMMYFUNCTION("XLOOKUP(JOIN(""/"",$A282:$B282),'source merged_div_data'!$A:$A,'source merged_div_data'!B:B)"),428.0)</f>
        <v>428</v>
      </c>
      <c r="E282" s="56">
        <f>IFERROR(__xludf.DUMMYFUNCTION("XLOOKUP(JOIN(""/"",$A282:$B282),'source merged_div_data'!$A:$A,'source merged_div_data'!C:C)"),1449.0)</f>
        <v>1449</v>
      </c>
      <c r="F282" s="54" t="str">
        <f t="array" ref="F282">IFERROR(
  IFS(
    XLOOKUP(TEXTJOIN("/", TRUE, $A282:$B282), 'source merged_div_data'!$A:$A, 'source merged_div_data'!F:F) &lt; 1024,
      XLOOKUP(TEXTJOIN("/", TRUE, $A282:$B282), 'source merged_div_data'!$A:$A, 'source merged_div_data'!F:F) &amp; " B",
    XLOOKUP(TEXTJOIN("/", TRUE, $A282:$B282), 'source merged_div_data'!$A:$A, 'source merged_div_data'!F:F) &lt; 1048576,
      ROUND(XLOOKUP(TEXTJOIN("/", TRUE, $A282:$B282), 'source merged_div_data'!$A:$A, 'source merged_div_data'!F:F)/1024, 2) &amp; " KB",
    XLOOKUP(TEXTJOIN("/", TRUE, $A282:$B282), 'source merged_div_data'!$A:$A, 'source merged_div_data'!F:F) &lt; 1073741824,
      ROUND(XLOOKUP(TEXTJOIN("/", TRUE, $A282:$B282), 'source merged_div_data'!$A:$A, 'source merged_div_data'!F:F)/1048576, 2) &amp; " MB",
    TRUE,
      ROUND(XLOOKUP(TEXTJOIN("/", TRUE, $A282:$B282), 'source merged_div_data'!$A:$A, 'source merged_div_data'!F:F)/1073741824, 2) &amp; " GB"
  ),
  "×"
)</f>
        <v>7.79 GB</v>
      </c>
      <c r="G282" s="57" t="s">
        <v>2303</v>
      </c>
      <c r="H282" s="58" t="s">
        <v>2177</v>
      </c>
      <c r="I282" s="57"/>
      <c r="J282" s="7" t="s">
        <v>717</v>
      </c>
      <c r="L282" s="7" t="s">
        <v>2100</v>
      </c>
      <c r="M282" s="37" t="s">
        <v>1053</v>
      </c>
      <c r="N282" s="8" t="s">
        <v>1102</v>
      </c>
      <c r="O282" s="7" t="s">
        <v>693</v>
      </c>
      <c r="P282" s="57" t="str">
        <f>IFERROR(__xludf.DUMMYFUNCTION("XLOOKUP(JOIN(""/"",$A282:$B282),'source isilon_divまとめ'!$A:$A,'source isilon_divまとめ'!$D:$D,XLOOKUP(JOIN(""\"",$A282:$B282),'source NetApp-file-sv01-div'!A:A,TEXT('source NetApp-file-sv01-div'!C:C,""yyyy/mm/dd"")))"),"2018/12/12")</f>
        <v>2018/12/12</v>
      </c>
    </row>
    <row r="283">
      <c r="A283" s="52" t="s">
        <v>1268</v>
      </c>
      <c r="B283" s="52" t="s">
        <v>1225</v>
      </c>
      <c r="C283" s="46" t="s">
        <v>986</v>
      </c>
      <c r="D283" s="53">
        <f>IFERROR(__xludf.DUMMYFUNCTION("XLOOKUP(JOIN(""/"",$A283:$B283),'source merged_div_data'!$A:$A,'source merged_div_data'!B:B)"),4.0)</f>
        <v>4</v>
      </c>
      <c r="E283" s="53">
        <f>IFERROR(__xludf.DUMMYFUNCTION("XLOOKUP(JOIN(""/"",$A283:$B283),'source merged_div_data'!$A:$A,'source merged_div_data'!C:C)"),0.0)</f>
        <v>0</v>
      </c>
      <c r="F283" s="54" t="str">
        <f t="array" ref="F283">IFERROR(
  IFS(
    XLOOKUP(TEXTJOIN("/", TRUE, $A283:$B283), 'source merged_div_data'!$A:$A, 'source merged_div_data'!F:F) &lt; 1024,
      XLOOKUP(TEXTJOIN("/", TRUE, $A283:$B283), 'source merged_div_data'!$A:$A, 'source merged_div_data'!F:F) &amp; " B",
    XLOOKUP(TEXTJOIN("/", TRUE, $A283:$B283), 'source merged_div_data'!$A:$A, 'source merged_div_data'!F:F) &lt; 1048576,
      ROUND(XLOOKUP(TEXTJOIN("/", TRUE, $A283:$B283), 'source merged_div_data'!$A:$A, 'source merged_div_data'!F:F)/1024, 2) &amp; " KB",
    XLOOKUP(TEXTJOIN("/", TRUE, $A283:$B283), 'source merged_div_data'!$A:$A, 'source merged_div_data'!F:F) &lt; 1073741824,
      ROUND(XLOOKUP(TEXTJOIN("/", TRUE, $A283:$B283), 'source merged_div_data'!$A:$A, 'source merged_div_data'!F:F)/1048576, 2) &amp; " MB",
    TRUE,
      ROUND(XLOOKUP(TEXTJOIN("/", TRUE, $A283:$B283), 'source merged_div_data'!$A:$A, 'source merged_div_data'!F:F)/1073741824, 2) &amp; " GB"
  ),
  "×"
)</f>
        <v>100 B</v>
      </c>
      <c r="G283" s="55" t="s">
        <v>1053</v>
      </c>
      <c r="H283" s="55"/>
      <c r="I283" s="55"/>
      <c r="J283" s="46" t="s">
        <v>38</v>
      </c>
      <c r="K283" s="46" t="s">
        <v>43</v>
      </c>
      <c r="L283" s="46" t="s">
        <v>1053</v>
      </c>
      <c r="M283" s="46" t="s">
        <v>1467</v>
      </c>
      <c r="N283" s="52" t="s">
        <v>1102</v>
      </c>
      <c r="O283" s="46" t="s">
        <v>1188</v>
      </c>
      <c r="P283" s="37" t="str">
        <f>IFERROR(__xludf.DUMMYFUNCTION("XLOOKUP(JOIN(""/"",$A283:$B283),'source isilon_divまとめ'!$A:$A,'source isilon_divまとめ'!$D:$D,XLOOKUP(JOIN(""\"",$A283:$B283),'source NetApp-file-sv01-div'!A:A,TEXT('source NetApp-file-sv01-div'!C:C,""yyyy/mm/dd"")))"),"#N/A")</f>
        <v>#N/A</v>
      </c>
    </row>
    <row r="284">
      <c r="A284" s="52" t="s">
        <v>1268</v>
      </c>
      <c r="B284" s="52" t="s">
        <v>1226</v>
      </c>
      <c r="C284" s="46" t="s">
        <v>986</v>
      </c>
      <c r="D284" s="53">
        <f>IFERROR(__xludf.DUMMYFUNCTION("XLOOKUP(JOIN(""/"",$A284:$B284),'source merged_div_data'!$A:$A,'source merged_div_data'!B:B)"),13.0)</f>
        <v>13</v>
      </c>
      <c r="E284" s="53">
        <f>IFERROR(__xludf.DUMMYFUNCTION("XLOOKUP(JOIN(""/"",$A284:$B284),'source merged_div_data'!$A:$A,'source merged_div_data'!C:C)"),0.0)</f>
        <v>0</v>
      </c>
      <c r="F284" s="54" t="str">
        <f t="array" ref="F284">IFERROR(
  IFS(
    XLOOKUP(TEXTJOIN("/", TRUE, $A284:$B284), 'source merged_div_data'!$A:$A, 'source merged_div_data'!F:F) &lt; 1024,
      XLOOKUP(TEXTJOIN("/", TRUE, $A284:$B284), 'source merged_div_data'!$A:$A, 'source merged_div_data'!F:F) &amp; " B",
    XLOOKUP(TEXTJOIN("/", TRUE, $A284:$B284), 'source merged_div_data'!$A:$A, 'source merged_div_data'!F:F) &lt; 1048576,
      ROUND(XLOOKUP(TEXTJOIN("/", TRUE, $A284:$B284), 'source merged_div_data'!$A:$A, 'source merged_div_data'!F:F)/1024, 2) &amp; " KB",
    XLOOKUP(TEXTJOIN("/", TRUE, $A284:$B284), 'source merged_div_data'!$A:$A, 'source merged_div_data'!F:F) &lt; 1073741824,
      ROUND(XLOOKUP(TEXTJOIN("/", TRUE, $A284:$B284), 'source merged_div_data'!$A:$A, 'source merged_div_data'!F:F)/1048576, 2) &amp; " MB",
    TRUE,
      ROUND(XLOOKUP(TEXTJOIN("/", TRUE, $A284:$B284), 'source merged_div_data'!$A:$A, 'source merged_div_data'!F:F)/1073741824, 2) &amp; " GB"
  ),
  "×"
)</f>
        <v>396 B</v>
      </c>
      <c r="G284" s="55" t="s">
        <v>1053</v>
      </c>
      <c r="H284" s="55"/>
      <c r="I284" s="55"/>
      <c r="J284" s="46" t="s">
        <v>391</v>
      </c>
      <c r="K284" s="55"/>
      <c r="L284" s="46" t="s">
        <v>2116</v>
      </c>
      <c r="M284" s="55" t="s">
        <v>1053</v>
      </c>
      <c r="N284" s="52" t="s">
        <v>1102</v>
      </c>
      <c r="O284" s="46" t="s">
        <v>391</v>
      </c>
      <c r="P284" s="37" t="str">
        <f>IFERROR(__xludf.DUMMYFUNCTION("XLOOKUP(JOIN(""/"",$A284:$B284),'source isilon_divまとめ'!$A:$A,'source isilon_divまとめ'!$D:$D,XLOOKUP(JOIN(""\"",$A284:$B284),'source NetApp-file-sv01-div'!A:A,TEXT('source NetApp-file-sv01-div'!C:C,""yyyy/mm/dd"")))"),"#N/A")</f>
        <v>#N/A</v>
      </c>
    </row>
    <row r="285">
      <c r="A285" s="52" t="s">
        <v>1268</v>
      </c>
      <c r="B285" s="52" t="s">
        <v>859</v>
      </c>
      <c r="C285" s="46" t="s">
        <v>986</v>
      </c>
      <c r="D285" s="53">
        <f>IFERROR(__xludf.DUMMYFUNCTION("XLOOKUP(JOIN(""/"",$A285:$B285),'source merged_div_data'!$A:$A,'source merged_div_data'!B:B)"),4.0)</f>
        <v>4</v>
      </c>
      <c r="E285" s="53">
        <f>IFERROR(__xludf.DUMMYFUNCTION("XLOOKUP(JOIN(""/"",$A285:$B285),'source merged_div_data'!$A:$A,'source merged_div_data'!C:C)"),0.0)</f>
        <v>0</v>
      </c>
      <c r="F285" s="54" t="str">
        <f t="array" ref="F285">IFERROR(
  IFS(
    XLOOKUP(TEXTJOIN("/", TRUE, $A285:$B285), 'source merged_div_data'!$A:$A, 'source merged_div_data'!F:F) &lt; 1024,
      XLOOKUP(TEXTJOIN("/", TRUE, $A285:$B285), 'source merged_div_data'!$A:$A, 'source merged_div_data'!F:F) &amp; " B",
    XLOOKUP(TEXTJOIN("/", TRUE, $A285:$B285), 'source merged_div_data'!$A:$A, 'source merged_div_data'!F:F) &lt; 1048576,
      ROUND(XLOOKUP(TEXTJOIN("/", TRUE, $A285:$B285), 'source merged_div_data'!$A:$A, 'source merged_div_data'!F:F)/1024, 2) &amp; " KB",
    XLOOKUP(TEXTJOIN("/", TRUE, $A285:$B285), 'source merged_div_data'!$A:$A, 'source merged_div_data'!F:F) &lt; 1073741824,
      ROUND(XLOOKUP(TEXTJOIN("/", TRUE, $A285:$B285), 'source merged_div_data'!$A:$A, 'source merged_div_data'!F:F)/1048576, 2) &amp; " MB",
    TRUE,
      ROUND(XLOOKUP(TEXTJOIN("/", TRUE, $A285:$B285), 'source merged_div_data'!$A:$A, 'source merged_div_data'!F:F)/1073741824, 2) &amp; " GB"
  ),
  "×"
)</f>
        <v>100 B</v>
      </c>
      <c r="G285" s="55" t="s">
        <v>1053</v>
      </c>
      <c r="H285" s="55"/>
      <c r="I285" s="55"/>
      <c r="J285" s="55" t="s">
        <v>854</v>
      </c>
      <c r="K285" s="55" t="s">
        <v>859</v>
      </c>
      <c r="L285" s="55" t="s">
        <v>1410</v>
      </c>
      <c r="M285" s="55" t="s">
        <v>2232</v>
      </c>
      <c r="N285" s="52"/>
      <c r="O285" s="55"/>
      <c r="P285" s="37" t="str">
        <f>IFERROR(__xludf.DUMMYFUNCTION("XLOOKUP(JOIN(""/"",$A285:$B285),'source isilon_divまとめ'!$A:$A,'source isilon_divまとめ'!$D:$D,XLOOKUP(JOIN(""\"",$A285:$B285),'source NetApp-file-sv01-div'!A:A,TEXT('source NetApp-file-sv01-div'!C:C,""yyyy/mm/dd"")))"),"#N/A")</f>
        <v>#N/A</v>
      </c>
    </row>
    <row r="286">
      <c r="A286" s="52" t="s">
        <v>1268</v>
      </c>
      <c r="B286" s="52" t="s">
        <v>1183</v>
      </c>
      <c r="C286" s="46" t="s">
        <v>986</v>
      </c>
      <c r="D286" s="53">
        <f>IFERROR(__xludf.DUMMYFUNCTION("XLOOKUP(JOIN(""/"",$A286:$B286),'source merged_div_data'!$A:$A,'source merged_div_data'!B:B)"),11.0)</f>
        <v>11</v>
      </c>
      <c r="E286" s="53">
        <f>IFERROR(__xludf.DUMMYFUNCTION("XLOOKUP(JOIN(""/"",$A286:$B286),'source merged_div_data'!$A:$A,'source merged_div_data'!C:C)"),0.0)</f>
        <v>0</v>
      </c>
      <c r="F286" s="54" t="str">
        <f t="array" ref="F286">IFERROR(
  IFS(
    XLOOKUP(TEXTJOIN("/", TRUE, $A286:$B286), 'source merged_div_data'!$A:$A, 'source merged_div_data'!F:F) &lt; 1024,
      XLOOKUP(TEXTJOIN("/", TRUE, $A286:$B286), 'source merged_div_data'!$A:$A, 'source merged_div_data'!F:F) &amp; " B",
    XLOOKUP(TEXTJOIN("/", TRUE, $A286:$B286), 'source merged_div_data'!$A:$A, 'source merged_div_data'!F:F) &lt; 1048576,
      ROUND(XLOOKUP(TEXTJOIN("/", TRUE, $A286:$B286), 'source merged_div_data'!$A:$A, 'source merged_div_data'!F:F)/1024, 2) &amp; " KB",
    XLOOKUP(TEXTJOIN("/", TRUE, $A286:$B286), 'source merged_div_data'!$A:$A, 'source merged_div_data'!F:F) &lt; 1073741824,
      ROUND(XLOOKUP(TEXTJOIN("/", TRUE, $A286:$B286), 'source merged_div_data'!$A:$A, 'source merged_div_data'!F:F)/1048576, 2) &amp; " MB",
    TRUE,
      ROUND(XLOOKUP(TEXTJOIN("/", TRUE, $A286:$B286), 'source merged_div_data'!$A:$A, 'source merged_div_data'!F:F)/1073741824, 2) &amp; " GB"
  ),
  "×"
)</f>
        <v>285 B</v>
      </c>
      <c r="G286" s="55" t="s">
        <v>1053</v>
      </c>
      <c r="H286" s="55"/>
      <c r="I286" s="55"/>
      <c r="J286" s="46" t="s">
        <v>854</v>
      </c>
      <c r="K286" s="55"/>
      <c r="L286" s="46" t="s">
        <v>1410</v>
      </c>
      <c r="M286" s="55" t="s">
        <v>1053</v>
      </c>
      <c r="N286" s="52" t="s">
        <v>1102</v>
      </c>
      <c r="O286" s="46" t="s">
        <v>1182</v>
      </c>
      <c r="P286" s="37" t="str">
        <f>IFERROR(__xludf.DUMMYFUNCTION("XLOOKUP(JOIN(""/"",$A286:$B286),'source isilon_divまとめ'!$A:$A,'source isilon_divまとめ'!$D:$D,XLOOKUP(JOIN(""\"",$A286:$B286),'source NetApp-file-sv01-div'!A:A,TEXT('source NetApp-file-sv01-div'!C:C,""yyyy/mm/dd"")))"),"#N/A")</f>
        <v>#N/A</v>
      </c>
    </row>
    <row r="287">
      <c r="A287" s="52" t="s">
        <v>1268</v>
      </c>
      <c r="B287" s="52" t="s">
        <v>1182</v>
      </c>
      <c r="C287" s="46" t="s">
        <v>986</v>
      </c>
      <c r="D287" s="53">
        <f>IFERROR(__xludf.DUMMYFUNCTION("XLOOKUP(JOIN(""/"",$A287:$B287),'source merged_div_data'!$A:$A,'source merged_div_data'!B:B)"),6.0)</f>
        <v>6</v>
      </c>
      <c r="E287" s="53">
        <f>IFERROR(__xludf.DUMMYFUNCTION("XLOOKUP(JOIN(""/"",$A287:$B287),'source merged_div_data'!$A:$A,'source merged_div_data'!C:C)"),0.0)</f>
        <v>0</v>
      </c>
      <c r="F287" s="54" t="str">
        <f t="array" ref="F287">IFERROR(
  IFS(
    XLOOKUP(TEXTJOIN("/", TRUE, $A287:$B287), 'source merged_div_data'!$A:$A, 'source merged_div_data'!F:F) &lt; 1024,
      XLOOKUP(TEXTJOIN("/", TRUE, $A287:$B287), 'source merged_div_data'!$A:$A, 'source merged_div_data'!F:F) &amp; " B",
    XLOOKUP(TEXTJOIN("/", TRUE, $A287:$B287), 'source merged_div_data'!$A:$A, 'source merged_div_data'!F:F) &lt; 1048576,
      ROUND(XLOOKUP(TEXTJOIN("/", TRUE, $A287:$B287), 'source merged_div_data'!$A:$A, 'source merged_div_data'!F:F)/1024, 2) &amp; " KB",
    XLOOKUP(TEXTJOIN("/", TRUE, $A287:$B287), 'source merged_div_data'!$A:$A, 'source merged_div_data'!F:F) &lt; 1073741824,
      ROUND(XLOOKUP(TEXTJOIN("/", TRUE, $A287:$B287), 'source merged_div_data'!$A:$A, 'source merged_div_data'!F:F)/1048576, 2) &amp; " MB",
    TRUE,
      ROUND(XLOOKUP(TEXTJOIN("/", TRUE, $A287:$B287), 'source merged_div_data'!$A:$A, 'source merged_div_data'!F:F)/1073741824, 2) &amp; " GB"
  ),
  "×"
)</f>
        <v>173 B</v>
      </c>
      <c r="G287" s="55" t="s">
        <v>1053</v>
      </c>
      <c r="H287" s="55"/>
      <c r="I287" s="55"/>
      <c r="J287" s="46" t="s">
        <v>854</v>
      </c>
      <c r="K287" s="55"/>
      <c r="L287" s="46" t="s">
        <v>1410</v>
      </c>
      <c r="M287" s="55" t="s">
        <v>1053</v>
      </c>
      <c r="N287" s="52" t="s">
        <v>1102</v>
      </c>
      <c r="O287" s="46" t="s">
        <v>1182</v>
      </c>
      <c r="P287" s="37" t="str">
        <f>IFERROR(__xludf.DUMMYFUNCTION("XLOOKUP(JOIN(""/"",$A287:$B287),'source isilon_divまとめ'!$A:$A,'source isilon_divまとめ'!$D:$D,XLOOKUP(JOIN(""\"",$A287:$B287),'source NetApp-file-sv01-div'!A:A,TEXT('source NetApp-file-sv01-div'!C:C,""yyyy/mm/dd"")))"),"#N/A")</f>
        <v>#N/A</v>
      </c>
    </row>
    <row r="288">
      <c r="A288" s="52" t="s">
        <v>1268</v>
      </c>
      <c r="B288" s="52" t="s">
        <v>857</v>
      </c>
      <c r="C288" s="46" t="s">
        <v>986</v>
      </c>
      <c r="D288" s="53">
        <f>IFERROR(__xludf.DUMMYFUNCTION("XLOOKUP(JOIN(""/"",$A288:$B288),'source merged_div_data'!$A:$A,'source merged_div_data'!B:B)"),4.0)</f>
        <v>4</v>
      </c>
      <c r="E288" s="53">
        <f>IFERROR(__xludf.DUMMYFUNCTION("XLOOKUP(JOIN(""/"",$A288:$B288),'source merged_div_data'!$A:$A,'source merged_div_data'!C:C)"),0.0)</f>
        <v>0</v>
      </c>
      <c r="F288" s="54" t="str">
        <f t="array" ref="F288">IFERROR(
  IFS(
    XLOOKUP(TEXTJOIN("/", TRUE, $A288:$B288), 'source merged_div_data'!$A:$A, 'source merged_div_data'!F:F) &lt; 1024,
      XLOOKUP(TEXTJOIN("/", TRUE, $A288:$B288), 'source merged_div_data'!$A:$A, 'source merged_div_data'!F:F) &amp; " B",
    XLOOKUP(TEXTJOIN("/", TRUE, $A288:$B288), 'source merged_div_data'!$A:$A, 'source merged_div_data'!F:F) &lt; 1048576,
      ROUND(XLOOKUP(TEXTJOIN("/", TRUE, $A288:$B288), 'source merged_div_data'!$A:$A, 'source merged_div_data'!F:F)/1024, 2) &amp; " KB",
    XLOOKUP(TEXTJOIN("/", TRUE, $A288:$B288), 'source merged_div_data'!$A:$A, 'source merged_div_data'!F:F) &lt; 1073741824,
      ROUND(XLOOKUP(TEXTJOIN("/", TRUE, $A288:$B288), 'source merged_div_data'!$A:$A, 'source merged_div_data'!F:F)/1048576, 2) &amp; " MB",
    TRUE,
      ROUND(XLOOKUP(TEXTJOIN("/", TRUE, $A288:$B288), 'source merged_div_data'!$A:$A, 'source merged_div_data'!F:F)/1073741824, 2) &amp; " GB"
  ),
  "×"
)</f>
        <v>109 B</v>
      </c>
      <c r="G288" s="55" t="s">
        <v>1053</v>
      </c>
      <c r="H288" s="55"/>
      <c r="I288" s="55"/>
      <c r="J288" s="55" t="s">
        <v>854</v>
      </c>
      <c r="K288" s="55" t="s">
        <v>857</v>
      </c>
      <c r="L288" s="55" t="s">
        <v>1410</v>
      </c>
      <c r="M288" s="55" t="s">
        <v>1053</v>
      </c>
      <c r="N288" s="52"/>
      <c r="O288" s="55"/>
      <c r="P288" s="37" t="str">
        <f>IFERROR(__xludf.DUMMYFUNCTION("XLOOKUP(JOIN(""/"",$A288:$B288),'source isilon_divまとめ'!$A:$A,'source isilon_divまとめ'!$D:$D,XLOOKUP(JOIN(""\"",$A288:$B288),'source NetApp-file-sv01-div'!A:A,TEXT('source NetApp-file-sv01-div'!C:C,""yyyy/mm/dd"")))"),"#N/A")</f>
        <v>#N/A</v>
      </c>
    </row>
    <row r="289">
      <c r="A289" s="52" t="s">
        <v>1268</v>
      </c>
      <c r="B289" s="52" t="s">
        <v>286</v>
      </c>
      <c r="C289" s="46" t="s">
        <v>986</v>
      </c>
      <c r="D289" s="53">
        <f>IFERROR(__xludf.DUMMYFUNCTION("XLOOKUP(JOIN(""/"",$A289:$B289),'source merged_div_data'!$A:$A,'source merged_div_data'!B:B)"),9.0)</f>
        <v>9</v>
      </c>
      <c r="E289" s="53">
        <f>IFERROR(__xludf.DUMMYFUNCTION("XLOOKUP(JOIN(""/"",$A289:$B289),'source merged_div_data'!$A:$A,'source merged_div_data'!C:C)"),0.0)</f>
        <v>0</v>
      </c>
      <c r="F289" s="54" t="str">
        <f t="array" ref="F289">IFERROR(
  IFS(
    XLOOKUP(TEXTJOIN("/", TRUE, $A289:$B289), 'source merged_div_data'!$A:$A, 'source merged_div_data'!F:F) &lt; 1024,
      XLOOKUP(TEXTJOIN("/", TRUE, $A289:$B289), 'source merged_div_data'!$A:$A, 'source merged_div_data'!F:F) &amp; " B",
    XLOOKUP(TEXTJOIN("/", TRUE, $A289:$B289), 'source merged_div_data'!$A:$A, 'source merged_div_data'!F:F) &lt; 1048576,
      ROUND(XLOOKUP(TEXTJOIN("/", TRUE, $A289:$B289), 'source merged_div_data'!$A:$A, 'source merged_div_data'!F:F)/1024, 2) &amp; " KB",
    XLOOKUP(TEXTJOIN("/", TRUE, $A289:$B289), 'source merged_div_data'!$A:$A, 'source merged_div_data'!F:F) &lt; 1073741824,
      ROUND(XLOOKUP(TEXTJOIN("/", TRUE, $A289:$B289), 'source merged_div_data'!$A:$A, 'source merged_div_data'!F:F)/1048576, 2) &amp; " MB",
    TRUE,
      ROUND(XLOOKUP(TEXTJOIN("/", TRUE, $A289:$B289), 'source merged_div_data'!$A:$A, 'source merged_div_data'!F:F)/1073741824, 2) &amp; " GB"
  ),
  "×"
)</f>
        <v>286 B</v>
      </c>
      <c r="G289" s="55" t="s">
        <v>1053</v>
      </c>
      <c r="H289" s="55"/>
      <c r="I289" s="55"/>
      <c r="J289" s="55" t="s">
        <v>281</v>
      </c>
      <c r="K289" s="55" t="s">
        <v>286</v>
      </c>
      <c r="L289" s="46" t="s">
        <v>1498</v>
      </c>
      <c r="M289" s="46" t="s">
        <v>2111</v>
      </c>
      <c r="N289" s="52"/>
      <c r="O289" s="55"/>
      <c r="P289" s="37" t="str">
        <f>IFERROR(__xludf.DUMMYFUNCTION("XLOOKUP(JOIN(""/"",$A289:$B289),'source isilon_divまとめ'!$A:$A,'source isilon_divまとめ'!$D:$D,XLOOKUP(JOIN(""\"",$A289:$B289),'source NetApp-file-sv01-div'!A:A,TEXT('source NetApp-file-sv01-div'!C:C,""yyyy/mm/dd"")))"),"#N/A")</f>
        <v>#N/A</v>
      </c>
    </row>
    <row r="290">
      <c r="A290" s="52" t="s">
        <v>1268</v>
      </c>
      <c r="B290" s="52" t="s">
        <v>1111</v>
      </c>
      <c r="C290" s="46" t="s">
        <v>988</v>
      </c>
      <c r="D290" s="53">
        <f>IFERROR(__xludf.DUMMYFUNCTION("XLOOKUP(JOIN(""/"",$A290:$B290),'source merged_div_data'!$A:$A,'source merged_div_data'!B:B)"),1.0)</f>
        <v>1</v>
      </c>
      <c r="E290" s="53">
        <f>IFERROR(__xludf.DUMMYFUNCTION("XLOOKUP(JOIN(""/"",$A290:$B290),'source merged_div_data'!$A:$A,'source merged_div_data'!C:C)"),0.0)</f>
        <v>0</v>
      </c>
      <c r="F290" s="54" t="str">
        <f t="array" ref="F290">IFERROR(
  IFS(
    XLOOKUP(TEXTJOIN("/", TRUE, $A290:$B290), 'source merged_div_data'!$A:$A, 'source merged_div_data'!F:F) &lt; 1024,
      XLOOKUP(TEXTJOIN("/", TRUE, $A290:$B290), 'source merged_div_data'!$A:$A, 'source merged_div_data'!F:F) &amp; " B",
    XLOOKUP(TEXTJOIN("/", TRUE, $A290:$B290), 'source merged_div_data'!$A:$A, 'source merged_div_data'!F:F) &lt; 1048576,
      ROUND(XLOOKUP(TEXTJOIN("/", TRUE, $A290:$B290), 'source merged_div_data'!$A:$A, 'source merged_div_data'!F:F)/1024, 2) &amp; " KB",
    XLOOKUP(TEXTJOIN("/", TRUE, $A290:$B290), 'source merged_div_data'!$A:$A, 'source merged_div_data'!F:F) &lt; 1073741824,
      ROUND(XLOOKUP(TEXTJOIN("/", TRUE, $A290:$B290), 'source merged_div_data'!$A:$A, 'source merged_div_data'!F:F)/1048576, 2) &amp; " MB",
    TRUE,
      ROUND(XLOOKUP(TEXTJOIN("/", TRUE, $A290:$B290), 'source merged_div_data'!$A:$A, 'source merged_div_data'!F:F)/1073741824, 2) &amp; " GB"
  ),
  "×"
)</f>
        <v>0 B</v>
      </c>
      <c r="G290" s="55" t="s">
        <v>1053</v>
      </c>
      <c r="H290" s="55"/>
      <c r="I290" s="55"/>
      <c r="J290" s="46" t="s">
        <v>1105</v>
      </c>
      <c r="K290" s="55"/>
      <c r="L290" s="55" t="s">
        <v>1053</v>
      </c>
      <c r="M290" s="55" t="s">
        <v>1053</v>
      </c>
      <c r="N290" s="52" t="s">
        <v>1102</v>
      </c>
      <c r="O290" s="46" t="s">
        <v>1105</v>
      </c>
      <c r="P290" s="37" t="str">
        <f>IFERROR(__xludf.DUMMYFUNCTION("XLOOKUP(JOIN(""/"",$A290:$B290),'source isilon_divまとめ'!$A:$A,'source isilon_divまとめ'!$D:$D,XLOOKUP(JOIN(""\"",$A290:$B290),'source NetApp-file-sv01-div'!A:A,TEXT('source NetApp-file-sv01-div'!C:C,""yyyy/mm/dd"")))"),"#N/A")</f>
        <v>#N/A</v>
      </c>
    </row>
    <row r="291">
      <c r="A291" s="52" t="s">
        <v>1268</v>
      </c>
      <c r="B291" s="52" t="s">
        <v>864</v>
      </c>
      <c r="C291" s="46" t="s">
        <v>986</v>
      </c>
      <c r="D291" s="53">
        <f>IFERROR(__xludf.DUMMYFUNCTION("XLOOKUP(JOIN(""/"",$A291:$B291),'source merged_div_data'!$A:$A,'source merged_div_data'!B:B)"),4.0)</f>
        <v>4</v>
      </c>
      <c r="E291" s="53">
        <f>IFERROR(__xludf.DUMMYFUNCTION("XLOOKUP(JOIN(""/"",$A291:$B291),'source merged_div_data'!$A:$A,'source merged_div_data'!C:C)"),0.0)</f>
        <v>0</v>
      </c>
      <c r="F291" s="54" t="str">
        <f t="array" ref="F291">IFERROR(
  IFS(
    XLOOKUP(TEXTJOIN("/", TRUE, $A291:$B291), 'source merged_div_data'!$A:$A, 'source merged_div_data'!F:F) &lt; 1024,
      XLOOKUP(TEXTJOIN("/", TRUE, $A291:$B291), 'source merged_div_data'!$A:$A, 'source merged_div_data'!F:F) &amp; " B",
    XLOOKUP(TEXTJOIN("/", TRUE, $A291:$B291), 'source merged_div_data'!$A:$A, 'source merged_div_data'!F:F) &lt; 1048576,
      ROUND(XLOOKUP(TEXTJOIN("/", TRUE, $A291:$B291), 'source merged_div_data'!$A:$A, 'source merged_div_data'!F:F)/1024, 2) &amp; " KB",
    XLOOKUP(TEXTJOIN("/", TRUE, $A291:$B291), 'source merged_div_data'!$A:$A, 'source merged_div_data'!F:F) &lt; 1073741824,
      ROUND(XLOOKUP(TEXTJOIN("/", TRUE, $A291:$B291), 'source merged_div_data'!$A:$A, 'source merged_div_data'!F:F)/1048576, 2) &amp; " MB",
    TRUE,
      ROUND(XLOOKUP(TEXTJOIN("/", TRUE, $A291:$B291), 'source merged_div_data'!$A:$A, 'source merged_div_data'!F:F)/1073741824, 2) &amp; " GB"
  ),
  "×"
)</f>
        <v>94 B</v>
      </c>
      <c r="G291" s="55" t="s">
        <v>1053</v>
      </c>
      <c r="H291" s="55"/>
      <c r="I291" s="55"/>
      <c r="J291" s="55" t="s">
        <v>854</v>
      </c>
      <c r="K291" s="55" t="s">
        <v>864</v>
      </c>
      <c r="L291" s="55" t="s">
        <v>1410</v>
      </c>
      <c r="M291" s="55" t="s">
        <v>2262</v>
      </c>
      <c r="N291" s="52"/>
      <c r="O291" s="55"/>
      <c r="P291" s="37" t="str">
        <f>IFERROR(__xludf.DUMMYFUNCTION("XLOOKUP(JOIN(""/"",$A291:$B291),'source isilon_divまとめ'!$A:$A,'source isilon_divまとめ'!$D:$D,XLOOKUP(JOIN(""\"",$A291:$B291),'source NetApp-file-sv01-div'!A:A,TEXT('source NetApp-file-sv01-div'!C:C,""yyyy/mm/dd"")))"),"#N/A")</f>
        <v>#N/A</v>
      </c>
    </row>
    <row r="292">
      <c r="A292" s="52" t="s">
        <v>323</v>
      </c>
      <c r="B292" s="52" t="s">
        <v>819</v>
      </c>
      <c r="C292" s="46" t="s">
        <v>986</v>
      </c>
      <c r="D292" s="53">
        <f>IFERROR(__xludf.DUMMYFUNCTION("XLOOKUP(JOIN(""/"",$A292:$B292),'source merged_div_data'!$A:$A,'source merged_div_data'!B:B)"),9.0)</f>
        <v>9</v>
      </c>
      <c r="E292" s="53">
        <f>IFERROR(__xludf.DUMMYFUNCTION("XLOOKUP(JOIN(""/"",$A292:$B292),'source merged_div_data'!$A:$A,'source merged_div_data'!C:C)"),0.0)</f>
        <v>0</v>
      </c>
      <c r="F292" s="54" t="str">
        <f t="array" ref="F292">IFERROR(
  IFS(
    XLOOKUP(TEXTJOIN("/", TRUE, $A292:$B292), 'source merged_div_data'!$A:$A, 'source merged_div_data'!F:F) &lt; 1024,
      XLOOKUP(TEXTJOIN("/", TRUE, $A292:$B292), 'source merged_div_data'!$A:$A, 'source merged_div_data'!F:F) &amp; " B",
    XLOOKUP(TEXTJOIN("/", TRUE, $A292:$B292), 'source merged_div_data'!$A:$A, 'source merged_div_data'!F:F) &lt; 1048576,
      ROUND(XLOOKUP(TEXTJOIN("/", TRUE, $A292:$B292), 'source merged_div_data'!$A:$A, 'source merged_div_data'!F:F)/1024, 2) &amp; " KB",
    XLOOKUP(TEXTJOIN("/", TRUE, $A292:$B292), 'source merged_div_data'!$A:$A, 'source merged_div_data'!F:F) &lt; 1073741824,
      ROUND(XLOOKUP(TEXTJOIN("/", TRUE, $A292:$B292), 'source merged_div_data'!$A:$A, 'source merged_div_data'!F:F)/1048576, 2) &amp; " MB",
    TRUE,
      ROUND(XLOOKUP(TEXTJOIN("/", TRUE, $A292:$B292), 'source merged_div_data'!$A:$A, 'source merged_div_data'!F:F)/1073741824, 2) &amp; " GB"
  ),
  "×"
)</f>
        <v>368 B</v>
      </c>
      <c r="G292" s="55" t="s">
        <v>1053</v>
      </c>
      <c r="H292" s="55"/>
      <c r="I292" s="55"/>
      <c r="J292" s="55" t="s">
        <v>323</v>
      </c>
      <c r="K292" s="55" t="s">
        <v>819</v>
      </c>
      <c r="L292" s="55" t="s">
        <v>1547</v>
      </c>
      <c r="M292" s="55" t="s">
        <v>2278</v>
      </c>
      <c r="N292" s="52"/>
      <c r="O292" s="55"/>
      <c r="P292" s="37" t="str">
        <f>IFERROR(__xludf.DUMMYFUNCTION("XLOOKUP(JOIN(""/"",$A292:$B292),'source isilon_divまとめ'!$A:$A,'source isilon_divまとめ'!$D:$D,XLOOKUP(JOIN(""\"",$A292:$B292),'source NetApp-file-sv01-div'!A:A,TEXT('source NetApp-file-sv01-div'!C:C,""yyyy/mm/dd"")))"),"#N/A")</f>
        <v>#N/A</v>
      </c>
    </row>
    <row r="293">
      <c r="A293" s="52" t="s">
        <v>323</v>
      </c>
      <c r="B293" s="52" t="s">
        <v>821</v>
      </c>
      <c r="C293" s="46" t="s">
        <v>986</v>
      </c>
      <c r="D293" s="53">
        <f>IFERROR(__xludf.DUMMYFUNCTION("XLOOKUP(JOIN(""/"",$A293:$B293),'source merged_div_data'!$A:$A,'source merged_div_data'!B:B)"),8.0)</f>
        <v>8</v>
      </c>
      <c r="E293" s="53">
        <f>IFERROR(__xludf.DUMMYFUNCTION("XLOOKUP(JOIN(""/"",$A293:$B293),'source merged_div_data'!$A:$A,'source merged_div_data'!C:C)"),0.0)</f>
        <v>0</v>
      </c>
      <c r="F293" s="54" t="str">
        <f t="array" ref="F293">IFERROR(
  IFS(
    XLOOKUP(TEXTJOIN("/", TRUE, $A293:$B293), 'source merged_div_data'!$A:$A, 'source merged_div_data'!F:F) &lt; 1024,
      XLOOKUP(TEXTJOIN("/", TRUE, $A293:$B293), 'source merged_div_data'!$A:$A, 'source merged_div_data'!F:F) &amp; " B",
    XLOOKUP(TEXTJOIN("/", TRUE, $A293:$B293), 'source merged_div_data'!$A:$A, 'source merged_div_data'!F:F) &lt; 1048576,
      ROUND(XLOOKUP(TEXTJOIN("/", TRUE, $A293:$B293), 'source merged_div_data'!$A:$A, 'source merged_div_data'!F:F)/1024, 2) &amp; " KB",
    XLOOKUP(TEXTJOIN("/", TRUE, $A293:$B293), 'source merged_div_data'!$A:$A, 'source merged_div_data'!F:F) &lt; 1073741824,
      ROUND(XLOOKUP(TEXTJOIN("/", TRUE, $A293:$B293), 'source merged_div_data'!$A:$A, 'source merged_div_data'!F:F)/1048576, 2) &amp; " MB",
    TRUE,
      ROUND(XLOOKUP(TEXTJOIN("/", TRUE, $A293:$B293), 'source merged_div_data'!$A:$A, 'source merged_div_data'!F:F)/1073741824, 2) &amp; " GB"
  ),
  "×"
)</f>
        <v>216 B</v>
      </c>
      <c r="G293" s="55" t="s">
        <v>1053</v>
      </c>
      <c r="H293" s="55"/>
      <c r="I293" s="55"/>
      <c r="J293" s="55" t="s">
        <v>323</v>
      </c>
      <c r="K293" s="55" t="s">
        <v>821</v>
      </c>
      <c r="L293" s="55" t="s">
        <v>1547</v>
      </c>
      <c r="M293" s="55" t="s">
        <v>2280</v>
      </c>
      <c r="N293" s="52"/>
      <c r="O293" s="55"/>
      <c r="P293" s="37" t="str">
        <f>IFERROR(__xludf.DUMMYFUNCTION("XLOOKUP(JOIN(""/"",$A293:$B293),'source isilon_divまとめ'!$A:$A,'source isilon_divまとめ'!$D:$D,XLOOKUP(JOIN(""\"",$A293:$B293),'source NetApp-file-sv01-div'!A:A,TEXT('source NetApp-file-sv01-div'!C:C,""yyyy/mm/dd"")))"),"#N/A")</f>
        <v>#N/A</v>
      </c>
    </row>
    <row r="294">
      <c r="A294" s="52" t="s">
        <v>323</v>
      </c>
      <c r="B294" s="52" t="s">
        <v>824</v>
      </c>
      <c r="C294" s="46" t="s">
        <v>986</v>
      </c>
      <c r="D294" s="53">
        <f>IFERROR(__xludf.DUMMYFUNCTION("XLOOKUP(JOIN(""/"",$A294:$B294),'source merged_div_data'!$A:$A,'source merged_div_data'!B:B)"),28.0)</f>
        <v>28</v>
      </c>
      <c r="E294" s="53">
        <f>IFERROR(__xludf.DUMMYFUNCTION("XLOOKUP(JOIN(""/"",$A294:$B294),'source merged_div_data'!$A:$A,'source merged_div_data'!C:C)"),0.0)</f>
        <v>0</v>
      </c>
      <c r="F294" s="54" t="str">
        <f t="array" ref="F294">IFERROR(
  IFS(
    XLOOKUP(TEXTJOIN("/", TRUE, $A294:$B294), 'source merged_div_data'!$A:$A, 'source merged_div_data'!F:F) &lt; 1024,
      XLOOKUP(TEXTJOIN("/", TRUE, $A294:$B294), 'source merged_div_data'!$A:$A, 'source merged_div_data'!F:F) &amp; " B",
    XLOOKUP(TEXTJOIN("/", TRUE, $A294:$B294), 'source merged_div_data'!$A:$A, 'source merged_div_data'!F:F) &lt; 1048576,
      ROUND(XLOOKUP(TEXTJOIN("/", TRUE, $A294:$B294), 'source merged_div_data'!$A:$A, 'source merged_div_data'!F:F)/1024, 2) &amp; " KB",
    XLOOKUP(TEXTJOIN("/", TRUE, $A294:$B294), 'source merged_div_data'!$A:$A, 'source merged_div_data'!F:F) &lt; 1073741824,
      ROUND(XLOOKUP(TEXTJOIN("/", TRUE, $A294:$B294), 'source merged_div_data'!$A:$A, 'source merged_div_data'!F:F)/1048576, 2) &amp; " MB",
    TRUE,
      ROUND(XLOOKUP(TEXTJOIN("/", TRUE, $A294:$B294), 'source merged_div_data'!$A:$A, 'source merged_div_data'!F:F)/1073741824, 2) &amp; " GB"
  ),
  "×"
)</f>
        <v>997 B</v>
      </c>
      <c r="G294" s="55" t="s">
        <v>1053</v>
      </c>
      <c r="H294" s="55"/>
      <c r="I294" s="55"/>
      <c r="J294" s="55" t="s">
        <v>323</v>
      </c>
      <c r="K294" s="55" t="s">
        <v>331</v>
      </c>
      <c r="L294" s="55" t="s">
        <v>1547</v>
      </c>
      <c r="M294" s="55" t="s">
        <v>2281</v>
      </c>
      <c r="N294" s="52"/>
      <c r="O294" s="55"/>
      <c r="P294" s="37" t="str">
        <f>IFERROR(__xludf.DUMMYFUNCTION("XLOOKUP(JOIN(""/"",$A294:$B294),'source isilon_divまとめ'!$A:$A,'source isilon_divまとめ'!$D:$D,XLOOKUP(JOIN(""\"",$A294:$B294),'source NetApp-file-sv01-div'!A:A,TEXT('source NetApp-file-sv01-div'!C:C,""yyyy/mm/dd"")))"),"#N/A")</f>
        <v>#N/A</v>
      </c>
    </row>
    <row r="295">
      <c r="A295" s="52" t="s">
        <v>323</v>
      </c>
      <c r="B295" s="52" t="s">
        <v>1111</v>
      </c>
      <c r="C295" s="46" t="s">
        <v>986</v>
      </c>
      <c r="D295" s="53">
        <f>IFERROR(__xludf.DUMMYFUNCTION("XLOOKUP(JOIN(""/"",$A295:$B295),'source merged_div_data'!$A:$A,'source merged_div_data'!B:B)"),1.0)</f>
        <v>1</v>
      </c>
      <c r="E295" s="53">
        <f>IFERROR(__xludf.DUMMYFUNCTION("XLOOKUP(JOIN(""/"",$A295:$B295),'source merged_div_data'!$A:$A,'source merged_div_data'!C:C)"),0.0)</f>
        <v>0</v>
      </c>
      <c r="F295" s="54" t="str">
        <f t="array" ref="F295">IFERROR(
  IFS(
    XLOOKUP(TEXTJOIN("/", TRUE, $A295:$B295), 'source merged_div_data'!$A:$A, 'source merged_div_data'!F:F) &lt; 1024,
      XLOOKUP(TEXTJOIN("/", TRUE, $A295:$B295), 'source merged_div_data'!$A:$A, 'source merged_div_data'!F:F) &amp; " B",
    XLOOKUP(TEXTJOIN("/", TRUE, $A295:$B295), 'source merged_div_data'!$A:$A, 'source merged_div_data'!F:F) &lt; 1048576,
      ROUND(XLOOKUP(TEXTJOIN("/", TRUE, $A295:$B295), 'source merged_div_data'!$A:$A, 'source merged_div_data'!F:F)/1024, 2) &amp; " KB",
    XLOOKUP(TEXTJOIN("/", TRUE, $A295:$B295), 'source merged_div_data'!$A:$A, 'source merged_div_data'!F:F) &lt; 1073741824,
      ROUND(XLOOKUP(TEXTJOIN("/", TRUE, $A295:$B295), 'source merged_div_data'!$A:$A, 'source merged_div_data'!F:F)/1048576, 2) &amp; " MB",
    TRUE,
      ROUND(XLOOKUP(TEXTJOIN("/", TRUE, $A295:$B295), 'source merged_div_data'!$A:$A, 'source merged_div_data'!F:F)/1073741824, 2) &amp; " GB"
  ),
  "×"
)</f>
        <v>0 B</v>
      </c>
      <c r="G295" s="55" t="s">
        <v>1053</v>
      </c>
      <c r="H295" s="55"/>
      <c r="I295" s="55"/>
      <c r="J295" s="55" t="s">
        <v>323</v>
      </c>
      <c r="K295" s="55" t="s">
        <v>1053</v>
      </c>
      <c r="L295" s="55" t="s">
        <v>1547</v>
      </c>
      <c r="M295" s="55" t="s">
        <v>1053</v>
      </c>
      <c r="N295" s="52"/>
      <c r="O295" s="55"/>
      <c r="P295" s="37" t="str">
        <f>IFERROR(__xludf.DUMMYFUNCTION("XLOOKUP(JOIN(""/"",$A295:$B295),'source isilon_divまとめ'!$A:$A,'source isilon_divまとめ'!$D:$D,XLOOKUP(JOIN(""\"",$A295:$B295),'source NetApp-file-sv01-div'!A:A,TEXT('source NetApp-file-sv01-div'!C:C,""yyyy/mm/dd"")))"),"#N/A")</f>
        <v>#N/A</v>
      </c>
    </row>
    <row r="296">
      <c r="A296" s="52" t="s">
        <v>323</v>
      </c>
      <c r="B296" s="52" t="s">
        <v>324</v>
      </c>
      <c r="C296" s="46" t="s">
        <v>986</v>
      </c>
      <c r="D296" s="53">
        <f>IFERROR(__xludf.DUMMYFUNCTION("XLOOKUP(JOIN(""/"",$A296:$B296),'source merged_div_data'!$A:$A,'source merged_div_data'!B:B)"),20.0)</f>
        <v>20</v>
      </c>
      <c r="E296" s="53">
        <f>IFERROR(__xludf.DUMMYFUNCTION("XLOOKUP(JOIN(""/"",$A296:$B296),'source merged_div_data'!$A:$A,'source merged_div_data'!C:C)"),0.0)</f>
        <v>0</v>
      </c>
      <c r="F296" s="54" t="str">
        <f t="array" ref="F296">IFERROR(
  IFS(
    XLOOKUP(TEXTJOIN("/", TRUE, $A296:$B296), 'source merged_div_data'!$A:$A, 'source merged_div_data'!F:F) &lt; 1024,
      XLOOKUP(TEXTJOIN("/", TRUE, $A296:$B296), 'source merged_div_data'!$A:$A, 'source merged_div_data'!F:F) &amp; " B",
    XLOOKUP(TEXTJOIN("/", TRUE, $A296:$B296), 'source merged_div_data'!$A:$A, 'source merged_div_data'!F:F) &lt; 1048576,
      ROUND(XLOOKUP(TEXTJOIN("/", TRUE, $A296:$B296), 'source merged_div_data'!$A:$A, 'source merged_div_data'!F:F)/1024, 2) &amp; " KB",
    XLOOKUP(TEXTJOIN("/", TRUE, $A296:$B296), 'source merged_div_data'!$A:$A, 'source merged_div_data'!F:F) &lt; 1073741824,
      ROUND(XLOOKUP(TEXTJOIN("/", TRUE, $A296:$B296), 'source merged_div_data'!$A:$A, 'source merged_div_data'!F:F)/1048576, 2) &amp; " MB",
    TRUE,
      ROUND(XLOOKUP(TEXTJOIN("/", TRUE, $A296:$B296), 'source merged_div_data'!$A:$A, 'source merged_div_data'!F:F)/1073741824, 2) &amp; " GB"
  ),
  "×"
)</f>
        <v>640 B</v>
      </c>
      <c r="G296" s="55" t="s">
        <v>1053</v>
      </c>
      <c r="H296" s="55"/>
      <c r="I296" s="55"/>
      <c r="J296" s="55" t="s">
        <v>323</v>
      </c>
      <c r="K296" s="55" t="s">
        <v>324</v>
      </c>
      <c r="L296" s="55" t="s">
        <v>1547</v>
      </c>
      <c r="M296" s="55" t="s">
        <v>1053</v>
      </c>
      <c r="N296" s="52"/>
      <c r="O296" s="55"/>
      <c r="P296" s="37" t="str">
        <f>IFERROR(__xludf.DUMMYFUNCTION("XLOOKUP(JOIN(""/"",$A296:$B296),'source isilon_divまとめ'!$A:$A,'source isilon_divまとめ'!$D:$D,XLOOKUP(JOIN(""\"",$A296:$B296),'source NetApp-file-sv01-div'!A:A,TEXT('source NetApp-file-sv01-div'!C:C,""yyyy/mm/dd"")))"),"#N/A")</f>
        <v>#N/A</v>
      </c>
    </row>
    <row r="297">
      <c r="A297" s="52" t="s">
        <v>644</v>
      </c>
      <c r="B297" s="52" t="s">
        <v>1269</v>
      </c>
      <c r="C297" s="46" t="s">
        <v>986</v>
      </c>
      <c r="D297" s="53">
        <f>IFERROR(__xludf.DUMMYFUNCTION("XLOOKUP(JOIN(""/"",$A297:$B297),'source merged_div_data'!$A:$A,'source merged_div_data'!B:B)"),2.0)</f>
        <v>2</v>
      </c>
      <c r="E297" s="53">
        <f>IFERROR(__xludf.DUMMYFUNCTION("XLOOKUP(JOIN(""/"",$A297:$B297),'source merged_div_data'!$A:$A,'source merged_div_data'!C:C)"),0.0)</f>
        <v>0</v>
      </c>
      <c r="F297" s="54" t="str">
        <f t="array" ref="F297">IFERROR(
  IFS(
    XLOOKUP(TEXTJOIN("/", TRUE, $A297:$B297), 'source merged_div_data'!$A:$A, 'source merged_div_data'!F:F) &lt; 1024,
      XLOOKUP(TEXTJOIN("/", TRUE, $A297:$B297), 'source merged_div_data'!$A:$A, 'source merged_div_data'!F:F) &amp; " B",
    XLOOKUP(TEXTJOIN("/", TRUE, $A297:$B297), 'source merged_div_data'!$A:$A, 'source merged_div_data'!F:F) &lt; 1048576,
      ROUND(XLOOKUP(TEXTJOIN("/", TRUE, $A297:$B297), 'source merged_div_data'!$A:$A, 'source merged_div_data'!F:F)/1024, 2) &amp; " KB",
    XLOOKUP(TEXTJOIN("/", TRUE, $A297:$B297), 'source merged_div_data'!$A:$A, 'source merged_div_data'!F:F) &lt; 1073741824,
      ROUND(XLOOKUP(TEXTJOIN("/", TRUE, $A297:$B297), 'source merged_div_data'!$A:$A, 'source merged_div_data'!F:F)/1048576, 2) &amp; " MB",
    TRUE,
      ROUND(XLOOKUP(TEXTJOIN("/", TRUE, $A297:$B297), 'source merged_div_data'!$A:$A, 'source merged_div_data'!F:F)/1073741824, 2) &amp; " GB"
  ),
  "×"
)</f>
        <v>36 B</v>
      </c>
      <c r="G297" s="55" t="s">
        <v>1053</v>
      </c>
      <c r="H297" s="55"/>
      <c r="I297" s="55"/>
      <c r="J297" s="46" t="s">
        <v>1433</v>
      </c>
      <c r="K297" s="55" t="s">
        <v>136</v>
      </c>
      <c r="L297" s="46" t="s">
        <v>2129</v>
      </c>
      <c r="M297" s="55" t="s">
        <v>1053</v>
      </c>
      <c r="N297" s="52"/>
      <c r="O297" s="55"/>
      <c r="P297" s="37" t="str">
        <f>IFERROR(__xludf.DUMMYFUNCTION("XLOOKUP(JOIN(""/"",$A297:$B297),'source isilon_divまとめ'!$A:$A,'source isilon_divまとめ'!$D:$D,XLOOKUP(JOIN(""\"",$A297:$B297),'source NetApp-file-sv01-div'!A:A,TEXT('source NetApp-file-sv01-div'!C:C,""yyyy/mm/dd"")))"),"#N/A")</f>
        <v>#N/A</v>
      </c>
    </row>
    <row r="298">
      <c r="A298" s="52" t="s">
        <v>644</v>
      </c>
      <c r="B298" s="52" t="s">
        <v>1270</v>
      </c>
      <c r="C298" s="46" t="s">
        <v>986</v>
      </c>
      <c r="D298" s="53">
        <f>IFERROR(__xludf.DUMMYFUNCTION("XLOOKUP(JOIN(""/"",$A298:$B298),'source merged_div_data'!$A:$A,'source merged_div_data'!B:B)"),2.0)</f>
        <v>2</v>
      </c>
      <c r="E298" s="53">
        <f>IFERROR(__xludf.DUMMYFUNCTION("XLOOKUP(JOIN(""/"",$A298:$B298),'source merged_div_data'!$A:$A,'source merged_div_data'!C:C)"),0.0)</f>
        <v>0</v>
      </c>
      <c r="F298" s="54" t="str">
        <f t="array" ref="F298">IFERROR(
  IFS(
    XLOOKUP(TEXTJOIN("/", TRUE, $A298:$B298), 'source merged_div_data'!$A:$A, 'source merged_div_data'!F:F) &lt; 1024,
      XLOOKUP(TEXTJOIN("/", TRUE, $A298:$B298), 'source merged_div_data'!$A:$A, 'source merged_div_data'!F:F) &amp; " B",
    XLOOKUP(TEXTJOIN("/", TRUE, $A298:$B298), 'source merged_div_data'!$A:$A, 'source merged_div_data'!F:F) &lt; 1048576,
      ROUND(XLOOKUP(TEXTJOIN("/", TRUE, $A298:$B298), 'source merged_div_data'!$A:$A, 'source merged_div_data'!F:F)/1024, 2) &amp; " KB",
    XLOOKUP(TEXTJOIN("/", TRUE, $A298:$B298), 'source merged_div_data'!$A:$A, 'source merged_div_data'!F:F) &lt; 1073741824,
      ROUND(XLOOKUP(TEXTJOIN("/", TRUE, $A298:$B298), 'source merged_div_data'!$A:$A, 'source merged_div_data'!F:F)/1048576, 2) &amp; " MB",
    TRUE,
      ROUND(XLOOKUP(TEXTJOIN("/", TRUE, $A298:$B298), 'source merged_div_data'!$A:$A, 'source merged_div_data'!F:F)/1073741824, 2) &amp; " GB"
  ),
  "×"
)</f>
        <v>36 B</v>
      </c>
      <c r="G298" s="55" t="s">
        <v>1053</v>
      </c>
      <c r="H298" s="55"/>
      <c r="I298" s="55"/>
      <c r="J298" s="46" t="s">
        <v>1433</v>
      </c>
      <c r="K298" s="55" t="s">
        <v>136</v>
      </c>
      <c r="L298" s="46" t="s">
        <v>2129</v>
      </c>
      <c r="M298" s="55" t="s">
        <v>1053</v>
      </c>
      <c r="N298" s="52"/>
      <c r="O298" s="55"/>
      <c r="P298" s="37" t="str">
        <f>IFERROR(__xludf.DUMMYFUNCTION("XLOOKUP(JOIN(""/"",$A298:$B298),'source isilon_divまとめ'!$A:$A,'source isilon_divまとめ'!$D:$D,XLOOKUP(JOIN(""\"",$A298:$B298),'source NetApp-file-sv01-div'!A:A,TEXT('source NetApp-file-sv01-div'!C:C,""yyyy/mm/dd"")))"),"#N/A")</f>
        <v>#N/A</v>
      </c>
    </row>
    <row r="299">
      <c r="A299" s="52" t="s">
        <v>644</v>
      </c>
      <c r="B299" s="52" t="s">
        <v>1271</v>
      </c>
      <c r="C299" s="46" t="s">
        <v>986</v>
      </c>
      <c r="D299" s="53">
        <f>IFERROR(__xludf.DUMMYFUNCTION("XLOOKUP(JOIN(""/"",$A299:$B299),'source merged_div_data'!$A:$A,'source merged_div_data'!B:B)"),2.0)</f>
        <v>2</v>
      </c>
      <c r="E299" s="53">
        <f>IFERROR(__xludf.DUMMYFUNCTION("XLOOKUP(JOIN(""/"",$A299:$B299),'source merged_div_data'!$A:$A,'source merged_div_data'!C:C)"),0.0)</f>
        <v>0</v>
      </c>
      <c r="F299" s="54" t="str">
        <f t="array" ref="F299">IFERROR(
  IFS(
    XLOOKUP(TEXTJOIN("/", TRUE, $A299:$B299), 'source merged_div_data'!$A:$A, 'source merged_div_data'!F:F) &lt; 1024,
      XLOOKUP(TEXTJOIN("/", TRUE, $A299:$B299), 'source merged_div_data'!$A:$A, 'source merged_div_data'!F:F) &amp; " B",
    XLOOKUP(TEXTJOIN("/", TRUE, $A299:$B299), 'source merged_div_data'!$A:$A, 'source merged_div_data'!F:F) &lt; 1048576,
      ROUND(XLOOKUP(TEXTJOIN("/", TRUE, $A299:$B299), 'source merged_div_data'!$A:$A, 'source merged_div_data'!F:F)/1024, 2) &amp; " KB",
    XLOOKUP(TEXTJOIN("/", TRUE, $A299:$B299), 'source merged_div_data'!$A:$A, 'source merged_div_data'!F:F) &lt; 1073741824,
      ROUND(XLOOKUP(TEXTJOIN("/", TRUE, $A299:$B299), 'source merged_div_data'!$A:$A, 'source merged_div_data'!F:F)/1048576, 2) &amp; " MB",
    TRUE,
      ROUND(XLOOKUP(TEXTJOIN("/", TRUE, $A299:$B299), 'source merged_div_data'!$A:$A, 'source merged_div_data'!F:F)/1073741824, 2) &amp; " GB"
  ),
  "×"
)</f>
        <v>36 B</v>
      </c>
      <c r="G299" s="55" t="s">
        <v>1053</v>
      </c>
      <c r="H299" s="55"/>
      <c r="I299" s="55"/>
      <c r="J299" s="46" t="s">
        <v>1433</v>
      </c>
      <c r="K299" s="55" t="s">
        <v>136</v>
      </c>
      <c r="L299" s="46" t="s">
        <v>2129</v>
      </c>
      <c r="M299" s="55" t="s">
        <v>1053</v>
      </c>
      <c r="N299" s="52"/>
      <c r="O299" s="55"/>
      <c r="P299" s="37" t="str">
        <f>IFERROR(__xludf.DUMMYFUNCTION("XLOOKUP(JOIN(""/"",$A299:$B299),'source isilon_divまとめ'!$A:$A,'source isilon_divまとめ'!$D:$D,XLOOKUP(JOIN(""\"",$A299:$B299),'source NetApp-file-sv01-div'!A:A,TEXT('source NetApp-file-sv01-div'!C:C,""yyyy/mm/dd"")))"),"#N/A")</f>
        <v>#N/A</v>
      </c>
    </row>
    <row r="300">
      <c r="A300" s="52" t="s">
        <v>644</v>
      </c>
      <c r="B300" s="52" t="s">
        <v>1104</v>
      </c>
      <c r="C300" s="46" t="s">
        <v>986</v>
      </c>
      <c r="D300" s="53">
        <f>IFERROR(__xludf.DUMMYFUNCTION("XLOOKUP(JOIN(""/"",$A300:$B300),'source merged_div_data'!$A:$A,'source merged_div_data'!B:B)"),1.0)</f>
        <v>1</v>
      </c>
      <c r="E300" s="53">
        <f>IFERROR(__xludf.DUMMYFUNCTION("XLOOKUP(JOIN(""/"",$A300:$B300),'source merged_div_data'!$A:$A,'source merged_div_data'!C:C)"),0.0)</f>
        <v>0</v>
      </c>
      <c r="F300" s="54" t="str">
        <f t="array" ref="F300">IFERROR(
  IFS(
    XLOOKUP(TEXTJOIN("/", TRUE, $A300:$B300), 'source merged_div_data'!$A:$A, 'source merged_div_data'!F:F) &lt; 1024,
      XLOOKUP(TEXTJOIN("/", TRUE, $A300:$B300), 'source merged_div_data'!$A:$A, 'source merged_div_data'!F:F) &amp; " B",
    XLOOKUP(TEXTJOIN("/", TRUE, $A300:$B300), 'source merged_div_data'!$A:$A, 'source merged_div_data'!F:F) &lt; 1048576,
      ROUND(XLOOKUP(TEXTJOIN("/", TRUE, $A300:$B300), 'source merged_div_data'!$A:$A, 'source merged_div_data'!F:F)/1024, 2) &amp; " KB",
    XLOOKUP(TEXTJOIN("/", TRUE, $A300:$B300), 'source merged_div_data'!$A:$A, 'source merged_div_data'!F:F) &lt; 1073741824,
      ROUND(XLOOKUP(TEXTJOIN("/", TRUE, $A300:$B300), 'source merged_div_data'!$A:$A, 'source merged_div_data'!F:F)/1048576, 2) &amp; " MB",
    TRUE,
      ROUND(XLOOKUP(TEXTJOIN("/", TRUE, $A300:$B300), 'source merged_div_data'!$A:$A, 'source merged_div_data'!F:F)/1073741824, 2) &amp; " GB"
  ),
  "×"
)</f>
        <v>0 B</v>
      </c>
      <c r="G300" s="55" t="s">
        <v>1053</v>
      </c>
      <c r="H300" s="55"/>
      <c r="I300" s="55"/>
      <c r="J300" s="46" t="s">
        <v>1433</v>
      </c>
      <c r="K300" s="55" t="s">
        <v>136</v>
      </c>
      <c r="L300" s="46" t="s">
        <v>2129</v>
      </c>
      <c r="M300" s="55" t="s">
        <v>1053</v>
      </c>
      <c r="N300" s="52"/>
      <c r="O300" s="55"/>
      <c r="P300" s="37" t="str">
        <f>IFERROR(__xludf.DUMMYFUNCTION("XLOOKUP(JOIN(""/"",$A300:$B300),'source isilon_divまとめ'!$A:$A,'source isilon_divまとめ'!$D:$D,XLOOKUP(JOIN(""\"",$A300:$B300),'source NetApp-file-sv01-div'!A:A,TEXT('source NetApp-file-sv01-div'!C:C,""yyyy/mm/dd"")))"),"#N/A")</f>
        <v>#N/A</v>
      </c>
    </row>
    <row r="301">
      <c r="A301" s="52" t="s">
        <v>1272</v>
      </c>
      <c r="B301" s="52" t="s">
        <v>1225</v>
      </c>
      <c r="C301" s="46" t="s">
        <v>986</v>
      </c>
      <c r="D301" s="53">
        <f>IFERROR(__xludf.DUMMYFUNCTION("XLOOKUP(JOIN(""/"",$A301:$B301),'source merged_div_data'!$A:$A,'source merged_div_data'!B:B)"),6.0)</f>
        <v>6</v>
      </c>
      <c r="E301" s="53">
        <f>IFERROR(__xludf.DUMMYFUNCTION("XLOOKUP(JOIN(""/"",$A301:$B301),'source merged_div_data'!$A:$A,'source merged_div_data'!C:C)"),0.0)</f>
        <v>0</v>
      </c>
      <c r="F301" s="54" t="str">
        <f t="array" ref="F301">IFERROR(
  IFS(
    XLOOKUP(TEXTJOIN("/", TRUE, $A301:$B301), 'source merged_div_data'!$A:$A, 'source merged_div_data'!F:F) &lt; 1024,
      XLOOKUP(TEXTJOIN("/", TRUE, $A301:$B301), 'source merged_div_data'!$A:$A, 'source merged_div_data'!F:F) &amp; " B",
    XLOOKUP(TEXTJOIN("/", TRUE, $A301:$B301), 'source merged_div_data'!$A:$A, 'source merged_div_data'!F:F) &lt; 1048576,
      ROUND(XLOOKUP(TEXTJOIN("/", TRUE, $A301:$B301), 'source merged_div_data'!$A:$A, 'source merged_div_data'!F:F)/1024, 2) &amp; " KB",
    XLOOKUP(TEXTJOIN("/", TRUE, $A301:$B301), 'source merged_div_data'!$A:$A, 'source merged_div_data'!F:F) &lt; 1073741824,
      ROUND(XLOOKUP(TEXTJOIN("/", TRUE, $A301:$B301), 'source merged_div_data'!$A:$A, 'source merged_div_data'!F:F)/1048576, 2) &amp; " MB",
    TRUE,
      ROUND(XLOOKUP(TEXTJOIN("/", TRUE, $A301:$B301), 'source merged_div_data'!$A:$A, 'source merged_div_data'!F:F)/1073741824, 2) &amp; " GB"
  ),
  "×"
)</f>
        <v>185 B</v>
      </c>
      <c r="G301" s="55" t="s">
        <v>1053</v>
      </c>
      <c r="H301" s="55"/>
      <c r="I301" s="55"/>
      <c r="J301" s="55" t="s">
        <v>38</v>
      </c>
      <c r="K301" s="46" t="s">
        <v>43</v>
      </c>
      <c r="L301" s="55" t="s">
        <v>1053</v>
      </c>
      <c r="M301" s="46" t="s">
        <v>1467</v>
      </c>
      <c r="N301" s="52" t="s">
        <v>1181</v>
      </c>
      <c r="O301" s="46" t="s">
        <v>1188</v>
      </c>
      <c r="P301" s="37" t="str">
        <f>IFERROR(__xludf.DUMMYFUNCTION("XLOOKUP(JOIN(""/"",$A301:$B301),'source isilon_divまとめ'!$A:$A,'source isilon_divまとめ'!$D:$D,XLOOKUP(JOIN(""\"",$A301:$B301),'source NetApp-file-sv01-div'!A:A,TEXT('source NetApp-file-sv01-div'!C:C,""yyyy/mm/dd"")))"),"#N/A")</f>
        <v>#N/A</v>
      </c>
    </row>
    <row r="302">
      <c r="A302" s="52" t="s">
        <v>1272</v>
      </c>
      <c r="B302" s="52" t="s">
        <v>1226</v>
      </c>
      <c r="C302" s="46" t="s">
        <v>986</v>
      </c>
      <c r="D302" s="53">
        <f>IFERROR(__xludf.DUMMYFUNCTION("XLOOKUP(JOIN(""/"",$A302:$B302),'source merged_div_data'!$A:$A,'source merged_div_data'!B:B)"),26.0)</f>
        <v>26</v>
      </c>
      <c r="E302" s="53">
        <f>IFERROR(__xludf.DUMMYFUNCTION("XLOOKUP(JOIN(""/"",$A302:$B302),'source merged_div_data'!$A:$A,'source merged_div_data'!C:C)"),0.0)</f>
        <v>0</v>
      </c>
      <c r="F302" s="54" t="str">
        <f t="array" ref="F302">IFERROR(
  IFS(
    XLOOKUP(TEXTJOIN("/", TRUE, $A302:$B302), 'source merged_div_data'!$A:$A, 'source merged_div_data'!F:F) &lt; 1024,
      XLOOKUP(TEXTJOIN("/", TRUE, $A302:$B302), 'source merged_div_data'!$A:$A, 'source merged_div_data'!F:F) &amp; " B",
    XLOOKUP(TEXTJOIN("/", TRUE, $A302:$B302), 'source merged_div_data'!$A:$A, 'source merged_div_data'!F:F) &lt; 1048576,
      ROUND(XLOOKUP(TEXTJOIN("/", TRUE, $A302:$B302), 'source merged_div_data'!$A:$A, 'source merged_div_data'!F:F)/1024, 2) &amp; " KB",
    XLOOKUP(TEXTJOIN("/", TRUE, $A302:$B302), 'source merged_div_data'!$A:$A, 'source merged_div_data'!F:F) &lt; 1073741824,
      ROUND(XLOOKUP(TEXTJOIN("/", TRUE, $A302:$B302), 'source merged_div_data'!$A:$A, 'source merged_div_data'!F:F)/1048576, 2) &amp; " MB",
    TRUE,
      ROUND(XLOOKUP(TEXTJOIN("/", TRUE, $A302:$B302), 'source merged_div_data'!$A:$A, 'source merged_div_data'!F:F)/1073741824, 2) &amp; " GB"
  ),
  "×"
)</f>
        <v>887 B</v>
      </c>
      <c r="G302" s="55" t="s">
        <v>1053</v>
      </c>
      <c r="H302" s="55"/>
      <c r="I302" s="55"/>
      <c r="J302" s="46" t="s">
        <v>391</v>
      </c>
      <c r="K302" s="55"/>
      <c r="L302" s="46" t="s">
        <v>2116</v>
      </c>
      <c r="M302" s="55" t="s">
        <v>1053</v>
      </c>
      <c r="N302" s="52" t="s">
        <v>1181</v>
      </c>
      <c r="O302" s="46" t="s">
        <v>391</v>
      </c>
      <c r="P302" s="37" t="str">
        <f>IFERROR(__xludf.DUMMYFUNCTION("XLOOKUP(JOIN(""/"",$A302:$B302),'source isilon_divまとめ'!$A:$A,'source isilon_divまとめ'!$D:$D,XLOOKUP(JOIN(""\"",$A302:$B302),'source NetApp-file-sv01-div'!A:A,TEXT('source NetApp-file-sv01-div'!C:C,""yyyy/mm/dd"")))"),"#N/A")</f>
        <v>#N/A</v>
      </c>
    </row>
    <row r="303">
      <c r="A303" s="52" t="s">
        <v>1272</v>
      </c>
      <c r="B303" s="52" t="s">
        <v>859</v>
      </c>
      <c r="C303" s="46" t="s">
        <v>986</v>
      </c>
      <c r="D303" s="53">
        <f>IFERROR(__xludf.DUMMYFUNCTION("XLOOKUP(JOIN(""/"",$A303:$B303),'source merged_div_data'!$A:$A,'source merged_div_data'!B:B)"),4.0)</f>
        <v>4</v>
      </c>
      <c r="E303" s="53">
        <f>IFERROR(__xludf.DUMMYFUNCTION("XLOOKUP(JOIN(""/"",$A303:$B303),'source merged_div_data'!$A:$A,'source merged_div_data'!C:C)"),0.0)</f>
        <v>0</v>
      </c>
      <c r="F303" s="54" t="str">
        <f t="array" ref="F303">IFERROR(
  IFS(
    XLOOKUP(TEXTJOIN("/", TRUE, $A303:$B303), 'source merged_div_data'!$A:$A, 'source merged_div_data'!F:F) &lt; 1024,
      XLOOKUP(TEXTJOIN("/", TRUE, $A303:$B303), 'source merged_div_data'!$A:$A, 'source merged_div_data'!F:F) &amp; " B",
    XLOOKUP(TEXTJOIN("/", TRUE, $A303:$B303), 'source merged_div_data'!$A:$A, 'source merged_div_data'!F:F) &lt; 1048576,
      ROUND(XLOOKUP(TEXTJOIN("/", TRUE, $A303:$B303), 'source merged_div_data'!$A:$A, 'source merged_div_data'!F:F)/1024, 2) &amp; " KB",
    XLOOKUP(TEXTJOIN("/", TRUE, $A303:$B303), 'source merged_div_data'!$A:$A, 'source merged_div_data'!F:F) &lt; 1073741824,
      ROUND(XLOOKUP(TEXTJOIN("/", TRUE, $A303:$B303), 'source merged_div_data'!$A:$A, 'source merged_div_data'!F:F)/1048576, 2) &amp; " MB",
    TRUE,
      ROUND(XLOOKUP(TEXTJOIN("/", TRUE, $A303:$B303), 'source merged_div_data'!$A:$A, 'source merged_div_data'!F:F)/1073741824, 2) &amp; " GB"
  ),
  "×"
)</f>
        <v>100 B</v>
      </c>
      <c r="G303" s="55" t="s">
        <v>1053</v>
      </c>
      <c r="H303" s="55"/>
      <c r="I303" s="55"/>
      <c r="J303" s="55" t="s">
        <v>854</v>
      </c>
      <c r="K303" s="55" t="s">
        <v>859</v>
      </c>
      <c r="L303" s="55" t="s">
        <v>1410</v>
      </c>
      <c r="M303" s="55" t="s">
        <v>2232</v>
      </c>
      <c r="N303" s="52"/>
      <c r="O303" s="55"/>
      <c r="P303" s="37" t="str">
        <f>IFERROR(__xludf.DUMMYFUNCTION("XLOOKUP(JOIN(""/"",$A303:$B303),'source isilon_divまとめ'!$A:$A,'source isilon_divまとめ'!$D:$D,XLOOKUP(JOIN(""\"",$A303:$B303),'source NetApp-file-sv01-div'!A:A,TEXT('source NetApp-file-sv01-div'!C:C,""yyyy/mm/dd"")))"),"#N/A")</f>
        <v>#N/A</v>
      </c>
    </row>
    <row r="304">
      <c r="A304" s="52" t="s">
        <v>1272</v>
      </c>
      <c r="B304" s="52" t="s">
        <v>1186</v>
      </c>
      <c r="C304" s="46" t="s">
        <v>986</v>
      </c>
      <c r="D304" s="53">
        <f>IFERROR(__xludf.DUMMYFUNCTION("XLOOKUP(JOIN(""/"",$A304:$B304),'source merged_div_data'!$A:$A,'source merged_div_data'!B:B)"),12.0)</f>
        <v>12</v>
      </c>
      <c r="E304" s="53">
        <f>IFERROR(__xludf.DUMMYFUNCTION("XLOOKUP(JOIN(""/"",$A304:$B304),'source merged_div_data'!$A:$A,'source merged_div_data'!C:C)"),0.0)</f>
        <v>0</v>
      </c>
      <c r="F304" s="54" t="str">
        <f t="array" ref="F304">IFERROR(
  IFS(
    XLOOKUP(TEXTJOIN("/", TRUE, $A304:$B304), 'source merged_div_data'!$A:$A, 'source merged_div_data'!F:F) &lt; 1024,
      XLOOKUP(TEXTJOIN("/", TRUE, $A304:$B304), 'source merged_div_data'!$A:$A, 'source merged_div_data'!F:F) &amp; " B",
    XLOOKUP(TEXTJOIN("/", TRUE, $A304:$B304), 'source merged_div_data'!$A:$A, 'source merged_div_data'!F:F) &lt; 1048576,
      ROUND(XLOOKUP(TEXTJOIN("/", TRUE, $A304:$B304), 'source merged_div_data'!$A:$A, 'source merged_div_data'!F:F)/1024, 2) &amp; " KB",
    XLOOKUP(TEXTJOIN("/", TRUE, $A304:$B304), 'source merged_div_data'!$A:$A, 'source merged_div_data'!F:F) &lt; 1073741824,
      ROUND(XLOOKUP(TEXTJOIN("/", TRUE, $A304:$B304), 'source merged_div_data'!$A:$A, 'source merged_div_data'!F:F)/1048576, 2) &amp; " MB",
    TRUE,
      ROUND(XLOOKUP(TEXTJOIN("/", TRUE, $A304:$B304), 'source merged_div_data'!$A:$A, 'source merged_div_data'!F:F)/1073741824, 2) &amp; " GB"
  ),
  "×"
)</f>
        <v>406 B</v>
      </c>
      <c r="G304" s="55" t="s">
        <v>1053</v>
      </c>
      <c r="H304" s="55"/>
      <c r="I304" s="55"/>
      <c r="J304" s="46" t="s">
        <v>854</v>
      </c>
      <c r="K304" s="55"/>
      <c r="L304" s="46" t="s">
        <v>1410</v>
      </c>
      <c r="M304" s="55" t="s">
        <v>1053</v>
      </c>
      <c r="N304" s="46" t="s">
        <v>1052</v>
      </c>
      <c r="O304" s="46" t="s">
        <v>1182</v>
      </c>
      <c r="P304" s="37" t="str">
        <f>IFERROR(__xludf.DUMMYFUNCTION("XLOOKUP(JOIN(""/"",$A304:$B304),'source isilon_divまとめ'!$A:$A,'source isilon_divまとめ'!$D:$D,XLOOKUP(JOIN(""\"",$A304:$B304),'source NetApp-file-sv01-div'!A:A,TEXT('source NetApp-file-sv01-div'!C:C,""yyyy/mm/dd"")))"),"#N/A")</f>
        <v>#N/A</v>
      </c>
    </row>
    <row r="305">
      <c r="A305" s="52" t="s">
        <v>1272</v>
      </c>
      <c r="B305" s="52" t="s">
        <v>857</v>
      </c>
      <c r="C305" s="46" t="s">
        <v>986</v>
      </c>
      <c r="D305" s="53">
        <f>IFERROR(__xludf.DUMMYFUNCTION("XLOOKUP(JOIN(""/"",$A305:$B305),'source merged_div_data'!$A:$A,'source merged_div_data'!B:B)"),8.0)</f>
        <v>8</v>
      </c>
      <c r="E305" s="53">
        <f>IFERROR(__xludf.DUMMYFUNCTION("XLOOKUP(JOIN(""/"",$A305:$B305),'source merged_div_data'!$A:$A,'source merged_div_data'!C:C)"),0.0)</f>
        <v>0</v>
      </c>
      <c r="F305" s="54" t="str">
        <f t="array" ref="F305">IFERROR(
  IFS(
    XLOOKUP(TEXTJOIN("/", TRUE, $A305:$B305), 'source merged_div_data'!$A:$A, 'source merged_div_data'!F:F) &lt; 1024,
      XLOOKUP(TEXTJOIN("/", TRUE, $A305:$B305), 'source merged_div_data'!$A:$A, 'source merged_div_data'!F:F) &amp; " B",
    XLOOKUP(TEXTJOIN("/", TRUE, $A305:$B305), 'source merged_div_data'!$A:$A, 'source merged_div_data'!F:F) &lt; 1048576,
      ROUND(XLOOKUP(TEXTJOIN("/", TRUE, $A305:$B305), 'source merged_div_data'!$A:$A, 'source merged_div_data'!F:F)/1024, 2) &amp; " KB",
    XLOOKUP(TEXTJOIN("/", TRUE, $A305:$B305), 'source merged_div_data'!$A:$A, 'source merged_div_data'!F:F) &lt; 1073741824,
      ROUND(XLOOKUP(TEXTJOIN("/", TRUE, $A305:$B305), 'source merged_div_data'!$A:$A, 'source merged_div_data'!F:F)/1048576, 2) &amp; " MB",
    TRUE,
      ROUND(XLOOKUP(TEXTJOIN("/", TRUE, $A305:$B305), 'source merged_div_data'!$A:$A, 'source merged_div_data'!F:F)/1073741824, 2) &amp; " GB"
  ),
  "×"
)</f>
        <v>235 B</v>
      </c>
      <c r="G305" s="55" t="s">
        <v>1053</v>
      </c>
      <c r="H305" s="55"/>
      <c r="I305" s="55"/>
      <c r="J305" s="55" t="s">
        <v>854</v>
      </c>
      <c r="K305" s="55" t="s">
        <v>857</v>
      </c>
      <c r="L305" s="55" t="s">
        <v>1410</v>
      </c>
      <c r="M305" s="55" t="s">
        <v>1053</v>
      </c>
      <c r="N305" s="52"/>
      <c r="O305" s="55"/>
      <c r="P305" s="37" t="str">
        <f>IFERROR(__xludf.DUMMYFUNCTION("XLOOKUP(JOIN(""/"",$A305:$B305),'source isilon_divまとめ'!$A:$A,'source isilon_divまとめ'!$D:$D,XLOOKUP(JOIN(""\"",$A305:$B305),'source NetApp-file-sv01-div'!A:A,TEXT('source NetApp-file-sv01-div'!C:C,""yyyy/mm/dd"")))"),"#N/A")</f>
        <v>#N/A</v>
      </c>
    </row>
    <row r="306">
      <c r="A306" s="8" t="s">
        <v>1272</v>
      </c>
      <c r="B306" s="8" t="s">
        <v>286</v>
      </c>
      <c r="C306" s="7" t="s">
        <v>987</v>
      </c>
      <c r="D306" s="56">
        <f>IFERROR(__xludf.DUMMYFUNCTION("XLOOKUP(JOIN(""/"",$A306:$B306),'source merged_div_data'!$A:$A,'source merged_div_data'!B:B)"),299.0)</f>
        <v>299</v>
      </c>
      <c r="E306" s="56">
        <f>IFERROR(__xludf.DUMMYFUNCTION("XLOOKUP(JOIN(""/"",$A306:$B306),'source merged_div_data'!$A:$A,'source merged_div_data'!C:C)"),15808.0)</f>
        <v>15808</v>
      </c>
      <c r="F306" s="54" t="str">
        <f t="array" ref="F306">IFERROR(
  IFS(
    XLOOKUP(TEXTJOIN("/", TRUE, $A306:$B306), 'source merged_div_data'!$A:$A, 'source merged_div_data'!F:F) &lt; 1024,
      XLOOKUP(TEXTJOIN("/", TRUE, $A306:$B306), 'source merged_div_data'!$A:$A, 'source merged_div_data'!F:F) &amp; " B",
    XLOOKUP(TEXTJOIN("/", TRUE, $A306:$B306), 'source merged_div_data'!$A:$A, 'source merged_div_data'!F:F) &lt; 1048576,
      ROUND(XLOOKUP(TEXTJOIN("/", TRUE, $A306:$B306), 'source merged_div_data'!$A:$A, 'source merged_div_data'!F:F)/1024, 2) &amp; " KB",
    XLOOKUP(TEXTJOIN("/", TRUE, $A306:$B306), 'source merged_div_data'!$A:$A, 'source merged_div_data'!F:F) &lt; 1073741824,
      ROUND(XLOOKUP(TEXTJOIN("/", TRUE, $A306:$B306), 'source merged_div_data'!$A:$A, 'source merged_div_data'!F:F)/1048576, 2) &amp; " MB",
    TRUE,
      ROUND(XLOOKUP(TEXTJOIN("/", TRUE, $A306:$B306), 'source merged_div_data'!$A:$A, 'source merged_div_data'!F:F)/1073741824, 2) &amp; " GB"
  ),
  "×"
)</f>
        <v>54.96 GB</v>
      </c>
      <c r="G306" s="57" t="s">
        <v>2304</v>
      </c>
      <c r="H306" s="58" t="s">
        <v>2177</v>
      </c>
      <c r="I306" s="57"/>
      <c r="J306" s="7" t="s">
        <v>854</v>
      </c>
      <c r="K306" s="37" t="s">
        <v>286</v>
      </c>
      <c r="L306" s="37" t="s">
        <v>1053</v>
      </c>
      <c r="M306" s="7" t="s">
        <v>1498</v>
      </c>
      <c r="N306" s="8"/>
      <c r="P306" s="57" t="str">
        <f>IFERROR(__xludf.DUMMYFUNCTION("XLOOKUP(JOIN(""/"",$A306:$B306),'source isilon_divまとめ'!$A:$A,'source isilon_divまとめ'!$D:$D,XLOOKUP(JOIN(""\"",$A306:$B306),'source NetApp-file-sv01-div'!A:A,TEXT('source NetApp-file-sv01-div'!C:C,""yyyy/mm/dd"")))"),"2020/07/16")</f>
        <v>2020/07/16</v>
      </c>
    </row>
    <row r="307">
      <c r="A307" s="52" t="s">
        <v>1272</v>
      </c>
      <c r="B307" s="52" t="s">
        <v>1111</v>
      </c>
      <c r="C307" s="46" t="s">
        <v>988</v>
      </c>
      <c r="D307" s="53">
        <f>IFERROR(__xludf.DUMMYFUNCTION("XLOOKUP(JOIN(""/"",$A307:$B307),'source merged_div_data'!$A:$A,'source merged_div_data'!B:B)"),1.0)</f>
        <v>1</v>
      </c>
      <c r="E307" s="53">
        <f>IFERROR(__xludf.DUMMYFUNCTION("XLOOKUP(JOIN(""/"",$A307:$B307),'source merged_div_data'!$A:$A,'source merged_div_data'!C:C)"),0.0)</f>
        <v>0</v>
      </c>
      <c r="F307" s="54" t="str">
        <f t="array" ref="F307">IFERROR(
  IFS(
    XLOOKUP(TEXTJOIN("/", TRUE, $A307:$B307), 'source merged_div_data'!$A:$A, 'source merged_div_data'!F:F) &lt; 1024,
      XLOOKUP(TEXTJOIN("/", TRUE, $A307:$B307), 'source merged_div_data'!$A:$A, 'source merged_div_data'!F:F) &amp; " B",
    XLOOKUP(TEXTJOIN("/", TRUE, $A307:$B307), 'source merged_div_data'!$A:$A, 'source merged_div_data'!F:F) &lt; 1048576,
      ROUND(XLOOKUP(TEXTJOIN("/", TRUE, $A307:$B307), 'source merged_div_data'!$A:$A, 'source merged_div_data'!F:F)/1024, 2) &amp; " KB",
    XLOOKUP(TEXTJOIN("/", TRUE, $A307:$B307), 'source merged_div_data'!$A:$A, 'source merged_div_data'!F:F) &lt; 1073741824,
      ROUND(XLOOKUP(TEXTJOIN("/", TRUE, $A307:$B307), 'source merged_div_data'!$A:$A, 'source merged_div_data'!F:F)/1048576, 2) &amp; " MB",
    TRUE,
      ROUND(XLOOKUP(TEXTJOIN("/", TRUE, $A307:$B307), 'source merged_div_data'!$A:$A, 'source merged_div_data'!F:F)/1073741824, 2) &amp; " GB"
  ),
  "×"
)</f>
        <v>0 B</v>
      </c>
      <c r="G307" s="55" t="s">
        <v>1053</v>
      </c>
      <c r="H307" s="55"/>
      <c r="I307" s="55"/>
      <c r="J307" s="46" t="s">
        <v>1105</v>
      </c>
      <c r="K307" s="55"/>
      <c r="L307" s="55" t="s">
        <v>1053</v>
      </c>
      <c r="M307" s="55" t="s">
        <v>1053</v>
      </c>
      <c r="N307" s="52" t="s">
        <v>1181</v>
      </c>
      <c r="O307" s="46" t="s">
        <v>1105</v>
      </c>
      <c r="P307" s="37" t="str">
        <f>IFERROR(__xludf.DUMMYFUNCTION("XLOOKUP(JOIN(""/"",$A307:$B307),'source isilon_divまとめ'!$A:$A,'source isilon_divまとめ'!$D:$D,XLOOKUP(JOIN(""\"",$A307:$B307),'source NetApp-file-sv01-div'!A:A,TEXT('source NetApp-file-sv01-div'!C:C,""yyyy/mm/dd"")))"),"#N/A")</f>
        <v>#N/A</v>
      </c>
    </row>
    <row r="308">
      <c r="A308" s="52" t="s">
        <v>1273</v>
      </c>
      <c r="B308" s="52" t="s">
        <v>1119</v>
      </c>
      <c r="C308" s="46" t="s">
        <v>986</v>
      </c>
      <c r="D308" s="53">
        <f>IFERROR(__xludf.DUMMYFUNCTION("XLOOKUP(JOIN(""/"",$A308:$B308),'source merged_div_data'!$A:$A,'source merged_div_data'!B:B)"),22.0)</f>
        <v>22</v>
      </c>
      <c r="E308" s="53">
        <f>IFERROR(__xludf.DUMMYFUNCTION("XLOOKUP(JOIN(""/"",$A308:$B308),'source merged_div_data'!$A:$A,'source merged_div_data'!C:C)"),0.0)</f>
        <v>0</v>
      </c>
      <c r="F308" s="54" t="str">
        <f t="array" ref="F308">IFERROR(
  IFS(
    XLOOKUP(TEXTJOIN("/", TRUE, $A308:$B308), 'source merged_div_data'!$A:$A, 'source merged_div_data'!F:F) &lt; 1024,
      XLOOKUP(TEXTJOIN("/", TRUE, $A308:$B308), 'source merged_div_data'!$A:$A, 'source merged_div_data'!F:F) &amp; " B",
    XLOOKUP(TEXTJOIN("/", TRUE, $A308:$B308), 'source merged_div_data'!$A:$A, 'source merged_div_data'!F:F) &lt; 1048576,
      ROUND(XLOOKUP(TEXTJOIN("/", TRUE, $A308:$B308), 'source merged_div_data'!$A:$A, 'source merged_div_data'!F:F)/1024, 2) &amp; " KB",
    XLOOKUP(TEXTJOIN("/", TRUE, $A308:$B308), 'source merged_div_data'!$A:$A, 'source merged_div_data'!F:F) &lt; 1073741824,
      ROUND(XLOOKUP(TEXTJOIN("/", TRUE, $A308:$B308), 'source merged_div_data'!$A:$A, 'source merged_div_data'!F:F)/1048576, 2) &amp; " MB",
    TRUE,
      ROUND(XLOOKUP(TEXTJOIN("/", TRUE, $A308:$B308), 'source merged_div_data'!$A:$A, 'source merged_div_data'!F:F)/1073741824, 2) &amp; " GB"
  ),
  "×"
)</f>
        <v>830 B</v>
      </c>
      <c r="G308" s="55" t="s">
        <v>1053</v>
      </c>
      <c r="H308" s="55"/>
      <c r="I308" s="55"/>
      <c r="J308" s="46" t="s">
        <v>854</v>
      </c>
      <c r="K308" s="55"/>
      <c r="L308" s="46" t="s">
        <v>1410</v>
      </c>
      <c r="M308" s="55" t="s">
        <v>1053</v>
      </c>
      <c r="N308" s="46" t="s">
        <v>1052</v>
      </c>
      <c r="O308" s="46" t="s">
        <v>1182</v>
      </c>
      <c r="P308" s="37" t="str">
        <f>IFERROR(__xludf.DUMMYFUNCTION("XLOOKUP(JOIN(""/"",$A308:$B308),'source isilon_divまとめ'!$A:$A,'source isilon_divまとめ'!$D:$D,XLOOKUP(JOIN(""\"",$A308:$B308),'source NetApp-file-sv01-div'!A:A,TEXT('source NetApp-file-sv01-div'!C:C,""yyyy/mm/dd"")))"),"#N/A")</f>
        <v>#N/A</v>
      </c>
    </row>
    <row r="309">
      <c r="A309" s="52" t="s">
        <v>1273</v>
      </c>
      <c r="B309" s="52" t="s">
        <v>1120</v>
      </c>
      <c r="C309" s="46" t="s">
        <v>986</v>
      </c>
      <c r="D309" s="53">
        <f>IFERROR(__xludf.DUMMYFUNCTION("XLOOKUP(JOIN(""/"",$A309:$B309),'source merged_div_data'!$A:$A,'source merged_div_data'!B:B)"),4.0)</f>
        <v>4</v>
      </c>
      <c r="E309" s="53">
        <f>IFERROR(__xludf.DUMMYFUNCTION("XLOOKUP(JOIN(""/"",$A309:$B309),'source merged_div_data'!$A:$A,'source merged_div_data'!C:C)"),0.0)</f>
        <v>0</v>
      </c>
      <c r="F309" s="54" t="str">
        <f t="array" ref="F309">IFERROR(
  IFS(
    XLOOKUP(TEXTJOIN("/", TRUE, $A309:$B309), 'source merged_div_data'!$A:$A, 'source merged_div_data'!F:F) &lt; 1024,
      XLOOKUP(TEXTJOIN("/", TRUE, $A309:$B309), 'source merged_div_data'!$A:$A, 'source merged_div_data'!F:F) &amp; " B",
    XLOOKUP(TEXTJOIN("/", TRUE, $A309:$B309), 'source merged_div_data'!$A:$A, 'source merged_div_data'!F:F) &lt; 1048576,
      ROUND(XLOOKUP(TEXTJOIN("/", TRUE, $A309:$B309), 'source merged_div_data'!$A:$A, 'source merged_div_data'!F:F)/1024, 2) &amp; " KB",
    XLOOKUP(TEXTJOIN("/", TRUE, $A309:$B309), 'source merged_div_data'!$A:$A, 'source merged_div_data'!F:F) &lt; 1073741824,
      ROUND(XLOOKUP(TEXTJOIN("/", TRUE, $A309:$B309), 'source merged_div_data'!$A:$A, 'source merged_div_data'!F:F)/1048576, 2) &amp; " MB",
    TRUE,
      ROUND(XLOOKUP(TEXTJOIN("/", TRUE, $A309:$B309), 'source merged_div_data'!$A:$A, 'source merged_div_data'!F:F)/1073741824, 2) &amp; " GB"
  ),
  "×"
)</f>
        <v>103 B</v>
      </c>
      <c r="G309" s="55" t="s">
        <v>1053</v>
      </c>
      <c r="H309" s="55"/>
      <c r="I309" s="55"/>
      <c r="J309" s="46" t="s">
        <v>854</v>
      </c>
      <c r="K309" s="55"/>
      <c r="L309" s="46" t="s">
        <v>1410</v>
      </c>
      <c r="M309" s="55" t="s">
        <v>1053</v>
      </c>
      <c r="N309" s="52" t="s">
        <v>1102</v>
      </c>
      <c r="O309" s="46" t="s">
        <v>1182</v>
      </c>
      <c r="P309" s="37" t="str">
        <f>IFERROR(__xludf.DUMMYFUNCTION("XLOOKUP(JOIN(""/"",$A309:$B309),'source isilon_divまとめ'!$A:$A,'source isilon_divまとめ'!$D:$D,XLOOKUP(JOIN(""\"",$A309:$B309),'source NetApp-file-sv01-div'!A:A,TEXT('source NetApp-file-sv01-div'!C:C,""yyyy/mm/dd"")))"),"#N/A")</f>
        <v>#N/A</v>
      </c>
    </row>
    <row r="310">
      <c r="A310" s="52" t="s">
        <v>1273</v>
      </c>
      <c r="B310" s="52" t="s">
        <v>143</v>
      </c>
      <c r="C310" s="46" t="s">
        <v>986</v>
      </c>
      <c r="D310" s="53">
        <f>IFERROR(__xludf.DUMMYFUNCTION("XLOOKUP(JOIN(""/"",$A310:$B310),'source merged_div_data'!$A:$A,'source merged_div_data'!B:B)"),32.0)</f>
        <v>32</v>
      </c>
      <c r="E310" s="53">
        <f>IFERROR(__xludf.DUMMYFUNCTION("XLOOKUP(JOIN(""/"",$A310:$B310),'source merged_div_data'!$A:$A,'source merged_div_data'!C:C)"),0.0)</f>
        <v>0</v>
      </c>
      <c r="F310" s="54" t="str">
        <f t="array" ref="F310">IFERROR(
  IFS(
    XLOOKUP(TEXTJOIN("/", TRUE, $A310:$B310), 'source merged_div_data'!$A:$A, 'source merged_div_data'!F:F) &lt; 1024,
      XLOOKUP(TEXTJOIN("/", TRUE, $A310:$B310), 'source merged_div_data'!$A:$A, 'source merged_div_data'!F:F) &amp; " B",
    XLOOKUP(TEXTJOIN("/", TRUE, $A310:$B310), 'source merged_div_data'!$A:$A, 'source merged_div_data'!F:F) &lt; 1048576,
      ROUND(XLOOKUP(TEXTJOIN("/", TRUE, $A310:$B310), 'source merged_div_data'!$A:$A, 'source merged_div_data'!F:F)/1024, 2) &amp; " KB",
    XLOOKUP(TEXTJOIN("/", TRUE, $A310:$B310), 'source merged_div_data'!$A:$A, 'source merged_div_data'!F:F) &lt; 1073741824,
      ROUND(XLOOKUP(TEXTJOIN("/", TRUE, $A310:$B310), 'source merged_div_data'!$A:$A, 'source merged_div_data'!F:F)/1048576, 2) &amp; " MB",
    TRUE,
      ROUND(XLOOKUP(TEXTJOIN("/", TRUE, $A310:$B310), 'source merged_div_data'!$A:$A, 'source merged_div_data'!F:F)/1073741824, 2) &amp; " GB"
  ),
  "×"
)</f>
        <v>1.1 KB</v>
      </c>
      <c r="G310" s="55" t="s">
        <v>1053</v>
      </c>
      <c r="H310" s="55"/>
      <c r="I310" s="55"/>
      <c r="J310" s="55" t="s">
        <v>140</v>
      </c>
      <c r="K310" s="55" t="s">
        <v>143</v>
      </c>
      <c r="L310" s="55" t="s">
        <v>1053</v>
      </c>
      <c r="M310" s="55" t="s">
        <v>2294</v>
      </c>
      <c r="N310" s="52"/>
      <c r="O310" s="55"/>
      <c r="P310" s="37" t="str">
        <f>IFERROR(__xludf.DUMMYFUNCTION("XLOOKUP(JOIN(""/"",$A310:$B310),'source isilon_divまとめ'!$A:$A,'source isilon_divまとめ'!$D:$D,XLOOKUP(JOIN(""\"",$A310:$B310),'source NetApp-file-sv01-div'!A:A,TEXT('source NetApp-file-sv01-div'!C:C,""yyyy/mm/dd"")))"),"#N/A")</f>
        <v>#N/A</v>
      </c>
    </row>
    <row r="311">
      <c r="A311" s="52" t="s">
        <v>1273</v>
      </c>
      <c r="B311" s="52" t="s">
        <v>1148</v>
      </c>
      <c r="C311" s="46" t="s">
        <v>986</v>
      </c>
      <c r="D311" s="53">
        <f>IFERROR(__xludf.DUMMYFUNCTION("XLOOKUP(JOIN(""/"",$A311:$B311),'source merged_div_data'!$A:$A,'source merged_div_data'!B:B)"),9.0)</f>
        <v>9</v>
      </c>
      <c r="E311" s="53">
        <f>IFERROR(__xludf.DUMMYFUNCTION("XLOOKUP(JOIN(""/"",$A311:$B311),'source merged_div_data'!$A:$A,'source merged_div_data'!C:C)"),0.0)</f>
        <v>0</v>
      </c>
      <c r="F311" s="54" t="str">
        <f t="array" ref="F311">IFERROR(
  IFS(
    XLOOKUP(TEXTJOIN("/", TRUE, $A311:$B311), 'source merged_div_data'!$A:$A, 'source merged_div_data'!F:F) &lt; 1024,
      XLOOKUP(TEXTJOIN("/", TRUE, $A311:$B311), 'source merged_div_data'!$A:$A, 'source merged_div_data'!F:F) &amp; " B",
    XLOOKUP(TEXTJOIN("/", TRUE, $A311:$B311), 'source merged_div_data'!$A:$A, 'source merged_div_data'!F:F) &lt; 1048576,
      ROUND(XLOOKUP(TEXTJOIN("/", TRUE, $A311:$B311), 'source merged_div_data'!$A:$A, 'source merged_div_data'!F:F)/1024, 2) &amp; " KB",
    XLOOKUP(TEXTJOIN("/", TRUE, $A311:$B311), 'source merged_div_data'!$A:$A, 'source merged_div_data'!F:F) &lt; 1073741824,
      ROUND(XLOOKUP(TEXTJOIN("/", TRUE, $A311:$B311), 'source merged_div_data'!$A:$A, 'source merged_div_data'!F:F)/1048576, 2) &amp; " MB",
    TRUE,
      ROUND(XLOOKUP(TEXTJOIN("/", TRUE, $A311:$B311), 'source merged_div_data'!$A:$A, 'source merged_div_data'!F:F)/1073741824, 2) &amp; " GB"
  ),
  "×"
)</f>
        <v>259 B</v>
      </c>
      <c r="G311" s="55" t="s">
        <v>1053</v>
      </c>
      <c r="H311" s="55"/>
      <c r="I311" s="55"/>
      <c r="J311" s="46" t="s">
        <v>854</v>
      </c>
      <c r="K311" s="55"/>
      <c r="L311" s="46" t="s">
        <v>1410</v>
      </c>
      <c r="M311" s="55" t="s">
        <v>1053</v>
      </c>
      <c r="N311" s="46" t="s">
        <v>1052</v>
      </c>
      <c r="O311" s="46" t="s">
        <v>1182</v>
      </c>
      <c r="P311" s="37" t="str">
        <f>IFERROR(__xludf.DUMMYFUNCTION("XLOOKUP(JOIN(""/"",$A311:$B311),'source isilon_divまとめ'!$A:$A,'source isilon_divまとめ'!$D:$D,XLOOKUP(JOIN(""\"",$A311:$B311),'source NetApp-file-sv01-div'!A:A,TEXT('source NetApp-file-sv01-div'!C:C,""yyyy/mm/dd"")))"),"#N/A")</f>
        <v>#N/A</v>
      </c>
    </row>
    <row r="312">
      <c r="A312" s="52" t="s">
        <v>1273</v>
      </c>
      <c r="B312" s="52" t="s">
        <v>1183</v>
      </c>
      <c r="C312" s="46" t="s">
        <v>986</v>
      </c>
      <c r="D312" s="53">
        <f>IFERROR(__xludf.DUMMYFUNCTION("XLOOKUP(JOIN(""/"",$A312:$B312),'source merged_div_data'!$A:$A,'source merged_div_data'!B:B)"),19.0)</f>
        <v>19</v>
      </c>
      <c r="E312" s="53">
        <f>IFERROR(__xludf.DUMMYFUNCTION("XLOOKUP(JOIN(""/"",$A312:$B312),'source merged_div_data'!$A:$A,'source merged_div_data'!C:C)"),0.0)</f>
        <v>0</v>
      </c>
      <c r="F312" s="54" t="str">
        <f t="array" ref="F312">IFERROR(
  IFS(
    XLOOKUP(TEXTJOIN("/", TRUE, $A312:$B312), 'source merged_div_data'!$A:$A, 'source merged_div_data'!F:F) &lt; 1024,
      XLOOKUP(TEXTJOIN("/", TRUE, $A312:$B312), 'source merged_div_data'!$A:$A, 'source merged_div_data'!F:F) &amp; " B",
    XLOOKUP(TEXTJOIN("/", TRUE, $A312:$B312), 'source merged_div_data'!$A:$A, 'source merged_div_data'!F:F) &lt; 1048576,
      ROUND(XLOOKUP(TEXTJOIN("/", TRUE, $A312:$B312), 'source merged_div_data'!$A:$A, 'source merged_div_data'!F:F)/1024, 2) &amp; " KB",
    XLOOKUP(TEXTJOIN("/", TRUE, $A312:$B312), 'source merged_div_data'!$A:$A, 'source merged_div_data'!F:F) &lt; 1073741824,
      ROUND(XLOOKUP(TEXTJOIN("/", TRUE, $A312:$B312), 'source merged_div_data'!$A:$A, 'source merged_div_data'!F:F)/1048576, 2) &amp; " MB",
    TRUE,
      ROUND(XLOOKUP(TEXTJOIN("/", TRUE, $A312:$B312), 'source merged_div_data'!$A:$A, 'source merged_div_data'!F:F)/1073741824, 2) &amp; " GB"
  ),
  "×"
)</f>
        <v>513 B</v>
      </c>
      <c r="G312" s="55" t="s">
        <v>1053</v>
      </c>
      <c r="H312" s="55"/>
      <c r="I312" s="55"/>
      <c r="J312" s="46" t="s">
        <v>854</v>
      </c>
      <c r="K312" s="55"/>
      <c r="L312" s="46" t="s">
        <v>1410</v>
      </c>
      <c r="M312" s="55" t="s">
        <v>1053</v>
      </c>
      <c r="N312" s="52" t="s">
        <v>1102</v>
      </c>
      <c r="O312" s="46" t="s">
        <v>1182</v>
      </c>
      <c r="P312" s="37" t="str">
        <f>IFERROR(__xludf.DUMMYFUNCTION("XLOOKUP(JOIN(""/"",$A312:$B312),'source isilon_divまとめ'!$A:$A,'source isilon_divまとめ'!$D:$D,XLOOKUP(JOIN(""\"",$A312:$B312),'source NetApp-file-sv01-div'!A:A,TEXT('source NetApp-file-sv01-div'!C:C,""yyyy/mm/dd"")))"),"#N/A")</f>
        <v>#N/A</v>
      </c>
    </row>
    <row r="313">
      <c r="A313" s="52" t="s">
        <v>1273</v>
      </c>
      <c r="B313" s="52" t="s">
        <v>1274</v>
      </c>
      <c r="C313" s="46" t="s">
        <v>988</v>
      </c>
      <c r="D313" s="53">
        <f>IFERROR(__xludf.DUMMYFUNCTION("XLOOKUP(JOIN(""/"",$A313:$B313),'source merged_div_data'!$A:$A,'source merged_div_data'!B:B)"),26.0)</f>
        <v>26</v>
      </c>
      <c r="E313" s="53">
        <f>IFERROR(__xludf.DUMMYFUNCTION("XLOOKUP(JOIN(""/"",$A313:$B313),'source merged_div_data'!$A:$A,'source merged_div_data'!C:C)"),0.0)</f>
        <v>0</v>
      </c>
      <c r="F313" s="54" t="str">
        <f t="array" ref="F313">IFERROR(
  IFS(
    XLOOKUP(TEXTJOIN("/", TRUE, $A313:$B313), 'source merged_div_data'!$A:$A, 'source merged_div_data'!F:F) &lt; 1024,
      XLOOKUP(TEXTJOIN("/", TRUE, $A313:$B313), 'source merged_div_data'!$A:$A, 'source merged_div_data'!F:F) &amp; " B",
    XLOOKUP(TEXTJOIN("/", TRUE, $A313:$B313), 'source merged_div_data'!$A:$A, 'source merged_div_data'!F:F) &lt; 1048576,
      ROUND(XLOOKUP(TEXTJOIN("/", TRUE, $A313:$B313), 'source merged_div_data'!$A:$A, 'source merged_div_data'!F:F)/1024, 2) &amp; " KB",
    XLOOKUP(TEXTJOIN("/", TRUE, $A313:$B313), 'source merged_div_data'!$A:$A, 'source merged_div_data'!F:F) &lt; 1073741824,
      ROUND(XLOOKUP(TEXTJOIN("/", TRUE, $A313:$B313), 'source merged_div_data'!$A:$A, 'source merged_div_data'!F:F)/1048576, 2) &amp; " MB",
    TRUE,
      ROUND(XLOOKUP(TEXTJOIN("/", TRUE, $A313:$B313), 'source merged_div_data'!$A:$A, 'source merged_div_data'!F:F)/1073741824, 2) &amp; " GB"
  ),
  "×"
)</f>
        <v>813 B</v>
      </c>
      <c r="G313" s="55" t="s">
        <v>1053</v>
      </c>
      <c r="H313" s="55"/>
      <c r="I313" s="55"/>
      <c r="J313" s="46" t="s">
        <v>1275</v>
      </c>
      <c r="K313" s="55"/>
      <c r="L313" s="55" t="s">
        <v>1053</v>
      </c>
      <c r="M313" s="55" t="s">
        <v>1053</v>
      </c>
      <c r="N313" s="52" t="s">
        <v>1102</v>
      </c>
      <c r="O313" s="46" t="s">
        <v>1275</v>
      </c>
      <c r="P313" s="37" t="str">
        <f>IFERROR(__xludf.DUMMYFUNCTION("XLOOKUP(JOIN(""/"",$A313:$B313),'source isilon_divまとめ'!$A:$A,'source isilon_divまとめ'!$D:$D,XLOOKUP(JOIN(""\"",$A313:$B313),'source NetApp-file-sv01-div'!A:A,TEXT('source NetApp-file-sv01-div'!C:C,""yyyy/mm/dd"")))"),"#N/A")</f>
        <v>#N/A</v>
      </c>
    </row>
    <row r="314">
      <c r="A314" s="8" t="s">
        <v>1273</v>
      </c>
      <c r="B314" s="8" t="s">
        <v>1276</v>
      </c>
      <c r="C314" s="7" t="s">
        <v>987</v>
      </c>
      <c r="D314" s="56">
        <f>IFERROR(__xludf.DUMMYFUNCTION("XLOOKUP(JOIN(""/"",$A314:$B314),'source merged_div_data'!$A:$A,'source merged_div_data'!B:B)"),64.0)</f>
        <v>64</v>
      </c>
      <c r="E314" s="56">
        <f>IFERROR(__xludf.DUMMYFUNCTION("XLOOKUP(JOIN(""/"",$A314:$B314),'source merged_div_data'!$A:$A,'source merged_div_data'!C:C)"),124.0)</f>
        <v>124</v>
      </c>
      <c r="F314" s="54" t="str">
        <f t="array" ref="F314">IFERROR(
  IFS(
    XLOOKUP(TEXTJOIN("/", TRUE, $A314:$B314), 'source merged_div_data'!$A:$A, 'source merged_div_data'!F:F) &lt; 1024,
      XLOOKUP(TEXTJOIN("/", TRUE, $A314:$B314), 'source merged_div_data'!$A:$A, 'source merged_div_data'!F:F) &amp; " B",
    XLOOKUP(TEXTJOIN("/", TRUE, $A314:$B314), 'source merged_div_data'!$A:$A, 'source merged_div_data'!F:F) &lt; 1048576,
      ROUND(XLOOKUP(TEXTJOIN("/", TRUE, $A314:$B314), 'source merged_div_data'!$A:$A, 'source merged_div_data'!F:F)/1024, 2) &amp; " KB",
    XLOOKUP(TEXTJOIN("/", TRUE, $A314:$B314), 'source merged_div_data'!$A:$A, 'source merged_div_data'!F:F) &lt; 1073741824,
      ROUND(XLOOKUP(TEXTJOIN("/", TRUE, $A314:$B314), 'source merged_div_data'!$A:$A, 'source merged_div_data'!F:F)/1048576, 2) &amp; " MB",
    TRUE,
      ROUND(XLOOKUP(TEXTJOIN("/", TRUE, $A314:$B314), 'source merged_div_data'!$A:$A, 'source merged_div_data'!F:F)/1073741824, 2) &amp; " GB"
  ),
  "×"
)</f>
        <v>190.16 GB</v>
      </c>
      <c r="G314" s="57" t="s">
        <v>2305</v>
      </c>
      <c r="H314" s="58" t="s">
        <v>2177</v>
      </c>
      <c r="I314" s="57"/>
      <c r="J314" s="7" t="s">
        <v>854</v>
      </c>
      <c r="L314" s="7" t="s">
        <v>1410</v>
      </c>
      <c r="M314" s="37" t="s">
        <v>1053</v>
      </c>
      <c r="N314" s="8" t="s">
        <v>1102</v>
      </c>
      <c r="O314" s="7" t="s">
        <v>1192</v>
      </c>
      <c r="P314" s="57" t="str">
        <f>IFERROR(__xludf.DUMMYFUNCTION("XLOOKUP(JOIN(""/"",$A314:$B314),'source isilon_divまとめ'!$A:$A,'source isilon_divまとめ'!$D:$D,XLOOKUP(JOIN(""\"",$A314:$B314),'source NetApp-file-sv01-div'!A:A,TEXT('source NetApp-file-sv01-div'!C:C,""yyyy/mm/dd"")))"),"2022/04/28")</f>
        <v>2022/04/28</v>
      </c>
    </row>
    <row r="315">
      <c r="A315" s="52" t="s">
        <v>1273</v>
      </c>
      <c r="B315" s="52" t="s">
        <v>188</v>
      </c>
      <c r="C315" s="46" t="s">
        <v>986</v>
      </c>
      <c r="D315" s="53">
        <f>IFERROR(__xludf.DUMMYFUNCTION("XLOOKUP(JOIN(""/"",$A315:$B315),'source merged_div_data'!$A:$A,'source merged_div_data'!B:B)"),6.0)</f>
        <v>6</v>
      </c>
      <c r="E315" s="53">
        <f>IFERROR(__xludf.DUMMYFUNCTION("XLOOKUP(JOIN(""/"",$A315:$B315),'source merged_div_data'!$A:$A,'source merged_div_data'!C:C)"),0.0)</f>
        <v>0</v>
      </c>
      <c r="F315" s="54" t="str">
        <f t="array" ref="F315">IFERROR(
  IFS(
    XLOOKUP(TEXTJOIN("/", TRUE, $A315:$B315), 'source merged_div_data'!$A:$A, 'source merged_div_data'!F:F) &lt; 1024,
      XLOOKUP(TEXTJOIN("/", TRUE, $A315:$B315), 'source merged_div_data'!$A:$A, 'source merged_div_data'!F:F) &amp; " B",
    XLOOKUP(TEXTJOIN("/", TRUE, $A315:$B315), 'source merged_div_data'!$A:$A, 'source merged_div_data'!F:F) &lt; 1048576,
      ROUND(XLOOKUP(TEXTJOIN("/", TRUE, $A315:$B315), 'source merged_div_data'!$A:$A, 'source merged_div_data'!F:F)/1024, 2) &amp; " KB",
    XLOOKUP(TEXTJOIN("/", TRUE, $A315:$B315), 'source merged_div_data'!$A:$A, 'source merged_div_data'!F:F) &lt; 1073741824,
      ROUND(XLOOKUP(TEXTJOIN("/", TRUE, $A315:$B315), 'source merged_div_data'!$A:$A, 'source merged_div_data'!F:F)/1048576, 2) &amp; " MB",
    TRUE,
      ROUND(XLOOKUP(TEXTJOIN("/", TRUE, $A315:$B315), 'source merged_div_data'!$A:$A, 'source merged_div_data'!F:F)/1073741824, 2) &amp; " GB"
  ),
  "×"
)</f>
        <v>149 B</v>
      </c>
      <c r="G315" s="55" t="s">
        <v>1053</v>
      </c>
      <c r="H315" s="55"/>
      <c r="I315" s="55"/>
      <c r="J315" s="55" t="str">
        <f t="array" ref="J315">XLOOKUP(K315,'部署遍歴'!D:D,'部署遍歴'!B:B,"×")</f>
        <v>次世代エンターテインメント事業本部</v>
      </c>
      <c r="K315" s="55" t="s">
        <v>1278</v>
      </c>
      <c r="L315" s="55" t="s">
        <v>1053</v>
      </c>
      <c r="M315" s="55" t="s">
        <v>2132</v>
      </c>
      <c r="N315" s="52"/>
      <c r="O315" s="55"/>
      <c r="P315" s="37" t="str">
        <f>IFERROR(__xludf.DUMMYFUNCTION("XLOOKUP(JOIN(""/"",$A315:$B315),'source isilon_divまとめ'!$A:$A,'source isilon_divまとめ'!$D:$D,XLOOKUP(JOIN(""\"",$A315:$B315),'source NetApp-file-sv01-div'!A:A,TEXT('source NetApp-file-sv01-div'!C:C,""yyyy/mm/dd"")))"),"#N/A")</f>
        <v>#N/A</v>
      </c>
    </row>
    <row r="316">
      <c r="A316" s="8" t="s">
        <v>1273</v>
      </c>
      <c r="B316" s="8" t="s">
        <v>1277</v>
      </c>
      <c r="C316" s="7" t="s">
        <v>987</v>
      </c>
      <c r="D316" s="56">
        <f>IFERROR(__xludf.DUMMYFUNCTION("XLOOKUP(JOIN(""/"",$A316:$B316),'source merged_div_data'!$A:$A,'source merged_div_data'!B:B)"),46.0)</f>
        <v>46</v>
      </c>
      <c r="E316" s="56">
        <f>IFERROR(__xludf.DUMMYFUNCTION("XLOOKUP(JOIN(""/"",$A316:$B316),'source merged_div_data'!$A:$A,'source merged_div_data'!C:C)"),20.0)</f>
        <v>20</v>
      </c>
      <c r="F316" s="54" t="str">
        <f t="array" ref="F316">IFERROR(
  IFS(
    XLOOKUP(TEXTJOIN("/", TRUE, $A316:$B316), 'source merged_div_data'!$A:$A, 'source merged_div_data'!F:F) &lt; 1024,
      XLOOKUP(TEXTJOIN("/", TRUE, $A316:$B316), 'source merged_div_data'!$A:$A, 'source merged_div_data'!F:F) &amp; " B",
    XLOOKUP(TEXTJOIN("/", TRUE, $A316:$B316), 'source merged_div_data'!$A:$A, 'source merged_div_data'!F:F) &lt; 1048576,
      ROUND(XLOOKUP(TEXTJOIN("/", TRUE, $A316:$B316), 'source merged_div_data'!$A:$A, 'source merged_div_data'!F:F)/1024, 2) &amp; " KB",
    XLOOKUP(TEXTJOIN("/", TRUE, $A316:$B316), 'source merged_div_data'!$A:$A, 'source merged_div_data'!F:F) &lt; 1073741824,
      ROUND(XLOOKUP(TEXTJOIN("/", TRUE, $A316:$B316), 'source merged_div_data'!$A:$A, 'source merged_div_data'!F:F)/1048576, 2) &amp; " MB",
    TRUE,
      ROUND(XLOOKUP(TEXTJOIN("/", TRUE, $A316:$B316), 'source merged_div_data'!$A:$A, 'source merged_div_data'!F:F)/1073741824, 2) &amp; " GB"
  ),
  "×"
)</f>
        <v>1.7 MB</v>
      </c>
      <c r="G316" s="57" t="s">
        <v>2306</v>
      </c>
      <c r="H316" s="58" t="s">
        <v>2184</v>
      </c>
      <c r="I316" s="57"/>
      <c r="J316" s="7" t="s">
        <v>854</v>
      </c>
      <c r="L316" s="7" t="s">
        <v>1410</v>
      </c>
      <c r="M316" s="37" t="s">
        <v>1053</v>
      </c>
      <c r="N316" s="8" t="s">
        <v>1102</v>
      </c>
      <c r="O316" s="7" t="s">
        <v>1275</v>
      </c>
      <c r="P316" s="57" t="str">
        <f>IFERROR(__xludf.DUMMYFUNCTION("XLOOKUP(JOIN(""/"",$A316:$B316),'source isilon_divまとめ'!$A:$A,'source isilon_divまとめ'!$D:$D,XLOOKUP(JOIN(""\"",$A316:$B316),'source NetApp-file-sv01-div'!A:A,TEXT('source NetApp-file-sv01-div'!C:C,""yyyy/mm/dd"")))"),"2024/01/29")</f>
        <v>2024/01/29</v>
      </c>
    </row>
    <row r="317">
      <c r="A317" s="52" t="s">
        <v>1273</v>
      </c>
      <c r="B317" s="52" t="s">
        <v>1151</v>
      </c>
      <c r="C317" s="46" t="s">
        <v>986</v>
      </c>
      <c r="D317" s="53">
        <f>IFERROR(__xludf.DUMMYFUNCTION("XLOOKUP(JOIN(""/"",$A317:$B317),'source merged_div_data'!$A:$A,'source merged_div_data'!B:B)"),28.0)</f>
        <v>28</v>
      </c>
      <c r="E317" s="53">
        <f>IFERROR(__xludf.DUMMYFUNCTION("XLOOKUP(JOIN(""/"",$A317:$B317),'source merged_div_data'!$A:$A,'source merged_div_data'!C:C)"),0.0)</f>
        <v>0</v>
      </c>
      <c r="F317" s="54" t="str">
        <f t="array" ref="F317">IFERROR(
  IFS(
    XLOOKUP(TEXTJOIN("/", TRUE, $A317:$B317), 'source merged_div_data'!$A:$A, 'source merged_div_data'!F:F) &lt; 1024,
      XLOOKUP(TEXTJOIN("/", TRUE, $A317:$B317), 'source merged_div_data'!$A:$A, 'source merged_div_data'!F:F) &amp; " B",
    XLOOKUP(TEXTJOIN("/", TRUE, $A317:$B317), 'source merged_div_data'!$A:$A, 'source merged_div_data'!F:F) &lt; 1048576,
      ROUND(XLOOKUP(TEXTJOIN("/", TRUE, $A317:$B317), 'source merged_div_data'!$A:$A, 'source merged_div_data'!F:F)/1024, 2) &amp; " KB",
    XLOOKUP(TEXTJOIN("/", TRUE, $A317:$B317), 'source merged_div_data'!$A:$A, 'source merged_div_data'!F:F) &lt; 1073741824,
      ROUND(XLOOKUP(TEXTJOIN("/", TRUE, $A317:$B317), 'source merged_div_data'!$A:$A, 'source merged_div_data'!F:F)/1048576, 2) &amp; " MB",
    TRUE,
      ROUND(XLOOKUP(TEXTJOIN("/", TRUE, $A317:$B317), 'source merged_div_data'!$A:$A, 'source merged_div_data'!F:F)/1073741824, 2) &amp; " GB"
  ),
  "×"
)</f>
        <v>1.05 KB</v>
      </c>
      <c r="G317" s="55" t="s">
        <v>1053</v>
      </c>
      <c r="H317" s="55"/>
      <c r="I317" s="55"/>
      <c r="J317" s="46" t="s">
        <v>693</v>
      </c>
      <c r="K317" s="55"/>
      <c r="L317" s="46" t="s">
        <v>2094</v>
      </c>
      <c r="M317" s="55" t="s">
        <v>1053</v>
      </c>
      <c r="N317" s="46" t="s">
        <v>1052</v>
      </c>
      <c r="O317" s="46" t="s">
        <v>693</v>
      </c>
      <c r="P317" s="37" t="str">
        <f>IFERROR(__xludf.DUMMYFUNCTION("XLOOKUP(JOIN(""/"",$A317:$B317),'source isilon_divまとめ'!$A:$A,'source isilon_divまとめ'!$D:$D,XLOOKUP(JOIN(""\"",$A317:$B317),'source NetApp-file-sv01-div'!A:A,TEXT('source NetApp-file-sv01-div'!C:C,""yyyy/mm/dd"")))"),"#N/A")</f>
        <v>#N/A</v>
      </c>
    </row>
    <row r="318">
      <c r="A318" s="52" t="s">
        <v>1273</v>
      </c>
      <c r="B318" s="52" t="s">
        <v>1185</v>
      </c>
      <c r="C318" s="46" t="s">
        <v>986</v>
      </c>
      <c r="D318" s="53">
        <f>IFERROR(__xludf.DUMMYFUNCTION("XLOOKUP(JOIN(""/"",$A318:$B318),'source merged_div_data'!$A:$A,'source merged_div_data'!B:B)"),10.0)</f>
        <v>10</v>
      </c>
      <c r="E318" s="53">
        <f>IFERROR(__xludf.DUMMYFUNCTION("XLOOKUP(JOIN(""/"",$A318:$B318),'source merged_div_data'!$A:$A,'source merged_div_data'!C:C)"),0.0)</f>
        <v>0</v>
      </c>
      <c r="F318" s="54" t="str">
        <f t="array" ref="F318">IFERROR(
  IFS(
    XLOOKUP(TEXTJOIN("/", TRUE, $A318:$B318), 'source merged_div_data'!$A:$A, 'source merged_div_data'!F:F) &lt; 1024,
      XLOOKUP(TEXTJOIN("/", TRUE, $A318:$B318), 'source merged_div_data'!$A:$A, 'source merged_div_data'!F:F) &amp; " B",
    XLOOKUP(TEXTJOIN("/", TRUE, $A318:$B318), 'source merged_div_data'!$A:$A, 'source merged_div_data'!F:F) &lt; 1048576,
      ROUND(XLOOKUP(TEXTJOIN("/", TRUE, $A318:$B318), 'source merged_div_data'!$A:$A, 'source merged_div_data'!F:F)/1024, 2) &amp; " KB",
    XLOOKUP(TEXTJOIN("/", TRUE, $A318:$B318), 'source merged_div_data'!$A:$A, 'source merged_div_data'!F:F) &lt; 1073741824,
      ROUND(XLOOKUP(TEXTJOIN("/", TRUE, $A318:$B318), 'source merged_div_data'!$A:$A, 'source merged_div_data'!F:F)/1048576, 2) &amp; " MB",
    TRUE,
      ROUND(XLOOKUP(TEXTJOIN("/", TRUE, $A318:$B318), 'source merged_div_data'!$A:$A, 'source merged_div_data'!F:F)/1073741824, 2) &amp; " GB"
  ),
  "×"
)</f>
        <v>288 B</v>
      </c>
      <c r="G318" s="55" t="s">
        <v>1053</v>
      </c>
      <c r="H318" s="55"/>
      <c r="I318" s="55"/>
      <c r="J318" s="46" t="s">
        <v>391</v>
      </c>
      <c r="K318" s="46" t="s">
        <v>395</v>
      </c>
      <c r="L318" s="46" t="s">
        <v>1053</v>
      </c>
      <c r="M318" s="46" t="s">
        <v>2092</v>
      </c>
      <c r="N318" s="52" t="s">
        <v>1102</v>
      </c>
      <c r="O318" s="46" t="s">
        <v>1110</v>
      </c>
      <c r="P318" s="37" t="str">
        <f>IFERROR(__xludf.DUMMYFUNCTION("XLOOKUP(JOIN(""/"",$A318:$B318),'source isilon_divまとめ'!$A:$A,'source isilon_divまとめ'!$D:$D,XLOOKUP(JOIN(""\"",$A318:$B318),'source NetApp-file-sv01-div'!A:A,TEXT('source NetApp-file-sv01-div'!C:C,""yyyy/mm/dd"")))"),"#N/A")</f>
        <v>#N/A</v>
      </c>
    </row>
    <row r="319">
      <c r="A319" s="52" t="s">
        <v>1273</v>
      </c>
      <c r="B319" s="52" t="s">
        <v>1278</v>
      </c>
      <c r="C319" s="46" t="s">
        <v>986</v>
      </c>
      <c r="D319" s="53">
        <f>IFERROR(__xludf.DUMMYFUNCTION("XLOOKUP(JOIN(""/"",$A319:$B319),'source merged_div_data'!$A:$A,'source merged_div_data'!B:B)"),4.0)</f>
        <v>4</v>
      </c>
      <c r="E319" s="53">
        <f>IFERROR(__xludf.DUMMYFUNCTION("XLOOKUP(JOIN(""/"",$A319:$B319),'source merged_div_data'!$A:$A,'source merged_div_data'!C:C)"),0.0)</f>
        <v>0</v>
      </c>
      <c r="F319" s="54" t="str">
        <f t="array" ref="F319">IFERROR(
  IFS(
    XLOOKUP(TEXTJOIN("/", TRUE, $A319:$B319), 'source merged_div_data'!$A:$A, 'source merged_div_data'!F:F) &lt; 1024,
      XLOOKUP(TEXTJOIN("/", TRUE, $A319:$B319), 'source merged_div_data'!$A:$A, 'source merged_div_data'!F:F) &amp; " B",
    XLOOKUP(TEXTJOIN("/", TRUE, $A319:$B319), 'source merged_div_data'!$A:$A, 'source merged_div_data'!F:F) &lt; 1048576,
      ROUND(XLOOKUP(TEXTJOIN("/", TRUE, $A319:$B319), 'source merged_div_data'!$A:$A, 'source merged_div_data'!F:F)/1024, 2) &amp; " KB",
    XLOOKUP(TEXTJOIN("/", TRUE, $A319:$B319), 'source merged_div_data'!$A:$A, 'source merged_div_data'!F:F) &lt; 1073741824,
      ROUND(XLOOKUP(TEXTJOIN("/", TRUE, $A319:$B319), 'source merged_div_data'!$A:$A, 'source merged_div_data'!F:F)/1048576, 2) &amp; " MB",
    TRUE,
      ROUND(XLOOKUP(TEXTJOIN("/", TRUE, $A319:$B319), 'source merged_div_data'!$A:$A, 'source merged_div_data'!F:F)/1073741824, 2) &amp; " GB"
  ),
  "×"
)</f>
        <v>88 B</v>
      </c>
      <c r="G319" s="55" t="s">
        <v>1053</v>
      </c>
      <c r="H319" s="55"/>
      <c r="I319" s="55"/>
      <c r="J319" s="46" t="s">
        <v>854</v>
      </c>
      <c r="K319" s="55"/>
      <c r="L319" s="46" t="s">
        <v>1410</v>
      </c>
      <c r="M319" s="55" t="s">
        <v>1053</v>
      </c>
      <c r="N319" s="46" t="s">
        <v>1052</v>
      </c>
      <c r="O319" s="46" t="s">
        <v>1182</v>
      </c>
      <c r="P319" s="37" t="str">
        <f>IFERROR(__xludf.DUMMYFUNCTION("XLOOKUP(JOIN(""/"",$A319:$B319),'source isilon_divまとめ'!$A:$A,'source isilon_divまとめ'!$D:$D,XLOOKUP(JOIN(""\"",$A319:$B319),'source NetApp-file-sv01-div'!A:A,TEXT('source NetApp-file-sv01-div'!C:C,""yyyy/mm/dd"")))"),"#N/A")</f>
        <v>#N/A</v>
      </c>
    </row>
    <row r="320">
      <c r="A320" s="52" t="s">
        <v>1273</v>
      </c>
      <c r="B320" s="52" t="s">
        <v>1262</v>
      </c>
      <c r="C320" s="46" t="s">
        <v>986</v>
      </c>
      <c r="D320" s="53">
        <f>IFERROR(__xludf.DUMMYFUNCTION("XLOOKUP(JOIN(""/"",$A320:$B320),'source merged_div_data'!$A:$A,'source merged_div_data'!B:B)"),11.0)</f>
        <v>11</v>
      </c>
      <c r="E320" s="53">
        <f>IFERROR(__xludf.DUMMYFUNCTION("XLOOKUP(JOIN(""/"",$A320:$B320),'source merged_div_data'!$A:$A,'source merged_div_data'!C:C)"),0.0)</f>
        <v>0</v>
      </c>
      <c r="F320" s="54" t="str">
        <f t="array" ref="F320">IFERROR(
  IFS(
    XLOOKUP(TEXTJOIN("/", TRUE, $A320:$B320), 'source merged_div_data'!$A:$A, 'source merged_div_data'!F:F) &lt; 1024,
      XLOOKUP(TEXTJOIN("/", TRUE, $A320:$B320), 'source merged_div_data'!$A:$A, 'source merged_div_data'!F:F) &amp; " B",
    XLOOKUP(TEXTJOIN("/", TRUE, $A320:$B320), 'source merged_div_data'!$A:$A, 'source merged_div_data'!F:F) &lt; 1048576,
      ROUND(XLOOKUP(TEXTJOIN("/", TRUE, $A320:$B320), 'source merged_div_data'!$A:$A, 'source merged_div_data'!F:F)/1024, 2) &amp; " KB",
    XLOOKUP(TEXTJOIN("/", TRUE, $A320:$B320), 'source merged_div_data'!$A:$A, 'source merged_div_data'!F:F) &lt; 1073741824,
      ROUND(XLOOKUP(TEXTJOIN("/", TRUE, $A320:$B320), 'source merged_div_data'!$A:$A, 'source merged_div_data'!F:F)/1048576, 2) &amp; " MB",
    TRUE,
      ROUND(XLOOKUP(TEXTJOIN("/", TRUE, $A320:$B320), 'source merged_div_data'!$A:$A, 'source merged_div_data'!F:F)/1073741824, 2) &amp; " GB"
  ),
  "×"
)</f>
        <v>339 B</v>
      </c>
      <c r="G320" s="55" t="s">
        <v>1053</v>
      </c>
      <c r="H320" s="55"/>
      <c r="I320" s="55"/>
      <c r="J320" s="46" t="s">
        <v>854</v>
      </c>
      <c r="K320" s="55"/>
      <c r="L320" s="46" t="s">
        <v>1410</v>
      </c>
      <c r="M320" s="55" t="s">
        <v>1053</v>
      </c>
      <c r="N320" s="52" t="s">
        <v>1102</v>
      </c>
      <c r="O320" s="46" t="s">
        <v>1182</v>
      </c>
      <c r="P320" s="37" t="str">
        <f>IFERROR(__xludf.DUMMYFUNCTION("XLOOKUP(JOIN(""/"",$A320:$B320),'source isilon_divまとめ'!$A:$A,'source isilon_divまとめ'!$D:$D,XLOOKUP(JOIN(""\"",$A320:$B320),'source NetApp-file-sv01-div'!A:A,TEXT('source NetApp-file-sv01-div'!C:C,""yyyy/mm/dd"")))"),"#N/A")</f>
        <v>#N/A</v>
      </c>
    </row>
    <row r="321">
      <c r="A321" s="52" t="s">
        <v>1273</v>
      </c>
      <c r="B321" s="52" t="s">
        <v>1279</v>
      </c>
      <c r="C321" s="46" t="s">
        <v>986</v>
      </c>
      <c r="D321" s="53">
        <f>IFERROR(__xludf.DUMMYFUNCTION("XLOOKUP(JOIN(""/"",$A321:$B321),'source merged_div_data'!$A:$A,'source merged_div_data'!B:B)"),19.0)</f>
        <v>19</v>
      </c>
      <c r="E321" s="53">
        <f>IFERROR(__xludf.DUMMYFUNCTION("XLOOKUP(JOIN(""/"",$A321:$B321),'source merged_div_data'!$A:$A,'source merged_div_data'!C:C)"),0.0)</f>
        <v>0</v>
      </c>
      <c r="F321" s="54" t="str">
        <f t="array" ref="F321">IFERROR(
  IFS(
    XLOOKUP(TEXTJOIN("/", TRUE, $A321:$B321), 'source merged_div_data'!$A:$A, 'source merged_div_data'!F:F) &lt; 1024,
      XLOOKUP(TEXTJOIN("/", TRUE, $A321:$B321), 'source merged_div_data'!$A:$A, 'source merged_div_data'!F:F) &amp; " B",
    XLOOKUP(TEXTJOIN("/", TRUE, $A321:$B321), 'source merged_div_data'!$A:$A, 'source merged_div_data'!F:F) &lt; 1048576,
      ROUND(XLOOKUP(TEXTJOIN("/", TRUE, $A321:$B321), 'source merged_div_data'!$A:$A, 'source merged_div_data'!F:F)/1024, 2) &amp; " KB",
    XLOOKUP(TEXTJOIN("/", TRUE, $A321:$B321), 'source merged_div_data'!$A:$A, 'source merged_div_data'!F:F) &lt; 1073741824,
      ROUND(XLOOKUP(TEXTJOIN("/", TRUE, $A321:$B321), 'source merged_div_data'!$A:$A, 'source merged_div_data'!F:F)/1048576, 2) &amp; " MB",
    TRUE,
      ROUND(XLOOKUP(TEXTJOIN("/", TRUE, $A321:$B321), 'source merged_div_data'!$A:$A, 'source merged_div_data'!F:F)/1073741824, 2) &amp; " GB"
  ),
  "×"
)</f>
        <v>704 B</v>
      </c>
      <c r="G321" s="55" t="s">
        <v>1053</v>
      </c>
      <c r="H321" s="55"/>
      <c r="I321" s="55"/>
      <c r="J321" s="46" t="s">
        <v>854</v>
      </c>
      <c r="K321" s="55"/>
      <c r="L321" s="46" t="s">
        <v>1410</v>
      </c>
      <c r="M321" s="55" t="s">
        <v>1053</v>
      </c>
      <c r="N321" s="52" t="s">
        <v>1102</v>
      </c>
      <c r="O321" s="46" t="s">
        <v>1182</v>
      </c>
      <c r="P321" s="37" t="str">
        <f>IFERROR(__xludf.DUMMYFUNCTION("XLOOKUP(JOIN(""/"",$A321:$B321),'source isilon_divまとめ'!$A:$A,'source isilon_divまとめ'!$D:$D,XLOOKUP(JOIN(""\"",$A321:$B321),'source NetApp-file-sv01-div'!A:A,TEXT('source NetApp-file-sv01-div'!C:C,""yyyy/mm/dd"")))"),"#N/A")</f>
        <v>#N/A</v>
      </c>
    </row>
    <row r="322">
      <c r="A322" s="52" t="s">
        <v>1273</v>
      </c>
      <c r="B322" s="52" t="s">
        <v>1280</v>
      </c>
      <c r="C322" s="46" t="s">
        <v>986</v>
      </c>
      <c r="D322" s="53">
        <f>IFERROR(__xludf.DUMMYFUNCTION("XLOOKUP(JOIN(""/"",$A322:$B322),'source merged_div_data'!$A:$A,'source merged_div_data'!B:B)"),9.0)</f>
        <v>9</v>
      </c>
      <c r="E322" s="53">
        <f>IFERROR(__xludf.DUMMYFUNCTION("XLOOKUP(JOIN(""/"",$A322:$B322),'source merged_div_data'!$A:$A,'source merged_div_data'!C:C)"),0.0)</f>
        <v>0</v>
      </c>
      <c r="F322" s="54" t="str">
        <f t="array" ref="F322">IFERROR(
  IFS(
    XLOOKUP(TEXTJOIN("/", TRUE, $A322:$B322), 'source merged_div_data'!$A:$A, 'source merged_div_data'!F:F) &lt; 1024,
      XLOOKUP(TEXTJOIN("/", TRUE, $A322:$B322), 'source merged_div_data'!$A:$A, 'source merged_div_data'!F:F) &amp; " B",
    XLOOKUP(TEXTJOIN("/", TRUE, $A322:$B322), 'source merged_div_data'!$A:$A, 'source merged_div_data'!F:F) &lt; 1048576,
      ROUND(XLOOKUP(TEXTJOIN("/", TRUE, $A322:$B322), 'source merged_div_data'!$A:$A, 'source merged_div_data'!F:F)/1024, 2) &amp; " KB",
    XLOOKUP(TEXTJOIN("/", TRUE, $A322:$B322), 'source merged_div_data'!$A:$A, 'source merged_div_data'!F:F) &lt; 1073741824,
      ROUND(XLOOKUP(TEXTJOIN("/", TRUE, $A322:$B322), 'source merged_div_data'!$A:$A, 'source merged_div_data'!F:F)/1048576, 2) &amp; " MB",
    TRUE,
      ROUND(XLOOKUP(TEXTJOIN("/", TRUE, $A322:$B322), 'source merged_div_data'!$A:$A, 'source merged_div_data'!F:F)/1073741824, 2) &amp; " GB"
  ),
  "×"
)</f>
        <v>289 B</v>
      </c>
      <c r="G322" s="55" t="s">
        <v>1053</v>
      </c>
      <c r="H322" s="55"/>
      <c r="I322" s="55"/>
      <c r="J322" s="46" t="s">
        <v>854</v>
      </c>
      <c r="K322" s="55"/>
      <c r="L322" s="46" t="s">
        <v>1410</v>
      </c>
      <c r="M322" s="55" t="s">
        <v>1053</v>
      </c>
      <c r="N322" s="52" t="s">
        <v>1102</v>
      </c>
      <c r="O322" s="46" t="s">
        <v>1192</v>
      </c>
      <c r="P322" s="37" t="str">
        <f>IFERROR(__xludf.DUMMYFUNCTION("XLOOKUP(JOIN(""/"",$A322:$B322),'source isilon_divまとめ'!$A:$A,'source isilon_divまとめ'!$D:$D,XLOOKUP(JOIN(""\"",$A322:$B322),'source NetApp-file-sv01-div'!A:A,TEXT('source NetApp-file-sv01-div'!C:C,""yyyy/mm/dd"")))"),"#N/A")</f>
        <v>#N/A</v>
      </c>
    </row>
    <row r="323">
      <c r="A323" s="52" t="s">
        <v>1273</v>
      </c>
      <c r="B323" s="52" t="s">
        <v>1111</v>
      </c>
      <c r="C323" s="46" t="s">
        <v>988</v>
      </c>
      <c r="D323" s="53">
        <f>IFERROR(__xludf.DUMMYFUNCTION("XLOOKUP(JOIN(""/"",$A323:$B323),'source merged_div_data'!$A:$A,'source merged_div_data'!B:B)"),1.0)</f>
        <v>1</v>
      </c>
      <c r="E323" s="53">
        <f>IFERROR(__xludf.DUMMYFUNCTION("XLOOKUP(JOIN(""/"",$A323:$B323),'source merged_div_data'!$A:$A,'source merged_div_data'!C:C)"),0.0)</f>
        <v>0</v>
      </c>
      <c r="F323" s="54" t="str">
        <f t="array" ref="F323">IFERROR(
  IFS(
    XLOOKUP(TEXTJOIN("/", TRUE, $A323:$B323), 'source merged_div_data'!$A:$A, 'source merged_div_data'!F:F) &lt; 1024,
      XLOOKUP(TEXTJOIN("/", TRUE, $A323:$B323), 'source merged_div_data'!$A:$A, 'source merged_div_data'!F:F) &amp; " B",
    XLOOKUP(TEXTJOIN("/", TRUE, $A323:$B323), 'source merged_div_data'!$A:$A, 'source merged_div_data'!F:F) &lt; 1048576,
      ROUND(XLOOKUP(TEXTJOIN("/", TRUE, $A323:$B323), 'source merged_div_data'!$A:$A, 'source merged_div_data'!F:F)/1024, 2) &amp; " KB",
    XLOOKUP(TEXTJOIN("/", TRUE, $A323:$B323), 'source merged_div_data'!$A:$A, 'source merged_div_data'!F:F) &lt; 1073741824,
      ROUND(XLOOKUP(TEXTJOIN("/", TRUE, $A323:$B323), 'source merged_div_data'!$A:$A, 'source merged_div_data'!F:F)/1048576, 2) &amp; " MB",
    TRUE,
      ROUND(XLOOKUP(TEXTJOIN("/", TRUE, $A323:$B323), 'source merged_div_data'!$A:$A, 'source merged_div_data'!F:F)/1073741824, 2) &amp; " GB"
  ),
  "×"
)</f>
        <v>0 B</v>
      </c>
      <c r="G323" s="55" t="s">
        <v>1053</v>
      </c>
      <c r="H323" s="55"/>
      <c r="I323" s="55"/>
      <c r="J323" s="46" t="s">
        <v>1105</v>
      </c>
      <c r="K323" s="55"/>
      <c r="L323" s="55" t="s">
        <v>1053</v>
      </c>
      <c r="M323" s="55" t="s">
        <v>1053</v>
      </c>
      <c r="N323" s="52" t="s">
        <v>1102</v>
      </c>
      <c r="O323" s="46" t="s">
        <v>1105</v>
      </c>
      <c r="P323" s="37" t="str">
        <f>IFERROR(__xludf.DUMMYFUNCTION("XLOOKUP(JOIN(""/"",$A323:$B323),'source isilon_divまとめ'!$A:$A,'source isilon_divまとめ'!$D:$D,XLOOKUP(JOIN(""\"",$A323:$B323),'source NetApp-file-sv01-div'!A:A,TEXT('source NetApp-file-sv01-div'!C:C,""yyyy/mm/dd"")))"),"#N/A")</f>
        <v>#N/A</v>
      </c>
    </row>
    <row r="324">
      <c r="A324" s="52" t="s">
        <v>1273</v>
      </c>
      <c r="B324" s="52" t="s">
        <v>1187</v>
      </c>
      <c r="C324" s="46" t="s">
        <v>986</v>
      </c>
      <c r="D324" s="53">
        <f>IFERROR(__xludf.DUMMYFUNCTION("XLOOKUP(JOIN(""/"",$A324:$B324),'source merged_div_data'!$A:$A,'source merged_div_data'!B:B)"),5.0)</f>
        <v>5</v>
      </c>
      <c r="E324" s="53">
        <f>IFERROR(__xludf.DUMMYFUNCTION("XLOOKUP(JOIN(""/"",$A324:$B324),'source merged_div_data'!$A:$A,'source merged_div_data'!C:C)"),0.0)</f>
        <v>0</v>
      </c>
      <c r="F324" s="54" t="str">
        <f t="array" ref="F324">IFERROR(
  IFS(
    XLOOKUP(TEXTJOIN("/", TRUE, $A324:$B324), 'source merged_div_data'!$A:$A, 'source merged_div_data'!F:F) &lt; 1024,
      XLOOKUP(TEXTJOIN("/", TRUE, $A324:$B324), 'source merged_div_data'!$A:$A, 'source merged_div_data'!F:F) &amp; " B",
    XLOOKUP(TEXTJOIN("/", TRUE, $A324:$B324), 'source merged_div_data'!$A:$A, 'source merged_div_data'!F:F) &lt; 1048576,
      ROUND(XLOOKUP(TEXTJOIN("/", TRUE, $A324:$B324), 'source merged_div_data'!$A:$A, 'source merged_div_data'!F:F)/1024, 2) &amp; " KB",
    XLOOKUP(TEXTJOIN("/", TRUE, $A324:$B324), 'source merged_div_data'!$A:$A, 'source merged_div_data'!F:F) &lt; 1073741824,
      ROUND(XLOOKUP(TEXTJOIN("/", TRUE, $A324:$B324), 'source merged_div_data'!$A:$A, 'source merged_div_data'!F:F)/1048576, 2) &amp; " MB",
    TRUE,
      ROUND(XLOOKUP(TEXTJOIN("/", TRUE, $A324:$B324), 'source merged_div_data'!$A:$A, 'source merged_div_data'!F:F)/1073741824, 2) &amp; " GB"
  ),
  "×"
)</f>
        <v>137 B</v>
      </c>
      <c r="G324" s="55" t="s">
        <v>1053</v>
      </c>
      <c r="H324" s="55"/>
      <c r="I324" s="55"/>
      <c r="J324" s="46" t="s">
        <v>854</v>
      </c>
      <c r="K324" s="55"/>
      <c r="L324" s="46" t="s">
        <v>1410</v>
      </c>
      <c r="M324" s="55" t="s">
        <v>1053</v>
      </c>
      <c r="N324" s="46" t="s">
        <v>1052</v>
      </c>
      <c r="O324" s="46" t="s">
        <v>1182</v>
      </c>
      <c r="P324" s="37" t="str">
        <f>IFERROR(__xludf.DUMMYFUNCTION("XLOOKUP(JOIN(""/"",$A324:$B324),'source isilon_divまとめ'!$A:$A,'source isilon_divまとめ'!$D:$D,XLOOKUP(JOIN(""\"",$A324:$B324),'source NetApp-file-sv01-div'!A:A,TEXT('source NetApp-file-sv01-div'!C:C,""yyyy/mm/dd"")))"),"#N/A")</f>
        <v>#N/A</v>
      </c>
    </row>
    <row r="325">
      <c r="A325" s="8" t="s">
        <v>1273</v>
      </c>
      <c r="B325" s="8" t="s">
        <v>1189</v>
      </c>
      <c r="C325" s="7" t="s">
        <v>987</v>
      </c>
      <c r="D325" s="56">
        <f>IFERROR(__xludf.DUMMYFUNCTION("XLOOKUP(JOIN(""/"",$A325:$B325),'source merged_div_data'!$A:$A,'source merged_div_data'!B:B)"),123.0)</f>
        <v>123</v>
      </c>
      <c r="E325" s="56">
        <f>IFERROR(__xludf.DUMMYFUNCTION("XLOOKUP(JOIN(""/"",$A325:$B325),'source merged_div_data'!$A:$A,'source merged_div_data'!C:C)"),702.0)</f>
        <v>702</v>
      </c>
      <c r="F325" s="54" t="str">
        <f t="array" ref="F325">IFERROR(
  IFS(
    XLOOKUP(TEXTJOIN("/", TRUE, $A325:$B325), 'source merged_div_data'!$A:$A, 'source merged_div_data'!F:F) &lt; 1024,
      XLOOKUP(TEXTJOIN("/", TRUE, $A325:$B325), 'source merged_div_data'!$A:$A, 'source merged_div_data'!F:F) &amp; " B",
    XLOOKUP(TEXTJOIN("/", TRUE, $A325:$B325), 'source merged_div_data'!$A:$A, 'source merged_div_data'!F:F) &lt; 1048576,
      ROUND(XLOOKUP(TEXTJOIN("/", TRUE, $A325:$B325), 'source merged_div_data'!$A:$A, 'source merged_div_data'!F:F)/1024, 2) &amp; " KB",
    XLOOKUP(TEXTJOIN("/", TRUE, $A325:$B325), 'source merged_div_data'!$A:$A, 'source merged_div_data'!F:F) &lt; 1073741824,
      ROUND(XLOOKUP(TEXTJOIN("/", TRUE, $A325:$B325), 'source merged_div_data'!$A:$A, 'source merged_div_data'!F:F)/1048576, 2) &amp; " MB",
    TRUE,
      ROUND(XLOOKUP(TEXTJOIN("/", TRUE, $A325:$B325), 'source merged_div_data'!$A:$A, 'source merged_div_data'!F:F)/1073741824, 2) &amp; " GB"
  ),
  "×"
)</f>
        <v>1.41 GB</v>
      </c>
      <c r="G325" s="57" t="s">
        <v>2307</v>
      </c>
      <c r="H325" s="58" t="s">
        <v>2177</v>
      </c>
      <c r="I325" s="57"/>
      <c r="J325" s="7" t="s">
        <v>854</v>
      </c>
      <c r="L325" s="7" t="s">
        <v>1410</v>
      </c>
      <c r="M325" s="37" t="s">
        <v>1053</v>
      </c>
      <c r="N325" s="8" t="s">
        <v>1102</v>
      </c>
      <c r="O325" s="7" t="s">
        <v>1190</v>
      </c>
      <c r="P325" s="57" t="str">
        <f>IFERROR(__xludf.DUMMYFUNCTION("XLOOKUP(JOIN(""/"",$A325:$B325),'source isilon_divまとめ'!$A:$A,'source isilon_divまとめ'!$D:$D,XLOOKUP(JOIN(""\"",$A325:$B325),'source NetApp-file-sv01-div'!A:A,TEXT('source NetApp-file-sv01-div'!C:C,""yyyy/mm/dd"")))"),"2020/10/20")</f>
        <v>2020/10/20</v>
      </c>
    </row>
    <row r="326">
      <c r="A326" s="52" t="s">
        <v>1273</v>
      </c>
      <c r="B326" s="52" t="s">
        <v>1281</v>
      </c>
      <c r="C326" s="46" t="s">
        <v>986</v>
      </c>
      <c r="D326" s="53">
        <f>IFERROR(__xludf.DUMMYFUNCTION("XLOOKUP(JOIN(""/"",$A326:$B326),'source merged_div_data'!$A:$A,'source merged_div_data'!B:B)"),15.0)</f>
        <v>15</v>
      </c>
      <c r="E326" s="53">
        <f>IFERROR(__xludf.DUMMYFUNCTION("XLOOKUP(JOIN(""/"",$A326:$B326),'source merged_div_data'!$A:$A,'source merged_div_data'!C:C)"),0.0)</f>
        <v>0</v>
      </c>
      <c r="F326" s="54" t="str">
        <f t="array" ref="F326">IFERROR(
  IFS(
    XLOOKUP(TEXTJOIN("/", TRUE, $A326:$B326), 'source merged_div_data'!$A:$A, 'source merged_div_data'!F:F) &lt; 1024,
      XLOOKUP(TEXTJOIN("/", TRUE, $A326:$B326), 'source merged_div_data'!$A:$A, 'source merged_div_data'!F:F) &amp; " B",
    XLOOKUP(TEXTJOIN("/", TRUE, $A326:$B326), 'source merged_div_data'!$A:$A, 'source merged_div_data'!F:F) &lt; 1048576,
      ROUND(XLOOKUP(TEXTJOIN("/", TRUE, $A326:$B326), 'source merged_div_data'!$A:$A, 'source merged_div_data'!F:F)/1024, 2) &amp; " KB",
    XLOOKUP(TEXTJOIN("/", TRUE, $A326:$B326), 'source merged_div_data'!$A:$A, 'source merged_div_data'!F:F) &lt; 1073741824,
      ROUND(XLOOKUP(TEXTJOIN("/", TRUE, $A326:$B326), 'source merged_div_data'!$A:$A, 'source merged_div_data'!F:F)/1048576, 2) &amp; " MB",
    TRUE,
      ROUND(XLOOKUP(TEXTJOIN("/", TRUE, $A326:$B326), 'source merged_div_data'!$A:$A, 'source merged_div_data'!F:F)/1073741824, 2) &amp; " GB"
  ),
  "×"
)</f>
        <v>444 B</v>
      </c>
      <c r="G326" s="55" t="s">
        <v>1053</v>
      </c>
      <c r="H326" s="55"/>
      <c r="I326" s="55"/>
      <c r="J326" s="46" t="s">
        <v>854</v>
      </c>
      <c r="K326" s="55"/>
      <c r="L326" s="46" t="s">
        <v>1410</v>
      </c>
      <c r="M326" s="55" t="s">
        <v>1053</v>
      </c>
      <c r="N326" s="46" t="s">
        <v>1052</v>
      </c>
      <c r="O326" s="46" t="s">
        <v>1192</v>
      </c>
      <c r="P326" s="37" t="str">
        <f>IFERROR(__xludf.DUMMYFUNCTION("XLOOKUP(JOIN(""/"",$A326:$B326),'source isilon_divまとめ'!$A:$A,'source isilon_divまとめ'!$D:$D,XLOOKUP(JOIN(""\"",$A326:$B326),'source NetApp-file-sv01-div'!A:A,TEXT('source NetApp-file-sv01-div'!C:C,""yyyy/mm/dd"")))"),"#N/A")</f>
        <v>#N/A</v>
      </c>
    </row>
    <row r="327">
      <c r="A327" s="52" t="s">
        <v>1273</v>
      </c>
      <c r="B327" s="52" t="s">
        <v>1191</v>
      </c>
      <c r="C327" s="46" t="s">
        <v>986</v>
      </c>
      <c r="D327" s="53">
        <f>IFERROR(__xludf.DUMMYFUNCTION("XLOOKUP(JOIN(""/"",$A327:$B327),'source merged_div_data'!$A:$A,'source merged_div_data'!B:B)"),24.0)</f>
        <v>24</v>
      </c>
      <c r="E327" s="53">
        <f>IFERROR(__xludf.DUMMYFUNCTION("XLOOKUP(JOIN(""/"",$A327:$B327),'source merged_div_data'!$A:$A,'source merged_div_data'!C:C)"),0.0)</f>
        <v>0</v>
      </c>
      <c r="F327" s="54" t="str">
        <f t="array" ref="F327">IFERROR(
  IFS(
    XLOOKUP(TEXTJOIN("/", TRUE, $A327:$B327), 'source merged_div_data'!$A:$A, 'source merged_div_data'!F:F) &lt; 1024,
      XLOOKUP(TEXTJOIN("/", TRUE, $A327:$B327), 'source merged_div_data'!$A:$A, 'source merged_div_data'!F:F) &amp; " B",
    XLOOKUP(TEXTJOIN("/", TRUE, $A327:$B327), 'source merged_div_data'!$A:$A, 'source merged_div_data'!F:F) &lt; 1048576,
      ROUND(XLOOKUP(TEXTJOIN("/", TRUE, $A327:$B327), 'source merged_div_data'!$A:$A, 'source merged_div_data'!F:F)/1024, 2) &amp; " KB",
    XLOOKUP(TEXTJOIN("/", TRUE, $A327:$B327), 'source merged_div_data'!$A:$A, 'source merged_div_data'!F:F) &lt; 1073741824,
      ROUND(XLOOKUP(TEXTJOIN("/", TRUE, $A327:$B327), 'source merged_div_data'!$A:$A, 'source merged_div_data'!F:F)/1048576, 2) &amp; " MB",
    TRUE,
      ROUND(XLOOKUP(TEXTJOIN("/", TRUE, $A327:$B327), 'source merged_div_data'!$A:$A, 'source merged_div_data'!F:F)/1073741824, 2) &amp; " GB"
  ),
  "×"
)</f>
        <v>765 B</v>
      </c>
      <c r="G327" s="55" t="s">
        <v>1053</v>
      </c>
      <c r="H327" s="55"/>
      <c r="I327" s="55"/>
      <c r="J327" s="46" t="s">
        <v>854</v>
      </c>
      <c r="K327" s="55"/>
      <c r="L327" s="46" t="s">
        <v>1410</v>
      </c>
      <c r="M327" s="55" t="s">
        <v>1053</v>
      </c>
      <c r="N327" s="52" t="s">
        <v>1102</v>
      </c>
      <c r="O327" s="46" t="s">
        <v>1192</v>
      </c>
      <c r="P327" s="37" t="str">
        <f>IFERROR(__xludf.DUMMYFUNCTION("XLOOKUP(JOIN(""/"",$A327:$B327),'source isilon_divまとめ'!$A:$A,'source isilon_divまとめ'!$D:$D,XLOOKUP(JOIN(""\"",$A327:$B327),'source NetApp-file-sv01-div'!A:A,TEXT('source NetApp-file-sv01-div'!C:C,""yyyy/mm/dd"")))"),"#N/A")</f>
        <v>#N/A</v>
      </c>
    </row>
    <row r="328">
      <c r="A328" s="52" t="s">
        <v>1282</v>
      </c>
      <c r="B328" s="52" t="s">
        <v>1193</v>
      </c>
      <c r="C328" s="46" t="s">
        <v>986</v>
      </c>
      <c r="D328" s="53">
        <f>IFERROR(__xludf.DUMMYFUNCTION("XLOOKUP(JOIN(""/"",$A328:$B328),'source merged_div_data'!$A:$A,'source merged_div_data'!B:B)"),19.0)</f>
        <v>19</v>
      </c>
      <c r="E328" s="53">
        <f>IFERROR(__xludf.DUMMYFUNCTION("XLOOKUP(JOIN(""/"",$A328:$B328),'source merged_div_data'!$A:$A,'source merged_div_data'!C:C)"),0.0)</f>
        <v>0</v>
      </c>
      <c r="F328" s="54" t="str">
        <f t="array" ref="F328">IFERROR(
  IFS(
    XLOOKUP(TEXTJOIN("/", TRUE, $A328:$B328), 'source merged_div_data'!$A:$A, 'source merged_div_data'!F:F) &lt; 1024,
      XLOOKUP(TEXTJOIN("/", TRUE, $A328:$B328), 'source merged_div_data'!$A:$A, 'source merged_div_data'!F:F) &amp; " B",
    XLOOKUP(TEXTJOIN("/", TRUE, $A328:$B328), 'source merged_div_data'!$A:$A, 'source merged_div_data'!F:F) &lt; 1048576,
      ROUND(XLOOKUP(TEXTJOIN("/", TRUE, $A328:$B328), 'source merged_div_data'!$A:$A, 'source merged_div_data'!F:F)/1024, 2) &amp; " KB",
    XLOOKUP(TEXTJOIN("/", TRUE, $A328:$B328), 'source merged_div_data'!$A:$A, 'source merged_div_data'!F:F) &lt; 1073741824,
      ROUND(XLOOKUP(TEXTJOIN("/", TRUE, $A328:$B328), 'source merged_div_data'!$A:$A, 'source merged_div_data'!F:F)/1048576, 2) &amp; " MB",
    TRUE,
      ROUND(XLOOKUP(TEXTJOIN("/", TRUE, $A328:$B328), 'source merged_div_data'!$A:$A, 'source merged_div_data'!F:F)/1073741824, 2) &amp; " GB"
  ),
  "×"
)</f>
        <v>632 B</v>
      </c>
      <c r="G328" s="55" t="s">
        <v>1053</v>
      </c>
      <c r="H328" s="55"/>
      <c r="I328" s="55"/>
      <c r="J328" s="46" t="s">
        <v>391</v>
      </c>
      <c r="K328" s="55"/>
      <c r="L328" s="46" t="s">
        <v>2116</v>
      </c>
      <c r="M328" s="55" t="s">
        <v>1053</v>
      </c>
      <c r="N328" s="52" t="s">
        <v>1102</v>
      </c>
      <c r="O328" s="46" t="s">
        <v>391</v>
      </c>
      <c r="P328" s="37" t="str">
        <f>IFERROR(__xludf.DUMMYFUNCTION("XLOOKUP(JOIN(""/"",$A328:$B328),'source isilon_divまとめ'!$A:$A,'source isilon_divまとめ'!$D:$D,XLOOKUP(JOIN(""\"",$A328:$B328),'source NetApp-file-sv01-div'!A:A,TEXT('source NetApp-file-sv01-div'!C:C,""yyyy/mm/dd"")))"),"#N/A")</f>
        <v>#N/A</v>
      </c>
    </row>
    <row r="329">
      <c r="A329" s="52" t="s">
        <v>1282</v>
      </c>
      <c r="B329" s="52" t="s">
        <v>1111</v>
      </c>
      <c r="C329" s="46" t="s">
        <v>988</v>
      </c>
      <c r="D329" s="53">
        <f>IFERROR(__xludf.DUMMYFUNCTION("XLOOKUP(JOIN(""/"",$A329:$B329),'source merged_div_data'!$A:$A,'source merged_div_data'!B:B)"),1.0)</f>
        <v>1</v>
      </c>
      <c r="E329" s="53">
        <f>IFERROR(__xludf.DUMMYFUNCTION("XLOOKUP(JOIN(""/"",$A329:$B329),'source merged_div_data'!$A:$A,'source merged_div_data'!C:C)"),0.0)</f>
        <v>0</v>
      </c>
      <c r="F329" s="54" t="str">
        <f t="array" ref="F329">IFERROR(
  IFS(
    XLOOKUP(TEXTJOIN("/", TRUE, $A329:$B329), 'source merged_div_data'!$A:$A, 'source merged_div_data'!F:F) &lt; 1024,
      XLOOKUP(TEXTJOIN("/", TRUE, $A329:$B329), 'source merged_div_data'!$A:$A, 'source merged_div_data'!F:F) &amp; " B",
    XLOOKUP(TEXTJOIN("/", TRUE, $A329:$B329), 'source merged_div_data'!$A:$A, 'source merged_div_data'!F:F) &lt; 1048576,
      ROUND(XLOOKUP(TEXTJOIN("/", TRUE, $A329:$B329), 'source merged_div_data'!$A:$A, 'source merged_div_data'!F:F)/1024, 2) &amp; " KB",
    XLOOKUP(TEXTJOIN("/", TRUE, $A329:$B329), 'source merged_div_data'!$A:$A, 'source merged_div_data'!F:F) &lt; 1073741824,
      ROUND(XLOOKUP(TEXTJOIN("/", TRUE, $A329:$B329), 'source merged_div_data'!$A:$A, 'source merged_div_data'!F:F)/1048576, 2) &amp; " MB",
    TRUE,
      ROUND(XLOOKUP(TEXTJOIN("/", TRUE, $A329:$B329), 'source merged_div_data'!$A:$A, 'source merged_div_data'!F:F)/1073741824, 2) &amp; " GB"
  ),
  "×"
)</f>
        <v>0 B</v>
      </c>
      <c r="G329" s="55" t="s">
        <v>1053</v>
      </c>
      <c r="H329" s="55"/>
      <c r="I329" s="55"/>
      <c r="J329" s="46" t="s">
        <v>1105</v>
      </c>
      <c r="K329" s="55"/>
      <c r="L329" s="55" t="s">
        <v>1053</v>
      </c>
      <c r="M329" s="55" t="s">
        <v>1053</v>
      </c>
      <c r="N329" s="52" t="s">
        <v>1102</v>
      </c>
      <c r="O329" s="46" t="s">
        <v>1105</v>
      </c>
      <c r="P329" s="37" t="str">
        <f>IFERROR(__xludf.DUMMYFUNCTION("XLOOKUP(JOIN(""/"",$A329:$B329),'source isilon_divまとめ'!$A:$A,'source isilon_divまとめ'!$D:$D,XLOOKUP(JOIN(""\"",$A329:$B329),'source NetApp-file-sv01-div'!A:A,TEXT('source NetApp-file-sv01-div'!C:C,""yyyy/mm/dd"")))"),"#N/A")</f>
        <v>#N/A</v>
      </c>
    </row>
    <row r="330">
      <c r="A330" s="8" t="s">
        <v>298</v>
      </c>
      <c r="B330" s="8" t="s">
        <v>1283</v>
      </c>
      <c r="C330" s="8" t="s">
        <v>985</v>
      </c>
      <c r="D330" s="56">
        <f>IFERROR(__xludf.DUMMYFUNCTION("XLOOKUP(JOIN(""/"",$A330:$B330),'source merged_div_data'!$A:$A,'source merged_div_data'!B:B)"),32.0)</f>
        <v>32</v>
      </c>
      <c r="E330" s="56">
        <f>IFERROR(__xludf.DUMMYFUNCTION("XLOOKUP(JOIN(""/"",$A330:$B330),'source merged_div_data'!$A:$A,'source merged_div_data'!C:C)"),18.0)</f>
        <v>18</v>
      </c>
      <c r="F330" s="54" t="str">
        <f t="array" ref="F330">IFERROR(
  IFS(
    XLOOKUP(TEXTJOIN("/", TRUE, $A330:$B330), 'source merged_div_data'!$A:$A, 'source merged_div_data'!F:F) &lt; 1024,
      XLOOKUP(TEXTJOIN("/", TRUE, $A330:$B330), 'source merged_div_data'!$A:$A, 'source merged_div_data'!F:F) &amp; " B",
    XLOOKUP(TEXTJOIN("/", TRUE, $A330:$B330), 'source merged_div_data'!$A:$A, 'source merged_div_data'!F:F) &lt; 1048576,
      ROUND(XLOOKUP(TEXTJOIN("/", TRUE, $A330:$B330), 'source merged_div_data'!$A:$A, 'source merged_div_data'!F:F)/1024, 2) &amp; " KB",
    XLOOKUP(TEXTJOIN("/", TRUE, $A330:$B330), 'source merged_div_data'!$A:$A, 'source merged_div_data'!F:F) &lt; 1073741824,
      ROUND(XLOOKUP(TEXTJOIN("/", TRUE, $A330:$B330), 'source merged_div_data'!$A:$A, 'source merged_div_data'!F:F)/1048576, 2) &amp; " MB",
    TRUE,
      ROUND(XLOOKUP(TEXTJOIN("/", TRUE, $A330:$B330), 'source merged_div_data'!$A:$A, 'source merged_div_data'!F:F)/1073741824, 2) &amp; " GB"
  ),
  "×"
)</f>
        <v>2.39 MB</v>
      </c>
      <c r="G330" s="57" t="s">
        <v>2308</v>
      </c>
      <c r="H330" s="58" t="s">
        <v>2177</v>
      </c>
      <c r="I330" s="57"/>
      <c r="J330" s="37" t="s">
        <v>298</v>
      </c>
      <c r="K330" s="37" t="s">
        <v>1053</v>
      </c>
      <c r="L330" s="37" t="s">
        <v>1063</v>
      </c>
      <c r="M330" s="37" t="s">
        <v>1053</v>
      </c>
      <c r="N330" s="8"/>
      <c r="P330" s="57" t="str">
        <f>IFERROR(__xludf.DUMMYFUNCTION("XLOOKUP(JOIN(""/"",$A330:$B330),'source isilon_divまとめ'!$A:$A,'source isilon_divまとめ'!$D:$D,XLOOKUP(JOIN(""\"",$A330:$B330),'source NetApp-file-sv01-div'!A:A,TEXT('source NetApp-file-sv01-div'!C:C,""yyyy/mm/dd"")))"),"2022/07/22")</f>
        <v>2022/07/22</v>
      </c>
    </row>
    <row r="331">
      <c r="A331" s="8" t="s">
        <v>298</v>
      </c>
      <c r="B331" s="8" t="s">
        <v>798</v>
      </c>
      <c r="C331" s="8" t="s">
        <v>985</v>
      </c>
      <c r="D331" s="56">
        <f>IFERROR(__xludf.DUMMYFUNCTION("XLOOKUP(JOIN(""/"",$A331:$B331),'source merged_div_data'!$A:$A,'source merged_div_data'!B:B)"),17.0)</f>
        <v>17</v>
      </c>
      <c r="E331" s="56">
        <f>IFERROR(__xludf.DUMMYFUNCTION("XLOOKUP(JOIN(""/"",$A331:$B331),'source merged_div_data'!$A:$A,'source merged_div_data'!C:C)"),2.0)</f>
        <v>2</v>
      </c>
      <c r="F331" s="54" t="str">
        <f t="array" ref="F331">IFERROR(
  IFS(
    XLOOKUP(TEXTJOIN("/", TRUE, $A331:$B331), 'source merged_div_data'!$A:$A, 'source merged_div_data'!F:F) &lt; 1024,
      XLOOKUP(TEXTJOIN("/", TRUE, $A331:$B331), 'source merged_div_data'!$A:$A, 'source merged_div_data'!F:F) &amp; " B",
    XLOOKUP(TEXTJOIN("/", TRUE, $A331:$B331), 'source merged_div_data'!$A:$A, 'source merged_div_data'!F:F) &lt; 1048576,
      ROUND(XLOOKUP(TEXTJOIN("/", TRUE, $A331:$B331), 'source merged_div_data'!$A:$A, 'source merged_div_data'!F:F)/1024, 2) &amp; " KB",
    XLOOKUP(TEXTJOIN("/", TRUE, $A331:$B331), 'source merged_div_data'!$A:$A, 'source merged_div_data'!F:F) &lt; 1073741824,
      ROUND(XLOOKUP(TEXTJOIN("/", TRUE, $A331:$B331), 'source merged_div_data'!$A:$A, 'source merged_div_data'!F:F)/1048576, 2) &amp; " MB",
    TRUE,
      ROUND(XLOOKUP(TEXTJOIN("/", TRUE, $A331:$B331), 'source merged_div_data'!$A:$A, 'source merged_div_data'!F:F)/1073741824, 2) &amp; " GB"
  ),
  "×"
)</f>
        <v>971.44 MB</v>
      </c>
      <c r="G331" s="57" t="s">
        <v>2309</v>
      </c>
      <c r="H331" s="58" t="s">
        <v>2184</v>
      </c>
      <c r="I331" s="57"/>
      <c r="J331" s="37" t="s">
        <v>298</v>
      </c>
      <c r="K331" s="37" t="s">
        <v>798</v>
      </c>
      <c r="L331" s="37" t="s">
        <v>1063</v>
      </c>
      <c r="M331" s="37" t="s">
        <v>1798</v>
      </c>
      <c r="N331" s="8"/>
      <c r="P331" s="57" t="str">
        <f>IFERROR(__xludf.DUMMYFUNCTION("XLOOKUP(JOIN(""/"",$A331:$B331),'source isilon_divまとめ'!$A:$A,'source isilon_divまとめ'!$D:$D,XLOOKUP(JOIN(""\"",$A331:$B331),'source NetApp-file-sv01-div'!A:A,TEXT('source NetApp-file-sv01-div'!C:C,""yyyy/mm/dd"")))"),"2023/12/20")</f>
        <v>2023/12/20</v>
      </c>
    </row>
    <row r="332">
      <c r="A332" s="59" t="s">
        <v>298</v>
      </c>
      <c r="B332" s="59" t="s">
        <v>1284</v>
      </c>
      <c r="C332" s="59" t="s">
        <v>985</v>
      </c>
      <c r="D332" s="60">
        <f>IFERROR(__xludf.DUMMYFUNCTION("XLOOKUP(JOIN(""/"",$A332:$B332),'source merged_div_data'!$A:$A,'source merged_div_data'!B:B)"),20.0)</f>
        <v>20</v>
      </c>
      <c r="E332" s="60">
        <f>IFERROR(__xludf.DUMMYFUNCTION("XLOOKUP(JOIN(""/"",$A332:$B332),'source merged_div_data'!$A:$A,'source merged_div_data'!C:C)"),55046.0)</f>
        <v>55046</v>
      </c>
      <c r="F332" s="54" t="str">
        <f t="array" ref="F332">IFERROR(
  IFS(
    XLOOKUP(TEXTJOIN("/", TRUE, $A332:$B332), 'source merged_div_data'!$A:$A, 'source merged_div_data'!F:F) &lt; 1024,
      XLOOKUP(TEXTJOIN("/", TRUE, $A332:$B332), 'source merged_div_data'!$A:$A, 'source merged_div_data'!F:F) &amp; " B",
    XLOOKUP(TEXTJOIN("/", TRUE, $A332:$B332), 'source merged_div_data'!$A:$A, 'source merged_div_data'!F:F) &lt; 1048576,
      ROUND(XLOOKUP(TEXTJOIN("/", TRUE, $A332:$B332), 'source merged_div_data'!$A:$A, 'source merged_div_data'!F:F)/1024, 2) &amp; " KB",
    XLOOKUP(TEXTJOIN("/", TRUE, $A332:$B332), 'source merged_div_data'!$A:$A, 'source merged_div_data'!F:F) &lt; 1073741824,
      ROUND(XLOOKUP(TEXTJOIN("/", TRUE, $A332:$B332), 'source merged_div_data'!$A:$A, 'source merged_div_data'!F:F)/1048576, 2) &amp; " MB",
    TRUE,
      ROUND(XLOOKUP(TEXTJOIN("/", TRUE, $A332:$B332), 'source merged_div_data'!$A:$A, 'source merged_div_data'!F:F)/1073741824, 2) &amp; " GB"
  ),
  "×"
)</f>
        <v>3204.69 GB</v>
      </c>
      <c r="G332" s="37" t="s">
        <v>1053</v>
      </c>
      <c r="H332" s="7" t="s">
        <v>2184</v>
      </c>
      <c r="I332" s="37"/>
      <c r="J332" s="37" t="s">
        <v>298</v>
      </c>
      <c r="K332" s="37" t="s">
        <v>795</v>
      </c>
      <c r="L332" s="37" t="s">
        <v>1063</v>
      </c>
      <c r="M332" s="37" t="s">
        <v>2142</v>
      </c>
      <c r="N332" s="8"/>
      <c r="P332" s="37" t="str">
        <f>IFERROR(__xludf.DUMMYFUNCTION("XLOOKUP(JOIN(""/"",$A332:$B332),'source isilon_divまとめ'!$A:$A,'source isilon_divまとめ'!$D:$D,XLOOKUP(JOIN(""\"",$A332:$B332),'source NetApp-file-sv01-div'!A:A,TEXT('source NetApp-file-sv01-div'!C:C,""yyyy/mm/dd"")))"),"#N/A")</f>
        <v>#N/A</v>
      </c>
    </row>
    <row r="333">
      <c r="A333" s="8" t="s">
        <v>298</v>
      </c>
      <c r="B333" s="8" t="s">
        <v>802</v>
      </c>
      <c r="C333" s="8" t="s">
        <v>985</v>
      </c>
      <c r="D333" s="56">
        <f>IFERROR(__xludf.DUMMYFUNCTION("XLOOKUP(JOIN(""/"",$A333:$B333),'source merged_div_data'!$A:$A,'source merged_div_data'!B:B)"),877.0)</f>
        <v>877</v>
      </c>
      <c r="E333" s="56">
        <f>IFERROR(__xludf.DUMMYFUNCTION("XLOOKUP(JOIN(""/"",$A333:$B333),'source merged_div_data'!$A:$A,'source merged_div_data'!C:C)"),10440.0)</f>
        <v>10440</v>
      </c>
      <c r="F333" s="54" t="str">
        <f t="array" ref="F333">IFERROR(
  IFS(
    XLOOKUP(TEXTJOIN("/", TRUE, $A333:$B333), 'source merged_div_data'!$A:$A, 'source merged_div_data'!F:F) &lt; 1024,
      XLOOKUP(TEXTJOIN("/", TRUE, $A333:$B333), 'source merged_div_data'!$A:$A, 'source merged_div_data'!F:F) &amp; " B",
    XLOOKUP(TEXTJOIN("/", TRUE, $A333:$B333), 'source merged_div_data'!$A:$A, 'source merged_div_data'!F:F) &lt; 1048576,
      ROUND(XLOOKUP(TEXTJOIN("/", TRUE, $A333:$B333), 'source merged_div_data'!$A:$A, 'source merged_div_data'!F:F)/1024, 2) &amp; " KB",
    XLOOKUP(TEXTJOIN("/", TRUE, $A333:$B333), 'source merged_div_data'!$A:$A, 'source merged_div_data'!F:F) &lt; 1073741824,
      ROUND(XLOOKUP(TEXTJOIN("/", TRUE, $A333:$B333), 'source merged_div_data'!$A:$A, 'source merged_div_data'!F:F)/1048576, 2) &amp; " MB",
    TRUE,
      ROUND(XLOOKUP(TEXTJOIN("/", TRUE, $A333:$B333), 'source merged_div_data'!$A:$A, 'source merged_div_data'!F:F)/1073741824, 2) &amp; " GB"
  ),
  "×"
)</f>
        <v>45.39 GB</v>
      </c>
      <c r="G333" s="57" t="s">
        <v>2310</v>
      </c>
      <c r="H333" s="58" t="s">
        <v>2184</v>
      </c>
      <c r="I333" s="57"/>
      <c r="J333" s="37" t="s">
        <v>298</v>
      </c>
      <c r="K333" s="37" t="s">
        <v>802</v>
      </c>
      <c r="L333" s="37" t="s">
        <v>1063</v>
      </c>
      <c r="M333" s="37" t="s">
        <v>2144</v>
      </c>
      <c r="N333" s="8"/>
      <c r="P333" s="57" t="str">
        <f>IFERROR(__xludf.DUMMYFUNCTION("XLOOKUP(JOIN(""/"",$A333:$B333),'source isilon_divまとめ'!$A:$A,'source isilon_divまとめ'!$D:$D,XLOOKUP(JOIN(""\"",$A333:$B333),'source NetApp-file-sv01-div'!A:A,TEXT('source NetApp-file-sv01-div'!C:C,""yyyy/mm/dd"")))"),"2025/06/30")</f>
        <v>2025/06/30</v>
      </c>
    </row>
    <row r="334">
      <c r="A334" s="8" t="s">
        <v>298</v>
      </c>
      <c r="B334" s="8" t="s">
        <v>1111</v>
      </c>
      <c r="C334" s="8" t="s">
        <v>985</v>
      </c>
      <c r="D334" s="56">
        <f>IFERROR(__xludf.DUMMYFUNCTION("XLOOKUP(JOIN(""/"",$A334:$B334),'source merged_div_data'!$A:$A,'source merged_div_data'!B:B)"),40275.0)</f>
        <v>40275</v>
      </c>
      <c r="E334" s="56">
        <f>IFERROR(__xludf.DUMMYFUNCTION("XLOOKUP(JOIN(""/"",$A334:$B334),'source merged_div_data'!$A:$A,'source merged_div_data'!C:C)"),347392.0)</f>
        <v>347392</v>
      </c>
      <c r="F334" s="54" t="str">
        <f t="array" ref="F334">IFERROR(
  IFS(
    XLOOKUP(TEXTJOIN("/", TRUE, $A334:$B334), 'source merged_div_data'!$A:$A, 'source merged_div_data'!F:F) &lt; 1024,
      XLOOKUP(TEXTJOIN("/", TRUE, $A334:$B334), 'source merged_div_data'!$A:$A, 'source merged_div_data'!F:F) &amp; " B",
    XLOOKUP(TEXTJOIN("/", TRUE, $A334:$B334), 'source merged_div_data'!$A:$A, 'source merged_div_data'!F:F) &lt; 1048576,
      ROUND(XLOOKUP(TEXTJOIN("/", TRUE, $A334:$B334), 'source merged_div_data'!$A:$A, 'source merged_div_data'!F:F)/1024, 2) &amp; " KB",
    XLOOKUP(TEXTJOIN("/", TRUE, $A334:$B334), 'source merged_div_data'!$A:$A, 'source merged_div_data'!F:F) &lt; 1073741824,
      ROUND(XLOOKUP(TEXTJOIN("/", TRUE, $A334:$B334), 'source merged_div_data'!$A:$A, 'source merged_div_data'!F:F)/1048576, 2) &amp; " MB",
    TRUE,
      ROUND(XLOOKUP(TEXTJOIN("/", TRUE, $A334:$B334), 'source merged_div_data'!$A:$A, 'source merged_div_data'!F:F)/1073741824, 2) &amp; " GB"
  ),
  "×"
)</f>
        <v>413 GB</v>
      </c>
      <c r="G334" s="57" t="s">
        <v>2192</v>
      </c>
      <c r="H334" s="58" t="s">
        <v>2184</v>
      </c>
      <c r="I334" s="57"/>
      <c r="J334" s="37" t="s">
        <v>298</v>
      </c>
      <c r="K334" s="37" t="s">
        <v>1053</v>
      </c>
      <c r="L334" s="37" t="s">
        <v>1063</v>
      </c>
      <c r="M334" s="37" t="s">
        <v>1053</v>
      </c>
      <c r="N334" s="8"/>
      <c r="P334" s="57" t="str">
        <f>IFERROR(__xludf.DUMMYFUNCTION("XLOOKUP(JOIN(""/"",$A334:$B334),'source isilon_divまとめ'!$A:$A,'source isilon_divまとめ'!$D:$D,XLOOKUP(JOIN(""\"",$A334:$B334),'source NetApp-file-sv01-div'!A:A,TEXT('source NetApp-file-sv01-div'!C:C,""yyyy/mm/dd"")))"),"2025/07/08")</f>
        <v>2025/07/08</v>
      </c>
    </row>
    <row r="335">
      <c r="A335" s="8" t="s">
        <v>298</v>
      </c>
      <c r="B335" s="8" t="s">
        <v>304</v>
      </c>
      <c r="C335" s="8" t="s">
        <v>985</v>
      </c>
      <c r="D335" s="56">
        <f>IFERROR(__xludf.DUMMYFUNCTION("XLOOKUP(JOIN(""/"",$A335:$B335),'source merged_div_data'!$A:$A,'source merged_div_data'!B:B)"),13.0)</f>
        <v>13</v>
      </c>
      <c r="E335" s="56">
        <f>IFERROR(__xludf.DUMMYFUNCTION("XLOOKUP(JOIN(""/"",$A335:$B335),'source merged_div_data'!$A:$A,'source merged_div_data'!C:C)"),2.0)</f>
        <v>2</v>
      </c>
      <c r="F335" s="54" t="str">
        <f t="array" ref="F335">IFERROR(
  IFS(
    XLOOKUP(TEXTJOIN("/", TRUE, $A335:$B335), 'source merged_div_data'!$A:$A, 'source merged_div_data'!F:F) &lt; 1024,
      XLOOKUP(TEXTJOIN("/", TRUE, $A335:$B335), 'source merged_div_data'!$A:$A, 'source merged_div_data'!F:F) &amp; " B",
    XLOOKUP(TEXTJOIN("/", TRUE, $A335:$B335), 'source merged_div_data'!$A:$A, 'source merged_div_data'!F:F) &lt; 1048576,
      ROUND(XLOOKUP(TEXTJOIN("/", TRUE, $A335:$B335), 'source merged_div_data'!$A:$A, 'source merged_div_data'!F:F)/1024, 2) &amp; " KB",
    XLOOKUP(TEXTJOIN("/", TRUE, $A335:$B335), 'source merged_div_data'!$A:$A, 'source merged_div_data'!F:F) &lt; 1073741824,
      ROUND(XLOOKUP(TEXTJOIN("/", TRUE, $A335:$B335), 'source merged_div_data'!$A:$A, 'source merged_div_data'!F:F)/1048576, 2) &amp; " MB",
    TRUE,
      ROUND(XLOOKUP(TEXTJOIN("/", TRUE, $A335:$B335), 'source merged_div_data'!$A:$A, 'source merged_div_data'!F:F)/1073741824, 2) &amp; " GB"
  ),
  "×"
)</f>
        <v>27.48 KB</v>
      </c>
      <c r="G335" s="37" t="s">
        <v>1053</v>
      </c>
      <c r="H335" s="7" t="s">
        <v>2184</v>
      </c>
      <c r="I335" s="37"/>
      <c r="J335" s="37" t="s">
        <v>298</v>
      </c>
      <c r="K335" s="37" t="s">
        <v>304</v>
      </c>
      <c r="L335" s="37" t="s">
        <v>1063</v>
      </c>
      <c r="M335" s="37" t="s">
        <v>1790</v>
      </c>
      <c r="N335" s="8"/>
      <c r="P335" s="37" t="str">
        <f>IFERROR(__xludf.DUMMYFUNCTION("XLOOKUP(JOIN(""/"",$A335:$B335),'source isilon_divまとめ'!$A:$A,'source isilon_divまとめ'!$D:$D,XLOOKUP(JOIN(""\"",$A335:$B335),'source NetApp-file-sv01-div'!A:A,TEXT('source NetApp-file-sv01-div'!C:C,""yyyy/mm/dd"")))"),"#N/A")</f>
        <v>#N/A</v>
      </c>
    </row>
    <row r="336">
      <c r="A336" s="52" t="s">
        <v>583</v>
      </c>
      <c r="B336" s="52" t="s">
        <v>1104</v>
      </c>
      <c r="C336" s="46" t="s">
        <v>986</v>
      </c>
      <c r="D336" s="53">
        <f>IFERROR(__xludf.DUMMYFUNCTION("XLOOKUP(JOIN(""/"",$A336:$B336),'source merged_div_data'!$A:$A,'source merged_div_data'!B:B)"),1.0)</f>
        <v>1</v>
      </c>
      <c r="E336" s="53">
        <f>IFERROR(__xludf.DUMMYFUNCTION("XLOOKUP(JOIN(""/"",$A336:$B336),'source merged_div_data'!$A:$A,'source merged_div_data'!C:C)"),0.0)</f>
        <v>0</v>
      </c>
      <c r="F336" s="54" t="str">
        <f t="array" ref="F336">IFERROR(
  IFS(
    XLOOKUP(TEXTJOIN("/", TRUE, $A336:$B336), 'source merged_div_data'!$A:$A, 'source merged_div_data'!F:F) &lt; 1024,
      XLOOKUP(TEXTJOIN("/", TRUE, $A336:$B336), 'source merged_div_data'!$A:$A, 'source merged_div_data'!F:F) &amp; " B",
    XLOOKUP(TEXTJOIN("/", TRUE, $A336:$B336), 'source merged_div_data'!$A:$A, 'source merged_div_data'!F:F) &lt; 1048576,
      ROUND(XLOOKUP(TEXTJOIN("/", TRUE, $A336:$B336), 'source merged_div_data'!$A:$A, 'source merged_div_data'!F:F)/1024, 2) &amp; " KB",
    XLOOKUP(TEXTJOIN("/", TRUE, $A336:$B336), 'source merged_div_data'!$A:$A, 'source merged_div_data'!F:F) &lt; 1073741824,
      ROUND(XLOOKUP(TEXTJOIN("/", TRUE, $A336:$B336), 'source merged_div_data'!$A:$A, 'source merged_div_data'!F:F)/1048576, 2) &amp; " MB",
    TRUE,
      ROUND(XLOOKUP(TEXTJOIN("/", TRUE, $A336:$B336), 'source merged_div_data'!$A:$A, 'source merged_div_data'!F:F)/1073741824, 2) &amp; " GB"
  ),
  "×"
)</f>
        <v>0 B</v>
      </c>
      <c r="G336" s="55" t="s">
        <v>1053</v>
      </c>
      <c r="H336" s="55"/>
      <c r="I336" s="55"/>
      <c r="J336" s="55" t="s">
        <v>582</v>
      </c>
      <c r="K336" s="55" t="s">
        <v>583</v>
      </c>
      <c r="L336" s="46"/>
      <c r="M336" s="46" t="s">
        <v>2311</v>
      </c>
      <c r="N336" s="52"/>
      <c r="O336" s="55"/>
      <c r="P336" s="37" t="str">
        <f>IFERROR(__xludf.DUMMYFUNCTION("XLOOKUP(JOIN(""/"",$A336:$B336),'source isilon_divまとめ'!$A:$A,'source isilon_divまとめ'!$D:$D,XLOOKUP(JOIN(""\"",$A336:$B336),'source NetApp-file-sv01-div'!A:A,TEXT('source NetApp-file-sv01-div'!C:C,""yyyy/mm/dd"")))"),"#N/A")</f>
        <v>#N/A</v>
      </c>
    </row>
    <row r="337">
      <c r="A337" s="52" t="s">
        <v>1285</v>
      </c>
      <c r="B337" s="52" t="s">
        <v>1111</v>
      </c>
      <c r="C337" s="46" t="s">
        <v>986</v>
      </c>
      <c r="D337" s="53">
        <f>IFERROR(__xludf.DUMMYFUNCTION("XLOOKUP(JOIN(""/"",$A337:$B337),'source merged_div_data'!$A:$A,'source merged_div_data'!B:B)"),1.0)</f>
        <v>1</v>
      </c>
      <c r="E337" s="53">
        <f>IFERROR(__xludf.DUMMYFUNCTION("XLOOKUP(JOIN(""/"",$A337:$B337),'source merged_div_data'!$A:$A,'source merged_div_data'!C:C)"),0.0)</f>
        <v>0</v>
      </c>
      <c r="F337" s="54" t="str">
        <f t="array" ref="F337">IFERROR(
  IFS(
    XLOOKUP(TEXTJOIN("/", TRUE, $A337:$B337), 'source merged_div_data'!$A:$A, 'source merged_div_data'!F:F) &lt; 1024,
      XLOOKUP(TEXTJOIN("/", TRUE, $A337:$B337), 'source merged_div_data'!$A:$A, 'source merged_div_data'!F:F) &amp; " B",
    XLOOKUP(TEXTJOIN("/", TRUE, $A337:$B337), 'source merged_div_data'!$A:$A, 'source merged_div_data'!F:F) &lt; 1048576,
      ROUND(XLOOKUP(TEXTJOIN("/", TRUE, $A337:$B337), 'source merged_div_data'!$A:$A, 'source merged_div_data'!F:F)/1024, 2) &amp; " KB",
    XLOOKUP(TEXTJOIN("/", TRUE, $A337:$B337), 'source merged_div_data'!$A:$A, 'source merged_div_data'!F:F) &lt; 1073741824,
      ROUND(XLOOKUP(TEXTJOIN("/", TRUE, $A337:$B337), 'source merged_div_data'!$A:$A, 'source merged_div_data'!F:F)/1048576, 2) &amp; " MB",
    TRUE,
      ROUND(XLOOKUP(TEXTJOIN("/", TRUE, $A337:$B337), 'source merged_div_data'!$A:$A, 'source merged_div_data'!F:F)/1073741824, 2) &amp; " GB"
  ),
  "×"
)</f>
        <v>0 B</v>
      </c>
      <c r="G337" s="55" t="s">
        <v>1053</v>
      </c>
      <c r="H337" s="55"/>
      <c r="I337" s="55"/>
      <c r="J337" s="46" t="s">
        <v>587</v>
      </c>
      <c r="K337" s="55"/>
      <c r="L337" s="55" t="s">
        <v>2198</v>
      </c>
      <c r="M337" s="55" t="s">
        <v>1053</v>
      </c>
      <c r="N337" s="52" t="s">
        <v>1102</v>
      </c>
      <c r="O337" s="46" t="s">
        <v>587</v>
      </c>
      <c r="P337" s="37" t="str">
        <f>IFERROR(__xludf.DUMMYFUNCTION("XLOOKUP(JOIN(""/"",$A337:$B337),'source isilon_divまとめ'!$A:$A,'source isilon_divまとめ'!$D:$D,XLOOKUP(JOIN(""\"",$A337:$B337),'source NetApp-file-sv01-div'!A:A,TEXT('source NetApp-file-sv01-div'!C:C,""yyyy/mm/dd"")))"),"#N/A")</f>
        <v>#N/A</v>
      </c>
    </row>
    <row r="338">
      <c r="A338" s="52" t="s">
        <v>1285</v>
      </c>
      <c r="B338" s="52" t="s">
        <v>359</v>
      </c>
      <c r="C338" s="46" t="s">
        <v>986</v>
      </c>
      <c r="D338" s="53">
        <f>IFERROR(__xludf.DUMMYFUNCTION("XLOOKUP(JOIN(""/"",$A338:$B338),'source merged_div_data'!$A:$A,'source merged_div_data'!B:B)"),5.0)</f>
        <v>5</v>
      </c>
      <c r="E338" s="53">
        <f>IFERROR(__xludf.DUMMYFUNCTION("XLOOKUP(JOIN(""/"",$A338:$B338),'source merged_div_data'!$A:$A,'source merged_div_data'!C:C)"),0.0)</f>
        <v>0</v>
      </c>
      <c r="F338" s="54" t="str">
        <f t="array" ref="F338">IFERROR(
  IFS(
    XLOOKUP(TEXTJOIN("/", TRUE, $A338:$B338), 'source merged_div_data'!$A:$A, 'source merged_div_data'!F:F) &lt; 1024,
      XLOOKUP(TEXTJOIN("/", TRUE, $A338:$B338), 'source merged_div_data'!$A:$A, 'source merged_div_data'!F:F) &amp; " B",
    XLOOKUP(TEXTJOIN("/", TRUE, $A338:$B338), 'source merged_div_data'!$A:$A, 'source merged_div_data'!F:F) &lt; 1048576,
      ROUND(XLOOKUP(TEXTJOIN("/", TRUE, $A338:$B338), 'source merged_div_data'!$A:$A, 'source merged_div_data'!F:F)/1024, 2) &amp; " KB",
    XLOOKUP(TEXTJOIN("/", TRUE, $A338:$B338), 'source merged_div_data'!$A:$A, 'source merged_div_data'!F:F) &lt; 1073741824,
      ROUND(XLOOKUP(TEXTJOIN("/", TRUE, $A338:$B338), 'source merged_div_data'!$A:$A, 'source merged_div_data'!F:F)/1048576, 2) &amp; " MB",
    TRUE,
      ROUND(XLOOKUP(TEXTJOIN("/", TRUE, $A338:$B338), 'source merged_div_data'!$A:$A, 'source merged_div_data'!F:F)/1073741824, 2) &amp; " GB"
  ),
  "×"
)</f>
        <v>129 B</v>
      </c>
      <c r="G338" s="55" t="s">
        <v>1053</v>
      </c>
      <c r="H338" s="55"/>
      <c r="I338" s="55"/>
      <c r="J338" s="55" t="s">
        <v>353</v>
      </c>
      <c r="K338" s="55" t="s">
        <v>359</v>
      </c>
      <c r="L338" s="55" t="s">
        <v>2147</v>
      </c>
      <c r="M338" s="55" t="s">
        <v>1053</v>
      </c>
      <c r="N338" s="52"/>
      <c r="O338" s="55"/>
      <c r="P338" s="37" t="str">
        <f>IFERROR(__xludf.DUMMYFUNCTION("XLOOKUP(JOIN(""/"",$A338:$B338),'source isilon_divまとめ'!$A:$A,'source isilon_divまとめ'!$D:$D,XLOOKUP(JOIN(""\"",$A338:$B338),'source NetApp-file-sv01-div'!A:A,TEXT('source NetApp-file-sv01-div'!C:C,""yyyy/mm/dd"")))"),"#N/A")</f>
        <v>#N/A</v>
      </c>
    </row>
    <row r="339">
      <c r="A339" s="52" t="s">
        <v>1285</v>
      </c>
      <c r="B339" s="52" t="s">
        <v>43</v>
      </c>
      <c r="C339" s="46" t="s">
        <v>986</v>
      </c>
      <c r="D339" s="53">
        <f>IFERROR(__xludf.DUMMYFUNCTION("XLOOKUP(JOIN(""/"",$A339:$B339),'source merged_div_data'!$A:$A,'source merged_div_data'!B:B)"),12.0)</f>
        <v>12</v>
      </c>
      <c r="E339" s="53">
        <f>IFERROR(__xludf.DUMMYFUNCTION("XLOOKUP(JOIN(""/"",$A339:$B339),'source merged_div_data'!$A:$A,'source merged_div_data'!C:C)"),0.0)</f>
        <v>0</v>
      </c>
      <c r="F339" s="54" t="str">
        <f t="array" ref="F339">IFERROR(
  IFS(
    XLOOKUP(TEXTJOIN("/", TRUE, $A339:$B339), 'source merged_div_data'!$A:$A, 'source merged_div_data'!F:F) &lt; 1024,
      XLOOKUP(TEXTJOIN("/", TRUE, $A339:$B339), 'source merged_div_data'!$A:$A, 'source merged_div_data'!F:F) &amp; " B",
    XLOOKUP(TEXTJOIN("/", TRUE, $A339:$B339), 'source merged_div_data'!$A:$A, 'source merged_div_data'!F:F) &lt; 1048576,
      ROUND(XLOOKUP(TEXTJOIN("/", TRUE, $A339:$B339), 'source merged_div_data'!$A:$A, 'source merged_div_data'!F:F)/1024, 2) &amp; " KB",
    XLOOKUP(TEXTJOIN("/", TRUE, $A339:$B339), 'source merged_div_data'!$A:$A, 'source merged_div_data'!F:F) &lt; 1073741824,
      ROUND(XLOOKUP(TEXTJOIN("/", TRUE, $A339:$B339), 'source merged_div_data'!$A:$A, 'source merged_div_data'!F:F)/1048576, 2) &amp; " MB",
    TRUE,
      ROUND(XLOOKUP(TEXTJOIN("/", TRUE, $A339:$B339), 'source merged_div_data'!$A:$A, 'source merged_div_data'!F:F)/1073741824, 2) &amp; " GB"
  ),
  "×"
)</f>
        <v>377 B</v>
      </c>
      <c r="G339" s="55" t="s">
        <v>1053</v>
      </c>
      <c r="H339" s="55"/>
      <c r="I339" s="55"/>
      <c r="J339" s="55" t="s">
        <v>38</v>
      </c>
      <c r="K339" s="55" t="s">
        <v>43</v>
      </c>
      <c r="L339" s="55" t="s">
        <v>1053</v>
      </c>
      <c r="M339" s="55" t="s">
        <v>1467</v>
      </c>
      <c r="N339" s="52"/>
      <c r="O339" s="55"/>
      <c r="P339" s="37" t="str">
        <f>IFERROR(__xludf.DUMMYFUNCTION("XLOOKUP(JOIN(""/"",$A339:$B339),'source isilon_divまとめ'!$A:$A,'source isilon_divまとめ'!$D:$D,XLOOKUP(JOIN(""\"",$A339:$B339),'source NetApp-file-sv01-div'!A:A,TEXT('source NetApp-file-sv01-div'!C:C,""yyyy/mm/dd"")))"),"#N/A")</f>
        <v>#N/A</v>
      </c>
    </row>
    <row r="340">
      <c r="A340" s="52" t="s">
        <v>1214</v>
      </c>
      <c r="B340" s="52" t="s">
        <v>1286</v>
      </c>
      <c r="C340" s="46" t="s">
        <v>988</v>
      </c>
      <c r="D340" s="53">
        <f>IFERROR(__xludf.DUMMYFUNCTION("XLOOKUP(JOIN(""/"",$A340:$B340),'source merged_div_data'!$A:$A,'source merged_div_data'!B:B)"),2.0)</f>
        <v>2</v>
      </c>
      <c r="E340" s="53">
        <f>IFERROR(__xludf.DUMMYFUNCTION("XLOOKUP(JOIN(""/"",$A340:$B340),'source merged_div_data'!$A:$A,'source merged_div_data'!C:C)"),0.0)</f>
        <v>0</v>
      </c>
      <c r="F340" s="54" t="str">
        <f t="array" ref="F340">IFERROR(
  IFS(
    XLOOKUP(TEXTJOIN("/", TRUE, $A340:$B340), 'source merged_div_data'!$A:$A, 'source merged_div_data'!F:F) &lt; 1024,
      XLOOKUP(TEXTJOIN("/", TRUE, $A340:$B340), 'source merged_div_data'!$A:$A, 'source merged_div_data'!F:F) &amp; " B",
    XLOOKUP(TEXTJOIN("/", TRUE, $A340:$B340), 'source merged_div_data'!$A:$A, 'source merged_div_data'!F:F) &lt; 1048576,
      ROUND(XLOOKUP(TEXTJOIN("/", TRUE, $A340:$B340), 'source merged_div_data'!$A:$A, 'source merged_div_data'!F:F)/1024, 2) &amp; " KB",
    XLOOKUP(TEXTJOIN("/", TRUE, $A340:$B340), 'source merged_div_data'!$A:$A, 'source merged_div_data'!F:F) &lt; 1073741824,
      ROUND(XLOOKUP(TEXTJOIN("/", TRUE, $A340:$B340), 'source merged_div_data'!$A:$A, 'source merged_div_data'!F:F)/1048576, 2) &amp; " MB",
    TRUE,
      ROUND(XLOOKUP(TEXTJOIN("/", TRUE, $A340:$B340), 'source merged_div_data'!$A:$A, 'source merged_div_data'!F:F)/1073741824, 2) &amp; " GB"
  ),
  "×"
)</f>
        <v>36 B</v>
      </c>
      <c r="G340" s="55" t="s">
        <v>1053</v>
      </c>
      <c r="H340" s="55"/>
      <c r="I340" s="55"/>
      <c r="J340" s="46" t="s">
        <v>1215</v>
      </c>
      <c r="K340" s="55"/>
      <c r="L340" s="55" t="s">
        <v>1053</v>
      </c>
      <c r="M340" s="55" t="s">
        <v>1053</v>
      </c>
      <c r="N340" s="52" t="s">
        <v>1102</v>
      </c>
      <c r="O340" s="46" t="s">
        <v>1215</v>
      </c>
      <c r="P340" s="37" t="str">
        <f>IFERROR(__xludf.DUMMYFUNCTION("XLOOKUP(JOIN(""/"",$A340:$B340),'source isilon_divまとめ'!$A:$A,'source isilon_divまとめ'!$D:$D,XLOOKUP(JOIN(""\"",$A340:$B340),'source NetApp-file-sv01-div'!A:A,TEXT('source NetApp-file-sv01-div'!C:C,""yyyy/mm/dd"")))"),"#N/A")</f>
        <v>#N/A</v>
      </c>
    </row>
    <row r="341">
      <c r="A341" s="8" t="s">
        <v>1214</v>
      </c>
      <c r="B341" s="8" t="s">
        <v>1287</v>
      </c>
      <c r="C341" s="7" t="s">
        <v>988</v>
      </c>
      <c r="D341" s="56">
        <f>IFERROR(__xludf.DUMMYFUNCTION("XLOOKUP(JOIN(""/"",$A341:$B341),'source merged_div_data'!$A:$A,'source merged_div_data'!B:B)"),179.0)</f>
        <v>179</v>
      </c>
      <c r="E341" s="56">
        <f>IFERROR(__xludf.DUMMYFUNCTION("XLOOKUP(JOIN(""/"",$A341:$B341),'source merged_div_data'!$A:$A,'source merged_div_data'!C:C)"),1079.0)</f>
        <v>1079</v>
      </c>
      <c r="F341" s="54" t="str">
        <f t="array" ref="F341">IFERROR(
  IFS(
    XLOOKUP(TEXTJOIN("/", TRUE, $A341:$B341), 'source merged_div_data'!$A:$A, 'source merged_div_data'!F:F) &lt; 1024,
      XLOOKUP(TEXTJOIN("/", TRUE, $A341:$B341), 'source merged_div_data'!$A:$A, 'source merged_div_data'!F:F) &amp; " B",
    XLOOKUP(TEXTJOIN("/", TRUE, $A341:$B341), 'source merged_div_data'!$A:$A, 'source merged_div_data'!F:F) &lt; 1048576,
      ROUND(XLOOKUP(TEXTJOIN("/", TRUE, $A341:$B341), 'source merged_div_data'!$A:$A, 'source merged_div_data'!F:F)/1024, 2) &amp; " KB",
    XLOOKUP(TEXTJOIN("/", TRUE, $A341:$B341), 'source merged_div_data'!$A:$A, 'source merged_div_data'!F:F) &lt; 1073741824,
      ROUND(XLOOKUP(TEXTJOIN("/", TRUE, $A341:$B341), 'source merged_div_data'!$A:$A, 'source merged_div_data'!F:F)/1048576, 2) &amp; " MB",
    TRUE,
      ROUND(XLOOKUP(TEXTJOIN("/", TRUE, $A341:$B341), 'source merged_div_data'!$A:$A, 'source merged_div_data'!F:F)/1073741824, 2) &amp; " GB"
  ),
  "×"
)</f>
        <v>2.6 GB</v>
      </c>
      <c r="G341" s="57" t="s">
        <v>2312</v>
      </c>
      <c r="H341" s="58" t="s">
        <v>2177</v>
      </c>
      <c r="I341" s="57"/>
      <c r="J341" s="7" t="s">
        <v>1215</v>
      </c>
      <c r="L341" s="37" t="s">
        <v>1053</v>
      </c>
      <c r="M341" s="37" t="s">
        <v>1053</v>
      </c>
      <c r="N341" s="8" t="s">
        <v>1102</v>
      </c>
      <c r="O341" s="7" t="s">
        <v>1215</v>
      </c>
      <c r="P341" s="57" t="str">
        <f>IFERROR(__xludf.DUMMYFUNCTION("XLOOKUP(JOIN(""/"",$A341:$B341),'source isilon_divまとめ'!$A:$A,'source isilon_divまとめ'!$D:$D,XLOOKUP(JOIN(""\"",$A341:$B341),'source NetApp-file-sv01-div'!A:A,TEXT('source NetApp-file-sv01-div'!C:C,""yyyy/mm/dd"")))"),"2013/12/02")</f>
        <v>2013/12/02</v>
      </c>
    </row>
    <row r="342">
      <c r="A342" s="52" t="s">
        <v>1214</v>
      </c>
      <c r="B342" s="52" t="s">
        <v>1288</v>
      </c>
      <c r="C342" s="46" t="s">
        <v>988</v>
      </c>
      <c r="D342" s="53">
        <f>IFERROR(__xludf.DUMMYFUNCTION("XLOOKUP(JOIN(""/"",$A342:$B342),'source merged_div_data'!$A:$A,'source merged_div_data'!B:B)"),3.0)</f>
        <v>3</v>
      </c>
      <c r="E342" s="53">
        <f>IFERROR(__xludf.DUMMYFUNCTION("XLOOKUP(JOIN(""/"",$A342:$B342),'source merged_div_data'!$A:$A,'source merged_div_data'!C:C)"),0.0)</f>
        <v>0</v>
      </c>
      <c r="F342" s="54" t="str">
        <f t="array" ref="F342">IFERROR(
  IFS(
    XLOOKUP(TEXTJOIN("/", TRUE, $A342:$B342), 'source merged_div_data'!$A:$A, 'source merged_div_data'!F:F) &lt; 1024,
      XLOOKUP(TEXTJOIN("/", TRUE, $A342:$B342), 'source merged_div_data'!$A:$A, 'source merged_div_data'!F:F) &amp; " B",
    XLOOKUP(TEXTJOIN("/", TRUE, $A342:$B342), 'source merged_div_data'!$A:$A, 'source merged_div_data'!F:F) &lt; 1048576,
      ROUND(XLOOKUP(TEXTJOIN("/", TRUE, $A342:$B342), 'source merged_div_data'!$A:$A, 'source merged_div_data'!F:F)/1024, 2) &amp; " KB",
    XLOOKUP(TEXTJOIN("/", TRUE, $A342:$B342), 'source merged_div_data'!$A:$A, 'source merged_div_data'!F:F) &lt; 1073741824,
      ROUND(XLOOKUP(TEXTJOIN("/", TRUE, $A342:$B342), 'source merged_div_data'!$A:$A, 'source merged_div_data'!F:F)/1048576, 2) &amp; " MB",
    TRUE,
      ROUND(XLOOKUP(TEXTJOIN("/", TRUE, $A342:$B342), 'source merged_div_data'!$A:$A, 'source merged_div_data'!F:F)/1073741824, 2) &amp; " GB"
  ),
  "×"
)</f>
        <v>71 B</v>
      </c>
      <c r="G342" s="55" t="s">
        <v>1053</v>
      </c>
      <c r="H342" s="55"/>
      <c r="I342" s="55"/>
      <c r="J342" s="46" t="s">
        <v>1215</v>
      </c>
      <c r="K342" s="55"/>
      <c r="L342" s="55" t="s">
        <v>1053</v>
      </c>
      <c r="M342" s="55" t="s">
        <v>1053</v>
      </c>
      <c r="N342" s="52" t="s">
        <v>1102</v>
      </c>
      <c r="O342" s="46" t="s">
        <v>1215</v>
      </c>
      <c r="P342" s="37" t="str">
        <f>IFERROR(__xludf.DUMMYFUNCTION("XLOOKUP(JOIN(""/"",$A342:$B342),'source isilon_divまとめ'!$A:$A,'source isilon_divまとめ'!$D:$D,XLOOKUP(JOIN(""\"",$A342:$B342),'source NetApp-file-sv01-div'!A:A,TEXT('source NetApp-file-sv01-div'!C:C,""yyyy/mm/dd"")))"),"#N/A")</f>
        <v>#N/A</v>
      </c>
    </row>
    <row r="343">
      <c r="A343" s="52" t="s">
        <v>1214</v>
      </c>
      <c r="B343" s="52" t="s">
        <v>1289</v>
      </c>
      <c r="C343" s="46" t="s">
        <v>986</v>
      </c>
      <c r="D343" s="53">
        <f>IFERROR(__xludf.DUMMYFUNCTION("XLOOKUP(JOIN(""/"",$A343:$B343),'source merged_div_data'!$A:$A,'source merged_div_data'!B:B)"),2.0)</f>
        <v>2</v>
      </c>
      <c r="E343" s="53">
        <f>IFERROR(__xludf.DUMMYFUNCTION("XLOOKUP(JOIN(""/"",$A343:$B343),'source merged_div_data'!$A:$A,'source merged_div_data'!C:C)"),0.0)</f>
        <v>0</v>
      </c>
      <c r="F343" s="54" t="str">
        <f t="array" ref="F343">IFERROR(
  IFS(
    XLOOKUP(TEXTJOIN("/", TRUE, $A343:$B343), 'source merged_div_data'!$A:$A, 'source merged_div_data'!F:F) &lt; 1024,
      XLOOKUP(TEXTJOIN("/", TRUE, $A343:$B343), 'source merged_div_data'!$A:$A, 'source merged_div_data'!F:F) &amp; " B",
    XLOOKUP(TEXTJOIN("/", TRUE, $A343:$B343), 'source merged_div_data'!$A:$A, 'source merged_div_data'!F:F) &lt; 1048576,
      ROUND(XLOOKUP(TEXTJOIN("/", TRUE, $A343:$B343), 'source merged_div_data'!$A:$A, 'source merged_div_data'!F:F)/1024, 2) &amp; " KB",
    XLOOKUP(TEXTJOIN("/", TRUE, $A343:$B343), 'source merged_div_data'!$A:$A, 'source merged_div_data'!F:F) &lt; 1073741824,
      ROUND(XLOOKUP(TEXTJOIN("/", TRUE, $A343:$B343), 'source merged_div_data'!$A:$A, 'source merged_div_data'!F:F)/1048576, 2) &amp; " MB",
    TRUE,
      ROUND(XLOOKUP(TEXTJOIN("/", TRUE, $A343:$B343), 'source merged_div_data'!$A:$A, 'source merged_div_data'!F:F)/1073741824, 2) &amp; " GB"
  ),
  "×"
)</f>
        <v>36 B</v>
      </c>
      <c r="G343" s="55" t="s">
        <v>1053</v>
      </c>
      <c r="H343" s="55"/>
      <c r="I343" s="55"/>
      <c r="J343" s="46" t="s">
        <v>323</v>
      </c>
      <c r="K343" s="46" t="s">
        <v>324</v>
      </c>
      <c r="L343" s="46" t="s">
        <v>1053</v>
      </c>
      <c r="M343" s="46" t="s">
        <v>1547</v>
      </c>
      <c r="N343" s="52" t="s">
        <v>1102</v>
      </c>
      <c r="O343" s="46" t="s">
        <v>1246</v>
      </c>
      <c r="P343" s="37" t="str">
        <f>IFERROR(__xludf.DUMMYFUNCTION("XLOOKUP(JOIN(""/"",$A343:$B343),'source isilon_divまとめ'!$A:$A,'source isilon_divまとめ'!$D:$D,XLOOKUP(JOIN(""\"",$A343:$B343),'source NetApp-file-sv01-div'!A:A,TEXT('source NetApp-file-sv01-div'!C:C,""yyyy/mm/dd"")))"),"#N/A")</f>
        <v>#N/A</v>
      </c>
    </row>
    <row r="344">
      <c r="A344" s="52" t="s">
        <v>1214</v>
      </c>
      <c r="B344" s="52" t="s">
        <v>1290</v>
      </c>
      <c r="C344" s="46" t="s">
        <v>986</v>
      </c>
      <c r="D344" s="53">
        <f>IFERROR(__xludf.DUMMYFUNCTION("XLOOKUP(JOIN(""/"",$A344:$B344),'source merged_div_data'!$A:$A,'source merged_div_data'!B:B)"),3.0)</f>
        <v>3</v>
      </c>
      <c r="E344" s="53">
        <f>IFERROR(__xludf.DUMMYFUNCTION("XLOOKUP(JOIN(""/"",$A344:$B344),'source merged_div_data'!$A:$A,'source merged_div_data'!C:C)"),0.0)</f>
        <v>0</v>
      </c>
      <c r="F344" s="54" t="str">
        <f t="array" ref="F344">IFERROR(
  IFS(
    XLOOKUP(TEXTJOIN("/", TRUE, $A344:$B344), 'source merged_div_data'!$A:$A, 'source merged_div_data'!F:F) &lt; 1024,
      XLOOKUP(TEXTJOIN("/", TRUE, $A344:$B344), 'source merged_div_data'!$A:$A, 'source merged_div_data'!F:F) &amp; " B",
    XLOOKUP(TEXTJOIN("/", TRUE, $A344:$B344), 'source merged_div_data'!$A:$A, 'source merged_div_data'!F:F) &lt; 1048576,
      ROUND(XLOOKUP(TEXTJOIN("/", TRUE, $A344:$B344), 'source merged_div_data'!$A:$A, 'source merged_div_data'!F:F)/1024, 2) &amp; " KB",
    XLOOKUP(TEXTJOIN("/", TRUE, $A344:$B344), 'source merged_div_data'!$A:$A, 'source merged_div_data'!F:F) &lt; 1073741824,
      ROUND(XLOOKUP(TEXTJOIN("/", TRUE, $A344:$B344), 'source merged_div_data'!$A:$A, 'source merged_div_data'!F:F)/1048576, 2) &amp; " MB",
    TRUE,
      ROUND(XLOOKUP(TEXTJOIN("/", TRUE, $A344:$B344), 'source merged_div_data'!$A:$A, 'source merged_div_data'!F:F)/1073741824, 2) &amp; " GB"
  ),
  "×"
)</f>
        <v>70 B</v>
      </c>
      <c r="G344" s="55" t="s">
        <v>1053</v>
      </c>
      <c r="H344" s="55"/>
      <c r="I344" s="55"/>
      <c r="J344" s="46" t="s">
        <v>38</v>
      </c>
      <c r="K344" s="46" t="s">
        <v>51</v>
      </c>
      <c r="L344" s="46" t="s">
        <v>1053</v>
      </c>
      <c r="M344" s="46" t="s">
        <v>2152</v>
      </c>
      <c r="N344" s="52" t="s">
        <v>1102</v>
      </c>
      <c r="O344" s="46" t="s">
        <v>1291</v>
      </c>
      <c r="P344" s="37" t="str">
        <f>IFERROR(__xludf.DUMMYFUNCTION("XLOOKUP(JOIN(""/"",$A344:$B344),'source isilon_divまとめ'!$A:$A,'source isilon_divまとめ'!$D:$D,XLOOKUP(JOIN(""\"",$A344:$B344),'source NetApp-file-sv01-div'!A:A,TEXT('source NetApp-file-sv01-div'!C:C,""yyyy/mm/dd"")))"),"#N/A")</f>
        <v>#N/A</v>
      </c>
    </row>
    <row r="345">
      <c r="A345" s="52" t="s">
        <v>1214</v>
      </c>
      <c r="B345" s="52" t="s">
        <v>1292</v>
      </c>
      <c r="C345" s="46" t="s">
        <v>986</v>
      </c>
      <c r="D345" s="53">
        <f>IFERROR(__xludf.DUMMYFUNCTION("XLOOKUP(JOIN(""/"",$A345:$B345),'source merged_div_data'!$A:$A,'source merged_div_data'!B:B)"),2.0)</f>
        <v>2</v>
      </c>
      <c r="E345" s="53">
        <f>IFERROR(__xludf.DUMMYFUNCTION("XLOOKUP(JOIN(""/"",$A345:$B345),'source merged_div_data'!$A:$A,'source merged_div_data'!C:C)"),0.0)</f>
        <v>0</v>
      </c>
      <c r="F345" s="54" t="str">
        <f t="array" ref="F345">IFERROR(
  IFS(
    XLOOKUP(TEXTJOIN("/", TRUE, $A345:$B345), 'source merged_div_data'!$A:$A, 'source merged_div_data'!F:F) &lt; 1024,
      XLOOKUP(TEXTJOIN("/", TRUE, $A345:$B345), 'source merged_div_data'!$A:$A, 'source merged_div_data'!F:F) &amp; " B",
    XLOOKUP(TEXTJOIN("/", TRUE, $A345:$B345), 'source merged_div_data'!$A:$A, 'source merged_div_data'!F:F) &lt; 1048576,
      ROUND(XLOOKUP(TEXTJOIN("/", TRUE, $A345:$B345), 'source merged_div_data'!$A:$A, 'source merged_div_data'!F:F)/1024, 2) &amp; " KB",
    XLOOKUP(TEXTJOIN("/", TRUE, $A345:$B345), 'source merged_div_data'!$A:$A, 'source merged_div_data'!F:F) &lt; 1073741824,
      ROUND(XLOOKUP(TEXTJOIN("/", TRUE, $A345:$B345), 'source merged_div_data'!$A:$A, 'source merged_div_data'!F:F)/1048576, 2) &amp; " MB",
    TRUE,
      ROUND(XLOOKUP(TEXTJOIN("/", TRUE, $A345:$B345), 'source merged_div_data'!$A:$A, 'source merged_div_data'!F:F)/1073741824, 2) &amp; " GB"
  ),
  "×"
)</f>
        <v>36 B</v>
      </c>
      <c r="G345" s="55" t="s">
        <v>1053</v>
      </c>
      <c r="H345" s="55"/>
      <c r="I345" s="55"/>
      <c r="J345" s="46" t="s">
        <v>391</v>
      </c>
      <c r="K345" s="55"/>
      <c r="L345" s="46" t="s">
        <v>2116</v>
      </c>
      <c r="M345" s="55" t="s">
        <v>1053</v>
      </c>
      <c r="N345" s="52" t="s">
        <v>1102</v>
      </c>
      <c r="O345" s="46" t="s">
        <v>391</v>
      </c>
      <c r="P345" s="37" t="str">
        <f>IFERROR(__xludf.DUMMYFUNCTION("XLOOKUP(JOIN(""/"",$A345:$B345),'source isilon_divまとめ'!$A:$A,'source isilon_divまとめ'!$D:$D,XLOOKUP(JOIN(""\"",$A345:$B345),'source NetApp-file-sv01-div'!A:A,TEXT('source NetApp-file-sv01-div'!C:C,""yyyy/mm/dd"")))"),"#N/A")</f>
        <v>#N/A</v>
      </c>
    </row>
    <row r="346">
      <c r="A346" s="8" t="s">
        <v>1214</v>
      </c>
      <c r="B346" s="8" t="s">
        <v>1104</v>
      </c>
      <c r="C346" s="7" t="s">
        <v>988</v>
      </c>
      <c r="D346" s="56">
        <f>IFERROR(__xludf.DUMMYFUNCTION("XLOOKUP(JOIN(""/"",$A346:$B346),'source merged_div_data'!$A:$A,'source merged_div_data'!B:B)"),2.0)</f>
        <v>2</v>
      </c>
      <c r="E346" s="56">
        <f>IFERROR(__xludf.DUMMYFUNCTION("XLOOKUP(JOIN(""/"",$A346:$B346),'source merged_div_data'!$A:$A,'source merged_div_data'!C:C)"),37.0)</f>
        <v>37</v>
      </c>
      <c r="F346" s="54" t="str">
        <f t="array" ref="F346">IFERROR(
  IFS(
    XLOOKUP(TEXTJOIN("/", TRUE, $A346:$B346), 'source merged_div_data'!$A:$A, 'source merged_div_data'!F:F) &lt; 1024,
      XLOOKUP(TEXTJOIN("/", TRUE, $A346:$B346), 'source merged_div_data'!$A:$A, 'source merged_div_data'!F:F) &amp; " B",
    XLOOKUP(TEXTJOIN("/", TRUE, $A346:$B346), 'source merged_div_data'!$A:$A, 'source merged_div_data'!F:F) &lt; 1048576,
      ROUND(XLOOKUP(TEXTJOIN("/", TRUE, $A346:$B346), 'source merged_div_data'!$A:$A, 'source merged_div_data'!F:F)/1024, 2) &amp; " KB",
    XLOOKUP(TEXTJOIN("/", TRUE, $A346:$B346), 'source merged_div_data'!$A:$A, 'source merged_div_data'!F:F) &lt; 1073741824,
      ROUND(XLOOKUP(TEXTJOIN("/", TRUE, $A346:$B346), 'source merged_div_data'!$A:$A, 'source merged_div_data'!F:F)/1048576, 2) &amp; " MB",
    TRUE,
      ROUND(XLOOKUP(TEXTJOIN("/", TRUE, $A346:$B346), 'source merged_div_data'!$A:$A, 'source merged_div_data'!F:F)/1073741824, 2) &amp; " GB"
  ),
  "×"
)</f>
        <v>112.53 MB</v>
      </c>
      <c r="G346" s="57" t="s">
        <v>2313</v>
      </c>
      <c r="H346" s="58" t="s">
        <v>2177</v>
      </c>
      <c r="I346" s="57"/>
      <c r="J346" s="7" t="s">
        <v>1105</v>
      </c>
      <c r="L346" s="37" t="s">
        <v>1053</v>
      </c>
      <c r="M346" s="37" t="s">
        <v>1053</v>
      </c>
      <c r="N346" s="8" t="s">
        <v>1102</v>
      </c>
      <c r="O346" s="7" t="s">
        <v>1105</v>
      </c>
      <c r="P346" s="57" t="str">
        <f>IFERROR(__xludf.DUMMYFUNCTION("XLOOKUP(JOIN(""/"",$A346:$B346),'source isilon_divまとめ'!$A:$A,'source isilon_divまとめ'!$D:$D,XLOOKUP(JOIN(""\"",$A346:$B346),'source NetApp-file-sv01-div'!A:A,TEXT('source NetApp-file-sv01-div'!C:C,""yyyy/mm/dd"")))"),"2013/07/24")</f>
        <v>2013/07/24</v>
      </c>
    </row>
    <row r="347">
      <c r="A347" s="52" t="s">
        <v>1293</v>
      </c>
      <c r="B347" s="52" t="s">
        <v>1294</v>
      </c>
      <c r="C347" s="46" t="s">
        <v>986</v>
      </c>
      <c r="D347" s="53">
        <f>IFERROR(__xludf.DUMMYFUNCTION("XLOOKUP(JOIN(""/"",$A347:$B347),'source merged_div_data'!$A:$A,'source merged_div_data'!B:B)"),10.0)</f>
        <v>10</v>
      </c>
      <c r="E347" s="53">
        <f>IFERROR(__xludf.DUMMYFUNCTION("XLOOKUP(JOIN(""/"",$A347:$B347),'source merged_div_data'!$A:$A,'source merged_div_data'!C:C)"),0.0)</f>
        <v>0</v>
      </c>
      <c r="F347" s="54" t="str">
        <f t="array" ref="F347">IFERROR(
  IFS(
    XLOOKUP(TEXTJOIN("/", TRUE, $A347:$B347), 'source merged_div_data'!$A:$A, 'source merged_div_data'!F:F) &lt; 1024,
      XLOOKUP(TEXTJOIN("/", TRUE, $A347:$B347), 'source merged_div_data'!$A:$A, 'source merged_div_data'!F:F) &amp; " B",
    XLOOKUP(TEXTJOIN("/", TRUE, $A347:$B347), 'source merged_div_data'!$A:$A, 'source merged_div_data'!F:F) &lt; 1048576,
      ROUND(XLOOKUP(TEXTJOIN("/", TRUE, $A347:$B347), 'source merged_div_data'!$A:$A, 'source merged_div_data'!F:F)/1024, 2) &amp; " KB",
    XLOOKUP(TEXTJOIN("/", TRUE, $A347:$B347), 'source merged_div_data'!$A:$A, 'source merged_div_data'!F:F) &lt; 1073741824,
      ROUND(XLOOKUP(TEXTJOIN("/", TRUE, $A347:$B347), 'source merged_div_data'!$A:$A, 'source merged_div_data'!F:F)/1048576, 2) &amp; " MB",
    TRUE,
      ROUND(XLOOKUP(TEXTJOIN("/", TRUE, $A347:$B347), 'source merged_div_data'!$A:$A, 'source merged_div_data'!F:F)/1073741824, 2) &amp; " GB"
  ),
  "×"
)</f>
        <v>295 B</v>
      </c>
      <c r="G347" s="55" t="s">
        <v>1053</v>
      </c>
      <c r="H347" s="55"/>
      <c r="I347" s="55"/>
      <c r="J347" s="46" t="s">
        <v>440</v>
      </c>
      <c r="K347" s="46" t="s">
        <v>441</v>
      </c>
      <c r="L347" s="46" t="s">
        <v>1723</v>
      </c>
      <c r="M347" s="46" t="s">
        <v>2119</v>
      </c>
      <c r="N347" s="52" t="s">
        <v>1102</v>
      </c>
      <c r="O347" s="46" t="s">
        <v>441</v>
      </c>
      <c r="P347" s="37" t="str">
        <f>IFERROR(__xludf.DUMMYFUNCTION("XLOOKUP(JOIN(""/"",$A347:$B347),'source isilon_divまとめ'!$A:$A,'source isilon_divまとめ'!$D:$D,XLOOKUP(JOIN(""\"",$A347:$B347),'source NetApp-file-sv01-div'!A:A,TEXT('source NetApp-file-sv01-div'!C:C,""yyyy/mm/dd"")))"),"#N/A")</f>
        <v>#N/A</v>
      </c>
    </row>
    <row r="348">
      <c r="A348" s="8" t="s">
        <v>1293</v>
      </c>
      <c r="B348" s="8" t="s">
        <v>4</v>
      </c>
      <c r="C348" s="8" t="s">
        <v>985</v>
      </c>
      <c r="D348" s="56">
        <f>IFERROR(__xludf.DUMMYFUNCTION("XLOOKUP(JOIN(""/"",$A348:$B348),'source merged_div_data'!$A:$A,'source merged_div_data'!B:B)"),907.0)</f>
        <v>907</v>
      </c>
      <c r="E348" s="56">
        <f>IFERROR(__xludf.DUMMYFUNCTION("XLOOKUP(JOIN(""/"",$A348:$B348),'source merged_div_data'!$A:$A,'source merged_div_data'!C:C)"),4213.0)</f>
        <v>4213</v>
      </c>
      <c r="F348" s="54" t="str">
        <f t="array" ref="F348">IFERROR(
  IFS(
    XLOOKUP(TEXTJOIN("/", TRUE, $A348:$B348), 'source merged_div_data'!$A:$A, 'source merged_div_data'!F:F) &lt; 1024,
      XLOOKUP(TEXTJOIN("/", TRUE, $A348:$B348), 'source merged_div_data'!$A:$A, 'source merged_div_data'!F:F) &amp; " B",
    XLOOKUP(TEXTJOIN("/", TRUE, $A348:$B348), 'source merged_div_data'!$A:$A, 'source merged_div_data'!F:F) &lt; 1048576,
      ROUND(XLOOKUP(TEXTJOIN("/", TRUE, $A348:$B348), 'source merged_div_data'!$A:$A, 'source merged_div_data'!F:F)/1024, 2) &amp; " KB",
    XLOOKUP(TEXTJOIN("/", TRUE, $A348:$B348), 'source merged_div_data'!$A:$A, 'source merged_div_data'!F:F) &lt; 1073741824,
      ROUND(XLOOKUP(TEXTJOIN("/", TRUE, $A348:$B348), 'source merged_div_data'!$A:$A, 'source merged_div_data'!F:F)/1048576, 2) &amp; " MB",
    TRUE,
      ROUND(XLOOKUP(TEXTJOIN("/", TRUE, $A348:$B348), 'source merged_div_data'!$A:$A, 'source merged_div_data'!F:F)/1073741824, 2) &amp; " GB"
  ),
  "×"
)</f>
        <v>3 GB</v>
      </c>
      <c r="G348" s="57" t="s">
        <v>2314</v>
      </c>
      <c r="H348" s="58" t="s">
        <v>2184</v>
      </c>
      <c r="I348" s="57"/>
      <c r="J348" s="37" t="s">
        <v>3</v>
      </c>
      <c r="K348" s="37" t="s">
        <v>4</v>
      </c>
      <c r="L348" s="37" t="s">
        <v>1053</v>
      </c>
      <c r="M348" s="37" t="s">
        <v>2126</v>
      </c>
      <c r="N348" s="8"/>
      <c r="P348" s="57" t="str">
        <f>IFERROR(__xludf.DUMMYFUNCTION("XLOOKUP(JOIN(""/"",$A348:$B348),'source isilon_divまとめ'!$A:$A,'source isilon_divまとめ'!$D:$D,XLOOKUP(JOIN(""\"",$A348:$B348),'source NetApp-file-sv01-div'!A:A,TEXT('source NetApp-file-sv01-div'!C:C,""yyyy/mm/dd"")))"),"2024/08/20")</f>
        <v>2024/08/20</v>
      </c>
    </row>
    <row r="349">
      <c r="A349" s="8" t="s">
        <v>1293</v>
      </c>
      <c r="B349" s="8" t="s">
        <v>104</v>
      </c>
      <c r="C349" s="8" t="s">
        <v>985</v>
      </c>
      <c r="D349" s="56">
        <f>IFERROR(__xludf.DUMMYFUNCTION("XLOOKUP(JOIN(""/"",$A349:$B349),'source merged_div_data'!$A:$A,'source merged_div_data'!B:B)"),15096.0)</f>
        <v>15096</v>
      </c>
      <c r="E349" s="56">
        <f>IFERROR(__xludf.DUMMYFUNCTION("XLOOKUP(JOIN(""/"",$A349:$B349),'source merged_div_data'!$A:$A,'source merged_div_data'!C:C)"),51869.0)</f>
        <v>51869</v>
      </c>
      <c r="F349" s="54" t="str">
        <f t="array" ref="F349">IFERROR(
  IFS(
    XLOOKUP(TEXTJOIN("/", TRUE, $A349:$B349), 'source merged_div_data'!$A:$A, 'source merged_div_data'!F:F) &lt; 1024,
      XLOOKUP(TEXTJOIN("/", TRUE, $A349:$B349), 'source merged_div_data'!$A:$A, 'source merged_div_data'!F:F) &amp; " B",
    XLOOKUP(TEXTJOIN("/", TRUE, $A349:$B349), 'source merged_div_data'!$A:$A, 'source merged_div_data'!F:F) &lt; 1048576,
      ROUND(XLOOKUP(TEXTJOIN("/", TRUE, $A349:$B349), 'source merged_div_data'!$A:$A, 'source merged_div_data'!F:F)/1024, 2) &amp; " KB",
    XLOOKUP(TEXTJOIN("/", TRUE, $A349:$B349), 'source merged_div_data'!$A:$A, 'source merged_div_data'!F:F) &lt; 1073741824,
      ROUND(XLOOKUP(TEXTJOIN("/", TRUE, $A349:$B349), 'source merged_div_data'!$A:$A, 'source merged_div_data'!F:F)/1048576, 2) &amp; " MB",
    TRUE,
      ROUND(XLOOKUP(TEXTJOIN("/", TRUE, $A349:$B349), 'source merged_div_data'!$A:$A, 'source merged_div_data'!F:F)/1073741824, 2) &amp; " GB"
  ),
  "×"
)</f>
        <v>23.38 GB</v>
      </c>
      <c r="G349" s="57" t="s">
        <v>2315</v>
      </c>
      <c r="H349" s="58" t="s">
        <v>2177</v>
      </c>
      <c r="I349" s="57"/>
      <c r="J349" s="37" t="s">
        <v>101</v>
      </c>
      <c r="K349" s="37" t="s">
        <v>104</v>
      </c>
      <c r="L349" s="37" t="s">
        <v>1053</v>
      </c>
      <c r="M349" s="37" t="s">
        <v>2027</v>
      </c>
      <c r="N349" s="8"/>
      <c r="P349" s="57" t="str">
        <f>IFERROR(__xludf.DUMMYFUNCTION("XLOOKUP(JOIN(""/"",$A349:$B349),'source isilon_divまとめ'!$A:$A,'source isilon_divまとめ'!$D:$D,XLOOKUP(JOIN(""\"",$A349:$B349),'source NetApp-file-sv01-div'!A:A,TEXT('source NetApp-file-sv01-div'!C:C,""yyyy/mm/dd"")))"),"2021/08/10")</f>
        <v>2021/08/10</v>
      </c>
    </row>
    <row r="350">
      <c r="A350" s="8" t="s">
        <v>1293</v>
      </c>
      <c r="B350" s="8" t="s">
        <v>441</v>
      </c>
      <c r="C350" s="8" t="s">
        <v>985</v>
      </c>
      <c r="D350" s="56">
        <f>IFERROR(__xludf.DUMMYFUNCTION("XLOOKUP(JOIN(""/"",$A350:$B350),'source merged_div_data'!$A:$A,'source merged_div_data'!B:B)"),3315.0)</f>
        <v>3315</v>
      </c>
      <c r="E350" s="56">
        <f>IFERROR(__xludf.DUMMYFUNCTION("XLOOKUP(JOIN(""/"",$A350:$B350),'source merged_div_data'!$A:$A,'source merged_div_data'!C:C)"),23560.0)</f>
        <v>23560</v>
      </c>
      <c r="F350" s="54" t="str">
        <f t="array" ref="F350">IFERROR(
  IFS(
    XLOOKUP(TEXTJOIN("/", TRUE, $A350:$B350), 'source merged_div_data'!$A:$A, 'source merged_div_data'!F:F) &lt; 1024,
      XLOOKUP(TEXTJOIN("/", TRUE, $A350:$B350), 'source merged_div_data'!$A:$A, 'source merged_div_data'!F:F) &amp; " B",
    XLOOKUP(TEXTJOIN("/", TRUE, $A350:$B350), 'source merged_div_data'!$A:$A, 'source merged_div_data'!F:F) &lt; 1048576,
      ROUND(XLOOKUP(TEXTJOIN("/", TRUE, $A350:$B350), 'source merged_div_data'!$A:$A, 'source merged_div_data'!F:F)/1024, 2) &amp; " KB",
    XLOOKUP(TEXTJOIN("/", TRUE, $A350:$B350), 'source merged_div_data'!$A:$A, 'source merged_div_data'!F:F) &lt; 1073741824,
      ROUND(XLOOKUP(TEXTJOIN("/", TRUE, $A350:$B350), 'source merged_div_data'!$A:$A, 'source merged_div_data'!F:F)/1048576, 2) &amp; " MB",
    TRUE,
      ROUND(XLOOKUP(TEXTJOIN("/", TRUE, $A350:$B350), 'source merged_div_data'!$A:$A, 'source merged_div_data'!F:F)/1073741824, 2) &amp; " GB"
  ),
  "×"
)</f>
        <v>122.7 GB</v>
      </c>
      <c r="G350" s="57" t="s">
        <v>2316</v>
      </c>
      <c r="H350" s="58" t="s">
        <v>2177</v>
      </c>
      <c r="I350" s="57"/>
      <c r="J350" s="37" t="s">
        <v>440</v>
      </c>
      <c r="K350" s="37" t="s">
        <v>441</v>
      </c>
      <c r="L350" s="37" t="s">
        <v>1723</v>
      </c>
      <c r="M350" s="37" t="s">
        <v>2119</v>
      </c>
      <c r="N350" s="8"/>
      <c r="P350" s="57" t="str">
        <f>IFERROR(__xludf.DUMMYFUNCTION("XLOOKUP(JOIN(""/"",$A350:$B350),'source isilon_divまとめ'!$A:$A,'source isilon_divまとめ'!$D:$D,XLOOKUP(JOIN(""\"",$A350:$B350),'source NetApp-file-sv01-div'!A:A,TEXT('source NetApp-file-sv01-div'!C:C,""yyyy/mm/dd"")))"),"2018/10/31")</f>
        <v>2018/10/31</v>
      </c>
    </row>
    <row r="351">
      <c r="A351" s="52" t="s">
        <v>1293</v>
      </c>
      <c r="B351" s="52" t="s">
        <v>953</v>
      </c>
      <c r="C351" s="46" t="s">
        <v>986</v>
      </c>
      <c r="D351" s="53">
        <f>IFERROR(__xludf.DUMMYFUNCTION("XLOOKUP(JOIN(""/"",$A351:$B351),'source merged_div_data'!$A:$A,'source merged_div_data'!B:B)"),10.0)</f>
        <v>10</v>
      </c>
      <c r="E351" s="53">
        <f>IFERROR(__xludf.DUMMYFUNCTION("XLOOKUP(JOIN(""/"",$A351:$B351),'source merged_div_data'!$A:$A,'source merged_div_data'!C:C)"),0.0)</f>
        <v>0</v>
      </c>
      <c r="F351" s="54" t="str">
        <f t="array" ref="F351">IFERROR(
  IFS(
    XLOOKUP(TEXTJOIN("/", TRUE, $A351:$B351), 'source merged_div_data'!$A:$A, 'source merged_div_data'!F:F) &lt; 1024,
      XLOOKUP(TEXTJOIN("/", TRUE, $A351:$B351), 'source merged_div_data'!$A:$A, 'source merged_div_data'!F:F) &amp; " B",
    XLOOKUP(TEXTJOIN("/", TRUE, $A351:$B351), 'source merged_div_data'!$A:$A, 'source merged_div_data'!F:F) &lt; 1048576,
      ROUND(XLOOKUP(TEXTJOIN("/", TRUE, $A351:$B351), 'source merged_div_data'!$A:$A, 'source merged_div_data'!F:F)/1024, 2) &amp; " KB",
    XLOOKUP(TEXTJOIN("/", TRUE, $A351:$B351), 'source merged_div_data'!$A:$A, 'source merged_div_data'!F:F) &lt; 1073741824,
      ROUND(XLOOKUP(TEXTJOIN("/", TRUE, $A351:$B351), 'source merged_div_data'!$A:$A, 'source merged_div_data'!F:F)/1048576, 2) &amp; " MB",
    TRUE,
      ROUND(XLOOKUP(TEXTJOIN("/", TRUE, $A351:$B351), 'source merged_div_data'!$A:$A, 'source merged_div_data'!F:F)/1073741824, 2) &amp; " GB"
  ),
  "×"
)</f>
        <v>322 B</v>
      </c>
      <c r="G351" s="55" t="s">
        <v>1053</v>
      </c>
      <c r="H351" s="55"/>
      <c r="I351" s="55"/>
      <c r="J351" s="55" t="s">
        <v>478</v>
      </c>
      <c r="K351" s="55" t="s">
        <v>953</v>
      </c>
      <c r="L351" s="55" t="s">
        <v>1066</v>
      </c>
      <c r="M351" s="55" t="s">
        <v>1053</v>
      </c>
      <c r="N351" s="52"/>
      <c r="O351" s="55"/>
      <c r="P351" s="37" t="str">
        <f>IFERROR(__xludf.DUMMYFUNCTION("XLOOKUP(JOIN(""/"",$A351:$B351),'source isilon_divまとめ'!$A:$A,'source isilon_divまとめ'!$D:$D,XLOOKUP(JOIN(""\"",$A351:$B351),'source NetApp-file-sv01-div'!A:A,TEXT('source NetApp-file-sv01-div'!C:C,""yyyy/mm/dd"")))"),"#N/A")</f>
        <v>#N/A</v>
      </c>
    </row>
    <row r="352">
      <c r="A352" s="52" t="s">
        <v>1293</v>
      </c>
      <c r="B352" s="52" t="s">
        <v>1111</v>
      </c>
      <c r="C352" s="46" t="s">
        <v>988</v>
      </c>
      <c r="D352" s="53">
        <f>IFERROR(__xludf.DUMMYFUNCTION("XLOOKUP(JOIN(""/"",$A352:$B352),'source merged_div_data'!$A:$A,'source merged_div_data'!B:B)"),1.0)</f>
        <v>1</v>
      </c>
      <c r="E352" s="53">
        <f>IFERROR(__xludf.DUMMYFUNCTION("XLOOKUP(JOIN(""/"",$A352:$B352),'source merged_div_data'!$A:$A,'source merged_div_data'!C:C)"),0.0)</f>
        <v>0</v>
      </c>
      <c r="F352" s="54" t="str">
        <f t="array" ref="F352">IFERROR(
  IFS(
    XLOOKUP(TEXTJOIN("/", TRUE, $A352:$B352), 'source merged_div_data'!$A:$A, 'source merged_div_data'!F:F) &lt; 1024,
      XLOOKUP(TEXTJOIN("/", TRUE, $A352:$B352), 'source merged_div_data'!$A:$A, 'source merged_div_data'!F:F) &amp; " B",
    XLOOKUP(TEXTJOIN("/", TRUE, $A352:$B352), 'source merged_div_data'!$A:$A, 'source merged_div_data'!F:F) &lt; 1048576,
      ROUND(XLOOKUP(TEXTJOIN("/", TRUE, $A352:$B352), 'source merged_div_data'!$A:$A, 'source merged_div_data'!F:F)/1024, 2) &amp; " KB",
    XLOOKUP(TEXTJOIN("/", TRUE, $A352:$B352), 'source merged_div_data'!$A:$A, 'source merged_div_data'!F:F) &lt; 1073741824,
      ROUND(XLOOKUP(TEXTJOIN("/", TRUE, $A352:$B352), 'source merged_div_data'!$A:$A, 'source merged_div_data'!F:F)/1048576, 2) &amp; " MB",
    TRUE,
      ROUND(XLOOKUP(TEXTJOIN("/", TRUE, $A352:$B352), 'source merged_div_data'!$A:$A, 'source merged_div_data'!F:F)/1073741824, 2) &amp; " GB"
  ),
  "×"
)</f>
        <v>0 B</v>
      </c>
      <c r="G352" s="55" t="s">
        <v>1053</v>
      </c>
      <c r="H352" s="55"/>
      <c r="I352" s="55"/>
      <c r="J352" s="46" t="s">
        <v>1105</v>
      </c>
      <c r="K352" s="55"/>
      <c r="L352" s="55" t="s">
        <v>1053</v>
      </c>
      <c r="M352" s="55" t="s">
        <v>1053</v>
      </c>
      <c r="N352" s="52" t="s">
        <v>1102</v>
      </c>
      <c r="O352" s="46" t="s">
        <v>1105</v>
      </c>
      <c r="P352" s="37" t="str">
        <f>IFERROR(__xludf.DUMMYFUNCTION("XLOOKUP(JOIN(""/"",$A352:$B352),'source isilon_divまとめ'!$A:$A,'source isilon_divまとめ'!$D:$D,XLOOKUP(JOIN(""\"",$A352:$B352),'source NetApp-file-sv01-div'!A:A,TEXT('source NetApp-file-sv01-div'!C:C,""yyyy/mm/dd"")))"),"#N/A")</f>
        <v>#N/A</v>
      </c>
    </row>
    <row r="353">
      <c r="A353" s="8" t="s">
        <v>1295</v>
      </c>
      <c r="B353" s="8" t="s">
        <v>1296</v>
      </c>
      <c r="C353" s="7" t="s">
        <v>988</v>
      </c>
      <c r="D353" s="37" t="str">
        <f>IFERROR(__xludf.DUMMYFUNCTION("XLOOKUP(JOIN(""/"",$A353:$B353),'source merged_div_data'!$A:$A,'source merged_div_data'!B:B)"),"#N/A")</f>
        <v>#N/A</v>
      </c>
      <c r="E353" s="37" t="str">
        <f>IFERROR(__xludf.DUMMYFUNCTION("XLOOKUP(JOIN(""/"",$A353:$B353),'source merged_div_data'!$A:$A,'source merged_div_data'!C:C)"),"#N/A")</f>
        <v>#N/A</v>
      </c>
      <c r="F353" s="54" t="str">
        <f t="array" ref="F353">IFERROR(
  IFS(
    XLOOKUP(TEXTJOIN("/", TRUE, $A353:$B353), 'source merged_div_data'!$A:$A, 'source merged_div_data'!F:F) &lt; 1024,
      XLOOKUP(TEXTJOIN("/", TRUE, $A353:$B353), 'source merged_div_data'!$A:$A, 'source merged_div_data'!F:F) &amp; " B",
    XLOOKUP(TEXTJOIN("/", TRUE, $A353:$B353), 'source merged_div_data'!$A:$A, 'source merged_div_data'!F:F) &lt; 1048576,
      ROUND(XLOOKUP(TEXTJOIN("/", TRUE, $A353:$B353), 'source merged_div_data'!$A:$A, 'source merged_div_data'!F:F)/1024, 2) &amp; " KB",
    XLOOKUP(TEXTJOIN("/", TRUE, $A353:$B353), 'source merged_div_data'!$A:$A, 'source merged_div_data'!F:F) &lt; 1073741824,
      ROUND(XLOOKUP(TEXTJOIN("/", TRUE, $A353:$B353), 'source merged_div_data'!$A:$A, 'source merged_div_data'!F:F)/1048576, 2) &amp; " MB",
    TRUE,
      ROUND(XLOOKUP(TEXTJOIN("/", TRUE, $A353:$B353), 'source merged_div_data'!$A:$A, 'source merged_div_data'!F:F)/1073741824, 2) &amp; " GB"
  ),
  "×"
)</f>
        <v>×</v>
      </c>
      <c r="G353" s="37" t="s">
        <v>1053</v>
      </c>
      <c r="H353" s="7" t="s">
        <v>2177</v>
      </c>
      <c r="I353" s="37"/>
      <c r="J353" s="7" t="s">
        <v>1105</v>
      </c>
      <c r="L353" s="37" t="s">
        <v>1053</v>
      </c>
      <c r="M353" s="37" t="s">
        <v>1053</v>
      </c>
      <c r="N353" s="8" t="s">
        <v>1297</v>
      </c>
      <c r="O353" s="7" t="s">
        <v>1105</v>
      </c>
      <c r="P353" s="37" t="str">
        <f>IFERROR(__xludf.DUMMYFUNCTION("XLOOKUP(JOIN(""/"",$A353:$B353),'source isilon_divまとめ'!$A:$A,'source isilon_divまとめ'!$D:$D,XLOOKUP(JOIN(""\"",$A353:$B353),'source NetApp-file-sv01-div'!A:A,TEXT('source NetApp-file-sv01-div'!C:C,""yyyy/mm/dd"")))"),"#N/A")</f>
        <v>#N/A</v>
      </c>
    </row>
    <row r="354">
      <c r="A354" s="52" t="s">
        <v>1051</v>
      </c>
      <c r="B354" s="52" t="s">
        <v>432</v>
      </c>
      <c r="C354" s="46" t="s">
        <v>986</v>
      </c>
      <c r="D354" s="53">
        <f>IFERROR(__xludf.DUMMYFUNCTION("XLOOKUP(JOIN(""/"",$A354:$B354),'source merged_div_data'!$A:$A,'source merged_div_data'!B:B)"),6.0)</f>
        <v>6</v>
      </c>
      <c r="E354" s="53">
        <f>IFERROR(__xludf.DUMMYFUNCTION("XLOOKUP(JOIN(""/"",$A354:$B354),'source merged_div_data'!$A:$A,'source merged_div_data'!C:C)"),0.0)</f>
        <v>0</v>
      </c>
      <c r="F354" s="54" t="str">
        <f t="array" ref="F354">IFERROR(
  IFS(
    XLOOKUP(TEXTJOIN("/", TRUE, $A354:$B354), 'source merged_div_data'!$A:$A, 'source merged_div_data'!F:F) &lt; 1024,
      XLOOKUP(TEXTJOIN("/", TRUE, $A354:$B354), 'source merged_div_data'!$A:$A, 'source merged_div_data'!F:F) &amp; " B",
    XLOOKUP(TEXTJOIN("/", TRUE, $A354:$B354), 'source merged_div_data'!$A:$A, 'source merged_div_data'!F:F) &lt; 1048576,
      ROUND(XLOOKUP(TEXTJOIN("/", TRUE, $A354:$B354), 'source merged_div_data'!$A:$A, 'source merged_div_data'!F:F)/1024, 2) &amp; " KB",
    XLOOKUP(TEXTJOIN("/", TRUE, $A354:$B354), 'source merged_div_data'!$A:$A, 'source merged_div_data'!F:F) &lt; 1073741824,
      ROUND(XLOOKUP(TEXTJOIN("/", TRUE, $A354:$B354), 'source merged_div_data'!$A:$A, 'source merged_div_data'!F:F)/1048576, 2) &amp; " MB",
    TRUE,
      ROUND(XLOOKUP(TEXTJOIN("/", TRUE, $A354:$B354), 'source merged_div_data'!$A:$A, 'source merged_div_data'!F:F)/1073741824, 2) &amp; " GB"
  ),
  "×"
)</f>
        <v>179 B</v>
      </c>
      <c r="G354" s="55" t="s">
        <v>1053</v>
      </c>
      <c r="H354" s="55"/>
      <c r="I354" s="55"/>
      <c r="J354" s="55" t="s">
        <v>429</v>
      </c>
      <c r="K354" s="55" t="s">
        <v>432</v>
      </c>
      <c r="L354" s="55" t="s">
        <v>2096</v>
      </c>
      <c r="M354" s="55" t="s">
        <v>2109</v>
      </c>
      <c r="N354" s="52"/>
      <c r="O354" s="55"/>
      <c r="P354" s="37" t="str">
        <f>IFERROR(__xludf.DUMMYFUNCTION("XLOOKUP(JOIN(""/"",$A354:$B354),'source isilon_divまとめ'!$A:$A,'source isilon_divまとめ'!$D:$D,XLOOKUP(JOIN(""\"",$A354:$B354),'source NetApp-file-sv01-div'!A:A,TEXT('source NetApp-file-sv01-div'!C:C,""yyyy/mm/dd"")))"),"#N/A")</f>
        <v>#N/A</v>
      </c>
    </row>
    <row r="355">
      <c r="A355" s="52" t="s">
        <v>1051</v>
      </c>
      <c r="B355" s="52" t="s">
        <v>1134</v>
      </c>
      <c r="C355" s="46" t="s">
        <v>988</v>
      </c>
      <c r="D355" s="53">
        <f>IFERROR(__xludf.DUMMYFUNCTION("XLOOKUP(JOIN(""/"",$A355:$B355),'source merged_div_data'!$A:$A,'source merged_div_data'!B:B)"),7.0)</f>
        <v>7</v>
      </c>
      <c r="E355" s="53">
        <f>IFERROR(__xludf.DUMMYFUNCTION("XLOOKUP(JOIN(""/"",$A355:$B355),'source merged_div_data'!$A:$A,'source merged_div_data'!C:C)"),0.0)</f>
        <v>0</v>
      </c>
      <c r="F355" s="54" t="str">
        <f t="array" ref="F355">IFERROR(
  IFS(
    XLOOKUP(TEXTJOIN("/", TRUE, $A355:$B355), 'source merged_div_data'!$A:$A, 'source merged_div_data'!F:F) &lt; 1024,
      XLOOKUP(TEXTJOIN("/", TRUE, $A355:$B355), 'source merged_div_data'!$A:$A, 'source merged_div_data'!F:F) &amp; " B",
    XLOOKUP(TEXTJOIN("/", TRUE, $A355:$B355), 'source merged_div_data'!$A:$A, 'source merged_div_data'!F:F) &lt; 1048576,
      ROUND(XLOOKUP(TEXTJOIN("/", TRUE, $A355:$B355), 'source merged_div_data'!$A:$A, 'source merged_div_data'!F:F)/1024, 2) &amp; " KB",
    XLOOKUP(TEXTJOIN("/", TRUE, $A355:$B355), 'source merged_div_data'!$A:$A, 'source merged_div_data'!F:F) &lt; 1073741824,
      ROUND(XLOOKUP(TEXTJOIN("/", TRUE, $A355:$B355), 'source merged_div_data'!$A:$A, 'source merged_div_data'!F:F)/1048576, 2) &amp; " MB",
    TRUE,
      ROUND(XLOOKUP(TEXTJOIN("/", TRUE, $A355:$B355), 'source merged_div_data'!$A:$A, 'source merged_div_data'!F:F)/1073741824, 2) &amp; " GB"
  ),
  "×"
)</f>
        <v>183 B</v>
      </c>
      <c r="G355" s="55" t="s">
        <v>1053</v>
      </c>
      <c r="H355" s="55"/>
      <c r="I355" s="55"/>
      <c r="J355" s="46" t="s">
        <v>1105</v>
      </c>
      <c r="K355" s="55"/>
      <c r="L355" s="55" t="s">
        <v>1053</v>
      </c>
      <c r="M355" s="55" t="s">
        <v>1053</v>
      </c>
      <c r="N355" s="52" t="s">
        <v>1052</v>
      </c>
      <c r="O355" s="46" t="s">
        <v>1105</v>
      </c>
      <c r="P355" s="37" t="str">
        <f>IFERROR(__xludf.DUMMYFUNCTION("XLOOKUP(JOIN(""/"",$A355:$B355),'source isilon_divまとめ'!$A:$A,'source isilon_divまとめ'!$D:$D,XLOOKUP(JOIN(""\"",$A355:$B355),'source NetApp-file-sv01-div'!A:A,TEXT('source NetApp-file-sv01-div'!C:C,""yyyy/mm/dd"")))"),"#N/A")</f>
        <v>#N/A</v>
      </c>
    </row>
    <row r="356">
      <c r="A356" s="52" t="s">
        <v>1051</v>
      </c>
      <c r="B356" s="52" t="s">
        <v>1298</v>
      </c>
      <c r="C356" s="46" t="s">
        <v>988</v>
      </c>
      <c r="D356" s="53">
        <f>IFERROR(__xludf.DUMMYFUNCTION("XLOOKUP(JOIN(""/"",$A356:$B356),'source merged_div_data'!$A:$A,'source merged_div_data'!B:B)"),6.0)</f>
        <v>6</v>
      </c>
      <c r="E356" s="53">
        <f>IFERROR(__xludf.DUMMYFUNCTION("XLOOKUP(JOIN(""/"",$A356:$B356),'source merged_div_data'!$A:$A,'source merged_div_data'!C:C)"),0.0)</f>
        <v>0</v>
      </c>
      <c r="F356" s="54" t="str">
        <f t="array" ref="F356">IFERROR(
  IFS(
    XLOOKUP(TEXTJOIN("/", TRUE, $A356:$B356), 'source merged_div_data'!$A:$A, 'source merged_div_data'!F:F) &lt; 1024,
      XLOOKUP(TEXTJOIN("/", TRUE, $A356:$B356), 'source merged_div_data'!$A:$A, 'source merged_div_data'!F:F) &amp; " B",
    XLOOKUP(TEXTJOIN("/", TRUE, $A356:$B356), 'source merged_div_data'!$A:$A, 'source merged_div_data'!F:F) &lt; 1048576,
      ROUND(XLOOKUP(TEXTJOIN("/", TRUE, $A356:$B356), 'source merged_div_data'!$A:$A, 'source merged_div_data'!F:F)/1024, 2) &amp; " KB",
    XLOOKUP(TEXTJOIN("/", TRUE, $A356:$B356), 'source merged_div_data'!$A:$A, 'source merged_div_data'!F:F) &lt; 1073741824,
      ROUND(XLOOKUP(TEXTJOIN("/", TRUE, $A356:$B356), 'source merged_div_data'!$A:$A, 'source merged_div_data'!F:F)/1048576, 2) &amp; " MB",
    TRUE,
      ROUND(XLOOKUP(TEXTJOIN("/", TRUE, $A356:$B356), 'source merged_div_data'!$A:$A, 'source merged_div_data'!F:F)/1073741824, 2) &amp; " GB"
  ),
  "×"
)</f>
        <v>168 B</v>
      </c>
      <c r="G356" s="55" t="s">
        <v>1053</v>
      </c>
      <c r="H356" s="55"/>
      <c r="I356" s="55"/>
      <c r="J356" s="46" t="s">
        <v>1105</v>
      </c>
      <c r="K356" s="55"/>
      <c r="L356" s="55" t="s">
        <v>1053</v>
      </c>
      <c r="M356" s="55" t="s">
        <v>1053</v>
      </c>
      <c r="N356" s="52" t="s">
        <v>1052</v>
      </c>
      <c r="O356" s="46" t="s">
        <v>1105</v>
      </c>
      <c r="P356" s="37" t="str">
        <f>IFERROR(__xludf.DUMMYFUNCTION("XLOOKUP(JOIN(""/"",$A356:$B356),'source isilon_divまとめ'!$A:$A,'source isilon_divまとめ'!$D:$D,XLOOKUP(JOIN(""\"",$A356:$B356),'source NetApp-file-sv01-div'!A:A,TEXT('source NetApp-file-sv01-div'!C:C,""yyyy/mm/dd"")))"),"#N/A")</f>
        <v>#N/A</v>
      </c>
    </row>
    <row r="357">
      <c r="A357" s="52" t="s">
        <v>1051</v>
      </c>
      <c r="B357" s="52" t="s">
        <v>1111</v>
      </c>
      <c r="C357" s="46" t="s">
        <v>988</v>
      </c>
      <c r="D357" s="53">
        <f>IFERROR(__xludf.DUMMYFUNCTION("XLOOKUP(JOIN(""/"",$A357:$B357),'source merged_div_data'!$A:$A,'source merged_div_data'!B:B)"),1.0)</f>
        <v>1</v>
      </c>
      <c r="E357" s="53">
        <f>IFERROR(__xludf.DUMMYFUNCTION("XLOOKUP(JOIN(""/"",$A357:$B357),'source merged_div_data'!$A:$A,'source merged_div_data'!C:C)"),0.0)</f>
        <v>0</v>
      </c>
      <c r="F357" s="54" t="str">
        <f t="array" ref="F357">IFERROR(
  IFS(
    XLOOKUP(TEXTJOIN("/", TRUE, $A357:$B357), 'source merged_div_data'!$A:$A, 'source merged_div_data'!F:F) &lt; 1024,
      XLOOKUP(TEXTJOIN("/", TRUE, $A357:$B357), 'source merged_div_data'!$A:$A, 'source merged_div_data'!F:F) &amp; " B",
    XLOOKUP(TEXTJOIN("/", TRUE, $A357:$B357), 'source merged_div_data'!$A:$A, 'source merged_div_data'!F:F) &lt; 1048576,
      ROUND(XLOOKUP(TEXTJOIN("/", TRUE, $A357:$B357), 'source merged_div_data'!$A:$A, 'source merged_div_data'!F:F)/1024, 2) &amp; " KB",
    XLOOKUP(TEXTJOIN("/", TRUE, $A357:$B357), 'source merged_div_data'!$A:$A, 'source merged_div_data'!F:F) &lt; 1073741824,
      ROUND(XLOOKUP(TEXTJOIN("/", TRUE, $A357:$B357), 'source merged_div_data'!$A:$A, 'source merged_div_data'!F:F)/1048576, 2) &amp; " MB",
    TRUE,
      ROUND(XLOOKUP(TEXTJOIN("/", TRUE, $A357:$B357), 'source merged_div_data'!$A:$A, 'source merged_div_data'!F:F)/1073741824, 2) &amp; " GB"
  ),
  "×"
)</f>
        <v>0 B</v>
      </c>
      <c r="G357" s="55" t="s">
        <v>1053</v>
      </c>
      <c r="H357" s="55"/>
      <c r="I357" s="55"/>
      <c r="J357" s="46" t="s">
        <v>1105</v>
      </c>
      <c r="K357" s="55"/>
      <c r="L357" s="55" t="s">
        <v>1053</v>
      </c>
      <c r="M357" s="55" t="s">
        <v>1053</v>
      </c>
      <c r="N357" s="52" t="s">
        <v>1052</v>
      </c>
      <c r="O357" s="46" t="s">
        <v>1105</v>
      </c>
      <c r="P357" s="37" t="str">
        <f>IFERROR(__xludf.DUMMYFUNCTION("XLOOKUP(JOIN(""/"",$A357:$B357),'source isilon_divまとめ'!$A:$A,'source isilon_divまとめ'!$D:$D,XLOOKUP(JOIN(""\"",$A357:$B357),'source NetApp-file-sv01-div'!A:A,TEXT('source NetApp-file-sv01-div'!C:C,""yyyy/mm/dd"")))"),"#N/A")</f>
        <v>#N/A</v>
      </c>
    </row>
    <row r="358">
      <c r="A358" s="52" t="s">
        <v>1051</v>
      </c>
      <c r="B358" s="52" t="s">
        <v>1299</v>
      </c>
      <c r="C358" s="46" t="s">
        <v>988</v>
      </c>
      <c r="D358" s="53">
        <f>IFERROR(__xludf.DUMMYFUNCTION("XLOOKUP(JOIN(""/"",$A358:$B358),'source merged_div_data'!$A:$A,'source merged_div_data'!B:B)"),6.0)</f>
        <v>6</v>
      </c>
      <c r="E358" s="53">
        <f>IFERROR(__xludf.DUMMYFUNCTION("XLOOKUP(JOIN(""/"",$A358:$B358),'source merged_div_data'!$A:$A,'source merged_div_data'!C:C)"),0.0)</f>
        <v>0</v>
      </c>
      <c r="F358" s="54" t="str">
        <f t="array" ref="F358">IFERROR(
  IFS(
    XLOOKUP(TEXTJOIN("/", TRUE, $A358:$B358), 'source merged_div_data'!$A:$A, 'source merged_div_data'!F:F) &lt; 1024,
      XLOOKUP(TEXTJOIN("/", TRUE, $A358:$B358), 'source merged_div_data'!$A:$A, 'source merged_div_data'!F:F) &amp; " B",
    XLOOKUP(TEXTJOIN("/", TRUE, $A358:$B358), 'source merged_div_data'!$A:$A, 'source merged_div_data'!F:F) &lt; 1048576,
      ROUND(XLOOKUP(TEXTJOIN("/", TRUE, $A358:$B358), 'source merged_div_data'!$A:$A, 'source merged_div_data'!F:F)/1024, 2) &amp; " KB",
    XLOOKUP(TEXTJOIN("/", TRUE, $A358:$B358), 'source merged_div_data'!$A:$A, 'source merged_div_data'!F:F) &lt; 1073741824,
      ROUND(XLOOKUP(TEXTJOIN("/", TRUE, $A358:$B358), 'source merged_div_data'!$A:$A, 'source merged_div_data'!F:F)/1048576, 2) &amp; " MB",
    TRUE,
      ROUND(XLOOKUP(TEXTJOIN("/", TRUE, $A358:$B358), 'source merged_div_data'!$A:$A, 'source merged_div_data'!F:F)/1073741824, 2) &amp; " GB"
  ),
  "×"
)</f>
        <v>145 B</v>
      </c>
      <c r="G358" s="55" t="s">
        <v>1053</v>
      </c>
      <c r="H358" s="55"/>
      <c r="I358" s="55"/>
      <c r="J358" s="46" t="s">
        <v>1105</v>
      </c>
      <c r="K358" s="55"/>
      <c r="L358" s="55" t="s">
        <v>1053</v>
      </c>
      <c r="M358" s="55" t="s">
        <v>1053</v>
      </c>
      <c r="N358" s="52" t="s">
        <v>1052</v>
      </c>
      <c r="O358" s="46" t="s">
        <v>1105</v>
      </c>
      <c r="P358" s="37" t="str">
        <f>IFERROR(__xludf.DUMMYFUNCTION("XLOOKUP(JOIN(""/"",$A358:$B358),'source isilon_divまとめ'!$A:$A,'source isilon_divまとめ'!$D:$D,XLOOKUP(JOIN(""\"",$A358:$B358),'source NetApp-file-sv01-div'!A:A,TEXT('source NetApp-file-sv01-div'!C:C,""yyyy/mm/dd"")))"),"#N/A")</f>
        <v>#N/A</v>
      </c>
    </row>
    <row r="359">
      <c r="A359" s="52" t="s">
        <v>1051</v>
      </c>
      <c r="B359" s="52" t="s">
        <v>1087</v>
      </c>
      <c r="C359" s="46" t="s">
        <v>988</v>
      </c>
      <c r="D359" s="53">
        <f>IFERROR(__xludf.DUMMYFUNCTION("XLOOKUP(JOIN(""/"",$A359:$B359),'source merged_div_data'!$A:$A,'source merged_div_data'!B:B)"),40.0)</f>
        <v>40</v>
      </c>
      <c r="E359" s="53">
        <f>IFERROR(__xludf.DUMMYFUNCTION("XLOOKUP(JOIN(""/"",$A359:$B359),'source merged_div_data'!$A:$A,'source merged_div_data'!C:C)"),0.0)</f>
        <v>0</v>
      </c>
      <c r="F359" s="54" t="str">
        <f t="array" ref="F359">IFERROR(
  IFS(
    XLOOKUP(TEXTJOIN("/", TRUE, $A359:$B359), 'source merged_div_data'!$A:$A, 'source merged_div_data'!F:F) &lt; 1024,
      XLOOKUP(TEXTJOIN("/", TRUE, $A359:$B359), 'source merged_div_data'!$A:$A, 'source merged_div_data'!F:F) &amp; " B",
    XLOOKUP(TEXTJOIN("/", TRUE, $A359:$B359), 'source merged_div_data'!$A:$A, 'source merged_div_data'!F:F) &lt; 1048576,
      ROUND(XLOOKUP(TEXTJOIN("/", TRUE, $A359:$B359), 'source merged_div_data'!$A:$A, 'source merged_div_data'!F:F)/1024, 2) &amp; " KB",
    XLOOKUP(TEXTJOIN("/", TRUE, $A359:$B359), 'source merged_div_data'!$A:$A, 'source merged_div_data'!F:F) &lt; 1073741824,
      ROUND(XLOOKUP(TEXTJOIN("/", TRUE, $A359:$B359), 'source merged_div_data'!$A:$A, 'source merged_div_data'!F:F)/1048576, 2) &amp; " MB",
    TRUE,
      ROUND(XLOOKUP(TEXTJOIN("/", TRUE, $A359:$B359), 'source merged_div_data'!$A:$A, 'source merged_div_data'!F:F)/1073741824, 2) &amp; " GB"
  ),
  "×"
)</f>
        <v>1.22 KB</v>
      </c>
      <c r="G359" s="55" t="s">
        <v>1053</v>
      </c>
      <c r="H359" s="55"/>
      <c r="I359" s="55"/>
      <c r="J359" s="46" t="s">
        <v>1105</v>
      </c>
      <c r="K359" s="55"/>
      <c r="L359" s="55" t="s">
        <v>1053</v>
      </c>
      <c r="M359" s="55" t="s">
        <v>1053</v>
      </c>
      <c r="N359" s="52" t="s">
        <v>1197</v>
      </c>
      <c r="O359" s="46" t="s">
        <v>1105</v>
      </c>
      <c r="P359" s="37" t="str">
        <f>IFERROR(__xludf.DUMMYFUNCTION("XLOOKUP(JOIN(""/"",$A359:$B359),'source isilon_divまとめ'!$A:$A,'source isilon_divまとめ'!$D:$D,XLOOKUP(JOIN(""\"",$A359:$B359),'source NetApp-file-sv01-div'!A:A,TEXT('source NetApp-file-sv01-div'!C:C,""yyyy/mm/dd"")))"),"#N/A")</f>
        <v>#N/A</v>
      </c>
    </row>
    <row r="360">
      <c r="A360" s="52" t="s">
        <v>1054</v>
      </c>
      <c r="B360" s="52" t="s">
        <v>1300</v>
      </c>
      <c r="C360" s="46" t="s">
        <v>986</v>
      </c>
      <c r="D360" s="53">
        <f>IFERROR(__xludf.DUMMYFUNCTION("XLOOKUP(JOIN(""/"",$A360:$B360),'source merged_div_data'!$A:$A,'source merged_div_data'!B:B)"),11.0)</f>
        <v>11</v>
      </c>
      <c r="E360" s="53">
        <f>IFERROR(__xludf.DUMMYFUNCTION("XLOOKUP(JOIN(""/"",$A360:$B360),'source merged_div_data'!$A:$A,'source merged_div_data'!C:C)"),0.0)</f>
        <v>0</v>
      </c>
      <c r="F360" s="54" t="str">
        <f t="array" ref="F360">IFERROR(
  IFS(
    XLOOKUP(TEXTJOIN("/", TRUE, $A360:$B360), 'source merged_div_data'!$A:$A, 'source merged_div_data'!F:F) &lt; 1024,
      XLOOKUP(TEXTJOIN("/", TRUE, $A360:$B360), 'source merged_div_data'!$A:$A, 'source merged_div_data'!F:F) &amp; " B",
    XLOOKUP(TEXTJOIN("/", TRUE, $A360:$B360), 'source merged_div_data'!$A:$A, 'source merged_div_data'!F:F) &lt; 1048576,
      ROUND(XLOOKUP(TEXTJOIN("/", TRUE, $A360:$B360), 'source merged_div_data'!$A:$A, 'source merged_div_data'!F:F)/1024, 2) &amp; " KB",
    XLOOKUP(TEXTJOIN("/", TRUE, $A360:$B360), 'source merged_div_data'!$A:$A, 'source merged_div_data'!F:F) &lt; 1073741824,
      ROUND(XLOOKUP(TEXTJOIN("/", TRUE, $A360:$B360), 'source merged_div_data'!$A:$A, 'source merged_div_data'!F:F)/1048576, 2) &amp; " MB",
    TRUE,
      ROUND(XLOOKUP(TEXTJOIN("/", TRUE, $A360:$B360), 'source merged_div_data'!$A:$A, 'source merged_div_data'!F:F)/1073741824, 2) &amp; " GB"
  ),
  "×"
)</f>
        <v>304 B</v>
      </c>
      <c r="G360" s="55" t="s">
        <v>1053</v>
      </c>
      <c r="H360" s="55"/>
      <c r="I360" s="55"/>
      <c r="J360" s="46" t="s">
        <v>391</v>
      </c>
      <c r="K360" s="55"/>
      <c r="L360" s="46" t="s">
        <v>2116</v>
      </c>
      <c r="M360" s="55" t="s">
        <v>1053</v>
      </c>
      <c r="N360" s="52" t="s">
        <v>1102</v>
      </c>
      <c r="O360" s="46" t="s">
        <v>391</v>
      </c>
      <c r="P360" s="37" t="str">
        <f>IFERROR(__xludf.DUMMYFUNCTION("XLOOKUP(JOIN(""/"",$A360:$B360),'source isilon_divまとめ'!$A:$A,'source isilon_divまとめ'!$D:$D,XLOOKUP(JOIN(""\"",$A360:$B360),'source NetApp-file-sv01-div'!A:A,TEXT('source NetApp-file-sv01-div'!C:C,""yyyy/mm/dd"")))"),"#N/A")</f>
        <v>#N/A</v>
      </c>
    </row>
    <row r="361">
      <c r="A361" s="52" t="s">
        <v>1054</v>
      </c>
      <c r="B361" s="52" t="s">
        <v>1301</v>
      </c>
      <c r="C361" s="46" t="s">
        <v>986</v>
      </c>
      <c r="D361" s="53">
        <f>IFERROR(__xludf.DUMMYFUNCTION("XLOOKUP(JOIN(""/"",$A361:$B361),'source merged_div_data'!$A:$A,'source merged_div_data'!B:B)"),21.0)</f>
        <v>21</v>
      </c>
      <c r="E361" s="53">
        <f>IFERROR(__xludf.DUMMYFUNCTION("XLOOKUP(JOIN(""/"",$A361:$B361),'source merged_div_data'!$A:$A,'source merged_div_data'!C:C)"),0.0)</f>
        <v>0</v>
      </c>
      <c r="F361" s="54" t="str">
        <f t="array" ref="F361">IFERROR(
  IFS(
    XLOOKUP(TEXTJOIN("/", TRUE, $A361:$B361), 'source merged_div_data'!$A:$A, 'source merged_div_data'!F:F) &lt; 1024,
      XLOOKUP(TEXTJOIN("/", TRUE, $A361:$B361), 'source merged_div_data'!$A:$A, 'source merged_div_data'!F:F) &amp; " B",
    XLOOKUP(TEXTJOIN("/", TRUE, $A361:$B361), 'source merged_div_data'!$A:$A, 'source merged_div_data'!F:F) &lt; 1048576,
      ROUND(XLOOKUP(TEXTJOIN("/", TRUE, $A361:$B361), 'source merged_div_data'!$A:$A, 'source merged_div_data'!F:F)/1024, 2) &amp; " KB",
    XLOOKUP(TEXTJOIN("/", TRUE, $A361:$B361), 'source merged_div_data'!$A:$A, 'source merged_div_data'!F:F) &lt; 1073741824,
      ROUND(XLOOKUP(TEXTJOIN("/", TRUE, $A361:$B361), 'source merged_div_data'!$A:$A, 'source merged_div_data'!F:F)/1048576, 2) &amp; " MB",
    TRUE,
      ROUND(XLOOKUP(TEXTJOIN("/", TRUE, $A361:$B361), 'source merged_div_data'!$A:$A, 'source merged_div_data'!F:F)/1073741824, 2) &amp; " GB"
  ),
  "×"
)</f>
        <v>606 B</v>
      </c>
      <c r="G361" s="55" t="s">
        <v>1053</v>
      </c>
      <c r="H361" s="55"/>
      <c r="I361" s="55"/>
      <c r="J361" s="46" t="s">
        <v>391</v>
      </c>
      <c r="K361" s="55"/>
      <c r="L361" s="46" t="s">
        <v>2116</v>
      </c>
      <c r="M361" s="55" t="s">
        <v>1053</v>
      </c>
      <c r="N361" s="52" t="s">
        <v>1102</v>
      </c>
      <c r="O361" s="46" t="s">
        <v>391</v>
      </c>
      <c r="P361" s="37" t="str">
        <f>IFERROR(__xludf.DUMMYFUNCTION("XLOOKUP(JOIN(""/"",$A361:$B361),'source isilon_divまとめ'!$A:$A,'source isilon_divまとめ'!$D:$D,XLOOKUP(JOIN(""\"",$A361:$B361),'source NetApp-file-sv01-div'!A:A,TEXT('source NetApp-file-sv01-div'!C:C,""yyyy/mm/dd"")))"),"#N/A")</f>
        <v>#N/A</v>
      </c>
    </row>
    <row r="362">
      <c r="A362" s="52" t="s">
        <v>1054</v>
      </c>
      <c r="B362" s="52" t="s">
        <v>1302</v>
      </c>
      <c r="C362" s="46" t="s">
        <v>986</v>
      </c>
      <c r="D362" s="53">
        <f>IFERROR(__xludf.DUMMYFUNCTION("XLOOKUP(JOIN(""/"",$A362:$B362),'source merged_div_data'!$A:$A,'source merged_div_data'!B:B)"),53.0)</f>
        <v>53</v>
      </c>
      <c r="E362" s="53">
        <f>IFERROR(__xludf.DUMMYFUNCTION("XLOOKUP(JOIN(""/"",$A362:$B362),'source merged_div_data'!$A:$A,'source merged_div_data'!C:C)"),0.0)</f>
        <v>0</v>
      </c>
      <c r="F362" s="54" t="str">
        <f t="array" ref="F362">IFERROR(
  IFS(
    XLOOKUP(TEXTJOIN("/", TRUE, $A362:$B362), 'source merged_div_data'!$A:$A, 'source merged_div_data'!F:F) &lt; 1024,
      XLOOKUP(TEXTJOIN("/", TRUE, $A362:$B362), 'source merged_div_data'!$A:$A, 'source merged_div_data'!F:F) &amp; " B",
    XLOOKUP(TEXTJOIN("/", TRUE, $A362:$B362), 'source merged_div_data'!$A:$A, 'source merged_div_data'!F:F) &lt; 1048576,
      ROUND(XLOOKUP(TEXTJOIN("/", TRUE, $A362:$B362), 'source merged_div_data'!$A:$A, 'source merged_div_data'!F:F)/1024, 2) &amp; " KB",
    XLOOKUP(TEXTJOIN("/", TRUE, $A362:$B362), 'source merged_div_data'!$A:$A, 'source merged_div_data'!F:F) &lt; 1073741824,
      ROUND(XLOOKUP(TEXTJOIN("/", TRUE, $A362:$B362), 'source merged_div_data'!$A:$A, 'source merged_div_data'!F:F)/1048576, 2) &amp; " MB",
    TRUE,
      ROUND(XLOOKUP(TEXTJOIN("/", TRUE, $A362:$B362), 'source merged_div_data'!$A:$A, 'source merged_div_data'!F:F)/1073741824, 2) &amp; " GB"
  ),
  "×"
)</f>
        <v>1.61 KB</v>
      </c>
      <c r="G362" s="55" t="s">
        <v>1053</v>
      </c>
      <c r="H362" s="55"/>
      <c r="I362" s="55"/>
      <c r="J362" s="46" t="s">
        <v>391</v>
      </c>
      <c r="K362" s="55"/>
      <c r="L362" s="46" t="s">
        <v>2116</v>
      </c>
      <c r="M362" s="55" t="s">
        <v>1053</v>
      </c>
      <c r="N362" s="52" t="s">
        <v>1102</v>
      </c>
      <c r="O362" s="46" t="s">
        <v>391</v>
      </c>
      <c r="P362" s="37" t="str">
        <f>IFERROR(__xludf.DUMMYFUNCTION("XLOOKUP(JOIN(""/"",$A362:$B362),'source isilon_divまとめ'!$A:$A,'source isilon_divまとめ'!$D:$D,XLOOKUP(JOIN(""\"",$A362:$B362),'source NetApp-file-sv01-div'!A:A,TEXT('source NetApp-file-sv01-div'!C:C,""yyyy/mm/dd"")))"),"#N/A")</f>
        <v>#N/A</v>
      </c>
    </row>
    <row r="363">
      <c r="A363" s="52" t="s">
        <v>1054</v>
      </c>
      <c r="B363" s="52" t="s">
        <v>1303</v>
      </c>
      <c r="C363" s="46" t="s">
        <v>986</v>
      </c>
      <c r="D363" s="53">
        <f>IFERROR(__xludf.DUMMYFUNCTION("XLOOKUP(JOIN(""/"",$A363:$B363),'source merged_div_data'!$A:$A,'source merged_div_data'!B:B)"),54.0)</f>
        <v>54</v>
      </c>
      <c r="E363" s="53">
        <f>IFERROR(__xludf.DUMMYFUNCTION("XLOOKUP(JOIN(""/"",$A363:$B363),'source merged_div_data'!$A:$A,'source merged_div_data'!C:C)"),0.0)</f>
        <v>0</v>
      </c>
      <c r="F363" s="54" t="str">
        <f t="array" ref="F363">IFERROR(
  IFS(
    XLOOKUP(TEXTJOIN("/", TRUE, $A363:$B363), 'source merged_div_data'!$A:$A, 'source merged_div_data'!F:F) &lt; 1024,
      XLOOKUP(TEXTJOIN("/", TRUE, $A363:$B363), 'source merged_div_data'!$A:$A, 'source merged_div_data'!F:F) &amp; " B",
    XLOOKUP(TEXTJOIN("/", TRUE, $A363:$B363), 'source merged_div_data'!$A:$A, 'source merged_div_data'!F:F) &lt; 1048576,
      ROUND(XLOOKUP(TEXTJOIN("/", TRUE, $A363:$B363), 'source merged_div_data'!$A:$A, 'source merged_div_data'!F:F)/1024, 2) &amp; " KB",
    XLOOKUP(TEXTJOIN("/", TRUE, $A363:$B363), 'source merged_div_data'!$A:$A, 'source merged_div_data'!F:F) &lt; 1073741824,
      ROUND(XLOOKUP(TEXTJOIN("/", TRUE, $A363:$B363), 'source merged_div_data'!$A:$A, 'source merged_div_data'!F:F)/1048576, 2) &amp; " MB",
    TRUE,
      ROUND(XLOOKUP(TEXTJOIN("/", TRUE, $A363:$B363), 'source merged_div_data'!$A:$A, 'source merged_div_data'!F:F)/1073741824, 2) &amp; " GB"
  ),
  "×"
)</f>
        <v>1.7 KB</v>
      </c>
      <c r="G363" s="55" t="s">
        <v>1053</v>
      </c>
      <c r="H363" s="55"/>
      <c r="I363" s="55"/>
      <c r="J363" s="46" t="s">
        <v>717</v>
      </c>
      <c r="K363" s="55"/>
      <c r="L363" s="46" t="s">
        <v>2100</v>
      </c>
      <c r="M363" s="55" t="s">
        <v>1053</v>
      </c>
      <c r="N363" s="52" t="s">
        <v>1102</v>
      </c>
      <c r="O363" s="46" t="s">
        <v>1097</v>
      </c>
      <c r="P363" s="37" t="str">
        <f>IFERROR(__xludf.DUMMYFUNCTION("XLOOKUP(JOIN(""/"",$A363:$B363),'source isilon_divまとめ'!$A:$A,'source isilon_divまとめ'!$D:$D,XLOOKUP(JOIN(""\"",$A363:$B363),'source NetApp-file-sv01-div'!A:A,TEXT('source NetApp-file-sv01-div'!C:C,""yyyy/mm/dd"")))"),"#N/A")</f>
        <v>#N/A</v>
      </c>
    </row>
    <row r="364">
      <c r="A364" s="52" t="s">
        <v>1054</v>
      </c>
      <c r="B364" s="52" t="s">
        <v>1304</v>
      </c>
      <c r="C364" s="46" t="s">
        <v>988</v>
      </c>
      <c r="D364" s="53">
        <f>IFERROR(__xludf.DUMMYFUNCTION("XLOOKUP(JOIN(""/"",$A364:$B364),'source merged_div_data'!$A:$A,'source merged_div_data'!B:B)"),11.0)</f>
        <v>11</v>
      </c>
      <c r="E364" s="53">
        <f>IFERROR(__xludf.DUMMYFUNCTION("XLOOKUP(JOIN(""/"",$A364:$B364),'source merged_div_data'!$A:$A,'source merged_div_data'!C:C)"),0.0)</f>
        <v>0</v>
      </c>
      <c r="F364" s="54" t="str">
        <f t="array" ref="F364">IFERROR(
  IFS(
    XLOOKUP(TEXTJOIN("/", TRUE, $A364:$B364), 'source merged_div_data'!$A:$A, 'source merged_div_data'!F:F) &lt; 1024,
      XLOOKUP(TEXTJOIN("/", TRUE, $A364:$B364), 'source merged_div_data'!$A:$A, 'source merged_div_data'!F:F) &amp; " B",
    XLOOKUP(TEXTJOIN("/", TRUE, $A364:$B364), 'source merged_div_data'!$A:$A, 'source merged_div_data'!F:F) &lt; 1048576,
      ROUND(XLOOKUP(TEXTJOIN("/", TRUE, $A364:$B364), 'source merged_div_data'!$A:$A, 'source merged_div_data'!F:F)/1024, 2) &amp; " KB",
    XLOOKUP(TEXTJOIN("/", TRUE, $A364:$B364), 'source merged_div_data'!$A:$A, 'source merged_div_data'!F:F) &lt; 1073741824,
      ROUND(XLOOKUP(TEXTJOIN("/", TRUE, $A364:$B364), 'source merged_div_data'!$A:$A, 'source merged_div_data'!F:F)/1048576, 2) &amp; " MB",
    TRUE,
      ROUND(XLOOKUP(TEXTJOIN("/", TRUE, $A364:$B364), 'source merged_div_data'!$A:$A, 'source merged_div_data'!F:F)/1073741824, 2) &amp; " GB"
  ),
  "×"
)</f>
        <v>359 B</v>
      </c>
      <c r="G364" s="55" t="s">
        <v>1053</v>
      </c>
      <c r="H364" s="55"/>
      <c r="I364" s="55"/>
      <c r="J364" s="46" t="s">
        <v>1105</v>
      </c>
      <c r="K364" s="55"/>
      <c r="L364" s="55" t="s">
        <v>1053</v>
      </c>
      <c r="M364" s="55" t="s">
        <v>1053</v>
      </c>
      <c r="N364" s="52" t="s">
        <v>1102</v>
      </c>
      <c r="O364" s="46" t="s">
        <v>1105</v>
      </c>
      <c r="P364" s="37" t="str">
        <f>IFERROR(__xludf.DUMMYFUNCTION("XLOOKUP(JOIN(""/"",$A364:$B364),'source isilon_divまとめ'!$A:$A,'source isilon_divまとめ'!$D:$D,XLOOKUP(JOIN(""\"",$A364:$B364),'source NetApp-file-sv01-div'!A:A,TEXT('source NetApp-file-sv01-div'!C:C,""yyyy/mm/dd"")))"),"#N/A")</f>
        <v>#N/A</v>
      </c>
    </row>
    <row r="365">
      <c r="A365" s="52" t="s">
        <v>1054</v>
      </c>
      <c r="B365" s="52" t="s">
        <v>1305</v>
      </c>
      <c r="C365" s="46" t="s">
        <v>988</v>
      </c>
      <c r="D365" s="53">
        <f>IFERROR(__xludf.DUMMYFUNCTION("XLOOKUP(JOIN(""/"",$A365:$B365),'source merged_div_data'!$A:$A,'source merged_div_data'!B:B)"),37.0)</f>
        <v>37</v>
      </c>
      <c r="E365" s="53">
        <f>IFERROR(__xludf.DUMMYFUNCTION("XLOOKUP(JOIN(""/"",$A365:$B365),'source merged_div_data'!$A:$A,'source merged_div_data'!C:C)"),0.0)</f>
        <v>0</v>
      </c>
      <c r="F365" s="54" t="str">
        <f t="array" ref="F365">IFERROR(
  IFS(
    XLOOKUP(TEXTJOIN("/", TRUE, $A365:$B365), 'source merged_div_data'!$A:$A, 'source merged_div_data'!F:F) &lt; 1024,
      XLOOKUP(TEXTJOIN("/", TRUE, $A365:$B365), 'source merged_div_data'!$A:$A, 'source merged_div_data'!F:F) &amp; " B",
    XLOOKUP(TEXTJOIN("/", TRUE, $A365:$B365), 'source merged_div_data'!$A:$A, 'source merged_div_data'!F:F) &lt; 1048576,
      ROUND(XLOOKUP(TEXTJOIN("/", TRUE, $A365:$B365), 'source merged_div_data'!$A:$A, 'source merged_div_data'!F:F)/1024, 2) &amp; " KB",
    XLOOKUP(TEXTJOIN("/", TRUE, $A365:$B365), 'source merged_div_data'!$A:$A, 'source merged_div_data'!F:F) &lt; 1073741824,
      ROUND(XLOOKUP(TEXTJOIN("/", TRUE, $A365:$B365), 'source merged_div_data'!$A:$A, 'source merged_div_data'!F:F)/1048576, 2) &amp; " MB",
    TRUE,
      ROUND(XLOOKUP(TEXTJOIN("/", TRUE, $A365:$B365), 'source merged_div_data'!$A:$A, 'source merged_div_data'!F:F)/1073741824, 2) &amp; " GB"
  ),
  "×"
)</f>
        <v>1.23 KB</v>
      </c>
      <c r="G365" s="55" t="s">
        <v>1053</v>
      </c>
      <c r="H365" s="55"/>
      <c r="I365" s="55"/>
      <c r="J365" s="46" t="s">
        <v>1105</v>
      </c>
      <c r="K365" s="55"/>
      <c r="L365" s="55" t="s">
        <v>1053</v>
      </c>
      <c r="M365" s="55" t="s">
        <v>1053</v>
      </c>
      <c r="N365" s="52" t="s">
        <v>1102</v>
      </c>
      <c r="O365" s="46" t="s">
        <v>1105</v>
      </c>
      <c r="P365" s="37" t="str">
        <f>IFERROR(__xludf.DUMMYFUNCTION("XLOOKUP(JOIN(""/"",$A365:$B365),'source isilon_divまとめ'!$A:$A,'source isilon_divまとめ'!$D:$D,XLOOKUP(JOIN(""\"",$A365:$B365),'source NetApp-file-sv01-div'!A:A,TEXT('source NetApp-file-sv01-div'!C:C,""yyyy/mm/dd"")))"),"#N/A")</f>
        <v>#N/A</v>
      </c>
    </row>
    <row r="366">
      <c r="A366" s="52" t="s">
        <v>1054</v>
      </c>
      <c r="B366" s="52" t="s">
        <v>1306</v>
      </c>
      <c r="C366" s="46" t="s">
        <v>986</v>
      </c>
      <c r="D366" s="53">
        <f>IFERROR(__xludf.DUMMYFUNCTION("XLOOKUP(JOIN(""/"",$A366:$B366),'source merged_div_data'!$A:$A,'source merged_div_data'!B:B)"),10.0)</f>
        <v>10</v>
      </c>
      <c r="E366" s="53">
        <f>IFERROR(__xludf.DUMMYFUNCTION("XLOOKUP(JOIN(""/"",$A366:$B366),'source merged_div_data'!$A:$A,'source merged_div_data'!C:C)"),0.0)</f>
        <v>0</v>
      </c>
      <c r="F366" s="54" t="str">
        <f t="array" ref="F366">IFERROR(
  IFS(
    XLOOKUP(TEXTJOIN("/", TRUE, $A366:$B366), 'source merged_div_data'!$A:$A, 'source merged_div_data'!F:F) &lt; 1024,
      XLOOKUP(TEXTJOIN("/", TRUE, $A366:$B366), 'source merged_div_data'!$A:$A, 'source merged_div_data'!F:F) &amp; " B",
    XLOOKUP(TEXTJOIN("/", TRUE, $A366:$B366), 'source merged_div_data'!$A:$A, 'source merged_div_data'!F:F) &lt; 1048576,
      ROUND(XLOOKUP(TEXTJOIN("/", TRUE, $A366:$B366), 'source merged_div_data'!$A:$A, 'source merged_div_data'!F:F)/1024, 2) &amp; " KB",
    XLOOKUP(TEXTJOIN("/", TRUE, $A366:$B366), 'source merged_div_data'!$A:$A, 'source merged_div_data'!F:F) &lt; 1073741824,
      ROUND(XLOOKUP(TEXTJOIN("/", TRUE, $A366:$B366), 'source merged_div_data'!$A:$A, 'source merged_div_data'!F:F)/1048576, 2) &amp; " MB",
    TRUE,
      ROUND(XLOOKUP(TEXTJOIN("/", TRUE, $A366:$B366), 'source merged_div_data'!$A:$A, 'source merged_div_data'!F:F)/1073741824, 2) &amp; " GB"
  ),
  "×"
)</f>
        <v>290 B</v>
      </c>
      <c r="G366" s="55" t="s">
        <v>1053</v>
      </c>
      <c r="H366" s="55"/>
      <c r="I366" s="55"/>
      <c r="J366" s="46" t="s">
        <v>391</v>
      </c>
      <c r="K366" s="55"/>
      <c r="L366" s="46" t="s">
        <v>2116</v>
      </c>
      <c r="M366" s="55" t="s">
        <v>1053</v>
      </c>
      <c r="N366" s="52" t="s">
        <v>1102</v>
      </c>
      <c r="O366" s="46" t="s">
        <v>391</v>
      </c>
      <c r="P366" s="37" t="str">
        <f>IFERROR(__xludf.DUMMYFUNCTION("XLOOKUP(JOIN(""/"",$A366:$B366),'source isilon_divまとめ'!$A:$A,'source isilon_divまとめ'!$D:$D,XLOOKUP(JOIN(""\"",$A366:$B366),'source NetApp-file-sv01-div'!A:A,TEXT('source NetApp-file-sv01-div'!C:C,""yyyy/mm/dd"")))"),"#N/A")</f>
        <v>#N/A</v>
      </c>
    </row>
    <row r="367">
      <c r="A367" s="8" t="s">
        <v>1054</v>
      </c>
      <c r="B367" s="8" t="s">
        <v>1278</v>
      </c>
      <c r="C367" s="7" t="s">
        <v>987</v>
      </c>
      <c r="D367" s="56">
        <f>IFERROR(__xludf.DUMMYFUNCTION("XLOOKUP(JOIN(""/"",$A367:$B367),'source merged_div_data'!$A:$A,'source merged_div_data'!B:B)"),241.0)</f>
        <v>241</v>
      </c>
      <c r="E367" s="56">
        <f>IFERROR(__xludf.DUMMYFUNCTION("XLOOKUP(JOIN(""/"",$A367:$B367),'source merged_div_data'!$A:$A,'source merged_div_data'!C:C)"),670.0)</f>
        <v>670</v>
      </c>
      <c r="F367" s="54" t="str">
        <f t="array" ref="F367">IFERROR(
  IFS(
    XLOOKUP(TEXTJOIN("/", TRUE, $A367:$B367), 'source merged_div_data'!$A:$A, 'source merged_div_data'!F:F) &lt; 1024,
      XLOOKUP(TEXTJOIN("/", TRUE, $A367:$B367), 'source merged_div_data'!$A:$A, 'source merged_div_data'!F:F) &amp; " B",
    XLOOKUP(TEXTJOIN("/", TRUE, $A367:$B367), 'source merged_div_data'!$A:$A, 'source merged_div_data'!F:F) &lt; 1048576,
      ROUND(XLOOKUP(TEXTJOIN("/", TRUE, $A367:$B367), 'source merged_div_data'!$A:$A, 'source merged_div_data'!F:F)/1024, 2) &amp; " KB",
    XLOOKUP(TEXTJOIN("/", TRUE, $A367:$B367), 'source merged_div_data'!$A:$A, 'source merged_div_data'!F:F) &lt; 1073741824,
      ROUND(XLOOKUP(TEXTJOIN("/", TRUE, $A367:$B367), 'source merged_div_data'!$A:$A, 'source merged_div_data'!F:F)/1048576, 2) &amp; " MB",
    TRUE,
      ROUND(XLOOKUP(TEXTJOIN("/", TRUE, $A367:$B367), 'source merged_div_data'!$A:$A, 'source merged_div_data'!F:F)/1073741824, 2) &amp; " GB"
  ),
  "×"
)</f>
        <v>88.75 MB</v>
      </c>
      <c r="G367" s="57" t="s">
        <v>2317</v>
      </c>
      <c r="H367" s="58" t="s">
        <v>2177</v>
      </c>
      <c r="I367" s="57"/>
      <c r="J367" s="7" t="s">
        <v>717</v>
      </c>
      <c r="L367" s="7" t="s">
        <v>2100</v>
      </c>
      <c r="M367" s="37" t="s">
        <v>1053</v>
      </c>
      <c r="N367" s="8" t="s">
        <v>1102</v>
      </c>
      <c r="O367" s="7" t="s">
        <v>1215</v>
      </c>
      <c r="P367" s="57" t="str">
        <f>IFERROR(__xludf.DUMMYFUNCTION("XLOOKUP(JOIN(""/"",$A367:$B367),'source isilon_divまとめ'!$A:$A,'source isilon_divまとめ'!$D:$D,XLOOKUP(JOIN(""\"",$A367:$B367),'source NetApp-file-sv01-div'!A:A,TEXT('source NetApp-file-sv01-div'!C:C,""yyyy/mm/dd"")))"),"2020/04/22")</f>
        <v>2020/04/22</v>
      </c>
    </row>
    <row r="368">
      <c r="A368" s="52" t="s">
        <v>1054</v>
      </c>
      <c r="B368" s="52" t="s">
        <v>1307</v>
      </c>
      <c r="C368" s="46" t="s">
        <v>986</v>
      </c>
      <c r="D368" s="53">
        <f>IFERROR(__xludf.DUMMYFUNCTION("XLOOKUP(JOIN(""/"",$A368:$B368),'source merged_div_data'!$A:$A,'source merged_div_data'!B:B)"),14.0)</f>
        <v>14</v>
      </c>
      <c r="E368" s="53">
        <f>IFERROR(__xludf.DUMMYFUNCTION("XLOOKUP(JOIN(""/"",$A368:$B368),'source merged_div_data'!$A:$A,'source merged_div_data'!C:C)"),0.0)</f>
        <v>0</v>
      </c>
      <c r="F368" s="54" t="str">
        <f t="array" ref="F368">IFERROR(
  IFS(
    XLOOKUP(TEXTJOIN("/", TRUE, $A368:$B368), 'source merged_div_data'!$A:$A, 'source merged_div_data'!F:F) &lt; 1024,
      XLOOKUP(TEXTJOIN("/", TRUE, $A368:$B368), 'source merged_div_data'!$A:$A, 'source merged_div_data'!F:F) &amp; " B",
    XLOOKUP(TEXTJOIN("/", TRUE, $A368:$B368), 'source merged_div_data'!$A:$A, 'source merged_div_data'!F:F) &lt; 1048576,
      ROUND(XLOOKUP(TEXTJOIN("/", TRUE, $A368:$B368), 'source merged_div_data'!$A:$A, 'source merged_div_data'!F:F)/1024, 2) &amp; " KB",
    XLOOKUP(TEXTJOIN("/", TRUE, $A368:$B368), 'source merged_div_data'!$A:$A, 'source merged_div_data'!F:F) &lt; 1073741824,
      ROUND(XLOOKUP(TEXTJOIN("/", TRUE, $A368:$B368), 'source merged_div_data'!$A:$A, 'source merged_div_data'!F:F)/1048576, 2) &amp; " MB",
    TRUE,
      ROUND(XLOOKUP(TEXTJOIN("/", TRUE, $A368:$B368), 'source merged_div_data'!$A:$A, 'source merged_div_data'!F:F)/1073741824, 2) &amp; " GB"
  ),
  "×"
)</f>
        <v>435 B</v>
      </c>
      <c r="G368" s="55" t="s">
        <v>1053</v>
      </c>
      <c r="H368" s="55"/>
      <c r="I368" s="55"/>
      <c r="J368" s="46" t="s">
        <v>717</v>
      </c>
      <c r="K368" s="55"/>
      <c r="L368" s="46" t="s">
        <v>2100</v>
      </c>
      <c r="M368" s="55" t="s">
        <v>1053</v>
      </c>
      <c r="N368" s="52" t="s">
        <v>1102</v>
      </c>
      <c r="O368" s="46" t="s">
        <v>1105</v>
      </c>
      <c r="P368" s="37" t="str">
        <f>IFERROR(__xludf.DUMMYFUNCTION("XLOOKUP(JOIN(""/"",$A368:$B368),'source isilon_divまとめ'!$A:$A,'source isilon_divまとめ'!$D:$D,XLOOKUP(JOIN(""\"",$A368:$B368),'source NetApp-file-sv01-div'!A:A,TEXT('source NetApp-file-sv01-div'!C:C,""yyyy/mm/dd"")))"),"#N/A")</f>
        <v>#N/A</v>
      </c>
    </row>
    <row r="369">
      <c r="A369" s="52" t="s">
        <v>1054</v>
      </c>
      <c r="B369" s="52" t="s">
        <v>1308</v>
      </c>
      <c r="C369" s="46" t="s">
        <v>986</v>
      </c>
      <c r="D369" s="53">
        <f>IFERROR(__xludf.DUMMYFUNCTION("XLOOKUP(JOIN(""/"",$A369:$B369),'source merged_div_data'!$A:$A,'source merged_div_data'!B:B)"),2.0)</f>
        <v>2</v>
      </c>
      <c r="E369" s="53">
        <f>IFERROR(__xludf.DUMMYFUNCTION("XLOOKUP(JOIN(""/"",$A369:$B369),'source merged_div_data'!$A:$A,'source merged_div_data'!C:C)"),0.0)</f>
        <v>0</v>
      </c>
      <c r="F369" s="54" t="str">
        <f t="array" ref="F369">IFERROR(
  IFS(
    XLOOKUP(TEXTJOIN("/", TRUE, $A369:$B369), 'source merged_div_data'!$A:$A, 'source merged_div_data'!F:F) &lt; 1024,
      XLOOKUP(TEXTJOIN("/", TRUE, $A369:$B369), 'source merged_div_data'!$A:$A, 'source merged_div_data'!F:F) &amp; " B",
    XLOOKUP(TEXTJOIN("/", TRUE, $A369:$B369), 'source merged_div_data'!$A:$A, 'source merged_div_data'!F:F) &lt; 1048576,
      ROUND(XLOOKUP(TEXTJOIN("/", TRUE, $A369:$B369), 'source merged_div_data'!$A:$A, 'source merged_div_data'!F:F)/1024, 2) &amp; " KB",
    XLOOKUP(TEXTJOIN("/", TRUE, $A369:$B369), 'source merged_div_data'!$A:$A, 'source merged_div_data'!F:F) &lt; 1073741824,
      ROUND(XLOOKUP(TEXTJOIN("/", TRUE, $A369:$B369), 'source merged_div_data'!$A:$A, 'source merged_div_data'!F:F)/1048576, 2) &amp; " MB",
    TRUE,
      ROUND(XLOOKUP(TEXTJOIN("/", TRUE, $A369:$B369), 'source merged_div_data'!$A:$A, 'source merged_div_data'!F:F)/1073741824, 2) &amp; " GB"
  ),
  "×"
)</f>
        <v>27 B</v>
      </c>
      <c r="G369" s="55" t="s">
        <v>1053</v>
      </c>
      <c r="H369" s="55"/>
      <c r="I369" s="55"/>
      <c r="J369" s="46" t="s">
        <v>391</v>
      </c>
      <c r="K369" s="55"/>
      <c r="L369" s="46" t="s">
        <v>2116</v>
      </c>
      <c r="M369" s="55" t="s">
        <v>1053</v>
      </c>
      <c r="N369" s="52" t="s">
        <v>1102</v>
      </c>
      <c r="O369" s="46" t="s">
        <v>391</v>
      </c>
      <c r="P369" s="37" t="str">
        <f>IFERROR(__xludf.DUMMYFUNCTION("XLOOKUP(JOIN(""/"",$A369:$B369),'source isilon_divまとめ'!$A:$A,'source isilon_divまとめ'!$D:$D,XLOOKUP(JOIN(""\"",$A369:$B369),'source NetApp-file-sv01-div'!A:A,TEXT('source NetApp-file-sv01-div'!C:C,""yyyy/mm/dd"")))"),"#N/A")</f>
        <v>#N/A</v>
      </c>
    </row>
    <row r="370">
      <c r="A370" s="52" t="s">
        <v>1054</v>
      </c>
      <c r="B370" s="52" t="s">
        <v>1309</v>
      </c>
      <c r="C370" s="46" t="s">
        <v>986</v>
      </c>
      <c r="D370" s="53">
        <f>IFERROR(__xludf.DUMMYFUNCTION("XLOOKUP(JOIN(""/"",$A370:$B370),'source merged_div_data'!$A:$A,'source merged_div_data'!B:B)"),30.0)</f>
        <v>30</v>
      </c>
      <c r="E370" s="53">
        <f>IFERROR(__xludf.DUMMYFUNCTION("XLOOKUP(JOIN(""/"",$A370:$B370),'source merged_div_data'!$A:$A,'source merged_div_data'!C:C)"),0.0)</f>
        <v>0</v>
      </c>
      <c r="F370" s="54" t="str">
        <f t="array" ref="F370">IFERROR(
  IFS(
    XLOOKUP(TEXTJOIN("/", TRUE, $A370:$B370), 'source merged_div_data'!$A:$A, 'source merged_div_data'!F:F) &lt; 1024,
      XLOOKUP(TEXTJOIN("/", TRUE, $A370:$B370), 'source merged_div_data'!$A:$A, 'source merged_div_data'!F:F) &amp; " B",
    XLOOKUP(TEXTJOIN("/", TRUE, $A370:$B370), 'source merged_div_data'!$A:$A, 'source merged_div_data'!F:F) &lt; 1048576,
      ROUND(XLOOKUP(TEXTJOIN("/", TRUE, $A370:$B370), 'source merged_div_data'!$A:$A, 'source merged_div_data'!F:F)/1024, 2) &amp; " KB",
    XLOOKUP(TEXTJOIN("/", TRUE, $A370:$B370), 'source merged_div_data'!$A:$A, 'source merged_div_data'!F:F) &lt; 1073741824,
      ROUND(XLOOKUP(TEXTJOIN("/", TRUE, $A370:$B370), 'source merged_div_data'!$A:$A, 'source merged_div_data'!F:F)/1048576, 2) &amp; " MB",
    TRUE,
      ROUND(XLOOKUP(TEXTJOIN("/", TRUE, $A370:$B370), 'source merged_div_data'!$A:$A, 'source merged_div_data'!F:F)/1073741824, 2) &amp; " GB"
  ),
  "×"
)</f>
        <v>1.06 KB</v>
      </c>
      <c r="G370" s="55" t="s">
        <v>1053</v>
      </c>
      <c r="H370" s="55"/>
      <c r="I370" s="55"/>
      <c r="J370" s="46" t="s">
        <v>717</v>
      </c>
      <c r="K370" s="55"/>
      <c r="L370" s="46" t="s">
        <v>2100</v>
      </c>
      <c r="M370" s="55" t="s">
        <v>1053</v>
      </c>
      <c r="N370" s="52" t="s">
        <v>1102</v>
      </c>
      <c r="O370" s="46" t="s">
        <v>1097</v>
      </c>
      <c r="P370" s="37" t="str">
        <f>IFERROR(__xludf.DUMMYFUNCTION("XLOOKUP(JOIN(""/"",$A370:$B370),'source isilon_divまとめ'!$A:$A,'source isilon_divまとめ'!$D:$D,XLOOKUP(JOIN(""\"",$A370:$B370),'source NetApp-file-sv01-div'!A:A,TEXT('source NetApp-file-sv01-div'!C:C,""yyyy/mm/dd"")))"),"#N/A")</f>
        <v>#N/A</v>
      </c>
    </row>
    <row r="371">
      <c r="A371" s="52" t="s">
        <v>1054</v>
      </c>
      <c r="B371" s="52" t="s">
        <v>1228</v>
      </c>
      <c r="C371" s="46" t="s">
        <v>988</v>
      </c>
      <c r="D371" s="53">
        <f>IFERROR(__xludf.DUMMYFUNCTION("XLOOKUP(JOIN(""/"",$A371:$B371),'source merged_div_data'!$A:$A,'source merged_div_data'!B:B)"),4.0)</f>
        <v>4</v>
      </c>
      <c r="E371" s="53">
        <f>IFERROR(__xludf.DUMMYFUNCTION("XLOOKUP(JOIN(""/"",$A371:$B371),'source merged_div_data'!$A:$A,'source merged_div_data'!C:C)"),0.0)</f>
        <v>0</v>
      </c>
      <c r="F371" s="54" t="str">
        <f t="array" ref="F371">IFERROR(
  IFS(
    XLOOKUP(TEXTJOIN("/", TRUE, $A371:$B371), 'source merged_div_data'!$A:$A, 'source merged_div_data'!F:F) &lt; 1024,
      XLOOKUP(TEXTJOIN("/", TRUE, $A371:$B371), 'source merged_div_data'!$A:$A, 'source merged_div_data'!F:F) &amp; " B",
    XLOOKUP(TEXTJOIN("/", TRUE, $A371:$B371), 'source merged_div_data'!$A:$A, 'source merged_div_data'!F:F) &lt; 1048576,
      ROUND(XLOOKUP(TEXTJOIN("/", TRUE, $A371:$B371), 'source merged_div_data'!$A:$A, 'source merged_div_data'!F:F)/1024, 2) &amp; " KB",
    XLOOKUP(TEXTJOIN("/", TRUE, $A371:$B371), 'source merged_div_data'!$A:$A, 'source merged_div_data'!F:F) &lt; 1073741824,
      ROUND(XLOOKUP(TEXTJOIN("/", TRUE, $A371:$B371), 'source merged_div_data'!$A:$A, 'source merged_div_data'!F:F)/1048576, 2) &amp; " MB",
    TRUE,
      ROUND(XLOOKUP(TEXTJOIN("/", TRUE, $A371:$B371), 'source merged_div_data'!$A:$A, 'source merged_div_data'!F:F)/1073741824, 2) &amp; " GB"
  ),
  "×"
)</f>
        <v>94 B</v>
      </c>
      <c r="G371" s="55" t="s">
        <v>1053</v>
      </c>
      <c r="H371" s="55"/>
      <c r="I371" s="55"/>
      <c r="J371" s="46" t="s">
        <v>1215</v>
      </c>
      <c r="K371" s="55"/>
      <c r="L371" s="55" t="s">
        <v>1053</v>
      </c>
      <c r="M371" s="55" t="s">
        <v>1053</v>
      </c>
      <c r="N371" s="52" t="s">
        <v>1102</v>
      </c>
      <c r="O371" s="46" t="s">
        <v>1215</v>
      </c>
      <c r="P371" s="37" t="str">
        <f>IFERROR(__xludf.DUMMYFUNCTION("XLOOKUP(JOIN(""/"",$A371:$B371),'source isilon_divまとめ'!$A:$A,'source isilon_divまとめ'!$D:$D,XLOOKUP(JOIN(""\"",$A371:$B371),'source NetApp-file-sv01-div'!A:A,TEXT('source NetApp-file-sv01-div'!C:C,""yyyy/mm/dd"")))"),"#N/A")</f>
        <v>#N/A</v>
      </c>
    </row>
    <row r="372">
      <c r="A372" s="52" t="s">
        <v>1054</v>
      </c>
      <c r="B372" s="52" t="s">
        <v>1310</v>
      </c>
      <c r="C372" s="46" t="s">
        <v>986</v>
      </c>
      <c r="D372" s="53">
        <f>IFERROR(__xludf.DUMMYFUNCTION("XLOOKUP(JOIN(""/"",$A372:$B372),'source merged_div_data'!$A:$A,'source merged_div_data'!B:B)"),2.0)</f>
        <v>2</v>
      </c>
      <c r="E372" s="53">
        <f>IFERROR(__xludf.DUMMYFUNCTION("XLOOKUP(JOIN(""/"",$A372:$B372),'source merged_div_data'!$A:$A,'source merged_div_data'!C:C)"),0.0)</f>
        <v>0</v>
      </c>
      <c r="F372" s="54" t="str">
        <f t="array" ref="F372">IFERROR(
  IFS(
    XLOOKUP(TEXTJOIN("/", TRUE, $A372:$B372), 'source merged_div_data'!$A:$A, 'source merged_div_data'!F:F) &lt; 1024,
      XLOOKUP(TEXTJOIN("/", TRUE, $A372:$B372), 'source merged_div_data'!$A:$A, 'source merged_div_data'!F:F) &amp; " B",
    XLOOKUP(TEXTJOIN("/", TRUE, $A372:$B372), 'source merged_div_data'!$A:$A, 'source merged_div_data'!F:F) &lt; 1048576,
      ROUND(XLOOKUP(TEXTJOIN("/", TRUE, $A372:$B372), 'source merged_div_data'!$A:$A, 'source merged_div_data'!F:F)/1024, 2) &amp; " KB",
    XLOOKUP(TEXTJOIN("/", TRUE, $A372:$B372), 'source merged_div_data'!$A:$A, 'source merged_div_data'!F:F) &lt; 1073741824,
      ROUND(XLOOKUP(TEXTJOIN("/", TRUE, $A372:$B372), 'source merged_div_data'!$A:$A, 'source merged_div_data'!F:F)/1048576, 2) &amp; " MB",
    TRUE,
      ROUND(XLOOKUP(TEXTJOIN("/", TRUE, $A372:$B372), 'source merged_div_data'!$A:$A, 'source merged_div_data'!F:F)/1073741824, 2) &amp; " GB"
  ),
  "×"
)</f>
        <v>27 B</v>
      </c>
      <c r="G372" s="55" t="s">
        <v>1053</v>
      </c>
      <c r="H372" s="55"/>
      <c r="I372" s="55"/>
      <c r="J372" s="46" t="s">
        <v>478</v>
      </c>
      <c r="K372" s="55"/>
      <c r="L372" s="55" t="s">
        <v>1066</v>
      </c>
      <c r="M372" s="55" t="s">
        <v>1053</v>
      </c>
      <c r="N372" s="52" t="s">
        <v>1102</v>
      </c>
      <c r="O372" s="46" t="s">
        <v>478</v>
      </c>
      <c r="P372" s="37" t="str">
        <f>IFERROR(__xludf.DUMMYFUNCTION("XLOOKUP(JOIN(""/"",$A372:$B372),'source isilon_divまとめ'!$A:$A,'source isilon_divまとめ'!$D:$D,XLOOKUP(JOIN(""\"",$A372:$B372),'source NetApp-file-sv01-div'!A:A,TEXT('source NetApp-file-sv01-div'!C:C,""yyyy/mm/dd"")))"),"#N/A")</f>
        <v>#N/A</v>
      </c>
    </row>
    <row r="373">
      <c r="A373" s="52" t="s">
        <v>1054</v>
      </c>
      <c r="B373" s="52" t="s">
        <v>1137</v>
      </c>
      <c r="C373" s="46" t="s">
        <v>988</v>
      </c>
      <c r="D373" s="53">
        <f>IFERROR(__xludf.DUMMYFUNCTION("XLOOKUP(JOIN(""/"",$A373:$B373),'source merged_div_data'!$A:$A,'source merged_div_data'!B:B)"),16.0)</f>
        <v>16</v>
      </c>
      <c r="E373" s="53">
        <f>IFERROR(__xludf.DUMMYFUNCTION("XLOOKUP(JOIN(""/"",$A373:$B373),'source merged_div_data'!$A:$A,'source merged_div_data'!C:C)"),0.0)</f>
        <v>0</v>
      </c>
      <c r="F373" s="54" t="str">
        <f t="array" ref="F373">IFERROR(
  IFS(
    XLOOKUP(TEXTJOIN("/", TRUE, $A373:$B373), 'source merged_div_data'!$A:$A, 'source merged_div_data'!F:F) &lt; 1024,
      XLOOKUP(TEXTJOIN("/", TRUE, $A373:$B373), 'source merged_div_data'!$A:$A, 'source merged_div_data'!F:F) &amp; " B",
    XLOOKUP(TEXTJOIN("/", TRUE, $A373:$B373), 'source merged_div_data'!$A:$A, 'source merged_div_data'!F:F) &lt; 1048576,
      ROUND(XLOOKUP(TEXTJOIN("/", TRUE, $A373:$B373), 'source merged_div_data'!$A:$A, 'source merged_div_data'!F:F)/1024, 2) &amp; " KB",
    XLOOKUP(TEXTJOIN("/", TRUE, $A373:$B373), 'source merged_div_data'!$A:$A, 'source merged_div_data'!F:F) &lt; 1073741824,
      ROUND(XLOOKUP(TEXTJOIN("/", TRUE, $A373:$B373), 'source merged_div_data'!$A:$A, 'source merged_div_data'!F:F)/1048576, 2) &amp; " MB",
    TRUE,
      ROUND(XLOOKUP(TEXTJOIN("/", TRUE, $A373:$B373), 'source merged_div_data'!$A:$A, 'source merged_div_data'!F:F)/1073741824, 2) &amp; " GB"
  ),
  "×"
)</f>
        <v>658 B</v>
      </c>
      <c r="G373" s="55" t="s">
        <v>1053</v>
      </c>
      <c r="H373" s="55"/>
      <c r="I373" s="55"/>
      <c r="J373" s="46" t="s">
        <v>1058</v>
      </c>
      <c r="K373" s="55"/>
      <c r="L373" s="55" t="s">
        <v>1053</v>
      </c>
      <c r="M373" s="55" t="s">
        <v>1053</v>
      </c>
      <c r="N373" s="52" t="s">
        <v>1102</v>
      </c>
      <c r="O373" s="46" t="s">
        <v>1058</v>
      </c>
      <c r="P373" s="37" t="str">
        <f>IFERROR(__xludf.DUMMYFUNCTION("XLOOKUP(JOIN(""/"",$A373:$B373),'source isilon_divまとめ'!$A:$A,'source isilon_divまとめ'!$D:$D,XLOOKUP(JOIN(""\"",$A373:$B373),'source NetApp-file-sv01-div'!A:A,TEXT('source NetApp-file-sv01-div'!C:C,""yyyy/mm/dd"")))"),"#N/A")</f>
        <v>#N/A</v>
      </c>
    </row>
    <row r="374">
      <c r="A374" s="8" t="s">
        <v>1054</v>
      </c>
      <c r="B374" s="8" t="s">
        <v>1311</v>
      </c>
      <c r="C374" s="7" t="s">
        <v>987</v>
      </c>
      <c r="D374" s="56">
        <f>IFERROR(__xludf.DUMMYFUNCTION("XLOOKUP(JOIN(""/"",$A374:$B374),'source merged_div_data'!$A:$A,'source merged_div_data'!B:B)"),98.0)</f>
        <v>98</v>
      </c>
      <c r="E374" s="56">
        <f>IFERROR(__xludf.DUMMYFUNCTION("XLOOKUP(JOIN(""/"",$A374:$B374),'source merged_div_data'!$A:$A,'source merged_div_data'!C:C)"),7.0)</f>
        <v>7</v>
      </c>
      <c r="F374" s="54" t="str">
        <f t="array" ref="F374">IFERROR(
  IFS(
    XLOOKUP(TEXTJOIN("/", TRUE, $A374:$B374), 'source merged_div_data'!$A:$A, 'source merged_div_data'!F:F) &lt; 1024,
      XLOOKUP(TEXTJOIN("/", TRUE, $A374:$B374), 'source merged_div_data'!$A:$A, 'source merged_div_data'!F:F) &amp; " B",
    XLOOKUP(TEXTJOIN("/", TRUE, $A374:$B374), 'source merged_div_data'!$A:$A, 'source merged_div_data'!F:F) &lt; 1048576,
      ROUND(XLOOKUP(TEXTJOIN("/", TRUE, $A374:$B374), 'source merged_div_data'!$A:$A, 'source merged_div_data'!F:F)/1024, 2) &amp; " KB",
    XLOOKUP(TEXTJOIN("/", TRUE, $A374:$B374), 'source merged_div_data'!$A:$A, 'source merged_div_data'!F:F) &lt; 1073741824,
      ROUND(XLOOKUP(TEXTJOIN("/", TRUE, $A374:$B374), 'source merged_div_data'!$A:$A, 'source merged_div_data'!F:F)/1048576, 2) &amp; " MB",
    TRUE,
      ROUND(XLOOKUP(TEXTJOIN("/", TRUE, $A374:$B374), 'source merged_div_data'!$A:$A, 'source merged_div_data'!F:F)/1073741824, 2) &amp; " GB"
  ),
  "×"
)</f>
        <v>505.14 KB</v>
      </c>
      <c r="G374" s="57" t="s">
        <v>2318</v>
      </c>
      <c r="H374" s="58" t="s">
        <v>2177</v>
      </c>
      <c r="I374" s="57"/>
      <c r="J374" s="7" t="s">
        <v>717</v>
      </c>
      <c r="L374" s="7" t="s">
        <v>2100</v>
      </c>
      <c r="M374" s="37" t="s">
        <v>1053</v>
      </c>
      <c r="N374" s="8" t="s">
        <v>1102</v>
      </c>
      <c r="O374" s="7" t="s">
        <v>391</v>
      </c>
      <c r="P374" s="57" t="str">
        <f>IFERROR(__xludf.DUMMYFUNCTION("XLOOKUP(JOIN(""/"",$A374:$B374),'source isilon_divまとめ'!$A:$A,'source isilon_divまとめ'!$D:$D,XLOOKUP(JOIN(""\"",$A374:$B374),'source NetApp-file-sv01-div'!A:A,TEXT('source NetApp-file-sv01-div'!C:C,""yyyy/mm/dd"")))"),"2019/09/24")</f>
        <v>2019/09/24</v>
      </c>
    </row>
    <row r="375">
      <c r="A375" s="8" t="s">
        <v>1054</v>
      </c>
      <c r="B375" s="8" t="s">
        <v>1111</v>
      </c>
      <c r="C375" s="7" t="s">
        <v>988</v>
      </c>
      <c r="D375" s="56">
        <f>IFERROR(__xludf.DUMMYFUNCTION("XLOOKUP(JOIN(""/"",$A375:$B375),'source merged_div_data'!$A:$A,'source merged_div_data'!B:B)"),379.0)</f>
        <v>379</v>
      </c>
      <c r="E375" s="56">
        <f>IFERROR(__xludf.DUMMYFUNCTION("XLOOKUP(JOIN(""/"",$A375:$B375),'source merged_div_data'!$A:$A,'source merged_div_data'!C:C)"),405.0)</f>
        <v>405</v>
      </c>
      <c r="F375" s="54" t="str">
        <f t="array" ref="F375">IFERROR(
  IFS(
    XLOOKUP(TEXTJOIN("/", TRUE, $A375:$B375), 'source merged_div_data'!$A:$A, 'source merged_div_data'!F:F) &lt; 1024,
      XLOOKUP(TEXTJOIN("/", TRUE, $A375:$B375), 'source merged_div_data'!$A:$A, 'source merged_div_data'!F:F) &amp; " B",
    XLOOKUP(TEXTJOIN("/", TRUE, $A375:$B375), 'source merged_div_data'!$A:$A, 'source merged_div_data'!F:F) &lt; 1048576,
      ROUND(XLOOKUP(TEXTJOIN("/", TRUE, $A375:$B375), 'source merged_div_data'!$A:$A, 'source merged_div_data'!F:F)/1024, 2) &amp; " KB",
    XLOOKUP(TEXTJOIN("/", TRUE, $A375:$B375), 'source merged_div_data'!$A:$A, 'source merged_div_data'!F:F) &lt; 1073741824,
      ROUND(XLOOKUP(TEXTJOIN("/", TRUE, $A375:$B375), 'source merged_div_data'!$A:$A, 'source merged_div_data'!F:F)/1048576, 2) &amp; " MB",
    TRUE,
      ROUND(XLOOKUP(TEXTJOIN("/", TRUE, $A375:$B375), 'source merged_div_data'!$A:$A, 'source merged_div_data'!F:F)/1073741824, 2) &amp; " GB"
  ),
  "×"
)</f>
        <v>3.17 GB</v>
      </c>
      <c r="G375" s="57" t="s">
        <v>2319</v>
      </c>
      <c r="H375" s="58" t="s">
        <v>2177</v>
      </c>
      <c r="I375" s="57"/>
      <c r="J375" s="7" t="s">
        <v>1105</v>
      </c>
      <c r="L375" s="37" t="s">
        <v>1053</v>
      </c>
      <c r="M375" s="37" t="s">
        <v>1053</v>
      </c>
      <c r="N375" s="8" t="s">
        <v>1102</v>
      </c>
      <c r="O375" s="7" t="s">
        <v>1105</v>
      </c>
      <c r="P375" s="57" t="str">
        <f>IFERROR(__xludf.DUMMYFUNCTION("XLOOKUP(JOIN(""/"",$A375:$B375),'source isilon_divまとめ'!$A:$A,'source isilon_divまとめ'!$D:$D,XLOOKUP(JOIN(""\"",$A375:$B375),'source NetApp-file-sv01-div'!A:A,TEXT('source NetApp-file-sv01-div'!C:C,""yyyy/mm/dd"")))"),"2020/07/02")</f>
        <v>2020/07/02</v>
      </c>
    </row>
    <row r="376">
      <c r="A376" s="52" t="s">
        <v>1054</v>
      </c>
      <c r="B376" s="52" t="s">
        <v>1187</v>
      </c>
      <c r="C376" s="46" t="s">
        <v>986</v>
      </c>
      <c r="D376" s="53">
        <f>IFERROR(__xludf.DUMMYFUNCTION("XLOOKUP(JOIN(""/"",$A376:$B376),'source merged_div_data'!$A:$A,'source merged_div_data'!B:B)"),4.0)</f>
        <v>4</v>
      </c>
      <c r="E376" s="53">
        <f>IFERROR(__xludf.DUMMYFUNCTION("XLOOKUP(JOIN(""/"",$A376:$B376),'source merged_div_data'!$A:$A,'source merged_div_data'!C:C)"),0.0)</f>
        <v>0</v>
      </c>
      <c r="F376" s="54" t="str">
        <f t="array" ref="F376">IFERROR(
  IFS(
    XLOOKUP(TEXTJOIN("/", TRUE, $A376:$B376), 'source merged_div_data'!$A:$A, 'source merged_div_data'!F:F) &lt; 1024,
      XLOOKUP(TEXTJOIN("/", TRUE, $A376:$B376), 'source merged_div_data'!$A:$A, 'source merged_div_data'!F:F) &amp; " B",
    XLOOKUP(TEXTJOIN("/", TRUE, $A376:$B376), 'source merged_div_data'!$A:$A, 'source merged_div_data'!F:F) &lt; 1048576,
      ROUND(XLOOKUP(TEXTJOIN("/", TRUE, $A376:$B376), 'source merged_div_data'!$A:$A, 'source merged_div_data'!F:F)/1024, 2) &amp; " KB",
    XLOOKUP(TEXTJOIN("/", TRUE, $A376:$B376), 'source merged_div_data'!$A:$A, 'source merged_div_data'!F:F) &lt; 1073741824,
      ROUND(XLOOKUP(TEXTJOIN("/", TRUE, $A376:$B376), 'source merged_div_data'!$A:$A, 'source merged_div_data'!F:F)/1048576, 2) &amp; " MB",
    TRUE,
      ROUND(XLOOKUP(TEXTJOIN("/", TRUE, $A376:$B376), 'source merged_div_data'!$A:$A, 'source merged_div_data'!F:F)/1073741824, 2) &amp; " GB"
  ),
  "×"
)</f>
        <v>100 B</v>
      </c>
      <c r="G376" s="55" t="s">
        <v>1053</v>
      </c>
      <c r="H376" s="55"/>
      <c r="I376" s="55"/>
      <c r="J376" s="46" t="s">
        <v>38</v>
      </c>
      <c r="K376" s="46" t="s">
        <v>43</v>
      </c>
      <c r="L376" s="46" t="s">
        <v>1053</v>
      </c>
      <c r="M376" s="46" t="s">
        <v>1467</v>
      </c>
      <c r="N376" s="52" t="s">
        <v>1102</v>
      </c>
      <c r="O376" s="46" t="s">
        <v>1188</v>
      </c>
      <c r="P376" s="37" t="str">
        <f>IFERROR(__xludf.DUMMYFUNCTION("XLOOKUP(JOIN(""/"",$A376:$B376),'source isilon_divまとめ'!$A:$A,'source isilon_divまとめ'!$D:$D,XLOOKUP(JOIN(""\"",$A376:$B376),'source NetApp-file-sv01-div'!A:A,TEXT('source NetApp-file-sv01-div'!C:C,""yyyy/mm/dd"")))"),"#N/A")</f>
        <v>#N/A</v>
      </c>
    </row>
    <row r="377">
      <c r="A377" s="52" t="s">
        <v>1054</v>
      </c>
      <c r="B377" s="52" t="s">
        <v>1312</v>
      </c>
      <c r="C377" s="46" t="s">
        <v>986</v>
      </c>
      <c r="D377" s="53">
        <f>IFERROR(__xludf.DUMMYFUNCTION("XLOOKUP(JOIN(""/"",$A377:$B377),'source merged_div_data'!$A:$A,'source merged_div_data'!B:B)"),10.0)</f>
        <v>10</v>
      </c>
      <c r="E377" s="53">
        <f>IFERROR(__xludf.DUMMYFUNCTION("XLOOKUP(JOIN(""/"",$A377:$B377),'source merged_div_data'!$A:$A,'source merged_div_data'!C:C)"),0.0)</f>
        <v>0</v>
      </c>
      <c r="F377" s="54" t="str">
        <f t="array" ref="F377">IFERROR(
  IFS(
    XLOOKUP(TEXTJOIN("/", TRUE, $A377:$B377), 'source merged_div_data'!$A:$A, 'source merged_div_data'!F:F) &lt; 1024,
      XLOOKUP(TEXTJOIN("/", TRUE, $A377:$B377), 'source merged_div_data'!$A:$A, 'source merged_div_data'!F:F) &amp; " B",
    XLOOKUP(TEXTJOIN("/", TRUE, $A377:$B377), 'source merged_div_data'!$A:$A, 'source merged_div_data'!F:F) &lt; 1048576,
      ROUND(XLOOKUP(TEXTJOIN("/", TRUE, $A377:$B377), 'source merged_div_data'!$A:$A, 'source merged_div_data'!F:F)/1024, 2) &amp; " KB",
    XLOOKUP(TEXTJOIN("/", TRUE, $A377:$B377), 'source merged_div_data'!$A:$A, 'source merged_div_data'!F:F) &lt; 1073741824,
      ROUND(XLOOKUP(TEXTJOIN("/", TRUE, $A377:$B377), 'source merged_div_data'!$A:$A, 'source merged_div_data'!F:F)/1048576, 2) &amp; " MB",
    TRUE,
      ROUND(XLOOKUP(TEXTJOIN("/", TRUE, $A377:$B377), 'source merged_div_data'!$A:$A, 'source merged_div_data'!F:F)/1073741824, 2) &amp; " GB"
  ),
  "×"
)</f>
        <v>279 B</v>
      </c>
      <c r="G377" s="55" t="s">
        <v>1053</v>
      </c>
      <c r="H377" s="55"/>
      <c r="I377" s="55"/>
      <c r="J377" s="46" t="s">
        <v>717</v>
      </c>
      <c r="K377" s="55"/>
      <c r="L377" s="46" t="s">
        <v>2100</v>
      </c>
      <c r="M377" s="55" t="s">
        <v>1053</v>
      </c>
      <c r="N377" s="52" t="s">
        <v>1102</v>
      </c>
      <c r="O377" s="46" t="s">
        <v>1097</v>
      </c>
      <c r="P377" s="37" t="str">
        <f>IFERROR(__xludf.DUMMYFUNCTION("XLOOKUP(JOIN(""/"",$A377:$B377),'source isilon_divまとめ'!$A:$A,'source isilon_divまとめ'!$D:$D,XLOOKUP(JOIN(""\"",$A377:$B377),'source NetApp-file-sv01-div'!A:A,TEXT('source NetApp-file-sv01-div'!C:C,""yyyy/mm/dd"")))"),"#N/A")</f>
        <v>#N/A</v>
      </c>
    </row>
    <row r="378">
      <c r="A378" s="8" t="s">
        <v>1054</v>
      </c>
      <c r="B378" s="8" t="s">
        <v>1162</v>
      </c>
      <c r="C378" s="7" t="s">
        <v>987</v>
      </c>
      <c r="D378" s="56">
        <f>IFERROR(__xludf.DUMMYFUNCTION("XLOOKUP(JOIN(""/"",$A378:$B378),'source merged_div_data'!$A:$A,'source merged_div_data'!B:B)"),137343.0)</f>
        <v>137343</v>
      </c>
      <c r="E378" s="56">
        <f>IFERROR(__xludf.DUMMYFUNCTION("XLOOKUP(JOIN(""/"",$A378:$B378),'source merged_div_data'!$A:$A,'source merged_div_data'!C:C)"),532575.0)</f>
        <v>532575</v>
      </c>
      <c r="F378" s="54" t="str">
        <f t="array" ref="F378">IFERROR(
  IFS(
    XLOOKUP(TEXTJOIN("/", TRUE, $A378:$B378), 'source merged_div_data'!$A:$A, 'source merged_div_data'!F:F) &lt; 1024,
      XLOOKUP(TEXTJOIN("/", TRUE, $A378:$B378), 'source merged_div_data'!$A:$A, 'source merged_div_data'!F:F) &amp; " B",
    XLOOKUP(TEXTJOIN("/", TRUE, $A378:$B378), 'source merged_div_data'!$A:$A, 'source merged_div_data'!F:F) &lt; 1048576,
      ROUND(XLOOKUP(TEXTJOIN("/", TRUE, $A378:$B378), 'source merged_div_data'!$A:$A, 'source merged_div_data'!F:F)/1024, 2) &amp; " KB",
    XLOOKUP(TEXTJOIN("/", TRUE, $A378:$B378), 'source merged_div_data'!$A:$A, 'source merged_div_data'!F:F) &lt; 1073741824,
      ROUND(XLOOKUP(TEXTJOIN("/", TRUE, $A378:$B378), 'source merged_div_data'!$A:$A, 'source merged_div_data'!F:F)/1048576, 2) &amp; " MB",
    TRUE,
      ROUND(XLOOKUP(TEXTJOIN("/", TRUE, $A378:$B378), 'source merged_div_data'!$A:$A, 'source merged_div_data'!F:F)/1073741824, 2) &amp; " GB"
  ),
  "×"
)</f>
        <v>269.98 GB</v>
      </c>
      <c r="G378" s="57" t="s">
        <v>2320</v>
      </c>
      <c r="H378" s="58" t="s">
        <v>2184</v>
      </c>
      <c r="I378" s="57"/>
      <c r="J378" s="7" t="s">
        <v>717</v>
      </c>
      <c r="L378" s="7" t="s">
        <v>2100</v>
      </c>
      <c r="M378" s="37" t="s">
        <v>1053</v>
      </c>
      <c r="N378" s="8" t="s">
        <v>1313</v>
      </c>
      <c r="O378" s="7" t="s">
        <v>1162</v>
      </c>
      <c r="P378" s="57" t="str">
        <f>IFERROR(__xludf.DUMMYFUNCTION("XLOOKUP(JOIN(""/"",$A378:$B378),'source isilon_divまとめ'!$A:$A,'source isilon_divまとめ'!$D:$D,XLOOKUP(JOIN(""\"",$A378:$B378),'source NetApp-file-sv01-div'!A:A,TEXT('source NetApp-file-sv01-div'!C:C,""yyyy/mm/dd"")))"),"2025/02/06")</f>
        <v>2025/02/06</v>
      </c>
    </row>
    <row r="379">
      <c r="A379" s="8" t="s">
        <v>1054</v>
      </c>
      <c r="B379" s="8" t="s">
        <v>1314</v>
      </c>
      <c r="C379" s="7" t="s">
        <v>988</v>
      </c>
      <c r="D379" s="56">
        <f>IFERROR(__xludf.DUMMYFUNCTION("XLOOKUP(JOIN(""/"",$A379:$B379),'source merged_div_data'!$A:$A,'source merged_div_data'!B:B)"),42.0)</f>
        <v>42</v>
      </c>
      <c r="E379" s="56">
        <f>IFERROR(__xludf.DUMMYFUNCTION("XLOOKUP(JOIN(""/"",$A379:$B379),'source merged_div_data'!$A:$A,'source merged_div_data'!C:C)"),73.0)</f>
        <v>73</v>
      </c>
      <c r="F379" s="54" t="str">
        <f t="array" ref="F379">IFERROR(
  IFS(
    XLOOKUP(TEXTJOIN("/", TRUE, $A379:$B379), 'source merged_div_data'!$A:$A, 'source merged_div_data'!F:F) &lt; 1024,
      XLOOKUP(TEXTJOIN("/", TRUE, $A379:$B379), 'source merged_div_data'!$A:$A, 'source merged_div_data'!F:F) &amp; " B",
    XLOOKUP(TEXTJOIN("/", TRUE, $A379:$B379), 'source merged_div_data'!$A:$A, 'source merged_div_data'!F:F) &lt; 1048576,
      ROUND(XLOOKUP(TEXTJOIN("/", TRUE, $A379:$B379), 'source merged_div_data'!$A:$A, 'source merged_div_data'!F:F)/1024, 2) &amp; " KB",
    XLOOKUP(TEXTJOIN("/", TRUE, $A379:$B379), 'source merged_div_data'!$A:$A, 'source merged_div_data'!F:F) &lt; 1073741824,
      ROUND(XLOOKUP(TEXTJOIN("/", TRUE, $A379:$B379), 'source merged_div_data'!$A:$A, 'source merged_div_data'!F:F)/1048576, 2) &amp; " MB",
    TRUE,
      ROUND(XLOOKUP(TEXTJOIN("/", TRUE, $A379:$B379), 'source merged_div_data'!$A:$A, 'source merged_div_data'!F:F)/1073741824, 2) &amp; " GB"
  ),
  "×"
)</f>
        <v>4.35 MB</v>
      </c>
      <c r="G379" s="57" t="s">
        <v>2321</v>
      </c>
      <c r="H379" s="58" t="s">
        <v>2177</v>
      </c>
      <c r="I379" s="57"/>
      <c r="J379" s="7" t="s">
        <v>1105</v>
      </c>
      <c r="L379" s="37" t="s">
        <v>1053</v>
      </c>
      <c r="M379" s="37" t="s">
        <v>1053</v>
      </c>
      <c r="N379" s="8" t="s">
        <v>1102</v>
      </c>
      <c r="O379" s="7" t="s">
        <v>1105</v>
      </c>
      <c r="P379" s="57" t="str">
        <f>IFERROR(__xludf.DUMMYFUNCTION("XLOOKUP(JOIN(""/"",$A379:$B379),'source isilon_divまとめ'!$A:$A,'source isilon_divまとめ'!$D:$D,XLOOKUP(JOIN(""\"",$A379:$B379),'source NetApp-file-sv01-div'!A:A,TEXT('source NetApp-file-sv01-div'!C:C,""yyyy/mm/dd"")))"),"2019/12/12")</f>
        <v>2019/12/12</v>
      </c>
    </row>
    <row r="380">
      <c r="A380" s="8" t="s">
        <v>1054</v>
      </c>
      <c r="B380" s="8" t="s">
        <v>359</v>
      </c>
      <c r="C380" s="8" t="s">
        <v>985</v>
      </c>
      <c r="D380" s="56">
        <f>IFERROR(__xludf.DUMMYFUNCTION("XLOOKUP(JOIN(""/"",$A380:$B380),'source merged_div_data'!$A:$A,'source merged_div_data'!B:B)"),38.0)</f>
        <v>38</v>
      </c>
      <c r="E380" s="56">
        <f>IFERROR(__xludf.DUMMYFUNCTION("XLOOKUP(JOIN(""/"",$A380:$B380),'source merged_div_data'!$A:$A,'source merged_div_data'!C:C)"),558.0)</f>
        <v>558</v>
      </c>
      <c r="F380" s="54" t="str">
        <f t="array" ref="F380">IFERROR(
  IFS(
    XLOOKUP(TEXTJOIN("/", TRUE, $A380:$B380), 'source merged_div_data'!$A:$A, 'source merged_div_data'!F:F) &lt; 1024,
      XLOOKUP(TEXTJOIN("/", TRUE, $A380:$B380), 'source merged_div_data'!$A:$A, 'source merged_div_data'!F:F) &amp; " B",
    XLOOKUP(TEXTJOIN("/", TRUE, $A380:$B380), 'source merged_div_data'!$A:$A, 'source merged_div_data'!F:F) &lt; 1048576,
      ROUND(XLOOKUP(TEXTJOIN("/", TRUE, $A380:$B380), 'source merged_div_data'!$A:$A, 'source merged_div_data'!F:F)/1024, 2) &amp; " KB",
    XLOOKUP(TEXTJOIN("/", TRUE, $A380:$B380), 'source merged_div_data'!$A:$A, 'source merged_div_data'!F:F) &lt; 1073741824,
      ROUND(XLOOKUP(TEXTJOIN("/", TRUE, $A380:$B380), 'source merged_div_data'!$A:$A, 'source merged_div_data'!F:F)/1048576, 2) &amp; " MB",
    TRUE,
      ROUND(XLOOKUP(TEXTJOIN("/", TRUE, $A380:$B380), 'source merged_div_data'!$A:$A, 'source merged_div_data'!F:F)/1073741824, 2) &amp; " GB"
  ),
  "×"
)</f>
        <v>13.65 GB</v>
      </c>
      <c r="G380" s="57" t="s">
        <v>2322</v>
      </c>
      <c r="H380" s="58" t="s">
        <v>2177</v>
      </c>
      <c r="I380" s="57"/>
      <c r="J380" s="37" t="s">
        <v>353</v>
      </c>
      <c r="K380" s="37" t="s">
        <v>359</v>
      </c>
      <c r="L380" s="37" t="s">
        <v>2147</v>
      </c>
      <c r="M380" s="37" t="s">
        <v>1053</v>
      </c>
      <c r="N380" s="8"/>
      <c r="P380" s="57" t="str">
        <f>IFERROR(__xludf.DUMMYFUNCTION("XLOOKUP(JOIN(""/"",$A380:$B380),'source isilon_divまとめ'!$A:$A,'source isilon_divまとめ'!$D:$D,XLOOKUP(JOIN(""\"",$A380:$B380),'source NetApp-file-sv01-div'!A:A,TEXT('source NetApp-file-sv01-div'!C:C,""yyyy/mm/dd"")))"),"2019/12/05")</f>
        <v>2019/12/05</v>
      </c>
    </row>
    <row r="381">
      <c r="A381" s="52" t="s">
        <v>1054</v>
      </c>
      <c r="B381" s="52" t="s">
        <v>1266</v>
      </c>
      <c r="C381" s="46" t="s">
        <v>988</v>
      </c>
      <c r="D381" s="53">
        <f>IFERROR(__xludf.DUMMYFUNCTION("XLOOKUP(JOIN(""/"",$A381:$B381),'source merged_div_data'!$A:$A,'source merged_div_data'!B:B)"),46.0)</f>
        <v>46</v>
      </c>
      <c r="E381" s="53">
        <f>IFERROR(__xludf.DUMMYFUNCTION("XLOOKUP(JOIN(""/"",$A381:$B381),'source merged_div_data'!$A:$A,'source merged_div_data'!C:C)"),0.0)</f>
        <v>0</v>
      </c>
      <c r="F381" s="54" t="str">
        <f t="array" ref="F381">IFERROR(
  IFS(
    XLOOKUP(TEXTJOIN("/", TRUE, $A381:$B381), 'source merged_div_data'!$A:$A, 'source merged_div_data'!F:F) &lt; 1024,
      XLOOKUP(TEXTJOIN("/", TRUE, $A381:$B381), 'source merged_div_data'!$A:$A, 'source merged_div_data'!F:F) &amp; " B",
    XLOOKUP(TEXTJOIN("/", TRUE, $A381:$B381), 'source merged_div_data'!$A:$A, 'source merged_div_data'!F:F) &lt; 1048576,
      ROUND(XLOOKUP(TEXTJOIN("/", TRUE, $A381:$B381), 'source merged_div_data'!$A:$A, 'source merged_div_data'!F:F)/1024, 2) &amp; " KB",
    XLOOKUP(TEXTJOIN("/", TRUE, $A381:$B381), 'source merged_div_data'!$A:$A, 'source merged_div_data'!F:F) &lt; 1073741824,
      ROUND(XLOOKUP(TEXTJOIN("/", TRUE, $A381:$B381), 'source merged_div_data'!$A:$A, 'source merged_div_data'!F:F)/1048576, 2) &amp; " MB",
    TRUE,
      ROUND(XLOOKUP(TEXTJOIN("/", TRUE, $A381:$B381), 'source merged_div_data'!$A:$A, 'source merged_div_data'!F:F)/1073741824, 2) &amp; " GB"
  ),
  "×"
)</f>
        <v>1.38 KB</v>
      </c>
      <c r="G381" s="55" t="s">
        <v>1053</v>
      </c>
      <c r="H381" s="55"/>
      <c r="I381" s="55"/>
      <c r="J381" s="46" t="s">
        <v>1105</v>
      </c>
      <c r="K381" s="55"/>
      <c r="L381" s="55" t="s">
        <v>1053</v>
      </c>
      <c r="M381" s="55" t="s">
        <v>1053</v>
      </c>
      <c r="N381" s="52" t="s">
        <v>1102</v>
      </c>
      <c r="O381" s="46" t="s">
        <v>1105</v>
      </c>
      <c r="P381" s="37" t="str">
        <f>IFERROR(__xludf.DUMMYFUNCTION("XLOOKUP(JOIN(""/"",$A381:$B381),'source isilon_divまとめ'!$A:$A,'source isilon_divまとめ'!$D:$D,XLOOKUP(JOIN(""\"",$A381:$B381),'source NetApp-file-sv01-div'!A:A,TEXT('source NetApp-file-sv01-div'!C:C,""yyyy/mm/dd"")))"),"#N/A")</f>
        <v>#N/A</v>
      </c>
    </row>
    <row r="382">
      <c r="A382" s="52" t="s">
        <v>1054</v>
      </c>
      <c r="B382" s="52" t="s">
        <v>1163</v>
      </c>
      <c r="C382" s="46" t="s">
        <v>986</v>
      </c>
      <c r="D382" s="53">
        <f>IFERROR(__xludf.DUMMYFUNCTION("XLOOKUP(JOIN(""/"",$A382:$B382),'source merged_div_data'!$A:$A,'source merged_div_data'!B:B)"),34.0)</f>
        <v>34</v>
      </c>
      <c r="E382" s="53">
        <f>IFERROR(__xludf.DUMMYFUNCTION("XLOOKUP(JOIN(""/"",$A382:$B382),'source merged_div_data'!$A:$A,'source merged_div_data'!C:C)"),0.0)</f>
        <v>0</v>
      </c>
      <c r="F382" s="54" t="str">
        <f t="array" ref="F382">IFERROR(
  IFS(
    XLOOKUP(TEXTJOIN("/", TRUE, $A382:$B382), 'source merged_div_data'!$A:$A, 'source merged_div_data'!F:F) &lt; 1024,
      XLOOKUP(TEXTJOIN("/", TRUE, $A382:$B382), 'source merged_div_data'!$A:$A, 'source merged_div_data'!F:F) &amp; " B",
    XLOOKUP(TEXTJOIN("/", TRUE, $A382:$B382), 'source merged_div_data'!$A:$A, 'source merged_div_data'!F:F) &lt; 1048576,
      ROUND(XLOOKUP(TEXTJOIN("/", TRUE, $A382:$B382), 'source merged_div_data'!$A:$A, 'source merged_div_data'!F:F)/1024, 2) &amp; " KB",
    XLOOKUP(TEXTJOIN("/", TRUE, $A382:$B382), 'source merged_div_data'!$A:$A, 'source merged_div_data'!F:F) &lt; 1073741824,
      ROUND(XLOOKUP(TEXTJOIN("/", TRUE, $A382:$B382), 'source merged_div_data'!$A:$A, 'source merged_div_data'!F:F)/1048576, 2) &amp; " MB",
    TRUE,
      ROUND(XLOOKUP(TEXTJOIN("/", TRUE, $A382:$B382), 'source merged_div_data'!$A:$A, 'source merged_div_data'!F:F)/1073741824, 2) &amp; " GB"
  ),
  "×"
)</f>
        <v>1.14 KB</v>
      </c>
      <c r="G382" s="55" t="s">
        <v>1053</v>
      </c>
      <c r="H382" s="55"/>
      <c r="I382" s="55"/>
      <c r="J382" s="55" t="s">
        <v>216</v>
      </c>
      <c r="K382" s="55" t="s">
        <v>217</v>
      </c>
      <c r="L382" s="55" t="s">
        <v>1053</v>
      </c>
      <c r="M382" s="55" t="s">
        <v>2215</v>
      </c>
      <c r="N382" s="52"/>
      <c r="O382" s="55"/>
      <c r="P382" s="37" t="str">
        <f>IFERROR(__xludf.DUMMYFUNCTION("XLOOKUP(JOIN(""/"",$A382:$B382),'source isilon_divまとめ'!$A:$A,'source isilon_divまとめ'!$D:$D,XLOOKUP(JOIN(""\"",$A382:$B382),'source NetApp-file-sv01-div'!A:A,TEXT('source NetApp-file-sv01-div'!C:C,""yyyy/mm/dd"")))"),"#N/A")</f>
        <v>#N/A</v>
      </c>
    </row>
    <row r="383">
      <c r="A383" s="52" t="s">
        <v>1054</v>
      </c>
      <c r="B383" s="52" t="s">
        <v>1315</v>
      </c>
      <c r="C383" s="46" t="s">
        <v>986</v>
      </c>
      <c r="D383" s="53">
        <f>IFERROR(__xludf.DUMMYFUNCTION("XLOOKUP(JOIN(""/"",$A383:$B383),'source merged_div_data'!$A:$A,'source merged_div_data'!B:B)"),53.0)</f>
        <v>53</v>
      </c>
      <c r="E383" s="53">
        <f>IFERROR(__xludf.DUMMYFUNCTION("XLOOKUP(JOIN(""/"",$A383:$B383),'source merged_div_data'!$A:$A,'source merged_div_data'!C:C)"),0.0)</f>
        <v>0</v>
      </c>
      <c r="F383" s="54" t="str">
        <f t="array" ref="F383">IFERROR(
  IFS(
    XLOOKUP(TEXTJOIN("/", TRUE, $A383:$B383), 'source merged_div_data'!$A:$A, 'source merged_div_data'!F:F) &lt; 1024,
      XLOOKUP(TEXTJOIN("/", TRUE, $A383:$B383), 'source merged_div_data'!$A:$A, 'source merged_div_data'!F:F) &amp; " B",
    XLOOKUP(TEXTJOIN("/", TRUE, $A383:$B383), 'source merged_div_data'!$A:$A, 'source merged_div_data'!F:F) &lt; 1048576,
      ROUND(XLOOKUP(TEXTJOIN("/", TRUE, $A383:$B383), 'source merged_div_data'!$A:$A, 'source merged_div_data'!F:F)/1024, 2) &amp; " KB",
    XLOOKUP(TEXTJOIN("/", TRUE, $A383:$B383), 'source merged_div_data'!$A:$A, 'source merged_div_data'!F:F) &lt; 1073741824,
      ROUND(XLOOKUP(TEXTJOIN("/", TRUE, $A383:$B383), 'source merged_div_data'!$A:$A, 'source merged_div_data'!F:F)/1048576, 2) &amp; " MB",
    TRUE,
      ROUND(XLOOKUP(TEXTJOIN("/", TRUE, $A383:$B383), 'source merged_div_data'!$A:$A, 'source merged_div_data'!F:F)/1073741824, 2) &amp; " GB"
  ),
  "×"
)</f>
        <v>1.54 KB</v>
      </c>
      <c r="G383" s="55" t="s">
        <v>1053</v>
      </c>
      <c r="H383" s="55"/>
      <c r="I383" s="55"/>
      <c r="J383" s="46" t="s">
        <v>717</v>
      </c>
      <c r="K383" s="55"/>
      <c r="L383" s="46" t="s">
        <v>2100</v>
      </c>
      <c r="M383" s="55" t="s">
        <v>1053</v>
      </c>
      <c r="N383" s="52" t="s">
        <v>1102</v>
      </c>
      <c r="O383" s="46" t="s">
        <v>1097</v>
      </c>
      <c r="P383" s="37" t="str">
        <f>IFERROR(__xludf.DUMMYFUNCTION("XLOOKUP(JOIN(""/"",$A383:$B383),'source isilon_divまとめ'!$A:$A,'source isilon_divまとめ'!$D:$D,XLOOKUP(JOIN(""\"",$A383:$B383),'source NetApp-file-sv01-div'!A:A,TEXT('source NetApp-file-sv01-div'!C:C,""yyyy/mm/dd"")))"),"#N/A")</f>
        <v>#N/A</v>
      </c>
    </row>
    <row r="384">
      <c r="A384" s="8" t="s">
        <v>1054</v>
      </c>
      <c r="B384" s="8" t="s">
        <v>1267</v>
      </c>
      <c r="C384" s="7" t="s">
        <v>987</v>
      </c>
      <c r="D384" s="56">
        <f>IFERROR(__xludf.DUMMYFUNCTION("XLOOKUP(JOIN(""/"",$A384:$B384),'source merged_div_data'!$A:$A,'source merged_div_data'!B:B)"),246.0)</f>
        <v>246</v>
      </c>
      <c r="E384" s="56">
        <f>IFERROR(__xludf.DUMMYFUNCTION("XLOOKUP(JOIN(""/"",$A384:$B384),'source merged_div_data'!$A:$A,'source merged_div_data'!C:C)"),1896.0)</f>
        <v>1896</v>
      </c>
      <c r="F384" s="54" t="str">
        <f t="array" ref="F384">IFERROR(
  IFS(
    XLOOKUP(TEXTJOIN("/", TRUE, $A384:$B384), 'source merged_div_data'!$A:$A, 'source merged_div_data'!F:F) &lt; 1024,
      XLOOKUP(TEXTJOIN("/", TRUE, $A384:$B384), 'source merged_div_data'!$A:$A, 'source merged_div_data'!F:F) &amp; " B",
    XLOOKUP(TEXTJOIN("/", TRUE, $A384:$B384), 'source merged_div_data'!$A:$A, 'source merged_div_data'!F:F) &lt; 1048576,
      ROUND(XLOOKUP(TEXTJOIN("/", TRUE, $A384:$B384), 'source merged_div_data'!$A:$A, 'source merged_div_data'!F:F)/1024, 2) &amp; " KB",
    XLOOKUP(TEXTJOIN("/", TRUE, $A384:$B384), 'source merged_div_data'!$A:$A, 'source merged_div_data'!F:F) &lt; 1073741824,
      ROUND(XLOOKUP(TEXTJOIN("/", TRUE, $A384:$B384), 'source merged_div_data'!$A:$A, 'source merged_div_data'!F:F)/1048576, 2) &amp; " MB",
    TRUE,
      ROUND(XLOOKUP(TEXTJOIN("/", TRUE, $A384:$B384), 'source merged_div_data'!$A:$A, 'source merged_div_data'!F:F)/1073741824, 2) &amp; " GB"
  ),
  "×"
)</f>
        <v>6.92 GB</v>
      </c>
      <c r="G384" s="57" t="s">
        <v>2323</v>
      </c>
      <c r="H384" s="58" t="s">
        <v>2177</v>
      </c>
      <c r="I384" s="57"/>
      <c r="J384" s="7" t="s">
        <v>717</v>
      </c>
      <c r="L384" s="7" t="s">
        <v>2100</v>
      </c>
      <c r="M384" s="37" t="s">
        <v>1053</v>
      </c>
      <c r="N384" s="8" t="s">
        <v>1102</v>
      </c>
      <c r="O384" s="7" t="s">
        <v>693</v>
      </c>
      <c r="P384" s="57" t="str">
        <f>IFERROR(__xludf.DUMMYFUNCTION("XLOOKUP(JOIN(""/"",$A384:$B384),'source isilon_divまとめ'!$A:$A,'source isilon_divまとめ'!$D:$D,XLOOKUP(JOIN(""\"",$A384:$B384),'source NetApp-file-sv01-div'!A:A,TEXT('source NetApp-file-sv01-div'!C:C,""yyyy/mm/dd"")))"),"2020/01/23")</f>
        <v>2020/01/23</v>
      </c>
    </row>
    <row r="385">
      <c r="A385" s="52" t="s">
        <v>1054</v>
      </c>
      <c r="B385" s="52" t="s">
        <v>43</v>
      </c>
      <c r="C385" s="46" t="s">
        <v>986</v>
      </c>
      <c r="D385" s="53">
        <f>IFERROR(__xludf.DUMMYFUNCTION("XLOOKUP(JOIN(""/"",$A385:$B385),'source merged_div_data'!$A:$A,'source merged_div_data'!B:B)"),30.0)</f>
        <v>30</v>
      </c>
      <c r="E385" s="53">
        <f>IFERROR(__xludf.DUMMYFUNCTION("XLOOKUP(JOIN(""/"",$A385:$B385),'source merged_div_data'!$A:$A,'source merged_div_data'!C:C)"),0.0)</f>
        <v>0</v>
      </c>
      <c r="F385" s="54" t="str">
        <f t="array" ref="F385">IFERROR(
  IFS(
    XLOOKUP(TEXTJOIN("/", TRUE, $A385:$B385), 'source merged_div_data'!$A:$A, 'source merged_div_data'!F:F) &lt; 1024,
      XLOOKUP(TEXTJOIN("/", TRUE, $A385:$B385), 'source merged_div_data'!$A:$A, 'source merged_div_data'!F:F) &amp; " B",
    XLOOKUP(TEXTJOIN("/", TRUE, $A385:$B385), 'source merged_div_data'!$A:$A, 'source merged_div_data'!F:F) &lt; 1048576,
      ROUND(XLOOKUP(TEXTJOIN("/", TRUE, $A385:$B385), 'source merged_div_data'!$A:$A, 'source merged_div_data'!F:F)/1024, 2) &amp; " KB",
    XLOOKUP(TEXTJOIN("/", TRUE, $A385:$B385), 'source merged_div_data'!$A:$A, 'source merged_div_data'!F:F) &lt; 1073741824,
      ROUND(XLOOKUP(TEXTJOIN("/", TRUE, $A385:$B385), 'source merged_div_data'!$A:$A, 'source merged_div_data'!F:F)/1048576, 2) &amp; " MB",
    TRUE,
      ROUND(XLOOKUP(TEXTJOIN("/", TRUE, $A385:$B385), 'source merged_div_data'!$A:$A, 'source merged_div_data'!F:F)/1073741824, 2) &amp; " GB"
  ),
  "×"
)</f>
        <v>983 B</v>
      </c>
      <c r="G385" s="55" t="s">
        <v>1053</v>
      </c>
      <c r="H385" s="55"/>
      <c r="I385" s="55"/>
      <c r="J385" s="55" t="s">
        <v>38</v>
      </c>
      <c r="K385" s="55" t="s">
        <v>43</v>
      </c>
      <c r="L385" s="55" t="s">
        <v>1053</v>
      </c>
      <c r="M385" s="55" t="s">
        <v>1467</v>
      </c>
      <c r="N385" s="52"/>
      <c r="O385" s="55"/>
      <c r="P385" s="37" t="str">
        <f>IFERROR(__xludf.DUMMYFUNCTION("XLOOKUP(JOIN(""/"",$A385:$B385),'source isilon_divまとめ'!$A:$A,'source isilon_divまとめ'!$D:$D,XLOOKUP(JOIN(""\"",$A385:$B385),'source NetApp-file-sv01-div'!A:A,TEXT('source NetApp-file-sv01-div'!C:C,""yyyy/mm/dd"")))"),"#N/A")</f>
        <v>#N/A</v>
      </c>
    </row>
    <row r="386">
      <c r="A386" s="8" t="s">
        <v>1054</v>
      </c>
      <c r="B386" s="8" t="s">
        <v>1161</v>
      </c>
      <c r="C386" s="7" t="s">
        <v>987</v>
      </c>
      <c r="D386" s="56">
        <f>IFERROR(__xludf.DUMMYFUNCTION("XLOOKUP(JOIN(""/"",$A386:$B386),'source merged_div_data'!$A:$A,'source merged_div_data'!B:B)"),9963.0)</f>
        <v>9963</v>
      </c>
      <c r="E386" s="56">
        <f>IFERROR(__xludf.DUMMYFUNCTION("XLOOKUP(JOIN(""/"",$A386:$B386),'source merged_div_data'!$A:$A,'source merged_div_data'!C:C)"),30679.0)</f>
        <v>30679</v>
      </c>
      <c r="F386" s="54" t="str">
        <f t="array" ref="F386">IFERROR(
  IFS(
    XLOOKUP(TEXTJOIN("/", TRUE, $A386:$B386), 'source merged_div_data'!$A:$A, 'source merged_div_data'!F:F) &lt; 1024,
      XLOOKUP(TEXTJOIN("/", TRUE, $A386:$B386), 'source merged_div_data'!$A:$A, 'source merged_div_data'!F:F) &amp; " B",
    XLOOKUP(TEXTJOIN("/", TRUE, $A386:$B386), 'source merged_div_data'!$A:$A, 'source merged_div_data'!F:F) &lt; 1048576,
      ROUND(XLOOKUP(TEXTJOIN("/", TRUE, $A386:$B386), 'source merged_div_data'!$A:$A, 'source merged_div_data'!F:F)/1024, 2) &amp; " KB",
    XLOOKUP(TEXTJOIN("/", TRUE, $A386:$B386), 'source merged_div_data'!$A:$A, 'source merged_div_data'!F:F) &lt; 1073741824,
      ROUND(XLOOKUP(TEXTJOIN("/", TRUE, $A386:$B386), 'source merged_div_data'!$A:$A, 'source merged_div_data'!F:F)/1048576, 2) &amp; " MB",
    TRUE,
      ROUND(XLOOKUP(TEXTJOIN("/", TRUE, $A386:$B386), 'source merged_div_data'!$A:$A, 'source merged_div_data'!F:F)/1073741824, 2) &amp; " GB"
  ),
  "×"
)</f>
        <v>390.86 GB</v>
      </c>
      <c r="G386" s="57" t="s">
        <v>2324</v>
      </c>
      <c r="H386" s="58" t="s">
        <v>2177</v>
      </c>
      <c r="I386" s="57"/>
      <c r="J386" s="7" t="s">
        <v>717</v>
      </c>
      <c r="L386" s="7" t="s">
        <v>2100</v>
      </c>
      <c r="M386" s="37" t="s">
        <v>1053</v>
      </c>
      <c r="N386" s="8" t="s">
        <v>1102</v>
      </c>
      <c r="O386" s="7" t="s">
        <v>693</v>
      </c>
      <c r="P386" s="57" t="str">
        <f>IFERROR(__xludf.DUMMYFUNCTION("XLOOKUP(JOIN(""/"",$A386:$B386),'source isilon_divまとめ'!$A:$A,'source isilon_divまとめ'!$D:$D,XLOOKUP(JOIN(""\"",$A386:$B386),'source NetApp-file-sv01-div'!A:A,TEXT('source NetApp-file-sv01-div'!C:C,""yyyy/mm/dd"")))"),"2020/02/20")</f>
        <v>2020/02/20</v>
      </c>
    </row>
    <row r="387">
      <c r="A387" s="52" t="s">
        <v>1057</v>
      </c>
      <c r="B387" s="52" t="s">
        <v>1139</v>
      </c>
      <c r="C387" s="46" t="s">
        <v>988</v>
      </c>
      <c r="D387" s="53">
        <f>IFERROR(__xludf.DUMMYFUNCTION("XLOOKUP(JOIN(""/"",$A387:$B387),'source merged_div_data'!$A:$A,'source merged_div_data'!B:B)"),3.0)</f>
        <v>3</v>
      </c>
      <c r="E387" s="53">
        <f>IFERROR(__xludf.DUMMYFUNCTION("XLOOKUP(JOIN(""/"",$A387:$B387),'source merged_div_data'!$A:$A,'source merged_div_data'!C:C)"),0.0)</f>
        <v>0</v>
      </c>
      <c r="F387" s="54" t="str">
        <f t="array" ref="F387">IFERROR(
  IFS(
    XLOOKUP(TEXTJOIN("/", TRUE, $A387:$B387), 'source merged_div_data'!$A:$A, 'source merged_div_data'!F:F) &lt; 1024,
      XLOOKUP(TEXTJOIN("/", TRUE, $A387:$B387), 'source merged_div_data'!$A:$A, 'source merged_div_data'!F:F) &amp; " B",
    XLOOKUP(TEXTJOIN("/", TRUE, $A387:$B387), 'source merged_div_data'!$A:$A, 'source merged_div_data'!F:F) &lt; 1048576,
      ROUND(XLOOKUP(TEXTJOIN("/", TRUE, $A387:$B387), 'source merged_div_data'!$A:$A, 'source merged_div_data'!F:F)/1024, 2) &amp; " KB",
    XLOOKUP(TEXTJOIN("/", TRUE, $A387:$B387), 'source merged_div_data'!$A:$A, 'source merged_div_data'!F:F) &lt; 1073741824,
      ROUND(XLOOKUP(TEXTJOIN("/", TRUE, $A387:$B387), 'source merged_div_data'!$A:$A, 'source merged_div_data'!F:F)/1048576, 2) &amp; " MB",
    TRUE,
      ROUND(XLOOKUP(TEXTJOIN("/", TRUE, $A387:$B387), 'source merged_div_data'!$A:$A, 'source merged_div_data'!F:F)/1073741824, 2) &amp; " GB"
  ),
  "×"
)</f>
        <v>50 B</v>
      </c>
      <c r="G387" s="55" t="s">
        <v>1053</v>
      </c>
      <c r="H387" s="55"/>
      <c r="I387" s="55"/>
      <c r="J387" s="46" t="s">
        <v>1058</v>
      </c>
      <c r="K387" s="55"/>
      <c r="L387" s="55" t="s">
        <v>1053</v>
      </c>
      <c r="M387" s="55" t="s">
        <v>1053</v>
      </c>
      <c r="N387" s="52" t="s">
        <v>1102</v>
      </c>
      <c r="O387" s="46" t="s">
        <v>1058</v>
      </c>
      <c r="P387" s="37" t="str">
        <f>IFERROR(__xludf.DUMMYFUNCTION("XLOOKUP(JOIN(""/"",$A387:$B387),'source isilon_divまとめ'!$A:$A,'source isilon_divまとめ'!$D:$D,XLOOKUP(JOIN(""\"",$A387:$B387),'source NetApp-file-sv01-div'!A:A,TEXT('source NetApp-file-sv01-div'!C:C,""yyyy/mm/dd"")))"),"#N/A")</f>
        <v>#N/A</v>
      </c>
    </row>
    <row r="388">
      <c r="A388" s="52" t="s">
        <v>475</v>
      </c>
      <c r="B388" s="52" t="s">
        <v>114</v>
      </c>
      <c r="C388" s="46" t="s">
        <v>986</v>
      </c>
      <c r="D388" s="53">
        <f>IFERROR(__xludf.DUMMYFUNCTION("XLOOKUP(JOIN(""/"",$A388:$B388),'source merged_div_data'!$A:$A,'source merged_div_data'!B:B)"),2.0)</f>
        <v>2</v>
      </c>
      <c r="E388" s="53">
        <f>IFERROR(__xludf.DUMMYFUNCTION("XLOOKUP(JOIN(""/"",$A388:$B388),'source merged_div_data'!$A:$A,'source merged_div_data'!C:C)"),0.0)</f>
        <v>0</v>
      </c>
      <c r="F388" s="54" t="str">
        <f t="array" ref="F388">IFERROR(
  IFS(
    XLOOKUP(TEXTJOIN("/", TRUE, $A388:$B388), 'source merged_div_data'!$A:$A, 'source merged_div_data'!F:F) &lt; 1024,
      XLOOKUP(TEXTJOIN("/", TRUE, $A388:$B388), 'source merged_div_data'!$A:$A, 'source merged_div_data'!F:F) &amp; " B",
    XLOOKUP(TEXTJOIN("/", TRUE, $A388:$B388), 'source merged_div_data'!$A:$A, 'source merged_div_data'!F:F) &lt; 1048576,
      ROUND(XLOOKUP(TEXTJOIN("/", TRUE, $A388:$B388), 'source merged_div_data'!$A:$A, 'source merged_div_data'!F:F)/1024, 2) &amp; " KB",
    XLOOKUP(TEXTJOIN("/", TRUE, $A388:$B388), 'source merged_div_data'!$A:$A, 'source merged_div_data'!F:F) &lt; 1073741824,
      ROUND(XLOOKUP(TEXTJOIN("/", TRUE, $A388:$B388), 'source merged_div_data'!$A:$A, 'source merged_div_data'!F:F)/1048576, 2) &amp; " MB",
    TRUE,
      ROUND(XLOOKUP(TEXTJOIN("/", TRUE, $A388:$B388), 'source merged_div_data'!$A:$A, 'source merged_div_data'!F:F)/1073741824, 2) &amp; " GB"
  ),
  "×"
)</f>
        <v>36 B</v>
      </c>
      <c r="G388" s="55" t="s">
        <v>1053</v>
      </c>
      <c r="H388" s="55"/>
      <c r="I388" s="55"/>
      <c r="J388" s="55" t="s">
        <v>474</v>
      </c>
      <c r="K388" s="55" t="s">
        <v>475</v>
      </c>
      <c r="L388" s="55" t="s">
        <v>1053</v>
      </c>
      <c r="M388" s="55" t="s">
        <v>2325</v>
      </c>
      <c r="N388" s="52"/>
      <c r="O388" s="55"/>
      <c r="P388" s="37" t="str">
        <f>IFERROR(__xludf.DUMMYFUNCTION("XLOOKUP(JOIN(""/"",$A388:$B388),'source isilon_divまとめ'!$A:$A,'source isilon_divまとめ'!$D:$D,XLOOKUP(JOIN(""\"",$A388:$B388),'source NetApp-file-sv01-div'!A:A,TEXT('source NetApp-file-sv01-div'!C:C,""yyyy/mm/dd"")))"),"#N/A")</f>
        <v>#N/A</v>
      </c>
    </row>
    <row r="389">
      <c r="A389" s="52" t="s">
        <v>475</v>
      </c>
      <c r="B389" s="52" t="s">
        <v>1316</v>
      </c>
      <c r="C389" s="46" t="s">
        <v>986</v>
      </c>
      <c r="D389" s="53">
        <f>IFERROR(__xludf.DUMMYFUNCTION("XLOOKUP(JOIN(""/"",$A389:$B389),'source merged_div_data'!$A:$A,'source merged_div_data'!B:B)"),2.0)</f>
        <v>2</v>
      </c>
      <c r="E389" s="53">
        <f>IFERROR(__xludf.DUMMYFUNCTION("XLOOKUP(JOIN(""/"",$A389:$B389),'source merged_div_data'!$A:$A,'source merged_div_data'!C:C)"),0.0)</f>
        <v>0</v>
      </c>
      <c r="F389" s="54" t="str">
        <f t="array" ref="F389">IFERROR(
  IFS(
    XLOOKUP(TEXTJOIN("/", TRUE, $A389:$B389), 'source merged_div_data'!$A:$A, 'source merged_div_data'!F:F) &lt; 1024,
      XLOOKUP(TEXTJOIN("/", TRUE, $A389:$B389), 'source merged_div_data'!$A:$A, 'source merged_div_data'!F:F) &amp; " B",
    XLOOKUP(TEXTJOIN("/", TRUE, $A389:$B389), 'source merged_div_data'!$A:$A, 'source merged_div_data'!F:F) &lt; 1048576,
      ROUND(XLOOKUP(TEXTJOIN("/", TRUE, $A389:$B389), 'source merged_div_data'!$A:$A, 'source merged_div_data'!F:F)/1024, 2) &amp; " KB",
    XLOOKUP(TEXTJOIN("/", TRUE, $A389:$B389), 'source merged_div_data'!$A:$A, 'source merged_div_data'!F:F) &lt; 1073741824,
      ROUND(XLOOKUP(TEXTJOIN("/", TRUE, $A389:$B389), 'source merged_div_data'!$A:$A, 'source merged_div_data'!F:F)/1048576, 2) &amp; " MB",
    TRUE,
      ROUND(XLOOKUP(TEXTJOIN("/", TRUE, $A389:$B389), 'source merged_div_data'!$A:$A, 'source merged_div_data'!F:F)/1073741824, 2) &amp; " GB"
  ),
  "×"
)</f>
        <v>36 B</v>
      </c>
      <c r="G389" s="55" t="s">
        <v>1053</v>
      </c>
      <c r="H389" s="55"/>
      <c r="I389" s="55"/>
      <c r="J389" s="55" t="s">
        <v>474</v>
      </c>
      <c r="K389" s="55" t="s">
        <v>475</v>
      </c>
      <c r="L389" s="55" t="s">
        <v>1053</v>
      </c>
      <c r="M389" s="55" t="s">
        <v>2325</v>
      </c>
      <c r="N389" s="52"/>
      <c r="O389" s="55"/>
      <c r="P389" s="37" t="str">
        <f>IFERROR(__xludf.DUMMYFUNCTION("XLOOKUP(JOIN(""/"",$A389:$B389),'source isilon_divまとめ'!$A:$A,'source isilon_divまとめ'!$D:$D,XLOOKUP(JOIN(""\"",$A389:$B389),'source NetApp-file-sv01-div'!A:A,TEXT('source NetApp-file-sv01-div'!C:C,""yyyy/mm/dd"")))"),"#N/A")</f>
        <v>#N/A</v>
      </c>
    </row>
    <row r="390">
      <c r="A390" s="52" t="s">
        <v>475</v>
      </c>
      <c r="B390" s="52" t="s">
        <v>1204</v>
      </c>
      <c r="C390" s="46" t="s">
        <v>986</v>
      </c>
      <c r="D390" s="53">
        <f>IFERROR(__xludf.DUMMYFUNCTION("XLOOKUP(JOIN(""/"",$A390:$B390),'source merged_div_data'!$A:$A,'source merged_div_data'!B:B)"),1.0)</f>
        <v>1</v>
      </c>
      <c r="E390" s="53">
        <f>IFERROR(__xludf.DUMMYFUNCTION("XLOOKUP(JOIN(""/"",$A390:$B390),'source merged_div_data'!$A:$A,'source merged_div_data'!C:C)"),0.0)</f>
        <v>0</v>
      </c>
      <c r="F390" s="54" t="str">
        <f t="array" ref="F390">IFERROR(
  IFS(
    XLOOKUP(TEXTJOIN("/", TRUE, $A390:$B390), 'source merged_div_data'!$A:$A, 'source merged_div_data'!F:F) &lt; 1024,
      XLOOKUP(TEXTJOIN("/", TRUE, $A390:$B390), 'source merged_div_data'!$A:$A, 'source merged_div_data'!F:F) &amp; " B",
    XLOOKUP(TEXTJOIN("/", TRUE, $A390:$B390), 'source merged_div_data'!$A:$A, 'source merged_div_data'!F:F) &lt; 1048576,
      ROUND(XLOOKUP(TEXTJOIN("/", TRUE, $A390:$B390), 'source merged_div_data'!$A:$A, 'source merged_div_data'!F:F)/1024, 2) &amp; " KB",
    XLOOKUP(TEXTJOIN("/", TRUE, $A390:$B390), 'source merged_div_data'!$A:$A, 'source merged_div_data'!F:F) &lt; 1073741824,
      ROUND(XLOOKUP(TEXTJOIN("/", TRUE, $A390:$B390), 'source merged_div_data'!$A:$A, 'source merged_div_data'!F:F)/1048576, 2) &amp; " MB",
    TRUE,
      ROUND(XLOOKUP(TEXTJOIN("/", TRUE, $A390:$B390), 'source merged_div_data'!$A:$A, 'source merged_div_data'!F:F)/1073741824, 2) &amp; " GB"
  ),
  "×"
)</f>
        <v>0 B</v>
      </c>
      <c r="G390" s="55" t="s">
        <v>1053</v>
      </c>
      <c r="H390" s="55"/>
      <c r="I390" s="55"/>
      <c r="J390" s="55" t="s">
        <v>474</v>
      </c>
      <c r="K390" s="55" t="s">
        <v>475</v>
      </c>
      <c r="L390" s="55" t="s">
        <v>1053</v>
      </c>
      <c r="M390" s="55" t="s">
        <v>2325</v>
      </c>
      <c r="N390" s="52"/>
      <c r="O390" s="55"/>
      <c r="P390" s="37" t="str">
        <f>IFERROR(__xludf.DUMMYFUNCTION("XLOOKUP(JOIN(""/"",$A390:$B390),'source isilon_divまとめ'!$A:$A,'source isilon_divまとめ'!$D:$D,XLOOKUP(JOIN(""\"",$A390:$B390),'source NetApp-file-sv01-div'!A:A,TEXT('source NetApp-file-sv01-div'!C:C,""yyyy/mm/dd"")))"),"#N/A")</f>
        <v>#N/A</v>
      </c>
    </row>
    <row r="391">
      <c r="A391" s="52" t="s">
        <v>1060</v>
      </c>
      <c r="B391" s="52" t="s">
        <v>1111</v>
      </c>
      <c r="C391" s="46" t="s">
        <v>986</v>
      </c>
      <c r="D391" s="53">
        <f>IFERROR(__xludf.DUMMYFUNCTION("XLOOKUP(JOIN(""/"",$A391:$B391),'source merged_div_data'!$A:$A,'source merged_div_data'!B:B)"),1.0)</f>
        <v>1</v>
      </c>
      <c r="E391" s="53">
        <f>IFERROR(__xludf.DUMMYFUNCTION("XLOOKUP(JOIN(""/"",$A391:$B391),'source merged_div_data'!$A:$A,'source merged_div_data'!C:C)"),0.0)</f>
        <v>0</v>
      </c>
      <c r="F391" s="54" t="str">
        <f t="array" ref="F391">IFERROR(
  IFS(
    XLOOKUP(TEXTJOIN("/", TRUE, $A391:$B391), 'source merged_div_data'!$A:$A, 'source merged_div_data'!F:F) &lt; 1024,
      XLOOKUP(TEXTJOIN("/", TRUE, $A391:$B391), 'source merged_div_data'!$A:$A, 'source merged_div_data'!F:F) &amp; " B",
    XLOOKUP(TEXTJOIN("/", TRUE, $A391:$B391), 'source merged_div_data'!$A:$A, 'source merged_div_data'!F:F) &lt; 1048576,
      ROUND(XLOOKUP(TEXTJOIN("/", TRUE, $A391:$B391), 'source merged_div_data'!$A:$A, 'source merged_div_data'!F:F)/1024, 2) &amp; " KB",
    XLOOKUP(TEXTJOIN("/", TRUE, $A391:$B391), 'source merged_div_data'!$A:$A, 'source merged_div_data'!F:F) &lt; 1073741824,
      ROUND(XLOOKUP(TEXTJOIN("/", TRUE, $A391:$B391), 'source merged_div_data'!$A:$A, 'source merged_div_data'!F:F)/1048576, 2) &amp; " MB",
    TRUE,
      ROUND(XLOOKUP(TEXTJOIN("/", TRUE, $A391:$B391), 'source merged_div_data'!$A:$A, 'source merged_div_data'!F:F)/1073741824, 2) &amp; " GB"
  ),
  "×"
)</f>
        <v>0 B</v>
      </c>
      <c r="G391" s="55" t="s">
        <v>1053</v>
      </c>
      <c r="H391" s="55"/>
      <c r="I391" s="55"/>
      <c r="J391" s="46" t="s">
        <v>693</v>
      </c>
      <c r="K391" s="55"/>
      <c r="L391" s="46" t="s">
        <v>2094</v>
      </c>
      <c r="M391" s="55" t="s">
        <v>1053</v>
      </c>
      <c r="N391" s="52" t="s">
        <v>1181</v>
      </c>
      <c r="O391" s="46" t="s">
        <v>693</v>
      </c>
      <c r="P391" s="37" t="str">
        <f>IFERROR(__xludf.DUMMYFUNCTION("XLOOKUP(JOIN(""/"",$A391:$B391),'source isilon_divまとめ'!$A:$A,'source isilon_divまとめ'!$D:$D,XLOOKUP(JOIN(""\"",$A391:$B391),'source NetApp-file-sv01-div'!A:A,TEXT('source NetApp-file-sv01-div'!C:C,""yyyy/mm/dd"")))"),"#N/A")</f>
        <v>#N/A</v>
      </c>
    </row>
    <row r="392">
      <c r="A392" s="8" t="s">
        <v>1060</v>
      </c>
      <c r="B392" s="8" t="s">
        <v>1317</v>
      </c>
      <c r="C392" s="7" t="s">
        <v>987</v>
      </c>
      <c r="D392" s="56">
        <f>IFERROR(__xludf.DUMMYFUNCTION("XLOOKUP(JOIN(""/"",$A392:$B392),'source merged_div_data'!$A:$A,'source merged_div_data'!B:B)"),516.0)</f>
        <v>516</v>
      </c>
      <c r="E392" s="56">
        <f>IFERROR(__xludf.DUMMYFUNCTION("XLOOKUP(JOIN(""/"",$A392:$B392),'source merged_div_data'!$A:$A,'source merged_div_data'!C:C)"),2450.0)</f>
        <v>2450</v>
      </c>
      <c r="F392" s="54" t="str">
        <f t="array" ref="F392">IFERROR(
  IFS(
    XLOOKUP(TEXTJOIN("/", TRUE, $A392:$B392), 'source merged_div_data'!$A:$A, 'source merged_div_data'!F:F) &lt; 1024,
      XLOOKUP(TEXTJOIN("/", TRUE, $A392:$B392), 'source merged_div_data'!$A:$A, 'source merged_div_data'!F:F) &amp; " B",
    XLOOKUP(TEXTJOIN("/", TRUE, $A392:$B392), 'source merged_div_data'!$A:$A, 'source merged_div_data'!F:F) &lt; 1048576,
      ROUND(XLOOKUP(TEXTJOIN("/", TRUE, $A392:$B392), 'source merged_div_data'!$A:$A, 'source merged_div_data'!F:F)/1024, 2) &amp; " KB",
    XLOOKUP(TEXTJOIN("/", TRUE, $A392:$B392), 'source merged_div_data'!$A:$A, 'source merged_div_data'!F:F) &lt; 1073741824,
      ROUND(XLOOKUP(TEXTJOIN("/", TRUE, $A392:$B392), 'source merged_div_data'!$A:$A, 'source merged_div_data'!F:F)/1048576, 2) &amp; " MB",
    TRUE,
      ROUND(XLOOKUP(TEXTJOIN("/", TRUE, $A392:$B392), 'source merged_div_data'!$A:$A, 'source merged_div_data'!F:F)/1073741824, 2) &amp; " GB"
  ),
  "×"
)</f>
        <v>5.23 GB</v>
      </c>
      <c r="G392" s="57" t="s">
        <v>2326</v>
      </c>
      <c r="H392" s="58" t="s">
        <v>2177</v>
      </c>
      <c r="I392" s="57"/>
      <c r="J392" s="7" t="s">
        <v>693</v>
      </c>
      <c r="L392" s="7" t="s">
        <v>2094</v>
      </c>
      <c r="M392" s="37" t="s">
        <v>1053</v>
      </c>
      <c r="N392" s="8" t="s">
        <v>1181</v>
      </c>
      <c r="O392" s="7" t="s">
        <v>693</v>
      </c>
      <c r="P392" s="57" t="str">
        <f>IFERROR(__xludf.DUMMYFUNCTION("XLOOKUP(JOIN(""/"",$A392:$B392),'source isilon_divまとめ'!$A:$A,'source isilon_divまとめ'!$D:$D,XLOOKUP(JOIN(""\"",$A392:$B392),'source NetApp-file-sv01-div'!A:A,TEXT('source NetApp-file-sv01-div'!C:C,""yyyy/mm/dd"")))"),"2014/02/28")</f>
        <v>2014/02/28</v>
      </c>
    </row>
    <row r="393">
      <c r="A393" s="8" t="s">
        <v>1062</v>
      </c>
      <c r="B393" s="8" t="s">
        <v>802</v>
      </c>
      <c r="C393" s="8" t="s">
        <v>985</v>
      </c>
      <c r="D393" s="56">
        <f>IFERROR(__xludf.DUMMYFUNCTION("XLOOKUP(JOIN(""/"",$A393:$B393),'source merged_div_data'!$A:$A,'source merged_div_data'!B:B)"),1204.0)</f>
        <v>1204</v>
      </c>
      <c r="E393" s="56">
        <f>IFERROR(__xludf.DUMMYFUNCTION("XLOOKUP(JOIN(""/"",$A393:$B393),'source merged_div_data'!$A:$A,'source merged_div_data'!C:C)"),11784.0)</f>
        <v>11784</v>
      </c>
      <c r="F393" s="54" t="str">
        <f t="array" ref="F393">IFERROR(
  IFS(
    XLOOKUP(TEXTJOIN("/", TRUE, $A393:$B393), 'source merged_div_data'!$A:$A, 'source merged_div_data'!F:F) &lt; 1024,
      XLOOKUP(TEXTJOIN("/", TRUE, $A393:$B393), 'source merged_div_data'!$A:$A, 'source merged_div_data'!F:F) &amp; " B",
    XLOOKUP(TEXTJOIN("/", TRUE, $A393:$B393), 'source merged_div_data'!$A:$A, 'source merged_div_data'!F:F) &lt; 1048576,
      ROUND(XLOOKUP(TEXTJOIN("/", TRUE, $A393:$B393), 'source merged_div_data'!$A:$A, 'source merged_div_data'!F:F)/1024, 2) &amp; " KB",
    XLOOKUP(TEXTJOIN("/", TRUE, $A393:$B393), 'source merged_div_data'!$A:$A, 'source merged_div_data'!F:F) &lt; 1073741824,
      ROUND(XLOOKUP(TEXTJOIN("/", TRUE, $A393:$B393), 'source merged_div_data'!$A:$A, 'source merged_div_data'!F:F)/1048576, 2) &amp; " MB",
    TRUE,
      ROUND(XLOOKUP(TEXTJOIN("/", TRUE, $A393:$B393), 'source merged_div_data'!$A:$A, 'source merged_div_data'!F:F)/1073741824, 2) &amp; " GB"
  ),
  "×"
)</f>
        <v>50.67 GB</v>
      </c>
      <c r="G393" s="57" t="s">
        <v>2327</v>
      </c>
      <c r="H393" s="58" t="s">
        <v>2177</v>
      </c>
      <c r="I393" s="57"/>
      <c r="J393" s="37" t="s">
        <v>298</v>
      </c>
      <c r="K393" s="37" t="s">
        <v>802</v>
      </c>
      <c r="L393" s="37" t="s">
        <v>1063</v>
      </c>
      <c r="M393" s="37" t="s">
        <v>2144</v>
      </c>
      <c r="N393" s="8"/>
      <c r="P393" s="57" t="str">
        <f>IFERROR(__xludf.DUMMYFUNCTION("XLOOKUP(JOIN(""/"",$A393:$B393),'source isilon_divまとめ'!$A:$A,'source isilon_divまとめ'!$D:$D,XLOOKUP(JOIN(""\"",$A393:$B393),'source NetApp-file-sv01-div'!A:A,TEXT('source NetApp-file-sv01-div'!C:C,""yyyy/mm/dd"")))"),"2021/10/13")</f>
        <v>2021/10/13</v>
      </c>
    </row>
    <row r="394">
      <c r="A394" s="52" t="s">
        <v>1062</v>
      </c>
      <c r="B394" s="52" t="s">
        <v>1111</v>
      </c>
      <c r="C394" s="46" t="s">
        <v>986</v>
      </c>
      <c r="D394" s="53">
        <f>IFERROR(__xludf.DUMMYFUNCTION("XLOOKUP(JOIN(""/"",$A394:$B394),'source merged_div_data'!$A:$A,'source merged_div_data'!B:B)"),1.0)</f>
        <v>1</v>
      </c>
      <c r="E394" s="53">
        <f>IFERROR(__xludf.DUMMYFUNCTION("XLOOKUP(JOIN(""/"",$A394:$B394),'source merged_div_data'!$A:$A,'source merged_div_data'!C:C)"),0.0)</f>
        <v>0</v>
      </c>
      <c r="F394" s="54" t="str">
        <f t="array" ref="F394">IFERROR(
  IFS(
    XLOOKUP(TEXTJOIN("/", TRUE, $A394:$B394), 'source merged_div_data'!$A:$A, 'source merged_div_data'!F:F) &lt; 1024,
      XLOOKUP(TEXTJOIN("/", TRUE, $A394:$B394), 'source merged_div_data'!$A:$A, 'source merged_div_data'!F:F) &amp; " B",
    XLOOKUP(TEXTJOIN("/", TRUE, $A394:$B394), 'source merged_div_data'!$A:$A, 'source merged_div_data'!F:F) &lt; 1048576,
      ROUND(XLOOKUP(TEXTJOIN("/", TRUE, $A394:$B394), 'source merged_div_data'!$A:$A, 'source merged_div_data'!F:F)/1024, 2) &amp; " KB",
    XLOOKUP(TEXTJOIN("/", TRUE, $A394:$B394), 'source merged_div_data'!$A:$A, 'source merged_div_data'!F:F) &lt; 1073741824,
      ROUND(XLOOKUP(TEXTJOIN("/", TRUE, $A394:$B394), 'source merged_div_data'!$A:$A, 'source merged_div_data'!F:F)/1048576, 2) &amp; " MB",
    TRUE,
      ROUND(XLOOKUP(TEXTJOIN("/", TRUE, $A394:$B394), 'source merged_div_data'!$A:$A, 'source merged_div_data'!F:F)/1073741824, 2) &amp; " GB"
  ),
  "×"
)</f>
        <v>0 B</v>
      </c>
      <c r="G394" s="55" t="s">
        <v>1053</v>
      </c>
      <c r="H394" s="55"/>
      <c r="I394" s="55"/>
      <c r="J394" s="46" t="s">
        <v>298</v>
      </c>
      <c r="K394" s="55"/>
      <c r="L394" s="55" t="s">
        <v>1063</v>
      </c>
      <c r="M394" s="55" t="s">
        <v>1053</v>
      </c>
      <c r="N394" s="52" t="s">
        <v>1181</v>
      </c>
      <c r="O394" s="46" t="s">
        <v>298</v>
      </c>
      <c r="P394" s="37" t="str">
        <f>IFERROR(__xludf.DUMMYFUNCTION("XLOOKUP(JOIN(""/"",$A394:$B394),'source isilon_divまとめ'!$A:$A,'source isilon_divまとめ'!$D:$D,XLOOKUP(JOIN(""\"",$A394:$B394),'source NetApp-file-sv01-div'!A:A,TEXT('source NetApp-file-sv01-div'!C:C,""yyyy/mm/dd"")))"),"#N/A")</f>
        <v>#N/A</v>
      </c>
    </row>
    <row r="395">
      <c r="A395" s="8" t="s">
        <v>1062</v>
      </c>
      <c r="B395" s="8" t="s">
        <v>1237</v>
      </c>
      <c r="C395" s="7" t="s">
        <v>987</v>
      </c>
      <c r="D395" s="56">
        <f>IFERROR(__xludf.DUMMYFUNCTION("XLOOKUP(JOIN(""/"",$A395:$B395),'source merged_div_data'!$A:$A,'source merged_div_data'!B:B)"),12907.0)</f>
        <v>12907</v>
      </c>
      <c r="E395" s="56">
        <f>IFERROR(__xludf.DUMMYFUNCTION("XLOOKUP(JOIN(""/"",$A395:$B395),'source merged_div_data'!$A:$A,'source merged_div_data'!C:C)"),67943.0)</f>
        <v>67943</v>
      </c>
      <c r="F395" s="54" t="str">
        <f t="array" ref="F395">IFERROR(
  IFS(
    XLOOKUP(TEXTJOIN("/", TRUE, $A395:$B395), 'source merged_div_data'!$A:$A, 'source merged_div_data'!F:F) &lt; 1024,
      XLOOKUP(TEXTJOIN("/", TRUE, $A395:$B395), 'source merged_div_data'!$A:$A, 'source merged_div_data'!F:F) &amp; " B",
    XLOOKUP(TEXTJOIN("/", TRUE, $A395:$B395), 'source merged_div_data'!$A:$A, 'source merged_div_data'!F:F) &lt; 1048576,
      ROUND(XLOOKUP(TEXTJOIN("/", TRUE, $A395:$B395), 'source merged_div_data'!$A:$A, 'source merged_div_data'!F:F)/1024, 2) &amp; " KB",
    XLOOKUP(TEXTJOIN("/", TRUE, $A395:$B395), 'source merged_div_data'!$A:$A, 'source merged_div_data'!F:F) &lt; 1073741824,
      ROUND(XLOOKUP(TEXTJOIN("/", TRUE, $A395:$B395), 'source merged_div_data'!$A:$A, 'source merged_div_data'!F:F)/1048576, 2) &amp; " MB",
    TRUE,
      ROUND(XLOOKUP(TEXTJOIN("/", TRUE, $A395:$B395), 'source merged_div_data'!$A:$A, 'source merged_div_data'!F:F)/1073741824, 2) &amp; " GB"
  ),
  "×"
)</f>
        <v>301.98 GB</v>
      </c>
      <c r="G395" s="57" t="s">
        <v>2328</v>
      </c>
      <c r="H395" s="58" t="s">
        <v>2184</v>
      </c>
      <c r="I395" s="57"/>
      <c r="J395" s="7" t="s">
        <v>298</v>
      </c>
      <c r="L395" s="37" t="s">
        <v>1063</v>
      </c>
      <c r="M395" s="37" t="s">
        <v>1053</v>
      </c>
      <c r="N395" s="8" t="s">
        <v>1181</v>
      </c>
      <c r="O395" s="7" t="s">
        <v>298</v>
      </c>
      <c r="P395" s="57" t="str">
        <f>IFERROR(__xludf.DUMMYFUNCTION("XLOOKUP(JOIN(""/"",$A395:$B395),'source isilon_divまとめ'!$A:$A,'source isilon_divまとめ'!$D:$D,XLOOKUP(JOIN(""\"",$A395:$B395),'source NetApp-file-sv01-div'!A:A,TEXT('source NetApp-file-sv01-div'!C:C,""yyyy/mm/dd"")))"),"2023/05/18")</f>
        <v>2023/05/18</v>
      </c>
    </row>
    <row r="396">
      <c r="A396" s="8" t="s">
        <v>1065</v>
      </c>
      <c r="B396" s="8" t="s">
        <v>1318</v>
      </c>
      <c r="C396" s="7" t="s">
        <v>987</v>
      </c>
      <c r="D396" s="56">
        <f>IFERROR(__xludf.DUMMYFUNCTION("XLOOKUP(JOIN(""/"",$A396:$B396),'source merged_div_data'!$A:$A,'source merged_div_data'!B:B)"),679.0)</f>
        <v>679</v>
      </c>
      <c r="E396" s="56">
        <f>IFERROR(__xludf.DUMMYFUNCTION("XLOOKUP(JOIN(""/"",$A396:$B396),'source merged_div_data'!$A:$A,'source merged_div_data'!C:C)"),6839.0)</f>
        <v>6839</v>
      </c>
      <c r="F396" s="54" t="str">
        <f t="array" ref="F396">IFERROR(
  IFS(
    XLOOKUP(TEXTJOIN("/", TRUE, $A396:$B396), 'source merged_div_data'!$A:$A, 'source merged_div_data'!F:F) &lt; 1024,
      XLOOKUP(TEXTJOIN("/", TRUE, $A396:$B396), 'source merged_div_data'!$A:$A, 'source merged_div_data'!F:F) &amp; " B",
    XLOOKUP(TEXTJOIN("/", TRUE, $A396:$B396), 'source merged_div_data'!$A:$A, 'source merged_div_data'!F:F) &lt; 1048576,
      ROUND(XLOOKUP(TEXTJOIN("/", TRUE, $A396:$B396), 'source merged_div_data'!$A:$A, 'source merged_div_data'!F:F)/1024, 2) &amp; " KB",
    XLOOKUP(TEXTJOIN("/", TRUE, $A396:$B396), 'source merged_div_data'!$A:$A, 'source merged_div_data'!F:F) &lt; 1073741824,
      ROUND(XLOOKUP(TEXTJOIN("/", TRUE, $A396:$B396), 'source merged_div_data'!$A:$A, 'source merged_div_data'!F:F)/1048576, 2) &amp; " MB",
    TRUE,
      ROUND(XLOOKUP(TEXTJOIN("/", TRUE, $A396:$B396), 'source merged_div_data'!$A:$A, 'source merged_div_data'!F:F)/1073741824, 2) &amp; " GB"
  ),
  "×"
)</f>
        <v>9.25 GB</v>
      </c>
      <c r="G396" s="57" t="s">
        <v>2329</v>
      </c>
      <c r="H396" s="58" t="s">
        <v>2177</v>
      </c>
      <c r="I396" s="57"/>
      <c r="J396" s="7" t="s">
        <v>478</v>
      </c>
      <c r="L396" s="37" t="s">
        <v>1066</v>
      </c>
      <c r="M396" s="37" t="s">
        <v>1053</v>
      </c>
      <c r="N396" s="8" t="s">
        <v>1181</v>
      </c>
      <c r="O396" s="7" t="s">
        <v>478</v>
      </c>
      <c r="P396" s="57" t="str">
        <f>IFERROR(__xludf.DUMMYFUNCTION("XLOOKUP(JOIN(""/"",$A396:$B396),'source isilon_divまとめ'!$A:$A,'source isilon_divまとめ'!$D:$D,XLOOKUP(JOIN(""\"",$A396:$B396),'source NetApp-file-sv01-div'!A:A,TEXT('source NetApp-file-sv01-div'!C:C,""yyyy/mm/dd"")))"),"2017/01/16")</f>
        <v>2017/01/16</v>
      </c>
    </row>
    <row r="397">
      <c r="A397" s="8" t="s">
        <v>1065</v>
      </c>
      <c r="B397" s="8" t="s">
        <v>1319</v>
      </c>
      <c r="C397" s="7" t="s">
        <v>987</v>
      </c>
      <c r="D397" s="56">
        <f>IFERROR(__xludf.DUMMYFUNCTION("XLOOKUP(JOIN(""/"",$A397:$B397),'source merged_div_data'!$A:$A,'source merged_div_data'!B:B)"),6021.0)</f>
        <v>6021</v>
      </c>
      <c r="E397" s="56">
        <f>IFERROR(__xludf.DUMMYFUNCTION("XLOOKUP(JOIN(""/"",$A397:$B397),'source merged_div_data'!$A:$A,'source merged_div_data'!C:C)"),45116.0)</f>
        <v>45116</v>
      </c>
      <c r="F397" s="54" t="str">
        <f t="array" ref="F397">IFERROR(
  IFS(
    XLOOKUP(TEXTJOIN("/", TRUE, $A397:$B397), 'source merged_div_data'!$A:$A, 'source merged_div_data'!F:F) &lt; 1024,
      XLOOKUP(TEXTJOIN("/", TRUE, $A397:$B397), 'source merged_div_data'!$A:$A, 'source merged_div_data'!F:F) &amp; " B",
    XLOOKUP(TEXTJOIN("/", TRUE, $A397:$B397), 'source merged_div_data'!$A:$A, 'source merged_div_data'!F:F) &lt; 1048576,
      ROUND(XLOOKUP(TEXTJOIN("/", TRUE, $A397:$B397), 'source merged_div_data'!$A:$A, 'source merged_div_data'!F:F)/1024, 2) &amp; " KB",
    XLOOKUP(TEXTJOIN("/", TRUE, $A397:$B397), 'source merged_div_data'!$A:$A, 'source merged_div_data'!F:F) &lt; 1073741824,
      ROUND(XLOOKUP(TEXTJOIN("/", TRUE, $A397:$B397), 'source merged_div_data'!$A:$A, 'source merged_div_data'!F:F)/1048576, 2) &amp; " MB",
    TRUE,
      ROUND(XLOOKUP(TEXTJOIN("/", TRUE, $A397:$B397), 'source merged_div_data'!$A:$A, 'source merged_div_data'!F:F)/1073741824, 2) &amp; " GB"
  ),
  "×"
)</f>
        <v>57.11 GB</v>
      </c>
      <c r="G397" s="57" t="s">
        <v>2330</v>
      </c>
      <c r="H397" s="58" t="s">
        <v>2177</v>
      </c>
      <c r="I397" s="57"/>
      <c r="J397" s="7" t="s">
        <v>478</v>
      </c>
      <c r="L397" s="37" t="s">
        <v>1066</v>
      </c>
      <c r="M397" s="37" t="s">
        <v>1053</v>
      </c>
      <c r="N397" s="8" t="s">
        <v>1181</v>
      </c>
      <c r="O397" s="7" t="s">
        <v>478</v>
      </c>
      <c r="P397" s="57" t="str">
        <f>IFERROR(__xludf.DUMMYFUNCTION("XLOOKUP(JOIN(""/"",$A397:$B397),'source isilon_divまとめ'!$A:$A,'source isilon_divまとめ'!$D:$D,XLOOKUP(JOIN(""\"",$A397:$B397),'source NetApp-file-sv01-div'!A:A,TEXT('source NetApp-file-sv01-div'!C:C,""yyyy/mm/dd"")))"),"2022/08/26")</f>
        <v>2022/08/26</v>
      </c>
    </row>
    <row r="398">
      <c r="A398" s="8" t="s">
        <v>1065</v>
      </c>
      <c r="B398" s="8" t="s">
        <v>1320</v>
      </c>
      <c r="C398" s="7" t="s">
        <v>987</v>
      </c>
      <c r="D398" s="56">
        <f>IFERROR(__xludf.DUMMYFUNCTION("XLOOKUP(JOIN(""/"",$A398:$B398),'source merged_div_data'!$A:$A,'source merged_div_data'!B:B)"),12.0)</f>
        <v>12</v>
      </c>
      <c r="E398" s="56">
        <f>IFERROR(__xludf.DUMMYFUNCTION("XLOOKUP(JOIN(""/"",$A398:$B398),'source merged_div_data'!$A:$A,'source merged_div_data'!C:C)"),7.0)</f>
        <v>7</v>
      </c>
      <c r="F398" s="54" t="str">
        <f t="array" ref="F398">IFERROR(
  IFS(
    XLOOKUP(TEXTJOIN("/", TRUE, $A398:$B398), 'source merged_div_data'!$A:$A, 'source merged_div_data'!F:F) &lt; 1024,
      XLOOKUP(TEXTJOIN("/", TRUE, $A398:$B398), 'source merged_div_data'!$A:$A, 'source merged_div_data'!F:F) &amp; " B",
    XLOOKUP(TEXTJOIN("/", TRUE, $A398:$B398), 'source merged_div_data'!$A:$A, 'source merged_div_data'!F:F) &lt; 1048576,
      ROUND(XLOOKUP(TEXTJOIN("/", TRUE, $A398:$B398), 'source merged_div_data'!$A:$A, 'source merged_div_data'!F:F)/1024, 2) &amp; " KB",
    XLOOKUP(TEXTJOIN("/", TRUE, $A398:$B398), 'source merged_div_data'!$A:$A, 'source merged_div_data'!F:F) &lt; 1073741824,
      ROUND(XLOOKUP(TEXTJOIN("/", TRUE, $A398:$B398), 'source merged_div_data'!$A:$A, 'source merged_div_data'!F:F)/1048576, 2) &amp; " MB",
    TRUE,
      ROUND(XLOOKUP(TEXTJOIN("/", TRUE, $A398:$B398), 'source merged_div_data'!$A:$A, 'source merged_div_data'!F:F)/1073741824, 2) &amp; " GB"
  ),
  "×"
)</f>
        <v>419.16 KB</v>
      </c>
      <c r="G398" s="57" t="s">
        <v>2331</v>
      </c>
      <c r="H398" s="58" t="s">
        <v>2177</v>
      </c>
      <c r="I398" s="57"/>
      <c r="J398" s="7" t="s">
        <v>298</v>
      </c>
      <c r="L398" s="37" t="s">
        <v>1063</v>
      </c>
      <c r="M398" s="37" t="s">
        <v>1053</v>
      </c>
      <c r="N398" s="8" t="s">
        <v>1181</v>
      </c>
      <c r="O398" s="7" t="s">
        <v>298</v>
      </c>
      <c r="P398" s="57" t="str">
        <f>IFERROR(__xludf.DUMMYFUNCTION("XLOOKUP(JOIN(""/"",$A398:$B398),'source isilon_divまとめ'!$A:$A,'source isilon_divまとめ'!$D:$D,XLOOKUP(JOIN(""\"",$A398:$B398),'source NetApp-file-sv01-div'!A:A,TEXT('source NetApp-file-sv01-div'!C:C,""yyyy/mm/dd"")))"),"2017/06/11")</f>
        <v>2017/06/11</v>
      </c>
    </row>
    <row r="399">
      <c r="A399" s="8" t="s">
        <v>1065</v>
      </c>
      <c r="B399" s="8" t="s">
        <v>1321</v>
      </c>
      <c r="C399" s="7" t="s">
        <v>987</v>
      </c>
      <c r="D399" s="56">
        <f>IFERROR(__xludf.DUMMYFUNCTION("XLOOKUP(JOIN(""/"",$A399:$B399),'source merged_div_data'!$A:$A,'source merged_div_data'!B:B)"),53.0)</f>
        <v>53</v>
      </c>
      <c r="E399" s="56">
        <f>IFERROR(__xludf.DUMMYFUNCTION("XLOOKUP(JOIN(""/"",$A399:$B399),'source merged_div_data'!$A:$A,'source merged_div_data'!C:C)"),29.0)</f>
        <v>29</v>
      </c>
      <c r="F399" s="54" t="str">
        <f t="array" ref="F399">IFERROR(
  IFS(
    XLOOKUP(TEXTJOIN("/", TRUE, $A399:$B399), 'source merged_div_data'!$A:$A, 'source merged_div_data'!F:F) &lt; 1024,
      XLOOKUP(TEXTJOIN("/", TRUE, $A399:$B399), 'source merged_div_data'!$A:$A, 'source merged_div_data'!F:F) &amp; " B",
    XLOOKUP(TEXTJOIN("/", TRUE, $A399:$B399), 'source merged_div_data'!$A:$A, 'source merged_div_data'!F:F) &lt; 1048576,
      ROUND(XLOOKUP(TEXTJOIN("/", TRUE, $A399:$B399), 'source merged_div_data'!$A:$A, 'source merged_div_data'!F:F)/1024, 2) &amp; " KB",
    XLOOKUP(TEXTJOIN("/", TRUE, $A399:$B399), 'source merged_div_data'!$A:$A, 'source merged_div_data'!F:F) &lt; 1073741824,
      ROUND(XLOOKUP(TEXTJOIN("/", TRUE, $A399:$B399), 'source merged_div_data'!$A:$A, 'source merged_div_data'!F:F)/1048576, 2) &amp; " MB",
    TRUE,
      ROUND(XLOOKUP(TEXTJOIN("/", TRUE, $A399:$B399), 'source merged_div_data'!$A:$A, 'source merged_div_data'!F:F)/1073741824, 2) &amp; " GB"
  ),
  "×"
)</f>
        <v>2.71 MB</v>
      </c>
      <c r="G399" s="57" t="s">
        <v>2332</v>
      </c>
      <c r="H399" s="58" t="s">
        <v>2184</v>
      </c>
      <c r="I399" s="57"/>
      <c r="J399" s="7" t="s">
        <v>478</v>
      </c>
      <c r="L399" s="37" t="s">
        <v>1066</v>
      </c>
      <c r="M399" s="37" t="s">
        <v>1053</v>
      </c>
      <c r="N399" s="8" t="s">
        <v>1181</v>
      </c>
      <c r="O399" s="7" t="s">
        <v>478</v>
      </c>
      <c r="P399" s="57" t="str">
        <f>IFERROR(__xludf.DUMMYFUNCTION("XLOOKUP(JOIN(""/"",$A399:$B399),'source isilon_divまとめ'!$A:$A,'source isilon_divまとめ'!$D:$D,XLOOKUP(JOIN(""\"",$A399:$B399),'source NetApp-file-sv01-div'!A:A,TEXT('source NetApp-file-sv01-div'!C:C,""yyyy/mm/dd"")))"),"2023/06/22")</f>
        <v>2023/06/22</v>
      </c>
    </row>
    <row r="400">
      <c r="A400" s="52" t="s">
        <v>1065</v>
      </c>
      <c r="B400" s="52" t="s">
        <v>1322</v>
      </c>
      <c r="C400" s="46" t="s">
        <v>986</v>
      </c>
      <c r="D400" s="53">
        <f>IFERROR(__xludf.DUMMYFUNCTION("XLOOKUP(JOIN(""/"",$A400:$B400),'source merged_div_data'!$A:$A,'source merged_div_data'!B:B)"),6.0)</f>
        <v>6</v>
      </c>
      <c r="E400" s="53">
        <f>IFERROR(__xludf.DUMMYFUNCTION("XLOOKUP(JOIN(""/"",$A400:$B400),'source merged_div_data'!$A:$A,'source merged_div_data'!C:C)"),0.0)</f>
        <v>0</v>
      </c>
      <c r="F400" s="54" t="str">
        <f t="array" ref="F400">IFERROR(
  IFS(
    XLOOKUP(TEXTJOIN("/", TRUE, $A400:$B400), 'source merged_div_data'!$A:$A, 'source merged_div_data'!F:F) &lt; 1024,
      XLOOKUP(TEXTJOIN("/", TRUE, $A400:$B400), 'source merged_div_data'!$A:$A, 'source merged_div_data'!F:F) &amp; " B",
    XLOOKUP(TEXTJOIN("/", TRUE, $A400:$B400), 'source merged_div_data'!$A:$A, 'source merged_div_data'!F:F) &lt; 1048576,
      ROUND(XLOOKUP(TEXTJOIN("/", TRUE, $A400:$B400), 'source merged_div_data'!$A:$A, 'source merged_div_data'!F:F)/1024, 2) &amp; " KB",
    XLOOKUP(TEXTJOIN("/", TRUE, $A400:$B400), 'source merged_div_data'!$A:$A, 'source merged_div_data'!F:F) &lt; 1073741824,
      ROUND(XLOOKUP(TEXTJOIN("/", TRUE, $A400:$B400), 'source merged_div_data'!$A:$A, 'source merged_div_data'!F:F)/1048576, 2) &amp; " MB",
    TRUE,
      ROUND(XLOOKUP(TEXTJOIN("/", TRUE, $A400:$B400), 'source merged_div_data'!$A:$A, 'source merged_div_data'!F:F)/1073741824, 2) &amp; " GB"
  ),
  "×"
)</f>
        <v>168 B</v>
      </c>
      <c r="G400" s="55" t="s">
        <v>1053</v>
      </c>
      <c r="H400" s="55"/>
      <c r="I400" s="55"/>
      <c r="J400" s="46" t="s">
        <v>478</v>
      </c>
      <c r="K400" s="55"/>
      <c r="L400" s="55" t="s">
        <v>1066</v>
      </c>
      <c r="M400" s="55" t="s">
        <v>1053</v>
      </c>
      <c r="N400" s="52" t="s">
        <v>1181</v>
      </c>
      <c r="O400" s="46" t="s">
        <v>478</v>
      </c>
      <c r="P400" s="37" t="str">
        <f>IFERROR(__xludf.DUMMYFUNCTION("XLOOKUP(JOIN(""/"",$A400:$B400),'source isilon_divまとめ'!$A:$A,'source isilon_divまとめ'!$D:$D,XLOOKUP(JOIN(""\"",$A400:$B400),'source NetApp-file-sv01-div'!A:A,TEXT('source NetApp-file-sv01-div'!C:C,""yyyy/mm/dd"")))"),"#N/A")</f>
        <v>#N/A</v>
      </c>
    </row>
    <row r="401">
      <c r="A401" s="8" t="s">
        <v>1065</v>
      </c>
      <c r="B401" s="8" t="s">
        <v>444</v>
      </c>
      <c r="C401" s="7" t="s">
        <v>987</v>
      </c>
      <c r="D401" s="56">
        <f>IFERROR(__xludf.DUMMYFUNCTION("XLOOKUP(JOIN(""/"",$A401:$B401),'source merged_div_data'!$A:$A,'source merged_div_data'!B:B)"),4936.0)</f>
        <v>4936</v>
      </c>
      <c r="E401" s="56">
        <f>IFERROR(__xludf.DUMMYFUNCTION("XLOOKUP(JOIN(""/"",$A401:$B401),'source merged_div_data'!$A:$A,'source merged_div_data'!C:C)"),27063.0)</f>
        <v>27063</v>
      </c>
      <c r="F401" s="54" t="str">
        <f t="array" ref="F401">IFERROR(
  IFS(
    XLOOKUP(TEXTJOIN("/", TRUE, $A401:$B401), 'source merged_div_data'!$A:$A, 'source merged_div_data'!F:F) &lt; 1024,
      XLOOKUP(TEXTJOIN("/", TRUE, $A401:$B401), 'source merged_div_data'!$A:$A, 'source merged_div_data'!F:F) &amp; " B",
    XLOOKUP(TEXTJOIN("/", TRUE, $A401:$B401), 'source merged_div_data'!$A:$A, 'source merged_div_data'!F:F) &lt; 1048576,
      ROUND(XLOOKUP(TEXTJOIN("/", TRUE, $A401:$B401), 'source merged_div_data'!$A:$A, 'source merged_div_data'!F:F)/1024, 2) &amp; " KB",
    XLOOKUP(TEXTJOIN("/", TRUE, $A401:$B401), 'source merged_div_data'!$A:$A, 'source merged_div_data'!F:F) &lt; 1073741824,
      ROUND(XLOOKUP(TEXTJOIN("/", TRUE, $A401:$B401), 'source merged_div_data'!$A:$A, 'source merged_div_data'!F:F)/1048576, 2) &amp; " MB",
    TRUE,
      ROUND(XLOOKUP(TEXTJOIN("/", TRUE, $A401:$B401), 'source merged_div_data'!$A:$A, 'source merged_div_data'!F:F)/1073741824, 2) &amp; " GB"
  ),
  "×"
)</f>
        <v>28.44 GB</v>
      </c>
      <c r="G401" s="57" t="s">
        <v>2333</v>
      </c>
      <c r="H401" s="58" t="s">
        <v>2177</v>
      </c>
      <c r="I401" s="57"/>
      <c r="J401" s="7" t="s">
        <v>478</v>
      </c>
      <c r="L401" s="37" t="s">
        <v>1066</v>
      </c>
      <c r="M401" s="37" t="s">
        <v>1053</v>
      </c>
      <c r="N401" s="8" t="s">
        <v>1181</v>
      </c>
      <c r="O401" s="7" t="s">
        <v>478</v>
      </c>
      <c r="P401" s="57" t="str">
        <f>IFERROR(__xludf.DUMMYFUNCTION("XLOOKUP(JOIN(""/"",$A401:$B401),'source isilon_divまとめ'!$A:$A,'source isilon_divまとめ'!$D:$D,XLOOKUP(JOIN(""\"",$A401:$B401),'source NetApp-file-sv01-div'!A:A,TEXT('source NetApp-file-sv01-div'!C:C,""yyyy/mm/dd"")))"),"2019/04/03")</f>
        <v>2019/04/03</v>
      </c>
    </row>
    <row r="402">
      <c r="A402" s="8" t="s">
        <v>1065</v>
      </c>
      <c r="B402" s="8" t="s">
        <v>1323</v>
      </c>
      <c r="C402" s="7" t="s">
        <v>987</v>
      </c>
      <c r="D402" s="56">
        <f>IFERROR(__xludf.DUMMYFUNCTION("XLOOKUP(JOIN(""/"",$A402:$B402),'source merged_div_data'!$A:$A,'source merged_div_data'!B:B)"),9066.0)</f>
        <v>9066</v>
      </c>
      <c r="E402" s="56">
        <f>IFERROR(__xludf.DUMMYFUNCTION("XLOOKUP(JOIN(""/"",$A402:$B402),'source merged_div_data'!$A:$A,'source merged_div_data'!C:C)"),67691.0)</f>
        <v>67691</v>
      </c>
      <c r="F402" s="54" t="str">
        <f t="array" ref="F402">IFERROR(
  IFS(
    XLOOKUP(TEXTJOIN("/", TRUE, $A402:$B402), 'source merged_div_data'!$A:$A, 'source merged_div_data'!F:F) &lt; 1024,
      XLOOKUP(TEXTJOIN("/", TRUE, $A402:$B402), 'source merged_div_data'!$A:$A, 'source merged_div_data'!F:F) &amp; " B",
    XLOOKUP(TEXTJOIN("/", TRUE, $A402:$B402), 'source merged_div_data'!$A:$A, 'source merged_div_data'!F:F) &lt; 1048576,
      ROUND(XLOOKUP(TEXTJOIN("/", TRUE, $A402:$B402), 'source merged_div_data'!$A:$A, 'source merged_div_data'!F:F)/1024, 2) &amp; " KB",
    XLOOKUP(TEXTJOIN("/", TRUE, $A402:$B402), 'source merged_div_data'!$A:$A, 'source merged_div_data'!F:F) &lt; 1073741824,
      ROUND(XLOOKUP(TEXTJOIN("/", TRUE, $A402:$B402), 'source merged_div_data'!$A:$A, 'source merged_div_data'!F:F)/1048576, 2) &amp; " MB",
    TRUE,
      ROUND(XLOOKUP(TEXTJOIN("/", TRUE, $A402:$B402), 'source merged_div_data'!$A:$A, 'source merged_div_data'!F:F)/1073741824, 2) &amp; " GB"
  ),
  "×"
)</f>
        <v>75.09 GB</v>
      </c>
      <c r="G402" s="57" t="s">
        <v>2334</v>
      </c>
      <c r="H402" s="58" t="s">
        <v>2177</v>
      </c>
      <c r="I402" s="57"/>
      <c r="J402" s="7" t="s">
        <v>478</v>
      </c>
      <c r="L402" s="37" t="s">
        <v>1066</v>
      </c>
      <c r="M402" s="37" t="s">
        <v>1053</v>
      </c>
      <c r="N402" s="8" t="s">
        <v>1181</v>
      </c>
      <c r="O402" s="7" t="s">
        <v>478</v>
      </c>
      <c r="P402" s="57" t="str">
        <f>IFERROR(__xludf.DUMMYFUNCTION("XLOOKUP(JOIN(""/"",$A402:$B402),'source isilon_divまとめ'!$A:$A,'source isilon_divまとめ'!$D:$D,XLOOKUP(JOIN(""\"",$A402:$B402),'source NetApp-file-sv01-div'!A:A,TEXT('source NetApp-file-sv01-div'!C:C,""yyyy/mm/dd"")))"),"2014/10/14")</f>
        <v>2014/10/14</v>
      </c>
    </row>
    <row r="403">
      <c r="A403" s="8" t="s">
        <v>1065</v>
      </c>
      <c r="B403" s="8" t="s">
        <v>1324</v>
      </c>
      <c r="C403" s="7" t="s">
        <v>987</v>
      </c>
      <c r="D403" s="56">
        <f>IFERROR(__xludf.DUMMYFUNCTION("XLOOKUP(JOIN(""/"",$A403:$B403),'source merged_div_data'!$A:$A,'source merged_div_data'!B:B)"),3.0)</f>
        <v>3</v>
      </c>
      <c r="E403" s="56">
        <f>IFERROR(__xludf.DUMMYFUNCTION("XLOOKUP(JOIN(""/"",$A403:$B403),'source merged_div_data'!$A:$A,'source merged_div_data'!C:C)"),1.0)</f>
        <v>1</v>
      </c>
      <c r="F403" s="54" t="str">
        <f t="array" ref="F403">IFERROR(
  IFS(
    XLOOKUP(TEXTJOIN("/", TRUE, $A403:$B403), 'source merged_div_data'!$A:$A, 'source merged_div_data'!F:F) &lt; 1024,
      XLOOKUP(TEXTJOIN("/", TRUE, $A403:$B403), 'source merged_div_data'!$A:$A, 'source merged_div_data'!F:F) &amp; " B",
    XLOOKUP(TEXTJOIN("/", TRUE, $A403:$B403), 'source merged_div_data'!$A:$A, 'source merged_div_data'!F:F) &lt; 1048576,
      ROUND(XLOOKUP(TEXTJOIN("/", TRUE, $A403:$B403), 'source merged_div_data'!$A:$A, 'source merged_div_data'!F:F)/1024, 2) &amp; " KB",
    XLOOKUP(TEXTJOIN("/", TRUE, $A403:$B403), 'source merged_div_data'!$A:$A, 'source merged_div_data'!F:F) &lt; 1073741824,
      ROUND(XLOOKUP(TEXTJOIN("/", TRUE, $A403:$B403), 'source merged_div_data'!$A:$A, 'source merged_div_data'!F:F)/1048576, 2) &amp; " MB",
    TRUE,
      ROUND(XLOOKUP(TEXTJOIN("/", TRUE, $A403:$B403), 'source merged_div_data'!$A:$A, 'source merged_div_data'!F:F)/1073741824, 2) &amp; " GB"
  ),
  "×"
)</f>
        <v>10.1 KB</v>
      </c>
      <c r="G403" s="37" t="s">
        <v>1053</v>
      </c>
      <c r="H403" s="7" t="s">
        <v>2177</v>
      </c>
      <c r="I403" s="37"/>
      <c r="J403" s="7" t="s">
        <v>478</v>
      </c>
      <c r="L403" s="37" t="s">
        <v>1066</v>
      </c>
      <c r="M403" s="37" t="s">
        <v>1053</v>
      </c>
      <c r="N403" s="8" t="s">
        <v>1181</v>
      </c>
      <c r="O403" s="7" t="s">
        <v>478</v>
      </c>
      <c r="P403" s="37" t="str">
        <f>IFERROR(__xludf.DUMMYFUNCTION("XLOOKUP(JOIN(""/"",$A403:$B403),'source isilon_divまとめ'!$A:$A,'source isilon_divまとめ'!$D:$D,XLOOKUP(JOIN(""\"",$A403:$B403),'source NetApp-file-sv01-div'!A:A,TEXT('source NetApp-file-sv01-div'!C:C,""yyyy/mm/dd"")))"),"#N/A")</f>
        <v>#N/A</v>
      </c>
    </row>
    <row r="404">
      <c r="A404" s="8" t="s">
        <v>1065</v>
      </c>
      <c r="B404" s="8" t="s">
        <v>1204</v>
      </c>
      <c r="C404" s="7" t="s">
        <v>988</v>
      </c>
      <c r="D404" s="56">
        <f>IFERROR(__xludf.DUMMYFUNCTION("XLOOKUP(JOIN(""/"",$A404:$B404),'source merged_div_data'!$A:$A,'source merged_div_data'!B:B)"),4979.0)</f>
        <v>4979</v>
      </c>
      <c r="E404" s="56">
        <f>IFERROR(__xludf.DUMMYFUNCTION("XLOOKUP(JOIN(""/"",$A404:$B404),'source merged_div_data'!$A:$A,'source merged_div_data'!C:C)"),52650.0)</f>
        <v>52650</v>
      </c>
      <c r="F404" s="54" t="str">
        <f t="array" ref="F404">IFERROR(
  IFS(
    XLOOKUP(TEXTJOIN("/", TRUE, $A404:$B404), 'source merged_div_data'!$A:$A, 'source merged_div_data'!F:F) &lt; 1024,
      XLOOKUP(TEXTJOIN("/", TRUE, $A404:$B404), 'source merged_div_data'!$A:$A, 'source merged_div_data'!F:F) &amp; " B",
    XLOOKUP(TEXTJOIN("/", TRUE, $A404:$B404), 'source merged_div_data'!$A:$A, 'source merged_div_data'!F:F) &lt; 1048576,
      ROUND(XLOOKUP(TEXTJOIN("/", TRUE, $A404:$B404), 'source merged_div_data'!$A:$A, 'source merged_div_data'!F:F)/1024, 2) &amp; " KB",
    XLOOKUP(TEXTJOIN("/", TRUE, $A404:$B404), 'source merged_div_data'!$A:$A, 'source merged_div_data'!F:F) &lt; 1073741824,
      ROUND(XLOOKUP(TEXTJOIN("/", TRUE, $A404:$B404), 'source merged_div_data'!$A:$A, 'source merged_div_data'!F:F)/1048576, 2) &amp; " MB",
    TRUE,
      ROUND(XLOOKUP(TEXTJOIN("/", TRUE, $A404:$B404), 'source merged_div_data'!$A:$A, 'source merged_div_data'!F:F)/1073741824, 2) &amp; " GB"
  ),
  "×"
)</f>
        <v>290.37 GB</v>
      </c>
      <c r="G404" s="57" t="s">
        <v>2330</v>
      </c>
      <c r="H404" s="58" t="s">
        <v>2177</v>
      </c>
      <c r="I404" s="57"/>
      <c r="J404" s="7" t="s">
        <v>1105</v>
      </c>
      <c r="L404" s="37" t="s">
        <v>1053</v>
      </c>
      <c r="M404" s="37" t="s">
        <v>1053</v>
      </c>
      <c r="N404" s="8" t="s">
        <v>1181</v>
      </c>
      <c r="O404" s="7" t="s">
        <v>1105</v>
      </c>
      <c r="P404" s="57" t="str">
        <f>IFERROR(__xludf.DUMMYFUNCTION("XLOOKUP(JOIN(""/"",$A404:$B404),'source isilon_divまとめ'!$A:$A,'source isilon_divまとめ'!$D:$D,XLOOKUP(JOIN(""\"",$A404:$B404),'source NetApp-file-sv01-div'!A:A,TEXT('source NetApp-file-sv01-div'!C:C,""yyyy/mm/dd"")))"),"2022/08/26")</f>
        <v>2022/08/26</v>
      </c>
    </row>
    <row r="405">
      <c r="A405" s="8" t="s">
        <v>1068</v>
      </c>
      <c r="B405" s="8" t="s">
        <v>1225</v>
      </c>
      <c r="C405" s="7" t="s">
        <v>987</v>
      </c>
      <c r="D405" s="56">
        <f>IFERROR(__xludf.DUMMYFUNCTION("XLOOKUP(JOIN(""/"",$A405:$B405),'source merged_div_data'!$A:$A,'source merged_div_data'!B:B)"),3.0)</f>
        <v>3</v>
      </c>
      <c r="E405" s="56">
        <f>IFERROR(__xludf.DUMMYFUNCTION("XLOOKUP(JOIN(""/"",$A405:$B405),'source merged_div_data'!$A:$A,'source merged_div_data'!C:C)"),1.0)</f>
        <v>1</v>
      </c>
      <c r="F405" s="54" t="str">
        <f t="array" ref="F405">IFERROR(
  IFS(
    XLOOKUP(TEXTJOIN("/", TRUE, $A405:$B405), 'source merged_div_data'!$A:$A, 'source merged_div_data'!F:F) &lt; 1024,
      XLOOKUP(TEXTJOIN("/", TRUE, $A405:$B405), 'source merged_div_data'!$A:$A, 'source merged_div_data'!F:F) &amp; " B",
    XLOOKUP(TEXTJOIN("/", TRUE, $A405:$B405), 'source merged_div_data'!$A:$A, 'source merged_div_data'!F:F) &lt; 1048576,
      ROUND(XLOOKUP(TEXTJOIN("/", TRUE, $A405:$B405), 'source merged_div_data'!$A:$A, 'source merged_div_data'!F:F)/1024, 2) &amp; " KB",
    XLOOKUP(TEXTJOIN("/", TRUE, $A405:$B405), 'source merged_div_data'!$A:$A, 'source merged_div_data'!F:F) &lt; 1073741824,
      ROUND(XLOOKUP(TEXTJOIN("/", TRUE, $A405:$B405), 'source merged_div_data'!$A:$A, 'source merged_div_data'!F:F)/1048576, 2) &amp; " MB",
    TRUE,
      ROUND(XLOOKUP(TEXTJOIN("/", TRUE, $A405:$B405), 'source merged_div_data'!$A:$A, 'source merged_div_data'!F:F)/1073741824, 2) &amp; " GB"
  ),
  "×"
)</f>
        <v>6.09 KB</v>
      </c>
      <c r="G405" s="37" t="s">
        <v>1053</v>
      </c>
      <c r="H405" s="7" t="s">
        <v>2177</v>
      </c>
      <c r="I405" s="37"/>
      <c r="J405" s="7" t="s">
        <v>38</v>
      </c>
      <c r="K405" s="7" t="s">
        <v>43</v>
      </c>
      <c r="L405" s="7" t="s">
        <v>1053</v>
      </c>
      <c r="M405" s="7" t="s">
        <v>1467</v>
      </c>
      <c r="N405" s="8" t="s">
        <v>1102</v>
      </c>
      <c r="O405" s="7" t="s">
        <v>1188</v>
      </c>
      <c r="P405" s="37" t="str">
        <f>IFERROR(__xludf.DUMMYFUNCTION("XLOOKUP(JOIN(""/"",$A405:$B405),'source isilon_divまとめ'!$A:$A,'source isilon_divまとめ'!$D:$D,XLOOKUP(JOIN(""\"",$A405:$B405),'source NetApp-file-sv01-div'!A:A,TEXT('source NetApp-file-sv01-div'!C:C,""yyyy/mm/dd"")))"),"#N/A")</f>
        <v>#N/A</v>
      </c>
    </row>
    <row r="406">
      <c r="A406" s="8" t="s">
        <v>1068</v>
      </c>
      <c r="B406" s="8" t="s">
        <v>1227</v>
      </c>
      <c r="C406" s="7" t="s">
        <v>987</v>
      </c>
      <c r="D406" s="56">
        <f>IFERROR(__xludf.DUMMYFUNCTION("XLOOKUP(JOIN(""/"",$A406:$B406),'source merged_div_data'!$A:$A,'source merged_div_data'!B:B)"),431.0)</f>
        <v>431</v>
      </c>
      <c r="E406" s="56">
        <f>IFERROR(__xludf.DUMMYFUNCTION("XLOOKUP(JOIN(""/"",$A406:$B406),'source merged_div_data'!$A:$A,'source merged_div_data'!C:C)"),9738.0)</f>
        <v>9738</v>
      </c>
      <c r="F406" s="54" t="str">
        <f t="array" ref="F406">IFERROR(
  IFS(
    XLOOKUP(TEXTJOIN("/", TRUE, $A406:$B406), 'source merged_div_data'!$A:$A, 'source merged_div_data'!F:F) &lt; 1024,
      XLOOKUP(TEXTJOIN("/", TRUE, $A406:$B406), 'source merged_div_data'!$A:$A, 'source merged_div_data'!F:F) &amp; " B",
    XLOOKUP(TEXTJOIN("/", TRUE, $A406:$B406), 'source merged_div_data'!$A:$A, 'source merged_div_data'!F:F) &lt; 1048576,
      ROUND(XLOOKUP(TEXTJOIN("/", TRUE, $A406:$B406), 'source merged_div_data'!$A:$A, 'source merged_div_data'!F:F)/1024, 2) &amp; " KB",
    XLOOKUP(TEXTJOIN("/", TRUE, $A406:$B406), 'source merged_div_data'!$A:$A, 'source merged_div_data'!F:F) &lt; 1073741824,
      ROUND(XLOOKUP(TEXTJOIN("/", TRUE, $A406:$B406), 'source merged_div_data'!$A:$A, 'source merged_div_data'!F:F)/1048576, 2) &amp; " MB",
    TRUE,
      ROUND(XLOOKUP(TEXTJOIN("/", TRUE, $A406:$B406), 'source merged_div_data'!$A:$A, 'source merged_div_data'!F:F)/1073741824, 2) &amp; " GB"
  ),
  "×"
)</f>
        <v>21.82 GB</v>
      </c>
      <c r="G406" s="57" t="s">
        <v>2335</v>
      </c>
      <c r="H406" s="58" t="s">
        <v>2177</v>
      </c>
      <c r="I406" s="57"/>
      <c r="J406" s="7" t="s">
        <v>693</v>
      </c>
      <c r="L406" s="7" t="s">
        <v>2094</v>
      </c>
      <c r="M406" s="37" t="s">
        <v>1053</v>
      </c>
      <c r="N406" s="8" t="s">
        <v>1102</v>
      </c>
      <c r="O406" s="7" t="s">
        <v>693</v>
      </c>
      <c r="P406" s="57" t="str">
        <f>IFERROR(__xludf.DUMMYFUNCTION("XLOOKUP(JOIN(""/"",$A406:$B406),'source isilon_divまとめ'!$A:$A,'source isilon_divまとめ'!$D:$D,XLOOKUP(JOIN(""\"",$A406:$B406),'source NetApp-file-sv01-div'!A:A,TEXT('source NetApp-file-sv01-div'!C:C,""yyyy/mm/dd"")))"),"2022/06/14")</f>
        <v>2022/06/14</v>
      </c>
    </row>
    <row r="407">
      <c r="A407" s="52" t="s">
        <v>1068</v>
      </c>
      <c r="B407" s="52" t="s">
        <v>1111</v>
      </c>
      <c r="C407" s="46" t="s">
        <v>988</v>
      </c>
      <c r="D407" s="53">
        <f>IFERROR(__xludf.DUMMYFUNCTION("XLOOKUP(JOIN(""/"",$A407:$B407),'source merged_div_data'!$A:$A,'source merged_div_data'!B:B)"),1.0)</f>
        <v>1</v>
      </c>
      <c r="E407" s="53">
        <f>IFERROR(__xludf.DUMMYFUNCTION("XLOOKUP(JOIN(""/"",$A407:$B407),'source merged_div_data'!$A:$A,'source merged_div_data'!C:C)"),0.0)</f>
        <v>0</v>
      </c>
      <c r="F407" s="54" t="str">
        <f t="array" ref="F407">IFERROR(
  IFS(
    XLOOKUP(TEXTJOIN("/", TRUE, $A407:$B407), 'source merged_div_data'!$A:$A, 'source merged_div_data'!F:F) &lt; 1024,
      XLOOKUP(TEXTJOIN("/", TRUE, $A407:$B407), 'source merged_div_data'!$A:$A, 'source merged_div_data'!F:F) &amp; " B",
    XLOOKUP(TEXTJOIN("/", TRUE, $A407:$B407), 'source merged_div_data'!$A:$A, 'source merged_div_data'!F:F) &lt; 1048576,
      ROUND(XLOOKUP(TEXTJOIN("/", TRUE, $A407:$B407), 'source merged_div_data'!$A:$A, 'source merged_div_data'!F:F)/1024, 2) &amp; " KB",
    XLOOKUP(TEXTJOIN("/", TRUE, $A407:$B407), 'source merged_div_data'!$A:$A, 'source merged_div_data'!F:F) &lt; 1073741824,
      ROUND(XLOOKUP(TEXTJOIN("/", TRUE, $A407:$B407), 'source merged_div_data'!$A:$A, 'source merged_div_data'!F:F)/1048576, 2) &amp; " MB",
    TRUE,
      ROUND(XLOOKUP(TEXTJOIN("/", TRUE, $A407:$B407), 'source merged_div_data'!$A:$A, 'source merged_div_data'!F:F)/1073741824, 2) &amp; " GB"
  ),
  "×"
)</f>
        <v>0 B</v>
      </c>
      <c r="G407" s="55" t="s">
        <v>1053</v>
      </c>
      <c r="H407" s="55"/>
      <c r="I407" s="55"/>
      <c r="J407" s="46" t="s">
        <v>1105</v>
      </c>
      <c r="K407" s="55"/>
      <c r="L407" s="55" t="s">
        <v>1053</v>
      </c>
      <c r="M407" s="55" t="s">
        <v>1053</v>
      </c>
      <c r="N407" s="52" t="s">
        <v>1102</v>
      </c>
      <c r="O407" s="46" t="s">
        <v>1105</v>
      </c>
      <c r="P407" s="37" t="str">
        <f>IFERROR(__xludf.DUMMYFUNCTION("XLOOKUP(JOIN(""/"",$A407:$B407),'source isilon_divまとめ'!$A:$A,'source isilon_divまとめ'!$D:$D,XLOOKUP(JOIN(""\"",$A407:$B407),'source NetApp-file-sv01-div'!A:A,TEXT('source NetApp-file-sv01-div'!C:C,""yyyy/mm/dd"")))"),"#N/A")</f>
        <v>#N/A</v>
      </c>
    </row>
    <row r="408">
      <c r="A408" s="8" t="s">
        <v>1068</v>
      </c>
      <c r="B408" s="8" t="s">
        <v>1229</v>
      </c>
      <c r="C408" s="7" t="s">
        <v>987</v>
      </c>
      <c r="D408" s="56">
        <f>IFERROR(__xludf.DUMMYFUNCTION("XLOOKUP(JOIN(""/"",$A408:$B408),'source merged_div_data'!$A:$A,'source merged_div_data'!B:B)"),50.0)</f>
        <v>50</v>
      </c>
      <c r="E408" s="56">
        <f>IFERROR(__xludf.DUMMYFUNCTION("XLOOKUP(JOIN(""/"",$A408:$B408),'source merged_div_data'!$A:$A,'source merged_div_data'!C:C)"),44.0)</f>
        <v>44</v>
      </c>
      <c r="F408" s="54" t="str">
        <f t="array" ref="F408">IFERROR(
  IFS(
    XLOOKUP(TEXTJOIN("/", TRUE, $A408:$B408), 'source merged_div_data'!$A:$A, 'source merged_div_data'!F:F) &lt; 1024,
      XLOOKUP(TEXTJOIN("/", TRUE, $A408:$B408), 'source merged_div_data'!$A:$A, 'source merged_div_data'!F:F) &amp; " B",
    XLOOKUP(TEXTJOIN("/", TRUE, $A408:$B408), 'source merged_div_data'!$A:$A, 'source merged_div_data'!F:F) &lt; 1048576,
      ROUND(XLOOKUP(TEXTJOIN("/", TRUE, $A408:$B408), 'source merged_div_data'!$A:$A, 'source merged_div_data'!F:F)/1024, 2) &amp; " KB",
    XLOOKUP(TEXTJOIN("/", TRUE, $A408:$B408), 'source merged_div_data'!$A:$A, 'source merged_div_data'!F:F) &lt; 1073741824,
      ROUND(XLOOKUP(TEXTJOIN("/", TRUE, $A408:$B408), 'source merged_div_data'!$A:$A, 'source merged_div_data'!F:F)/1048576, 2) &amp; " MB",
    TRUE,
      ROUND(XLOOKUP(TEXTJOIN("/", TRUE, $A408:$B408), 'source merged_div_data'!$A:$A, 'source merged_div_data'!F:F)/1073741824, 2) &amp; " GB"
  ),
  "×"
)</f>
        <v>9.01 MB</v>
      </c>
      <c r="G408" s="57" t="s">
        <v>2336</v>
      </c>
      <c r="H408" s="58" t="s">
        <v>2177</v>
      </c>
      <c r="I408" s="57"/>
      <c r="J408" s="31" t="s">
        <v>717</v>
      </c>
      <c r="K408" s="30" t="s">
        <v>43</v>
      </c>
      <c r="L408" s="30" t="s">
        <v>1053</v>
      </c>
      <c r="M408" s="30" t="s">
        <v>1467</v>
      </c>
      <c r="N408" s="8" t="s">
        <v>1102</v>
      </c>
      <c r="O408" s="7" t="s">
        <v>1188</v>
      </c>
      <c r="P408" s="57" t="str">
        <f>IFERROR(__xludf.DUMMYFUNCTION("XLOOKUP(JOIN(""/"",$A408:$B408),'source isilon_divまとめ'!$A:$A,'source isilon_divまとめ'!$D:$D,XLOOKUP(JOIN(""\"",$A408:$B408),'source NetApp-file-sv01-div'!A:A,TEXT('source NetApp-file-sv01-div'!C:C,""yyyy/mm/dd"")))"),"2018/05/24")</f>
        <v>2018/05/24</v>
      </c>
    </row>
    <row r="409">
      <c r="A409" s="8" t="s">
        <v>1071</v>
      </c>
      <c r="B409" s="8" t="s">
        <v>1286</v>
      </c>
      <c r="C409" s="7" t="s">
        <v>988</v>
      </c>
      <c r="D409" s="56">
        <f>IFERROR(__xludf.DUMMYFUNCTION("XLOOKUP(JOIN(""/"",$A409:$B409),'source merged_div_data'!$A:$A,'source merged_div_data'!B:B)"),4.0)</f>
        <v>4</v>
      </c>
      <c r="E409" s="56">
        <f>IFERROR(__xludf.DUMMYFUNCTION("XLOOKUP(JOIN(""/"",$A409:$B409),'source merged_div_data'!$A:$A,'source merged_div_data'!C:C)"),48.0)</f>
        <v>48</v>
      </c>
      <c r="F409" s="54" t="str">
        <f t="array" ref="F409">IFERROR(
  IFS(
    XLOOKUP(TEXTJOIN("/", TRUE, $A409:$B409), 'source merged_div_data'!$A:$A, 'source merged_div_data'!F:F) &lt; 1024,
      XLOOKUP(TEXTJOIN("/", TRUE, $A409:$B409), 'source merged_div_data'!$A:$A, 'source merged_div_data'!F:F) &amp; " B",
    XLOOKUP(TEXTJOIN("/", TRUE, $A409:$B409), 'source merged_div_data'!$A:$A, 'source merged_div_data'!F:F) &lt; 1048576,
      ROUND(XLOOKUP(TEXTJOIN("/", TRUE, $A409:$B409), 'source merged_div_data'!$A:$A, 'source merged_div_data'!F:F)/1024, 2) &amp; " KB",
    XLOOKUP(TEXTJOIN("/", TRUE, $A409:$B409), 'source merged_div_data'!$A:$A, 'source merged_div_data'!F:F) &lt; 1073741824,
      ROUND(XLOOKUP(TEXTJOIN("/", TRUE, $A409:$B409), 'source merged_div_data'!$A:$A, 'source merged_div_data'!F:F)/1048576, 2) &amp; " MB",
    TRUE,
      ROUND(XLOOKUP(TEXTJOIN("/", TRUE, $A409:$B409), 'source merged_div_data'!$A:$A, 'source merged_div_data'!F:F)/1073741824, 2) &amp; " GB"
  ),
  "×"
)</f>
        <v>89.1 MB</v>
      </c>
      <c r="G409" s="57" t="s">
        <v>2337</v>
      </c>
      <c r="H409" s="58" t="s">
        <v>2177</v>
      </c>
      <c r="I409" s="57"/>
      <c r="J409" s="7" t="s">
        <v>1215</v>
      </c>
      <c r="L409" s="37" t="s">
        <v>1053</v>
      </c>
      <c r="M409" s="37" t="s">
        <v>1053</v>
      </c>
      <c r="N409" s="8" t="s">
        <v>1181</v>
      </c>
      <c r="O409" s="7" t="s">
        <v>1215</v>
      </c>
      <c r="P409" s="57" t="str">
        <f>IFERROR(__xludf.DUMMYFUNCTION("XLOOKUP(JOIN(""/"",$A409:$B409),'source isilon_divまとめ'!$A:$A,'source isilon_divまとめ'!$D:$D,XLOOKUP(JOIN(""\"",$A409:$B409),'source NetApp-file-sv01-div'!A:A,TEXT('source NetApp-file-sv01-div'!C:C,""yyyy/mm/dd"")))"),"2015/02/09")</f>
        <v>2015/02/09</v>
      </c>
    </row>
    <row r="410">
      <c r="A410" s="8" t="s">
        <v>1071</v>
      </c>
      <c r="B410" s="8" t="s">
        <v>1289</v>
      </c>
      <c r="C410" s="7" t="s">
        <v>988</v>
      </c>
      <c r="D410" s="56">
        <f>IFERROR(__xludf.DUMMYFUNCTION("XLOOKUP(JOIN(""/"",$A410:$B410),'source merged_div_data'!$A:$A,'source merged_div_data'!B:B)"),13.0)</f>
        <v>13</v>
      </c>
      <c r="E410" s="56">
        <f>IFERROR(__xludf.DUMMYFUNCTION("XLOOKUP(JOIN(""/"",$A410:$B410),'source merged_div_data'!$A:$A,'source merged_div_data'!C:C)"),54.0)</f>
        <v>54</v>
      </c>
      <c r="F410" s="54" t="str">
        <f t="array" ref="F410">IFERROR(
  IFS(
    XLOOKUP(TEXTJOIN("/", TRUE, $A410:$B410), 'source merged_div_data'!$A:$A, 'source merged_div_data'!F:F) &lt; 1024,
      XLOOKUP(TEXTJOIN("/", TRUE, $A410:$B410), 'source merged_div_data'!$A:$A, 'source merged_div_data'!F:F) &amp; " B",
    XLOOKUP(TEXTJOIN("/", TRUE, $A410:$B410), 'source merged_div_data'!$A:$A, 'source merged_div_data'!F:F) &lt; 1048576,
      ROUND(XLOOKUP(TEXTJOIN("/", TRUE, $A410:$B410), 'source merged_div_data'!$A:$A, 'source merged_div_data'!F:F)/1024, 2) &amp; " KB",
    XLOOKUP(TEXTJOIN("/", TRUE, $A410:$B410), 'source merged_div_data'!$A:$A, 'source merged_div_data'!F:F) &lt; 1073741824,
      ROUND(XLOOKUP(TEXTJOIN("/", TRUE, $A410:$B410), 'source merged_div_data'!$A:$A, 'source merged_div_data'!F:F)/1048576, 2) &amp; " MB",
    TRUE,
      ROUND(XLOOKUP(TEXTJOIN("/", TRUE, $A410:$B410), 'source merged_div_data'!$A:$A, 'source merged_div_data'!F:F)/1073741824, 2) &amp; " GB"
  ),
  "×"
)</f>
        <v>39.12 MB</v>
      </c>
      <c r="G410" s="57" t="s">
        <v>2338</v>
      </c>
      <c r="H410" s="58" t="s">
        <v>2177</v>
      </c>
      <c r="I410" s="57"/>
      <c r="J410" s="7" t="s">
        <v>1246</v>
      </c>
      <c r="L410" s="37" t="s">
        <v>1053</v>
      </c>
      <c r="M410" s="37" t="s">
        <v>1053</v>
      </c>
      <c r="N410" s="8" t="s">
        <v>1181</v>
      </c>
      <c r="O410" s="7" t="s">
        <v>1246</v>
      </c>
      <c r="P410" s="57" t="str">
        <f>IFERROR(__xludf.DUMMYFUNCTION("XLOOKUP(JOIN(""/"",$A410:$B410),'source isilon_divまとめ'!$A:$A,'source isilon_divまとめ'!$D:$D,XLOOKUP(JOIN(""\"",$A410:$B410),'source NetApp-file-sv01-div'!A:A,TEXT('source NetApp-file-sv01-div'!C:C,""yyyy/mm/dd"")))"),"2018/01/09")</f>
        <v>2018/01/09</v>
      </c>
    </row>
    <row r="411">
      <c r="A411" s="52" t="s">
        <v>1071</v>
      </c>
      <c r="B411" s="52" t="s">
        <v>1290</v>
      </c>
      <c r="C411" s="46" t="s">
        <v>986</v>
      </c>
      <c r="D411" s="53">
        <f>IFERROR(__xludf.DUMMYFUNCTION("XLOOKUP(JOIN(""/"",$A411:$B411),'source merged_div_data'!$A:$A,'source merged_div_data'!B:B)"),4.0)</f>
        <v>4</v>
      </c>
      <c r="E411" s="53">
        <f>IFERROR(__xludf.DUMMYFUNCTION("XLOOKUP(JOIN(""/"",$A411:$B411),'source merged_div_data'!$A:$A,'source merged_div_data'!C:C)"),0.0)</f>
        <v>0</v>
      </c>
      <c r="F411" s="54" t="str">
        <f t="array" ref="F411">IFERROR(
  IFS(
    XLOOKUP(TEXTJOIN("/", TRUE, $A411:$B411), 'source merged_div_data'!$A:$A, 'source merged_div_data'!F:F) &lt; 1024,
      XLOOKUP(TEXTJOIN("/", TRUE, $A411:$B411), 'source merged_div_data'!$A:$A, 'source merged_div_data'!F:F) &amp; " B",
    XLOOKUP(TEXTJOIN("/", TRUE, $A411:$B411), 'source merged_div_data'!$A:$A, 'source merged_div_data'!F:F) &lt; 1048576,
      ROUND(XLOOKUP(TEXTJOIN("/", TRUE, $A411:$B411), 'source merged_div_data'!$A:$A, 'source merged_div_data'!F:F)/1024, 2) &amp; " KB",
    XLOOKUP(TEXTJOIN("/", TRUE, $A411:$B411), 'source merged_div_data'!$A:$A, 'source merged_div_data'!F:F) &lt; 1073741824,
      ROUND(XLOOKUP(TEXTJOIN("/", TRUE, $A411:$B411), 'source merged_div_data'!$A:$A, 'source merged_div_data'!F:F)/1048576, 2) &amp; " MB",
    TRUE,
      ROUND(XLOOKUP(TEXTJOIN("/", TRUE, $A411:$B411), 'source merged_div_data'!$A:$A, 'source merged_div_data'!F:F)/1073741824, 2) &amp; " GB"
  ),
  "×"
)</f>
        <v>116 B</v>
      </c>
      <c r="G411" s="55" t="s">
        <v>1053</v>
      </c>
      <c r="H411" s="55"/>
      <c r="I411" s="55"/>
      <c r="J411" s="46" t="s">
        <v>38</v>
      </c>
      <c r="K411" s="46" t="s">
        <v>51</v>
      </c>
      <c r="L411" s="46" t="s">
        <v>1053</v>
      </c>
      <c r="M411" s="46" t="s">
        <v>2152</v>
      </c>
      <c r="N411" s="52" t="s">
        <v>1181</v>
      </c>
      <c r="O411" s="46" t="s">
        <v>1291</v>
      </c>
      <c r="P411" s="37" t="str">
        <f>IFERROR(__xludf.DUMMYFUNCTION("XLOOKUP(JOIN(""/"",$A411:$B411),'source isilon_divまとめ'!$A:$A,'source isilon_divまとめ'!$D:$D,XLOOKUP(JOIN(""\"",$A411:$B411),'source NetApp-file-sv01-div'!A:A,TEXT('source NetApp-file-sv01-div'!C:C,""yyyy/mm/dd"")))"),"#N/A")</f>
        <v>#N/A</v>
      </c>
    </row>
    <row r="412">
      <c r="A412" s="52" t="s">
        <v>1071</v>
      </c>
      <c r="B412" s="52" t="s">
        <v>1292</v>
      </c>
      <c r="C412" s="46" t="s">
        <v>986</v>
      </c>
      <c r="D412" s="53">
        <f>IFERROR(__xludf.DUMMYFUNCTION("XLOOKUP(JOIN(""/"",$A412:$B412),'source merged_div_data'!$A:$A,'source merged_div_data'!B:B)"),2.0)</f>
        <v>2</v>
      </c>
      <c r="E412" s="53">
        <f>IFERROR(__xludf.DUMMYFUNCTION("XLOOKUP(JOIN(""/"",$A412:$B412),'source merged_div_data'!$A:$A,'source merged_div_data'!C:C)"),0.0)</f>
        <v>0</v>
      </c>
      <c r="F412" s="54" t="str">
        <f t="array" ref="F412">IFERROR(
  IFS(
    XLOOKUP(TEXTJOIN("/", TRUE, $A412:$B412), 'source merged_div_data'!$A:$A, 'source merged_div_data'!F:F) &lt; 1024,
      XLOOKUP(TEXTJOIN("/", TRUE, $A412:$B412), 'source merged_div_data'!$A:$A, 'source merged_div_data'!F:F) &amp; " B",
    XLOOKUP(TEXTJOIN("/", TRUE, $A412:$B412), 'source merged_div_data'!$A:$A, 'source merged_div_data'!F:F) &lt; 1048576,
      ROUND(XLOOKUP(TEXTJOIN("/", TRUE, $A412:$B412), 'source merged_div_data'!$A:$A, 'source merged_div_data'!F:F)/1024, 2) &amp; " KB",
    XLOOKUP(TEXTJOIN("/", TRUE, $A412:$B412), 'source merged_div_data'!$A:$A, 'source merged_div_data'!F:F) &lt; 1073741824,
      ROUND(XLOOKUP(TEXTJOIN("/", TRUE, $A412:$B412), 'source merged_div_data'!$A:$A, 'source merged_div_data'!F:F)/1048576, 2) &amp; " MB",
    TRUE,
      ROUND(XLOOKUP(TEXTJOIN("/", TRUE, $A412:$B412), 'source merged_div_data'!$A:$A, 'source merged_div_data'!F:F)/1073741824, 2) &amp; " GB"
  ),
  "×"
)</f>
        <v>36 B</v>
      </c>
      <c r="G412" s="55" t="s">
        <v>1053</v>
      </c>
      <c r="H412" s="55"/>
      <c r="I412" s="55"/>
      <c r="J412" s="46" t="s">
        <v>391</v>
      </c>
      <c r="K412" s="55"/>
      <c r="L412" s="46" t="s">
        <v>2116</v>
      </c>
      <c r="M412" s="55" t="s">
        <v>1053</v>
      </c>
      <c r="N412" s="52" t="s">
        <v>1181</v>
      </c>
      <c r="O412" s="46" t="s">
        <v>391</v>
      </c>
      <c r="P412" s="37" t="str">
        <f>IFERROR(__xludf.DUMMYFUNCTION("XLOOKUP(JOIN(""/"",$A412:$B412),'source isilon_divまとめ'!$A:$A,'source isilon_divまとめ'!$D:$D,XLOOKUP(JOIN(""\"",$A412:$B412),'source NetApp-file-sv01-div'!A:A,TEXT('source NetApp-file-sv01-div'!C:C,""yyyy/mm/dd"")))"),"#N/A")</f>
        <v>#N/A</v>
      </c>
    </row>
    <row r="413">
      <c r="A413" s="52" t="s">
        <v>1071</v>
      </c>
      <c r="B413" s="52" t="s">
        <v>1104</v>
      </c>
      <c r="C413" s="46" t="s">
        <v>988</v>
      </c>
      <c r="D413" s="53">
        <f>IFERROR(__xludf.DUMMYFUNCTION("XLOOKUP(JOIN(""/"",$A413:$B413),'source merged_div_data'!$A:$A,'source merged_div_data'!B:B)"),1.0)</f>
        <v>1</v>
      </c>
      <c r="E413" s="53">
        <f>IFERROR(__xludf.DUMMYFUNCTION("XLOOKUP(JOIN(""/"",$A413:$B413),'source merged_div_data'!$A:$A,'source merged_div_data'!C:C)"),0.0)</f>
        <v>0</v>
      </c>
      <c r="F413" s="54" t="str">
        <f t="array" ref="F413">IFERROR(
  IFS(
    XLOOKUP(TEXTJOIN("/", TRUE, $A413:$B413), 'source merged_div_data'!$A:$A, 'source merged_div_data'!F:F) &lt; 1024,
      XLOOKUP(TEXTJOIN("/", TRUE, $A413:$B413), 'source merged_div_data'!$A:$A, 'source merged_div_data'!F:F) &amp; " B",
    XLOOKUP(TEXTJOIN("/", TRUE, $A413:$B413), 'source merged_div_data'!$A:$A, 'source merged_div_data'!F:F) &lt; 1048576,
      ROUND(XLOOKUP(TEXTJOIN("/", TRUE, $A413:$B413), 'source merged_div_data'!$A:$A, 'source merged_div_data'!F:F)/1024, 2) &amp; " KB",
    XLOOKUP(TEXTJOIN("/", TRUE, $A413:$B413), 'source merged_div_data'!$A:$A, 'source merged_div_data'!F:F) &lt; 1073741824,
      ROUND(XLOOKUP(TEXTJOIN("/", TRUE, $A413:$B413), 'source merged_div_data'!$A:$A, 'source merged_div_data'!F:F)/1048576, 2) &amp; " MB",
    TRUE,
      ROUND(XLOOKUP(TEXTJOIN("/", TRUE, $A413:$B413), 'source merged_div_data'!$A:$A, 'source merged_div_data'!F:F)/1073741824, 2) &amp; " GB"
  ),
  "×"
)</f>
        <v>0 B</v>
      </c>
      <c r="G413" s="55" t="s">
        <v>1053</v>
      </c>
      <c r="H413" s="55"/>
      <c r="I413" s="55"/>
      <c r="J413" s="46" t="s">
        <v>1105</v>
      </c>
      <c r="K413" s="55"/>
      <c r="L413" s="55" t="s">
        <v>1053</v>
      </c>
      <c r="M413" s="55" t="s">
        <v>1053</v>
      </c>
      <c r="N413" s="52" t="s">
        <v>1181</v>
      </c>
      <c r="O413" s="46" t="s">
        <v>1105</v>
      </c>
      <c r="P413" s="37" t="str">
        <f>IFERROR(__xludf.DUMMYFUNCTION("XLOOKUP(JOIN(""/"",$A413:$B413),'source isilon_divまとめ'!$A:$A,'source isilon_divまとめ'!$D:$D,XLOOKUP(JOIN(""\"",$A413:$B413),'source NetApp-file-sv01-div'!A:A,TEXT('source NetApp-file-sv01-div'!C:C,""yyyy/mm/dd"")))"),"#N/A")</f>
        <v>#N/A</v>
      </c>
    </row>
    <row r="414">
      <c r="A414" s="52" t="s">
        <v>1072</v>
      </c>
      <c r="B414" s="52" t="s">
        <v>1325</v>
      </c>
      <c r="C414" s="46" t="s">
        <v>988</v>
      </c>
      <c r="D414" s="53">
        <f>IFERROR(__xludf.DUMMYFUNCTION("XLOOKUP(JOIN(""/"",$A414:$B414),'source merged_div_data'!$A:$A,'source merged_div_data'!B:B)"),1.0)</f>
        <v>1</v>
      </c>
      <c r="E414" s="53">
        <f>IFERROR(__xludf.DUMMYFUNCTION("XLOOKUP(JOIN(""/"",$A414:$B414),'source merged_div_data'!$A:$A,'source merged_div_data'!C:C)"),0.0)</f>
        <v>0</v>
      </c>
      <c r="F414" s="54" t="str">
        <f t="array" ref="F414">IFERROR(
  IFS(
    XLOOKUP(TEXTJOIN("/", TRUE, $A414:$B414), 'source merged_div_data'!$A:$A, 'source merged_div_data'!F:F) &lt; 1024,
      XLOOKUP(TEXTJOIN("/", TRUE, $A414:$B414), 'source merged_div_data'!$A:$A, 'source merged_div_data'!F:F) &amp; " B",
    XLOOKUP(TEXTJOIN("/", TRUE, $A414:$B414), 'source merged_div_data'!$A:$A, 'source merged_div_data'!F:F) &lt; 1048576,
      ROUND(XLOOKUP(TEXTJOIN("/", TRUE, $A414:$B414), 'source merged_div_data'!$A:$A, 'source merged_div_data'!F:F)/1024, 2) &amp; " KB",
    XLOOKUP(TEXTJOIN("/", TRUE, $A414:$B414), 'source merged_div_data'!$A:$A, 'source merged_div_data'!F:F) &lt; 1073741824,
      ROUND(XLOOKUP(TEXTJOIN("/", TRUE, $A414:$B414), 'source merged_div_data'!$A:$A, 'source merged_div_data'!F:F)/1048576, 2) &amp; " MB",
    TRUE,
      ROUND(XLOOKUP(TEXTJOIN("/", TRUE, $A414:$B414), 'source merged_div_data'!$A:$A, 'source merged_div_data'!F:F)/1073741824, 2) &amp; " GB"
  ),
  "×"
)</f>
        <v>0 B</v>
      </c>
      <c r="G414" s="55" t="s">
        <v>1053</v>
      </c>
      <c r="H414" s="55"/>
      <c r="I414" s="55"/>
      <c r="J414" s="46" t="s">
        <v>1105</v>
      </c>
      <c r="K414" s="55"/>
      <c r="L414" s="55" t="s">
        <v>1053</v>
      </c>
      <c r="M414" s="55" t="s">
        <v>1053</v>
      </c>
      <c r="N414" s="52" t="s">
        <v>1052</v>
      </c>
      <c r="O414" s="46" t="s">
        <v>1105</v>
      </c>
      <c r="P414" s="37" t="str">
        <f>IFERROR(__xludf.DUMMYFUNCTION("XLOOKUP(JOIN(""/"",$A414:$B414),'source isilon_divまとめ'!$A:$A,'source isilon_divまとめ'!$D:$D,XLOOKUP(JOIN(""\"",$A414:$B414),'source NetApp-file-sv01-div'!A:A,TEXT('source NetApp-file-sv01-div'!C:C,""yyyy/mm/dd"")))"),"#N/A")</f>
        <v>#N/A</v>
      </c>
    </row>
    <row r="415">
      <c r="A415" s="8" t="s">
        <v>1075</v>
      </c>
      <c r="B415" s="8" t="s">
        <v>1131</v>
      </c>
      <c r="C415" s="7" t="s">
        <v>987</v>
      </c>
      <c r="D415" s="56">
        <f>IFERROR(__xludf.DUMMYFUNCTION("XLOOKUP(JOIN(""/"",$A415:$B415),'source merged_div_data'!$A:$A,'source merged_div_data'!B:B)"),19360.0)</f>
        <v>19360</v>
      </c>
      <c r="E415" s="56">
        <f>IFERROR(__xludf.DUMMYFUNCTION("XLOOKUP(JOIN(""/"",$A415:$B415),'source merged_div_data'!$A:$A,'source merged_div_data'!C:C)"),201896.0)</f>
        <v>201896</v>
      </c>
      <c r="F415" s="54" t="str">
        <f t="array" ref="F415">IFERROR(
  IFS(
    XLOOKUP(TEXTJOIN("/", TRUE, $A415:$B415), 'source merged_div_data'!$A:$A, 'source merged_div_data'!F:F) &lt; 1024,
      XLOOKUP(TEXTJOIN("/", TRUE, $A415:$B415), 'source merged_div_data'!$A:$A, 'source merged_div_data'!F:F) &amp; " B",
    XLOOKUP(TEXTJOIN("/", TRUE, $A415:$B415), 'source merged_div_data'!$A:$A, 'source merged_div_data'!F:F) &lt; 1048576,
      ROUND(XLOOKUP(TEXTJOIN("/", TRUE, $A415:$B415), 'source merged_div_data'!$A:$A, 'source merged_div_data'!F:F)/1024, 2) &amp; " KB",
    XLOOKUP(TEXTJOIN("/", TRUE, $A415:$B415), 'source merged_div_data'!$A:$A, 'source merged_div_data'!F:F) &lt; 1073741824,
      ROUND(XLOOKUP(TEXTJOIN("/", TRUE, $A415:$B415), 'source merged_div_data'!$A:$A, 'source merged_div_data'!F:F)/1048576, 2) &amp; " MB",
    TRUE,
      ROUND(XLOOKUP(TEXTJOIN("/", TRUE, $A415:$B415), 'source merged_div_data'!$A:$A, 'source merged_div_data'!F:F)/1073741824, 2) &amp; " GB"
  ),
  "×"
)</f>
        <v>840.79 GB</v>
      </c>
      <c r="G415" s="57" t="s">
        <v>2339</v>
      </c>
      <c r="H415" s="58" t="s">
        <v>2177</v>
      </c>
      <c r="I415" s="57"/>
      <c r="J415" s="31" t="s">
        <v>717</v>
      </c>
      <c r="K415" s="30" t="s">
        <v>2175</v>
      </c>
      <c r="L415" s="30" t="s">
        <v>2100</v>
      </c>
      <c r="M415" s="30" t="s">
        <v>2090</v>
      </c>
      <c r="N415" s="8" t="s">
        <v>1102</v>
      </c>
      <c r="O415" s="7" t="s">
        <v>1097</v>
      </c>
      <c r="P415" s="57" t="str">
        <f>IFERROR(__xludf.DUMMYFUNCTION("XLOOKUP(JOIN(""/"",$A415:$B415),'source isilon_divまとめ'!$A:$A,'source isilon_divまとめ'!$D:$D,XLOOKUP(JOIN(""\"",$A415:$B415),'source NetApp-file-sv01-div'!A:A,TEXT('source NetApp-file-sv01-div'!C:C,""yyyy/mm/dd"")))"),"2021/07/07")</f>
        <v>2021/07/07</v>
      </c>
    </row>
    <row r="416">
      <c r="A416" s="8" t="s">
        <v>1075</v>
      </c>
      <c r="B416" s="8" t="s">
        <v>1326</v>
      </c>
      <c r="C416" s="7" t="s">
        <v>987</v>
      </c>
      <c r="D416" s="56">
        <f>IFERROR(__xludf.DUMMYFUNCTION("XLOOKUP(JOIN(""/"",$A416:$B416),'source merged_div_data'!$A:$A,'source merged_div_data'!B:B)"),515.0)</f>
        <v>515</v>
      </c>
      <c r="E416" s="56">
        <f>IFERROR(__xludf.DUMMYFUNCTION("XLOOKUP(JOIN(""/"",$A416:$B416),'source merged_div_data'!$A:$A,'source merged_div_data'!C:C)"),23340.0)</f>
        <v>23340</v>
      </c>
      <c r="F416" s="54" t="str">
        <f t="array" ref="F416">IFERROR(
  IFS(
    XLOOKUP(TEXTJOIN("/", TRUE, $A416:$B416), 'source merged_div_data'!$A:$A, 'source merged_div_data'!F:F) &lt; 1024,
      XLOOKUP(TEXTJOIN("/", TRUE, $A416:$B416), 'source merged_div_data'!$A:$A, 'source merged_div_data'!F:F) &amp; " B",
    XLOOKUP(TEXTJOIN("/", TRUE, $A416:$B416), 'source merged_div_data'!$A:$A, 'source merged_div_data'!F:F) &lt; 1048576,
      ROUND(XLOOKUP(TEXTJOIN("/", TRUE, $A416:$B416), 'source merged_div_data'!$A:$A, 'source merged_div_data'!F:F)/1024, 2) &amp; " KB",
    XLOOKUP(TEXTJOIN("/", TRUE, $A416:$B416), 'source merged_div_data'!$A:$A, 'source merged_div_data'!F:F) &lt; 1073741824,
      ROUND(XLOOKUP(TEXTJOIN("/", TRUE, $A416:$B416), 'source merged_div_data'!$A:$A, 'source merged_div_data'!F:F)/1048576, 2) &amp; " MB",
    TRUE,
      ROUND(XLOOKUP(TEXTJOIN("/", TRUE, $A416:$B416), 'source merged_div_data'!$A:$A, 'source merged_div_data'!F:F)/1073741824, 2) &amp; " GB"
  ),
  "×"
)</f>
        <v>2.12 GB</v>
      </c>
      <c r="G416" s="57" t="s">
        <v>2340</v>
      </c>
      <c r="H416" s="58" t="s">
        <v>2177</v>
      </c>
      <c r="I416" s="57"/>
      <c r="J416" s="7" t="s">
        <v>693</v>
      </c>
      <c r="L416" s="7" t="s">
        <v>2094</v>
      </c>
      <c r="M416" s="37" t="s">
        <v>1053</v>
      </c>
      <c r="N416" s="8" t="s">
        <v>1102</v>
      </c>
      <c r="O416" s="7" t="s">
        <v>693</v>
      </c>
      <c r="P416" s="57" t="str">
        <f>IFERROR(__xludf.DUMMYFUNCTION("XLOOKUP(JOIN(""/"",$A416:$B416),'source isilon_divまとめ'!$A:$A,'source isilon_divまとめ'!$D:$D,XLOOKUP(JOIN(""\"",$A416:$B416),'source NetApp-file-sv01-div'!A:A,TEXT('source NetApp-file-sv01-div'!C:C,""yyyy/mm/dd"")))"),"2014/07/24")</f>
        <v>2014/07/24</v>
      </c>
    </row>
    <row r="417">
      <c r="A417" s="8" t="s">
        <v>1075</v>
      </c>
      <c r="B417" s="8" t="s">
        <v>1327</v>
      </c>
      <c r="C417" s="7" t="s">
        <v>987</v>
      </c>
      <c r="D417" s="56">
        <f>IFERROR(__xludf.DUMMYFUNCTION("XLOOKUP(JOIN(""/"",$A417:$B417),'source merged_div_data'!$A:$A,'source merged_div_data'!B:B)"),87.0)</f>
        <v>87</v>
      </c>
      <c r="E417" s="56">
        <f>IFERROR(__xludf.DUMMYFUNCTION("XLOOKUP(JOIN(""/"",$A417:$B417),'source merged_div_data'!$A:$A,'source merged_div_data'!C:C)"),416.0)</f>
        <v>416</v>
      </c>
      <c r="F417" s="54" t="str">
        <f t="array" ref="F417">IFERROR(
  IFS(
    XLOOKUP(TEXTJOIN("/", TRUE, $A417:$B417), 'source merged_div_data'!$A:$A, 'source merged_div_data'!F:F) &lt; 1024,
      XLOOKUP(TEXTJOIN("/", TRUE, $A417:$B417), 'source merged_div_data'!$A:$A, 'source merged_div_data'!F:F) &amp; " B",
    XLOOKUP(TEXTJOIN("/", TRUE, $A417:$B417), 'source merged_div_data'!$A:$A, 'source merged_div_data'!F:F) &lt; 1048576,
      ROUND(XLOOKUP(TEXTJOIN("/", TRUE, $A417:$B417), 'source merged_div_data'!$A:$A, 'source merged_div_data'!F:F)/1024, 2) &amp; " KB",
    XLOOKUP(TEXTJOIN("/", TRUE, $A417:$B417), 'source merged_div_data'!$A:$A, 'source merged_div_data'!F:F) &lt; 1073741824,
      ROUND(XLOOKUP(TEXTJOIN("/", TRUE, $A417:$B417), 'source merged_div_data'!$A:$A, 'source merged_div_data'!F:F)/1048576, 2) &amp; " MB",
    TRUE,
      ROUND(XLOOKUP(TEXTJOIN("/", TRUE, $A417:$B417), 'source merged_div_data'!$A:$A, 'source merged_div_data'!F:F)/1073741824, 2) &amp; " GB"
  ),
  "×"
)</f>
        <v>445.56 MB</v>
      </c>
      <c r="G417" s="57" t="s">
        <v>2287</v>
      </c>
      <c r="H417" s="58" t="s">
        <v>2177</v>
      </c>
      <c r="I417" s="57"/>
      <c r="J417" s="7" t="s">
        <v>391</v>
      </c>
      <c r="K417" s="7" t="s">
        <v>395</v>
      </c>
      <c r="L417" s="7" t="s">
        <v>1053</v>
      </c>
      <c r="M417" s="7" t="s">
        <v>2092</v>
      </c>
      <c r="N417" s="8" t="s">
        <v>1102</v>
      </c>
      <c r="O417" s="7" t="s">
        <v>1188</v>
      </c>
      <c r="P417" s="57" t="str">
        <f>IFERROR(__xludf.DUMMYFUNCTION("XLOOKUP(JOIN(""/"",$A417:$B417),'source isilon_divまとめ'!$A:$A,'source isilon_divまとめ'!$D:$D,XLOOKUP(JOIN(""\"",$A417:$B417),'source NetApp-file-sv01-div'!A:A,TEXT('source NetApp-file-sv01-div'!C:C,""yyyy/mm/dd"")))"),"2015/04/30")</f>
        <v>2015/04/30</v>
      </c>
    </row>
    <row r="418">
      <c r="A418" s="8" t="s">
        <v>1075</v>
      </c>
      <c r="B418" s="8" t="s">
        <v>1109</v>
      </c>
      <c r="C418" s="7" t="s">
        <v>987</v>
      </c>
      <c r="D418" s="56">
        <f>IFERROR(__xludf.DUMMYFUNCTION("XLOOKUP(JOIN(""/"",$A418:$B418),'source merged_div_data'!$A:$A,'source merged_div_data'!B:B)"),475.0)</f>
        <v>475</v>
      </c>
      <c r="E418" s="56">
        <f>IFERROR(__xludf.DUMMYFUNCTION("XLOOKUP(JOIN(""/"",$A418:$B418),'source merged_div_data'!$A:$A,'source merged_div_data'!C:C)"),2781.0)</f>
        <v>2781</v>
      </c>
      <c r="F418" s="54" t="str">
        <f t="array" ref="F418">IFERROR(
  IFS(
    XLOOKUP(TEXTJOIN("/", TRUE, $A418:$B418), 'source merged_div_data'!$A:$A, 'source merged_div_data'!F:F) &lt; 1024,
      XLOOKUP(TEXTJOIN("/", TRUE, $A418:$B418), 'source merged_div_data'!$A:$A, 'source merged_div_data'!F:F) &amp; " B",
    XLOOKUP(TEXTJOIN("/", TRUE, $A418:$B418), 'source merged_div_data'!$A:$A, 'source merged_div_data'!F:F) &lt; 1048576,
      ROUND(XLOOKUP(TEXTJOIN("/", TRUE, $A418:$B418), 'source merged_div_data'!$A:$A, 'source merged_div_data'!F:F)/1024, 2) &amp; " KB",
    XLOOKUP(TEXTJOIN("/", TRUE, $A418:$B418), 'source merged_div_data'!$A:$A, 'source merged_div_data'!F:F) &lt; 1073741824,
      ROUND(XLOOKUP(TEXTJOIN("/", TRUE, $A418:$B418), 'source merged_div_data'!$A:$A, 'source merged_div_data'!F:F)/1048576, 2) &amp; " MB",
    TRUE,
      ROUND(XLOOKUP(TEXTJOIN("/", TRUE, $A418:$B418), 'source merged_div_data'!$A:$A, 'source merged_div_data'!F:F)/1073741824, 2) &amp; " GB"
  ),
  "×"
)</f>
        <v>1.91 GB</v>
      </c>
      <c r="G418" s="57" t="s">
        <v>2341</v>
      </c>
      <c r="H418" s="58" t="s">
        <v>2177</v>
      </c>
      <c r="I418" s="57"/>
      <c r="J418" s="7" t="s">
        <v>391</v>
      </c>
      <c r="K418" s="7" t="s">
        <v>395</v>
      </c>
      <c r="L418" s="7" t="s">
        <v>1053</v>
      </c>
      <c r="M418" s="7" t="s">
        <v>2092</v>
      </c>
      <c r="N418" s="8" t="s">
        <v>1102</v>
      </c>
      <c r="O418" s="7" t="s">
        <v>1110</v>
      </c>
      <c r="P418" s="57" t="str">
        <f>IFERROR(__xludf.DUMMYFUNCTION("XLOOKUP(JOIN(""/"",$A418:$B418),'source isilon_divまとめ'!$A:$A,'source isilon_divまとめ'!$D:$D,XLOOKUP(JOIN(""\"",$A418:$B418),'source NetApp-file-sv01-div'!A:A,TEXT('source NetApp-file-sv01-div'!C:C,""yyyy/mm/dd"")))"),"2016/06/17")</f>
        <v>2016/06/17</v>
      </c>
    </row>
    <row r="419">
      <c r="A419" s="8" t="s">
        <v>1075</v>
      </c>
      <c r="B419" s="8" t="s">
        <v>1188</v>
      </c>
      <c r="C419" s="7" t="s">
        <v>987</v>
      </c>
      <c r="D419" s="56">
        <f>IFERROR(__xludf.DUMMYFUNCTION("XLOOKUP(JOIN(""/"",$A419:$B419),'source merged_div_data'!$A:$A,'source merged_div_data'!B:B)"),11.0)</f>
        <v>11</v>
      </c>
      <c r="E419" s="56">
        <f>IFERROR(__xludf.DUMMYFUNCTION("XLOOKUP(JOIN(""/"",$A419:$B419),'source merged_div_data'!$A:$A,'source merged_div_data'!C:C)"),2.0)</f>
        <v>2</v>
      </c>
      <c r="F419" s="54" t="str">
        <f t="array" ref="F419">IFERROR(
  IFS(
    XLOOKUP(TEXTJOIN("/", TRUE, $A419:$B419), 'source merged_div_data'!$A:$A, 'source merged_div_data'!F:F) &lt; 1024,
      XLOOKUP(TEXTJOIN("/", TRUE, $A419:$B419), 'source merged_div_data'!$A:$A, 'source merged_div_data'!F:F) &amp; " B",
    XLOOKUP(TEXTJOIN("/", TRUE, $A419:$B419), 'source merged_div_data'!$A:$A, 'source merged_div_data'!F:F) &lt; 1048576,
      ROUND(XLOOKUP(TEXTJOIN("/", TRUE, $A419:$B419), 'source merged_div_data'!$A:$A, 'source merged_div_data'!F:F)/1024, 2) &amp; " KB",
    XLOOKUP(TEXTJOIN("/", TRUE, $A419:$B419), 'source merged_div_data'!$A:$A, 'source merged_div_data'!F:F) &lt; 1073741824,
      ROUND(XLOOKUP(TEXTJOIN("/", TRUE, $A419:$B419), 'source merged_div_data'!$A:$A, 'source merged_div_data'!F:F)/1048576, 2) &amp; " MB",
    TRUE,
      ROUND(XLOOKUP(TEXTJOIN("/", TRUE, $A419:$B419), 'source merged_div_data'!$A:$A, 'source merged_div_data'!F:F)/1073741824, 2) &amp; " GB"
  ),
  "×"
)</f>
        <v>12.39 KB</v>
      </c>
      <c r="G419" s="37" t="s">
        <v>1053</v>
      </c>
      <c r="H419" s="7" t="s">
        <v>2177</v>
      </c>
      <c r="I419" s="37"/>
      <c r="J419" s="37" t="s">
        <v>38</v>
      </c>
      <c r="K419" s="37" t="s">
        <v>43</v>
      </c>
      <c r="L419" s="37" t="s">
        <v>1053</v>
      </c>
      <c r="M419" s="37" t="s">
        <v>1467</v>
      </c>
      <c r="N419" s="8" t="s">
        <v>1102</v>
      </c>
      <c r="O419" s="7" t="s">
        <v>1188</v>
      </c>
      <c r="P419" s="37" t="str">
        <f>IFERROR(__xludf.DUMMYFUNCTION("XLOOKUP(JOIN(""/"",$A419:$B419),'source isilon_divまとめ'!$A:$A,'source isilon_divまとめ'!$D:$D,XLOOKUP(JOIN(""\"",$A419:$B419),'source NetApp-file-sv01-div'!A:A,TEXT('source NetApp-file-sv01-div'!C:C,""yyyy/mm/dd"")))"),"#N/A")</f>
        <v>#N/A</v>
      </c>
    </row>
    <row r="420">
      <c r="A420" s="8" t="s">
        <v>1075</v>
      </c>
      <c r="B420" s="8" t="s">
        <v>1328</v>
      </c>
      <c r="C420" s="7" t="s">
        <v>987</v>
      </c>
      <c r="D420" s="56">
        <f>IFERROR(__xludf.DUMMYFUNCTION("XLOOKUP(JOIN(""/"",$A420:$B420),'source merged_div_data'!$A:$A,'source merged_div_data'!B:B)"),24.0)</f>
        <v>24</v>
      </c>
      <c r="E420" s="56">
        <f>IFERROR(__xludf.DUMMYFUNCTION("XLOOKUP(JOIN(""/"",$A420:$B420),'source merged_div_data'!$A:$A,'source merged_div_data'!C:C)"),129.0)</f>
        <v>129</v>
      </c>
      <c r="F420" s="54" t="str">
        <f t="array" ref="F420">IFERROR(
  IFS(
    XLOOKUP(TEXTJOIN("/", TRUE, $A420:$B420), 'source merged_div_data'!$A:$A, 'source merged_div_data'!F:F) &lt; 1024,
      XLOOKUP(TEXTJOIN("/", TRUE, $A420:$B420), 'source merged_div_data'!$A:$A, 'source merged_div_data'!F:F) &amp; " B",
    XLOOKUP(TEXTJOIN("/", TRUE, $A420:$B420), 'source merged_div_data'!$A:$A, 'source merged_div_data'!F:F) &lt; 1048576,
      ROUND(XLOOKUP(TEXTJOIN("/", TRUE, $A420:$B420), 'source merged_div_data'!$A:$A, 'source merged_div_data'!F:F)/1024, 2) &amp; " KB",
    XLOOKUP(TEXTJOIN("/", TRUE, $A420:$B420), 'source merged_div_data'!$A:$A, 'source merged_div_data'!F:F) &lt; 1073741824,
      ROUND(XLOOKUP(TEXTJOIN("/", TRUE, $A420:$B420), 'source merged_div_data'!$A:$A, 'source merged_div_data'!F:F)/1048576, 2) &amp; " MB",
    TRUE,
      ROUND(XLOOKUP(TEXTJOIN("/", TRUE, $A420:$B420), 'source merged_div_data'!$A:$A, 'source merged_div_data'!F:F)/1073741824, 2) &amp; " GB"
  ),
  "×"
)</f>
        <v>240.81 MB</v>
      </c>
      <c r="G420" s="57" t="s">
        <v>2342</v>
      </c>
      <c r="H420" s="58" t="s">
        <v>2177</v>
      </c>
      <c r="I420" s="57"/>
      <c r="J420" s="31" t="s">
        <v>717</v>
      </c>
      <c r="K420" s="30" t="s">
        <v>2175</v>
      </c>
      <c r="L420" s="30" t="s">
        <v>2100</v>
      </c>
      <c r="M420" s="30" t="s">
        <v>2090</v>
      </c>
      <c r="N420" s="8" t="s">
        <v>1102</v>
      </c>
      <c r="O420" s="7" t="s">
        <v>1103</v>
      </c>
      <c r="P420" s="57" t="str">
        <f>IFERROR(__xludf.DUMMYFUNCTION("XLOOKUP(JOIN(""/"",$A420:$B420),'source isilon_divまとめ'!$A:$A,'source isilon_divまとめ'!$D:$D,XLOOKUP(JOIN(""\"",$A420:$B420),'source NetApp-file-sv01-div'!A:A,TEXT('source NetApp-file-sv01-div'!C:C,""yyyy/mm/dd"")))"),"2015/09/02")</f>
        <v>2015/09/02</v>
      </c>
    </row>
    <row r="421">
      <c r="A421" s="8" t="s">
        <v>1075</v>
      </c>
      <c r="B421" s="8" t="s">
        <v>1111</v>
      </c>
      <c r="C421" s="7" t="s">
        <v>988</v>
      </c>
      <c r="D421" s="56">
        <f>IFERROR(__xludf.DUMMYFUNCTION("XLOOKUP(JOIN(""/"",$A421:$B421),'source merged_div_data'!$A:$A,'source merged_div_data'!B:B)"),339.0)</f>
        <v>339</v>
      </c>
      <c r="E421" s="56">
        <f>IFERROR(__xludf.DUMMYFUNCTION("XLOOKUP(JOIN(""/"",$A421:$B421),'source merged_div_data'!$A:$A,'source merged_div_data'!C:C)"),1079.0)</f>
        <v>1079</v>
      </c>
      <c r="F421" s="54" t="str">
        <f t="array" ref="F421">IFERROR(
  IFS(
    XLOOKUP(TEXTJOIN("/", TRUE, $A421:$B421), 'source merged_div_data'!$A:$A, 'source merged_div_data'!F:F) &lt; 1024,
      XLOOKUP(TEXTJOIN("/", TRUE, $A421:$B421), 'source merged_div_data'!$A:$A, 'source merged_div_data'!F:F) &amp; " B",
    XLOOKUP(TEXTJOIN("/", TRUE, $A421:$B421), 'source merged_div_data'!$A:$A, 'source merged_div_data'!F:F) &lt; 1048576,
      ROUND(XLOOKUP(TEXTJOIN("/", TRUE, $A421:$B421), 'source merged_div_data'!$A:$A, 'source merged_div_data'!F:F)/1024, 2) &amp; " KB",
    XLOOKUP(TEXTJOIN("/", TRUE, $A421:$B421), 'source merged_div_data'!$A:$A, 'source merged_div_data'!F:F) &lt; 1073741824,
      ROUND(XLOOKUP(TEXTJOIN("/", TRUE, $A421:$B421), 'source merged_div_data'!$A:$A, 'source merged_div_data'!F:F)/1048576, 2) &amp; " MB",
    TRUE,
      ROUND(XLOOKUP(TEXTJOIN("/", TRUE, $A421:$B421), 'source merged_div_data'!$A:$A, 'source merged_div_data'!F:F)/1073741824, 2) &amp; " GB"
  ),
  "×"
)</f>
        <v>212.35 MB</v>
      </c>
      <c r="G421" s="57" t="s">
        <v>2343</v>
      </c>
      <c r="H421" s="58" t="s">
        <v>2177</v>
      </c>
      <c r="I421" s="57"/>
      <c r="J421" s="7" t="s">
        <v>1105</v>
      </c>
      <c r="L421" s="37" t="s">
        <v>1053</v>
      </c>
      <c r="M421" s="37" t="s">
        <v>1053</v>
      </c>
      <c r="N421" s="8" t="s">
        <v>1102</v>
      </c>
      <c r="O421" s="7" t="s">
        <v>1105</v>
      </c>
      <c r="P421" s="57" t="str">
        <f>IFERROR(__xludf.DUMMYFUNCTION("XLOOKUP(JOIN(""/"",$A421:$B421),'source isilon_divまとめ'!$A:$A,'source isilon_divまとめ'!$D:$D,XLOOKUP(JOIN(""\"",$A421:$B421),'source NetApp-file-sv01-div'!A:A,TEXT('source NetApp-file-sv01-div'!C:C,""yyyy/mm/dd"")))"),"2015/06/15")</f>
        <v>2015/06/15</v>
      </c>
    </row>
    <row r="422">
      <c r="A422" s="8" t="s">
        <v>1075</v>
      </c>
      <c r="B422" s="8" t="s">
        <v>1112</v>
      </c>
      <c r="C422" s="7" t="s">
        <v>987</v>
      </c>
      <c r="D422" s="56">
        <f>IFERROR(__xludf.DUMMYFUNCTION("XLOOKUP(JOIN(""/"",$A422:$B422),'source merged_div_data'!$A:$A,'source merged_div_data'!B:B)"),27769.0)</f>
        <v>27769</v>
      </c>
      <c r="E422" s="56">
        <f>IFERROR(__xludf.DUMMYFUNCTION("XLOOKUP(JOIN(""/"",$A422:$B422),'source merged_div_data'!$A:$A,'source merged_div_data'!C:C)"),112263.0)</f>
        <v>112263</v>
      </c>
      <c r="F422" s="54" t="str">
        <f t="array" ref="F422">IFERROR(
  IFS(
    XLOOKUP(TEXTJOIN("/", TRUE, $A422:$B422), 'source merged_div_data'!$A:$A, 'source merged_div_data'!F:F) &lt; 1024,
      XLOOKUP(TEXTJOIN("/", TRUE, $A422:$B422), 'source merged_div_data'!$A:$A, 'source merged_div_data'!F:F) &amp; " B",
    XLOOKUP(TEXTJOIN("/", TRUE, $A422:$B422), 'source merged_div_data'!$A:$A, 'source merged_div_data'!F:F) &lt; 1048576,
      ROUND(XLOOKUP(TEXTJOIN("/", TRUE, $A422:$B422), 'source merged_div_data'!$A:$A, 'source merged_div_data'!F:F)/1024, 2) &amp; " KB",
    XLOOKUP(TEXTJOIN("/", TRUE, $A422:$B422), 'source merged_div_data'!$A:$A, 'source merged_div_data'!F:F) &lt; 1073741824,
      ROUND(XLOOKUP(TEXTJOIN("/", TRUE, $A422:$B422), 'source merged_div_data'!$A:$A, 'source merged_div_data'!F:F)/1048576, 2) &amp; " MB",
    TRUE,
      ROUND(XLOOKUP(TEXTJOIN("/", TRUE, $A422:$B422), 'source merged_div_data'!$A:$A, 'source merged_div_data'!F:F)/1073741824, 2) &amp; " GB"
  ),
  "×"
)</f>
        <v>118.79 GB</v>
      </c>
      <c r="G422" s="57" t="s">
        <v>2344</v>
      </c>
      <c r="H422" s="58" t="s">
        <v>2177</v>
      </c>
      <c r="I422" s="57"/>
      <c r="J422" s="7" t="s">
        <v>391</v>
      </c>
      <c r="K422" s="7" t="s">
        <v>395</v>
      </c>
      <c r="L422" s="7" t="s">
        <v>1053</v>
      </c>
      <c r="M422" s="7" t="s">
        <v>2092</v>
      </c>
      <c r="N422" s="8" t="s">
        <v>1102</v>
      </c>
      <c r="O422" s="7" t="s">
        <v>1110</v>
      </c>
      <c r="P422" s="57" t="str">
        <f>IFERROR(__xludf.DUMMYFUNCTION("XLOOKUP(JOIN(""/"",$A422:$B422),'source isilon_divまとめ'!$A:$A,'source isilon_divまとめ'!$D:$D,XLOOKUP(JOIN(""\"",$A422:$B422),'source NetApp-file-sv01-div'!A:A,TEXT('source NetApp-file-sv01-div'!C:C,""yyyy/mm/dd"")))"),"2017/03/15")</f>
        <v>2017/03/15</v>
      </c>
    </row>
    <row r="423">
      <c r="A423" s="52" t="s">
        <v>1078</v>
      </c>
      <c r="B423" s="52" t="s">
        <v>1329</v>
      </c>
      <c r="C423" s="46" t="s">
        <v>986</v>
      </c>
      <c r="D423" s="53">
        <f>IFERROR(__xludf.DUMMYFUNCTION("XLOOKUP(JOIN(""/"",$A423:$B423),'source merged_div_data'!$A:$A,'source merged_div_data'!B:B)"),10.0)</f>
        <v>10</v>
      </c>
      <c r="E423" s="53">
        <f>IFERROR(__xludf.DUMMYFUNCTION("XLOOKUP(JOIN(""/"",$A423:$B423),'source merged_div_data'!$A:$A,'source merged_div_data'!C:C)"),0.0)</f>
        <v>0</v>
      </c>
      <c r="F423" s="54" t="str">
        <f t="array" ref="F423">IFERROR(
  IFS(
    XLOOKUP(TEXTJOIN("/", TRUE, $A423:$B423), 'source merged_div_data'!$A:$A, 'source merged_div_data'!F:F) &lt; 1024,
      XLOOKUP(TEXTJOIN("/", TRUE, $A423:$B423), 'source merged_div_data'!$A:$A, 'source merged_div_data'!F:F) &amp; " B",
    XLOOKUP(TEXTJOIN("/", TRUE, $A423:$B423), 'source merged_div_data'!$A:$A, 'source merged_div_data'!F:F) &lt; 1048576,
      ROUND(XLOOKUP(TEXTJOIN("/", TRUE, $A423:$B423), 'source merged_div_data'!$A:$A, 'source merged_div_data'!F:F)/1024, 2) &amp; " KB",
    XLOOKUP(TEXTJOIN("/", TRUE, $A423:$B423), 'source merged_div_data'!$A:$A, 'source merged_div_data'!F:F) &lt; 1073741824,
      ROUND(XLOOKUP(TEXTJOIN("/", TRUE, $A423:$B423), 'source merged_div_data'!$A:$A, 'source merged_div_data'!F:F)/1048576, 2) &amp; " MB",
    TRUE,
      ROUND(XLOOKUP(TEXTJOIN("/", TRUE, $A423:$B423), 'source merged_div_data'!$A:$A, 'source merged_div_data'!F:F)/1073741824, 2) &amp; " GB"
  ),
  "×"
)</f>
        <v>290 B</v>
      </c>
      <c r="G423" s="55" t="s">
        <v>1053</v>
      </c>
      <c r="H423" s="55"/>
      <c r="I423" s="55"/>
      <c r="J423" s="46" t="s">
        <v>587</v>
      </c>
      <c r="K423" s="55"/>
      <c r="L423" s="55" t="s">
        <v>2198</v>
      </c>
      <c r="M423" s="55" t="s">
        <v>1053</v>
      </c>
      <c r="N423" s="52" t="s">
        <v>1102</v>
      </c>
      <c r="O423" s="46" t="s">
        <v>587</v>
      </c>
      <c r="P423" s="37" t="str">
        <f>IFERROR(__xludf.DUMMYFUNCTION("XLOOKUP(JOIN(""/"",$A423:$B423),'source isilon_divまとめ'!$A:$A,'source isilon_divまとめ'!$D:$D,XLOOKUP(JOIN(""\"",$A423:$B423),'source NetApp-file-sv01-div'!A:A,TEXT('source NetApp-file-sv01-div'!C:C,""yyyy/mm/dd"")))"),"#N/A")</f>
        <v>#N/A</v>
      </c>
    </row>
    <row r="424">
      <c r="A424" s="8" t="s">
        <v>1078</v>
      </c>
      <c r="B424" s="8" t="s">
        <v>432</v>
      </c>
      <c r="C424" s="8" t="s">
        <v>985</v>
      </c>
      <c r="D424" s="56">
        <f>IFERROR(__xludf.DUMMYFUNCTION("XLOOKUP(JOIN(""/"",$A424:$B424),'source merged_div_data'!$A:$A,'source merged_div_data'!B:B)"),10.0)</f>
        <v>10</v>
      </c>
      <c r="E424" s="56">
        <f>IFERROR(__xludf.DUMMYFUNCTION("XLOOKUP(JOIN(""/"",$A424:$B424),'source merged_div_data'!$A:$A,'source merged_div_data'!C:C)"),1.0)</f>
        <v>1</v>
      </c>
      <c r="F424" s="54" t="str">
        <f t="array" ref="F424">IFERROR(
  IFS(
    XLOOKUP(TEXTJOIN("/", TRUE, $A424:$B424), 'source merged_div_data'!$A:$A, 'source merged_div_data'!F:F) &lt; 1024,
      XLOOKUP(TEXTJOIN("/", TRUE, $A424:$B424), 'source merged_div_data'!$A:$A, 'source merged_div_data'!F:F) &amp; " B",
    XLOOKUP(TEXTJOIN("/", TRUE, $A424:$B424), 'source merged_div_data'!$A:$A, 'source merged_div_data'!F:F) &lt; 1048576,
      ROUND(XLOOKUP(TEXTJOIN("/", TRUE, $A424:$B424), 'source merged_div_data'!$A:$A, 'source merged_div_data'!F:F)/1024, 2) &amp; " KB",
    XLOOKUP(TEXTJOIN("/", TRUE, $A424:$B424), 'source merged_div_data'!$A:$A, 'source merged_div_data'!F:F) &lt; 1073741824,
      ROUND(XLOOKUP(TEXTJOIN("/", TRUE, $A424:$B424), 'source merged_div_data'!$A:$A, 'source merged_div_data'!F:F)/1048576, 2) &amp; " MB",
    TRUE,
      ROUND(XLOOKUP(TEXTJOIN("/", TRUE, $A424:$B424), 'source merged_div_data'!$A:$A, 'source merged_div_data'!F:F)/1073741824, 2) &amp; " GB"
  ),
  "×"
)</f>
        <v>85.33 KB</v>
      </c>
      <c r="G424" s="37" t="s">
        <v>1053</v>
      </c>
      <c r="H424" s="7" t="s">
        <v>2177</v>
      </c>
      <c r="I424" s="37"/>
      <c r="J424" s="37" t="s">
        <v>429</v>
      </c>
      <c r="K424" s="37" t="s">
        <v>432</v>
      </c>
      <c r="L424" s="37" t="s">
        <v>2096</v>
      </c>
      <c r="M424" s="37" t="s">
        <v>2109</v>
      </c>
      <c r="N424" s="8"/>
      <c r="P424" s="37" t="str">
        <f>IFERROR(__xludf.DUMMYFUNCTION("XLOOKUP(JOIN(""/"",$A424:$B424),'source isilon_divまとめ'!$A:$A,'source isilon_divまとめ'!$D:$D,XLOOKUP(JOIN(""\"",$A424:$B424),'source NetApp-file-sv01-div'!A:A,TEXT('source NetApp-file-sv01-div'!C:C,""yyyy/mm/dd"")))"),"#N/A")</f>
        <v>#N/A</v>
      </c>
    </row>
    <row r="425">
      <c r="A425" s="52" t="s">
        <v>1078</v>
      </c>
      <c r="B425" s="52" t="s">
        <v>430</v>
      </c>
      <c r="C425" s="46" t="s">
        <v>986</v>
      </c>
      <c r="D425" s="53">
        <f>IFERROR(__xludf.DUMMYFUNCTION("XLOOKUP(JOIN(""/"",$A425:$B425),'source merged_div_data'!$A:$A,'source merged_div_data'!B:B)"),6.0)</f>
        <v>6</v>
      </c>
      <c r="E425" s="53">
        <f>IFERROR(__xludf.DUMMYFUNCTION("XLOOKUP(JOIN(""/"",$A425:$B425),'source merged_div_data'!$A:$A,'source merged_div_data'!C:C)"),0.0)</f>
        <v>0</v>
      </c>
      <c r="F425" s="54" t="str">
        <f t="array" ref="F425">IFERROR(
  IFS(
    XLOOKUP(TEXTJOIN("/", TRUE, $A425:$B425), 'source merged_div_data'!$A:$A, 'source merged_div_data'!F:F) &lt; 1024,
      XLOOKUP(TEXTJOIN("/", TRUE, $A425:$B425), 'source merged_div_data'!$A:$A, 'source merged_div_data'!F:F) &amp; " B",
    XLOOKUP(TEXTJOIN("/", TRUE, $A425:$B425), 'source merged_div_data'!$A:$A, 'source merged_div_data'!F:F) &lt; 1048576,
      ROUND(XLOOKUP(TEXTJOIN("/", TRUE, $A425:$B425), 'source merged_div_data'!$A:$A, 'source merged_div_data'!F:F)/1024, 2) &amp; " KB",
    XLOOKUP(TEXTJOIN("/", TRUE, $A425:$B425), 'source merged_div_data'!$A:$A, 'source merged_div_data'!F:F) &lt; 1073741824,
      ROUND(XLOOKUP(TEXTJOIN("/", TRUE, $A425:$B425), 'source merged_div_data'!$A:$A, 'source merged_div_data'!F:F)/1048576, 2) &amp; " MB",
    TRUE,
      ROUND(XLOOKUP(TEXTJOIN("/", TRUE, $A425:$B425), 'source merged_div_data'!$A:$A, 'source merged_div_data'!F:F)/1073741824, 2) &amp; " GB"
  ),
  "×"
)</f>
        <v>151 B</v>
      </c>
      <c r="G425" s="55" t="s">
        <v>1053</v>
      </c>
      <c r="H425" s="55"/>
      <c r="I425" s="55"/>
      <c r="J425" s="55" t="s">
        <v>429</v>
      </c>
      <c r="K425" s="55" t="s">
        <v>430</v>
      </c>
      <c r="L425" s="55" t="s">
        <v>2096</v>
      </c>
      <c r="M425" s="55" t="s">
        <v>1053</v>
      </c>
      <c r="N425" s="52"/>
      <c r="O425" s="55"/>
      <c r="P425" s="37" t="str">
        <f>IFERROR(__xludf.DUMMYFUNCTION("XLOOKUP(JOIN(""/"",$A425:$B425),'source isilon_divまとめ'!$A:$A,'source isilon_divまとめ'!$D:$D,XLOOKUP(JOIN(""\"",$A425:$B425),'source NetApp-file-sv01-div'!A:A,TEXT('source NetApp-file-sv01-div'!C:C,""yyyy/mm/dd"")))"),"#N/A")</f>
        <v>#N/A</v>
      </c>
    </row>
    <row r="426">
      <c r="A426" s="52" t="s">
        <v>1078</v>
      </c>
      <c r="B426" s="52" t="s">
        <v>1330</v>
      </c>
      <c r="C426" s="46" t="s">
        <v>986</v>
      </c>
      <c r="D426" s="53">
        <f>IFERROR(__xludf.DUMMYFUNCTION("XLOOKUP(JOIN(""/"",$A426:$B426),'source merged_div_data'!$A:$A,'source merged_div_data'!B:B)"),4.0)</f>
        <v>4</v>
      </c>
      <c r="E426" s="53">
        <f>IFERROR(__xludf.DUMMYFUNCTION("XLOOKUP(JOIN(""/"",$A426:$B426),'source merged_div_data'!$A:$A,'source merged_div_data'!C:C)"),0.0)</f>
        <v>0</v>
      </c>
      <c r="F426" s="54" t="str">
        <f t="array" ref="F426">IFERROR(
  IFS(
    XLOOKUP(TEXTJOIN("/", TRUE, $A426:$B426), 'source merged_div_data'!$A:$A, 'source merged_div_data'!F:F) &lt; 1024,
      XLOOKUP(TEXTJOIN("/", TRUE, $A426:$B426), 'source merged_div_data'!$A:$A, 'source merged_div_data'!F:F) &amp; " B",
    XLOOKUP(TEXTJOIN("/", TRUE, $A426:$B426), 'source merged_div_data'!$A:$A, 'source merged_div_data'!F:F) &lt; 1048576,
      ROUND(XLOOKUP(TEXTJOIN("/", TRUE, $A426:$B426), 'source merged_div_data'!$A:$A, 'source merged_div_data'!F:F)/1024, 2) &amp; " KB",
    XLOOKUP(TEXTJOIN("/", TRUE, $A426:$B426), 'source merged_div_data'!$A:$A, 'source merged_div_data'!F:F) &lt; 1073741824,
      ROUND(XLOOKUP(TEXTJOIN("/", TRUE, $A426:$B426), 'source merged_div_data'!$A:$A, 'source merged_div_data'!F:F)/1048576, 2) &amp; " MB",
    TRUE,
      ROUND(XLOOKUP(TEXTJOIN("/", TRUE, $A426:$B426), 'source merged_div_data'!$A:$A, 'source merged_div_data'!F:F)/1073741824, 2) &amp; " GB"
  ),
  "×"
)</f>
        <v>84 B</v>
      </c>
      <c r="G426" s="55" t="s">
        <v>1053</v>
      </c>
      <c r="H426" s="55"/>
      <c r="I426" s="55"/>
      <c r="J426" s="55" t="str">
        <f t="array" ref="J426">XLOOKUP(K426,'部署遍歴'!D:D,'部署遍歴'!B:B,"×")</f>
        <v>経営推進本部</v>
      </c>
      <c r="K426" s="55" t="s">
        <v>430</v>
      </c>
      <c r="L426" s="55" t="s">
        <v>1053</v>
      </c>
      <c r="M426" s="46" t="s">
        <v>2345</v>
      </c>
      <c r="N426" s="52" t="s">
        <v>1102</v>
      </c>
      <c r="O426" s="46" t="s">
        <v>1331</v>
      </c>
      <c r="P426" s="37" t="str">
        <f>IFERROR(__xludf.DUMMYFUNCTION("XLOOKUP(JOIN(""/"",$A426:$B426),'source isilon_divまとめ'!$A:$A,'source isilon_divまとめ'!$D:$D,XLOOKUP(JOIN(""\"",$A426:$B426),'source NetApp-file-sv01-div'!A:A,TEXT('source NetApp-file-sv01-div'!C:C,""yyyy/mm/dd"")))"),"#N/A")</f>
        <v>#N/A</v>
      </c>
    </row>
    <row r="427">
      <c r="A427" s="8" t="s">
        <v>1078</v>
      </c>
      <c r="B427" s="8" t="s">
        <v>1332</v>
      </c>
      <c r="C427" s="7" t="s">
        <v>987</v>
      </c>
      <c r="D427" s="56">
        <f>IFERROR(__xludf.DUMMYFUNCTION("XLOOKUP(JOIN(""/"",$A427:$B427),'source merged_div_data'!$A:$A,'source merged_div_data'!B:B)"),420.0)</f>
        <v>420</v>
      </c>
      <c r="E427" s="56">
        <f>IFERROR(__xludf.DUMMYFUNCTION("XLOOKUP(JOIN(""/"",$A427:$B427),'source merged_div_data'!$A:$A,'source merged_div_data'!C:C)"),2222.0)</f>
        <v>2222</v>
      </c>
      <c r="F427" s="54" t="str">
        <f t="array" ref="F427">IFERROR(
  IFS(
    XLOOKUP(TEXTJOIN("/", TRUE, $A427:$B427), 'source merged_div_data'!$A:$A, 'source merged_div_data'!F:F) &lt; 1024,
      XLOOKUP(TEXTJOIN("/", TRUE, $A427:$B427), 'source merged_div_data'!$A:$A, 'source merged_div_data'!F:F) &amp; " B",
    XLOOKUP(TEXTJOIN("/", TRUE, $A427:$B427), 'source merged_div_data'!$A:$A, 'source merged_div_data'!F:F) &lt; 1048576,
      ROUND(XLOOKUP(TEXTJOIN("/", TRUE, $A427:$B427), 'source merged_div_data'!$A:$A, 'source merged_div_data'!F:F)/1024, 2) &amp; " KB",
    XLOOKUP(TEXTJOIN("/", TRUE, $A427:$B427), 'source merged_div_data'!$A:$A, 'source merged_div_data'!F:F) &lt; 1073741824,
      ROUND(XLOOKUP(TEXTJOIN("/", TRUE, $A427:$B427), 'source merged_div_data'!$A:$A, 'source merged_div_data'!F:F)/1048576, 2) &amp; " MB",
    TRUE,
      ROUND(XLOOKUP(TEXTJOIN("/", TRUE, $A427:$B427), 'source merged_div_data'!$A:$A, 'source merged_div_data'!F:F)/1073741824, 2) &amp; " GB"
  ),
  "×"
)</f>
        <v>2.7 GB</v>
      </c>
      <c r="G427" s="57" t="s">
        <v>2346</v>
      </c>
      <c r="H427" s="58" t="s">
        <v>2177</v>
      </c>
      <c r="I427" s="57"/>
      <c r="J427" s="31" t="s">
        <v>429</v>
      </c>
      <c r="K427" s="30" t="s">
        <v>432</v>
      </c>
      <c r="L427" s="30" t="s">
        <v>2096</v>
      </c>
      <c r="M427" s="30" t="s">
        <v>2109</v>
      </c>
      <c r="N427" s="8" t="s">
        <v>1102</v>
      </c>
      <c r="O427" s="7" t="s">
        <v>1215</v>
      </c>
      <c r="P427" s="57" t="str">
        <f>IFERROR(__xludf.DUMMYFUNCTION("XLOOKUP(JOIN(""/"",$A427:$B427),'source isilon_divまとめ'!$A:$A,'source isilon_divまとめ'!$D:$D,XLOOKUP(JOIN(""\"",$A427:$B427),'source NetApp-file-sv01-div'!A:A,TEXT('source NetApp-file-sv01-div'!C:C,""yyyy/mm/dd"")))"),"2015/08/19")</f>
        <v>2015/08/19</v>
      </c>
    </row>
    <row r="428">
      <c r="A428" s="52" t="s">
        <v>1078</v>
      </c>
      <c r="B428" s="52" t="s">
        <v>1232</v>
      </c>
      <c r="C428" s="46" t="s">
        <v>986</v>
      </c>
      <c r="D428" s="53">
        <f>IFERROR(__xludf.DUMMYFUNCTION("XLOOKUP(JOIN(""/"",$A428:$B428),'source merged_div_data'!$A:$A,'source merged_div_data'!B:B)"),11.0)</f>
        <v>11</v>
      </c>
      <c r="E428" s="53">
        <f>IFERROR(__xludf.DUMMYFUNCTION("XLOOKUP(JOIN(""/"",$A428:$B428),'source merged_div_data'!$A:$A,'source merged_div_data'!C:C)"),0.0)</f>
        <v>0</v>
      </c>
      <c r="F428" s="54" t="str">
        <f t="array" ref="F428">IFERROR(
  IFS(
    XLOOKUP(TEXTJOIN("/", TRUE, $A428:$B428), 'source merged_div_data'!$A:$A, 'source merged_div_data'!F:F) &lt; 1024,
      XLOOKUP(TEXTJOIN("/", TRUE, $A428:$B428), 'source merged_div_data'!$A:$A, 'source merged_div_data'!F:F) &amp; " B",
    XLOOKUP(TEXTJOIN("/", TRUE, $A428:$B428), 'source merged_div_data'!$A:$A, 'source merged_div_data'!F:F) &lt; 1048576,
      ROUND(XLOOKUP(TEXTJOIN("/", TRUE, $A428:$B428), 'source merged_div_data'!$A:$A, 'source merged_div_data'!F:F)/1024, 2) &amp; " KB",
    XLOOKUP(TEXTJOIN("/", TRUE, $A428:$B428), 'source merged_div_data'!$A:$A, 'source merged_div_data'!F:F) &lt; 1073741824,
      ROUND(XLOOKUP(TEXTJOIN("/", TRUE, $A428:$B428), 'source merged_div_data'!$A:$A, 'source merged_div_data'!F:F)/1048576, 2) &amp; " MB",
    TRUE,
      ROUND(XLOOKUP(TEXTJOIN("/", TRUE, $A428:$B428), 'source merged_div_data'!$A:$A, 'source merged_div_data'!F:F)/1073741824, 2) &amp; " GB"
  ),
  "×"
)</f>
        <v>307 B</v>
      </c>
      <c r="G428" s="55" t="s">
        <v>1053</v>
      </c>
      <c r="H428" s="55"/>
      <c r="I428" s="55"/>
      <c r="J428" s="46" t="s">
        <v>587</v>
      </c>
      <c r="K428" s="55"/>
      <c r="L428" s="55" t="s">
        <v>2198</v>
      </c>
      <c r="M428" s="55" t="s">
        <v>1053</v>
      </c>
      <c r="N428" s="52" t="s">
        <v>1102</v>
      </c>
      <c r="O428" s="46" t="s">
        <v>587</v>
      </c>
      <c r="P428" s="37" t="str">
        <f>IFERROR(__xludf.DUMMYFUNCTION("XLOOKUP(JOIN(""/"",$A428:$B428),'source isilon_divまとめ'!$A:$A,'source isilon_divまとめ'!$D:$D,XLOOKUP(JOIN(""\"",$A428:$B428),'source NetApp-file-sv01-div'!A:A,TEXT('source NetApp-file-sv01-div'!C:C,""yyyy/mm/dd"")))"),"#N/A")</f>
        <v>#N/A</v>
      </c>
    </row>
    <row r="429">
      <c r="A429" s="52" t="s">
        <v>1078</v>
      </c>
      <c r="B429" s="52" t="s">
        <v>1233</v>
      </c>
      <c r="C429" s="46" t="s">
        <v>986</v>
      </c>
      <c r="D429" s="53">
        <f>IFERROR(__xludf.DUMMYFUNCTION("XLOOKUP(JOIN(""/"",$A429:$B429),'source merged_div_data'!$A:$A,'source merged_div_data'!B:B)"),4.0)</f>
        <v>4</v>
      </c>
      <c r="E429" s="53">
        <f>IFERROR(__xludf.DUMMYFUNCTION("XLOOKUP(JOIN(""/"",$A429:$B429),'source merged_div_data'!$A:$A,'source merged_div_data'!C:C)"),0.0)</f>
        <v>0</v>
      </c>
      <c r="F429" s="54" t="str">
        <f t="array" ref="F429">IFERROR(
  IFS(
    XLOOKUP(TEXTJOIN("/", TRUE, $A429:$B429), 'source merged_div_data'!$A:$A, 'source merged_div_data'!F:F) &lt; 1024,
      XLOOKUP(TEXTJOIN("/", TRUE, $A429:$B429), 'source merged_div_data'!$A:$A, 'source merged_div_data'!F:F) &amp; " B",
    XLOOKUP(TEXTJOIN("/", TRUE, $A429:$B429), 'source merged_div_data'!$A:$A, 'source merged_div_data'!F:F) &lt; 1048576,
      ROUND(XLOOKUP(TEXTJOIN("/", TRUE, $A429:$B429), 'source merged_div_data'!$A:$A, 'source merged_div_data'!F:F)/1024, 2) &amp; " KB",
    XLOOKUP(TEXTJOIN("/", TRUE, $A429:$B429), 'source merged_div_data'!$A:$A, 'source merged_div_data'!F:F) &lt; 1073741824,
      ROUND(XLOOKUP(TEXTJOIN("/", TRUE, $A429:$B429), 'source merged_div_data'!$A:$A, 'source merged_div_data'!F:F)/1048576, 2) &amp; " MB",
    TRUE,
      ROUND(XLOOKUP(TEXTJOIN("/", TRUE, $A429:$B429), 'source merged_div_data'!$A:$A, 'source merged_div_data'!F:F)/1073741824, 2) &amp; " GB"
  ),
  "×"
)</f>
        <v>97 B</v>
      </c>
      <c r="G429" s="55" t="s">
        <v>1053</v>
      </c>
      <c r="H429" s="55"/>
      <c r="I429" s="55"/>
      <c r="J429" s="46" t="s">
        <v>587</v>
      </c>
      <c r="K429" s="55"/>
      <c r="L429" s="55" t="s">
        <v>2198</v>
      </c>
      <c r="M429" s="55" t="s">
        <v>1053</v>
      </c>
      <c r="N429" s="52" t="s">
        <v>1102</v>
      </c>
      <c r="O429" s="46" t="s">
        <v>587</v>
      </c>
      <c r="P429" s="37" t="str">
        <f>IFERROR(__xludf.DUMMYFUNCTION("XLOOKUP(JOIN(""/"",$A429:$B429),'source isilon_divまとめ'!$A:$A,'source isilon_divまとめ'!$D:$D,XLOOKUP(JOIN(""\"",$A429:$B429),'source NetApp-file-sv01-div'!A:A,TEXT('source NetApp-file-sv01-div'!C:C,""yyyy/mm/dd"")))"),"#N/A")</f>
        <v>#N/A</v>
      </c>
    </row>
    <row r="430">
      <c r="A430" s="8" t="s">
        <v>1078</v>
      </c>
      <c r="B430" s="8" t="s">
        <v>443</v>
      </c>
      <c r="C430" s="8" t="s">
        <v>985</v>
      </c>
      <c r="D430" s="56">
        <f>IFERROR(__xludf.DUMMYFUNCTION("XLOOKUP(JOIN(""/"",$A430:$B430),'source merged_div_data'!$A:$A,'source merged_div_data'!B:B)"),610.0)</f>
        <v>610</v>
      </c>
      <c r="E430" s="56">
        <f>IFERROR(__xludf.DUMMYFUNCTION("XLOOKUP(JOIN(""/"",$A430:$B430),'source merged_div_data'!$A:$A,'source merged_div_data'!C:C)"),2554.0)</f>
        <v>2554</v>
      </c>
      <c r="F430" s="54" t="str">
        <f t="array" ref="F430">IFERROR(
  IFS(
    XLOOKUP(TEXTJOIN("/", TRUE, $A430:$B430), 'source merged_div_data'!$A:$A, 'source merged_div_data'!F:F) &lt; 1024,
      XLOOKUP(TEXTJOIN("/", TRUE, $A430:$B430), 'source merged_div_data'!$A:$A, 'source merged_div_data'!F:F) &amp; " B",
    XLOOKUP(TEXTJOIN("/", TRUE, $A430:$B430), 'source merged_div_data'!$A:$A, 'source merged_div_data'!F:F) &lt; 1048576,
      ROUND(XLOOKUP(TEXTJOIN("/", TRUE, $A430:$B430), 'source merged_div_data'!$A:$A, 'source merged_div_data'!F:F)/1024, 2) &amp; " KB",
    XLOOKUP(TEXTJOIN("/", TRUE, $A430:$B430), 'source merged_div_data'!$A:$A, 'source merged_div_data'!F:F) &lt; 1073741824,
      ROUND(XLOOKUP(TEXTJOIN("/", TRUE, $A430:$B430), 'source merged_div_data'!$A:$A, 'source merged_div_data'!F:F)/1048576, 2) &amp; " MB",
    TRUE,
      ROUND(XLOOKUP(TEXTJOIN("/", TRUE, $A430:$B430), 'source merged_div_data'!$A:$A, 'source merged_div_data'!F:F)/1073741824, 2) &amp; " GB"
  ),
  "×"
)</f>
        <v>2.52 GB</v>
      </c>
      <c r="G430" s="57" t="s">
        <v>2347</v>
      </c>
      <c r="H430" s="58" t="s">
        <v>2177</v>
      </c>
      <c r="I430" s="57"/>
      <c r="J430" s="37" t="s">
        <v>440</v>
      </c>
      <c r="K430" s="37" t="s">
        <v>443</v>
      </c>
      <c r="L430" s="37" t="s">
        <v>1723</v>
      </c>
      <c r="M430" s="37" t="s">
        <v>1053</v>
      </c>
      <c r="N430" s="8"/>
      <c r="P430" s="57" t="str">
        <f>IFERROR(__xludf.DUMMYFUNCTION("XLOOKUP(JOIN(""/"",$A430:$B430),'source isilon_divまとめ'!$A:$A,'source isilon_divまとめ'!$D:$D,XLOOKUP(JOIN(""\"",$A430:$B430),'source NetApp-file-sv01-div'!A:A,TEXT('source NetApp-file-sv01-div'!C:C,""yyyy/mm/dd"")))"),"2021/09/06")</f>
        <v>2021/09/06</v>
      </c>
    </row>
    <row r="431">
      <c r="A431" s="52" t="s">
        <v>1078</v>
      </c>
      <c r="B431" s="52" t="s">
        <v>1236</v>
      </c>
      <c r="C431" s="46" t="s">
        <v>986</v>
      </c>
      <c r="D431" s="53">
        <f>IFERROR(__xludf.DUMMYFUNCTION("XLOOKUP(JOIN(""/"",$A431:$B431),'source merged_div_data'!$A:$A,'source merged_div_data'!B:B)"),10.0)</f>
        <v>10</v>
      </c>
      <c r="E431" s="53">
        <f>IFERROR(__xludf.DUMMYFUNCTION("XLOOKUP(JOIN(""/"",$A431:$B431),'source merged_div_data'!$A:$A,'source merged_div_data'!C:C)"),0.0)</f>
        <v>0</v>
      </c>
      <c r="F431" s="54" t="str">
        <f t="array" ref="F431">IFERROR(
  IFS(
    XLOOKUP(TEXTJOIN("/", TRUE, $A431:$B431), 'source merged_div_data'!$A:$A, 'source merged_div_data'!F:F) &lt; 1024,
      XLOOKUP(TEXTJOIN("/", TRUE, $A431:$B431), 'source merged_div_data'!$A:$A, 'source merged_div_data'!F:F) &amp; " B",
    XLOOKUP(TEXTJOIN("/", TRUE, $A431:$B431), 'source merged_div_data'!$A:$A, 'source merged_div_data'!F:F) &lt; 1048576,
      ROUND(XLOOKUP(TEXTJOIN("/", TRUE, $A431:$B431), 'source merged_div_data'!$A:$A, 'source merged_div_data'!F:F)/1024, 2) &amp; " KB",
    XLOOKUP(TEXTJOIN("/", TRUE, $A431:$B431), 'source merged_div_data'!$A:$A, 'source merged_div_data'!F:F) &lt; 1073741824,
      ROUND(XLOOKUP(TEXTJOIN("/", TRUE, $A431:$B431), 'source merged_div_data'!$A:$A, 'source merged_div_data'!F:F)/1048576, 2) &amp; " MB",
    TRUE,
      ROUND(XLOOKUP(TEXTJOIN("/", TRUE, $A431:$B431), 'source merged_div_data'!$A:$A, 'source merged_div_data'!F:F)/1073741824, 2) &amp; " GB"
  ),
  "×"
)</f>
        <v>264 B</v>
      </c>
      <c r="G431" s="55" t="s">
        <v>1053</v>
      </c>
      <c r="H431" s="55"/>
      <c r="I431" s="55"/>
      <c r="J431" s="46" t="s">
        <v>603</v>
      </c>
      <c r="K431" s="55"/>
      <c r="L431" s="46" t="s">
        <v>2107</v>
      </c>
      <c r="M431" s="46"/>
      <c r="N431" s="52" t="s">
        <v>1102</v>
      </c>
      <c r="O431" s="46" t="s">
        <v>1331</v>
      </c>
      <c r="P431" s="37" t="str">
        <f>IFERROR(__xludf.DUMMYFUNCTION("XLOOKUP(JOIN(""/"",$A431:$B431),'source isilon_divまとめ'!$A:$A,'source isilon_divまとめ'!$D:$D,XLOOKUP(JOIN(""\"",$A431:$B431),'source NetApp-file-sv01-div'!A:A,TEXT('source NetApp-file-sv01-div'!C:C,""yyyy/mm/dd"")))"),"#N/A")</f>
        <v>#N/A</v>
      </c>
    </row>
    <row r="432">
      <c r="A432" s="8" t="s">
        <v>1078</v>
      </c>
      <c r="B432" s="8" t="s">
        <v>1111</v>
      </c>
      <c r="C432" s="7" t="s">
        <v>987</v>
      </c>
      <c r="D432" s="56">
        <f>IFERROR(__xludf.DUMMYFUNCTION("XLOOKUP(JOIN(""/"",$A432:$B432),'source merged_div_data'!$A:$A,'source merged_div_data'!B:B)"),3.0)</f>
        <v>3</v>
      </c>
      <c r="E432" s="56">
        <f>IFERROR(__xludf.DUMMYFUNCTION("XLOOKUP(JOIN(""/"",$A432:$B432),'source merged_div_data'!$A:$A,'source merged_div_data'!C:C)"),2.0)</f>
        <v>2</v>
      </c>
      <c r="F432" s="54" t="str">
        <f t="array" ref="F432">IFERROR(
  IFS(
    XLOOKUP(TEXTJOIN("/", TRUE, $A432:$B432), 'source merged_div_data'!$A:$A, 'source merged_div_data'!F:F) &lt; 1024,
      XLOOKUP(TEXTJOIN("/", TRUE, $A432:$B432), 'source merged_div_data'!$A:$A, 'source merged_div_data'!F:F) &amp; " B",
    XLOOKUP(TEXTJOIN("/", TRUE, $A432:$B432), 'source merged_div_data'!$A:$A, 'source merged_div_data'!F:F) &lt; 1048576,
      ROUND(XLOOKUP(TEXTJOIN("/", TRUE, $A432:$B432), 'source merged_div_data'!$A:$A, 'source merged_div_data'!F:F)/1024, 2) &amp; " KB",
    XLOOKUP(TEXTJOIN("/", TRUE, $A432:$B432), 'source merged_div_data'!$A:$A, 'source merged_div_data'!F:F) &lt; 1073741824,
      ROUND(XLOOKUP(TEXTJOIN("/", TRUE, $A432:$B432), 'source merged_div_data'!$A:$A, 'source merged_div_data'!F:F)/1048576, 2) &amp; " MB",
    TRUE,
      ROUND(XLOOKUP(TEXTJOIN("/", TRUE, $A432:$B432), 'source merged_div_data'!$A:$A, 'source merged_div_data'!F:F)/1073741824, 2) &amp; " GB"
  ),
  "×"
)</f>
        <v>18.48 MB</v>
      </c>
      <c r="G432" s="57" t="s">
        <v>2348</v>
      </c>
      <c r="H432" s="58" t="s">
        <v>2177</v>
      </c>
      <c r="I432" s="57"/>
      <c r="J432" s="63" t="s">
        <v>440</v>
      </c>
      <c r="K432" s="64" t="s">
        <v>443</v>
      </c>
      <c r="L432" s="7" t="s">
        <v>1723</v>
      </c>
      <c r="M432" s="7" t="s">
        <v>1723</v>
      </c>
      <c r="N432" s="8" t="s">
        <v>1102</v>
      </c>
      <c r="O432" s="7" t="s">
        <v>1105</v>
      </c>
      <c r="P432" s="57" t="str">
        <f>IFERROR(__xludf.DUMMYFUNCTION("XLOOKUP(JOIN(""/"",$A432:$B432),'source isilon_divまとめ'!$A:$A,'source isilon_divまとめ'!$D:$D,XLOOKUP(JOIN(""\"",$A432:$B432),'source NetApp-file-sv01-div'!A:A,TEXT('source NetApp-file-sv01-div'!C:C,""yyyy/mm/dd"")))"),"2015/12/17")</f>
        <v>2015/12/17</v>
      </c>
    </row>
    <row r="433">
      <c r="A433" s="52" t="s">
        <v>1078</v>
      </c>
      <c r="B433" s="52" t="s">
        <v>1333</v>
      </c>
      <c r="C433" s="46" t="s">
        <v>986</v>
      </c>
      <c r="D433" s="53">
        <f>IFERROR(__xludf.DUMMYFUNCTION("XLOOKUP(JOIN(""/"",$A433:$B433),'source merged_div_data'!$A:$A,'source merged_div_data'!B:B)"),12.0)</f>
        <v>12</v>
      </c>
      <c r="E433" s="53">
        <f>IFERROR(__xludf.DUMMYFUNCTION("XLOOKUP(JOIN(""/"",$A433:$B433),'source merged_div_data'!$A:$A,'source merged_div_data'!C:C)"),0.0)</f>
        <v>0</v>
      </c>
      <c r="F433" s="54" t="str">
        <f t="array" ref="F433">IFERROR(
  IFS(
    XLOOKUP(TEXTJOIN("/", TRUE, $A433:$B433), 'source merged_div_data'!$A:$A, 'source merged_div_data'!F:F) &lt; 1024,
      XLOOKUP(TEXTJOIN("/", TRUE, $A433:$B433), 'source merged_div_data'!$A:$A, 'source merged_div_data'!F:F) &amp; " B",
    XLOOKUP(TEXTJOIN("/", TRUE, $A433:$B433), 'source merged_div_data'!$A:$A, 'source merged_div_data'!F:F) &lt; 1048576,
      ROUND(XLOOKUP(TEXTJOIN("/", TRUE, $A433:$B433), 'source merged_div_data'!$A:$A, 'source merged_div_data'!F:F)/1024, 2) &amp; " KB",
    XLOOKUP(TEXTJOIN("/", TRUE, $A433:$B433), 'source merged_div_data'!$A:$A, 'source merged_div_data'!F:F) &lt; 1073741824,
      ROUND(XLOOKUP(TEXTJOIN("/", TRUE, $A433:$B433), 'source merged_div_data'!$A:$A, 'source merged_div_data'!F:F)/1048576, 2) &amp; " MB",
    TRUE,
      ROUND(XLOOKUP(TEXTJOIN("/", TRUE, $A433:$B433), 'source merged_div_data'!$A:$A, 'source merged_div_data'!F:F)/1073741824, 2) &amp; " GB"
  ),
  "×"
)</f>
        <v>385 B</v>
      </c>
      <c r="G433" s="55" t="s">
        <v>1053</v>
      </c>
      <c r="H433" s="55"/>
      <c r="I433" s="55"/>
      <c r="J433" s="46" t="s">
        <v>587</v>
      </c>
      <c r="K433" s="55"/>
      <c r="L433" s="55" t="s">
        <v>2198</v>
      </c>
      <c r="M433" s="55" t="s">
        <v>1053</v>
      </c>
      <c r="N433" s="52" t="s">
        <v>1102</v>
      </c>
      <c r="O433" s="46" t="s">
        <v>587</v>
      </c>
      <c r="P433" s="37" t="str">
        <f>IFERROR(__xludf.DUMMYFUNCTION("XLOOKUP(JOIN(""/"",$A433:$B433),'source isilon_divまとめ'!$A:$A,'source isilon_divまとめ'!$D:$D,XLOOKUP(JOIN(""\"",$A433:$B433),'source NetApp-file-sv01-div'!A:A,TEXT('source NetApp-file-sv01-div'!C:C,""yyyy/mm/dd"")))"),"#N/A")</f>
        <v>#N/A</v>
      </c>
    </row>
    <row r="434">
      <c r="A434" s="52" t="s">
        <v>1081</v>
      </c>
      <c r="B434" s="52" t="s">
        <v>1159</v>
      </c>
      <c r="C434" s="46" t="s">
        <v>986</v>
      </c>
      <c r="D434" s="53">
        <f>IFERROR(__xludf.DUMMYFUNCTION("XLOOKUP(JOIN(""/"",$A434:$B434),'source merged_div_data'!$A:$A,'source merged_div_data'!B:B)"),12.0)</f>
        <v>12</v>
      </c>
      <c r="E434" s="53">
        <f>IFERROR(__xludf.DUMMYFUNCTION("XLOOKUP(JOIN(""/"",$A434:$B434),'source merged_div_data'!$A:$A,'source merged_div_data'!C:C)"),0.0)</f>
        <v>0</v>
      </c>
      <c r="F434" s="54" t="str">
        <f t="array" ref="F434">IFERROR(
  IFS(
    XLOOKUP(TEXTJOIN("/", TRUE, $A434:$B434), 'source merged_div_data'!$A:$A, 'source merged_div_data'!F:F) &lt; 1024,
      XLOOKUP(TEXTJOIN("/", TRUE, $A434:$B434), 'source merged_div_data'!$A:$A, 'source merged_div_data'!F:F) &amp; " B",
    XLOOKUP(TEXTJOIN("/", TRUE, $A434:$B434), 'source merged_div_data'!$A:$A, 'source merged_div_data'!F:F) &lt; 1048576,
      ROUND(XLOOKUP(TEXTJOIN("/", TRUE, $A434:$B434), 'source merged_div_data'!$A:$A, 'source merged_div_data'!F:F)/1024, 2) &amp; " KB",
    XLOOKUP(TEXTJOIN("/", TRUE, $A434:$B434), 'source merged_div_data'!$A:$A, 'source merged_div_data'!F:F) &lt; 1073741824,
      ROUND(XLOOKUP(TEXTJOIN("/", TRUE, $A434:$B434), 'source merged_div_data'!$A:$A, 'source merged_div_data'!F:F)/1048576, 2) &amp; " MB",
    TRUE,
      ROUND(XLOOKUP(TEXTJOIN("/", TRUE, $A434:$B434), 'source merged_div_data'!$A:$A, 'source merged_div_data'!F:F)/1073741824, 2) &amp; " GB"
  ),
  "×"
)</f>
        <v>432 B</v>
      </c>
      <c r="G434" s="55" t="s">
        <v>1053</v>
      </c>
      <c r="H434" s="55"/>
      <c r="I434" s="55"/>
      <c r="J434" s="46" t="s">
        <v>693</v>
      </c>
      <c r="K434" s="55"/>
      <c r="L434" s="46" t="s">
        <v>2094</v>
      </c>
      <c r="M434" s="55" t="s">
        <v>1053</v>
      </c>
      <c r="N434" s="52" t="s">
        <v>1102</v>
      </c>
      <c r="O434" s="46" t="s">
        <v>693</v>
      </c>
      <c r="P434" s="37" t="str">
        <f>IFERROR(__xludf.DUMMYFUNCTION("XLOOKUP(JOIN(""/"",$A434:$B434),'source isilon_divまとめ'!$A:$A,'source isilon_divまとめ'!$D:$D,XLOOKUP(JOIN(""\"",$A434:$B434),'source NetApp-file-sv01-div'!A:A,TEXT('source NetApp-file-sv01-div'!C:C,""yyyy/mm/dd"")))"),"#N/A")</f>
        <v>#N/A</v>
      </c>
    </row>
    <row r="435">
      <c r="A435" s="52" t="s">
        <v>1081</v>
      </c>
      <c r="B435" s="52" t="s">
        <v>1111</v>
      </c>
      <c r="C435" s="46" t="s">
        <v>988</v>
      </c>
      <c r="D435" s="53">
        <f>IFERROR(__xludf.DUMMYFUNCTION("XLOOKUP(JOIN(""/"",$A435:$B435),'source merged_div_data'!$A:$A,'source merged_div_data'!B:B)"),1.0)</f>
        <v>1</v>
      </c>
      <c r="E435" s="53">
        <f>IFERROR(__xludf.DUMMYFUNCTION("XLOOKUP(JOIN(""/"",$A435:$B435),'source merged_div_data'!$A:$A,'source merged_div_data'!C:C)"),0.0)</f>
        <v>0</v>
      </c>
      <c r="F435" s="54" t="str">
        <f t="array" ref="F435">IFERROR(
  IFS(
    XLOOKUP(TEXTJOIN("/", TRUE, $A435:$B435), 'source merged_div_data'!$A:$A, 'source merged_div_data'!F:F) &lt; 1024,
      XLOOKUP(TEXTJOIN("/", TRUE, $A435:$B435), 'source merged_div_data'!$A:$A, 'source merged_div_data'!F:F) &amp; " B",
    XLOOKUP(TEXTJOIN("/", TRUE, $A435:$B435), 'source merged_div_data'!$A:$A, 'source merged_div_data'!F:F) &lt; 1048576,
      ROUND(XLOOKUP(TEXTJOIN("/", TRUE, $A435:$B435), 'source merged_div_data'!$A:$A, 'source merged_div_data'!F:F)/1024, 2) &amp; " KB",
    XLOOKUP(TEXTJOIN("/", TRUE, $A435:$B435), 'source merged_div_data'!$A:$A, 'source merged_div_data'!F:F) &lt; 1073741824,
      ROUND(XLOOKUP(TEXTJOIN("/", TRUE, $A435:$B435), 'source merged_div_data'!$A:$A, 'source merged_div_data'!F:F)/1048576, 2) &amp; " MB",
    TRUE,
      ROUND(XLOOKUP(TEXTJOIN("/", TRUE, $A435:$B435), 'source merged_div_data'!$A:$A, 'source merged_div_data'!F:F)/1073741824, 2) &amp; " GB"
  ),
  "×"
)</f>
        <v>0 B</v>
      </c>
      <c r="G435" s="55" t="s">
        <v>1053</v>
      </c>
      <c r="H435" s="55"/>
      <c r="I435" s="55"/>
      <c r="J435" s="46" t="s">
        <v>1105</v>
      </c>
      <c r="K435" s="55"/>
      <c r="L435" s="55" t="s">
        <v>1053</v>
      </c>
      <c r="M435" s="55" t="s">
        <v>1053</v>
      </c>
      <c r="N435" s="52" t="s">
        <v>1102</v>
      </c>
      <c r="O435" s="46" t="s">
        <v>1105</v>
      </c>
      <c r="P435" s="37" t="str">
        <f>IFERROR(__xludf.DUMMYFUNCTION("XLOOKUP(JOIN(""/"",$A435:$B435),'source isilon_divまとめ'!$A:$A,'source isilon_divまとめ'!$D:$D,XLOOKUP(JOIN(""\"",$A435:$B435),'source NetApp-file-sv01-div'!A:A,TEXT('source NetApp-file-sv01-div'!C:C,""yyyy/mm/dd"")))"),"#N/A")</f>
        <v>#N/A</v>
      </c>
    </row>
    <row r="436">
      <c r="A436" s="8" t="s">
        <v>1081</v>
      </c>
      <c r="B436" s="8" t="s">
        <v>1160</v>
      </c>
      <c r="C436" s="7" t="s">
        <v>987</v>
      </c>
      <c r="D436" s="56">
        <f>IFERROR(__xludf.DUMMYFUNCTION("XLOOKUP(JOIN(""/"",$A436:$B436),'source merged_div_data'!$A:$A,'source merged_div_data'!B:B)"),1839.0)</f>
        <v>1839</v>
      </c>
      <c r="E436" s="56">
        <f>IFERROR(__xludf.DUMMYFUNCTION("XLOOKUP(JOIN(""/"",$A436:$B436),'source merged_div_data'!$A:$A,'source merged_div_data'!C:C)"),115323.0)</f>
        <v>115323</v>
      </c>
      <c r="F436" s="54" t="str">
        <f t="array" ref="F436">IFERROR(
  IFS(
    XLOOKUP(TEXTJOIN("/", TRUE, $A436:$B436), 'source merged_div_data'!$A:$A, 'source merged_div_data'!F:F) &lt; 1024,
      XLOOKUP(TEXTJOIN("/", TRUE, $A436:$B436), 'source merged_div_data'!$A:$A, 'source merged_div_data'!F:F) &amp; " B",
    XLOOKUP(TEXTJOIN("/", TRUE, $A436:$B436), 'source merged_div_data'!$A:$A, 'source merged_div_data'!F:F) &lt; 1048576,
      ROUND(XLOOKUP(TEXTJOIN("/", TRUE, $A436:$B436), 'source merged_div_data'!$A:$A, 'source merged_div_data'!F:F)/1024, 2) &amp; " KB",
    XLOOKUP(TEXTJOIN("/", TRUE, $A436:$B436), 'source merged_div_data'!$A:$A, 'source merged_div_data'!F:F) &lt; 1073741824,
      ROUND(XLOOKUP(TEXTJOIN("/", TRUE, $A436:$B436), 'source merged_div_data'!$A:$A, 'source merged_div_data'!F:F)/1048576, 2) &amp; " MB",
    TRUE,
      ROUND(XLOOKUP(TEXTJOIN("/", TRUE, $A436:$B436), 'source merged_div_data'!$A:$A, 'source merged_div_data'!F:F)/1073741824, 2) &amp; " GB"
  ),
  "×"
)</f>
        <v>356.29 GB</v>
      </c>
      <c r="G436" s="57" t="s">
        <v>2349</v>
      </c>
      <c r="H436" s="58" t="s">
        <v>2177</v>
      </c>
      <c r="I436" s="57"/>
      <c r="J436" s="7" t="s">
        <v>693</v>
      </c>
      <c r="L436" s="7" t="s">
        <v>2094</v>
      </c>
      <c r="M436" s="37" t="s">
        <v>1053</v>
      </c>
      <c r="N436" s="8" t="s">
        <v>1102</v>
      </c>
      <c r="O436" s="7" t="s">
        <v>693</v>
      </c>
      <c r="P436" s="57" t="str">
        <f>IFERROR(__xludf.DUMMYFUNCTION("XLOOKUP(JOIN(""/"",$A436:$B436),'source isilon_divまとめ'!$A:$A,'source isilon_divまとめ'!$D:$D,XLOOKUP(JOIN(""\"",$A436:$B436),'source NetApp-file-sv01-div'!A:A,TEXT('source NetApp-file-sv01-div'!C:C,""yyyy/mm/dd"")))"),"2019/01/29")</f>
        <v>2019/01/29</v>
      </c>
    </row>
    <row r="437">
      <c r="A437" s="8" t="s">
        <v>1082</v>
      </c>
      <c r="B437" s="8" t="s">
        <v>1139</v>
      </c>
      <c r="C437" s="7" t="s">
        <v>988</v>
      </c>
      <c r="D437" s="56">
        <f>IFERROR(__xludf.DUMMYFUNCTION("XLOOKUP(JOIN(""/"",$A437:$B437),'source merged_div_data'!$A:$A,'source merged_div_data'!B:B)"),1416.0)</f>
        <v>1416</v>
      </c>
      <c r="E437" s="56">
        <f>IFERROR(__xludf.DUMMYFUNCTION("XLOOKUP(JOIN(""/"",$A437:$B437),'source merged_div_data'!$A:$A,'source merged_div_data'!C:C)"),5563.0)</f>
        <v>5563</v>
      </c>
      <c r="F437" s="54" t="str">
        <f t="array" ref="F437">IFERROR(
  IFS(
    XLOOKUP(TEXTJOIN("/", TRUE, $A437:$B437), 'source merged_div_data'!$A:$A, 'source merged_div_data'!F:F) &lt; 1024,
      XLOOKUP(TEXTJOIN("/", TRUE, $A437:$B437), 'source merged_div_data'!$A:$A, 'source merged_div_data'!F:F) &amp; " B",
    XLOOKUP(TEXTJOIN("/", TRUE, $A437:$B437), 'source merged_div_data'!$A:$A, 'source merged_div_data'!F:F) &lt; 1048576,
      ROUND(XLOOKUP(TEXTJOIN("/", TRUE, $A437:$B437), 'source merged_div_data'!$A:$A, 'source merged_div_data'!F:F)/1024, 2) &amp; " KB",
    XLOOKUP(TEXTJOIN("/", TRUE, $A437:$B437), 'source merged_div_data'!$A:$A, 'source merged_div_data'!F:F) &lt; 1073741824,
      ROUND(XLOOKUP(TEXTJOIN("/", TRUE, $A437:$B437), 'source merged_div_data'!$A:$A, 'source merged_div_data'!F:F)/1048576, 2) &amp; " MB",
    TRUE,
      ROUND(XLOOKUP(TEXTJOIN("/", TRUE, $A437:$B437), 'source merged_div_data'!$A:$A, 'source merged_div_data'!F:F)/1073741824, 2) &amp; " GB"
  ),
  "×"
)</f>
        <v>99.37 GB</v>
      </c>
      <c r="G437" s="57" t="s">
        <v>2350</v>
      </c>
      <c r="H437" s="58" t="s">
        <v>2177</v>
      </c>
      <c r="I437" s="57"/>
      <c r="J437" s="7" t="s">
        <v>1105</v>
      </c>
      <c r="L437" s="37" t="s">
        <v>1053</v>
      </c>
      <c r="M437" s="37" t="s">
        <v>1053</v>
      </c>
      <c r="N437" s="8" t="s">
        <v>1197</v>
      </c>
      <c r="O437" s="7" t="s">
        <v>1105</v>
      </c>
      <c r="P437" s="57" t="str">
        <f>IFERROR(__xludf.DUMMYFUNCTION("XLOOKUP(JOIN(""/"",$A437:$B437),'source isilon_divまとめ'!$A:$A,'source isilon_divまとめ'!$D:$D,XLOOKUP(JOIN(""\"",$A437:$B437),'source NetApp-file-sv01-div'!A:A,TEXT('source NetApp-file-sv01-div'!C:C,""yyyy/mm/dd"")))"),"2020/01/22")</f>
        <v>2020/01/22</v>
      </c>
    </row>
    <row r="438">
      <c r="A438" s="8" t="s">
        <v>613</v>
      </c>
      <c r="B438" s="8" t="s">
        <v>104</v>
      </c>
      <c r="C438" s="8" t="s">
        <v>985</v>
      </c>
      <c r="D438" s="56">
        <f>IFERROR(__xludf.DUMMYFUNCTION("XLOOKUP(JOIN(""/"",$A438:$B438),'source merged_div_data'!$A:$A,'source merged_div_data'!B:B)"),176.0)</f>
        <v>176</v>
      </c>
      <c r="E438" s="56">
        <f>IFERROR(__xludf.DUMMYFUNCTION("XLOOKUP(JOIN(""/"",$A438:$B438),'source merged_div_data'!$A:$A,'source merged_div_data'!C:C)"),374.0)</f>
        <v>374</v>
      </c>
      <c r="F438" s="54" t="str">
        <f t="array" ref="F438">IFERROR(
  IFS(
    XLOOKUP(TEXTJOIN("/", TRUE, $A438:$B438), 'source merged_div_data'!$A:$A, 'source merged_div_data'!F:F) &lt; 1024,
      XLOOKUP(TEXTJOIN("/", TRUE, $A438:$B438), 'source merged_div_data'!$A:$A, 'source merged_div_data'!F:F) &amp; " B",
    XLOOKUP(TEXTJOIN("/", TRUE, $A438:$B438), 'source merged_div_data'!$A:$A, 'source merged_div_data'!F:F) &lt; 1048576,
      ROUND(XLOOKUP(TEXTJOIN("/", TRUE, $A438:$B438), 'source merged_div_data'!$A:$A, 'source merged_div_data'!F:F)/1024, 2) &amp; " KB",
    XLOOKUP(TEXTJOIN("/", TRUE, $A438:$B438), 'source merged_div_data'!$A:$A, 'source merged_div_data'!F:F) &lt; 1073741824,
      ROUND(XLOOKUP(TEXTJOIN("/", TRUE, $A438:$B438), 'source merged_div_data'!$A:$A, 'source merged_div_data'!F:F)/1048576, 2) &amp; " MB",
    TRUE,
      ROUND(XLOOKUP(TEXTJOIN("/", TRUE, $A438:$B438), 'source merged_div_data'!$A:$A, 'source merged_div_data'!F:F)/1073741824, 2) &amp; " GB"
  ),
  "×"
)</f>
        <v>1.44 GB</v>
      </c>
      <c r="G438" s="57" t="s">
        <v>2351</v>
      </c>
      <c r="H438" s="58" t="s">
        <v>2177</v>
      </c>
      <c r="I438" s="57"/>
      <c r="J438" s="37" t="s">
        <v>101</v>
      </c>
      <c r="K438" s="37" t="s">
        <v>104</v>
      </c>
      <c r="L438" s="37" t="s">
        <v>1053</v>
      </c>
      <c r="M438" s="37" t="s">
        <v>2027</v>
      </c>
      <c r="N438" s="8"/>
      <c r="P438" s="57" t="str">
        <f>IFERROR(__xludf.DUMMYFUNCTION("XLOOKUP(JOIN(""/"",$A438:$B438),'source isilon_divまとめ'!$A:$A,'source isilon_divまとめ'!$D:$D,XLOOKUP(JOIN(""\"",$A438:$B438),'source NetApp-file-sv01-div'!A:A,TEXT('source NetApp-file-sv01-div'!C:C,""yyyy/mm/dd"")))"),"2022/06/07")</f>
        <v>2022/06/07</v>
      </c>
    </row>
    <row r="439">
      <c r="A439" s="8" t="s">
        <v>613</v>
      </c>
      <c r="B439" s="8" t="s">
        <v>1111</v>
      </c>
      <c r="C439" s="8" t="s">
        <v>987</v>
      </c>
      <c r="D439" s="56">
        <f>IFERROR(__xludf.DUMMYFUNCTION("XLOOKUP(JOIN(""/"",$A439:$B439),'source merged_div_data'!$A:$A,'source merged_div_data'!B:B)"),28344.0)</f>
        <v>28344</v>
      </c>
      <c r="E439" s="56">
        <f>IFERROR(__xludf.DUMMYFUNCTION("XLOOKUP(JOIN(""/"",$A439:$B439),'source merged_div_data'!$A:$A,'source merged_div_data'!C:C)"),162482.0)</f>
        <v>162482</v>
      </c>
      <c r="F439" s="54" t="str">
        <f t="array" ref="F439">IFERROR(
  IFS(
    XLOOKUP(TEXTJOIN("/", TRUE, $A439:$B439), 'source merged_div_data'!$A:$A, 'source merged_div_data'!F:F) &lt; 1024,
      XLOOKUP(TEXTJOIN("/", TRUE, $A439:$B439), 'source merged_div_data'!$A:$A, 'source merged_div_data'!F:F) &amp; " B",
    XLOOKUP(TEXTJOIN("/", TRUE, $A439:$B439), 'source merged_div_data'!$A:$A, 'source merged_div_data'!F:F) &lt; 1048576,
      ROUND(XLOOKUP(TEXTJOIN("/", TRUE, $A439:$B439), 'source merged_div_data'!$A:$A, 'source merged_div_data'!F:F)/1024, 2) &amp; " KB",
    XLOOKUP(TEXTJOIN("/", TRUE, $A439:$B439), 'source merged_div_data'!$A:$A, 'source merged_div_data'!F:F) &lt; 1073741824,
      ROUND(XLOOKUP(TEXTJOIN("/", TRUE, $A439:$B439), 'source merged_div_data'!$A:$A, 'source merged_div_data'!F:F)/1048576, 2) &amp; " MB",
    TRUE,
      ROUND(XLOOKUP(TEXTJOIN("/", TRUE, $A439:$B439), 'source merged_div_data'!$A:$A, 'source merged_div_data'!F:F)/1073741824, 2) &amp; " GB"
  ),
  "×"
)</f>
        <v>76.53 GB</v>
      </c>
      <c r="G439" s="57" t="s">
        <v>2352</v>
      </c>
      <c r="H439" s="58" t="s">
        <v>2184</v>
      </c>
      <c r="I439" s="57"/>
      <c r="J439" s="7" t="s">
        <v>613</v>
      </c>
      <c r="K439" s="7" t="s">
        <v>1053</v>
      </c>
      <c r="L439" s="7" t="s">
        <v>1453</v>
      </c>
      <c r="M439" s="37" t="s">
        <v>1053</v>
      </c>
      <c r="N439" s="8"/>
      <c r="P439" s="57" t="str">
        <f>IFERROR(__xludf.DUMMYFUNCTION("XLOOKUP(JOIN(""/"",$A439:$B439),'source isilon_divまとめ'!$A:$A,'source isilon_divまとめ'!$D:$D,XLOOKUP(JOIN(""\"",$A439:$B439),'source NetApp-file-sv01-div'!A:A,TEXT('source NetApp-file-sv01-div'!C:C,""yyyy/mm/dd"")))"),"2025/07/09")</f>
        <v>2025/07/09</v>
      </c>
    </row>
    <row r="440">
      <c r="A440" s="8" t="s">
        <v>613</v>
      </c>
      <c r="B440" s="8" t="s">
        <v>106</v>
      </c>
      <c r="C440" s="8" t="s">
        <v>985</v>
      </c>
      <c r="D440" s="56">
        <f>IFERROR(__xludf.DUMMYFUNCTION("XLOOKUP(JOIN(""/"",$A440:$B440),'source merged_div_data'!$A:$A,'source merged_div_data'!B:B)"),7030.0)</f>
        <v>7030</v>
      </c>
      <c r="E440" s="56">
        <f>IFERROR(__xludf.DUMMYFUNCTION("XLOOKUP(JOIN(""/"",$A440:$B440),'source merged_div_data'!$A:$A,'source merged_div_data'!C:C)"),76429.0)</f>
        <v>76429</v>
      </c>
      <c r="F440" s="54" t="str">
        <f t="array" ref="F440">IFERROR(
  IFS(
    XLOOKUP(TEXTJOIN("/", TRUE, $A440:$B440), 'source merged_div_data'!$A:$A, 'source merged_div_data'!F:F) &lt; 1024,
      XLOOKUP(TEXTJOIN("/", TRUE, $A440:$B440), 'source merged_div_data'!$A:$A, 'source merged_div_data'!F:F) &amp; " B",
    XLOOKUP(TEXTJOIN("/", TRUE, $A440:$B440), 'source merged_div_data'!$A:$A, 'source merged_div_data'!F:F) &lt; 1048576,
      ROUND(XLOOKUP(TEXTJOIN("/", TRUE, $A440:$B440), 'source merged_div_data'!$A:$A, 'source merged_div_data'!F:F)/1024, 2) &amp; " KB",
    XLOOKUP(TEXTJOIN("/", TRUE, $A440:$B440), 'source merged_div_data'!$A:$A, 'source merged_div_data'!F:F) &lt; 1073741824,
      ROUND(XLOOKUP(TEXTJOIN("/", TRUE, $A440:$B440), 'source merged_div_data'!$A:$A, 'source merged_div_data'!F:F)/1048576, 2) &amp; " MB",
    TRUE,
      ROUND(XLOOKUP(TEXTJOIN("/", TRUE, $A440:$B440), 'source merged_div_data'!$A:$A, 'source merged_div_data'!F:F)/1073741824, 2) &amp; " GB"
  ),
  "×"
)</f>
        <v>12.42 GB</v>
      </c>
      <c r="G440" s="57" t="s">
        <v>2352</v>
      </c>
      <c r="H440" s="58" t="s">
        <v>2184</v>
      </c>
      <c r="I440" s="57"/>
      <c r="J440" s="37" t="s">
        <v>101</v>
      </c>
      <c r="K440" s="37" t="s">
        <v>106</v>
      </c>
      <c r="L440" s="37" t="s">
        <v>1053</v>
      </c>
      <c r="M440" s="37" t="s">
        <v>2149</v>
      </c>
      <c r="N440" s="8"/>
      <c r="P440" s="57" t="str">
        <f>IFERROR(__xludf.DUMMYFUNCTION("XLOOKUP(JOIN(""/"",$A440:$B440),'source isilon_divまとめ'!$A:$A,'source isilon_divまとめ'!$D:$D,XLOOKUP(JOIN(""\"",$A440:$B440),'source NetApp-file-sv01-div'!A:A,TEXT('source NetApp-file-sv01-div'!C:C,""yyyy/mm/dd"")))"),"2025/07/09")</f>
        <v>2025/07/09</v>
      </c>
    </row>
    <row r="441">
      <c r="A441" s="8" t="s">
        <v>1085</v>
      </c>
      <c r="B441" s="8" t="s">
        <v>1243</v>
      </c>
      <c r="C441" s="7" t="s">
        <v>988</v>
      </c>
      <c r="D441" s="56">
        <f>IFERROR(__xludf.DUMMYFUNCTION("XLOOKUP(JOIN(""/"",$A441:$B441),'source merged_div_data'!$A:$A,'source merged_div_data'!B:B)"),94.0)</f>
        <v>94</v>
      </c>
      <c r="E441" s="56">
        <f>IFERROR(__xludf.DUMMYFUNCTION("XLOOKUP(JOIN(""/"",$A441:$B441),'source merged_div_data'!$A:$A,'source merged_div_data'!C:C)"),387.0)</f>
        <v>387</v>
      </c>
      <c r="F441" s="54" t="str">
        <f t="array" ref="F441">IFERROR(
  IFS(
    XLOOKUP(TEXTJOIN("/", TRUE, $A441:$B441), 'source merged_div_data'!$A:$A, 'source merged_div_data'!F:F) &lt; 1024,
      XLOOKUP(TEXTJOIN("/", TRUE, $A441:$B441), 'source merged_div_data'!$A:$A, 'source merged_div_data'!F:F) &amp; " B",
    XLOOKUP(TEXTJOIN("/", TRUE, $A441:$B441), 'source merged_div_data'!$A:$A, 'source merged_div_data'!F:F) &lt; 1048576,
      ROUND(XLOOKUP(TEXTJOIN("/", TRUE, $A441:$B441), 'source merged_div_data'!$A:$A, 'source merged_div_data'!F:F)/1024, 2) &amp; " KB",
    XLOOKUP(TEXTJOIN("/", TRUE, $A441:$B441), 'source merged_div_data'!$A:$A, 'source merged_div_data'!F:F) &lt; 1073741824,
      ROUND(XLOOKUP(TEXTJOIN("/", TRUE, $A441:$B441), 'source merged_div_data'!$A:$A, 'source merged_div_data'!F:F)/1048576, 2) &amp; " MB",
    TRUE,
      ROUND(XLOOKUP(TEXTJOIN("/", TRUE, $A441:$B441), 'source merged_div_data'!$A:$A, 'source merged_div_data'!F:F)/1073741824, 2) &amp; " GB"
  ),
  "×"
)</f>
        <v>334.31 MB</v>
      </c>
      <c r="G441" s="57" t="s">
        <v>2353</v>
      </c>
      <c r="H441" s="58" t="s">
        <v>2177</v>
      </c>
      <c r="I441" s="57"/>
      <c r="J441" s="7" t="s">
        <v>1105</v>
      </c>
      <c r="L441" s="37" t="s">
        <v>1053</v>
      </c>
      <c r="M441" s="37" t="s">
        <v>1053</v>
      </c>
      <c r="N441" s="8" t="s">
        <v>1052</v>
      </c>
      <c r="O441" s="7" t="s">
        <v>1105</v>
      </c>
      <c r="P441" s="57" t="str">
        <f>IFERROR(__xludf.DUMMYFUNCTION("XLOOKUP(JOIN(""/"",$A441:$B441),'source isilon_divまとめ'!$A:$A,'source isilon_divまとめ'!$D:$D,XLOOKUP(JOIN(""\"",$A441:$B441),'source NetApp-file-sv01-div'!A:A,TEXT('source NetApp-file-sv01-div'!C:C,""yyyy/mm/dd"")))"),"2018/02/08")</f>
        <v>2018/02/08</v>
      </c>
    </row>
    <row r="442">
      <c r="A442" s="52" t="s">
        <v>1085</v>
      </c>
      <c r="B442" s="52" t="s">
        <v>1226</v>
      </c>
      <c r="C442" s="46" t="s">
        <v>986</v>
      </c>
      <c r="D442" s="53">
        <f>IFERROR(__xludf.DUMMYFUNCTION("XLOOKUP(JOIN(""/"",$A442:$B442),'source merged_div_data'!$A:$A,'source merged_div_data'!B:B)"),10.0)</f>
        <v>10</v>
      </c>
      <c r="E442" s="53">
        <f>IFERROR(__xludf.DUMMYFUNCTION("XLOOKUP(JOIN(""/"",$A442:$B442),'source merged_div_data'!$A:$A,'source merged_div_data'!C:C)"),0.0)</f>
        <v>0</v>
      </c>
      <c r="F442" s="54" t="str">
        <f t="array" ref="F442">IFERROR(
  IFS(
    XLOOKUP(TEXTJOIN("/", TRUE, $A442:$B442), 'source merged_div_data'!$A:$A, 'source merged_div_data'!F:F) &lt; 1024,
      XLOOKUP(TEXTJOIN("/", TRUE, $A442:$B442), 'source merged_div_data'!$A:$A, 'source merged_div_data'!F:F) &amp; " B",
    XLOOKUP(TEXTJOIN("/", TRUE, $A442:$B442), 'source merged_div_data'!$A:$A, 'source merged_div_data'!F:F) &lt; 1048576,
      ROUND(XLOOKUP(TEXTJOIN("/", TRUE, $A442:$B442), 'source merged_div_data'!$A:$A, 'source merged_div_data'!F:F)/1024, 2) &amp; " KB",
    XLOOKUP(TEXTJOIN("/", TRUE, $A442:$B442), 'source merged_div_data'!$A:$A, 'source merged_div_data'!F:F) &lt; 1073741824,
      ROUND(XLOOKUP(TEXTJOIN("/", TRUE, $A442:$B442), 'source merged_div_data'!$A:$A, 'source merged_div_data'!F:F)/1048576, 2) &amp; " MB",
    TRUE,
      ROUND(XLOOKUP(TEXTJOIN("/", TRUE, $A442:$B442), 'source merged_div_data'!$A:$A, 'source merged_div_data'!F:F)/1073741824, 2) &amp; " GB"
  ),
  "×"
)</f>
        <v>299 B</v>
      </c>
      <c r="G442" s="55" t="s">
        <v>1053</v>
      </c>
      <c r="H442" s="55"/>
      <c r="I442" s="55"/>
      <c r="J442" s="46" t="s">
        <v>391</v>
      </c>
      <c r="K442" s="55"/>
      <c r="L442" s="46" t="s">
        <v>2116</v>
      </c>
      <c r="M442" s="55" t="s">
        <v>1053</v>
      </c>
      <c r="N442" s="52" t="s">
        <v>1102</v>
      </c>
      <c r="O442" s="46" t="s">
        <v>391</v>
      </c>
      <c r="P442" s="37" t="str">
        <f>IFERROR(__xludf.DUMMYFUNCTION("XLOOKUP(JOIN(""/"",$A442:$B442),'source isilon_divまとめ'!$A:$A,'source isilon_divまとめ'!$D:$D,XLOOKUP(JOIN(""\"",$A442:$B442),'source NetApp-file-sv01-div'!A:A,TEXT('source NetApp-file-sv01-div'!C:C,""yyyy/mm/dd"")))"),"#N/A")</f>
        <v>#N/A</v>
      </c>
    </row>
    <row r="443">
      <c r="A443" s="52" t="s">
        <v>1085</v>
      </c>
      <c r="B443" s="52" t="s">
        <v>1334</v>
      </c>
      <c r="C443" s="46" t="s">
        <v>988</v>
      </c>
      <c r="D443" s="53">
        <f>IFERROR(__xludf.DUMMYFUNCTION("XLOOKUP(JOIN(""/"",$A443:$B443),'source merged_div_data'!$A:$A,'source merged_div_data'!B:B)"),6.0)</f>
        <v>6</v>
      </c>
      <c r="E443" s="53">
        <f>IFERROR(__xludf.DUMMYFUNCTION("XLOOKUP(JOIN(""/"",$A443:$B443),'source merged_div_data'!$A:$A,'source merged_div_data'!C:C)"),0.0)</f>
        <v>0</v>
      </c>
      <c r="F443" s="54" t="str">
        <f t="array" ref="F443">IFERROR(
  IFS(
    XLOOKUP(TEXTJOIN("/", TRUE, $A443:$B443), 'source merged_div_data'!$A:$A, 'source merged_div_data'!F:F) &lt; 1024,
      XLOOKUP(TEXTJOIN("/", TRUE, $A443:$B443), 'source merged_div_data'!$A:$A, 'source merged_div_data'!F:F) &amp; " B",
    XLOOKUP(TEXTJOIN("/", TRUE, $A443:$B443), 'source merged_div_data'!$A:$A, 'source merged_div_data'!F:F) &lt; 1048576,
      ROUND(XLOOKUP(TEXTJOIN("/", TRUE, $A443:$B443), 'source merged_div_data'!$A:$A, 'source merged_div_data'!F:F)/1024, 2) &amp; " KB",
    XLOOKUP(TEXTJOIN("/", TRUE, $A443:$B443), 'source merged_div_data'!$A:$A, 'source merged_div_data'!F:F) &lt; 1073741824,
      ROUND(XLOOKUP(TEXTJOIN("/", TRUE, $A443:$B443), 'source merged_div_data'!$A:$A, 'source merged_div_data'!F:F)/1048576, 2) &amp; " MB",
    TRUE,
      ROUND(XLOOKUP(TEXTJOIN("/", TRUE, $A443:$B443), 'source merged_div_data'!$A:$A, 'source merged_div_data'!F:F)/1073741824, 2) &amp; " GB"
  ),
  "×"
)</f>
        <v>167 B</v>
      </c>
      <c r="G443" s="55" t="s">
        <v>1053</v>
      </c>
      <c r="H443" s="55"/>
      <c r="I443" s="55"/>
      <c r="J443" s="46" t="s">
        <v>1105</v>
      </c>
      <c r="K443" s="55"/>
      <c r="L443" s="55" t="s">
        <v>1053</v>
      </c>
      <c r="M443" s="55" t="s">
        <v>1053</v>
      </c>
      <c r="N443" s="52" t="s">
        <v>1197</v>
      </c>
      <c r="O443" s="46" t="s">
        <v>1105</v>
      </c>
      <c r="P443" s="37" t="str">
        <f>IFERROR(__xludf.DUMMYFUNCTION("XLOOKUP(JOIN(""/"",$A443:$B443),'source isilon_divまとめ'!$A:$A,'source isilon_divまとめ'!$D:$D,XLOOKUP(JOIN(""\"",$A443:$B443),'source NetApp-file-sv01-div'!A:A,TEXT('source NetApp-file-sv01-div'!C:C,""yyyy/mm/dd"")))"),"#N/A")</f>
        <v>#N/A</v>
      </c>
    </row>
    <row r="444">
      <c r="A444" s="8" t="s">
        <v>1085</v>
      </c>
      <c r="B444" s="8" t="s">
        <v>1134</v>
      </c>
      <c r="C444" s="7" t="s">
        <v>987</v>
      </c>
      <c r="D444" s="56">
        <f>IFERROR(__xludf.DUMMYFUNCTION("XLOOKUP(JOIN(""/"",$A444:$B444),'source merged_div_data'!$A:$A,'source merged_div_data'!B:B)"),62.0)</f>
        <v>62</v>
      </c>
      <c r="E444" s="56">
        <f>IFERROR(__xludf.DUMMYFUNCTION("XLOOKUP(JOIN(""/"",$A444:$B444),'source merged_div_data'!$A:$A,'source merged_div_data'!C:C)"),197.0)</f>
        <v>197</v>
      </c>
      <c r="F444" s="54" t="str">
        <f t="array" ref="F444">IFERROR(
  IFS(
    XLOOKUP(TEXTJOIN("/", TRUE, $A444:$B444), 'source merged_div_data'!$A:$A, 'source merged_div_data'!F:F) &lt; 1024,
      XLOOKUP(TEXTJOIN("/", TRUE, $A444:$B444), 'source merged_div_data'!$A:$A, 'source merged_div_data'!F:F) &amp; " B",
    XLOOKUP(TEXTJOIN("/", TRUE, $A444:$B444), 'source merged_div_data'!$A:$A, 'source merged_div_data'!F:F) &lt; 1048576,
      ROUND(XLOOKUP(TEXTJOIN("/", TRUE, $A444:$B444), 'source merged_div_data'!$A:$A, 'source merged_div_data'!F:F)/1024, 2) &amp; " KB",
    XLOOKUP(TEXTJOIN("/", TRUE, $A444:$B444), 'source merged_div_data'!$A:$A, 'source merged_div_data'!F:F) &lt; 1073741824,
      ROUND(XLOOKUP(TEXTJOIN("/", TRUE, $A444:$B444), 'source merged_div_data'!$A:$A, 'source merged_div_data'!F:F)/1048576, 2) &amp; " MB",
    TRUE,
      ROUND(XLOOKUP(TEXTJOIN("/", TRUE, $A444:$B444), 'source merged_div_data'!$A:$A, 'source merged_div_data'!F:F)/1073741824, 2) &amp; " GB"
  ),
  "×"
)</f>
        <v>251.76 MB</v>
      </c>
      <c r="G444" s="57" t="s">
        <v>2354</v>
      </c>
      <c r="H444" s="58" t="s">
        <v>2177</v>
      </c>
      <c r="I444" s="57"/>
      <c r="J444" s="57"/>
      <c r="L444" s="37" t="s">
        <v>1053</v>
      </c>
      <c r="M444" s="7" t="s">
        <v>1467</v>
      </c>
      <c r="N444" s="8" t="s">
        <v>1102</v>
      </c>
      <c r="O444" s="7" t="s">
        <v>1215</v>
      </c>
      <c r="P444" s="57" t="str">
        <f>IFERROR(__xludf.DUMMYFUNCTION("XLOOKUP(JOIN(""/"",$A444:$B444),'source isilon_divまとめ'!$A:$A,'source isilon_divまとめ'!$D:$D,XLOOKUP(JOIN(""\"",$A444:$B444),'source NetApp-file-sv01-div'!A:A,TEXT('source NetApp-file-sv01-div'!C:C,""yyyy/mm/dd"")))"),"2017/10/06")</f>
        <v>2017/10/06</v>
      </c>
    </row>
    <row r="445">
      <c r="A445" s="8" t="s">
        <v>1085</v>
      </c>
      <c r="B445" s="8" t="s">
        <v>1109</v>
      </c>
      <c r="C445" s="7" t="s">
        <v>987</v>
      </c>
      <c r="D445" s="56">
        <f>IFERROR(__xludf.DUMMYFUNCTION("XLOOKUP(JOIN(""/"",$A445:$B445),'source merged_div_data'!$A:$A,'source merged_div_data'!B:B)"),139.0)</f>
        <v>139</v>
      </c>
      <c r="E445" s="56">
        <f>IFERROR(__xludf.DUMMYFUNCTION("XLOOKUP(JOIN(""/"",$A445:$B445),'source merged_div_data'!$A:$A,'source merged_div_data'!C:C)"),1590.0)</f>
        <v>1590</v>
      </c>
      <c r="F445" s="54" t="str">
        <f t="array" ref="F445">IFERROR(
  IFS(
    XLOOKUP(TEXTJOIN("/", TRUE, $A445:$B445), 'source merged_div_data'!$A:$A, 'source merged_div_data'!F:F) &lt; 1024,
      XLOOKUP(TEXTJOIN("/", TRUE, $A445:$B445), 'source merged_div_data'!$A:$A, 'source merged_div_data'!F:F) &amp; " B",
    XLOOKUP(TEXTJOIN("/", TRUE, $A445:$B445), 'source merged_div_data'!$A:$A, 'source merged_div_data'!F:F) &lt; 1048576,
      ROUND(XLOOKUP(TEXTJOIN("/", TRUE, $A445:$B445), 'source merged_div_data'!$A:$A, 'source merged_div_data'!F:F)/1024, 2) &amp; " KB",
    XLOOKUP(TEXTJOIN("/", TRUE, $A445:$B445), 'source merged_div_data'!$A:$A, 'source merged_div_data'!F:F) &lt; 1073741824,
      ROUND(XLOOKUP(TEXTJOIN("/", TRUE, $A445:$B445), 'source merged_div_data'!$A:$A, 'source merged_div_data'!F:F)/1048576, 2) &amp; " MB",
    TRUE,
      ROUND(XLOOKUP(TEXTJOIN("/", TRUE, $A445:$B445), 'source merged_div_data'!$A:$A, 'source merged_div_data'!F:F)/1073741824, 2) &amp; " GB"
  ),
  "×"
)</f>
        <v>2.14 GB</v>
      </c>
      <c r="G445" s="57" t="s">
        <v>2355</v>
      </c>
      <c r="H445" s="58" t="s">
        <v>2177</v>
      </c>
      <c r="I445" s="57"/>
      <c r="J445" s="7" t="s">
        <v>1242</v>
      </c>
      <c r="L445" s="37" t="s">
        <v>1053</v>
      </c>
      <c r="M445" s="7" t="s">
        <v>1421</v>
      </c>
      <c r="N445" s="8" t="s">
        <v>1102</v>
      </c>
      <c r="O445" s="7" t="s">
        <v>1110</v>
      </c>
      <c r="P445" s="57" t="str">
        <f>IFERROR(__xludf.DUMMYFUNCTION("XLOOKUP(JOIN(""/"",$A445:$B445),'source isilon_divまとめ'!$A:$A,'source isilon_divまとめ'!$D:$D,XLOOKUP(JOIN(""\"",$A445:$B445),'source NetApp-file-sv01-div'!A:A,TEXT('source NetApp-file-sv01-div'!C:C,""yyyy/mm/dd"")))"),"2018/12/26")</f>
        <v>2018/12/26</v>
      </c>
    </row>
    <row r="446">
      <c r="A446" s="8" t="s">
        <v>1085</v>
      </c>
      <c r="B446" s="8" t="s">
        <v>1335</v>
      </c>
      <c r="C446" s="7" t="s">
        <v>987</v>
      </c>
      <c r="D446" s="56">
        <f>IFERROR(__xludf.DUMMYFUNCTION("XLOOKUP(JOIN(""/"",$A446:$B446),'source merged_div_data'!$A:$A,'source merged_div_data'!B:B)"),4031.0)</f>
        <v>4031</v>
      </c>
      <c r="E446" s="56">
        <f>IFERROR(__xludf.DUMMYFUNCTION("XLOOKUP(JOIN(""/"",$A446:$B446),'source merged_div_data'!$A:$A,'source merged_div_data'!C:C)"),24465.0)</f>
        <v>24465</v>
      </c>
      <c r="F446" s="54" t="str">
        <f t="array" ref="F446">IFERROR(
  IFS(
    XLOOKUP(TEXTJOIN("/", TRUE, $A446:$B446), 'source merged_div_data'!$A:$A, 'source merged_div_data'!F:F) &lt; 1024,
      XLOOKUP(TEXTJOIN("/", TRUE, $A446:$B446), 'source merged_div_data'!$A:$A, 'source merged_div_data'!F:F) &amp; " B",
    XLOOKUP(TEXTJOIN("/", TRUE, $A446:$B446), 'source merged_div_data'!$A:$A, 'source merged_div_data'!F:F) &lt; 1048576,
      ROUND(XLOOKUP(TEXTJOIN("/", TRUE, $A446:$B446), 'source merged_div_data'!$A:$A, 'source merged_div_data'!F:F)/1024, 2) &amp; " KB",
    XLOOKUP(TEXTJOIN("/", TRUE, $A446:$B446), 'source merged_div_data'!$A:$A, 'source merged_div_data'!F:F) &lt; 1073741824,
      ROUND(XLOOKUP(TEXTJOIN("/", TRUE, $A446:$B446), 'source merged_div_data'!$A:$A, 'source merged_div_data'!F:F)/1048576, 2) &amp; " MB",
    TRUE,
      ROUND(XLOOKUP(TEXTJOIN("/", TRUE, $A446:$B446), 'source merged_div_data'!$A:$A, 'source merged_div_data'!F:F)/1073741824, 2) &amp; " GB"
  ),
  "×"
)</f>
        <v>48.15 GB</v>
      </c>
      <c r="G446" s="57" t="s">
        <v>2356</v>
      </c>
      <c r="H446" s="58" t="s">
        <v>2184</v>
      </c>
      <c r="I446" s="57"/>
      <c r="J446" s="7" t="s">
        <v>1242</v>
      </c>
      <c r="L446" s="7" t="s">
        <v>2135</v>
      </c>
      <c r="M446" s="37" t="s">
        <v>1053</v>
      </c>
      <c r="N446" s="8" t="s">
        <v>1102</v>
      </c>
      <c r="O446" s="7" t="s">
        <v>1215</v>
      </c>
      <c r="P446" s="57" t="str">
        <f>IFERROR(__xludf.DUMMYFUNCTION("XLOOKUP(JOIN(""/"",$A446:$B446),'source isilon_divまとめ'!$A:$A,'source isilon_divまとめ'!$D:$D,XLOOKUP(JOIN(""\"",$A446:$B446),'source NetApp-file-sv01-div'!A:A,TEXT('source NetApp-file-sv01-div'!C:C,""yyyy/mm/dd"")))"),"2025/06/03")</f>
        <v>2025/06/03</v>
      </c>
    </row>
    <row r="447">
      <c r="A447" s="8" t="s">
        <v>1085</v>
      </c>
      <c r="B447" s="8" t="s">
        <v>48</v>
      </c>
      <c r="C447" s="8" t="s">
        <v>985</v>
      </c>
      <c r="D447" s="56">
        <f>IFERROR(__xludf.DUMMYFUNCTION("XLOOKUP(JOIN(""/"",$A447:$B447),'source merged_div_data'!$A:$A,'source merged_div_data'!B:B)"),5233.0)</f>
        <v>5233</v>
      </c>
      <c r="E447" s="56">
        <f>IFERROR(__xludf.DUMMYFUNCTION("XLOOKUP(JOIN(""/"",$A447:$B447),'source merged_div_data'!$A:$A,'source merged_div_data'!C:C)"),53949.0)</f>
        <v>53949</v>
      </c>
      <c r="F447" s="54" t="str">
        <f t="array" ref="F447">IFERROR(
  IFS(
    XLOOKUP(TEXTJOIN("/", TRUE, $A447:$B447), 'source merged_div_data'!$A:$A, 'source merged_div_data'!F:F) &lt; 1024,
      XLOOKUP(TEXTJOIN("/", TRUE, $A447:$B447), 'source merged_div_data'!$A:$A, 'source merged_div_data'!F:F) &amp; " B",
    XLOOKUP(TEXTJOIN("/", TRUE, $A447:$B447), 'source merged_div_data'!$A:$A, 'source merged_div_data'!F:F) &lt; 1048576,
      ROUND(XLOOKUP(TEXTJOIN("/", TRUE, $A447:$B447), 'source merged_div_data'!$A:$A, 'source merged_div_data'!F:F)/1024, 2) &amp; " KB",
    XLOOKUP(TEXTJOIN("/", TRUE, $A447:$B447), 'source merged_div_data'!$A:$A, 'source merged_div_data'!F:F) &lt; 1073741824,
      ROUND(XLOOKUP(TEXTJOIN("/", TRUE, $A447:$B447), 'source merged_div_data'!$A:$A, 'source merged_div_data'!F:F)/1048576, 2) &amp; " MB",
    TRUE,
      ROUND(XLOOKUP(TEXTJOIN("/", TRUE, $A447:$B447), 'source merged_div_data'!$A:$A, 'source merged_div_data'!F:F)/1073741824, 2) &amp; " GB"
  ),
  "×"
)</f>
        <v>44.76 GB</v>
      </c>
      <c r="G447" s="57" t="s">
        <v>2357</v>
      </c>
      <c r="H447" s="58" t="s">
        <v>2177</v>
      </c>
      <c r="I447" s="57"/>
      <c r="J447" s="37" t="s">
        <v>38</v>
      </c>
      <c r="K447" s="37" t="s">
        <v>48</v>
      </c>
      <c r="L447" s="37" t="s">
        <v>1053</v>
      </c>
      <c r="M447" s="37" t="s">
        <v>1421</v>
      </c>
      <c r="N447" s="8"/>
      <c r="P447" s="57" t="str">
        <f>IFERROR(__xludf.DUMMYFUNCTION("XLOOKUP(JOIN(""/"",$A447:$B447),'source isilon_divまとめ'!$A:$A,'source isilon_divまとめ'!$D:$D,XLOOKUP(JOIN(""\"",$A447:$B447),'source NetApp-file-sv01-div'!A:A,TEXT('source NetApp-file-sv01-div'!C:C,""yyyy/mm/dd"")))"),"2018/05/16")</f>
        <v>2018/05/16</v>
      </c>
    </row>
    <row r="448">
      <c r="A448" s="8" t="s">
        <v>1085</v>
      </c>
      <c r="B448" s="8" t="s">
        <v>1111</v>
      </c>
      <c r="C448" s="7" t="s">
        <v>988</v>
      </c>
      <c r="D448" s="56">
        <f>IFERROR(__xludf.DUMMYFUNCTION("XLOOKUP(JOIN(""/"",$A448:$B448),'source merged_div_data'!$A:$A,'source merged_div_data'!B:B)"),1055.0)</f>
        <v>1055</v>
      </c>
      <c r="E448" s="56">
        <f>IFERROR(__xludf.DUMMYFUNCTION("XLOOKUP(JOIN(""/"",$A448:$B448),'source merged_div_data'!$A:$A,'source merged_div_data'!C:C)"),4443.0)</f>
        <v>4443</v>
      </c>
      <c r="F448" s="54" t="str">
        <f t="array" ref="F448">IFERROR(
  IFS(
    XLOOKUP(TEXTJOIN("/", TRUE, $A448:$B448), 'source merged_div_data'!$A:$A, 'source merged_div_data'!F:F) &lt; 1024,
      XLOOKUP(TEXTJOIN("/", TRUE, $A448:$B448), 'source merged_div_data'!$A:$A, 'source merged_div_data'!F:F) &amp; " B",
    XLOOKUP(TEXTJOIN("/", TRUE, $A448:$B448), 'source merged_div_data'!$A:$A, 'source merged_div_data'!F:F) &lt; 1048576,
      ROUND(XLOOKUP(TEXTJOIN("/", TRUE, $A448:$B448), 'source merged_div_data'!$A:$A, 'source merged_div_data'!F:F)/1024, 2) &amp; " KB",
    XLOOKUP(TEXTJOIN("/", TRUE, $A448:$B448), 'source merged_div_data'!$A:$A, 'source merged_div_data'!F:F) &lt; 1073741824,
      ROUND(XLOOKUP(TEXTJOIN("/", TRUE, $A448:$B448), 'source merged_div_data'!$A:$A, 'source merged_div_data'!F:F)/1048576, 2) &amp; " MB",
    TRUE,
      ROUND(XLOOKUP(TEXTJOIN("/", TRUE, $A448:$B448), 'source merged_div_data'!$A:$A, 'source merged_div_data'!F:F)/1073741824, 2) &amp; " GB"
  ),
  "×"
)</f>
        <v>12.65 GB</v>
      </c>
      <c r="G448" s="57" t="s">
        <v>2358</v>
      </c>
      <c r="H448" s="58" t="s">
        <v>2177</v>
      </c>
      <c r="I448" s="57"/>
      <c r="J448" s="7" t="s">
        <v>1105</v>
      </c>
      <c r="L448" s="37" t="s">
        <v>1053</v>
      </c>
      <c r="M448" s="37" t="s">
        <v>1053</v>
      </c>
      <c r="N448" s="8" t="s">
        <v>1102</v>
      </c>
      <c r="O448" s="7" t="s">
        <v>1105</v>
      </c>
      <c r="P448" s="57" t="str">
        <f>IFERROR(__xludf.DUMMYFUNCTION("XLOOKUP(JOIN(""/"",$A448:$B448),'source isilon_divまとめ'!$A:$A,'source isilon_divまとめ'!$D:$D,XLOOKUP(JOIN(""\"",$A448:$B448),'source NetApp-file-sv01-div'!A:A,TEXT('source NetApp-file-sv01-div'!C:C,""yyyy/mm/dd"")))"),"2020/04/14")</f>
        <v>2020/04/14</v>
      </c>
    </row>
    <row r="449">
      <c r="A449" s="8" t="s">
        <v>1085</v>
      </c>
      <c r="B449" s="8" t="s">
        <v>1246</v>
      </c>
      <c r="C449" s="7" t="s">
        <v>987</v>
      </c>
      <c r="D449" s="56">
        <f>IFERROR(__xludf.DUMMYFUNCTION("XLOOKUP(JOIN(""/"",$A449:$B449),'source merged_div_data'!$A:$A,'source merged_div_data'!B:B)"),11.0)</f>
        <v>11</v>
      </c>
      <c r="E449" s="56">
        <f>IFERROR(__xludf.DUMMYFUNCTION("XLOOKUP(JOIN(""/"",$A449:$B449),'source merged_div_data'!$A:$A,'source merged_div_data'!C:C)"),12.0)</f>
        <v>12</v>
      </c>
      <c r="F449" s="54" t="str">
        <f t="array" ref="F449">IFERROR(
  IFS(
    XLOOKUP(TEXTJOIN("/", TRUE, $A449:$B449), 'source merged_div_data'!$A:$A, 'source merged_div_data'!F:F) &lt; 1024,
      XLOOKUP(TEXTJOIN("/", TRUE, $A449:$B449), 'source merged_div_data'!$A:$A, 'source merged_div_data'!F:F) &amp; " B",
    XLOOKUP(TEXTJOIN("/", TRUE, $A449:$B449), 'source merged_div_data'!$A:$A, 'source merged_div_data'!F:F) &lt; 1048576,
      ROUND(XLOOKUP(TEXTJOIN("/", TRUE, $A449:$B449), 'source merged_div_data'!$A:$A, 'source merged_div_data'!F:F)/1024, 2) &amp; " KB",
    XLOOKUP(TEXTJOIN("/", TRUE, $A449:$B449), 'source merged_div_data'!$A:$A, 'source merged_div_data'!F:F) &lt; 1073741824,
      ROUND(XLOOKUP(TEXTJOIN("/", TRUE, $A449:$B449), 'source merged_div_data'!$A:$A, 'source merged_div_data'!F:F)/1048576, 2) &amp; " MB",
    TRUE,
      ROUND(XLOOKUP(TEXTJOIN("/", TRUE, $A449:$B449), 'source merged_div_data'!$A:$A, 'source merged_div_data'!F:F)/1073741824, 2) &amp; " GB"
  ),
  "×"
)</f>
        <v>119.9 KB</v>
      </c>
      <c r="G449" s="57" t="s">
        <v>2359</v>
      </c>
      <c r="H449" s="58" t="s">
        <v>2177</v>
      </c>
      <c r="I449" s="57"/>
      <c r="J449" s="7" t="s">
        <v>1242</v>
      </c>
      <c r="L449" s="7" t="s">
        <v>1547</v>
      </c>
      <c r="M449" s="37" t="s">
        <v>1053</v>
      </c>
      <c r="N449" s="8" t="s">
        <v>1313</v>
      </c>
      <c r="O449" s="7" t="s">
        <v>1246</v>
      </c>
      <c r="P449" s="57" t="str">
        <f>IFERROR(__xludf.DUMMYFUNCTION("XLOOKUP(JOIN(""/"",$A449:$B449),'source isilon_divまとめ'!$A:$A,'source isilon_divまとめ'!$D:$D,XLOOKUP(JOIN(""\"",$A449:$B449),'source NetApp-file-sv01-div'!A:A,TEXT('source NetApp-file-sv01-div'!C:C,""yyyy/mm/dd"")))"),"2019/02/09")</f>
        <v>2019/02/09</v>
      </c>
    </row>
    <row r="450">
      <c r="A450" s="8" t="s">
        <v>1085</v>
      </c>
      <c r="B450" s="8" t="s">
        <v>51</v>
      </c>
      <c r="C450" s="8" t="s">
        <v>985</v>
      </c>
      <c r="D450" s="56">
        <f>IFERROR(__xludf.DUMMYFUNCTION("XLOOKUP(JOIN(""/"",$A450:$B450),'source merged_div_data'!$A:$A,'source merged_div_data'!B:B)"),9.0)</f>
        <v>9</v>
      </c>
      <c r="E450" s="56">
        <f>IFERROR(__xludf.DUMMYFUNCTION("XLOOKUP(JOIN(""/"",$A450:$B450),'source merged_div_data'!$A:$A,'source merged_div_data'!C:C)"),2.0)</f>
        <v>2</v>
      </c>
      <c r="F450" s="54" t="str">
        <f t="array" ref="F450">IFERROR(
  IFS(
    XLOOKUP(TEXTJOIN("/", TRUE, $A450:$B450), 'source merged_div_data'!$A:$A, 'source merged_div_data'!F:F) &lt; 1024,
      XLOOKUP(TEXTJOIN("/", TRUE, $A450:$B450), 'source merged_div_data'!$A:$A, 'source merged_div_data'!F:F) &amp; " B",
    XLOOKUP(TEXTJOIN("/", TRUE, $A450:$B450), 'source merged_div_data'!$A:$A, 'source merged_div_data'!F:F) &lt; 1048576,
      ROUND(XLOOKUP(TEXTJOIN("/", TRUE, $A450:$B450), 'source merged_div_data'!$A:$A, 'source merged_div_data'!F:F)/1024, 2) &amp; " KB",
    XLOOKUP(TEXTJOIN("/", TRUE, $A450:$B450), 'source merged_div_data'!$A:$A, 'source merged_div_data'!F:F) &lt; 1073741824,
      ROUND(XLOOKUP(TEXTJOIN("/", TRUE, $A450:$B450), 'source merged_div_data'!$A:$A, 'source merged_div_data'!F:F)/1048576, 2) &amp; " MB",
    TRUE,
      ROUND(XLOOKUP(TEXTJOIN("/", TRUE, $A450:$B450), 'source merged_div_data'!$A:$A, 'source merged_div_data'!F:F)/1073741824, 2) &amp; " GB"
  ),
  "×"
)</f>
        <v>538.56 MB</v>
      </c>
      <c r="G450" s="57" t="s">
        <v>2360</v>
      </c>
      <c r="H450" s="58" t="s">
        <v>2177</v>
      </c>
      <c r="I450" s="57"/>
      <c r="J450" s="37" t="s">
        <v>38</v>
      </c>
      <c r="K450" s="37" t="s">
        <v>51</v>
      </c>
      <c r="L450" s="37" t="s">
        <v>1053</v>
      </c>
      <c r="M450" s="37" t="s">
        <v>2152</v>
      </c>
      <c r="N450" s="8"/>
      <c r="P450" s="57" t="str">
        <f>IFERROR(__xludf.DUMMYFUNCTION("XLOOKUP(JOIN(""/"",$A450:$B450),'source isilon_divまとめ'!$A:$A,'source isilon_divまとめ'!$D:$D,XLOOKUP(JOIN(""\"",$A450:$B450),'source NetApp-file-sv01-div'!A:A,TEXT('source NetApp-file-sv01-div'!C:C,""yyyy/mm/dd"")))"),"2018/03/30")</f>
        <v>2018/03/30</v>
      </c>
    </row>
    <row r="451">
      <c r="A451" s="8" t="s">
        <v>1085</v>
      </c>
      <c r="B451" s="8" t="s">
        <v>1336</v>
      </c>
      <c r="C451" s="7" t="s">
        <v>987</v>
      </c>
      <c r="D451" s="56">
        <f>IFERROR(__xludf.DUMMYFUNCTION("XLOOKUP(JOIN(""/"",$A451:$B451),'source merged_div_data'!$A:$A,'source merged_div_data'!B:B)"),23925.0)</f>
        <v>23925</v>
      </c>
      <c r="E451" s="56">
        <f>IFERROR(__xludf.DUMMYFUNCTION("XLOOKUP(JOIN(""/"",$A451:$B451),'source merged_div_data'!$A:$A,'source merged_div_data'!C:C)"),165351.0)</f>
        <v>165351</v>
      </c>
      <c r="F451" s="54" t="str">
        <f t="array" ref="F451">IFERROR(
  IFS(
    XLOOKUP(TEXTJOIN("/", TRUE, $A451:$B451), 'source merged_div_data'!$A:$A, 'source merged_div_data'!F:F) &lt; 1024,
      XLOOKUP(TEXTJOIN("/", TRUE, $A451:$B451), 'source merged_div_data'!$A:$A, 'source merged_div_data'!F:F) &amp; " B",
    XLOOKUP(TEXTJOIN("/", TRUE, $A451:$B451), 'source merged_div_data'!$A:$A, 'source merged_div_data'!F:F) &lt; 1048576,
      ROUND(XLOOKUP(TEXTJOIN("/", TRUE, $A451:$B451), 'source merged_div_data'!$A:$A, 'source merged_div_data'!F:F)/1024, 2) &amp; " KB",
    XLOOKUP(TEXTJOIN("/", TRUE, $A451:$B451), 'source merged_div_data'!$A:$A, 'source merged_div_data'!F:F) &lt; 1073741824,
      ROUND(XLOOKUP(TEXTJOIN("/", TRUE, $A451:$B451), 'source merged_div_data'!$A:$A, 'source merged_div_data'!F:F)/1048576, 2) &amp; " MB",
    TRUE,
      ROUND(XLOOKUP(TEXTJOIN("/", TRUE, $A451:$B451), 'source merged_div_data'!$A:$A, 'source merged_div_data'!F:F)/1073741824, 2) &amp; " GB"
  ),
  "×"
)</f>
        <v>224.33 GB</v>
      </c>
      <c r="G451" s="57" t="s">
        <v>2361</v>
      </c>
      <c r="H451" s="58" t="s">
        <v>2184</v>
      </c>
      <c r="I451" s="57"/>
      <c r="J451" s="7" t="s">
        <v>1242</v>
      </c>
      <c r="L451" s="7" t="s">
        <v>2135</v>
      </c>
      <c r="M451" s="37" t="s">
        <v>1053</v>
      </c>
      <c r="N451" s="8" t="s">
        <v>1102</v>
      </c>
      <c r="O451" s="7" t="s">
        <v>1108</v>
      </c>
      <c r="P451" s="57" t="str">
        <f>IFERROR(__xludf.DUMMYFUNCTION("XLOOKUP(JOIN(""/"",$A451:$B451),'source isilon_divまとめ'!$A:$A,'source isilon_divまとめ'!$D:$D,XLOOKUP(JOIN(""\"",$A451:$B451),'source NetApp-file-sv01-div'!A:A,TEXT('source NetApp-file-sv01-div'!C:C,""yyyy/mm/dd"")))"),"2024/02/06")</f>
        <v>2024/02/06</v>
      </c>
    </row>
    <row r="452">
      <c r="A452" s="8" t="s">
        <v>1085</v>
      </c>
      <c r="B452" s="8" t="s">
        <v>43</v>
      </c>
      <c r="C452" s="8" t="s">
        <v>985</v>
      </c>
      <c r="D452" s="56">
        <f>IFERROR(__xludf.DUMMYFUNCTION("XLOOKUP(JOIN(""/"",$A452:$B452),'source merged_div_data'!$A:$A,'source merged_div_data'!B:B)"),21.0)</f>
        <v>21</v>
      </c>
      <c r="E452" s="56">
        <f>IFERROR(__xludf.DUMMYFUNCTION("XLOOKUP(JOIN(""/"",$A452:$B452),'source merged_div_data'!$A:$A,'source merged_div_data'!C:C)"),30.0)</f>
        <v>30</v>
      </c>
      <c r="F452" s="54" t="str">
        <f t="array" ref="F452">IFERROR(
  IFS(
    XLOOKUP(TEXTJOIN("/", TRUE, $A452:$B452), 'source merged_div_data'!$A:$A, 'source merged_div_data'!F:F) &lt; 1024,
      XLOOKUP(TEXTJOIN("/", TRUE, $A452:$B452), 'source merged_div_data'!$A:$A, 'source merged_div_data'!F:F) &amp; " B",
    XLOOKUP(TEXTJOIN("/", TRUE, $A452:$B452), 'source merged_div_data'!$A:$A, 'source merged_div_data'!F:F) &lt; 1048576,
      ROUND(XLOOKUP(TEXTJOIN("/", TRUE, $A452:$B452), 'source merged_div_data'!$A:$A, 'source merged_div_data'!F:F)/1024, 2) &amp; " KB",
    XLOOKUP(TEXTJOIN("/", TRUE, $A452:$B452), 'source merged_div_data'!$A:$A, 'source merged_div_data'!F:F) &lt; 1073741824,
      ROUND(XLOOKUP(TEXTJOIN("/", TRUE, $A452:$B452), 'source merged_div_data'!$A:$A, 'source merged_div_data'!F:F)/1048576, 2) &amp; " MB",
    TRUE,
      ROUND(XLOOKUP(TEXTJOIN("/", TRUE, $A452:$B452), 'source merged_div_data'!$A:$A, 'source merged_div_data'!F:F)/1073741824, 2) &amp; " GB"
  ),
  "×"
)</f>
        <v>36.68 GB</v>
      </c>
      <c r="G452" s="57" t="s">
        <v>2362</v>
      </c>
      <c r="H452" s="58" t="s">
        <v>2177</v>
      </c>
      <c r="I452" s="57"/>
      <c r="J452" s="37" t="s">
        <v>38</v>
      </c>
      <c r="K452" s="37" t="s">
        <v>43</v>
      </c>
      <c r="L452" s="37" t="s">
        <v>1053</v>
      </c>
      <c r="M452" s="37" t="s">
        <v>1467</v>
      </c>
      <c r="N452" s="8"/>
      <c r="P452" s="57" t="str">
        <f>IFERROR(__xludf.DUMMYFUNCTION("XLOOKUP(JOIN(""/"",$A452:$B452),'source isilon_divまとめ'!$A:$A,'source isilon_divまとめ'!$D:$D,XLOOKUP(JOIN(""\"",$A452:$B452),'source NetApp-file-sv01-div'!A:A,TEXT('source NetApp-file-sv01-div'!C:C,""yyyy/mm/dd"")))"),"2017/08/15")</f>
        <v>2017/08/15</v>
      </c>
    </row>
    <row r="453">
      <c r="A453" s="52" t="s">
        <v>1085</v>
      </c>
      <c r="B453" s="52" t="s">
        <v>1113</v>
      </c>
      <c r="C453" s="46" t="s">
        <v>986</v>
      </c>
      <c r="D453" s="53">
        <f>IFERROR(__xludf.DUMMYFUNCTION("XLOOKUP(JOIN(""/"",$A453:$B453),'source merged_div_data'!$A:$A,'source merged_div_data'!B:B)"),10.0)</f>
        <v>10</v>
      </c>
      <c r="E453" s="53">
        <f>IFERROR(__xludf.DUMMYFUNCTION("XLOOKUP(JOIN(""/"",$A453:$B453),'source merged_div_data'!$A:$A,'source merged_div_data'!C:C)"),0.0)</f>
        <v>0</v>
      </c>
      <c r="F453" s="54" t="str">
        <f t="array" ref="F453">IFERROR(
  IFS(
    XLOOKUP(TEXTJOIN("/", TRUE, $A453:$B453), 'source merged_div_data'!$A:$A, 'source merged_div_data'!F:F) &lt; 1024,
      XLOOKUP(TEXTJOIN("/", TRUE, $A453:$B453), 'source merged_div_data'!$A:$A, 'source merged_div_data'!F:F) &amp; " B",
    XLOOKUP(TEXTJOIN("/", TRUE, $A453:$B453), 'source merged_div_data'!$A:$A, 'source merged_div_data'!F:F) &lt; 1048576,
      ROUND(XLOOKUP(TEXTJOIN("/", TRUE, $A453:$B453), 'source merged_div_data'!$A:$A, 'source merged_div_data'!F:F)/1024, 2) &amp; " KB",
    XLOOKUP(TEXTJOIN("/", TRUE, $A453:$B453), 'source merged_div_data'!$A:$A, 'source merged_div_data'!F:F) &lt; 1073741824,
      ROUND(XLOOKUP(TEXTJOIN("/", TRUE, $A453:$B453), 'source merged_div_data'!$A:$A, 'source merged_div_data'!F:F)/1048576, 2) &amp; " MB",
    TRUE,
      ROUND(XLOOKUP(TEXTJOIN("/", TRUE, $A453:$B453), 'source merged_div_data'!$A:$A, 'source merged_div_data'!F:F)/1073741824, 2) &amp; " GB"
  ),
  "×"
)</f>
        <v>299 B</v>
      </c>
      <c r="G453" s="55" t="s">
        <v>1053</v>
      </c>
      <c r="H453" s="55"/>
      <c r="I453" s="55"/>
      <c r="J453" s="46" t="s">
        <v>391</v>
      </c>
      <c r="K453" s="46" t="s">
        <v>395</v>
      </c>
      <c r="L453" s="46" t="s">
        <v>1053</v>
      </c>
      <c r="M453" s="46" t="s">
        <v>2092</v>
      </c>
      <c r="N453" s="52" t="s">
        <v>1102</v>
      </c>
      <c r="O453" s="46" t="s">
        <v>1110</v>
      </c>
      <c r="P453" s="37" t="str">
        <f>IFERROR(__xludf.DUMMYFUNCTION("XLOOKUP(JOIN(""/"",$A453:$B453),'source isilon_divまとめ'!$A:$A,'source isilon_divまとめ'!$D:$D,XLOOKUP(JOIN(""\"",$A453:$B453),'source NetApp-file-sv01-div'!A:A,TEXT('source NetApp-file-sv01-div'!C:C,""yyyy/mm/dd"")))"),"#N/A")</f>
        <v>#N/A</v>
      </c>
    </row>
    <row r="454">
      <c r="A454" s="8" t="s">
        <v>186</v>
      </c>
      <c r="B454" s="8" t="s">
        <v>1337</v>
      </c>
      <c r="C454" s="8" t="s">
        <v>985</v>
      </c>
      <c r="D454" s="56">
        <f>IFERROR(__xludf.DUMMYFUNCTION("XLOOKUP(JOIN(""/"",$A454:$B454),'source merged_div_data'!$A:$A,'source merged_div_data'!B:B)"),1964.0)</f>
        <v>1964</v>
      </c>
      <c r="E454" s="56">
        <f>IFERROR(__xludf.DUMMYFUNCTION("XLOOKUP(JOIN(""/"",$A454:$B454),'source merged_div_data'!$A:$A,'source merged_div_data'!C:C)"),7273.0)</f>
        <v>7273</v>
      </c>
      <c r="F454" s="54" t="str">
        <f t="array" ref="F454">IFERROR(
  IFS(
    XLOOKUP(TEXTJOIN("/", TRUE, $A454:$B454), 'source merged_div_data'!$A:$A, 'source merged_div_data'!F:F) &lt; 1024,
      XLOOKUP(TEXTJOIN("/", TRUE, $A454:$B454), 'source merged_div_data'!$A:$A, 'source merged_div_data'!F:F) &amp; " B",
    XLOOKUP(TEXTJOIN("/", TRUE, $A454:$B454), 'source merged_div_data'!$A:$A, 'source merged_div_data'!F:F) &lt; 1048576,
      ROUND(XLOOKUP(TEXTJOIN("/", TRUE, $A454:$B454), 'source merged_div_data'!$A:$A, 'source merged_div_data'!F:F)/1024, 2) &amp; " KB",
    XLOOKUP(TEXTJOIN("/", TRUE, $A454:$B454), 'source merged_div_data'!$A:$A, 'source merged_div_data'!F:F) &lt; 1073741824,
      ROUND(XLOOKUP(TEXTJOIN("/", TRUE, $A454:$B454), 'source merged_div_data'!$A:$A, 'source merged_div_data'!F:F)/1048576, 2) &amp; " MB",
    TRUE,
      ROUND(XLOOKUP(TEXTJOIN("/", TRUE, $A454:$B454), 'source merged_div_data'!$A:$A, 'source merged_div_data'!F:F)/1073741824, 2) &amp; " GB"
  ),
  "×"
)</f>
        <v>4.9 GB</v>
      </c>
      <c r="G454" s="57" t="s">
        <v>2363</v>
      </c>
      <c r="H454" s="58" t="s">
        <v>2184</v>
      </c>
      <c r="I454" s="57"/>
      <c r="J454" s="65" t="s">
        <v>516</v>
      </c>
      <c r="K454" s="37" t="s">
        <v>186</v>
      </c>
      <c r="L454" s="37" t="s">
        <v>1053</v>
      </c>
      <c r="M454" s="37" t="s">
        <v>1745</v>
      </c>
      <c r="N454" s="8"/>
      <c r="P454" s="57" t="str">
        <f>IFERROR(__xludf.DUMMYFUNCTION("XLOOKUP(JOIN(""/"",$A454:$B454),'source isilon_divまとめ'!$A:$A,'source isilon_divまとめ'!$D:$D,XLOOKUP(JOIN(""\"",$A454:$B454),'source NetApp-file-sv01-div'!A:A,TEXT('source NetApp-file-sv01-div'!C:C,""yyyy/mm/dd"")))"),"2025/05/28")</f>
        <v>2025/05/28</v>
      </c>
    </row>
    <row r="455">
      <c r="A455" s="8" t="s">
        <v>186</v>
      </c>
      <c r="B455" s="8" t="s">
        <v>1338</v>
      </c>
      <c r="C455" s="8" t="s">
        <v>985</v>
      </c>
      <c r="D455" s="56">
        <f>IFERROR(__xludf.DUMMYFUNCTION("XLOOKUP(JOIN(""/"",$A455:$B455),'source merged_div_data'!$A:$A,'source merged_div_data'!B:B)"),6.0)</f>
        <v>6</v>
      </c>
      <c r="E455" s="56">
        <f>IFERROR(__xludf.DUMMYFUNCTION("XLOOKUP(JOIN(""/"",$A455:$B455),'source merged_div_data'!$A:$A,'source merged_div_data'!C:C)"),3.0)</f>
        <v>3</v>
      </c>
      <c r="F455" s="54" t="str">
        <f t="array" ref="F455">IFERROR(
  IFS(
    XLOOKUP(TEXTJOIN("/", TRUE, $A455:$B455), 'source merged_div_data'!$A:$A, 'source merged_div_data'!F:F) &lt; 1024,
      XLOOKUP(TEXTJOIN("/", TRUE, $A455:$B455), 'source merged_div_data'!$A:$A, 'source merged_div_data'!F:F) &amp; " B",
    XLOOKUP(TEXTJOIN("/", TRUE, $A455:$B455), 'source merged_div_data'!$A:$A, 'source merged_div_data'!F:F) &lt; 1048576,
      ROUND(XLOOKUP(TEXTJOIN("/", TRUE, $A455:$B455), 'source merged_div_data'!$A:$A, 'source merged_div_data'!F:F)/1024, 2) &amp; " KB",
    XLOOKUP(TEXTJOIN("/", TRUE, $A455:$B455), 'source merged_div_data'!$A:$A, 'source merged_div_data'!F:F) &lt; 1073741824,
      ROUND(XLOOKUP(TEXTJOIN("/", TRUE, $A455:$B455), 'source merged_div_data'!$A:$A, 'source merged_div_data'!F:F)/1048576, 2) &amp; " MB",
    TRUE,
      ROUND(XLOOKUP(TEXTJOIN("/", TRUE, $A455:$B455), 'source merged_div_data'!$A:$A, 'source merged_div_data'!F:F)/1073741824, 2) &amp; " GB"
  ),
  "×"
)</f>
        <v>254.29 KB</v>
      </c>
      <c r="G455" s="57" t="s">
        <v>2364</v>
      </c>
      <c r="H455" s="58" t="s">
        <v>2177</v>
      </c>
      <c r="I455" s="57"/>
      <c r="J455" s="65" t="s">
        <v>516</v>
      </c>
      <c r="K455" s="37" t="s">
        <v>186</v>
      </c>
      <c r="L455" s="37" t="s">
        <v>1053</v>
      </c>
      <c r="M455" s="37" t="s">
        <v>1745</v>
      </c>
      <c r="N455" s="8"/>
      <c r="P455" s="57" t="str">
        <f>IFERROR(__xludf.DUMMYFUNCTION("XLOOKUP(JOIN(""/"",$A455:$B455),'source isilon_divまとめ'!$A:$A,'source isilon_divまとめ'!$D:$D,XLOOKUP(JOIN(""\"",$A455:$B455),'source NetApp-file-sv01-div'!A:A,TEXT('source NetApp-file-sv01-div'!C:C,""yyyy/mm/dd"")))"),"2022/09/12")</f>
        <v>2022/09/12</v>
      </c>
    </row>
    <row r="456">
      <c r="A456" s="52" t="s">
        <v>186</v>
      </c>
      <c r="B456" s="52" t="s">
        <v>518</v>
      </c>
      <c r="C456" s="46" t="s">
        <v>986</v>
      </c>
      <c r="D456" s="53">
        <f>IFERROR(__xludf.DUMMYFUNCTION("XLOOKUP(JOIN(""/"",$A456:$B456),'source merged_div_data'!$A:$A,'source merged_div_data'!B:B)"),3.0)</f>
        <v>3</v>
      </c>
      <c r="E456" s="53">
        <f>IFERROR(__xludf.DUMMYFUNCTION("XLOOKUP(JOIN(""/"",$A456:$B456),'source merged_div_data'!$A:$A,'source merged_div_data'!C:C)"),0.0)</f>
        <v>0</v>
      </c>
      <c r="F456" s="54" t="str">
        <f t="array" ref="F456">IFERROR(
  IFS(
    XLOOKUP(TEXTJOIN("/", TRUE, $A456:$B456), 'source merged_div_data'!$A:$A, 'source merged_div_data'!F:F) &lt; 1024,
      XLOOKUP(TEXTJOIN("/", TRUE, $A456:$B456), 'source merged_div_data'!$A:$A, 'source merged_div_data'!F:F) &amp; " B",
    XLOOKUP(TEXTJOIN("/", TRUE, $A456:$B456), 'source merged_div_data'!$A:$A, 'source merged_div_data'!F:F) &lt; 1048576,
      ROUND(XLOOKUP(TEXTJOIN("/", TRUE, $A456:$B456), 'source merged_div_data'!$A:$A, 'source merged_div_data'!F:F)/1024, 2) &amp; " KB",
    XLOOKUP(TEXTJOIN("/", TRUE, $A456:$B456), 'source merged_div_data'!$A:$A, 'source merged_div_data'!F:F) &lt; 1073741824,
      ROUND(XLOOKUP(TEXTJOIN("/", TRUE, $A456:$B456), 'source merged_div_data'!$A:$A, 'source merged_div_data'!F:F)/1048576, 2) &amp; " MB",
    TRUE,
      ROUND(XLOOKUP(TEXTJOIN("/", TRUE, $A456:$B456), 'source merged_div_data'!$A:$A, 'source merged_div_data'!F:F)/1073741824, 2) &amp; " GB"
  ),
  "×"
)</f>
        <v>67 B</v>
      </c>
      <c r="G456" s="55" t="s">
        <v>1053</v>
      </c>
      <c r="H456" s="55"/>
      <c r="I456" s="55"/>
      <c r="J456" s="66" t="s">
        <v>516</v>
      </c>
      <c r="K456" s="55" t="s">
        <v>186</v>
      </c>
      <c r="L456" s="55" t="s">
        <v>1053</v>
      </c>
      <c r="M456" s="55" t="s">
        <v>1745</v>
      </c>
      <c r="N456" s="52"/>
      <c r="O456" s="55"/>
      <c r="P456" s="37" t="str">
        <f>IFERROR(__xludf.DUMMYFUNCTION("XLOOKUP(JOIN(""/"",$A456:$B456),'source isilon_divまとめ'!$A:$A,'source isilon_divまとめ'!$D:$D,XLOOKUP(JOIN(""\"",$A456:$B456),'source NetApp-file-sv01-div'!A:A,TEXT('source NetApp-file-sv01-div'!C:C,""yyyy/mm/dd"")))"),"#N/A")</f>
        <v>#N/A</v>
      </c>
    </row>
    <row r="457">
      <c r="A457" s="8" t="s">
        <v>186</v>
      </c>
      <c r="B457" s="8" t="s">
        <v>1339</v>
      </c>
      <c r="C457" s="8" t="s">
        <v>985</v>
      </c>
      <c r="D457" s="56">
        <f>IFERROR(__xludf.DUMMYFUNCTION("XLOOKUP(JOIN(""/"",$A457:$B457),'source merged_div_data'!$A:$A,'source merged_div_data'!B:B)"),194.0)</f>
        <v>194</v>
      </c>
      <c r="E457" s="56">
        <f>IFERROR(__xludf.DUMMYFUNCTION("XLOOKUP(JOIN(""/"",$A457:$B457),'source merged_div_data'!$A:$A,'source merged_div_data'!C:C)"),1019.0)</f>
        <v>1019</v>
      </c>
      <c r="F457" s="54" t="str">
        <f t="array" ref="F457">IFERROR(
  IFS(
    XLOOKUP(TEXTJOIN("/", TRUE, $A457:$B457), 'source merged_div_data'!$A:$A, 'source merged_div_data'!F:F) &lt; 1024,
      XLOOKUP(TEXTJOIN("/", TRUE, $A457:$B457), 'source merged_div_data'!$A:$A, 'source merged_div_data'!F:F) &amp; " B",
    XLOOKUP(TEXTJOIN("/", TRUE, $A457:$B457), 'source merged_div_data'!$A:$A, 'source merged_div_data'!F:F) &lt; 1048576,
      ROUND(XLOOKUP(TEXTJOIN("/", TRUE, $A457:$B457), 'source merged_div_data'!$A:$A, 'source merged_div_data'!F:F)/1024, 2) &amp; " KB",
    XLOOKUP(TEXTJOIN("/", TRUE, $A457:$B457), 'source merged_div_data'!$A:$A, 'source merged_div_data'!F:F) &lt; 1073741824,
      ROUND(XLOOKUP(TEXTJOIN("/", TRUE, $A457:$B457), 'source merged_div_data'!$A:$A, 'source merged_div_data'!F:F)/1048576, 2) &amp; " MB",
    TRUE,
      ROUND(XLOOKUP(TEXTJOIN("/", TRUE, $A457:$B457), 'source merged_div_data'!$A:$A, 'source merged_div_data'!F:F)/1073741824, 2) &amp; " GB"
  ),
  "×"
)</f>
        <v>10.48 GB</v>
      </c>
      <c r="G457" s="57" t="s">
        <v>2363</v>
      </c>
      <c r="H457" s="58" t="s">
        <v>2184</v>
      </c>
      <c r="I457" s="57"/>
      <c r="J457" s="65" t="s">
        <v>516</v>
      </c>
      <c r="K457" s="37" t="s">
        <v>186</v>
      </c>
      <c r="L457" s="37" t="s">
        <v>1053</v>
      </c>
      <c r="M457" s="37" t="s">
        <v>1745</v>
      </c>
      <c r="N457" s="8"/>
      <c r="P457" s="57" t="str">
        <f>IFERROR(__xludf.DUMMYFUNCTION("XLOOKUP(JOIN(""/"",$A457:$B457),'source isilon_divまとめ'!$A:$A,'source isilon_divまとめ'!$D:$D,XLOOKUP(JOIN(""\"",$A457:$B457),'source NetApp-file-sv01-div'!A:A,TEXT('source NetApp-file-sv01-div'!C:C,""yyyy/mm/dd"")))"),"2025/05/28")</f>
        <v>2025/05/28</v>
      </c>
    </row>
    <row r="458">
      <c r="A458" s="52" t="s">
        <v>186</v>
      </c>
      <c r="B458" s="52" t="s">
        <v>1340</v>
      </c>
      <c r="C458" s="46" t="s">
        <v>986</v>
      </c>
      <c r="D458" s="53">
        <f>IFERROR(__xludf.DUMMYFUNCTION("XLOOKUP(JOIN(""/"",$A458:$B458),'source merged_div_data'!$A:$A,'source merged_div_data'!B:B)"),2.0)</f>
        <v>2</v>
      </c>
      <c r="E458" s="53">
        <f>IFERROR(__xludf.DUMMYFUNCTION("XLOOKUP(JOIN(""/"",$A458:$B458),'source merged_div_data'!$A:$A,'source merged_div_data'!C:C)"),0.0)</f>
        <v>0</v>
      </c>
      <c r="F458" s="54" t="str">
        <f t="array" ref="F458">IFERROR(
  IFS(
    XLOOKUP(TEXTJOIN("/", TRUE, $A458:$B458), 'source merged_div_data'!$A:$A, 'source merged_div_data'!F:F) &lt; 1024,
      XLOOKUP(TEXTJOIN("/", TRUE, $A458:$B458), 'source merged_div_data'!$A:$A, 'source merged_div_data'!F:F) &amp; " B",
    XLOOKUP(TEXTJOIN("/", TRUE, $A458:$B458), 'source merged_div_data'!$A:$A, 'source merged_div_data'!F:F) &lt; 1048576,
      ROUND(XLOOKUP(TEXTJOIN("/", TRUE, $A458:$B458), 'source merged_div_data'!$A:$A, 'source merged_div_data'!F:F)/1024, 2) &amp; " KB",
    XLOOKUP(TEXTJOIN("/", TRUE, $A458:$B458), 'source merged_div_data'!$A:$A, 'source merged_div_data'!F:F) &lt; 1073741824,
      ROUND(XLOOKUP(TEXTJOIN("/", TRUE, $A458:$B458), 'source merged_div_data'!$A:$A, 'source merged_div_data'!F:F)/1048576, 2) &amp; " MB",
    TRUE,
      ROUND(XLOOKUP(TEXTJOIN("/", TRUE, $A458:$B458), 'source merged_div_data'!$A:$A, 'source merged_div_data'!F:F)/1073741824, 2) &amp; " GB"
  ),
  "×"
)</f>
        <v>36 B</v>
      </c>
      <c r="G458" s="55" t="s">
        <v>1053</v>
      </c>
      <c r="H458" s="55"/>
      <c r="I458" s="55"/>
      <c r="J458" s="66" t="s">
        <v>516</v>
      </c>
      <c r="K458" s="55" t="s">
        <v>186</v>
      </c>
      <c r="L458" s="55" t="s">
        <v>1053</v>
      </c>
      <c r="M458" s="55" t="s">
        <v>1745</v>
      </c>
      <c r="N458" s="52"/>
      <c r="O458" s="55"/>
      <c r="P458" s="37" t="str">
        <f>IFERROR(__xludf.DUMMYFUNCTION("XLOOKUP(JOIN(""/"",$A458:$B458),'source isilon_divまとめ'!$A:$A,'source isilon_divまとめ'!$D:$D,XLOOKUP(JOIN(""\"",$A458:$B458),'source NetApp-file-sv01-div'!A:A,TEXT('source NetApp-file-sv01-div'!C:C,""yyyy/mm/dd"")))"),"#N/A")</f>
        <v>#N/A</v>
      </c>
    </row>
    <row r="459">
      <c r="A459" s="8" t="s">
        <v>186</v>
      </c>
      <c r="B459" s="8" t="s">
        <v>1341</v>
      </c>
      <c r="C459" s="8" t="s">
        <v>985</v>
      </c>
      <c r="D459" s="56">
        <f>IFERROR(__xludf.DUMMYFUNCTION("XLOOKUP(JOIN(""/"",$A459:$B459),'source merged_div_data'!$A:$A,'source merged_div_data'!B:B)"),109.0)</f>
        <v>109</v>
      </c>
      <c r="E459" s="56">
        <f>IFERROR(__xludf.DUMMYFUNCTION("XLOOKUP(JOIN(""/"",$A459:$B459),'source merged_div_data'!$A:$A,'source merged_div_data'!C:C)"),790.0)</f>
        <v>790</v>
      </c>
      <c r="F459" s="54" t="str">
        <f t="array" ref="F459">IFERROR(
  IFS(
    XLOOKUP(TEXTJOIN("/", TRUE, $A459:$B459), 'source merged_div_data'!$A:$A, 'source merged_div_data'!F:F) &lt; 1024,
      XLOOKUP(TEXTJOIN("/", TRUE, $A459:$B459), 'source merged_div_data'!$A:$A, 'source merged_div_data'!F:F) &amp; " B",
    XLOOKUP(TEXTJOIN("/", TRUE, $A459:$B459), 'source merged_div_data'!$A:$A, 'source merged_div_data'!F:F) &lt; 1048576,
      ROUND(XLOOKUP(TEXTJOIN("/", TRUE, $A459:$B459), 'source merged_div_data'!$A:$A, 'source merged_div_data'!F:F)/1024, 2) &amp; " KB",
    XLOOKUP(TEXTJOIN("/", TRUE, $A459:$B459), 'source merged_div_data'!$A:$A, 'source merged_div_data'!F:F) &lt; 1073741824,
      ROUND(XLOOKUP(TEXTJOIN("/", TRUE, $A459:$B459), 'source merged_div_data'!$A:$A, 'source merged_div_data'!F:F)/1048576, 2) &amp; " MB",
    TRUE,
      ROUND(XLOOKUP(TEXTJOIN("/", TRUE, $A459:$B459), 'source merged_div_data'!$A:$A, 'source merged_div_data'!F:F)/1073741824, 2) &amp; " GB"
  ),
  "×"
)</f>
        <v>438.05 MB</v>
      </c>
      <c r="G459" s="57" t="s">
        <v>2363</v>
      </c>
      <c r="H459" s="58" t="s">
        <v>2184</v>
      </c>
      <c r="I459" s="57"/>
      <c r="J459" s="65" t="s">
        <v>516</v>
      </c>
      <c r="K459" s="37" t="s">
        <v>186</v>
      </c>
      <c r="L459" s="37" t="s">
        <v>1053</v>
      </c>
      <c r="M459" s="37" t="s">
        <v>1745</v>
      </c>
      <c r="N459" s="8"/>
      <c r="P459" s="57" t="str">
        <f>IFERROR(__xludf.DUMMYFUNCTION("XLOOKUP(JOIN(""/"",$A459:$B459),'source isilon_divまとめ'!$A:$A,'source isilon_divまとめ'!$D:$D,XLOOKUP(JOIN(""\"",$A459:$B459),'source NetApp-file-sv01-div'!A:A,TEXT('source NetApp-file-sv01-div'!C:C,""yyyy/mm/dd"")))"),"2025/05/28")</f>
        <v>2025/05/28</v>
      </c>
    </row>
    <row r="460">
      <c r="A460" s="8" t="s">
        <v>186</v>
      </c>
      <c r="B460" s="8" t="s">
        <v>1342</v>
      </c>
      <c r="C460" s="8" t="s">
        <v>985</v>
      </c>
      <c r="D460" s="56">
        <f>IFERROR(__xludf.DUMMYFUNCTION("XLOOKUP(JOIN(""/"",$A460:$B460),'source merged_div_data'!$A:$A,'source merged_div_data'!B:B)"),1.0)</f>
        <v>1</v>
      </c>
      <c r="E460" s="56">
        <f>IFERROR(__xludf.DUMMYFUNCTION("XLOOKUP(JOIN(""/"",$A460:$B460),'source merged_div_data'!$A:$A,'source merged_div_data'!C:C)"),2.0)</f>
        <v>2</v>
      </c>
      <c r="F460" s="54" t="str">
        <f t="array" ref="F460">IFERROR(
  IFS(
    XLOOKUP(TEXTJOIN("/", TRUE, $A460:$B460), 'source merged_div_data'!$A:$A, 'source merged_div_data'!F:F) &lt; 1024,
      XLOOKUP(TEXTJOIN("/", TRUE, $A460:$B460), 'source merged_div_data'!$A:$A, 'source merged_div_data'!F:F) &amp; " B",
    XLOOKUP(TEXTJOIN("/", TRUE, $A460:$B460), 'source merged_div_data'!$A:$A, 'source merged_div_data'!F:F) &lt; 1048576,
      ROUND(XLOOKUP(TEXTJOIN("/", TRUE, $A460:$B460), 'source merged_div_data'!$A:$A, 'source merged_div_data'!F:F)/1024, 2) &amp; " KB",
    XLOOKUP(TEXTJOIN("/", TRUE, $A460:$B460), 'source merged_div_data'!$A:$A, 'source merged_div_data'!F:F) &lt; 1073741824,
      ROUND(XLOOKUP(TEXTJOIN("/", TRUE, $A460:$B460), 'source merged_div_data'!$A:$A, 'source merged_div_data'!F:F)/1048576, 2) &amp; " MB",
    TRUE,
      ROUND(XLOOKUP(TEXTJOIN("/", TRUE, $A460:$B460), 'source merged_div_data'!$A:$A, 'source merged_div_data'!F:F)/1073741824, 2) &amp; " GB"
  ),
  "×"
)</f>
        <v>811.87 KB</v>
      </c>
      <c r="G460" s="57" t="s">
        <v>2365</v>
      </c>
      <c r="H460" s="58" t="s">
        <v>2177</v>
      </c>
      <c r="I460" s="57"/>
      <c r="J460" s="65" t="s">
        <v>516</v>
      </c>
      <c r="K460" s="37" t="s">
        <v>186</v>
      </c>
      <c r="L460" s="37" t="s">
        <v>1053</v>
      </c>
      <c r="M460" s="37" t="s">
        <v>1745</v>
      </c>
      <c r="N460" s="8"/>
      <c r="P460" s="57" t="str">
        <f>IFERROR(__xludf.DUMMYFUNCTION("XLOOKUP(JOIN(""/"",$A460:$B460),'source isilon_divまとめ'!$A:$A,'source isilon_divまとめ'!$D:$D,XLOOKUP(JOIN(""\"",$A460:$B460),'source NetApp-file-sv01-div'!A:A,TEXT('source NetApp-file-sv01-div'!C:C,""yyyy/mm/dd"")))"),"2022/02/03")</f>
        <v>2022/02/03</v>
      </c>
    </row>
    <row r="461">
      <c r="A461" s="8" t="s">
        <v>186</v>
      </c>
      <c r="B461" s="8" t="s">
        <v>1343</v>
      </c>
      <c r="C461" s="8" t="s">
        <v>985</v>
      </c>
      <c r="D461" s="56">
        <f>IFERROR(__xludf.DUMMYFUNCTION("XLOOKUP(JOIN(""/"",$A461:$B461),'source merged_div_data'!$A:$A,'source merged_div_data'!B:B)"),4064.0)</f>
        <v>4064</v>
      </c>
      <c r="E461" s="56">
        <f>IFERROR(__xludf.DUMMYFUNCTION("XLOOKUP(JOIN(""/"",$A461:$B461),'source merged_div_data'!$A:$A,'source merged_div_data'!C:C)"),13606.0)</f>
        <v>13606</v>
      </c>
      <c r="F461" s="54" t="str">
        <f t="array" ref="F461">IFERROR(
  IFS(
    XLOOKUP(TEXTJOIN("/", TRUE, $A461:$B461), 'source merged_div_data'!$A:$A, 'source merged_div_data'!F:F) &lt; 1024,
      XLOOKUP(TEXTJOIN("/", TRUE, $A461:$B461), 'source merged_div_data'!$A:$A, 'source merged_div_data'!F:F) &amp; " B",
    XLOOKUP(TEXTJOIN("/", TRUE, $A461:$B461), 'source merged_div_data'!$A:$A, 'source merged_div_data'!F:F) &lt; 1048576,
      ROUND(XLOOKUP(TEXTJOIN("/", TRUE, $A461:$B461), 'source merged_div_data'!$A:$A, 'source merged_div_data'!F:F)/1024, 2) &amp; " KB",
    XLOOKUP(TEXTJOIN("/", TRUE, $A461:$B461), 'source merged_div_data'!$A:$A, 'source merged_div_data'!F:F) &lt; 1073741824,
      ROUND(XLOOKUP(TEXTJOIN("/", TRUE, $A461:$B461), 'source merged_div_data'!$A:$A, 'source merged_div_data'!F:F)/1048576, 2) &amp; " MB",
    TRUE,
      ROUND(XLOOKUP(TEXTJOIN("/", TRUE, $A461:$B461), 'source merged_div_data'!$A:$A, 'source merged_div_data'!F:F)/1073741824, 2) &amp; " GB"
  ),
  "×"
)</f>
        <v>23.44 GB</v>
      </c>
      <c r="G461" s="57" t="s">
        <v>2366</v>
      </c>
      <c r="H461" s="58" t="s">
        <v>2184</v>
      </c>
      <c r="I461" s="57"/>
      <c r="J461" s="65" t="s">
        <v>516</v>
      </c>
      <c r="K461" s="37" t="s">
        <v>186</v>
      </c>
      <c r="L461" s="37" t="s">
        <v>1053</v>
      </c>
      <c r="M461" s="37" t="s">
        <v>1745</v>
      </c>
      <c r="N461" s="8"/>
      <c r="P461" s="57" t="str">
        <f>IFERROR(__xludf.DUMMYFUNCTION("XLOOKUP(JOIN(""/"",$A461:$B461),'source isilon_divまとめ'!$A:$A,'source isilon_divまとめ'!$D:$D,XLOOKUP(JOIN(""\"",$A461:$B461),'source NetApp-file-sv01-div'!A:A,TEXT('source NetApp-file-sv01-div'!C:C,""yyyy/mm/dd"")))"),"2025/02/19")</f>
        <v>2025/02/19</v>
      </c>
    </row>
    <row r="462">
      <c r="A462" s="8" t="s">
        <v>186</v>
      </c>
      <c r="B462" s="8" t="s">
        <v>1344</v>
      </c>
      <c r="C462" s="8" t="s">
        <v>985</v>
      </c>
      <c r="D462" s="56">
        <f>IFERROR(__xludf.DUMMYFUNCTION("XLOOKUP(JOIN(""/"",$A462:$B462),'source merged_div_data'!$A:$A,'source merged_div_data'!B:B)"),1591.0)</f>
        <v>1591</v>
      </c>
      <c r="E462" s="56">
        <f>IFERROR(__xludf.DUMMYFUNCTION("XLOOKUP(JOIN(""/"",$A462:$B462),'source merged_div_data'!$A:$A,'source merged_div_data'!C:C)"),4218.0)</f>
        <v>4218</v>
      </c>
      <c r="F462" s="54" t="str">
        <f t="array" ref="F462">IFERROR(
  IFS(
    XLOOKUP(TEXTJOIN("/", TRUE, $A462:$B462), 'source merged_div_data'!$A:$A, 'source merged_div_data'!F:F) &lt; 1024,
      XLOOKUP(TEXTJOIN("/", TRUE, $A462:$B462), 'source merged_div_data'!$A:$A, 'source merged_div_data'!F:F) &amp; " B",
    XLOOKUP(TEXTJOIN("/", TRUE, $A462:$B462), 'source merged_div_data'!$A:$A, 'source merged_div_data'!F:F) &lt; 1048576,
      ROUND(XLOOKUP(TEXTJOIN("/", TRUE, $A462:$B462), 'source merged_div_data'!$A:$A, 'source merged_div_data'!F:F)/1024, 2) &amp; " KB",
    XLOOKUP(TEXTJOIN("/", TRUE, $A462:$B462), 'source merged_div_data'!$A:$A, 'source merged_div_data'!F:F) &lt; 1073741824,
      ROUND(XLOOKUP(TEXTJOIN("/", TRUE, $A462:$B462), 'source merged_div_data'!$A:$A, 'source merged_div_data'!F:F)/1048576, 2) &amp; " MB",
    TRUE,
      ROUND(XLOOKUP(TEXTJOIN("/", TRUE, $A462:$B462), 'source merged_div_data'!$A:$A, 'source merged_div_data'!F:F)/1073741824, 2) &amp; " GB"
  ),
  "×"
)</f>
        <v>5.27 GB</v>
      </c>
      <c r="G462" s="57" t="s">
        <v>2363</v>
      </c>
      <c r="H462" s="58" t="s">
        <v>2184</v>
      </c>
      <c r="I462" s="57"/>
      <c r="J462" s="65" t="s">
        <v>516</v>
      </c>
      <c r="K462" s="37" t="s">
        <v>186</v>
      </c>
      <c r="L462" s="37" t="s">
        <v>1053</v>
      </c>
      <c r="M462" s="37" t="s">
        <v>1745</v>
      </c>
      <c r="N462" s="8"/>
      <c r="P462" s="57" t="str">
        <f>IFERROR(__xludf.DUMMYFUNCTION("XLOOKUP(JOIN(""/"",$A462:$B462),'source isilon_divまとめ'!$A:$A,'source isilon_divまとめ'!$D:$D,XLOOKUP(JOIN(""\"",$A462:$B462),'source NetApp-file-sv01-div'!A:A,TEXT('source NetApp-file-sv01-div'!C:C,""yyyy/mm/dd"")))"),"2025/05/28")</f>
        <v>2025/05/28</v>
      </c>
    </row>
    <row r="463">
      <c r="A463" s="8" t="s">
        <v>186</v>
      </c>
      <c r="B463" s="8" t="s">
        <v>444</v>
      </c>
      <c r="C463" s="8" t="s">
        <v>985</v>
      </c>
      <c r="D463" s="56">
        <f>IFERROR(__xludf.DUMMYFUNCTION("XLOOKUP(JOIN(""/"",$A463:$B463),'source merged_div_data'!$A:$A,'source merged_div_data'!B:B)"),10.0)</f>
        <v>10</v>
      </c>
      <c r="E463" s="56">
        <f>IFERROR(__xludf.DUMMYFUNCTION("XLOOKUP(JOIN(""/"",$A463:$B463),'source merged_div_data'!$A:$A,'source merged_div_data'!C:C)"),173.0)</f>
        <v>173</v>
      </c>
      <c r="F463" s="54" t="str">
        <f t="array" ref="F463">IFERROR(
  IFS(
    XLOOKUP(TEXTJOIN("/", TRUE, $A463:$B463), 'source merged_div_data'!$A:$A, 'source merged_div_data'!F:F) &lt; 1024,
      XLOOKUP(TEXTJOIN("/", TRUE, $A463:$B463), 'source merged_div_data'!$A:$A, 'source merged_div_data'!F:F) &amp; " B",
    XLOOKUP(TEXTJOIN("/", TRUE, $A463:$B463), 'source merged_div_data'!$A:$A, 'source merged_div_data'!F:F) &lt; 1048576,
      ROUND(XLOOKUP(TEXTJOIN("/", TRUE, $A463:$B463), 'source merged_div_data'!$A:$A, 'source merged_div_data'!F:F)/1024, 2) &amp; " KB",
    XLOOKUP(TEXTJOIN("/", TRUE, $A463:$B463), 'source merged_div_data'!$A:$A, 'source merged_div_data'!F:F) &lt; 1073741824,
      ROUND(XLOOKUP(TEXTJOIN("/", TRUE, $A463:$B463), 'source merged_div_data'!$A:$A, 'source merged_div_data'!F:F)/1048576, 2) &amp; " MB",
    TRUE,
      ROUND(XLOOKUP(TEXTJOIN("/", TRUE, $A463:$B463), 'source merged_div_data'!$A:$A, 'source merged_div_data'!F:F)/1073741824, 2) &amp; " GB"
  ),
  "×"
)</f>
        <v>64.8 MB</v>
      </c>
      <c r="G463" s="57" t="s">
        <v>2367</v>
      </c>
      <c r="H463" s="58" t="s">
        <v>2177</v>
      </c>
      <c r="I463" s="57"/>
      <c r="J463" s="65" t="s">
        <v>516</v>
      </c>
      <c r="K463" s="37" t="s">
        <v>186</v>
      </c>
      <c r="L463" s="37" t="s">
        <v>1053</v>
      </c>
      <c r="M463" s="37" t="s">
        <v>1745</v>
      </c>
      <c r="N463" s="8"/>
      <c r="P463" s="57" t="str">
        <f>IFERROR(__xludf.DUMMYFUNCTION("XLOOKUP(JOIN(""/"",$A463:$B463),'source isilon_divまとめ'!$A:$A,'source isilon_divまとめ'!$D:$D,XLOOKUP(JOIN(""\"",$A463:$B463),'source NetApp-file-sv01-div'!A:A,TEXT('source NetApp-file-sv01-div'!C:C,""yyyy/mm/dd"")))"),"2021/03/02")</f>
        <v>2021/03/02</v>
      </c>
    </row>
    <row r="464">
      <c r="A464" s="8" t="s">
        <v>186</v>
      </c>
      <c r="B464" s="8" t="s">
        <v>1345</v>
      </c>
      <c r="C464" s="8" t="s">
        <v>985</v>
      </c>
      <c r="D464" s="56">
        <f>IFERROR(__xludf.DUMMYFUNCTION("XLOOKUP(JOIN(""/"",$A464:$B464),'source merged_div_data'!$A:$A,'source merged_div_data'!B:B)"),172.0)</f>
        <v>172</v>
      </c>
      <c r="E464" s="56">
        <f>IFERROR(__xludf.DUMMYFUNCTION("XLOOKUP(JOIN(""/"",$A464:$B464),'source merged_div_data'!$A:$A,'source merged_div_data'!C:C)"),1022.0)</f>
        <v>1022</v>
      </c>
      <c r="F464" s="54" t="str">
        <f t="array" ref="F464">IFERROR(
  IFS(
    XLOOKUP(TEXTJOIN("/", TRUE, $A464:$B464), 'source merged_div_data'!$A:$A, 'source merged_div_data'!F:F) &lt; 1024,
      XLOOKUP(TEXTJOIN("/", TRUE, $A464:$B464), 'source merged_div_data'!$A:$A, 'source merged_div_data'!F:F) &amp; " B",
    XLOOKUP(TEXTJOIN("/", TRUE, $A464:$B464), 'source merged_div_data'!$A:$A, 'source merged_div_data'!F:F) &lt; 1048576,
      ROUND(XLOOKUP(TEXTJOIN("/", TRUE, $A464:$B464), 'source merged_div_data'!$A:$A, 'source merged_div_data'!F:F)/1024, 2) &amp; " KB",
    XLOOKUP(TEXTJOIN("/", TRUE, $A464:$B464), 'source merged_div_data'!$A:$A, 'source merged_div_data'!F:F) &lt; 1073741824,
      ROUND(XLOOKUP(TEXTJOIN("/", TRUE, $A464:$B464), 'source merged_div_data'!$A:$A, 'source merged_div_data'!F:F)/1048576, 2) &amp; " MB",
    TRUE,
      ROUND(XLOOKUP(TEXTJOIN("/", TRUE, $A464:$B464), 'source merged_div_data'!$A:$A, 'source merged_div_data'!F:F)/1073741824, 2) &amp; " GB"
  ),
  "×"
)</f>
        <v>162.96 MB</v>
      </c>
      <c r="G464" s="57" t="s">
        <v>2368</v>
      </c>
      <c r="H464" s="58" t="s">
        <v>2177</v>
      </c>
      <c r="I464" s="57"/>
      <c r="J464" s="65" t="s">
        <v>516</v>
      </c>
      <c r="K464" s="37" t="s">
        <v>186</v>
      </c>
      <c r="L464" s="37" t="s">
        <v>1053</v>
      </c>
      <c r="M464" s="37" t="s">
        <v>1745</v>
      </c>
      <c r="N464" s="8"/>
      <c r="P464" s="57" t="str">
        <f>IFERROR(__xludf.DUMMYFUNCTION("XLOOKUP(JOIN(""/"",$A464:$B464),'source isilon_divまとめ'!$A:$A,'source isilon_divまとめ'!$D:$D,XLOOKUP(JOIN(""\"",$A464:$B464),'source NetApp-file-sv01-div'!A:A,TEXT('source NetApp-file-sv01-div'!C:C,""yyyy/mm/dd"")))"),"2020/11/05")</f>
        <v>2020/11/05</v>
      </c>
    </row>
    <row r="465">
      <c r="A465" s="8" t="s">
        <v>186</v>
      </c>
      <c r="B465" s="8" t="s">
        <v>1346</v>
      </c>
      <c r="C465" s="8" t="s">
        <v>985</v>
      </c>
      <c r="D465" s="56">
        <f>IFERROR(__xludf.DUMMYFUNCTION("XLOOKUP(JOIN(""/"",$A465:$B465),'source merged_div_data'!$A:$A,'source merged_div_data'!B:B)"),44.0)</f>
        <v>44</v>
      </c>
      <c r="E465" s="56">
        <f>IFERROR(__xludf.DUMMYFUNCTION("XLOOKUP(JOIN(""/"",$A465:$B465),'source merged_div_data'!$A:$A,'source merged_div_data'!C:C)"),706.0)</f>
        <v>706</v>
      </c>
      <c r="F465" s="54" t="str">
        <f t="array" ref="F465">IFERROR(
  IFS(
    XLOOKUP(TEXTJOIN("/", TRUE, $A465:$B465), 'source merged_div_data'!$A:$A, 'source merged_div_data'!F:F) &lt; 1024,
      XLOOKUP(TEXTJOIN("/", TRUE, $A465:$B465), 'source merged_div_data'!$A:$A, 'source merged_div_data'!F:F) &amp; " B",
    XLOOKUP(TEXTJOIN("/", TRUE, $A465:$B465), 'source merged_div_data'!$A:$A, 'source merged_div_data'!F:F) &lt; 1048576,
      ROUND(XLOOKUP(TEXTJOIN("/", TRUE, $A465:$B465), 'source merged_div_data'!$A:$A, 'source merged_div_data'!F:F)/1024, 2) &amp; " KB",
    XLOOKUP(TEXTJOIN("/", TRUE, $A465:$B465), 'source merged_div_data'!$A:$A, 'source merged_div_data'!F:F) &lt; 1073741824,
      ROUND(XLOOKUP(TEXTJOIN("/", TRUE, $A465:$B465), 'source merged_div_data'!$A:$A, 'source merged_div_data'!F:F)/1048576, 2) &amp; " MB",
    TRUE,
      ROUND(XLOOKUP(TEXTJOIN("/", TRUE, $A465:$B465), 'source merged_div_data'!$A:$A, 'source merged_div_data'!F:F)/1073741824, 2) &amp; " GB"
  ),
  "×"
)</f>
        <v>87.62 MB</v>
      </c>
      <c r="G465" s="57" t="s">
        <v>2369</v>
      </c>
      <c r="H465" s="58" t="s">
        <v>2177</v>
      </c>
      <c r="I465" s="57"/>
      <c r="J465" s="65" t="s">
        <v>516</v>
      </c>
      <c r="K465" s="37" t="s">
        <v>186</v>
      </c>
      <c r="L465" s="37" t="s">
        <v>1053</v>
      </c>
      <c r="M465" s="37" t="s">
        <v>1745</v>
      </c>
      <c r="N465" s="8"/>
      <c r="P465" s="57" t="str">
        <f>IFERROR(__xludf.DUMMYFUNCTION("XLOOKUP(JOIN(""/"",$A465:$B465),'source isilon_divまとめ'!$A:$A,'source isilon_divまとめ'!$D:$D,XLOOKUP(JOIN(""\"",$A465:$B465),'source NetApp-file-sv01-div'!A:A,TEXT('source NetApp-file-sv01-div'!C:C,""yyyy/mm/dd"")))"),"2010/03/04")</f>
        <v>2010/03/04</v>
      </c>
    </row>
    <row r="466">
      <c r="A466" s="52" t="s">
        <v>186</v>
      </c>
      <c r="B466" s="52" t="s">
        <v>1347</v>
      </c>
      <c r="C466" s="46" t="s">
        <v>986</v>
      </c>
      <c r="D466" s="53">
        <f>IFERROR(__xludf.DUMMYFUNCTION("XLOOKUP(JOIN(""/"",$A466:$B466),'source merged_div_data'!$A:$A,'source merged_div_data'!B:B)"),2.0)</f>
        <v>2</v>
      </c>
      <c r="E466" s="53">
        <f>IFERROR(__xludf.DUMMYFUNCTION("XLOOKUP(JOIN(""/"",$A466:$B466),'source merged_div_data'!$A:$A,'source merged_div_data'!C:C)"),0.0)</f>
        <v>0</v>
      </c>
      <c r="F466" s="54" t="str">
        <f t="array" ref="F466">IFERROR(
  IFS(
    XLOOKUP(TEXTJOIN("/", TRUE, $A466:$B466), 'source merged_div_data'!$A:$A, 'source merged_div_data'!F:F) &lt; 1024,
      XLOOKUP(TEXTJOIN("/", TRUE, $A466:$B466), 'source merged_div_data'!$A:$A, 'source merged_div_data'!F:F) &amp; " B",
    XLOOKUP(TEXTJOIN("/", TRUE, $A466:$B466), 'source merged_div_data'!$A:$A, 'source merged_div_data'!F:F) &lt; 1048576,
      ROUND(XLOOKUP(TEXTJOIN("/", TRUE, $A466:$B466), 'source merged_div_data'!$A:$A, 'source merged_div_data'!F:F)/1024, 2) &amp; " KB",
    XLOOKUP(TEXTJOIN("/", TRUE, $A466:$B466), 'source merged_div_data'!$A:$A, 'source merged_div_data'!F:F) &lt; 1073741824,
      ROUND(XLOOKUP(TEXTJOIN("/", TRUE, $A466:$B466), 'source merged_div_data'!$A:$A, 'source merged_div_data'!F:F)/1048576, 2) &amp; " MB",
    TRUE,
      ROUND(XLOOKUP(TEXTJOIN("/", TRUE, $A466:$B466), 'source merged_div_data'!$A:$A, 'source merged_div_data'!F:F)/1073741824, 2) &amp; " GB"
  ),
  "×"
)</f>
        <v>36 B</v>
      </c>
      <c r="G466" s="55" t="s">
        <v>1053</v>
      </c>
      <c r="H466" s="55"/>
      <c r="I466" s="55"/>
      <c r="J466" s="66" t="s">
        <v>516</v>
      </c>
      <c r="K466" s="55" t="s">
        <v>186</v>
      </c>
      <c r="L466" s="55" t="s">
        <v>1053</v>
      </c>
      <c r="M466" s="55" t="s">
        <v>1745</v>
      </c>
      <c r="N466" s="52"/>
      <c r="O466" s="55"/>
      <c r="P466" s="37" t="str">
        <f>IFERROR(__xludf.DUMMYFUNCTION("XLOOKUP(JOIN(""/"",$A466:$B466),'source isilon_divまとめ'!$A:$A,'source isilon_divまとめ'!$D:$D,XLOOKUP(JOIN(""\"",$A466:$B466),'source NetApp-file-sv01-div'!A:A,TEXT('source NetApp-file-sv01-div'!C:C,""yyyy/mm/dd"")))"),"#N/A")</f>
        <v>#N/A</v>
      </c>
    </row>
    <row r="467">
      <c r="A467" s="52" t="s">
        <v>1087</v>
      </c>
      <c r="B467" s="52" t="s">
        <v>1348</v>
      </c>
      <c r="C467" s="46" t="s">
        <v>988</v>
      </c>
      <c r="D467" s="53">
        <f>IFERROR(__xludf.DUMMYFUNCTION("XLOOKUP(JOIN(""/"",$A467:$B467),'source merged_div_data'!$A:$A,'source merged_div_data'!B:B)"),2.0)</f>
        <v>2</v>
      </c>
      <c r="E467" s="53">
        <f>IFERROR(__xludf.DUMMYFUNCTION("XLOOKUP(JOIN(""/"",$A467:$B467),'source merged_div_data'!$A:$A,'source merged_div_data'!C:C)"),0.0)</f>
        <v>0</v>
      </c>
      <c r="F467" s="54" t="str">
        <f t="array" ref="F467">IFERROR(
  IFS(
    XLOOKUP(TEXTJOIN("/", TRUE, $A467:$B467), 'source merged_div_data'!$A:$A, 'source merged_div_data'!F:F) &lt; 1024,
      XLOOKUP(TEXTJOIN("/", TRUE, $A467:$B467), 'source merged_div_data'!$A:$A, 'source merged_div_data'!F:F) &amp; " B",
    XLOOKUP(TEXTJOIN("/", TRUE, $A467:$B467), 'source merged_div_data'!$A:$A, 'source merged_div_data'!F:F) &lt; 1048576,
      ROUND(XLOOKUP(TEXTJOIN("/", TRUE, $A467:$B467), 'source merged_div_data'!$A:$A, 'source merged_div_data'!F:F)/1024, 2) &amp; " KB",
    XLOOKUP(TEXTJOIN("/", TRUE, $A467:$B467), 'source merged_div_data'!$A:$A, 'source merged_div_data'!F:F) &lt; 1073741824,
      ROUND(XLOOKUP(TEXTJOIN("/", TRUE, $A467:$B467), 'source merged_div_data'!$A:$A, 'source merged_div_data'!F:F)/1048576, 2) &amp; " MB",
    TRUE,
      ROUND(XLOOKUP(TEXTJOIN("/", TRUE, $A467:$B467), 'source merged_div_data'!$A:$A, 'source merged_div_data'!F:F)/1073741824, 2) &amp; " GB"
  ),
  "×"
)</f>
        <v>36 B</v>
      </c>
      <c r="G467" s="55" t="s">
        <v>1053</v>
      </c>
      <c r="H467" s="55"/>
      <c r="I467" s="55"/>
      <c r="J467" s="46" t="s">
        <v>1105</v>
      </c>
      <c r="K467" s="55"/>
      <c r="L467" s="55" t="s">
        <v>1053</v>
      </c>
      <c r="M467" s="55" t="s">
        <v>1053</v>
      </c>
      <c r="N467" s="52" t="s">
        <v>1197</v>
      </c>
      <c r="O467" s="46" t="s">
        <v>1105</v>
      </c>
      <c r="P467" s="37" t="str">
        <f>IFERROR(__xludf.DUMMYFUNCTION("XLOOKUP(JOIN(""/"",$A467:$B467),'source isilon_divまとめ'!$A:$A,'source isilon_divまとめ'!$D:$D,XLOOKUP(JOIN(""\"",$A467:$B467),'source NetApp-file-sv01-div'!A:A,TEXT('source NetApp-file-sv01-div'!C:C,""yyyy/mm/dd"")))"),"#N/A")</f>
        <v>#N/A</v>
      </c>
    </row>
    <row r="468">
      <c r="A468" s="52" t="s">
        <v>1087</v>
      </c>
      <c r="B468" s="52" t="s">
        <v>1132</v>
      </c>
      <c r="C468" s="46" t="s">
        <v>988</v>
      </c>
      <c r="D468" s="53">
        <f>IFERROR(__xludf.DUMMYFUNCTION("XLOOKUP(JOIN(""/"",$A468:$B468),'source merged_div_data'!$A:$A,'source merged_div_data'!B:B)"),2.0)</f>
        <v>2</v>
      </c>
      <c r="E468" s="53">
        <f>IFERROR(__xludf.DUMMYFUNCTION("XLOOKUP(JOIN(""/"",$A468:$B468),'source merged_div_data'!$A:$A,'source merged_div_data'!C:C)"),0.0)</f>
        <v>0</v>
      </c>
      <c r="F468" s="54" t="str">
        <f t="array" ref="F468">IFERROR(
  IFS(
    XLOOKUP(TEXTJOIN("/", TRUE, $A468:$B468), 'source merged_div_data'!$A:$A, 'source merged_div_data'!F:F) &lt; 1024,
      XLOOKUP(TEXTJOIN("/", TRUE, $A468:$B468), 'source merged_div_data'!$A:$A, 'source merged_div_data'!F:F) &amp; " B",
    XLOOKUP(TEXTJOIN("/", TRUE, $A468:$B468), 'source merged_div_data'!$A:$A, 'source merged_div_data'!F:F) &lt; 1048576,
      ROUND(XLOOKUP(TEXTJOIN("/", TRUE, $A468:$B468), 'source merged_div_data'!$A:$A, 'source merged_div_data'!F:F)/1024, 2) &amp; " KB",
    XLOOKUP(TEXTJOIN("/", TRUE, $A468:$B468), 'source merged_div_data'!$A:$A, 'source merged_div_data'!F:F) &lt; 1073741824,
      ROUND(XLOOKUP(TEXTJOIN("/", TRUE, $A468:$B468), 'source merged_div_data'!$A:$A, 'source merged_div_data'!F:F)/1048576, 2) &amp; " MB",
    TRUE,
      ROUND(XLOOKUP(TEXTJOIN("/", TRUE, $A468:$B468), 'source merged_div_data'!$A:$A, 'source merged_div_data'!F:F)/1073741824, 2) &amp; " GB"
  ),
  "×"
)</f>
        <v>36 B</v>
      </c>
      <c r="G468" s="55" t="s">
        <v>1053</v>
      </c>
      <c r="H468" s="55"/>
      <c r="I468" s="55"/>
      <c r="J468" s="46" t="s">
        <v>1105</v>
      </c>
      <c r="K468" s="55"/>
      <c r="L468" s="55" t="s">
        <v>1053</v>
      </c>
      <c r="M468" s="55" t="s">
        <v>1053</v>
      </c>
      <c r="N468" s="52" t="s">
        <v>1197</v>
      </c>
      <c r="O468" s="46" t="s">
        <v>1105</v>
      </c>
      <c r="P468" s="37" t="str">
        <f>IFERROR(__xludf.DUMMYFUNCTION("XLOOKUP(JOIN(""/"",$A468:$B468),'source isilon_divまとめ'!$A:$A,'source isilon_divまとめ'!$D:$D,XLOOKUP(JOIN(""\"",$A468:$B468),'source NetApp-file-sv01-div'!A:A,TEXT('source NetApp-file-sv01-div'!C:C,""yyyy/mm/dd"")))"),"#N/A")</f>
        <v>#N/A</v>
      </c>
    </row>
    <row r="469">
      <c r="A469" s="52" t="s">
        <v>1087</v>
      </c>
      <c r="B469" s="52" t="s">
        <v>1349</v>
      </c>
      <c r="C469" s="46" t="s">
        <v>988</v>
      </c>
      <c r="D469" s="53">
        <f>IFERROR(__xludf.DUMMYFUNCTION("XLOOKUP(JOIN(""/"",$A469:$B469),'source merged_div_data'!$A:$A,'source merged_div_data'!B:B)"),2.0)</f>
        <v>2</v>
      </c>
      <c r="E469" s="53">
        <f>IFERROR(__xludf.DUMMYFUNCTION("XLOOKUP(JOIN(""/"",$A469:$B469),'source merged_div_data'!$A:$A,'source merged_div_data'!C:C)"),0.0)</f>
        <v>0</v>
      </c>
      <c r="F469" s="54" t="str">
        <f t="array" ref="F469">IFERROR(
  IFS(
    XLOOKUP(TEXTJOIN("/", TRUE, $A469:$B469), 'source merged_div_data'!$A:$A, 'source merged_div_data'!F:F) &lt; 1024,
      XLOOKUP(TEXTJOIN("/", TRUE, $A469:$B469), 'source merged_div_data'!$A:$A, 'source merged_div_data'!F:F) &amp; " B",
    XLOOKUP(TEXTJOIN("/", TRUE, $A469:$B469), 'source merged_div_data'!$A:$A, 'source merged_div_data'!F:F) &lt; 1048576,
      ROUND(XLOOKUP(TEXTJOIN("/", TRUE, $A469:$B469), 'source merged_div_data'!$A:$A, 'source merged_div_data'!F:F)/1024, 2) &amp; " KB",
    XLOOKUP(TEXTJOIN("/", TRUE, $A469:$B469), 'source merged_div_data'!$A:$A, 'source merged_div_data'!F:F) &lt; 1073741824,
      ROUND(XLOOKUP(TEXTJOIN("/", TRUE, $A469:$B469), 'source merged_div_data'!$A:$A, 'source merged_div_data'!F:F)/1048576, 2) &amp; " MB",
    TRUE,
      ROUND(XLOOKUP(TEXTJOIN("/", TRUE, $A469:$B469), 'source merged_div_data'!$A:$A, 'source merged_div_data'!F:F)/1073741824, 2) &amp; " GB"
  ),
  "×"
)</f>
        <v>36 B</v>
      </c>
      <c r="G469" s="55" t="s">
        <v>1053</v>
      </c>
      <c r="H469" s="55"/>
      <c r="I469" s="55"/>
      <c r="J469" s="46" t="s">
        <v>1105</v>
      </c>
      <c r="K469" s="55"/>
      <c r="L469" s="55" t="s">
        <v>1053</v>
      </c>
      <c r="M469" s="55" t="s">
        <v>1053</v>
      </c>
      <c r="N469" s="52" t="s">
        <v>1197</v>
      </c>
      <c r="O469" s="46" t="s">
        <v>1105</v>
      </c>
      <c r="P469" s="37" t="str">
        <f>IFERROR(__xludf.DUMMYFUNCTION("XLOOKUP(JOIN(""/"",$A469:$B469),'source isilon_divまとめ'!$A:$A,'source isilon_divまとめ'!$D:$D,XLOOKUP(JOIN(""\"",$A469:$B469),'source NetApp-file-sv01-div'!A:A,TEXT('source NetApp-file-sv01-div'!C:C,""yyyy/mm/dd"")))"),"#N/A")</f>
        <v>#N/A</v>
      </c>
    </row>
    <row r="470">
      <c r="A470" s="52" t="s">
        <v>1087</v>
      </c>
      <c r="B470" s="52" t="s">
        <v>1350</v>
      </c>
      <c r="C470" s="46" t="s">
        <v>988</v>
      </c>
      <c r="D470" s="53">
        <f>IFERROR(__xludf.DUMMYFUNCTION("XLOOKUP(JOIN(""/"",$A470:$B470),'source merged_div_data'!$A:$A,'source merged_div_data'!B:B)"),2.0)</f>
        <v>2</v>
      </c>
      <c r="E470" s="53">
        <f>IFERROR(__xludf.DUMMYFUNCTION("XLOOKUP(JOIN(""/"",$A470:$B470),'source merged_div_data'!$A:$A,'source merged_div_data'!C:C)"),0.0)</f>
        <v>0</v>
      </c>
      <c r="F470" s="54" t="str">
        <f t="array" ref="F470">IFERROR(
  IFS(
    XLOOKUP(TEXTJOIN("/", TRUE, $A470:$B470), 'source merged_div_data'!$A:$A, 'source merged_div_data'!F:F) &lt; 1024,
      XLOOKUP(TEXTJOIN("/", TRUE, $A470:$B470), 'source merged_div_data'!$A:$A, 'source merged_div_data'!F:F) &amp; " B",
    XLOOKUP(TEXTJOIN("/", TRUE, $A470:$B470), 'source merged_div_data'!$A:$A, 'source merged_div_data'!F:F) &lt; 1048576,
      ROUND(XLOOKUP(TEXTJOIN("/", TRUE, $A470:$B470), 'source merged_div_data'!$A:$A, 'source merged_div_data'!F:F)/1024, 2) &amp; " KB",
    XLOOKUP(TEXTJOIN("/", TRUE, $A470:$B470), 'source merged_div_data'!$A:$A, 'source merged_div_data'!F:F) &lt; 1073741824,
      ROUND(XLOOKUP(TEXTJOIN("/", TRUE, $A470:$B470), 'source merged_div_data'!$A:$A, 'source merged_div_data'!F:F)/1048576, 2) &amp; " MB",
    TRUE,
      ROUND(XLOOKUP(TEXTJOIN("/", TRUE, $A470:$B470), 'source merged_div_data'!$A:$A, 'source merged_div_data'!F:F)/1073741824, 2) &amp; " GB"
  ),
  "×"
)</f>
        <v>36 B</v>
      </c>
      <c r="G470" s="55" t="s">
        <v>1053</v>
      </c>
      <c r="H470" s="55"/>
      <c r="I470" s="55"/>
      <c r="J470" s="46" t="s">
        <v>1105</v>
      </c>
      <c r="K470" s="55"/>
      <c r="L470" s="55" t="s">
        <v>1053</v>
      </c>
      <c r="M470" s="55" t="s">
        <v>1053</v>
      </c>
      <c r="N470" s="52" t="s">
        <v>1197</v>
      </c>
      <c r="O470" s="46" t="s">
        <v>1105</v>
      </c>
      <c r="P470" s="37" t="str">
        <f>IFERROR(__xludf.DUMMYFUNCTION("XLOOKUP(JOIN(""/"",$A470:$B470),'source isilon_divまとめ'!$A:$A,'source isilon_divまとめ'!$D:$D,XLOOKUP(JOIN(""\"",$A470:$B470),'source NetApp-file-sv01-div'!A:A,TEXT('source NetApp-file-sv01-div'!C:C,""yyyy/mm/dd"")))"),"#N/A")</f>
        <v>#N/A</v>
      </c>
    </row>
    <row r="471">
      <c r="A471" s="52" t="s">
        <v>1087</v>
      </c>
      <c r="B471" s="52" t="s">
        <v>1351</v>
      </c>
      <c r="C471" s="46" t="s">
        <v>988</v>
      </c>
      <c r="D471" s="53">
        <f>IFERROR(__xludf.DUMMYFUNCTION("XLOOKUP(JOIN(""/"",$A471:$B471),'source merged_div_data'!$A:$A,'source merged_div_data'!B:B)"),3.0)</f>
        <v>3</v>
      </c>
      <c r="E471" s="53">
        <f>IFERROR(__xludf.DUMMYFUNCTION("XLOOKUP(JOIN(""/"",$A471:$B471),'source merged_div_data'!$A:$A,'source merged_div_data'!C:C)"),0.0)</f>
        <v>0</v>
      </c>
      <c r="F471" s="54" t="str">
        <f t="array" ref="F471">IFERROR(
  IFS(
    XLOOKUP(TEXTJOIN("/", TRUE, $A471:$B471), 'source merged_div_data'!$A:$A, 'source merged_div_data'!F:F) &lt; 1024,
      XLOOKUP(TEXTJOIN("/", TRUE, $A471:$B471), 'source merged_div_data'!$A:$A, 'source merged_div_data'!F:F) &amp; " B",
    XLOOKUP(TEXTJOIN("/", TRUE, $A471:$B471), 'source merged_div_data'!$A:$A, 'source merged_div_data'!F:F) &lt; 1048576,
      ROUND(XLOOKUP(TEXTJOIN("/", TRUE, $A471:$B471), 'source merged_div_data'!$A:$A, 'source merged_div_data'!F:F)/1024, 2) &amp; " KB",
    XLOOKUP(TEXTJOIN("/", TRUE, $A471:$B471), 'source merged_div_data'!$A:$A, 'source merged_div_data'!F:F) &lt; 1073741824,
      ROUND(XLOOKUP(TEXTJOIN("/", TRUE, $A471:$B471), 'source merged_div_data'!$A:$A, 'source merged_div_data'!F:F)/1048576, 2) &amp; " MB",
    TRUE,
      ROUND(XLOOKUP(TEXTJOIN("/", TRUE, $A471:$B471), 'source merged_div_data'!$A:$A, 'source merged_div_data'!F:F)/1073741824, 2) &amp; " GB"
  ),
  "×"
)</f>
        <v>79 B</v>
      </c>
      <c r="G471" s="55" t="s">
        <v>1053</v>
      </c>
      <c r="H471" s="55"/>
      <c r="I471" s="55"/>
      <c r="J471" s="46" t="s">
        <v>1105</v>
      </c>
      <c r="K471" s="55"/>
      <c r="L471" s="55" t="s">
        <v>1053</v>
      </c>
      <c r="M471" s="55" t="s">
        <v>1053</v>
      </c>
      <c r="N471" s="52" t="s">
        <v>1197</v>
      </c>
      <c r="O471" s="46" t="s">
        <v>1105</v>
      </c>
      <c r="P471" s="37" t="str">
        <f>IFERROR(__xludf.DUMMYFUNCTION("XLOOKUP(JOIN(""/"",$A471:$B471),'source isilon_divまとめ'!$A:$A,'source isilon_divまとめ'!$D:$D,XLOOKUP(JOIN(""\"",$A471:$B471),'source NetApp-file-sv01-div'!A:A,TEXT('source NetApp-file-sv01-div'!C:C,""yyyy/mm/dd"")))"),"#N/A")</f>
        <v>#N/A</v>
      </c>
    </row>
    <row r="472">
      <c r="A472" s="52" t="s">
        <v>1087</v>
      </c>
      <c r="B472" s="52" t="s">
        <v>1352</v>
      </c>
      <c r="C472" s="46" t="s">
        <v>988</v>
      </c>
      <c r="D472" s="53">
        <f>IFERROR(__xludf.DUMMYFUNCTION("XLOOKUP(JOIN(""/"",$A472:$B472),'source merged_div_data'!$A:$A,'source merged_div_data'!B:B)"),2.0)</f>
        <v>2</v>
      </c>
      <c r="E472" s="53">
        <f>IFERROR(__xludf.DUMMYFUNCTION("XLOOKUP(JOIN(""/"",$A472:$B472),'source merged_div_data'!$A:$A,'source merged_div_data'!C:C)"),0.0)</f>
        <v>0</v>
      </c>
      <c r="F472" s="54" t="str">
        <f t="array" ref="F472">IFERROR(
  IFS(
    XLOOKUP(TEXTJOIN("/", TRUE, $A472:$B472), 'source merged_div_data'!$A:$A, 'source merged_div_data'!F:F) &lt; 1024,
      XLOOKUP(TEXTJOIN("/", TRUE, $A472:$B472), 'source merged_div_data'!$A:$A, 'source merged_div_data'!F:F) &amp; " B",
    XLOOKUP(TEXTJOIN("/", TRUE, $A472:$B472), 'source merged_div_data'!$A:$A, 'source merged_div_data'!F:F) &lt; 1048576,
      ROUND(XLOOKUP(TEXTJOIN("/", TRUE, $A472:$B472), 'source merged_div_data'!$A:$A, 'source merged_div_data'!F:F)/1024, 2) &amp; " KB",
    XLOOKUP(TEXTJOIN("/", TRUE, $A472:$B472), 'source merged_div_data'!$A:$A, 'source merged_div_data'!F:F) &lt; 1073741824,
      ROUND(XLOOKUP(TEXTJOIN("/", TRUE, $A472:$B472), 'source merged_div_data'!$A:$A, 'source merged_div_data'!F:F)/1048576, 2) &amp; " MB",
    TRUE,
      ROUND(XLOOKUP(TEXTJOIN("/", TRUE, $A472:$B472), 'source merged_div_data'!$A:$A, 'source merged_div_data'!F:F)/1073741824, 2) &amp; " GB"
  ),
  "×"
)</f>
        <v>36 B</v>
      </c>
      <c r="G472" s="55" t="s">
        <v>1053</v>
      </c>
      <c r="H472" s="55"/>
      <c r="I472" s="55"/>
      <c r="J472" s="46" t="s">
        <v>1105</v>
      </c>
      <c r="K472" s="55"/>
      <c r="L472" s="55" t="s">
        <v>1053</v>
      </c>
      <c r="M472" s="55" t="s">
        <v>1053</v>
      </c>
      <c r="N472" s="52" t="s">
        <v>1197</v>
      </c>
      <c r="O472" s="46" t="s">
        <v>1105</v>
      </c>
      <c r="P472" s="37" t="str">
        <f>IFERROR(__xludf.DUMMYFUNCTION("XLOOKUP(JOIN(""/"",$A472:$B472),'source isilon_divまとめ'!$A:$A,'source isilon_divまとめ'!$D:$D,XLOOKUP(JOIN(""\"",$A472:$B472),'source NetApp-file-sv01-div'!A:A,TEXT('source NetApp-file-sv01-div'!C:C,""yyyy/mm/dd"")))"),"#N/A")</f>
        <v>#N/A</v>
      </c>
    </row>
    <row r="473">
      <c r="A473" s="52" t="s">
        <v>1087</v>
      </c>
      <c r="B473" s="52" t="s">
        <v>1353</v>
      </c>
      <c r="C473" s="46" t="s">
        <v>988</v>
      </c>
      <c r="D473" s="53">
        <f>IFERROR(__xludf.DUMMYFUNCTION("XLOOKUP(JOIN(""/"",$A473:$B473),'source merged_div_data'!$A:$A,'source merged_div_data'!B:B)"),3.0)</f>
        <v>3</v>
      </c>
      <c r="E473" s="53">
        <f>IFERROR(__xludf.DUMMYFUNCTION("XLOOKUP(JOIN(""/"",$A473:$B473),'source merged_div_data'!$A:$A,'source merged_div_data'!C:C)"),0.0)</f>
        <v>0</v>
      </c>
      <c r="F473" s="54" t="str">
        <f t="array" ref="F473">IFERROR(
  IFS(
    XLOOKUP(TEXTJOIN("/", TRUE, $A473:$B473), 'source merged_div_data'!$A:$A, 'source merged_div_data'!F:F) &lt; 1024,
      XLOOKUP(TEXTJOIN("/", TRUE, $A473:$B473), 'source merged_div_data'!$A:$A, 'source merged_div_data'!F:F) &amp; " B",
    XLOOKUP(TEXTJOIN("/", TRUE, $A473:$B473), 'source merged_div_data'!$A:$A, 'source merged_div_data'!F:F) &lt; 1048576,
      ROUND(XLOOKUP(TEXTJOIN("/", TRUE, $A473:$B473), 'source merged_div_data'!$A:$A, 'source merged_div_data'!F:F)/1024, 2) &amp; " KB",
    XLOOKUP(TEXTJOIN("/", TRUE, $A473:$B473), 'source merged_div_data'!$A:$A, 'source merged_div_data'!F:F) &lt; 1073741824,
      ROUND(XLOOKUP(TEXTJOIN("/", TRUE, $A473:$B473), 'source merged_div_data'!$A:$A, 'source merged_div_data'!F:F)/1048576, 2) &amp; " MB",
    TRUE,
      ROUND(XLOOKUP(TEXTJOIN("/", TRUE, $A473:$B473), 'source merged_div_data'!$A:$A, 'source merged_div_data'!F:F)/1073741824, 2) &amp; " GB"
  ),
  "×"
)</f>
        <v>82 B</v>
      </c>
      <c r="G473" s="55" t="s">
        <v>1053</v>
      </c>
      <c r="H473" s="55"/>
      <c r="I473" s="55"/>
      <c r="J473" s="46" t="s">
        <v>1105</v>
      </c>
      <c r="K473" s="55"/>
      <c r="L473" s="55" t="s">
        <v>1053</v>
      </c>
      <c r="M473" s="55" t="s">
        <v>1053</v>
      </c>
      <c r="N473" s="52" t="s">
        <v>1197</v>
      </c>
      <c r="O473" s="46" t="s">
        <v>1105</v>
      </c>
      <c r="P473" s="37" t="str">
        <f>IFERROR(__xludf.DUMMYFUNCTION("XLOOKUP(JOIN(""/"",$A473:$B473),'source isilon_divまとめ'!$A:$A,'source isilon_divまとめ'!$D:$D,XLOOKUP(JOIN(""\"",$A473:$B473),'source NetApp-file-sv01-div'!A:A,TEXT('source NetApp-file-sv01-div'!C:C,""yyyy/mm/dd"")))"),"#N/A")</f>
        <v>#N/A</v>
      </c>
    </row>
    <row r="474">
      <c r="A474" s="52" t="s">
        <v>1087</v>
      </c>
      <c r="B474" s="52" t="s">
        <v>369</v>
      </c>
      <c r="C474" s="46" t="s">
        <v>988</v>
      </c>
      <c r="D474" s="53">
        <f>IFERROR(__xludf.DUMMYFUNCTION("XLOOKUP(JOIN(""/"",$A474:$B474),'source merged_div_data'!$A:$A,'source merged_div_data'!B:B)"),2.0)</f>
        <v>2</v>
      </c>
      <c r="E474" s="53">
        <f>IFERROR(__xludf.DUMMYFUNCTION("XLOOKUP(JOIN(""/"",$A474:$B474),'source merged_div_data'!$A:$A,'source merged_div_data'!C:C)"),0.0)</f>
        <v>0</v>
      </c>
      <c r="F474" s="54" t="str">
        <f t="array" ref="F474">IFERROR(
  IFS(
    XLOOKUP(TEXTJOIN("/", TRUE, $A474:$B474), 'source merged_div_data'!$A:$A, 'source merged_div_data'!F:F) &lt; 1024,
      XLOOKUP(TEXTJOIN("/", TRUE, $A474:$B474), 'source merged_div_data'!$A:$A, 'source merged_div_data'!F:F) &amp; " B",
    XLOOKUP(TEXTJOIN("/", TRUE, $A474:$B474), 'source merged_div_data'!$A:$A, 'source merged_div_data'!F:F) &lt; 1048576,
      ROUND(XLOOKUP(TEXTJOIN("/", TRUE, $A474:$B474), 'source merged_div_data'!$A:$A, 'source merged_div_data'!F:F)/1024, 2) &amp; " KB",
    XLOOKUP(TEXTJOIN("/", TRUE, $A474:$B474), 'source merged_div_data'!$A:$A, 'source merged_div_data'!F:F) &lt; 1073741824,
      ROUND(XLOOKUP(TEXTJOIN("/", TRUE, $A474:$B474), 'source merged_div_data'!$A:$A, 'source merged_div_data'!F:F)/1048576, 2) &amp; " MB",
    TRUE,
      ROUND(XLOOKUP(TEXTJOIN("/", TRUE, $A474:$B474), 'source merged_div_data'!$A:$A, 'source merged_div_data'!F:F)/1073741824, 2) &amp; " GB"
  ),
  "×"
)</f>
        <v>36 B</v>
      </c>
      <c r="G474" s="55" t="s">
        <v>1053</v>
      </c>
      <c r="H474" s="55"/>
      <c r="I474" s="55"/>
      <c r="J474" s="46" t="s">
        <v>1105</v>
      </c>
      <c r="K474" s="55"/>
      <c r="L474" s="55" t="s">
        <v>1053</v>
      </c>
      <c r="M474" s="55" t="s">
        <v>1053</v>
      </c>
      <c r="N474" s="52" t="s">
        <v>1197</v>
      </c>
      <c r="O474" s="46" t="s">
        <v>1105</v>
      </c>
      <c r="P474" s="37" t="str">
        <f>IFERROR(__xludf.DUMMYFUNCTION("XLOOKUP(JOIN(""/"",$A474:$B474),'source isilon_divまとめ'!$A:$A,'source isilon_divまとめ'!$D:$D,XLOOKUP(JOIN(""\"",$A474:$B474),'source NetApp-file-sv01-div'!A:A,TEXT('source NetApp-file-sv01-div'!C:C,""yyyy/mm/dd"")))"),"#N/A")</f>
        <v>#N/A</v>
      </c>
    </row>
    <row r="475">
      <c r="A475" s="52" t="s">
        <v>1087</v>
      </c>
      <c r="B475" s="52" t="s">
        <v>1204</v>
      </c>
      <c r="C475" s="46" t="s">
        <v>988</v>
      </c>
      <c r="D475" s="53">
        <f>IFERROR(__xludf.DUMMYFUNCTION("XLOOKUP(JOIN(""/"",$A475:$B475),'source merged_div_data'!$A:$A,'source merged_div_data'!B:B)"),1.0)</f>
        <v>1</v>
      </c>
      <c r="E475" s="53">
        <f>IFERROR(__xludf.DUMMYFUNCTION("XLOOKUP(JOIN(""/"",$A475:$B475),'source merged_div_data'!$A:$A,'source merged_div_data'!C:C)"),0.0)</f>
        <v>0</v>
      </c>
      <c r="F475" s="54" t="str">
        <f t="array" ref="F475">IFERROR(
  IFS(
    XLOOKUP(TEXTJOIN("/", TRUE, $A475:$B475), 'source merged_div_data'!$A:$A, 'source merged_div_data'!F:F) &lt; 1024,
      XLOOKUP(TEXTJOIN("/", TRUE, $A475:$B475), 'source merged_div_data'!$A:$A, 'source merged_div_data'!F:F) &amp; " B",
    XLOOKUP(TEXTJOIN("/", TRUE, $A475:$B475), 'source merged_div_data'!$A:$A, 'source merged_div_data'!F:F) &lt; 1048576,
      ROUND(XLOOKUP(TEXTJOIN("/", TRUE, $A475:$B475), 'source merged_div_data'!$A:$A, 'source merged_div_data'!F:F)/1024, 2) &amp; " KB",
    XLOOKUP(TEXTJOIN("/", TRUE, $A475:$B475), 'source merged_div_data'!$A:$A, 'source merged_div_data'!F:F) &lt; 1073741824,
      ROUND(XLOOKUP(TEXTJOIN("/", TRUE, $A475:$B475), 'source merged_div_data'!$A:$A, 'source merged_div_data'!F:F)/1048576, 2) &amp; " MB",
    TRUE,
      ROUND(XLOOKUP(TEXTJOIN("/", TRUE, $A475:$B475), 'source merged_div_data'!$A:$A, 'source merged_div_data'!F:F)/1073741824, 2) &amp; " GB"
  ),
  "×"
)</f>
        <v>0 B</v>
      </c>
      <c r="G475" s="55" t="s">
        <v>1053</v>
      </c>
      <c r="H475" s="55"/>
      <c r="I475" s="55"/>
      <c r="J475" s="46" t="s">
        <v>1105</v>
      </c>
      <c r="K475" s="55"/>
      <c r="L475" s="55" t="s">
        <v>1053</v>
      </c>
      <c r="M475" s="55" t="s">
        <v>1053</v>
      </c>
      <c r="N475" s="52" t="s">
        <v>1197</v>
      </c>
      <c r="O475" s="46" t="s">
        <v>1105</v>
      </c>
      <c r="P475" s="37" t="str">
        <f>IFERROR(__xludf.DUMMYFUNCTION("XLOOKUP(JOIN(""/"",$A475:$B475),'source isilon_divまとめ'!$A:$A,'source isilon_divまとめ'!$D:$D,XLOOKUP(JOIN(""\"",$A475:$B475),'source NetApp-file-sv01-div'!A:A,TEXT('source NetApp-file-sv01-div'!C:C,""yyyy/mm/dd"")))"),"#N/A")</f>
        <v>#N/A</v>
      </c>
    </row>
    <row r="476">
      <c r="A476" s="8" t="s">
        <v>1090</v>
      </c>
      <c r="B476" s="8" t="s">
        <v>1109</v>
      </c>
      <c r="C476" s="7" t="s">
        <v>987</v>
      </c>
      <c r="D476" s="56">
        <f>IFERROR(__xludf.DUMMYFUNCTION("XLOOKUP(JOIN(""/"",$A476:$B476),'source merged_div_data'!$A:$A,'source merged_div_data'!B:B)"),777.0)</f>
        <v>777</v>
      </c>
      <c r="E476" s="56">
        <f>IFERROR(__xludf.DUMMYFUNCTION("XLOOKUP(JOIN(""/"",$A476:$B476),'source merged_div_data'!$A:$A,'source merged_div_data'!C:C)"),8837.0)</f>
        <v>8837</v>
      </c>
      <c r="F476" s="54" t="str">
        <f t="array" ref="F476">IFERROR(
  IFS(
    XLOOKUP(TEXTJOIN("/", TRUE, $A476:$B476), 'source merged_div_data'!$A:$A, 'source merged_div_data'!F:F) &lt; 1024,
      XLOOKUP(TEXTJOIN("/", TRUE, $A476:$B476), 'source merged_div_data'!$A:$A, 'source merged_div_data'!F:F) &amp; " B",
    XLOOKUP(TEXTJOIN("/", TRUE, $A476:$B476), 'source merged_div_data'!$A:$A, 'source merged_div_data'!F:F) &lt; 1048576,
      ROUND(XLOOKUP(TEXTJOIN("/", TRUE, $A476:$B476), 'source merged_div_data'!$A:$A, 'source merged_div_data'!F:F)/1024, 2) &amp; " KB",
    XLOOKUP(TEXTJOIN("/", TRUE, $A476:$B476), 'source merged_div_data'!$A:$A, 'source merged_div_data'!F:F) &lt; 1073741824,
      ROUND(XLOOKUP(TEXTJOIN("/", TRUE, $A476:$B476), 'source merged_div_data'!$A:$A, 'source merged_div_data'!F:F)/1048576, 2) &amp; " MB",
    TRUE,
      ROUND(XLOOKUP(TEXTJOIN("/", TRUE, $A476:$B476), 'source merged_div_data'!$A:$A, 'source merged_div_data'!F:F)/1073741824, 2) &amp; " GB"
  ),
  "×"
)</f>
        <v>5.18 GB</v>
      </c>
      <c r="G476" s="57" t="s">
        <v>2370</v>
      </c>
      <c r="H476" s="58" t="s">
        <v>2177</v>
      </c>
      <c r="I476" s="57"/>
      <c r="J476" s="7" t="s">
        <v>391</v>
      </c>
      <c r="K476" s="7" t="s">
        <v>395</v>
      </c>
      <c r="L476" s="7" t="s">
        <v>1053</v>
      </c>
      <c r="M476" s="7" t="s">
        <v>2092</v>
      </c>
      <c r="N476" s="8" t="s">
        <v>1181</v>
      </c>
      <c r="O476" s="7" t="s">
        <v>1110</v>
      </c>
      <c r="P476" s="57" t="str">
        <f>IFERROR(__xludf.DUMMYFUNCTION("XLOOKUP(JOIN(""/"",$A476:$B476),'source isilon_divまとめ'!$A:$A,'source isilon_divまとめ'!$D:$D,XLOOKUP(JOIN(""\"",$A476:$B476),'source NetApp-file-sv01-div'!A:A,TEXT('source NetApp-file-sv01-div'!C:C,""yyyy/mm/dd"")))"),"2018/10/11")</f>
        <v>2018/10/11</v>
      </c>
    </row>
    <row r="477">
      <c r="A477" s="8" t="s">
        <v>1090</v>
      </c>
      <c r="B477" s="8" t="s">
        <v>1111</v>
      </c>
      <c r="C477" s="7" t="s">
        <v>988</v>
      </c>
      <c r="D477" s="56">
        <f>IFERROR(__xludf.DUMMYFUNCTION("XLOOKUP(JOIN(""/"",$A477:$B477),'source merged_div_data'!$A:$A,'source merged_div_data'!B:B)"),6.0)</f>
        <v>6</v>
      </c>
      <c r="E477" s="56">
        <f>IFERROR(__xludf.DUMMYFUNCTION("XLOOKUP(JOIN(""/"",$A477:$B477),'source merged_div_data'!$A:$A,'source merged_div_data'!C:C)"),8.0)</f>
        <v>8</v>
      </c>
      <c r="F477" s="54" t="str">
        <f t="array" ref="F477">IFERROR(
  IFS(
    XLOOKUP(TEXTJOIN("/", TRUE, $A477:$B477), 'source merged_div_data'!$A:$A, 'source merged_div_data'!F:F) &lt; 1024,
      XLOOKUP(TEXTJOIN("/", TRUE, $A477:$B477), 'source merged_div_data'!$A:$A, 'source merged_div_data'!F:F) &amp; " B",
    XLOOKUP(TEXTJOIN("/", TRUE, $A477:$B477), 'source merged_div_data'!$A:$A, 'source merged_div_data'!F:F) &lt; 1048576,
      ROUND(XLOOKUP(TEXTJOIN("/", TRUE, $A477:$B477), 'source merged_div_data'!$A:$A, 'source merged_div_data'!F:F)/1024, 2) &amp; " KB",
    XLOOKUP(TEXTJOIN("/", TRUE, $A477:$B477), 'source merged_div_data'!$A:$A, 'source merged_div_data'!F:F) &lt; 1073741824,
      ROUND(XLOOKUP(TEXTJOIN("/", TRUE, $A477:$B477), 'source merged_div_data'!$A:$A, 'source merged_div_data'!F:F)/1048576, 2) &amp; " MB",
    TRUE,
      ROUND(XLOOKUP(TEXTJOIN("/", TRUE, $A477:$B477), 'source merged_div_data'!$A:$A, 'source merged_div_data'!F:F)/1073741824, 2) &amp; " GB"
  ),
  "×"
)</f>
        <v>72.41 MB</v>
      </c>
      <c r="G477" s="57" t="s">
        <v>2371</v>
      </c>
      <c r="H477" s="58" t="s">
        <v>2177</v>
      </c>
      <c r="I477" s="57"/>
      <c r="J477" s="7" t="s">
        <v>1105</v>
      </c>
      <c r="L477" s="37" t="s">
        <v>1053</v>
      </c>
      <c r="M477" s="37" t="s">
        <v>1053</v>
      </c>
      <c r="N477" s="8" t="s">
        <v>1181</v>
      </c>
      <c r="O477" s="7" t="s">
        <v>1105</v>
      </c>
      <c r="P477" s="57" t="str">
        <f>IFERROR(__xludf.DUMMYFUNCTION("XLOOKUP(JOIN(""/"",$A477:$B477),'source isilon_divまとめ'!$A:$A,'source isilon_divまとめ'!$D:$D,XLOOKUP(JOIN(""\"",$A477:$B477),'source NetApp-file-sv01-div'!A:A,TEXT('source NetApp-file-sv01-div'!C:C,""yyyy/mm/dd"")))"),"2016/09/16")</f>
        <v>2016/09/16</v>
      </c>
    </row>
    <row r="478">
      <c r="A478" s="8" t="s">
        <v>1090</v>
      </c>
      <c r="B478" s="8" t="s">
        <v>1336</v>
      </c>
      <c r="C478" s="7" t="s">
        <v>987</v>
      </c>
      <c r="D478" s="56">
        <f>IFERROR(__xludf.DUMMYFUNCTION("XLOOKUP(JOIN(""/"",$A478:$B478),'source merged_div_data'!$A:$A,'source merged_div_data'!B:B)"),7462.0)</f>
        <v>7462</v>
      </c>
      <c r="E478" s="56">
        <f>IFERROR(__xludf.DUMMYFUNCTION("XLOOKUP(JOIN(""/"",$A478:$B478),'source merged_div_data'!$A:$A,'source merged_div_data'!C:C)"),25065.0)</f>
        <v>25065</v>
      </c>
      <c r="F478" s="54" t="str">
        <f t="array" ref="F478">IFERROR(
  IFS(
    XLOOKUP(TEXTJOIN("/", TRUE, $A478:$B478), 'source merged_div_data'!$A:$A, 'source merged_div_data'!F:F) &lt; 1024,
      XLOOKUP(TEXTJOIN("/", TRUE, $A478:$B478), 'source merged_div_data'!$A:$A, 'source merged_div_data'!F:F) &amp; " B",
    XLOOKUP(TEXTJOIN("/", TRUE, $A478:$B478), 'source merged_div_data'!$A:$A, 'source merged_div_data'!F:F) &lt; 1048576,
      ROUND(XLOOKUP(TEXTJOIN("/", TRUE, $A478:$B478), 'source merged_div_data'!$A:$A, 'source merged_div_data'!F:F)/1024, 2) &amp; " KB",
    XLOOKUP(TEXTJOIN("/", TRUE, $A478:$B478), 'source merged_div_data'!$A:$A, 'source merged_div_data'!F:F) &lt; 1073741824,
      ROUND(XLOOKUP(TEXTJOIN("/", TRUE, $A478:$B478), 'source merged_div_data'!$A:$A, 'source merged_div_data'!F:F)/1048576, 2) &amp; " MB",
    TRUE,
      ROUND(XLOOKUP(TEXTJOIN("/", TRUE, $A478:$B478), 'source merged_div_data'!$A:$A, 'source merged_div_data'!F:F)/1073741824, 2) &amp; " GB"
  ),
  "×"
)</f>
        <v>24.68 GB</v>
      </c>
      <c r="G478" s="57" t="s">
        <v>2226</v>
      </c>
      <c r="H478" s="58" t="s">
        <v>2177</v>
      </c>
      <c r="I478" s="57"/>
      <c r="J478" s="7" t="s">
        <v>1242</v>
      </c>
      <c r="L478" s="7" t="s">
        <v>2135</v>
      </c>
      <c r="M478" s="37" t="s">
        <v>1053</v>
      </c>
      <c r="N478" s="8" t="s">
        <v>1181</v>
      </c>
      <c r="O478" s="7" t="s">
        <v>1108</v>
      </c>
      <c r="P478" s="57" t="str">
        <f>IFERROR(__xludf.DUMMYFUNCTION("XLOOKUP(JOIN(""/"",$A478:$B478),'source isilon_divまとめ'!$A:$A,'source isilon_divまとめ'!$D:$D,XLOOKUP(JOIN(""\"",$A478:$B478),'source NetApp-file-sv01-div'!A:A,TEXT('source NetApp-file-sv01-div'!C:C,""yyyy/mm/dd"")))"),"2016/09/23")</f>
        <v>2016/09/23</v>
      </c>
    </row>
    <row r="479">
      <c r="A479" s="52" t="s">
        <v>1090</v>
      </c>
      <c r="B479" s="52" t="s">
        <v>1113</v>
      </c>
      <c r="C479" s="46" t="s">
        <v>986</v>
      </c>
      <c r="D479" s="53">
        <f>IFERROR(__xludf.DUMMYFUNCTION("XLOOKUP(JOIN(""/"",$A479:$B479),'source merged_div_data'!$A:$A,'source merged_div_data'!B:B)"),11.0)</f>
        <v>11</v>
      </c>
      <c r="E479" s="53">
        <f>IFERROR(__xludf.DUMMYFUNCTION("XLOOKUP(JOIN(""/"",$A479:$B479),'source merged_div_data'!$A:$A,'source merged_div_data'!C:C)"),0.0)</f>
        <v>0</v>
      </c>
      <c r="F479" s="54" t="str">
        <f t="array" ref="F479">IFERROR(
  IFS(
    XLOOKUP(TEXTJOIN("/", TRUE, $A479:$B479), 'source merged_div_data'!$A:$A, 'source merged_div_data'!F:F) &lt; 1024,
      XLOOKUP(TEXTJOIN("/", TRUE, $A479:$B479), 'source merged_div_data'!$A:$A, 'source merged_div_data'!F:F) &amp; " B",
    XLOOKUP(TEXTJOIN("/", TRUE, $A479:$B479), 'source merged_div_data'!$A:$A, 'source merged_div_data'!F:F) &lt; 1048576,
      ROUND(XLOOKUP(TEXTJOIN("/", TRUE, $A479:$B479), 'source merged_div_data'!$A:$A, 'source merged_div_data'!F:F)/1024, 2) &amp; " KB",
    XLOOKUP(TEXTJOIN("/", TRUE, $A479:$B479), 'source merged_div_data'!$A:$A, 'source merged_div_data'!F:F) &lt; 1073741824,
      ROUND(XLOOKUP(TEXTJOIN("/", TRUE, $A479:$B479), 'source merged_div_data'!$A:$A, 'source merged_div_data'!F:F)/1048576, 2) &amp; " MB",
    TRUE,
      ROUND(XLOOKUP(TEXTJOIN("/", TRUE, $A479:$B479), 'source merged_div_data'!$A:$A, 'source merged_div_data'!F:F)/1073741824, 2) &amp; " GB"
  ),
  "×"
)</f>
        <v>324 B</v>
      </c>
      <c r="G479" s="55" t="s">
        <v>1053</v>
      </c>
      <c r="H479" s="55"/>
      <c r="I479" s="55"/>
      <c r="J479" s="46" t="s">
        <v>391</v>
      </c>
      <c r="K479" s="46" t="s">
        <v>395</v>
      </c>
      <c r="L479" s="46" t="s">
        <v>1053</v>
      </c>
      <c r="M479" s="46" t="s">
        <v>2092</v>
      </c>
      <c r="N479" s="52" t="s">
        <v>1181</v>
      </c>
      <c r="O479" s="46" t="s">
        <v>1110</v>
      </c>
      <c r="P479" s="37" t="str">
        <f>IFERROR(__xludf.DUMMYFUNCTION("XLOOKUP(JOIN(""/"",$A479:$B479),'source isilon_divまとめ'!$A:$A,'source isilon_divまとめ'!$D:$D,XLOOKUP(JOIN(""\"",$A479:$B479),'source NetApp-file-sv01-div'!A:A,TEXT('source NetApp-file-sv01-div'!C:C,""yyyy/mm/dd"")))"),"#N/A")</f>
        <v>#N/A</v>
      </c>
    </row>
    <row r="480">
      <c r="A480" s="8" t="s">
        <v>1093</v>
      </c>
      <c r="B480" s="8" t="s">
        <v>1108</v>
      </c>
      <c r="C480" s="7" t="s">
        <v>988</v>
      </c>
      <c r="D480" s="56">
        <f>IFERROR(__xludf.DUMMYFUNCTION("XLOOKUP(JOIN(""/"",$A480:$B480),'source merged_div_data'!$A:$A,'source merged_div_data'!B:B)"),996.0)</f>
        <v>996</v>
      </c>
      <c r="E480" s="56">
        <f>IFERROR(__xludf.DUMMYFUNCTION("XLOOKUP(JOIN(""/"",$A480:$B480),'source merged_div_data'!$A:$A,'source merged_div_data'!C:C)"),10517.0)</f>
        <v>10517</v>
      </c>
      <c r="F480" s="54" t="str">
        <f t="array" ref="F480">IFERROR(
  IFS(
    XLOOKUP(TEXTJOIN("/", TRUE, $A480:$B480), 'source merged_div_data'!$A:$A, 'source merged_div_data'!F:F) &lt; 1024,
      XLOOKUP(TEXTJOIN("/", TRUE, $A480:$B480), 'source merged_div_data'!$A:$A, 'source merged_div_data'!F:F) &amp; " B",
    XLOOKUP(TEXTJOIN("/", TRUE, $A480:$B480), 'source merged_div_data'!$A:$A, 'source merged_div_data'!F:F) &lt; 1048576,
      ROUND(XLOOKUP(TEXTJOIN("/", TRUE, $A480:$B480), 'source merged_div_data'!$A:$A, 'source merged_div_data'!F:F)/1024, 2) &amp; " KB",
    XLOOKUP(TEXTJOIN("/", TRUE, $A480:$B480), 'source merged_div_data'!$A:$A, 'source merged_div_data'!F:F) &lt; 1073741824,
      ROUND(XLOOKUP(TEXTJOIN("/", TRUE, $A480:$B480), 'source merged_div_data'!$A:$A, 'source merged_div_data'!F:F)/1048576, 2) &amp; " MB",
    TRUE,
      ROUND(XLOOKUP(TEXTJOIN("/", TRUE, $A480:$B480), 'source merged_div_data'!$A:$A, 'source merged_div_data'!F:F)/1073741824, 2) &amp; " GB"
  ),
  "×"
)</f>
        <v>8.53 GB</v>
      </c>
      <c r="G480" s="57" t="s">
        <v>2372</v>
      </c>
      <c r="H480" s="58" t="s">
        <v>2177</v>
      </c>
      <c r="I480" s="57"/>
      <c r="J480" s="7" t="s">
        <v>1354</v>
      </c>
      <c r="L480" s="37" t="s">
        <v>1053</v>
      </c>
      <c r="M480" s="37" t="s">
        <v>1053</v>
      </c>
      <c r="N480" s="8" t="s">
        <v>1102</v>
      </c>
      <c r="O480" s="7" t="s">
        <v>1354</v>
      </c>
      <c r="P480" s="57" t="str">
        <f>IFERROR(__xludf.DUMMYFUNCTION("XLOOKUP(JOIN(""/"",$A480:$B480),'source isilon_divまとめ'!$A:$A,'source isilon_divまとめ'!$D:$D,XLOOKUP(JOIN(""\"",$A480:$B480),'source NetApp-file-sv01-div'!A:A,TEXT('source NetApp-file-sv01-div'!C:C,""yyyy/mm/dd"")))"),"2014/05/30")</f>
        <v>2014/05/30</v>
      </c>
    </row>
    <row r="481">
      <c r="A481" s="52" t="s">
        <v>1093</v>
      </c>
      <c r="B481" s="52" t="s">
        <v>1111</v>
      </c>
      <c r="C481" s="46" t="s">
        <v>988</v>
      </c>
      <c r="D481" s="53">
        <f>IFERROR(__xludf.DUMMYFUNCTION("XLOOKUP(JOIN(""/"",$A481:$B481),'source merged_div_data'!$A:$A,'source merged_div_data'!B:B)"),1.0)</f>
        <v>1</v>
      </c>
      <c r="E481" s="53">
        <f>IFERROR(__xludf.DUMMYFUNCTION("XLOOKUP(JOIN(""/"",$A481:$B481),'source merged_div_data'!$A:$A,'source merged_div_data'!C:C)"),0.0)</f>
        <v>0</v>
      </c>
      <c r="F481" s="54" t="str">
        <f t="array" ref="F481">IFERROR(
  IFS(
    XLOOKUP(TEXTJOIN("/", TRUE, $A481:$B481), 'source merged_div_data'!$A:$A, 'source merged_div_data'!F:F) &lt; 1024,
      XLOOKUP(TEXTJOIN("/", TRUE, $A481:$B481), 'source merged_div_data'!$A:$A, 'source merged_div_data'!F:F) &amp; " B",
    XLOOKUP(TEXTJOIN("/", TRUE, $A481:$B481), 'source merged_div_data'!$A:$A, 'source merged_div_data'!F:F) &lt; 1048576,
      ROUND(XLOOKUP(TEXTJOIN("/", TRUE, $A481:$B481), 'source merged_div_data'!$A:$A, 'source merged_div_data'!F:F)/1024, 2) &amp; " KB",
    XLOOKUP(TEXTJOIN("/", TRUE, $A481:$B481), 'source merged_div_data'!$A:$A, 'source merged_div_data'!F:F) &lt; 1073741824,
      ROUND(XLOOKUP(TEXTJOIN("/", TRUE, $A481:$B481), 'source merged_div_data'!$A:$A, 'source merged_div_data'!F:F)/1048576, 2) &amp; " MB",
    TRUE,
      ROUND(XLOOKUP(TEXTJOIN("/", TRUE, $A481:$B481), 'source merged_div_data'!$A:$A, 'source merged_div_data'!F:F)/1073741824, 2) &amp; " GB"
  ),
  "×"
)</f>
        <v>0 B</v>
      </c>
      <c r="G481" s="55" t="s">
        <v>1053</v>
      </c>
      <c r="H481" s="55"/>
      <c r="I481" s="55"/>
      <c r="J481" s="46" t="s">
        <v>1105</v>
      </c>
      <c r="K481" s="55"/>
      <c r="L481" s="55" t="s">
        <v>1053</v>
      </c>
      <c r="M481" s="55" t="s">
        <v>1053</v>
      </c>
      <c r="N481" s="52" t="s">
        <v>1102</v>
      </c>
      <c r="O481" s="46" t="s">
        <v>1105</v>
      </c>
      <c r="P481" s="37" t="str">
        <f>IFERROR(__xludf.DUMMYFUNCTION("XLOOKUP(JOIN(""/"",$A481:$B481),'source isilon_divまとめ'!$A:$A,'source isilon_divまとめ'!$D:$D,XLOOKUP(JOIN(""\"",$A481:$B481),'source NetApp-file-sv01-div'!A:A,TEXT('source NetApp-file-sv01-div'!C:C,""yyyy/mm/dd"")))"),"#N/A")</f>
        <v>#N/A</v>
      </c>
    </row>
    <row r="482">
      <c r="A482" s="52" t="s">
        <v>1096</v>
      </c>
      <c r="B482" s="52" t="s">
        <v>1355</v>
      </c>
      <c r="C482" s="46" t="s">
        <v>986</v>
      </c>
      <c r="D482" s="53">
        <f>IFERROR(__xludf.DUMMYFUNCTION("XLOOKUP(JOIN(""/"",$A482:$B482),'source merged_div_data'!$A:$A,'source merged_div_data'!B:B)"),7.0)</f>
        <v>7</v>
      </c>
      <c r="E482" s="53">
        <f>IFERROR(__xludf.DUMMYFUNCTION("XLOOKUP(JOIN(""/"",$A482:$B482),'source merged_div_data'!$A:$A,'source merged_div_data'!C:C)"),0.0)</f>
        <v>0</v>
      </c>
      <c r="F482" s="54" t="str">
        <f t="array" ref="F482">IFERROR(
  IFS(
    XLOOKUP(TEXTJOIN("/", TRUE, $A482:$B482), 'source merged_div_data'!$A:$A, 'source merged_div_data'!F:F) &lt; 1024,
      XLOOKUP(TEXTJOIN("/", TRUE, $A482:$B482), 'source merged_div_data'!$A:$A, 'source merged_div_data'!F:F) &amp; " B",
    XLOOKUP(TEXTJOIN("/", TRUE, $A482:$B482), 'source merged_div_data'!$A:$A, 'source merged_div_data'!F:F) &lt; 1048576,
      ROUND(XLOOKUP(TEXTJOIN("/", TRUE, $A482:$B482), 'source merged_div_data'!$A:$A, 'source merged_div_data'!F:F)/1024, 2) &amp; " KB",
    XLOOKUP(TEXTJOIN("/", TRUE, $A482:$B482), 'source merged_div_data'!$A:$A, 'source merged_div_data'!F:F) &lt; 1073741824,
      ROUND(XLOOKUP(TEXTJOIN("/", TRUE, $A482:$B482), 'source merged_div_data'!$A:$A, 'source merged_div_data'!F:F)/1048576, 2) &amp; " MB",
    TRUE,
      ROUND(XLOOKUP(TEXTJOIN("/", TRUE, $A482:$B482), 'source merged_div_data'!$A:$A, 'source merged_div_data'!F:F)/1073741824, 2) &amp; " GB"
  ),
  "×"
)</f>
        <v>207 B</v>
      </c>
      <c r="G482" s="55" t="s">
        <v>1053</v>
      </c>
      <c r="H482" s="55"/>
      <c r="I482" s="55"/>
      <c r="J482" s="46" t="s">
        <v>717</v>
      </c>
      <c r="K482" s="55"/>
      <c r="L482" s="46" t="s">
        <v>2100</v>
      </c>
      <c r="M482" s="55" t="s">
        <v>1053</v>
      </c>
      <c r="N482" s="46" t="s">
        <v>1052</v>
      </c>
      <c r="O482" s="46" t="s">
        <v>1097</v>
      </c>
      <c r="P482" s="37" t="str">
        <f>IFERROR(__xludf.DUMMYFUNCTION("XLOOKUP(JOIN(""/"",$A482:$B482),'source isilon_divまとめ'!$A:$A,'source isilon_divまとめ'!$D:$D,XLOOKUP(JOIN(""\"",$A482:$B482),'source NetApp-file-sv01-div'!A:A,TEXT('source NetApp-file-sv01-div'!C:C,""yyyy/mm/dd"")))"),"#N/A")</f>
        <v>#N/A</v>
      </c>
    </row>
    <row r="483">
      <c r="A483" s="52" t="s">
        <v>1096</v>
      </c>
      <c r="B483" s="52" t="s">
        <v>1224</v>
      </c>
      <c r="C483" s="46" t="s">
        <v>986</v>
      </c>
      <c r="D483" s="53">
        <f>IFERROR(__xludf.DUMMYFUNCTION("XLOOKUP(JOIN(""/"",$A483:$B483),'source merged_div_data'!$A:$A,'source merged_div_data'!B:B)"),18.0)</f>
        <v>18</v>
      </c>
      <c r="E483" s="53">
        <f>IFERROR(__xludf.DUMMYFUNCTION("XLOOKUP(JOIN(""/"",$A483:$B483),'source merged_div_data'!$A:$A,'source merged_div_data'!C:C)"),0.0)</f>
        <v>0</v>
      </c>
      <c r="F483" s="54" t="str">
        <f t="array" ref="F483">IFERROR(
  IFS(
    XLOOKUP(TEXTJOIN("/", TRUE, $A483:$B483), 'source merged_div_data'!$A:$A, 'source merged_div_data'!F:F) &lt; 1024,
      XLOOKUP(TEXTJOIN("/", TRUE, $A483:$B483), 'source merged_div_data'!$A:$A, 'source merged_div_data'!F:F) &amp; " B",
    XLOOKUP(TEXTJOIN("/", TRUE, $A483:$B483), 'source merged_div_data'!$A:$A, 'source merged_div_data'!F:F) &lt; 1048576,
      ROUND(XLOOKUP(TEXTJOIN("/", TRUE, $A483:$B483), 'source merged_div_data'!$A:$A, 'source merged_div_data'!F:F)/1024, 2) &amp; " KB",
    XLOOKUP(TEXTJOIN("/", TRUE, $A483:$B483), 'source merged_div_data'!$A:$A, 'source merged_div_data'!F:F) &lt; 1073741824,
      ROUND(XLOOKUP(TEXTJOIN("/", TRUE, $A483:$B483), 'source merged_div_data'!$A:$A, 'source merged_div_data'!F:F)/1048576, 2) &amp; " MB",
    TRUE,
      ROUND(XLOOKUP(TEXTJOIN("/", TRUE, $A483:$B483), 'source merged_div_data'!$A:$A, 'source merged_div_data'!F:F)/1073741824, 2) &amp; " GB"
  ),
  "×"
)</f>
        <v>603 B</v>
      </c>
      <c r="G483" s="55" t="s">
        <v>1053</v>
      </c>
      <c r="H483" s="55"/>
      <c r="I483" s="55"/>
      <c r="J483" s="46" t="s">
        <v>717</v>
      </c>
      <c r="K483" s="55"/>
      <c r="L483" s="46" t="s">
        <v>2100</v>
      </c>
      <c r="M483" s="55" t="s">
        <v>1053</v>
      </c>
      <c r="N483" s="52" t="s">
        <v>1102</v>
      </c>
      <c r="O483" s="46" t="s">
        <v>1097</v>
      </c>
      <c r="P483" s="37" t="str">
        <f>IFERROR(__xludf.DUMMYFUNCTION("XLOOKUP(JOIN(""/"",$A483:$B483),'source isilon_divまとめ'!$A:$A,'source isilon_divまとめ'!$D:$D,XLOOKUP(JOIN(""\"",$A483:$B483),'source NetApp-file-sv01-div'!A:A,TEXT('source NetApp-file-sv01-div'!C:C,""yyyy/mm/dd"")))"),"#N/A")</f>
        <v>#N/A</v>
      </c>
    </row>
    <row r="484">
      <c r="A484" s="8" t="s">
        <v>1096</v>
      </c>
      <c r="B484" s="8" t="s">
        <v>1356</v>
      </c>
      <c r="C484" s="7" t="s">
        <v>987</v>
      </c>
      <c r="D484" s="56">
        <f>IFERROR(__xludf.DUMMYFUNCTION("XLOOKUP(JOIN(""/"",$A484:$B484),'source merged_div_data'!$A:$A,'source merged_div_data'!B:B)"),5825.0)</f>
        <v>5825</v>
      </c>
      <c r="E484" s="56">
        <f>IFERROR(__xludf.DUMMYFUNCTION("XLOOKUP(JOIN(""/"",$A484:$B484),'source merged_div_data'!$A:$A,'source merged_div_data'!C:C)"),89729.0)</f>
        <v>89729</v>
      </c>
      <c r="F484" s="54" t="str">
        <f t="array" ref="F484">IFERROR(
  IFS(
    XLOOKUP(TEXTJOIN("/", TRUE, $A484:$B484), 'source merged_div_data'!$A:$A, 'source merged_div_data'!F:F) &lt; 1024,
      XLOOKUP(TEXTJOIN("/", TRUE, $A484:$B484), 'source merged_div_data'!$A:$A, 'source merged_div_data'!F:F) &amp; " B",
    XLOOKUP(TEXTJOIN("/", TRUE, $A484:$B484), 'source merged_div_data'!$A:$A, 'source merged_div_data'!F:F) &lt; 1048576,
      ROUND(XLOOKUP(TEXTJOIN("/", TRUE, $A484:$B484), 'source merged_div_data'!$A:$A, 'source merged_div_data'!F:F)/1024, 2) &amp; " KB",
    XLOOKUP(TEXTJOIN("/", TRUE, $A484:$B484), 'source merged_div_data'!$A:$A, 'source merged_div_data'!F:F) &lt; 1073741824,
      ROUND(XLOOKUP(TEXTJOIN("/", TRUE, $A484:$B484), 'source merged_div_data'!$A:$A, 'source merged_div_data'!F:F)/1048576, 2) &amp; " MB",
    TRUE,
      ROUND(XLOOKUP(TEXTJOIN("/", TRUE, $A484:$B484), 'source merged_div_data'!$A:$A, 'source merged_div_data'!F:F)/1073741824, 2) &amp; " GB"
  ),
  "×"
)</f>
        <v>51.15 GB</v>
      </c>
      <c r="G484" s="57" t="s">
        <v>2373</v>
      </c>
      <c r="H484" s="58" t="s">
        <v>2177</v>
      </c>
      <c r="I484" s="57"/>
      <c r="J484" s="31" t="s">
        <v>717</v>
      </c>
      <c r="K484" s="7" t="s">
        <v>43</v>
      </c>
      <c r="L484" s="37" t="s">
        <v>1053</v>
      </c>
      <c r="M484" s="7" t="s">
        <v>1467</v>
      </c>
      <c r="N484" s="8" t="s">
        <v>1102</v>
      </c>
      <c r="O484" s="7" t="s">
        <v>1097</v>
      </c>
      <c r="P484" s="57" t="str">
        <f>IFERROR(__xludf.DUMMYFUNCTION("XLOOKUP(JOIN(""/"",$A484:$B484),'source isilon_divまとめ'!$A:$A,'source isilon_divまとめ'!$D:$D,XLOOKUP(JOIN(""\"",$A484:$B484),'source NetApp-file-sv01-div'!A:A,TEXT('source NetApp-file-sv01-div'!C:C,""yyyy/mm/dd"")))"),"2021/05/06")</f>
        <v>2021/05/06</v>
      </c>
    </row>
    <row r="485">
      <c r="A485" s="8" t="s">
        <v>1096</v>
      </c>
      <c r="B485" s="8" t="s">
        <v>1357</v>
      </c>
      <c r="C485" s="7" t="s">
        <v>987</v>
      </c>
      <c r="D485" s="56">
        <f>IFERROR(__xludf.DUMMYFUNCTION("XLOOKUP(JOIN(""/"",$A485:$B485),'source merged_div_data'!$A:$A,'source merged_div_data'!B:B)"),23.0)</f>
        <v>23</v>
      </c>
      <c r="E485" s="56">
        <f>IFERROR(__xludf.DUMMYFUNCTION("XLOOKUP(JOIN(""/"",$A485:$B485),'source merged_div_data'!$A:$A,'source merged_div_data'!C:C)"),5.0)</f>
        <v>5</v>
      </c>
      <c r="F485" s="54" t="str">
        <f t="array" ref="F485">IFERROR(
  IFS(
    XLOOKUP(TEXTJOIN("/", TRUE, $A485:$B485), 'source merged_div_data'!$A:$A, 'source merged_div_data'!F:F) &lt; 1024,
      XLOOKUP(TEXTJOIN("/", TRUE, $A485:$B485), 'source merged_div_data'!$A:$A, 'source merged_div_data'!F:F) &amp; " B",
    XLOOKUP(TEXTJOIN("/", TRUE, $A485:$B485), 'source merged_div_data'!$A:$A, 'source merged_div_data'!F:F) &lt; 1048576,
      ROUND(XLOOKUP(TEXTJOIN("/", TRUE, $A485:$B485), 'source merged_div_data'!$A:$A, 'source merged_div_data'!F:F)/1024, 2) &amp; " KB",
    XLOOKUP(TEXTJOIN("/", TRUE, $A485:$B485), 'source merged_div_data'!$A:$A, 'source merged_div_data'!F:F) &lt; 1073741824,
      ROUND(XLOOKUP(TEXTJOIN("/", TRUE, $A485:$B485), 'source merged_div_data'!$A:$A, 'source merged_div_data'!F:F)/1048576, 2) &amp; " MB",
    TRUE,
      ROUND(XLOOKUP(TEXTJOIN("/", TRUE, $A485:$B485), 'source merged_div_data'!$A:$A, 'source merged_div_data'!F:F)/1073741824, 2) &amp; " GB"
  ),
  "×"
)</f>
        <v>714.18 KB</v>
      </c>
      <c r="G485" s="57" t="s">
        <v>2374</v>
      </c>
      <c r="H485" s="58" t="s">
        <v>2177</v>
      </c>
      <c r="I485" s="57"/>
      <c r="J485" s="7" t="s">
        <v>717</v>
      </c>
      <c r="L485" s="7" t="s">
        <v>2100</v>
      </c>
      <c r="M485" s="37" t="s">
        <v>1053</v>
      </c>
      <c r="N485" s="7" t="s">
        <v>1052</v>
      </c>
      <c r="O485" s="7" t="s">
        <v>1097</v>
      </c>
      <c r="P485" s="57" t="str">
        <f>IFERROR(__xludf.DUMMYFUNCTION("XLOOKUP(JOIN(""/"",$A485:$B485),'source isilon_divまとめ'!$A:$A,'source isilon_divまとめ'!$D:$D,XLOOKUP(JOIN(""\"",$A485:$B485),'source NetApp-file-sv01-div'!A:A,TEXT('source NetApp-file-sv01-div'!C:C,""yyyy/mm/dd"")))"),"2019/07/17")</f>
        <v>2019/07/17</v>
      </c>
    </row>
    <row r="486">
      <c r="A486" s="52" t="s">
        <v>1096</v>
      </c>
      <c r="B486" s="52" t="s">
        <v>1227</v>
      </c>
      <c r="C486" s="46" t="s">
        <v>986</v>
      </c>
      <c r="D486" s="53">
        <f>IFERROR(__xludf.DUMMYFUNCTION("XLOOKUP(JOIN(""/"",$A486:$B486),'source merged_div_data'!$A:$A,'source merged_div_data'!B:B)"),34.0)</f>
        <v>34</v>
      </c>
      <c r="E486" s="53">
        <f>IFERROR(__xludf.DUMMYFUNCTION("XLOOKUP(JOIN(""/"",$A486:$B486),'source merged_div_data'!$A:$A,'source merged_div_data'!C:C)"),0.0)</f>
        <v>0</v>
      </c>
      <c r="F486" s="54" t="str">
        <f t="array" ref="F486">IFERROR(
  IFS(
    XLOOKUP(TEXTJOIN("/", TRUE, $A486:$B486), 'source merged_div_data'!$A:$A, 'source merged_div_data'!F:F) &lt; 1024,
      XLOOKUP(TEXTJOIN("/", TRUE, $A486:$B486), 'source merged_div_data'!$A:$A, 'source merged_div_data'!F:F) &amp; " B",
    XLOOKUP(TEXTJOIN("/", TRUE, $A486:$B486), 'source merged_div_data'!$A:$A, 'source merged_div_data'!F:F) &lt; 1048576,
      ROUND(XLOOKUP(TEXTJOIN("/", TRUE, $A486:$B486), 'source merged_div_data'!$A:$A, 'source merged_div_data'!F:F)/1024, 2) &amp; " KB",
    XLOOKUP(TEXTJOIN("/", TRUE, $A486:$B486), 'source merged_div_data'!$A:$A, 'source merged_div_data'!F:F) &lt; 1073741824,
      ROUND(XLOOKUP(TEXTJOIN("/", TRUE, $A486:$B486), 'source merged_div_data'!$A:$A, 'source merged_div_data'!F:F)/1048576, 2) &amp; " MB",
    TRUE,
      ROUND(XLOOKUP(TEXTJOIN("/", TRUE, $A486:$B486), 'source merged_div_data'!$A:$A, 'source merged_div_data'!F:F)/1073741824, 2) &amp; " GB"
  ),
  "×"
)</f>
        <v>1.18 KB</v>
      </c>
      <c r="G486" s="55" t="s">
        <v>1053</v>
      </c>
      <c r="H486" s="55"/>
      <c r="I486" s="55"/>
      <c r="J486" s="46" t="s">
        <v>717</v>
      </c>
      <c r="K486" s="55"/>
      <c r="L486" s="46" t="s">
        <v>2100</v>
      </c>
      <c r="M486" s="55" t="s">
        <v>1053</v>
      </c>
      <c r="N486" s="52" t="s">
        <v>1102</v>
      </c>
      <c r="O486" s="46" t="s">
        <v>693</v>
      </c>
      <c r="P486" s="37" t="str">
        <f>IFERROR(__xludf.DUMMYFUNCTION("XLOOKUP(JOIN(""/"",$A486:$B486),'source isilon_divまとめ'!$A:$A,'source isilon_divまとめ'!$D:$D,XLOOKUP(JOIN(""\"",$A486:$B486),'source NetApp-file-sv01-div'!A:A,TEXT('source NetApp-file-sv01-div'!C:C,""yyyy/mm/dd"")))"),"#N/A")</f>
        <v>#N/A</v>
      </c>
    </row>
    <row r="487">
      <c r="A487" s="8" t="s">
        <v>1096</v>
      </c>
      <c r="B487" s="8" t="s">
        <v>1358</v>
      </c>
      <c r="C487" s="7" t="s">
        <v>987</v>
      </c>
      <c r="D487" s="56">
        <f>IFERROR(__xludf.DUMMYFUNCTION("XLOOKUP(JOIN(""/"",$A487:$B487),'source merged_div_data'!$A:$A,'source merged_div_data'!B:B)"),33.0)</f>
        <v>33</v>
      </c>
      <c r="E487" s="56">
        <f>IFERROR(__xludf.DUMMYFUNCTION("XLOOKUP(JOIN(""/"",$A487:$B487),'source merged_div_data'!$A:$A,'source merged_div_data'!C:C)"),2.0)</f>
        <v>2</v>
      </c>
      <c r="F487" s="54" t="str">
        <f t="array" ref="F487">IFERROR(
  IFS(
    XLOOKUP(TEXTJOIN("/", TRUE, $A487:$B487), 'source merged_div_data'!$A:$A, 'source merged_div_data'!F:F) &lt; 1024,
      XLOOKUP(TEXTJOIN("/", TRUE, $A487:$B487), 'source merged_div_data'!$A:$A, 'source merged_div_data'!F:F) &amp; " B",
    XLOOKUP(TEXTJOIN("/", TRUE, $A487:$B487), 'source merged_div_data'!$A:$A, 'source merged_div_data'!F:F) &lt; 1048576,
      ROUND(XLOOKUP(TEXTJOIN("/", TRUE, $A487:$B487), 'source merged_div_data'!$A:$A, 'source merged_div_data'!F:F)/1024, 2) &amp; " KB",
    XLOOKUP(TEXTJOIN("/", TRUE, $A487:$B487), 'source merged_div_data'!$A:$A, 'source merged_div_data'!F:F) &lt; 1073741824,
      ROUND(XLOOKUP(TEXTJOIN("/", TRUE, $A487:$B487), 'source merged_div_data'!$A:$A, 'source merged_div_data'!F:F)/1048576, 2) &amp; " MB",
    TRUE,
      ROUND(XLOOKUP(TEXTJOIN("/", TRUE, $A487:$B487), 'source merged_div_data'!$A:$A, 'source merged_div_data'!F:F)/1073741824, 2) &amp; " GB"
  ),
  "×"
)</f>
        <v>14.36 KB</v>
      </c>
      <c r="G487" s="57" t="s">
        <v>2375</v>
      </c>
      <c r="H487" s="58" t="s">
        <v>2177</v>
      </c>
      <c r="I487" s="57"/>
      <c r="J487" s="7" t="s">
        <v>717</v>
      </c>
      <c r="L487" s="7" t="s">
        <v>2100</v>
      </c>
      <c r="M487" s="37" t="s">
        <v>1053</v>
      </c>
      <c r="N487" s="7" t="s">
        <v>1052</v>
      </c>
      <c r="O487" s="7" t="s">
        <v>1097</v>
      </c>
      <c r="P487" s="57" t="str">
        <f>IFERROR(__xludf.DUMMYFUNCTION("XLOOKUP(JOIN(""/"",$A487:$B487),'source isilon_divまとめ'!$A:$A,'source isilon_divまとめ'!$D:$D,XLOOKUP(JOIN(""\"",$A487:$B487),'source NetApp-file-sv01-div'!A:A,TEXT('source NetApp-file-sv01-div'!C:C,""yyyy/mm/dd"")))"),"2020/12/22")</f>
        <v>2020/12/22</v>
      </c>
    </row>
    <row r="488">
      <c r="A488" s="52" t="s">
        <v>1096</v>
      </c>
      <c r="B488" s="52" t="s">
        <v>1359</v>
      </c>
      <c r="C488" s="46" t="s">
        <v>986</v>
      </c>
      <c r="D488" s="53">
        <f>IFERROR(__xludf.DUMMYFUNCTION("XLOOKUP(JOIN(""/"",$A488:$B488),'source merged_div_data'!$A:$A,'source merged_div_data'!B:B)"),4.0)</f>
        <v>4</v>
      </c>
      <c r="E488" s="53">
        <f>IFERROR(__xludf.DUMMYFUNCTION("XLOOKUP(JOIN(""/"",$A488:$B488),'source merged_div_data'!$A:$A,'source merged_div_data'!C:C)"),0.0)</f>
        <v>0</v>
      </c>
      <c r="F488" s="54" t="str">
        <f t="array" ref="F488">IFERROR(
  IFS(
    XLOOKUP(TEXTJOIN("/", TRUE, $A488:$B488), 'source merged_div_data'!$A:$A, 'source merged_div_data'!F:F) &lt; 1024,
      XLOOKUP(TEXTJOIN("/", TRUE, $A488:$B488), 'source merged_div_data'!$A:$A, 'source merged_div_data'!F:F) &amp; " B",
    XLOOKUP(TEXTJOIN("/", TRUE, $A488:$B488), 'source merged_div_data'!$A:$A, 'source merged_div_data'!F:F) &lt; 1048576,
      ROUND(XLOOKUP(TEXTJOIN("/", TRUE, $A488:$B488), 'source merged_div_data'!$A:$A, 'source merged_div_data'!F:F)/1024, 2) &amp; " KB",
    XLOOKUP(TEXTJOIN("/", TRUE, $A488:$B488), 'source merged_div_data'!$A:$A, 'source merged_div_data'!F:F) &lt; 1073741824,
      ROUND(XLOOKUP(TEXTJOIN("/", TRUE, $A488:$B488), 'source merged_div_data'!$A:$A, 'source merged_div_data'!F:F)/1048576, 2) &amp; " MB",
    TRUE,
      ROUND(XLOOKUP(TEXTJOIN("/", TRUE, $A488:$B488), 'source merged_div_data'!$A:$A, 'source merged_div_data'!F:F)/1073741824, 2) &amp; " GB"
  ),
  "×"
)</f>
        <v>106 B</v>
      </c>
      <c r="G488" s="55" t="s">
        <v>1053</v>
      </c>
      <c r="H488" s="55"/>
      <c r="I488" s="55"/>
      <c r="J488" s="46" t="s">
        <v>693</v>
      </c>
      <c r="K488" s="55"/>
      <c r="L488" s="46" t="s">
        <v>2094</v>
      </c>
      <c r="M488" s="55" t="s">
        <v>1053</v>
      </c>
      <c r="N488" s="52" t="s">
        <v>1102</v>
      </c>
      <c r="O488" s="46" t="s">
        <v>693</v>
      </c>
      <c r="P488" s="37" t="str">
        <f>IFERROR(__xludf.DUMMYFUNCTION("XLOOKUP(JOIN(""/"",$A488:$B488),'source isilon_divまとめ'!$A:$A,'source isilon_divまとめ'!$D:$D,XLOOKUP(JOIN(""\"",$A488:$B488),'source NetApp-file-sv01-div'!A:A,TEXT('source NetApp-file-sv01-div'!C:C,""yyyy/mm/dd"")))"),"#N/A")</f>
        <v>#N/A</v>
      </c>
    </row>
    <row r="489">
      <c r="A489" s="8" t="s">
        <v>1096</v>
      </c>
      <c r="B489" s="8" t="s">
        <v>1360</v>
      </c>
      <c r="C489" s="7" t="s">
        <v>987</v>
      </c>
      <c r="D489" s="56">
        <f>IFERROR(__xludf.DUMMYFUNCTION("XLOOKUP(JOIN(""/"",$A489:$B489),'source merged_div_data'!$A:$A,'source merged_div_data'!B:B)"),46.0)</f>
        <v>46</v>
      </c>
      <c r="E489" s="56">
        <f>IFERROR(__xludf.DUMMYFUNCTION("XLOOKUP(JOIN(""/"",$A489:$B489),'source merged_div_data'!$A:$A,'source merged_div_data'!C:C)"),2.0)</f>
        <v>2</v>
      </c>
      <c r="F489" s="54" t="str">
        <f t="array" ref="F489">IFERROR(
  IFS(
    XLOOKUP(TEXTJOIN("/", TRUE, $A489:$B489), 'source merged_div_data'!$A:$A, 'source merged_div_data'!F:F) &lt; 1024,
      XLOOKUP(TEXTJOIN("/", TRUE, $A489:$B489), 'source merged_div_data'!$A:$A, 'source merged_div_data'!F:F) &amp; " B",
    XLOOKUP(TEXTJOIN("/", TRUE, $A489:$B489), 'source merged_div_data'!$A:$A, 'source merged_div_data'!F:F) &lt; 1048576,
      ROUND(XLOOKUP(TEXTJOIN("/", TRUE, $A489:$B489), 'source merged_div_data'!$A:$A, 'source merged_div_data'!F:F)/1024, 2) &amp; " KB",
    XLOOKUP(TEXTJOIN("/", TRUE, $A489:$B489), 'source merged_div_data'!$A:$A, 'source merged_div_data'!F:F) &lt; 1073741824,
      ROUND(XLOOKUP(TEXTJOIN("/", TRUE, $A489:$B489), 'source merged_div_data'!$A:$A, 'source merged_div_data'!F:F)/1048576, 2) &amp; " MB",
    TRUE,
      ROUND(XLOOKUP(TEXTJOIN("/", TRUE, $A489:$B489), 'source merged_div_data'!$A:$A, 'source merged_div_data'!F:F)/1073741824, 2) &amp; " GB"
  ),
  "×"
)</f>
        <v>13.77 KB</v>
      </c>
      <c r="G489" s="37" t="s">
        <v>1053</v>
      </c>
      <c r="H489" s="7" t="s">
        <v>2177</v>
      </c>
      <c r="I489" s="37"/>
      <c r="J489" s="7" t="s">
        <v>717</v>
      </c>
      <c r="K489" s="7" t="s">
        <v>730</v>
      </c>
      <c r="L489" s="37" t="s">
        <v>1053</v>
      </c>
      <c r="M489" s="7" t="s">
        <v>2154</v>
      </c>
      <c r="N489" s="8" t="s">
        <v>1102</v>
      </c>
      <c r="O489" s="7" t="s">
        <v>1097</v>
      </c>
      <c r="P489" s="37" t="str">
        <f>IFERROR(__xludf.DUMMYFUNCTION("XLOOKUP(JOIN(""/"",$A489:$B489),'source isilon_divまとめ'!$A:$A,'source isilon_divまとめ'!$D:$D,XLOOKUP(JOIN(""\"",$A489:$B489),'source NetApp-file-sv01-div'!A:A,TEXT('source NetApp-file-sv01-div'!C:C,""yyyy/mm/dd"")))"),"#N/A")</f>
        <v>#N/A</v>
      </c>
    </row>
    <row r="490">
      <c r="A490" s="8" t="s">
        <v>1096</v>
      </c>
      <c r="B490" s="8" t="s">
        <v>1361</v>
      </c>
      <c r="C490" s="7" t="s">
        <v>987</v>
      </c>
      <c r="D490" s="56">
        <f>IFERROR(__xludf.DUMMYFUNCTION("XLOOKUP(JOIN(""/"",$A490:$B490),'source merged_div_data'!$A:$A,'source merged_div_data'!B:B)"),2378.0)</f>
        <v>2378</v>
      </c>
      <c r="E490" s="56">
        <f>IFERROR(__xludf.DUMMYFUNCTION("XLOOKUP(JOIN(""/"",$A490:$B490),'source merged_div_data'!$A:$A,'source merged_div_data'!C:C)"),12680.0)</f>
        <v>12680</v>
      </c>
      <c r="F490" s="54" t="str">
        <f t="array" ref="F490">IFERROR(
  IFS(
    XLOOKUP(TEXTJOIN("/", TRUE, $A490:$B490), 'source merged_div_data'!$A:$A, 'source merged_div_data'!F:F) &lt; 1024,
      XLOOKUP(TEXTJOIN("/", TRUE, $A490:$B490), 'source merged_div_data'!$A:$A, 'source merged_div_data'!F:F) &amp; " B",
    XLOOKUP(TEXTJOIN("/", TRUE, $A490:$B490), 'source merged_div_data'!$A:$A, 'source merged_div_data'!F:F) &lt; 1048576,
      ROUND(XLOOKUP(TEXTJOIN("/", TRUE, $A490:$B490), 'source merged_div_data'!$A:$A, 'source merged_div_data'!F:F)/1024, 2) &amp; " KB",
    XLOOKUP(TEXTJOIN("/", TRUE, $A490:$B490), 'source merged_div_data'!$A:$A, 'source merged_div_data'!F:F) &lt; 1073741824,
      ROUND(XLOOKUP(TEXTJOIN("/", TRUE, $A490:$B490), 'source merged_div_data'!$A:$A, 'source merged_div_data'!F:F)/1048576, 2) &amp; " MB",
    TRUE,
      ROUND(XLOOKUP(TEXTJOIN("/", TRUE, $A490:$B490), 'source merged_div_data'!$A:$A, 'source merged_div_data'!F:F)/1073741824, 2) &amp; " GB"
  ),
  "×"
)</f>
        <v>63.44 GB</v>
      </c>
      <c r="G490" s="57" t="s">
        <v>2376</v>
      </c>
      <c r="H490" s="58" t="s">
        <v>2177</v>
      </c>
      <c r="I490" s="57"/>
      <c r="J490" s="31" t="s">
        <v>717</v>
      </c>
      <c r="L490" s="30" t="s">
        <v>2100</v>
      </c>
      <c r="M490" s="37" t="s">
        <v>1053</v>
      </c>
      <c r="N490" s="8" t="s">
        <v>1102</v>
      </c>
      <c r="O490" s="7" t="s">
        <v>1097</v>
      </c>
      <c r="P490" s="57" t="str">
        <f>IFERROR(__xludf.DUMMYFUNCTION("XLOOKUP(JOIN(""/"",$A490:$B490),'source isilon_divまとめ'!$A:$A,'source isilon_divまとめ'!$D:$D,XLOOKUP(JOIN(""\"",$A490:$B490),'source NetApp-file-sv01-div'!A:A,TEXT('source NetApp-file-sv01-div'!C:C,""yyyy/mm/dd"")))"),"2020/11/27")</f>
        <v>2020/11/27</v>
      </c>
    </row>
    <row r="491">
      <c r="A491" s="8" t="s">
        <v>1096</v>
      </c>
      <c r="B491" s="8" t="s">
        <v>1137</v>
      </c>
      <c r="C491" s="7" t="s">
        <v>987</v>
      </c>
      <c r="D491" s="56">
        <f>IFERROR(__xludf.DUMMYFUNCTION("XLOOKUP(JOIN(""/"",$A491:$B491),'source merged_div_data'!$A:$A,'source merged_div_data'!B:B)"),6092.0)</f>
        <v>6092</v>
      </c>
      <c r="E491" s="56">
        <f>IFERROR(__xludf.DUMMYFUNCTION("XLOOKUP(JOIN(""/"",$A491:$B491),'source merged_div_data'!$A:$A,'source merged_div_data'!C:C)"),90641.0)</f>
        <v>90641</v>
      </c>
      <c r="F491" s="54" t="str">
        <f t="array" ref="F491">IFERROR(
  IFS(
    XLOOKUP(TEXTJOIN("/", TRUE, $A491:$B491), 'source merged_div_data'!$A:$A, 'source merged_div_data'!F:F) &lt; 1024,
      XLOOKUP(TEXTJOIN("/", TRUE, $A491:$B491), 'source merged_div_data'!$A:$A, 'source merged_div_data'!F:F) &amp; " B",
    XLOOKUP(TEXTJOIN("/", TRUE, $A491:$B491), 'source merged_div_data'!$A:$A, 'source merged_div_data'!F:F) &lt; 1048576,
      ROUND(XLOOKUP(TEXTJOIN("/", TRUE, $A491:$B491), 'source merged_div_data'!$A:$A, 'source merged_div_data'!F:F)/1024, 2) &amp; " KB",
    XLOOKUP(TEXTJOIN("/", TRUE, $A491:$B491), 'source merged_div_data'!$A:$A, 'source merged_div_data'!F:F) &lt; 1073741824,
      ROUND(XLOOKUP(TEXTJOIN("/", TRUE, $A491:$B491), 'source merged_div_data'!$A:$A, 'source merged_div_data'!F:F)/1048576, 2) &amp; " MB",
    TRUE,
      ROUND(XLOOKUP(TEXTJOIN("/", TRUE, $A491:$B491), 'source merged_div_data'!$A:$A, 'source merged_div_data'!F:F)/1073741824, 2) &amp; " GB"
  ),
  "×"
)</f>
        <v>517.56 GB</v>
      </c>
      <c r="G491" s="57" t="s">
        <v>2258</v>
      </c>
      <c r="H491" s="58" t="s">
        <v>2177</v>
      </c>
      <c r="I491" s="57"/>
      <c r="J491" s="31" t="s">
        <v>717</v>
      </c>
      <c r="L491" s="30" t="s">
        <v>2100</v>
      </c>
      <c r="M491" s="37" t="s">
        <v>1053</v>
      </c>
      <c r="N491" s="8" t="s">
        <v>1102</v>
      </c>
      <c r="O491" s="7" t="s">
        <v>1097</v>
      </c>
      <c r="P491" s="57" t="str">
        <f>IFERROR(__xludf.DUMMYFUNCTION("XLOOKUP(JOIN(""/"",$A491:$B491),'source isilon_divまとめ'!$A:$A,'source isilon_divまとめ'!$D:$D,XLOOKUP(JOIN(""\"",$A491:$B491),'source NetApp-file-sv01-div'!A:A,TEXT('source NetApp-file-sv01-div'!C:C,""yyyy/mm/dd"")))"),"2020/01/14")</f>
        <v>2020/01/14</v>
      </c>
    </row>
    <row r="492">
      <c r="A492" s="52" t="s">
        <v>1096</v>
      </c>
      <c r="B492" s="52" t="s">
        <v>1362</v>
      </c>
      <c r="C492" s="46" t="s">
        <v>986</v>
      </c>
      <c r="D492" s="53">
        <f>IFERROR(__xludf.DUMMYFUNCTION("XLOOKUP(JOIN(""/"",$A492:$B492),'source merged_div_data'!$A:$A,'source merged_div_data'!B:B)"),41.0)</f>
        <v>41</v>
      </c>
      <c r="E492" s="53">
        <f>IFERROR(__xludf.DUMMYFUNCTION("XLOOKUP(JOIN(""/"",$A492:$B492),'source merged_div_data'!$A:$A,'source merged_div_data'!C:C)"),0.0)</f>
        <v>0</v>
      </c>
      <c r="F492" s="54" t="str">
        <f t="array" ref="F492">IFERROR(
  IFS(
    XLOOKUP(TEXTJOIN("/", TRUE, $A492:$B492), 'source merged_div_data'!$A:$A, 'source merged_div_data'!F:F) &lt; 1024,
      XLOOKUP(TEXTJOIN("/", TRUE, $A492:$B492), 'source merged_div_data'!$A:$A, 'source merged_div_data'!F:F) &amp; " B",
    XLOOKUP(TEXTJOIN("/", TRUE, $A492:$B492), 'source merged_div_data'!$A:$A, 'source merged_div_data'!F:F) &lt; 1048576,
      ROUND(XLOOKUP(TEXTJOIN("/", TRUE, $A492:$B492), 'source merged_div_data'!$A:$A, 'source merged_div_data'!F:F)/1024, 2) &amp; " KB",
    XLOOKUP(TEXTJOIN("/", TRUE, $A492:$B492), 'source merged_div_data'!$A:$A, 'source merged_div_data'!F:F) &lt; 1073741824,
      ROUND(XLOOKUP(TEXTJOIN("/", TRUE, $A492:$B492), 'source merged_div_data'!$A:$A, 'source merged_div_data'!F:F)/1048576, 2) &amp; " MB",
    TRUE,
      ROUND(XLOOKUP(TEXTJOIN("/", TRUE, $A492:$B492), 'source merged_div_data'!$A:$A, 'source merged_div_data'!F:F)/1073741824, 2) &amp; " GB"
  ),
  "×"
)</f>
        <v>1.36 KB</v>
      </c>
      <c r="G492" s="55" t="s">
        <v>1053</v>
      </c>
      <c r="H492" s="55"/>
      <c r="I492" s="55"/>
      <c r="J492" s="46" t="s">
        <v>717</v>
      </c>
      <c r="K492" s="55"/>
      <c r="L492" s="46" t="s">
        <v>2100</v>
      </c>
      <c r="M492" s="55" t="s">
        <v>1053</v>
      </c>
      <c r="N492" s="52" t="s">
        <v>1102</v>
      </c>
      <c r="O492" s="46" t="s">
        <v>1097</v>
      </c>
      <c r="P492" s="37" t="str">
        <f>IFERROR(__xludf.DUMMYFUNCTION("XLOOKUP(JOIN(""/"",$A492:$B492),'source isilon_divまとめ'!$A:$A,'source isilon_divまとめ'!$D:$D,XLOOKUP(JOIN(""\"",$A492:$B492),'source NetApp-file-sv01-div'!A:A,TEXT('source NetApp-file-sv01-div'!C:C,""yyyy/mm/dd"")))"),"#N/A")</f>
        <v>#N/A</v>
      </c>
    </row>
    <row r="493">
      <c r="A493" s="8" t="s">
        <v>1096</v>
      </c>
      <c r="B493" s="8" t="s">
        <v>1174</v>
      </c>
      <c r="C493" s="7" t="s">
        <v>987</v>
      </c>
      <c r="D493" s="56">
        <f>IFERROR(__xludf.DUMMYFUNCTION("XLOOKUP(JOIN(""/"",$A493:$B493),'source merged_div_data'!$A:$A,'source merged_div_data'!B:B)"),4245.0)</f>
        <v>4245</v>
      </c>
      <c r="E493" s="56">
        <f>IFERROR(__xludf.DUMMYFUNCTION("XLOOKUP(JOIN(""/"",$A493:$B493),'source merged_div_data'!$A:$A,'source merged_div_data'!C:C)"),169814.0)</f>
        <v>169814</v>
      </c>
      <c r="F493" s="54" t="str">
        <f t="array" ref="F493">IFERROR(
  IFS(
    XLOOKUP(TEXTJOIN("/", TRUE, $A493:$B493), 'source merged_div_data'!$A:$A, 'source merged_div_data'!F:F) &lt; 1024,
      XLOOKUP(TEXTJOIN("/", TRUE, $A493:$B493), 'source merged_div_data'!$A:$A, 'source merged_div_data'!F:F) &amp; " B",
    XLOOKUP(TEXTJOIN("/", TRUE, $A493:$B493), 'source merged_div_data'!$A:$A, 'source merged_div_data'!F:F) &lt; 1048576,
      ROUND(XLOOKUP(TEXTJOIN("/", TRUE, $A493:$B493), 'source merged_div_data'!$A:$A, 'source merged_div_data'!F:F)/1024, 2) &amp; " KB",
    XLOOKUP(TEXTJOIN("/", TRUE, $A493:$B493), 'source merged_div_data'!$A:$A, 'source merged_div_data'!F:F) &lt; 1073741824,
      ROUND(XLOOKUP(TEXTJOIN("/", TRUE, $A493:$B493), 'source merged_div_data'!$A:$A, 'source merged_div_data'!F:F)/1048576, 2) &amp; " MB",
    TRUE,
      ROUND(XLOOKUP(TEXTJOIN("/", TRUE, $A493:$B493), 'source merged_div_data'!$A:$A, 'source merged_div_data'!F:F)/1073741824, 2) &amp; " GB"
  ),
  "×"
)</f>
        <v>1180.66 GB</v>
      </c>
      <c r="G493" s="57" t="s">
        <v>2377</v>
      </c>
      <c r="H493" s="58" t="s">
        <v>2177</v>
      </c>
      <c r="I493" s="57"/>
      <c r="J493" s="31" t="s">
        <v>717</v>
      </c>
      <c r="L493" s="30" t="s">
        <v>2100</v>
      </c>
      <c r="M493" s="37" t="s">
        <v>1053</v>
      </c>
      <c r="N493" s="8" t="s">
        <v>1102</v>
      </c>
      <c r="O493" s="7" t="s">
        <v>693</v>
      </c>
      <c r="P493" s="57" t="str">
        <f>IFERROR(__xludf.DUMMYFUNCTION("XLOOKUP(JOIN(""/"",$A493:$B493),'source isilon_divまとめ'!$A:$A,'source isilon_divまとめ'!$D:$D,XLOOKUP(JOIN(""\"",$A493:$B493),'source NetApp-file-sv01-div'!A:A,TEXT('source NetApp-file-sv01-div'!C:C,""yyyy/mm/dd"")))"),"2020/01/27")</f>
        <v>2020/01/27</v>
      </c>
    </row>
    <row r="494">
      <c r="A494" s="8" t="s">
        <v>1096</v>
      </c>
      <c r="B494" s="8" t="s">
        <v>148</v>
      </c>
      <c r="C494" s="7" t="s">
        <v>987</v>
      </c>
      <c r="D494" s="56">
        <f>IFERROR(__xludf.DUMMYFUNCTION("XLOOKUP(JOIN(""/"",$A494:$B494),'source merged_div_data'!$A:$A,'source merged_div_data'!B:B)"),536.0)</f>
        <v>536</v>
      </c>
      <c r="E494" s="56">
        <f>IFERROR(__xludf.DUMMYFUNCTION("XLOOKUP(JOIN(""/"",$A494:$B494),'source merged_div_data'!$A:$A,'source merged_div_data'!C:C)"),2627.0)</f>
        <v>2627</v>
      </c>
      <c r="F494" s="54" t="str">
        <f t="array" ref="F494">IFERROR(
  IFS(
    XLOOKUP(TEXTJOIN("/", TRUE, $A494:$B494), 'source merged_div_data'!$A:$A, 'source merged_div_data'!F:F) &lt; 1024,
      XLOOKUP(TEXTJOIN("/", TRUE, $A494:$B494), 'source merged_div_data'!$A:$A, 'source merged_div_data'!F:F) &amp; " B",
    XLOOKUP(TEXTJOIN("/", TRUE, $A494:$B494), 'source merged_div_data'!$A:$A, 'source merged_div_data'!F:F) &lt; 1048576,
      ROUND(XLOOKUP(TEXTJOIN("/", TRUE, $A494:$B494), 'source merged_div_data'!$A:$A, 'source merged_div_data'!F:F)/1024, 2) &amp; " KB",
    XLOOKUP(TEXTJOIN("/", TRUE, $A494:$B494), 'source merged_div_data'!$A:$A, 'source merged_div_data'!F:F) &lt; 1073741824,
      ROUND(XLOOKUP(TEXTJOIN("/", TRUE, $A494:$B494), 'source merged_div_data'!$A:$A, 'source merged_div_data'!F:F)/1048576, 2) &amp; " MB",
    TRUE,
      ROUND(XLOOKUP(TEXTJOIN("/", TRUE, $A494:$B494), 'source merged_div_data'!$A:$A, 'source merged_div_data'!F:F)/1073741824, 2) &amp; " GB"
  ),
  "×"
)</f>
        <v>1.54 GB</v>
      </c>
      <c r="G494" s="57" t="s">
        <v>2378</v>
      </c>
      <c r="H494" s="58" t="s">
        <v>2184</v>
      </c>
      <c r="I494" s="57"/>
      <c r="J494" s="37" t="s">
        <v>140</v>
      </c>
      <c r="K494" s="37" t="s">
        <v>148</v>
      </c>
      <c r="L494" s="37" t="s">
        <v>1053</v>
      </c>
      <c r="M494" s="37" t="s">
        <v>2156</v>
      </c>
      <c r="N494" s="7" t="s">
        <v>1052</v>
      </c>
      <c r="P494" s="57" t="str">
        <f>IFERROR(__xludf.DUMMYFUNCTION("XLOOKUP(JOIN(""/"",$A494:$B494),'source isilon_divまとめ'!$A:$A,'source isilon_divまとめ'!$D:$D,XLOOKUP(JOIN(""\"",$A494:$B494),'source NetApp-file-sv01-div'!A:A,TEXT('source NetApp-file-sv01-div'!C:C,""yyyy/mm/dd"")))"),"2024/10/22")</f>
        <v>2024/10/22</v>
      </c>
    </row>
    <row r="495">
      <c r="A495" s="8" t="s">
        <v>1096</v>
      </c>
      <c r="B495" s="8" t="s">
        <v>1111</v>
      </c>
      <c r="C495" s="7" t="s">
        <v>988</v>
      </c>
      <c r="D495" s="56">
        <f>IFERROR(__xludf.DUMMYFUNCTION("XLOOKUP(JOIN(""/"",$A495:$B495),'source merged_div_data'!$A:$A,'source merged_div_data'!B:B)"),17.0)</f>
        <v>17</v>
      </c>
      <c r="E495" s="56">
        <f>IFERROR(__xludf.DUMMYFUNCTION("XLOOKUP(JOIN(""/"",$A495:$B495),'source merged_div_data'!$A:$A,'source merged_div_data'!C:C)"),8.0)</f>
        <v>8</v>
      </c>
      <c r="F495" s="54" t="str">
        <f t="array" ref="F495">IFERROR(
  IFS(
    XLOOKUP(TEXTJOIN("/", TRUE, $A495:$B495), 'source merged_div_data'!$A:$A, 'source merged_div_data'!F:F) &lt; 1024,
      XLOOKUP(TEXTJOIN("/", TRUE, $A495:$B495), 'source merged_div_data'!$A:$A, 'source merged_div_data'!F:F) &amp; " B",
    XLOOKUP(TEXTJOIN("/", TRUE, $A495:$B495), 'source merged_div_data'!$A:$A, 'source merged_div_data'!F:F) &lt; 1048576,
      ROUND(XLOOKUP(TEXTJOIN("/", TRUE, $A495:$B495), 'source merged_div_data'!$A:$A, 'source merged_div_data'!F:F)/1024, 2) &amp; " KB",
    XLOOKUP(TEXTJOIN("/", TRUE, $A495:$B495), 'source merged_div_data'!$A:$A, 'source merged_div_data'!F:F) &lt; 1073741824,
      ROUND(XLOOKUP(TEXTJOIN("/", TRUE, $A495:$B495), 'source merged_div_data'!$A:$A, 'source merged_div_data'!F:F)/1048576, 2) &amp; " MB",
    TRUE,
      ROUND(XLOOKUP(TEXTJOIN("/", TRUE, $A495:$B495), 'source merged_div_data'!$A:$A, 'source merged_div_data'!F:F)/1073741824, 2) &amp; " GB"
  ),
  "×"
)</f>
        <v>58.62 MB</v>
      </c>
      <c r="G495" s="57" t="s">
        <v>2379</v>
      </c>
      <c r="H495" s="58" t="s">
        <v>2177</v>
      </c>
      <c r="I495" s="57"/>
      <c r="J495" s="7" t="s">
        <v>1105</v>
      </c>
      <c r="L495" s="37" t="s">
        <v>1053</v>
      </c>
      <c r="M495" s="37" t="s">
        <v>1053</v>
      </c>
      <c r="N495" s="8" t="s">
        <v>1102</v>
      </c>
      <c r="O495" s="7" t="s">
        <v>1105</v>
      </c>
      <c r="P495" s="57" t="str">
        <f>IFERROR(__xludf.DUMMYFUNCTION("XLOOKUP(JOIN(""/"",$A495:$B495),'source isilon_divまとめ'!$A:$A,'source isilon_divまとめ'!$D:$D,XLOOKUP(JOIN(""\"",$A495:$B495),'source NetApp-file-sv01-div'!A:A,TEXT('source NetApp-file-sv01-div'!C:C,""yyyy/mm/dd"")))"),"2020/08/06")</f>
        <v>2020/08/06</v>
      </c>
    </row>
    <row r="496">
      <c r="A496" s="52" t="s">
        <v>1096</v>
      </c>
      <c r="B496" s="52" t="s">
        <v>1363</v>
      </c>
      <c r="C496" s="46" t="s">
        <v>986</v>
      </c>
      <c r="D496" s="53">
        <f>IFERROR(__xludf.DUMMYFUNCTION("XLOOKUP(JOIN(""/"",$A496:$B496),'source merged_div_data'!$A:$A,'source merged_div_data'!B:B)"),35.0)</f>
        <v>35</v>
      </c>
      <c r="E496" s="53">
        <f>IFERROR(__xludf.DUMMYFUNCTION("XLOOKUP(JOIN(""/"",$A496:$B496),'source merged_div_data'!$A:$A,'source merged_div_data'!C:C)"),0.0)</f>
        <v>0</v>
      </c>
      <c r="F496" s="54" t="str">
        <f t="array" ref="F496">IFERROR(
  IFS(
    XLOOKUP(TEXTJOIN("/", TRUE, $A496:$B496), 'source merged_div_data'!$A:$A, 'source merged_div_data'!F:F) &lt; 1024,
      XLOOKUP(TEXTJOIN("/", TRUE, $A496:$B496), 'source merged_div_data'!$A:$A, 'source merged_div_data'!F:F) &amp; " B",
    XLOOKUP(TEXTJOIN("/", TRUE, $A496:$B496), 'source merged_div_data'!$A:$A, 'source merged_div_data'!F:F) &lt; 1048576,
      ROUND(XLOOKUP(TEXTJOIN("/", TRUE, $A496:$B496), 'source merged_div_data'!$A:$A, 'source merged_div_data'!F:F)/1024, 2) &amp; " KB",
    XLOOKUP(TEXTJOIN("/", TRUE, $A496:$B496), 'source merged_div_data'!$A:$A, 'source merged_div_data'!F:F) &lt; 1073741824,
      ROUND(XLOOKUP(TEXTJOIN("/", TRUE, $A496:$B496), 'source merged_div_data'!$A:$A, 'source merged_div_data'!F:F)/1048576, 2) &amp; " MB",
    TRUE,
      ROUND(XLOOKUP(TEXTJOIN("/", TRUE, $A496:$B496), 'source merged_div_data'!$A:$A, 'source merged_div_data'!F:F)/1073741824, 2) &amp; " GB"
  ),
  "×"
)</f>
        <v>1.13 KB</v>
      </c>
      <c r="G496" s="55" t="s">
        <v>1053</v>
      </c>
      <c r="H496" s="55"/>
      <c r="I496" s="55"/>
      <c r="J496" s="46" t="s">
        <v>717</v>
      </c>
      <c r="K496" s="55"/>
      <c r="L496" s="46" t="s">
        <v>2100</v>
      </c>
      <c r="M496" s="55" t="s">
        <v>1053</v>
      </c>
      <c r="N496" s="52" t="s">
        <v>1102</v>
      </c>
      <c r="O496" s="46" t="s">
        <v>1097</v>
      </c>
      <c r="P496" s="37" t="str">
        <f>IFERROR(__xludf.DUMMYFUNCTION("XLOOKUP(JOIN(""/"",$A496:$B496),'source isilon_divまとめ'!$A:$A,'source isilon_divまとめ'!$D:$D,XLOOKUP(JOIN(""\"",$A496:$B496),'source NetApp-file-sv01-div'!A:A,TEXT('source NetApp-file-sv01-div'!C:C,""yyyy/mm/dd"")))"),"#N/A")</f>
        <v>#N/A</v>
      </c>
    </row>
    <row r="497">
      <c r="A497" s="52" t="s">
        <v>1096</v>
      </c>
      <c r="B497" s="52" t="s">
        <v>1229</v>
      </c>
      <c r="C497" s="46" t="s">
        <v>986</v>
      </c>
      <c r="D497" s="53">
        <f>IFERROR(__xludf.DUMMYFUNCTION("XLOOKUP(JOIN(""/"",$A497:$B497),'source merged_div_data'!$A:$A,'source merged_div_data'!B:B)"),55.0)</f>
        <v>55</v>
      </c>
      <c r="E497" s="53">
        <f>IFERROR(__xludf.DUMMYFUNCTION("XLOOKUP(JOIN(""/"",$A497:$B497),'source merged_div_data'!$A:$A,'source merged_div_data'!C:C)"),0.0)</f>
        <v>0</v>
      </c>
      <c r="F497" s="54" t="str">
        <f t="array" ref="F497">IFERROR(
  IFS(
    XLOOKUP(TEXTJOIN("/", TRUE, $A497:$B497), 'source merged_div_data'!$A:$A, 'source merged_div_data'!F:F) &lt; 1024,
      XLOOKUP(TEXTJOIN("/", TRUE, $A497:$B497), 'source merged_div_data'!$A:$A, 'source merged_div_data'!F:F) &amp; " B",
    XLOOKUP(TEXTJOIN("/", TRUE, $A497:$B497), 'source merged_div_data'!$A:$A, 'source merged_div_data'!F:F) &lt; 1048576,
      ROUND(XLOOKUP(TEXTJOIN("/", TRUE, $A497:$B497), 'source merged_div_data'!$A:$A, 'source merged_div_data'!F:F)/1024, 2) &amp; " KB",
    XLOOKUP(TEXTJOIN("/", TRUE, $A497:$B497), 'source merged_div_data'!$A:$A, 'source merged_div_data'!F:F) &lt; 1073741824,
      ROUND(XLOOKUP(TEXTJOIN("/", TRUE, $A497:$B497), 'source merged_div_data'!$A:$A, 'source merged_div_data'!F:F)/1048576, 2) &amp; " MB",
    TRUE,
      ROUND(XLOOKUP(TEXTJOIN("/", TRUE, $A497:$B497), 'source merged_div_data'!$A:$A, 'source merged_div_data'!F:F)/1073741824, 2) &amp; " GB"
  ),
  "×"
)</f>
        <v>1.59 KB</v>
      </c>
      <c r="G497" s="55" t="s">
        <v>1053</v>
      </c>
      <c r="H497" s="55"/>
      <c r="I497" s="55"/>
      <c r="J497" s="46" t="s">
        <v>717</v>
      </c>
      <c r="K497" s="55"/>
      <c r="L497" s="46" t="s">
        <v>2100</v>
      </c>
      <c r="M497" s="55" t="s">
        <v>1053</v>
      </c>
      <c r="N497" s="52" t="s">
        <v>1102</v>
      </c>
      <c r="O497" s="46" t="s">
        <v>1097</v>
      </c>
      <c r="P497" s="37" t="str">
        <f>IFERROR(__xludf.DUMMYFUNCTION("XLOOKUP(JOIN(""/"",$A497:$B497),'source isilon_divまとめ'!$A:$A,'source isilon_divまとめ'!$D:$D,XLOOKUP(JOIN(""\"",$A497:$B497),'source NetApp-file-sv01-div'!A:A,TEXT('source NetApp-file-sv01-div'!C:C,""yyyy/mm/dd"")))"),"#N/A")</f>
        <v>#N/A</v>
      </c>
    </row>
    <row r="498">
      <c r="A498" s="52" t="s">
        <v>1096</v>
      </c>
      <c r="B498" s="52" t="s">
        <v>359</v>
      </c>
      <c r="C498" s="46" t="s">
        <v>986</v>
      </c>
      <c r="D498" s="53">
        <f>IFERROR(__xludf.DUMMYFUNCTION("XLOOKUP(JOIN(""/"",$A498:$B498),'source merged_div_data'!$A:$A,'source merged_div_data'!B:B)"),9.0)</f>
        <v>9</v>
      </c>
      <c r="E498" s="53">
        <f>IFERROR(__xludf.DUMMYFUNCTION("XLOOKUP(JOIN(""/"",$A498:$B498),'source merged_div_data'!$A:$A,'source merged_div_data'!C:C)"),0.0)</f>
        <v>0</v>
      </c>
      <c r="F498" s="54" t="str">
        <f t="array" ref="F498">IFERROR(
  IFS(
    XLOOKUP(TEXTJOIN("/", TRUE, $A498:$B498), 'source merged_div_data'!$A:$A, 'source merged_div_data'!F:F) &lt; 1024,
      XLOOKUP(TEXTJOIN("/", TRUE, $A498:$B498), 'source merged_div_data'!$A:$A, 'source merged_div_data'!F:F) &amp; " B",
    XLOOKUP(TEXTJOIN("/", TRUE, $A498:$B498), 'source merged_div_data'!$A:$A, 'source merged_div_data'!F:F) &lt; 1048576,
      ROUND(XLOOKUP(TEXTJOIN("/", TRUE, $A498:$B498), 'source merged_div_data'!$A:$A, 'source merged_div_data'!F:F)/1024, 2) &amp; " KB",
    XLOOKUP(TEXTJOIN("/", TRUE, $A498:$B498), 'source merged_div_data'!$A:$A, 'source merged_div_data'!F:F) &lt; 1073741824,
      ROUND(XLOOKUP(TEXTJOIN("/", TRUE, $A498:$B498), 'source merged_div_data'!$A:$A, 'source merged_div_data'!F:F)/1048576, 2) &amp; " MB",
    TRUE,
      ROUND(XLOOKUP(TEXTJOIN("/", TRUE, $A498:$B498), 'source merged_div_data'!$A:$A, 'source merged_div_data'!F:F)/1073741824, 2) &amp; " GB"
  ),
  "×"
)</f>
        <v>248 B</v>
      </c>
      <c r="G498" s="55" t="s">
        <v>1053</v>
      </c>
      <c r="H498" s="46"/>
      <c r="I498" s="46"/>
      <c r="J498" s="55" t="s">
        <v>353</v>
      </c>
      <c r="K498" s="55" t="s">
        <v>359</v>
      </c>
      <c r="L498" s="55" t="s">
        <v>2147</v>
      </c>
      <c r="M498" s="55" t="s">
        <v>1053</v>
      </c>
      <c r="N498" s="52"/>
      <c r="O498" s="55"/>
      <c r="P498" s="37" t="str">
        <f>IFERROR(__xludf.DUMMYFUNCTION("XLOOKUP(JOIN(""/"",$A498:$B498),'source isilon_divまとめ'!$A:$A,'source isilon_divまとめ'!$D:$D,XLOOKUP(JOIN(""\"",$A498:$B498),'source NetApp-file-sv01-div'!A:A,TEXT('source NetApp-file-sv01-div'!C:C,""yyyy/mm/dd"")))"),"#N/A")</f>
        <v>#N/A</v>
      </c>
    </row>
  </sheetData>
  <customSheetViews>
    <customSheetView guid="{3F512EAA-FF12-4BDE-8DF4-23B9F9EEE442}" filter="1" showAutoFilter="1">
      <autoFilter ref="$A$1:$O$685">
        <filterColumn colId="2">
          <filters>
            <filter val="仮説"/>
            <filter val="合致"/>
            <filter val="0file"/>
            <filter val="不明"/>
          </filters>
        </filterColumn>
        <filterColumn colId="9">
          <filters blank="1">
            <filter val="CS本部"/>
            <filter val="渉外部本部格"/>
            <filter val="ｺｰﾎﾟﾚｰﾄﾃﾞﾍﾞﾛｯﾌﾟﾒﾝﾄ本部"/>
            <filter val="セキュリティ室(本部格)"/>
            <filter val="デザイン本部 / 事業推進部"/>
            <filter val="開発本部 / デザイン本部"/>
            <filter val="各事業部"/>
            <filter val="各ゲーム事業部"/>
            <filter val="開発本部"/>
            <filter val="経営推進本部"/>
            <filter val="開発本部 / スポーツ事業部"/>
            <filter val="社長室"/>
            <filter val="CS本部 (トラスト＆セーフティ部)"/>
            <filter val="デザイン本部"/>
            <filter val="コーポレートファイナンス本部"/>
            <filter val="株式会社ノハナ"/>
            <filter val="ﾃﾞｻﾞｲﾝ本部"/>
            <filter val="次世代エンターテインメント事業本部"/>
            <filter val="コンプライアンス本部"/>
            <filter val="デジタルエンターテインメントパブリッシング本部"/>
            <filter val="Ｖａｎｔａｇｅスタジオ"/>
            <filter val="株式会社Diverse"/>
            <filter val="ﾃﾞｼﾞﾀﾙｴﾝﾀｰﾃｲﾝﾒﾝﾄｵﾍﾟﾚｰｼｮﾝｽﾞ本部"/>
            <filter val="ライブエクスペリエンス事業本部"/>
            <filter val="株式会社アイ・マーキュリーキャピタル"/>
            <filter val="Vantageスタジオ"/>
            <filter val="みてね事業本部"/>
            <filter val="みてね事業部"/>
            <filter val="エンターテインメントクリエイション室本部格"/>
            <filter val="ﾃﾞｼﾞﾀﾙｴﾝﾀｰﾃｲﾝﾒﾝﾄﾊﾟﾌﾞﾘｯｼﾝｸﾞ本部"/>
            <filter val="デジタルエンターテインメントオペレーションズ本部"/>
            <filter val="開発本部 / デザイン本部 / 各事業部"/>
            <filter val="Vantageｽﾀｼﾞｵ"/>
            <filter val="コーポレートデベロップメント本部"/>
            <filter val="デザイン本部 / 各事業部"/>
            <filter val="ｺﾝﾌﾟﾗｲｱﾝｽ本部"/>
            <filter val="経営管理本部"/>
            <filter val="監査役室本部格"/>
            <filter val="はたらく環境推進本部"/>
            <filter val="セキュリティ室本部格"/>
            <filter val="ソーシャルベッティング事業本部"/>
            <filter val="ﾒﾃﾞｨｱ&amp;ﾍﾞｯﾃｨﾝｸﾞ事業本部"/>
            <filter val="ＣＳ本部"/>
            <filter val="人事本部"/>
            <filter val="ｿｰｼｬﾙﾍﾞｯﾃｨﾝｸﾞ事業本部"/>
            <filter val="内部監査室本部格"/>
            <filter val="CS本部 / 開発本部"/>
            <filter val="ﾀﾞﾐｰ株式会社ﾈｯﾄﾄﾞﾘｰﾏｰｽﾞ"/>
            <filter val="ﾗｲﾌﾞｴｸｽﾍﾟﾘｴﾝｽ事業本部"/>
            <filter val="社長室本部格"/>
          </filters>
        </filterColumn>
      </autoFilter>
    </customSheetView>
    <customSheetView guid="{1EE54929-8933-44E4-85F3-B334003C8BB0}" filter="1" showAutoFilter="1">
      <autoFilter ref="$A$1:$O$685">
        <filterColumn colId="2">
          <filters>
            <filter val="0file"/>
          </filters>
        </filterColumn>
      </autoFilter>
    </customSheetView>
    <customSheetView guid="{83CC0374-9D1B-4FF5-A123-ECF9D65C3BCD}" filter="1" showAutoFilter="1">
      <autoFilter ref="$A$1:$P$498">
        <filterColumn colId="4">
          <filters>
            <filter val="8,837"/>
            <filter val="909"/>
            <filter val="97,346"/>
            <filter val="30,679"/>
            <filter val="143,503"/>
            <filter val="169,814"/>
            <filter val="2,379"/>
            <filter val="196"/>
            <filter val="197"/>
            <filter val="42,443"/>
            <filter val="115"/>
            <filter val="1,172"/>
            <filter val="10,814"/>
            <filter val="514"/>
            <filter val="10"/>
            <filter val="5,215"/>
            <filter val="3,969"/>
            <filter val="12"/>
            <filter val="67,691"/>
            <filter val="2,781"/>
            <filter val="53,949"/>
            <filter val="15,808"/>
            <filter val="6,839"/>
            <filter val="165,351"/>
            <filter val="17"/>
            <filter val="13,760"/>
            <filter val="18"/>
            <filter val="19"/>
            <filter val="14,044"/>
            <filter val="16,150"/>
            <filter val="31,362"/>
            <filter val="1"/>
            <filter val="23,340"/>
            <filter val="2"/>
            <filter val="244"/>
            <filter val="3"/>
            <filter val="124"/>
            <filter val="115,323"/>
            <filter val="4"/>
            <filter val="140,386"/>
            <filter val="5"/>
            <filter val="6"/>
            <filter val="7"/>
            <filter val="128"/>
            <filter val="8"/>
            <filter val="129"/>
            <filter val="405"/>
            <filter val="19,384"/>
            <filter val="20"/>
            <filter val="9,989"/>
            <filter val="24"/>
            <filter val="26"/>
            <filter val="5,563"/>
            <filter val="263,909"/>
            <filter val="72,649"/>
            <filter val="28"/>
            <filter val="29"/>
            <filter val="245,586"/>
            <filter val="67,943"/>
            <filter val="414,981"/>
            <filter val="4,523"/>
            <filter val="252"/>
            <filter val="374"/>
            <filter val="10,752"/>
            <filter val="112,263"/>
            <filter val="10,232"/>
            <filter val="15,810"/>
            <filter val="8,581"/>
            <filter val="1,031"/>
            <filter val="11,969"/>
            <filter val="89,729"/>
            <filter val="2,627"/>
            <filter val="90,849"/>
            <filter val="145,455"/>
            <filter val="25,065"/>
            <filter val="10,517"/>
            <filter val="416"/>
            <filter val="15,890"/>
            <filter val="30"/>
            <filter val="73,682"/>
            <filter val="54,670"/>
            <filter val="315,041"/>
            <filter val="347,392"/>
            <filter val="464,823"/>
            <filter val="37"/>
            <filter val="27,063"/>
            <filter val="26,544"/>
            <filter val="6,611"/>
            <filter val="150,423"/>
            <filter val="374,524"/>
            <filter val="387"/>
            <filter val="39,155"/>
            <filter val="9,883"/>
            <filter val="1,725"/>
            <filter val="3,554"/>
            <filter val="1,449"/>
            <filter val="702"/>
            <filter val="12,993"/>
            <filter val="201,896"/>
            <filter val="706"/>
            <filter val="1,323"/>
            <filter val="10,523"/>
            <filter val="44"/>
            <filter val="2,450"/>
            <filter val="45"/>
            <filter val="11,265"/>
            <filter val="7,273"/>
            <filter val="11,784"/>
            <filter val="52,650"/>
            <filter val="48"/>
            <filter val="215,180"/>
            <filter val="6,901"/>
            <filter val="11,946"/>
            <filter val="790"/>
            <filter val="670"/>
            <filter val="4,218"/>
            <filter val="10,851"/>
            <filter val="34,642"/>
            <filter val="558"/>
            <filter val="1,811"/>
            <filter val="1,019"/>
            <filter val="1,896"/>
            <filter val="53"/>
            <filter val="54"/>
            <filter val="149,219"/>
            <filter val="162,482"/>
            <filter val="#N/A"/>
            <filter val="4,213"/>
            <filter val="2,222"/>
            <filter val="91,526"/>
            <filter val="15,605"/>
            <filter val="13,606"/>
            <filter val="1,022"/>
            <filter val="686"/>
            <filter val="99,138"/>
            <filter val="1,428"/>
            <filter val="185,216"/>
            <filter val="132,289"/>
            <filter val="106,583"/>
            <filter val="1,146"/>
            <filter val="60,196"/>
            <filter val="33,543"/>
            <filter val="76,429"/>
            <filter val="24,465"/>
            <filter val="4,443"/>
            <filter val="173"/>
            <filter val="24,865"/>
            <filter val="273,316"/>
            <filter val="2,554"/>
            <filter val="1,079"/>
            <filter val="45,116"/>
            <filter val="9,738"/>
            <filter val="12,680"/>
            <filter val="51,869"/>
            <filter val="55,046"/>
            <filter val="1,590"/>
            <filter val="73"/>
            <filter val="75"/>
            <filter val="38,713"/>
            <filter val="90,641"/>
            <filter val="29,376"/>
            <filter val="23,560"/>
            <filter val="103"/>
            <filter val="10,440"/>
            <filter val="1,083"/>
            <filter val="624"/>
            <filter val="868"/>
            <filter val="6,381"/>
            <filter val="532,575"/>
          </filters>
        </filterColumn>
        <filterColumn colId="15">
          <filters>
            <filter val="#N/A"/>
          </filters>
        </filterColumn>
        <sortState ref="A1:P498">
          <sortCondition ref="P1:P498"/>
        </sortState>
      </autoFilter>
    </customSheetView>
    <customSheetView guid="{F7B26469-9DA0-467D-B3C8-EE61D3009939}" filter="1" showAutoFilter="1">
      <autoFilter ref="$A$1:$O$685">
        <filterColumn colId="11">
          <filters>
            <filter val="吉田 聡史"/>
            <filter val="小林 完爾"/>
            <filter val="平山 英輝"/>
            <filter val="三島 圭介"/>
            <filter val="野原 孝行"/>
            <filter val="佐藤 僚"/>
            <filter val="石田 哲久"/>
            <filter val="笠原 健治"/>
            <filter val="石井 公二"/>
            <filter val="亀山 直生"/>
            <filter val="大崎 敦士"/>
            <filter val="吉野 純平"/>
            <filter val="×"/>
            <filter val="荒木 豪司"/>
            <filter val="横山 義之"/>
            <filter val="奥山 翔"/>
            <filter val="杉村 元規"/>
            <filter val="井上 慎也"/>
          </filters>
        </filterColumn>
        <sortState ref="A1:O685">
          <sortCondition ref="G1:G685"/>
        </sortState>
      </autoFilter>
    </customSheetView>
    <customSheetView guid="{5F737215-684E-4514-B2D8-73A887334D90}" filter="1" showAutoFilter="1">
      <autoFilter ref="$A$1:$M$498">
        <filterColumn colId="6">
          <filters>
            <filter val="128 KB"/>
            <filter val="×"/>
          </filters>
        </filterColumn>
        <filterColumn colId="4">
          <filters>
            <filter val="8,837"/>
            <filter val="909"/>
            <filter val="97,346"/>
            <filter val="30,679"/>
            <filter val="143,503"/>
            <filter val="169,814"/>
            <filter val="2,379"/>
            <filter val="196"/>
            <filter val="197"/>
            <filter val="42,443"/>
            <filter val="115"/>
            <filter val="1,172"/>
            <filter val="10,814"/>
            <filter val="514"/>
            <filter val="10"/>
            <filter val="5,215"/>
            <filter val="3,969"/>
            <filter val="12"/>
            <filter val="67,691"/>
            <filter val="2,781"/>
            <filter val="53,949"/>
            <filter val="15,808"/>
            <filter val="6,839"/>
            <filter val="165,351"/>
            <filter val="17"/>
            <filter val="13,760"/>
            <filter val="18"/>
            <filter val="19"/>
            <filter val="14,044"/>
            <filter val="16,150"/>
            <filter val="31,362"/>
            <filter val="1"/>
            <filter val="23,340"/>
            <filter val="2"/>
            <filter val="244"/>
            <filter val="3"/>
            <filter val="124"/>
            <filter val="115,323"/>
            <filter val="4"/>
            <filter val="140,386"/>
            <filter val="5"/>
            <filter val="6"/>
            <filter val="7"/>
            <filter val="128"/>
            <filter val="8"/>
            <filter val="129"/>
            <filter val="405"/>
            <filter val="19,384"/>
            <filter val="20"/>
            <filter val="9,989"/>
            <filter val="24"/>
            <filter val="26"/>
            <filter val="5,563"/>
            <filter val="263,909"/>
            <filter val="72,649"/>
            <filter val="28"/>
            <filter val="29"/>
            <filter val="245,586"/>
            <filter val="67,943"/>
            <filter val="414,981"/>
            <filter val="4,523"/>
            <filter val="252"/>
            <filter val="374"/>
            <filter val="10,752"/>
            <filter val="112,263"/>
            <filter val="10,232"/>
            <filter val="15,810"/>
            <filter val="8,581"/>
            <filter val="1,031"/>
            <filter val="11,969"/>
            <filter val="89,729"/>
            <filter val="2,627"/>
            <filter val="90,849"/>
            <filter val="145,455"/>
            <filter val="25,065"/>
            <filter val="10,517"/>
            <filter val="416"/>
            <filter val="15,890"/>
            <filter val="30"/>
            <filter val="73,682"/>
            <filter val="54,670"/>
            <filter val="315,041"/>
            <filter val="347,392"/>
            <filter val="464,823"/>
            <filter val="37"/>
            <filter val="27,063"/>
            <filter val="26,544"/>
            <filter val="6,611"/>
            <filter val="150,423"/>
            <filter val="374,524"/>
            <filter val="387"/>
            <filter val="39,155"/>
            <filter val="9,883"/>
            <filter val="1,725"/>
            <filter val="3,554"/>
            <filter val="1,449"/>
            <filter val="702"/>
            <filter val="12,993"/>
            <filter val="201,896"/>
            <filter val="706"/>
            <filter val="1,323"/>
            <filter val="10,523"/>
            <filter val="44"/>
            <filter val="2,450"/>
            <filter val="45"/>
            <filter val="11,265"/>
            <filter val="7,273"/>
            <filter val="11,784"/>
            <filter val="52,650"/>
            <filter val="48"/>
            <filter val="215,180"/>
            <filter val="6,901"/>
            <filter val="11,946"/>
            <filter val="790"/>
            <filter val="670"/>
            <filter val="4,218"/>
            <filter val="10,851"/>
            <filter val="34,642"/>
            <filter val="558"/>
            <filter val="1,811"/>
            <filter val="1,019"/>
            <filter val="1,896"/>
            <filter val="53"/>
            <filter val="54"/>
            <filter val="149,219"/>
            <filter val="162,482"/>
            <filter val="#N/A"/>
            <filter val="4,213"/>
            <filter val="2,222"/>
            <filter val="91,526"/>
            <filter val="15,605"/>
            <filter val="13,606"/>
            <filter val="1,022"/>
            <filter val="686"/>
            <filter val="99,138"/>
            <filter val="1,428"/>
            <filter val="185,216"/>
            <filter val="132,289"/>
            <filter val="106,583"/>
            <filter val="1,146"/>
            <filter val="60,196"/>
            <filter val="33,543"/>
            <filter val="76,429"/>
            <filter val="24,465"/>
            <filter val="4,443"/>
            <filter val="173"/>
            <filter val="24,865"/>
            <filter val="273,316"/>
            <filter val="2,554"/>
            <filter val="1,079"/>
            <filter val="45,116"/>
            <filter val="9,738"/>
            <filter val="12,680"/>
            <filter val="51,869"/>
            <filter val="55,046"/>
            <filter val="1,590"/>
            <filter val="73"/>
            <filter val="75"/>
            <filter val="38,713"/>
            <filter val="90,641"/>
            <filter val="29,376"/>
            <filter val="23,560"/>
            <filter val="103"/>
            <filter val="10,440"/>
            <filter val="1,083"/>
            <filter val="624"/>
            <filter val="868"/>
            <filter val="6,381"/>
            <filter val="532,575"/>
          </filters>
        </filterColumn>
      </autoFilter>
    </customSheetView>
    <customSheetView guid="{D848EDFF-2B5F-48B8-A8E0-2EFD137DDB06}" filter="1" showAutoFilter="1">
      <autoFilter ref="$A$1:$O$685">
        <filterColumn colId="9">
          <filters blank="1">
            <filter val="セキュリティ室(本部格)"/>
            <filter val="次世代エンターテインメント事業本部"/>
            <filter val="コンプライアンス本部"/>
            <filter val="Ｖａｎｔａｇｅスタジオ"/>
            <filter val="-"/>
            <filter val="Vantageスタジオ"/>
            <filter val="セキュリティ室本部格"/>
            <filter val="ＣＳ本部"/>
          </filters>
        </filterColumn>
      </autoFilter>
    </customSheetView>
    <customSheetView guid="{1502D847-3F41-42DB-8C67-07FBA2880948}" filter="1" showAutoFilter="1">
      <autoFilter ref="$A$1:$M$498">
        <filterColumn colId="6">
          <filters>
            <filter val="128 KB"/>
            <filter val="×"/>
          </filters>
        </filterColumn>
        <filterColumn colId="2">
          <filters>
            <filter val="0file"/>
            <filter val="不明"/>
          </filters>
        </filterColumn>
      </autoFilter>
    </customSheetView>
  </customSheetViews>
  <conditionalFormatting sqref="A1:C685 J1:O685">
    <cfRule type="expression" dxfId="3" priority="1">
      <formula>countif(#REF!,"0file")</formula>
    </cfRule>
  </conditionalFormatting>
  <conditionalFormatting sqref="A2:P498">
    <cfRule type="expression" dxfId="3" priority="2">
      <formula>$E2=0</formula>
    </cfRule>
  </conditionalFormatting>
  <dataValidations>
    <dataValidation type="list" allowBlank="1" showErrorMessage="1" sqref="I2:I443 I444:J444 I445:I498">
      <formula1>"自対応,hatakan依頼,不要"</formula1>
    </dataValidation>
    <dataValidation type="list" allowBlank="1" showErrorMessage="1" sqref="H2:H498">
      <formula1>"Googleドライブ,AWS S3,別テナント,不要"</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0"/>
    <col customWidth="1" min="2" max="2" width="26.0"/>
  </cols>
  <sheetData>
    <row r="1">
      <c r="A1" s="67" t="str">
        <f>IFERROR(__xludf.DUMMYFUNCTION("QUERY('（新）div'!A:P,""SELECT A,B,D,E,G,H,I WHERE H = 'Googleドライブ' or H = '別テナント'"")"),"div 1階層目フォルダ")</f>
        <v>div 1階層目フォルダ</v>
      </c>
      <c r="B1" s="67" t="str">
        <f>IFERROR(__xludf.DUMMYFUNCTION("""COMPUTED_VALUE"""),"div 2階層目フォルダ")</f>
        <v>div 2階層目フォルダ</v>
      </c>
      <c r="C1" s="67" t="str">
        <f>IFERROR(__xludf.DUMMYFUNCTION("""COMPUTED_VALUE"""),"フォルダ数")</f>
        <v>フォルダ数</v>
      </c>
      <c r="D1" s="67" t="str">
        <f>IFERROR(__xludf.DUMMYFUNCTION("""COMPUTED_VALUE"""),"ファイル数")</f>
        <v>ファイル数</v>
      </c>
      <c r="E1" s="67" t="str">
        <f>IFERROR(__xludf.DUMMYFUNCTION("""COMPUTED_VALUE"""),"最終更新日")</f>
        <v>最終更新日</v>
      </c>
      <c r="F1" s="67" t="str">
        <f>IFERROR(__xludf.DUMMYFUNCTION("""COMPUTED_VALUE"""),"移行先")</f>
        <v>移行先</v>
      </c>
      <c r="G1" s="67" t="str">
        <f>IFERROR(__xludf.DUMMYFUNCTION("""COMPUTED_VALUE"""),"移行方法")</f>
        <v>移行方法</v>
      </c>
    </row>
    <row r="2">
      <c r="A2" s="34" t="str">
        <f>IFERROR(__xludf.DUMMYFUNCTION("""COMPUTED_VALUE"""),"モンストスタジオ")</f>
        <v>モンストスタジオ</v>
      </c>
      <c r="B2" s="34" t="str">
        <f>IFERROR(__xludf.DUMMYFUNCTION("""COMPUTED_VALUE"""),"企画・運用部")</f>
        <v>企画・運用部</v>
      </c>
      <c r="C2" s="68">
        <f>IFERROR(__xludf.DUMMYFUNCTION("""COMPUTED_VALUE"""),3844.0)</f>
        <v>3844</v>
      </c>
      <c r="D2" s="68">
        <f>IFERROR(__xludf.DUMMYFUNCTION("""COMPUTED_VALUE"""),91526.0)</f>
        <v>91526</v>
      </c>
      <c r="E2" s="34" t="str">
        <f>IFERROR(__xludf.DUMMYFUNCTION("""COMPUTED_VALUE"""),"2025/07/07")</f>
        <v>2025/07/07</v>
      </c>
      <c r="F2" s="34" t="str">
        <f>IFERROR(__xludf.DUMMYFUNCTION("""COMPUTED_VALUE"""),"Googleドライブ")</f>
        <v>Googleドライブ</v>
      </c>
      <c r="G2" s="34"/>
    </row>
    <row r="3">
      <c r="A3" s="34" t="str">
        <f>IFERROR(__xludf.DUMMYFUNCTION("""COMPUTED_VALUE"""),"人事本部")</f>
        <v>人事本部</v>
      </c>
      <c r="B3" s="34" t="str">
        <f>IFERROR(__xludf.DUMMYFUNCTION("""COMPUTED_VALUE"""),"人材開発部")</f>
        <v>人材開発部</v>
      </c>
      <c r="C3" s="68">
        <f>IFERROR(__xludf.DUMMYFUNCTION("""COMPUTED_VALUE"""),894.0)</f>
        <v>894</v>
      </c>
      <c r="D3" s="68">
        <f>IFERROR(__xludf.DUMMYFUNCTION("""COMPUTED_VALUE"""),5215.0)</f>
        <v>5215</v>
      </c>
      <c r="E3" s="34" t="str">
        <f>IFERROR(__xludf.DUMMYFUNCTION("""COMPUTED_VALUE"""),"2025/07/08")</f>
        <v>2025/07/08</v>
      </c>
      <c r="F3" s="34" t="str">
        <f>IFERROR(__xludf.DUMMYFUNCTION("""COMPUTED_VALUE"""),"Googleドライブ")</f>
        <v>Googleドライブ</v>
      </c>
      <c r="G3" s="34"/>
    </row>
    <row r="4">
      <c r="A4" s="34" t="str">
        <f>IFERROR(__xludf.DUMMYFUNCTION("""COMPUTED_VALUE"""),"人事本部")</f>
        <v>人事本部</v>
      </c>
      <c r="B4" s="34" t="str">
        <f>IFERROR(__xludf.DUMMYFUNCTION("""COMPUTED_VALUE"""),"人事戦略部")</f>
        <v>人事戦略部</v>
      </c>
      <c r="C4" s="68">
        <f>IFERROR(__xludf.DUMMYFUNCTION("""COMPUTED_VALUE"""),3705.0)</f>
        <v>3705</v>
      </c>
      <c r="D4" s="68">
        <f>IFERROR(__xludf.DUMMYFUNCTION("""COMPUTED_VALUE"""),6381.0)</f>
        <v>6381</v>
      </c>
      <c r="E4" s="34" t="str">
        <f>IFERROR(__xludf.DUMMYFUNCTION("""COMPUTED_VALUE"""),"2025/06/18")</f>
        <v>2025/06/18</v>
      </c>
      <c r="F4" s="34" t="str">
        <f>IFERROR(__xludf.DUMMYFUNCTION("""COMPUTED_VALUE"""),"Googleドライブ")</f>
        <v>Googleドライブ</v>
      </c>
      <c r="G4" s="34"/>
    </row>
    <row r="5">
      <c r="A5" s="34" t="str">
        <f>IFERROR(__xludf.DUMMYFUNCTION("""COMPUTED_VALUE"""),"人事本部")</f>
        <v>人事本部</v>
      </c>
      <c r="B5" s="34" t="str">
        <f>IFERROR(__xludf.DUMMYFUNCTION("""COMPUTED_VALUE"""),"組織戦略部")</f>
        <v>組織戦略部</v>
      </c>
      <c r="C5" s="68">
        <f>IFERROR(__xludf.DUMMYFUNCTION("""COMPUTED_VALUE"""),3512.0)</f>
        <v>3512</v>
      </c>
      <c r="D5" s="68">
        <f>IFERROR(__xludf.DUMMYFUNCTION("""COMPUTED_VALUE"""),10523.0)</f>
        <v>10523</v>
      </c>
      <c r="E5" s="34" t="str">
        <f>IFERROR(__xludf.DUMMYFUNCTION("""COMPUTED_VALUE"""),"2025/07/08")</f>
        <v>2025/07/08</v>
      </c>
      <c r="F5" s="34" t="str">
        <f>IFERROR(__xludf.DUMMYFUNCTION("""COMPUTED_VALUE"""),"Googleドライブ")</f>
        <v>Googleドライブ</v>
      </c>
      <c r="G5" s="34"/>
    </row>
    <row r="6">
      <c r="A6" s="34" t="str">
        <f>IFERROR(__xludf.DUMMYFUNCTION("""COMPUTED_VALUE"""),"人事本部")</f>
        <v>人事本部</v>
      </c>
      <c r="B6" s="34" t="str">
        <f>IFERROR(__xludf.DUMMYFUNCTION("""COMPUTED_VALUE"""),"本部共有")</f>
        <v>本部共有</v>
      </c>
      <c r="C6" s="68">
        <f>IFERROR(__xludf.DUMMYFUNCTION("""COMPUTED_VALUE"""),220.0)</f>
        <v>220</v>
      </c>
      <c r="D6" s="68">
        <f>IFERROR(__xludf.DUMMYFUNCTION("""COMPUTED_VALUE"""),1083.0)</f>
        <v>1083</v>
      </c>
      <c r="E6" s="34" t="str">
        <f>IFERROR(__xludf.DUMMYFUNCTION("""COMPUTED_VALUE"""),"2025/07/03")</f>
        <v>2025/07/03</v>
      </c>
      <c r="F6" s="34" t="str">
        <f>IFERROR(__xludf.DUMMYFUNCTION("""COMPUTED_VALUE"""),"Googleドライブ")</f>
        <v>Googleドライブ</v>
      </c>
      <c r="G6" s="34"/>
    </row>
    <row r="7">
      <c r="A7" s="34" t="str">
        <f>IFERROR(__xludf.DUMMYFUNCTION("""COMPUTED_VALUE"""),"デザイン本部")</f>
        <v>デザイン本部</v>
      </c>
      <c r="B7" s="34" t="str">
        <f>IFERROR(__xludf.DUMMYFUNCTION("""COMPUTED_VALUE"""),"クリエイティブ室")</f>
        <v>クリエイティブ室</v>
      </c>
      <c r="C7" s="68">
        <f>IFERROR(__xludf.DUMMYFUNCTION("""COMPUTED_VALUE"""),43.0)</f>
        <v>43</v>
      </c>
      <c r="D7" s="68">
        <f>IFERROR(__xludf.DUMMYFUNCTION("""COMPUTED_VALUE"""),45.0)</f>
        <v>45</v>
      </c>
      <c r="E7" s="34" t="str">
        <f>IFERROR(__xludf.DUMMYFUNCTION("""COMPUTED_VALUE"""),"2023/11/07")</f>
        <v>2023/11/07</v>
      </c>
      <c r="F7" s="34" t="str">
        <f>IFERROR(__xludf.DUMMYFUNCTION("""COMPUTED_VALUE"""),"Googleドライブ")</f>
        <v>Googleドライブ</v>
      </c>
      <c r="G7" s="34"/>
    </row>
    <row r="8">
      <c r="A8" s="34" t="str">
        <f>IFERROR(__xludf.DUMMYFUNCTION("""COMPUTED_VALUE"""),"デザイン本部")</f>
        <v>デザイン本部</v>
      </c>
      <c r="B8" s="34" t="str">
        <f>IFERROR(__xludf.DUMMYFUNCTION("""COMPUTED_VALUE"""),"テクニカルデザイン室")</f>
        <v>テクニカルデザイン室</v>
      </c>
      <c r="C8" s="68">
        <f>IFERROR(__xludf.DUMMYFUNCTION("""COMPUTED_VALUE"""),919.0)</f>
        <v>919</v>
      </c>
      <c r="D8" s="68">
        <f>IFERROR(__xludf.DUMMYFUNCTION("""COMPUTED_VALUE"""),10232.0)</f>
        <v>10232</v>
      </c>
      <c r="E8" s="34" t="str">
        <f>IFERROR(__xludf.DUMMYFUNCTION("""COMPUTED_VALUE"""),"2025/05/27")</f>
        <v>2025/05/27</v>
      </c>
      <c r="F8" s="34" t="str">
        <f>IFERROR(__xludf.DUMMYFUNCTION("""COMPUTED_VALUE"""),"Googleドライブ")</f>
        <v>Googleドライブ</v>
      </c>
      <c r="G8" s="34"/>
    </row>
    <row r="9">
      <c r="A9" s="34" t="str">
        <f>IFERROR(__xludf.DUMMYFUNCTION("""COMPUTED_VALUE"""),"デザイン本部")</f>
        <v>デザイン本部</v>
      </c>
      <c r="B9" s="34" t="str">
        <f>IFERROR(__xludf.DUMMYFUNCTION("""COMPUTED_VALUE"""),"ブランドデザイン室")</f>
        <v>ブランドデザイン室</v>
      </c>
      <c r="C9" s="68">
        <f>IFERROR(__xludf.DUMMYFUNCTION("""COMPUTED_VALUE"""),29.0)</f>
        <v>29</v>
      </c>
      <c r="D9" s="68">
        <f>IFERROR(__xludf.DUMMYFUNCTION("""COMPUTED_VALUE"""),8.0)</f>
        <v>8</v>
      </c>
      <c r="E9" s="34" t="str">
        <f>IFERROR(__xludf.DUMMYFUNCTION("""COMPUTED_VALUE"""),"2024/06/05")</f>
        <v>2024/06/05</v>
      </c>
      <c r="F9" s="34" t="str">
        <f>IFERROR(__xludf.DUMMYFUNCTION("""COMPUTED_VALUE"""),"Googleドライブ")</f>
        <v>Googleドライブ</v>
      </c>
      <c r="G9" s="34"/>
    </row>
    <row r="10">
      <c r="A10" s="34" t="str">
        <f>IFERROR(__xludf.DUMMYFUNCTION("""COMPUTED_VALUE"""),"デザイン本部")</f>
        <v>デザイン本部</v>
      </c>
      <c r="B10" s="34" t="str">
        <f>IFERROR(__xludf.DUMMYFUNCTION("""COMPUTED_VALUE"""),"デザイン戦略室")</f>
        <v>デザイン戦略室</v>
      </c>
      <c r="C10" s="68">
        <f>IFERROR(__xludf.DUMMYFUNCTION("""COMPUTED_VALUE"""),137.0)</f>
        <v>137</v>
      </c>
      <c r="D10" s="68">
        <f>IFERROR(__xludf.DUMMYFUNCTION("""COMPUTED_VALUE"""),1031.0)</f>
        <v>1031</v>
      </c>
      <c r="E10" s="34" t="str">
        <f>IFERROR(__xludf.DUMMYFUNCTION("""COMPUTED_VALUE"""),"2023/05/31")</f>
        <v>2023/05/31</v>
      </c>
      <c r="F10" s="34" t="str">
        <f>IFERROR(__xludf.DUMMYFUNCTION("""COMPUTED_VALUE"""),"Googleドライブ")</f>
        <v>Googleドライブ</v>
      </c>
      <c r="G10" s="34"/>
    </row>
    <row r="11">
      <c r="A11" s="34" t="str">
        <f>IFERROR(__xludf.DUMMYFUNCTION("""COMPUTED_VALUE"""),"デザイン本部")</f>
        <v>デザイン本部</v>
      </c>
      <c r="B11" s="34" t="str">
        <f>IFERROR(__xludf.DUMMYFUNCTION("""COMPUTED_VALUE"""),"本部共有")</f>
        <v>本部共有</v>
      </c>
      <c r="C11" s="68">
        <f>IFERROR(__xludf.DUMMYFUNCTION("""COMPUTED_VALUE"""),23.0)</f>
        <v>23</v>
      </c>
      <c r="D11" s="68">
        <f>IFERROR(__xludf.DUMMYFUNCTION("""COMPUTED_VALUE"""),244.0)</f>
        <v>244</v>
      </c>
      <c r="E11" s="34" t="str">
        <f>IFERROR(__xludf.DUMMYFUNCTION("""COMPUTED_VALUE"""),"2023/01/31")</f>
        <v>2023/01/31</v>
      </c>
      <c r="F11" s="34" t="str">
        <f>IFERROR(__xludf.DUMMYFUNCTION("""COMPUTED_VALUE"""),"Googleドライブ")</f>
        <v>Googleドライブ</v>
      </c>
      <c r="G11" s="34"/>
    </row>
    <row r="12">
      <c r="A12" s="34" t="str">
        <f>IFERROR(__xludf.DUMMYFUNCTION("""COMPUTED_VALUE"""),"エックスフラッグスタジオ本部")</f>
        <v>エックスフラッグスタジオ本部</v>
      </c>
      <c r="B12" s="34" t="str">
        <f>IFERROR(__xludf.DUMMYFUNCTION("""COMPUTED_VALUE"""),"事業戦略室")</f>
        <v>事業戦略室</v>
      </c>
      <c r="C12" s="68">
        <f>IFERROR(__xludf.DUMMYFUNCTION("""COMPUTED_VALUE"""),73864.0)</f>
        <v>73864</v>
      </c>
      <c r="D12" s="68">
        <f>IFERROR(__xludf.DUMMYFUNCTION("""COMPUTED_VALUE"""),464823.0)</f>
        <v>464823</v>
      </c>
      <c r="E12" s="34" t="str">
        <f>IFERROR(__xludf.DUMMYFUNCTION("""COMPUTED_VALUE"""),"2025/06/27")</f>
        <v>2025/06/27</v>
      </c>
      <c r="F12" s="34" t="str">
        <f>IFERROR(__xludf.DUMMYFUNCTION("""COMPUTED_VALUE"""),"Googleドライブ")</f>
        <v>Googleドライブ</v>
      </c>
      <c r="G12" s="34"/>
    </row>
    <row r="13">
      <c r="A13" s="34" t="str">
        <f>IFERROR(__xludf.DUMMYFUNCTION("""COMPUTED_VALUE"""),"エックスフラッグスタジオ本部")</f>
        <v>エックスフラッグスタジオ本部</v>
      </c>
      <c r="B13" s="34" t="str">
        <f>IFERROR(__xludf.DUMMYFUNCTION("""COMPUTED_VALUE"""),"XFLAG PICTURES")</f>
        <v>XFLAG PICTURES</v>
      </c>
      <c r="C13" s="68">
        <f>IFERROR(__xludf.DUMMYFUNCTION("""COMPUTED_VALUE"""),251.0)</f>
        <v>251</v>
      </c>
      <c r="D13" s="68">
        <f>IFERROR(__xludf.DUMMYFUNCTION("""COMPUTED_VALUE"""),1428.0)</f>
        <v>1428</v>
      </c>
      <c r="E13" s="34" t="str">
        <f>IFERROR(__xludf.DUMMYFUNCTION("""COMPUTED_VALUE"""),"2024/10/02")</f>
        <v>2024/10/02</v>
      </c>
      <c r="F13" s="34" t="str">
        <f>IFERROR(__xludf.DUMMYFUNCTION("""COMPUTED_VALUE"""),"Googleドライブ")</f>
        <v>Googleドライブ</v>
      </c>
      <c r="G13" s="34"/>
    </row>
    <row r="14">
      <c r="A14" s="34" t="str">
        <f>IFERROR(__xludf.DUMMYFUNCTION("""COMPUTED_VALUE"""),"監査役室")</f>
        <v>監査役室</v>
      </c>
      <c r="B14" s="34" t="str">
        <f>IFERROR(__xludf.DUMMYFUNCTION("""COMPUTED_VALUE"""),"室共有")</f>
        <v>室共有</v>
      </c>
      <c r="C14" s="68">
        <f>IFERROR(__xludf.DUMMYFUNCTION("""COMPUTED_VALUE"""),55.0)</f>
        <v>55</v>
      </c>
      <c r="D14" s="68">
        <f>IFERROR(__xludf.DUMMYFUNCTION("""COMPUTED_VALUE"""),196.0)</f>
        <v>196</v>
      </c>
      <c r="E14" s="34" t="str">
        <f>IFERROR(__xludf.DUMMYFUNCTION("""COMPUTED_VALUE"""),"2025/01/09")</f>
        <v>2025/01/09</v>
      </c>
      <c r="F14" s="34" t="str">
        <f>IFERROR(__xludf.DUMMYFUNCTION("""COMPUTED_VALUE"""),"Googleドライブ")</f>
        <v>Googleドライブ</v>
      </c>
      <c r="G14" s="34"/>
    </row>
    <row r="15">
      <c r="A15" s="34" t="str">
        <f>IFERROR(__xludf.DUMMYFUNCTION("""COMPUTED_VALUE"""),"CS本部")</f>
        <v>CS本部</v>
      </c>
      <c r="B15" s="34" t="str">
        <f>IFERROR(__xludf.DUMMYFUNCTION("""COMPUTED_VALUE"""),"CX部")</f>
        <v>CX部</v>
      </c>
      <c r="C15" s="68">
        <f>IFERROR(__xludf.DUMMYFUNCTION("""COMPUTED_VALUE"""),80.0)</f>
        <v>80</v>
      </c>
      <c r="D15" s="68">
        <f>IFERROR(__xludf.DUMMYFUNCTION("""COMPUTED_VALUE"""),252.0)</f>
        <v>252</v>
      </c>
      <c r="E15" s="34" t="str">
        <f>IFERROR(__xludf.DUMMYFUNCTION("""COMPUTED_VALUE"""),"2025/07/01")</f>
        <v>2025/07/01</v>
      </c>
      <c r="F15" s="34" t="str">
        <f>IFERROR(__xludf.DUMMYFUNCTION("""COMPUTED_VALUE"""),"Googleドライブ")</f>
        <v>Googleドライブ</v>
      </c>
      <c r="G15" s="34"/>
    </row>
    <row r="16">
      <c r="A16" s="34" t="str">
        <f>IFERROR(__xludf.DUMMYFUNCTION("""COMPUTED_VALUE"""),"CS本部")</f>
        <v>CS本部</v>
      </c>
      <c r="B16" s="34" t="str">
        <f>IFERROR(__xludf.DUMMYFUNCTION("""COMPUTED_VALUE"""),"CS部")</f>
        <v>CS部</v>
      </c>
      <c r="C16" s="68">
        <f>IFERROR(__xludf.DUMMYFUNCTION("""COMPUTED_VALUE"""),33.0)</f>
        <v>33</v>
      </c>
      <c r="D16" s="68">
        <f>IFERROR(__xludf.DUMMYFUNCTION("""COMPUTED_VALUE"""),75.0)</f>
        <v>75</v>
      </c>
      <c r="E16" s="34" t="str">
        <f>IFERROR(__xludf.DUMMYFUNCTION("""COMPUTED_VALUE"""),"2025/05/09")</f>
        <v>2025/05/09</v>
      </c>
      <c r="F16" s="34" t="str">
        <f>IFERROR(__xludf.DUMMYFUNCTION("""COMPUTED_VALUE"""),"Googleドライブ")</f>
        <v>Googleドライブ</v>
      </c>
      <c r="G16" s="34"/>
    </row>
    <row r="17">
      <c r="A17" s="34" t="str">
        <f>IFERROR(__xludf.DUMMYFUNCTION("""COMPUTED_VALUE"""),"CS本部")</f>
        <v>CS本部</v>
      </c>
      <c r="B17" s="34" t="str">
        <f>IFERROR(__xludf.DUMMYFUNCTION("""COMPUTED_VALUE"""),"本部共有")</f>
        <v>本部共有</v>
      </c>
      <c r="C17" s="68">
        <f>IFERROR(__xludf.DUMMYFUNCTION("""COMPUTED_VALUE"""),1035.0)</f>
        <v>1035</v>
      </c>
      <c r="D17" s="68">
        <f>IFERROR(__xludf.DUMMYFUNCTION("""COMPUTED_VALUE"""),3969.0)</f>
        <v>3969</v>
      </c>
      <c r="E17" s="34" t="str">
        <f>IFERROR(__xludf.DUMMYFUNCTION("""COMPUTED_VALUE"""),"2025/07/04")</f>
        <v>2025/07/04</v>
      </c>
      <c r="F17" s="34" t="str">
        <f>IFERROR(__xludf.DUMMYFUNCTION("""COMPUTED_VALUE"""),"Googleドライブ")</f>
        <v>Googleドライブ</v>
      </c>
      <c r="G17" s="34"/>
    </row>
    <row r="18">
      <c r="A18" s="34" t="str">
        <f>IFERROR(__xludf.DUMMYFUNCTION("""COMPUTED_VALUE"""),"ミクシィ・リクルートメント")</f>
        <v>ミクシィ・リクルートメント</v>
      </c>
      <c r="B18" s="34" t="str">
        <f>IFERROR(__xludf.DUMMYFUNCTION("""COMPUTED_VALUE"""),"全社共有")</f>
        <v>全社共有</v>
      </c>
      <c r="C18" s="68">
        <f>IFERROR(__xludf.DUMMYFUNCTION("""COMPUTED_VALUE"""),43735.0)</f>
        <v>43735</v>
      </c>
      <c r="D18" s="68">
        <f>IFERROR(__xludf.DUMMYFUNCTION("""COMPUTED_VALUE"""),414981.0)</f>
        <v>414981</v>
      </c>
      <c r="E18" s="34" t="str">
        <f>IFERROR(__xludf.DUMMYFUNCTION("""COMPUTED_VALUE"""),"2024/03/13")</f>
        <v>2024/03/13</v>
      </c>
      <c r="F18" s="34" t="str">
        <f>IFERROR(__xludf.DUMMYFUNCTION("""COMPUTED_VALUE"""),"Googleドライブ")</f>
        <v>Googleドライブ</v>
      </c>
      <c r="G18" s="34"/>
    </row>
    <row r="19">
      <c r="A19" s="34" t="str">
        <f>IFERROR(__xludf.DUMMYFUNCTION("""COMPUTED_VALUE"""),"ミクシィ・リクルートメント")</f>
        <v>ミクシィ・リクルートメント</v>
      </c>
      <c r="B19" s="34" t="str">
        <f>IFERROR(__xludf.DUMMYFUNCTION("""COMPUTED_VALUE"""),"求人広告事業部")</f>
        <v>求人広告事業部</v>
      </c>
      <c r="C19" s="68">
        <f>IFERROR(__xludf.DUMMYFUNCTION("""COMPUTED_VALUE"""),33922.0)</f>
        <v>33922</v>
      </c>
      <c r="D19" s="68">
        <f>IFERROR(__xludf.DUMMYFUNCTION("""COMPUTED_VALUE"""),150423.0)</f>
        <v>150423</v>
      </c>
      <c r="E19" s="34" t="str">
        <f>IFERROR(__xludf.DUMMYFUNCTION("""COMPUTED_VALUE"""),"2023/06/28")</f>
        <v>2023/06/28</v>
      </c>
      <c r="F19" s="34" t="str">
        <f>IFERROR(__xludf.DUMMYFUNCTION("""COMPUTED_VALUE"""),"Googleドライブ")</f>
        <v>Googleドライブ</v>
      </c>
      <c r="G19" s="34"/>
    </row>
    <row r="20">
      <c r="A20" s="34" t="str">
        <f>IFERROR(__xludf.DUMMYFUNCTION("""COMPUTED_VALUE"""),"経営推進本部")</f>
        <v>経営推進本部</v>
      </c>
      <c r="B20" s="34" t="str">
        <f>IFERROR(__xludf.DUMMYFUNCTION("""COMPUTED_VALUE"""),"財務企画部")</f>
        <v>財務企画部</v>
      </c>
      <c r="C20" s="68">
        <f>IFERROR(__xludf.DUMMYFUNCTION("""COMPUTED_VALUE"""),51.0)</f>
        <v>51</v>
      </c>
      <c r="D20" s="68">
        <f>IFERROR(__xludf.DUMMYFUNCTION("""COMPUTED_VALUE"""),128.0)</f>
        <v>128</v>
      </c>
      <c r="E20" s="34" t="str">
        <f>IFERROR(__xludf.DUMMYFUNCTION("""COMPUTED_VALUE"""),"2025/07/08")</f>
        <v>2025/07/08</v>
      </c>
      <c r="F20" s="34" t="str">
        <f>IFERROR(__xludf.DUMMYFUNCTION("""COMPUTED_VALUE"""),"Googleドライブ")</f>
        <v>Googleドライブ</v>
      </c>
      <c r="G20" s="34"/>
    </row>
    <row r="21">
      <c r="A21" s="34" t="str">
        <f>IFERROR(__xludf.DUMMYFUNCTION("""COMPUTED_VALUE"""),"経営推進本部")</f>
        <v>経営推進本部</v>
      </c>
      <c r="B21" s="34" t="str">
        <f>IFERROR(__xludf.DUMMYFUNCTION("""COMPUTED_VALUE"""),"情報セキュリティ室")</f>
        <v>情報セキュリティ室</v>
      </c>
      <c r="C21" s="68">
        <f>IFERROR(__xludf.DUMMYFUNCTION("""COMPUTED_VALUE"""),4871.0)</f>
        <v>4871</v>
      </c>
      <c r="D21" s="68">
        <f>IFERROR(__xludf.DUMMYFUNCTION("""COMPUTED_VALUE"""),31362.0)</f>
        <v>31362</v>
      </c>
      <c r="E21" s="34" t="str">
        <f>IFERROR(__xludf.DUMMYFUNCTION("""COMPUTED_VALUE"""),"2025/07/08")</f>
        <v>2025/07/08</v>
      </c>
      <c r="F21" s="34" t="str">
        <f>IFERROR(__xludf.DUMMYFUNCTION("""COMPUTED_VALUE"""),"Googleドライブ")</f>
        <v>Googleドライブ</v>
      </c>
      <c r="G21" s="34"/>
    </row>
    <row r="22">
      <c r="A22" s="34" t="str">
        <f>IFERROR(__xludf.DUMMYFUNCTION("""COMPUTED_VALUE"""),"経営推進本部")</f>
        <v>経営推進本部</v>
      </c>
      <c r="B22" s="34" t="str">
        <f>IFERROR(__xludf.DUMMYFUNCTION("""COMPUTED_VALUE"""),"社長室")</f>
        <v>社長室</v>
      </c>
      <c r="C22" s="68">
        <f>IFERROR(__xludf.DUMMYFUNCTION("""COMPUTED_VALUE"""),12.0)</f>
        <v>12</v>
      </c>
      <c r="D22" s="68">
        <f>IFERROR(__xludf.DUMMYFUNCTION("""COMPUTED_VALUE"""),6.0)</f>
        <v>6</v>
      </c>
      <c r="E22" s="34" t="str">
        <f>IFERROR(__xludf.DUMMYFUNCTION("""COMPUTED_VALUE"""),"2023/02/28")</f>
        <v>2023/02/28</v>
      </c>
      <c r="F22" s="34" t="str">
        <f>IFERROR(__xludf.DUMMYFUNCTION("""COMPUTED_VALUE"""),"Googleドライブ")</f>
        <v>Googleドライブ</v>
      </c>
      <c r="G22" s="34"/>
    </row>
    <row r="23">
      <c r="A23" s="34" t="str">
        <f>IFERROR(__xludf.DUMMYFUNCTION("""COMPUTED_VALUE"""),"経営推進本部")</f>
        <v>経営推進本部</v>
      </c>
      <c r="B23" s="34" t="str">
        <f>IFERROR(__xludf.DUMMYFUNCTION("""COMPUTED_VALUE"""),"経営企画部")</f>
        <v>経営企画部</v>
      </c>
      <c r="C23" s="68">
        <f>IFERROR(__xludf.DUMMYFUNCTION("""COMPUTED_VALUE"""),20191.0)</f>
        <v>20191</v>
      </c>
      <c r="D23" s="68">
        <f>IFERROR(__xludf.DUMMYFUNCTION("""COMPUTED_VALUE"""),145455.0)</f>
        <v>145455</v>
      </c>
      <c r="E23" s="34" t="str">
        <f>IFERROR(__xludf.DUMMYFUNCTION("""COMPUTED_VALUE"""),"2025/07/07")</f>
        <v>2025/07/07</v>
      </c>
      <c r="F23" s="34" t="str">
        <f>IFERROR(__xludf.DUMMYFUNCTION("""COMPUTED_VALUE"""),"Googleドライブ")</f>
        <v>Googleドライブ</v>
      </c>
      <c r="G23" s="34"/>
    </row>
    <row r="24">
      <c r="A24" s="34" t="str">
        <f>IFERROR(__xludf.DUMMYFUNCTION("""COMPUTED_VALUE"""),"経営推進本部")</f>
        <v>経営推進本部</v>
      </c>
      <c r="B24" s="34" t="str">
        <f>IFERROR(__xludf.DUMMYFUNCTION("""COMPUTED_VALUE"""),"広報部")</f>
        <v>広報部</v>
      </c>
      <c r="C24" s="68">
        <f>IFERROR(__xludf.DUMMYFUNCTION("""COMPUTED_VALUE"""),18935.0)</f>
        <v>18935</v>
      </c>
      <c r="D24" s="68">
        <f>IFERROR(__xludf.DUMMYFUNCTION("""COMPUTED_VALUE"""),140386.0)</f>
        <v>140386</v>
      </c>
      <c r="E24" s="34" t="str">
        <f>IFERROR(__xludf.DUMMYFUNCTION("""COMPUTED_VALUE"""),"2023/08/18")</f>
        <v>2023/08/18</v>
      </c>
      <c r="F24" s="34" t="str">
        <f>IFERROR(__xludf.DUMMYFUNCTION("""COMPUTED_VALUE"""),"Googleドライブ")</f>
        <v>Googleドライブ</v>
      </c>
      <c r="G24" s="34"/>
    </row>
    <row r="25">
      <c r="A25" s="34" t="str">
        <f>IFERROR(__xludf.DUMMYFUNCTION("""COMPUTED_VALUE"""),"Vantageスタジオ")</f>
        <v>Vantageスタジオ</v>
      </c>
      <c r="B25" s="34" t="str">
        <f>IFERROR(__xludf.DUMMYFUNCTION("""COMPUTED_VALUE"""),"mixi事業部")</f>
        <v>mixi事業部</v>
      </c>
      <c r="C25" s="68">
        <f>IFERROR(__xludf.DUMMYFUNCTION("""COMPUTED_VALUE"""),21644.0)</f>
        <v>21644</v>
      </c>
      <c r="D25" s="68">
        <f>IFERROR(__xludf.DUMMYFUNCTION("""COMPUTED_VALUE"""),99138.0)</f>
        <v>99138</v>
      </c>
      <c r="E25" s="34" t="str">
        <f>IFERROR(__xludf.DUMMYFUNCTION("""COMPUTED_VALUE"""),"2025/07/08")</f>
        <v>2025/07/08</v>
      </c>
      <c r="F25" s="34" t="str">
        <f>IFERROR(__xludf.DUMMYFUNCTION("""COMPUTED_VALUE"""),"Googleドライブ")</f>
        <v>Googleドライブ</v>
      </c>
      <c r="G25" s="34"/>
    </row>
    <row r="26">
      <c r="A26" s="34" t="str">
        <f>IFERROR(__xludf.DUMMYFUNCTION("""COMPUTED_VALUE"""),"次世代エンターテインメント事業本部")</f>
        <v>次世代エンターテインメント事業本部</v>
      </c>
      <c r="B26" s="34" t="str">
        <f>IFERROR(__xludf.DUMMYFUNCTION("""COMPUTED_VALUE"""),"ライブ動画プロダクト開発室")</f>
        <v>ライブ動画プロダクト開発室</v>
      </c>
      <c r="C26" s="68">
        <f>IFERROR(__xludf.DUMMYFUNCTION("""COMPUTED_VALUE"""),46.0)</f>
        <v>46</v>
      </c>
      <c r="D26" s="68">
        <f>IFERROR(__xludf.DUMMYFUNCTION("""COMPUTED_VALUE"""),20.0)</f>
        <v>20</v>
      </c>
      <c r="E26" s="34" t="str">
        <f>IFERROR(__xludf.DUMMYFUNCTION("""COMPUTED_VALUE"""),"2024/01/29")</f>
        <v>2024/01/29</v>
      </c>
      <c r="F26" s="34" t="str">
        <f>IFERROR(__xludf.DUMMYFUNCTION("""COMPUTED_VALUE"""),"Googleドライブ")</f>
        <v>Googleドライブ</v>
      </c>
      <c r="G26" s="34"/>
    </row>
    <row r="27">
      <c r="A27" s="34" t="str">
        <f>IFERROR(__xludf.DUMMYFUNCTION("""COMPUTED_VALUE"""),"はたらく環境推進本部")</f>
        <v>はたらく環境推進本部</v>
      </c>
      <c r="B27" s="34" t="str">
        <f>IFERROR(__xludf.DUMMYFUNCTION("""COMPUTED_VALUE"""),"コーポレートエンジニアリング部")</f>
        <v>コーポレートエンジニアリング部</v>
      </c>
      <c r="C27" s="68">
        <f>IFERROR(__xludf.DUMMYFUNCTION("""COMPUTED_VALUE"""),17.0)</f>
        <v>17</v>
      </c>
      <c r="D27" s="68">
        <f>IFERROR(__xludf.DUMMYFUNCTION("""COMPUTED_VALUE"""),2.0)</f>
        <v>2</v>
      </c>
      <c r="E27" s="34" t="str">
        <f>IFERROR(__xludf.DUMMYFUNCTION("""COMPUTED_VALUE"""),"2023/12/20")</f>
        <v>2023/12/20</v>
      </c>
      <c r="F27" s="34" t="str">
        <f>IFERROR(__xludf.DUMMYFUNCTION("""COMPUTED_VALUE"""),"Googleドライブ")</f>
        <v>Googleドライブ</v>
      </c>
      <c r="G27" s="34"/>
    </row>
    <row r="28">
      <c r="A28" s="34" t="str">
        <f>IFERROR(__xludf.DUMMYFUNCTION("""COMPUTED_VALUE"""),"はたらく環境推進本部")</f>
        <v>はたらく環境推進本部</v>
      </c>
      <c r="B28" s="34" t="str">
        <f>IFERROR(__xludf.DUMMYFUNCTION("""COMPUTED_VALUE"""),"コーポレートITサービス部")</f>
        <v>コーポレートITサービス部</v>
      </c>
      <c r="C28" s="68">
        <f>IFERROR(__xludf.DUMMYFUNCTION("""COMPUTED_VALUE"""),20.0)</f>
        <v>20</v>
      </c>
      <c r="D28" s="68">
        <f>IFERROR(__xludf.DUMMYFUNCTION("""COMPUTED_VALUE"""),55046.0)</f>
        <v>55046</v>
      </c>
      <c r="E28" s="34" t="str">
        <f>IFERROR(__xludf.DUMMYFUNCTION("""COMPUTED_VALUE"""),"×")</f>
        <v>×</v>
      </c>
      <c r="F28" s="34" t="str">
        <f>IFERROR(__xludf.DUMMYFUNCTION("""COMPUTED_VALUE"""),"Googleドライブ")</f>
        <v>Googleドライブ</v>
      </c>
      <c r="G28" s="34"/>
    </row>
    <row r="29">
      <c r="A29" s="34" t="str">
        <f>IFERROR(__xludf.DUMMYFUNCTION("""COMPUTED_VALUE"""),"はたらく環境推進本部")</f>
        <v>はたらく環境推進本部</v>
      </c>
      <c r="B29" s="34" t="str">
        <f>IFERROR(__xludf.DUMMYFUNCTION("""COMPUTED_VALUE"""),"ビジネスサポート室")</f>
        <v>ビジネスサポート室</v>
      </c>
      <c r="C29" s="68">
        <f>IFERROR(__xludf.DUMMYFUNCTION("""COMPUTED_VALUE"""),877.0)</f>
        <v>877</v>
      </c>
      <c r="D29" s="68">
        <f>IFERROR(__xludf.DUMMYFUNCTION("""COMPUTED_VALUE"""),10440.0)</f>
        <v>10440</v>
      </c>
      <c r="E29" s="34" t="str">
        <f>IFERROR(__xludf.DUMMYFUNCTION("""COMPUTED_VALUE"""),"2025/06/30")</f>
        <v>2025/06/30</v>
      </c>
      <c r="F29" s="34" t="str">
        <f>IFERROR(__xludf.DUMMYFUNCTION("""COMPUTED_VALUE"""),"Googleドライブ")</f>
        <v>Googleドライブ</v>
      </c>
      <c r="G29" s="34"/>
    </row>
    <row r="30">
      <c r="A30" s="34" t="str">
        <f>IFERROR(__xludf.DUMMYFUNCTION("""COMPUTED_VALUE"""),"はたらく環境推進本部")</f>
        <v>はたらく環境推進本部</v>
      </c>
      <c r="B30" s="34" t="str">
        <f>IFERROR(__xludf.DUMMYFUNCTION("""COMPUTED_VALUE"""),"本部共有")</f>
        <v>本部共有</v>
      </c>
      <c r="C30" s="68">
        <f>IFERROR(__xludf.DUMMYFUNCTION("""COMPUTED_VALUE"""),40275.0)</f>
        <v>40275</v>
      </c>
      <c r="D30" s="68">
        <f>IFERROR(__xludf.DUMMYFUNCTION("""COMPUTED_VALUE"""),347392.0)</f>
        <v>347392</v>
      </c>
      <c r="E30" s="34" t="str">
        <f>IFERROR(__xludf.DUMMYFUNCTION("""COMPUTED_VALUE"""),"2025/07/08")</f>
        <v>2025/07/08</v>
      </c>
      <c r="F30" s="34" t="str">
        <f>IFERROR(__xludf.DUMMYFUNCTION("""COMPUTED_VALUE"""),"Googleドライブ")</f>
        <v>Googleドライブ</v>
      </c>
      <c r="G30" s="34"/>
    </row>
    <row r="31">
      <c r="A31" s="34" t="str">
        <f>IFERROR(__xludf.DUMMYFUNCTION("""COMPUTED_VALUE"""),"はたらく環境推進本部")</f>
        <v>はたらく環境推進本部</v>
      </c>
      <c r="B31" s="34" t="str">
        <f>IFERROR(__xludf.DUMMYFUNCTION("""COMPUTED_VALUE"""),"せいかつ環境室")</f>
        <v>せいかつ環境室</v>
      </c>
      <c r="C31" s="68">
        <f>IFERROR(__xludf.DUMMYFUNCTION("""COMPUTED_VALUE"""),13.0)</f>
        <v>13</v>
      </c>
      <c r="D31" s="68">
        <f>IFERROR(__xludf.DUMMYFUNCTION("""COMPUTED_VALUE"""),2.0)</f>
        <v>2</v>
      </c>
      <c r="E31" s="34" t="str">
        <f>IFERROR(__xludf.DUMMYFUNCTION("""COMPUTED_VALUE"""),"×")</f>
        <v>×</v>
      </c>
      <c r="F31" s="34" t="str">
        <f>IFERROR(__xludf.DUMMYFUNCTION("""COMPUTED_VALUE"""),"Googleドライブ")</f>
        <v>Googleドライブ</v>
      </c>
      <c r="G31" s="34"/>
    </row>
    <row r="32">
      <c r="A32" s="34" t="str">
        <f>IFERROR(__xludf.DUMMYFUNCTION("""COMPUTED_VALUE"""),"統括管理本部")</f>
        <v>統括管理本部</v>
      </c>
      <c r="B32" s="34" t="str">
        <f>IFERROR(__xludf.DUMMYFUNCTION("""COMPUTED_VALUE"""),"CS部")</f>
        <v>CS部</v>
      </c>
      <c r="C32" s="68">
        <f>IFERROR(__xludf.DUMMYFUNCTION("""COMPUTED_VALUE"""),907.0)</f>
        <v>907</v>
      </c>
      <c r="D32" s="68">
        <f>IFERROR(__xludf.DUMMYFUNCTION("""COMPUTED_VALUE"""),4213.0)</f>
        <v>4213</v>
      </c>
      <c r="E32" s="34" t="str">
        <f>IFERROR(__xludf.DUMMYFUNCTION("""COMPUTED_VALUE"""),"2024/08/20")</f>
        <v>2024/08/20</v>
      </c>
      <c r="F32" s="34" t="str">
        <f>IFERROR(__xludf.DUMMYFUNCTION("""COMPUTED_VALUE"""),"Googleドライブ")</f>
        <v>Googleドライブ</v>
      </c>
      <c r="G32" s="34"/>
    </row>
    <row r="33">
      <c r="A33" s="34" t="str">
        <f>IFERROR(__xludf.DUMMYFUNCTION("""COMPUTED_VALUE"""),"デジタルエンターテインメント事業本部")</f>
        <v>デジタルエンターテインメント事業本部</v>
      </c>
      <c r="B33" s="34" t="str">
        <f>IFERROR(__xludf.DUMMYFUNCTION("""COMPUTED_VALUE"""),"コトダマン事業部")</f>
        <v>コトダマン事業部</v>
      </c>
      <c r="C33" s="68">
        <f>IFERROR(__xludf.DUMMYFUNCTION("""COMPUTED_VALUE"""),137343.0)</f>
        <v>137343</v>
      </c>
      <c r="D33" s="68">
        <f>IFERROR(__xludf.DUMMYFUNCTION("""COMPUTED_VALUE"""),532575.0)</f>
        <v>532575</v>
      </c>
      <c r="E33" s="34" t="str">
        <f>IFERROR(__xludf.DUMMYFUNCTION("""COMPUTED_VALUE"""),"2025/02/06")</f>
        <v>2025/02/06</v>
      </c>
      <c r="F33" s="34" t="str">
        <f>IFERROR(__xludf.DUMMYFUNCTION("""COMPUTED_VALUE"""),"Googleドライブ")</f>
        <v>Googleドライブ</v>
      </c>
      <c r="G33" s="34"/>
    </row>
    <row r="34">
      <c r="A34" s="34" t="str">
        <f>IFERROR(__xludf.DUMMYFUNCTION("""COMPUTED_VALUE"""),"コーポレートサポート本部")</f>
        <v>コーポレートサポート本部</v>
      </c>
      <c r="B34" s="34" t="str">
        <f>IFERROR(__xludf.DUMMYFUNCTION("""COMPUTED_VALUE"""),"はたらく環境室")</f>
        <v>はたらく環境室</v>
      </c>
      <c r="C34" s="68">
        <f>IFERROR(__xludf.DUMMYFUNCTION("""COMPUTED_VALUE"""),12907.0)</f>
        <v>12907</v>
      </c>
      <c r="D34" s="68">
        <f>IFERROR(__xludf.DUMMYFUNCTION("""COMPUTED_VALUE"""),67943.0)</f>
        <v>67943</v>
      </c>
      <c r="E34" s="34" t="str">
        <f>IFERROR(__xludf.DUMMYFUNCTION("""COMPUTED_VALUE"""),"2023/05/18")</f>
        <v>2023/05/18</v>
      </c>
      <c r="F34" s="34" t="str">
        <f>IFERROR(__xludf.DUMMYFUNCTION("""COMPUTED_VALUE"""),"Googleドライブ")</f>
        <v>Googleドライブ</v>
      </c>
      <c r="G34" s="34"/>
    </row>
    <row r="35">
      <c r="A35" s="34" t="str">
        <f>IFERROR(__xludf.DUMMYFUNCTION("""COMPUTED_VALUE"""),"人事部")</f>
        <v>人事部</v>
      </c>
      <c r="B35" s="34" t="str">
        <f>IFERROR(__xludf.DUMMYFUNCTION("""COMPUTED_VALUE"""),"全社人事G")</f>
        <v>全社人事G</v>
      </c>
      <c r="C35" s="68">
        <f>IFERROR(__xludf.DUMMYFUNCTION("""COMPUTED_VALUE"""),53.0)</f>
        <v>53</v>
      </c>
      <c r="D35" s="68">
        <f>IFERROR(__xludf.DUMMYFUNCTION("""COMPUTED_VALUE"""),29.0)</f>
        <v>29</v>
      </c>
      <c r="E35" s="34" t="str">
        <f>IFERROR(__xludf.DUMMYFUNCTION("""COMPUTED_VALUE"""),"2023/06/22")</f>
        <v>2023/06/22</v>
      </c>
      <c r="F35" s="34" t="str">
        <f>IFERROR(__xludf.DUMMYFUNCTION("""COMPUTED_VALUE"""),"Googleドライブ")</f>
        <v>Googleドライブ</v>
      </c>
      <c r="G35" s="34"/>
    </row>
    <row r="36">
      <c r="A36" s="34" t="str">
        <f>IFERROR(__xludf.DUMMYFUNCTION("""COMPUTED_VALUE"""),"コンプライアンス本部")</f>
        <v>コンプライアンス本部</v>
      </c>
      <c r="B36" s="34" t="str">
        <f>IFERROR(__xludf.DUMMYFUNCTION("""COMPUTED_VALUE"""),"本部共有")</f>
        <v>本部共有</v>
      </c>
      <c r="C36" s="68">
        <f>IFERROR(__xludf.DUMMYFUNCTION("""COMPUTED_VALUE"""),28344.0)</f>
        <v>28344</v>
      </c>
      <c r="D36" s="68">
        <f>IFERROR(__xludf.DUMMYFUNCTION("""COMPUTED_VALUE"""),162482.0)</f>
        <v>162482</v>
      </c>
      <c r="E36" s="34" t="str">
        <f>IFERROR(__xludf.DUMMYFUNCTION("""COMPUTED_VALUE"""),"2025/07/09")</f>
        <v>2025/07/09</v>
      </c>
      <c r="F36" s="34" t="str">
        <f>IFERROR(__xludf.DUMMYFUNCTION("""COMPUTED_VALUE"""),"Googleドライブ")</f>
        <v>Googleドライブ</v>
      </c>
      <c r="G36" s="34"/>
    </row>
    <row r="37">
      <c r="A37" s="34" t="str">
        <f>IFERROR(__xludf.DUMMYFUNCTION("""COMPUTED_VALUE"""),"コンプライアンス本部")</f>
        <v>コンプライアンス本部</v>
      </c>
      <c r="B37" s="34" t="str">
        <f>IFERROR(__xludf.DUMMYFUNCTION("""COMPUTED_VALUE"""),"知財室")</f>
        <v>知財室</v>
      </c>
      <c r="C37" s="68">
        <f>IFERROR(__xludf.DUMMYFUNCTION("""COMPUTED_VALUE"""),7030.0)</f>
        <v>7030</v>
      </c>
      <c r="D37" s="68">
        <f>IFERROR(__xludf.DUMMYFUNCTION("""COMPUTED_VALUE"""),76429.0)</f>
        <v>76429</v>
      </c>
      <c r="E37" s="34" t="str">
        <f>IFERROR(__xludf.DUMMYFUNCTION("""COMPUTED_VALUE"""),"2025/07/09")</f>
        <v>2025/07/09</v>
      </c>
      <c r="F37" s="34" t="str">
        <f>IFERROR(__xludf.DUMMYFUNCTION("""COMPUTED_VALUE"""),"Googleドライブ")</f>
        <v>Googleドライブ</v>
      </c>
      <c r="G37" s="34"/>
    </row>
    <row r="38">
      <c r="A38" s="34" t="str">
        <f>IFERROR(__xludf.DUMMYFUNCTION("""COMPUTED_VALUE"""),"ヴァンテージスタジオ")</f>
        <v>ヴァンテージスタジオ</v>
      </c>
      <c r="B38" s="34" t="str">
        <f>IFERROR(__xludf.DUMMYFUNCTION("""COMPUTED_VALUE"""),"スタジオ企画室")</f>
        <v>スタジオ企画室</v>
      </c>
      <c r="C38" s="68">
        <f>IFERROR(__xludf.DUMMYFUNCTION("""COMPUTED_VALUE"""),4031.0)</f>
        <v>4031</v>
      </c>
      <c r="D38" s="68">
        <f>IFERROR(__xludf.DUMMYFUNCTION("""COMPUTED_VALUE"""),24465.0)</f>
        <v>24465</v>
      </c>
      <c r="E38" s="34" t="str">
        <f>IFERROR(__xludf.DUMMYFUNCTION("""COMPUTED_VALUE"""),"2025/06/03")</f>
        <v>2025/06/03</v>
      </c>
      <c r="F38" s="34" t="str">
        <f>IFERROR(__xludf.DUMMYFUNCTION("""COMPUTED_VALUE"""),"Googleドライブ")</f>
        <v>Googleドライブ</v>
      </c>
      <c r="G38" s="34"/>
    </row>
    <row r="39">
      <c r="A39" s="34" t="str">
        <f>IFERROR(__xludf.DUMMYFUNCTION("""COMPUTED_VALUE"""),"ヴァンテージスタジオ")</f>
        <v>ヴァンテージスタジオ</v>
      </c>
      <c r="B39" s="34" t="str">
        <f>IFERROR(__xludf.DUMMYFUNCTION("""COMPUTED_VALUE"""),"ゲーム部")</f>
        <v>ゲーム部</v>
      </c>
      <c r="C39" s="68">
        <f>IFERROR(__xludf.DUMMYFUNCTION("""COMPUTED_VALUE"""),23925.0)</f>
        <v>23925</v>
      </c>
      <c r="D39" s="68">
        <f>IFERROR(__xludf.DUMMYFUNCTION("""COMPUTED_VALUE"""),165351.0)</f>
        <v>165351</v>
      </c>
      <c r="E39" s="34" t="str">
        <f>IFERROR(__xludf.DUMMYFUNCTION("""COMPUTED_VALUE"""),"2024/02/06")</f>
        <v>2024/02/06</v>
      </c>
      <c r="F39" s="34" t="str">
        <f>IFERROR(__xludf.DUMMYFUNCTION("""COMPUTED_VALUE"""),"Googleドライブ")</f>
        <v>Googleドライブ</v>
      </c>
      <c r="G39" s="34"/>
    </row>
    <row r="40">
      <c r="A40" s="34" t="str">
        <f>IFERROR(__xludf.DUMMYFUNCTION("""COMPUTED_VALUE"""),"内部監査室")</f>
        <v>内部監査室</v>
      </c>
      <c r="B40" s="34" t="str">
        <f>IFERROR(__xludf.DUMMYFUNCTION("""COMPUTED_VALUE"""),"200_テーマ監査")</f>
        <v>200_テーマ監査</v>
      </c>
      <c r="C40" s="68">
        <f>IFERROR(__xludf.DUMMYFUNCTION("""COMPUTED_VALUE"""),1964.0)</f>
        <v>1964</v>
      </c>
      <c r="D40" s="68">
        <f>IFERROR(__xludf.DUMMYFUNCTION("""COMPUTED_VALUE"""),7273.0)</f>
        <v>7273</v>
      </c>
      <c r="E40" s="34" t="str">
        <f>IFERROR(__xludf.DUMMYFUNCTION("""COMPUTED_VALUE"""),"2025/05/28")</f>
        <v>2025/05/28</v>
      </c>
      <c r="F40" s="34" t="str">
        <f>IFERROR(__xludf.DUMMYFUNCTION("""COMPUTED_VALUE"""),"Googleドライブ")</f>
        <v>Googleドライブ</v>
      </c>
      <c r="G40" s="34"/>
    </row>
    <row r="41">
      <c r="A41" s="34" t="str">
        <f>IFERROR(__xludf.DUMMYFUNCTION("""COMPUTED_VALUE"""),"内部監査室")</f>
        <v>内部監査室</v>
      </c>
      <c r="B41" s="34" t="str">
        <f>IFERROR(__xludf.DUMMYFUNCTION("""COMPUTED_VALUE"""),"000_内部監査室全般")</f>
        <v>000_内部監査室全般</v>
      </c>
      <c r="C41" s="68">
        <f>IFERROR(__xludf.DUMMYFUNCTION("""COMPUTED_VALUE"""),194.0)</f>
        <v>194</v>
      </c>
      <c r="D41" s="68">
        <f>IFERROR(__xludf.DUMMYFUNCTION("""COMPUTED_VALUE"""),1019.0)</f>
        <v>1019</v>
      </c>
      <c r="E41" s="34" t="str">
        <f>IFERROR(__xludf.DUMMYFUNCTION("""COMPUTED_VALUE"""),"2025/05/28")</f>
        <v>2025/05/28</v>
      </c>
      <c r="F41" s="34" t="str">
        <f>IFERROR(__xludf.DUMMYFUNCTION("""COMPUTED_VALUE"""),"Googleドライブ")</f>
        <v>Googleドライブ</v>
      </c>
      <c r="G41" s="34"/>
    </row>
    <row r="42">
      <c r="A42" s="34" t="str">
        <f>IFERROR(__xludf.DUMMYFUNCTION("""COMPUTED_VALUE"""),"内部監査室")</f>
        <v>内部監査室</v>
      </c>
      <c r="B42" s="34" t="str">
        <f>IFERROR(__xludf.DUMMYFUNCTION("""COMPUTED_VALUE"""),"800_業務改善")</f>
        <v>800_業務改善</v>
      </c>
      <c r="C42" s="68">
        <f>IFERROR(__xludf.DUMMYFUNCTION("""COMPUTED_VALUE"""),109.0)</f>
        <v>109</v>
      </c>
      <c r="D42" s="68">
        <f>IFERROR(__xludf.DUMMYFUNCTION("""COMPUTED_VALUE"""),790.0)</f>
        <v>790</v>
      </c>
      <c r="E42" s="34" t="str">
        <f>IFERROR(__xludf.DUMMYFUNCTION("""COMPUTED_VALUE"""),"2025/05/28")</f>
        <v>2025/05/28</v>
      </c>
      <c r="F42" s="34" t="str">
        <f>IFERROR(__xludf.DUMMYFUNCTION("""COMPUTED_VALUE"""),"Googleドライブ")</f>
        <v>Googleドライブ</v>
      </c>
      <c r="G42" s="34"/>
    </row>
    <row r="43">
      <c r="A43" s="34" t="str">
        <f>IFERROR(__xludf.DUMMYFUNCTION("""COMPUTED_VALUE"""),"内部監査室")</f>
        <v>内部監査室</v>
      </c>
      <c r="B43" s="34" t="str">
        <f>IFERROR(__xludf.DUMMYFUNCTION("""COMPUTED_VALUE"""),"100_部門監査")</f>
        <v>100_部門監査</v>
      </c>
      <c r="C43" s="68">
        <f>IFERROR(__xludf.DUMMYFUNCTION("""COMPUTED_VALUE"""),4064.0)</f>
        <v>4064</v>
      </c>
      <c r="D43" s="68">
        <f>IFERROR(__xludf.DUMMYFUNCTION("""COMPUTED_VALUE"""),13606.0)</f>
        <v>13606</v>
      </c>
      <c r="E43" s="34" t="str">
        <f>IFERROR(__xludf.DUMMYFUNCTION("""COMPUTED_VALUE"""),"2025/02/19")</f>
        <v>2025/02/19</v>
      </c>
      <c r="F43" s="34" t="str">
        <f>IFERROR(__xludf.DUMMYFUNCTION("""COMPUTED_VALUE"""),"Googleドライブ")</f>
        <v>Googleドライブ</v>
      </c>
      <c r="G43" s="34"/>
    </row>
    <row r="44">
      <c r="A44" s="34" t="str">
        <f>IFERROR(__xludf.DUMMYFUNCTION("""COMPUTED_VALUE"""),"内部監査室")</f>
        <v>内部監査室</v>
      </c>
      <c r="B44" s="34" t="str">
        <f>IFERROR(__xludf.DUMMYFUNCTION("""COMPUTED_VALUE"""),"300_子会社監査")</f>
        <v>300_子会社監査</v>
      </c>
      <c r="C44" s="68">
        <f>IFERROR(__xludf.DUMMYFUNCTION("""COMPUTED_VALUE"""),1591.0)</f>
        <v>1591</v>
      </c>
      <c r="D44" s="68">
        <f>IFERROR(__xludf.DUMMYFUNCTION("""COMPUTED_VALUE"""),4218.0)</f>
        <v>4218</v>
      </c>
      <c r="E44" s="34" t="str">
        <f>IFERROR(__xludf.DUMMYFUNCTION("""COMPUTED_VALUE"""),"2025/05/28")</f>
        <v>2025/05/28</v>
      </c>
      <c r="F44" s="34" t="str">
        <f>IFERROR(__xludf.DUMMYFUNCTION("""COMPUTED_VALUE"""),"Googleドライブ")</f>
        <v>Googleドライブ</v>
      </c>
      <c r="G44" s="34"/>
    </row>
    <row r="45">
      <c r="A45" s="34" t="str">
        <f>IFERROR(__xludf.DUMMYFUNCTION("""COMPUTED_VALUE"""),"モンスト事業本部")</f>
        <v>モンスト事業本部</v>
      </c>
      <c r="B45" s="34" t="str">
        <f>IFERROR(__xludf.DUMMYFUNCTION("""COMPUTED_VALUE"""),"開発室")</f>
        <v>開発室</v>
      </c>
      <c r="C45" s="68">
        <f>IFERROR(__xludf.DUMMYFUNCTION("""COMPUTED_VALUE"""),536.0)</f>
        <v>536</v>
      </c>
      <c r="D45" s="68">
        <f>IFERROR(__xludf.DUMMYFUNCTION("""COMPUTED_VALUE"""),2627.0)</f>
        <v>2627</v>
      </c>
      <c r="E45" s="34" t="str">
        <f>IFERROR(__xludf.DUMMYFUNCTION("""COMPUTED_VALUE"""),"2024/10/22")</f>
        <v>2024/10/22</v>
      </c>
      <c r="F45" s="34" t="str">
        <f>IFERROR(__xludf.DUMMYFUNCTION("""COMPUTED_VALUE"""),"Googleドライブ")</f>
        <v>Googleドライブ</v>
      </c>
      <c r="G45" s="3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0"/>
    <col customWidth="1" min="2" max="2" width="29.25"/>
  </cols>
  <sheetData>
    <row r="1">
      <c r="A1" s="67" t="str">
        <f>IFERROR(__xludf.DUMMYFUNCTION("QUERY('（新）div'!A:P,""SELECT A,B,D,E,G,H,I  WHERE H = 'AWS S3'"")"),"div 1階層目フォルダ")</f>
        <v>div 1階層目フォルダ</v>
      </c>
      <c r="B1" s="67" t="str">
        <f>IFERROR(__xludf.DUMMYFUNCTION("""COMPUTED_VALUE"""),"div 2階層目フォルダ")</f>
        <v>div 2階層目フォルダ</v>
      </c>
      <c r="C1" s="67" t="str">
        <f>IFERROR(__xludf.DUMMYFUNCTION("""COMPUTED_VALUE"""),"フォルダ数")</f>
        <v>フォルダ数</v>
      </c>
      <c r="D1" s="67" t="str">
        <f>IFERROR(__xludf.DUMMYFUNCTION("""COMPUTED_VALUE"""),"ファイル数")</f>
        <v>ファイル数</v>
      </c>
      <c r="E1" s="67" t="str">
        <f>IFERROR(__xludf.DUMMYFUNCTION("""COMPUTED_VALUE"""),"最終更新日")</f>
        <v>最終更新日</v>
      </c>
      <c r="F1" s="67" t="str">
        <f>IFERROR(__xludf.DUMMYFUNCTION("""COMPUTED_VALUE"""),"移行先")</f>
        <v>移行先</v>
      </c>
      <c r="G1" s="67" t="str">
        <f>IFERROR(__xludf.DUMMYFUNCTION("""COMPUTED_VALUE"""),"移行方法")</f>
        <v>移行方法</v>
      </c>
    </row>
    <row r="2">
      <c r="A2" s="34" t="str">
        <f>IFERROR(__xludf.DUMMYFUNCTION("""COMPUTED_VALUE"""),"メディア事業本部")</f>
        <v>メディア事業本部</v>
      </c>
      <c r="B2" s="34" t="str">
        <f>IFERROR(__xludf.DUMMYFUNCTION("""COMPUTED_VALUE"""),"mixiゲーム部")</f>
        <v>mixiゲーム部</v>
      </c>
      <c r="C2" s="68">
        <f>IFERROR(__xludf.DUMMYFUNCTION("""COMPUTED_VALUE"""),32.0)</f>
        <v>32</v>
      </c>
      <c r="D2" s="68">
        <f>IFERROR(__xludf.DUMMYFUNCTION("""COMPUTED_VALUE"""),17.0)</f>
        <v>17</v>
      </c>
      <c r="E2" s="34" t="str">
        <f>IFERROR(__xludf.DUMMYFUNCTION("""COMPUTED_VALUE"""),"2016/04/20")</f>
        <v>2016/04/20</v>
      </c>
      <c r="F2" s="34" t="str">
        <f>IFERROR(__xludf.DUMMYFUNCTION("""COMPUTED_VALUE"""),"AWS S3")</f>
        <v>AWS S3</v>
      </c>
      <c r="G2" s="34"/>
    </row>
    <row r="3">
      <c r="A3" s="34" t="str">
        <f>IFERROR(__xludf.DUMMYFUNCTION("""COMPUTED_VALUE"""),"メディア事業本部")</f>
        <v>メディア事業本部</v>
      </c>
      <c r="B3" s="34" t="str">
        <f>IFERROR(__xludf.DUMMYFUNCTION("""COMPUTED_VALUE"""),"mixiサービス部")</f>
        <v>mixiサービス部</v>
      </c>
      <c r="C3" s="68">
        <f>IFERROR(__xludf.DUMMYFUNCTION("""COMPUTED_VALUE"""),55.0)</f>
        <v>55</v>
      </c>
      <c r="D3" s="68">
        <f>IFERROR(__xludf.DUMMYFUNCTION("""COMPUTED_VALUE"""),53.0)</f>
        <v>53</v>
      </c>
      <c r="E3" s="34" t="str">
        <f>IFERROR(__xludf.DUMMYFUNCTION("""COMPUTED_VALUE"""),"2016/03/04")</f>
        <v>2016/03/04</v>
      </c>
      <c r="F3" s="34" t="str">
        <f>IFERROR(__xludf.DUMMYFUNCTION("""COMPUTED_VALUE"""),"AWS S3")</f>
        <v>AWS S3</v>
      </c>
      <c r="G3" s="34"/>
    </row>
    <row r="4">
      <c r="A4" s="34" t="str">
        <f>IFERROR(__xludf.DUMMYFUNCTION("""COMPUTED_VALUE"""),"メディア事業本部")</f>
        <v>メディア事業本部</v>
      </c>
      <c r="B4" s="34" t="str">
        <f>IFERROR(__xludf.DUMMYFUNCTION("""COMPUTED_VALUE"""),"本部共有")</f>
        <v>本部共有</v>
      </c>
      <c r="C4" s="68">
        <f>IFERROR(__xludf.DUMMYFUNCTION("""COMPUTED_VALUE"""),1345.0)</f>
        <v>1345</v>
      </c>
      <c r="D4" s="68">
        <f>IFERROR(__xludf.DUMMYFUNCTION("""COMPUTED_VALUE"""),9883.0)</f>
        <v>9883</v>
      </c>
      <c r="E4" s="34" t="str">
        <f>IFERROR(__xludf.DUMMYFUNCTION("""COMPUTED_VALUE"""),"2022/04/16")</f>
        <v>2022/04/16</v>
      </c>
      <c r="F4" s="34" t="str">
        <f>IFERROR(__xludf.DUMMYFUNCTION("""COMPUTED_VALUE"""),"AWS S3")</f>
        <v>AWS S3</v>
      </c>
      <c r="G4" s="34"/>
    </row>
    <row r="5">
      <c r="A5" s="34" t="str">
        <f>IFERROR(__xludf.DUMMYFUNCTION("""COMPUTED_VALUE"""),"メディア事業本部")</f>
        <v>メディア事業本部</v>
      </c>
      <c r="B5" s="34" t="str">
        <f>IFERROR(__xludf.DUMMYFUNCTION("""COMPUTED_VALUE"""),"mixiシステム部")</f>
        <v>mixiシステム部</v>
      </c>
      <c r="C5" s="68">
        <f>IFERROR(__xludf.DUMMYFUNCTION("""COMPUTED_VALUE"""),19.0)</f>
        <v>19</v>
      </c>
      <c r="D5" s="68">
        <f>IFERROR(__xludf.DUMMYFUNCTION("""COMPUTED_VALUE"""),19.0)</f>
        <v>19</v>
      </c>
      <c r="E5" s="34" t="str">
        <f>IFERROR(__xludf.DUMMYFUNCTION("""COMPUTED_VALUE"""),"2016/05/19")</f>
        <v>2016/05/19</v>
      </c>
      <c r="F5" s="34" t="str">
        <f>IFERROR(__xludf.DUMMYFUNCTION("""COMPUTED_VALUE"""),"AWS S3")</f>
        <v>AWS S3</v>
      </c>
      <c r="G5" s="34"/>
    </row>
    <row r="6">
      <c r="A6" s="34" t="str">
        <f>IFERROR(__xludf.DUMMYFUNCTION("""COMPUTED_VALUE"""),"Diverseスタジオ")</f>
        <v>Diverseスタジオ</v>
      </c>
      <c r="B6" s="34" t="str">
        <f>IFERROR(__xludf.DUMMYFUNCTION("""COMPUTED_VALUE"""),"経営管理部")</f>
        <v>経営管理部</v>
      </c>
      <c r="C6" s="68">
        <f>IFERROR(__xludf.DUMMYFUNCTION("""COMPUTED_VALUE"""),4342.0)</f>
        <v>4342</v>
      </c>
      <c r="D6" s="68">
        <f>IFERROR(__xludf.DUMMYFUNCTION("""COMPUTED_VALUE"""),26544.0)</f>
        <v>26544</v>
      </c>
      <c r="E6" s="34" t="str">
        <f>IFERROR(__xludf.DUMMYFUNCTION("""COMPUTED_VALUE"""),"2019/03/12")</f>
        <v>2019/03/12</v>
      </c>
      <c r="F6" s="34" t="str">
        <f>IFERROR(__xludf.DUMMYFUNCTION("""COMPUTED_VALUE"""),"AWS S3")</f>
        <v>AWS S3</v>
      </c>
      <c r="G6" s="34"/>
    </row>
    <row r="7">
      <c r="A7" s="34" t="str">
        <f>IFERROR(__xludf.DUMMYFUNCTION("""COMPUTED_VALUE"""),"Diverseスタジオ")</f>
        <v>Diverseスタジオ</v>
      </c>
      <c r="B7" s="34" t="str">
        <f>IFERROR(__xludf.DUMMYFUNCTION("""COMPUTED_VALUE"""),"本部共有")</f>
        <v>本部共有</v>
      </c>
      <c r="C7" s="68">
        <f>IFERROR(__xludf.DUMMYFUNCTION("""COMPUTED_VALUE"""),1.0)</f>
        <v>1</v>
      </c>
      <c r="D7" s="68">
        <f>IFERROR(__xludf.DUMMYFUNCTION("""COMPUTED_VALUE"""),1.0)</f>
        <v>1</v>
      </c>
      <c r="E7" s="34" t="str">
        <f>IFERROR(__xludf.DUMMYFUNCTION("""COMPUTED_VALUE"""),"×")</f>
        <v>×</v>
      </c>
      <c r="F7" s="34" t="str">
        <f>IFERROR(__xludf.DUMMYFUNCTION("""COMPUTED_VALUE"""),"AWS S3")</f>
        <v>AWS S3</v>
      </c>
      <c r="G7" s="34"/>
    </row>
    <row r="8">
      <c r="A8" s="34" t="str">
        <f>IFERROR(__xludf.DUMMYFUNCTION("""COMPUTED_VALUE"""),"モンストスタジオ")</f>
        <v>モンストスタジオ</v>
      </c>
      <c r="B8" s="34" t="str">
        <f>IFERROR(__xludf.DUMMYFUNCTION("""COMPUTED_VALUE"""),"マーケティングG")</f>
        <v>マーケティングG</v>
      </c>
      <c r="C8" s="68">
        <f>IFERROR(__xludf.DUMMYFUNCTION("""COMPUTED_VALUE"""),275.0)</f>
        <v>275</v>
      </c>
      <c r="D8" s="68">
        <f>IFERROR(__xludf.DUMMYFUNCTION("""COMPUTED_VALUE"""),909.0)</f>
        <v>909</v>
      </c>
      <c r="E8" s="34" t="str">
        <f>IFERROR(__xludf.DUMMYFUNCTION("""COMPUTED_VALUE"""),"2014/12/16")</f>
        <v>2014/12/16</v>
      </c>
      <c r="F8" s="34" t="str">
        <f>IFERROR(__xludf.DUMMYFUNCTION("""COMPUTED_VALUE"""),"AWS S3")</f>
        <v>AWS S3</v>
      </c>
      <c r="G8" s="34"/>
    </row>
    <row r="9">
      <c r="A9" s="34" t="str">
        <f>IFERROR(__xludf.DUMMYFUNCTION("""COMPUTED_VALUE"""),"モンストスタジオ")</f>
        <v>モンストスタジオ</v>
      </c>
      <c r="B9" s="34" t="str">
        <f>IFERROR(__xludf.DUMMYFUNCTION("""COMPUTED_VALUE"""),"新規事業推進室")</f>
        <v>新規事業推進室</v>
      </c>
      <c r="C9" s="68">
        <f>IFERROR(__xludf.DUMMYFUNCTION("""COMPUTED_VALUE"""),58.0)</f>
        <v>58</v>
      </c>
      <c r="D9" s="68">
        <f>IFERROR(__xludf.DUMMYFUNCTION("""COMPUTED_VALUE"""),103.0)</f>
        <v>103</v>
      </c>
      <c r="E9" s="34" t="str">
        <f>IFERROR(__xludf.DUMMYFUNCTION("""COMPUTED_VALUE"""),"2015/12/01")</f>
        <v>2015/12/01</v>
      </c>
      <c r="F9" s="34" t="str">
        <f>IFERROR(__xludf.DUMMYFUNCTION("""COMPUTED_VALUE"""),"AWS S3")</f>
        <v>AWS S3</v>
      </c>
      <c r="G9" s="34"/>
    </row>
    <row r="10">
      <c r="A10" s="34" t="str">
        <f>IFERROR(__xludf.DUMMYFUNCTION("""COMPUTED_VALUE"""),"モンストスタジオ")</f>
        <v>モンストスタジオ</v>
      </c>
      <c r="B10" s="34" t="str">
        <f>IFERROR(__xludf.DUMMYFUNCTION("""COMPUTED_VALUE"""),"システム開発部")</f>
        <v>システム開発部</v>
      </c>
      <c r="C10" s="68">
        <f>IFERROR(__xludf.DUMMYFUNCTION("""COMPUTED_VALUE"""),447.0)</f>
        <v>447</v>
      </c>
      <c r="D10" s="68">
        <f>IFERROR(__xludf.DUMMYFUNCTION("""COMPUTED_VALUE"""),4523.0)</f>
        <v>4523</v>
      </c>
      <c r="E10" s="34" t="str">
        <f>IFERROR(__xludf.DUMMYFUNCTION("""COMPUTED_VALUE"""),"2017/04/11")</f>
        <v>2017/04/11</v>
      </c>
      <c r="F10" s="34" t="str">
        <f>IFERROR(__xludf.DUMMYFUNCTION("""COMPUTED_VALUE"""),"AWS S3")</f>
        <v>AWS S3</v>
      </c>
      <c r="G10" s="34"/>
    </row>
    <row r="11">
      <c r="A11" s="34" t="str">
        <f>IFERROR(__xludf.DUMMYFUNCTION("""COMPUTED_VALUE"""),"モンストスタジオ")</f>
        <v>モンストスタジオ</v>
      </c>
      <c r="B11" s="34" t="str">
        <f>IFERROR(__xludf.DUMMYFUNCTION("""COMPUTED_VALUE"""),"メディアミックス部")</f>
        <v>メディアミックス部</v>
      </c>
      <c r="C11" s="68">
        <f>IFERROR(__xludf.DUMMYFUNCTION("""COMPUTED_VALUE"""),1626.0)</f>
        <v>1626</v>
      </c>
      <c r="D11" s="68">
        <f>IFERROR(__xludf.DUMMYFUNCTION("""COMPUTED_VALUE"""),10752.0)</f>
        <v>10752</v>
      </c>
      <c r="E11" s="34" t="str">
        <f>IFERROR(__xludf.DUMMYFUNCTION("""COMPUTED_VALUE"""),"2016/01/20")</f>
        <v>2016/01/20</v>
      </c>
      <c r="F11" s="34" t="str">
        <f>IFERROR(__xludf.DUMMYFUNCTION("""COMPUTED_VALUE"""),"AWS S3")</f>
        <v>AWS S3</v>
      </c>
      <c r="G11" s="34"/>
    </row>
    <row r="12">
      <c r="A12" s="34" t="str">
        <f>IFERROR(__xludf.DUMMYFUNCTION("""COMPUTED_VALUE"""),"モンストスタジオ")</f>
        <v>モンストスタジオ</v>
      </c>
      <c r="B12" s="34" t="str">
        <f>IFERROR(__xludf.DUMMYFUNCTION("""COMPUTED_VALUE"""),"マーケティング部")</f>
        <v>マーケティング部</v>
      </c>
      <c r="C12" s="68">
        <f>IFERROR(__xludf.DUMMYFUNCTION("""COMPUTED_VALUE"""),59696.0)</f>
        <v>59696</v>
      </c>
      <c r="D12" s="68">
        <f>IFERROR(__xludf.DUMMYFUNCTION("""COMPUTED_VALUE"""),263909.0)</f>
        <v>263909</v>
      </c>
      <c r="E12" s="34" t="str">
        <f>IFERROR(__xludf.DUMMYFUNCTION("""COMPUTED_VALUE"""),"2022/06/03")</f>
        <v>2022/06/03</v>
      </c>
      <c r="F12" s="34" t="str">
        <f>IFERROR(__xludf.DUMMYFUNCTION("""COMPUTED_VALUE"""),"AWS S3")</f>
        <v>AWS S3</v>
      </c>
      <c r="G12" s="34"/>
    </row>
    <row r="13">
      <c r="A13" s="34" t="str">
        <f>IFERROR(__xludf.DUMMYFUNCTION("""COMPUTED_VALUE"""),"モンストスタジオ")</f>
        <v>モンストスタジオ</v>
      </c>
      <c r="B13" s="34" t="str">
        <f>IFERROR(__xludf.DUMMYFUNCTION("""COMPUTED_VALUE"""),"本部共有")</f>
        <v>本部共有</v>
      </c>
      <c r="C13" s="68">
        <f>IFERROR(__xludf.DUMMYFUNCTION("""COMPUTED_VALUE"""),3062.0)</f>
        <v>3062</v>
      </c>
      <c r="D13" s="68">
        <f>IFERROR(__xludf.DUMMYFUNCTION("""COMPUTED_VALUE"""),143503.0)</f>
        <v>143503</v>
      </c>
      <c r="E13" s="34" t="str">
        <f>IFERROR(__xludf.DUMMYFUNCTION("""COMPUTED_VALUE"""),"2018/04/15")</f>
        <v>2018/04/15</v>
      </c>
      <c r="F13" s="34" t="str">
        <f>IFERROR(__xludf.DUMMYFUNCTION("""COMPUTED_VALUE"""),"AWS S3")</f>
        <v>AWS S3</v>
      </c>
      <c r="G13" s="34"/>
    </row>
    <row r="14">
      <c r="A14" s="34" t="str">
        <f>IFERROR(__xludf.DUMMYFUNCTION("""COMPUTED_VALUE"""),"ノハナ")</f>
        <v>ノハナ</v>
      </c>
      <c r="B14" s="34" t="str">
        <f>IFERROR(__xludf.DUMMYFUNCTION("""COMPUTED_VALUE"""),"全社共有")</f>
        <v>全社共有</v>
      </c>
      <c r="C14" s="68">
        <f>IFERROR(__xludf.DUMMYFUNCTION("""COMPUTED_VALUE"""),16182.0)</f>
        <v>16182</v>
      </c>
      <c r="D14" s="68">
        <f>IFERROR(__xludf.DUMMYFUNCTION("""COMPUTED_VALUE"""),185216.0)</f>
        <v>185216</v>
      </c>
      <c r="E14" s="34" t="str">
        <f>IFERROR(__xludf.DUMMYFUNCTION("""COMPUTED_VALUE"""),"2019/03/29")</f>
        <v>2019/03/29</v>
      </c>
      <c r="F14" s="34" t="str">
        <f>IFERROR(__xludf.DUMMYFUNCTION("""COMPUTED_VALUE"""),"AWS S3")</f>
        <v>AWS S3</v>
      </c>
      <c r="G14" s="34"/>
    </row>
    <row r="15">
      <c r="A15" s="34" t="str">
        <f>IFERROR(__xludf.DUMMYFUNCTION("""COMPUTED_VALUE"""),"人事本部")</f>
        <v>人事本部</v>
      </c>
      <c r="B15" s="34" t="str">
        <f>IFERROR(__xludf.DUMMYFUNCTION("""COMPUTED_VALUE"""),"労務部")</f>
        <v>労務部</v>
      </c>
      <c r="C15" s="68">
        <f>IFERROR(__xludf.DUMMYFUNCTION("""COMPUTED_VALUE"""),47.0)</f>
        <v>47</v>
      </c>
      <c r="D15" s="68">
        <f>IFERROR(__xludf.DUMMYFUNCTION("""COMPUTED_VALUE"""),1.0)</f>
        <v>1</v>
      </c>
      <c r="E15" s="34" t="str">
        <f>IFERROR(__xludf.DUMMYFUNCTION("""COMPUTED_VALUE"""),"×")</f>
        <v>×</v>
      </c>
      <c r="F15" s="34" t="str">
        <f>IFERROR(__xludf.DUMMYFUNCTION("""COMPUTED_VALUE"""),"AWS S3")</f>
        <v>AWS S3</v>
      </c>
      <c r="G15" s="34"/>
    </row>
    <row r="16">
      <c r="A16" s="34" t="str">
        <f>IFERROR(__xludf.DUMMYFUNCTION("""COMPUTED_VALUE"""),"人事本部")</f>
        <v>人事本部</v>
      </c>
      <c r="B16" s="34" t="str">
        <f>IFERROR(__xludf.DUMMYFUNCTION("""COMPUTED_VALUE"""),"人事企画部")</f>
        <v>人事企画部</v>
      </c>
      <c r="C16" s="68">
        <f>IFERROR(__xludf.DUMMYFUNCTION("""COMPUTED_VALUE"""),19.0)</f>
        <v>19</v>
      </c>
      <c r="D16" s="68">
        <f>IFERROR(__xludf.DUMMYFUNCTION("""COMPUTED_VALUE"""),26.0)</f>
        <v>26</v>
      </c>
      <c r="E16" s="34" t="str">
        <f>IFERROR(__xludf.DUMMYFUNCTION("""COMPUTED_VALUE"""),"2021/05/13")</f>
        <v>2021/05/13</v>
      </c>
      <c r="F16" s="34" t="str">
        <f>IFERROR(__xludf.DUMMYFUNCTION("""COMPUTED_VALUE"""),"AWS S3")</f>
        <v>AWS S3</v>
      </c>
      <c r="G16" s="34"/>
    </row>
    <row r="17">
      <c r="A17" s="34" t="str">
        <f>IFERROR(__xludf.DUMMYFUNCTION("""COMPUTED_VALUE"""),"人事本部")</f>
        <v>人事本部</v>
      </c>
      <c r="B17" s="34" t="str">
        <f>IFERROR(__xludf.DUMMYFUNCTION("""COMPUTED_VALUE"""),"人材採用部")</f>
        <v>人材採用部</v>
      </c>
      <c r="C17" s="68">
        <f>IFERROR(__xludf.DUMMYFUNCTION("""COMPUTED_VALUE"""),26.0)</f>
        <v>26</v>
      </c>
      <c r="D17" s="68">
        <f>IFERROR(__xludf.DUMMYFUNCTION("""COMPUTED_VALUE"""),30.0)</f>
        <v>30</v>
      </c>
      <c r="E17" s="34" t="str">
        <f>IFERROR(__xludf.DUMMYFUNCTION("""COMPUTED_VALUE"""),"2022/09/30")</f>
        <v>2022/09/30</v>
      </c>
      <c r="F17" s="34" t="str">
        <f>IFERROR(__xludf.DUMMYFUNCTION("""COMPUTED_VALUE"""),"AWS S3")</f>
        <v>AWS S3</v>
      </c>
      <c r="G17" s="34"/>
    </row>
    <row r="18">
      <c r="A18" s="34" t="str">
        <f>IFERROR(__xludf.DUMMYFUNCTION("""COMPUTED_VALUE"""),"人事本部")</f>
        <v>人事本部</v>
      </c>
      <c r="B18" s="34" t="str">
        <f>IFERROR(__xludf.DUMMYFUNCTION("""COMPUTED_VALUE"""),"人事部")</f>
        <v>人事部</v>
      </c>
      <c r="C18" s="68">
        <f>IFERROR(__xludf.DUMMYFUNCTION("""COMPUTED_VALUE"""),2477.0)</f>
        <v>2477</v>
      </c>
      <c r="D18" s="68">
        <f>IFERROR(__xludf.DUMMYFUNCTION("""COMPUTED_VALUE"""),15890.0)</f>
        <v>15890</v>
      </c>
      <c r="E18" s="34" t="str">
        <f>IFERROR(__xludf.DUMMYFUNCTION("""COMPUTED_VALUE"""),"2020/03/11")</f>
        <v>2020/03/11</v>
      </c>
      <c r="F18" s="34" t="str">
        <f>IFERROR(__xludf.DUMMYFUNCTION("""COMPUTED_VALUE"""),"AWS S3")</f>
        <v>AWS S3</v>
      </c>
      <c r="G18" s="34"/>
    </row>
    <row r="19">
      <c r="A19" s="34" t="str">
        <f>IFERROR(__xludf.DUMMYFUNCTION("""COMPUTED_VALUE"""),"コーポレートファイナンス本部")</f>
        <v>コーポレートファイナンス本部</v>
      </c>
      <c r="B19" s="34" t="str">
        <f>IFERROR(__xludf.DUMMYFUNCTION("""COMPUTED_VALUE"""),"財務企画部")</f>
        <v>財務企画部</v>
      </c>
      <c r="C19" s="68">
        <f>IFERROR(__xludf.DUMMYFUNCTION("""COMPUTED_VALUE"""),14.0)</f>
        <v>14</v>
      </c>
      <c r="D19" s="68">
        <f>IFERROR(__xludf.DUMMYFUNCTION("""COMPUTED_VALUE"""),24.0)</f>
        <v>24</v>
      </c>
      <c r="E19" s="34" t="str">
        <f>IFERROR(__xludf.DUMMYFUNCTION("""COMPUTED_VALUE"""),"×")</f>
        <v>×</v>
      </c>
      <c r="F19" s="34" t="str">
        <f>IFERROR(__xludf.DUMMYFUNCTION("""COMPUTED_VALUE"""),"AWS S3")</f>
        <v>AWS S3</v>
      </c>
      <c r="G19" s="34"/>
    </row>
    <row r="20">
      <c r="A20" s="34" t="str">
        <f>IFERROR(__xludf.DUMMYFUNCTION("""COMPUTED_VALUE"""),"経営企画室")</f>
        <v>経営企画室</v>
      </c>
      <c r="B20" s="34" t="str">
        <f>IFERROR(__xludf.DUMMYFUNCTION("""COMPUTED_VALUE"""),"室共有")</f>
        <v>室共有</v>
      </c>
      <c r="C20" s="68">
        <f>IFERROR(__xludf.DUMMYFUNCTION("""COMPUTED_VALUE"""),228.0)</f>
        <v>228</v>
      </c>
      <c r="D20" s="68">
        <f>IFERROR(__xludf.DUMMYFUNCTION("""COMPUTED_VALUE"""),1811.0)</f>
        <v>1811</v>
      </c>
      <c r="E20" s="34" t="str">
        <f>IFERROR(__xludf.DUMMYFUNCTION("""COMPUTED_VALUE"""),"2013/09/12")</f>
        <v>2013/09/12</v>
      </c>
      <c r="F20" s="34" t="str">
        <f>IFERROR(__xludf.DUMMYFUNCTION("""COMPUTED_VALUE"""),"AWS S3")</f>
        <v>AWS S3</v>
      </c>
      <c r="G20" s="34"/>
    </row>
    <row r="21">
      <c r="A21" s="34" t="str">
        <f>IFERROR(__xludf.DUMMYFUNCTION("""COMPUTED_VALUE"""),"マーケティング本部")</f>
        <v>マーケティング本部</v>
      </c>
      <c r="B21" s="34" t="str">
        <f>IFERROR(__xludf.DUMMYFUNCTION("""COMPUTED_VALUE"""),"マーケティング戦略室")</f>
        <v>マーケティング戦略室</v>
      </c>
      <c r="C21" s="68">
        <f>IFERROR(__xludf.DUMMYFUNCTION("""COMPUTED_VALUE"""),2792.0)</f>
        <v>2792</v>
      </c>
      <c r="D21" s="68">
        <f>IFERROR(__xludf.DUMMYFUNCTION("""COMPUTED_VALUE"""),13760.0)</f>
        <v>13760</v>
      </c>
      <c r="E21" s="34" t="str">
        <f>IFERROR(__xludf.DUMMYFUNCTION("""COMPUTED_VALUE"""),"2019/03/14")</f>
        <v>2019/03/14</v>
      </c>
      <c r="F21" s="34" t="str">
        <f>IFERROR(__xludf.DUMMYFUNCTION("""COMPUTED_VALUE"""),"AWS S3")</f>
        <v>AWS S3</v>
      </c>
      <c r="G21" s="34"/>
    </row>
    <row r="22">
      <c r="A22" s="34" t="str">
        <f>IFERROR(__xludf.DUMMYFUNCTION("""COMPUTED_VALUE"""),"デザイン本部")</f>
        <v>デザイン本部</v>
      </c>
      <c r="B22" s="34" t="str">
        <f>IFERROR(__xludf.DUMMYFUNCTION("""COMPUTED_VALUE"""),"制作室")</f>
        <v>制作室</v>
      </c>
      <c r="C22" s="68">
        <f>IFERROR(__xludf.DUMMYFUNCTION("""COMPUTED_VALUE"""),1044.0)</f>
        <v>1044</v>
      </c>
      <c r="D22" s="68">
        <f>IFERROR(__xludf.DUMMYFUNCTION("""COMPUTED_VALUE"""),245586.0)</f>
        <v>245586</v>
      </c>
      <c r="E22" s="34" t="str">
        <f>IFERROR(__xludf.DUMMYFUNCTION("""COMPUTED_VALUE"""),"2019/03/19")</f>
        <v>2019/03/19</v>
      </c>
      <c r="F22" s="34" t="str">
        <f>IFERROR(__xludf.DUMMYFUNCTION("""COMPUTED_VALUE"""),"AWS S3")</f>
        <v>AWS S3</v>
      </c>
      <c r="G22" s="34"/>
    </row>
    <row r="23">
      <c r="A23" s="34" t="str">
        <f>IFERROR(__xludf.DUMMYFUNCTION("""COMPUTED_VALUE"""),"デザイン本部")</f>
        <v>デザイン本部</v>
      </c>
      <c r="B23" s="34" t="str">
        <f>IFERROR(__xludf.DUMMYFUNCTION("""COMPUTED_VALUE"""),"プロダクトデザイン室")</f>
        <v>プロダクトデザイン室</v>
      </c>
      <c r="C23" s="68">
        <f>IFERROR(__xludf.DUMMYFUNCTION("""COMPUTED_VALUE"""),43.0)</f>
        <v>43</v>
      </c>
      <c r="D23" s="68">
        <f>IFERROR(__xludf.DUMMYFUNCTION("""COMPUTED_VALUE"""),2.0)</f>
        <v>2</v>
      </c>
      <c r="E23" s="34" t="str">
        <f>IFERROR(__xludf.DUMMYFUNCTION("""COMPUTED_VALUE"""),"×")</f>
        <v>×</v>
      </c>
      <c r="F23" s="34" t="str">
        <f>IFERROR(__xludf.DUMMYFUNCTION("""COMPUTED_VALUE"""),"AWS S3")</f>
        <v>AWS S3</v>
      </c>
      <c r="G23" s="34"/>
    </row>
    <row r="24">
      <c r="A24" s="34" t="str">
        <f>IFERROR(__xludf.DUMMYFUNCTION("""COMPUTED_VALUE"""),"デザイン本部")</f>
        <v>デザイン本部</v>
      </c>
      <c r="B24" s="34" t="str">
        <f>IFERROR(__xludf.DUMMYFUNCTION("""COMPUTED_VALUE"""),"XFLAGデザイン室")</f>
        <v>XFLAGデザイン室</v>
      </c>
      <c r="C24" s="68">
        <f>IFERROR(__xludf.DUMMYFUNCTION("""COMPUTED_VALUE"""),46.0)</f>
        <v>46</v>
      </c>
      <c r="D24" s="68">
        <f>IFERROR(__xludf.DUMMYFUNCTION("""COMPUTED_VALUE"""),7.0)</f>
        <v>7</v>
      </c>
      <c r="E24" s="34" t="str">
        <f>IFERROR(__xludf.DUMMYFUNCTION("""COMPUTED_VALUE"""),"2018/12/20")</f>
        <v>2018/12/20</v>
      </c>
      <c r="F24" s="34" t="str">
        <f>IFERROR(__xludf.DUMMYFUNCTION("""COMPUTED_VALUE"""),"AWS S3")</f>
        <v>AWS S3</v>
      </c>
      <c r="G24" s="34"/>
    </row>
    <row r="25">
      <c r="A25" s="34" t="str">
        <f>IFERROR(__xludf.DUMMYFUNCTION("""COMPUTED_VALUE"""),"デザイン本部")</f>
        <v>デザイン本部</v>
      </c>
      <c r="B25" s="34" t="str">
        <f>IFERROR(__xludf.DUMMYFUNCTION("""COMPUTED_VALUE"""),"XFLAG PICTURES")</f>
        <v>XFLAG PICTURES</v>
      </c>
      <c r="C25" s="68">
        <f>IFERROR(__xludf.DUMMYFUNCTION("""COMPUTED_VALUE"""),366.0)</f>
        <v>366</v>
      </c>
      <c r="D25" s="68">
        <f>IFERROR(__xludf.DUMMYFUNCTION("""COMPUTED_VALUE"""),624.0)</f>
        <v>624</v>
      </c>
      <c r="E25" s="34" t="str">
        <f>IFERROR(__xludf.DUMMYFUNCTION("""COMPUTED_VALUE"""),"2021/01/06")</f>
        <v>2021/01/06</v>
      </c>
      <c r="F25" s="34" t="str">
        <f>IFERROR(__xludf.DUMMYFUNCTION("""COMPUTED_VALUE"""),"AWS S3")</f>
        <v>AWS S3</v>
      </c>
      <c r="G25" s="34"/>
    </row>
    <row r="26">
      <c r="A26" s="34" t="str">
        <f>IFERROR(__xludf.DUMMYFUNCTION("""COMPUTED_VALUE"""),"エックスフラッグスタジオ本部")</f>
        <v>エックスフラッグスタジオ本部</v>
      </c>
      <c r="B26" s="34" t="str">
        <f>IFERROR(__xludf.DUMMYFUNCTION("""COMPUTED_VALUE"""),"アドテク部")</f>
        <v>アドテク部</v>
      </c>
      <c r="C26" s="68">
        <f>IFERROR(__xludf.DUMMYFUNCTION("""COMPUTED_VALUE"""),13.0)</f>
        <v>13</v>
      </c>
      <c r="D26" s="68">
        <f>IFERROR(__xludf.DUMMYFUNCTION("""COMPUTED_VALUE"""),4.0)</f>
        <v>4</v>
      </c>
      <c r="E26" s="34" t="str">
        <f>IFERROR(__xludf.DUMMYFUNCTION("""COMPUTED_VALUE"""),"2016/07/05")</f>
        <v>2016/07/05</v>
      </c>
      <c r="F26" s="34" t="str">
        <f>IFERROR(__xludf.DUMMYFUNCTION("""COMPUTED_VALUE"""),"AWS S3")</f>
        <v>AWS S3</v>
      </c>
      <c r="G26" s="34"/>
    </row>
    <row r="27">
      <c r="A27" s="34" t="str">
        <f>IFERROR(__xludf.DUMMYFUNCTION("""COMPUTED_VALUE"""),"エックスフラッグスタジオ本部")</f>
        <v>エックスフラッグスタジオ本部</v>
      </c>
      <c r="B27" s="34" t="str">
        <f>IFERROR(__xludf.DUMMYFUNCTION("""COMPUTED_VALUE"""),"企画・運用部")</f>
        <v>企画・運用部</v>
      </c>
      <c r="C27" s="68">
        <f>IFERROR(__xludf.DUMMYFUNCTION("""COMPUTED_VALUE"""),4363.0)</f>
        <v>4363</v>
      </c>
      <c r="D27" s="68">
        <f>IFERROR(__xludf.DUMMYFUNCTION("""COMPUTED_VALUE"""),29376.0)</f>
        <v>29376</v>
      </c>
      <c r="E27" s="34" t="str">
        <f>IFERROR(__xludf.DUMMYFUNCTION("""COMPUTED_VALUE"""),"2020/04/02")</f>
        <v>2020/04/02</v>
      </c>
      <c r="F27" s="34" t="str">
        <f>IFERROR(__xludf.DUMMYFUNCTION("""COMPUTED_VALUE"""),"AWS S3")</f>
        <v>AWS S3</v>
      </c>
      <c r="G27" s="34"/>
    </row>
    <row r="28">
      <c r="A28" s="34" t="str">
        <f>IFERROR(__xludf.DUMMYFUNCTION("""COMPUTED_VALUE"""),"エックスフラッグスタジオ本部")</f>
        <v>エックスフラッグスタジオ本部</v>
      </c>
      <c r="B28" s="34" t="str">
        <f>IFERROR(__xludf.DUMMYFUNCTION("""COMPUTED_VALUE"""),"海外運用部")</f>
        <v>海外運用部</v>
      </c>
      <c r="C28" s="68">
        <f>IFERROR(__xludf.DUMMYFUNCTION("""COMPUTED_VALUE"""),43.0)</f>
        <v>43</v>
      </c>
      <c r="D28" s="68">
        <f>IFERROR(__xludf.DUMMYFUNCTION("""COMPUTED_VALUE"""),2.0)</f>
        <v>2</v>
      </c>
      <c r="E28" s="34" t="str">
        <f>IFERROR(__xludf.DUMMYFUNCTION("""COMPUTED_VALUE"""),"2017/10/24")</f>
        <v>2017/10/24</v>
      </c>
      <c r="F28" s="34" t="str">
        <f>IFERROR(__xludf.DUMMYFUNCTION("""COMPUTED_VALUE"""),"AWS S3")</f>
        <v>AWS S3</v>
      </c>
      <c r="G28" s="34"/>
    </row>
    <row r="29">
      <c r="A29" s="34" t="str">
        <f>IFERROR(__xludf.DUMMYFUNCTION("""COMPUTED_VALUE"""),"エックスフラッグスタジオ本部")</f>
        <v>エックスフラッグスタジオ本部</v>
      </c>
      <c r="B29" s="34" t="str">
        <f>IFERROR(__xludf.DUMMYFUNCTION("""COMPUTED_VALUE"""),"XFLAG MOBILE")</f>
        <v>XFLAG MOBILE</v>
      </c>
      <c r="C29" s="68">
        <f>IFERROR(__xludf.DUMMYFUNCTION("""COMPUTED_VALUE"""),44.0)</f>
        <v>44</v>
      </c>
      <c r="D29" s="68">
        <f>IFERROR(__xludf.DUMMYFUNCTION("""COMPUTED_VALUE"""),12.0)</f>
        <v>12</v>
      </c>
      <c r="E29" s="34" t="str">
        <f>IFERROR(__xludf.DUMMYFUNCTION("""COMPUTED_VALUE"""),"2022/03/15")</f>
        <v>2022/03/15</v>
      </c>
      <c r="F29" s="34" t="str">
        <f>IFERROR(__xludf.DUMMYFUNCTION("""COMPUTED_VALUE"""),"AWS S3")</f>
        <v>AWS S3</v>
      </c>
      <c r="G29" s="34"/>
    </row>
    <row r="30">
      <c r="A30" s="34" t="str">
        <f>IFERROR(__xludf.DUMMYFUNCTION("""COMPUTED_VALUE"""),"エックスフラッグスタジオ本部")</f>
        <v>エックスフラッグスタジオ本部</v>
      </c>
      <c r="B30" s="34" t="str">
        <f>IFERROR(__xludf.DUMMYFUNCTION("""COMPUTED_VALUE"""),"新規事業推進室")</f>
        <v>新規事業推進室</v>
      </c>
      <c r="C30" s="68">
        <f>IFERROR(__xludf.DUMMYFUNCTION("""COMPUTED_VALUE"""),655.0)</f>
        <v>655</v>
      </c>
      <c r="D30" s="68">
        <f>IFERROR(__xludf.DUMMYFUNCTION("""COMPUTED_VALUE"""),2379.0)</f>
        <v>2379</v>
      </c>
      <c r="E30" s="34" t="str">
        <f>IFERROR(__xludf.DUMMYFUNCTION("""COMPUTED_VALUE"""),"2017/11/30")</f>
        <v>2017/11/30</v>
      </c>
      <c r="F30" s="34" t="str">
        <f>IFERROR(__xludf.DUMMYFUNCTION("""COMPUTED_VALUE"""),"AWS S3")</f>
        <v>AWS S3</v>
      </c>
      <c r="G30" s="34"/>
    </row>
    <row r="31">
      <c r="A31" s="34" t="str">
        <f>IFERROR(__xludf.DUMMYFUNCTION("""COMPUTED_VALUE"""),"エックスフラッグスタジオ本部")</f>
        <v>エックスフラッグスタジオ本部</v>
      </c>
      <c r="B31" s="34" t="str">
        <f>IFERROR(__xludf.DUMMYFUNCTION("""COMPUTED_VALUE"""),"XFLAG GAMES")</f>
        <v>XFLAG GAMES</v>
      </c>
      <c r="C31" s="68">
        <f>IFERROR(__xludf.DUMMYFUNCTION("""COMPUTED_VALUE"""),73077.0)</f>
        <v>73077</v>
      </c>
      <c r="D31" s="68">
        <f>IFERROR(__xludf.DUMMYFUNCTION("""COMPUTED_VALUE"""),374524.0)</f>
        <v>374524</v>
      </c>
      <c r="E31" s="34" t="str">
        <f>IFERROR(__xludf.DUMMYFUNCTION("""COMPUTED_VALUE"""),"2022/06/03")</f>
        <v>2022/06/03</v>
      </c>
      <c r="F31" s="34" t="str">
        <f>IFERROR(__xludf.DUMMYFUNCTION("""COMPUTED_VALUE"""),"AWS S3")</f>
        <v>AWS S3</v>
      </c>
      <c r="G31" s="34"/>
    </row>
    <row r="32">
      <c r="A32" s="34" t="str">
        <f>IFERROR(__xludf.DUMMYFUNCTION("""COMPUTED_VALUE"""),"エックスフラッグスタジオ本部")</f>
        <v>エックスフラッグスタジオ本部</v>
      </c>
      <c r="B32" s="34" t="str">
        <f>IFERROR(__xludf.DUMMYFUNCTION("""COMPUTED_VALUE"""),"システム開発部")</f>
        <v>システム開発部</v>
      </c>
      <c r="C32" s="68">
        <f>IFERROR(__xludf.DUMMYFUNCTION("""COMPUTED_VALUE"""),3134.0)</f>
        <v>3134</v>
      </c>
      <c r="D32" s="68">
        <f>IFERROR(__xludf.DUMMYFUNCTION("""COMPUTED_VALUE"""),10851.0)</f>
        <v>10851</v>
      </c>
      <c r="E32" s="34" t="str">
        <f>IFERROR(__xludf.DUMMYFUNCTION("""COMPUTED_VALUE"""),"2017/12/05")</f>
        <v>2017/12/05</v>
      </c>
      <c r="F32" s="34" t="str">
        <f>IFERROR(__xludf.DUMMYFUNCTION("""COMPUTED_VALUE"""),"AWS S3")</f>
        <v>AWS S3</v>
      </c>
      <c r="G32" s="34"/>
    </row>
    <row r="33">
      <c r="A33" s="34" t="str">
        <f>IFERROR(__xludf.DUMMYFUNCTION("""COMPUTED_VALUE"""),"エックスフラッグスタジオ本部")</f>
        <v>エックスフラッグスタジオ本部</v>
      </c>
      <c r="B33" s="34" t="str">
        <f>IFERROR(__xludf.DUMMYFUNCTION("""COMPUTED_VALUE"""),"秘書室")</f>
        <v>秘書室</v>
      </c>
      <c r="C33" s="68">
        <f>IFERROR(__xludf.DUMMYFUNCTION("""COMPUTED_VALUE"""),1320.0)</f>
        <v>1320</v>
      </c>
      <c r="D33" s="68">
        <f>IFERROR(__xludf.DUMMYFUNCTION("""COMPUTED_VALUE"""),6901.0)</f>
        <v>6901</v>
      </c>
      <c r="E33" s="34" t="str">
        <f>IFERROR(__xludf.DUMMYFUNCTION("""COMPUTED_VALUE"""),"2018/10/25")</f>
        <v>2018/10/25</v>
      </c>
      <c r="F33" s="34" t="str">
        <f>IFERROR(__xludf.DUMMYFUNCTION("""COMPUTED_VALUE"""),"AWS S3")</f>
        <v>AWS S3</v>
      </c>
      <c r="G33" s="34"/>
    </row>
    <row r="34">
      <c r="A34" s="34" t="str">
        <f>IFERROR(__xludf.DUMMYFUNCTION("""COMPUTED_VALUE"""),"エックスフラッグスタジオ本部")</f>
        <v>エックスフラッグスタジオ本部</v>
      </c>
      <c r="B34" s="34" t="str">
        <f>IFERROR(__xludf.DUMMYFUNCTION("""COMPUTED_VALUE"""),"メディアミックス部")</f>
        <v>メディアミックス部</v>
      </c>
      <c r="C34" s="68">
        <f>IFERROR(__xludf.DUMMYFUNCTION("""COMPUTED_VALUE"""),2498.0)</f>
        <v>2498</v>
      </c>
      <c r="D34" s="68">
        <f>IFERROR(__xludf.DUMMYFUNCTION("""COMPUTED_VALUE"""),19384.0)</f>
        <v>19384</v>
      </c>
      <c r="E34" s="34" t="str">
        <f>IFERROR(__xludf.DUMMYFUNCTION("""COMPUTED_VALUE"""),"2017/07/06")</f>
        <v>2017/07/06</v>
      </c>
      <c r="F34" s="34" t="str">
        <f>IFERROR(__xludf.DUMMYFUNCTION("""COMPUTED_VALUE"""),"AWS S3")</f>
        <v>AWS S3</v>
      </c>
      <c r="G34" s="34"/>
    </row>
    <row r="35">
      <c r="A35" s="34" t="str">
        <f>IFERROR(__xludf.DUMMYFUNCTION("""COMPUTED_VALUE"""),"エックスフラッグスタジオ本部")</f>
        <v>エックスフラッグスタジオ本部</v>
      </c>
      <c r="B35" s="34" t="str">
        <f>IFERROR(__xludf.DUMMYFUNCTION("""COMPUTED_VALUE"""),"マーケティング部")</f>
        <v>マーケティング部</v>
      </c>
      <c r="C35" s="68">
        <f>IFERROR(__xludf.DUMMYFUNCTION("""COMPUTED_VALUE"""),8222.0)</f>
        <v>8222</v>
      </c>
      <c r="D35" s="68">
        <f>IFERROR(__xludf.DUMMYFUNCTION("""COMPUTED_VALUE"""),73682.0)</f>
        <v>73682</v>
      </c>
      <c r="E35" s="34" t="str">
        <f>IFERROR(__xludf.DUMMYFUNCTION("""COMPUTED_VALUE"""),"2022/06/03")</f>
        <v>2022/06/03</v>
      </c>
      <c r="F35" s="34" t="str">
        <f>IFERROR(__xludf.DUMMYFUNCTION("""COMPUTED_VALUE"""),"AWS S3")</f>
        <v>AWS S3</v>
      </c>
      <c r="G35" s="34"/>
    </row>
    <row r="36">
      <c r="A36" s="34" t="str">
        <f>IFERROR(__xludf.DUMMYFUNCTION("""COMPUTED_VALUE"""),"エックスフラッグスタジオ本部")</f>
        <v>エックスフラッグスタジオ本部</v>
      </c>
      <c r="B36" s="34" t="str">
        <f>IFERROR(__xludf.DUMMYFUNCTION("""COMPUTED_VALUE"""),"ゲーム開発室")</f>
        <v>ゲーム開発室</v>
      </c>
      <c r="C36" s="68">
        <f>IFERROR(__xludf.DUMMYFUNCTION("""COMPUTED_VALUE"""),27.0)</f>
        <v>27</v>
      </c>
      <c r="D36" s="68">
        <f>IFERROR(__xludf.DUMMYFUNCTION("""COMPUTED_VALUE"""),20.0)</f>
        <v>20</v>
      </c>
      <c r="E36" s="34" t="str">
        <f>IFERROR(__xludf.DUMMYFUNCTION("""COMPUTED_VALUE"""),"2016/09/23")</f>
        <v>2016/09/23</v>
      </c>
      <c r="F36" s="34" t="str">
        <f>IFERROR(__xludf.DUMMYFUNCTION("""COMPUTED_VALUE"""),"AWS S3")</f>
        <v>AWS S3</v>
      </c>
      <c r="G36" s="34"/>
    </row>
    <row r="37">
      <c r="A37" s="34" t="str">
        <f>IFERROR(__xludf.DUMMYFUNCTION("""COMPUTED_VALUE"""),"エックスフラッグスタジオ本部")</f>
        <v>エックスフラッグスタジオ本部</v>
      </c>
      <c r="B37" s="34" t="str">
        <f>IFERROR(__xludf.DUMMYFUNCTION("""COMPUTED_VALUE"""),"本部共有")</f>
        <v>本部共有</v>
      </c>
      <c r="C37" s="68">
        <f>IFERROR(__xludf.DUMMYFUNCTION("""COMPUTED_VALUE"""),46864.0)</f>
        <v>46864</v>
      </c>
      <c r="D37" s="68">
        <f>IFERROR(__xludf.DUMMYFUNCTION("""COMPUTED_VALUE"""),315041.0)</f>
        <v>315041</v>
      </c>
      <c r="E37" s="34" t="str">
        <f>IFERROR(__xludf.DUMMYFUNCTION("""COMPUTED_VALUE"""),"2022/06/03")</f>
        <v>2022/06/03</v>
      </c>
      <c r="F37" s="34" t="str">
        <f>IFERROR(__xludf.DUMMYFUNCTION("""COMPUTED_VALUE"""),"AWS S3")</f>
        <v>AWS S3</v>
      </c>
      <c r="G37" s="34"/>
    </row>
    <row r="38">
      <c r="A38" s="34" t="str">
        <f>IFERROR(__xludf.DUMMYFUNCTION("""COMPUTED_VALUE"""),"エックスフラッグスタジオ本部")</f>
        <v>エックスフラッグスタジオ本部</v>
      </c>
      <c r="B38" s="34" t="str">
        <f>IFERROR(__xludf.DUMMYFUNCTION("""COMPUTED_VALUE"""),"XFLAG ENTERTAINMENT")</f>
        <v>XFLAG ENTERTAINMENT</v>
      </c>
      <c r="C38" s="68">
        <f>IFERROR(__xludf.DUMMYFUNCTION("""COMPUTED_VALUE"""),16577.0)</f>
        <v>16577</v>
      </c>
      <c r="D38" s="68">
        <f>IFERROR(__xludf.DUMMYFUNCTION("""COMPUTED_VALUE"""),215180.0)</f>
        <v>215180</v>
      </c>
      <c r="E38" s="34" t="str">
        <f>IFERROR(__xludf.DUMMYFUNCTION("""COMPUTED_VALUE"""),"2021/05/12")</f>
        <v>2021/05/12</v>
      </c>
      <c r="F38" s="34" t="str">
        <f>IFERROR(__xludf.DUMMYFUNCTION("""COMPUTED_VALUE"""),"AWS S3")</f>
        <v>AWS S3</v>
      </c>
      <c r="G38" s="34"/>
    </row>
    <row r="39">
      <c r="A39" s="34" t="str">
        <f>IFERROR(__xludf.DUMMYFUNCTION("""COMPUTED_VALUE"""),"エックスフラッグスタジオ本部")</f>
        <v>エックスフラッグスタジオ本部</v>
      </c>
      <c r="B39" s="34" t="str">
        <f>IFERROR(__xludf.DUMMYFUNCTION("""COMPUTED_VALUE"""),"MTP推進室")</f>
        <v>MTP推進室</v>
      </c>
      <c r="C39" s="68">
        <f>IFERROR(__xludf.DUMMYFUNCTION("""COMPUTED_VALUE"""),11.0)</f>
        <v>11</v>
      </c>
      <c r="D39" s="68">
        <f>IFERROR(__xludf.DUMMYFUNCTION("""COMPUTED_VALUE"""),29.0)</f>
        <v>29</v>
      </c>
      <c r="E39" s="34" t="str">
        <f>IFERROR(__xludf.DUMMYFUNCTION("""COMPUTED_VALUE"""),"2016/09/07")</f>
        <v>2016/09/07</v>
      </c>
      <c r="F39" s="34" t="str">
        <f>IFERROR(__xludf.DUMMYFUNCTION("""COMPUTED_VALUE"""),"AWS S3")</f>
        <v>AWS S3</v>
      </c>
      <c r="G39" s="34"/>
    </row>
    <row r="40">
      <c r="A40" s="34" t="str">
        <f>IFERROR(__xludf.DUMMYFUNCTION("""COMPUTED_VALUE"""),"エックスフラッグスタジオ本部")</f>
        <v>エックスフラッグスタジオ本部</v>
      </c>
      <c r="B40" s="34" t="str">
        <f>IFERROR(__xludf.DUMMYFUNCTION("""COMPUTED_VALUE"""),"XFLAG ARTS")</f>
        <v>XFLAG ARTS</v>
      </c>
      <c r="C40" s="68">
        <f>IFERROR(__xludf.DUMMYFUNCTION("""COMPUTED_VALUE"""),8997.0)</f>
        <v>8997</v>
      </c>
      <c r="D40" s="68">
        <f>IFERROR(__xludf.DUMMYFUNCTION("""COMPUTED_VALUE"""),106583.0)</f>
        <v>106583</v>
      </c>
      <c r="E40" s="34" t="str">
        <f>IFERROR(__xludf.DUMMYFUNCTION("""COMPUTED_VALUE"""),"2020/10/02")</f>
        <v>2020/10/02</v>
      </c>
      <c r="F40" s="34" t="str">
        <f>IFERROR(__xludf.DUMMYFUNCTION("""COMPUTED_VALUE"""),"AWS S3")</f>
        <v>AWS S3</v>
      </c>
      <c r="G40" s="34"/>
    </row>
    <row r="41">
      <c r="A41" s="34" t="str">
        <f>IFERROR(__xludf.DUMMYFUNCTION("""COMPUTED_VALUE"""),"社長本部")</f>
        <v>社長本部</v>
      </c>
      <c r="B41" s="34" t="str">
        <f>IFERROR(__xludf.DUMMYFUNCTION("""COMPUTED_VALUE"""),"スポーツギフティング部")</f>
        <v>スポーツギフティング部</v>
      </c>
      <c r="C41" s="68">
        <f>IFERROR(__xludf.DUMMYFUNCTION("""COMPUTED_VALUE"""),583.0)</f>
        <v>583</v>
      </c>
      <c r="D41" s="68">
        <f>IFERROR(__xludf.DUMMYFUNCTION("""COMPUTED_VALUE"""),10814.0)</f>
        <v>10814</v>
      </c>
      <c r="E41" s="34" t="str">
        <f>IFERROR(__xludf.DUMMYFUNCTION("""COMPUTED_VALUE"""),"2019/07/11")</f>
        <v>2019/07/11</v>
      </c>
      <c r="F41" s="34" t="str">
        <f>IFERROR(__xludf.DUMMYFUNCTION("""COMPUTED_VALUE"""),"AWS S3")</f>
        <v>AWS S3</v>
      </c>
      <c r="G41" s="34"/>
    </row>
    <row r="42">
      <c r="A42" s="34" t="str">
        <f>IFERROR(__xludf.DUMMYFUNCTION("""COMPUTED_VALUE"""),"社長本部")</f>
        <v>社長本部</v>
      </c>
      <c r="B42" s="34" t="str">
        <f>IFERROR(__xludf.DUMMYFUNCTION("""COMPUTED_VALUE"""),"コーポレートコミュニケーション部")</f>
        <v>コーポレートコミュニケーション部</v>
      </c>
      <c r="C42" s="68">
        <f>IFERROR(__xludf.DUMMYFUNCTION("""COMPUTED_VALUE"""),149.0)</f>
        <v>149</v>
      </c>
      <c r="D42" s="68">
        <f>IFERROR(__xludf.DUMMYFUNCTION("""COMPUTED_VALUE"""),868.0)</f>
        <v>868</v>
      </c>
      <c r="E42" s="34" t="str">
        <f>IFERROR(__xludf.DUMMYFUNCTION("""COMPUTED_VALUE"""),"2020/02/25")</f>
        <v>2020/02/25</v>
      </c>
      <c r="F42" s="34" t="str">
        <f>IFERROR(__xludf.DUMMYFUNCTION("""COMPUTED_VALUE"""),"AWS S3")</f>
        <v>AWS S3</v>
      </c>
      <c r="G42" s="34"/>
    </row>
    <row r="43">
      <c r="A43" s="34" t="str">
        <f>IFERROR(__xludf.DUMMYFUNCTION("""COMPUTED_VALUE"""),"社長本部")</f>
        <v>社長本部</v>
      </c>
      <c r="B43" s="34" t="str">
        <f>IFERROR(__xludf.DUMMYFUNCTION("""COMPUTED_VALUE"""),"スポーツマーケティング室")</f>
        <v>スポーツマーケティング室</v>
      </c>
      <c r="C43" s="68">
        <f>IFERROR(__xludf.DUMMYFUNCTION("""COMPUTED_VALUE"""),307.0)</f>
        <v>307</v>
      </c>
      <c r="D43" s="68">
        <f>IFERROR(__xludf.DUMMYFUNCTION("""COMPUTED_VALUE"""),15810.0)</f>
        <v>15810</v>
      </c>
      <c r="E43" s="34" t="str">
        <f>IFERROR(__xludf.DUMMYFUNCTION("""COMPUTED_VALUE"""),"2020/07/29")</f>
        <v>2020/07/29</v>
      </c>
      <c r="F43" s="34" t="str">
        <f>IFERROR(__xludf.DUMMYFUNCTION("""COMPUTED_VALUE"""),"AWS S3")</f>
        <v>AWS S3</v>
      </c>
      <c r="G43" s="34"/>
    </row>
    <row r="44">
      <c r="A44" s="34" t="str">
        <f>IFERROR(__xludf.DUMMYFUNCTION("""COMPUTED_VALUE"""),"開発本部")</f>
        <v>開発本部</v>
      </c>
      <c r="B44" s="34" t="str">
        <f>IFERROR(__xludf.DUMMYFUNCTION("""COMPUTED_VALUE"""),"CTO室")</f>
        <v>CTO室</v>
      </c>
      <c r="C44" s="68">
        <f>IFERROR(__xludf.DUMMYFUNCTION("""COMPUTED_VALUE"""),44.0)</f>
        <v>44</v>
      </c>
      <c r="D44" s="68">
        <f>IFERROR(__xludf.DUMMYFUNCTION("""COMPUTED_VALUE"""),2.0)</f>
        <v>2</v>
      </c>
      <c r="E44" s="34" t="str">
        <f>IFERROR(__xludf.DUMMYFUNCTION("""COMPUTED_VALUE"""),"×")</f>
        <v>×</v>
      </c>
      <c r="F44" s="34" t="str">
        <f>IFERROR(__xludf.DUMMYFUNCTION("""COMPUTED_VALUE"""),"AWS S3")</f>
        <v>AWS S3</v>
      </c>
      <c r="G44" s="34"/>
    </row>
    <row r="45">
      <c r="A45" s="34" t="str">
        <f>IFERROR(__xludf.DUMMYFUNCTION("""COMPUTED_VALUE"""),"FindJob事業部")</f>
        <v>FindJob事業部</v>
      </c>
      <c r="B45" s="34" t="str">
        <f>IFERROR(__xludf.DUMMYFUNCTION("""COMPUTED_VALUE"""),"移管用")</f>
        <v>移管用</v>
      </c>
      <c r="C45" s="68">
        <f>IFERROR(__xludf.DUMMYFUNCTION("""COMPUTED_VALUE"""),27456.0)</f>
        <v>27456</v>
      </c>
      <c r="D45" s="68">
        <f>IFERROR(__xludf.DUMMYFUNCTION("""COMPUTED_VALUE"""),273316.0)</f>
        <v>273316</v>
      </c>
      <c r="E45" s="34" t="str">
        <f>IFERROR(__xludf.DUMMYFUNCTION("""COMPUTED_VALUE"""),"2017/01/20")</f>
        <v>2017/01/20</v>
      </c>
      <c r="F45" s="34" t="str">
        <f>IFERROR(__xludf.DUMMYFUNCTION("""COMPUTED_VALUE"""),"AWS S3")</f>
        <v>AWS S3</v>
      </c>
      <c r="G45" s="34"/>
    </row>
    <row r="46">
      <c r="A46" s="34" t="str">
        <f>IFERROR(__xludf.DUMMYFUNCTION("""COMPUTED_VALUE"""),"スマートヘルス事業部")</f>
        <v>スマートヘルス事業部</v>
      </c>
      <c r="B46" s="34" t="str">
        <f>IFERROR(__xludf.DUMMYFUNCTION("""COMPUTED_VALUE"""),"技術G")</f>
        <v>技術G</v>
      </c>
      <c r="C46" s="68">
        <f>IFERROR(__xludf.DUMMYFUNCTION("""COMPUTED_VALUE"""),3.0)</f>
        <v>3</v>
      </c>
      <c r="D46" s="68">
        <f>IFERROR(__xludf.DUMMYFUNCTION("""COMPUTED_VALUE"""),1.0)</f>
        <v>1</v>
      </c>
      <c r="E46" s="34" t="str">
        <f>IFERROR(__xludf.DUMMYFUNCTION("""COMPUTED_VALUE"""),"×")</f>
        <v>×</v>
      </c>
      <c r="F46" s="34" t="str">
        <f>IFERROR(__xludf.DUMMYFUNCTION("""COMPUTED_VALUE"""),"AWS S3")</f>
        <v>AWS S3</v>
      </c>
      <c r="G46" s="34"/>
    </row>
    <row r="47">
      <c r="A47" s="34" t="str">
        <f>IFERROR(__xludf.DUMMYFUNCTION("""COMPUTED_VALUE"""),"システム本部")</f>
        <v>システム本部</v>
      </c>
      <c r="B47" s="34" t="str">
        <f>IFERROR(__xludf.DUMMYFUNCTION("""COMPUTED_VALUE"""),"運用部")</f>
        <v>運用部</v>
      </c>
      <c r="C47" s="68">
        <f>IFERROR(__xludf.DUMMYFUNCTION("""COMPUTED_VALUE"""),8258.0)</f>
        <v>8258</v>
      </c>
      <c r="D47" s="68">
        <f>IFERROR(__xludf.DUMMYFUNCTION("""COMPUTED_VALUE"""),60196.0)</f>
        <v>60196</v>
      </c>
      <c r="E47" s="34" t="str">
        <f>IFERROR(__xludf.DUMMYFUNCTION("""COMPUTED_VALUE"""),"2016/10/12")</f>
        <v>2016/10/12</v>
      </c>
      <c r="F47" s="34" t="str">
        <f>IFERROR(__xludf.DUMMYFUNCTION("""COMPUTED_VALUE"""),"AWS S3")</f>
        <v>AWS S3</v>
      </c>
      <c r="G47" s="34"/>
    </row>
    <row r="48">
      <c r="A48" s="34" t="str">
        <f>IFERROR(__xludf.DUMMYFUNCTION("""COMPUTED_VALUE"""),"システム本部")</f>
        <v>システム本部</v>
      </c>
      <c r="B48" s="34" t="str">
        <f>IFERROR(__xludf.DUMMYFUNCTION("""COMPUTED_VALUE"""),"技術部")</f>
        <v>技術部</v>
      </c>
      <c r="C48" s="68">
        <f>IFERROR(__xludf.DUMMYFUNCTION("""COMPUTED_VALUE"""),3118.0)</f>
        <v>3118</v>
      </c>
      <c r="D48" s="68">
        <f>IFERROR(__xludf.DUMMYFUNCTION("""COMPUTED_VALUE"""),34642.0)</f>
        <v>34642</v>
      </c>
      <c r="E48" s="34" t="str">
        <f>IFERROR(__xludf.DUMMYFUNCTION("""COMPUTED_VALUE"""),"2017/09/11")</f>
        <v>2017/09/11</v>
      </c>
      <c r="F48" s="34" t="str">
        <f>IFERROR(__xludf.DUMMYFUNCTION("""COMPUTED_VALUE"""),"AWS S3")</f>
        <v>AWS S3</v>
      </c>
      <c r="G48" s="34"/>
    </row>
    <row r="49">
      <c r="A49" s="34" t="str">
        <f>IFERROR(__xludf.DUMMYFUNCTION("""COMPUTED_VALUE"""),"システム本部")</f>
        <v>システム本部</v>
      </c>
      <c r="B49" s="34" t="str">
        <f>IFERROR(__xludf.DUMMYFUNCTION("""COMPUTED_VALUE"""),"本部共有")</f>
        <v>本部共有</v>
      </c>
      <c r="C49" s="68">
        <f>IFERROR(__xludf.DUMMYFUNCTION("""COMPUTED_VALUE"""),341.0)</f>
        <v>341</v>
      </c>
      <c r="D49" s="68">
        <f>IFERROR(__xludf.DUMMYFUNCTION("""COMPUTED_VALUE"""),1146.0)</f>
        <v>1146</v>
      </c>
      <c r="E49" s="34" t="str">
        <f>IFERROR(__xludf.DUMMYFUNCTION("""COMPUTED_VALUE"""),"2014/05/26")</f>
        <v>2014/05/26</v>
      </c>
      <c r="F49" s="34" t="str">
        <f>IFERROR(__xludf.DUMMYFUNCTION("""COMPUTED_VALUE"""),"AWS S3")</f>
        <v>AWS S3</v>
      </c>
      <c r="G49" s="34"/>
    </row>
    <row r="50">
      <c r="A50" s="34" t="str">
        <f>IFERROR(__xludf.DUMMYFUNCTION("""COMPUTED_VALUE"""),"システム本部")</f>
        <v>システム本部</v>
      </c>
      <c r="B50" s="34" t="str">
        <f>IFERROR(__xludf.DUMMYFUNCTION("""COMPUTED_VALUE"""),"人事部")</f>
        <v>人事部</v>
      </c>
      <c r="C50" s="68">
        <f>IFERROR(__xludf.DUMMYFUNCTION("""COMPUTED_VALUE"""),20265.0)</f>
        <v>20265</v>
      </c>
      <c r="D50" s="68">
        <f>IFERROR(__xludf.DUMMYFUNCTION("""COMPUTED_VALUE"""),132289.0)</f>
        <v>132289</v>
      </c>
      <c r="E50" s="34" t="str">
        <f>IFERROR(__xludf.DUMMYFUNCTION("""COMPUTED_VALUE"""),"2013/12/12")</f>
        <v>2013/12/12</v>
      </c>
      <c r="F50" s="34" t="str">
        <f>IFERROR(__xludf.DUMMYFUNCTION("""COMPUTED_VALUE"""),"AWS S3")</f>
        <v>AWS S3</v>
      </c>
      <c r="G50" s="34"/>
    </row>
    <row r="51">
      <c r="A51" s="34" t="str">
        <f>IFERROR(__xludf.DUMMYFUNCTION("""COMPUTED_VALUE"""),"クロスファンクション本部")</f>
        <v>クロスファンクション本部</v>
      </c>
      <c r="B51" s="34" t="str">
        <f>IFERROR(__xludf.DUMMYFUNCTION("""COMPUTED_VALUE"""),"システム統括室")</f>
        <v>システム統括室</v>
      </c>
      <c r="C51" s="68">
        <f>IFERROR(__xludf.DUMMYFUNCTION("""COMPUTED_VALUE"""),1421.0)</f>
        <v>1421</v>
      </c>
      <c r="D51" s="68">
        <f>IFERROR(__xludf.DUMMYFUNCTION("""COMPUTED_VALUE"""),8581.0)</f>
        <v>8581</v>
      </c>
      <c r="E51" s="34" t="str">
        <f>IFERROR(__xludf.DUMMYFUNCTION("""COMPUTED_VALUE"""),"2015/04/01")</f>
        <v>2015/04/01</v>
      </c>
      <c r="F51" s="34" t="str">
        <f>IFERROR(__xludf.DUMMYFUNCTION("""COMPUTED_VALUE"""),"AWS S3")</f>
        <v>AWS S3</v>
      </c>
      <c r="G51" s="34"/>
    </row>
    <row r="52">
      <c r="A52" s="34" t="str">
        <f>IFERROR(__xludf.DUMMYFUNCTION("""COMPUTED_VALUE"""),"クロスファンクション本部")</f>
        <v>クロスファンクション本部</v>
      </c>
      <c r="B52" s="34" t="str">
        <f>IFERROR(__xludf.DUMMYFUNCTION("""COMPUTED_VALUE"""),"CS推進室")</f>
        <v>CS推進室</v>
      </c>
      <c r="C52" s="68">
        <f>IFERROR(__xludf.DUMMYFUNCTION("""COMPUTED_VALUE"""),624.0)</f>
        <v>624</v>
      </c>
      <c r="D52" s="68">
        <f>IFERROR(__xludf.DUMMYFUNCTION("""COMPUTED_VALUE"""),11969.0)</f>
        <v>11969</v>
      </c>
      <c r="E52" s="34" t="str">
        <f>IFERROR(__xludf.DUMMYFUNCTION("""COMPUTED_VALUE"""),"2022/04/19")</f>
        <v>2022/04/19</v>
      </c>
      <c r="F52" s="34" t="str">
        <f>IFERROR(__xludf.DUMMYFUNCTION("""COMPUTED_VALUE"""),"AWS S3")</f>
        <v>AWS S3</v>
      </c>
      <c r="G52" s="34"/>
    </row>
    <row r="53">
      <c r="A53" s="34" t="str">
        <f>IFERROR(__xludf.DUMMYFUNCTION("""COMPUTED_VALUE"""),"クロスファンクション本部")</f>
        <v>クロスファンクション本部</v>
      </c>
      <c r="B53" s="34" t="str">
        <f>IFERROR(__xludf.DUMMYFUNCTION("""COMPUTED_VALUE"""),"イノベーションセンター")</f>
        <v>イノベーションセンター</v>
      </c>
      <c r="C53" s="68">
        <f>IFERROR(__xludf.DUMMYFUNCTION("""COMPUTED_VALUE"""),20.0)</f>
        <v>20</v>
      </c>
      <c r="D53" s="68">
        <f>IFERROR(__xludf.DUMMYFUNCTION("""COMPUTED_VALUE"""),10.0)</f>
        <v>10</v>
      </c>
      <c r="E53" s="34" t="str">
        <f>IFERROR(__xludf.DUMMYFUNCTION("""COMPUTED_VALUE"""),"2014/06/10")</f>
        <v>2014/06/10</v>
      </c>
      <c r="F53" s="34" t="str">
        <f>IFERROR(__xludf.DUMMYFUNCTION("""COMPUTED_VALUE"""),"AWS S3")</f>
        <v>AWS S3</v>
      </c>
      <c r="G53" s="34"/>
    </row>
    <row r="54">
      <c r="A54" s="34" t="str">
        <f>IFERROR(__xludf.DUMMYFUNCTION("""COMPUTED_VALUE"""),"MS本部")</f>
        <v>MS本部</v>
      </c>
      <c r="B54" s="34" t="str">
        <f>IFERROR(__xludf.DUMMYFUNCTION("""COMPUTED_VALUE"""),"企画開発部")</f>
        <v>企画開発部</v>
      </c>
      <c r="C54" s="68">
        <f>IFERROR(__xludf.DUMMYFUNCTION("""COMPUTED_VALUE"""),654.0)</f>
        <v>654</v>
      </c>
      <c r="D54" s="68">
        <f>IFERROR(__xludf.DUMMYFUNCTION("""COMPUTED_VALUE"""),11265.0)</f>
        <v>11265</v>
      </c>
      <c r="E54" s="34" t="str">
        <f>IFERROR(__xludf.DUMMYFUNCTION("""COMPUTED_VALUE"""),"2016/02/10")</f>
        <v>2016/02/10</v>
      </c>
      <c r="F54" s="34" t="str">
        <f>IFERROR(__xludf.DUMMYFUNCTION("""COMPUTED_VALUE"""),"AWS S3")</f>
        <v>AWS S3</v>
      </c>
      <c r="G54" s="34"/>
    </row>
    <row r="55">
      <c r="A55" s="34" t="str">
        <f>IFERROR(__xludf.DUMMYFUNCTION("""COMPUTED_VALUE"""),"MS本部")</f>
        <v>MS本部</v>
      </c>
      <c r="B55" s="34" t="str">
        <f>IFERROR(__xludf.DUMMYFUNCTION("""COMPUTED_VALUE"""),"セキュリティ室")</f>
        <v>セキュリティ室</v>
      </c>
      <c r="C55" s="68">
        <f>IFERROR(__xludf.DUMMYFUNCTION("""COMPUTED_VALUE"""),4.0)</f>
        <v>4</v>
      </c>
      <c r="D55" s="68">
        <f>IFERROR(__xludf.DUMMYFUNCTION("""COMPUTED_VALUE"""),28.0)</f>
        <v>28</v>
      </c>
      <c r="E55" s="34" t="str">
        <f>IFERROR(__xludf.DUMMYFUNCTION("""COMPUTED_VALUE"""),"2016/01/25")</f>
        <v>2016/01/25</v>
      </c>
      <c r="F55" s="34" t="str">
        <f>IFERROR(__xludf.DUMMYFUNCTION("""COMPUTED_VALUE"""),"AWS S3")</f>
        <v>AWS S3</v>
      </c>
      <c r="G55" s="34"/>
    </row>
    <row r="56">
      <c r="A56" s="34" t="str">
        <f>IFERROR(__xludf.DUMMYFUNCTION("""COMPUTED_VALUE"""),"MS本部")</f>
        <v>MS本部</v>
      </c>
      <c r="B56" s="34" t="str">
        <f>IFERROR(__xludf.DUMMYFUNCTION("""COMPUTED_VALUE"""),"本部共有")</f>
        <v>本部共有</v>
      </c>
      <c r="C56" s="68">
        <f>IFERROR(__xludf.DUMMYFUNCTION("""COMPUTED_VALUE"""),1974.0)</f>
        <v>1974</v>
      </c>
      <c r="D56" s="68">
        <f>IFERROR(__xludf.DUMMYFUNCTION("""COMPUTED_VALUE"""),9989.0)</f>
        <v>9989</v>
      </c>
      <c r="E56" s="34" t="str">
        <f>IFERROR(__xludf.DUMMYFUNCTION("""COMPUTED_VALUE"""),"2022/11/18")</f>
        <v>2022/11/18</v>
      </c>
      <c r="F56" s="34" t="str">
        <f>IFERROR(__xludf.DUMMYFUNCTION("""COMPUTED_VALUE"""),"AWS S3")</f>
        <v>AWS S3</v>
      </c>
      <c r="G56" s="34"/>
    </row>
    <row r="57">
      <c r="A57" s="34" t="str">
        <f>IFERROR(__xludf.DUMMYFUNCTION("""COMPUTED_VALUE"""),"MS本部")</f>
        <v>MS本部</v>
      </c>
      <c r="B57" s="34" t="str">
        <f>IFERROR(__xludf.DUMMYFUNCTION("""COMPUTED_VALUE"""),"CS推進部")</f>
        <v>CS推進部</v>
      </c>
      <c r="C57" s="68">
        <f>IFERROR(__xludf.DUMMYFUNCTION("""COMPUTED_VALUE"""),9690.0)</f>
        <v>9690</v>
      </c>
      <c r="D57" s="68">
        <f>IFERROR(__xludf.DUMMYFUNCTION("""COMPUTED_VALUE"""),72649.0)</f>
        <v>72649</v>
      </c>
      <c r="E57" s="34" t="str">
        <f>IFERROR(__xludf.DUMMYFUNCTION("""COMPUTED_VALUE"""),"2016/12/01")</f>
        <v>2016/12/01</v>
      </c>
      <c r="F57" s="34" t="str">
        <f>IFERROR(__xludf.DUMMYFUNCTION("""COMPUTED_VALUE"""),"AWS S3")</f>
        <v>AWS S3</v>
      </c>
      <c r="G57" s="34"/>
    </row>
    <row r="58">
      <c r="A58" s="34" t="str">
        <f>IFERROR(__xludf.DUMMYFUNCTION("""COMPUTED_VALUE"""),"ミクシィ・リクルートメント")</f>
        <v>ミクシィ・リクルートメント</v>
      </c>
      <c r="B58" s="34" t="str">
        <f>IFERROR(__xludf.DUMMYFUNCTION("""COMPUTED_VALUE"""),"人材紹介事業部")</f>
        <v>人材紹介事業部</v>
      </c>
      <c r="C58" s="68">
        <f>IFERROR(__xludf.DUMMYFUNCTION("""COMPUTED_VALUE"""),2.0)</f>
        <v>2</v>
      </c>
      <c r="D58" s="68">
        <f>IFERROR(__xludf.DUMMYFUNCTION("""COMPUTED_VALUE"""),1.0)</f>
        <v>1</v>
      </c>
      <c r="E58" s="34" t="str">
        <f>IFERROR(__xludf.DUMMYFUNCTION("""COMPUTED_VALUE"""),"×")</f>
        <v>×</v>
      </c>
      <c r="F58" s="34" t="str">
        <f>IFERROR(__xludf.DUMMYFUNCTION("""COMPUTED_VALUE"""),"AWS S3")</f>
        <v>AWS S3</v>
      </c>
      <c r="G58" s="34"/>
    </row>
    <row r="59">
      <c r="A59" s="34" t="str">
        <f>IFERROR(__xludf.DUMMYFUNCTION("""COMPUTED_VALUE"""),"ミクシィ・リクルートメント")</f>
        <v>ミクシィ・リクルートメント</v>
      </c>
      <c r="B59" s="34" t="str">
        <f>IFERROR(__xludf.DUMMYFUNCTION("""COMPUTED_VALUE"""),"経営企画室")</f>
        <v>経営企画室</v>
      </c>
      <c r="C59" s="68">
        <f>IFERROR(__xludf.DUMMYFUNCTION("""COMPUTED_VALUE"""),343.0)</f>
        <v>343</v>
      </c>
      <c r="D59" s="68">
        <f>IFERROR(__xludf.DUMMYFUNCTION("""COMPUTED_VALUE"""),1725.0)</f>
        <v>1725</v>
      </c>
      <c r="E59" s="34" t="str">
        <f>IFERROR(__xludf.DUMMYFUNCTION("""COMPUTED_VALUE"""),"2017/04/12")</f>
        <v>2017/04/12</v>
      </c>
      <c r="F59" s="34" t="str">
        <f>IFERROR(__xludf.DUMMYFUNCTION("""COMPUTED_VALUE"""),"AWS S3")</f>
        <v>AWS S3</v>
      </c>
      <c r="G59" s="34"/>
    </row>
    <row r="60">
      <c r="A60" s="34" t="str">
        <f>IFERROR(__xludf.DUMMYFUNCTION("""COMPUTED_VALUE"""),"ライブエクスペリエンス事業本部")</f>
        <v>ライブエクスペリエンス事業本部</v>
      </c>
      <c r="B60" s="34" t="str">
        <f>IFERROR(__xludf.DUMMYFUNCTION("""COMPUTED_VALUE"""),"LX開発室")</f>
        <v>LX開発室</v>
      </c>
      <c r="C60" s="68">
        <f>IFERROR(__xludf.DUMMYFUNCTION("""COMPUTED_VALUE"""),34.0)</f>
        <v>34</v>
      </c>
      <c r="D60" s="68">
        <f>IFERROR(__xludf.DUMMYFUNCTION("""COMPUTED_VALUE"""),30.0)</f>
        <v>30</v>
      </c>
      <c r="E60" s="34" t="str">
        <f>IFERROR(__xludf.DUMMYFUNCTION("""COMPUTED_VALUE"""),"2018/11/05")</f>
        <v>2018/11/05</v>
      </c>
      <c r="F60" s="34" t="str">
        <f>IFERROR(__xludf.DUMMYFUNCTION("""COMPUTED_VALUE"""),"AWS S3")</f>
        <v>AWS S3</v>
      </c>
      <c r="G60" s="34"/>
    </row>
    <row r="61">
      <c r="A61" s="34" t="str">
        <f>IFERROR(__xludf.DUMMYFUNCTION("""COMPUTED_VALUE"""),"ライブエクスペリエンス事業本部")</f>
        <v>ライブエクスペリエンス事業本部</v>
      </c>
      <c r="B61" s="34" t="str">
        <f>IFERROR(__xludf.DUMMYFUNCTION("""COMPUTED_VALUE"""),"ライブエンターテインメント事業部")</f>
        <v>ライブエンターテインメント事業部</v>
      </c>
      <c r="C61" s="68">
        <f>IFERROR(__xludf.DUMMYFUNCTION("""COMPUTED_VALUE"""),40.0)</f>
        <v>40</v>
      </c>
      <c r="D61" s="68">
        <f>IFERROR(__xludf.DUMMYFUNCTION("""COMPUTED_VALUE"""),8.0)</f>
        <v>8</v>
      </c>
      <c r="E61" s="34" t="str">
        <f>IFERROR(__xludf.DUMMYFUNCTION("""COMPUTED_VALUE"""),"2020/01/14")</f>
        <v>2020/01/14</v>
      </c>
      <c r="F61" s="34" t="str">
        <f>IFERROR(__xludf.DUMMYFUNCTION("""COMPUTED_VALUE"""),"AWS S3")</f>
        <v>AWS S3</v>
      </c>
      <c r="G61" s="34"/>
    </row>
    <row r="62">
      <c r="A62" s="34" t="str">
        <f>IFERROR(__xludf.DUMMYFUNCTION("""COMPUTED_VALUE"""),"ライブエクスペリエンス事業本部")</f>
        <v>ライブエクスペリエンス事業本部</v>
      </c>
      <c r="B62" s="34" t="str">
        <f>IFERROR(__xludf.DUMMYFUNCTION("""COMPUTED_VALUE"""),"マーチャンダイジング部")</f>
        <v>マーチャンダイジング部</v>
      </c>
      <c r="C62" s="68">
        <f>IFERROR(__xludf.DUMMYFUNCTION("""COMPUTED_VALUE"""),2307.0)</f>
        <v>2307</v>
      </c>
      <c r="D62" s="68">
        <f>IFERROR(__xludf.DUMMYFUNCTION("""COMPUTED_VALUE"""),14044.0)</f>
        <v>14044</v>
      </c>
      <c r="E62" s="34" t="str">
        <f>IFERROR(__xludf.DUMMYFUNCTION("""COMPUTED_VALUE"""),"2020/02/05")</f>
        <v>2020/02/05</v>
      </c>
      <c r="F62" s="34" t="str">
        <f>IFERROR(__xludf.DUMMYFUNCTION("""COMPUTED_VALUE"""),"AWS S3")</f>
        <v>AWS S3</v>
      </c>
      <c r="G62" s="34"/>
    </row>
    <row r="63">
      <c r="A63" s="34" t="str">
        <f>IFERROR(__xludf.DUMMYFUNCTION("""COMPUTED_VALUE"""),"ライブエクスペリエンス事業本部")</f>
        <v>ライブエクスペリエンス事業本部</v>
      </c>
      <c r="B63" s="34" t="str">
        <f>IFERROR(__xludf.DUMMYFUNCTION("""COMPUTED_VALUE"""),"本部共有")</f>
        <v>本部共有</v>
      </c>
      <c r="C63" s="68">
        <f>IFERROR(__xludf.DUMMYFUNCTION("""COMPUTED_VALUE"""),5.0)</f>
        <v>5</v>
      </c>
      <c r="D63" s="68">
        <f>IFERROR(__xludf.DUMMYFUNCTION("""COMPUTED_VALUE"""),1.0)</f>
        <v>1</v>
      </c>
      <c r="E63" s="34" t="str">
        <f>IFERROR(__xludf.DUMMYFUNCTION("""COMPUTED_VALUE"""),"2019/04/15")</f>
        <v>2019/04/15</v>
      </c>
      <c r="F63" s="34" t="str">
        <f>IFERROR(__xludf.DUMMYFUNCTION("""COMPUTED_VALUE"""),"AWS S3")</f>
        <v>AWS S3</v>
      </c>
      <c r="G63" s="34"/>
    </row>
    <row r="64">
      <c r="A64" s="34" t="str">
        <f>IFERROR(__xludf.DUMMYFUNCTION("""COMPUTED_VALUE"""),"ライブエクスペリエンス事業本部")</f>
        <v>ライブエクスペリエンス事業本部</v>
      </c>
      <c r="B64" s="34" t="str">
        <f>IFERROR(__xludf.DUMMYFUNCTION("""COMPUTED_VALUE"""),"新規事業開発部")</f>
        <v>新規事業開発部</v>
      </c>
      <c r="C64" s="68">
        <f>IFERROR(__xludf.DUMMYFUNCTION("""COMPUTED_VALUE"""),35.0)</f>
        <v>35</v>
      </c>
      <c r="D64" s="68">
        <f>IFERROR(__xludf.DUMMYFUNCTION("""COMPUTED_VALUE"""),5.0)</f>
        <v>5</v>
      </c>
      <c r="E64" s="34" t="str">
        <f>IFERROR(__xludf.DUMMYFUNCTION("""COMPUTED_VALUE"""),"×")</f>
        <v>×</v>
      </c>
      <c r="F64" s="34" t="str">
        <f>IFERROR(__xludf.DUMMYFUNCTION("""COMPUTED_VALUE"""),"AWS S3")</f>
        <v>AWS S3</v>
      </c>
      <c r="G64" s="34"/>
    </row>
    <row r="65">
      <c r="A65" s="34" t="str">
        <f>IFERROR(__xludf.DUMMYFUNCTION("""COMPUTED_VALUE"""),"経営推進本部")</f>
        <v>経営推進本部</v>
      </c>
      <c r="B65" s="34" t="str">
        <f>IFERROR(__xludf.DUMMYFUNCTION("""COMPUTED_VALUE"""),"経営企画室")</f>
        <v>経営企画室</v>
      </c>
      <c r="C65" s="68">
        <f>IFERROR(__xludf.DUMMYFUNCTION("""COMPUTED_VALUE"""),8007.0)</f>
        <v>8007</v>
      </c>
      <c r="D65" s="68">
        <f>IFERROR(__xludf.DUMMYFUNCTION("""COMPUTED_VALUE"""),38713.0)</f>
        <v>38713</v>
      </c>
      <c r="E65" s="34" t="str">
        <f>IFERROR(__xludf.DUMMYFUNCTION("""COMPUTED_VALUE"""),"2019/09/03")</f>
        <v>2019/09/03</v>
      </c>
      <c r="F65" s="34" t="str">
        <f>IFERROR(__xludf.DUMMYFUNCTION("""COMPUTED_VALUE"""),"AWS S3")</f>
        <v>AWS S3</v>
      </c>
      <c r="G65" s="34"/>
    </row>
    <row r="66">
      <c r="A66" s="34" t="str">
        <f>IFERROR(__xludf.DUMMYFUNCTION("""COMPUTED_VALUE"""),"経営推進本部")</f>
        <v>経営推進本部</v>
      </c>
      <c r="B66" s="34" t="str">
        <f>IFERROR(__xludf.DUMMYFUNCTION("""COMPUTED_VALUE"""),"スマートヘルス事業部")</f>
        <v>スマートヘルス事業部</v>
      </c>
      <c r="C66" s="68">
        <f>IFERROR(__xludf.DUMMYFUNCTION("""COMPUTED_VALUE"""),12.0)</f>
        <v>12</v>
      </c>
      <c r="D66" s="68">
        <f>IFERROR(__xludf.DUMMYFUNCTION("""COMPUTED_VALUE"""),3.0)</f>
        <v>3</v>
      </c>
      <c r="E66" s="34" t="str">
        <f>IFERROR(__xludf.DUMMYFUNCTION("""COMPUTED_VALUE"""),"2017/07/21")</f>
        <v>2017/07/21</v>
      </c>
      <c r="F66" s="34" t="str">
        <f>IFERROR(__xludf.DUMMYFUNCTION("""COMPUTED_VALUE"""),"AWS S3")</f>
        <v>AWS S3</v>
      </c>
      <c r="G66" s="34"/>
    </row>
    <row r="67">
      <c r="A67" s="34" t="str">
        <f>IFERROR(__xludf.DUMMYFUNCTION("""COMPUTED_VALUE"""),"経営推進本部")</f>
        <v>経営推進本部</v>
      </c>
      <c r="B67" s="34" t="str">
        <f>IFERROR(__xludf.DUMMYFUNCTION("""COMPUTED_VALUE"""),"CS推進室")</f>
        <v>CS推進室</v>
      </c>
      <c r="C67" s="68">
        <f>IFERROR(__xludf.DUMMYFUNCTION("""COMPUTED_VALUE"""),1623.0)</f>
        <v>1623</v>
      </c>
      <c r="D67" s="68">
        <f>IFERROR(__xludf.DUMMYFUNCTION("""COMPUTED_VALUE"""),24865.0)</f>
        <v>24865</v>
      </c>
      <c r="E67" s="34" t="str">
        <f>IFERROR(__xludf.DUMMYFUNCTION("""COMPUTED_VALUE"""),"2015/04/06")</f>
        <v>2015/04/06</v>
      </c>
      <c r="F67" s="34" t="str">
        <f>IFERROR(__xludf.DUMMYFUNCTION("""COMPUTED_VALUE"""),"AWS S3")</f>
        <v>AWS S3</v>
      </c>
      <c r="G67" s="34"/>
    </row>
    <row r="68">
      <c r="A68" s="34" t="str">
        <f>IFERROR(__xludf.DUMMYFUNCTION("""COMPUTED_VALUE"""),"経営推進本部")</f>
        <v>経営推進本部</v>
      </c>
      <c r="B68" s="34" t="str">
        <f>IFERROR(__xludf.DUMMYFUNCTION("""COMPUTED_VALUE"""),"法務部")</f>
        <v>法務部</v>
      </c>
      <c r="C68" s="68">
        <f>IFERROR(__xludf.DUMMYFUNCTION("""COMPUTED_VALUE"""),1115.0)</f>
        <v>1115</v>
      </c>
      <c r="D68" s="68">
        <f>IFERROR(__xludf.DUMMYFUNCTION("""COMPUTED_VALUE"""),6611.0)</f>
        <v>6611</v>
      </c>
      <c r="E68" s="34" t="str">
        <f>IFERROR(__xludf.DUMMYFUNCTION("""COMPUTED_VALUE"""),"2018/12/20")</f>
        <v>2018/12/20</v>
      </c>
      <c r="F68" s="34" t="str">
        <f>IFERROR(__xludf.DUMMYFUNCTION("""COMPUTED_VALUE"""),"AWS S3")</f>
        <v>AWS S3</v>
      </c>
      <c r="G68" s="34"/>
    </row>
    <row r="69">
      <c r="A69" s="34" t="str">
        <f>IFERROR(__xludf.DUMMYFUNCTION("""COMPUTED_VALUE"""),"経営推進本部")</f>
        <v>経営推進本部</v>
      </c>
      <c r="B69" s="34" t="str">
        <f>IFERROR(__xludf.DUMMYFUNCTION("""COMPUTED_VALUE"""),"総務部")</f>
        <v>総務部</v>
      </c>
      <c r="C69" s="68">
        <f>IFERROR(__xludf.DUMMYFUNCTION("""COMPUTED_VALUE"""),12765.0)</f>
        <v>12765</v>
      </c>
      <c r="D69" s="68">
        <f>IFERROR(__xludf.DUMMYFUNCTION("""COMPUTED_VALUE"""),54670.0)</f>
        <v>54670</v>
      </c>
      <c r="E69" s="34" t="str">
        <f>IFERROR(__xludf.DUMMYFUNCTION("""COMPUTED_VALUE"""),"2017/01/23")</f>
        <v>2017/01/23</v>
      </c>
      <c r="F69" s="34" t="str">
        <f>IFERROR(__xludf.DUMMYFUNCTION("""COMPUTED_VALUE"""),"AWS S3")</f>
        <v>AWS S3</v>
      </c>
      <c r="G69" s="34"/>
    </row>
    <row r="70">
      <c r="A70" s="34" t="str">
        <f>IFERROR(__xludf.DUMMYFUNCTION("""COMPUTED_VALUE"""),"経営推進本部")</f>
        <v>経営推進本部</v>
      </c>
      <c r="B70" s="34" t="str">
        <f>IFERROR(__xludf.DUMMYFUNCTION("""COMPUTED_VALUE"""),"経理財務部")</f>
        <v>経理財務部</v>
      </c>
      <c r="C70" s="68">
        <f>IFERROR(__xludf.DUMMYFUNCTION("""COMPUTED_VALUE"""),546.0)</f>
        <v>546</v>
      </c>
      <c r="D70" s="68">
        <f>IFERROR(__xludf.DUMMYFUNCTION("""COMPUTED_VALUE"""),3554.0)</f>
        <v>3554</v>
      </c>
      <c r="E70" s="34" t="str">
        <f>IFERROR(__xludf.DUMMYFUNCTION("""COMPUTED_VALUE"""),"2017/08/31")</f>
        <v>2017/08/31</v>
      </c>
      <c r="F70" s="34" t="str">
        <f>IFERROR(__xludf.DUMMYFUNCTION("""COMPUTED_VALUE"""),"AWS S3")</f>
        <v>AWS S3</v>
      </c>
      <c r="G70" s="34"/>
    </row>
    <row r="71">
      <c r="A71" s="34" t="str">
        <f>IFERROR(__xludf.DUMMYFUNCTION("""COMPUTED_VALUE"""),"経営推進本部")</f>
        <v>経営推進本部</v>
      </c>
      <c r="B71" s="34" t="str">
        <f>IFERROR(__xludf.DUMMYFUNCTION("""COMPUTED_VALUE"""),"本部共有")</f>
        <v>本部共有</v>
      </c>
      <c r="C71" s="68">
        <f>IFERROR(__xludf.DUMMYFUNCTION("""COMPUTED_VALUE"""),31.0)</f>
        <v>31</v>
      </c>
      <c r="D71" s="68">
        <f>IFERROR(__xludf.DUMMYFUNCTION("""COMPUTED_VALUE"""),5.0)</f>
        <v>5</v>
      </c>
      <c r="E71" s="34" t="str">
        <f>IFERROR(__xludf.DUMMYFUNCTION("""COMPUTED_VALUE"""),"2013/06/06")</f>
        <v>2013/06/06</v>
      </c>
      <c r="F71" s="34" t="str">
        <f>IFERROR(__xludf.DUMMYFUNCTION("""COMPUTED_VALUE"""),"AWS S3")</f>
        <v>AWS S3</v>
      </c>
      <c r="G71" s="34"/>
    </row>
    <row r="72">
      <c r="A72" s="34" t="str">
        <f>IFERROR(__xludf.DUMMYFUNCTION("""COMPUTED_VALUE"""),"経営推進本部")</f>
        <v>経営推進本部</v>
      </c>
      <c r="B72" s="34" t="str">
        <f>IFERROR(__xludf.DUMMYFUNCTION("""COMPUTED_VALUE"""),"ビジネス開発室")</f>
        <v>ビジネス開発室</v>
      </c>
      <c r="C72" s="68">
        <f>IFERROR(__xludf.DUMMYFUNCTION("""COMPUTED_VALUE"""),151.0)</f>
        <v>151</v>
      </c>
      <c r="D72" s="68">
        <f>IFERROR(__xludf.DUMMYFUNCTION("""COMPUTED_VALUE"""),1323.0)</f>
        <v>1323</v>
      </c>
      <c r="E72" s="34" t="str">
        <f>IFERROR(__xludf.DUMMYFUNCTION("""COMPUTED_VALUE"""),"2022/04/06")</f>
        <v>2022/04/06</v>
      </c>
      <c r="F72" s="34" t="str">
        <f>IFERROR(__xludf.DUMMYFUNCTION("""COMPUTED_VALUE"""),"AWS S3")</f>
        <v>AWS S3</v>
      </c>
      <c r="G72" s="34"/>
    </row>
    <row r="73">
      <c r="A73" s="34" t="str">
        <f>IFERROR(__xludf.DUMMYFUNCTION("""COMPUTED_VALUE"""),"経営推進本部")</f>
        <v>経営推進本部</v>
      </c>
      <c r="B73" s="34" t="str">
        <f>IFERROR(__xludf.DUMMYFUNCTION("""COMPUTED_VALUE"""),"人事部")</f>
        <v>人事部</v>
      </c>
      <c r="C73" s="68">
        <f>IFERROR(__xludf.DUMMYFUNCTION("""COMPUTED_VALUE"""),19018.0)</f>
        <v>19018</v>
      </c>
      <c r="D73" s="68">
        <f>IFERROR(__xludf.DUMMYFUNCTION("""COMPUTED_VALUE"""),149219.0)</f>
        <v>149219</v>
      </c>
      <c r="E73" s="34" t="str">
        <f>IFERROR(__xludf.DUMMYFUNCTION("""COMPUTED_VALUE"""),"2014/12/25")</f>
        <v>2014/12/25</v>
      </c>
      <c r="F73" s="34" t="str">
        <f>IFERROR(__xludf.DUMMYFUNCTION("""COMPUTED_VALUE"""),"AWS S3")</f>
        <v>AWS S3</v>
      </c>
      <c r="G73" s="34"/>
    </row>
    <row r="74">
      <c r="A74" s="34" t="str">
        <f>IFERROR(__xludf.DUMMYFUNCTION("""COMPUTED_VALUE"""),"経営推進本部")</f>
        <v>経営推進本部</v>
      </c>
      <c r="B74" s="34" t="str">
        <f>IFERROR(__xludf.DUMMYFUNCTION("""COMPUTED_VALUE"""),"はたらく環境室")</f>
        <v>はたらく環境室</v>
      </c>
      <c r="C74" s="68">
        <f>IFERROR(__xludf.DUMMYFUNCTION("""COMPUTED_VALUE"""),16.0)</f>
        <v>16</v>
      </c>
      <c r="D74" s="68">
        <f>IFERROR(__xludf.DUMMYFUNCTION("""COMPUTED_VALUE"""),12.0)</f>
        <v>12</v>
      </c>
      <c r="E74" s="34" t="str">
        <f>IFERROR(__xludf.DUMMYFUNCTION("""COMPUTED_VALUE"""),"2019/04/08")</f>
        <v>2019/04/08</v>
      </c>
      <c r="F74" s="34" t="str">
        <f>IFERROR(__xludf.DUMMYFUNCTION("""COMPUTED_VALUE"""),"AWS S3")</f>
        <v>AWS S3</v>
      </c>
      <c r="G74" s="34"/>
    </row>
    <row r="75">
      <c r="A75" s="34" t="str">
        <f>IFERROR(__xludf.DUMMYFUNCTION("""COMPUTED_VALUE"""),"経営推進本部")</f>
        <v>経営推進本部</v>
      </c>
      <c r="B75" s="34" t="str">
        <f>IFERROR(__xludf.DUMMYFUNCTION("""COMPUTED_VALUE"""),"CS推進部")</f>
        <v>CS推進部</v>
      </c>
      <c r="C75" s="68">
        <f>IFERROR(__xludf.DUMMYFUNCTION("""COMPUTED_VALUE"""),1439.0)</f>
        <v>1439</v>
      </c>
      <c r="D75" s="68">
        <f>IFERROR(__xludf.DUMMYFUNCTION("""COMPUTED_VALUE"""),16150.0)</f>
        <v>16150</v>
      </c>
      <c r="E75" s="34" t="str">
        <f>IFERROR(__xludf.DUMMYFUNCTION("""COMPUTED_VALUE"""),"2015/02/03")</f>
        <v>2015/02/03</v>
      </c>
      <c r="F75" s="34" t="str">
        <f>IFERROR(__xludf.DUMMYFUNCTION("""COMPUTED_VALUE"""),"AWS S3")</f>
        <v>AWS S3</v>
      </c>
      <c r="G75" s="34"/>
    </row>
    <row r="76">
      <c r="A76" s="34" t="str">
        <f>IFERROR(__xludf.DUMMYFUNCTION("""COMPUTED_VALUE"""),"経営推進本部")</f>
        <v>経営推進本部</v>
      </c>
      <c r="B76" s="34" t="str">
        <f>IFERROR(__xludf.DUMMYFUNCTION("""COMPUTED_VALUE"""),"経営推進室")</f>
        <v>経営推進室</v>
      </c>
      <c r="C76" s="68">
        <f>IFERROR(__xludf.DUMMYFUNCTION("""COMPUTED_VALUE"""),39.0)</f>
        <v>39</v>
      </c>
      <c r="D76" s="68">
        <f>IFERROR(__xludf.DUMMYFUNCTION("""COMPUTED_VALUE"""),20.0)</f>
        <v>20</v>
      </c>
      <c r="E76" s="34" t="str">
        <f>IFERROR(__xludf.DUMMYFUNCTION("""COMPUTED_VALUE"""),"2016/01/19")</f>
        <v>2016/01/19</v>
      </c>
      <c r="F76" s="34" t="str">
        <f>IFERROR(__xludf.DUMMYFUNCTION("""COMPUTED_VALUE"""),"AWS S3")</f>
        <v>AWS S3</v>
      </c>
      <c r="G76" s="34"/>
    </row>
    <row r="77">
      <c r="A77" s="34" t="str">
        <f>IFERROR(__xludf.DUMMYFUNCTION("""COMPUTED_VALUE"""),"経営推進本部")</f>
        <v>経営推進本部</v>
      </c>
      <c r="B77" s="34" t="str">
        <f>IFERROR(__xludf.DUMMYFUNCTION("""COMPUTED_VALUE"""),"広報IR室")</f>
        <v>広報IR室</v>
      </c>
      <c r="C77" s="68">
        <f>IFERROR(__xludf.DUMMYFUNCTION("""COMPUTED_VALUE"""),5402.0)</f>
        <v>5402</v>
      </c>
      <c r="D77" s="68">
        <f>IFERROR(__xludf.DUMMYFUNCTION("""COMPUTED_VALUE"""),39155.0)</f>
        <v>39155</v>
      </c>
      <c r="E77" s="34" t="str">
        <f>IFERROR(__xludf.DUMMYFUNCTION("""COMPUTED_VALUE"""),"2014/10/22")</f>
        <v>2014/10/22</v>
      </c>
      <c r="F77" s="34" t="str">
        <f>IFERROR(__xludf.DUMMYFUNCTION("""COMPUTED_VALUE"""),"AWS S3")</f>
        <v>AWS S3</v>
      </c>
      <c r="G77" s="34"/>
    </row>
    <row r="78">
      <c r="A78" s="34" t="str">
        <f>IFERROR(__xludf.DUMMYFUNCTION("""COMPUTED_VALUE"""),"Vantageスタジオ")</f>
        <v>Vantageスタジオ</v>
      </c>
      <c r="B78" s="34" t="str">
        <f>IFERROR(__xludf.DUMMYFUNCTION("""COMPUTED_VALUE"""),"ミクシィ・リクルートメント事業部")</f>
        <v>ミクシィ・リクルートメント事業部</v>
      </c>
      <c r="C78" s="68">
        <f>IFERROR(__xludf.DUMMYFUNCTION("""COMPUTED_VALUE"""),31.0)</f>
        <v>31</v>
      </c>
      <c r="D78" s="68">
        <f>IFERROR(__xludf.DUMMYFUNCTION("""COMPUTED_VALUE"""),1.0)</f>
        <v>1</v>
      </c>
      <c r="E78" s="34" t="str">
        <f>IFERROR(__xludf.DUMMYFUNCTION("""COMPUTED_VALUE"""),"×")</f>
        <v>×</v>
      </c>
      <c r="F78" s="34" t="str">
        <f>IFERROR(__xludf.DUMMYFUNCTION("""COMPUTED_VALUE"""),"AWS S3")</f>
        <v>AWS S3</v>
      </c>
      <c r="G78" s="34"/>
    </row>
    <row r="79">
      <c r="A79" s="34" t="str">
        <f>IFERROR(__xludf.DUMMYFUNCTION("""COMPUTED_VALUE"""),"Vantageスタジオ")</f>
        <v>Vantageスタジオ</v>
      </c>
      <c r="B79" s="34" t="str">
        <f>IFERROR(__xludf.DUMMYFUNCTION("""COMPUTED_VALUE"""),"新規事業開発室")</f>
        <v>新規事業開発室</v>
      </c>
      <c r="C79" s="68">
        <f>IFERROR(__xludf.DUMMYFUNCTION("""COMPUTED_VALUE"""),1976.0)</f>
        <v>1976</v>
      </c>
      <c r="D79" s="68">
        <f>IFERROR(__xludf.DUMMYFUNCTION("""COMPUTED_VALUE"""),33543.0)</f>
        <v>33543</v>
      </c>
      <c r="E79" s="34" t="str">
        <f>IFERROR(__xludf.DUMMYFUNCTION("""COMPUTED_VALUE"""),"2020/01/30")</f>
        <v>2020/01/30</v>
      </c>
      <c r="F79" s="34" t="str">
        <f>IFERROR(__xludf.DUMMYFUNCTION("""COMPUTED_VALUE"""),"AWS S3")</f>
        <v>AWS S3</v>
      </c>
      <c r="G79" s="34"/>
    </row>
    <row r="80">
      <c r="A80" s="34" t="str">
        <f>IFERROR(__xludf.DUMMYFUNCTION("""COMPUTED_VALUE"""),"Vantageスタジオ")</f>
        <v>Vantageスタジオ</v>
      </c>
      <c r="B80" s="34" t="str">
        <f>IFERROR(__xludf.DUMMYFUNCTION("""COMPUTED_VALUE"""),"エンパワーメント推進室")</f>
        <v>エンパワーメント推進室</v>
      </c>
      <c r="C80" s="68">
        <f>IFERROR(__xludf.DUMMYFUNCTION("""COMPUTED_VALUE"""),10.0)</f>
        <v>10</v>
      </c>
      <c r="D80" s="68">
        <f>IFERROR(__xludf.DUMMYFUNCTION("""COMPUTED_VALUE"""),1.0)</f>
        <v>1</v>
      </c>
      <c r="E80" s="34" t="str">
        <f>IFERROR(__xludf.DUMMYFUNCTION("""COMPUTED_VALUE"""),"2018/06/13")</f>
        <v>2018/06/13</v>
      </c>
      <c r="F80" s="34" t="str">
        <f>IFERROR(__xludf.DUMMYFUNCTION("""COMPUTED_VALUE"""),"AWS S3")</f>
        <v>AWS S3</v>
      </c>
      <c r="G80" s="34"/>
    </row>
    <row r="81">
      <c r="A81" s="34" t="str">
        <f>IFERROR(__xludf.DUMMYFUNCTION("""COMPUTED_VALUE"""),"Vantageスタジオ")</f>
        <v>Vantageスタジオ</v>
      </c>
      <c r="B81" s="34" t="str">
        <f>IFERROR(__xludf.DUMMYFUNCTION("""COMPUTED_VALUE"""),"みてね事業部")</f>
        <v>みてね事業部</v>
      </c>
      <c r="C81" s="68">
        <f>IFERROR(__xludf.DUMMYFUNCTION("""COMPUTED_VALUE"""),32.0)</f>
        <v>32</v>
      </c>
      <c r="D81" s="68">
        <f>IFERROR(__xludf.DUMMYFUNCTION("""COMPUTED_VALUE"""),4.0)</f>
        <v>4</v>
      </c>
      <c r="E81" s="34" t="str">
        <f>IFERROR(__xludf.DUMMYFUNCTION("""COMPUTED_VALUE"""),"2019/04/18")</f>
        <v>2019/04/18</v>
      </c>
      <c r="F81" s="34" t="str">
        <f>IFERROR(__xludf.DUMMYFUNCTION("""COMPUTED_VALUE"""),"AWS S3")</f>
        <v>AWS S3</v>
      </c>
      <c r="G81" s="34"/>
    </row>
    <row r="82">
      <c r="A82" s="34" t="str">
        <f>IFERROR(__xludf.DUMMYFUNCTION("""COMPUTED_VALUE"""),"Vantageスタジオ")</f>
        <v>Vantageスタジオ</v>
      </c>
      <c r="B82" s="34" t="str">
        <f>IFERROR(__xludf.DUMMYFUNCTION("""COMPUTED_VALUE"""),"事業推進室")</f>
        <v>事業推進室</v>
      </c>
      <c r="C82" s="68">
        <f>IFERROR(__xludf.DUMMYFUNCTION("""COMPUTED_VALUE"""),36.0)</f>
        <v>36</v>
      </c>
      <c r="D82" s="68">
        <f>IFERROR(__xludf.DUMMYFUNCTION("""COMPUTED_VALUE"""),1.0)</f>
        <v>1</v>
      </c>
      <c r="E82" s="34" t="str">
        <f>IFERROR(__xludf.DUMMYFUNCTION("""COMPUTED_VALUE"""),"×")</f>
        <v>×</v>
      </c>
      <c r="F82" s="34" t="str">
        <f>IFERROR(__xludf.DUMMYFUNCTION("""COMPUTED_VALUE"""),"AWS S3")</f>
        <v>AWS S3</v>
      </c>
      <c r="G82" s="34"/>
    </row>
    <row r="83">
      <c r="A83" s="34" t="str">
        <f>IFERROR(__xludf.DUMMYFUNCTION("""COMPUTED_VALUE"""),"社長室")</f>
        <v>社長室</v>
      </c>
      <c r="B83" s="34" t="str">
        <f>IFERROR(__xludf.DUMMYFUNCTION("""COMPUTED_VALUE"""),"渉外G")</f>
        <v>渉外G</v>
      </c>
      <c r="C83" s="68">
        <f>IFERROR(__xludf.DUMMYFUNCTION("""COMPUTED_VALUE"""),0.0)</f>
        <v>0</v>
      </c>
      <c r="D83" s="68">
        <f>IFERROR(__xludf.DUMMYFUNCTION("""COMPUTED_VALUE"""),0.0)</f>
        <v>0</v>
      </c>
      <c r="E83" s="34" t="str">
        <f>IFERROR(__xludf.DUMMYFUNCTION("""COMPUTED_VALUE"""),"×")</f>
        <v>×</v>
      </c>
      <c r="F83" s="34" t="str">
        <f>IFERROR(__xludf.DUMMYFUNCTION("""COMPUTED_VALUE"""),"AWS S3")</f>
        <v>AWS S3</v>
      </c>
      <c r="G83" s="34"/>
    </row>
    <row r="84">
      <c r="A84" s="34" t="str">
        <f>IFERROR(__xludf.DUMMYFUNCTION("""COMPUTED_VALUE"""),"社長室")</f>
        <v>社長室</v>
      </c>
      <c r="B84" s="34" t="str">
        <f>IFERROR(__xludf.DUMMYFUNCTION("""COMPUTED_VALUE"""),"タスクフォースG")</f>
        <v>タスクフォースG</v>
      </c>
      <c r="C84" s="68">
        <f>IFERROR(__xludf.DUMMYFUNCTION("""COMPUTED_VALUE"""),0.0)</f>
        <v>0</v>
      </c>
      <c r="D84" s="68">
        <f>IFERROR(__xludf.DUMMYFUNCTION("""COMPUTED_VALUE"""),0.0)</f>
        <v>0</v>
      </c>
      <c r="E84" s="34" t="str">
        <f>IFERROR(__xludf.DUMMYFUNCTION("""COMPUTED_VALUE"""),"×")</f>
        <v>×</v>
      </c>
      <c r="F84" s="34" t="str">
        <f>IFERROR(__xludf.DUMMYFUNCTION("""COMPUTED_VALUE"""),"AWS S3")</f>
        <v>AWS S3</v>
      </c>
      <c r="G84" s="34"/>
    </row>
    <row r="85">
      <c r="A85" s="34" t="str">
        <f>IFERROR(__xludf.DUMMYFUNCTION("""COMPUTED_VALUE"""),"社長室")</f>
        <v>社長室</v>
      </c>
      <c r="B85" s="34" t="str">
        <f>IFERROR(__xludf.DUMMYFUNCTION("""COMPUTED_VALUE"""),"事業推進G")</f>
        <v>事業推進G</v>
      </c>
      <c r="C85" s="68">
        <f>IFERROR(__xludf.DUMMYFUNCTION("""COMPUTED_VALUE"""),0.0)</f>
        <v>0</v>
      </c>
      <c r="D85" s="68">
        <f>IFERROR(__xludf.DUMMYFUNCTION("""COMPUTED_VALUE"""),0.0)</f>
        <v>0</v>
      </c>
      <c r="E85" s="34" t="str">
        <f>IFERROR(__xludf.DUMMYFUNCTION("""COMPUTED_VALUE"""),"×")</f>
        <v>×</v>
      </c>
      <c r="F85" s="34" t="str">
        <f>IFERROR(__xludf.DUMMYFUNCTION("""COMPUTED_VALUE"""),"AWS S3")</f>
        <v>AWS S3</v>
      </c>
      <c r="G85" s="34"/>
    </row>
    <row r="86">
      <c r="A86" s="34" t="str">
        <f>IFERROR(__xludf.DUMMYFUNCTION("""COMPUTED_VALUE"""),"社長室")</f>
        <v>社長室</v>
      </c>
      <c r="B86" s="34" t="str">
        <f>IFERROR(__xludf.DUMMYFUNCTION("""COMPUTED_VALUE"""),"秘書G")</f>
        <v>秘書G</v>
      </c>
      <c r="C86" s="68">
        <f>IFERROR(__xludf.DUMMYFUNCTION("""COMPUTED_VALUE"""),0.0)</f>
        <v>0</v>
      </c>
      <c r="D86" s="68">
        <f>IFERROR(__xludf.DUMMYFUNCTION("""COMPUTED_VALUE"""),0.0)</f>
        <v>0</v>
      </c>
      <c r="E86" s="34" t="str">
        <f>IFERROR(__xludf.DUMMYFUNCTION("""COMPUTED_VALUE"""),"×")</f>
        <v>×</v>
      </c>
      <c r="F86" s="34" t="str">
        <f>IFERROR(__xludf.DUMMYFUNCTION("""COMPUTED_VALUE"""),"AWS S3")</f>
        <v>AWS S3</v>
      </c>
      <c r="G86" s="34"/>
    </row>
    <row r="87">
      <c r="A87" s="34" t="str">
        <f>IFERROR(__xludf.DUMMYFUNCTION("""COMPUTED_VALUE"""),"社長室")</f>
        <v>社長室</v>
      </c>
      <c r="B87" s="34" t="str">
        <f>IFERROR(__xludf.DUMMYFUNCTION("""COMPUTED_VALUE"""),"メディア渉外G")</f>
        <v>メディア渉外G</v>
      </c>
      <c r="C87" s="68">
        <f>IFERROR(__xludf.DUMMYFUNCTION("""COMPUTED_VALUE"""),0.0)</f>
        <v>0</v>
      </c>
      <c r="D87" s="68">
        <f>IFERROR(__xludf.DUMMYFUNCTION("""COMPUTED_VALUE"""),0.0)</f>
        <v>0</v>
      </c>
      <c r="E87" s="34" t="str">
        <f>IFERROR(__xludf.DUMMYFUNCTION("""COMPUTED_VALUE"""),"×")</f>
        <v>×</v>
      </c>
      <c r="F87" s="34" t="str">
        <f>IFERROR(__xludf.DUMMYFUNCTION("""COMPUTED_VALUE"""),"AWS S3")</f>
        <v>AWS S3</v>
      </c>
      <c r="G87" s="34"/>
    </row>
    <row r="88">
      <c r="A88" s="34" t="str">
        <f>IFERROR(__xludf.DUMMYFUNCTION("""COMPUTED_VALUE"""),"社長室")</f>
        <v>社長室</v>
      </c>
      <c r="B88" s="34" t="str">
        <f>IFERROR(__xludf.DUMMYFUNCTION("""COMPUTED_VALUE"""),"アテネG")</f>
        <v>アテネG</v>
      </c>
      <c r="C88" s="68">
        <f>IFERROR(__xludf.DUMMYFUNCTION("""COMPUTED_VALUE"""),0.0)</f>
        <v>0</v>
      </c>
      <c r="D88" s="68">
        <f>IFERROR(__xludf.DUMMYFUNCTION("""COMPUTED_VALUE"""),0.0)</f>
        <v>0</v>
      </c>
      <c r="E88" s="34" t="str">
        <f>IFERROR(__xludf.DUMMYFUNCTION("""COMPUTED_VALUE"""),"×")</f>
        <v>×</v>
      </c>
      <c r="F88" s="34" t="str">
        <f>IFERROR(__xludf.DUMMYFUNCTION("""COMPUTED_VALUE"""),"AWS S3")</f>
        <v>AWS S3</v>
      </c>
      <c r="G88" s="34"/>
    </row>
    <row r="89">
      <c r="A89" s="34" t="str">
        <f>IFERROR(__xludf.DUMMYFUNCTION("""COMPUTED_VALUE"""),"社長室")</f>
        <v>社長室</v>
      </c>
      <c r="B89" s="34" t="str">
        <f>IFERROR(__xludf.DUMMYFUNCTION("""COMPUTED_VALUE"""),"ミクシィ・リサーチG")</f>
        <v>ミクシィ・リサーチG</v>
      </c>
      <c r="C89" s="68"/>
      <c r="D89" s="68"/>
      <c r="E89" s="34" t="str">
        <f>IFERROR(__xludf.DUMMYFUNCTION("""COMPUTED_VALUE"""),"2014/02/12")</f>
        <v>2014/02/12</v>
      </c>
      <c r="F89" s="34" t="str">
        <f>IFERROR(__xludf.DUMMYFUNCTION("""COMPUTED_VALUE"""),"AWS S3")</f>
        <v>AWS S3</v>
      </c>
      <c r="G89" s="34"/>
    </row>
    <row r="90">
      <c r="A90" s="34" t="str">
        <f>IFERROR(__xludf.DUMMYFUNCTION("""COMPUTED_VALUE"""),"社長室")</f>
        <v>社長室</v>
      </c>
      <c r="B90" s="34" t="str">
        <f>IFERROR(__xludf.DUMMYFUNCTION("""COMPUTED_VALUE"""),"ID・ペイメントG")</f>
        <v>ID・ペイメントG</v>
      </c>
      <c r="C90" s="68">
        <f>IFERROR(__xludf.DUMMYFUNCTION("""COMPUTED_VALUE"""),0.0)</f>
        <v>0</v>
      </c>
      <c r="D90" s="68">
        <f>IFERROR(__xludf.DUMMYFUNCTION("""COMPUTED_VALUE"""),0.0)</f>
        <v>0</v>
      </c>
      <c r="E90" s="34" t="str">
        <f>IFERROR(__xludf.DUMMYFUNCTION("""COMPUTED_VALUE"""),"×")</f>
        <v>×</v>
      </c>
      <c r="F90" s="34" t="str">
        <f>IFERROR(__xludf.DUMMYFUNCTION("""COMPUTED_VALUE"""),"AWS S3")</f>
        <v>AWS S3</v>
      </c>
      <c r="G90" s="34"/>
    </row>
    <row r="91">
      <c r="A91" s="34" t="str">
        <f>IFERROR(__xludf.DUMMYFUNCTION("""COMPUTED_VALUE"""),"社長室")</f>
        <v>社長室</v>
      </c>
      <c r="B91" s="34" t="str">
        <f>IFERROR(__xludf.DUMMYFUNCTION("""COMPUTED_VALUE"""),"室共有")</f>
        <v>室共有</v>
      </c>
      <c r="C91" s="68">
        <f>IFERROR(__xludf.DUMMYFUNCTION("""COMPUTED_VALUE"""),0.0)</f>
        <v>0</v>
      </c>
      <c r="D91" s="68">
        <f>IFERROR(__xludf.DUMMYFUNCTION("""COMPUTED_VALUE"""),0.0)</f>
        <v>0</v>
      </c>
      <c r="E91" s="34" t="str">
        <f>IFERROR(__xludf.DUMMYFUNCTION("""COMPUTED_VALUE"""),"×")</f>
        <v>×</v>
      </c>
      <c r="F91" s="34" t="str">
        <f>IFERROR(__xludf.DUMMYFUNCTION("""COMPUTED_VALUE"""),"AWS S3")</f>
        <v>AWS S3</v>
      </c>
      <c r="G91" s="34"/>
    </row>
    <row r="92">
      <c r="A92" s="34" t="str">
        <f>IFERROR(__xludf.DUMMYFUNCTION("""COMPUTED_VALUE"""),"ユーザーサービス本部")</f>
        <v>ユーザーサービス本部</v>
      </c>
      <c r="B92" s="34" t="str">
        <f>IFERROR(__xludf.DUMMYFUNCTION("""COMPUTED_VALUE"""),"コマース部")</f>
        <v>コマース部</v>
      </c>
      <c r="C92" s="68">
        <f>IFERROR(__xludf.DUMMYFUNCTION("""COMPUTED_VALUE"""),145.0)</f>
        <v>145</v>
      </c>
      <c r="D92" s="68">
        <f>IFERROR(__xludf.DUMMYFUNCTION("""COMPUTED_VALUE"""),686.0)</f>
        <v>686</v>
      </c>
      <c r="E92" s="34" t="str">
        <f>IFERROR(__xludf.DUMMYFUNCTION("""COMPUTED_VALUE"""),"2012/08/06")</f>
        <v>2012/08/06</v>
      </c>
      <c r="F92" s="34" t="str">
        <f>IFERROR(__xludf.DUMMYFUNCTION("""COMPUTED_VALUE"""),"AWS S3")</f>
        <v>AWS S3</v>
      </c>
      <c r="G92" s="34"/>
    </row>
    <row r="93">
      <c r="A93" s="34" t="str">
        <f>IFERROR(__xludf.DUMMYFUNCTION("""COMPUTED_VALUE"""),"ユーザーサービス本部")</f>
        <v>ユーザーサービス本部</v>
      </c>
      <c r="B93" s="34" t="str">
        <f>IFERROR(__xludf.DUMMYFUNCTION("""COMPUTED_VALUE"""),"プロダクト開発部")</f>
        <v>プロダクト開発部</v>
      </c>
      <c r="C93" s="68">
        <f>IFERROR(__xludf.DUMMYFUNCTION("""COMPUTED_VALUE"""),31.0)</f>
        <v>31</v>
      </c>
      <c r="D93" s="68">
        <f>IFERROR(__xludf.DUMMYFUNCTION("""COMPUTED_VALUE"""),44.0)</f>
        <v>44</v>
      </c>
      <c r="E93" s="34" t="str">
        <f>IFERROR(__xludf.DUMMYFUNCTION("""COMPUTED_VALUE"""),"2013/10/10")</f>
        <v>2013/10/10</v>
      </c>
      <c r="F93" s="34" t="str">
        <f>IFERROR(__xludf.DUMMYFUNCTION("""COMPUTED_VALUE"""),"AWS S3")</f>
        <v>AWS S3</v>
      </c>
      <c r="G93" s="34"/>
    </row>
    <row r="94">
      <c r="A94" s="34" t="str">
        <f>IFERROR(__xludf.DUMMYFUNCTION("""COMPUTED_VALUE"""),"ユーザーサービス本部")</f>
        <v>ユーザーサービス本部</v>
      </c>
      <c r="B94" s="34" t="str">
        <f>IFERROR(__xludf.DUMMYFUNCTION("""COMPUTED_VALUE"""),"メディア統括部")</f>
        <v>メディア統括部</v>
      </c>
      <c r="C94" s="68">
        <f>IFERROR(__xludf.DUMMYFUNCTION("""COMPUTED_VALUE"""),17180.0)</f>
        <v>17180</v>
      </c>
      <c r="D94" s="68">
        <f>IFERROR(__xludf.DUMMYFUNCTION("""COMPUTED_VALUE"""),90849.0)</f>
        <v>90849</v>
      </c>
      <c r="E94" s="34" t="str">
        <f>IFERROR(__xludf.DUMMYFUNCTION("""COMPUTED_VALUE"""),"2015/04/30")</f>
        <v>2015/04/30</v>
      </c>
      <c r="F94" s="34" t="str">
        <f>IFERROR(__xludf.DUMMYFUNCTION("""COMPUTED_VALUE"""),"AWS S3")</f>
        <v>AWS S3</v>
      </c>
      <c r="G94" s="34"/>
    </row>
    <row r="95">
      <c r="A95" s="34" t="str">
        <f>IFERROR(__xludf.DUMMYFUNCTION("""COMPUTED_VALUE"""),"ユーザーサービス本部")</f>
        <v>ユーザーサービス本部</v>
      </c>
      <c r="B95" s="34" t="str">
        <f>IFERROR(__xludf.DUMMYFUNCTION("""COMPUTED_VALUE"""),"本部共有")</f>
        <v>本部共有</v>
      </c>
      <c r="C95" s="68">
        <f>IFERROR(__xludf.DUMMYFUNCTION("""COMPUTED_VALUE"""),13.0)</f>
        <v>13</v>
      </c>
      <c r="D95" s="68">
        <f>IFERROR(__xludf.DUMMYFUNCTION("""COMPUTED_VALUE"""),115.0)</f>
        <v>115</v>
      </c>
      <c r="E95" s="34" t="str">
        <f>IFERROR(__xludf.DUMMYFUNCTION("""COMPUTED_VALUE"""),"2013/09/04")</f>
        <v>2013/09/04</v>
      </c>
      <c r="F95" s="34" t="str">
        <f>IFERROR(__xludf.DUMMYFUNCTION("""COMPUTED_VALUE"""),"AWS S3")</f>
        <v>AWS S3</v>
      </c>
      <c r="G95" s="34"/>
    </row>
    <row r="96">
      <c r="A96" s="34" t="str">
        <f>IFERROR(__xludf.DUMMYFUNCTION("""COMPUTED_VALUE"""),"CS推進室")</f>
        <v>CS推進室</v>
      </c>
      <c r="B96" s="34" t="str">
        <f>IFERROR(__xludf.DUMMYFUNCTION("""COMPUTED_VALUE"""),"ユーザーサポートG")</f>
        <v>ユーザーサポートG</v>
      </c>
      <c r="C96" s="68">
        <f>IFERROR(__xludf.DUMMYFUNCTION("""COMPUTED_VALUE"""),1224.0)</f>
        <v>1224</v>
      </c>
      <c r="D96" s="68">
        <f>IFERROR(__xludf.DUMMYFUNCTION("""COMPUTED_VALUE"""),15605.0)</f>
        <v>15605</v>
      </c>
      <c r="E96" s="34" t="str">
        <f>IFERROR(__xludf.DUMMYFUNCTION("""COMPUTED_VALUE"""),"2022/04/18")</f>
        <v>2022/04/18</v>
      </c>
      <c r="F96" s="34" t="str">
        <f>IFERROR(__xludf.DUMMYFUNCTION("""COMPUTED_VALUE"""),"AWS S3")</f>
        <v>AWS S3</v>
      </c>
      <c r="G96" s="34"/>
    </row>
    <row r="97">
      <c r="A97" s="34" t="str">
        <f>IFERROR(__xludf.DUMMYFUNCTION("""COMPUTED_VALUE"""),"CS推進室")</f>
        <v>CS推進室</v>
      </c>
      <c r="B97" s="34" t="str">
        <f>IFERROR(__xludf.DUMMYFUNCTION("""COMPUTED_VALUE"""),"企画G")</f>
        <v>企画G</v>
      </c>
      <c r="C97" s="68">
        <f>IFERROR(__xludf.DUMMYFUNCTION("""COMPUTED_VALUE"""),53.0)</f>
        <v>53</v>
      </c>
      <c r="D97" s="68">
        <f>IFERROR(__xludf.DUMMYFUNCTION("""COMPUTED_VALUE"""),1172.0)</f>
        <v>1172</v>
      </c>
      <c r="E97" s="34" t="str">
        <f>IFERROR(__xludf.DUMMYFUNCTION("""COMPUTED_VALUE"""),"2014/12/31")</f>
        <v>2014/12/31</v>
      </c>
      <c r="F97" s="34" t="str">
        <f>IFERROR(__xludf.DUMMYFUNCTION("""COMPUTED_VALUE"""),"AWS S3")</f>
        <v>AWS S3</v>
      </c>
      <c r="G97" s="34"/>
    </row>
    <row r="98">
      <c r="A98" s="34" t="str">
        <f>IFERROR(__xludf.DUMMYFUNCTION("""COMPUTED_VALUE"""),"CS推進室")</f>
        <v>CS推進室</v>
      </c>
      <c r="B98" s="34" t="str">
        <f>IFERROR(__xludf.DUMMYFUNCTION("""COMPUTED_VALUE"""),"健全化推進G")</f>
        <v>健全化推進G</v>
      </c>
      <c r="C98" s="68">
        <f>IFERROR(__xludf.DUMMYFUNCTION("""COMPUTED_VALUE"""),627.0)</f>
        <v>627</v>
      </c>
      <c r="D98" s="68">
        <f>IFERROR(__xludf.DUMMYFUNCTION("""COMPUTED_VALUE"""),12993.0)</f>
        <v>12993</v>
      </c>
      <c r="E98" s="34" t="str">
        <f>IFERROR(__xludf.DUMMYFUNCTION("""COMPUTED_VALUE"""),"2018/12/17")</f>
        <v>2018/12/17</v>
      </c>
      <c r="F98" s="34" t="str">
        <f>IFERROR(__xludf.DUMMYFUNCTION("""COMPUTED_VALUE"""),"AWS S3")</f>
        <v>AWS S3</v>
      </c>
      <c r="G98" s="34"/>
    </row>
    <row r="99">
      <c r="A99" s="34" t="str">
        <f>IFERROR(__xludf.DUMMYFUNCTION("""COMPUTED_VALUE"""),"CS推進室")</f>
        <v>CS推進室</v>
      </c>
      <c r="B99" s="34" t="str">
        <f>IFERROR(__xludf.DUMMYFUNCTION("""COMPUTED_VALUE"""),"室共有")</f>
        <v>室共有</v>
      </c>
      <c r="C99" s="68">
        <f>IFERROR(__xludf.DUMMYFUNCTION("""COMPUTED_VALUE"""),6403.0)</f>
        <v>6403</v>
      </c>
      <c r="D99" s="68">
        <f>IFERROR(__xludf.DUMMYFUNCTION("""COMPUTED_VALUE"""),42443.0)</f>
        <v>42443</v>
      </c>
      <c r="E99" s="34" t="str">
        <f>IFERROR(__xludf.DUMMYFUNCTION("""COMPUTED_VALUE"""),"2022/04/19")</f>
        <v>2022/04/19</v>
      </c>
      <c r="F99" s="34" t="str">
        <f>IFERROR(__xludf.DUMMYFUNCTION("""COMPUTED_VALUE"""),"AWS S3")</f>
        <v>AWS S3</v>
      </c>
      <c r="G99" s="34"/>
    </row>
    <row r="100">
      <c r="A100" s="34" t="str">
        <f>IFERROR(__xludf.DUMMYFUNCTION("""COMPUTED_VALUE"""),"XFLAG事業本部")</f>
        <v>XFLAG事業本部</v>
      </c>
      <c r="B100" s="34" t="str">
        <f>IFERROR(__xludf.DUMMYFUNCTION("""COMPUTED_VALUE"""),"XFLAG MOBILE")</f>
        <v>XFLAG MOBILE</v>
      </c>
      <c r="C100" s="68">
        <f>IFERROR(__xludf.DUMMYFUNCTION("""COMPUTED_VALUE"""),111.0)</f>
        <v>111</v>
      </c>
      <c r="D100" s="68">
        <f>IFERROR(__xludf.DUMMYFUNCTION("""COMPUTED_VALUE"""),6.0)</f>
        <v>6</v>
      </c>
      <c r="E100" s="34" t="str">
        <f>IFERROR(__xludf.DUMMYFUNCTION("""COMPUTED_VALUE"""),"2021/08/26")</f>
        <v>2021/08/26</v>
      </c>
      <c r="F100" s="34" t="str">
        <f>IFERROR(__xludf.DUMMYFUNCTION("""COMPUTED_VALUE"""),"AWS S3")</f>
        <v>AWS S3</v>
      </c>
      <c r="G100" s="34"/>
    </row>
    <row r="101">
      <c r="A101" s="34" t="str">
        <f>IFERROR(__xludf.DUMMYFUNCTION("""COMPUTED_VALUE"""),"XFLAG事業本部")</f>
        <v>XFLAG事業本部</v>
      </c>
      <c r="B101" s="34" t="str">
        <f>IFERROR(__xludf.DUMMYFUNCTION("""COMPUTED_VALUE"""),"新規事業推進室")</f>
        <v>新規事業推進室</v>
      </c>
      <c r="C101" s="68">
        <f>IFERROR(__xludf.DUMMYFUNCTION("""COMPUTED_VALUE"""),47.0)</f>
        <v>47</v>
      </c>
      <c r="D101" s="68">
        <f>IFERROR(__xludf.DUMMYFUNCTION("""COMPUTED_VALUE"""),3.0)</f>
        <v>3</v>
      </c>
      <c r="E101" s="34" t="str">
        <f>IFERROR(__xludf.DUMMYFUNCTION("""COMPUTED_VALUE"""),"×")</f>
        <v>×</v>
      </c>
      <c r="F101" s="34" t="str">
        <f>IFERROR(__xludf.DUMMYFUNCTION("""COMPUTED_VALUE"""),"AWS S3")</f>
        <v>AWS S3</v>
      </c>
      <c r="G101" s="34"/>
    </row>
    <row r="102">
      <c r="A102" s="34" t="str">
        <f>IFERROR(__xludf.DUMMYFUNCTION("""COMPUTED_VALUE"""),"XFLAG事業本部")</f>
        <v>XFLAG事業本部</v>
      </c>
      <c r="B102" s="34" t="str">
        <f>IFERROR(__xludf.DUMMYFUNCTION("""COMPUTED_VALUE"""),"ビジネス開発室")</f>
        <v>ビジネス開発室</v>
      </c>
      <c r="C102" s="68">
        <f>IFERROR(__xludf.DUMMYFUNCTION("""COMPUTED_VALUE"""),61.0)</f>
        <v>61</v>
      </c>
      <c r="D102" s="68">
        <f>IFERROR(__xludf.DUMMYFUNCTION("""COMPUTED_VALUE"""),514.0)</f>
        <v>514</v>
      </c>
      <c r="E102" s="34" t="str">
        <f>IFERROR(__xludf.DUMMYFUNCTION("""COMPUTED_VALUE"""),"2017/06/16")</f>
        <v>2017/06/16</v>
      </c>
      <c r="F102" s="34" t="str">
        <f>IFERROR(__xludf.DUMMYFUNCTION("""COMPUTED_VALUE"""),"AWS S3")</f>
        <v>AWS S3</v>
      </c>
      <c r="G102" s="34"/>
    </row>
    <row r="103">
      <c r="A103" s="34" t="str">
        <f>IFERROR(__xludf.DUMMYFUNCTION("""COMPUTED_VALUE"""),"XFLAG事業本部")</f>
        <v>XFLAG事業本部</v>
      </c>
      <c r="B103" s="34" t="str">
        <f>IFERROR(__xludf.DUMMYFUNCTION("""COMPUTED_VALUE"""),"XFLAG ARTS")</f>
        <v>XFLAG ARTS</v>
      </c>
      <c r="C103" s="68">
        <f>IFERROR(__xludf.DUMMYFUNCTION("""COMPUTED_VALUE"""),2331.0)</f>
        <v>2331</v>
      </c>
      <c r="D103" s="68">
        <f>IFERROR(__xludf.DUMMYFUNCTION("""COMPUTED_VALUE"""),11946.0)</f>
        <v>11946</v>
      </c>
      <c r="E103" s="34" t="str">
        <f>IFERROR(__xludf.DUMMYFUNCTION("""COMPUTED_VALUE"""),"2018/07/31")</f>
        <v>2018/07/31</v>
      </c>
      <c r="F103" s="34" t="str">
        <f>IFERROR(__xludf.DUMMYFUNCTION("""COMPUTED_VALUE"""),"AWS S3")</f>
        <v>AWS S3</v>
      </c>
      <c r="G103" s="34"/>
    </row>
    <row r="104">
      <c r="A104" s="34" t="str">
        <f>IFERROR(__xludf.DUMMYFUNCTION("""COMPUTED_VALUE"""),"XFLAG事業本部")</f>
        <v>XFLAG事業本部</v>
      </c>
      <c r="B104" s="34" t="str">
        <f>IFERROR(__xludf.DUMMYFUNCTION("""COMPUTED_VALUE"""),"ファイトリーグ事業部")</f>
        <v>ファイトリーグ事業部</v>
      </c>
      <c r="C104" s="68">
        <f>IFERROR(__xludf.DUMMYFUNCTION("""COMPUTED_VALUE"""),34.0)</f>
        <v>34</v>
      </c>
      <c r="D104" s="68">
        <f>IFERROR(__xludf.DUMMYFUNCTION("""COMPUTED_VALUE"""),3.0)</f>
        <v>3</v>
      </c>
      <c r="E104" s="34" t="str">
        <f>IFERROR(__xludf.DUMMYFUNCTION("""COMPUTED_VALUE"""),"×")</f>
        <v>×</v>
      </c>
      <c r="F104" s="34" t="str">
        <f>IFERROR(__xludf.DUMMYFUNCTION("""COMPUTED_VALUE"""),"AWS S3")</f>
        <v>AWS S3</v>
      </c>
      <c r="G104" s="34"/>
    </row>
    <row r="105">
      <c r="A105" s="34" t="str">
        <f>IFERROR(__xludf.DUMMYFUNCTION("""COMPUTED_VALUE"""),"XFLAG事業本部")</f>
        <v>XFLAG事業本部</v>
      </c>
      <c r="B105" s="34" t="str">
        <f>IFERROR(__xludf.DUMMYFUNCTION("""COMPUTED_VALUE"""),"IP開発室")</f>
        <v>IP開発室</v>
      </c>
      <c r="C105" s="68">
        <f>IFERROR(__xludf.DUMMYFUNCTION("""COMPUTED_VALUE"""),5782.0)</f>
        <v>5782</v>
      </c>
      <c r="D105" s="68">
        <f>IFERROR(__xludf.DUMMYFUNCTION("""COMPUTED_VALUE"""),97346.0)</f>
        <v>97346</v>
      </c>
      <c r="E105" s="34" t="str">
        <f>IFERROR(__xludf.DUMMYFUNCTION("""COMPUTED_VALUE"""),"2020/08/17")</f>
        <v>2020/08/17</v>
      </c>
      <c r="F105" s="34" t="str">
        <f>IFERROR(__xludf.DUMMYFUNCTION("""COMPUTED_VALUE"""),"AWS S3")</f>
        <v>AWS S3</v>
      </c>
      <c r="G105" s="34"/>
    </row>
    <row r="106">
      <c r="A106" s="34" t="str">
        <f>IFERROR(__xludf.DUMMYFUNCTION("""COMPUTED_VALUE"""),"XFLAG事業本部")</f>
        <v>XFLAG事業本部</v>
      </c>
      <c r="B106" s="34" t="str">
        <f>IFERROR(__xludf.DUMMYFUNCTION("""COMPUTED_VALUE"""),"XFLAG PICTURES")</f>
        <v>XFLAG PICTURES</v>
      </c>
      <c r="C106" s="68">
        <f>IFERROR(__xludf.DUMMYFUNCTION("""COMPUTED_VALUE"""),428.0)</f>
        <v>428</v>
      </c>
      <c r="D106" s="68">
        <f>IFERROR(__xludf.DUMMYFUNCTION("""COMPUTED_VALUE"""),1449.0)</f>
        <v>1449</v>
      </c>
      <c r="E106" s="34" t="str">
        <f>IFERROR(__xludf.DUMMYFUNCTION("""COMPUTED_VALUE"""),"2018/12/12")</f>
        <v>2018/12/12</v>
      </c>
      <c r="F106" s="34" t="str">
        <f>IFERROR(__xludf.DUMMYFUNCTION("""COMPUTED_VALUE"""),"AWS S3")</f>
        <v>AWS S3</v>
      </c>
      <c r="G106" s="34"/>
    </row>
    <row r="107">
      <c r="A107" s="34" t="str">
        <f>IFERROR(__xludf.DUMMYFUNCTION("""COMPUTED_VALUE"""),"スポーツ事業本部")</f>
        <v>スポーツ事業本部</v>
      </c>
      <c r="B107" s="34" t="str">
        <f>IFERROR(__xludf.DUMMYFUNCTION("""COMPUTED_VALUE"""),"事業戦略室")</f>
        <v>事業戦略室</v>
      </c>
      <c r="C107" s="68">
        <f>IFERROR(__xludf.DUMMYFUNCTION("""COMPUTED_VALUE"""),299.0)</f>
        <v>299</v>
      </c>
      <c r="D107" s="68">
        <f>IFERROR(__xludf.DUMMYFUNCTION("""COMPUTED_VALUE"""),15808.0)</f>
        <v>15808</v>
      </c>
      <c r="E107" s="34" t="str">
        <f>IFERROR(__xludf.DUMMYFUNCTION("""COMPUTED_VALUE"""),"2020/07/16")</f>
        <v>2020/07/16</v>
      </c>
      <c r="F107" s="34" t="str">
        <f>IFERROR(__xludf.DUMMYFUNCTION("""COMPUTED_VALUE"""),"AWS S3")</f>
        <v>AWS S3</v>
      </c>
      <c r="G107" s="34"/>
    </row>
    <row r="108">
      <c r="A108" s="34" t="str">
        <f>IFERROR(__xludf.DUMMYFUNCTION("""COMPUTED_VALUE"""),"次世代エンターテインメント事業本部")</f>
        <v>次世代エンターテインメント事業本部</v>
      </c>
      <c r="B108" s="34" t="str">
        <f>IFERROR(__xludf.DUMMYFUNCTION("""COMPUTED_VALUE"""),"ライブ動画ビジネス推進室")</f>
        <v>ライブ動画ビジネス推進室</v>
      </c>
      <c r="C108" s="68">
        <f>IFERROR(__xludf.DUMMYFUNCTION("""COMPUTED_VALUE"""),64.0)</f>
        <v>64</v>
      </c>
      <c r="D108" s="68">
        <f>IFERROR(__xludf.DUMMYFUNCTION("""COMPUTED_VALUE"""),124.0)</f>
        <v>124</v>
      </c>
      <c r="E108" s="34" t="str">
        <f>IFERROR(__xludf.DUMMYFUNCTION("""COMPUTED_VALUE"""),"2022/04/28")</f>
        <v>2022/04/28</v>
      </c>
      <c r="F108" s="34" t="str">
        <f>IFERROR(__xludf.DUMMYFUNCTION("""COMPUTED_VALUE"""),"AWS S3")</f>
        <v>AWS S3</v>
      </c>
      <c r="G108" s="34"/>
    </row>
    <row r="109">
      <c r="A109" s="34" t="str">
        <f>IFERROR(__xludf.DUMMYFUNCTION("""COMPUTED_VALUE"""),"次世代エンターテインメント事業本部")</f>
        <v>次世代エンターテインメント事業本部</v>
      </c>
      <c r="B109" s="34" t="str">
        <f>IFERROR(__xludf.DUMMYFUNCTION("""COMPUTED_VALUE"""),"次世代エンターテインメント室")</f>
        <v>次世代エンターテインメント室</v>
      </c>
      <c r="C109" s="68">
        <f>IFERROR(__xludf.DUMMYFUNCTION("""COMPUTED_VALUE"""),123.0)</f>
        <v>123</v>
      </c>
      <c r="D109" s="68">
        <f>IFERROR(__xludf.DUMMYFUNCTION("""COMPUTED_VALUE"""),702.0)</f>
        <v>702</v>
      </c>
      <c r="E109" s="34" t="str">
        <f>IFERROR(__xludf.DUMMYFUNCTION("""COMPUTED_VALUE"""),"2020/10/20")</f>
        <v>2020/10/20</v>
      </c>
      <c r="F109" s="34" t="str">
        <f>IFERROR(__xludf.DUMMYFUNCTION("""COMPUTED_VALUE"""),"AWS S3")</f>
        <v>AWS S3</v>
      </c>
      <c r="G109" s="34"/>
    </row>
    <row r="110">
      <c r="A110" s="34" t="str">
        <f>IFERROR(__xludf.DUMMYFUNCTION("""COMPUTED_VALUE"""),"はたらく環境推進本部")</f>
        <v>はたらく環境推進本部</v>
      </c>
      <c r="B110" s="34" t="str">
        <f>IFERROR(__xludf.DUMMYFUNCTION("""COMPUTED_VALUE"""),"社内IT室")</f>
        <v>社内IT室</v>
      </c>
      <c r="C110" s="68">
        <f>IFERROR(__xludf.DUMMYFUNCTION("""COMPUTED_VALUE"""),32.0)</f>
        <v>32</v>
      </c>
      <c r="D110" s="68">
        <f>IFERROR(__xludf.DUMMYFUNCTION("""COMPUTED_VALUE"""),18.0)</f>
        <v>18</v>
      </c>
      <c r="E110" s="34" t="str">
        <f>IFERROR(__xludf.DUMMYFUNCTION("""COMPUTED_VALUE"""),"2022/07/22")</f>
        <v>2022/07/22</v>
      </c>
      <c r="F110" s="34" t="str">
        <f>IFERROR(__xludf.DUMMYFUNCTION("""COMPUTED_VALUE"""),"AWS S3")</f>
        <v>AWS S3</v>
      </c>
      <c r="G110" s="34"/>
    </row>
    <row r="111">
      <c r="A111" s="34" t="str">
        <f>IFERROR(__xludf.DUMMYFUNCTION("""COMPUTED_VALUE"""),"イノベーションセンター")</f>
        <v>イノベーションセンター</v>
      </c>
      <c r="B111" s="34" t="str">
        <f>IFERROR(__xludf.DUMMYFUNCTION("""COMPUTED_VALUE"""),"イノベーションG")</f>
        <v>イノベーションG</v>
      </c>
      <c r="C111" s="68">
        <f>IFERROR(__xludf.DUMMYFUNCTION("""COMPUTED_VALUE"""),179.0)</f>
        <v>179</v>
      </c>
      <c r="D111" s="68">
        <f>IFERROR(__xludf.DUMMYFUNCTION("""COMPUTED_VALUE"""),1079.0)</f>
        <v>1079</v>
      </c>
      <c r="E111" s="34" t="str">
        <f>IFERROR(__xludf.DUMMYFUNCTION("""COMPUTED_VALUE"""),"2013/12/02")</f>
        <v>2013/12/02</v>
      </c>
      <c r="F111" s="34" t="str">
        <f>IFERROR(__xludf.DUMMYFUNCTION("""COMPUTED_VALUE"""),"AWS S3")</f>
        <v>AWS S3</v>
      </c>
      <c r="G111" s="34"/>
    </row>
    <row r="112">
      <c r="A112" s="34" t="str">
        <f>IFERROR(__xludf.DUMMYFUNCTION("""COMPUTED_VALUE"""),"イノベーションセンター")</f>
        <v>イノベーションセンター</v>
      </c>
      <c r="B112" s="34" t="str">
        <f>IFERROR(__xludf.DUMMYFUNCTION("""COMPUTED_VALUE"""),"室共有")</f>
        <v>室共有</v>
      </c>
      <c r="C112" s="68">
        <f>IFERROR(__xludf.DUMMYFUNCTION("""COMPUTED_VALUE"""),2.0)</f>
        <v>2</v>
      </c>
      <c r="D112" s="68">
        <f>IFERROR(__xludf.DUMMYFUNCTION("""COMPUTED_VALUE"""),37.0)</f>
        <v>37</v>
      </c>
      <c r="E112" s="34" t="str">
        <f>IFERROR(__xludf.DUMMYFUNCTION("""COMPUTED_VALUE"""),"2013/07/24")</f>
        <v>2013/07/24</v>
      </c>
      <c r="F112" s="34" t="str">
        <f>IFERROR(__xludf.DUMMYFUNCTION("""COMPUTED_VALUE"""),"AWS S3")</f>
        <v>AWS S3</v>
      </c>
      <c r="G112" s="34"/>
    </row>
    <row r="113">
      <c r="A113" s="34" t="str">
        <f>IFERROR(__xludf.DUMMYFUNCTION("""COMPUTED_VALUE"""),"統括管理本部")</f>
        <v>統括管理本部</v>
      </c>
      <c r="B113" s="34" t="str">
        <f>IFERROR(__xludf.DUMMYFUNCTION("""COMPUTED_VALUE"""),"法務部")</f>
        <v>法務部</v>
      </c>
      <c r="C113" s="68">
        <f>IFERROR(__xludf.DUMMYFUNCTION("""COMPUTED_VALUE"""),15096.0)</f>
        <v>15096</v>
      </c>
      <c r="D113" s="68">
        <f>IFERROR(__xludf.DUMMYFUNCTION("""COMPUTED_VALUE"""),51869.0)</f>
        <v>51869</v>
      </c>
      <c r="E113" s="34" t="str">
        <f>IFERROR(__xludf.DUMMYFUNCTION("""COMPUTED_VALUE"""),"2021/08/10")</f>
        <v>2021/08/10</v>
      </c>
      <c r="F113" s="34" t="str">
        <f>IFERROR(__xludf.DUMMYFUNCTION("""COMPUTED_VALUE"""),"AWS S3")</f>
        <v>AWS S3</v>
      </c>
      <c r="G113" s="34"/>
    </row>
    <row r="114">
      <c r="A114" s="34" t="str">
        <f>IFERROR(__xludf.DUMMYFUNCTION("""COMPUTED_VALUE"""),"統括管理本部")</f>
        <v>統括管理本部</v>
      </c>
      <c r="B114" s="34" t="str">
        <f>IFERROR(__xludf.DUMMYFUNCTION("""COMPUTED_VALUE"""),"広報部")</f>
        <v>広報部</v>
      </c>
      <c r="C114" s="68">
        <f>IFERROR(__xludf.DUMMYFUNCTION("""COMPUTED_VALUE"""),3315.0)</f>
        <v>3315</v>
      </c>
      <c r="D114" s="68">
        <f>IFERROR(__xludf.DUMMYFUNCTION("""COMPUTED_VALUE"""),23560.0)</f>
        <v>23560</v>
      </c>
      <c r="E114" s="34" t="str">
        <f>IFERROR(__xludf.DUMMYFUNCTION("""COMPUTED_VALUE"""),"2018/10/31")</f>
        <v>2018/10/31</v>
      </c>
      <c r="F114" s="34" t="str">
        <f>IFERROR(__xludf.DUMMYFUNCTION("""COMPUTED_VALUE"""),"AWS S3")</f>
        <v>AWS S3</v>
      </c>
      <c r="G114" s="34"/>
    </row>
    <row r="115">
      <c r="A115" s="34" t="str">
        <f>IFERROR(__xludf.DUMMYFUNCTION("""COMPUTED_VALUE"""),"_old_data")</f>
        <v>_old_data</v>
      </c>
      <c r="B115" s="34" t="str">
        <f>IFERROR(__xludf.DUMMYFUNCTION("""COMPUTED_VALUE"""),"このフォルダは利用不可")</f>
        <v>このフォルダは利用不可</v>
      </c>
      <c r="C115" s="68"/>
      <c r="D115" s="68"/>
      <c r="E115" s="34" t="str">
        <f>IFERROR(__xludf.DUMMYFUNCTION("""COMPUTED_VALUE"""),"×")</f>
        <v>×</v>
      </c>
      <c r="F115" s="34" t="str">
        <f>IFERROR(__xludf.DUMMYFUNCTION("""COMPUTED_VALUE"""),"AWS S3")</f>
        <v>AWS S3</v>
      </c>
      <c r="G115" s="34"/>
    </row>
    <row r="116">
      <c r="A116" s="34" t="str">
        <f>IFERROR(__xludf.DUMMYFUNCTION("""COMPUTED_VALUE"""),"デジタルエンターテインメント事業本部")</f>
        <v>デジタルエンターテインメント事業本部</v>
      </c>
      <c r="B116" s="34" t="str">
        <f>IFERROR(__xludf.DUMMYFUNCTION("""COMPUTED_VALUE"""),"事業企画部")</f>
        <v>事業企画部</v>
      </c>
      <c r="C116" s="68">
        <f>IFERROR(__xludf.DUMMYFUNCTION("""COMPUTED_VALUE"""),241.0)</f>
        <v>241</v>
      </c>
      <c r="D116" s="68">
        <f>IFERROR(__xludf.DUMMYFUNCTION("""COMPUTED_VALUE"""),670.0)</f>
        <v>670</v>
      </c>
      <c r="E116" s="34" t="str">
        <f>IFERROR(__xludf.DUMMYFUNCTION("""COMPUTED_VALUE"""),"2020/04/22")</f>
        <v>2020/04/22</v>
      </c>
      <c r="F116" s="34" t="str">
        <f>IFERROR(__xludf.DUMMYFUNCTION("""COMPUTED_VALUE"""),"AWS S3")</f>
        <v>AWS S3</v>
      </c>
      <c r="G116" s="34"/>
    </row>
    <row r="117">
      <c r="A117" s="34" t="str">
        <f>IFERROR(__xludf.DUMMYFUNCTION("""COMPUTED_VALUE"""),"デジタルエンターテインメント事業本部")</f>
        <v>デジタルエンターテインメント事業本部</v>
      </c>
      <c r="B117" s="34" t="str">
        <f>IFERROR(__xludf.DUMMYFUNCTION("""COMPUTED_VALUE"""),"インキュベーション事業部")</f>
        <v>インキュベーション事業部</v>
      </c>
      <c r="C117" s="68">
        <f>IFERROR(__xludf.DUMMYFUNCTION("""COMPUTED_VALUE"""),98.0)</f>
        <v>98</v>
      </c>
      <c r="D117" s="68">
        <f>IFERROR(__xludf.DUMMYFUNCTION("""COMPUTED_VALUE"""),7.0)</f>
        <v>7</v>
      </c>
      <c r="E117" s="34" t="str">
        <f>IFERROR(__xludf.DUMMYFUNCTION("""COMPUTED_VALUE"""),"2019/09/24")</f>
        <v>2019/09/24</v>
      </c>
      <c r="F117" s="34" t="str">
        <f>IFERROR(__xludf.DUMMYFUNCTION("""COMPUTED_VALUE"""),"AWS S3")</f>
        <v>AWS S3</v>
      </c>
      <c r="G117" s="34"/>
    </row>
    <row r="118">
      <c r="A118" s="34" t="str">
        <f>IFERROR(__xludf.DUMMYFUNCTION("""COMPUTED_VALUE"""),"デジタルエンターテインメント事業本部")</f>
        <v>デジタルエンターテインメント事業本部</v>
      </c>
      <c r="B118" s="34" t="str">
        <f>IFERROR(__xludf.DUMMYFUNCTION("""COMPUTED_VALUE"""),"本部共有")</f>
        <v>本部共有</v>
      </c>
      <c r="C118" s="68">
        <f>IFERROR(__xludf.DUMMYFUNCTION("""COMPUTED_VALUE"""),379.0)</f>
        <v>379</v>
      </c>
      <c r="D118" s="68">
        <f>IFERROR(__xludf.DUMMYFUNCTION("""COMPUTED_VALUE"""),405.0)</f>
        <v>405</v>
      </c>
      <c r="E118" s="34" t="str">
        <f>IFERROR(__xludf.DUMMYFUNCTION("""COMPUTED_VALUE"""),"2020/07/02")</f>
        <v>2020/07/02</v>
      </c>
      <c r="F118" s="34" t="str">
        <f>IFERROR(__xludf.DUMMYFUNCTION("""COMPUTED_VALUE"""),"AWS S3")</f>
        <v>AWS S3</v>
      </c>
      <c r="G118" s="34"/>
    </row>
    <row r="119">
      <c r="A119" s="34" t="str">
        <f>IFERROR(__xludf.DUMMYFUNCTION("""COMPUTED_VALUE"""),"デジタルエンターテインメント事業本部")</f>
        <v>デジタルエンターテインメント事業本部</v>
      </c>
      <c r="B119" s="34" t="str">
        <f>IFERROR(__xludf.DUMMYFUNCTION("""COMPUTED_VALUE"""),"MKP事業部")</f>
        <v>MKP事業部</v>
      </c>
      <c r="C119" s="68">
        <f>IFERROR(__xludf.DUMMYFUNCTION("""COMPUTED_VALUE"""),42.0)</f>
        <v>42</v>
      </c>
      <c r="D119" s="68">
        <f>IFERROR(__xludf.DUMMYFUNCTION("""COMPUTED_VALUE"""),73.0)</f>
        <v>73</v>
      </c>
      <c r="E119" s="34" t="str">
        <f>IFERROR(__xludf.DUMMYFUNCTION("""COMPUTED_VALUE"""),"2019/12/12")</f>
        <v>2019/12/12</v>
      </c>
      <c r="F119" s="34" t="str">
        <f>IFERROR(__xludf.DUMMYFUNCTION("""COMPUTED_VALUE"""),"AWS S3")</f>
        <v>AWS S3</v>
      </c>
      <c r="G119" s="34"/>
    </row>
    <row r="120">
      <c r="A120" s="34" t="str">
        <f>IFERROR(__xludf.DUMMYFUNCTION("""COMPUTED_VALUE"""),"デジタルエンターテインメント事業本部")</f>
        <v>デジタルエンターテインメント事業本部</v>
      </c>
      <c r="B120" s="34" t="str">
        <f>IFERROR(__xludf.DUMMYFUNCTION("""COMPUTED_VALUE"""),"事業開発室")</f>
        <v>事業開発室</v>
      </c>
      <c r="C120" s="68">
        <f>IFERROR(__xludf.DUMMYFUNCTION("""COMPUTED_VALUE"""),38.0)</f>
        <v>38</v>
      </c>
      <c r="D120" s="68">
        <f>IFERROR(__xludf.DUMMYFUNCTION("""COMPUTED_VALUE"""),558.0)</f>
        <v>558</v>
      </c>
      <c r="E120" s="34" t="str">
        <f>IFERROR(__xludf.DUMMYFUNCTION("""COMPUTED_VALUE"""),"2019/12/05")</f>
        <v>2019/12/05</v>
      </c>
      <c r="F120" s="34" t="str">
        <f>IFERROR(__xludf.DUMMYFUNCTION("""COMPUTED_VALUE"""),"AWS S3")</f>
        <v>AWS S3</v>
      </c>
      <c r="G120" s="34"/>
    </row>
    <row r="121">
      <c r="A121" s="34" t="str">
        <f>IFERROR(__xludf.DUMMYFUNCTION("""COMPUTED_VALUE"""),"デジタルエンターテインメント事業本部")</f>
        <v>デジタルエンターテインメント事業本部</v>
      </c>
      <c r="B121" s="34" t="str">
        <f>IFERROR(__xludf.DUMMYFUNCTION("""COMPUTED_VALUE"""),"IP開発室")</f>
        <v>IP開発室</v>
      </c>
      <c r="C121" s="68">
        <f>IFERROR(__xludf.DUMMYFUNCTION("""COMPUTED_VALUE"""),246.0)</f>
        <v>246</v>
      </c>
      <c r="D121" s="68">
        <f>IFERROR(__xludf.DUMMYFUNCTION("""COMPUTED_VALUE"""),1896.0)</f>
        <v>1896</v>
      </c>
      <c r="E121" s="34" t="str">
        <f>IFERROR(__xludf.DUMMYFUNCTION("""COMPUTED_VALUE"""),"2020/01/23")</f>
        <v>2020/01/23</v>
      </c>
      <c r="F121" s="34" t="str">
        <f>IFERROR(__xludf.DUMMYFUNCTION("""COMPUTED_VALUE"""),"AWS S3")</f>
        <v>AWS S3</v>
      </c>
      <c r="G121" s="34"/>
    </row>
    <row r="122">
      <c r="A122" s="34" t="str">
        <f>IFERROR(__xludf.DUMMYFUNCTION("""COMPUTED_VALUE"""),"デジタルエンターテインメント事業本部")</f>
        <v>デジタルエンターテインメント事業本部</v>
      </c>
      <c r="B122" s="34" t="str">
        <f>IFERROR(__xludf.DUMMYFUNCTION("""COMPUTED_VALUE"""),"XFLAG PICTURES")</f>
        <v>XFLAG PICTURES</v>
      </c>
      <c r="C122" s="68">
        <f>IFERROR(__xludf.DUMMYFUNCTION("""COMPUTED_VALUE"""),9963.0)</f>
        <v>9963</v>
      </c>
      <c r="D122" s="68">
        <f>IFERROR(__xludf.DUMMYFUNCTION("""COMPUTED_VALUE"""),30679.0)</f>
        <v>30679</v>
      </c>
      <c r="E122" s="34" t="str">
        <f>IFERROR(__xludf.DUMMYFUNCTION("""COMPUTED_VALUE"""),"2020/02/20")</f>
        <v>2020/02/20</v>
      </c>
      <c r="F122" s="34" t="str">
        <f>IFERROR(__xludf.DUMMYFUNCTION("""COMPUTED_VALUE"""),"AWS S3")</f>
        <v>AWS S3</v>
      </c>
      <c r="G122" s="34"/>
    </row>
    <row r="123">
      <c r="A123" s="34" t="str">
        <f>IFERROR(__xludf.DUMMYFUNCTION("""COMPUTED_VALUE"""),"事業デザイン本部")</f>
        <v>事業デザイン本部</v>
      </c>
      <c r="B123" s="34" t="str">
        <f>IFERROR(__xludf.DUMMYFUNCTION("""COMPUTED_VALUE"""),"事業デザイン部")</f>
        <v>事業デザイン部</v>
      </c>
      <c r="C123" s="68">
        <f>IFERROR(__xludf.DUMMYFUNCTION("""COMPUTED_VALUE"""),516.0)</f>
        <v>516</v>
      </c>
      <c r="D123" s="68">
        <f>IFERROR(__xludf.DUMMYFUNCTION("""COMPUTED_VALUE"""),2450.0)</f>
        <v>2450</v>
      </c>
      <c r="E123" s="34" t="str">
        <f>IFERROR(__xludf.DUMMYFUNCTION("""COMPUTED_VALUE"""),"2014/02/28")</f>
        <v>2014/02/28</v>
      </c>
      <c r="F123" s="34" t="str">
        <f>IFERROR(__xludf.DUMMYFUNCTION("""COMPUTED_VALUE"""),"AWS S3")</f>
        <v>AWS S3</v>
      </c>
      <c r="G123" s="34"/>
    </row>
    <row r="124">
      <c r="A124" s="34" t="str">
        <f>IFERROR(__xludf.DUMMYFUNCTION("""COMPUTED_VALUE"""),"コーポレートサポート本部")</f>
        <v>コーポレートサポート本部</v>
      </c>
      <c r="B124" s="34" t="str">
        <f>IFERROR(__xludf.DUMMYFUNCTION("""COMPUTED_VALUE"""),"ビジネスサポート室")</f>
        <v>ビジネスサポート室</v>
      </c>
      <c r="C124" s="68">
        <f>IFERROR(__xludf.DUMMYFUNCTION("""COMPUTED_VALUE"""),1204.0)</f>
        <v>1204</v>
      </c>
      <c r="D124" s="68">
        <f>IFERROR(__xludf.DUMMYFUNCTION("""COMPUTED_VALUE"""),11784.0)</f>
        <v>11784</v>
      </c>
      <c r="E124" s="34" t="str">
        <f>IFERROR(__xludf.DUMMYFUNCTION("""COMPUTED_VALUE"""),"2021/10/13")</f>
        <v>2021/10/13</v>
      </c>
      <c r="F124" s="34" t="str">
        <f>IFERROR(__xludf.DUMMYFUNCTION("""COMPUTED_VALUE"""),"AWS S3")</f>
        <v>AWS S3</v>
      </c>
      <c r="G124" s="34"/>
    </row>
    <row r="125">
      <c r="A125" s="34" t="str">
        <f>IFERROR(__xludf.DUMMYFUNCTION("""COMPUTED_VALUE"""),"人事部")</f>
        <v>人事部</v>
      </c>
      <c r="B125" s="34" t="str">
        <f>IFERROR(__xludf.DUMMYFUNCTION("""COMPUTED_VALUE"""),"労務G")</f>
        <v>労務G</v>
      </c>
      <c r="C125" s="68">
        <f>IFERROR(__xludf.DUMMYFUNCTION("""COMPUTED_VALUE"""),679.0)</f>
        <v>679</v>
      </c>
      <c r="D125" s="68">
        <f>IFERROR(__xludf.DUMMYFUNCTION("""COMPUTED_VALUE"""),6839.0)</f>
        <v>6839</v>
      </c>
      <c r="E125" s="34" t="str">
        <f>IFERROR(__xludf.DUMMYFUNCTION("""COMPUTED_VALUE"""),"2017/01/16")</f>
        <v>2017/01/16</v>
      </c>
      <c r="F125" s="34" t="str">
        <f>IFERROR(__xludf.DUMMYFUNCTION("""COMPUTED_VALUE"""),"AWS S3")</f>
        <v>AWS S3</v>
      </c>
      <c r="G125" s="34"/>
    </row>
    <row r="126">
      <c r="A126" s="34" t="str">
        <f>IFERROR(__xludf.DUMMYFUNCTION("""COMPUTED_VALUE"""),"人事部")</f>
        <v>人事部</v>
      </c>
      <c r="B126" s="34" t="str">
        <f>IFERROR(__xludf.DUMMYFUNCTION("""COMPUTED_VALUE"""),"採用・育成G")</f>
        <v>採用・育成G</v>
      </c>
      <c r="C126" s="68">
        <f>IFERROR(__xludf.DUMMYFUNCTION("""COMPUTED_VALUE"""),6021.0)</f>
        <v>6021</v>
      </c>
      <c r="D126" s="68">
        <f>IFERROR(__xludf.DUMMYFUNCTION("""COMPUTED_VALUE"""),45116.0)</f>
        <v>45116</v>
      </c>
      <c r="E126" s="34" t="str">
        <f>IFERROR(__xludf.DUMMYFUNCTION("""COMPUTED_VALUE"""),"2022/08/26")</f>
        <v>2022/08/26</v>
      </c>
      <c r="F126" s="34" t="str">
        <f>IFERROR(__xludf.DUMMYFUNCTION("""COMPUTED_VALUE"""),"AWS S3")</f>
        <v>AWS S3</v>
      </c>
      <c r="G126" s="34"/>
    </row>
    <row r="127">
      <c r="A127" s="34" t="str">
        <f>IFERROR(__xludf.DUMMYFUNCTION("""COMPUTED_VALUE"""),"人事部")</f>
        <v>人事部</v>
      </c>
      <c r="B127" s="34" t="str">
        <f>IFERROR(__xludf.DUMMYFUNCTION("""COMPUTED_VALUE"""),"はたらく環境G")</f>
        <v>はたらく環境G</v>
      </c>
      <c r="C127" s="68">
        <f>IFERROR(__xludf.DUMMYFUNCTION("""COMPUTED_VALUE"""),12.0)</f>
        <v>12</v>
      </c>
      <c r="D127" s="68">
        <f>IFERROR(__xludf.DUMMYFUNCTION("""COMPUTED_VALUE"""),7.0)</f>
        <v>7</v>
      </c>
      <c r="E127" s="34" t="str">
        <f>IFERROR(__xludf.DUMMYFUNCTION("""COMPUTED_VALUE"""),"2017/06/11")</f>
        <v>2017/06/11</v>
      </c>
      <c r="F127" s="34" t="str">
        <f>IFERROR(__xludf.DUMMYFUNCTION("""COMPUTED_VALUE"""),"AWS S3")</f>
        <v>AWS S3</v>
      </c>
      <c r="G127" s="34"/>
    </row>
    <row r="128">
      <c r="A128" s="34" t="str">
        <f>IFERROR(__xludf.DUMMYFUNCTION("""COMPUTED_VALUE"""),"人事部")</f>
        <v>人事部</v>
      </c>
      <c r="B128" s="34" t="str">
        <f>IFERROR(__xludf.DUMMYFUNCTION("""COMPUTED_VALUE"""),"企画G")</f>
        <v>企画G</v>
      </c>
      <c r="C128" s="68">
        <f>IFERROR(__xludf.DUMMYFUNCTION("""COMPUTED_VALUE"""),4936.0)</f>
        <v>4936</v>
      </c>
      <c r="D128" s="68">
        <f>IFERROR(__xludf.DUMMYFUNCTION("""COMPUTED_VALUE"""),27063.0)</f>
        <v>27063</v>
      </c>
      <c r="E128" s="34" t="str">
        <f>IFERROR(__xludf.DUMMYFUNCTION("""COMPUTED_VALUE"""),"2019/04/03")</f>
        <v>2019/04/03</v>
      </c>
      <c r="F128" s="34" t="str">
        <f>IFERROR(__xludf.DUMMYFUNCTION("""COMPUTED_VALUE"""),"AWS S3")</f>
        <v>AWS S3</v>
      </c>
      <c r="G128" s="34"/>
    </row>
    <row r="129">
      <c r="A129" s="34" t="str">
        <f>IFERROR(__xludf.DUMMYFUNCTION("""COMPUTED_VALUE"""),"人事部")</f>
        <v>人事部</v>
      </c>
      <c r="B129" s="34" t="str">
        <f>IFERROR(__xludf.DUMMYFUNCTION("""COMPUTED_VALUE"""),"人材開発G")</f>
        <v>人材開発G</v>
      </c>
      <c r="C129" s="68">
        <f>IFERROR(__xludf.DUMMYFUNCTION("""COMPUTED_VALUE"""),9066.0)</f>
        <v>9066</v>
      </c>
      <c r="D129" s="68">
        <f>IFERROR(__xludf.DUMMYFUNCTION("""COMPUTED_VALUE"""),67691.0)</f>
        <v>67691</v>
      </c>
      <c r="E129" s="34" t="str">
        <f>IFERROR(__xludf.DUMMYFUNCTION("""COMPUTED_VALUE"""),"2014/10/14")</f>
        <v>2014/10/14</v>
      </c>
      <c r="F129" s="34" t="str">
        <f>IFERROR(__xludf.DUMMYFUNCTION("""COMPUTED_VALUE"""),"AWS S3")</f>
        <v>AWS S3</v>
      </c>
      <c r="G129" s="34"/>
    </row>
    <row r="130">
      <c r="A130" s="34" t="str">
        <f>IFERROR(__xludf.DUMMYFUNCTION("""COMPUTED_VALUE"""),"人事部")</f>
        <v>人事部</v>
      </c>
      <c r="B130" s="34" t="str">
        <f>IFERROR(__xludf.DUMMYFUNCTION("""COMPUTED_VALUE"""),"人材採用G")</f>
        <v>人材採用G</v>
      </c>
      <c r="C130" s="68">
        <f>IFERROR(__xludf.DUMMYFUNCTION("""COMPUTED_VALUE"""),3.0)</f>
        <v>3</v>
      </c>
      <c r="D130" s="68">
        <f>IFERROR(__xludf.DUMMYFUNCTION("""COMPUTED_VALUE"""),1.0)</f>
        <v>1</v>
      </c>
      <c r="E130" s="34" t="str">
        <f>IFERROR(__xludf.DUMMYFUNCTION("""COMPUTED_VALUE"""),"×")</f>
        <v>×</v>
      </c>
      <c r="F130" s="34" t="str">
        <f>IFERROR(__xludf.DUMMYFUNCTION("""COMPUTED_VALUE"""),"AWS S3")</f>
        <v>AWS S3</v>
      </c>
      <c r="G130" s="34"/>
    </row>
    <row r="131">
      <c r="A131" s="34" t="str">
        <f>IFERROR(__xludf.DUMMYFUNCTION("""COMPUTED_VALUE"""),"人事部")</f>
        <v>人事部</v>
      </c>
      <c r="B131" s="34" t="str">
        <f>IFERROR(__xludf.DUMMYFUNCTION("""COMPUTED_VALUE"""),"部共有")</f>
        <v>部共有</v>
      </c>
      <c r="C131" s="68">
        <f>IFERROR(__xludf.DUMMYFUNCTION("""COMPUTED_VALUE"""),4979.0)</f>
        <v>4979</v>
      </c>
      <c r="D131" s="68">
        <f>IFERROR(__xludf.DUMMYFUNCTION("""COMPUTED_VALUE"""),52650.0)</f>
        <v>52650</v>
      </c>
      <c r="E131" s="34" t="str">
        <f>IFERROR(__xludf.DUMMYFUNCTION("""COMPUTED_VALUE"""),"2022/08/26")</f>
        <v>2022/08/26</v>
      </c>
      <c r="F131" s="34" t="str">
        <f>IFERROR(__xludf.DUMMYFUNCTION("""COMPUTED_VALUE"""),"AWS S3")</f>
        <v>AWS S3</v>
      </c>
      <c r="G131" s="34"/>
    </row>
    <row r="132">
      <c r="A132" s="34" t="str">
        <f>IFERROR(__xludf.DUMMYFUNCTION("""COMPUTED_VALUE"""),"XFLAG ENTERTAINMENT")</f>
        <v>XFLAG ENTERTAINMENT</v>
      </c>
      <c r="B132" s="34" t="str">
        <f>IFERROR(__xludf.DUMMYFUNCTION("""COMPUTED_VALUE"""),"ビバレッジ事業推進室")</f>
        <v>ビバレッジ事業推進室</v>
      </c>
      <c r="C132" s="68">
        <f>IFERROR(__xludf.DUMMYFUNCTION("""COMPUTED_VALUE"""),3.0)</f>
        <v>3</v>
      </c>
      <c r="D132" s="68">
        <f>IFERROR(__xludf.DUMMYFUNCTION("""COMPUTED_VALUE"""),1.0)</f>
        <v>1</v>
      </c>
      <c r="E132" s="34" t="str">
        <f>IFERROR(__xludf.DUMMYFUNCTION("""COMPUTED_VALUE"""),"×")</f>
        <v>×</v>
      </c>
      <c r="F132" s="34" t="str">
        <f>IFERROR(__xludf.DUMMYFUNCTION("""COMPUTED_VALUE"""),"AWS S3")</f>
        <v>AWS S3</v>
      </c>
      <c r="G132" s="34"/>
    </row>
    <row r="133">
      <c r="A133" s="34" t="str">
        <f>IFERROR(__xludf.DUMMYFUNCTION("""COMPUTED_VALUE"""),"XFLAG ENTERTAINMENT")</f>
        <v>XFLAG ENTERTAINMENT</v>
      </c>
      <c r="B133" s="34" t="str">
        <f>IFERROR(__xludf.DUMMYFUNCTION("""COMPUTED_VALUE"""),"マーチャンダイジング部")</f>
        <v>マーチャンダイジング部</v>
      </c>
      <c r="C133" s="68">
        <f>IFERROR(__xludf.DUMMYFUNCTION("""COMPUTED_VALUE"""),431.0)</f>
        <v>431</v>
      </c>
      <c r="D133" s="68">
        <f>IFERROR(__xludf.DUMMYFUNCTION("""COMPUTED_VALUE"""),9738.0)</f>
        <v>9738</v>
      </c>
      <c r="E133" s="34" t="str">
        <f>IFERROR(__xludf.DUMMYFUNCTION("""COMPUTED_VALUE"""),"2022/06/14")</f>
        <v>2022/06/14</v>
      </c>
      <c r="F133" s="34" t="str">
        <f>IFERROR(__xludf.DUMMYFUNCTION("""COMPUTED_VALUE"""),"AWS S3")</f>
        <v>AWS S3</v>
      </c>
      <c r="G133" s="34"/>
    </row>
    <row r="134">
      <c r="A134" s="34" t="str">
        <f>IFERROR(__xludf.DUMMYFUNCTION("""COMPUTED_VALUE"""),"XFLAG ENTERTAINMENT")</f>
        <v>XFLAG ENTERTAINMENT</v>
      </c>
      <c r="B134" s="34" t="str">
        <f>IFERROR(__xludf.DUMMYFUNCTION("""COMPUTED_VALUE"""),"新規事業開発部")</f>
        <v>新規事業開発部</v>
      </c>
      <c r="C134" s="68">
        <f>IFERROR(__xludf.DUMMYFUNCTION("""COMPUTED_VALUE"""),50.0)</f>
        <v>50</v>
      </c>
      <c r="D134" s="68">
        <f>IFERROR(__xludf.DUMMYFUNCTION("""COMPUTED_VALUE"""),44.0)</f>
        <v>44</v>
      </c>
      <c r="E134" s="34" t="str">
        <f>IFERROR(__xludf.DUMMYFUNCTION("""COMPUTED_VALUE"""),"2018/05/24")</f>
        <v>2018/05/24</v>
      </c>
      <c r="F134" s="34" t="str">
        <f>IFERROR(__xludf.DUMMYFUNCTION("""COMPUTED_VALUE"""),"AWS S3")</f>
        <v>AWS S3</v>
      </c>
      <c r="G134" s="34"/>
    </row>
    <row r="135">
      <c r="A135" s="34" t="str">
        <f>IFERROR(__xludf.DUMMYFUNCTION("""COMPUTED_VALUE"""),"会長室")</f>
        <v>会長室</v>
      </c>
      <c r="B135" s="34" t="str">
        <f>IFERROR(__xludf.DUMMYFUNCTION("""COMPUTED_VALUE"""),"live4uG")</f>
        <v>live4uG</v>
      </c>
      <c r="C135" s="68">
        <f>IFERROR(__xludf.DUMMYFUNCTION("""COMPUTED_VALUE"""),4.0)</f>
        <v>4</v>
      </c>
      <c r="D135" s="68">
        <f>IFERROR(__xludf.DUMMYFUNCTION("""COMPUTED_VALUE"""),48.0)</f>
        <v>48</v>
      </c>
      <c r="E135" s="34" t="str">
        <f>IFERROR(__xludf.DUMMYFUNCTION("""COMPUTED_VALUE"""),"2015/02/09")</f>
        <v>2015/02/09</v>
      </c>
      <c r="F135" s="34" t="str">
        <f>IFERROR(__xludf.DUMMYFUNCTION("""COMPUTED_VALUE"""),"AWS S3")</f>
        <v>AWS S3</v>
      </c>
      <c r="G135" s="34"/>
    </row>
    <row r="136">
      <c r="A136" s="34" t="str">
        <f>IFERROR(__xludf.DUMMYFUNCTION("""COMPUTED_VALUE"""),"会長室")</f>
        <v>会長室</v>
      </c>
      <c r="B136" s="34" t="str">
        <f>IFERROR(__xludf.DUMMYFUNCTION("""COMPUTED_VALUE"""),"みてねG")</f>
        <v>みてねG</v>
      </c>
      <c r="C136" s="68">
        <f>IFERROR(__xludf.DUMMYFUNCTION("""COMPUTED_VALUE"""),13.0)</f>
        <v>13</v>
      </c>
      <c r="D136" s="68">
        <f>IFERROR(__xludf.DUMMYFUNCTION("""COMPUTED_VALUE"""),54.0)</f>
        <v>54</v>
      </c>
      <c r="E136" s="34" t="str">
        <f>IFERROR(__xludf.DUMMYFUNCTION("""COMPUTED_VALUE"""),"2018/01/09")</f>
        <v>2018/01/09</v>
      </c>
      <c r="F136" s="34" t="str">
        <f>IFERROR(__xludf.DUMMYFUNCTION("""COMPUTED_VALUE"""),"AWS S3")</f>
        <v>AWS S3</v>
      </c>
      <c r="G136" s="34"/>
    </row>
    <row r="137">
      <c r="A137" s="34" t="str">
        <f>IFERROR(__xludf.DUMMYFUNCTION("""COMPUTED_VALUE"""),"メディアコンテンツ事業本部")</f>
        <v>メディアコンテンツ事業本部</v>
      </c>
      <c r="B137" s="34" t="str">
        <f>IFERROR(__xludf.DUMMYFUNCTION("""COMPUTED_VALUE"""),"モンストスタジオ")</f>
        <v>モンストスタジオ</v>
      </c>
      <c r="C137" s="68">
        <f>IFERROR(__xludf.DUMMYFUNCTION("""COMPUTED_VALUE"""),19360.0)</f>
        <v>19360</v>
      </c>
      <c r="D137" s="68">
        <f>IFERROR(__xludf.DUMMYFUNCTION("""COMPUTED_VALUE"""),201896.0)</f>
        <v>201896</v>
      </c>
      <c r="E137" s="34" t="str">
        <f>IFERROR(__xludf.DUMMYFUNCTION("""COMPUTED_VALUE"""),"2021/07/07")</f>
        <v>2021/07/07</v>
      </c>
      <c r="F137" s="34" t="str">
        <f>IFERROR(__xludf.DUMMYFUNCTION("""COMPUTED_VALUE"""),"AWS S3")</f>
        <v>AWS S3</v>
      </c>
      <c r="G137" s="34"/>
    </row>
    <row r="138">
      <c r="A138" s="34" t="str">
        <f>IFERROR(__xludf.DUMMYFUNCTION("""COMPUTED_VALUE"""),"メディアコンテンツ事業本部")</f>
        <v>メディアコンテンツ事業本部</v>
      </c>
      <c r="B138" s="34" t="str">
        <f>IFERROR(__xludf.DUMMYFUNCTION("""COMPUTED_VALUE"""),"mixiマーケティング部")</f>
        <v>mixiマーケティング部</v>
      </c>
      <c r="C138" s="68">
        <f>IFERROR(__xludf.DUMMYFUNCTION("""COMPUTED_VALUE"""),515.0)</f>
        <v>515</v>
      </c>
      <c r="D138" s="68">
        <f>IFERROR(__xludf.DUMMYFUNCTION("""COMPUTED_VALUE"""),23340.0)</f>
        <v>23340</v>
      </c>
      <c r="E138" s="34" t="str">
        <f>IFERROR(__xludf.DUMMYFUNCTION("""COMPUTED_VALUE"""),"2014/07/24")</f>
        <v>2014/07/24</v>
      </c>
      <c r="F138" s="34" t="str">
        <f>IFERROR(__xludf.DUMMYFUNCTION("""COMPUTED_VALUE"""),"AWS S3")</f>
        <v>AWS S3</v>
      </c>
      <c r="G138" s="34"/>
    </row>
    <row r="139">
      <c r="A139" s="34" t="str">
        <f>IFERROR(__xludf.DUMMYFUNCTION("""COMPUTED_VALUE"""),"メディアコンテンツ事業本部")</f>
        <v>メディアコンテンツ事業本部</v>
      </c>
      <c r="B139" s="34" t="str">
        <f>IFERROR(__xludf.DUMMYFUNCTION("""COMPUTED_VALUE"""),"ビジネス推進部")</f>
        <v>ビジネス推進部</v>
      </c>
      <c r="C139" s="68">
        <f>IFERROR(__xludf.DUMMYFUNCTION("""COMPUTED_VALUE"""),87.0)</f>
        <v>87</v>
      </c>
      <c r="D139" s="68">
        <f>IFERROR(__xludf.DUMMYFUNCTION("""COMPUTED_VALUE"""),416.0)</f>
        <v>416</v>
      </c>
      <c r="E139" s="34" t="str">
        <f>IFERROR(__xludf.DUMMYFUNCTION("""COMPUTED_VALUE"""),"2015/04/30")</f>
        <v>2015/04/30</v>
      </c>
      <c r="F139" s="34" t="str">
        <f>IFERROR(__xludf.DUMMYFUNCTION("""COMPUTED_VALUE"""),"AWS S3")</f>
        <v>AWS S3</v>
      </c>
      <c r="G139" s="34"/>
    </row>
    <row r="140">
      <c r="A140" s="34" t="str">
        <f>IFERROR(__xludf.DUMMYFUNCTION("""COMPUTED_VALUE"""),"メディアコンテンツ事業本部")</f>
        <v>メディアコンテンツ事業本部</v>
      </c>
      <c r="B140" s="34" t="str">
        <f>IFERROR(__xludf.DUMMYFUNCTION("""COMPUTED_VALUE"""),"mixiサービス部")</f>
        <v>mixiサービス部</v>
      </c>
      <c r="C140" s="68">
        <f>IFERROR(__xludf.DUMMYFUNCTION("""COMPUTED_VALUE"""),475.0)</f>
        <v>475</v>
      </c>
      <c r="D140" s="68">
        <f>IFERROR(__xludf.DUMMYFUNCTION("""COMPUTED_VALUE"""),2781.0)</f>
        <v>2781</v>
      </c>
      <c r="E140" s="34" t="str">
        <f>IFERROR(__xludf.DUMMYFUNCTION("""COMPUTED_VALUE"""),"2016/06/17")</f>
        <v>2016/06/17</v>
      </c>
      <c r="F140" s="34" t="str">
        <f>IFERROR(__xludf.DUMMYFUNCTION("""COMPUTED_VALUE"""),"AWS S3")</f>
        <v>AWS S3</v>
      </c>
      <c r="G140" s="34"/>
    </row>
    <row r="141">
      <c r="A141" s="34" t="str">
        <f>IFERROR(__xludf.DUMMYFUNCTION("""COMPUTED_VALUE"""),"メディアコンテンツ事業本部")</f>
        <v>メディアコンテンツ事業本部</v>
      </c>
      <c r="B141" s="34" t="str">
        <f>IFERROR(__xludf.DUMMYFUNCTION("""COMPUTED_VALUE"""),"事業推進部")</f>
        <v>事業推進部</v>
      </c>
      <c r="C141" s="68">
        <f>IFERROR(__xludf.DUMMYFUNCTION("""COMPUTED_VALUE"""),11.0)</f>
        <v>11</v>
      </c>
      <c r="D141" s="68">
        <f>IFERROR(__xludf.DUMMYFUNCTION("""COMPUTED_VALUE"""),2.0)</f>
        <v>2</v>
      </c>
      <c r="E141" s="34" t="str">
        <f>IFERROR(__xludf.DUMMYFUNCTION("""COMPUTED_VALUE"""),"×")</f>
        <v>×</v>
      </c>
      <c r="F141" s="34" t="str">
        <f>IFERROR(__xludf.DUMMYFUNCTION("""COMPUTED_VALUE"""),"AWS S3")</f>
        <v>AWS S3</v>
      </c>
      <c r="G141" s="34"/>
    </row>
    <row r="142">
      <c r="A142" s="34" t="str">
        <f>IFERROR(__xludf.DUMMYFUNCTION("""COMPUTED_VALUE"""),"メディアコンテンツ事業本部")</f>
        <v>メディアコンテンツ事業本部</v>
      </c>
      <c r="B142" s="34" t="str">
        <f>IFERROR(__xludf.DUMMYFUNCTION("""COMPUTED_VALUE"""),"アドテク推進部")</f>
        <v>アドテク推進部</v>
      </c>
      <c r="C142" s="68">
        <f>IFERROR(__xludf.DUMMYFUNCTION("""COMPUTED_VALUE"""),24.0)</f>
        <v>24</v>
      </c>
      <c r="D142" s="68">
        <f>IFERROR(__xludf.DUMMYFUNCTION("""COMPUTED_VALUE"""),129.0)</f>
        <v>129</v>
      </c>
      <c r="E142" s="34" t="str">
        <f>IFERROR(__xludf.DUMMYFUNCTION("""COMPUTED_VALUE"""),"2015/09/02")</f>
        <v>2015/09/02</v>
      </c>
      <c r="F142" s="34" t="str">
        <f>IFERROR(__xludf.DUMMYFUNCTION("""COMPUTED_VALUE"""),"AWS S3")</f>
        <v>AWS S3</v>
      </c>
      <c r="G142" s="34"/>
    </row>
    <row r="143">
      <c r="A143" s="34" t="str">
        <f>IFERROR(__xludf.DUMMYFUNCTION("""COMPUTED_VALUE"""),"メディアコンテンツ事業本部")</f>
        <v>メディアコンテンツ事業本部</v>
      </c>
      <c r="B143" s="34" t="str">
        <f>IFERROR(__xludf.DUMMYFUNCTION("""COMPUTED_VALUE"""),"本部共有")</f>
        <v>本部共有</v>
      </c>
      <c r="C143" s="68">
        <f>IFERROR(__xludf.DUMMYFUNCTION("""COMPUTED_VALUE"""),339.0)</f>
        <v>339</v>
      </c>
      <c r="D143" s="68">
        <f>IFERROR(__xludf.DUMMYFUNCTION("""COMPUTED_VALUE"""),1079.0)</f>
        <v>1079</v>
      </c>
      <c r="E143" s="34" t="str">
        <f>IFERROR(__xludf.DUMMYFUNCTION("""COMPUTED_VALUE"""),"2015/06/15")</f>
        <v>2015/06/15</v>
      </c>
      <c r="F143" s="34" t="str">
        <f>IFERROR(__xludf.DUMMYFUNCTION("""COMPUTED_VALUE"""),"AWS S3")</f>
        <v>AWS S3</v>
      </c>
      <c r="G143" s="34"/>
    </row>
    <row r="144">
      <c r="A144" s="34" t="str">
        <f>IFERROR(__xludf.DUMMYFUNCTION("""COMPUTED_VALUE"""),"メディアコンテンツ事業本部")</f>
        <v>メディアコンテンツ事業本部</v>
      </c>
      <c r="B144" s="34" t="str">
        <f>IFERROR(__xludf.DUMMYFUNCTION("""COMPUTED_VALUE"""),"mixiコンテンツ部")</f>
        <v>mixiコンテンツ部</v>
      </c>
      <c r="C144" s="68">
        <f>IFERROR(__xludf.DUMMYFUNCTION("""COMPUTED_VALUE"""),27769.0)</f>
        <v>27769</v>
      </c>
      <c r="D144" s="68">
        <f>IFERROR(__xludf.DUMMYFUNCTION("""COMPUTED_VALUE"""),112263.0)</f>
        <v>112263</v>
      </c>
      <c r="E144" s="34" t="str">
        <f>IFERROR(__xludf.DUMMYFUNCTION("""COMPUTED_VALUE"""),"2017/03/15")</f>
        <v>2017/03/15</v>
      </c>
      <c r="F144" s="34" t="str">
        <f>IFERROR(__xludf.DUMMYFUNCTION("""COMPUTED_VALUE"""),"AWS S3")</f>
        <v>AWS S3</v>
      </c>
      <c r="G144" s="34"/>
    </row>
    <row r="145">
      <c r="A145" s="34" t="str">
        <f>IFERROR(__xludf.DUMMYFUNCTION("""COMPUTED_VALUE"""),"経営企画本部")</f>
        <v>経営企画本部</v>
      </c>
      <c r="B145" s="34" t="str">
        <f>IFERROR(__xludf.DUMMYFUNCTION("""COMPUTED_VALUE"""),"経営企画室")</f>
        <v>経営企画室</v>
      </c>
      <c r="C145" s="68">
        <f>IFERROR(__xludf.DUMMYFUNCTION("""COMPUTED_VALUE"""),10.0)</f>
        <v>10</v>
      </c>
      <c r="D145" s="68">
        <f>IFERROR(__xludf.DUMMYFUNCTION("""COMPUTED_VALUE"""),1.0)</f>
        <v>1</v>
      </c>
      <c r="E145" s="34" t="str">
        <f>IFERROR(__xludf.DUMMYFUNCTION("""COMPUTED_VALUE"""),"×")</f>
        <v>×</v>
      </c>
      <c r="F145" s="34" t="str">
        <f>IFERROR(__xludf.DUMMYFUNCTION("""COMPUTED_VALUE"""),"AWS S3")</f>
        <v>AWS S3</v>
      </c>
      <c r="G145" s="34"/>
    </row>
    <row r="146">
      <c r="A146" s="34" t="str">
        <f>IFERROR(__xludf.DUMMYFUNCTION("""COMPUTED_VALUE"""),"経営企画本部")</f>
        <v>経営企画本部</v>
      </c>
      <c r="B146" s="34" t="str">
        <f>IFERROR(__xludf.DUMMYFUNCTION("""COMPUTED_VALUE"""),"事業統括室")</f>
        <v>事業統括室</v>
      </c>
      <c r="C146" s="68">
        <f>IFERROR(__xludf.DUMMYFUNCTION("""COMPUTED_VALUE"""),420.0)</f>
        <v>420</v>
      </c>
      <c r="D146" s="68">
        <f>IFERROR(__xludf.DUMMYFUNCTION("""COMPUTED_VALUE"""),2222.0)</f>
        <v>2222</v>
      </c>
      <c r="E146" s="34" t="str">
        <f>IFERROR(__xludf.DUMMYFUNCTION("""COMPUTED_VALUE"""),"2015/08/19")</f>
        <v>2015/08/19</v>
      </c>
      <c r="F146" s="34" t="str">
        <f>IFERROR(__xludf.DUMMYFUNCTION("""COMPUTED_VALUE"""),"AWS S3")</f>
        <v>AWS S3</v>
      </c>
      <c r="G146" s="34"/>
    </row>
    <row r="147">
      <c r="A147" s="34" t="str">
        <f>IFERROR(__xludf.DUMMYFUNCTION("""COMPUTED_VALUE"""),"経営企画本部")</f>
        <v>経営企画本部</v>
      </c>
      <c r="B147" s="34" t="str">
        <f>IFERROR(__xludf.DUMMYFUNCTION("""COMPUTED_VALUE"""),"経営企画部")</f>
        <v>経営企画部</v>
      </c>
      <c r="C147" s="68">
        <f>IFERROR(__xludf.DUMMYFUNCTION("""COMPUTED_VALUE"""),610.0)</f>
        <v>610</v>
      </c>
      <c r="D147" s="68">
        <f>IFERROR(__xludf.DUMMYFUNCTION("""COMPUTED_VALUE"""),2554.0)</f>
        <v>2554</v>
      </c>
      <c r="E147" s="34" t="str">
        <f>IFERROR(__xludf.DUMMYFUNCTION("""COMPUTED_VALUE"""),"2021/09/06")</f>
        <v>2021/09/06</v>
      </c>
      <c r="F147" s="34" t="str">
        <f>IFERROR(__xludf.DUMMYFUNCTION("""COMPUTED_VALUE"""),"AWS S3")</f>
        <v>AWS S3</v>
      </c>
      <c r="G147" s="34"/>
    </row>
    <row r="148">
      <c r="A148" s="34" t="str">
        <f>IFERROR(__xludf.DUMMYFUNCTION("""COMPUTED_VALUE"""),"経営企画本部")</f>
        <v>経営企画本部</v>
      </c>
      <c r="B148" s="34" t="str">
        <f>IFERROR(__xludf.DUMMYFUNCTION("""COMPUTED_VALUE"""),"本部共有")</f>
        <v>本部共有</v>
      </c>
      <c r="C148" s="68">
        <f>IFERROR(__xludf.DUMMYFUNCTION("""COMPUTED_VALUE"""),3.0)</f>
        <v>3</v>
      </c>
      <c r="D148" s="68">
        <f>IFERROR(__xludf.DUMMYFUNCTION("""COMPUTED_VALUE"""),2.0)</f>
        <v>2</v>
      </c>
      <c r="E148" s="34" t="str">
        <f>IFERROR(__xludf.DUMMYFUNCTION("""COMPUTED_VALUE"""),"2015/12/17")</f>
        <v>2015/12/17</v>
      </c>
      <c r="F148" s="34" t="str">
        <f>IFERROR(__xludf.DUMMYFUNCTION("""COMPUTED_VALUE"""),"AWS S3")</f>
        <v>AWS S3</v>
      </c>
      <c r="G148" s="34"/>
    </row>
    <row r="149">
      <c r="A149" s="34" t="str">
        <f>IFERROR(__xludf.DUMMYFUNCTION("""COMPUTED_VALUE"""),"XFLAG ARTS")</f>
        <v>XFLAG ARTS</v>
      </c>
      <c r="B149" s="34" t="str">
        <f>IFERROR(__xludf.DUMMYFUNCTION("""COMPUTED_VALUE"""),"XFLAGデザイン室")</f>
        <v>XFLAGデザイン室</v>
      </c>
      <c r="C149" s="68">
        <f>IFERROR(__xludf.DUMMYFUNCTION("""COMPUTED_VALUE"""),1839.0)</f>
        <v>1839</v>
      </c>
      <c r="D149" s="68">
        <f>IFERROR(__xludf.DUMMYFUNCTION("""COMPUTED_VALUE"""),115323.0)</f>
        <v>115323</v>
      </c>
      <c r="E149" s="34" t="str">
        <f>IFERROR(__xludf.DUMMYFUNCTION("""COMPUTED_VALUE"""),"2019/01/29")</f>
        <v>2019/01/29</v>
      </c>
      <c r="F149" s="34" t="str">
        <f>IFERROR(__xludf.DUMMYFUNCTION("""COMPUTED_VALUE"""),"AWS S3")</f>
        <v>AWS S3</v>
      </c>
      <c r="G149" s="34"/>
    </row>
    <row r="150">
      <c r="A150" s="34" t="str">
        <f>IFERROR(__xludf.DUMMYFUNCTION("""COMPUTED_VALUE"""),"スマートヘルス")</f>
        <v>スマートヘルス</v>
      </c>
      <c r="B150" s="34" t="str">
        <f>IFERROR(__xludf.DUMMYFUNCTION("""COMPUTED_VALUE"""),"全社共有")</f>
        <v>全社共有</v>
      </c>
      <c r="C150" s="68">
        <f>IFERROR(__xludf.DUMMYFUNCTION("""COMPUTED_VALUE"""),1416.0)</f>
        <v>1416</v>
      </c>
      <c r="D150" s="68">
        <f>IFERROR(__xludf.DUMMYFUNCTION("""COMPUTED_VALUE"""),5563.0)</f>
        <v>5563</v>
      </c>
      <c r="E150" s="34" t="str">
        <f>IFERROR(__xludf.DUMMYFUNCTION("""COMPUTED_VALUE"""),"2020/01/22")</f>
        <v>2020/01/22</v>
      </c>
      <c r="F150" s="34" t="str">
        <f>IFERROR(__xludf.DUMMYFUNCTION("""COMPUTED_VALUE"""),"AWS S3")</f>
        <v>AWS S3</v>
      </c>
      <c r="G150" s="34"/>
    </row>
    <row r="151">
      <c r="A151" s="34" t="str">
        <f>IFERROR(__xludf.DUMMYFUNCTION("""COMPUTED_VALUE"""),"コンプライアンス本部")</f>
        <v>コンプライアンス本部</v>
      </c>
      <c r="B151" s="34" t="str">
        <f>IFERROR(__xludf.DUMMYFUNCTION("""COMPUTED_VALUE"""),"法務部")</f>
        <v>法務部</v>
      </c>
      <c r="C151" s="68">
        <f>IFERROR(__xludf.DUMMYFUNCTION("""COMPUTED_VALUE"""),176.0)</f>
        <v>176</v>
      </c>
      <c r="D151" s="68">
        <f>IFERROR(__xludf.DUMMYFUNCTION("""COMPUTED_VALUE"""),374.0)</f>
        <v>374</v>
      </c>
      <c r="E151" s="34" t="str">
        <f>IFERROR(__xludf.DUMMYFUNCTION("""COMPUTED_VALUE"""),"2022/06/07")</f>
        <v>2022/06/07</v>
      </c>
      <c r="F151" s="34" t="str">
        <f>IFERROR(__xludf.DUMMYFUNCTION("""COMPUTED_VALUE"""),"AWS S3")</f>
        <v>AWS S3</v>
      </c>
      <c r="G151" s="34"/>
    </row>
    <row r="152">
      <c r="A152" s="34" t="str">
        <f>IFERROR(__xludf.DUMMYFUNCTION("""COMPUTED_VALUE"""),"ヴァンテージスタジオ")</f>
        <v>ヴァンテージスタジオ</v>
      </c>
      <c r="B152" s="34" t="str">
        <f>IFERROR(__xludf.DUMMYFUNCTION("""COMPUTED_VALUE"""),"ミクシィ・リクルートメント事業部")</f>
        <v>ミクシィ・リクルートメント事業部</v>
      </c>
      <c r="C152" s="68">
        <f>IFERROR(__xludf.DUMMYFUNCTION("""COMPUTED_VALUE"""),94.0)</f>
        <v>94</v>
      </c>
      <c r="D152" s="68">
        <f>IFERROR(__xludf.DUMMYFUNCTION("""COMPUTED_VALUE"""),387.0)</f>
        <v>387</v>
      </c>
      <c r="E152" s="34" t="str">
        <f>IFERROR(__xludf.DUMMYFUNCTION("""COMPUTED_VALUE"""),"2018/02/08")</f>
        <v>2018/02/08</v>
      </c>
      <c r="F152" s="34" t="str">
        <f>IFERROR(__xludf.DUMMYFUNCTION("""COMPUTED_VALUE"""),"AWS S3")</f>
        <v>AWS S3</v>
      </c>
      <c r="G152" s="34"/>
    </row>
    <row r="153">
      <c r="A153" s="34" t="str">
        <f>IFERROR(__xludf.DUMMYFUNCTION("""COMPUTED_VALUE"""),"ヴァンテージスタジオ")</f>
        <v>ヴァンテージスタジオ</v>
      </c>
      <c r="B153" s="34" t="str">
        <f>IFERROR(__xludf.DUMMYFUNCTION("""COMPUTED_VALUE"""),"新規事業推進室")</f>
        <v>新規事業推進室</v>
      </c>
      <c r="C153" s="68">
        <f>IFERROR(__xludf.DUMMYFUNCTION("""COMPUTED_VALUE"""),62.0)</f>
        <v>62</v>
      </c>
      <c r="D153" s="68">
        <f>IFERROR(__xludf.DUMMYFUNCTION("""COMPUTED_VALUE"""),197.0)</f>
        <v>197</v>
      </c>
      <c r="E153" s="34" t="str">
        <f>IFERROR(__xludf.DUMMYFUNCTION("""COMPUTED_VALUE"""),"2017/10/06")</f>
        <v>2017/10/06</v>
      </c>
      <c r="F153" s="34" t="str">
        <f>IFERROR(__xludf.DUMMYFUNCTION("""COMPUTED_VALUE"""),"AWS S3")</f>
        <v>AWS S3</v>
      </c>
      <c r="G153" s="34"/>
    </row>
    <row r="154">
      <c r="A154" s="34" t="str">
        <f>IFERROR(__xludf.DUMMYFUNCTION("""COMPUTED_VALUE"""),"ヴァンテージスタジオ")</f>
        <v>ヴァンテージスタジオ</v>
      </c>
      <c r="B154" s="34" t="str">
        <f>IFERROR(__xludf.DUMMYFUNCTION("""COMPUTED_VALUE"""),"mixiサービス部")</f>
        <v>mixiサービス部</v>
      </c>
      <c r="C154" s="68">
        <f>IFERROR(__xludf.DUMMYFUNCTION("""COMPUTED_VALUE"""),139.0)</f>
        <v>139</v>
      </c>
      <c r="D154" s="68">
        <f>IFERROR(__xludf.DUMMYFUNCTION("""COMPUTED_VALUE"""),1590.0)</f>
        <v>1590</v>
      </c>
      <c r="E154" s="34" t="str">
        <f>IFERROR(__xludf.DUMMYFUNCTION("""COMPUTED_VALUE"""),"2018/12/26")</f>
        <v>2018/12/26</v>
      </c>
      <c r="F154" s="34" t="str">
        <f>IFERROR(__xludf.DUMMYFUNCTION("""COMPUTED_VALUE"""),"AWS S3")</f>
        <v>AWS S3</v>
      </c>
      <c r="G154" s="34"/>
    </row>
    <row r="155">
      <c r="A155" s="34" t="str">
        <f>IFERROR(__xludf.DUMMYFUNCTION("""COMPUTED_VALUE"""),"ヴァンテージスタジオ")</f>
        <v>ヴァンテージスタジオ</v>
      </c>
      <c r="B155" s="34" t="str">
        <f>IFERROR(__xludf.DUMMYFUNCTION("""COMPUTED_VALUE"""),"mixi事業部")</f>
        <v>mixi事業部</v>
      </c>
      <c r="C155" s="68">
        <f>IFERROR(__xludf.DUMMYFUNCTION("""COMPUTED_VALUE"""),5233.0)</f>
        <v>5233</v>
      </c>
      <c r="D155" s="68">
        <f>IFERROR(__xludf.DUMMYFUNCTION("""COMPUTED_VALUE"""),53949.0)</f>
        <v>53949</v>
      </c>
      <c r="E155" s="34" t="str">
        <f>IFERROR(__xludf.DUMMYFUNCTION("""COMPUTED_VALUE"""),"2018/05/16")</f>
        <v>2018/05/16</v>
      </c>
      <c r="F155" s="34" t="str">
        <f>IFERROR(__xludf.DUMMYFUNCTION("""COMPUTED_VALUE"""),"AWS S3")</f>
        <v>AWS S3</v>
      </c>
      <c r="G155" s="34"/>
    </row>
    <row r="156">
      <c r="A156" s="34" t="str">
        <f>IFERROR(__xludf.DUMMYFUNCTION("""COMPUTED_VALUE"""),"ヴァンテージスタジオ")</f>
        <v>ヴァンテージスタジオ</v>
      </c>
      <c r="B156" s="34" t="str">
        <f>IFERROR(__xludf.DUMMYFUNCTION("""COMPUTED_VALUE"""),"本部共有")</f>
        <v>本部共有</v>
      </c>
      <c r="C156" s="68">
        <f>IFERROR(__xludf.DUMMYFUNCTION("""COMPUTED_VALUE"""),1055.0)</f>
        <v>1055</v>
      </c>
      <c r="D156" s="68">
        <f>IFERROR(__xludf.DUMMYFUNCTION("""COMPUTED_VALUE"""),4443.0)</f>
        <v>4443</v>
      </c>
      <c r="E156" s="34" t="str">
        <f>IFERROR(__xludf.DUMMYFUNCTION("""COMPUTED_VALUE"""),"2020/04/14")</f>
        <v>2020/04/14</v>
      </c>
      <c r="F156" s="34" t="str">
        <f>IFERROR(__xludf.DUMMYFUNCTION("""COMPUTED_VALUE"""),"AWS S3")</f>
        <v>AWS S3</v>
      </c>
      <c r="G156" s="34"/>
    </row>
    <row r="157">
      <c r="A157" s="34" t="str">
        <f>IFERROR(__xludf.DUMMYFUNCTION("""COMPUTED_VALUE"""),"ヴァンテージスタジオ")</f>
        <v>ヴァンテージスタジオ</v>
      </c>
      <c r="B157" s="34" t="str">
        <f>IFERROR(__xludf.DUMMYFUNCTION("""COMPUTED_VALUE"""),"みてね事業部")</f>
        <v>みてね事業部</v>
      </c>
      <c r="C157" s="68">
        <f>IFERROR(__xludf.DUMMYFUNCTION("""COMPUTED_VALUE"""),11.0)</f>
        <v>11</v>
      </c>
      <c r="D157" s="68">
        <f>IFERROR(__xludf.DUMMYFUNCTION("""COMPUTED_VALUE"""),12.0)</f>
        <v>12</v>
      </c>
      <c r="E157" s="34" t="str">
        <f>IFERROR(__xludf.DUMMYFUNCTION("""COMPUTED_VALUE"""),"2019/02/09")</f>
        <v>2019/02/09</v>
      </c>
      <c r="F157" s="34" t="str">
        <f>IFERROR(__xludf.DUMMYFUNCTION("""COMPUTED_VALUE"""),"AWS S3")</f>
        <v>AWS S3</v>
      </c>
      <c r="G157" s="34"/>
    </row>
    <row r="158">
      <c r="A158" s="34" t="str">
        <f>IFERROR(__xludf.DUMMYFUNCTION("""COMPUTED_VALUE"""),"ヴァンテージスタジオ")</f>
        <v>ヴァンテージスタジオ</v>
      </c>
      <c r="B158" s="34" t="str">
        <f>IFERROR(__xludf.DUMMYFUNCTION("""COMPUTED_VALUE"""),"minimo事業部")</f>
        <v>minimo事業部</v>
      </c>
      <c r="C158" s="68">
        <f>IFERROR(__xludf.DUMMYFUNCTION("""COMPUTED_VALUE"""),9.0)</f>
        <v>9</v>
      </c>
      <c r="D158" s="68">
        <f>IFERROR(__xludf.DUMMYFUNCTION("""COMPUTED_VALUE"""),2.0)</f>
        <v>2</v>
      </c>
      <c r="E158" s="34" t="str">
        <f>IFERROR(__xludf.DUMMYFUNCTION("""COMPUTED_VALUE"""),"2018/03/30")</f>
        <v>2018/03/30</v>
      </c>
      <c r="F158" s="34" t="str">
        <f>IFERROR(__xludf.DUMMYFUNCTION("""COMPUTED_VALUE"""),"AWS S3")</f>
        <v>AWS S3</v>
      </c>
      <c r="G158" s="34"/>
    </row>
    <row r="159">
      <c r="A159" s="34" t="str">
        <f>IFERROR(__xludf.DUMMYFUNCTION("""COMPUTED_VALUE"""),"ヴァンテージスタジオ")</f>
        <v>ヴァンテージスタジオ</v>
      </c>
      <c r="B159" s="34" t="str">
        <f>IFERROR(__xludf.DUMMYFUNCTION("""COMPUTED_VALUE"""),"事業推進室")</f>
        <v>事業推進室</v>
      </c>
      <c r="C159" s="68">
        <f>IFERROR(__xludf.DUMMYFUNCTION("""COMPUTED_VALUE"""),21.0)</f>
        <v>21</v>
      </c>
      <c r="D159" s="68">
        <f>IFERROR(__xludf.DUMMYFUNCTION("""COMPUTED_VALUE"""),30.0)</f>
        <v>30</v>
      </c>
      <c r="E159" s="34" t="str">
        <f>IFERROR(__xludf.DUMMYFUNCTION("""COMPUTED_VALUE"""),"2017/08/15")</f>
        <v>2017/08/15</v>
      </c>
      <c r="F159" s="34" t="str">
        <f>IFERROR(__xludf.DUMMYFUNCTION("""COMPUTED_VALUE"""),"AWS S3")</f>
        <v>AWS S3</v>
      </c>
      <c r="G159" s="34"/>
    </row>
    <row r="160">
      <c r="A160" s="34" t="str">
        <f>IFERROR(__xludf.DUMMYFUNCTION("""COMPUTED_VALUE"""),"内部監査室")</f>
        <v>内部監査室</v>
      </c>
      <c r="B160" s="34" t="str">
        <f>IFERROR(__xludf.DUMMYFUNCTION("""COMPUTED_VALUE"""),"関係会社監査G")</f>
        <v>関係会社監査G</v>
      </c>
      <c r="C160" s="68">
        <f>IFERROR(__xludf.DUMMYFUNCTION("""COMPUTED_VALUE"""),6.0)</f>
        <v>6</v>
      </c>
      <c r="D160" s="68">
        <f>IFERROR(__xludf.DUMMYFUNCTION("""COMPUTED_VALUE"""),3.0)</f>
        <v>3</v>
      </c>
      <c r="E160" s="34" t="str">
        <f>IFERROR(__xludf.DUMMYFUNCTION("""COMPUTED_VALUE"""),"2022/09/12")</f>
        <v>2022/09/12</v>
      </c>
      <c r="F160" s="34" t="str">
        <f>IFERROR(__xludf.DUMMYFUNCTION("""COMPUTED_VALUE"""),"AWS S3")</f>
        <v>AWS S3</v>
      </c>
      <c r="G160" s="34"/>
    </row>
    <row r="161">
      <c r="A161" s="34" t="str">
        <f>IFERROR(__xludf.DUMMYFUNCTION("""COMPUTED_VALUE"""),"内部監査室")</f>
        <v>内部監査室</v>
      </c>
      <c r="B161" s="34" t="str">
        <f>IFERROR(__xludf.DUMMYFUNCTION("""COMPUTED_VALUE"""),"400_監査法人対応")</f>
        <v>400_監査法人対応</v>
      </c>
      <c r="C161" s="68">
        <f>IFERROR(__xludf.DUMMYFUNCTION("""COMPUTED_VALUE"""),1.0)</f>
        <v>1</v>
      </c>
      <c r="D161" s="68">
        <f>IFERROR(__xludf.DUMMYFUNCTION("""COMPUTED_VALUE"""),2.0)</f>
        <v>2</v>
      </c>
      <c r="E161" s="34" t="str">
        <f>IFERROR(__xludf.DUMMYFUNCTION("""COMPUTED_VALUE"""),"2022/02/03")</f>
        <v>2022/02/03</v>
      </c>
      <c r="F161" s="34" t="str">
        <f>IFERROR(__xludf.DUMMYFUNCTION("""COMPUTED_VALUE"""),"AWS S3")</f>
        <v>AWS S3</v>
      </c>
      <c r="G161" s="34"/>
    </row>
    <row r="162">
      <c r="A162" s="34" t="str">
        <f>IFERROR(__xludf.DUMMYFUNCTION("""COMPUTED_VALUE"""),"内部監査室")</f>
        <v>内部監査室</v>
      </c>
      <c r="B162" s="34" t="str">
        <f>IFERROR(__xludf.DUMMYFUNCTION("""COMPUTED_VALUE"""),"企画G")</f>
        <v>企画G</v>
      </c>
      <c r="C162" s="68">
        <f>IFERROR(__xludf.DUMMYFUNCTION("""COMPUTED_VALUE"""),10.0)</f>
        <v>10</v>
      </c>
      <c r="D162" s="68">
        <f>IFERROR(__xludf.DUMMYFUNCTION("""COMPUTED_VALUE"""),173.0)</f>
        <v>173</v>
      </c>
      <c r="E162" s="34" t="str">
        <f>IFERROR(__xludf.DUMMYFUNCTION("""COMPUTED_VALUE"""),"2021/03/02")</f>
        <v>2021/03/02</v>
      </c>
      <c r="F162" s="34" t="str">
        <f>IFERROR(__xludf.DUMMYFUNCTION("""COMPUTED_VALUE"""),"AWS S3")</f>
        <v>AWS S3</v>
      </c>
      <c r="G162" s="34"/>
    </row>
    <row r="163">
      <c r="A163" s="34" t="str">
        <f>IFERROR(__xludf.DUMMYFUNCTION("""COMPUTED_VALUE"""),"内部監査室")</f>
        <v>内部監査室</v>
      </c>
      <c r="B163" s="34" t="str">
        <f>IFERROR(__xludf.DUMMYFUNCTION("""COMPUTED_VALUE"""),"999_その他")</f>
        <v>999_その他</v>
      </c>
      <c r="C163" s="68">
        <f>IFERROR(__xludf.DUMMYFUNCTION("""COMPUTED_VALUE"""),172.0)</f>
        <v>172</v>
      </c>
      <c r="D163" s="68">
        <f>IFERROR(__xludf.DUMMYFUNCTION("""COMPUTED_VALUE"""),1022.0)</f>
        <v>1022</v>
      </c>
      <c r="E163" s="34" t="str">
        <f>IFERROR(__xludf.DUMMYFUNCTION("""COMPUTED_VALUE"""),"2020/11/05")</f>
        <v>2020/11/05</v>
      </c>
      <c r="F163" s="34" t="str">
        <f>IFERROR(__xludf.DUMMYFUNCTION("""COMPUTED_VALUE"""),"AWS S3")</f>
        <v>AWS S3</v>
      </c>
      <c r="G163" s="34"/>
    </row>
    <row r="164">
      <c r="A164" s="34" t="str">
        <f>IFERROR(__xludf.DUMMYFUNCTION("""COMPUTED_VALUE"""),"内部監査室")</f>
        <v>内部監査室</v>
      </c>
      <c r="B164" s="34" t="str">
        <f>IFERROR(__xludf.DUMMYFUNCTION("""COMPUTED_VALUE"""),"810_過去の監査役監査")</f>
        <v>810_過去の監査役監査</v>
      </c>
      <c r="C164" s="68">
        <f>IFERROR(__xludf.DUMMYFUNCTION("""COMPUTED_VALUE"""),44.0)</f>
        <v>44</v>
      </c>
      <c r="D164" s="68">
        <f>IFERROR(__xludf.DUMMYFUNCTION("""COMPUTED_VALUE"""),706.0)</f>
        <v>706</v>
      </c>
      <c r="E164" s="34" t="str">
        <f>IFERROR(__xludf.DUMMYFUNCTION("""COMPUTED_VALUE"""),"2010/03/04")</f>
        <v>2010/03/04</v>
      </c>
      <c r="F164" s="34" t="str">
        <f>IFERROR(__xludf.DUMMYFUNCTION("""COMPUTED_VALUE"""),"AWS S3")</f>
        <v>AWS S3</v>
      </c>
      <c r="G164" s="34"/>
    </row>
    <row r="165">
      <c r="A165" s="34" t="str">
        <f>IFERROR(__xludf.DUMMYFUNCTION("""COMPUTED_VALUE"""),"オレンジスタジオ")</f>
        <v>オレンジスタジオ</v>
      </c>
      <c r="B165" s="34" t="str">
        <f>IFERROR(__xludf.DUMMYFUNCTION("""COMPUTED_VALUE"""),"mixiサービス部")</f>
        <v>mixiサービス部</v>
      </c>
      <c r="C165" s="68">
        <f>IFERROR(__xludf.DUMMYFUNCTION("""COMPUTED_VALUE"""),777.0)</f>
        <v>777</v>
      </c>
      <c r="D165" s="68">
        <f>IFERROR(__xludf.DUMMYFUNCTION("""COMPUTED_VALUE"""),8837.0)</f>
        <v>8837</v>
      </c>
      <c r="E165" s="34" t="str">
        <f>IFERROR(__xludf.DUMMYFUNCTION("""COMPUTED_VALUE"""),"2018/10/11")</f>
        <v>2018/10/11</v>
      </c>
      <c r="F165" s="34" t="str">
        <f>IFERROR(__xludf.DUMMYFUNCTION("""COMPUTED_VALUE"""),"AWS S3")</f>
        <v>AWS S3</v>
      </c>
      <c r="G165" s="34"/>
    </row>
    <row r="166">
      <c r="A166" s="34" t="str">
        <f>IFERROR(__xludf.DUMMYFUNCTION("""COMPUTED_VALUE"""),"オレンジスタジオ")</f>
        <v>オレンジスタジオ</v>
      </c>
      <c r="B166" s="34" t="str">
        <f>IFERROR(__xludf.DUMMYFUNCTION("""COMPUTED_VALUE"""),"本部共有")</f>
        <v>本部共有</v>
      </c>
      <c r="C166" s="68">
        <f>IFERROR(__xludf.DUMMYFUNCTION("""COMPUTED_VALUE"""),6.0)</f>
        <v>6</v>
      </c>
      <c r="D166" s="68">
        <f>IFERROR(__xludf.DUMMYFUNCTION("""COMPUTED_VALUE"""),8.0)</f>
        <v>8</v>
      </c>
      <c r="E166" s="34" t="str">
        <f>IFERROR(__xludf.DUMMYFUNCTION("""COMPUTED_VALUE"""),"2016/09/16")</f>
        <v>2016/09/16</v>
      </c>
      <c r="F166" s="34" t="str">
        <f>IFERROR(__xludf.DUMMYFUNCTION("""COMPUTED_VALUE"""),"AWS S3")</f>
        <v>AWS S3</v>
      </c>
      <c r="G166" s="34"/>
    </row>
    <row r="167">
      <c r="A167" s="34" t="str">
        <f>IFERROR(__xludf.DUMMYFUNCTION("""COMPUTED_VALUE"""),"オレンジスタジオ")</f>
        <v>オレンジスタジオ</v>
      </c>
      <c r="B167" s="34" t="str">
        <f>IFERROR(__xludf.DUMMYFUNCTION("""COMPUTED_VALUE"""),"ゲーム部")</f>
        <v>ゲーム部</v>
      </c>
      <c r="C167" s="68">
        <f>IFERROR(__xludf.DUMMYFUNCTION("""COMPUTED_VALUE"""),7462.0)</f>
        <v>7462</v>
      </c>
      <c r="D167" s="68">
        <f>IFERROR(__xludf.DUMMYFUNCTION("""COMPUTED_VALUE"""),25065.0)</f>
        <v>25065</v>
      </c>
      <c r="E167" s="34" t="str">
        <f>IFERROR(__xludf.DUMMYFUNCTION("""COMPUTED_VALUE"""),"2016/09/23")</f>
        <v>2016/09/23</v>
      </c>
      <c r="F167" s="34" t="str">
        <f>IFERROR(__xludf.DUMMYFUNCTION("""COMPUTED_VALUE"""),"AWS S3")</f>
        <v>AWS S3</v>
      </c>
      <c r="G167" s="34"/>
    </row>
    <row r="168">
      <c r="A168" s="34" t="str">
        <f>IFERROR(__xludf.DUMMYFUNCTION("""COMPUTED_VALUE"""),"ゲーム事業本部")</f>
        <v>ゲーム事業本部</v>
      </c>
      <c r="B168" s="34" t="str">
        <f>IFERROR(__xludf.DUMMYFUNCTION("""COMPUTED_VALUE"""),"ゲーム事業部")</f>
        <v>ゲーム事業部</v>
      </c>
      <c r="C168" s="68">
        <f>IFERROR(__xludf.DUMMYFUNCTION("""COMPUTED_VALUE"""),996.0)</f>
        <v>996</v>
      </c>
      <c r="D168" s="68">
        <f>IFERROR(__xludf.DUMMYFUNCTION("""COMPUTED_VALUE"""),10517.0)</f>
        <v>10517</v>
      </c>
      <c r="E168" s="34" t="str">
        <f>IFERROR(__xludf.DUMMYFUNCTION("""COMPUTED_VALUE"""),"2014/05/30")</f>
        <v>2014/05/30</v>
      </c>
      <c r="F168" s="34" t="str">
        <f>IFERROR(__xludf.DUMMYFUNCTION("""COMPUTED_VALUE"""),"AWS S3")</f>
        <v>AWS S3</v>
      </c>
      <c r="G168" s="34"/>
    </row>
    <row r="169">
      <c r="A169" s="34" t="str">
        <f>IFERROR(__xludf.DUMMYFUNCTION("""COMPUTED_VALUE"""),"モンスト事業本部")</f>
        <v>モンスト事業本部</v>
      </c>
      <c r="B169" s="34" t="str">
        <f>IFERROR(__xludf.DUMMYFUNCTION("""COMPUTED_VALUE"""),"MSスピンオフゲーム事業部")</f>
        <v>MSスピンオフゲーム事業部</v>
      </c>
      <c r="C169" s="68">
        <f>IFERROR(__xludf.DUMMYFUNCTION("""COMPUTED_VALUE"""),5825.0)</f>
        <v>5825</v>
      </c>
      <c r="D169" s="68">
        <f>IFERROR(__xludf.DUMMYFUNCTION("""COMPUTED_VALUE"""),89729.0)</f>
        <v>89729</v>
      </c>
      <c r="E169" s="34" t="str">
        <f>IFERROR(__xludf.DUMMYFUNCTION("""COMPUTED_VALUE"""),"2021/05/06")</f>
        <v>2021/05/06</v>
      </c>
      <c r="F169" s="34" t="str">
        <f>IFERROR(__xludf.DUMMYFUNCTION("""COMPUTED_VALUE"""),"AWS S3")</f>
        <v>AWS S3</v>
      </c>
      <c r="G169" s="34"/>
    </row>
    <row r="170">
      <c r="A170" s="34" t="str">
        <f>IFERROR(__xludf.DUMMYFUNCTION("""COMPUTED_VALUE"""),"モンスト事業本部")</f>
        <v>モンスト事業本部</v>
      </c>
      <c r="B170" s="34" t="str">
        <f>IFERROR(__xludf.DUMMYFUNCTION("""COMPUTED_VALUE"""),"ブランドコミュニケーション室")</f>
        <v>ブランドコミュニケーション室</v>
      </c>
      <c r="C170" s="68">
        <f>IFERROR(__xludf.DUMMYFUNCTION("""COMPUTED_VALUE"""),23.0)</f>
        <v>23</v>
      </c>
      <c r="D170" s="68">
        <f>IFERROR(__xludf.DUMMYFUNCTION("""COMPUTED_VALUE"""),5.0)</f>
        <v>5</v>
      </c>
      <c r="E170" s="34" t="str">
        <f>IFERROR(__xludf.DUMMYFUNCTION("""COMPUTED_VALUE"""),"2019/07/17")</f>
        <v>2019/07/17</v>
      </c>
      <c r="F170" s="34" t="str">
        <f>IFERROR(__xludf.DUMMYFUNCTION("""COMPUTED_VALUE"""),"AWS S3")</f>
        <v>AWS S3</v>
      </c>
      <c r="G170" s="34"/>
    </row>
    <row r="171">
      <c r="A171" s="34" t="str">
        <f>IFERROR(__xludf.DUMMYFUNCTION("""COMPUTED_VALUE"""),"モンスト事業本部")</f>
        <v>モンスト事業本部</v>
      </c>
      <c r="B171" s="34" t="str">
        <f>IFERROR(__xludf.DUMMYFUNCTION("""COMPUTED_VALUE"""),"ライフコミュニケーション部")</f>
        <v>ライフコミュニケーション部</v>
      </c>
      <c r="C171" s="68">
        <f>IFERROR(__xludf.DUMMYFUNCTION("""COMPUTED_VALUE"""),33.0)</f>
        <v>33</v>
      </c>
      <c r="D171" s="68">
        <f>IFERROR(__xludf.DUMMYFUNCTION("""COMPUTED_VALUE"""),2.0)</f>
        <v>2</v>
      </c>
      <c r="E171" s="34" t="str">
        <f>IFERROR(__xludf.DUMMYFUNCTION("""COMPUTED_VALUE"""),"2020/12/22")</f>
        <v>2020/12/22</v>
      </c>
      <c r="F171" s="34" t="str">
        <f>IFERROR(__xludf.DUMMYFUNCTION("""COMPUTED_VALUE"""),"AWS S3")</f>
        <v>AWS S3</v>
      </c>
      <c r="G171" s="34"/>
    </row>
    <row r="172">
      <c r="A172" s="34" t="str">
        <f>IFERROR(__xludf.DUMMYFUNCTION("""COMPUTED_VALUE"""),"モンスト事業本部")</f>
        <v>モンスト事業本部</v>
      </c>
      <c r="B172" s="34" t="str">
        <f>IFERROR(__xludf.DUMMYFUNCTION("""COMPUTED_VALUE"""),"マーケティングコミュニケーション部")</f>
        <v>マーケティングコミュニケーション部</v>
      </c>
      <c r="C172" s="68">
        <f>IFERROR(__xludf.DUMMYFUNCTION("""COMPUTED_VALUE"""),46.0)</f>
        <v>46</v>
      </c>
      <c r="D172" s="68">
        <f>IFERROR(__xludf.DUMMYFUNCTION("""COMPUTED_VALUE"""),2.0)</f>
        <v>2</v>
      </c>
      <c r="E172" s="34" t="str">
        <f>IFERROR(__xludf.DUMMYFUNCTION("""COMPUTED_VALUE"""),"×")</f>
        <v>×</v>
      </c>
      <c r="F172" s="34" t="str">
        <f>IFERROR(__xludf.DUMMYFUNCTION("""COMPUTED_VALUE"""),"AWS S3")</f>
        <v>AWS S3</v>
      </c>
      <c r="G172" s="34"/>
    </row>
    <row r="173">
      <c r="A173" s="34" t="str">
        <f>IFERROR(__xludf.DUMMYFUNCTION("""COMPUTED_VALUE"""),"モンスト事業本部")</f>
        <v>モンスト事業本部</v>
      </c>
      <c r="B173" s="34" t="str">
        <f>IFERROR(__xludf.DUMMYFUNCTION("""COMPUTED_VALUE"""),"ゲーム運営部")</f>
        <v>ゲーム運営部</v>
      </c>
      <c r="C173" s="68">
        <f>IFERROR(__xludf.DUMMYFUNCTION("""COMPUTED_VALUE"""),2378.0)</f>
        <v>2378</v>
      </c>
      <c r="D173" s="68">
        <f>IFERROR(__xludf.DUMMYFUNCTION("""COMPUTED_VALUE"""),12680.0)</f>
        <v>12680</v>
      </c>
      <c r="E173" s="34" t="str">
        <f>IFERROR(__xludf.DUMMYFUNCTION("""COMPUTED_VALUE"""),"2020/11/27")</f>
        <v>2020/11/27</v>
      </c>
      <c r="F173" s="34" t="str">
        <f>IFERROR(__xludf.DUMMYFUNCTION("""COMPUTED_VALUE"""),"AWS S3")</f>
        <v>AWS S3</v>
      </c>
      <c r="G173" s="34"/>
    </row>
    <row r="174">
      <c r="A174" s="34" t="str">
        <f>IFERROR(__xludf.DUMMYFUNCTION("""COMPUTED_VALUE"""),"モンスト事業本部")</f>
        <v>モンスト事業本部</v>
      </c>
      <c r="B174" s="34" t="str">
        <f>IFERROR(__xludf.DUMMYFUNCTION("""COMPUTED_VALUE"""),"マーケティング部")</f>
        <v>マーケティング部</v>
      </c>
      <c r="C174" s="68">
        <f>IFERROR(__xludf.DUMMYFUNCTION("""COMPUTED_VALUE"""),6092.0)</f>
        <v>6092</v>
      </c>
      <c r="D174" s="68">
        <f>IFERROR(__xludf.DUMMYFUNCTION("""COMPUTED_VALUE"""),90641.0)</f>
        <v>90641</v>
      </c>
      <c r="E174" s="34" t="str">
        <f>IFERROR(__xludf.DUMMYFUNCTION("""COMPUTED_VALUE"""),"2020/01/14")</f>
        <v>2020/01/14</v>
      </c>
      <c r="F174" s="34" t="str">
        <f>IFERROR(__xludf.DUMMYFUNCTION("""COMPUTED_VALUE"""),"AWS S3")</f>
        <v>AWS S3</v>
      </c>
      <c r="G174" s="34"/>
    </row>
    <row r="175">
      <c r="A175" s="34" t="str">
        <f>IFERROR(__xludf.DUMMYFUNCTION("""COMPUTED_VALUE"""),"モンスト事業本部")</f>
        <v>モンスト事業本部</v>
      </c>
      <c r="B175" s="34" t="str">
        <f>IFERROR(__xludf.DUMMYFUNCTION("""COMPUTED_VALUE"""),"デザイン室")</f>
        <v>デザイン室</v>
      </c>
      <c r="C175" s="68">
        <f>IFERROR(__xludf.DUMMYFUNCTION("""COMPUTED_VALUE"""),4245.0)</f>
        <v>4245</v>
      </c>
      <c r="D175" s="68">
        <f>IFERROR(__xludf.DUMMYFUNCTION("""COMPUTED_VALUE"""),169814.0)</f>
        <v>169814</v>
      </c>
      <c r="E175" s="34" t="str">
        <f>IFERROR(__xludf.DUMMYFUNCTION("""COMPUTED_VALUE"""),"2020/01/27")</f>
        <v>2020/01/27</v>
      </c>
      <c r="F175" s="34" t="str">
        <f>IFERROR(__xludf.DUMMYFUNCTION("""COMPUTED_VALUE"""),"AWS S3")</f>
        <v>AWS S3</v>
      </c>
      <c r="G175" s="34"/>
    </row>
    <row r="176">
      <c r="A176" s="34" t="str">
        <f>IFERROR(__xludf.DUMMYFUNCTION("""COMPUTED_VALUE"""),"モンスト事業本部")</f>
        <v>モンスト事業本部</v>
      </c>
      <c r="B176" s="34" t="str">
        <f>IFERROR(__xludf.DUMMYFUNCTION("""COMPUTED_VALUE"""),"本部共有")</f>
        <v>本部共有</v>
      </c>
      <c r="C176" s="68">
        <f>IFERROR(__xludf.DUMMYFUNCTION("""COMPUTED_VALUE"""),17.0)</f>
        <v>17</v>
      </c>
      <c r="D176" s="68">
        <f>IFERROR(__xludf.DUMMYFUNCTION("""COMPUTED_VALUE"""),8.0)</f>
        <v>8</v>
      </c>
      <c r="E176" s="34" t="str">
        <f>IFERROR(__xludf.DUMMYFUNCTION("""COMPUTED_VALUE"""),"2020/08/06")</f>
        <v>2020/08/06</v>
      </c>
      <c r="F176" s="34" t="str">
        <f>IFERROR(__xludf.DUMMYFUNCTION("""COMPUTED_VALUE"""),"AWS S3")</f>
        <v>AWS S3</v>
      </c>
      <c r="G176" s="3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41.0"/>
    <col customWidth="1" min="2" max="2" width="31.0"/>
    <col customWidth="1" min="3" max="3" width="4.38"/>
    <col customWidth="1" min="4" max="4" width="12.63"/>
    <col customWidth="1" min="5" max="5" width="44.0"/>
    <col customWidth="1" min="6" max="6" width="29.13"/>
    <col customWidth="1" min="7" max="8" width="29.63"/>
    <col customWidth="1" min="9" max="9" width="44.0" outlineLevel="1"/>
    <col customWidth="1" min="10" max="10" width="74.13"/>
  </cols>
  <sheetData>
    <row r="1">
      <c r="A1" s="35" t="s">
        <v>1099</v>
      </c>
      <c r="B1" s="35" t="s">
        <v>2162</v>
      </c>
      <c r="C1" s="8" t="s">
        <v>2380</v>
      </c>
      <c r="D1" s="8" t="s">
        <v>2381</v>
      </c>
      <c r="E1" s="7" t="s">
        <v>2169</v>
      </c>
      <c r="F1" s="7" t="s">
        <v>2170</v>
      </c>
      <c r="G1" s="7" t="s">
        <v>2171</v>
      </c>
      <c r="H1" s="7" t="s">
        <v>2172</v>
      </c>
      <c r="I1" s="7" t="s">
        <v>987</v>
      </c>
      <c r="J1" s="7" t="s">
        <v>1038</v>
      </c>
      <c r="K1" s="38" t="s">
        <v>2382</v>
      </c>
      <c r="L1" s="7" t="s">
        <v>2383</v>
      </c>
      <c r="M1" s="69" t="s">
        <v>2384</v>
      </c>
    </row>
    <row r="2">
      <c r="A2" s="8" t="s">
        <v>1100</v>
      </c>
      <c r="B2" s="8" t="s">
        <v>1101</v>
      </c>
      <c r="C2" s="7" t="s">
        <v>986</v>
      </c>
      <c r="D2" s="8" t="s">
        <v>1102</v>
      </c>
      <c r="E2" s="7" t="s">
        <v>1103</v>
      </c>
      <c r="F2" s="37"/>
      <c r="G2" s="37" t="s">
        <v>1053</v>
      </c>
      <c r="H2" s="37" t="s">
        <v>1053</v>
      </c>
      <c r="I2" s="7" t="s">
        <v>1103</v>
      </c>
      <c r="J2" s="37"/>
      <c r="K2" s="37" t="s">
        <v>1053</v>
      </c>
      <c r="L2" s="7" t="s">
        <v>986</v>
      </c>
      <c r="M2" s="37"/>
    </row>
    <row r="3">
      <c r="A3" s="8" t="s">
        <v>1100</v>
      </c>
      <c r="B3" s="8" t="s">
        <v>444</v>
      </c>
      <c r="C3" s="7" t="s">
        <v>986</v>
      </c>
      <c r="D3" s="8" t="s">
        <v>1102</v>
      </c>
      <c r="E3" s="7" t="s">
        <v>1103</v>
      </c>
      <c r="F3" s="37"/>
      <c r="G3" s="37" t="s">
        <v>1053</v>
      </c>
      <c r="H3" s="37" t="s">
        <v>1053</v>
      </c>
      <c r="I3" s="7" t="s">
        <v>1103</v>
      </c>
      <c r="J3" s="37"/>
      <c r="K3" s="37" t="s">
        <v>1053</v>
      </c>
      <c r="L3" s="7" t="s">
        <v>986</v>
      </c>
      <c r="M3" s="37"/>
    </row>
    <row r="4">
      <c r="A4" s="8" t="s">
        <v>1100</v>
      </c>
      <c r="B4" s="8" t="s">
        <v>56</v>
      </c>
      <c r="C4" s="7" t="s">
        <v>986</v>
      </c>
      <c r="D4" s="8" t="s">
        <v>1102</v>
      </c>
      <c r="E4" s="7" t="s">
        <v>1103</v>
      </c>
      <c r="F4" s="37"/>
      <c r="G4" s="37" t="s">
        <v>1053</v>
      </c>
      <c r="H4" s="37" t="s">
        <v>1053</v>
      </c>
      <c r="I4" s="7" t="s">
        <v>1103</v>
      </c>
      <c r="J4" s="37"/>
      <c r="K4" s="37" t="s">
        <v>1053</v>
      </c>
      <c r="L4" s="7" t="s">
        <v>986</v>
      </c>
      <c r="M4" s="37"/>
    </row>
    <row r="5">
      <c r="A5" s="8" t="s">
        <v>1100</v>
      </c>
      <c r="B5" s="8" t="s">
        <v>1104</v>
      </c>
      <c r="C5" s="7" t="s">
        <v>986</v>
      </c>
      <c r="D5" s="8" t="s">
        <v>1102</v>
      </c>
      <c r="E5" s="7" t="s">
        <v>1105</v>
      </c>
      <c r="F5" s="37"/>
      <c r="G5" s="37" t="s">
        <v>1053</v>
      </c>
      <c r="H5" s="37" t="s">
        <v>1053</v>
      </c>
      <c r="I5" s="7" t="s">
        <v>1105</v>
      </c>
      <c r="J5" s="37"/>
      <c r="K5" s="37" t="s">
        <v>1053</v>
      </c>
      <c r="L5" s="7" t="s">
        <v>986</v>
      </c>
      <c r="M5" s="37"/>
    </row>
    <row r="6">
      <c r="A6" s="8" t="s">
        <v>1106</v>
      </c>
      <c r="B6" s="8" t="s">
        <v>1107</v>
      </c>
      <c r="C6" s="7" t="s">
        <v>987</v>
      </c>
      <c r="D6" s="8" t="s">
        <v>1102</v>
      </c>
      <c r="E6" s="7" t="s">
        <v>1108</v>
      </c>
      <c r="G6" s="37" t="s">
        <v>1053</v>
      </c>
      <c r="H6" s="37" t="s">
        <v>1053</v>
      </c>
      <c r="I6" s="7" t="s">
        <v>1108</v>
      </c>
      <c r="K6" s="37" t="s">
        <v>1053</v>
      </c>
      <c r="L6" s="37" t="s">
        <v>1053</v>
      </c>
    </row>
    <row r="7">
      <c r="A7" s="8" t="s">
        <v>1106</v>
      </c>
      <c r="B7" s="8" t="s">
        <v>1109</v>
      </c>
      <c r="C7" s="7" t="s">
        <v>987</v>
      </c>
      <c r="D7" s="8" t="s">
        <v>1102</v>
      </c>
      <c r="E7" s="7" t="s">
        <v>1110</v>
      </c>
      <c r="G7" s="37" t="s">
        <v>1053</v>
      </c>
      <c r="H7" s="37" t="s">
        <v>1053</v>
      </c>
      <c r="I7" s="7" t="s">
        <v>1110</v>
      </c>
      <c r="K7" s="37" t="s">
        <v>1053</v>
      </c>
      <c r="L7" s="37" t="s">
        <v>1053</v>
      </c>
    </row>
    <row r="8">
      <c r="A8" s="8" t="s">
        <v>1106</v>
      </c>
      <c r="B8" s="8" t="s">
        <v>1111</v>
      </c>
      <c r="C8" s="7" t="s">
        <v>987</v>
      </c>
      <c r="D8" s="8" t="s">
        <v>1102</v>
      </c>
      <c r="E8" s="7" t="s">
        <v>1105</v>
      </c>
      <c r="G8" s="37" t="s">
        <v>1053</v>
      </c>
      <c r="H8" s="37" t="s">
        <v>1053</v>
      </c>
      <c r="I8" s="7" t="s">
        <v>1105</v>
      </c>
      <c r="K8" s="37" t="s">
        <v>1053</v>
      </c>
      <c r="L8" s="37" t="s">
        <v>1053</v>
      </c>
    </row>
    <row r="9">
      <c r="A9" s="8" t="s">
        <v>1106</v>
      </c>
      <c r="B9" s="8" t="s">
        <v>1112</v>
      </c>
      <c r="C9" s="7" t="s">
        <v>986</v>
      </c>
      <c r="D9" s="8" t="s">
        <v>1102</v>
      </c>
      <c r="E9" s="7" t="s">
        <v>1110</v>
      </c>
      <c r="F9" s="37"/>
      <c r="G9" s="37" t="s">
        <v>1053</v>
      </c>
      <c r="H9" s="37" t="s">
        <v>1053</v>
      </c>
      <c r="I9" s="7" t="s">
        <v>1110</v>
      </c>
      <c r="J9" s="37"/>
      <c r="K9" s="37" t="s">
        <v>1053</v>
      </c>
      <c r="L9" s="7" t="s">
        <v>986</v>
      </c>
      <c r="M9" s="37"/>
    </row>
    <row r="10">
      <c r="A10" s="8" t="s">
        <v>1106</v>
      </c>
      <c r="B10" s="8" t="s">
        <v>1113</v>
      </c>
      <c r="C10" s="7" t="s">
        <v>987</v>
      </c>
      <c r="D10" s="8" t="s">
        <v>1102</v>
      </c>
      <c r="E10" s="7" t="s">
        <v>1110</v>
      </c>
      <c r="G10" s="37" t="s">
        <v>1053</v>
      </c>
      <c r="H10" s="37" t="s">
        <v>1053</v>
      </c>
      <c r="I10" s="7" t="s">
        <v>1110</v>
      </c>
      <c r="K10" s="37" t="s">
        <v>1053</v>
      </c>
      <c r="L10" s="37" t="s">
        <v>1053</v>
      </c>
    </row>
    <row r="11">
      <c r="A11" s="8" t="s">
        <v>1114</v>
      </c>
      <c r="B11" s="8" t="s">
        <v>1115</v>
      </c>
      <c r="C11" s="7" t="s">
        <v>986</v>
      </c>
      <c r="D11" s="8" t="s">
        <v>1116</v>
      </c>
      <c r="E11" s="7" t="s">
        <v>1117</v>
      </c>
      <c r="F11" s="37"/>
      <c r="G11" s="37" t="s">
        <v>1053</v>
      </c>
      <c r="H11" s="37" t="s">
        <v>1053</v>
      </c>
      <c r="I11" s="7" t="s">
        <v>1117</v>
      </c>
      <c r="J11" s="37"/>
      <c r="K11" s="37" t="s">
        <v>1053</v>
      </c>
      <c r="L11" s="7" t="s">
        <v>986</v>
      </c>
      <c r="M11" s="37"/>
    </row>
    <row r="12">
      <c r="A12" s="8" t="s">
        <v>1114</v>
      </c>
      <c r="B12" s="8" t="s">
        <v>1118</v>
      </c>
      <c r="C12" s="7" t="s">
        <v>986</v>
      </c>
      <c r="D12" s="8" t="s">
        <v>1116</v>
      </c>
      <c r="E12" s="7" t="s">
        <v>1117</v>
      </c>
      <c r="F12" s="37"/>
      <c r="G12" s="37" t="s">
        <v>1053</v>
      </c>
      <c r="H12" s="37" t="s">
        <v>1053</v>
      </c>
      <c r="I12" s="7" t="s">
        <v>1117</v>
      </c>
      <c r="J12" s="37"/>
      <c r="K12" s="37" t="s">
        <v>1053</v>
      </c>
      <c r="L12" s="7" t="s">
        <v>986</v>
      </c>
      <c r="M12" s="37"/>
    </row>
    <row r="13">
      <c r="A13" s="8" t="s">
        <v>1114</v>
      </c>
      <c r="B13" s="8" t="s">
        <v>1119</v>
      </c>
      <c r="C13" s="7" t="s">
        <v>986</v>
      </c>
      <c r="D13" s="8" t="s">
        <v>1116</v>
      </c>
      <c r="E13" s="7" t="s">
        <v>1117</v>
      </c>
      <c r="F13" s="37"/>
      <c r="G13" s="37" t="s">
        <v>1053</v>
      </c>
      <c r="H13" s="37" t="s">
        <v>1053</v>
      </c>
      <c r="I13" s="7" t="s">
        <v>1117</v>
      </c>
      <c r="J13" s="37"/>
      <c r="K13" s="37" t="s">
        <v>1053</v>
      </c>
      <c r="L13" s="7" t="s">
        <v>986</v>
      </c>
      <c r="M13" s="37"/>
    </row>
    <row r="14">
      <c r="A14" s="8" t="s">
        <v>1114</v>
      </c>
      <c r="B14" s="8" t="s">
        <v>1120</v>
      </c>
      <c r="C14" s="7" t="s">
        <v>986</v>
      </c>
      <c r="D14" s="8" t="s">
        <v>1116</v>
      </c>
      <c r="E14" s="7" t="s">
        <v>1117</v>
      </c>
      <c r="F14" s="37"/>
      <c r="G14" s="37" t="s">
        <v>1053</v>
      </c>
      <c r="H14" s="37" t="s">
        <v>1053</v>
      </c>
      <c r="I14" s="7" t="s">
        <v>1117</v>
      </c>
      <c r="J14" s="37"/>
      <c r="K14" s="37" t="s">
        <v>1053</v>
      </c>
      <c r="L14" s="7" t="s">
        <v>986</v>
      </c>
      <c r="M14" s="37"/>
    </row>
    <row r="15">
      <c r="A15" s="8" t="s">
        <v>1114</v>
      </c>
      <c r="B15" s="8" t="s">
        <v>1121</v>
      </c>
      <c r="C15" s="7" t="s">
        <v>986</v>
      </c>
      <c r="D15" s="8" t="s">
        <v>1116</v>
      </c>
      <c r="E15" s="7" t="s">
        <v>1117</v>
      </c>
      <c r="F15" s="37"/>
      <c r="G15" s="37" t="s">
        <v>1053</v>
      </c>
      <c r="H15" s="37" t="s">
        <v>1053</v>
      </c>
      <c r="I15" s="7" t="s">
        <v>1117</v>
      </c>
      <c r="J15" s="37"/>
      <c r="K15" s="37" t="s">
        <v>1053</v>
      </c>
      <c r="L15" s="7" t="s">
        <v>986</v>
      </c>
      <c r="M15" s="37"/>
    </row>
    <row r="16">
      <c r="A16" s="8" t="s">
        <v>1114</v>
      </c>
      <c r="B16" s="8" t="s">
        <v>430</v>
      </c>
      <c r="C16" s="7" t="s">
        <v>987</v>
      </c>
      <c r="D16" s="8"/>
      <c r="E16" s="37" t="s">
        <v>429</v>
      </c>
      <c r="F16" s="37" t="s">
        <v>430</v>
      </c>
      <c r="G16" s="37" t="s">
        <v>2096</v>
      </c>
      <c r="H16" s="37" t="s">
        <v>1053</v>
      </c>
      <c r="K16" s="37" t="s">
        <v>1053</v>
      </c>
      <c r="L16" s="37" t="s">
        <v>1053</v>
      </c>
    </row>
    <row r="17">
      <c r="A17" s="8" t="s">
        <v>1114</v>
      </c>
      <c r="B17" s="8" t="s">
        <v>1122</v>
      </c>
      <c r="C17" s="7" t="s">
        <v>986</v>
      </c>
      <c r="D17" s="8" t="s">
        <v>1116</v>
      </c>
      <c r="E17" s="7" t="s">
        <v>1117</v>
      </c>
      <c r="F17" s="37"/>
      <c r="G17" s="37" t="s">
        <v>1053</v>
      </c>
      <c r="H17" s="37" t="s">
        <v>1053</v>
      </c>
      <c r="I17" s="7" t="s">
        <v>1117</v>
      </c>
      <c r="J17" s="37"/>
      <c r="K17" s="37" t="s">
        <v>1053</v>
      </c>
      <c r="L17" s="7" t="s">
        <v>986</v>
      </c>
      <c r="M17" s="37"/>
    </row>
    <row r="18">
      <c r="A18" s="8" t="s">
        <v>1114</v>
      </c>
      <c r="B18" s="8" t="s">
        <v>1123</v>
      </c>
      <c r="C18" s="7" t="s">
        <v>986</v>
      </c>
      <c r="D18" s="8" t="s">
        <v>1116</v>
      </c>
      <c r="E18" s="7" t="s">
        <v>1117</v>
      </c>
      <c r="F18" s="37"/>
      <c r="G18" s="37" t="s">
        <v>1053</v>
      </c>
      <c r="H18" s="37" t="s">
        <v>1053</v>
      </c>
      <c r="I18" s="7" t="s">
        <v>1117</v>
      </c>
      <c r="J18" s="37"/>
      <c r="K18" s="37" t="s">
        <v>1053</v>
      </c>
      <c r="L18" s="7" t="s">
        <v>986</v>
      </c>
      <c r="M18" s="37"/>
    </row>
    <row r="19">
      <c r="A19" s="8" t="s">
        <v>1114</v>
      </c>
      <c r="B19" s="8" t="s">
        <v>1124</v>
      </c>
      <c r="C19" s="7" t="s">
        <v>986</v>
      </c>
      <c r="D19" s="8" t="s">
        <v>1116</v>
      </c>
      <c r="E19" s="7" t="s">
        <v>1117</v>
      </c>
      <c r="F19" s="37"/>
      <c r="G19" s="37" t="s">
        <v>1053</v>
      </c>
      <c r="H19" s="37" t="s">
        <v>1053</v>
      </c>
      <c r="I19" s="7" t="s">
        <v>1117</v>
      </c>
      <c r="J19" s="37"/>
      <c r="K19" s="37" t="s">
        <v>1053</v>
      </c>
      <c r="L19" s="7" t="s">
        <v>986</v>
      </c>
      <c r="M19" s="37"/>
    </row>
    <row r="20">
      <c r="A20" s="8" t="s">
        <v>1114</v>
      </c>
      <c r="B20" s="8" t="s">
        <v>1125</v>
      </c>
      <c r="C20" s="7" t="s">
        <v>986</v>
      </c>
      <c r="D20" s="8" t="s">
        <v>1116</v>
      </c>
      <c r="E20" s="7" t="s">
        <v>1117</v>
      </c>
      <c r="F20" s="37"/>
      <c r="G20" s="37" t="s">
        <v>1053</v>
      </c>
      <c r="H20" s="37" t="s">
        <v>1053</v>
      </c>
      <c r="I20" s="7" t="s">
        <v>1117</v>
      </c>
      <c r="J20" s="37"/>
      <c r="K20" s="37" t="s">
        <v>1053</v>
      </c>
      <c r="L20" s="7" t="s">
        <v>986</v>
      </c>
      <c r="M20" s="37"/>
    </row>
    <row r="21">
      <c r="A21" s="8" t="s">
        <v>1114</v>
      </c>
      <c r="B21" s="8" t="s">
        <v>1126</v>
      </c>
      <c r="C21" s="7" t="s">
        <v>986</v>
      </c>
      <c r="D21" s="8" t="s">
        <v>1116</v>
      </c>
      <c r="E21" s="7" t="s">
        <v>1117</v>
      </c>
      <c r="F21" s="37"/>
      <c r="G21" s="37" t="s">
        <v>1053</v>
      </c>
      <c r="H21" s="37" t="s">
        <v>1053</v>
      </c>
      <c r="I21" s="7" t="s">
        <v>1117</v>
      </c>
      <c r="J21" s="37"/>
      <c r="K21" s="37" t="s">
        <v>1053</v>
      </c>
      <c r="L21" s="7" t="s">
        <v>986</v>
      </c>
      <c r="M21" s="37"/>
    </row>
    <row r="22">
      <c r="A22" s="8" t="s">
        <v>1114</v>
      </c>
      <c r="B22" s="8" t="s">
        <v>1127</v>
      </c>
      <c r="C22" s="7" t="s">
        <v>986</v>
      </c>
      <c r="D22" s="8" t="s">
        <v>1116</v>
      </c>
      <c r="E22" s="7" t="s">
        <v>1117</v>
      </c>
      <c r="F22" s="37"/>
      <c r="G22" s="37" t="s">
        <v>1053</v>
      </c>
      <c r="H22" s="37" t="s">
        <v>1053</v>
      </c>
      <c r="I22" s="7" t="s">
        <v>1117</v>
      </c>
      <c r="J22" s="37"/>
      <c r="K22" s="37" t="s">
        <v>1053</v>
      </c>
      <c r="L22" s="7" t="s">
        <v>986</v>
      </c>
      <c r="M22" s="37"/>
    </row>
    <row r="23">
      <c r="A23" s="8" t="s">
        <v>1114</v>
      </c>
      <c r="B23" s="8" t="s">
        <v>1128</v>
      </c>
      <c r="C23" s="7" t="s">
        <v>986</v>
      </c>
      <c r="D23" s="8" t="s">
        <v>1116</v>
      </c>
      <c r="E23" s="7" t="s">
        <v>1117</v>
      </c>
      <c r="F23" s="37"/>
      <c r="G23" s="37" t="s">
        <v>1053</v>
      </c>
      <c r="H23" s="37" t="s">
        <v>1053</v>
      </c>
      <c r="I23" s="7" t="s">
        <v>1117</v>
      </c>
      <c r="J23" s="37"/>
      <c r="K23" s="37" t="s">
        <v>1053</v>
      </c>
      <c r="L23" s="7" t="s">
        <v>986</v>
      </c>
      <c r="M23" s="37"/>
    </row>
    <row r="24">
      <c r="A24" s="8" t="s">
        <v>1114</v>
      </c>
      <c r="B24" s="8" t="s">
        <v>1129</v>
      </c>
      <c r="C24" s="7" t="s">
        <v>986</v>
      </c>
      <c r="D24" s="8" t="s">
        <v>1116</v>
      </c>
      <c r="E24" s="7" t="s">
        <v>1117</v>
      </c>
      <c r="F24" s="37"/>
      <c r="G24" s="37" t="s">
        <v>1053</v>
      </c>
      <c r="H24" s="37" t="s">
        <v>1053</v>
      </c>
      <c r="I24" s="7" t="s">
        <v>1117</v>
      </c>
      <c r="J24" s="37"/>
      <c r="K24" s="37" t="s">
        <v>1053</v>
      </c>
      <c r="L24" s="7" t="s">
        <v>986</v>
      </c>
      <c r="M24" s="37"/>
    </row>
    <row r="25">
      <c r="A25" s="8" t="s">
        <v>1114</v>
      </c>
      <c r="B25" s="8" t="s">
        <v>1111</v>
      </c>
      <c r="C25" s="7" t="s">
        <v>987</v>
      </c>
      <c r="D25" s="8" t="s">
        <v>1116</v>
      </c>
      <c r="E25" s="7" t="s">
        <v>1117</v>
      </c>
      <c r="G25" s="37" t="s">
        <v>1053</v>
      </c>
      <c r="H25" s="37" t="s">
        <v>1053</v>
      </c>
      <c r="I25" s="7" t="s">
        <v>1105</v>
      </c>
      <c r="K25" s="37" t="s">
        <v>1053</v>
      </c>
      <c r="L25" s="37" t="s">
        <v>1053</v>
      </c>
    </row>
    <row r="26">
      <c r="A26" s="8" t="s">
        <v>1114</v>
      </c>
      <c r="B26" s="8" t="s">
        <v>1130</v>
      </c>
      <c r="C26" s="7" t="s">
        <v>986</v>
      </c>
      <c r="D26" s="8" t="s">
        <v>1116</v>
      </c>
      <c r="E26" s="7" t="s">
        <v>1117</v>
      </c>
      <c r="F26" s="37"/>
      <c r="G26" s="37" t="s">
        <v>1053</v>
      </c>
      <c r="H26" s="37" t="s">
        <v>1053</v>
      </c>
      <c r="I26" s="7" t="s">
        <v>1117</v>
      </c>
      <c r="J26" s="37"/>
      <c r="K26" s="37" t="s">
        <v>1053</v>
      </c>
      <c r="L26" s="7" t="s">
        <v>986</v>
      </c>
      <c r="M26" s="37"/>
    </row>
    <row r="27">
      <c r="A27" s="8" t="s">
        <v>1131</v>
      </c>
      <c r="B27" s="8" t="s">
        <v>1132</v>
      </c>
      <c r="C27" s="7" t="s">
        <v>987</v>
      </c>
      <c r="D27" s="8" t="s">
        <v>1102</v>
      </c>
      <c r="E27" s="7" t="s">
        <v>1097</v>
      </c>
      <c r="G27" s="37" t="s">
        <v>1053</v>
      </c>
      <c r="H27" s="37" t="s">
        <v>1053</v>
      </c>
      <c r="I27" s="7" t="s">
        <v>1097</v>
      </c>
      <c r="K27" s="37" t="s">
        <v>1053</v>
      </c>
      <c r="L27" s="37" t="s">
        <v>1053</v>
      </c>
    </row>
    <row r="28">
      <c r="A28" s="8" t="s">
        <v>1131</v>
      </c>
      <c r="B28" s="8" t="s">
        <v>1133</v>
      </c>
      <c r="C28" s="7" t="s">
        <v>987</v>
      </c>
      <c r="D28" s="8" t="s">
        <v>1102</v>
      </c>
      <c r="E28" s="7" t="s">
        <v>1097</v>
      </c>
      <c r="G28" s="37" t="s">
        <v>1053</v>
      </c>
      <c r="H28" s="37" t="s">
        <v>1053</v>
      </c>
      <c r="I28" s="7" t="s">
        <v>1097</v>
      </c>
      <c r="K28" s="37" t="s">
        <v>1053</v>
      </c>
      <c r="L28" s="37" t="s">
        <v>1053</v>
      </c>
    </row>
    <row r="29">
      <c r="A29" s="8" t="s">
        <v>1131</v>
      </c>
      <c r="B29" s="8" t="s">
        <v>1134</v>
      </c>
      <c r="C29" s="7" t="s">
        <v>987</v>
      </c>
      <c r="D29" s="8" t="s">
        <v>1102</v>
      </c>
      <c r="E29" s="7" t="s">
        <v>1097</v>
      </c>
      <c r="G29" s="37" t="s">
        <v>1053</v>
      </c>
      <c r="H29" s="37" t="s">
        <v>1053</v>
      </c>
      <c r="I29" s="7" t="s">
        <v>1097</v>
      </c>
      <c r="K29" s="37" t="s">
        <v>1053</v>
      </c>
      <c r="L29" s="37" t="s">
        <v>1053</v>
      </c>
    </row>
    <row r="30">
      <c r="A30" s="8" t="s">
        <v>1131</v>
      </c>
      <c r="B30" s="8" t="s">
        <v>1135</v>
      </c>
      <c r="C30" s="7" t="s">
        <v>987</v>
      </c>
      <c r="D30" s="8" t="s">
        <v>1102</v>
      </c>
      <c r="E30" s="7" t="s">
        <v>1097</v>
      </c>
      <c r="G30" s="37" t="s">
        <v>1053</v>
      </c>
      <c r="H30" s="37" t="s">
        <v>1053</v>
      </c>
      <c r="I30" s="7" t="s">
        <v>1097</v>
      </c>
      <c r="K30" s="37" t="s">
        <v>1053</v>
      </c>
      <c r="L30" s="37" t="s">
        <v>1053</v>
      </c>
    </row>
    <row r="31">
      <c r="A31" s="8" t="s">
        <v>1131</v>
      </c>
      <c r="B31" s="8" t="s">
        <v>1136</v>
      </c>
      <c r="C31" s="7" t="s">
        <v>987</v>
      </c>
      <c r="D31" s="8" t="s">
        <v>1102</v>
      </c>
      <c r="E31" s="7" t="s">
        <v>1097</v>
      </c>
      <c r="G31" s="37" t="s">
        <v>1053</v>
      </c>
      <c r="H31" s="37" t="s">
        <v>1053</v>
      </c>
      <c r="I31" s="7" t="s">
        <v>1097</v>
      </c>
      <c r="K31" s="37" t="s">
        <v>1053</v>
      </c>
      <c r="L31" s="37" t="s">
        <v>1053</v>
      </c>
    </row>
    <row r="32">
      <c r="A32" s="8" t="s">
        <v>1131</v>
      </c>
      <c r="B32" s="8" t="s">
        <v>1137</v>
      </c>
      <c r="C32" s="7" t="s">
        <v>987</v>
      </c>
      <c r="D32" s="8" t="s">
        <v>1102</v>
      </c>
      <c r="E32" s="7" t="s">
        <v>1097</v>
      </c>
      <c r="G32" s="37" t="s">
        <v>1053</v>
      </c>
      <c r="H32" s="37" t="s">
        <v>1053</v>
      </c>
      <c r="I32" s="7" t="s">
        <v>1097</v>
      </c>
      <c r="K32" s="37" t="s">
        <v>1053</v>
      </c>
      <c r="L32" s="37" t="s">
        <v>1053</v>
      </c>
    </row>
    <row r="33">
      <c r="A33" s="8" t="s">
        <v>1131</v>
      </c>
      <c r="B33" s="8" t="s">
        <v>286</v>
      </c>
      <c r="C33" s="7" t="s">
        <v>986</v>
      </c>
      <c r="D33" s="8"/>
      <c r="E33" s="37" t="s">
        <v>281</v>
      </c>
      <c r="F33" s="37" t="s">
        <v>286</v>
      </c>
      <c r="G33" s="37" t="s">
        <v>1053</v>
      </c>
      <c r="H33" s="37" t="s">
        <v>1053</v>
      </c>
      <c r="I33" s="37"/>
      <c r="J33" s="37"/>
      <c r="K33" s="37" t="s">
        <v>1053</v>
      </c>
      <c r="L33" s="7" t="s">
        <v>986</v>
      </c>
      <c r="M33" s="37"/>
    </row>
    <row r="34">
      <c r="A34" s="8" t="s">
        <v>1131</v>
      </c>
      <c r="B34" s="8" t="s">
        <v>1111</v>
      </c>
      <c r="C34" s="7" t="s">
        <v>987</v>
      </c>
      <c r="D34" s="8" t="s">
        <v>1102</v>
      </c>
      <c r="E34" s="7" t="s">
        <v>1105</v>
      </c>
      <c r="G34" s="37" t="s">
        <v>1053</v>
      </c>
      <c r="H34" s="37" t="s">
        <v>1053</v>
      </c>
      <c r="I34" s="7" t="s">
        <v>1105</v>
      </c>
      <c r="K34" s="37" t="s">
        <v>1053</v>
      </c>
      <c r="L34" s="37" t="s">
        <v>1053</v>
      </c>
    </row>
    <row r="35">
      <c r="A35" s="8" t="s">
        <v>1138</v>
      </c>
      <c r="B35" s="8" t="s">
        <v>1139</v>
      </c>
      <c r="C35" s="7" t="s">
        <v>987</v>
      </c>
      <c r="D35" s="8" t="s">
        <v>1140</v>
      </c>
      <c r="E35" s="7" t="s">
        <v>1141</v>
      </c>
      <c r="G35" s="37" t="s">
        <v>1053</v>
      </c>
      <c r="H35" s="37" t="s">
        <v>1053</v>
      </c>
      <c r="I35" s="7" t="s">
        <v>1141</v>
      </c>
      <c r="K35" s="37" t="s">
        <v>1053</v>
      </c>
      <c r="L35" s="37" t="s">
        <v>1053</v>
      </c>
    </row>
    <row r="36">
      <c r="A36" s="8" t="s">
        <v>478</v>
      </c>
      <c r="B36" s="8" t="s">
        <v>484</v>
      </c>
      <c r="C36" s="8"/>
      <c r="D36" s="8"/>
      <c r="E36" s="37" t="s">
        <v>478</v>
      </c>
      <c r="F36" s="37" t="s">
        <v>484</v>
      </c>
      <c r="G36" s="37" t="s">
        <v>1066</v>
      </c>
      <c r="H36" s="37" t="s">
        <v>1947</v>
      </c>
      <c r="K36" s="37" t="s">
        <v>1053</v>
      </c>
      <c r="L36" s="37" t="s">
        <v>1053</v>
      </c>
    </row>
    <row r="37">
      <c r="A37" s="8" t="s">
        <v>478</v>
      </c>
      <c r="B37" s="8" t="s">
        <v>508</v>
      </c>
      <c r="C37" s="7" t="s">
        <v>986</v>
      </c>
      <c r="D37" s="8"/>
      <c r="E37" s="37" t="s">
        <v>478</v>
      </c>
      <c r="F37" s="37" t="s">
        <v>508</v>
      </c>
      <c r="G37" s="37" t="s">
        <v>1066</v>
      </c>
      <c r="H37" s="37" t="s">
        <v>1053</v>
      </c>
      <c r="I37" s="37"/>
      <c r="J37" s="37"/>
      <c r="K37" s="37" t="s">
        <v>1053</v>
      </c>
      <c r="L37" s="7" t="s">
        <v>986</v>
      </c>
      <c r="M37" s="37"/>
    </row>
    <row r="38">
      <c r="A38" s="8" t="s">
        <v>478</v>
      </c>
      <c r="B38" s="8" t="s">
        <v>1142</v>
      </c>
      <c r="C38" s="7" t="s">
        <v>986</v>
      </c>
      <c r="D38" s="8"/>
      <c r="E38" s="37" t="s">
        <v>478</v>
      </c>
      <c r="F38" s="37" t="s">
        <v>1053</v>
      </c>
      <c r="G38" s="37" t="s">
        <v>1066</v>
      </c>
      <c r="H38" s="37" t="s">
        <v>1053</v>
      </c>
      <c r="I38" s="37"/>
      <c r="J38" s="37"/>
      <c r="K38" s="37" t="s">
        <v>1053</v>
      </c>
      <c r="L38" s="7" t="s">
        <v>986</v>
      </c>
      <c r="M38" s="37"/>
    </row>
    <row r="39">
      <c r="A39" s="8" t="s">
        <v>478</v>
      </c>
      <c r="B39" s="8" t="s">
        <v>1143</v>
      </c>
      <c r="C39" s="8"/>
      <c r="D39" s="8"/>
      <c r="E39" s="37" t="s">
        <v>478</v>
      </c>
      <c r="F39" s="37" t="s">
        <v>1053</v>
      </c>
      <c r="G39" s="37" t="s">
        <v>1066</v>
      </c>
      <c r="H39" s="37" t="s">
        <v>1053</v>
      </c>
      <c r="K39" s="37" t="s">
        <v>1053</v>
      </c>
      <c r="L39" s="37" t="s">
        <v>1053</v>
      </c>
    </row>
    <row r="40">
      <c r="A40" s="8" t="s">
        <v>478</v>
      </c>
      <c r="B40" s="8" t="s">
        <v>487</v>
      </c>
      <c r="C40" s="8"/>
      <c r="D40" s="8"/>
      <c r="E40" s="37" t="s">
        <v>478</v>
      </c>
      <c r="F40" s="37" t="s">
        <v>487</v>
      </c>
      <c r="G40" s="37" t="s">
        <v>1066</v>
      </c>
      <c r="H40" s="37" t="s">
        <v>1053</v>
      </c>
      <c r="K40" s="37" t="s">
        <v>1053</v>
      </c>
      <c r="L40" s="37" t="s">
        <v>1053</v>
      </c>
    </row>
    <row r="41">
      <c r="A41" s="8" t="s">
        <v>478</v>
      </c>
      <c r="B41" s="8" t="s">
        <v>1144</v>
      </c>
      <c r="C41" s="7" t="s">
        <v>986</v>
      </c>
      <c r="D41" s="8"/>
      <c r="E41" s="37" t="s">
        <v>478</v>
      </c>
      <c r="F41" s="37" t="s">
        <v>1053</v>
      </c>
      <c r="G41" s="37" t="s">
        <v>1066</v>
      </c>
      <c r="H41" s="37" t="s">
        <v>1053</v>
      </c>
      <c r="I41" s="37"/>
      <c r="J41" s="37"/>
      <c r="K41" s="37" t="s">
        <v>1053</v>
      </c>
      <c r="L41" s="7" t="s">
        <v>986</v>
      </c>
      <c r="M41" s="37"/>
    </row>
    <row r="42">
      <c r="A42" s="8" t="s">
        <v>478</v>
      </c>
      <c r="B42" s="8" t="s">
        <v>1145</v>
      </c>
      <c r="C42" s="7" t="s">
        <v>986</v>
      </c>
      <c r="D42" s="8"/>
      <c r="E42" s="37" t="s">
        <v>478</v>
      </c>
      <c r="F42" s="37" t="s">
        <v>1053</v>
      </c>
      <c r="G42" s="37" t="s">
        <v>1066</v>
      </c>
      <c r="H42" s="37" t="s">
        <v>1053</v>
      </c>
      <c r="I42" s="37"/>
      <c r="J42" s="37"/>
      <c r="K42" s="37" t="s">
        <v>1053</v>
      </c>
      <c r="L42" s="7" t="s">
        <v>986</v>
      </c>
      <c r="M42" s="37"/>
    </row>
    <row r="43">
      <c r="A43" s="8" t="s">
        <v>478</v>
      </c>
      <c r="B43" s="8" t="s">
        <v>958</v>
      </c>
      <c r="C43" s="7" t="s">
        <v>986</v>
      </c>
      <c r="D43" s="8"/>
      <c r="E43" s="37" t="s">
        <v>478</v>
      </c>
      <c r="F43" s="37" t="s">
        <v>958</v>
      </c>
      <c r="G43" s="37" t="s">
        <v>1066</v>
      </c>
      <c r="H43" s="37" t="s">
        <v>2193</v>
      </c>
      <c r="I43" s="37"/>
      <c r="J43" s="37"/>
      <c r="K43" s="37" t="s">
        <v>1053</v>
      </c>
      <c r="L43" s="7" t="s">
        <v>986</v>
      </c>
      <c r="M43" s="37"/>
    </row>
    <row r="44">
      <c r="A44" s="8" t="s">
        <v>478</v>
      </c>
      <c r="B44" s="8" t="s">
        <v>1146</v>
      </c>
      <c r="C44" s="8"/>
      <c r="D44" s="8"/>
      <c r="E44" s="37" t="str">
        <f t="array" ref="E44">XLOOKUP(F44,'部署遍歴'!D:D,'部署遍歴'!B:B,"×")</f>
        <v>人事本部</v>
      </c>
      <c r="F44" s="37" t="s">
        <v>487</v>
      </c>
      <c r="G44" s="37" t="s">
        <v>1066</v>
      </c>
      <c r="H44" s="37" t="s">
        <v>1053</v>
      </c>
      <c r="K44" s="37" t="s">
        <v>487</v>
      </c>
      <c r="L44" s="37" t="s">
        <v>1053</v>
      </c>
      <c r="M44" s="70" t="str">
        <f>IFERROR(__xludf.DUMMYFUNCTION("UNIQUE(FILTER('（新）div _bk'!B2:B498, COUNTIF('（新）div _bk'!B2:B498, '（新）div _bk'!B2:B498)&gt;1))"),"企画G")</f>
        <v>企画G</v>
      </c>
    </row>
    <row r="45">
      <c r="A45" s="8" t="s">
        <v>478</v>
      </c>
      <c r="B45" s="8" t="s">
        <v>1147</v>
      </c>
      <c r="C45" s="7" t="s">
        <v>986</v>
      </c>
      <c r="D45" s="8"/>
      <c r="E45" s="37" t="s">
        <v>478</v>
      </c>
      <c r="F45" s="37" t="s">
        <v>1053</v>
      </c>
      <c r="G45" s="37" t="s">
        <v>1066</v>
      </c>
      <c r="H45" s="37" t="s">
        <v>1053</v>
      </c>
      <c r="I45" s="37"/>
      <c r="J45" s="37"/>
      <c r="K45" s="37" t="s">
        <v>1053</v>
      </c>
      <c r="L45" s="7" t="s">
        <v>986</v>
      </c>
      <c r="M45" s="37" t="str">
        <f>IFERROR(__xludf.DUMMYFUNCTION("""COMPUTED_VALUE"""),"開発G")</f>
        <v>開発G</v>
      </c>
    </row>
    <row r="46">
      <c r="A46" s="8" t="s">
        <v>478</v>
      </c>
      <c r="B46" s="8" t="s">
        <v>482</v>
      </c>
      <c r="C46" s="8"/>
      <c r="D46" s="8"/>
      <c r="E46" s="37" t="s">
        <v>478</v>
      </c>
      <c r="F46" s="37" t="s">
        <v>482</v>
      </c>
      <c r="G46" s="37" t="s">
        <v>1066</v>
      </c>
      <c r="H46" s="37" t="s">
        <v>2104</v>
      </c>
      <c r="K46" s="37" t="s">
        <v>1053</v>
      </c>
      <c r="L46" s="37" t="s">
        <v>1053</v>
      </c>
      <c r="M46" s="37" t="str">
        <f>IFERROR(__xludf.DUMMYFUNCTION("""COMPUTED_VALUE"""),"室共有")</f>
        <v>室共有</v>
      </c>
    </row>
    <row r="47">
      <c r="A47" s="8" t="s">
        <v>478</v>
      </c>
      <c r="B47" s="8" t="s">
        <v>491</v>
      </c>
      <c r="C47" s="8"/>
      <c r="D47" s="8"/>
      <c r="E47" s="37" t="s">
        <v>478</v>
      </c>
      <c r="F47" s="37" t="s">
        <v>491</v>
      </c>
      <c r="G47" s="37" t="s">
        <v>1066</v>
      </c>
      <c r="H47" s="37" t="s">
        <v>1523</v>
      </c>
      <c r="K47" s="37" t="s">
        <v>1053</v>
      </c>
      <c r="L47" s="37" t="s">
        <v>1053</v>
      </c>
      <c r="M47" s="37" t="str">
        <f>IFERROR(__xludf.DUMMYFUNCTION("""COMPUTED_VALUE"""),"mixiサービス部")</f>
        <v>mixiサービス部</v>
      </c>
    </row>
    <row r="48">
      <c r="A48" s="8" t="s">
        <v>478</v>
      </c>
      <c r="B48" s="8" t="s">
        <v>953</v>
      </c>
      <c r="C48" s="7" t="s">
        <v>986</v>
      </c>
      <c r="D48" s="8"/>
      <c r="E48" s="37" t="s">
        <v>478</v>
      </c>
      <c r="F48" s="37" t="s">
        <v>953</v>
      </c>
      <c r="G48" s="37" t="s">
        <v>1066</v>
      </c>
      <c r="H48" s="37" t="s">
        <v>1053</v>
      </c>
      <c r="I48" s="37"/>
      <c r="J48" s="37"/>
      <c r="K48" s="37" t="s">
        <v>1053</v>
      </c>
      <c r="L48" s="7" t="s">
        <v>986</v>
      </c>
      <c r="M48" s="37" t="str">
        <f>IFERROR(__xludf.DUMMYFUNCTION("""COMPUTED_VALUE"""),"本部共有")</f>
        <v>本部共有</v>
      </c>
    </row>
    <row r="49">
      <c r="A49" s="8" t="s">
        <v>478</v>
      </c>
      <c r="B49" s="8" t="s">
        <v>1111</v>
      </c>
      <c r="C49" s="8"/>
      <c r="D49" s="8"/>
      <c r="E49" s="37" t="s">
        <v>478</v>
      </c>
      <c r="F49" s="37" t="s">
        <v>1053</v>
      </c>
      <c r="G49" s="37" t="s">
        <v>1066</v>
      </c>
      <c r="H49" s="37" t="s">
        <v>1053</v>
      </c>
      <c r="K49" s="37" t="s">
        <v>1053</v>
      </c>
      <c r="L49" s="37" t="s">
        <v>1053</v>
      </c>
      <c r="M49" s="37" t="str">
        <f>IFERROR(__xludf.DUMMYFUNCTION("""COMPUTED_VALUE"""),"mixiコンテンツ部")</f>
        <v>mixiコンテンツ部</v>
      </c>
    </row>
    <row r="50">
      <c r="A50" s="8" t="s">
        <v>478</v>
      </c>
      <c r="B50" s="8" t="s">
        <v>1065</v>
      </c>
      <c r="C50" s="8"/>
      <c r="D50" s="8"/>
      <c r="E50" s="37" t="s">
        <v>478</v>
      </c>
      <c r="F50" s="37" t="s">
        <v>1053</v>
      </c>
      <c r="G50" s="37" t="s">
        <v>1066</v>
      </c>
      <c r="H50" s="37" t="s">
        <v>1053</v>
      </c>
      <c r="K50" s="37" t="s">
        <v>1053</v>
      </c>
      <c r="L50" s="37" t="s">
        <v>1053</v>
      </c>
      <c r="M50" s="71" t="str">
        <f>IFERROR(__xludf.DUMMYFUNCTION("""COMPUTED_VALUE"""),"mixiシステム部")</f>
        <v>mixiシステム部</v>
      </c>
    </row>
    <row r="51">
      <c r="A51" s="8" t="s">
        <v>478</v>
      </c>
      <c r="B51" s="8" t="s">
        <v>1072</v>
      </c>
      <c r="C51" s="7" t="s">
        <v>986</v>
      </c>
      <c r="D51" s="8"/>
      <c r="E51" s="37" t="s">
        <v>478</v>
      </c>
      <c r="F51" s="37" t="s">
        <v>1053</v>
      </c>
      <c r="G51" s="37" t="s">
        <v>1066</v>
      </c>
      <c r="H51" s="37" t="s">
        <v>1053</v>
      </c>
      <c r="I51" s="37"/>
      <c r="J51" s="37"/>
      <c r="K51" s="37" t="s">
        <v>1053</v>
      </c>
      <c r="L51" s="7" t="s">
        <v>986</v>
      </c>
      <c r="M51" s="37" t="str">
        <f>IFERROR(__xludf.DUMMYFUNCTION("""COMPUTED_VALUE"""),"ビジネス推進室")</f>
        <v>ビジネス推進室</v>
      </c>
    </row>
    <row r="52">
      <c r="A52" s="8" t="s">
        <v>478</v>
      </c>
      <c r="B52" s="8" t="s">
        <v>479</v>
      </c>
      <c r="C52" s="7" t="s">
        <v>986</v>
      </c>
      <c r="D52" s="8"/>
      <c r="E52" s="37" t="s">
        <v>478</v>
      </c>
      <c r="F52" s="37" t="s">
        <v>479</v>
      </c>
      <c r="G52" s="37" t="s">
        <v>1066</v>
      </c>
      <c r="H52" s="37" t="s">
        <v>1525</v>
      </c>
      <c r="I52" s="37"/>
      <c r="J52" s="37"/>
      <c r="K52" s="37" t="s">
        <v>1053</v>
      </c>
      <c r="L52" s="7" t="s">
        <v>986</v>
      </c>
      <c r="M52" s="37" t="str">
        <f>IFERROR(__xludf.DUMMYFUNCTION("""COMPUTED_VALUE"""),"マーケティング室")</f>
        <v>マーケティング室</v>
      </c>
    </row>
    <row r="53">
      <c r="A53" s="8" t="s">
        <v>603</v>
      </c>
      <c r="B53" s="8" t="s">
        <v>97</v>
      </c>
      <c r="C53" s="8"/>
      <c r="D53" s="8"/>
      <c r="E53" s="37" t="s">
        <v>603</v>
      </c>
      <c r="F53" s="37" t="s">
        <v>97</v>
      </c>
      <c r="G53" s="37" t="s">
        <v>2107</v>
      </c>
      <c r="H53" s="37" t="s">
        <v>1053</v>
      </c>
      <c r="K53" s="37" t="s">
        <v>1053</v>
      </c>
      <c r="L53" s="37" t="s">
        <v>1053</v>
      </c>
      <c r="M53" s="37" t="str">
        <f>IFERROR(__xludf.DUMMYFUNCTION("""COMPUTED_VALUE"""),"経営管理部")</f>
        <v>経営管理部</v>
      </c>
    </row>
    <row r="54">
      <c r="A54" s="8" t="s">
        <v>603</v>
      </c>
      <c r="B54" s="8" t="s">
        <v>1111</v>
      </c>
      <c r="C54" s="7" t="s">
        <v>986</v>
      </c>
      <c r="D54" s="8"/>
      <c r="E54" s="37" t="s">
        <v>603</v>
      </c>
      <c r="F54" s="37" t="s">
        <v>1053</v>
      </c>
      <c r="G54" s="37" t="s">
        <v>2107</v>
      </c>
      <c r="H54" s="37" t="s">
        <v>1053</v>
      </c>
      <c r="I54" s="37"/>
      <c r="J54" s="37"/>
      <c r="K54" s="37" t="s">
        <v>1053</v>
      </c>
      <c r="L54" s="7" t="s">
        <v>986</v>
      </c>
      <c r="M54" s="37" t="str">
        <f>IFERROR(__xludf.DUMMYFUNCTION("""COMPUTED_VALUE"""),"マーケティングG")</f>
        <v>マーケティングG</v>
      </c>
    </row>
    <row r="55">
      <c r="A55" s="8" t="s">
        <v>603</v>
      </c>
      <c r="B55" s="8" t="s">
        <v>90</v>
      </c>
      <c r="C55" s="7" t="s">
        <v>986</v>
      </c>
      <c r="D55" s="8"/>
      <c r="E55" s="37" t="s">
        <v>603</v>
      </c>
      <c r="F55" s="37" t="s">
        <v>90</v>
      </c>
      <c r="G55" s="37" t="s">
        <v>2107</v>
      </c>
      <c r="H55" s="37" t="s">
        <v>1479</v>
      </c>
      <c r="I55" s="37"/>
      <c r="J55" s="37"/>
      <c r="K55" s="37" t="s">
        <v>1053</v>
      </c>
      <c r="L55" s="7" t="s">
        <v>986</v>
      </c>
      <c r="M55" s="37" t="str">
        <f>IFERROR(__xludf.DUMMYFUNCTION("""COMPUTED_VALUE"""),"企画・運用部")</f>
        <v>企画・運用部</v>
      </c>
    </row>
    <row r="56">
      <c r="A56" s="8" t="s">
        <v>587</v>
      </c>
      <c r="B56" s="8" t="s">
        <v>81</v>
      </c>
      <c r="C56" s="7" t="s">
        <v>986</v>
      </c>
      <c r="D56" s="8"/>
      <c r="E56" s="37" t="s">
        <v>587</v>
      </c>
      <c r="F56" s="37" t="s">
        <v>81</v>
      </c>
      <c r="G56" s="37" t="s">
        <v>2198</v>
      </c>
      <c r="H56" s="37" t="s">
        <v>2199</v>
      </c>
      <c r="I56" s="37"/>
      <c r="J56" s="37"/>
      <c r="K56" s="37" t="s">
        <v>1053</v>
      </c>
      <c r="L56" s="7" t="s">
        <v>986</v>
      </c>
      <c r="M56" s="37" t="str">
        <f>IFERROR(__xludf.DUMMYFUNCTION("""COMPUTED_VALUE"""),"新規事業推進室")</f>
        <v>新規事業推進室</v>
      </c>
    </row>
    <row r="57">
      <c r="A57" s="8" t="s">
        <v>587</v>
      </c>
      <c r="B57" s="8" t="s">
        <v>1148</v>
      </c>
      <c r="C57" s="7" t="s">
        <v>986</v>
      </c>
      <c r="D57" s="8"/>
      <c r="E57" s="37" t="s">
        <v>587</v>
      </c>
      <c r="F57" s="37" t="s">
        <v>1053</v>
      </c>
      <c r="G57" s="37" t="s">
        <v>2198</v>
      </c>
      <c r="H57" s="37" t="s">
        <v>1053</v>
      </c>
      <c r="I57" s="37"/>
      <c r="J57" s="37"/>
      <c r="K57" s="37" t="s">
        <v>1053</v>
      </c>
      <c r="L57" s="7" t="s">
        <v>986</v>
      </c>
      <c r="M57" s="37" t="str">
        <f>IFERROR(__xludf.DUMMYFUNCTION("""COMPUTED_VALUE"""),"システム開発部")</f>
        <v>システム開発部</v>
      </c>
    </row>
    <row r="58">
      <c r="A58" s="8" t="s">
        <v>587</v>
      </c>
      <c r="B58" s="8" t="s">
        <v>1111</v>
      </c>
      <c r="C58" s="7" t="s">
        <v>986</v>
      </c>
      <c r="D58" s="8"/>
      <c r="E58" s="37" t="s">
        <v>587</v>
      </c>
      <c r="F58" s="37" t="s">
        <v>1053</v>
      </c>
      <c r="G58" s="37" t="s">
        <v>2198</v>
      </c>
      <c r="H58" s="37" t="s">
        <v>1053</v>
      </c>
      <c r="I58" s="37"/>
      <c r="J58" s="37"/>
      <c r="K58" s="37" t="s">
        <v>1053</v>
      </c>
      <c r="L58" s="7" t="s">
        <v>986</v>
      </c>
      <c r="M58" s="37" t="str">
        <f>IFERROR(__xludf.DUMMYFUNCTION("""COMPUTED_VALUE"""),"メディアミックス部")</f>
        <v>メディアミックス部</v>
      </c>
    </row>
    <row r="59">
      <c r="A59" s="8" t="s">
        <v>587</v>
      </c>
      <c r="B59" s="8" t="s">
        <v>74</v>
      </c>
      <c r="C59" s="7" t="s">
        <v>986</v>
      </c>
      <c r="D59" s="8"/>
      <c r="E59" s="37" t="s">
        <v>587</v>
      </c>
      <c r="F59" s="37" t="s">
        <v>74</v>
      </c>
      <c r="G59" s="37" t="s">
        <v>2198</v>
      </c>
      <c r="H59" s="37" t="s">
        <v>1053</v>
      </c>
      <c r="I59" s="37"/>
      <c r="J59" s="37"/>
      <c r="K59" s="37" t="s">
        <v>1053</v>
      </c>
      <c r="L59" s="7" t="s">
        <v>986</v>
      </c>
      <c r="M59" s="37" t="str">
        <f>IFERROR(__xludf.DUMMYFUNCTION("""COMPUTED_VALUE"""),"マーケティング部")</f>
        <v>マーケティング部</v>
      </c>
    </row>
    <row r="60">
      <c r="A60" s="8" t="s">
        <v>587</v>
      </c>
      <c r="B60" s="8" t="s">
        <v>72</v>
      </c>
      <c r="C60" s="7" t="s">
        <v>986</v>
      </c>
      <c r="D60" s="8"/>
      <c r="E60" s="37" t="s">
        <v>587</v>
      </c>
      <c r="F60" s="37" t="s">
        <v>72</v>
      </c>
      <c r="G60" s="37" t="s">
        <v>2198</v>
      </c>
      <c r="H60" s="37" t="s">
        <v>2200</v>
      </c>
      <c r="I60" s="37"/>
      <c r="J60" s="37"/>
      <c r="K60" s="37" t="s">
        <v>1053</v>
      </c>
      <c r="L60" s="7" t="s">
        <v>986</v>
      </c>
      <c r="M60" s="37" t="str">
        <f>IFERROR(__xludf.DUMMYFUNCTION("""COMPUTED_VALUE"""),"事業戦略室")</f>
        <v>事業戦略室</v>
      </c>
    </row>
    <row r="61">
      <c r="A61" s="8" t="s">
        <v>432</v>
      </c>
      <c r="B61" s="8" t="s">
        <v>1104</v>
      </c>
      <c r="C61" s="8"/>
      <c r="D61" s="8"/>
      <c r="E61" s="37" t="s">
        <v>429</v>
      </c>
      <c r="F61" s="37" t="s">
        <v>432</v>
      </c>
      <c r="G61" s="37" t="s">
        <v>2096</v>
      </c>
      <c r="H61" s="37" t="s">
        <v>2109</v>
      </c>
      <c r="K61" s="37" t="s">
        <v>1053</v>
      </c>
      <c r="L61" s="37" t="s">
        <v>1053</v>
      </c>
      <c r="M61" s="37" t="str">
        <f>IFERROR(__xludf.DUMMYFUNCTION("""COMPUTED_VALUE"""),"全社共有")</f>
        <v>全社共有</v>
      </c>
    </row>
    <row r="62">
      <c r="A62" s="8" t="s">
        <v>1149</v>
      </c>
      <c r="B62" s="8" t="s">
        <v>1150</v>
      </c>
      <c r="C62" s="7" t="s">
        <v>986</v>
      </c>
      <c r="D62" s="8" t="s">
        <v>1102</v>
      </c>
      <c r="E62" s="7" t="s">
        <v>1058</v>
      </c>
      <c r="F62" s="37"/>
      <c r="G62" s="37" t="s">
        <v>1053</v>
      </c>
      <c r="H62" s="37" t="s">
        <v>1053</v>
      </c>
      <c r="I62" s="7" t="s">
        <v>1058</v>
      </c>
      <c r="J62" s="37"/>
      <c r="K62" s="37" t="s">
        <v>1053</v>
      </c>
      <c r="L62" s="7" t="s">
        <v>986</v>
      </c>
      <c r="M62" s="37" t="str">
        <f>IFERROR(__xludf.DUMMYFUNCTION("""COMPUTED_VALUE"""),"人事戦略室")</f>
        <v>人事戦略室</v>
      </c>
    </row>
    <row r="63">
      <c r="A63" s="8" t="s">
        <v>1149</v>
      </c>
      <c r="B63" s="8" t="s">
        <v>1151</v>
      </c>
      <c r="C63" s="7" t="s">
        <v>986</v>
      </c>
      <c r="D63" s="8" t="s">
        <v>1102</v>
      </c>
      <c r="E63" s="7" t="s">
        <v>1058</v>
      </c>
      <c r="F63" s="37"/>
      <c r="G63" s="37" t="s">
        <v>1053</v>
      </c>
      <c r="H63" s="37" t="s">
        <v>1053</v>
      </c>
      <c r="I63" s="7" t="s">
        <v>1058</v>
      </c>
      <c r="J63" s="37"/>
      <c r="K63" s="37" t="s">
        <v>1053</v>
      </c>
      <c r="L63" s="7" t="s">
        <v>986</v>
      </c>
      <c r="M63" s="37" t="str">
        <f>IFERROR(__xludf.DUMMYFUNCTION("""COMPUTED_VALUE"""),"エンパワーメント推進室")</f>
        <v>エンパワーメント推進室</v>
      </c>
    </row>
    <row r="64">
      <c r="A64" s="8" t="s">
        <v>1149</v>
      </c>
      <c r="B64" s="8" t="s">
        <v>1152</v>
      </c>
      <c r="C64" s="7" t="s">
        <v>986</v>
      </c>
      <c r="D64" s="8" t="s">
        <v>1102</v>
      </c>
      <c r="E64" s="7" t="s">
        <v>1058</v>
      </c>
      <c r="F64" s="37"/>
      <c r="G64" s="37" t="s">
        <v>1053</v>
      </c>
      <c r="H64" s="37" t="s">
        <v>1053</v>
      </c>
      <c r="I64" s="7" t="s">
        <v>1058</v>
      </c>
      <c r="J64" s="37"/>
      <c r="K64" s="37" t="s">
        <v>1053</v>
      </c>
      <c r="L64" s="7" t="s">
        <v>986</v>
      </c>
      <c r="M64" s="37" t="str">
        <f>IFERROR(__xludf.DUMMYFUNCTION("""COMPUTED_VALUE"""),"人事部")</f>
        <v>人事部</v>
      </c>
    </row>
    <row r="65">
      <c r="A65" s="8" t="s">
        <v>1149</v>
      </c>
      <c r="B65" s="8" t="s">
        <v>1153</v>
      </c>
      <c r="C65" s="7" t="s">
        <v>986</v>
      </c>
      <c r="D65" s="8" t="s">
        <v>1102</v>
      </c>
      <c r="E65" s="7" t="s">
        <v>1058</v>
      </c>
      <c r="F65" s="37"/>
      <c r="G65" s="37" t="s">
        <v>1053</v>
      </c>
      <c r="H65" s="37" t="s">
        <v>1053</v>
      </c>
      <c r="I65" s="7" t="s">
        <v>1058</v>
      </c>
      <c r="J65" s="37"/>
      <c r="K65" s="37" t="s">
        <v>1053</v>
      </c>
      <c r="L65" s="7" t="s">
        <v>986</v>
      </c>
      <c r="M65" s="37" t="str">
        <f>IFERROR(__xludf.DUMMYFUNCTION("""COMPUTED_VALUE"""),"財務企画部")</f>
        <v>財務企画部</v>
      </c>
    </row>
    <row r="66">
      <c r="A66" s="8" t="s">
        <v>1149</v>
      </c>
      <c r="B66" s="8" t="s">
        <v>1111</v>
      </c>
      <c r="C66" s="7" t="s">
        <v>986</v>
      </c>
      <c r="D66" s="8" t="s">
        <v>1102</v>
      </c>
      <c r="E66" s="7" t="s">
        <v>1105</v>
      </c>
      <c r="F66" s="37"/>
      <c r="G66" s="37" t="s">
        <v>1053</v>
      </c>
      <c r="H66" s="37" t="s">
        <v>1053</v>
      </c>
      <c r="I66" s="7" t="s">
        <v>1105</v>
      </c>
      <c r="J66" s="37"/>
      <c r="K66" s="37" t="s">
        <v>1053</v>
      </c>
      <c r="L66" s="7" t="s">
        <v>986</v>
      </c>
      <c r="M66" s="37" t="str">
        <f>IFERROR(__xludf.DUMMYFUNCTION("""COMPUTED_VALUE"""),"経理税務部")</f>
        <v>経理税務部</v>
      </c>
    </row>
    <row r="67">
      <c r="A67" s="8" t="s">
        <v>1149</v>
      </c>
      <c r="B67" s="8" t="s">
        <v>1154</v>
      </c>
      <c r="C67" s="7" t="s">
        <v>987</v>
      </c>
      <c r="D67" s="8" t="s">
        <v>1102</v>
      </c>
      <c r="E67" s="7" t="s">
        <v>1058</v>
      </c>
      <c r="G67" s="37" t="s">
        <v>1053</v>
      </c>
      <c r="H67" s="37" t="s">
        <v>1053</v>
      </c>
      <c r="I67" s="7" t="s">
        <v>1058</v>
      </c>
      <c r="K67" s="37" t="s">
        <v>1053</v>
      </c>
      <c r="L67" s="37" t="s">
        <v>1053</v>
      </c>
      <c r="M67" s="37" t="str">
        <f>IFERROR(__xludf.DUMMYFUNCTION("""COMPUTED_VALUE"""),"事業開発部")</f>
        <v>事業開発部</v>
      </c>
    </row>
    <row r="68">
      <c r="A68" s="8" t="s">
        <v>693</v>
      </c>
      <c r="B68" s="8" t="s">
        <v>1155</v>
      </c>
      <c r="C68" s="7" t="s">
        <v>987</v>
      </c>
      <c r="D68" s="8"/>
      <c r="E68" s="37" t="s">
        <v>192</v>
      </c>
      <c r="F68" s="37" t="s">
        <v>1053</v>
      </c>
      <c r="G68" s="37" t="s">
        <v>1053</v>
      </c>
      <c r="H68" s="37" t="s">
        <v>1053</v>
      </c>
      <c r="K68" s="37" t="s">
        <v>1053</v>
      </c>
      <c r="L68" s="37" t="s">
        <v>1053</v>
      </c>
      <c r="M68" s="37" t="str">
        <f>IFERROR(__xludf.DUMMYFUNCTION("""COMPUTED_VALUE"""),"投資事業部")</f>
        <v>投資事業部</v>
      </c>
    </row>
    <row r="69">
      <c r="A69" s="8" t="s">
        <v>693</v>
      </c>
      <c r="B69" s="8" t="s">
        <v>1156</v>
      </c>
      <c r="D69" s="7" t="s">
        <v>1052</v>
      </c>
      <c r="E69" s="37" t="s">
        <v>192</v>
      </c>
      <c r="F69" s="37" t="s">
        <v>1053</v>
      </c>
      <c r="G69" s="37" t="s">
        <v>1053</v>
      </c>
      <c r="H69" s="37" t="s">
        <v>1053</v>
      </c>
      <c r="K69" s="7" t="s">
        <v>1052</v>
      </c>
      <c r="L69" s="37" t="s">
        <v>1053</v>
      </c>
      <c r="M69" s="37" t="str">
        <f>IFERROR(__xludf.DUMMYFUNCTION("""COMPUTED_VALUE"""),"ブランド戦略室")</f>
        <v>ブランド戦略室</v>
      </c>
    </row>
    <row r="70">
      <c r="A70" s="8" t="s">
        <v>693</v>
      </c>
      <c r="B70" s="8" t="s">
        <v>703</v>
      </c>
      <c r="C70" s="8"/>
      <c r="D70" s="8"/>
      <c r="E70" s="37" t="s">
        <v>192</v>
      </c>
      <c r="F70" s="37" t="s">
        <v>202</v>
      </c>
      <c r="G70" s="37" t="s">
        <v>1053</v>
      </c>
      <c r="H70" s="37" t="s">
        <v>2113</v>
      </c>
      <c r="K70" s="37" t="s">
        <v>1053</v>
      </c>
      <c r="L70" s="37" t="s">
        <v>1053</v>
      </c>
      <c r="M70" s="37" t="str">
        <f>IFERROR(__xludf.DUMMYFUNCTION("""COMPUTED_VALUE"""),"PR室")</f>
        <v>PR室</v>
      </c>
    </row>
    <row r="71">
      <c r="A71" s="8" t="s">
        <v>693</v>
      </c>
      <c r="B71" s="8" t="s">
        <v>696</v>
      </c>
      <c r="C71" s="8"/>
      <c r="D71" s="8"/>
      <c r="E71" s="37" t="s">
        <v>192</v>
      </c>
      <c r="F71" s="37" t="s">
        <v>195</v>
      </c>
      <c r="G71" s="37" t="s">
        <v>1053</v>
      </c>
      <c r="H71" s="37" t="s">
        <v>1053</v>
      </c>
      <c r="K71" s="37" t="s">
        <v>1053</v>
      </c>
      <c r="L71" s="37" t="s">
        <v>1053</v>
      </c>
      <c r="M71" s="37" t="str">
        <f>IFERROR(__xludf.DUMMYFUNCTION("""COMPUTED_VALUE"""),"モンストデザイン室")</f>
        <v>モンストデザイン室</v>
      </c>
    </row>
    <row r="72">
      <c r="A72" s="8" t="s">
        <v>693</v>
      </c>
      <c r="B72" s="8" t="s">
        <v>701</v>
      </c>
      <c r="C72" s="8"/>
      <c r="D72" s="8"/>
      <c r="E72" s="37" t="s">
        <v>192</v>
      </c>
      <c r="F72" s="37" t="s">
        <v>200</v>
      </c>
      <c r="G72" s="37" t="s">
        <v>1053</v>
      </c>
      <c r="H72" s="37" t="s">
        <v>1674</v>
      </c>
      <c r="K72" s="37" t="s">
        <v>1053</v>
      </c>
      <c r="L72" s="37" t="s">
        <v>1053</v>
      </c>
      <c r="M72" s="37" t="str">
        <f>IFERROR(__xludf.DUMMYFUNCTION("""COMPUTED_VALUE"""),"XFLAGデザイン室")</f>
        <v>XFLAGデザイン室</v>
      </c>
    </row>
    <row r="73">
      <c r="A73" s="8" t="s">
        <v>693</v>
      </c>
      <c r="B73" s="8" t="s">
        <v>1157</v>
      </c>
      <c r="C73" s="8"/>
      <c r="D73" s="8"/>
      <c r="E73" s="37" t="str">
        <f t="array" ref="E73">XLOOKUP(F73,'部署遍歴'!D:D,'部署遍歴'!B:B,"×")</f>
        <v>デザイン本部</v>
      </c>
      <c r="F73" s="37" t="s">
        <v>1155</v>
      </c>
      <c r="G73" s="37" t="s">
        <v>1053</v>
      </c>
      <c r="H73" s="37" t="s">
        <v>1053</v>
      </c>
      <c r="K73" s="37" t="s">
        <v>1155</v>
      </c>
      <c r="L73" s="37" t="s">
        <v>1053</v>
      </c>
      <c r="M73" s="37" t="str">
        <f>IFERROR(__xludf.DUMMYFUNCTION("""COMPUTED_VALUE"""),"XFLAG PICTURES")</f>
        <v>XFLAG PICTURES</v>
      </c>
    </row>
    <row r="74">
      <c r="A74" s="8" t="s">
        <v>693</v>
      </c>
      <c r="B74" s="8" t="s">
        <v>1158</v>
      </c>
      <c r="C74" s="7" t="s">
        <v>986</v>
      </c>
      <c r="D74" s="7" t="s">
        <v>1052</v>
      </c>
      <c r="E74" s="37" t="s">
        <v>192</v>
      </c>
      <c r="F74" s="37" t="s">
        <v>1053</v>
      </c>
      <c r="G74" s="37" t="s">
        <v>1053</v>
      </c>
      <c r="H74" s="37" t="s">
        <v>1053</v>
      </c>
      <c r="I74" s="37"/>
      <c r="J74" s="37"/>
      <c r="K74" s="7" t="s">
        <v>1052</v>
      </c>
      <c r="L74" s="7" t="s">
        <v>986</v>
      </c>
      <c r="M74" s="37" t="str">
        <f>IFERROR(__xludf.DUMMYFUNCTION("""COMPUTED_VALUE"""),"コトダマン事業部")</f>
        <v>コトダマン事業部</v>
      </c>
    </row>
    <row r="75">
      <c r="A75" s="8" t="s">
        <v>693</v>
      </c>
      <c r="B75" s="8" t="s">
        <v>1159</v>
      </c>
      <c r="C75" s="7" t="s">
        <v>986</v>
      </c>
      <c r="D75" s="8"/>
      <c r="E75" s="37" t="s">
        <v>192</v>
      </c>
      <c r="F75" s="37" t="s">
        <v>1053</v>
      </c>
      <c r="G75" s="37" t="s">
        <v>1053</v>
      </c>
      <c r="H75" s="37" t="s">
        <v>1053</v>
      </c>
      <c r="I75" s="37"/>
      <c r="J75" s="37"/>
      <c r="K75" s="37" t="s">
        <v>1053</v>
      </c>
      <c r="L75" s="7" t="s">
        <v>986</v>
      </c>
      <c r="M75" s="37" t="str">
        <f>IFERROR(__xludf.DUMMYFUNCTION("""COMPUTED_VALUE"""),"モンストIPクリエイション部")</f>
        <v>モンストIPクリエイション部</v>
      </c>
    </row>
    <row r="76">
      <c r="A76" s="8" t="s">
        <v>693</v>
      </c>
      <c r="B76" s="8" t="s">
        <v>1111</v>
      </c>
      <c r="C76" s="8"/>
      <c r="D76" s="8"/>
      <c r="E76" s="37" t="s">
        <v>192</v>
      </c>
      <c r="F76" s="37" t="s">
        <v>1053</v>
      </c>
      <c r="G76" s="37" t="s">
        <v>1053</v>
      </c>
      <c r="H76" s="37" t="s">
        <v>1053</v>
      </c>
      <c r="K76" s="37" t="s">
        <v>1053</v>
      </c>
      <c r="L76" s="37" t="s">
        <v>1053</v>
      </c>
      <c r="M76" s="37" t="str">
        <f>IFERROR(__xludf.DUMMYFUNCTION("""COMPUTED_VALUE"""),"XFLAG MOBILE")</f>
        <v>XFLAG MOBILE</v>
      </c>
    </row>
    <row r="77">
      <c r="A77" s="8" t="s">
        <v>693</v>
      </c>
      <c r="B77" s="8" t="s">
        <v>1160</v>
      </c>
      <c r="C77" s="8"/>
      <c r="D77" s="8"/>
      <c r="E77" s="37" t="s">
        <v>192</v>
      </c>
      <c r="F77" s="37" t="s">
        <v>1053</v>
      </c>
      <c r="G77" s="37" t="s">
        <v>1053</v>
      </c>
      <c r="H77" s="37" t="s">
        <v>1053</v>
      </c>
      <c r="K77" s="37" t="s">
        <v>1053</v>
      </c>
      <c r="L77" s="37" t="s">
        <v>1053</v>
      </c>
      <c r="M77" s="37" t="str">
        <f>IFERROR(__xludf.DUMMYFUNCTION("""COMPUTED_VALUE"""),"デザイン室")</f>
        <v>デザイン室</v>
      </c>
    </row>
    <row r="78">
      <c r="A78" s="8" t="s">
        <v>693</v>
      </c>
      <c r="B78" s="8" t="s">
        <v>698</v>
      </c>
      <c r="C78" s="7" t="s">
        <v>986</v>
      </c>
      <c r="D78" s="8"/>
      <c r="E78" s="37" t="s">
        <v>192</v>
      </c>
      <c r="F78" s="37" t="s">
        <v>197</v>
      </c>
      <c r="G78" s="37" t="s">
        <v>1053</v>
      </c>
      <c r="H78" s="37" t="s">
        <v>1463</v>
      </c>
      <c r="I78" s="37"/>
      <c r="J78" s="37"/>
      <c r="K78" s="37" t="s">
        <v>1053</v>
      </c>
      <c r="L78" s="7" t="s">
        <v>986</v>
      </c>
      <c r="M78" s="37" t="str">
        <f>IFERROR(__xludf.DUMMYFUNCTION("""COMPUTED_VALUE"""),"ゲーム開発室")</f>
        <v>ゲーム開発室</v>
      </c>
    </row>
    <row r="79">
      <c r="A79" s="8" t="s">
        <v>693</v>
      </c>
      <c r="B79" s="8" t="s">
        <v>1161</v>
      </c>
      <c r="D79" s="7" t="s">
        <v>1052</v>
      </c>
      <c r="E79" s="37" t="s">
        <v>192</v>
      </c>
      <c r="F79" s="37" t="s">
        <v>1053</v>
      </c>
      <c r="G79" s="37" t="s">
        <v>1053</v>
      </c>
      <c r="H79" s="37" t="s">
        <v>1053</v>
      </c>
      <c r="K79" s="7" t="s">
        <v>1052</v>
      </c>
      <c r="L79" s="37" t="s">
        <v>1053</v>
      </c>
      <c r="M79" s="37" t="str">
        <f>IFERROR(__xludf.DUMMYFUNCTION("""COMPUTED_VALUE"""),"XFLAG ENTERTAINMENT")</f>
        <v>XFLAG ENTERTAINMENT</v>
      </c>
    </row>
    <row r="80">
      <c r="A80" s="8" t="s">
        <v>717</v>
      </c>
      <c r="B80" s="8" t="s">
        <v>738</v>
      </c>
      <c r="C80" s="7" t="s">
        <v>986</v>
      </c>
      <c r="D80" s="8"/>
      <c r="E80" s="37" t="s">
        <v>717</v>
      </c>
      <c r="F80" s="37" t="s">
        <v>238</v>
      </c>
      <c r="G80" s="37" t="s">
        <v>1053</v>
      </c>
      <c r="H80" s="37" t="s">
        <v>2211</v>
      </c>
      <c r="I80" s="37"/>
      <c r="J80" s="37"/>
      <c r="K80" s="37" t="s">
        <v>1053</v>
      </c>
      <c r="L80" s="7" t="s">
        <v>986</v>
      </c>
      <c r="M80" s="37" t="str">
        <f>IFERROR(__xludf.DUMMYFUNCTION("""COMPUTED_VALUE"""),"XFLAG ARTS")</f>
        <v>XFLAG ARTS</v>
      </c>
    </row>
    <row r="81">
      <c r="A81" s="8" t="s">
        <v>717</v>
      </c>
      <c r="B81" s="8" t="s">
        <v>251</v>
      </c>
      <c r="C81" s="7" t="s">
        <v>986</v>
      </c>
      <c r="D81" s="8"/>
      <c r="E81" s="37" t="s">
        <v>717</v>
      </c>
      <c r="F81" s="37" t="s">
        <v>251</v>
      </c>
      <c r="G81" s="37" t="s">
        <v>1053</v>
      </c>
      <c r="H81" s="37" t="s">
        <v>2090</v>
      </c>
      <c r="I81" s="37"/>
      <c r="J81" s="37"/>
      <c r="K81" s="37" t="s">
        <v>1053</v>
      </c>
      <c r="L81" s="7" t="s">
        <v>986</v>
      </c>
      <c r="M81" s="37" t="str">
        <f>IFERROR(__xludf.DUMMYFUNCTION("""COMPUTED_VALUE"""),"スポーツ事業推進室")</f>
        <v>スポーツ事業推進室</v>
      </c>
    </row>
    <row r="82">
      <c r="A82" s="8" t="s">
        <v>717</v>
      </c>
      <c r="B82" s="8" t="s">
        <v>223</v>
      </c>
      <c r="C82" s="7" t="s">
        <v>986</v>
      </c>
      <c r="D82" s="8"/>
      <c r="E82" s="37" t="s">
        <v>717</v>
      </c>
      <c r="F82" s="37" t="s">
        <v>223</v>
      </c>
      <c r="G82" s="37" t="s">
        <v>1053</v>
      </c>
      <c r="H82" s="37" t="s">
        <v>2111</v>
      </c>
      <c r="I82" s="37"/>
      <c r="J82" s="37"/>
      <c r="K82" s="37" t="s">
        <v>1053</v>
      </c>
      <c r="L82" s="7" t="s">
        <v>986</v>
      </c>
      <c r="M82" s="37" t="str">
        <f>IFERROR(__xludf.DUMMYFUNCTION("""COMPUTED_VALUE"""),"フットボール事業部")</f>
        <v>フットボール事業部</v>
      </c>
    </row>
    <row r="83">
      <c r="A83" s="8" t="s">
        <v>717</v>
      </c>
      <c r="B83" s="8" t="s">
        <v>722</v>
      </c>
      <c r="C83" s="7" t="s">
        <v>986</v>
      </c>
      <c r="D83" s="8"/>
      <c r="E83" s="37" t="s">
        <v>717</v>
      </c>
      <c r="F83" s="37" t="s">
        <v>221</v>
      </c>
      <c r="G83" s="37" t="s">
        <v>1053</v>
      </c>
      <c r="H83" s="37" t="s">
        <v>2212</v>
      </c>
      <c r="I83" s="37"/>
      <c r="J83" s="37"/>
      <c r="K83" s="37" t="s">
        <v>1053</v>
      </c>
      <c r="L83" s="7" t="s">
        <v>986</v>
      </c>
      <c r="M83" s="37" t="str">
        <f>IFERROR(__xludf.DUMMYFUNCTION("""COMPUTED_VALUE"""),"スポーツギフティング部")</f>
        <v>スポーツギフティング部</v>
      </c>
    </row>
    <row r="84">
      <c r="A84" s="8" t="s">
        <v>717</v>
      </c>
      <c r="B84" s="8" t="s">
        <v>725</v>
      </c>
      <c r="C84" s="7" t="s">
        <v>986</v>
      </c>
      <c r="D84" s="8"/>
      <c r="E84" s="37" t="s">
        <v>717</v>
      </c>
      <c r="F84" s="37" t="s">
        <v>225</v>
      </c>
      <c r="G84" s="37" t="s">
        <v>1053</v>
      </c>
      <c r="H84" s="37" t="s">
        <v>2213</v>
      </c>
      <c r="I84" s="37"/>
      <c r="J84" s="37"/>
      <c r="K84" s="37" t="s">
        <v>1053</v>
      </c>
      <c r="L84" s="7" t="s">
        <v>986</v>
      </c>
      <c r="M84" s="37" t="str">
        <f>IFERROR(__xludf.DUMMYFUNCTION("""COMPUTED_VALUE"""),"社長室")</f>
        <v>社長室</v>
      </c>
    </row>
    <row r="85">
      <c r="A85" s="8" t="s">
        <v>717</v>
      </c>
      <c r="B85" s="8" t="s">
        <v>1111</v>
      </c>
      <c r="C85" s="7" t="s">
        <v>986</v>
      </c>
      <c r="D85" s="8"/>
      <c r="E85" s="37" t="s">
        <v>717</v>
      </c>
      <c r="F85" s="37" t="s">
        <v>1053</v>
      </c>
      <c r="G85" s="37" t="s">
        <v>1053</v>
      </c>
      <c r="H85" s="37" t="s">
        <v>1053</v>
      </c>
      <c r="I85" s="37"/>
      <c r="J85" s="37"/>
      <c r="K85" s="37" t="s">
        <v>1053</v>
      </c>
      <c r="L85" s="7" t="s">
        <v>986</v>
      </c>
      <c r="M85" s="37" t="str">
        <f>IFERROR(__xludf.DUMMYFUNCTION("""COMPUTED_VALUE"""),"スポーツ事業部")</f>
        <v>スポーツ事業部</v>
      </c>
    </row>
    <row r="86">
      <c r="A86" s="8" t="s">
        <v>717</v>
      </c>
      <c r="B86" s="8" t="s">
        <v>730</v>
      </c>
      <c r="C86" s="7" t="s">
        <v>986</v>
      </c>
      <c r="D86" s="8"/>
      <c r="E86" s="37" t="s">
        <v>717</v>
      </c>
      <c r="F86" s="37" t="s">
        <v>730</v>
      </c>
      <c r="G86" s="37" t="s">
        <v>1053</v>
      </c>
      <c r="H86" s="37" t="s">
        <v>2154</v>
      </c>
      <c r="I86" s="37"/>
      <c r="J86" s="37"/>
      <c r="K86" s="37" t="s">
        <v>1053</v>
      </c>
      <c r="L86" s="7" t="s">
        <v>986</v>
      </c>
      <c r="M86" s="37" t="str">
        <f>IFERROR(__xludf.DUMMYFUNCTION("""COMPUTED_VALUE"""),"ID・ペイメント事業部")</f>
        <v>ID・ペイメント事業部</v>
      </c>
    </row>
    <row r="87">
      <c r="A87" s="8" t="s">
        <v>717</v>
      </c>
      <c r="B87" s="8" t="s">
        <v>720</v>
      </c>
      <c r="C87" s="7" t="s">
        <v>986</v>
      </c>
      <c r="D87" s="8"/>
      <c r="E87" s="37" t="s">
        <v>717</v>
      </c>
      <c r="F87" s="37" t="s">
        <v>219</v>
      </c>
      <c r="G87" s="37" t="s">
        <v>1053</v>
      </c>
      <c r="H87" s="37" t="s">
        <v>2214</v>
      </c>
      <c r="I87" s="37"/>
      <c r="J87" s="37"/>
      <c r="K87" s="37" t="s">
        <v>1053</v>
      </c>
      <c r="L87" s="7" t="s">
        <v>986</v>
      </c>
      <c r="M87" s="37" t="str">
        <f>IFERROR(__xludf.DUMMYFUNCTION("""COMPUTED_VALUE"""),"スポーツマーケティング室")</f>
        <v>スポーツマーケティング室</v>
      </c>
    </row>
    <row r="88">
      <c r="A88" s="8" t="s">
        <v>717</v>
      </c>
      <c r="B88" s="8" t="s">
        <v>1162</v>
      </c>
      <c r="C88" s="7" t="s">
        <v>986</v>
      </c>
      <c r="D88" s="8"/>
      <c r="E88" s="37" t="str">
        <f t="array" ref="E88">XLOOKUP(F88,'部署遍歴'!D:D,'部署遍歴'!B:B,"×")</f>
        <v>デジタルエンターテインメントオペレーションズ本部</v>
      </c>
      <c r="F88" s="37" t="s">
        <v>738</v>
      </c>
      <c r="G88" s="37" t="s">
        <v>1053</v>
      </c>
      <c r="H88" s="37" t="s">
        <v>1053</v>
      </c>
      <c r="I88" s="37"/>
      <c r="J88" s="37"/>
      <c r="K88" s="37" t="s">
        <v>738</v>
      </c>
      <c r="L88" s="7" t="s">
        <v>986</v>
      </c>
      <c r="M88" s="37" t="str">
        <f>IFERROR(__xludf.DUMMYFUNCTION("""COMPUTED_VALUE"""),"バスケットボール事業部")</f>
        <v>バスケットボール事業部</v>
      </c>
    </row>
    <row r="89">
      <c r="A89" s="8" t="s">
        <v>717</v>
      </c>
      <c r="B89" s="8" t="s">
        <v>1163</v>
      </c>
      <c r="C89" s="7" t="s">
        <v>986</v>
      </c>
      <c r="D89" s="8"/>
      <c r="E89" s="37" t="s">
        <v>717</v>
      </c>
      <c r="F89" s="37" t="s">
        <v>217</v>
      </c>
      <c r="G89" s="37" t="s">
        <v>1053</v>
      </c>
      <c r="H89" s="37" t="s">
        <v>2215</v>
      </c>
      <c r="I89" s="37"/>
      <c r="J89" s="37"/>
      <c r="K89" s="37" t="s">
        <v>1053</v>
      </c>
      <c r="L89" s="7" t="s">
        <v>986</v>
      </c>
      <c r="M89" s="37" t="str">
        <f>IFERROR(__xludf.DUMMYFUNCTION("""COMPUTED_VALUE"""),"ビジネス開発室")</f>
        <v>ビジネス開発室</v>
      </c>
    </row>
    <row r="90">
      <c r="A90" s="8" t="s">
        <v>1164</v>
      </c>
      <c r="B90" s="8" t="s">
        <v>1139</v>
      </c>
      <c r="C90" s="7" t="s">
        <v>986</v>
      </c>
      <c r="D90" s="8" t="s">
        <v>1140</v>
      </c>
      <c r="E90" s="7" t="s">
        <v>1165</v>
      </c>
      <c r="F90" s="37"/>
      <c r="G90" s="37" t="s">
        <v>1053</v>
      </c>
      <c r="H90" s="37" t="s">
        <v>1053</v>
      </c>
      <c r="I90" s="7" t="s">
        <v>1165</v>
      </c>
      <c r="J90" s="37"/>
      <c r="K90" s="37" t="s">
        <v>1053</v>
      </c>
      <c r="L90" s="7" t="s">
        <v>986</v>
      </c>
      <c r="M90" s="37" t="str">
        <f>IFERROR(__xludf.DUMMYFUNCTION("""COMPUTED_VALUE"""),"次世代エンターテインメント室")</f>
        <v>次世代エンターテインメント室</v>
      </c>
    </row>
    <row r="91">
      <c r="A91" s="8" t="s">
        <v>1166</v>
      </c>
      <c r="B91" s="8" t="s">
        <v>1167</v>
      </c>
      <c r="C91" s="7" t="s">
        <v>987</v>
      </c>
      <c r="D91" s="8" t="s">
        <v>1102</v>
      </c>
      <c r="E91" s="7" t="s">
        <v>1103</v>
      </c>
      <c r="G91" s="37" t="s">
        <v>1053</v>
      </c>
      <c r="H91" s="37" t="s">
        <v>1053</v>
      </c>
      <c r="I91" s="7" t="s">
        <v>1103</v>
      </c>
      <c r="K91" s="37" t="s">
        <v>1053</v>
      </c>
      <c r="L91" s="37" t="s">
        <v>1053</v>
      </c>
      <c r="M91" s="37" t="str">
        <f>IFERROR(__xludf.DUMMYFUNCTION("""COMPUTED_VALUE"""),"ライブ動画プラットフォーム事業部")</f>
        <v>ライブ動画プラットフォーム事業部</v>
      </c>
    </row>
    <row r="92">
      <c r="A92" s="8" t="s">
        <v>1166</v>
      </c>
      <c r="B92" s="8" t="s">
        <v>1133</v>
      </c>
      <c r="C92" s="7" t="s">
        <v>987</v>
      </c>
      <c r="D92" s="8" t="s">
        <v>1102</v>
      </c>
      <c r="E92" s="7" t="s">
        <v>1069</v>
      </c>
      <c r="G92" s="37" t="s">
        <v>1053</v>
      </c>
      <c r="H92" s="37" t="s">
        <v>1053</v>
      </c>
      <c r="I92" s="7" t="s">
        <v>1069</v>
      </c>
      <c r="K92" s="37" t="s">
        <v>1053</v>
      </c>
      <c r="L92" s="37" t="s">
        <v>1053</v>
      </c>
      <c r="M92" s="37" t="str">
        <f>IFERROR(__xludf.DUMMYFUNCTION("""COMPUTED_VALUE"""),"セキュリティ室")</f>
        <v>セキュリティ室</v>
      </c>
    </row>
    <row r="93">
      <c r="A93" s="8" t="s">
        <v>1166</v>
      </c>
      <c r="B93" s="8" t="s">
        <v>1168</v>
      </c>
      <c r="C93" s="7" t="s">
        <v>987</v>
      </c>
      <c r="D93" s="8" t="s">
        <v>1102</v>
      </c>
      <c r="E93" s="7" t="s">
        <v>1069</v>
      </c>
      <c r="G93" s="37" t="s">
        <v>1053</v>
      </c>
      <c r="H93" s="37" t="s">
        <v>1053</v>
      </c>
      <c r="I93" s="7" t="s">
        <v>1069</v>
      </c>
      <c r="K93" s="37" t="s">
        <v>1053</v>
      </c>
      <c r="L93" s="37" t="s">
        <v>1053</v>
      </c>
      <c r="M93" s="37" t="str">
        <f>IFERROR(__xludf.DUMMYFUNCTION("""COMPUTED_VALUE"""),"XFLAG事業推進室")</f>
        <v>XFLAG事業推進室</v>
      </c>
    </row>
    <row r="94">
      <c r="A94" s="8" t="s">
        <v>1166</v>
      </c>
      <c r="B94" s="8" t="s">
        <v>1169</v>
      </c>
      <c r="C94" s="7" t="s">
        <v>986</v>
      </c>
      <c r="D94" s="8" t="s">
        <v>1102</v>
      </c>
      <c r="E94" s="7" t="s">
        <v>1069</v>
      </c>
      <c r="F94" s="37"/>
      <c r="G94" s="37" t="s">
        <v>1053</v>
      </c>
      <c r="H94" s="37" t="s">
        <v>1053</v>
      </c>
      <c r="I94" s="7" t="s">
        <v>1069</v>
      </c>
      <c r="J94" s="37"/>
      <c r="K94" s="37" t="s">
        <v>1053</v>
      </c>
      <c r="L94" s="7" t="s">
        <v>986</v>
      </c>
      <c r="M94" s="37" t="str">
        <f>IFERROR(__xludf.DUMMYFUNCTION("""COMPUTED_VALUE"""),"事業推進G")</f>
        <v>事業推進G</v>
      </c>
    </row>
    <row r="95">
      <c r="A95" s="8" t="s">
        <v>1166</v>
      </c>
      <c r="B95" s="8" t="s">
        <v>1170</v>
      </c>
      <c r="C95" s="7" t="s">
        <v>987</v>
      </c>
      <c r="D95" s="8" t="s">
        <v>1102</v>
      </c>
      <c r="E95" s="7" t="s">
        <v>1069</v>
      </c>
      <c r="G95" s="37" t="s">
        <v>1053</v>
      </c>
      <c r="H95" s="37" t="s">
        <v>1053</v>
      </c>
      <c r="I95" s="7" t="s">
        <v>1069</v>
      </c>
      <c r="K95" s="37" t="s">
        <v>1053</v>
      </c>
      <c r="L95" s="37" t="s">
        <v>1053</v>
      </c>
      <c r="M95" s="37" t="str">
        <f>IFERROR(__xludf.DUMMYFUNCTION("""COMPUTED_VALUE"""),"部共有")</f>
        <v>部共有</v>
      </c>
    </row>
    <row r="96">
      <c r="A96" s="8" t="s">
        <v>1166</v>
      </c>
      <c r="B96" s="8" t="s">
        <v>1144</v>
      </c>
      <c r="C96" s="7" t="s">
        <v>986</v>
      </c>
      <c r="D96" s="8" t="s">
        <v>1102</v>
      </c>
      <c r="E96" s="7" t="s">
        <v>478</v>
      </c>
      <c r="F96" s="37"/>
      <c r="G96" s="37" t="s">
        <v>1066</v>
      </c>
      <c r="H96" s="37" t="s">
        <v>1053</v>
      </c>
      <c r="I96" s="7" t="s">
        <v>478</v>
      </c>
      <c r="J96" s="37"/>
      <c r="K96" s="37" t="s">
        <v>1053</v>
      </c>
      <c r="L96" s="7" t="s">
        <v>986</v>
      </c>
      <c r="M96" s="37" t="str">
        <f>IFERROR(__xludf.DUMMYFUNCTION("""COMPUTED_VALUE"""),"技術部")</f>
        <v>技術部</v>
      </c>
    </row>
    <row r="97">
      <c r="A97" s="8" t="s">
        <v>1166</v>
      </c>
      <c r="B97" s="8" t="s">
        <v>1134</v>
      </c>
      <c r="C97" s="7" t="s">
        <v>987</v>
      </c>
      <c r="D97" s="8" t="s">
        <v>1102</v>
      </c>
      <c r="E97" s="7" t="s">
        <v>1069</v>
      </c>
      <c r="G97" s="37" t="s">
        <v>1053</v>
      </c>
      <c r="H97" s="37" t="s">
        <v>1053</v>
      </c>
      <c r="I97" s="7" t="s">
        <v>1069</v>
      </c>
      <c r="K97" s="37" t="s">
        <v>1053</v>
      </c>
      <c r="L97" s="37" t="s">
        <v>1053</v>
      </c>
      <c r="M97" s="37" t="str">
        <f>IFERROR(__xludf.DUMMYFUNCTION("""COMPUTED_VALUE"""),"CS部")</f>
        <v>CS部</v>
      </c>
    </row>
    <row r="98">
      <c r="A98" s="8" t="s">
        <v>1166</v>
      </c>
      <c r="B98" s="8" t="s">
        <v>1171</v>
      </c>
      <c r="C98" s="7" t="s">
        <v>987</v>
      </c>
      <c r="D98" s="8" t="s">
        <v>1102</v>
      </c>
      <c r="E98" s="7" t="s">
        <v>1069</v>
      </c>
      <c r="G98" s="37" t="s">
        <v>1053</v>
      </c>
      <c r="H98" s="37" t="s">
        <v>1053</v>
      </c>
      <c r="I98" s="7" t="s">
        <v>1069</v>
      </c>
      <c r="K98" s="37" t="s">
        <v>1053</v>
      </c>
      <c r="L98" s="37" t="s">
        <v>1053</v>
      </c>
      <c r="M98" s="37" t="str">
        <f>IFERROR(__xludf.DUMMYFUNCTION("""COMPUTED_VALUE"""),"チャリ・ロト事業部")</f>
        <v>チャリ・ロト事業部</v>
      </c>
    </row>
    <row r="99">
      <c r="A99" s="8" t="s">
        <v>1166</v>
      </c>
      <c r="B99" s="8" t="s">
        <v>1135</v>
      </c>
      <c r="C99" s="7" t="s">
        <v>987</v>
      </c>
      <c r="D99" s="8" t="s">
        <v>1102</v>
      </c>
      <c r="E99" s="7" t="s">
        <v>391</v>
      </c>
      <c r="G99" s="37" t="s">
        <v>1053</v>
      </c>
      <c r="H99" s="37" t="s">
        <v>1053</v>
      </c>
      <c r="I99" s="7" t="s">
        <v>391</v>
      </c>
      <c r="K99" s="37" t="s">
        <v>1053</v>
      </c>
      <c r="L99" s="37" t="s">
        <v>1053</v>
      </c>
      <c r="M99" s="37" t="str">
        <f>IFERROR(__xludf.DUMMYFUNCTION("""COMPUTED_VALUE"""),"事業推進部")</f>
        <v>事業推進部</v>
      </c>
    </row>
    <row r="100">
      <c r="A100" s="8" t="s">
        <v>1166</v>
      </c>
      <c r="B100" s="8" t="s">
        <v>1172</v>
      </c>
      <c r="C100" s="7" t="s">
        <v>987</v>
      </c>
      <c r="D100" s="8" t="s">
        <v>1102</v>
      </c>
      <c r="E100" s="7" t="s">
        <v>188</v>
      </c>
      <c r="G100" s="37" t="s">
        <v>1053</v>
      </c>
      <c r="H100" s="37" t="s">
        <v>1053</v>
      </c>
      <c r="I100" s="7" t="s">
        <v>188</v>
      </c>
      <c r="K100" s="37" t="s">
        <v>1053</v>
      </c>
      <c r="L100" s="37" t="s">
        <v>1053</v>
      </c>
      <c r="M100" s="37" t="str">
        <f>IFERROR(__xludf.DUMMYFUNCTION("""COMPUTED_VALUE"""),"CS推進室")</f>
        <v>CS推進室</v>
      </c>
    </row>
    <row r="101">
      <c r="A101" s="8" t="s">
        <v>1166</v>
      </c>
      <c r="B101" s="8" t="s">
        <v>1136</v>
      </c>
      <c r="C101" s="7" t="s">
        <v>987</v>
      </c>
      <c r="D101" s="8" t="s">
        <v>1102</v>
      </c>
      <c r="E101" s="7" t="s">
        <v>1058</v>
      </c>
      <c r="G101" s="37" t="s">
        <v>1053</v>
      </c>
      <c r="H101" s="37" t="s">
        <v>1053</v>
      </c>
      <c r="I101" s="7" t="s">
        <v>1058</v>
      </c>
      <c r="K101" s="37" t="s">
        <v>1053</v>
      </c>
      <c r="L101" s="37" t="s">
        <v>1053</v>
      </c>
      <c r="M101" s="37" t="str">
        <f>IFERROR(__xludf.DUMMYFUNCTION("""COMPUTED_VALUE"""),"CS推進部")</f>
        <v>CS推進部</v>
      </c>
    </row>
    <row r="102">
      <c r="A102" s="8" t="s">
        <v>1166</v>
      </c>
      <c r="B102" s="8" t="s">
        <v>1173</v>
      </c>
      <c r="C102" s="7" t="s">
        <v>986</v>
      </c>
      <c r="D102" s="8" t="s">
        <v>1102</v>
      </c>
      <c r="E102" s="7" t="s">
        <v>1069</v>
      </c>
      <c r="F102" s="37"/>
      <c r="G102" s="37" t="s">
        <v>1053</v>
      </c>
      <c r="H102" s="37" t="s">
        <v>1053</v>
      </c>
      <c r="I102" s="7" t="s">
        <v>1069</v>
      </c>
      <c r="J102" s="37"/>
      <c r="K102" s="37" t="s">
        <v>1053</v>
      </c>
      <c r="L102" s="7" t="s">
        <v>986</v>
      </c>
      <c r="M102" s="37" t="str">
        <f>IFERROR(__xludf.DUMMYFUNCTION("""COMPUTED_VALUE"""),"経営企画室")</f>
        <v>経営企画室</v>
      </c>
    </row>
    <row r="103">
      <c r="A103" s="8" t="s">
        <v>1166</v>
      </c>
      <c r="B103" s="8" t="s">
        <v>1137</v>
      </c>
      <c r="C103" s="7" t="s">
        <v>987</v>
      </c>
      <c r="D103" s="8" t="s">
        <v>1102</v>
      </c>
      <c r="E103" s="7" t="s">
        <v>1058</v>
      </c>
      <c r="G103" s="37" t="s">
        <v>1053</v>
      </c>
      <c r="H103" s="37" t="s">
        <v>1053</v>
      </c>
      <c r="I103" s="7" t="s">
        <v>1058</v>
      </c>
      <c r="K103" s="37" t="s">
        <v>1053</v>
      </c>
      <c r="L103" s="37" t="s">
        <v>1053</v>
      </c>
      <c r="M103" s="37" t="str">
        <f>IFERROR(__xludf.DUMMYFUNCTION("""COMPUTED_VALUE"""),"ライブエンターテインメント事業部")</f>
        <v>ライブエンターテインメント事業部</v>
      </c>
    </row>
    <row r="104">
      <c r="A104" s="8" t="s">
        <v>1166</v>
      </c>
      <c r="B104" s="8" t="s">
        <v>1174</v>
      </c>
      <c r="C104" s="7" t="s">
        <v>986</v>
      </c>
      <c r="D104" s="8" t="s">
        <v>1102</v>
      </c>
      <c r="E104" s="7" t="s">
        <v>693</v>
      </c>
      <c r="F104" s="37"/>
      <c r="G104" s="37" t="s">
        <v>1053</v>
      </c>
      <c r="H104" s="37" t="s">
        <v>1053</v>
      </c>
      <c r="I104" s="7" t="s">
        <v>693</v>
      </c>
      <c r="J104" s="37"/>
      <c r="K104" s="37" t="s">
        <v>1053</v>
      </c>
      <c r="L104" s="7" t="s">
        <v>986</v>
      </c>
      <c r="M104" s="37" t="str">
        <f>IFERROR(__xludf.DUMMYFUNCTION("""COMPUTED_VALUE"""),"ビバレッジ事業推進室")</f>
        <v>ビバレッジ事業推進室</v>
      </c>
    </row>
    <row r="105">
      <c r="A105" s="8" t="s">
        <v>1166</v>
      </c>
      <c r="B105" s="8" t="s">
        <v>1175</v>
      </c>
      <c r="C105" s="7" t="s">
        <v>987</v>
      </c>
      <c r="D105" s="8" t="s">
        <v>1102</v>
      </c>
      <c r="E105" s="7" t="s">
        <v>391</v>
      </c>
      <c r="G105" s="37" t="s">
        <v>1053</v>
      </c>
      <c r="H105" s="37" t="s">
        <v>1053</v>
      </c>
      <c r="I105" s="7" t="s">
        <v>391</v>
      </c>
      <c r="K105" s="37" t="s">
        <v>1053</v>
      </c>
      <c r="L105" s="37" t="s">
        <v>1053</v>
      </c>
      <c r="M105" s="37" t="str">
        <f>IFERROR(__xludf.DUMMYFUNCTION("""COMPUTED_VALUE"""),"システム部")</f>
        <v>システム部</v>
      </c>
    </row>
    <row r="106">
      <c r="A106" s="8" t="s">
        <v>1166</v>
      </c>
      <c r="B106" s="8" t="s">
        <v>286</v>
      </c>
      <c r="C106" s="7" t="s">
        <v>987</v>
      </c>
      <c r="D106" s="8"/>
      <c r="E106" s="37" t="s">
        <v>281</v>
      </c>
      <c r="F106" s="37" t="s">
        <v>286</v>
      </c>
      <c r="G106" s="37" t="s">
        <v>1053</v>
      </c>
      <c r="H106" s="37" t="s">
        <v>1053</v>
      </c>
      <c r="K106" s="37" t="s">
        <v>1053</v>
      </c>
      <c r="L106" s="37" t="s">
        <v>1053</v>
      </c>
      <c r="M106" s="37" t="str">
        <f>IFERROR(__xludf.DUMMYFUNCTION("""COMPUTED_VALUE"""),"マーチャンダイジング部")</f>
        <v>マーチャンダイジング部</v>
      </c>
    </row>
    <row r="107">
      <c r="A107" s="8" t="s">
        <v>1166</v>
      </c>
      <c r="B107" s="8" t="s">
        <v>1111</v>
      </c>
      <c r="C107" s="7" t="s">
        <v>987</v>
      </c>
      <c r="D107" s="8" t="s">
        <v>1102</v>
      </c>
      <c r="E107" s="7" t="s">
        <v>1105</v>
      </c>
      <c r="G107" s="37" t="s">
        <v>1053</v>
      </c>
      <c r="H107" s="37" t="s">
        <v>1053</v>
      </c>
      <c r="I107" s="7" t="s">
        <v>1105</v>
      </c>
      <c r="K107" s="37" t="s">
        <v>1053</v>
      </c>
      <c r="L107" s="37" t="s">
        <v>1053</v>
      </c>
      <c r="M107" s="37" t="str">
        <f>IFERROR(__xludf.DUMMYFUNCTION("""COMPUTED_VALUE"""),"事業管理部")</f>
        <v>事業管理部</v>
      </c>
    </row>
    <row r="108">
      <c r="A108" s="8" t="s">
        <v>1166</v>
      </c>
      <c r="B108" s="8" t="s">
        <v>1068</v>
      </c>
      <c r="C108" s="7" t="s">
        <v>987</v>
      </c>
      <c r="D108" s="8" t="s">
        <v>1102</v>
      </c>
      <c r="E108" s="7" t="s">
        <v>1176</v>
      </c>
      <c r="G108" s="37" t="s">
        <v>1053</v>
      </c>
      <c r="H108" s="37" t="s">
        <v>1053</v>
      </c>
      <c r="I108" s="7" t="s">
        <v>1176</v>
      </c>
      <c r="K108" s="37" t="s">
        <v>1053</v>
      </c>
      <c r="L108" s="37" t="s">
        <v>1053</v>
      </c>
      <c r="M108" s="37" t="str">
        <f>IFERROR(__xludf.DUMMYFUNCTION("""COMPUTED_VALUE"""),"新規事業開発部")</f>
        <v>新規事業開発部</v>
      </c>
    </row>
    <row r="109">
      <c r="A109" s="8" t="s">
        <v>1166</v>
      </c>
      <c r="B109" s="8" t="s">
        <v>1177</v>
      </c>
      <c r="C109" s="7" t="s">
        <v>986</v>
      </c>
      <c r="D109" s="8" t="s">
        <v>1102</v>
      </c>
      <c r="E109" s="7" t="s">
        <v>693</v>
      </c>
      <c r="F109" s="37"/>
      <c r="G109" s="37" t="s">
        <v>1053</v>
      </c>
      <c r="H109" s="37" t="s">
        <v>1053</v>
      </c>
      <c r="I109" s="7" t="s">
        <v>693</v>
      </c>
      <c r="J109" s="37"/>
      <c r="K109" s="37" t="s">
        <v>1053</v>
      </c>
      <c r="L109" s="7" t="s">
        <v>986</v>
      </c>
      <c r="M109" s="37" t="str">
        <f>IFERROR(__xludf.DUMMYFUNCTION("""COMPUTED_VALUE"""),"minimo事業部")</f>
        <v>minimo事業部</v>
      </c>
    </row>
    <row r="110">
      <c r="A110" s="8" t="s">
        <v>1166</v>
      </c>
      <c r="B110" s="8" t="s">
        <v>1178</v>
      </c>
      <c r="C110" s="7" t="s">
        <v>987</v>
      </c>
      <c r="D110" s="8" t="s">
        <v>1102</v>
      </c>
      <c r="E110" s="7" t="s">
        <v>1069</v>
      </c>
      <c r="G110" s="37" t="s">
        <v>1053</v>
      </c>
      <c r="H110" s="37" t="s">
        <v>1053</v>
      </c>
      <c r="I110" s="7" t="s">
        <v>1069</v>
      </c>
      <c r="K110" s="37" t="s">
        <v>1053</v>
      </c>
      <c r="L110" s="37" t="s">
        <v>1053</v>
      </c>
      <c r="M110" s="37" t="str">
        <f>IFERROR(__xludf.DUMMYFUNCTION("""COMPUTED_VALUE"""),"アリーナ事業部")</f>
        <v>アリーナ事業部</v>
      </c>
    </row>
    <row r="111">
      <c r="A111" s="8" t="s">
        <v>1166</v>
      </c>
      <c r="B111" s="8" t="s">
        <v>1081</v>
      </c>
      <c r="C111" s="7" t="s">
        <v>987</v>
      </c>
      <c r="D111" s="8" t="s">
        <v>1102</v>
      </c>
      <c r="E111" s="7" t="s">
        <v>693</v>
      </c>
      <c r="G111" s="37" t="s">
        <v>1053</v>
      </c>
      <c r="H111" s="37" t="s">
        <v>1053</v>
      </c>
      <c r="I111" s="7" t="s">
        <v>693</v>
      </c>
      <c r="K111" s="37" t="s">
        <v>1053</v>
      </c>
      <c r="L111" s="37" t="s">
        <v>1053</v>
      </c>
      <c r="M111" s="37" t="str">
        <f>IFERROR(__xludf.DUMMYFUNCTION("""COMPUTED_VALUE"""),"投資・事業推進部")</f>
        <v>投資・事業推進部</v>
      </c>
    </row>
    <row r="112">
      <c r="A112" s="8" t="s">
        <v>1166</v>
      </c>
      <c r="B112" s="8" t="s">
        <v>1161</v>
      </c>
      <c r="C112" s="7" t="s">
        <v>987</v>
      </c>
      <c r="D112" s="8" t="s">
        <v>1102</v>
      </c>
      <c r="E112" s="7" t="s">
        <v>693</v>
      </c>
      <c r="G112" s="37" t="s">
        <v>1053</v>
      </c>
      <c r="H112" s="37" t="s">
        <v>1053</v>
      </c>
      <c r="I112" s="7" t="s">
        <v>693</v>
      </c>
      <c r="K112" s="37" t="s">
        <v>1053</v>
      </c>
      <c r="L112" s="37" t="s">
        <v>1053</v>
      </c>
      <c r="M112" s="37" t="str">
        <f>IFERROR(__xludf.DUMMYFUNCTION("""COMPUTED_VALUE"""),"グループ統括室")</f>
        <v>グループ統括室</v>
      </c>
    </row>
    <row r="113">
      <c r="A113" s="8" t="s">
        <v>1179</v>
      </c>
      <c r="B113" s="8" t="s">
        <v>1180</v>
      </c>
      <c r="C113" s="7" t="s">
        <v>986</v>
      </c>
      <c r="D113" s="8" t="s">
        <v>1181</v>
      </c>
      <c r="E113" s="7" t="s">
        <v>1182</v>
      </c>
      <c r="F113" s="37"/>
      <c r="G113" s="37" t="s">
        <v>1053</v>
      </c>
      <c r="H113" s="37" t="s">
        <v>1053</v>
      </c>
      <c r="I113" s="7" t="s">
        <v>1182</v>
      </c>
      <c r="J113" s="37"/>
      <c r="K113" s="37" t="s">
        <v>1053</v>
      </c>
      <c r="L113" s="7" t="s">
        <v>986</v>
      </c>
      <c r="M113" s="37" t="str">
        <f>IFERROR(__xludf.DUMMYFUNCTION("""COMPUTED_VALUE"""),"経営企画部")</f>
        <v>経営企画部</v>
      </c>
    </row>
    <row r="114">
      <c r="A114" s="8" t="s">
        <v>1179</v>
      </c>
      <c r="B114" s="8" t="s">
        <v>1170</v>
      </c>
      <c r="C114" s="7" t="s">
        <v>986</v>
      </c>
      <c r="D114" s="8" t="s">
        <v>1102</v>
      </c>
      <c r="E114" s="7" t="s">
        <v>1069</v>
      </c>
      <c r="F114" s="37"/>
      <c r="G114" s="37" t="s">
        <v>1053</v>
      </c>
      <c r="H114" s="37" t="s">
        <v>1053</v>
      </c>
      <c r="I114" s="7" t="s">
        <v>1069</v>
      </c>
      <c r="J114" s="37"/>
      <c r="K114" s="37" t="s">
        <v>1053</v>
      </c>
      <c r="L114" s="7" t="s">
        <v>986</v>
      </c>
      <c r="M114" s="37" t="str">
        <f>IFERROR(__xludf.DUMMYFUNCTION("""COMPUTED_VALUE"""),"法務部")</f>
        <v>法務部</v>
      </c>
    </row>
    <row r="115">
      <c r="A115" s="8" t="s">
        <v>1179</v>
      </c>
      <c r="B115" s="8" t="s">
        <v>859</v>
      </c>
      <c r="C115" s="7" t="s">
        <v>986</v>
      </c>
      <c r="D115" s="8"/>
      <c r="E115" s="37" t="s">
        <v>854</v>
      </c>
      <c r="F115" s="37" t="s">
        <v>859</v>
      </c>
      <c r="G115" s="37" t="s">
        <v>1410</v>
      </c>
      <c r="H115" s="37" t="s">
        <v>2232</v>
      </c>
      <c r="I115" s="37"/>
      <c r="J115" s="37"/>
      <c r="K115" s="37" t="s">
        <v>1053</v>
      </c>
      <c r="L115" s="7" t="s">
        <v>986</v>
      </c>
      <c r="M115" s="37" t="str">
        <f>IFERROR(__xludf.DUMMYFUNCTION("""COMPUTED_VALUE"""),"ビジネスサポート室")</f>
        <v>ビジネスサポート室</v>
      </c>
    </row>
    <row r="116">
      <c r="A116" s="8" t="s">
        <v>1179</v>
      </c>
      <c r="B116" s="8" t="s">
        <v>1183</v>
      </c>
      <c r="C116" s="7" t="s">
        <v>987</v>
      </c>
      <c r="D116" s="8" t="s">
        <v>1181</v>
      </c>
      <c r="E116" s="7" t="s">
        <v>1182</v>
      </c>
      <c r="G116" s="37" t="s">
        <v>1053</v>
      </c>
      <c r="H116" s="37" t="s">
        <v>1053</v>
      </c>
      <c r="I116" s="7" t="s">
        <v>1182</v>
      </c>
      <c r="K116" s="37" t="s">
        <v>1053</v>
      </c>
      <c r="L116" s="37" t="s">
        <v>1053</v>
      </c>
      <c r="M116" s="37" t="str">
        <f>IFERROR(__xludf.DUMMYFUNCTION("""COMPUTED_VALUE"""),"経理財務部")</f>
        <v>経理財務部</v>
      </c>
    </row>
    <row r="117">
      <c r="A117" s="8" t="s">
        <v>1179</v>
      </c>
      <c r="B117" s="8" t="s">
        <v>188</v>
      </c>
      <c r="C117" s="7" t="s">
        <v>986</v>
      </c>
      <c r="D117" s="8"/>
      <c r="E117" s="37" t="s">
        <v>183</v>
      </c>
      <c r="F117" s="37" t="s">
        <v>188</v>
      </c>
      <c r="G117" s="37" t="s">
        <v>1053</v>
      </c>
      <c r="H117" s="37" t="s">
        <v>2132</v>
      </c>
      <c r="I117" s="37"/>
      <c r="J117" s="37"/>
      <c r="K117" s="37" t="s">
        <v>1053</v>
      </c>
      <c r="L117" s="7" t="s">
        <v>986</v>
      </c>
      <c r="M117" s="37" t="str">
        <f>IFERROR(__xludf.DUMMYFUNCTION("""COMPUTED_VALUE"""),"広報部")</f>
        <v>広報部</v>
      </c>
    </row>
    <row r="118">
      <c r="A118" s="8" t="s">
        <v>1179</v>
      </c>
      <c r="B118" s="8" t="s">
        <v>1182</v>
      </c>
      <c r="C118" s="7" t="s">
        <v>986</v>
      </c>
      <c r="D118" s="8" t="s">
        <v>1181</v>
      </c>
      <c r="E118" s="7" t="s">
        <v>1182</v>
      </c>
      <c r="F118" s="37"/>
      <c r="G118" s="37" t="s">
        <v>1053</v>
      </c>
      <c r="H118" s="37" t="s">
        <v>1053</v>
      </c>
      <c r="I118" s="7" t="s">
        <v>1182</v>
      </c>
      <c r="J118" s="37"/>
      <c r="K118" s="37" t="s">
        <v>1053</v>
      </c>
      <c r="L118" s="7" t="s">
        <v>986</v>
      </c>
      <c r="M118" s="37" t="str">
        <f>IFERROR(__xludf.DUMMYFUNCTION("""COMPUTED_VALUE"""),"はたらく環境室")</f>
        <v>はたらく環境室</v>
      </c>
    </row>
    <row r="119">
      <c r="A119" s="8" t="s">
        <v>1179</v>
      </c>
      <c r="B119" s="8" t="s">
        <v>1151</v>
      </c>
      <c r="C119" s="7" t="s">
        <v>986</v>
      </c>
      <c r="D119" s="8" t="s">
        <v>1181</v>
      </c>
      <c r="E119" s="7" t="s">
        <v>693</v>
      </c>
      <c r="F119" s="37"/>
      <c r="G119" s="37" t="s">
        <v>1053</v>
      </c>
      <c r="H119" s="37" t="s">
        <v>1053</v>
      </c>
      <c r="I119" s="7" t="s">
        <v>693</v>
      </c>
      <c r="J119" s="37"/>
      <c r="K119" s="37" t="s">
        <v>1053</v>
      </c>
      <c r="L119" s="7" t="s">
        <v>986</v>
      </c>
      <c r="M119" s="37" t="str">
        <f>IFERROR(__xludf.DUMMYFUNCTION("""COMPUTED_VALUE"""),"みてねマーケティング部")</f>
        <v>みてねマーケティング部</v>
      </c>
    </row>
    <row r="120">
      <c r="A120" s="8" t="s">
        <v>1179</v>
      </c>
      <c r="B120" s="8" t="s">
        <v>1184</v>
      </c>
      <c r="D120" s="7" t="s">
        <v>1052</v>
      </c>
      <c r="E120" s="7" t="s">
        <v>441</v>
      </c>
      <c r="G120" s="37" t="s">
        <v>1053</v>
      </c>
      <c r="H120" s="37" t="s">
        <v>1053</v>
      </c>
      <c r="I120" s="7" t="s">
        <v>441</v>
      </c>
      <c r="K120" s="7" t="s">
        <v>1052</v>
      </c>
      <c r="L120" s="37" t="s">
        <v>1053</v>
      </c>
      <c r="M120" s="37" t="str">
        <f>IFERROR(__xludf.DUMMYFUNCTION("""COMPUTED_VALUE"""),"ミクシィ・リクルートメント事業部")</f>
        <v>ミクシィ・リクルートメント事業部</v>
      </c>
    </row>
    <row r="121">
      <c r="A121" s="8" t="s">
        <v>1179</v>
      </c>
      <c r="B121" s="8" t="s">
        <v>1153</v>
      </c>
      <c r="C121" s="7" t="s">
        <v>986</v>
      </c>
      <c r="D121" s="8" t="s">
        <v>1181</v>
      </c>
      <c r="E121" s="7" t="s">
        <v>441</v>
      </c>
      <c r="F121" s="37"/>
      <c r="G121" s="37" t="s">
        <v>1053</v>
      </c>
      <c r="H121" s="37" t="s">
        <v>1053</v>
      </c>
      <c r="I121" s="7" t="s">
        <v>441</v>
      </c>
      <c r="J121" s="37"/>
      <c r="K121" s="37" t="s">
        <v>1053</v>
      </c>
      <c r="L121" s="7" t="s">
        <v>986</v>
      </c>
      <c r="M121" s="37" t="str">
        <f>IFERROR(__xludf.DUMMYFUNCTION("""COMPUTED_VALUE"""),"みてねプラットフォーム部")</f>
        <v>みてねプラットフォーム部</v>
      </c>
    </row>
    <row r="122">
      <c r="A122" s="8" t="s">
        <v>1179</v>
      </c>
      <c r="B122" s="8" t="s">
        <v>1185</v>
      </c>
      <c r="C122" s="7" t="s">
        <v>986</v>
      </c>
      <c r="D122" s="8" t="s">
        <v>1181</v>
      </c>
      <c r="E122" s="7" t="s">
        <v>1110</v>
      </c>
      <c r="F122" s="37"/>
      <c r="G122" s="37" t="s">
        <v>1053</v>
      </c>
      <c r="H122" s="37" t="s">
        <v>1053</v>
      </c>
      <c r="I122" s="7" t="s">
        <v>1110</v>
      </c>
      <c r="J122" s="37"/>
      <c r="K122" s="37" t="s">
        <v>1053</v>
      </c>
      <c r="L122" s="7" t="s">
        <v>986</v>
      </c>
      <c r="M122" s="37" t="str">
        <f>IFERROR(__xludf.DUMMYFUNCTION("""COMPUTED_VALUE"""),"みてねプロダクト開発部")</f>
        <v>みてねプロダクト開発部</v>
      </c>
    </row>
    <row r="123">
      <c r="A123" s="8" t="s">
        <v>1179</v>
      </c>
      <c r="B123" s="8" t="s">
        <v>1186</v>
      </c>
      <c r="C123" s="7" t="s">
        <v>987</v>
      </c>
      <c r="D123" s="8" t="s">
        <v>1181</v>
      </c>
      <c r="E123" s="7" t="s">
        <v>1182</v>
      </c>
      <c r="G123" s="37" t="s">
        <v>1053</v>
      </c>
      <c r="H123" s="37" t="s">
        <v>1053</v>
      </c>
      <c r="I123" s="7" t="s">
        <v>1182</v>
      </c>
      <c r="K123" s="37" t="s">
        <v>1053</v>
      </c>
      <c r="L123" s="37" t="s">
        <v>1053</v>
      </c>
      <c r="M123" s="37" t="str">
        <f>IFERROR(__xludf.DUMMYFUNCTION("""COMPUTED_VALUE"""),"mixi事業部")</f>
        <v>mixi事業部</v>
      </c>
    </row>
    <row r="124">
      <c r="A124" s="8" t="s">
        <v>1179</v>
      </c>
      <c r="B124" s="8" t="s">
        <v>857</v>
      </c>
      <c r="C124" s="7" t="s">
        <v>986</v>
      </c>
      <c r="D124" s="8"/>
      <c r="E124" s="37" t="s">
        <v>854</v>
      </c>
      <c r="F124" s="37" t="s">
        <v>857</v>
      </c>
      <c r="G124" s="37" t="s">
        <v>1410</v>
      </c>
      <c r="H124" s="37" t="s">
        <v>1053</v>
      </c>
      <c r="I124" s="37"/>
      <c r="J124" s="37"/>
      <c r="K124" s="37" t="s">
        <v>1053</v>
      </c>
      <c r="L124" s="7" t="s">
        <v>986</v>
      </c>
      <c r="M124" s="37" t="str">
        <f>IFERROR(__xludf.DUMMYFUNCTION("""COMPUTED_VALUE"""),"みてね事業部")</f>
        <v>みてね事業部</v>
      </c>
    </row>
    <row r="125">
      <c r="A125" s="8" t="s">
        <v>1179</v>
      </c>
      <c r="B125" s="8" t="s">
        <v>1111</v>
      </c>
      <c r="C125" s="7" t="s">
        <v>986</v>
      </c>
      <c r="D125" s="8" t="s">
        <v>1181</v>
      </c>
      <c r="E125" s="63" t="s">
        <v>470</v>
      </c>
      <c r="F125" s="64" t="s">
        <v>188</v>
      </c>
      <c r="G125" s="37" t="s">
        <v>1053</v>
      </c>
      <c r="H125" s="37" t="s">
        <v>1053</v>
      </c>
      <c r="I125" s="7" t="s">
        <v>1105</v>
      </c>
      <c r="J125" s="37"/>
      <c r="K125" s="37" t="s">
        <v>1053</v>
      </c>
      <c r="L125" s="7" t="s">
        <v>986</v>
      </c>
      <c r="M125" s="37" t="str">
        <f>IFERROR(__xludf.DUMMYFUNCTION("""COMPUTED_VALUE"""),"みてね事業開発部")</f>
        <v>みてね事業開発部</v>
      </c>
    </row>
    <row r="126">
      <c r="A126" s="8" t="s">
        <v>1179</v>
      </c>
      <c r="B126" s="8" t="s">
        <v>1187</v>
      </c>
      <c r="C126" s="7" t="s">
        <v>986</v>
      </c>
      <c r="D126" s="8" t="s">
        <v>1181</v>
      </c>
      <c r="E126" s="7" t="s">
        <v>1188</v>
      </c>
      <c r="F126" s="37"/>
      <c r="G126" s="37" t="s">
        <v>1053</v>
      </c>
      <c r="H126" s="37" t="s">
        <v>1053</v>
      </c>
      <c r="I126" s="7" t="s">
        <v>1188</v>
      </c>
      <c r="J126" s="37"/>
      <c r="K126" s="37" t="s">
        <v>1053</v>
      </c>
      <c r="L126" s="7" t="s">
        <v>986</v>
      </c>
      <c r="M126" s="37" t="str">
        <f>IFERROR(__xludf.DUMMYFUNCTION("""COMPUTED_VALUE"""),"事業推進室")</f>
        <v>事業推進室</v>
      </c>
    </row>
    <row r="127">
      <c r="A127" s="8" t="s">
        <v>1179</v>
      </c>
      <c r="B127" s="8" t="s">
        <v>1189</v>
      </c>
      <c r="C127" s="7" t="s">
        <v>986</v>
      </c>
      <c r="D127" s="8" t="s">
        <v>1102</v>
      </c>
      <c r="E127" s="7" t="s">
        <v>1190</v>
      </c>
      <c r="F127" s="37"/>
      <c r="G127" s="37" t="s">
        <v>1053</v>
      </c>
      <c r="H127" s="37" t="s">
        <v>1053</v>
      </c>
      <c r="I127" s="7" t="s">
        <v>1190</v>
      </c>
      <c r="J127" s="37"/>
      <c r="K127" s="37" t="s">
        <v>1053</v>
      </c>
      <c r="L127" s="7" t="s">
        <v>986</v>
      </c>
      <c r="M127" s="37" t="str">
        <f>IFERROR(__xludf.DUMMYFUNCTION("""COMPUTED_VALUE"""),"渉外G")</f>
        <v>渉外G</v>
      </c>
    </row>
    <row r="128">
      <c r="A128" s="8" t="s">
        <v>1179</v>
      </c>
      <c r="B128" s="8" t="s">
        <v>1191</v>
      </c>
      <c r="C128" s="7" t="s">
        <v>986</v>
      </c>
      <c r="D128" s="8" t="s">
        <v>1102</v>
      </c>
      <c r="E128" s="7" t="s">
        <v>1192</v>
      </c>
      <c r="F128" s="37"/>
      <c r="G128" s="37" t="s">
        <v>1053</v>
      </c>
      <c r="H128" s="37" t="s">
        <v>1053</v>
      </c>
      <c r="I128" s="7" t="s">
        <v>1192</v>
      </c>
      <c r="J128" s="37"/>
      <c r="K128" s="37" t="s">
        <v>1053</v>
      </c>
      <c r="L128" s="7" t="s">
        <v>986</v>
      </c>
      <c r="M128" s="37" t="str">
        <f>IFERROR(__xludf.DUMMYFUNCTION("""COMPUTED_VALUE"""),"TIPSTAR事業部")</f>
        <v>TIPSTAR事業部</v>
      </c>
    </row>
    <row r="129">
      <c r="A129" s="8" t="s">
        <v>391</v>
      </c>
      <c r="B129" s="8" t="s">
        <v>890</v>
      </c>
      <c r="C129" s="7" t="s">
        <v>986</v>
      </c>
      <c r="D129" s="8"/>
      <c r="E129" s="37" t="s">
        <v>391</v>
      </c>
      <c r="F129" s="37" t="s">
        <v>403</v>
      </c>
      <c r="G129" s="37" t="s">
        <v>1053</v>
      </c>
      <c r="H129" s="37" t="s">
        <v>2236</v>
      </c>
      <c r="I129" s="37"/>
      <c r="J129" s="37"/>
      <c r="K129" s="37" t="s">
        <v>1053</v>
      </c>
      <c r="L129" s="7" t="s">
        <v>986</v>
      </c>
      <c r="M129" s="37" t="str">
        <f>IFERROR(__xludf.DUMMYFUNCTION("""COMPUTED_VALUE"""),"戦略室")</f>
        <v>戦略室</v>
      </c>
    </row>
    <row r="130">
      <c r="A130" s="8" t="s">
        <v>391</v>
      </c>
      <c r="B130" s="8" t="s">
        <v>399</v>
      </c>
      <c r="C130" s="8"/>
      <c r="D130" s="8"/>
      <c r="E130" s="37" t="s">
        <v>391</v>
      </c>
      <c r="F130" s="37" t="s">
        <v>399</v>
      </c>
      <c r="G130" s="37" t="s">
        <v>1053</v>
      </c>
      <c r="H130" s="37" t="s">
        <v>2121</v>
      </c>
      <c r="K130" s="37" t="s">
        <v>1053</v>
      </c>
      <c r="L130" s="37" t="s">
        <v>1053</v>
      </c>
      <c r="M130" s="37" t="str">
        <f>IFERROR(__xludf.DUMMYFUNCTION("""COMPUTED_VALUE"""),"開発室")</f>
        <v>開発室</v>
      </c>
    </row>
    <row r="131">
      <c r="A131" s="8" t="s">
        <v>391</v>
      </c>
      <c r="B131" s="8" t="s">
        <v>395</v>
      </c>
      <c r="C131" s="7" t="s">
        <v>986</v>
      </c>
      <c r="D131" s="8"/>
      <c r="E131" s="37" t="s">
        <v>391</v>
      </c>
      <c r="F131" s="37" t="s">
        <v>395</v>
      </c>
      <c r="G131" s="37" t="s">
        <v>1053</v>
      </c>
      <c r="H131" s="37" t="s">
        <v>1053</v>
      </c>
      <c r="I131" s="37"/>
      <c r="J131" s="37"/>
      <c r="K131" s="37" t="s">
        <v>1053</v>
      </c>
      <c r="L131" s="7" t="s">
        <v>986</v>
      </c>
      <c r="M131" s="37" t="str">
        <f>IFERROR(__xludf.DUMMYFUNCTION("""COMPUTED_VALUE"""),"ファイトリーグ事業部")</f>
        <v>ファイトリーグ事業部</v>
      </c>
    </row>
    <row r="132">
      <c r="A132" s="8" t="s">
        <v>391</v>
      </c>
      <c r="B132" s="8" t="s">
        <v>644</v>
      </c>
      <c r="C132" s="7" t="s">
        <v>986</v>
      </c>
      <c r="D132" s="8"/>
      <c r="E132" s="37" t="s">
        <v>391</v>
      </c>
      <c r="F132" s="37" t="s">
        <v>136</v>
      </c>
      <c r="G132" s="37" t="s">
        <v>1053</v>
      </c>
      <c r="H132" s="37" t="s">
        <v>1053</v>
      </c>
      <c r="I132" s="37"/>
      <c r="J132" s="37"/>
      <c r="K132" s="37" t="s">
        <v>1053</v>
      </c>
      <c r="L132" s="7" t="s">
        <v>986</v>
      </c>
      <c r="M132" s="37" t="str">
        <f>IFERROR(__xludf.DUMMYFUNCTION("""COMPUTED_VALUE"""),"IP開発室")</f>
        <v>IP開発室</v>
      </c>
    </row>
    <row r="133">
      <c r="A133" s="8" t="s">
        <v>391</v>
      </c>
      <c r="B133" s="8" t="s">
        <v>1193</v>
      </c>
      <c r="C133" s="7" t="s">
        <v>986</v>
      </c>
      <c r="D133" s="8"/>
      <c r="E133" s="37" t="s">
        <v>391</v>
      </c>
      <c r="F133" s="37" t="s">
        <v>1053</v>
      </c>
      <c r="G133" s="37" t="s">
        <v>1053</v>
      </c>
      <c r="H133" s="37" t="s">
        <v>1053</v>
      </c>
      <c r="I133" s="37"/>
      <c r="J133" s="37"/>
      <c r="K133" s="37" t="s">
        <v>1053</v>
      </c>
      <c r="L133" s="7" t="s">
        <v>986</v>
      </c>
      <c r="M133" s="37" t="str">
        <f>IFERROR(__xludf.DUMMYFUNCTION("""COMPUTED_VALUE"""),"事業企画部")</f>
        <v>事業企画部</v>
      </c>
    </row>
    <row r="134">
      <c r="A134" s="8" t="s">
        <v>391</v>
      </c>
      <c r="B134" s="8" t="s">
        <v>392</v>
      </c>
      <c r="C134" s="7" t="s">
        <v>986</v>
      </c>
      <c r="D134" s="8"/>
      <c r="E134" s="37" t="s">
        <v>391</v>
      </c>
      <c r="F134" s="37" t="s">
        <v>392</v>
      </c>
      <c r="G134" s="37" t="s">
        <v>1053</v>
      </c>
      <c r="H134" s="37" t="s">
        <v>2092</v>
      </c>
      <c r="I134" s="37"/>
      <c r="J134" s="37"/>
      <c r="K134" s="37" t="s">
        <v>1053</v>
      </c>
      <c r="L134" s="7" t="s">
        <v>986</v>
      </c>
      <c r="M134" s="37" t="str">
        <f>IFERROR(__xludf.DUMMYFUNCTION("""COMPUTED_VALUE"""),"事業開発室")</f>
        <v>事業開発室</v>
      </c>
    </row>
    <row r="135">
      <c r="A135" s="8" t="s">
        <v>391</v>
      </c>
      <c r="B135" s="8" t="s">
        <v>1111</v>
      </c>
      <c r="C135" s="7" t="s">
        <v>986</v>
      </c>
      <c r="D135" s="8"/>
      <c r="E135" s="37" t="s">
        <v>391</v>
      </c>
      <c r="F135" s="37" t="s">
        <v>1053</v>
      </c>
      <c r="G135" s="37" t="s">
        <v>1053</v>
      </c>
      <c r="H135" s="37" t="s">
        <v>1053</v>
      </c>
      <c r="I135" s="37"/>
      <c r="J135" s="37"/>
      <c r="K135" s="37" t="s">
        <v>1053</v>
      </c>
      <c r="L135" s="7" t="s">
        <v>986</v>
      </c>
      <c r="M135" s="37" t="str">
        <f>IFERROR(__xludf.DUMMYFUNCTION("""COMPUTED_VALUE"""),"live4uG")</f>
        <v>live4uG</v>
      </c>
    </row>
    <row r="136">
      <c r="A136" s="8" t="s">
        <v>1194</v>
      </c>
      <c r="B136" s="8" t="s">
        <v>1139</v>
      </c>
      <c r="C136" s="7" t="s">
        <v>986</v>
      </c>
      <c r="D136" s="8" t="s">
        <v>988</v>
      </c>
      <c r="E136" s="7" t="s">
        <v>1105</v>
      </c>
      <c r="F136" s="37"/>
      <c r="G136" s="37" t="s">
        <v>1053</v>
      </c>
      <c r="H136" s="37" t="s">
        <v>1053</v>
      </c>
      <c r="I136" s="7" t="s">
        <v>1105</v>
      </c>
      <c r="J136" s="37"/>
      <c r="K136" s="37" t="s">
        <v>1053</v>
      </c>
      <c r="L136" s="7" t="s">
        <v>986</v>
      </c>
      <c r="M136" s="37" t="str">
        <f>IFERROR(__xludf.DUMMYFUNCTION("""COMPUTED_VALUE"""),"みてねG")</f>
        <v>みてねG</v>
      </c>
    </row>
    <row r="137">
      <c r="A137" s="8" t="s">
        <v>1195</v>
      </c>
      <c r="B137" s="8" t="s">
        <v>1196</v>
      </c>
      <c r="C137" s="7" t="s">
        <v>987</v>
      </c>
      <c r="D137" s="8" t="s">
        <v>1197</v>
      </c>
      <c r="E137" s="7" t="s">
        <v>1105</v>
      </c>
      <c r="G137" s="37" t="s">
        <v>1053</v>
      </c>
      <c r="H137" s="37" t="s">
        <v>1053</v>
      </c>
      <c r="I137" s="7" t="s">
        <v>1105</v>
      </c>
      <c r="K137" s="37" t="s">
        <v>1053</v>
      </c>
      <c r="L137" s="37" t="s">
        <v>1053</v>
      </c>
      <c r="M137" s="37" t="str">
        <f>IFERROR(__xludf.DUMMYFUNCTION("""COMPUTED_VALUE"""),"minimoG")</f>
        <v>minimoG</v>
      </c>
    </row>
    <row r="138">
      <c r="A138" s="8" t="s">
        <v>427</v>
      </c>
      <c r="B138" s="8" t="s">
        <v>1104</v>
      </c>
      <c r="C138" s="8"/>
      <c r="D138" s="8"/>
      <c r="E138" s="37" t="s">
        <v>426</v>
      </c>
      <c r="F138" s="37" t="s">
        <v>427</v>
      </c>
      <c r="G138" s="37" t="s">
        <v>1053</v>
      </c>
      <c r="H138" s="37" t="s">
        <v>1053</v>
      </c>
      <c r="K138" s="37" t="s">
        <v>1053</v>
      </c>
      <c r="L138" s="37" t="s">
        <v>1053</v>
      </c>
      <c r="M138" s="37" t="str">
        <f>IFERROR(__xludf.DUMMYFUNCTION("""COMPUTED_VALUE"""),"DeployGateG")</f>
        <v>DeployGateG</v>
      </c>
    </row>
    <row r="139">
      <c r="A139" s="8" t="s">
        <v>1198</v>
      </c>
      <c r="B139" s="8" t="s">
        <v>1199</v>
      </c>
      <c r="C139" s="7" t="s">
        <v>986</v>
      </c>
      <c r="D139" s="8" t="s">
        <v>1197</v>
      </c>
      <c r="E139" s="7" t="s">
        <v>1105</v>
      </c>
      <c r="F139" s="37"/>
      <c r="G139" s="37" t="s">
        <v>1053</v>
      </c>
      <c r="H139" s="37" t="s">
        <v>1053</v>
      </c>
      <c r="I139" s="7" t="s">
        <v>1105</v>
      </c>
      <c r="J139" s="37"/>
      <c r="K139" s="37" t="s">
        <v>1053</v>
      </c>
      <c r="L139" s="7" t="s">
        <v>986</v>
      </c>
      <c r="M139" s="37" t="str">
        <f>IFERROR(__xludf.DUMMYFUNCTION("""COMPUTED_VALUE"""),"ゲーム部")</f>
        <v>ゲーム部</v>
      </c>
    </row>
    <row r="140">
      <c r="A140" s="8" t="s">
        <v>1198</v>
      </c>
      <c r="B140" s="8" t="s">
        <v>46</v>
      </c>
      <c r="C140" s="7" t="s">
        <v>986</v>
      </c>
      <c r="D140" s="8" t="s">
        <v>1197</v>
      </c>
      <c r="E140" s="7" t="s">
        <v>1105</v>
      </c>
      <c r="F140" s="37"/>
      <c r="G140" s="37" t="s">
        <v>1053</v>
      </c>
      <c r="H140" s="37" t="s">
        <v>1053</v>
      </c>
      <c r="I140" s="7" t="s">
        <v>1105</v>
      </c>
      <c r="J140" s="37"/>
      <c r="K140" s="37" t="s">
        <v>1053</v>
      </c>
      <c r="L140" s="7" t="s">
        <v>986</v>
      </c>
      <c r="M140" s="37"/>
    </row>
    <row r="141">
      <c r="A141" s="8" t="s">
        <v>1198</v>
      </c>
      <c r="B141" s="8" t="s">
        <v>59</v>
      </c>
      <c r="C141" s="7" t="s">
        <v>986</v>
      </c>
      <c r="D141" s="8" t="s">
        <v>1197</v>
      </c>
      <c r="E141" s="7" t="s">
        <v>1105</v>
      </c>
      <c r="F141" s="37"/>
      <c r="G141" s="37" t="s">
        <v>1053</v>
      </c>
      <c r="H141" s="37" t="s">
        <v>1053</v>
      </c>
      <c r="I141" s="7" t="s">
        <v>1105</v>
      </c>
      <c r="J141" s="37"/>
      <c r="K141" s="37" t="s">
        <v>1053</v>
      </c>
      <c r="L141" s="7" t="s">
        <v>986</v>
      </c>
      <c r="M141" s="37"/>
    </row>
    <row r="142">
      <c r="A142" s="8" t="s">
        <v>1198</v>
      </c>
      <c r="B142" s="8" t="s">
        <v>1200</v>
      </c>
      <c r="C142" s="7" t="s">
        <v>987</v>
      </c>
      <c r="D142" s="8" t="s">
        <v>1197</v>
      </c>
      <c r="E142" s="7" t="s">
        <v>1105</v>
      </c>
      <c r="G142" s="37" t="s">
        <v>1053</v>
      </c>
      <c r="H142" s="37" t="s">
        <v>1053</v>
      </c>
      <c r="I142" s="7" t="s">
        <v>1105</v>
      </c>
      <c r="K142" s="37" t="s">
        <v>1053</v>
      </c>
      <c r="L142" s="37" t="s">
        <v>1053</v>
      </c>
    </row>
    <row r="143">
      <c r="A143" s="8" t="s">
        <v>1198</v>
      </c>
      <c r="B143" s="8" t="s">
        <v>1201</v>
      </c>
      <c r="C143" s="7" t="s">
        <v>986</v>
      </c>
      <c r="D143" s="8" t="s">
        <v>1197</v>
      </c>
      <c r="E143" s="7" t="s">
        <v>1105</v>
      </c>
      <c r="F143" s="37"/>
      <c r="G143" s="37" t="s">
        <v>1053</v>
      </c>
      <c r="H143" s="37" t="s">
        <v>1053</v>
      </c>
      <c r="I143" s="7" t="s">
        <v>1105</v>
      </c>
      <c r="J143" s="37"/>
      <c r="K143" s="37" t="s">
        <v>1053</v>
      </c>
      <c r="L143" s="7" t="s">
        <v>986</v>
      </c>
      <c r="M143" s="37"/>
    </row>
    <row r="144">
      <c r="A144" s="8" t="s">
        <v>1198</v>
      </c>
      <c r="B144" s="8" t="s">
        <v>1202</v>
      </c>
      <c r="C144" s="7" t="s">
        <v>986</v>
      </c>
      <c r="D144" s="8" t="s">
        <v>1197</v>
      </c>
      <c r="E144" s="7" t="s">
        <v>1105</v>
      </c>
      <c r="F144" s="37"/>
      <c r="G144" s="37" t="s">
        <v>1053</v>
      </c>
      <c r="H144" s="37" t="s">
        <v>1053</v>
      </c>
      <c r="I144" s="7" t="s">
        <v>1105</v>
      </c>
      <c r="J144" s="37"/>
      <c r="K144" s="37" t="s">
        <v>1053</v>
      </c>
      <c r="L144" s="7" t="s">
        <v>986</v>
      </c>
      <c r="M144" s="37"/>
    </row>
    <row r="145">
      <c r="A145" s="8" t="s">
        <v>1198</v>
      </c>
      <c r="B145" s="8" t="s">
        <v>56</v>
      </c>
      <c r="C145" s="7" t="s">
        <v>986</v>
      </c>
      <c r="D145" s="8" t="s">
        <v>1197</v>
      </c>
      <c r="E145" s="7" t="s">
        <v>1105</v>
      </c>
      <c r="F145" s="37"/>
      <c r="G145" s="37" t="s">
        <v>1053</v>
      </c>
      <c r="H145" s="37" t="s">
        <v>1053</v>
      </c>
      <c r="I145" s="7" t="s">
        <v>1105</v>
      </c>
      <c r="J145" s="37"/>
      <c r="K145" s="37" t="s">
        <v>1053</v>
      </c>
      <c r="L145" s="7" t="s">
        <v>986</v>
      </c>
      <c r="M145" s="37"/>
    </row>
    <row r="146">
      <c r="A146" s="8" t="s">
        <v>1198</v>
      </c>
      <c r="B146" s="8" t="s">
        <v>292</v>
      </c>
      <c r="C146" s="7" t="s">
        <v>986</v>
      </c>
      <c r="D146" s="8" t="s">
        <v>1197</v>
      </c>
      <c r="E146" s="7" t="s">
        <v>1105</v>
      </c>
      <c r="F146" s="37"/>
      <c r="G146" s="37" t="s">
        <v>1053</v>
      </c>
      <c r="H146" s="37" t="s">
        <v>1053</v>
      </c>
      <c r="I146" s="7" t="s">
        <v>1105</v>
      </c>
      <c r="J146" s="37"/>
      <c r="K146" s="37" t="s">
        <v>1053</v>
      </c>
      <c r="L146" s="7" t="s">
        <v>986</v>
      </c>
      <c r="M146" s="37"/>
    </row>
    <row r="147">
      <c r="A147" s="8" t="s">
        <v>1198</v>
      </c>
      <c r="B147" s="8" t="s">
        <v>1203</v>
      </c>
      <c r="C147" s="7" t="s">
        <v>986</v>
      </c>
      <c r="D147" s="8" t="s">
        <v>1197</v>
      </c>
      <c r="E147" s="7" t="s">
        <v>1105</v>
      </c>
      <c r="F147" s="37"/>
      <c r="G147" s="37" t="s">
        <v>1053</v>
      </c>
      <c r="H147" s="37" t="s">
        <v>1053</v>
      </c>
      <c r="I147" s="7" t="s">
        <v>1105</v>
      </c>
      <c r="J147" s="37"/>
      <c r="K147" s="37" t="s">
        <v>1053</v>
      </c>
      <c r="L147" s="7" t="s">
        <v>986</v>
      </c>
      <c r="M147" s="37"/>
    </row>
    <row r="148">
      <c r="A148" s="8" t="s">
        <v>1198</v>
      </c>
      <c r="B148" s="8" t="s">
        <v>1204</v>
      </c>
      <c r="C148" s="7" t="s">
        <v>986</v>
      </c>
      <c r="D148" s="8" t="s">
        <v>1197</v>
      </c>
      <c r="E148" s="7" t="s">
        <v>1105</v>
      </c>
      <c r="F148" s="37"/>
      <c r="G148" s="37" t="s">
        <v>1053</v>
      </c>
      <c r="H148" s="37" t="s">
        <v>1053</v>
      </c>
      <c r="I148" s="7" t="s">
        <v>1105</v>
      </c>
      <c r="J148" s="37"/>
      <c r="K148" s="37" t="s">
        <v>1053</v>
      </c>
      <c r="L148" s="7" t="s">
        <v>986</v>
      </c>
      <c r="M148" s="37"/>
    </row>
    <row r="149">
      <c r="A149" s="8" t="s">
        <v>1205</v>
      </c>
      <c r="B149" s="8" t="s">
        <v>1206</v>
      </c>
      <c r="C149" s="7" t="s">
        <v>987</v>
      </c>
      <c r="D149" s="8" t="s">
        <v>1181</v>
      </c>
      <c r="E149" s="7" t="s">
        <v>391</v>
      </c>
      <c r="G149" s="37" t="s">
        <v>1053</v>
      </c>
      <c r="H149" s="37" t="s">
        <v>1053</v>
      </c>
      <c r="I149" s="7" t="s">
        <v>391</v>
      </c>
      <c r="K149" s="37" t="s">
        <v>1053</v>
      </c>
      <c r="L149" s="37" t="s">
        <v>1053</v>
      </c>
    </row>
    <row r="150">
      <c r="A150" s="8" t="s">
        <v>1205</v>
      </c>
      <c r="B150" s="8" t="s">
        <v>1207</v>
      </c>
      <c r="C150" s="7" t="s">
        <v>987</v>
      </c>
      <c r="D150" s="8" t="s">
        <v>1181</v>
      </c>
      <c r="E150" s="7" t="s">
        <v>391</v>
      </c>
      <c r="G150" s="37" t="s">
        <v>1053</v>
      </c>
      <c r="H150" s="37" t="s">
        <v>1053</v>
      </c>
      <c r="I150" s="7" t="s">
        <v>391</v>
      </c>
      <c r="K150" s="37" t="s">
        <v>1053</v>
      </c>
      <c r="L150" s="37" t="s">
        <v>1053</v>
      </c>
    </row>
    <row r="151">
      <c r="A151" s="8" t="s">
        <v>1205</v>
      </c>
      <c r="B151" s="8" t="s">
        <v>1111</v>
      </c>
      <c r="C151" s="7" t="s">
        <v>987</v>
      </c>
      <c r="D151" s="8" t="s">
        <v>1181</v>
      </c>
      <c r="E151" s="7" t="s">
        <v>1105</v>
      </c>
      <c r="G151" s="37" t="s">
        <v>1053</v>
      </c>
      <c r="H151" s="37" t="s">
        <v>1053</v>
      </c>
      <c r="I151" s="7" t="s">
        <v>1105</v>
      </c>
      <c r="K151" s="37" t="s">
        <v>1053</v>
      </c>
      <c r="L151" s="37" t="s">
        <v>1053</v>
      </c>
    </row>
    <row r="152">
      <c r="A152" s="8" t="s">
        <v>1205</v>
      </c>
      <c r="B152" s="8" t="s">
        <v>1065</v>
      </c>
      <c r="C152" s="7" t="s">
        <v>987</v>
      </c>
      <c r="D152" s="8" t="s">
        <v>1181</v>
      </c>
      <c r="E152" s="7" t="s">
        <v>478</v>
      </c>
      <c r="G152" s="37" t="s">
        <v>1066</v>
      </c>
      <c r="H152" s="37" t="s">
        <v>1053</v>
      </c>
      <c r="I152" s="7" t="s">
        <v>478</v>
      </c>
      <c r="K152" s="37" t="s">
        <v>1053</v>
      </c>
      <c r="L152" s="37" t="s">
        <v>1053</v>
      </c>
    </row>
    <row r="153">
      <c r="A153" s="8" t="s">
        <v>3</v>
      </c>
      <c r="B153" s="8" t="s">
        <v>9</v>
      </c>
      <c r="C153" s="8"/>
      <c r="D153" s="8"/>
      <c r="E153" s="37" t="s">
        <v>3</v>
      </c>
      <c r="F153" s="37" t="s">
        <v>9</v>
      </c>
      <c r="G153" s="37" t="s">
        <v>1053</v>
      </c>
      <c r="H153" s="37" t="s">
        <v>2124</v>
      </c>
      <c r="K153" s="37" t="s">
        <v>1053</v>
      </c>
      <c r="L153" s="37" t="s">
        <v>1053</v>
      </c>
    </row>
    <row r="154">
      <c r="A154" s="8" t="s">
        <v>3</v>
      </c>
      <c r="B154" s="8" t="s">
        <v>4</v>
      </c>
      <c r="C154" s="8"/>
      <c r="D154" s="8"/>
      <c r="E154" s="37" t="s">
        <v>3</v>
      </c>
      <c r="F154" s="37" t="s">
        <v>4</v>
      </c>
      <c r="G154" s="37" t="s">
        <v>1053</v>
      </c>
      <c r="H154" s="37" t="s">
        <v>2126</v>
      </c>
      <c r="K154" s="37" t="s">
        <v>1053</v>
      </c>
      <c r="L154" s="37" t="s">
        <v>1053</v>
      </c>
    </row>
    <row r="155">
      <c r="A155" s="8" t="s">
        <v>3</v>
      </c>
      <c r="B155" s="8" t="s">
        <v>1207</v>
      </c>
      <c r="C155" s="7" t="s">
        <v>986</v>
      </c>
      <c r="D155" s="7" t="s">
        <v>1052</v>
      </c>
      <c r="E155" s="37" t="s">
        <v>3</v>
      </c>
      <c r="F155" s="37" t="s">
        <v>1053</v>
      </c>
      <c r="G155" s="37" t="s">
        <v>1053</v>
      </c>
      <c r="H155" s="37" t="s">
        <v>1053</v>
      </c>
      <c r="I155" s="37"/>
      <c r="J155" s="37"/>
      <c r="K155" s="7" t="s">
        <v>1052</v>
      </c>
      <c r="L155" s="7" t="s">
        <v>986</v>
      </c>
      <c r="M155" s="37"/>
    </row>
    <row r="156">
      <c r="A156" s="8" t="s">
        <v>3</v>
      </c>
      <c r="B156" s="8" t="s">
        <v>1111</v>
      </c>
      <c r="C156" s="8"/>
      <c r="D156" s="8"/>
      <c r="E156" s="37" t="s">
        <v>3</v>
      </c>
      <c r="F156" s="37" t="s">
        <v>1053</v>
      </c>
      <c r="G156" s="37" t="s">
        <v>1053</v>
      </c>
      <c r="H156" s="37" t="s">
        <v>1053</v>
      </c>
      <c r="K156" s="37" t="s">
        <v>1053</v>
      </c>
      <c r="L156" s="37" t="s">
        <v>1053</v>
      </c>
    </row>
    <row r="157">
      <c r="A157" s="8" t="s">
        <v>1208</v>
      </c>
      <c r="B157" s="8" t="s">
        <v>1209</v>
      </c>
      <c r="C157" s="7" t="s">
        <v>986</v>
      </c>
      <c r="D157" s="8" t="s">
        <v>1181</v>
      </c>
      <c r="E157" s="7" t="s">
        <v>587</v>
      </c>
      <c r="F157" s="37"/>
      <c r="G157" s="37" t="s">
        <v>2198</v>
      </c>
      <c r="H157" s="37" t="s">
        <v>1053</v>
      </c>
      <c r="I157" s="7" t="s">
        <v>587</v>
      </c>
      <c r="J157" s="37"/>
      <c r="K157" s="37" t="s">
        <v>1053</v>
      </c>
      <c r="L157" s="7" t="s">
        <v>986</v>
      </c>
      <c r="M157" s="37"/>
    </row>
    <row r="158">
      <c r="A158" s="8" t="s">
        <v>1208</v>
      </c>
      <c r="B158" s="8" t="s">
        <v>1148</v>
      </c>
      <c r="C158" s="7" t="s">
        <v>986</v>
      </c>
      <c r="D158" s="8" t="s">
        <v>1181</v>
      </c>
      <c r="E158" s="7" t="s">
        <v>587</v>
      </c>
      <c r="F158" s="37"/>
      <c r="G158" s="37" t="s">
        <v>2198</v>
      </c>
      <c r="H158" s="37" t="s">
        <v>1053</v>
      </c>
      <c r="I158" s="7" t="s">
        <v>587</v>
      </c>
      <c r="J158" s="37"/>
      <c r="K158" s="37" t="s">
        <v>1053</v>
      </c>
      <c r="L158" s="7" t="s">
        <v>986</v>
      </c>
      <c r="M158" s="37"/>
    </row>
    <row r="159">
      <c r="A159" s="8" t="s">
        <v>1208</v>
      </c>
      <c r="B159" s="8" t="s">
        <v>1210</v>
      </c>
      <c r="C159" s="7" t="s">
        <v>986</v>
      </c>
      <c r="D159" s="7" t="s">
        <v>1052</v>
      </c>
      <c r="E159" s="7" t="s">
        <v>1188</v>
      </c>
      <c r="F159" s="37"/>
      <c r="G159" s="37" t="s">
        <v>1053</v>
      </c>
      <c r="H159" s="37" t="s">
        <v>1053</v>
      </c>
      <c r="I159" s="7" t="s">
        <v>1188</v>
      </c>
      <c r="J159" s="37"/>
      <c r="K159" s="7" t="s">
        <v>1052</v>
      </c>
      <c r="L159" s="7" t="s">
        <v>986</v>
      </c>
      <c r="M159" s="37"/>
    </row>
    <row r="160">
      <c r="A160" s="8" t="s">
        <v>1208</v>
      </c>
      <c r="B160" s="8" t="s">
        <v>651</v>
      </c>
      <c r="C160" s="7" t="s">
        <v>986</v>
      </c>
      <c r="D160" s="8"/>
      <c r="E160" s="37" t="s">
        <v>140</v>
      </c>
      <c r="F160" s="37" t="s">
        <v>144</v>
      </c>
      <c r="G160" s="37" t="s">
        <v>1053</v>
      </c>
      <c r="H160" s="37" t="s">
        <v>2246</v>
      </c>
      <c r="I160" s="37"/>
      <c r="J160" s="37"/>
      <c r="K160" s="37" t="s">
        <v>1053</v>
      </c>
      <c r="L160" s="7" t="s">
        <v>986</v>
      </c>
      <c r="M160" s="37"/>
    </row>
    <row r="161">
      <c r="A161" s="8" t="s">
        <v>1208</v>
      </c>
      <c r="B161" s="8" t="s">
        <v>1188</v>
      </c>
      <c r="C161" s="7" t="s">
        <v>986</v>
      </c>
      <c r="D161" s="7" t="s">
        <v>1052</v>
      </c>
      <c r="E161" s="7" t="s">
        <v>1188</v>
      </c>
      <c r="F161" s="37"/>
      <c r="G161" s="37" t="s">
        <v>1053</v>
      </c>
      <c r="H161" s="37" t="s">
        <v>1053</v>
      </c>
      <c r="I161" s="7" t="s">
        <v>1188</v>
      </c>
      <c r="J161" s="37"/>
      <c r="K161" s="7" t="s">
        <v>1052</v>
      </c>
      <c r="L161" s="7" t="s">
        <v>986</v>
      </c>
      <c r="M161" s="37"/>
    </row>
    <row r="162">
      <c r="A162" s="8" t="s">
        <v>1208</v>
      </c>
      <c r="B162" s="8" t="s">
        <v>1111</v>
      </c>
      <c r="C162" s="7" t="s">
        <v>986</v>
      </c>
      <c r="D162" s="8" t="s">
        <v>1181</v>
      </c>
      <c r="E162" s="7" t="s">
        <v>1105</v>
      </c>
      <c r="F162" s="37"/>
      <c r="G162" s="37" t="s">
        <v>1053</v>
      </c>
      <c r="H162" s="37" t="s">
        <v>1053</v>
      </c>
      <c r="I162" s="7" t="s">
        <v>1105</v>
      </c>
      <c r="J162" s="37"/>
      <c r="K162" s="37" t="s">
        <v>1053</v>
      </c>
      <c r="L162" s="7" t="s">
        <v>986</v>
      </c>
      <c r="M162" s="37"/>
    </row>
    <row r="163">
      <c r="A163" s="8" t="s">
        <v>1208</v>
      </c>
      <c r="B163" s="8" t="s">
        <v>74</v>
      </c>
      <c r="C163" s="7" t="s">
        <v>986</v>
      </c>
      <c r="D163" s="8"/>
      <c r="E163" s="37" t="s">
        <v>71</v>
      </c>
      <c r="F163" s="37" t="s">
        <v>74</v>
      </c>
      <c r="G163" s="37" t="s">
        <v>1053</v>
      </c>
      <c r="H163" s="37" t="s">
        <v>1053</v>
      </c>
      <c r="I163" s="37"/>
      <c r="J163" s="37"/>
      <c r="K163" s="37" t="s">
        <v>1053</v>
      </c>
      <c r="L163" s="7" t="s">
        <v>986</v>
      </c>
      <c r="M163" s="37"/>
    </row>
    <row r="164">
      <c r="A164" s="8" t="s">
        <v>1211</v>
      </c>
      <c r="B164" s="8" t="s">
        <v>1212</v>
      </c>
      <c r="C164" s="7" t="s">
        <v>987</v>
      </c>
      <c r="D164" s="8" t="s">
        <v>1102</v>
      </c>
      <c r="E164" s="7" t="s">
        <v>391</v>
      </c>
      <c r="G164" s="37" t="s">
        <v>1053</v>
      </c>
      <c r="H164" s="37" t="s">
        <v>1053</v>
      </c>
      <c r="I164" s="7" t="s">
        <v>391</v>
      </c>
      <c r="K164" s="37" t="s">
        <v>1053</v>
      </c>
      <c r="L164" s="37" t="s">
        <v>1053</v>
      </c>
    </row>
    <row r="165">
      <c r="A165" s="8" t="s">
        <v>1211</v>
      </c>
      <c r="B165" s="8" t="s">
        <v>1213</v>
      </c>
      <c r="C165" s="7" t="s">
        <v>987</v>
      </c>
      <c r="D165" s="8" t="s">
        <v>1102</v>
      </c>
      <c r="E165" s="7" t="s">
        <v>3</v>
      </c>
      <c r="G165" s="37" t="s">
        <v>1053</v>
      </c>
      <c r="H165" s="37" t="s">
        <v>1053</v>
      </c>
      <c r="I165" s="7" t="s">
        <v>3</v>
      </c>
      <c r="K165" s="37" t="s">
        <v>1053</v>
      </c>
      <c r="L165" s="37" t="s">
        <v>1053</v>
      </c>
    </row>
    <row r="166">
      <c r="A166" s="8" t="s">
        <v>1211</v>
      </c>
      <c r="B166" s="8" t="s">
        <v>1214</v>
      </c>
      <c r="C166" s="7" t="s">
        <v>987</v>
      </c>
      <c r="D166" s="8" t="s">
        <v>1102</v>
      </c>
      <c r="E166" s="7" t="s">
        <v>1215</v>
      </c>
      <c r="G166" s="37" t="s">
        <v>1053</v>
      </c>
      <c r="H166" s="37" t="s">
        <v>1053</v>
      </c>
      <c r="I166" s="7" t="s">
        <v>1215</v>
      </c>
      <c r="K166" s="37" t="s">
        <v>1053</v>
      </c>
      <c r="L166" s="37" t="s">
        <v>1053</v>
      </c>
    </row>
    <row r="167">
      <c r="A167" s="8" t="s">
        <v>1211</v>
      </c>
      <c r="B167" s="8" t="s">
        <v>1111</v>
      </c>
      <c r="C167" s="7" t="s">
        <v>986</v>
      </c>
      <c r="D167" s="8" t="s">
        <v>1102</v>
      </c>
      <c r="E167" s="7" t="s">
        <v>1105</v>
      </c>
      <c r="F167" s="37"/>
      <c r="G167" s="37" t="s">
        <v>1053</v>
      </c>
      <c r="H167" s="37" t="s">
        <v>1053</v>
      </c>
      <c r="I167" s="7" t="s">
        <v>1105</v>
      </c>
      <c r="J167" s="37"/>
      <c r="K167" s="37" t="s">
        <v>1053</v>
      </c>
      <c r="L167" s="7" t="s">
        <v>986</v>
      </c>
      <c r="M167" s="37"/>
    </row>
    <row r="168">
      <c r="A168" s="8" t="s">
        <v>1216</v>
      </c>
      <c r="B168" s="8" t="s">
        <v>1217</v>
      </c>
      <c r="C168" s="7" t="s">
        <v>987</v>
      </c>
      <c r="D168" s="8" t="s">
        <v>1102</v>
      </c>
      <c r="E168" s="7" t="s">
        <v>1097</v>
      </c>
      <c r="G168" s="37" t="s">
        <v>1053</v>
      </c>
      <c r="H168" s="37" t="s">
        <v>1053</v>
      </c>
      <c r="I168" s="7" t="s">
        <v>1097</v>
      </c>
      <c r="K168" s="37" t="s">
        <v>1053</v>
      </c>
      <c r="L168" s="37" t="s">
        <v>1053</v>
      </c>
    </row>
    <row r="169">
      <c r="A169" s="8" t="s">
        <v>1216</v>
      </c>
      <c r="B169" s="8" t="s">
        <v>644</v>
      </c>
      <c r="C169" s="8"/>
      <c r="D169" s="8"/>
      <c r="E169" s="37" t="s">
        <v>133</v>
      </c>
      <c r="F169" s="37" t="s">
        <v>136</v>
      </c>
      <c r="G169" s="37" t="s">
        <v>1053</v>
      </c>
      <c r="H169" s="37" t="s">
        <v>1053</v>
      </c>
      <c r="K169" s="37" t="s">
        <v>1053</v>
      </c>
      <c r="L169" s="37" t="s">
        <v>1053</v>
      </c>
    </row>
    <row r="170">
      <c r="A170" s="8" t="s">
        <v>1216</v>
      </c>
      <c r="B170" s="8" t="s">
        <v>1111</v>
      </c>
      <c r="C170" s="7" t="s">
        <v>987</v>
      </c>
      <c r="D170" s="8" t="s">
        <v>1102</v>
      </c>
      <c r="E170" s="7" t="s">
        <v>1105</v>
      </c>
      <c r="G170" s="37" t="s">
        <v>1053</v>
      </c>
      <c r="H170" s="37" t="s">
        <v>1053</v>
      </c>
      <c r="I170" s="7" t="s">
        <v>1105</v>
      </c>
      <c r="K170" s="37" t="s">
        <v>1053</v>
      </c>
      <c r="L170" s="37" t="s">
        <v>1053</v>
      </c>
    </row>
    <row r="171">
      <c r="A171" s="8" t="s">
        <v>1216</v>
      </c>
      <c r="B171" s="8" t="s">
        <v>1218</v>
      </c>
      <c r="C171" s="7" t="s">
        <v>987</v>
      </c>
      <c r="D171" s="8" t="s">
        <v>1102</v>
      </c>
      <c r="E171" s="7" t="s">
        <v>3</v>
      </c>
      <c r="G171" s="37" t="s">
        <v>1053</v>
      </c>
      <c r="H171" s="37" t="s">
        <v>1053</v>
      </c>
      <c r="I171" s="7" t="s">
        <v>3</v>
      </c>
      <c r="K171" s="37" t="s">
        <v>1053</v>
      </c>
      <c r="L171" s="37" t="s">
        <v>1053</v>
      </c>
    </row>
    <row r="172">
      <c r="A172" s="8" t="s">
        <v>1219</v>
      </c>
      <c r="B172" s="8" t="s">
        <v>1220</v>
      </c>
      <c r="C172" s="7" t="s">
        <v>987</v>
      </c>
      <c r="D172" s="8" t="s">
        <v>1052</v>
      </c>
      <c r="E172" s="7" t="s">
        <v>1105</v>
      </c>
      <c r="G172" s="37" t="s">
        <v>1053</v>
      </c>
      <c r="H172" s="37" t="s">
        <v>1053</v>
      </c>
      <c r="I172" s="7" t="s">
        <v>1105</v>
      </c>
      <c r="K172" s="37" t="s">
        <v>1053</v>
      </c>
      <c r="L172" s="37" t="s">
        <v>1053</v>
      </c>
    </row>
    <row r="173">
      <c r="A173" s="8" t="s">
        <v>1219</v>
      </c>
      <c r="B173" s="8" t="s">
        <v>432</v>
      </c>
      <c r="C173" s="8"/>
      <c r="D173" s="8"/>
      <c r="E173" s="37" t="s">
        <v>429</v>
      </c>
      <c r="F173" s="37" t="s">
        <v>432</v>
      </c>
      <c r="G173" s="37" t="s">
        <v>2096</v>
      </c>
      <c r="H173" s="37" t="s">
        <v>2109</v>
      </c>
      <c r="K173" s="37" t="s">
        <v>1053</v>
      </c>
      <c r="L173" s="37" t="s">
        <v>1053</v>
      </c>
    </row>
    <row r="174">
      <c r="A174" s="8" t="s">
        <v>1219</v>
      </c>
      <c r="B174" s="8" t="s">
        <v>1139</v>
      </c>
      <c r="C174" s="7" t="s">
        <v>987</v>
      </c>
      <c r="D174" s="8" t="s">
        <v>1052</v>
      </c>
      <c r="E174" s="7" t="s">
        <v>1105</v>
      </c>
      <c r="G174" s="37" t="s">
        <v>1053</v>
      </c>
      <c r="H174" s="37" t="s">
        <v>1053</v>
      </c>
      <c r="I174" s="7" t="s">
        <v>1105</v>
      </c>
      <c r="K174" s="37" t="s">
        <v>1053</v>
      </c>
      <c r="L174" s="37" t="s">
        <v>1053</v>
      </c>
    </row>
    <row r="175">
      <c r="A175" s="8" t="s">
        <v>1219</v>
      </c>
      <c r="B175" s="8" t="s">
        <v>1221</v>
      </c>
      <c r="C175" s="7" t="s">
        <v>987</v>
      </c>
      <c r="D175" s="8" t="s">
        <v>1052</v>
      </c>
      <c r="E175" s="7" t="s">
        <v>1105</v>
      </c>
      <c r="G175" s="37" t="s">
        <v>1053</v>
      </c>
      <c r="H175" s="37" t="s">
        <v>1053</v>
      </c>
      <c r="I175" s="7" t="s">
        <v>1105</v>
      </c>
      <c r="K175" s="37" t="s">
        <v>1053</v>
      </c>
      <c r="L175" s="37" t="s">
        <v>1053</v>
      </c>
    </row>
    <row r="176">
      <c r="A176" s="8" t="s">
        <v>854</v>
      </c>
      <c r="B176" s="8" t="s">
        <v>1222</v>
      </c>
      <c r="C176" s="7" t="s">
        <v>986</v>
      </c>
      <c r="D176" s="7" t="s">
        <v>1052</v>
      </c>
      <c r="E176" s="37" t="s">
        <v>363</v>
      </c>
      <c r="F176" s="37" t="s">
        <v>1053</v>
      </c>
      <c r="G176" s="37" t="s">
        <v>1410</v>
      </c>
      <c r="H176" s="37" t="s">
        <v>1053</v>
      </c>
      <c r="I176" s="37"/>
      <c r="J176" s="37"/>
      <c r="K176" s="7" t="s">
        <v>1052</v>
      </c>
      <c r="L176" s="7" t="s">
        <v>986</v>
      </c>
      <c r="M176" s="37"/>
    </row>
    <row r="177">
      <c r="A177" s="8" t="s">
        <v>854</v>
      </c>
      <c r="B177" s="8" t="s">
        <v>1223</v>
      </c>
      <c r="C177" s="8"/>
      <c r="D177" s="8"/>
      <c r="E177" s="37" t="s">
        <v>363</v>
      </c>
      <c r="F177" s="37" t="s">
        <v>1053</v>
      </c>
      <c r="G177" s="37" t="s">
        <v>1410</v>
      </c>
      <c r="H177" s="37" t="s">
        <v>1053</v>
      </c>
      <c r="K177" s="37" t="s">
        <v>1053</v>
      </c>
      <c r="L177" s="37" t="s">
        <v>1053</v>
      </c>
    </row>
    <row r="178">
      <c r="A178" s="8" t="s">
        <v>854</v>
      </c>
      <c r="B178" s="8" t="s">
        <v>1224</v>
      </c>
      <c r="C178" s="8"/>
      <c r="D178" s="8"/>
      <c r="E178" s="37" t="s">
        <v>363</v>
      </c>
      <c r="F178" s="37" t="s">
        <v>1053</v>
      </c>
      <c r="G178" s="37" t="s">
        <v>1410</v>
      </c>
      <c r="H178" s="37" t="s">
        <v>1053</v>
      </c>
      <c r="K178" s="37" t="s">
        <v>1053</v>
      </c>
      <c r="L178" s="37" t="s">
        <v>1053</v>
      </c>
    </row>
    <row r="179">
      <c r="A179" s="8" t="s">
        <v>854</v>
      </c>
      <c r="B179" s="8" t="s">
        <v>861</v>
      </c>
      <c r="C179" s="7" t="s">
        <v>986</v>
      </c>
      <c r="D179" s="8"/>
      <c r="E179" s="37" t="s">
        <v>363</v>
      </c>
      <c r="F179" s="37" t="s">
        <v>861</v>
      </c>
      <c r="G179" s="37" t="s">
        <v>1410</v>
      </c>
      <c r="H179" s="37" t="s">
        <v>2259</v>
      </c>
      <c r="I179" s="37"/>
      <c r="J179" s="37"/>
      <c r="K179" s="37" t="s">
        <v>1053</v>
      </c>
      <c r="L179" s="7" t="s">
        <v>986</v>
      </c>
      <c r="M179" s="37"/>
    </row>
    <row r="180">
      <c r="A180" s="8" t="s">
        <v>854</v>
      </c>
      <c r="B180" s="8" t="s">
        <v>1225</v>
      </c>
      <c r="C180" s="7" t="s">
        <v>986</v>
      </c>
      <c r="D180" s="8"/>
      <c r="E180" s="37" t="s">
        <v>363</v>
      </c>
      <c r="F180" s="37" t="s">
        <v>1053</v>
      </c>
      <c r="G180" s="37" t="s">
        <v>1410</v>
      </c>
      <c r="H180" s="37" t="s">
        <v>1053</v>
      </c>
      <c r="I180" s="37"/>
      <c r="J180" s="37"/>
      <c r="K180" s="37" t="s">
        <v>1053</v>
      </c>
      <c r="L180" s="7" t="s">
        <v>986</v>
      </c>
      <c r="M180" s="37"/>
    </row>
    <row r="181">
      <c r="A181" s="8" t="s">
        <v>854</v>
      </c>
      <c r="B181" s="8" t="s">
        <v>1226</v>
      </c>
      <c r="C181" s="7" t="s">
        <v>986</v>
      </c>
      <c r="D181" s="7" t="s">
        <v>1052</v>
      </c>
      <c r="E181" s="37" t="s">
        <v>363</v>
      </c>
      <c r="F181" s="37" t="s">
        <v>1053</v>
      </c>
      <c r="G181" s="37" t="s">
        <v>1410</v>
      </c>
      <c r="H181" s="37" t="s">
        <v>1053</v>
      </c>
      <c r="I181" s="37"/>
      <c r="J181" s="37"/>
      <c r="K181" s="7" t="s">
        <v>1052</v>
      </c>
      <c r="L181" s="7" t="s">
        <v>986</v>
      </c>
      <c r="M181" s="37"/>
    </row>
    <row r="182">
      <c r="A182" s="8" t="s">
        <v>854</v>
      </c>
      <c r="B182" s="8" t="s">
        <v>859</v>
      </c>
      <c r="C182" s="7" t="s">
        <v>986</v>
      </c>
      <c r="D182" s="8"/>
      <c r="E182" s="37" t="s">
        <v>363</v>
      </c>
      <c r="F182" s="37" t="s">
        <v>859</v>
      </c>
      <c r="G182" s="37" t="s">
        <v>1410</v>
      </c>
      <c r="H182" s="37" t="s">
        <v>2232</v>
      </c>
      <c r="I182" s="37"/>
      <c r="J182" s="37"/>
      <c r="K182" s="37" t="s">
        <v>1053</v>
      </c>
      <c r="L182" s="7" t="s">
        <v>986</v>
      </c>
      <c r="M182" s="37"/>
    </row>
    <row r="183">
      <c r="A183" s="8" t="s">
        <v>854</v>
      </c>
      <c r="B183" s="8" t="s">
        <v>173</v>
      </c>
      <c r="C183" s="7" t="s">
        <v>986</v>
      </c>
      <c r="D183" s="8"/>
      <c r="E183" s="37" t="s">
        <v>363</v>
      </c>
      <c r="F183" s="37" t="s">
        <v>173</v>
      </c>
      <c r="G183" s="37" t="s">
        <v>1410</v>
      </c>
      <c r="H183" s="37" t="s">
        <v>1053</v>
      </c>
      <c r="I183" s="37"/>
      <c r="J183" s="37"/>
      <c r="K183" s="37" t="s">
        <v>1053</v>
      </c>
      <c r="L183" s="7" t="s">
        <v>986</v>
      </c>
      <c r="M183" s="37"/>
    </row>
    <row r="184">
      <c r="A184" s="8" t="s">
        <v>854</v>
      </c>
      <c r="B184" s="8" t="s">
        <v>1183</v>
      </c>
      <c r="C184" s="7" t="s">
        <v>986</v>
      </c>
      <c r="D184" s="7" t="s">
        <v>1052</v>
      </c>
      <c r="E184" s="37" t="s">
        <v>363</v>
      </c>
      <c r="F184" s="37" t="s">
        <v>1053</v>
      </c>
      <c r="G184" s="37" t="s">
        <v>1410</v>
      </c>
      <c r="H184" s="37" t="s">
        <v>1053</v>
      </c>
      <c r="I184" s="37"/>
      <c r="J184" s="37"/>
      <c r="K184" s="7" t="s">
        <v>1052</v>
      </c>
      <c r="L184" s="7" t="s">
        <v>986</v>
      </c>
      <c r="M184" s="37"/>
    </row>
    <row r="185">
      <c r="A185" s="8" t="s">
        <v>854</v>
      </c>
      <c r="B185" s="8" t="s">
        <v>1227</v>
      </c>
      <c r="C185" s="8"/>
      <c r="D185" s="8"/>
      <c r="E185" s="37" t="s">
        <v>363</v>
      </c>
      <c r="F185" s="37" t="s">
        <v>1053</v>
      </c>
      <c r="G185" s="37" t="s">
        <v>1410</v>
      </c>
      <c r="H185" s="37" t="s">
        <v>1053</v>
      </c>
      <c r="K185" s="37" t="s">
        <v>1053</v>
      </c>
      <c r="L185" s="37" t="s">
        <v>1053</v>
      </c>
    </row>
    <row r="186">
      <c r="A186" s="8" t="s">
        <v>854</v>
      </c>
      <c r="B186" s="8" t="s">
        <v>1182</v>
      </c>
      <c r="C186" s="7" t="s">
        <v>986</v>
      </c>
      <c r="D186" s="8"/>
      <c r="E186" s="37" t="str">
        <f t="array" ref="E186">XLOOKUP(F186,'部署遍歴'!D:D,'部署遍歴'!B:B,"×")</f>
        <v/>
      </c>
      <c r="F186" s="37" t="s">
        <v>1228</v>
      </c>
      <c r="G186" s="37" t="s">
        <v>1410</v>
      </c>
      <c r="H186" s="37" t="s">
        <v>1053</v>
      </c>
      <c r="I186" s="37"/>
      <c r="J186" s="37"/>
      <c r="K186" s="37" t="s">
        <v>1228</v>
      </c>
      <c r="L186" s="7" t="s">
        <v>986</v>
      </c>
      <c r="M186" s="37"/>
    </row>
    <row r="187">
      <c r="A187" s="8" t="s">
        <v>854</v>
      </c>
      <c r="B187" s="8" t="s">
        <v>1186</v>
      </c>
      <c r="C187" s="7" t="s">
        <v>986</v>
      </c>
      <c r="D187" s="8"/>
      <c r="E187" s="37" t="s">
        <v>363</v>
      </c>
      <c r="F187" s="37" t="s">
        <v>1053</v>
      </c>
      <c r="G187" s="37" t="s">
        <v>1410</v>
      </c>
      <c r="H187" s="37" t="s">
        <v>1053</v>
      </c>
      <c r="I187" s="37"/>
      <c r="J187" s="37"/>
      <c r="K187" s="37" t="s">
        <v>1053</v>
      </c>
      <c r="L187" s="7" t="s">
        <v>986</v>
      </c>
      <c r="M187" s="37"/>
    </row>
    <row r="188">
      <c r="A188" s="8" t="s">
        <v>854</v>
      </c>
      <c r="B188" s="8" t="s">
        <v>1228</v>
      </c>
      <c r="C188" s="7" t="s">
        <v>986</v>
      </c>
      <c r="D188" s="8"/>
      <c r="E188" s="37" t="str">
        <f t="array" ref="E188">XLOOKUP(F188,'部署遍歴'!D:D,'部署遍歴'!B:B,"×")</f>
        <v>ライブエクスペリエンス事業本部</v>
      </c>
      <c r="F188" s="37" t="s">
        <v>173</v>
      </c>
      <c r="G188" s="37" t="s">
        <v>1410</v>
      </c>
      <c r="H188" s="37" t="s">
        <v>1053</v>
      </c>
      <c r="I188" s="37"/>
      <c r="J188" s="37"/>
      <c r="K188" s="37" t="s">
        <v>173</v>
      </c>
      <c r="L188" s="7" t="s">
        <v>986</v>
      </c>
      <c r="M188" s="37"/>
    </row>
    <row r="189">
      <c r="A189" s="8" t="s">
        <v>854</v>
      </c>
      <c r="B189" s="8" t="s">
        <v>857</v>
      </c>
      <c r="C189" s="7" t="s">
        <v>986</v>
      </c>
      <c r="D189" s="8"/>
      <c r="E189" s="37" t="s">
        <v>363</v>
      </c>
      <c r="F189" s="37" t="s">
        <v>857</v>
      </c>
      <c r="G189" s="37" t="s">
        <v>1410</v>
      </c>
      <c r="H189" s="37" t="s">
        <v>1053</v>
      </c>
      <c r="I189" s="37"/>
      <c r="J189" s="37"/>
      <c r="K189" s="37" t="s">
        <v>1053</v>
      </c>
      <c r="L189" s="7" t="s">
        <v>986</v>
      </c>
      <c r="M189" s="37"/>
    </row>
    <row r="190">
      <c r="A190" s="8" t="s">
        <v>854</v>
      </c>
      <c r="B190" s="8" t="s">
        <v>286</v>
      </c>
      <c r="C190" s="7" t="s">
        <v>986</v>
      </c>
      <c r="D190" s="7" t="s">
        <v>1052</v>
      </c>
      <c r="E190" s="37" t="s">
        <v>363</v>
      </c>
      <c r="F190" s="37" t="s">
        <v>286</v>
      </c>
      <c r="G190" s="37" t="s">
        <v>1410</v>
      </c>
      <c r="H190" s="37" t="s">
        <v>1053</v>
      </c>
      <c r="I190" s="37"/>
      <c r="J190" s="37"/>
      <c r="K190" s="7" t="s">
        <v>1052</v>
      </c>
      <c r="L190" s="7" t="s">
        <v>986</v>
      </c>
      <c r="M190" s="37"/>
    </row>
    <row r="191">
      <c r="A191" s="8" t="s">
        <v>854</v>
      </c>
      <c r="B191" s="8" t="s">
        <v>1111</v>
      </c>
      <c r="C191" s="8"/>
      <c r="D191" s="8"/>
      <c r="E191" s="37" t="s">
        <v>363</v>
      </c>
      <c r="F191" s="37" t="s">
        <v>1053</v>
      </c>
      <c r="G191" s="37" t="s">
        <v>1410</v>
      </c>
      <c r="H191" s="37" t="s">
        <v>1053</v>
      </c>
      <c r="K191" s="37" t="s">
        <v>1053</v>
      </c>
      <c r="L191" s="37" t="s">
        <v>1053</v>
      </c>
    </row>
    <row r="192">
      <c r="A192" s="8" t="s">
        <v>854</v>
      </c>
      <c r="B192" s="8" t="s">
        <v>1229</v>
      </c>
      <c r="C192" s="8"/>
      <c r="D192" s="8"/>
      <c r="E192" s="37" t="s">
        <v>363</v>
      </c>
      <c r="F192" s="37" t="s">
        <v>1053</v>
      </c>
      <c r="G192" s="37" t="s">
        <v>1410</v>
      </c>
      <c r="H192" s="37" t="s">
        <v>1053</v>
      </c>
      <c r="K192" s="37" t="s">
        <v>1053</v>
      </c>
      <c r="L192" s="37" t="s">
        <v>1053</v>
      </c>
    </row>
    <row r="193">
      <c r="A193" s="8" t="s">
        <v>854</v>
      </c>
      <c r="B193" s="8" t="s">
        <v>51</v>
      </c>
      <c r="C193" s="7" t="s">
        <v>986</v>
      </c>
      <c r="D193" s="8"/>
      <c r="E193" s="37" t="s">
        <v>363</v>
      </c>
      <c r="F193" s="37" t="s">
        <v>51</v>
      </c>
      <c r="G193" s="37" t="s">
        <v>1410</v>
      </c>
      <c r="H193" s="37" t="s">
        <v>2152</v>
      </c>
      <c r="I193" s="37"/>
      <c r="J193" s="37"/>
      <c r="K193" s="37" t="s">
        <v>1053</v>
      </c>
      <c r="L193" s="7" t="s">
        <v>986</v>
      </c>
      <c r="M193" s="37"/>
    </row>
    <row r="194">
      <c r="A194" s="8" t="s">
        <v>854</v>
      </c>
      <c r="B194" s="8" t="s">
        <v>864</v>
      </c>
      <c r="C194" s="7" t="s">
        <v>986</v>
      </c>
      <c r="D194" s="8"/>
      <c r="E194" s="37" t="s">
        <v>363</v>
      </c>
      <c r="F194" s="37" t="s">
        <v>864</v>
      </c>
      <c r="G194" s="37" t="s">
        <v>1410</v>
      </c>
      <c r="H194" s="37" t="s">
        <v>2262</v>
      </c>
      <c r="I194" s="37"/>
      <c r="J194" s="37"/>
      <c r="K194" s="37" t="s">
        <v>1053</v>
      </c>
      <c r="L194" s="7" t="s">
        <v>986</v>
      </c>
      <c r="M194" s="37"/>
    </row>
    <row r="195">
      <c r="A195" s="8" t="s">
        <v>440</v>
      </c>
      <c r="B195" s="8" t="s">
        <v>97</v>
      </c>
      <c r="C195" s="8"/>
      <c r="D195" s="8"/>
      <c r="E195" s="37" t="s">
        <v>440</v>
      </c>
      <c r="F195" s="37" t="s">
        <v>97</v>
      </c>
      <c r="G195" s="37" t="s">
        <v>1723</v>
      </c>
      <c r="H195" s="37" t="s">
        <v>1053</v>
      </c>
      <c r="K195" s="37" t="s">
        <v>1053</v>
      </c>
      <c r="L195" s="37" t="s">
        <v>1053</v>
      </c>
    </row>
    <row r="196">
      <c r="A196" s="8" t="s">
        <v>440</v>
      </c>
      <c r="B196" s="8" t="s">
        <v>432</v>
      </c>
      <c r="C196" s="8"/>
      <c r="D196" s="8"/>
      <c r="E196" s="37" t="s">
        <v>440</v>
      </c>
      <c r="F196" s="37" t="s">
        <v>432</v>
      </c>
      <c r="G196" s="37" t="s">
        <v>1723</v>
      </c>
      <c r="H196" s="37" t="s">
        <v>2109</v>
      </c>
      <c r="K196" s="37" t="s">
        <v>1053</v>
      </c>
      <c r="L196" s="37" t="s">
        <v>1053</v>
      </c>
    </row>
    <row r="197">
      <c r="A197" s="8" t="s">
        <v>440</v>
      </c>
      <c r="B197" s="8" t="s">
        <v>430</v>
      </c>
      <c r="C197" s="7" t="s">
        <v>986</v>
      </c>
      <c r="D197" s="7" t="s">
        <v>1052</v>
      </c>
      <c r="E197" s="37" t="s">
        <v>440</v>
      </c>
      <c r="F197" s="37" t="s">
        <v>430</v>
      </c>
      <c r="G197" s="37" t="s">
        <v>1723</v>
      </c>
      <c r="H197" s="37" t="s">
        <v>1053</v>
      </c>
      <c r="I197" s="37"/>
      <c r="J197" s="37"/>
      <c r="K197" s="7" t="s">
        <v>1052</v>
      </c>
      <c r="L197" s="7" t="s">
        <v>986</v>
      </c>
      <c r="M197" s="37"/>
    </row>
    <row r="198">
      <c r="A198" s="8" t="s">
        <v>440</v>
      </c>
      <c r="B198" s="8" t="s">
        <v>1198</v>
      </c>
      <c r="C198" s="8"/>
      <c r="D198" s="8"/>
      <c r="E198" s="37" t="s">
        <v>440</v>
      </c>
      <c r="F198" s="37" t="s">
        <v>1053</v>
      </c>
      <c r="G198" s="37" t="s">
        <v>1723</v>
      </c>
      <c r="H198" s="37" t="s">
        <v>1053</v>
      </c>
      <c r="K198" s="37" t="s">
        <v>1053</v>
      </c>
      <c r="L198" s="37" t="s">
        <v>1053</v>
      </c>
    </row>
    <row r="199">
      <c r="A199" s="8" t="s">
        <v>440</v>
      </c>
      <c r="B199" s="8" t="s">
        <v>1230</v>
      </c>
      <c r="C199" s="7" t="s">
        <v>986</v>
      </c>
      <c r="D199" s="8"/>
      <c r="E199" s="37" t="s">
        <v>440</v>
      </c>
      <c r="F199" s="37" t="s">
        <v>1053</v>
      </c>
      <c r="G199" s="37" t="s">
        <v>1723</v>
      </c>
      <c r="H199" s="37" t="s">
        <v>1053</v>
      </c>
      <c r="I199" s="37"/>
      <c r="J199" s="37"/>
      <c r="K199" s="37" t="s">
        <v>1053</v>
      </c>
      <c r="L199" s="7" t="s">
        <v>986</v>
      </c>
      <c r="M199" s="37"/>
    </row>
    <row r="200">
      <c r="A200" s="8" t="s">
        <v>440</v>
      </c>
      <c r="B200" s="8" t="s">
        <v>1231</v>
      </c>
      <c r="C200" s="8"/>
      <c r="D200" s="8"/>
      <c r="E200" s="37" t="s">
        <v>440</v>
      </c>
      <c r="F200" s="37" t="s">
        <v>1053</v>
      </c>
      <c r="G200" s="37" t="s">
        <v>1723</v>
      </c>
      <c r="H200" s="37" t="s">
        <v>1053</v>
      </c>
      <c r="K200" s="37" t="s">
        <v>1053</v>
      </c>
      <c r="L200" s="37" t="s">
        <v>1053</v>
      </c>
    </row>
    <row r="201">
      <c r="A201" s="8" t="s">
        <v>440</v>
      </c>
      <c r="B201" s="8" t="s">
        <v>1232</v>
      </c>
      <c r="C201" s="7" t="s">
        <v>986</v>
      </c>
      <c r="D201" s="8"/>
      <c r="E201" s="37" t="s">
        <v>440</v>
      </c>
      <c r="F201" s="37" t="s">
        <v>1053</v>
      </c>
      <c r="G201" s="37" t="s">
        <v>1723</v>
      </c>
      <c r="H201" s="37" t="s">
        <v>1053</v>
      </c>
      <c r="I201" s="37"/>
      <c r="J201" s="37"/>
      <c r="K201" s="37" t="s">
        <v>1053</v>
      </c>
      <c r="L201" s="7" t="s">
        <v>986</v>
      </c>
      <c r="M201" s="37"/>
    </row>
    <row r="202">
      <c r="A202" s="8" t="s">
        <v>440</v>
      </c>
      <c r="B202" s="8" t="s">
        <v>188</v>
      </c>
      <c r="C202" s="8"/>
      <c r="D202" s="8"/>
      <c r="E202" s="37" t="s">
        <v>440</v>
      </c>
      <c r="F202" s="37" t="s">
        <v>188</v>
      </c>
      <c r="G202" s="37" t="s">
        <v>1723</v>
      </c>
      <c r="H202" s="37" t="s">
        <v>2132</v>
      </c>
      <c r="K202" s="37" t="s">
        <v>1053</v>
      </c>
      <c r="L202" s="37" t="s">
        <v>1053</v>
      </c>
    </row>
    <row r="203">
      <c r="A203" s="8" t="s">
        <v>440</v>
      </c>
      <c r="B203" s="8" t="s">
        <v>1213</v>
      </c>
      <c r="C203" s="8"/>
      <c r="D203" s="8"/>
      <c r="E203" s="37" t="s">
        <v>440</v>
      </c>
      <c r="F203" s="37" t="s">
        <v>1053</v>
      </c>
      <c r="G203" s="37" t="s">
        <v>1723</v>
      </c>
      <c r="H203" s="37" t="s">
        <v>1053</v>
      </c>
      <c r="K203" s="37" t="s">
        <v>1053</v>
      </c>
      <c r="L203" s="37" t="s">
        <v>1053</v>
      </c>
    </row>
    <row r="204">
      <c r="A204" s="8" t="s">
        <v>440</v>
      </c>
      <c r="B204" s="8" t="s">
        <v>1233</v>
      </c>
      <c r="C204" s="7" t="s">
        <v>986</v>
      </c>
      <c r="D204" s="8"/>
      <c r="E204" s="37" t="s">
        <v>440</v>
      </c>
      <c r="F204" s="37" t="s">
        <v>1053</v>
      </c>
      <c r="G204" s="37" t="s">
        <v>1723</v>
      </c>
      <c r="H204" s="37" t="s">
        <v>1053</v>
      </c>
      <c r="I204" s="37"/>
      <c r="J204" s="37"/>
      <c r="K204" s="37" t="s">
        <v>1053</v>
      </c>
      <c r="L204" s="7" t="s">
        <v>986</v>
      </c>
      <c r="M204" s="37"/>
    </row>
    <row r="205">
      <c r="A205" s="8" t="s">
        <v>440</v>
      </c>
      <c r="B205" s="8" t="s">
        <v>924</v>
      </c>
      <c r="C205" s="7" t="s">
        <v>986</v>
      </c>
      <c r="D205" s="8"/>
      <c r="E205" s="37" t="s">
        <v>440</v>
      </c>
      <c r="F205" s="37" t="s">
        <v>924</v>
      </c>
      <c r="G205" s="37" t="s">
        <v>1723</v>
      </c>
      <c r="H205" s="37" t="s">
        <v>1650</v>
      </c>
      <c r="I205" s="37"/>
      <c r="J205" s="37"/>
      <c r="K205" s="37" t="s">
        <v>1053</v>
      </c>
      <c r="L205" s="7" t="s">
        <v>986</v>
      </c>
      <c r="M205" s="37"/>
    </row>
    <row r="206">
      <c r="A206" s="8" t="s">
        <v>440</v>
      </c>
      <c r="B206" s="8" t="s">
        <v>1234</v>
      </c>
      <c r="C206" s="7" t="s">
        <v>986</v>
      </c>
      <c r="D206" s="8"/>
      <c r="E206" s="37" t="s">
        <v>440</v>
      </c>
      <c r="F206" s="37" t="s">
        <v>454</v>
      </c>
      <c r="G206" s="37" t="s">
        <v>1723</v>
      </c>
      <c r="H206" s="37" t="s">
        <v>2267</v>
      </c>
      <c r="I206" s="37"/>
      <c r="J206" s="37"/>
      <c r="K206" s="37" t="s">
        <v>1053</v>
      </c>
      <c r="L206" s="7" t="s">
        <v>986</v>
      </c>
      <c r="M206" s="37"/>
    </row>
    <row r="207">
      <c r="A207" s="8" t="s">
        <v>440</v>
      </c>
      <c r="B207" s="8" t="s">
        <v>443</v>
      </c>
      <c r="C207" s="8"/>
      <c r="D207" s="8"/>
      <c r="E207" s="37" t="s">
        <v>440</v>
      </c>
      <c r="F207" s="37" t="s">
        <v>443</v>
      </c>
      <c r="G207" s="37" t="s">
        <v>1723</v>
      </c>
      <c r="H207" s="37" t="s">
        <v>1053</v>
      </c>
      <c r="K207" s="37" t="s">
        <v>1053</v>
      </c>
      <c r="L207" s="37" t="s">
        <v>1053</v>
      </c>
    </row>
    <row r="208">
      <c r="A208" s="8" t="s">
        <v>440</v>
      </c>
      <c r="B208" s="8" t="s">
        <v>104</v>
      </c>
      <c r="C208" s="8"/>
      <c r="D208" s="8"/>
      <c r="E208" s="37" t="s">
        <v>440</v>
      </c>
      <c r="F208" s="37" t="s">
        <v>104</v>
      </c>
      <c r="G208" s="37" t="s">
        <v>1723</v>
      </c>
      <c r="H208" s="37" t="s">
        <v>2027</v>
      </c>
      <c r="K208" s="37" t="s">
        <v>1053</v>
      </c>
      <c r="L208" s="37" t="s">
        <v>1053</v>
      </c>
    </row>
    <row r="209">
      <c r="A209" s="8" t="s">
        <v>440</v>
      </c>
      <c r="B209" s="8" t="s">
        <v>802</v>
      </c>
      <c r="C209" s="7" t="s">
        <v>986</v>
      </c>
      <c r="D209" s="8"/>
      <c r="E209" s="37" t="s">
        <v>440</v>
      </c>
      <c r="F209" s="37" t="s">
        <v>802</v>
      </c>
      <c r="G209" s="37" t="s">
        <v>1723</v>
      </c>
      <c r="H209" s="37" t="s">
        <v>2144</v>
      </c>
      <c r="I209" s="37"/>
      <c r="J209" s="37"/>
      <c r="K209" s="37" t="s">
        <v>1053</v>
      </c>
      <c r="L209" s="7" t="s">
        <v>986</v>
      </c>
      <c r="M209" s="37"/>
    </row>
    <row r="210">
      <c r="A210" s="8" t="s">
        <v>440</v>
      </c>
      <c r="B210" s="8" t="s">
        <v>1235</v>
      </c>
      <c r="C210" s="8"/>
      <c r="D210" s="8"/>
      <c r="E210" s="37" t="s">
        <v>440</v>
      </c>
      <c r="F210" s="37" t="s">
        <v>1053</v>
      </c>
      <c r="G210" s="37" t="s">
        <v>1723</v>
      </c>
      <c r="H210" s="37" t="s">
        <v>1053</v>
      </c>
      <c r="K210" s="37" t="s">
        <v>1053</v>
      </c>
      <c r="L210" s="37" t="s">
        <v>1053</v>
      </c>
    </row>
    <row r="211">
      <c r="A211" s="8" t="s">
        <v>440</v>
      </c>
      <c r="B211" s="8" t="s">
        <v>1236</v>
      </c>
      <c r="C211" s="8"/>
      <c r="D211" s="8"/>
      <c r="E211" s="37" t="str">
        <f t="array" ref="E211">XLOOKUP(F211,'部署遍歴'!D:D,'部署遍歴'!B:B,"×")</f>
        <v>経営推進本部</v>
      </c>
      <c r="F211" s="37" t="s">
        <v>90</v>
      </c>
      <c r="G211" s="37" t="s">
        <v>1723</v>
      </c>
      <c r="H211" s="37" t="s">
        <v>1053</v>
      </c>
      <c r="K211" s="37" t="s">
        <v>90</v>
      </c>
      <c r="L211" s="37" t="s">
        <v>1053</v>
      </c>
    </row>
    <row r="212">
      <c r="A212" s="8" t="s">
        <v>440</v>
      </c>
      <c r="B212" s="8" t="s">
        <v>441</v>
      </c>
      <c r="C212" s="8"/>
      <c r="D212" s="8"/>
      <c r="E212" s="37" t="s">
        <v>440</v>
      </c>
      <c r="F212" s="37" t="s">
        <v>441</v>
      </c>
      <c r="G212" s="37" t="s">
        <v>1723</v>
      </c>
      <c r="H212" s="37" t="s">
        <v>2119</v>
      </c>
      <c r="K212" s="37" t="s">
        <v>1053</v>
      </c>
      <c r="L212" s="37" t="s">
        <v>1053</v>
      </c>
    </row>
    <row r="213">
      <c r="A213" s="8" t="s">
        <v>440</v>
      </c>
      <c r="B213" s="8" t="s">
        <v>1111</v>
      </c>
      <c r="C213" s="8"/>
      <c r="D213" s="8"/>
      <c r="E213" s="37" t="s">
        <v>440</v>
      </c>
      <c r="F213" s="37" t="s">
        <v>1053</v>
      </c>
      <c r="G213" s="37" t="s">
        <v>1723</v>
      </c>
      <c r="H213" s="37" t="s">
        <v>1053</v>
      </c>
      <c r="K213" s="37" t="s">
        <v>1053</v>
      </c>
      <c r="L213" s="37" t="s">
        <v>1053</v>
      </c>
    </row>
    <row r="214">
      <c r="A214" s="8" t="s">
        <v>440</v>
      </c>
      <c r="B214" s="8" t="s">
        <v>1187</v>
      </c>
      <c r="C214" s="7" t="s">
        <v>987</v>
      </c>
      <c r="D214" s="8"/>
      <c r="E214" s="37" t="s">
        <v>440</v>
      </c>
      <c r="F214" s="37" t="s">
        <v>1053</v>
      </c>
      <c r="G214" s="37" t="s">
        <v>1723</v>
      </c>
      <c r="H214" s="37" t="s">
        <v>1053</v>
      </c>
      <c r="K214" s="37" t="s">
        <v>1053</v>
      </c>
      <c r="L214" s="37" t="s">
        <v>1053</v>
      </c>
    </row>
    <row r="215">
      <c r="A215" s="8" t="s">
        <v>440</v>
      </c>
      <c r="B215" s="8" t="s">
        <v>1065</v>
      </c>
      <c r="C215" s="8"/>
      <c r="D215" s="8"/>
      <c r="E215" s="37" t="s">
        <v>440</v>
      </c>
      <c r="F215" s="37" t="s">
        <v>1053</v>
      </c>
      <c r="G215" s="37" t="s">
        <v>1723</v>
      </c>
      <c r="H215" s="37" t="s">
        <v>1053</v>
      </c>
      <c r="K215" s="37" t="s">
        <v>1053</v>
      </c>
      <c r="L215" s="37" t="s">
        <v>1053</v>
      </c>
    </row>
    <row r="216">
      <c r="A216" s="8" t="s">
        <v>440</v>
      </c>
      <c r="B216" s="8" t="s">
        <v>1237</v>
      </c>
      <c r="C216" s="8"/>
      <c r="D216" s="8"/>
      <c r="E216" s="37" t="s">
        <v>440</v>
      </c>
      <c r="F216" s="37" t="s">
        <v>1053</v>
      </c>
      <c r="G216" s="37" t="s">
        <v>1723</v>
      </c>
      <c r="H216" s="37" t="s">
        <v>1053</v>
      </c>
      <c r="K216" s="37" t="s">
        <v>1053</v>
      </c>
      <c r="L216" s="37" t="s">
        <v>1053</v>
      </c>
    </row>
    <row r="217">
      <c r="A217" s="8" t="s">
        <v>440</v>
      </c>
      <c r="B217" s="8" t="s">
        <v>1238</v>
      </c>
      <c r="C217" s="7" t="s">
        <v>986</v>
      </c>
      <c r="D217" s="8"/>
      <c r="E217" s="37" t="str">
        <f t="array" ref="E217">XLOOKUP(F217,'部署遍歴'!D:D,'部署遍歴'!B:B,"×")</f>
        <v>経営推進本部</v>
      </c>
      <c r="F217" s="37" t="s">
        <v>924</v>
      </c>
      <c r="G217" s="37" t="s">
        <v>1723</v>
      </c>
      <c r="H217" s="37" t="s">
        <v>1053</v>
      </c>
      <c r="I217" s="37"/>
      <c r="J217" s="37"/>
      <c r="K217" s="37" t="s">
        <v>924</v>
      </c>
      <c r="L217" s="7" t="s">
        <v>986</v>
      </c>
      <c r="M217" s="37"/>
    </row>
    <row r="218">
      <c r="A218" s="8" t="s">
        <v>440</v>
      </c>
      <c r="B218" s="8" t="s">
        <v>1239</v>
      </c>
      <c r="C218" s="7" t="s">
        <v>986</v>
      </c>
      <c r="D218" s="8"/>
      <c r="E218" s="37" t="s">
        <v>440</v>
      </c>
      <c r="F218" s="37" t="s">
        <v>1053</v>
      </c>
      <c r="G218" s="37" t="s">
        <v>1723</v>
      </c>
      <c r="H218" s="37" t="s">
        <v>1053</v>
      </c>
      <c r="I218" s="37"/>
      <c r="J218" s="37"/>
      <c r="K218" s="37" t="s">
        <v>1053</v>
      </c>
      <c r="L218" s="7" t="s">
        <v>986</v>
      </c>
      <c r="M218" s="37"/>
    </row>
    <row r="219">
      <c r="A219" s="8" t="s">
        <v>440</v>
      </c>
      <c r="B219" s="8" t="s">
        <v>1218</v>
      </c>
      <c r="C219" s="8"/>
      <c r="D219" s="8"/>
      <c r="E219" s="37" t="s">
        <v>440</v>
      </c>
      <c r="F219" s="37" t="s">
        <v>1053</v>
      </c>
      <c r="G219" s="37" t="s">
        <v>1723</v>
      </c>
      <c r="H219" s="37" t="s">
        <v>1053</v>
      </c>
      <c r="K219" s="37" t="s">
        <v>1053</v>
      </c>
      <c r="L219" s="37" t="s">
        <v>1053</v>
      </c>
    </row>
    <row r="220">
      <c r="A220" s="8" t="s">
        <v>440</v>
      </c>
      <c r="B220" s="8" t="s">
        <v>90</v>
      </c>
      <c r="C220" s="7" t="s">
        <v>986</v>
      </c>
      <c r="D220" s="8"/>
      <c r="E220" s="37" t="s">
        <v>440</v>
      </c>
      <c r="F220" s="37" t="s">
        <v>90</v>
      </c>
      <c r="G220" s="37" t="s">
        <v>1723</v>
      </c>
      <c r="H220" s="37" t="s">
        <v>1479</v>
      </c>
      <c r="I220" s="37"/>
      <c r="J220" s="37"/>
      <c r="K220" s="37" t="s">
        <v>1053</v>
      </c>
      <c r="L220" s="7" t="s">
        <v>986</v>
      </c>
      <c r="M220" s="37"/>
    </row>
    <row r="221">
      <c r="A221" s="8" t="s">
        <v>440</v>
      </c>
      <c r="B221" s="8" t="s">
        <v>1240</v>
      </c>
      <c r="C221" s="8"/>
      <c r="D221" s="8"/>
      <c r="E221" s="37" t="s">
        <v>440</v>
      </c>
      <c r="F221" s="37" t="s">
        <v>1053</v>
      </c>
      <c r="G221" s="37" t="s">
        <v>1723</v>
      </c>
      <c r="H221" s="37" t="s">
        <v>1053</v>
      </c>
      <c r="K221" s="37" t="s">
        <v>1053</v>
      </c>
      <c r="L221" s="37" t="s">
        <v>1053</v>
      </c>
    </row>
    <row r="222">
      <c r="A222" s="8" t="s">
        <v>440</v>
      </c>
      <c r="B222" s="8" t="s">
        <v>1241</v>
      </c>
      <c r="C222" s="8"/>
      <c r="D222" s="8"/>
      <c r="E222" s="37" t="s">
        <v>440</v>
      </c>
      <c r="F222" s="37" t="s">
        <v>1053</v>
      </c>
      <c r="G222" s="37" t="s">
        <v>1723</v>
      </c>
      <c r="H222" s="37" t="s">
        <v>1053</v>
      </c>
      <c r="K222" s="37" t="s">
        <v>1053</v>
      </c>
      <c r="L222" s="37" t="s">
        <v>1053</v>
      </c>
    </row>
    <row r="223">
      <c r="A223" s="8" t="s">
        <v>1242</v>
      </c>
      <c r="B223" s="8" t="s">
        <v>819</v>
      </c>
      <c r="C223" s="7" t="s">
        <v>986</v>
      </c>
      <c r="D223" s="8"/>
      <c r="E223" s="37" t="s">
        <v>38</v>
      </c>
      <c r="F223" s="37" t="s">
        <v>819</v>
      </c>
      <c r="G223" s="37" t="s">
        <v>1053</v>
      </c>
      <c r="H223" s="37" t="s">
        <v>2278</v>
      </c>
      <c r="I223" s="37"/>
      <c r="J223" s="37"/>
      <c r="K223" s="37" t="s">
        <v>1053</v>
      </c>
      <c r="L223" s="7" t="s">
        <v>986</v>
      </c>
      <c r="M223" s="37"/>
    </row>
    <row r="224">
      <c r="A224" s="8" t="s">
        <v>1242</v>
      </c>
      <c r="B224" s="8" t="s">
        <v>1243</v>
      </c>
      <c r="D224" s="7" t="s">
        <v>1052</v>
      </c>
      <c r="E224" s="37" t="s">
        <v>38</v>
      </c>
      <c r="F224" s="37" t="s">
        <v>1053</v>
      </c>
      <c r="G224" s="37" t="s">
        <v>1053</v>
      </c>
      <c r="H224" s="37" t="s">
        <v>1053</v>
      </c>
      <c r="K224" s="7" t="s">
        <v>1052</v>
      </c>
      <c r="L224" s="37" t="s">
        <v>1053</v>
      </c>
    </row>
    <row r="225">
      <c r="A225" s="8" t="s">
        <v>1242</v>
      </c>
      <c r="B225" s="8" t="s">
        <v>1226</v>
      </c>
      <c r="C225" s="7" t="s">
        <v>986</v>
      </c>
      <c r="D225" s="8"/>
      <c r="E225" s="37" t="s">
        <v>38</v>
      </c>
      <c r="F225" s="37" t="s">
        <v>1053</v>
      </c>
      <c r="G225" s="37" t="s">
        <v>1053</v>
      </c>
      <c r="H225" s="37" t="s">
        <v>1053</v>
      </c>
      <c r="I225" s="37"/>
      <c r="J225" s="37"/>
      <c r="K225" s="37" t="s">
        <v>1053</v>
      </c>
      <c r="L225" s="7" t="s">
        <v>986</v>
      </c>
      <c r="M225" s="37"/>
    </row>
    <row r="226">
      <c r="A226" s="8" t="s">
        <v>1242</v>
      </c>
      <c r="B226" s="8" t="s">
        <v>1244</v>
      </c>
      <c r="C226" s="7" t="s">
        <v>986</v>
      </c>
      <c r="D226" s="8"/>
      <c r="E226" s="37" t="s">
        <v>38</v>
      </c>
      <c r="F226" s="37" t="s">
        <v>1053</v>
      </c>
      <c r="G226" s="37" t="s">
        <v>1053</v>
      </c>
      <c r="H226" s="37" t="s">
        <v>1053</v>
      </c>
      <c r="I226" s="37"/>
      <c r="J226" s="37"/>
      <c r="K226" s="37" t="s">
        <v>1053</v>
      </c>
      <c r="L226" s="7" t="s">
        <v>986</v>
      </c>
      <c r="M226" s="37"/>
    </row>
    <row r="227">
      <c r="A227" s="8" t="s">
        <v>1242</v>
      </c>
      <c r="B227" s="8" t="s">
        <v>1245</v>
      </c>
      <c r="D227" s="7" t="s">
        <v>1052</v>
      </c>
      <c r="E227" s="37" t="s">
        <v>38</v>
      </c>
      <c r="F227" s="37" t="s">
        <v>1053</v>
      </c>
      <c r="G227" s="37" t="s">
        <v>1053</v>
      </c>
      <c r="H227" s="37" t="s">
        <v>1053</v>
      </c>
      <c r="K227" s="7" t="s">
        <v>1052</v>
      </c>
      <c r="L227" s="37" t="s">
        <v>1053</v>
      </c>
    </row>
    <row r="228">
      <c r="A228" s="8" t="s">
        <v>1242</v>
      </c>
      <c r="B228" s="8" t="s">
        <v>821</v>
      </c>
      <c r="C228" s="7" t="s">
        <v>986</v>
      </c>
      <c r="D228" s="8"/>
      <c r="E228" s="37" t="s">
        <v>38</v>
      </c>
      <c r="F228" s="37" t="s">
        <v>821</v>
      </c>
      <c r="G228" s="37" t="s">
        <v>1053</v>
      </c>
      <c r="H228" s="37" t="s">
        <v>2280</v>
      </c>
      <c r="I228" s="37"/>
      <c r="J228" s="37"/>
      <c r="K228" s="37" t="s">
        <v>1053</v>
      </c>
      <c r="L228" s="7" t="s">
        <v>986</v>
      </c>
      <c r="M228" s="37"/>
    </row>
    <row r="229">
      <c r="A229" s="8" t="s">
        <v>1242</v>
      </c>
      <c r="B229" s="8" t="s">
        <v>824</v>
      </c>
      <c r="C229" s="7" t="s">
        <v>986</v>
      </c>
      <c r="D229" s="8"/>
      <c r="E229" s="37" t="s">
        <v>38</v>
      </c>
      <c r="F229" s="37" t="s">
        <v>331</v>
      </c>
      <c r="G229" s="37" t="s">
        <v>1053</v>
      </c>
      <c r="H229" s="37" t="s">
        <v>2281</v>
      </c>
      <c r="I229" s="37"/>
      <c r="J229" s="37"/>
      <c r="K229" s="37" t="s">
        <v>1053</v>
      </c>
      <c r="L229" s="7" t="s">
        <v>986</v>
      </c>
      <c r="M229" s="37"/>
    </row>
    <row r="230">
      <c r="A230" s="8" t="s">
        <v>1242</v>
      </c>
      <c r="B230" s="8" t="s">
        <v>48</v>
      </c>
      <c r="C230" s="8"/>
      <c r="D230" s="8"/>
      <c r="E230" s="37" t="s">
        <v>38</v>
      </c>
      <c r="F230" s="37" t="s">
        <v>48</v>
      </c>
      <c r="G230" s="37" t="s">
        <v>1053</v>
      </c>
      <c r="H230" s="37" t="s">
        <v>1421</v>
      </c>
      <c r="K230" s="37" t="s">
        <v>1053</v>
      </c>
      <c r="L230" s="37" t="s">
        <v>1053</v>
      </c>
    </row>
    <row r="231">
      <c r="A231" s="8" t="s">
        <v>1242</v>
      </c>
      <c r="B231" s="8" t="s">
        <v>953</v>
      </c>
      <c r="C231" s="8"/>
      <c r="D231" s="8"/>
      <c r="E231" s="37" t="s">
        <v>38</v>
      </c>
      <c r="F231" s="37" t="s">
        <v>953</v>
      </c>
      <c r="G231" s="37" t="s">
        <v>1053</v>
      </c>
      <c r="H231" s="37" t="s">
        <v>1053</v>
      </c>
      <c r="K231" s="37" t="s">
        <v>1053</v>
      </c>
      <c r="L231" s="37" t="s">
        <v>1053</v>
      </c>
    </row>
    <row r="232">
      <c r="A232" s="8" t="s">
        <v>1242</v>
      </c>
      <c r="B232" s="8" t="s">
        <v>1111</v>
      </c>
      <c r="C232" s="7" t="s">
        <v>986</v>
      </c>
      <c r="D232" s="8"/>
      <c r="E232" s="37" t="s">
        <v>38</v>
      </c>
      <c r="F232" s="37" t="s">
        <v>1053</v>
      </c>
      <c r="G232" s="37" t="s">
        <v>1053</v>
      </c>
      <c r="H232" s="37" t="s">
        <v>1053</v>
      </c>
      <c r="I232" s="37"/>
      <c r="J232" s="37"/>
      <c r="K232" s="37" t="s">
        <v>1053</v>
      </c>
      <c r="L232" s="7" t="s">
        <v>986</v>
      </c>
      <c r="M232" s="37"/>
    </row>
    <row r="233">
      <c r="A233" s="8" t="s">
        <v>1242</v>
      </c>
      <c r="B233" s="8" t="s">
        <v>1246</v>
      </c>
      <c r="C233" s="8"/>
      <c r="D233" s="8"/>
      <c r="E233" s="37" t="s">
        <v>38</v>
      </c>
      <c r="F233" s="37" t="s">
        <v>1053</v>
      </c>
      <c r="G233" s="37" t="s">
        <v>1053</v>
      </c>
      <c r="H233" s="37" t="s">
        <v>1053</v>
      </c>
      <c r="K233" s="37" t="s">
        <v>1053</v>
      </c>
      <c r="L233" s="37" t="s">
        <v>1053</v>
      </c>
    </row>
    <row r="234">
      <c r="A234" s="8" t="s">
        <v>1242</v>
      </c>
      <c r="B234" s="8" t="s">
        <v>39</v>
      </c>
      <c r="C234" s="7" t="s">
        <v>986</v>
      </c>
      <c r="D234" s="8"/>
      <c r="E234" s="37" t="s">
        <v>38</v>
      </c>
      <c r="F234" s="37" t="s">
        <v>39</v>
      </c>
      <c r="G234" s="37" t="s">
        <v>1053</v>
      </c>
      <c r="H234" s="37" t="s">
        <v>1053</v>
      </c>
      <c r="I234" s="37"/>
      <c r="J234" s="37"/>
      <c r="K234" s="37" t="s">
        <v>1053</v>
      </c>
      <c r="L234" s="7" t="s">
        <v>986</v>
      </c>
      <c r="M234" s="37"/>
    </row>
    <row r="235">
      <c r="A235" s="8" t="s">
        <v>1242</v>
      </c>
      <c r="B235" s="8" t="s">
        <v>51</v>
      </c>
      <c r="C235" s="7" t="s">
        <v>986</v>
      </c>
      <c r="D235" s="8"/>
      <c r="E235" s="37" t="s">
        <v>38</v>
      </c>
      <c r="F235" s="37" t="s">
        <v>51</v>
      </c>
      <c r="G235" s="37" t="s">
        <v>1053</v>
      </c>
      <c r="H235" s="37" t="s">
        <v>2152</v>
      </c>
      <c r="I235" s="37"/>
      <c r="J235" s="37"/>
      <c r="K235" s="37" t="s">
        <v>1053</v>
      </c>
      <c r="L235" s="7" t="s">
        <v>986</v>
      </c>
      <c r="M235" s="37"/>
    </row>
    <row r="236">
      <c r="A236" s="8" t="s">
        <v>1242</v>
      </c>
      <c r="B236" s="8" t="s">
        <v>324</v>
      </c>
      <c r="C236" s="7" t="s">
        <v>986</v>
      </c>
      <c r="D236" s="8"/>
      <c r="E236" s="37" t="s">
        <v>38</v>
      </c>
      <c r="F236" s="37" t="s">
        <v>324</v>
      </c>
      <c r="G236" s="37" t="s">
        <v>1053</v>
      </c>
      <c r="H236" s="37" t="s">
        <v>1053</v>
      </c>
      <c r="I236" s="37"/>
      <c r="J236" s="37"/>
      <c r="K236" s="37" t="s">
        <v>1053</v>
      </c>
      <c r="L236" s="7" t="s">
        <v>986</v>
      </c>
      <c r="M236" s="37"/>
    </row>
    <row r="237">
      <c r="A237" s="8" t="s">
        <v>1242</v>
      </c>
      <c r="B237" s="8" t="s">
        <v>43</v>
      </c>
      <c r="C237" s="8"/>
      <c r="D237" s="8"/>
      <c r="E237" s="37" t="s">
        <v>38</v>
      </c>
      <c r="F237" s="37" t="s">
        <v>43</v>
      </c>
      <c r="G237" s="37" t="s">
        <v>1053</v>
      </c>
      <c r="H237" s="37" t="s">
        <v>1467</v>
      </c>
      <c r="K237" s="37" t="s">
        <v>1053</v>
      </c>
      <c r="L237" s="37" t="s">
        <v>1053</v>
      </c>
    </row>
    <row r="238">
      <c r="A238" s="8" t="s">
        <v>188</v>
      </c>
      <c r="B238" s="8" t="s">
        <v>114</v>
      </c>
      <c r="C238" s="8"/>
      <c r="D238" s="8"/>
      <c r="E238" s="38" t="s">
        <v>470</v>
      </c>
      <c r="F238" s="37" t="s">
        <v>188</v>
      </c>
      <c r="G238" s="37" t="s">
        <v>1053</v>
      </c>
      <c r="H238" s="37" t="s">
        <v>2132</v>
      </c>
      <c r="K238" s="37" t="s">
        <v>1053</v>
      </c>
      <c r="L238" s="37" t="s">
        <v>1053</v>
      </c>
    </row>
    <row r="239">
      <c r="A239" s="8" t="s">
        <v>188</v>
      </c>
      <c r="B239" s="8" t="s">
        <v>1247</v>
      </c>
      <c r="C239" s="8"/>
      <c r="D239" s="8"/>
      <c r="E239" s="38" t="s">
        <v>470</v>
      </c>
      <c r="F239" s="37" t="s">
        <v>188</v>
      </c>
      <c r="G239" s="37" t="s">
        <v>1053</v>
      </c>
      <c r="H239" s="37" t="s">
        <v>2132</v>
      </c>
      <c r="K239" s="37" t="s">
        <v>1053</v>
      </c>
      <c r="L239" s="37" t="s">
        <v>1053</v>
      </c>
    </row>
    <row r="240">
      <c r="A240" s="8" t="s">
        <v>188</v>
      </c>
      <c r="B240" s="8" t="s">
        <v>46</v>
      </c>
      <c r="C240" s="8"/>
      <c r="D240" s="8"/>
      <c r="E240" s="38" t="s">
        <v>470</v>
      </c>
      <c r="F240" s="37" t="s">
        <v>188</v>
      </c>
      <c r="G240" s="37" t="s">
        <v>1053</v>
      </c>
      <c r="H240" s="37" t="s">
        <v>2132</v>
      </c>
      <c r="K240" s="37" t="s">
        <v>1053</v>
      </c>
      <c r="L240" s="37" t="s">
        <v>1053</v>
      </c>
    </row>
    <row r="241">
      <c r="A241" s="8" t="s">
        <v>188</v>
      </c>
      <c r="B241" s="8" t="s">
        <v>471</v>
      </c>
      <c r="C241" s="8"/>
      <c r="D241" s="8"/>
      <c r="E241" s="38" t="s">
        <v>470</v>
      </c>
      <c r="F241" s="37" t="s">
        <v>188</v>
      </c>
      <c r="G241" s="37" t="s">
        <v>1053</v>
      </c>
      <c r="H241" s="37" t="s">
        <v>2132</v>
      </c>
      <c r="K241" s="37" t="s">
        <v>1053</v>
      </c>
      <c r="L241" s="37" t="s">
        <v>1053</v>
      </c>
    </row>
    <row r="242">
      <c r="A242" s="8" t="s">
        <v>188</v>
      </c>
      <c r="B242" s="8" t="s">
        <v>1248</v>
      </c>
      <c r="C242" s="8"/>
      <c r="D242" s="8"/>
      <c r="E242" s="38" t="s">
        <v>470</v>
      </c>
      <c r="F242" s="37" t="s">
        <v>188</v>
      </c>
      <c r="G242" s="37" t="s">
        <v>1053</v>
      </c>
      <c r="H242" s="37" t="s">
        <v>2132</v>
      </c>
      <c r="K242" s="37" t="s">
        <v>1053</v>
      </c>
      <c r="L242" s="37" t="s">
        <v>1053</v>
      </c>
    </row>
    <row r="243">
      <c r="A243" s="8" t="s">
        <v>188</v>
      </c>
      <c r="B243" s="8" t="s">
        <v>1249</v>
      </c>
      <c r="C243" s="8"/>
      <c r="D243" s="8"/>
      <c r="E243" s="38" t="s">
        <v>470</v>
      </c>
      <c r="F243" s="37" t="s">
        <v>188</v>
      </c>
      <c r="G243" s="37" t="s">
        <v>1053</v>
      </c>
      <c r="H243" s="37" t="s">
        <v>2132</v>
      </c>
      <c r="K243" s="37" t="s">
        <v>1053</v>
      </c>
      <c r="L243" s="37" t="s">
        <v>1053</v>
      </c>
    </row>
    <row r="244">
      <c r="A244" s="8" t="s">
        <v>188</v>
      </c>
      <c r="B244" s="8" t="s">
        <v>1250</v>
      </c>
      <c r="C244" s="8"/>
      <c r="D244" s="8"/>
      <c r="E244" s="38" t="s">
        <v>470</v>
      </c>
      <c r="F244" s="37" t="s">
        <v>188</v>
      </c>
      <c r="G244" s="37" t="s">
        <v>1053</v>
      </c>
      <c r="H244" s="37" t="s">
        <v>2132</v>
      </c>
      <c r="K244" s="37" t="s">
        <v>1053</v>
      </c>
      <c r="L244" s="37" t="s">
        <v>1053</v>
      </c>
    </row>
    <row r="245">
      <c r="A245" s="8" t="s">
        <v>188</v>
      </c>
      <c r="B245" s="8" t="s">
        <v>1251</v>
      </c>
      <c r="C245" s="8"/>
      <c r="D245" s="8"/>
      <c r="E245" s="38" t="s">
        <v>470</v>
      </c>
      <c r="F245" s="37" t="s">
        <v>188</v>
      </c>
      <c r="G245" s="37" t="s">
        <v>1053</v>
      </c>
      <c r="H245" s="37" t="s">
        <v>2132</v>
      </c>
      <c r="K245" s="37" t="s">
        <v>1053</v>
      </c>
      <c r="L245" s="37" t="s">
        <v>1053</v>
      </c>
    </row>
    <row r="246">
      <c r="A246" s="8" t="s">
        <v>188</v>
      </c>
      <c r="B246" s="8" t="s">
        <v>1104</v>
      </c>
      <c r="C246" s="8"/>
      <c r="D246" s="8"/>
      <c r="E246" s="38" t="s">
        <v>470</v>
      </c>
      <c r="F246" s="37" t="s">
        <v>188</v>
      </c>
      <c r="G246" s="37" t="s">
        <v>1053</v>
      </c>
      <c r="H246" s="37" t="s">
        <v>2132</v>
      </c>
      <c r="K246" s="37" t="s">
        <v>1053</v>
      </c>
      <c r="L246" s="37" t="s">
        <v>1053</v>
      </c>
    </row>
    <row r="247">
      <c r="A247" s="8" t="s">
        <v>1252</v>
      </c>
      <c r="B247" s="8" t="s">
        <v>1253</v>
      </c>
      <c r="C247" s="7" t="s">
        <v>987</v>
      </c>
      <c r="D247" s="8" t="s">
        <v>1102</v>
      </c>
      <c r="E247" s="7" t="s">
        <v>3</v>
      </c>
      <c r="G247" s="37" t="s">
        <v>1053</v>
      </c>
      <c r="H247" s="37" t="s">
        <v>1053</v>
      </c>
      <c r="I247" s="7" t="s">
        <v>3</v>
      </c>
      <c r="K247" s="37" t="s">
        <v>1053</v>
      </c>
      <c r="L247" s="37" t="s">
        <v>1053</v>
      </c>
    </row>
    <row r="248">
      <c r="A248" s="8" t="s">
        <v>1252</v>
      </c>
      <c r="B248" s="8" t="s">
        <v>1254</v>
      </c>
      <c r="C248" s="7" t="s">
        <v>987</v>
      </c>
      <c r="D248" s="8" t="s">
        <v>1102</v>
      </c>
      <c r="E248" s="7" t="s">
        <v>1255</v>
      </c>
      <c r="G248" s="37" t="s">
        <v>1053</v>
      </c>
      <c r="H248" s="37" t="s">
        <v>1053</v>
      </c>
      <c r="I248" s="7" t="s">
        <v>1255</v>
      </c>
      <c r="K248" s="37" t="s">
        <v>1053</v>
      </c>
      <c r="L248" s="37" t="s">
        <v>1053</v>
      </c>
    </row>
    <row r="249">
      <c r="A249" s="8" t="s">
        <v>1252</v>
      </c>
      <c r="B249" s="8" t="s">
        <v>1256</v>
      </c>
      <c r="C249" s="7" t="s">
        <v>987</v>
      </c>
      <c r="D249" s="8" t="s">
        <v>1102</v>
      </c>
      <c r="E249" s="7" t="s">
        <v>3</v>
      </c>
      <c r="G249" s="37" t="s">
        <v>1053</v>
      </c>
      <c r="H249" s="37" t="s">
        <v>1053</v>
      </c>
      <c r="I249" s="7" t="s">
        <v>3</v>
      </c>
      <c r="K249" s="37" t="s">
        <v>1053</v>
      </c>
      <c r="L249" s="37" t="s">
        <v>1053</v>
      </c>
    </row>
    <row r="250">
      <c r="A250" s="8" t="s">
        <v>1252</v>
      </c>
      <c r="B250" s="8" t="s">
        <v>1111</v>
      </c>
      <c r="C250" s="7" t="s">
        <v>987</v>
      </c>
      <c r="D250" s="8" t="s">
        <v>1102</v>
      </c>
      <c r="E250" s="7" t="s">
        <v>1105</v>
      </c>
      <c r="G250" s="37" t="s">
        <v>1053</v>
      </c>
      <c r="H250" s="37" t="s">
        <v>1053</v>
      </c>
      <c r="I250" s="7" t="s">
        <v>1105</v>
      </c>
      <c r="K250" s="37" t="s">
        <v>1053</v>
      </c>
      <c r="L250" s="37" t="s">
        <v>1053</v>
      </c>
    </row>
    <row r="251">
      <c r="A251" s="8" t="s">
        <v>1213</v>
      </c>
      <c r="B251" s="8" t="s">
        <v>1257</v>
      </c>
      <c r="C251" s="7" t="s">
        <v>987</v>
      </c>
      <c r="D251" s="8" t="s">
        <v>1181</v>
      </c>
      <c r="E251" s="7" t="s">
        <v>1258</v>
      </c>
      <c r="G251" s="37" t="s">
        <v>1053</v>
      </c>
      <c r="H251" s="37" t="s">
        <v>1053</v>
      </c>
      <c r="I251" s="7" t="s">
        <v>1258</v>
      </c>
      <c r="K251" s="37" t="s">
        <v>1053</v>
      </c>
      <c r="L251" s="37" t="s">
        <v>1053</v>
      </c>
    </row>
    <row r="252">
      <c r="A252" s="8" t="s">
        <v>1213</v>
      </c>
      <c r="B252" s="8" t="s">
        <v>444</v>
      </c>
      <c r="C252" s="7" t="s">
        <v>987</v>
      </c>
      <c r="D252" s="8" t="s">
        <v>1181</v>
      </c>
      <c r="E252" s="7" t="s">
        <v>1259</v>
      </c>
      <c r="G252" s="37" t="s">
        <v>1053</v>
      </c>
      <c r="H252" s="37" t="s">
        <v>1053</v>
      </c>
      <c r="I252" s="7" t="s">
        <v>1259</v>
      </c>
      <c r="K252" s="37" t="s">
        <v>1053</v>
      </c>
      <c r="L252" s="37" t="s">
        <v>1053</v>
      </c>
    </row>
    <row r="253">
      <c r="A253" s="8" t="s">
        <v>1213</v>
      </c>
      <c r="B253" s="8" t="s">
        <v>56</v>
      </c>
      <c r="C253" s="7" t="s">
        <v>986</v>
      </c>
      <c r="D253" s="8" t="s">
        <v>1181</v>
      </c>
      <c r="E253" s="7" t="s">
        <v>1255</v>
      </c>
      <c r="F253" s="37"/>
      <c r="G253" s="37" t="s">
        <v>1053</v>
      </c>
      <c r="H253" s="37" t="s">
        <v>1053</v>
      </c>
      <c r="I253" s="7" t="s">
        <v>1255</v>
      </c>
      <c r="J253" s="37"/>
      <c r="K253" s="37" t="s">
        <v>1053</v>
      </c>
      <c r="L253" s="7" t="s">
        <v>986</v>
      </c>
      <c r="M253" s="37"/>
    </row>
    <row r="254">
      <c r="A254" s="8" t="s">
        <v>1213</v>
      </c>
      <c r="B254" s="8" t="s">
        <v>1260</v>
      </c>
      <c r="C254" s="7" t="s">
        <v>987</v>
      </c>
      <c r="D254" s="8" t="s">
        <v>1181</v>
      </c>
      <c r="E254" s="7" t="s">
        <v>1261</v>
      </c>
      <c r="G254" s="37" t="s">
        <v>1053</v>
      </c>
      <c r="H254" s="37" t="s">
        <v>1053</v>
      </c>
      <c r="I254" s="7" t="s">
        <v>1261</v>
      </c>
      <c r="K254" s="37" t="s">
        <v>1053</v>
      </c>
      <c r="L254" s="37" t="s">
        <v>1053</v>
      </c>
    </row>
    <row r="255">
      <c r="A255" s="8" t="s">
        <v>1213</v>
      </c>
      <c r="B255" s="8" t="s">
        <v>1104</v>
      </c>
      <c r="C255" s="7" t="s">
        <v>987</v>
      </c>
      <c r="D255" s="8" t="s">
        <v>1181</v>
      </c>
      <c r="E255" s="7" t="s">
        <v>1105</v>
      </c>
      <c r="G255" s="37" t="s">
        <v>1053</v>
      </c>
      <c r="H255" s="37" t="s">
        <v>1053</v>
      </c>
      <c r="I255" s="7" t="s">
        <v>1105</v>
      </c>
      <c r="K255" s="37" t="s">
        <v>1053</v>
      </c>
      <c r="L255" s="37" t="s">
        <v>1053</v>
      </c>
    </row>
    <row r="256">
      <c r="A256" s="8" t="s">
        <v>780</v>
      </c>
      <c r="B256" s="8" t="s">
        <v>786</v>
      </c>
      <c r="C256" s="7" t="s">
        <v>986</v>
      </c>
      <c r="D256" s="8"/>
      <c r="E256" s="37" t="s">
        <v>780</v>
      </c>
      <c r="F256" s="37" t="s">
        <v>786</v>
      </c>
      <c r="G256" s="37" t="s">
        <v>1498</v>
      </c>
      <c r="H256" s="37" t="s">
        <v>2293</v>
      </c>
      <c r="I256" s="37"/>
      <c r="J256" s="37"/>
      <c r="K256" s="37" t="s">
        <v>1053</v>
      </c>
      <c r="L256" s="7" t="s">
        <v>986</v>
      </c>
      <c r="M256" s="37"/>
    </row>
    <row r="257">
      <c r="A257" s="8" t="s">
        <v>780</v>
      </c>
      <c r="B257" s="8" t="s">
        <v>284</v>
      </c>
      <c r="C257" s="7" t="s">
        <v>986</v>
      </c>
      <c r="D257" s="8"/>
      <c r="E257" s="37" t="s">
        <v>780</v>
      </c>
      <c r="F257" s="37" t="s">
        <v>284</v>
      </c>
      <c r="G257" s="37" t="s">
        <v>1498</v>
      </c>
      <c r="H257" s="37" t="s">
        <v>1053</v>
      </c>
      <c r="I257" s="37"/>
      <c r="J257" s="37"/>
      <c r="K257" s="37" t="s">
        <v>1053</v>
      </c>
      <c r="L257" s="7" t="s">
        <v>986</v>
      </c>
      <c r="M257" s="37"/>
    </row>
    <row r="258">
      <c r="A258" s="8" t="s">
        <v>780</v>
      </c>
      <c r="B258" s="8" t="s">
        <v>286</v>
      </c>
      <c r="C258" s="7" t="s">
        <v>986</v>
      </c>
      <c r="D258" s="8"/>
      <c r="E258" s="37" t="s">
        <v>780</v>
      </c>
      <c r="F258" s="37" t="s">
        <v>286</v>
      </c>
      <c r="G258" s="37" t="s">
        <v>1498</v>
      </c>
      <c r="H258" s="37" t="s">
        <v>1053</v>
      </c>
      <c r="I258" s="37"/>
      <c r="J258" s="37"/>
      <c r="K258" s="37" t="s">
        <v>1053</v>
      </c>
      <c r="L258" s="7" t="s">
        <v>986</v>
      </c>
      <c r="M258" s="37"/>
    </row>
    <row r="259">
      <c r="A259" s="8" t="s">
        <v>780</v>
      </c>
      <c r="B259" s="8" t="s">
        <v>1111</v>
      </c>
      <c r="C259" s="7" t="s">
        <v>986</v>
      </c>
      <c r="D259" s="8"/>
      <c r="E259" s="37" t="s">
        <v>780</v>
      </c>
      <c r="F259" s="37" t="s">
        <v>1053</v>
      </c>
      <c r="G259" s="37" t="s">
        <v>1498</v>
      </c>
      <c r="H259" s="37" t="s">
        <v>1053</v>
      </c>
      <c r="I259" s="37"/>
      <c r="J259" s="37"/>
      <c r="K259" s="37" t="s">
        <v>1053</v>
      </c>
      <c r="L259" s="7" t="s">
        <v>986</v>
      </c>
      <c r="M259" s="37"/>
    </row>
    <row r="260">
      <c r="A260" s="8" t="s">
        <v>648</v>
      </c>
      <c r="B260" s="8" t="s">
        <v>143</v>
      </c>
      <c r="C260" s="7" t="s">
        <v>986</v>
      </c>
      <c r="D260" s="8"/>
      <c r="E260" s="37" t="s">
        <v>648</v>
      </c>
      <c r="F260" s="37" t="s">
        <v>143</v>
      </c>
      <c r="G260" s="37" t="s">
        <v>1053</v>
      </c>
      <c r="H260" s="37" t="s">
        <v>2294</v>
      </c>
      <c r="I260" s="37"/>
      <c r="J260" s="37"/>
      <c r="K260" s="37" t="s">
        <v>1053</v>
      </c>
      <c r="L260" s="7" t="s">
        <v>986</v>
      </c>
      <c r="M260" s="37"/>
    </row>
    <row r="261">
      <c r="A261" s="8" t="s">
        <v>648</v>
      </c>
      <c r="B261" s="8" t="s">
        <v>668</v>
      </c>
      <c r="C261" s="7" t="s">
        <v>986</v>
      </c>
      <c r="D261" s="7" t="s">
        <v>1052</v>
      </c>
      <c r="E261" s="37" t="s">
        <v>648</v>
      </c>
      <c r="F261" s="37" t="s">
        <v>163</v>
      </c>
      <c r="G261" s="37" t="s">
        <v>1053</v>
      </c>
      <c r="H261" s="37" t="s">
        <v>1053</v>
      </c>
      <c r="I261" s="37"/>
      <c r="J261" s="37"/>
      <c r="K261" s="7" t="s">
        <v>1052</v>
      </c>
      <c r="L261" s="7" t="s">
        <v>986</v>
      </c>
      <c r="M261" s="37"/>
    </row>
    <row r="262">
      <c r="A262" s="8" t="s">
        <v>648</v>
      </c>
      <c r="B262" s="8" t="s">
        <v>662</v>
      </c>
      <c r="C262" s="7" t="s">
        <v>986</v>
      </c>
      <c r="D262" s="8"/>
      <c r="E262" s="37" t="s">
        <v>648</v>
      </c>
      <c r="F262" s="37" t="s">
        <v>662</v>
      </c>
      <c r="G262" s="37" t="s">
        <v>1053</v>
      </c>
      <c r="H262" s="37" t="s">
        <v>2296</v>
      </c>
      <c r="I262" s="37"/>
      <c r="J262" s="37"/>
      <c r="K262" s="37" t="s">
        <v>1053</v>
      </c>
      <c r="L262" s="7" t="s">
        <v>986</v>
      </c>
      <c r="M262" s="37"/>
    </row>
    <row r="263">
      <c r="A263" s="8" t="s">
        <v>648</v>
      </c>
      <c r="B263" s="8" t="s">
        <v>155</v>
      </c>
      <c r="C263" s="7" t="s">
        <v>986</v>
      </c>
      <c r="D263" s="8"/>
      <c r="E263" s="37" t="s">
        <v>648</v>
      </c>
      <c r="F263" s="37" t="s">
        <v>155</v>
      </c>
      <c r="G263" s="37" t="s">
        <v>1053</v>
      </c>
      <c r="H263" s="37" t="s">
        <v>2297</v>
      </c>
      <c r="I263" s="37"/>
      <c r="J263" s="37"/>
      <c r="K263" s="37" t="s">
        <v>1053</v>
      </c>
      <c r="L263" s="7" t="s">
        <v>986</v>
      </c>
      <c r="M263" s="37"/>
    </row>
    <row r="264">
      <c r="A264" s="8" t="s">
        <v>648</v>
      </c>
      <c r="B264" s="8" t="s">
        <v>651</v>
      </c>
      <c r="C264" s="7" t="s">
        <v>986</v>
      </c>
      <c r="D264" s="8"/>
      <c r="E264" s="37" t="s">
        <v>648</v>
      </c>
      <c r="F264" s="37" t="s">
        <v>144</v>
      </c>
      <c r="G264" s="37" t="s">
        <v>1053</v>
      </c>
      <c r="H264" s="37" t="s">
        <v>2246</v>
      </c>
      <c r="I264" s="37"/>
      <c r="J264" s="37"/>
      <c r="K264" s="37" t="s">
        <v>1053</v>
      </c>
      <c r="L264" s="7" t="s">
        <v>986</v>
      </c>
      <c r="M264" s="37"/>
    </row>
    <row r="265">
      <c r="A265" s="8" t="s">
        <v>648</v>
      </c>
      <c r="B265" s="8" t="s">
        <v>1262</v>
      </c>
      <c r="C265" s="7" t="s">
        <v>986</v>
      </c>
      <c r="D265" s="8"/>
      <c r="E265" s="37" t="str">
        <f t="array" ref="E265">XLOOKUP(F265,'部署遍歴'!D:D,'部署遍歴'!B:B,"×")</f>
        <v>ソーシャルベッティング事業本部</v>
      </c>
      <c r="F265" s="37" t="s">
        <v>141</v>
      </c>
      <c r="G265" s="37" t="s">
        <v>1053</v>
      </c>
      <c r="H265" s="37" t="s">
        <v>1053</v>
      </c>
      <c r="I265" s="37"/>
      <c r="J265" s="37"/>
      <c r="K265" s="37" t="s">
        <v>141</v>
      </c>
      <c r="L265" s="7" t="s">
        <v>986</v>
      </c>
      <c r="M265" s="37"/>
    </row>
    <row r="266">
      <c r="A266" s="8" t="s">
        <v>648</v>
      </c>
      <c r="B266" s="8" t="s">
        <v>1263</v>
      </c>
      <c r="C266" s="7" t="s">
        <v>986</v>
      </c>
      <c r="D266" s="8"/>
      <c r="E266" s="37" t="str">
        <f t="array" ref="E266">XLOOKUP(F266,'部署遍歴'!D:D,'部署遍歴'!B:B,"×")</f>
        <v>ソーシャルベッティング事業本部</v>
      </c>
      <c r="F266" s="37" t="s">
        <v>668</v>
      </c>
      <c r="G266" s="37" t="s">
        <v>1053</v>
      </c>
      <c r="H266" s="37" t="s">
        <v>1053</v>
      </c>
      <c r="I266" s="37"/>
      <c r="J266" s="37"/>
      <c r="K266" s="37" t="s">
        <v>668</v>
      </c>
      <c r="L266" s="7" t="s">
        <v>986</v>
      </c>
      <c r="M266" s="37"/>
    </row>
    <row r="267">
      <c r="A267" s="8" t="s">
        <v>648</v>
      </c>
      <c r="B267" s="8" t="s">
        <v>148</v>
      </c>
      <c r="C267" s="7" t="s">
        <v>986</v>
      </c>
      <c r="D267" s="8"/>
      <c r="E267" s="37" t="s">
        <v>648</v>
      </c>
      <c r="F267" s="37" t="s">
        <v>148</v>
      </c>
      <c r="G267" s="37" t="s">
        <v>1053</v>
      </c>
      <c r="H267" s="37" t="s">
        <v>2156</v>
      </c>
      <c r="I267" s="37"/>
      <c r="J267" s="37"/>
      <c r="K267" s="37" t="s">
        <v>1053</v>
      </c>
      <c r="L267" s="7" t="s">
        <v>986</v>
      </c>
      <c r="M267" s="37"/>
    </row>
    <row r="268">
      <c r="A268" s="8" t="s">
        <v>648</v>
      </c>
      <c r="B268" s="8" t="s">
        <v>1111</v>
      </c>
      <c r="C268" s="7" t="s">
        <v>986</v>
      </c>
      <c r="D268" s="8"/>
      <c r="E268" s="37" t="s">
        <v>648</v>
      </c>
      <c r="F268" s="37" t="s">
        <v>1053</v>
      </c>
      <c r="G268" s="37" t="s">
        <v>1053</v>
      </c>
      <c r="H268" s="37" t="s">
        <v>1053</v>
      </c>
      <c r="I268" s="37"/>
      <c r="J268" s="37"/>
      <c r="K268" s="37" t="s">
        <v>1053</v>
      </c>
      <c r="L268" s="7" t="s">
        <v>986</v>
      </c>
      <c r="M268" s="37"/>
    </row>
    <row r="269">
      <c r="A269" s="8" t="s">
        <v>648</v>
      </c>
      <c r="B269" s="8" t="s">
        <v>141</v>
      </c>
      <c r="C269" s="7" t="s">
        <v>986</v>
      </c>
      <c r="D269" s="8"/>
      <c r="E269" s="37" t="s">
        <v>648</v>
      </c>
      <c r="F269" s="37" t="s">
        <v>141</v>
      </c>
      <c r="G269" s="37" t="s">
        <v>1053</v>
      </c>
      <c r="H269" s="37" t="s">
        <v>2298</v>
      </c>
      <c r="I269" s="37"/>
      <c r="J269" s="37"/>
      <c r="K269" s="37" t="s">
        <v>1053</v>
      </c>
      <c r="L269" s="7" t="s">
        <v>986</v>
      </c>
      <c r="M269" s="37"/>
    </row>
    <row r="270">
      <c r="A270" s="8" t="s">
        <v>1264</v>
      </c>
      <c r="B270" s="8" t="s">
        <v>1180</v>
      </c>
      <c r="C270" s="7" t="s">
        <v>986</v>
      </c>
      <c r="D270" s="8" t="s">
        <v>1102</v>
      </c>
      <c r="E270" s="7" t="s">
        <v>1182</v>
      </c>
      <c r="F270" s="37"/>
      <c r="G270" s="37" t="s">
        <v>1053</v>
      </c>
      <c r="H270" s="37" t="s">
        <v>1053</v>
      </c>
      <c r="I270" s="7" t="s">
        <v>1182</v>
      </c>
      <c r="J270" s="37"/>
      <c r="K270" s="37" t="s">
        <v>1053</v>
      </c>
      <c r="L270" s="7" t="s">
        <v>986</v>
      </c>
      <c r="M270" s="37"/>
    </row>
    <row r="271">
      <c r="A271" s="8" t="s">
        <v>1264</v>
      </c>
      <c r="B271" s="8" t="s">
        <v>1170</v>
      </c>
      <c r="C271" s="7" t="s">
        <v>987</v>
      </c>
      <c r="D271" s="8" t="s">
        <v>1102</v>
      </c>
      <c r="E271" s="7" t="s">
        <v>1069</v>
      </c>
      <c r="G271" s="37" t="s">
        <v>1053</v>
      </c>
      <c r="H271" s="37" t="s">
        <v>1053</v>
      </c>
      <c r="I271" s="7" t="s">
        <v>1069</v>
      </c>
      <c r="K271" s="37" t="s">
        <v>1053</v>
      </c>
      <c r="L271" s="37" t="s">
        <v>1053</v>
      </c>
    </row>
    <row r="272">
      <c r="A272" s="8" t="s">
        <v>1264</v>
      </c>
      <c r="B272" s="8" t="s">
        <v>1144</v>
      </c>
      <c r="C272" s="7" t="s">
        <v>986</v>
      </c>
      <c r="D272" s="8" t="s">
        <v>1102</v>
      </c>
      <c r="E272" s="7" t="s">
        <v>478</v>
      </c>
      <c r="F272" s="37"/>
      <c r="G272" s="37" t="s">
        <v>1066</v>
      </c>
      <c r="H272" s="37" t="s">
        <v>1053</v>
      </c>
      <c r="I272" s="7" t="s">
        <v>478</v>
      </c>
      <c r="J272" s="37"/>
      <c r="K272" s="37" t="s">
        <v>1053</v>
      </c>
      <c r="L272" s="7" t="s">
        <v>986</v>
      </c>
      <c r="M272" s="37"/>
    </row>
    <row r="273">
      <c r="A273" s="8" t="s">
        <v>1264</v>
      </c>
      <c r="B273" s="8" t="s">
        <v>1134</v>
      </c>
      <c r="C273" s="7" t="s">
        <v>987</v>
      </c>
      <c r="D273" s="8" t="s">
        <v>1102</v>
      </c>
      <c r="E273" s="7" t="s">
        <v>1069</v>
      </c>
      <c r="G273" s="37" t="s">
        <v>1053</v>
      </c>
      <c r="H273" s="37" t="s">
        <v>1053</v>
      </c>
      <c r="I273" s="7" t="s">
        <v>1069</v>
      </c>
      <c r="K273" s="37" t="s">
        <v>1053</v>
      </c>
      <c r="L273" s="37" t="s">
        <v>1053</v>
      </c>
    </row>
    <row r="274">
      <c r="A274" s="8" t="s">
        <v>1264</v>
      </c>
      <c r="B274" s="8" t="s">
        <v>1265</v>
      </c>
      <c r="C274" s="7" t="s">
        <v>986</v>
      </c>
      <c r="D274" s="8" t="s">
        <v>1102</v>
      </c>
      <c r="E274" s="7" t="s">
        <v>1110</v>
      </c>
      <c r="F274" s="37"/>
      <c r="G274" s="37" t="s">
        <v>1053</v>
      </c>
      <c r="H274" s="37" t="s">
        <v>1053</v>
      </c>
      <c r="I274" s="7" t="s">
        <v>1110</v>
      </c>
      <c r="J274" s="37"/>
      <c r="K274" s="37" t="s">
        <v>1053</v>
      </c>
      <c r="L274" s="7" t="s">
        <v>986</v>
      </c>
      <c r="M274" s="37"/>
    </row>
    <row r="275">
      <c r="A275" s="8" t="s">
        <v>1264</v>
      </c>
      <c r="B275" s="8" t="s">
        <v>1175</v>
      </c>
      <c r="C275" s="7" t="s">
        <v>986</v>
      </c>
      <c r="D275" s="8" t="s">
        <v>1102</v>
      </c>
      <c r="E275" s="7" t="s">
        <v>391</v>
      </c>
      <c r="F275" s="37"/>
      <c r="G275" s="37" t="s">
        <v>1053</v>
      </c>
      <c r="H275" s="37" t="s">
        <v>1053</v>
      </c>
      <c r="I275" s="7" t="s">
        <v>391</v>
      </c>
      <c r="J275" s="37"/>
      <c r="K275" s="37" t="s">
        <v>1053</v>
      </c>
      <c r="L275" s="7" t="s">
        <v>986</v>
      </c>
      <c r="M275" s="37"/>
    </row>
    <row r="276">
      <c r="A276" s="8" t="s">
        <v>1264</v>
      </c>
      <c r="B276" s="8" t="s">
        <v>286</v>
      </c>
      <c r="C276" s="7" t="s">
        <v>986</v>
      </c>
      <c r="D276" s="8"/>
      <c r="E276" s="37" t="s">
        <v>281</v>
      </c>
      <c r="F276" s="37" t="s">
        <v>286</v>
      </c>
      <c r="G276" s="37" t="s">
        <v>1053</v>
      </c>
      <c r="H276" s="37" t="s">
        <v>1053</v>
      </c>
      <c r="I276" s="37"/>
      <c r="J276" s="37"/>
      <c r="K276" s="37" t="s">
        <v>1053</v>
      </c>
      <c r="L276" s="7" t="s">
        <v>986</v>
      </c>
      <c r="M276" s="37"/>
    </row>
    <row r="277">
      <c r="A277" s="8" t="s">
        <v>1264</v>
      </c>
      <c r="B277" s="8" t="s">
        <v>1187</v>
      </c>
      <c r="C277" s="7" t="s">
        <v>987</v>
      </c>
      <c r="D277" s="8" t="s">
        <v>1102</v>
      </c>
      <c r="E277" s="7" t="s">
        <v>1188</v>
      </c>
      <c r="G277" s="37" t="s">
        <v>1053</v>
      </c>
      <c r="H277" s="37" t="s">
        <v>1053</v>
      </c>
      <c r="I277" s="7" t="s">
        <v>1188</v>
      </c>
      <c r="K277" s="37" t="s">
        <v>1053</v>
      </c>
      <c r="L277" s="37" t="s">
        <v>1053</v>
      </c>
    </row>
    <row r="278">
      <c r="A278" s="8" t="s">
        <v>1264</v>
      </c>
      <c r="B278" s="8" t="s">
        <v>1068</v>
      </c>
      <c r="C278" s="7" t="s">
        <v>986</v>
      </c>
      <c r="D278" s="8" t="s">
        <v>1102</v>
      </c>
      <c r="E278" s="7" t="s">
        <v>1176</v>
      </c>
      <c r="F278" s="37"/>
      <c r="G278" s="37" t="s">
        <v>1053</v>
      </c>
      <c r="H278" s="37" t="s">
        <v>1053</v>
      </c>
      <c r="I278" s="7" t="s">
        <v>1176</v>
      </c>
      <c r="J278" s="37"/>
      <c r="K278" s="37" t="s">
        <v>1053</v>
      </c>
      <c r="L278" s="7" t="s">
        <v>986</v>
      </c>
      <c r="M278" s="37"/>
    </row>
    <row r="279">
      <c r="A279" s="8" t="s">
        <v>1264</v>
      </c>
      <c r="B279" s="8" t="s">
        <v>1081</v>
      </c>
      <c r="C279" s="7" t="s">
        <v>987</v>
      </c>
      <c r="D279" s="8" t="s">
        <v>1102</v>
      </c>
      <c r="E279" s="7" t="s">
        <v>693</v>
      </c>
      <c r="G279" s="37" t="s">
        <v>1053</v>
      </c>
      <c r="H279" s="37" t="s">
        <v>1053</v>
      </c>
      <c r="I279" s="7" t="s">
        <v>693</v>
      </c>
      <c r="K279" s="37" t="s">
        <v>1053</v>
      </c>
      <c r="L279" s="37" t="s">
        <v>1053</v>
      </c>
    </row>
    <row r="280">
      <c r="A280" s="8" t="s">
        <v>1264</v>
      </c>
      <c r="B280" s="8" t="s">
        <v>1266</v>
      </c>
      <c r="C280" s="7" t="s">
        <v>987</v>
      </c>
      <c r="D280" s="8" t="s">
        <v>1102</v>
      </c>
      <c r="E280" s="7" t="s">
        <v>1105</v>
      </c>
      <c r="G280" s="37" t="s">
        <v>1053</v>
      </c>
      <c r="H280" s="37" t="s">
        <v>1053</v>
      </c>
      <c r="I280" s="7" t="s">
        <v>1105</v>
      </c>
      <c r="K280" s="37" t="s">
        <v>1053</v>
      </c>
      <c r="L280" s="37" t="s">
        <v>1053</v>
      </c>
    </row>
    <row r="281">
      <c r="A281" s="8" t="s">
        <v>1264</v>
      </c>
      <c r="B281" s="8" t="s">
        <v>1267</v>
      </c>
      <c r="C281" s="7" t="s">
        <v>987</v>
      </c>
      <c r="D281" s="8" t="s">
        <v>1102</v>
      </c>
      <c r="E281" s="7" t="s">
        <v>693</v>
      </c>
      <c r="G281" s="37" t="s">
        <v>1053</v>
      </c>
      <c r="H281" s="37" t="s">
        <v>1053</v>
      </c>
      <c r="I281" s="7" t="s">
        <v>693</v>
      </c>
      <c r="K281" s="37" t="s">
        <v>1053</v>
      </c>
      <c r="L281" s="37" t="s">
        <v>1053</v>
      </c>
    </row>
    <row r="282">
      <c r="A282" s="8" t="s">
        <v>1264</v>
      </c>
      <c r="B282" s="8" t="s">
        <v>1161</v>
      </c>
      <c r="C282" s="7" t="s">
        <v>987</v>
      </c>
      <c r="D282" s="8" t="s">
        <v>1102</v>
      </c>
      <c r="E282" s="7" t="s">
        <v>693</v>
      </c>
      <c r="G282" s="37" t="s">
        <v>1053</v>
      </c>
      <c r="H282" s="37" t="s">
        <v>1053</v>
      </c>
      <c r="I282" s="7" t="s">
        <v>693</v>
      </c>
      <c r="K282" s="37" t="s">
        <v>1053</v>
      </c>
      <c r="L282" s="37" t="s">
        <v>1053</v>
      </c>
    </row>
    <row r="283">
      <c r="A283" s="8" t="s">
        <v>1268</v>
      </c>
      <c r="B283" s="8" t="s">
        <v>1225</v>
      </c>
      <c r="C283" s="7" t="s">
        <v>986</v>
      </c>
      <c r="D283" s="8" t="s">
        <v>1102</v>
      </c>
      <c r="E283" s="7" t="s">
        <v>1188</v>
      </c>
      <c r="F283" s="37"/>
      <c r="G283" s="37" t="s">
        <v>1053</v>
      </c>
      <c r="H283" s="37" t="s">
        <v>1053</v>
      </c>
      <c r="I283" s="7" t="s">
        <v>1188</v>
      </c>
      <c r="J283" s="37"/>
      <c r="K283" s="37" t="s">
        <v>1053</v>
      </c>
      <c r="L283" s="7" t="s">
        <v>986</v>
      </c>
      <c r="M283" s="37"/>
    </row>
    <row r="284">
      <c r="A284" s="8" t="s">
        <v>1268</v>
      </c>
      <c r="B284" s="8" t="s">
        <v>1226</v>
      </c>
      <c r="C284" s="7" t="s">
        <v>986</v>
      </c>
      <c r="D284" s="8" t="s">
        <v>1102</v>
      </c>
      <c r="E284" s="7" t="s">
        <v>391</v>
      </c>
      <c r="F284" s="37"/>
      <c r="G284" s="37" t="s">
        <v>1053</v>
      </c>
      <c r="H284" s="37" t="s">
        <v>1053</v>
      </c>
      <c r="I284" s="7" t="s">
        <v>391</v>
      </c>
      <c r="J284" s="37"/>
      <c r="K284" s="37" t="s">
        <v>1053</v>
      </c>
      <c r="L284" s="7" t="s">
        <v>986</v>
      </c>
      <c r="M284" s="37"/>
    </row>
    <row r="285">
      <c r="A285" s="8" t="s">
        <v>1268</v>
      </c>
      <c r="B285" s="8" t="s">
        <v>859</v>
      </c>
      <c r="C285" s="7" t="s">
        <v>986</v>
      </c>
      <c r="D285" s="8"/>
      <c r="E285" s="37" t="s">
        <v>854</v>
      </c>
      <c r="F285" s="37" t="s">
        <v>859</v>
      </c>
      <c r="G285" s="37" t="s">
        <v>1410</v>
      </c>
      <c r="H285" s="37" t="s">
        <v>2232</v>
      </c>
      <c r="I285" s="37"/>
      <c r="J285" s="37"/>
      <c r="K285" s="37" t="s">
        <v>1053</v>
      </c>
      <c r="L285" s="7" t="s">
        <v>986</v>
      </c>
      <c r="M285" s="37"/>
    </row>
    <row r="286">
      <c r="A286" s="8" t="s">
        <v>1268</v>
      </c>
      <c r="B286" s="8" t="s">
        <v>1183</v>
      </c>
      <c r="C286" s="7" t="s">
        <v>986</v>
      </c>
      <c r="D286" s="8" t="s">
        <v>1102</v>
      </c>
      <c r="E286" s="7" t="s">
        <v>1182</v>
      </c>
      <c r="F286" s="37"/>
      <c r="G286" s="37" t="s">
        <v>1053</v>
      </c>
      <c r="H286" s="37" t="s">
        <v>1053</v>
      </c>
      <c r="I286" s="7" t="s">
        <v>1182</v>
      </c>
      <c r="J286" s="37"/>
      <c r="K286" s="37" t="s">
        <v>1053</v>
      </c>
      <c r="L286" s="7" t="s">
        <v>986</v>
      </c>
      <c r="M286" s="37"/>
    </row>
    <row r="287">
      <c r="A287" s="8" t="s">
        <v>1268</v>
      </c>
      <c r="B287" s="8" t="s">
        <v>1182</v>
      </c>
      <c r="C287" s="7" t="s">
        <v>986</v>
      </c>
      <c r="D287" s="8" t="s">
        <v>1102</v>
      </c>
      <c r="E287" s="7" t="s">
        <v>1182</v>
      </c>
      <c r="F287" s="37"/>
      <c r="G287" s="37" t="s">
        <v>1053</v>
      </c>
      <c r="H287" s="37" t="s">
        <v>1053</v>
      </c>
      <c r="I287" s="7" t="s">
        <v>1182</v>
      </c>
      <c r="J287" s="37"/>
      <c r="K287" s="37" t="s">
        <v>1053</v>
      </c>
      <c r="L287" s="7" t="s">
        <v>986</v>
      </c>
      <c r="M287" s="37"/>
    </row>
    <row r="288">
      <c r="A288" s="8" t="s">
        <v>1268</v>
      </c>
      <c r="B288" s="8" t="s">
        <v>857</v>
      </c>
      <c r="C288" s="7" t="s">
        <v>986</v>
      </c>
      <c r="D288" s="8"/>
      <c r="E288" s="37" t="s">
        <v>854</v>
      </c>
      <c r="F288" s="37" t="s">
        <v>857</v>
      </c>
      <c r="G288" s="37" t="s">
        <v>1410</v>
      </c>
      <c r="H288" s="37" t="s">
        <v>1053</v>
      </c>
      <c r="I288" s="37"/>
      <c r="J288" s="37"/>
      <c r="K288" s="37" t="s">
        <v>1053</v>
      </c>
      <c r="L288" s="7" t="s">
        <v>986</v>
      </c>
      <c r="M288" s="37"/>
    </row>
    <row r="289">
      <c r="A289" s="8" t="s">
        <v>1268</v>
      </c>
      <c r="B289" s="8" t="s">
        <v>286</v>
      </c>
      <c r="C289" s="7" t="s">
        <v>986</v>
      </c>
      <c r="D289" s="8"/>
      <c r="E289" s="37" t="s">
        <v>281</v>
      </c>
      <c r="F289" s="37" t="s">
        <v>286</v>
      </c>
      <c r="G289" s="37" t="s">
        <v>1053</v>
      </c>
      <c r="H289" s="37" t="s">
        <v>1053</v>
      </c>
      <c r="I289" s="37"/>
      <c r="J289" s="37"/>
      <c r="K289" s="37" t="s">
        <v>1053</v>
      </c>
      <c r="L289" s="7" t="s">
        <v>986</v>
      </c>
      <c r="M289" s="37"/>
    </row>
    <row r="290">
      <c r="A290" s="8" t="s">
        <v>1268</v>
      </c>
      <c r="B290" s="8" t="s">
        <v>1111</v>
      </c>
      <c r="C290" s="7" t="s">
        <v>986</v>
      </c>
      <c r="D290" s="8" t="s">
        <v>1102</v>
      </c>
      <c r="E290" s="7" t="s">
        <v>1105</v>
      </c>
      <c r="F290" s="37"/>
      <c r="G290" s="37" t="s">
        <v>1053</v>
      </c>
      <c r="H290" s="37" t="s">
        <v>1053</v>
      </c>
      <c r="I290" s="7" t="s">
        <v>1105</v>
      </c>
      <c r="J290" s="37"/>
      <c r="K290" s="37" t="s">
        <v>1053</v>
      </c>
      <c r="L290" s="7" t="s">
        <v>986</v>
      </c>
      <c r="M290" s="37"/>
    </row>
    <row r="291">
      <c r="A291" s="8" t="s">
        <v>1268</v>
      </c>
      <c r="B291" s="8" t="s">
        <v>864</v>
      </c>
      <c r="C291" s="7" t="s">
        <v>986</v>
      </c>
      <c r="D291" s="8"/>
      <c r="E291" s="37" t="s">
        <v>854</v>
      </c>
      <c r="F291" s="37" t="s">
        <v>864</v>
      </c>
      <c r="G291" s="37" t="s">
        <v>1410</v>
      </c>
      <c r="H291" s="37" t="s">
        <v>2262</v>
      </c>
      <c r="I291" s="37"/>
      <c r="J291" s="37"/>
      <c r="K291" s="37" t="s">
        <v>1053</v>
      </c>
      <c r="L291" s="7" t="s">
        <v>986</v>
      </c>
      <c r="M291" s="37"/>
    </row>
    <row r="292">
      <c r="A292" s="8" t="s">
        <v>323</v>
      </c>
      <c r="B292" s="8" t="s">
        <v>819</v>
      </c>
      <c r="C292" s="7" t="s">
        <v>986</v>
      </c>
      <c r="D292" s="8"/>
      <c r="E292" s="37" t="s">
        <v>323</v>
      </c>
      <c r="F292" s="37" t="s">
        <v>819</v>
      </c>
      <c r="G292" s="37" t="s">
        <v>1547</v>
      </c>
      <c r="H292" s="37" t="s">
        <v>2278</v>
      </c>
      <c r="I292" s="37"/>
      <c r="J292" s="37"/>
      <c r="K292" s="37" t="s">
        <v>1053</v>
      </c>
      <c r="L292" s="7" t="s">
        <v>986</v>
      </c>
      <c r="M292" s="37"/>
    </row>
    <row r="293">
      <c r="A293" s="8" t="s">
        <v>323</v>
      </c>
      <c r="B293" s="8" t="s">
        <v>821</v>
      </c>
      <c r="C293" s="7" t="s">
        <v>986</v>
      </c>
      <c r="D293" s="8"/>
      <c r="E293" s="37" t="s">
        <v>323</v>
      </c>
      <c r="F293" s="37" t="s">
        <v>821</v>
      </c>
      <c r="G293" s="37" t="s">
        <v>1547</v>
      </c>
      <c r="H293" s="37" t="s">
        <v>2280</v>
      </c>
      <c r="I293" s="37"/>
      <c r="J293" s="37"/>
      <c r="K293" s="37" t="s">
        <v>1053</v>
      </c>
      <c r="L293" s="7" t="s">
        <v>986</v>
      </c>
      <c r="M293" s="37"/>
    </row>
    <row r="294">
      <c r="A294" s="8" t="s">
        <v>323</v>
      </c>
      <c r="B294" s="8" t="s">
        <v>824</v>
      </c>
      <c r="C294" s="7" t="s">
        <v>986</v>
      </c>
      <c r="D294" s="8"/>
      <c r="E294" s="37" t="s">
        <v>323</v>
      </c>
      <c r="F294" s="37" t="s">
        <v>331</v>
      </c>
      <c r="G294" s="37" t="s">
        <v>1547</v>
      </c>
      <c r="H294" s="37" t="s">
        <v>2281</v>
      </c>
      <c r="I294" s="37"/>
      <c r="J294" s="37"/>
      <c r="K294" s="37" t="s">
        <v>1053</v>
      </c>
      <c r="L294" s="7" t="s">
        <v>986</v>
      </c>
      <c r="M294" s="37"/>
    </row>
    <row r="295">
      <c r="A295" s="8" t="s">
        <v>323</v>
      </c>
      <c r="B295" s="8" t="s">
        <v>1111</v>
      </c>
      <c r="C295" s="7" t="s">
        <v>986</v>
      </c>
      <c r="D295" s="8"/>
      <c r="E295" s="37" t="s">
        <v>323</v>
      </c>
      <c r="F295" s="37" t="s">
        <v>1053</v>
      </c>
      <c r="G295" s="37" t="s">
        <v>1547</v>
      </c>
      <c r="H295" s="37" t="s">
        <v>1053</v>
      </c>
      <c r="I295" s="37"/>
      <c r="J295" s="37"/>
      <c r="K295" s="37" t="s">
        <v>1053</v>
      </c>
      <c r="L295" s="7" t="s">
        <v>986</v>
      </c>
      <c r="M295" s="37"/>
    </row>
    <row r="296">
      <c r="A296" s="8" t="s">
        <v>323</v>
      </c>
      <c r="B296" s="8" t="s">
        <v>324</v>
      </c>
      <c r="C296" s="7" t="s">
        <v>986</v>
      </c>
      <c r="D296" s="8"/>
      <c r="E296" s="37" t="s">
        <v>323</v>
      </c>
      <c r="F296" s="37" t="s">
        <v>324</v>
      </c>
      <c r="G296" s="37" t="s">
        <v>1547</v>
      </c>
      <c r="H296" s="37" t="s">
        <v>1053</v>
      </c>
      <c r="I296" s="37"/>
      <c r="J296" s="37"/>
      <c r="K296" s="37" t="s">
        <v>1053</v>
      </c>
      <c r="L296" s="7" t="s">
        <v>986</v>
      </c>
      <c r="M296" s="37"/>
    </row>
    <row r="297">
      <c r="A297" s="8" t="s">
        <v>644</v>
      </c>
      <c r="B297" s="8" t="s">
        <v>1269</v>
      </c>
      <c r="C297" s="7" t="s">
        <v>986</v>
      </c>
      <c r="D297" s="8"/>
      <c r="E297" s="37" t="s">
        <v>133</v>
      </c>
      <c r="F297" s="37" t="s">
        <v>136</v>
      </c>
      <c r="G297" s="37" t="s">
        <v>1053</v>
      </c>
      <c r="H297" s="37" t="s">
        <v>1053</v>
      </c>
      <c r="I297" s="37"/>
      <c r="J297" s="37"/>
      <c r="K297" s="37" t="s">
        <v>1053</v>
      </c>
      <c r="L297" s="7" t="s">
        <v>986</v>
      </c>
      <c r="M297" s="37"/>
    </row>
    <row r="298">
      <c r="A298" s="8" t="s">
        <v>644</v>
      </c>
      <c r="B298" s="8" t="s">
        <v>1270</v>
      </c>
      <c r="C298" s="7" t="s">
        <v>986</v>
      </c>
      <c r="D298" s="8"/>
      <c r="E298" s="37" t="s">
        <v>133</v>
      </c>
      <c r="F298" s="37" t="s">
        <v>136</v>
      </c>
      <c r="G298" s="37" t="s">
        <v>1053</v>
      </c>
      <c r="H298" s="37" t="s">
        <v>1053</v>
      </c>
      <c r="I298" s="37"/>
      <c r="J298" s="37"/>
      <c r="K298" s="37" t="s">
        <v>1053</v>
      </c>
      <c r="L298" s="7" t="s">
        <v>986</v>
      </c>
      <c r="M298" s="37"/>
    </row>
    <row r="299">
      <c r="A299" s="8" t="s">
        <v>644</v>
      </c>
      <c r="B299" s="8" t="s">
        <v>1271</v>
      </c>
      <c r="C299" s="7" t="s">
        <v>986</v>
      </c>
      <c r="D299" s="8"/>
      <c r="E299" s="37" t="s">
        <v>133</v>
      </c>
      <c r="F299" s="37" t="s">
        <v>136</v>
      </c>
      <c r="G299" s="37" t="s">
        <v>1053</v>
      </c>
      <c r="H299" s="37" t="s">
        <v>1053</v>
      </c>
      <c r="I299" s="37"/>
      <c r="J299" s="37"/>
      <c r="K299" s="37" t="s">
        <v>1053</v>
      </c>
      <c r="L299" s="7" t="s">
        <v>986</v>
      </c>
      <c r="M299" s="37"/>
    </row>
    <row r="300">
      <c r="A300" s="8" t="s">
        <v>644</v>
      </c>
      <c r="B300" s="8" t="s">
        <v>1104</v>
      </c>
      <c r="C300" s="7" t="s">
        <v>986</v>
      </c>
      <c r="D300" s="8"/>
      <c r="E300" s="37" t="s">
        <v>133</v>
      </c>
      <c r="F300" s="37" t="s">
        <v>136</v>
      </c>
      <c r="G300" s="37" t="s">
        <v>1053</v>
      </c>
      <c r="H300" s="37" t="s">
        <v>1053</v>
      </c>
      <c r="I300" s="37"/>
      <c r="J300" s="37"/>
      <c r="K300" s="37" t="s">
        <v>1053</v>
      </c>
      <c r="L300" s="7" t="s">
        <v>986</v>
      </c>
      <c r="M300" s="37"/>
    </row>
    <row r="301">
      <c r="A301" s="8" t="s">
        <v>1272</v>
      </c>
      <c r="B301" s="8" t="s">
        <v>1225</v>
      </c>
      <c r="C301" s="7" t="s">
        <v>986</v>
      </c>
      <c r="D301" s="8" t="s">
        <v>1181</v>
      </c>
      <c r="E301" s="7" t="s">
        <v>1188</v>
      </c>
      <c r="F301" s="37"/>
      <c r="G301" s="37" t="s">
        <v>1053</v>
      </c>
      <c r="H301" s="37" t="s">
        <v>1053</v>
      </c>
      <c r="I301" s="7" t="s">
        <v>1188</v>
      </c>
      <c r="J301" s="37"/>
      <c r="K301" s="37" t="s">
        <v>1053</v>
      </c>
      <c r="L301" s="7" t="s">
        <v>986</v>
      </c>
      <c r="M301" s="37"/>
    </row>
    <row r="302">
      <c r="A302" s="8" t="s">
        <v>1272</v>
      </c>
      <c r="B302" s="8" t="s">
        <v>1226</v>
      </c>
      <c r="C302" s="7" t="s">
        <v>986</v>
      </c>
      <c r="D302" s="8" t="s">
        <v>1181</v>
      </c>
      <c r="E302" s="7" t="s">
        <v>391</v>
      </c>
      <c r="F302" s="37"/>
      <c r="G302" s="37" t="s">
        <v>1053</v>
      </c>
      <c r="H302" s="37" t="s">
        <v>1053</v>
      </c>
      <c r="I302" s="7" t="s">
        <v>391</v>
      </c>
      <c r="J302" s="37"/>
      <c r="K302" s="37" t="s">
        <v>1053</v>
      </c>
      <c r="L302" s="7" t="s">
        <v>986</v>
      </c>
      <c r="M302" s="37"/>
    </row>
    <row r="303">
      <c r="A303" s="8" t="s">
        <v>1272</v>
      </c>
      <c r="B303" s="8" t="s">
        <v>859</v>
      </c>
      <c r="C303" s="7" t="s">
        <v>986</v>
      </c>
      <c r="D303" s="8"/>
      <c r="E303" s="37" t="s">
        <v>854</v>
      </c>
      <c r="F303" s="37" t="s">
        <v>859</v>
      </c>
      <c r="G303" s="37" t="s">
        <v>1410</v>
      </c>
      <c r="H303" s="37" t="s">
        <v>2232</v>
      </c>
      <c r="I303" s="37"/>
      <c r="J303" s="37"/>
      <c r="K303" s="37" t="s">
        <v>1053</v>
      </c>
      <c r="L303" s="7" t="s">
        <v>986</v>
      </c>
      <c r="M303" s="37"/>
    </row>
    <row r="304">
      <c r="A304" s="8" t="s">
        <v>1272</v>
      </c>
      <c r="B304" s="8" t="s">
        <v>1186</v>
      </c>
      <c r="C304" s="7" t="s">
        <v>986</v>
      </c>
      <c r="D304" s="7" t="s">
        <v>1052</v>
      </c>
      <c r="E304" s="7" t="s">
        <v>1182</v>
      </c>
      <c r="F304" s="37"/>
      <c r="G304" s="37" t="s">
        <v>1053</v>
      </c>
      <c r="H304" s="37" t="s">
        <v>1053</v>
      </c>
      <c r="I304" s="7" t="s">
        <v>1182</v>
      </c>
      <c r="J304" s="37"/>
      <c r="K304" s="7" t="s">
        <v>1052</v>
      </c>
      <c r="L304" s="7" t="s">
        <v>986</v>
      </c>
      <c r="M304" s="37"/>
    </row>
    <row r="305">
      <c r="A305" s="8" t="s">
        <v>1272</v>
      </c>
      <c r="B305" s="8" t="s">
        <v>857</v>
      </c>
      <c r="C305" s="7" t="s">
        <v>986</v>
      </c>
      <c r="D305" s="8"/>
      <c r="E305" s="37" t="s">
        <v>854</v>
      </c>
      <c r="F305" s="37" t="s">
        <v>857</v>
      </c>
      <c r="G305" s="37" t="s">
        <v>1410</v>
      </c>
      <c r="H305" s="37" t="s">
        <v>1053</v>
      </c>
      <c r="I305" s="37"/>
      <c r="J305" s="37"/>
      <c r="K305" s="37" t="s">
        <v>1053</v>
      </c>
      <c r="L305" s="7" t="s">
        <v>986</v>
      </c>
      <c r="M305" s="37"/>
    </row>
    <row r="306">
      <c r="A306" s="8" t="s">
        <v>1272</v>
      </c>
      <c r="B306" s="8" t="s">
        <v>286</v>
      </c>
      <c r="C306" s="7" t="s">
        <v>987</v>
      </c>
      <c r="D306" s="8"/>
      <c r="E306" s="37" t="s">
        <v>281</v>
      </c>
      <c r="F306" s="37" t="s">
        <v>286</v>
      </c>
      <c r="G306" s="37" t="s">
        <v>1053</v>
      </c>
      <c r="H306" s="37" t="s">
        <v>1053</v>
      </c>
      <c r="K306" s="37" t="s">
        <v>1053</v>
      </c>
      <c r="L306" s="37" t="s">
        <v>1053</v>
      </c>
    </row>
    <row r="307">
      <c r="A307" s="8" t="s">
        <v>1272</v>
      </c>
      <c r="B307" s="8" t="s">
        <v>1111</v>
      </c>
      <c r="C307" s="7" t="s">
        <v>986</v>
      </c>
      <c r="D307" s="8" t="s">
        <v>1181</v>
      </c>
      <c r="E307" s="7" t="s">
        <v>1105</v>
      </c>
      <c r="F307" s="37"/>
      <c r="G307" s="37" t="s">
        <v>1053</v>
      </c>
      <c r="H307" s="37" t="s">
        <v>1053</v>
      </c>
      <c r="I307" s="7" t="s">
        <v>1105</v>
      </c>
      <c r="J307" s="37"/>
      <c r="K307" s="37" t="s">
        <v>1053</v>
      </c>
      <c r="L307" s="7" t="s">
        <v>986</v>
      </c>
      <c r="M307" s="37"/>
    </row>
    <row r="308">
      <c r="A308" s="8" t="s">
        <v>1273</v>
      </c>
      <c r="B308" s="8" t="s">
        <v>1119</v>
      </c>
      <c r="C308" s="7" t="s">
        <v>986</v>
      </c>
      <c r="D308" s="7" t="s">
        <v>1052</v>
      </c>
      <c r="E308" s="7" t="s">
        <v>1182</v>
      </c>
      <c r="F308" s="37"/>
      <c r="G308" s="37" t="s">
        <v>1053</v>
      </c>
      <c r="H308" s="37" t="s">
        <v>1053</v>
      </c>
      <c r="I308" s="7" t="s">
        <v>1182</v>
      </c>
      <c r="J308" s="37"/>
      <c r="K308" s="7" t="s">
        <v>1052</v>
      </c>
      <c r="L308" s="7" t="s">
        <v>986</v>
      </c>
      <c r="M308" s="37"/>
    </row>
    <row r="309">
      <c r="A309" s="8" t="s">
        <v>1273</v>
      </c>
      <c r="B309" s="8" t="s">
        <v>1120</v>
      </c>
      <c r="C309" s="7" t="s">
        <v>986</v>
      </c>
      <c r="D309" s="8" t="s">
        <v>1102</v>
      </c>
      <c r="E309" s="7" t="s">
        <v>1182</v>
      </c>
      <c r="F309" s="37"/>
      <c r="G309" s="37" t="s">
        <v>1053</v>
      </c>
      <c r="H309" s="37" t="s">
        <v>1053</v>
      </c>
      <c r="I309" s="7" t="s">
        <v>1182</v>
      </c>
      <c r="J309" s="37"/>
      <c r="K309" s="37" t="s">
        <v>1053</v>
      </c>
      <c r="L309" s="7" t="s">
        <v>986</v>
      </c>
      <c r="M309" s="37"/>
    </row>
    <row r="310">
      <c r="A310" s="8" t="s">
        <v>1273</v>
      </c>
      <c r="B310" s="8" t="s">
        <v>143</v>
      </c>
      <c r="C310" s="7" t="s">
        <v>986</v>
      </c>
      <c r="D310" s="8"/>
      <c r="E310" s="37" t="s">
        <v>140</v>
      </c>
      <c r="F310" s="37" t="s">
        <v>143</v>
      </c>
      <c r="G310" s="37" t="s">
        <v>1053</v>
      </c>
      <c r="H310" s="37" t="s">
        <v>2294</v>
      </c>
      <c r="I310" s="37"/>
      <c r="J310" s="37"/>
      <c r="K310" s="37" t="s">
        <v>1053</v>
      </c>
      <c r="L310" s="7" t="s">
        <v>986</v>
      </c>
      <c r="M310" s="37"/>
    </row>
    <row r="311">
      <c r="A311" s="8" t="s">
        <v>1273</v>
      </c>
      <c r="B311" s="8" t="s">
        <v>1148</v>
      </c>
      <c r="C311" s="7" t="s">
        <v>986</v>
      </c>
      <c r="D311" s="7" t="s">
        <v>1052</v>
      </c>
      <c r="E311" s="7" t="s">
        <v>1182</v>
      </c>
      <c r="F311" s="37"/>
      <c r="G311" s="37" t="s">
        <v>1053</v>
      </c>
      <c r="H311" s="37" t="s">
        <v>1053</v>
      </c>
      <c r="I311" s="7" t="s">
        <v>1182</v>
      </c>
      <c r="J311" s="37"/>
      <c r="K311" s="7" t="s">
        <v>1052</v>
      </c>
      <c r="L311" s="7" t="s">
        <v>986</v>
      </c>
      <c r="M311" s="37"/>
    </row>
    <row r="312">
      <c r="A312" s="8" t="s">
        <v>1273</v>
      </c>
      <c r="B312" s="8" t="s">
        <v>1183</v>
      </c>
      <c r="C312" s="7" t="s">
        <v>986</v>
      </c>
      <c r="D312" s="8" t="s">
        <v>1102</v>
      </c>
      <c r="E312" s="7" t="s">
        <v>1182</v>
      </c>
      <c r="F312" s="37"/>
      <c r="G312" s="37" t="s">
        <v>1053</v>
      </c>
      <c r="H312" s="37" t="s">
        <v>1053</v>
      </c>
      <c r="I312" s="7" t="s">
        <v>1182</v>
      </c>
      <c r="J312" s="37"/>
      <c r="K312" s="37" t="s">
        <v>1053</v>
      </c>
      <c r="L312" s="7" t="s">
        <v>986</v>
      </c>
      <c r="M312" s="37"/>
    </row>
    <row r="313">
      <c r="A313" s="8" t="s">
        <v>1273</v>
      </c>
      <c r="B313" s="8" t="s">
        <v>1274</v>
      </c>
      <c r="C313" s="7" t="s">
        <v>986</v>
      </c>
      <c r="D313" s="8" t="s">
        <v>1102</v>
      </c>
      <c r="E313" s="7" t="s">
        <v>1275</v>
      </c>
      <c r="F313" s="37"/>
      <c r="G313" s="37" t="s">
        <v>1053</v>
      </c>
      <c r="H313" s="37" t="s">
        <v>1053</v>
      </c>
      <c r="I313" s="7" t="s">
        <v>1275</v>
      </c>
      <c r="J313" s="37"/>
      <c r="K313" s="37" t="s">
        <v>1053</v>
      </c>
      <c r="L313" s="7" t="s">
        <v>986</v>
      </c>
      <c r="M313" s="37"/>
    </row>
    <row r="314">
      <c r="A314" s="8" t="s">
        <v>1273</v>
      </c>
      <c r="B314" s="8" t="s">
        <v>1276</v>
      </c>
      <c r="C314" s="7" t="s">
        <v>987</v>
      </c>
      <c r="D314" s="8" t="s">
        <v>1102</v>
      </c>
      <c r="E314" s="7" t="s">
        <v>1192</v>
      </c>
      <c r="G314" s="37" t="s">
        <v>1053</v>
      </c>
      <c r="H314" s="37" t="s">
        <v>1053</v>
      </c>
      <c r="I314" s="7" t="s">
        <v>1192</v>
      </c>
      <c r="K314" s="37" t="s">
        <v>1053</v>
      </c>
      <c r="L314" s="37" t="s">
        <v>1053</v>
      </c>
    </row>
    <row r="315">
      <c r="A315" s="8" t="s">
        <v>1273</v>
      </c>
      <c r="B315" s="8" t="s">
        <v>188</v>
      </c>
      <c r="C315" s="7" t="s">
        <v>986</v>
      </c>
      <c r="D315" s="8"/>
      <c r="E315" s="37" t="str">
        <f t="array" ref="E315">XLOOKUP(F315,'部署遍歴'!D:D,'部署遍歴'!B:B,"×")</f>
        <v>次世代エンターテインメント事業本部</v>
      </c>
      <c r="F315" s="37" t="s">
        <v>1278</v>
      </c>
      <c r="G315" s="37" t="s">
        <v>1053</v>
      </c>
      <c r="H315" s="37" t="s">
        <v>2132</v>
      </c>
      <c r="I315" s="37"/>
      <c r="J315" s="37"/>
      <c r="K315" s="37" t="s">
        <v>1278</v>
      </c>
      <c r="L315" s="7" t="s">
        <v>986</v>
      </c>
      <c r="M315" s="37"/>
    </row>
    <row r="316">
      <c r="A316" s="8" t="s">
        <v>1273</v>
      </c>
      <c r="B316" s="8" t="s">
        <v>1277</v>
      </c>
      <c r="C316" s="7" t="s">
        <v>987</v>
      </c>
      <c r="D316" s="8" t="s">
        <v>1102</v>
      </c>
      <c r="E316" s="7" t="s">
        <v>1275</v>
      </c>
      <c r="G316" s="37" t="s">
        <v>1053</v>
      </c>
      <c r="H316" s="37" t="s">
        <v>1053</v>
      </c>
      <c r="I316" s="7" t="s">
        <v>1275</v>
      </c>
      <c r="K316" s="37" t="s">
        <v>1053</v>
      </c>
      <c r="L316" s="37" t="s">
        <v>1053</v>
      </c>
    </row>
    <row r="317">
      <c r="A317" s="8" t="s">
        <v>1273</v>
      </c>
      <c r="B317" s="8" t="s">
        <v>1151</v>
      </c>
      <c r="C317" s="7" t="s">
        <v>986</v>
      </c>
      <c r="D317" s="7" t="s">
        <v>1052</v>
      </c>
      <c r="E317" s="7" t="s">
        <v>693</v>
      </c>
      <c r="F317" s="37"/>
      <c r="G317" s="37" t="s">
        <v>1053</v>
      </c>
      <c r="H317" s="37" t="s">
        <v>1053</v>
      </c>
      <c r="I317" s="7" t="s">
        <v>693</v>
      </c>
      <c r="J317" s="37"/>
      <c r="K317" s="7" t="s">
        <v>1052</v>
      </c>
      <c r="L317" s="7" t="s">
        <v>986</v>
      </c>
      <c r="M317" s="37"/>
    </row>
    <row r="318">
      <c r="A318" s="8" t="s">
        <v>1273</v>
      </c>
      <c r="B318" s="8" t="s">
        <v>1185</v>
      </c>
      <c r="C318" s="7" t="s">
        <v>986</v>
      </c>
      <c r="D318" s="8" t="s">
        <v>1102</v>
      </c>
      <c r="E318" s="37" t="str">
        <f t="array" ref="E318">XLOOKUP(F318,'部署遍歴'!D:D,'部署遍歴'!B:B,"×")</f>
        <v>次世代エンターテインメント事業本部</v>
      </c>
      <c r="F318" s="37" t="s">
        <v>1110</v>
      </c>
      <c r="G318" s="37" t="s">
        <v>1053</v>
      </c>
      <c r="H318" s="37" t="s">
        <v>1053</v>
      </c>
      <c r="I318" s="7" t="s">
        <v>1110</v>
      </c>
      <c r="J318" s="37"/>
      <c r="K318" s="37" t="s">
        <v>1110</v>
      </c>
      <c r="L318" s="7" t="s">
        <v>986</v>
      </c>
      <c r="M318" s="37"/>
    </row>
    <row r="319">
      <c r="A319" s="8" t="s">
        <v>1273</v>
      </c>
      <c r="B319" s="8" t="s">
        <v>1278</v>
      </c>
      <c r="C319" s="7" t="s">
        <v>986</v>
      </c>
      <c r="D319" s="7" t="s">
        <v>1052</v>
      </c>
      <c r="E319" s="7" t="s">
        <v>1182</v>
      </c>
      <c r="F319" s="37"/>
      <c r="G319" s="37" t="s">
        <v>1053</v>
      </c>
      <c r="H319" s="37" t="s">
        <v>1053</v>
      </c>
      <c r="I319" s="7" t="s">
        <v>1182</v>
      </c>
      <c r="J319" s="37"/>
      <c r="K319" s="7" t="s">
        <v>1052</v>
      </c>
      <c r="L319" s="7" t="s">
        <v>986</v>
      </c>
      <c r="M319" s="37"/>
    </row>
    <row r="320">
      <c r="A320" s="8" t="s">
        <v>1273</v>
      </c>
      <c r="B320" s="8" t="s">
        <v>1262</v>
      </c>
      <c r="C320" s="7" t="s">
        <v>986</v>
      </c>
      <c r="D320" s="8" t="s">
        <v>1102</v>
      </c>
      <c r="E320" s="7" t="s">
        <v>1182</v>
      </c>
      <c r="F320" s="37"/>
      <c r="G320" s="37" t="s">
        <v>1053</v>
      </c>
      <c r="H320" s="37" t="s">
        <v>1053</v>
      </c>
      <c r="I320" s="7" t="s">
        <v>1182</v>
      </c>
      <c r="J320" s="37"/>
      <c r="K320" s="37" t="s">
        <v>1053</v>
      </c>
      <c r="L320" s="7" t="s">
        <v>986</v>
      </c>
      <c r="M320" s="37"/>
    </row>
    <row r="321">
      <c r="A321" s="8" t="s">
        <v>1273</v>
      </c>
      <c r="B321" s="8" t="s">
        <v>1279</v>
      </c>
      <c r="C321" s="7" t="s">
        <v>986</v>
      </c>
      <c r="D321" s="8" t="s">
        <v>1102</v>
      </c>
      <c r="E321" s="7" t="s">
        <v>1182</v>
      </c>
      <c r="F321" s="37"/>
      <c r="G321" s="37" t="s">
        <v>1053</v>
      </c>
      <c r="H321" s="37" t="s">
        <v>1053</v>
      </c>
      <c r="I321" s="7" t="s">
        <v>1182</v>
      </c>
      <c r="J321" s="37"/>
      <c r="K321" s="37" t="s">
        <v>1053</v>
      </c>
      <c r="L321" s="7" t="s">
        <v>986</v>
      </c>
      <c r="M321" s="37"/>
    </row>
    <row r="322">
      <c r="A322" s="8" t="s">
        <v>1273</v>
      </c>
      <c r="B322" s="8" t="s">
        <v>1280</v>
      </c>
      <c r="C322" s="7" t="s">
        <v>986</v>
      </c>
      <c r="D322" s="8" t="s">
        <v>1102</v>
      </c>
      <c r="E322" s="7" t="s">
        <v>1192</v>
      </c>
      <c r="F322" s="37"/>
      <c r="G322" s="37" t="s">
        <v>1053</v>
      </c>
      <c r="H322" s="37" t="s">
        <v>1053</v>
      </c>
      <c r="I322" s="7" t="s">
        <v>1192</v>
      </c>
      <c r="J322" s="37"/>
      <c r="K322" s="37" t="s">
        <v>1053</v>
      </c>
      <c r="L322" s="7" t="s">
        <v>986</v>
      </c>
      <c r="M322" s="37"/>
    </row>
    <row r="323">
      <c r="A323" s="8" t="s">
        <v>1273</v>
      </c>
      <c r="B323" s="8" t="s">
        <v>1111</v>
      </c>
      <c r="C323" s="7" t="s">
        <v>986</v>
      </c>
      <c r="D323" s="8" t="s">
        <v>1102</v>
      </c>
      <c r="E323" s="7" t="s">
        <v>1105</v>
      </c>
      <c r="F323" s="37"/>
      <c r="G323" s="37" t="s">
        <v>1053</v>
      </c>
      <c r="H323" s="37" t="s">
        <v>1053</v>
      </c>
      <c r="I323" s="7" t="s">
        <v>1105</v>
      </c>
      <c r="J323" s="37"/>
      <c r="K323" s="37" t="s">
        <v>1053</v>
      </c>
      <c r="L323" s="7" t="s">
        <v>986</v>
      </c>
      <c r="M323" s="37"/>
    </row>
    <row r="324">
      <c r="A324" s="8" t="s">
        <v>1273</v>
      </c>
      <c r="B324" s="8" t="s">
        <v>1187</v>
      </c>
      <c r="C324" s="7" t="s">
        <v>986</v>
      </c>
      <c r="D324" s="7" t="s">
        <v>1052</v>
      </c>
      <c r="E324" s="7" t="s">
        <v>1182</v>
      </c>
      <c r="F324" s="37"/>
      <c r="G324" s="37" t="s">
        <v>1053</v>
      </c>
      <c r="H324" s="37" t="s">
        <v>1053</v>
      </c>
      <c r="I324" s="7" t="s">
        <v>1182</v>
      </c>
      <c r="J324" s="37"/>
      <c r="K324" s="7" t="s">
        <v>1052</v>
      </c>
      <c r="L324" s="7" t="s">
        <v>986</v>
      </c>
      <c r="M324" s="37"/>
    </row>
    <row r="325">
      <c r="A325" s="8" t="s">
        <v>1273</v>
      </c>
      <c r="B325" s="8" t="s">
        <v>1189</v>
      </c>
      <c r="C325" s="7" t="s">
        <v>987</v>
      </c>
      <c r="D325" s="8" t="s">
        <v>1102</v>
      </c>
      <c r="E325" s="7" t="s">
        <v>1190</v>
      </c>
      <c r="G325" s="37" t="s">
        <v>1053</v>
      </c>
      <c r="H325" s="37" t="s">
        <v>1053</v>
      </c>
      <c r="I325" s="7" t="s">
        <v>1190</v>
      </c>
      <c r="K325" s="37" t="s">
        <v>1053</v>
      </c>
      <c r="L325" s="37" t="s">
        <v>1053</v>
      </c>
    </row>
    <row r="326">
      <c r="A326" s="8" t="s">
        <v>1273</v>
      </c>
      <c r="B326" s="8" t="s">
        <v>1281</v>
      </c>
      <c r="C326" s="7" t="s">
        <v>986</v>
      </c>
      <c r="D326" s="7" t="s">
        <v>1052</v>
      </c>
      <c r="E326" s="7" t="s">
        <v>1192</v>
      </c>
      <c r="F326" s="37"/>
      <c r="G326" s="37" t="s">
        <v>1053</v>
      </c>
      <c r="H326" s="37" t="s">
        <v>1053</v>
      </c>
      <c r="I326" s="7" t="s">
        <v>1192</v>
      </c>
      <c r="J326" s="37"/>
      <c r="K326" s="7" t="s">
        <v>1052</v>
      </c>
      <c r="L326" s="7" t="s">
        <v>986</v>
      </c>
      <c r="M326" s="37"/>
    </row>
    <row r="327">
      <c r="A327" s="8" t="s">
        <v>1273</v>
      </c>
      <c r="B327" s="8" t="s">
        <v>1191</v>
      </c>
      <c r="C327" s="7" t="s">
        <v>986</v>
      </c>
      <c r="D327" s="8" t="s">
        <v>1102</v>
      </c>
      <c r="E327" s="7" t="s">
        <v>1192</v>
      </c>
      <c r="F327" s="37"/>
      <c r="G327" s="37" t="s">
        <v>1053</v>
      </c>
      <c r="H327" s="37" t="s">
        <v>1053</v>
      </c>
      <c r="I327" s="7" t="s">
        <v>1192</v>
      </c>
      <c r="J327" s="37"/>
      <c r="K327" s="37" t="s">
        <v>1053</v>
      </c>
      <c r="L327" s="7" t="s">
        <v>986</v>
      </c>
      <c r="M327" s="37"/>
    </row>
    <row r="328">
      <c r="A328" s="8" t="s">
        <v>1282</v>
      </c>
      <c r="B328" s="8" t="s">
        <v>1193</v>
      </c>
      <c r="C328" s="7" t="s">
        <v>986</v>
      </c>
      <c r="D328" s="8" t="s">
        <v>1102</v>
      </c>
      <c r="E328" s="7" t="s">
        <v>391</v>
      </c>
      <c r="F328" s="37"/>
      <c r="G328" s="37" t="s">
        <v>1053</v>
      </c>
      <c r="H328" s="37" t="s">
        <v>1053</v>
      </c>
      <c r="I328" s="7" t="s">
        <v>391</v>
      </c>
      <c r="J328" s="37"/>
      <c r="K328" s="37" t="s">
        <v>1053</v>
      </c>
      <c r="L328" s="7" t="s">
        <v>986</v>
      </c>
      <c r="M328" s="37"/>
    </row>
    <row r="329">
      <c r="A329" s="8" t="s">
        <v>1282</v>
      </c>
      <c r="B329" s="8" t="s">
        <v>1111</v>
      </c>
      <c r="C329" s="7" t="s">
        <v>986</v>
      </c>
      <c r="D329" s="8" t="s">
        <v>1102</v>
      </c>
      <c r="E329" s="7" t="s">
        <v>1105</v>
      </c>
      <c r="F329" s="37"/>
      <c r="G329" s="37" t="s">
        <v>1053</v>
      </c>
      <c r="H329" s="37" t="s">
        <v>1053</v>
      </c>
      <c r="I329" s="7" t="s">
        <v>1105</v>
      </c>
      <c r="J329" s="37"/>
      <c r="K329" s="37" t="s">
        <v>1053</v>
      </c>
      <c r="L329" s="7" t="s">
        <v>986</v>
      </c>
      <c r="M329" s="37"/>
    </row>
    <row r="330">
      <c r="A330" s="8" t="s">
        <v>298</v>
      </c>
      <c r="B330" s="8" t="s">
        <v>1283</v>
      </c>
      <c r="C330" s="8"/>
      <c r="D330" s="8"/>
      <c r="E330" s="37" t="s">
        <v>298</v>
      </c>
      <c r="F330" s="37" t="s">
        <v>1053</v>
      </c>
      <c r="G330" s="37" t="s">
        <v>1063</v>
      </c>
      <c r="H330" s="37" t="s">
        <v>1053</v>
      </c>
      <c r="K330" s="37" t="s">
        <v>1053</v>
      </c>
      <c r="L330" s="37" t="s">
        <v>1053</v>
      </c>
    </row>
    <row r="331">
      <c r="A331" s="8" t="s">
        <v>298</v>
      </c>
      <c r="B331" s="8" t="s">
        <v>798</v>
      </c>
      <c r="C331" s="8"/>
      <c r="D331" s="8"/>
      <c r="E331" s="37" t="s">
        <v>298</v>
      </c>
      <c r="F331" s="37" t="s">
        <v>798</v>
      </c>
      <c r="G331" s="37" t="s">
        <v>1063</v>
      </c>
      <c r="H331" s="37" t="s">
        <v>1798</v>
      </c>
      <c r="K331" s="37" t="s">
        <v>1053</v>
      </c>
      <c r="L331" s="37" t="s">
        <v>1053</v>
      </c>
    </row>
    <row r="332">
      <c r="A332" s="8" t="s">
        <v>298</v>
      </c>
      <c r="B332" s="8" t="s">
        <v>1284</v>
      </c>
      <c r="C332" s="8"/>
      <c r="D332" s="8"/>
      <c r="E332" s="37" t="s">
        <v>298</v>
      </c>
      <c r="F332" s="37" t="s">
        <v>795</v>
      </c>
      <c r="G332" s="37" t="s">
        <v>1063</v>
      </c>
      <c r="H332" s="37" t="s">
        <v>2142</v>
      </c>
      <c r="K332" s="37" t="s">
        <v>1053</v>
      </c>
      <c r="L332" s="37" t="s">
        <v>1053</v>
      </c>
    </row>
    <row r="333">
      <c r="A333" s="8" t="s">
        <v>298</v>
      </c>
      <c r="B333" s="8" t="s">
        <v>802</v>
      </c>
      <c r="C333" s="8"/>
      <c r="D333" s="8"/>
      <c r="E333" s="37" t="s">
        <v>298</v>
      </c>
      <c r="F333" s="37" t="s">
        <v>802</v>
      </c>
      <c r="G333" s="37" t="s">
        <v>1063</v>
      </c>
      <c r="H333" s="37" t="s">
        <v>2144</v>
      </c>
      <c r="K333" s="37" t="s">
        <v>1053</v>
      </c>
      <c r="L333" s="37" t="s">
        <v>1053</v>
      </c>
    </row>
    <row r="334">
      <c r="A334" s="8" t="s">
        <v>298</v>
      </c>
      <c r="B334" s="8" t="s">
        <v>1111</v>
      </c>
      <c r="C334" s="8"/>
      <c r="D334" s="8"/>
      <c r="E334" s="37" t="s">
        <v>298</v>
      </c>
      <c r="F334" s="37" t="s">
        <v>1053</v>
      </c>
      <c r="G334" s="37" t="s">
        <v>1063</v>
      </c>
      <c r="H334" s="37" t="s">
        <v>1053</v>
      </c>
      <c r="K334" s="37" t="s">
        <v>1053</v>
      </c>
      <c r="L334" s="37" t="s">
        <v>1053</v>
      </c>
    </row>
    <row r="335">
      <c r="A335" s="8" t="s">
        <v>298</v>
      </c>
      <c r="B335" s="8" t="s">
        <v>304</v>
      </c>
      <c r="C335" s="8"/>
      <c r="D335" s="8"/>
      <c r="E335" s="37" t="s">
        <v>298</v>
      </c>
      <c r="F335" s="37" t="s">
        <v>304</v>
      </c>
      <c r="G335" s="37" t="s">
        <v>1063</v>
      </c>
      <c r="H335" s="37" t="s">
        <v>1790</v>
      </c>
      <c r="K335" s="37" t="s">
        <v>1053</v>
      </c>
      <c r="L335" s="37" t="s">
        <v>1053</v>
      </c>
    </row>
    <row r="336">
      <c r="A336" s="8" t="s">
        <v>583</v>
      </c>
      <c r="B336" s="8" t="s">
        <v>1104</v>
      </c>
      <c r="C336" s="7" t="s">
        <v>986</v>
      </c>
      <c r="D336" s="8"/>
      <c r="E336" s="37" t="s">
        <v>582</v>
      </c>
      <c r="F336" s="37" t="s">
        <v>583</v>
      </c>
      <c r="G336" s="37" t="s">
        <v>1053</v>
      </c>
      <c r="H336" s="37" t="s">
        <v>1053</v>
      </c>
      <c r="I336" s="37"/>
      <c r="J336" s="37"/>
      <c r="K336" s="37" t="s">
        <v>1053</v>
      </c>
      <c r="L336" s="7" t="s">
        <v>986</v>
      </c>
      <c r="M336" s="37"/>
    </row>
    <row r="337">
      <c r="A337" s="8" t="s">
        <v>1285</v>
      </c>
      <c r="B337" s="8" t="s">
        <v>1111</v>
      </c>
      <c r="C337" s="7" t="s">
        <v>986</v>
      </c>
      <c r="D337" s="8" t="s">
        <v>1102</v>
      </c>
      <c r="E337" s="7" t="s">
        <v>587</v>
      </c>
      <c r="F337" s="37"/>
      <c r="G337" s="37" t="s">
        <v>2198</v>
      </c>
      <c r="H337" s="37" t="s">
        <v>1053</v>
      </c>
      <c r="I337" s="7" t="s">
        <v>587</v>
      </c>
      <c r="J337" s="37"/>
      <c r="K337" s="37" t="s">
        <v>1053</v>
      </c>
      <c r="L337" s="7" t="s">
        <v>986</v>
      </c>
      <c r="M337" s="37"/>
    </row>
    <row r="338">
      <c r="A338" s="8" t="s">
        <v>1285</v>
      </c>
      <c r="B338" s="8" t="s">
        <v>359</v>
      </c>
      <c r="C338" s="7" t="s">
        <v>986</v>
      </c>
      <c r="D338" s="8"/>
      <c r="E338" s="37" t="s">
        <v>353</v>
      </c>
      <c r="F338" s="37" t="s">
        <v>359</v>
      </c>
      <c r="G338" s="37" t="s">
        <v>2147</v>
      </c>
      <c r="H338" s="37" t="s">
        <v>1053</v>
      </c>
      <c r="I338" s="37"/>
      <c r="J338" s="37"/>
      <c r="K338" s="37" t="s">
        <v>1053</v>
      </c>
      <c r="L338" s="7" t="s">
        <v>986</v>
      </c>
      <c r="M338" s="37"/>
    </row>
    <row r="339">
      <c r="A339" s="8" t="s">
        <v>1285</v>
      </c>
      <c r="B339" s="8" t="s">
        <v>43</v>
      </c>
      <c r="C339" s="7" t="s">
        <v>986</v>
      </c>
      <c r="D339" s="8"/>
      <c r="E339" s="37" t="s">
        <v>38</v>
      </c>
      <c r="F339" s="37" t="s">
        <v>43</v>
      </c>
      <c r="G339" s="37" t="s">
        <v>1053</v>
      </c>
      <c r="H339" s="37" t="s">
        <v>1467</v>
      </c>
      <c r="I339" s="37"/>
      <c r="J339" s="37"/>
      <c r="K339" s="37" t="s">
        <v>1053</v>
      </c>
      <c r="L339" s="7" t="s">
        <v>986</v>
      </c>
      <c r="M339" s="37"/>
    </row>
    <row r="340">
      <c r="A340" s="8" t="s">
        <v>1214</v>
      </c>
      <c r="B340" s="8" t="s">
        <v>1286</v>
      </c>
      <c r="C340" s="7" t="s">
        <v>986</v>
      </c>
      <c r="D340" s="8" t="s">
        <v>1102</v>
      </c>
      <c r="E340" s="7" t="s">
        <v>1215</v>
      </c>
      <c r="F340" s="37"/>
      <c r="G340" s="37" t="s">
        <v>1053</v>
      </c>
      <c r="H340" s="37" t="s">
        <v>1053</v>
      </c>
      <c r="I340" s="7" t="s">
        <v>1215</v>
      </c>
      <c r="J340" s="37"/>
      <c r="K340" s="37" t="s">
        <v>1053</v>
      </c>
      <c r="L340" s="7" t="s">
        <v>986</v>
      </c>
      <c r="M340" s="37"/>
    </row>
    <row r="341">
      <c r="A341" s="8" t="s">
        <v>1214</v>
      </c>
      <c r="B341" s="8" t="s">
        <v>1287</v>
      </c>
      <c r="C341" s="7" t="s">
        <v>987</v>
      </c>
      <c r="D341" s="8" t="s">
        <v>1102</v>
      </c>
      <c r="E341" s="7" t="s">
        <v>1215</v>
      </c>
      <c r="G341" s="37" t="s">
        <v>1053</v>
      </c>
      <c r="H341" s="37" t="s">
        <v>1053</v>
      </c>
      <c r="I341" s="7" t="s">
        <v>1215</v>
      </c>
      <c r="K341" s="37" t="s">
        <v>1053</v>
      </c>
      <c r="L341" s="37" t="s">
        <v>1053</v>
      </c>
    </row>
    <row r="342">
      <c r="A342" s="8" t="s">
        <v>1214</v>
      </c>
      <c r="B342" s="8" t="s">
        <v>1288</v>
      </c>
      <c r="C342" s="7" t="s">
        <v>986</v>
      </c>
      <c r="D342" s="8" t="s">
        <v>1102</v>
      </c>
      <c r="E342" s="7" t="s">
        <v>1215</v>
      </c>
      <c r="F342" s="37"/>
      <c r="G342" s="37" t="s">
        <v>1053</v>
      </c>
      <c r="H342" s="37" t="s">
        <v>1053</v>
      </c>
      <c r="I342" s="7" t="s">
        <v>1215</v>
      </c>
      <c r="J342" s="37"/>
      <c r="K342" s="37" t="s">
        <v>1053</v>
      </c>
      <c r="L342" s="7" t="s">
        <v>986</v>
      </c>
      <c r="M342" s="37"/>
    </row>
    <row r="343">
      <c r="A343" s="8" t="s">
        <v>1214</v>
      </c>
      <c r="B343" s="8" t="s">
        <v>1289</v>
      </c>
      <c r="C343" s="7" t="s">
        <v>986</v>
      </c>
      <c r="D343" s="8" t="s">
        <v>1102</v>
      </c>
      <c r="E343" s="7" t="s">
        <v>1246</v>
      </c>
      <c r="F343" s="37"/>
      <c r="G343" s="37" t="s">
        <v>1053</v>
      </c>
      <c r="H343" s="37" t="s">
        <v>1053</v>
      </c>
      <c r="I343" s="7" t="s">
        <v>1246</v>
      </c>
      <c r="J343" s="37"/>
      <c r="K343" s="37" t="s">
        <v>1053</v>
      </c>
      <c r="L343" s="7" t="s">
        <v>986</v>
      </c>
      <c r="M343" s="37"/>
    </row>
    <row r="344">
      <c r="A344" s="8" t="s">
        <v>1214</v>
      </c>
      <c r="B344" s="8" t="s">
        <v>1290</v>
      </c>
      <c r="C344" s="7" t="s">
        <v>986</v>
      </c>
      <c r="D344" s="8" t="s">
        <v>1102</v>
      </c>
      <c r="E344" s="7" t="s">
        <v>1291</v>
      </c>
      <c r="F344" s="37"/>
      <c r="G344" s="37" t="s">
        <v>1053</v>
      </c>
      <c r="H344" s="37" t="s">
        <v>1053</v>
      </c>
      <c r="I344" s="7" t="s">
        <v>1291</v>
      </c>
      <c r="J344" s="37"/>
      <c r="K344" s="37" t="s">
        <v>1053</v>
      </c>
      <c r="L344" s="7" t="s">
        <v>986</v>
      </c>
      <c r="M344" s="37"/>
    </row>
    <row r="345">
      <c r="A345" s="8" t="s">
        <v>1214</v>
      </c>
      <c r="B345" s="8" t="s">
        <v>1292</v>
      </c>
      <c r="C345" s="7" t="s">
        <v>986</v>
      </c>
      <c r="D345" s="8" t="s">
        <v>1102</v>
      </c>
      <c r="E345" s="7" t="s">
        <v>391</v>
      </c>
      <c r="F345" s="37"/>
      <c r="G345" s="37" t="s">
        <v>1053</v>
      </c>
      <c r="H345" s="37" t="s">
        <v>1053</v>
      </c>
      <c r="I345" s="7" t="s">
        <v>391</v>
      </c>
      <c r="J345" s="37"/>
      <c r="K345" s="37" t="s">
        <v>1053</v>
      </c>
      <c r="L345" s="7" t="s">
        <v>986</v>
      </c>
      <c r="M345" s="37"/>
    </row>
    <row r="346">
      <c r="A346" s="8" t="s">
        <v>1214</v>
      </c>
      <c r="B346" s="8" t="s">
        <v>1104</v>
      </c>
      <c r="C346" s="7" t="s">
        <v>987</v>
      </c>
      <c r="D346" s="8" t="s">
        <v>1102</v>
      </c>
      <c r="E346" s="7" t="s">
        <v>1105</v>
      </c>
      <c r="G346" s="37" t="s">
        <v>1053</v>
      </c>
      <c r="H346" s="37" t="s">
        <v>1053</v>
      </c>
      <c r="I346" s="7" t="s">
        <v>1105</v>
      </c>
      <c r="K346" s="37" t="s">
        <v>1053</v>
      </c>
      <c r="L346" s="37" t="s">
        <v>1053</v>
      </c>
    </row>
    <row r="347">
      <c r="A347" s="8" t="s">
        <v>1293</v>
      </c>
      <c r="B347" s="8" t="s">
        <v>1294</v>
      </c>
      <c r="C347" s="7" t="s">
        <v>986</v>
      </c>
      <c r="D347" s="8" t="s">
        <v>1102</v>
      </c>
      <c r="E347" s="7" t="s">
        <v>441</v>
      </c>
      <c r="F347" s="37"/>
      <c r="G347" s="37" t="s">
        <v>1053</v>
      </c>
      <c r="H347" s="37" t="s">
        <v>1053</v>
      </c>
      <c r="I347" s="7" t="s">
        <v>441</v>
      </c>
      <c r="J347" s="37"/>
      <c r="K347" s="37" t="s">
        <v>1053</v>
      </c>
      <c r="L347" s="7" t="s">
        <v>986</v>
      </c>
      <c r="M347" s="37"/>
    </row>
    <row r="348">
      <c r="A348" s="8" t="s">
        <v>1293</v>
      </c>
      <c r="B348" s="8" t="s">
        <v>4</v>
      </c>
      <c r="C348" s="8"/>
      <c r="D348" s="8"/>
      <c r="E348" s="37" t="s">
        <v>3</v>
      </c>
      <c r="F348" s="37" t="s">
        <v>4</v>
      </c>
      <c r="G348" s="37" t="s">
        <v>1053</v>
      </c>
      <c r="H348" s="37" t="s">
        <v>2126</v>
      </c>
      <c r="K348" s="37" t="s">
        <v>1053</v>
      </c>
      <c r="L348" s="37" t="s">
        <v>1053</v>
      </c>
    </row>
    <row r="349">
      <c r="A349" s="8" t="s">
        <v>1293</v>
      </c>
      <c r="B349" s="8" t="s">
        <v>104</v>
      </c>
      <c r="C349" s="8"/>
      <c r="D349" s="8"/>
      <c r="E349" s="37" t="s">
        <v>101</v>
      </c>
      <c r="F349" s="37" t="s">
        <v>104</v>
      </c>
      <c r="G349" s="37" t="s">
        <v>1053</v>
      </c>
      <c r="H349" s="37" t="s">
        <v>2027</v>
      </c>
      <c r="K349" s="37" t="s">
        <v>1053</v>
      </c>
      <c r="L349" s="37" t="s">
        <v>1053</v>
      </c>
    </row>
    <row r="350">
      <c r="A350" s="8" t="s">
        <v>1293</v>
      </c>
      <c r="B350" s="8" t="s">
        <v>441</v>
      </c>
      <c r="C350" s="8"/>
      <c r="D350" s="8"/>
      <c r="E350" s="37" t="s">
        <v>440</v>
      </c>
      <c r="F350" s="37" t="s">
        <v>441</v>
      </c>
      <c r="G350" s="37" t="s">
        <v>1723</v>
      </c>
      <c r="H350" s="37" t="s">
        <v>2119</v>
      </c>
      <c r="K350" s="37" t="s">
        <v>1053</v>
      </c>
      <c r="L350" s="37" t="s">
        <v>1053</v>
      </c>
    </row>
    <row r="351">
      <c r="A351" s="8" t="s">
        <v>1293</v>
      </c>
      <c r="B351" s="8" t="s">
        <v>953</v>
      </c>
      <c r="C351" s="7" t="s">
        <v>986</v>
      </c>
      <c r="D351" s="8"/>
      <c r="E351" s="37" t="s">
        <v>478</v>
      </c>
      <c r="F351" s="37" t="s">
        <v>953</v>
      </c>
      <c r="G351" s="37" t="s">
        <v>1066</v>
      </c>
      <c r="H351" s="37" t="s">
        <v>1053</v>
      </c>
      <c r="I351" s="37"/>
      <c r="J351" s="37"/>
      <c r="K351" s="37" t="s">
        <v>1053</v>
      </c>
      <c r="L351" s="7" t="s">
        <v>986</v>
      </c>
      <c r="M351" s="37"/>
    </row>
    <row r="352">
      <c r="A352" s="8" t="s">
        <v>1293</v>
      </c>
      <c r="B352" s="8" t="s">
        <v>1111</v>
      </c>
      <c r="C352" s="7" t="s">
        <v>986</v>
      </c>
      <c r="D352" s="8" t="s">
        <v>1102</v>
      </c>
      <c r="E352" s="7" t="s">
        <v>1105</v>
      </c>
      <c r="F352" s="37"/>
      <c r="G352" s="37" t="s">
        <v>1053</v>
      </c>
      <c r="H352" s="37" t="s">
        <v>1053</v>
      </c>
      <c r="I352" s="7" t="s">
        <v>1105</v>
      </c>
      <c r="J352" s="37"/>
      <c r="K352" s="37" t="s">
        <v>1053</v>
      </c>
      <c r="L352" s="7" t="s">
        <v>986</v>
      </c>
      <c r="M352" s="37"/>
    </row>
    <row r="353">
      <c r="A353" s="8" t="s">
        <v>1295</v>
      </c>
      <c r="B353" s="8" t="s">
        <v>1296</v>
      </c>
      <c r="C353" s="7" t="s">
        <v>987</v>
      </c>
      <c r="D353" s="8" t="s">
        <v>1297</v>
      </c>
      <c r="E353" s="7" t="s">
        <v>1105</v>
      </c>
      <c r="G353" s="37" t="s">
        <v>1053</v>
      </c>
      <c r="H353" s="37" t="s">
        <v>1053</v>
      </c>
      <c r="I353" s="7" t="s">
        <v>1105</v>
      </c>
      <c r="K353" s="37" t="s">
        <v>1053</v>
      </c>
      <c r="L353" s="37" t="s">
        <v>1053</v>
      </c>
    </row>
    <row r="354">
      <c r="A354" s="8" t="s">
        <v>1051</v>
      </c>
      <c r="B354" s="8" t="s">
        <v>432</v>
      </c>
      <c r="C354" s="7" t="s">
        <v>986</v>
      </c>
      <c r="D354" s="8"/>
      <c r="E354" s="37" t="s">
        <v>429</v>
      </c>
      <c r="F354" s="37" t="s">
        <v>432</v>
      </c>
      <c r="G354" s="37" t="s">
        <v>2096</v>
      </c>
      <c r="H354" s="37" t="s">
        <v>2109</v>
      </c>
      <c r="I354" s="37"/>
      <c r="J354" s="37"/>
      <c r="K354" s="37" t="s">
        <v>1053</v>
      </c>
      <c r="L354" s="7" t="s">
        <v>986</v>
      </c>
      <c r="M354" s="37"/>
    </row>
    <row r="355">
      <c r="A355" s="8" t="s">
        <v>1051</v>
      </c>
      <c r="B355" s="8" t="s">
        <v>1134</v>
      </c>
      <c r="C355" s="7" t="s">
        <v>986</v>
      </c>
      <c r="D355" s="8" t="s">
        <v>1052</v>
      </c>
      <c r="E355" s="7" t="s">
        <v>1105</v>
      </c>
      <c r="F355" s="37"/>
      <c r="G355" s="37" t="s">
        <v>1053</v>
      </c>
      <c r="H355" s="37" t="s">
        <v>1053</v>
      </c>
      <c r="I355" s="7" t="s">
        <v>1105</v>
      </c>
      <c r="J355" s="37"/>
      <c r="K355" s="37" t="s">
        <v>1053</v>
      </c>
      <c r="L355" s="7" t="s">
        <v>986</v>
      </c>
      <c r="M355" s="37"/>
    </row>
    <row r="356">
      <c r="A356" s="8" t="s">
        <v>1051</v>
      </c>
      <c r="B356" s="8" t="s">
        <v>1298</v>
      </c>
      <c r="C356" s="7" t="s">
        <v>986</v>
      </c>
      <c r="D356" s="8" t="s">
        <v>1052</v>
      </c>
      <c r="E356" s="7" t="s">
        <v>1105</v>
      </c>
      <c r="F356" s="37"/>
      <c r="G356" s="37" t="s">
        <v>1053</v>
      </c>
      <c r="H356" s="37" t="s">
        <v>1053</v>
      </c>
      <c r="I356" s="7" t="s">
        <v>1105</v>
      </c>
      <c r="J356" s="37"/>
      <c r="K356" s="37" t="s">
        <v>1053</v>
      </c>
      <c r="L356" s="7" t="s">
        <v>986</v>
      </c>
      <c r="M356" s="37"/>
    </row>
    <row r="357">
      <c r="A357" s="8" t="s">
        <v>1051</v>
      </c>
      <c r="B357" s="8" t="s">
        <v>1111</v>
      </c>
      <c r="C357" s="7" t="s">
        <v>986</v>
      </c>
      <c r="D357" s="8" t="s">
        <v>1052</v>
      </c>
      <c r="E357" s="7" t="s">
        <v>1105</v>
      </c>
      <c r="F357" s="37"/>
      <c r="G357" s="37" t="s">
        <v>1053</v>
      </c>
      <c r="H357" s="37" t="s">
        <v>1053</v>
      </c>
      <c r="I357" s="7" t="s">
        <v>1105</v>
      </c>
      <c r="J357" s="37"/>
      <c r="K357" s="37" t="s">
        <v>1053</v>
      </c>
      <c r="L357" s="7" t="s">
        <v>986</v>
      </c>
      <c r="M357" s="37"/>
    </row>
    <row r="358">
      <c r="A358" s="8" t="s">
        <v>1051</v>
      </c>
      <c r="B358" s="8" t="s">
        <v>1299</v>
      </c>
      <c r="C358" s="7" t="s">
        <v>986</v>
      </c>
      <c r="D358" s="8" t="s">
        <v>1052</v>
      </c>
      <c r="E358" s="7" t="s">
        <v>1105</v>
      </c>
      <c r="F358" s="37"/>
      <c r="G358" s="37" t="s">
        <v>1053</v>
      </c>
      <c r="H358" s="37" t="s">
        <v>1053</v>
      </c>
      <c r="I358" s="7" t="s">
        <v>1105</v>
      </c>
      <c r="J358" s="37"/>
      <c r="K358" s="37" t="s">
        <v>1053</v>
      </c>
      <c r="L358" s="7" t="s">
        <v>986</v>
      </c>
      <c r="M358" s="37"/>
    </row>
    <row r="359">
      <c r="A359" s="8" t="s">
        <v>1051</v>
      </c>
      <c r="B359" s="8" t="s">
        <v>1087</v>
      </c>
      <c r="C359" s="7" t="s">
        <v>986</v>
      </c>
      <c r="D359" s="8" t="s">
        <v>1197</v>
      </c>
      <c r="E359" s="7" t="s">
        <v>1105</v>
      </c>
      <c r="F359" s="37"/>
      <c r="G359" s="37" t="s">
        <v>1053</v>
      </c>
      <c r="H359" s="37" t="s">
        <v>1053</v>
      </c>
      <c r="I359" s="7" t="s">
        <v>1105</v>
      </c>
      <c r="J359" s="37"/>
      <c r="K359" s="37" t="s">
        <v>1053</v>
      </c>
      <c r="L359" s="7" t="s">
        <v>986</v>
      </c>
      <c r="M359" s="37"/>
    </row>
    <row r="360">
      <c r="A360" s="8" t="s">
        <v>1054</v>
      </c>
      <c r="B360" s="8" t="s">
        <v>1300</v>
      </c>
      <c r="C360" s="7" t="s">
        <v>986</v>
      </c>
      <c r="D360" s="8" t="s">
        <v>1102</v>
      </c>
      <c r="E360" s="7" t="s">
        <v>391</v>
      </c>
      <c r="F360" s="37"/>
      <c r="G360" s="37" t="s">
        <v>1053</v>
      </c>
      <c r="H360" s="37" t="s">
        <v>1053</v>
      </c>
      <c r="I360" s="7" t="s">
        <v>391</v>
      </c>
      <c r="J360" s="37"/>
      <c r="K360" s="37" t="s">
        <v>1053</v>
      </c>
      <c r="L360" s="7" t="s">
        <v>986</v>
      </c>
      <c r="M360" s="37"/>
    </row>
    <row r="361">
      <c r="A361" s="8" t="s">
        <v>1054</v>
      </c>
      <c r="B361" s="8" t="s">
        <v>1301</v>
      </c>
      <c r="C361" s="7" t="s">
        <v>986</v>
      </c>
      <c r="D361" s="8" t="s">
        <v>1102</v>
      </c>
      <c r="E361" s="7" t="s">
        <v>391</v>
      </c>
      <c r="F361" s="37"/>
      <c r="G361" s="37" t="s">
        <v>1053</v>
      </c>
      <c r="H361" s="37" t="s">
        <v>1053</v>
      </c>
      <c r="I361" s="7" t="s">
        <v>391</v>
      </c>
      <c r="J361" s="37"/>
      <c r="K361" s="37" t="s">
        <v>1053</v>
      </c>
      <c r="L361" s="7" t="s">
        <v>986</v>
      </c>
      <c r="M361" s="37"/>
    </row>
    <row r="362">
      <c r="A362" s="8" t="s">
        <v>1054</v>
      </c>
      <c r="B362" s="8" t="s">
        <v>1302</v>
      </c>
      <c r="C362" s="7" t="s">
        <v>986</v>
      </c>
      <c r="D362" s="8" t="s">
        <v>1102</v>
      </c>
      <c r="E362" s="7" t="s">
        <v>391</v>
      </c>
      <c r="F362" s="37"/>
      <c r="G362" s="37" t="s">
        <v>1053</v>
      </c>
      <c r="H362" s="37" t="s">
        <v>1053</v>
      </c>
      <c r="I362" s="7" t="s">
        <v>391</v>
      </c>
      <c r="J362" s="37"/>
      <c r="K362" s="37" t="s">
        <v>1053</v>
      </c>
      <c r="L362" s="7" t="s">
        <v>986</v>
      </c>
      <c r="M362" s="37"/>
    </row>
    <row r="363">
      <c r="A363" s="8" t="s">
        <v>1054</v>
      </c>
      <c r="B363" s="8" t="s">
        <v>1303</v>
      </c>
      <c r="C363" s="7" t="s">
        <v>986</v>
      </c>
      <c r="D363" s="8" t="s">
        <v>1102</v>
      </c>
      <c r="E363" s="7" t="s">
        <v>1097</v>
      </c>
      <c r="F363" s="37"/>
      <c r="G363" s="37" t="s">
        <v>1053</v>
      </c>
      <c r="H363" s="37" t="s">
        <v>1053</v>
      </c>
      <c r="I363" s="7" t="s">
        <v>1097</v>
      </c>
      <c r="J363" s="37"/>
      <c r="K363" s="37" t="s">
        <v>1053</v>
      </c>
      <c r="L363" s="7" t="s">
        <v>986</v>
      </c>
      <c r="M363" s="37"/>
    </row>
    <row r="364">
      <c r="A364" s="8" t="s">
        <v>1054</v>
      </c>
      <c r="B364" s="8" t="s">
        <v>1304</v>
      </c>
      <c r="C364" s="7" t="s">
        <v>986</v>
      </c>
      <c r="D364" s="8" t="s">
        <v>1102</v>
      </c>
      <c r="E364" s="7" t="s">
        <v>1105</v>
      </c>
      <c r="F364" s="37"/>
      <c r="G364" s="37" t="s">
        <v>1053</v>
      </c>
      <c r="H364" s="37" t="s">
        <v>1053</v>
      </c>
      <c r="I364" s="7" t="s">
        <v>1105</v>
      </c>
      <c r="J364" s="37"/>
      <c r="K364" s="37" t="s">
        <v>1053</v>
      </c>
      <c r="L364" s="7" t="s">
        <v>986</v>
      </c>
      <c r="M364" s="37"/>
    </row>
    <row r="365">
      <c r="A365" s="8" t="s">
        <v>1054</v>
      </c>
      <c r="B365" s="8" t="s">
        <v>1305</v>
      </c>
      <c r="C365" s="7" t="s">
        <v>986</v>
      </c>
      <c r="D365" s="8" t="s">
        <v>1102</v>
      </c>
      <c r="E365" s="7" t="s">
        <v>1105</v>
      </c>
      <c r="F365" s="37"/>
      <c r="G365" s="37" t="s">
        <v>1053</v>
      </c>
      <c r="H365" s="37" t="s">
        <v>1053</v>
      </c>
      <c r="I365" s="7" t="s">
        <v>1105</v>
      </c>
      <c r="J365" s="37"/>
      <c r="K365" s="37" t="s">
        <v>1053</v>
      </c>
      <c r="L365" s="7" t="s">
        <v>986</v>
      </c>
      <c r="M365" s="37"/>
    </row>
    <row r="366">
      <c r="A366" s="8" t="s">
        <v>1054</v>
      </c>
      <c r="B366" s="8" t="s">
        <v>1306</v>
      </c>
      <c r="C366" s="7" t="s">
        <v>986</v>
      </c>
      <c r="D366" s="8" t="s">
        <v>1102</v>
      </c>
      <c r="E366" s="7" t="s">
        <v>391</v>
      </c>
      <c r="F366" s="37"/>
      <c r="G366" s="37" t="s">
        <v>1053</v>
      </c>
      <c r="H366" s="37" t="s">
        <v>1053</v>
      </c>
      <c r="I366" s="7" t="s">
        <v>391</v>
      </c>
      <c r="J366" s="37"/>
      <c r="K366" s="37" t="s">
        <v>1053</v>
      </c>
      <c r="L366" s="7" t="s">
        <v>986</v>
      </c>
      <c r="M366" s="37"/>
    </row>
    <row r="367">
      <c r="A367" s="8" t="s">
        <v>1054</v>
      </c>
      <c r="B367" s="8" t="s">
        <v>1278</v>
      </c>
      <c r="C367" s="7" t="s">
        <v>987</v>
      </c>
      <c r="D367" s="8" t="s">
        <v>1102</v>
      </c>
      <c r="E367" s="7" t="s">
        <v>1215</v>
      </c>
      <c r="G367" s="37" t="s">
        <v>1053</v>
      </c>
      <c r="H367" s="37" t="s">
        <v>1053</v>
      </c>
      <c r="I367" s="7" t="s">
        <v>1215</v>
      </c>
      <c r="K367" s="37" t="s">
        <v>1053</v>
      </c>
      <c r="L367" s="37" t="s">
        <v>1053</v>
      </c>
    </row>
    <row r="368">
      <c r="A368" s="8" t="s">
        <v>1054</v>
      </c>
      <c r="B368" s="8" t="s">
        <v>1307</v>
      </c>
      <c r="C368" s="7" t="s">
        <v>986</v>
      </c>
      <c r="D368" s="8" t="s">
        <v>1102</v>
      </c>
      <c r="E368" s="37" t="str">
        <f t="array" ref="E368">XLOOKUP(F368,'部署遍歴'!D:D,'部署遍歴'!B:B,"×")</f>
        <v>デジタルエンターテインメント事業本部</v>
      </c>
      <c r="F368" s="37" t="s">
        <v>1305</v>
      </c>
      <c r="G368" s="37" t="s">
        <v>1053</v>
      </c>
      <c r="H368" s="37" t="s">
        <v>1053</v>
      </c>
      <c r="I368" s="7" t="s">
        <v>1105</v>
      </c>
      <c r="J368" s="37"/>
      <c r="K368" s="37" t="s">
        <v>1305</v>
      </c>
      <c r="L368" s="7" t="s">
        <v>986</v>
      </c>
      <c r="M368" s="37"/>
    </row>
    <row r="369">
      <c r="A369" s="8" t="s">
        <v>1054</v>
      </c>
      <c r="B369" s="8" t="s">
        <v>1308</v>
      </c>
      <c r="C369" s="7" t="s">
        <v>986</v>
      </c>
      <c r="D369" s="8" t="s">
        <v>1102</v>
      </c>
      <c r="E369" s="7" t="s">
        <v>391</v>
      </c>
      <c r="F369" s="37"/>
      <c r="G369" s="37" t="s">
        <v>1053</v>
      </c>
      <c r="H369" s="37" t="s">
        <v>1053</v>
      </c>
      <c r="I369" s="7" t="s">
        <v>391</v>
      </c>
      <c r="J369" s="37"/>
      <c r="K369" s="37" t="s">
        <v>1053</v>
      </c>
      <c r="L369" s="7" t="s">
        <v>986</v>
      </c>
      <c r="M369" s="37"/>
    </row>
    <row r="370">
      <c r="A370" s="8" t="s">
        <v>1054</v>
      </c>
      <c r="B370" s="8" t="s">
        <v>1309</v>
      </c>
      <c r="C370" s="7" t="s">
        <v>986</v>
      </c>
      <c r="D370" s="8" t="s">
        <v>1102</v>
      </c>
      <c r="E370" s="7" t="s">
        <v>1097</v>
      </c>
      <c r="F370" s="37"/>
      <c r="G370" s="37" t="s">
        <v>1053</v>
      </c>
      <c r="H370" s="37" t="s">
        <v>1053</v>
      </c>
      <c r="I370" s="7" t="s">
        <v>1097</v>
      </c>
      <c r="J370" s="37"/>
      <c r="K370" s="37" t="s">
        <v>1053</v>
      </c>
      <c r="L370" s="7" t="s">
        <v>986</v>
      </c>
      <c r="M370" s="37"/>
    </row>
    <row r="371">
      <c r="A371" s="8" t="s">
        <v>1054</v>
      </c>
      <c r="B371" s="8" t="s">
        <v>1228</v>
      </c>
      <c r="C371" s="7" t="s">
        <v>986</v>
      </c>
      <c r="D371" s="8" t="s">
        <v>1102</v>
      </c>
      <c r="E371" s="7" t="s">
        <v>1215</v>
      </c>
      <c r="F371" s="37"/>
      <c r="G371" s="37" t="s">
        <v>1053</v>
      </c>
      <c r="H371" s="37" t="s">
        <v>1053</v>
      </c>
      <c r="I371" s="7" t="s">
        <v>1215</v>
      </c>
      <c r="J371" s="37"/>
      <c r="K371" s="37" t="s">
        <v>1053</v>
      </c>
      <c r="L371" s="7" t="s">
        <v>986</v>
      </c>
      <c r="M371" s="37"/>
    </row>
    <row r="372">
      <c r="A372" s="8" t="s">
        <v>1054</v>
      </c>
      <c r="B372" s="8" t="s">
        <v>1310</v>
      </c>
      <c r="C372" s="7" t="s">
        <v>986</v>
      </c>
      <c r="D372" s="8" t="s">
        <v>1102</v>
      </c>
      <c r="E372" s="7" t="s">
        <v>478</v>
      </c>
      <c r="F372" s="37"/>
      <c r="G372" s="37" t="s">
        <v>1066</v>
      </c>
      <c r="H372" s="37" t="s">
        <v>1053</v>
      </c>
      <c r="I372" s="7" t="s">
        <v>478</v>
      </c>
      <c r="J372" s="37"/>
      <c r="K372" s="37" t="s">
        <v>1053</v>
      </c>
      <c r="L372" s="7" t="s">
        <v>986</v>
      </c>
      <c r="M372" s="37"/>
    </row>
    <row r="373">
      <c r="A373" s="8" t="s">
        <v>1054</v>
      </c>
      <c r="B373" s="8" t="s">
        <v>1137</v>
      </c>
      <c r="C373" s="7" t="s">
        <v>986</v>
      </c>
      <c r="D373" s="8" t="s">
        <v>1102</v>
      </c>
      <c r="E373" s="7" t="s">
        <v>1058</v>
      </c>
      <c r="F373" s="37"/>
      <c r="G373" s="37" t="s">
        <v>1053</v>
      </c>
      <c r="H373" s="37" t="s">
        <v>1053</v>
      </c>
      <c r="I373" s="7" t="s">
        <v>1058</v>
      </c>
      <c r="J373" s="37"/>
      <c r="K373" s="37" t="s">
        <v>1053</v>
      </c>
      <c r="L373" s="7" t="s">
        <v>986</v>
      </c>
      <c r="M373" s="37"/>
    </row>
    <row r="374">
      <c r="A374" s="8" t="s">
        <v>1054</v>
      </c>
      <c r="B374" s="8" t="s">
        <v>1311</v>
      </c>
      <c r="C374" s="7" t="s">
        <v>987</v>
      </c>
      <c r="D374" s="8" t="s">
        <v>1102</v>
      </c>
      <c r="E374" s="7" t="s">
        <v>391</v>
      </c>
      <c r="G374" s="37" t="s">
        <v>1053</v>
      </c>
      <c r="H374" s="37" t="s">
        <v>1053</v>
      </c>
      <c r="I374" s="7" t="s">
        <v>391</v>
      </c>
      <c r="K374" s="37" t="s">
        <v>1053</v>
      </c>
      <c r="L374" s="37" t="s">
        <v>1053</v>
      </c>
    </row>
    <row r="375">
      <c r="A375" s="8" t="s">
        <v>1054</v>
      </c>
      <c r="B375" s="8" t="s">
        <v>1111</v>
      </c>
      <c r="C375" s="7" t="s">
        <v>987</v>
      </c>
      <c r="D375" s="8" t="s">
        <v>1102</v>
      </c>
      <c r="E375" s="7" t="s">
        <v>1105</v>
      </c>
      <c r="G375" s="37" t="s">
        <v>1053</v>
      </c>
      <c r="H375" s="37" t="s">
        <v>1053</v>
      </c>
      <c r="I375" s="7" t="s">
        <v>1105</v>
      </c>
      <c r="K375" s="37" t="s">
        <v>1053</v>
      </c>
      <c r="L375" s="37" t="s">
        <v>1053</v>
      </c>
    </row>
    <row r="376">
      <c r="A376" s="8" t="s">
        <v>1054</v>
      </c>
      <c r="B376" s="8" t="s">
        <v>1187</v>
      </c>
      <c r="C376" s="7" t="s">
        <v>986</v>
      </c>
      <c r="D376" s="8" t="s">
        <v>1102</v>
      </c>
      <c r="E376" s="7" t="s">
        <v>1188</v>
      </c>
      <c r="F376" s="37"/>
      <c r="G376" s="37" t="s">
        <v>1053</v>
      </c>
      <c r="H376" s="37" t="s">
        <v>1053</v>
      </c>
      <c r="I376" s="7" t="s">
        <v>1188</v>
      </c>
      <c r="J376" s="37"/>
      <c r="K376" s="37" t="s">
        <v>1053</v>
      </c>
      <c r="L376" s="7" t="s">
        <v>986</v>
      </c>
      <c r="M376" s="37"/>
    </row>
    <row r="377">
      <c r="A377" s="8" t="s">
        <v>1054</v>
      </c>
      <c r="B377" s="8" t="s">
        <v>1312</v>
      </c>
      <c r="C377" s="7" t="s">
        <v>986</v>
      </c>
      <c r="D377" s="8" t="s">
        <v>1102</v>
      </c>
      <c r="E377" s="7" t="s">
        <v>1097</v>
      </c>
      <c r="F377" s="37"/>
      <c r="G377" s="37" t="s">
        <v>1053</v>
      </c>
      <c r="H377" s="37" t="s">
        <v>1053</v>
      </c>
      <c r="I377" s="7" t="s">
        <v>1097</v>
      </c>
      <c r="J377" s="37"/>
      <c r="K377" s="37" t="s">
        <v>1053</v>
      </c>
      <c r="L377" s="7" t="s">
        <v>986</v>
      </c>
      <c r="M377" s="37"/>
    </row>
    <row r="378">
      <c r="A378" s="8" t="s">
        <v>1054</v>
      </c>
      <c r="B378" s="8" t="s">
        <v>1162</v>
      </c>
      <c r="C378" s="7" t="s">
        <v>987</v>
      </c>
      <c r="D378" s="8" t="s">
        <v>1313</v>
      </c>
      <c r="E378" s="7" t="s">
        <v>1162</v>
      </c>
      <c r="G378" s="37" t="s">
        <v>1053</v>
      </c>
      <c r="H378" s="37" t="s">
        <v>1053</v>
      </c>
      <c r="I378" s="7" t="s">
        <v>1162</v>
      </c>
      <c r="K378" s="37" t="s">
        <v>1053</v>
      </c>
      <c r="L378" s="37" t="s">
        <v>1053</v>
      </c>
    </row>
    <row r="379">
      <c r="A379" s="8" t="s">
        <v>1054</v>
      </c>
      <c r="B379" s="8" t="s">
        <v>1314</v>
      </c>
      <c r="C379" s="7" t="s">
        <v>987</v>
      </c>
      <c r="D379" s="8" t="s">
        <v>1102</v>
      </c>
      <c r="E379" s="7" t="s">
        <v>1105</v>
      </c>
      <c r="G379" s="37" t="s">
        <v>1053</v>
      </c>
      <c r="H379" s="37" t="s">
        <v>1053</v>
      </c>
      <c r="I379" s="7" t="s">
        <v>1105</v>
      </c>
      <c r="K379" s="37" t="s">
        <v>1053</v>
      </c>
      <c r="L379" s="37" t="s">
        <v>1053</v>
      </c>
    </row>
    <row r="380">
      <c r="A380" s="8" t="s">
        <v>1054</v>
      </c>
      <c r="B380" s="8" t="s">
        <v>359</v>
      </c>
      <c r="C380" s="8"/>
      <c r="D380" s="8"/>
      <c r="E380" s="37" t="s">
        <v>353</v>
      </c>
      <c r="F380" s="37" t="s">
        <v>359</v>
      </c>
      <c r="G380" s="37" t="s">
        <v>2147</v>
      </c>
      <c r="H380" s="37" t="s">
        <v>1053</v>
      </c>
      <c r="K380" s="37" t="s">
        <v>1053</v>
      </c>
      <c r="L380" s="37" t="s">
        <v>1053</v>
      </c>
    </row>
    <row r="381">
      <c r="A381" s="8" t="s">
        <v>1054</v>
      </c>
      <c r="B381" s="8" t="s">
        <v>1266</v>
      </c>
      <c r="C381" s="7" t="s">
        <v>986</v>
      </c>
      <c r="D381" s="8" t="s">
        <v>1102</v>
      </c>
      <c r="E381" s="7" t="s">
        <v>1105</v>
      </c>
      <c r="F381" s="37"/>
      <c r="G381" s="37" t="s">
        <v>1053</v>
      </c>
      <c r="H381" s="37" t="s">
        <v>1053</v>
      </c>
      <c r="I381" s="7" t="s">
        <v>1105</v>
      </c>
      <c r="J381" s="37"/>
      <c r="K381" s="37" t="s">
        <v>1053</v>
      </c>
      <c r="L381" s="7" t="s">
        <v>986</v>
      </c>
      <c r="M381" s="37"/>
    </row>
    <row r="382">
      <c r="A382" s="8" t="s">
        <v>1054</v>
      </c>
      <c r="B382" s="8" t="s">
        <v>1163</v>
      </c>
      <c r="C382" s="7" t="s">
        <v>986</v>
      </c>
      <c r="D382" s="8"/>
      <c r="E382" s="37" t="s">
        <v>216</v>
      </c>
      <c r="F382" s="37" t="s">
        <v>217</v>
      </c>
      <c r="G382" s="37" t="s">
        <v>1053</v>
      </c>
      <c r="H382" s="37" t="s">
        <v>2215</v>
      </c>
      <c r="I382" s="37"/>
      <c r="J382" s="37"/>
      <c r="K382" s="37" t="s">
        <v>1053</v>
      </c>
      <c r="L382" s="7" t="s">
        <v>986</v>
      </c>
      <c r="M382" s="37"/>
    </row>
    <row r="383">
      <c r="A383" s="8" t="s">
        <v>1054</v>
      </c>
      <c r="B383" s="8" t="s">
        <v>1315</v>
      </c>
      <c r="C383" s="7" t="s">
        <v>986</v>
      </c>
      <c r="D383" s="8" t="s">
        <v>1102</v>
      </c>
      <c r="E383" s="7" t="s">
        <v>1097</v>
      </c>
      <c r="F383" s="37"/>
      <c r="G383" s="37" t="s">
        <v>1053</v>
      </c>
      <c r="H383" s="37" t="s">
        <v>1053</v>
      </c>
      <c r="I383" s="7" t="s">
        <v>1097</v>
      </c>
      <c r="J383" s="37"/>
      <c r="K383" s="37" t="s">
        <v>1053</v>
      </c>
      <c r="L383" s="7" t="s">
        <v>986</v>
      </c>
      <c r="M383" s="37"/>
    </row>
    <row r="384">
      <c r="A384" s="8" t="s">
        <v>1054</v>
      </c>
      <c r="B384" s="8" t="s">
        <v>1267</v>
      </c>
      <c r="C384" s="7" t="s">
        <v>987</v>
      </c>
      <c r="D384" s="8" t="s">
        <v>1102</v>
      </c>
      <c r="E384" s="7" t="s">
        <v>693</v>
      </c>
      <c r="G384" s="37" t="s">
        <v>1053</v>
      </c>
      <c r="H384" s="37" t="s">
        <v>1053</v>
      </c>
      <c r="I384" s="7" t="s">
        <v>693</v>
      </c>
      <c r="K384" s="37" t="s">
        <v>1053</v>
      </c>
      <c r="L384" s="37" t="s">
        <v>1053</v>
      </c>
    </row>
    <row r="385">
      <c r="A385" s="8" t="s">
        <v>1054</v>
      </c>
      <c r="B385" s="8" t="s">
        <v>43</v>
      </c>
      <c r="C385" s="7" t="s">
        <v>986</v>
      </c>
      <c r="D385" s="8"/>
      <c r="E385" s="37" t="s">
        <v>38</v>
      </c>
      <c r="F385" s="37" t="s">
        <v>43</v>
      </c>
      <c r="G385" s="37" t="s">
        <v>1053</v>
      </c>
      <c r="H385" s="37" t="s">
        <v>1467</v>
      </c>
      <c r="I385" s="37"/>
      <c r="J385" s="37"/>
      <c r="K385" s="37" t="s">
        <v>1053</v>
      </c>
      <c r="L385" s="7" t="s">
        <v>986</v>
      </c>
      <c r="M385" s="37"/>
    </row>
    <row r="386">
      <c r="A386" s="8" t="s">
        <v>1054</v>
      </c>
      <c r="B386" s="8" t="s">
        <v>1161</v>
      </c>
      <c r="C386" s="7" t="s">
        <v>987</v>
      </c>
      <c r="D386" s="8" t="s">
        <v>1102</v>
      </c>
      <c r="E386" s="7" t="s">
        <v>693</v>
      </c>
      <c r="G386" s="37" t="s">
        <v>1053</v>
      </c>
      <c r="H386" s="37" t="s">
        <v>1053</v>
      </c>
      <c r="I386" s="7" t="s">
        <v>693</v>
      </c>
      <c r="K386" s="37" t="s">
        <v>1053</v>
      </c>
      <c r="L386" s="37" t="s">
        <v>1053</v>
      </c>
    </row>
    <row r="387">
      <c r="A387" s="8" t="s">
        <v>1057</v>
      </c>
      <c r="B387" s="8" t="s">
        <v>1139</v>
      </c>
      <c r="C387" s="7" t="s">
        <v>986</v>
      </c>
      <c r="D387" s="8" t="s">
        <v>1102</v>
      </c>
      <c r="E387" s="7" t="s">
        <v>1058</v>
      </c>
      <c r="F387" s="37"/>
      <c r="G387" s="37" t="s">
        <v>1053</v>
      </c>
      <c r="H387" s="37" t="s">
        <v>1053</v>
      </c>
      <c r="I387" s="7" t="s">
        <v>1058</v>
      </c>
      <c r="J387" s="37"/>
      <c r="K387" s="37" t="s">
        <v>1053</v>
      </c>
      <c r="L387" s="7" t="s">
        <v>986</v>
      </c>
      <c r="M387" s="37"/>
    </row>
    <row r="388">
      <c r="A388" s="8" t="s">
        <v>475</v>
      </c>
      <c r="B388" s="8" t="s">
        <v>114</v>
      </c>
      <c r="C388" s="7" t="s">
        <v>986</v>
      </c>
      <c r="D388" s="8"/>
      <c r="E388" s="37" t="s">
        <v>474</v>
      </c>
      <c r="F388" s="37" t="s">
        <v>475</v>
      </c>
      <c r="G388" s="37" t="s">
        <v>1053</v>
      </c>
      <c r="H388" s="37" t="s">
        <v>2325</v>
      </c>
      <c r="I388" s="37"/>
      <c r="J388" s="37"/>
      <c r="K388" s="37" t="s">
        <v>1053</v>
      </c>
      <c r="L388" s="7" t="s">
        <v>986</v>
      </c>
      <c r="M388" s="37"/>
    </row>
    <row r="389">
      <c r="A389" s="8" t="s">
        <v>475</v>
      </c>
      <c r="B389" s="8" t="s">
        <v>1316</v>
      </c>
      <c r="C389" s="7" t="s">
        <v>986</v>
      </c>
      <c r="D389" s="8"/>
      <c r="E389" s="37" t="s">
        <v>474</v>
      </c>
      <c r="F389" s="37" t="s">
        <v>475</v>
      </c>
      <c r="G389" s="37" t="s">
        <v>1053</v>
      </c>
      <c r="H389" s="37" t="s">
        <v>2325</v>
      </c>
      <c r="I389" s="37"/>
      <c r="J389" s="37"/>
      <c r="K389" s="37" t="s">
        <v>1053</v>
      </c>
      <c r="L389" s="7" t="s">
        <v>986</v>
      </c>
      <c r="M389" s="37"/>
    </row>
    <row r="390">
      <c r="A390" s="8" t="s">
        <v>475</v>
      </c>
      <c r="B390" s="8" t="s">
        <v>1204</v>
      </c>
      <c r="C390" s="7" t="s">
        <v>986</v>
      </c>
      <c r="D390" s="8"/>
      <c r="E390" s="37" t="s">
        <v>474</v>
      </c>
      <c r="F390" s="37" t="s">
        <v>475</v>
      </c>
      <c r="G390" s="37" t="s">
        <v>1053</v>
      </c>
      <c r="H390" s="37" t="s">
        <v>2325</v>
      </c>
      <c r="I390" s="37"/>
      <c r="J390" s="37"/>
      <c r="K390" s="37" t="s">
        <v>1053</v>
      </c>
      <c r="L390" s="7" t="s">
        <v>986</v>
      </c>
      <c r="M390" s="37"/>
    </row>
    <row r="391">
      <c r="A391" s="8" t="s">
        <v>1060</v>
      </c>
      <c r="B391" s="8" t="s">
        <v>1111</v>
      </c>
      <c r="C391" s="7" t="s">
        <v>986</v>
      </c>
      <c r="D391" s="8" t="s">
        <v>1181</v>
      </c>
      <c r="E391" s="7" t="s">
        <v>693</v>
      </c>
      <c r="F391" s="37"/>
      <c r="G391" s="37" t="s">
        <v>1053</v>
      </c>
      <c r="H391" s="37" t="s">
        <v>1053</v>
      </c>
      <c r="I391" s="7" t="s">
        <v>693</v>
      </c>
      <c r="J391" s="37"/>
      <c r="K391" s="37" t="s">
        <v>1053</v>
      </c>
      <c r="L391" s="7" t="s">
        <v>986</v>
      </c>
      <c r="M391" s="37"/>
    </row>
    <row r="392">
      <c r="A392" s="8" t="s">
        <v>1060</v>
      </c>
      <c r="B392" s="8" t="s">
        <v>1317</v>
      </c>
      <c r="C392" s="7" t="s">
        <v>987</v>
      </c>
      <c r="D392" s="8" t="s">
        <v>1181</v>
      </c>
      <c r="E392" s="7" t="s">
        <v>693</v>
      </c>
      <c r="G392" s="37" t="s">
        <v>1053</v>
      </c>
      <c r="H392" s="37" t="s">
        <v>1053</v>
      </c>
      <c r="I392" s="7" t="s">
        <v>693</v>
      </c>
      <c r="K392" s="37" t="s">
        <v>1053</v>
      </c>
      <c r="L392" s="37" t="s">
        <v>1053</v>
      </c>
    </row>
    <row r="393">
      <c r="A393" s="8" t="s">
        <v>1062</v>
      </c>
      <c r="B393" s="8" t="s">
        <v>802</v>
      </c>
      <c r="C393" s="8"/>
      <c r="D393" s="8"/>
      <c r="E393" s="37" t="s">
        <v>298</v>
      </c>
      <c r="F393" s="37" t="s">
        <v>802</v>
      </c>
      <c r="G393" s="37" t="s">
        <v>1063</v>
      </c>
      <c r="H393" s="37" t="s">
        <v>2144</v>
      </c>
      <c r="K393" s="37" t="s">
        <v>1053</v>
      </c>
      <c r="L393" s="37" t="s">
        <v>1053</v>
      </c>
    </row>
    <row r="394">
      <c r="A394" s="8" t="s">
        <v>1062</v>
      </c>
      <c r="B394" s="8" t="s">
        <v>1111</v>
      </c>
      <c r="C394" s="7" t="s">
        <v>986</v>
      </c>
      <c r="D394" s="8" t="s">
        <v>1181</v>
      </c>
      <c r="E394" s="7" t="s">
        <v>298</v>
      </c>
      <c r="F394" s="37"/>
      <c r="G394" s="37" t="s">
        <v>1063</v>
      </c>
      <c r="H394" s="37" t="s">
        <v>1053</v>
      </c>
      <c r="I394" s="7" t="s">
        <v>298</v>
      </c>
      <c r="J394" s="37"/>
      <c r="K394" s="37" t="s">
        <v>1053</v>
      </c>
      <c r="L394" s="7" t="s">
        <v>986</v>
      </c>
      <c r="M394" s="37"/>
    </row>
    <row r="395">
      <c r="A395" s="8" t="s">
        <v>1062</v>
      </c>
      <c r="B395" s="8" t="s">
        <v>1237</v>
      </c>
      <c r="C395" s="7" t="s">
        <v>987</v>
      </c>
      <c r="D395" s="8" t="s">
        <v>1181</v>
      </c>
      <c r="E395" s="7" t="s">
        <v>298</v>
      </c>
      <c r="G395" s="37" t="s">
        <v>1063</v>
      </c>
      <c r="H395" s="37" t="s">
        <v>1053</v>
      </c>
      <c r="I395" s="7" t="s">
        <v>298</v>
      </c>
      <c r="K395" s="37" t="s">
        <v>1053</v>
      </c>
      <c r="L395" s="37" t="s">
        <v>1053</v>
      </c>
    </row>
    <row r="396">
      <c r="A396" s="8" t="s">
        <v>1065</v>
      </c>
      <c r="B396" s="8" t="s">
        <v>1318</v>
      </c>
      <c r="C396" s="7" t="s">
        <v>987</v>
      </c>
      <c r="D396" s="8" t="s">
        <v>1181</v>
      </c>
      <c r="E396" s="7" t="s">
        <v>478</v>
      </c>
      <c r="G396" s="37" t="s">
        <v>1066</v>
      </c>
      <c r="H396" s="37" t="s">
        <v>1053</v>
      </c>
      <c r="I396" s="7" t="s">
        <v>478</v>
      </c>
      <c r="K396" s="37" t="s">
        <v>1053</v>
      </c>
      <c r="L396" s="37" t="s">
        <v>1053</v>
      </c>
    </row>
    <row r="397">
      <c r="A397" s="8" t="s">
        <v>1065</v>
      </c>
      <c r="B397" s="8" t="s">
        <v>1319</v>
      </c>
      <c r="C397" s="7" t="s">
        <v>987</v>
      </c>
      <c r="D397" s="8" t="s">
        <v>1181</v>
      </c>
      <c r="E397" s="7" t="s">
        <v>478</v>
      </c>
      <c r="G397" s="37" t="s">
        <v>1066</v>
      </c>
      <c r="H397" s="37" t="s">
        <v>1053</v>
      </c>
      <c r="I397" s="7" t="s">
        <v>478</v>
      </c>
      <c r="K397" s="37" t="s">
        <v>1053</v>
      </c>
      <c r="L397" s="37" t="s">
        <v>1053</v>
      </c>
    </row>
    <row r="398">
      <c r="A398" s="8" t="s">
        <v>1065</v>
      </c>
      <c r="B398" s="8" t="s">
        <v>1320</v>
      </c>
      <c r="C398" s="7" t="s">
        <v>987</v>
      </c>
      <c r="D398" s="8" t="s">
        <v>1181</v>
      </c>
      <c r="E398" s="7" t="s">
        <v>298</v>
      </c>
      <c r="G398" s="37" t="s">
        <v>1063</v>
      </c>
      <c r="H398" s="37" t="s">
        <v>1053</v>
      </c>
      <c r="I398" s="7" t="s">
        <v>298</v>
      </c>
      <c r="K398" s="37" t="s">
        <v>1053</v>
      </c>
      <c r="L398" s="37" t="s">
        <v>1053</v>
      </c>
    </row>
    <row r="399">
      <c r="A399" s="8" t="s">
        <v>1065</v>
      </c>
      <c r="B399" s="8" t="s">
        <v>1321</v>
      </c>
      <c r="C399" s="7" t="s">
        <v>987</v>
      </c>
      <c r="D399" s="8" t="s">
        <v>1181</v>
      </c>
      <c r="E399" s="7" t="s">
        <v>478</v>
      </c>
      <c r="G399" s="37" t="s">
        <v>1066</v>
      </c>
      <c r="H399" s="37" t="s">
        <v>1053</v>
      </c>
      <c r="I399" s="7" t="s">
        <v>478</v>
      </c>
      <c r="K399" s="37" t="s">
        <v>1053</v>
      </c>
      <c r="L399" s="37" t="s">
        <v>1053</v>
      </c>
    </row>
    <row r="400">
      <c r="A400" s="8" t="s">
        <v>1065</v>
      </c>
      <c r="B400" s="8" t="s">
        <v>1322</v>
      </c>
      <c r="C400" s="7" t="s">
        <v>986</v>
      </c>
      <c r="D400" s="8" t="s">
        <v>1181</v>
      </c>
      <c r="E400" s="7" t="s">
        <v>478</v>
      </c>
      <c r="F400" s="37"/>
      <c r="G400" s="37" t="s">
        <v>1066</v>
      </c>
      <c r="H400" s="37" t="s">
        <v>1053</v>
      </c>
      <c r="I400" s="7" t="s">
        <v>478</v>
      </c>
      <c r="J400" s="37"/>
      <c r="K400" s="37" t="s">
        <v>1053</v>
      </c>
      <c r="L400" s="7" t="s">
        <v>986</v>
      </c>
      <c r="M400" s="37"/>
    </row>
    <row r="401">
      <c r="A401" s="8" t="s">
        <v>1065</v>
      </c>
      <c r="B401" s="8" t="s">
        <v>444</v>
      </c>
      <c r="C401" s="7" t="s">
        <v>987</v>
      </c>
      <c r="D401" s="8" t="s">
        <v>1181</v>
      </c>
      <c r="E401" s="7" t="s">
        <v>478</v>
      </c>
      <c r="G401" s="37" t="s">
        <v>1066</v>
      </c>
      <c r="H401" s="37" t="s">
        <v>1053</v>
      </c>
      <c r="I401" s="7" t="s">
        <v>478</v>
      </c>
      <c r="K401" s="37" t="s">
        <v>1053</v>
      </c>
      <c r="L401" s="37" t="s">
        <v>1053</v>
      </c>
    </row>
    <row r="402">
      <c r="A402" s="8" t="s">
        <v>1065</v>
      </c>
      <c r="B402" s="8" t="s">
        <v>1323</v>
      </c>
      <c r="C402" s="7" t="s">
        <v>987</v>
      </c>
      <c r="D402" s="8" t="s">
        <v>1181</v>
      </c>
      <c r="E402" s="7" t="s">
        <v>478</v>
      </c>
      <c r="G402" s="37" t="s">
        <v>1066</v>
      </c>
      <c r="H402" s="37" t="s">
        <v>1053</v>
      </c>
      <c r="I402" s="7" t="s">
        <v>478</v>
      </c>
      <c r="K402" s="37" t="s">
        <v>1053</v>
      </c>
      <c r="L402" s="37" t="s">
        <v>1053</v>
      </c>
    </row>
    <row r="403">
      <c r="A403" s="8" t="s">
        <v>1065</v>
      </c>
      <c r="B403" s="8" t="s">
        <v>1324</v>
      </c>
      <c r="C403" s="7" t="s">
        <v>987</v>
      </c>
      <c r="D403" s="8" t="s">
        <v>1181</v>
      </c>
      <c r="E403" s="7" t="s">
        <v>478</v>
      </c>
      <c r="G403" s="37" t="s">
        <v>1066</v>
      </c>
      <c r="H403" s="37" t="s">
        <v>1053</v>
      </c>
      <c r="I403" s="7" t="s">
        <v>478</v>
      </c>
      <c r="K403" s="37" t="s">
        <v>1053</v>
      </c>
      <c r="L403" s="37" t="s">
        <v>1053</v>
      </c>
    </row>
    <row r="404">
      <c r="A404" s="8" t="s">
        <v>1065</v>
      </c>
      <c r="B404" s="8" t="s">
        <v>1204</v>
      </c>
      <c r="C404" s="7" t="s">
        <v>987</v>
      </c>
      <c r="D404" s="8" t="s">
        <v>1181</v>
      </c>
      <c r="E404" s="7" t="s">
        <v>1105</v>
      </c>
      <c r="G404" s="37" t="s">
        <v>1053</v>
      </c>
      <c r="H404" s="37" t="s">
        <v>1053</v>
      </c>
      <c r="I404" s="7" t="s">
        <v>1105</v>
      </c>
      <c r="K404" s="37" t="s">
        <v>1053</v>
      </c>
      <c r="L404" s="37" t="s">
        <v>1053</v>
      </c>
    </row>
    <row r="405">
      <c r="A405" s="8" t="s">
        <v>1068</v>
      </c>
      <c r="B405" s="8" t="s">
        <v>1225</v>
      </c>
      <c r="C405" s="7" t="s">
        <v>987</v>
      </c>
      <c r="D405" s="8" t="s">
        <v>1102</v>
      </c>
      <c r="E405" s="7" t="s">
        <v>1188</v>
      </c>
      <c r="G405" s="37" t="s">
        <v>1053</v>
      </c>
      <c r="H405" s="37" t="s">
        <v>1053</v>
      </c>
      <c r="I405" s="7" t="s">
        <v>1188</v>
      </c>
      <c r="K405" s="37" t="s">
        <v>1053</v>
      </c>
      <c r="L405" s="37" t="s">
        <v>1053</v>
      </c>
    </row>
    <row r="406">
      <c r="A406" s="8" t="s">
        <v>1068</v>
      </c>
      <c r="B406" s="8" t="s">
        <v>1227</v>
      </c>
      <c r="C406" s="7" t="s">
        <v>987</v>
      </c>
      <c r="D406" s="8" t="s">
        <v>1102</v>
      </c>
      <c r="E406" s="7" t="s">
        <v>693</v>
      </c>
      <c r="G406" s="37" t="s">
        <v>1053</v>
      </c>
      <c r="H406" s="37" t="s">
        <v>1053</v>
      </c>
      <c r="I406" s="7" t="s">
        <v>693</v>
      </c>
      <c r="K406" s="37" t="s">
        <v>1053</v>
      </c>
      <c r="L406" s="37" t="s">
        <v>1053</v>
      </c>
    </row>
    <row r="407">
      <c r="A407" s="8" t="s">
        <v>1068</v>
      </c>
      <c r="B407" s="8" t="s">
        <v>1111</v>
      </c>
      <c r="C407" s="7" t="s">
        <v>986</v>
      </c>
      <c r="D407" s="8" t="s">
        <v>1102</v>
      </c>
      <c r="E407" s="7" t="s">
        <v>1105</v>
      </c>
      <c r="F407" s="37"/>
      <c r="G407" s="37" t="s">
        <v>1053</v>
      </c>
      <c r="H407" s="37" t="s">
        <v>1053</v>
      </c>
      <c r="I407" s="7" t="s">
        <v>1105</v>
      </c>
      <c r="J407" s="37"/>
      <c r="K407" s="37" t="s">
        <v>1053</v>
      </c>
      <c r="L407" s="7" t="s">
        <v>986</v>
      </c>
      <c r="M407" s="37"/>
    </row>
    <row r="408">
      <c r="A408" s="8" t="s">
        <v>1068</v>
      </c>
      <c r="B408" s="8" t="s">
        <v>1229</v>
      </c>
      <c r="C408" s="7" t="s">
        <v>987</v>
      </c>
      <c r="D408" s="8" t="s">
        <v>1102</v>
      </c>
      <c r="E408" s="7" t="s">
        <v>1188</v>
      </c>
      <c r="G408" s="37" t="s">
        <v>1053</v>
      </c>
      <c r="H408" s="37" t="s">
        <v>1053</v>
      </c>
      <c r="I408" s="7" t="s">
        <v>1188</v>
      </c>
      <c r="K408" s="37" t="s">
        <v>1053</v>
      </c>
      <c r="L408" s="37" t="s">
        <v>1053</v>
      </c>
    </row>
    <row r="409">
      <c r="A409" s="8" t="s">
        <v>1071</v>
      </c>
      <c r="B409" s="8" t="s">
        <v>1286</v>
      </c>
      <c r="C409" s="7" t="s">
        <v>987</v>
      </c>
      <c r="D409" s="8" t="s">
        <v>1181</v>
      </c>
      <c r="E409" s="7" t="s">
        <v>1215</v>
      </c>
      <c r="G409" s="37" t="s">
        <v>1053</v>
      </c>
      <c r="H409" s="37" t="s">
        <v>1053</v>
      </c>
      <c r="I409" s="7" t="s">
        <v>1215</v>
      </c>
      <c r="K409" s="37" t="s">
        <v>1053</v>
      </c>
      <c r="L409" s="37" t="s">
        <v>1053</v>
      </c>
    </row>
    <row r="410">
      <c r="A410" s="8" t="s">
        <v>1071</v>
      </c>
      <c r="B410" s="8" t="s">
        <v>1289</v>
      </c>
      <c r="C410" s="7" t="s">
        <v>987</v>
      </c>
      <c r="D410" s="8" t="s">
        <v>1181</v>
      </c>
      <c r="E410" s="7" t="s">
        <v>1246</v>
      </c>
      <c r="G410" s="37" t="s">
        <v>1053</v>
      </c>
      <c r="H410" s="37" t="s">
        <v>1053</v>
      </c>
      <c r="I410" s="7" t="s">
        <v>1246</v>
      </c>
      <c r="K410" s="37" t="s">
        <v>1053</v>
      </c>
      <c r="L410" s="37" t="s">
        <v>1053</v>
      </c>
    </row>
    <row r="411">
      <c r="A411" s="8" t="s">
        <v>1071</v>
      </c>
      <c r="B411" s="8" t="s">
        <v>1290</v>
      </c>
      <c r="C411" s="7" t="s">
        <v>986</v>
      </c>
      <c r="D411" s="8" t="s">
        <v>1181</v>
      </c>
      <c r="E411" s="7" t="s">
        <v>1291</v>
      </c>
      <c r="F411" s="37"/>
      <c r="G411" s="37" t="s">
        <v>1053</v>
      </c>
      <c r="H411" s="37" t="s">
        <v>1053</v>
      </c>
      <c r="I411" s="7" t="s">
        <v>1291</v>
      </c>
      <c r="J411" s="37"/>
      <c r="K411" s="37" t="s">
        <v>1053</v>
      </c>
      <c r="L411" s="7" t="s">
        <v>986</v>
      </c>
      <c r="M411" s="37"/>
    </row>
    <row r="412">
      <c r="A412" s="8" t="s">
        <v>1071</v>
      </c>
      <c r="B412" s="8" t="s">
        <v>1292</v>
      </c>
      <c r="C412" s="7" t="s">
        <v>986</v>
      </c>
      <c r="D412" s="8" t="s">
        <v>1181</v>
      </c>
      <c r="E412" s="7" t="s">
        <v>391</v>
      </c>
      <c r="F412" s="37"/>
      <c r="G412" s="37" t="s">
        <v>1053</v>
      </c>
      <c r="H412" s="37" t="s">
        <v>1053</v>
      </c>
      <c r="I412" s="7" t="s">
        <v>391</v>
      </c>
      <c r="J412" s="37"/>
      <c r="K412" s="37" t="s">
        <v>1053</v>
      </c>
      <c r="L412" s="7" t="s">
        <v>986</v>
      </c>
      <c r="M412" s="37"/>
    </row>
    <row r="413">
      <c r="A413" s="8" t="s">
        <v>1071</v>
      </c>
      <c r="B413" s="8" t="s">
        <v>1104</v>
      </c>
      <c r="C413" s="7" t="s">
        <v>986</v>
      </c>
      <c r="D413" s="8" t="s">
        <v>1181</v>
      </c>
      <c r="E413" s="7" t="s">
        <v>1105</v>
      </c>
      <c r="F413" s="37"/>
      <c r="G413" s="37" t="s">
        <v>1053</v>
      </c>
      <c r="H413" s="37" t="s">
        <v>1053</v>
      </c>
      <c r="I413" s="7" t="s">
        <v>1105</v>
      </c>
      <c r="J413" s="37"/>
      <c r="K413" s="37" t="s">
        <v>1053</v>
      </c>
      <c r="L413" s="7" t="s">
        <v>986</v>
      </c>
      <c r="M413" s="37"/>
    </row>
    <row r="414">
      <c r="A414" s="8" t="s">
        <v>1072</v>
      </c>
      <c r="B414" s="8" t="s">
        <v>1325</v>
      </c>
      <c r="C414" s="7" t="s">
        <v>986</v>
      </c>
      <c r="D414" s="8" t="s">
        <v>1052</v>
      </c>
      <c r="E414" s="7" t="s">
        <v>1105</v>
      </c>
      <c r="F414" s="37"/>
      <c r="G414" s="37" t="s">
        <v>1053</v>
      </c>
      <c r="H414" s="37" t="s">
        <v>1053</v>
      </c>
      <c r="I414" s="7" t="s">
        <v>1105</v>
      </c>
      <c r="J414" s="37"/>
      <c r="K414" s="37" t="s">
        <v>1053</v>
      </c>
      <c r="L414" s="7" t="s">
        <v>986</v>
      </c>
      <c r="M414" s="37"/>
    </row>
    <row r="415">
      <c r="A415" s="8" t="s">
        <v>1075</v>
      </c>
      <c r="B415" s="8" t="s">
        <v>1131</v>
      </c>
      <c r="C415" s="7" t="s">
        <v>987</v>
      </c>
      <c r="D415" s="8" t="s">
        <v>1102</v>
      </c>
      <c r="E415" s="7" t="s">
        <v>1097</v>
      </c>
      <c r="G415" s="37" t="s">
        <v>1053</v>
      </c>
      <c r="H415" s="37" t="s">
        <v>1053</v>
      </c>
      <c r="I415" s="7" t="s">
        <v>1097</v>
      </c>
      <c r="K415" s="37" t="s">
        <v>1053</v>
      </c>
      <c r="L415" s="37" t="s">
        <v>1053</v>
      </c>
    </row>
    <row r="416">
      <c r="A416" s="8" t="s">
        <v>1075</v>
      </c>
      <c r="B416" s="8" t="s">
        <v>1326</v>
      </c>
      <c r="C416" s="7" t="s">
        <v>987</v>
      </c>
      <c r="D416" s="8" t="s">
        <v>1102</v>
      </c>
      <c r="E416" s="7" t="s">
        <v>693</v>
      </c>
      <c r="G416" s="37" t="s">
        <v>1053</v>
      </c>
      <c r="H416" s="37" t="s">
        <v>1053</v>
      </c>
      <c r="I416" s="7" t="s">
        <v>693</v>
      </c>
      <c r="K416" s="37" t="s">
        <v>1053</v>
      </c>
      <c r="L416" s="37" t="s">
        <v>1053</v>
      </c>
    </row>
    <row r="417">
      <c r="A417" s="8" t="s">
        <v>1075</v>
      </c>
      <c r="B417" s="8" t="s">
        <v>1327</v>
      </c>
      <c r="C417" s="7" t="s">
        <v>987</v>
      </c>
      <c r="D417" s="8" t="s">
        <v>1102</v>
      </c>
      <c r="E417" s="7" t="s">
        <v>1188</v>
      </c>
      <c r="G417" s="37" t="s">
        <v>1053</v>
      </c>
      <c r="H417" s="37" t="s">
        <v>1053</v>
      </c>
      <c r="I417" s="7" t="s">
        <v>1188</v>
      </c>
      <c r="K417" s="37" t="s">
        <v>1053</v>
      </c>
      <c r="L417" s="37" t="s">
        <v>1053</v>
      </c>
    </row>
    <row r="418">
      <c r="A418" s="8" t="s">
        <v>1075</v>
      </c>
      <c r="B418" s="8" t="s">
        <v>1109</v>
      </c>
      <c r="C418" s="7" t="s">
        <v>987</v>
      </c>
      <c r="D418" s="8" t="s">
        <v>1102</v>
      </c>
      <c r="E418" s="7" t="s">
        <v>1110</v>
      </c>
      <c r="G418" s="37" t="s">
        <v>1053</v>
      </c>
      <c r="H418" s="37" t="s">
        <v>1053</v>
      </c>
      <c r="I418" s="7" t="s">
        <v>1110</v>
      </c>
      <c r="K418" s="37" t="s">
        <v>1053</v>
      </c>
      <c r="L418" s="37" t="s">
        <v>1053</v>
      </c>
    </row>
    <row r="419">
      <c r="A419" s="8" t="s">
        <v>1075</v>
      </c>
      <c r="B419" s="8" t="s">
        <v>1188</v>
      </c>
      <c r="C419" s="7" t="s">
        <v>987</v>
      </c>
      <c r="D419" s="8" t="s">
        <v>1102</v>
      </c>
      <c r="E419" s="7" t="s">
        <v>1188</v>
      </c>
      <c r="G419" s="37" t="s">
        <v>1053</v>
      </c>
      <c r="H419" s="37" t="s">
        <v>1053</v>
      </c>
      <c r="I419" s="7" t="s">
        <v>1188</v>
      </c>
      <c r="K419" s="37" t="s">
        <v>1053</v>
      </c>
      <c r="L419" s="37" t="s">
        <v>1053</v>
      </c>
    </row>
    <row r="420">
      <c r="A420" s="8" t="s">
        <v>1075</v>
      </c>
      <c r="B420" s="8" t="s">
        <v>1328</v>
      </c>
      <c r="C420" s="7" t="s">
        <v>987</v>
      </c>
      <c r="D420" s="8" t="s">
        <v>1102</v>
      </c>
      <c r="E420" s="7" t="s">
        <v>1103</v>
      </c>
      <c r="G420" s="37" t="s">
        <v>1053</v>
      </c>
      <c r="H420" s="37" t="s">
        <v>1053</v>
      </c>
      <c r="I420" s="7" t="s">
        <v>1103</v>
      </c>
      <c r="K420" s="37" t="s">
        <v>1053</v>
      </c>
      <c r="L420" s="37" t="s">
        <v>1053</v>
      </c>
    </row>
    <row r="421">
      <c r="A421" s="8" t="s">
        <v>1075</v>
      </c>
      <c r="B421" s="8" t="s">
        <v>1111</v>
      </c>
      <c r="C421" s="7" t="s">
        <v>987</v>
      </c>
      <c r="D421" s="8" t="s">
        <v>1102</v>
      </c>
      <c r="E421" s="7" t="s">
        <v>1105</v>
      </c>
      <c r="G421" s="37" t="s">
        <v>1053</v>
      </c>
      <c r="H421" s="37" t="s">
        <v>1053</v>
      </c>
      <c r="I421" s="7" t="s">
        <v>1105</v>
      </c>
      <c r="K421" s="37" t="s">
        <v>1053</v>
      </c>
      <c r="L421" s="37" t="s">
        <v>1053</v>
      </c>
    </row>
    <row r="422">
      <c r="A422" s="8" t="s">
        <v>1075</v>
      </c>
      <c r="B422" s="8" t="s">
        <v>1112</v>
      </c>
      <c r="C422" s="7" t="s">
        <v>987</v>
      </c>
      <c r="D422" s="8" t="s">
        <v>1102</v>
      </c>
      <c r="E422" s="7" t="s">
        <v>1110</v>
      </c>
      <c r="G422" s="37" t="s">
        <v>1053</v>
      </c>
      <c r="H422" s="37" t="s">
        <v>1053</v>
      </c>
      <c r="I422" s="7" t="s">
        <v>1110</v>
      </c>
      <c r="K422" s="37" t="s">
        <v>1053</v>
      </c>
      <c r="L422" s="37" t="s">
        <v>1053</v>
      </c>
    </row>
    <row r="423">
      <c r="A423" s="8" t="s">
        <v>1078</v>
      </c>
      <c r="B423" s="8" t="s">
        <v>1329</v>
      </c>
      <c r="C423" s="7" t="s">
        <v>986</v>
      </c>
      <c r="D423" s="8" t="s">
        <v>1102</v>
      </c>
      <c r="E423" s="7" t="s">
        <v>587</v>
      </c>
      <c r="F423" s="37"/>
      <c r="G423" s="37" t="s">
        <v>2198</v>
      </c>
      <c r="H423" s="37" t="s">
        <v>1053</v>
      </c>
      <c r="I423" s="7" t="s">
        <v>587</v>
      </c>
      <c r="J423" s="37"/>
      <c r="K423" s="37" t="s">
        <v>1053</v>
      </c>
      <c r="L423" s="7" t="s">
        <v>986</v>
      </c>
      <c r="M423" s="37"/>
    </row>
    <row r="424">
      <c r="A424" s="8" t="s">
        <v>1078</v>
      </c>
      <c r="B424" s="8" t="s">
        <v>432</v>
      </c>
      <c r="C424" s="8"/>
      <c r="D424" s="8"/>
      <c r="E424" s="37" t="s">
        <v>429</v>
      </c>
      <c r="F424" s="37" t="s">
        <v>432</v>
      </c>
      <c r="G424" s="37" t="s">
        <v>2096</v>
      </c>
      <c r="H424" s="37" t="s">
        <v>2109</v>
      </c>
      <c r="K424" s="37" t="s">
        <v>1053</v>
      </c>
      <c r="L424" s="37" t="s">
        <v>1053</v>
      </c>
    </row>
    <row r="425">
      <c r="A425" s="8" t="s">
        <v>1078</v>
      </c>
      <c r="B425" s="8" t="s">
        <v>430</v>
      </c>
      <c r="C425" s="7" t="s">
        <v>986</v>
      </c>
      <c r="D425" s="8"/>
      <c r="E425" s="37" t="s">
        <v>429</v>
      </c>
      <c r="F425" s="37" t="s">
        <v>430</v>
      </c>
      <c r="G425" s="37" t="s">
        <v>2096</v>
      </c>
      <c r="H425" s="37" t="s">
        <v>1053</v>
      </c>
      <c r="I425" s="37"/>
      <c r="J425" s="37"/>
      <c r="K425" s="37" t="s">
        <v>1053</v>
      </c>
      <c r="L425" s="7" t="s">
        <v>986</v>
      </c>
      <c r="M425" s="37"/>
    </row>
    <row r="426">
      <c r="A426" s="8" t="s">
        <v>1078</v>
      </c>
      <c r="B426" s="8" t="s">
        <v>1330</v>
      </c>
      <c r="C426" s="7" t="s">
        <v>986</v>
      </c>
      <c r="D426" s="8" t="s">
        <v>1102</v>
      </c>
      <c r="E426" s="37" t="str">
        <f t="array" ref="E426">XLOOKUP(F426,'部署遍歴'!D:D,'部署遍歴'!B:B,"×")</f>
        <v>経営推進本部</v>
      </c>
      <c r="F426" s="37" t="s">
        <v>430</v>
      </c>
      <c r="G426" s="37" t="s">
        <v>1053</v>
      </c>
      <c r="H426" s="37" t="s">
        <v>1053</v>
      </c>
      <c r="I426" s="7" t="s">
        <v>1331</v>
      </c>
      <c r="J426" s="37"/>
      <c r="K426" s="37" t="s">
        <v>430</v>
      </c>
      <c r="L426" s="7" t="s">
        <v>986</v>
      </c>
      <c r="M426" s="37"/>
    </row>
    <row r="427">
      <c r="A427" s="8" t="s">
        <v>1078</v>
      </c>
      <c r="B427" s="8" t="s">
        <v>1332</v>
      </c>
      <c r="C427" s="7" t="s">
        <v>987</v>
      </c>
      <c r="D427" s="8" t="s">
        <v>1102</v>
      </c>
      <c r="E427" s="7" t="s">
        <v>1215</v>
      </c>
      <c r="G427" s="37" t="s">
        <v>1053</v>
      </c>
      <c r="H427" s="37" t="s">
        <v>1053</v>
      </c>
      <c r="I427" s="7" t="s">
        <v>1215</v>
      </c>
      <c r="K427" s="37" t="s">
        <v>1053</v>
      </c>
      <c r="L427" s="37" t="s">
        <v>1053</v>
      </c>
    </row>
    <row r="428">
      <c r="A428" s="8" t="s">
        <v>1078</v>
      </c>
      <c r="B428" s="8" t="s">
        <v>1232</v>
      </c>
      <c r="C428" s="7" t="s">
        <v>986</v>
      </c>
      <c r="D428" s="8" t="s">
        <v>1102</v>
      </c>
      <c r="E428" s="7" t="s">
        <v>587</v>
      </c>
      <c r="F428" s="37"/>
      <c r="G428" s="37" t="s">
        <v>2198</v>
      </c>
      <c r="H428" s="37" t="s">
        <v>1053</v>
      </c>
      <c r="I428" s="7" t="s">
        <v>587</v>
      </c>
      <c r="J428" s="37"/>
      <c r="K428" s="37" t="s">
        <v>1053</v>
      </c>
      <c r="L428" s="7" t="s">
        <v>986</v>
      </c>
      <c r="M428" s="37"/>
    </row>
    <row r="429">
      <c r="A429" s="8" t="s">
        <v>1078</v>
      </c>
      <c r="B429" s="8" t="s">
        <v>1233</v>
      </c>
      <c r="C429" s="7" t="s">
        <v>986</v>
      </c>
      <c r="D429" s="8" t="s">
        <v>1102</v>
      </c>
      <c r="E429" s="7" t="s">
        <v>587</v>
      </c>
      <c r="F429" s="37"/>
      <c r="G429" s="37" t="s">
        <v>2198</v>
      </c>
      <c r="H429" s="37" t="s">
        <v>1053</v>
      </c>
      <c r="I429" s="7" t="s">
        <v>587</v>
      </c>
      <c r="J429" s="37"/>
      <c r="K429" s="37" t="s">
        <v>1053</v>
      </c>
      <c r="L429" s="7" t="s">
        <v>986</v>
      </c>
      <c r="M429" s="37"/>
    </row>
    <row r="430">
      <c r="A430" s="8" t="s">
        <v>1078</v>
      </c>
      <c r="B430" s="8" t="s">
        <v>443</v>
      </c>
      <c r="C430" s="8"/>
      <c r="D430" s="8"/>
      <c r="E430" s="37" t="s">
        <v>440</v>
      </c>
      <c r="F430" s="37" t="s">
        <v>443</v>
      </c>
      <c r="G430" s="37" t="s">
        <v>1723</v>
      </c>
      <c r="H430" s="37" t="s">
        <v>1053</v>
      </c>
      <c r="K430" s="37" t="s">
        <v>1053</v>
      </c>
      <c r="L430" s="37" t="s">
        <v>1053</v>
      </c>
    </row>
    <row r="431">
      <c r="A431" s="8" t="s">
        <v>1078</v>
      </c>
      <c r="B431" s="8" t="s">
        <v>1236</v>
      </c>
      <c r="C431" s="7" t="s">
        <v>986</v>
      </c>
      <c r="D431" s="8" t="s">
        <v>1102</v>
      </c>
      <c r="E431" s="7" t="s">
        <v>1331</v>
      </c>
      <c r="F431" s="37"/>
      <c r="G431" s="37" t="s">
        <v>1053</v>
      </c>
      <c r="H431" s="37" t="s">
        <v>1053</v>
      </c>
      <c r="I431" s="7" t="s">
        <v>1331</v>
      </c>
      <c r="J431" s="37"/>
      <c r="K431" s="37" t="s">
        <v>1053</v>
      </c>
      <c r="L431" s="7" t="s">
        <v>986</v>
      </c>
      <c r="M431" s="37"/>
    </row>
    <row r="432">
      <c r="A432" s="8" t="s">
        <v>1078</v>
      </c>
      <c r="B432" s="8" t="s">
        <v>1111</v>
      </c>
      <c r="C432" s="7" t="s">
        <v>987</v>
      </c>
      <c r="D432" s="8" t="s">
        <v>1102</v>
      </c>
      <c r="E432" s="63" t="s">
        <v>440</v>
      </c>
      <c r="F432" s="64" t="s">
        <v>443</v>
      </c>
      <c r="G432" s="37" t="s">
        <v>1053</v>
      </c>
      <c r="H432" s="37" t="s">
        <v>1053</v>
      </c>
      <c r="I432" s="7" t="s">
        <v>1105</v>
      </c>
      <c r="K432" s="37" t="s">
        <v>1053</v>
      </c>
      <c r="L432" s="37" t="s">
        <v>1053</v>
      </c>
    </row>
    <row r="433">
      <c r="A433" s="8" t="s">
        <v>1078</v>
      </c>
      <c r="B433" s="8" t="s">
        <v>1333</v>
      </c>
      <c r="C433" s="7" t="s">
        <v>986</v>
      </c>
      <c r="D433" s="8" t="s">
        <v>1102</v>
      </c>
      <c r="E433" s="7" t="s">
        <v>587</v>
      </c>
      <c r="F433" s="37"/>
      <c r="G433" s="37" t="s">
        <v>2198</v>
      </c>
      <c r="H433" s="37" t="s">
        <v>1053</v>
      </c>
      <c r="I433" s="7" t="s">
        <v>587</v>
      </c>
      <c r="J433" s="37"/>
      <c r="K433" s="37" t="s">
        <v>1053</v>
      </c>
      <c r="L433" s="7" t="s">
        <v>986</v>
      </c>
      <c r="M433" s="37"/>
    </row>
    <row r="434">
      <c r="A434" s="8" t="s">
        <v>1081</v>
      </c>
      <c r="B434" s="8" t="s">
        <v>1159</v>
      </c>
      <c r="C434" s="7" t="s">
        <v>986</v>
      </c>
      <c r="D434" s="8" t="s">
        <v>1102</v>
      </c>
      <c r="E434" s="7" t="s">
        <v>693</v>
      </c>
      <c r="F434" s="37"/>
      <c r="G434" s="37" t="s">
        <v>1053</v>
      </c>
      <c r="H434" s="37" t="s">
        <v>1053</v>
      </c>
      <c r="I434" s="7" t="s">
        <v>693</v>
      </c>
      <c r="J434" s="37"/>
      <c r="K434" s="37" t="s">
        <v>1053</v>
      </c>
      <c r="L434" s="7" t="s">
        <v>986</v>
      </c>
      <c r="M434" s="37"/>
    </row>
    <row r="435">
      <c r="A435" s="8" t="s">
        <v>1081</v>
      </c>
      <c r="B435" s="8" t="s">
        <v>1111</v>
      </c>
      <c r="C435" s="7" t="s">
        <v>986</v>
      </c>
      <c r="D435" s="8" t="s">
        <v>1102</v>
      </c>
      <c r="E435" s="7" t="s">
        <v>1105</v>
      </c>
      <c r="F435" s="37"/>
      <c r="G435" s="37" t="s">
        <v>1053</v>
      </c>
      <c r="H435" s="37" t="s">
        <v>1053</v>
      </c>
      <c r="I435" s="7" t="s">
        <v>1105</v>
      </c>
      <c r="J435" s="37"/>
      <c r="K435" s="37" t="s">
        <v>1053</v>
      </c>
      <c r="L435" s="7" t="s">
        <v>986</v>
      </c>
      <c r="M435" s="37"/>
    </row>
    <row r="436">
      <c r="A436" s="8" t="s">
        <v>1081</v>
      </c>
      <c r="B436" s="8" t="s">
        <v>1160</v>
      </c>
      <c r="C436" s="7" t="s">
        <v>987</v>
      </c>
      <c r="D436" s="8" t="s">
        <v>1102</v>
      </c>
      <c r="E436" s="7" t="s">
        <v>693</v>
      </c>
      <c r="G436" s="37" t="s">
        <v>1053</v>
      </c>
      <c r="H436" s="37" t="s">
        <v>1053</v>
      </c>
      <c r="I436" s="7" t="s">
        <v>693</v>
      </c>
      <c r="K436" s="37" t="s">
        <v>1053</v>
      </c>
      <c r="L436" s="37" t="s">
        <v>1053</v>
      </c>
    </row>
    <row r="437">
      <c r="A437" s="8" t="s">
        <v>1082</v>
      </c>
      <c r="B437" s="8" t="s">
        <v>1139</v>
      </c>
      <c r="C437" s="7" t="s">
        <v>987</v>
      </c>
      <c r="D437" s="8" t="s">
        <v>1197</v>
      </c>
      <c r="E437" s="7" t="s">
        <v>1105</v>
      </c>
      <c r="G437" s="37" t="s">
        <v>1053</v>
      </c>
      <c r="H437" s="37" t="s">
        <v>1053</v>
      </c>
      <c r="I437" s="7" t="s">
        <v>1105</v>
      </c>
      <c r="K437" s="37" t="s">
        <v>1053</v>
      </c>
      <c r="L437" s="37" t="s">
        <v>1053</v>
      </c>
    </row>
    <row r="438">
      <c r="A438" s="8" t="s">
        <v>613</v>
      </c>
      <c r="B438" s="8" t="s">
        <v>104</v>
      </c>
      <c r="C438" s="8"/>
      <c r="D438" s="8"/>
      <c r="E438" s="37" t="s">
        <v>101</v>
      </c>
      <c r="F438" s="37" t="s">
        <v>104</v>
      </c>
      <c r="G438" s="37" t="s">
        <v>1053</v>
      </c>
      <c r="H438" s="37" t="s">
        <v>2027</v>
      </c>
      <c r="K438" s="37" t="s">
        <v>1053</v>
      </c>
      <c r="L438" s="37" t="s">
        <v>1053</v>
      </c>
    </row>
    <row r="439">
      <c r="A439" s="8" t="s">
        <v>613</v>
      </c>
      <c r="B439" s="8" t="s">
        <v>1111</v>
      </c>
      <c r="C439" s="8"/>
      <c r="D439" s="8"/>
      <c r="E439" s="37" t="s">
        <v>101</v>
      </c>
      <c r="F439" s="37" t="s">
        <v>1053</v>
      </c>
      <c r="G439" s="37" t="s">
        <v>1053</v>
      </c>
      <c r="H439" s="37" t="s">
        <v>1053</v>
      </c>
      <c r="K439" s="37" t="s">
        <v>1053</v>
      </c>
      <c r="L439" s="37" t="s">
        <v>1053</v>
      </c>
    </row>
    <row r="440">
      <c r="A440" s="8" t="s">
        <v>613</v>
      </c>
      <c r="B440" s="8" t="s">
        <v>106</v>
      </c>
      <c r="C440" s="8"/>
      <c r="D440" s="8"/>
      <c r="E440" s="37" t="s">
        <v>101</v>
      </c>
      <c r="F440" s="37" t="s">
        <v>106</v>
      </c>
      <c r="G440" s="37" t="s">
        <v>1053</v>
      </c>
      <c r="H440" s="37" t="s">
        <v>2149</v>
      </c>
      <c r="K440" s="37" t="s">
        <v>1053</v>
      </c>
      <c r="L440" s="37" t="s">
        <v>1053</v>
      </c>
    </row>
    <row r="441">
      <c r="A441" s="8" t="s">
        <v>1085</v>
      </c>
      <c r="B441" s="8" t="s">
        <v>1243</v>
      </c>
      <c r="C441" s="7" t="s">
        <v>987</v>
      </c>
      <c r="D441" s="8" t="s">
        <v>1052</v>
      </c>
      <c r="E441" s="7" t="s">
        <v>1105</v>
      </c>
      <c r="G441" s="37" t="s">
        <v>1053</v>
      </c>
      <c r="H441" s="37" t="s">
        <v>1053</v>
      </c>
      <c r="I441" s="7" t="s">
        <v>1105</v>
      </c>
      <c r="K441" s="37" t="s">
        <v>1053</v>
      </c>
      <c r="L441" s="37" t="s">
        <v>1053</v>
      </c>
    </row>
    <row r="442">
      <c r="A442" s="8" t="s">
        <v>1085</v>
      </c>
      <c r="B442" s="8" t="s">
        <v>1226</v>
      </c>
      <c r="C442" s="7" t="s">
        <v>986</v>
      </c>
      <c r="D442" s="8" t="s">
        <v>1102</v>
      </c>
      <c r="E442" s="7" t="s">
        <v>391</v>
      </c>
      <c r="F442" s="37"/>
      <c r="G442" s="37" t="s">
        <v>1053</v>
      </c>
      <c r="H442" s="37" t="s">
        <v>1053</v>
      </c>
      <c r="I442" s="7" t="s">
        <v>391</v>
      </c>
      <c r="J442" s="37"/>
      <c r="K442" s="37" t="s">
        <v>1053</v>
      </c>
      <c r="L442" s="7" t="s">
        <v>986</v>
      </c>
      <c r="M442" s="37"/>
    </row>
    <row r="443">
      <c r="A443" s="8" t="s">
        <v>1085</v>
      </c>
      <c r="B443" s="8" t="s">
        <v>1334</v>
      </c>
      <c r="C443" s="7" t="s">
        <v>986</v>
      </c>
      <c r="D443" s="8" t="s">
        <v>1197</v>
      </c>
      <c r="E443" s="7" t="s">
        <v>1105</v>
      </c>
      <c r="F443" s="37"/>
      <c r="G443" s="37" t="s">
        <v>1053</v>
      </c>
      <c r="H443" s="37" t="s">
        <v>1053</v>
      </c>
      <c r="I443" s="7" t="s">
        <v>1105</v>
      </c>
      <c r="J443" s="37"/>
      <c r="K443" s="37" t="s">
        <v>1053</v>
      </c>
      <c r="L443" s="7" t="s">
        <v>986</v>
      </c>
      <c r="M443" s="37"/>
    </row>
    <row r="444">
      <c r="A444" s="8" t="s">
        <v>1085</v>
      </c>
      <c r="B444" s="8" t="s">
        <v>1134</v>
      </c>
      <c r="C444" s="7" t="s">
        <v>987</v>
      </c>
      <c r="D444" s="8" t="s">
        <v>1102</v>
      </c>
      <c r="E444" s="7" t="s">
        <v>1215</v>
      </c>
      <c r="G444" s="37" t="s">
        <v>1053</v>
      </c>
      <c r="H444" s="37" t="s">
        <v>1053</v>
      </c>
      <c r="I444" s="7" t="s">
        <v>1215</v>
      </c>
      <c r="K444" s="37" t="s">
        <v>1053</v>
      </c>
      <c r="L444" s="37" t="s">
        <v>1053</v>
      </c>
    </row>
    <row r="445">
      <c r="A445" s="8" t="s">
        <v>1085</v>
      </c>
      <c r="B445" s="8" t="s">
        <v>1109</v>
      </c>
      <c r="C445" s="7" t="s">
        <v>987</v>
      </c>
      <c r="D445" s="8" t="s">
        <v>1102</v>
      </c>
      <c r="E445" s="7" t="s">
        <v>1110</v>
      </c>
      <c r="G445" s="37" t="s">
        <v>1053</v>
      </c>
      <c r="H445" s="37" t="s">
        <v>1053</v>
      </c>
      <c r="I445" s="7" t="s">
        <v>1110</v>
      </c>
      <c r="K445" s="37" t="s">
        <v>1053</v>
      </c>
      <c r="L445" s="37" t="s">
        <v>1053</v>
      </c>
    </row>
    <row r="446">
      <c r="A446" s="8" t="s">
        <v>1085</v>
      </c>
      <c r="B446" s="8" t="s">
        <v>1335</v>
      </c>
      <c r="C446" s="7" t="s">
        <v>987</v>
      </c>
      <c r="D446" s="8" t="s">
        <v>1102</v>
      </c>
      <c r="E446" s="7" t="s">
        <v>1215</v>
      </c>
      <c r="G446" s="37" t="s">
        <v>1053</v>
      </c>
      <c r="H446" s="37" t="s">
        <v>1053</v>
      </c>
      <c r="I446" s="7" t="s">
        <v>1215</v>
      </c>
      <c r="K446" s="37" t="s">
        <v>1053</v>
      </c>
      <c r="L446" s="37" t="s">
        <v>1053</v>
      </c>
    </row>
    <row r="447">
      <c r="A447" s="8" t="s">
        <v>1085</v>
      </c>
      <c r="B447" s="8" t="s">
        <v>48</v>
      </c>
      <c r="C447" s="8"/>
      <c r="D447" s="8"/>
      <c r="E447" s="37" t="s">
        <v>38</v>
      </c>
      <c r="F447" s="37" t="s">
        <v>48</v>
      </c>
      <c r="G447" s="37" t="s">
        <v>1053</v>
      </c>
      <c r="H447" s="37" t="s">
        <v>1421</v>
      </c>
      <c r="K447" s="37" t="s">
        <v>1053</v>
      </c>
      <c r="L447" s="37" t="s">
        <v>1053</v>
      </c>
    </row>
    <row r="448">
      <c r="A448" s="8" t="s">
        <v>1085</v>
      </c>
      <c r="B448" s="8" t="s">
        <v>1111</v>
      </c>
      <c r="C448" s="7" t="s">
        <v>987</v>
      </c>
      <c r="D448" s="8" t="s">
        <v>1102</v>
      </c>
      <c r="E448" s="7" t="s">
        <v>1105</v>
      </c>
      <c r="G448" s="37" t="s">
        <v>1053</v>
      </c>
      <c r="H448" s="37" t="s">
        <v>1053</v>
      </c>
      <c r="I448" s="7" t="s">
        <v>1105</v>
      </c>
      <c r="K448" s="37" t="s">
        <v>1053</v>
      </c>
      <c r="L448" s="37" t="s">
        <v>1053</v>
      </c>
    </row>
    <row r="449">
      <c r="A449" s="8" t="s">
        <v>1085</v>
      </c>
      <c r="B449" s="8" t="s">
        <v>1246</v>
      </c>
      <c r="C449" s="7" t="s">
        <v>987</v>
      </c>
      <c r="D449" s="8" t="s">
        <v>1313</v>
      </c>
      <c r="E449" s="7" t="s">
        <v>1246</v>
      </c>
      <c r="G449" s="37" t="s">
        <v>1053</v>
      </c>
      <c r="H449" s="37" t="s">
        <v>1053</v>
      </c>
      <c r="I449" s="7" t="s">
        <v>1246</v>
      </c>
      <c r="K449" s="37" t="s">
        <v>1053</v>
      </c>
      <c r="L449" s="37" t="s">
        <v>1053</v>
      </c>
    </row>
    <row r="450">
      <c r="A450" s="8" t="s">
        <v>1085</v>
      </c>
      <c r="B450" s="8" t="s">
        <v>51</v>
      </c>
      <c r="C450" s="8"/>
      <c r="D450" s="8"/>
      <c r="E450" s="37" t="s">
        <v>38</v>
      </c>
      <c r="F450" s="37" t="s">
        <v>51</v>
      </c>
      <c r="G450" s="37" t="s">
        <v>1053</v>
      </c>
      <c r="H450" s="37" t="s">
        <v>2152</v>
      </c>
      <c r="K450" s="37" t="s">
        <v>1053</v>
      </c>
      <c r="L450" s="37" t="s">
        <v>1053</v>
      </c>
    </row>
    <row r="451">
      <c r="A451" s="8" t="s">
        <v>1085</v>
      </c>
      <c r="B451" s="8" t="s">
        <v>1336</v>
      </c>
      <c r="C451" s="7" t="s">
        <v>987</v>
      </c>
      <c r="D451" s="8" t="s">
        <v>1102</v>
      </c>
      <c r="E451" s="7" t="s">
        <v>1108</v>
      </c>
      <c r="G451" s="37" t="s">
        <v>1053</v>
      </c>
      <c r="H451" s="37" t="s">
        <v>1053</v>
      </c>
      <c r="I451" s="7" t="s">
        <v>1108</v>
      </c>
      <c r="K451" s="37" t="s">
        <v>1053</v>
      </c>
      <c r="L451" s="37" t="s">
        <v>1053</v>
      </c>
    </row>
    <row r="452">
      <c r="A452" s="8" t="s">
        <v>1085</v>
      </c>
      <c r="B452" s="8" t="s">
        <v>43</v>
      </c>
      <c r="C452" s="8"/>
      <c r="D452" s="8"/>
      <c r="E452" s="37" t="s">
        <v>38</v>
      </c>
      <c r="F452" s="37" t="s">
        <v>43</v>
      </c>
      <c r="G452" s="37" t="s">
        <v>1053</v>
      </c>
      <c r="H452" s="37" t="s">
        <v>1467</v>
      </c>
      <c r="K452" s="37" t="s">
        <v>1053</v>
      </c>
      <c r="L452" s="37" t="s">
        <v>1053</v>
      </c>
    </row>
    <row r="453">
      <c r="A453" s="8" t="s">
        <v>1085</v>
      </c>
      <c r="B453" s="8" t="s">
        <v>1113</v>
      </c>
      <c r="C453" s="7" t="s">
        <v>986</v>
      </c>
      <c r="D453" s="8" t="s">
        <v>1102</v>
      </c>
      <c r="E453" s="7" t="s">
        <v>1110</v>
      </c>
      <c r="F453" s="37"/>
      <c r="G453" s="37" t="s">
        <v>1053</v>
      </c>
      <c r="H453" s="37" t="s">
        <v>1053</v>
      </c>
      <c r="I453" s="7" t="s">
        <v>1110</v>
      </c>
      <c r="J453" s="37"/>
      <c r="K453" s="37" t="s">
        <v>1053</v>
      </c>
      <c r="L453" s="7" t="s">
        <v>986</v>
      </c>
      <c r="M453" s="37"/>
    </row>
    <row r="454">
      <c r="A454" s="8" t="s">
        <v>186</v>
      </c>
      <c r="B454" s="8" t="s">
        <v>1337</v>
      </c>
      <c r="C454" s="8"/>
      <c r="D454" s="8"/>
      <c r="E454" s="65" t="s">
        <v>516</v>
      </c>
      <c r="F454" s="37" t="s">
        <v>186</v>
      </c>
      <c r="G454" s="37" t="s">
        <v>1053</v>
      </c>
      <c r="H454" s="37" t="s">
        <v>1745</v>
      </c>
      <c r="K454" s="37" t="s">
        <v>1053</v>
      </c>
      <c r="L454" s="37" t="s">
        <v>1053</v>
      </c>
    </row>
    <row r="455">
      <c r="A455" s="8" t="s">
        <v>186</v>
      </c>
      <c r="B455" s="8" t="s">
        <v>1338</v>
      </c>
      <c r="C455" s="8"/>
      <c r="D455" s="8"/>
      <c r="E455" s="65" t="s">
        <v>516</v>
      </c>
      <c r="F455" s="37" t="s">
        <v>186</v>
      </c>
      <c r="G455" s="37" t="s">
        <v>1053</v>
      </c>
      <c r="H455" s="37" t="s">
        <v>1745</v>
      </c>
      <c r="K455" s="37" t="s">
        <v>1053</v>
      </c>
      <c r="L455" s="37" t="s">
        <v>1053</v>
      </c>
    </row>
    <row r="456">
      <c r="A456" s="8" t="s">
        <v>186</v>
      </c>
      <c r="B456" s="8" t="s">
        <v>518</v>
      </c>
      <c r="C456" s="7" t="s">
        <v>986</v>
      </c>
      <c r="D456" s="8"/>
      <c r="E456" s="65" t="s">
        <v>516</v>
      </c>
      <c r="F456" s="37" t="s">
        <v>186</v>
      </c>
      <c r="G456" s="37" t="s">
        <v>1053</v>
      </c>
      <c r="H456" s="37" t="s">
        <v>1745</v>
      </c>
      <c r="I456" s="37"/>
      <c r="J456" s="37"/>
      <c r="K456" s="37" t="s">
        <v>1053</v>
      </c>
      <c r="L456" s="7" t="s">
        <v>986</v>
      </c>
      <c r="M456" s="37"/>
    </row>
    <row r="457">
      <c r="A457" s="8" t="s">
        <v>186</v>
      </c>
      <c r="B457" s="8" t="s">
        <v>1339</v>
      </c>
      <c r="C457" s="8"/>
      <c r="D457" s="8"/>
      <c r="E457" s="65" t="s">
        <v>516</v>
      </c>
      <c r="F457" s="37" t="s">
        <v>186</v>
      </c>
      <c r="G457" s="37" t="s">
        <v>1053</v>
      </c>
      <c r="H457" s="37" t="s">
        <v>1745</v>
      </c>
      <c r="K457" s="37" t="s">
        <v>1053</v>
      </c>
      <c r="L457" s="37" t="s">
        <v>1053</v>
      </c>
    </row>
    <row r="458">
      <c r="A458" s="8" t="s">
        <v>186</v>
      </c>
      <c r="B458" s="8" t="s">
        <v>1340</v>
      </c>
      <c r="C458" s="7" t="s">
        <v>986</v>
      </c>
      <c r="D458" s="8"/>
      <c r="E458" s="65" t="s">
        <v>516</v>
      </c>
      <c r="F458" s="37" t="s">
        <v>186</v>
      </c>
      <c r="G458" s="37" t="s">
        <v>1053</v>
      </c>
      <c r="H458" s="37" t="s">
        <v>1745</v>
      </c>
      <c r="I458" s="37"/>
      <c r="J458" s="37"/>
      <c r="K458" s="37" t="s">
        <v>1053</v>
      </c>
      <c r="L458" s="7" t="s">
        <v>986</v>
      </c>
      <c r="M458" s="37"/>
    </row>
    <row r="459">
      <c r="A459" s="8" t="s">
        <v>186</v>
      </c>
      <c r="B459" s="8" t="s">
        <v>1341</v>
      </c>
      <c r="C459" s="8"/>
      <c r="D459" s="8"/>
      <c r="E459" s="65" t="s">
        <v>516</v>
      </c>
      <c r="F459" s="37" t="s">
        <v>186</v>
      </c>
      <c r="G459" s="37" t="s">
        <v>1053</v>
      </c>
      <c r="H459" s="37" t="s">
        <v>1745</v>
      </c>
      <c r="K459" s="37" t="s">
        <v>1053</v>
      </c>
      <c r="L459" s="37" t="s">
        <v>1053</v>
      </c>
    </row>
    <row r="460">
      <c r="A460" s="8" t="s">
        <v>186</v>
      </c>
      <c r="B460" s="8" t="s">
        <v>1342</v>
      </c>
      <c r="C460" s="8"/>
      <c r="D460" s="8"/>
      <c r="E460" s="65" t="s">
        <v>516</v>
      </c>
      <c r="F460" s="37" t="s">
        <v>186</v>
      </c>
      <c r="G460" s="37" t="s">
        <v>1053</v>
      </c>
      <c r="H460" s="37" t="s">
        <v>1745</v>
      </c>
      <c r="K460" s="37" t="s">
        <v>1053</v>
      </c>
      <c r="L460" s="37" t="s">
        <v>1053</v>
      </c>
    </row>
    <row r="461">
      <c r="A461" s="8" t="s">
        <v>186</v>
      </c>
      <c r="B461" s="8" t="s">
        <v>1343</v>
      </c>
      <c r="C461" s="8"/>
      <c r="D461" s="8"/>
      <c r="E461" s="65" t="s">
        <v>516</v>
      </c>
      <c r="F461" s="37" t="s">
        <v>186</v>
      </c>
      <c r="G461" s="37" t="s">
        <v>1053</v>
      </c>
      <c r="H461" s="37" t="s">
        <v>1745</v>
      </c>
      <c r="K461" s="37" t="s">
        <v>1053</v>
      </c>
      <c r="L461" s="37" t="s">
        <v>1053</v>
      </c>
    </row>
    <row r="462">
      <c r="A462" s="8" t="s">
        <v>186</v>
      </c>
      <c r="B462" s="8" t="s">
        <v>1344</v>
      </c>
      <c r="C462" s="8"/>
      <c r="D462" s="8"/>
      <c r="E462" s="65" t="s">
        <v>516</v>
      </c>
      <c r="F462" s="37" t="s">
        <v>186</v>
      </c>
      <c r="G462" s="37" t="s">
        <v>1053</v>
      </c>
      <c r="H462" s="37" t="s">
        <v>1745</v>
      </c>
      <c r="K462" s="37" t="s">
        <v>1053</v>
      </c>
      <c r="L462" s="37" t="s">
        <v>1053</v>
      </c>
    </row>
    <row r="463">
      <c r="A463" s="8" t="s">
        <v>186</v>
      </c>
      <c r="B463" s="8" t="s">
        <v>444</v>
      </c>
      <c r="C463" s="8"/>
      <c r="D463" s="8"/>
      <c r="E463" s="65" t="s">
        <v>516</v>
      </c>
      <c r="F463" s="37" t="s">
        <v>186</v>
      </c>
      <c r="G463" s="37" t="s">
        <v>1053</v>
      </c>
      <c r="H463" s="37" t="s">
        <v>1745</v>
      </c>
      <c r="K463" s="37" t="s">
        <v>1053</v>
      </c>
      <c r="L463" s="37" t="s">
        <v>1053</v>
      </c>
    </row>
    <row r="464">
      <c r="A464" s="8" t="s">
        <v>186</v>
      </c>
      <c r="B464" s="8" t="s">
        <v>1345</v>
      </c>
      <c r="C464" s="8"/>
      <c r="D464" s="8"/>
      <c r="E464" s="65" t="s">
        <v>516</v>
      </c>
      <c r="F464" s="37" t="s">
        <v>186</v>
      </c>
      <c r="G464" s="37" t="s">
        <v>1053</v>
      </c>
      <c r="H464" s="37" t="s">
        <v>1745</v>
      </c>
      <c r="K464" s="37" t="s">
        <v>1053</v>
      </c>
      <c r="L464" s="37" t="s">
        <v>1053</v>
      </c>
    </row>
    <row r="465">
      <c r="A465" s="8" t="s">
        <v>186</v>
      </c>
      <c r="B465" s="8" t="s">
        <v>1346</v>
      </c>
      <c r="C465" s="8"/>
      <c r="D465" s="8"/>
      <c r="E465" s="65" t="s">
        <v>516</v>
      </c>
      <c r="F465" s="37" t="s">
        <v>186</v>
      </c>
      <c r="G465" s="37" t="s">
        <v>1053</v>
      </c>
      <c r="H465" s="37" t="s">
        <v>1745</v>
      </c>
      <c r="K465" s="37" t="s">
        <v>1053</v>
      </c>
      <c r="L465" s="37" t="s">
        <v>1053</v>
      </c>
    </row>
    <row r="466">
      <c r="A466" s="8" t="s">
        <v>186</v>
      </c>
      <c r="B466" s="8" t="s">
        <v>1347</v>
      </c>
      <c r="C466" s="7" t="s">
        <v>986</v>
      </c>
      <c r="D466" s="8"/>
      <c r="E466" s="65" t="s">
        <v>516</v>
      </c>
      <c r="F466" s="37" t="s">
        <v>186</v>
      </c>
      <c r="G466" s="37" t="s">
        <v>1053</v>
      </c>
      <c r="H466" s="37" t="s">
        <v>1745</v>
      </c>
      <c r="I466" s="37"/>
      <c r="J466" s="37"/>
      <c r="K466" s="37" t="s">
        <v>1053</v>
      </c>
      <c r="L466" s="7" t="s">
        <v>986</v>
      </c>
      <c r="M466" s="37"/>
    </row>
    <row r="467">
      <c r="A467" s="8" t="s">
        <v>1087</v>
      </c>
      <c r="B467" s="8" t="s">
        <v>1348</v>
      </c>
      <c r="C467" s="7" t="s">
        <v>986</v>
      </c>
      <c r="D467" s="8" t="s">
        <v>1197</v>
      </c>
      <c r="E467" s="7" t="s">
        <v>1105</v>
      </c>
      <c r="F467" s="37"/>
      <c r="G467" s="37" t="s">
        <v>1053</v>
      </c>
      <c r="H467" s="37" t="s">
        <v>1053</v>
      </c>
      <c r="I467" s="7" t="s">
        <v>1105</v>
      </c>
      <c r="J467" s="37"/>
      <c r="K467" s="37" t="s">
        <v>1053</v>
      </c>
      <c r="L467" s="7" t="s">
        <v>986</v>
      </c>
      <c r="M467" s="37"/>
    </row>
    <row r="468">
      <c r="A468" s="8" t="s">
        <v>1087</v>
      </c>
      <c r="B468" s="8" t="s">
        <v>1132</v>
      </c>
      <c r="C468" s="7" t="s">
        <v>986</v>
      </c>
      <c r="D468" s="8" t="s">
        <v>1197</v>
      </c>
      <c r="E468" s="7" t="s">
        <v>1105</v>
      </c>
      <c r="F468" s="37"/>
      <c r="G468" s="37" t="s">
        <v>1053</v>
      </c>
      <c r="H468" s="37" t="s">
        <v>1053</v>
      </c>
      <c r="I468" s="7" t="s">
        <v>1105</v>
      </c>
      <c r="J468" s="37"/>
      <c r="K468" s="37" t="s">
        <v>1053</v>
      </c>
      <c r="L468" s="7" t="s">
        <v>986</v>
      </c>
      <c r="M468" s="37"/>
    </row>
    <row r="469">
      <c r="A469" s="8" t="s">
        <v>1087</v>
      </c>
      <c r="B469" s="8" t="s">
        <v>1349</v>
      </c>
      <c r="C469" s="7" t="s">
        <v>986</v>
      </c>
      <c r="D469" s="8" t="s">
        <v>1197</v>
      </c>
      <c r="E469" s="7" t="s">
        <v>1105</v>
      </c>
      <c r="F469" s="37"/>
      <c r="G469" s="37" t="s">
        <v>1053</v>
      </c>
      <c r="H469" s="37" t="s">
        <v>1053</v>
      </c>
      <c r="I469" s="7" t="s">
        <v>1105</v>
      </c>
      <c r="J469" s="37"/>
      <c r="K469" s="37" t="s">
        <v>1053</v>
      </c>
      <c r="L469" s="7" t="s">
        <v>986</v>
      </c>
      <c r="M469" s="37"/>
    </row>
    <row r="470">
      <c r="A470" s="8" t="s">
        <v>1087</v>
      </c>
      <c r="B470" s="8" t="s">
        <v>1350</v>
      </c>
      <c r="C470" s="7" t="s">
        <v>986</v>
      </c>
      <c r="D470" s="8" t="s">
        <v>1197</v>
      </c>
      <c r="E470" s="7" t="s">
        <v>1105</v>
      </c>
      <c r="F470" s="37"/>
      <c r="G470" s="37" t="s">
        <v>1053</v>
      </c>
      <c r="H470" s="37" t="s">
        <v>1053</v>
      </c>
      <c r="I470" s="7" t="s">
        <v>1105</v>
      </c>
      <c r="J470" s="37"/>
      <c r="K470" s="37" t="s">
        <v>1053</v>
      </c>
      <c r="L470" s="7" t="s">
        <v>986</v>
      </c>
      <c r="M470" s="37"/>
    </row>
    <row r="471">
      <c r="A471" s="8" t="s">
        <v>1087</v>
      </c>
      <c r="B471" s="8" t="s">
        <v>1351</v>
      </c>
      <c r="C471" s="7" t="s">
        <v>986</v>
      </c>
      <c r="D471" s="8" t="s">
        <v>1197</v>
      </c>
      <c r="E471" s="7" t="s">
        <v>1105</v>
      </c>
      <c r="F471" s="37"/>
      <c r="G471" s="37" t="s">
        <v>1053</v>
      </c>
      <c r="H471" s="37" t="s">
        <v>1053</v>
      </c>
      <c r="I471" s="7" t="s">
        <v>1105</v>
      </c>
      <c r="J471" s="37"/>
      <c r="K471" s="37" t="s">
        <v>1053</v>
      </c>
      <c r="L471" s="7" t="s">
        <v>986</v>
      </c>
      <c r="M471" s="37"/>
    </row>
    <row r="472">
      <c r="A472" s="8" t="s">
        <v>1087</v>
      </c>
      <c r="B472" s="8" t="s">
        <v>1352</v>
      </c>
      <c r="C472" s="7" t="s">
        <v>986</v>
      </c>
      <c r="D472" s="8" t="s">
        <v>1197</v>
      </c>
      <c r="E472" s="7" t="s">
        <v>1105</v>
      </c>
      <c r="F472" s="37"/>
      <c r="G472" s="37" t="s">
        <v>1053</v>
      </c>
      <c r="H472" s="37" t="s">
        <v>1053</v>
      </c>
      <c r="I472" s="7" t="s">
        <v>1105</v>
      </c>
      <c r="J472" s="37"/>
      <c r="K472" s="37" t="s">
        <v>1053</v>
      </c>
      <c r="L472" s="7" t="s">
        <v>986</v>
      </c>
      <c r="M472" s="37"/>
    </row>
    <row r="473">
      <c r="A473" s="8" t="s">
        <v>1087</v>
      </c>
      <c r="B473" s="8" t="s">
        <v>1353</v>
      </c>
      <c r="C473" s="7" t="s">
        <v>986</v>
      </c>
      <c r="D473" s="8" t="s">
        <v>1197</v>
      </c>
      <c r="E473" s="7" t="s">
        <v>1105</v>
      </c>
      <c r="F473" s="37"/>
      <c r="G473" s="37" t="s">
        <v>1053</v>
      </c>
      <c r="H473" s="37" t="s">
        <v>1053</v>
      </c>
      <c r="I473" s="7" t="s">
        <v>1105</v>
      </c>
      <c r="J473" s="37"/>
      <c r="K473" s="37" t="s">
        <v>1053</v>
      </c>
      <c r="L473" s="7" t="s">
        <v>986</v>
      </c>
      <c r="M473" s="37"/>
    </row>
    <row r="474">
      <c r="A474" s="8" t="s">
        <v>1087</v>
      </c>
      <c r="B474" s="8" t="s">
        <v>369</v>
      </c>
      <c r="C474" s="7" t="s">
        <v>986</v>
      </c>
      <c r="D474" s="8" t="s">
        <v>1197</v>
      </c>
      <c r="E474" s="7" t="s">
        <v>1105</v>
      </c>
      <c r="F474" s="37"/>
      <c r="G474" s="37" t="s">
        <v>1053</v>
      </c>
      <c r="H474" s="37" t="s">
        <v>1053</v>
      </c>
      <c r="I474" s="7" t="s">
        <v>1105</v>
      </c>
      <c r="J474" s="37"/>
      <c r="K474" s="37" t="s">
        <v>1053</v>
      </c>
      <c r="L474" s="7" t="s">
        <v>986</v>
      </c>
      <c r="M474" s="37"/>
    </row>
    <row r="475">
      <c r="A475" s="8" t="s">
        <v>1087</v>
      </c>
      <c r="B475" s="8" t="s">
        <v>1204</v>
      </c>
      <c r="C475" s="7" t="s">
        <v>986</v>
      </c>
      <c r="D475" s="8" t="s">
        <v>1197</v>
      </c>
      <c r="E475" s="7" t="s">
        <v>1105</v>
      </c>
      <c r="F475" s="37"/>
      <c r="G475" s="37" t="s">
        <v>1053</v>
      </c>
      <c r="H475" s="37" t="s">
        <v>1053</v>
      </c>
      <c r="I475" s="7" t="s">
        <v>1105</v>
      </c>
      <c r="J475" s="37"/>
      <c r="K475" s="37" t="s">
        <v>1053</v>
      </c>
      <c r="L475" s="7" t="s">
        <v>986</v>
      </c>
      <c r="M475" s="37"/>
    </row>
    <row r="476">
      <c r="A476" s="8" t="s">
        <v>1090</v>
      </c>
      <c r="B476" s="8" t="s">
        <v>1109</v>
      </c>
      <c r="C476" s="7" t="s">
        <v>987</v>
      </c>
      <c r="D476" s="8" t="s">
        <v>1181</v>
      </c>
      <c r="E476" s="7" t="s">
        <v>1110</v>
      </c>
      <c r="G476" s="37" t="s">
        <v>1053</v>
      </c>
      <c r="H476" s="37" t="s">
        <v>1053</v>
      </c>
      <c r="I476" s="7" t="s">
        <v>1110</v>
      </c>
      <c r="K476" s="37" t="s">
        <v>1053</v>
      </c>
      <c r="L476" s="37" t="s">
        <v>1053</v>
      </c>
    </row>
    <row r="477">
      <c r="A477" s="8" t="s">
        <v>1090</v>
      </c>
      <c r="B477" s="8" t="s">
        <v>1111</v>
      </c>
      <c r="C477" s="7" t="s">
        <v>987</v>
      </c>
      <c r="D477" s="8" t="s">
        <v>1181</v>
      </c>
      <c r="E477" s="7" t="s">
        <v>1105</v>
      </c>
      <c r="G477" s="37" t="s">
        <v>1053</v>
      </c>
      <c r="H477" s="37" t="s">
        <v>1053</v>
      </c>
      <c r="I477" s="7" t="s">
        <v>1105</v>
      </c>
      <c r="K477" s="37" t="s">
        <v>1053</v>
      </c>
      <c r="L477" s="37" t="s">
        <v>1053</v>
      </c>
    </row>
    <row r="478">
      <c r="A478" s="8" t="s">
        <v>1090</v>
      </c>
      <c r="B478" s="8" t="s">
        <v>1336</v>
      </c>
      <c r="C478" s="7" t="s">
        <v>987</v>
      </c>
      <c r="D478" s="8" t="s">
        <v>1181</v>
      </c>
      <c r="E478" s="7" t="s">
        <v>1108</v>
      </c>
      <c r="G478" s="37" t="s">
        <v>1053</v>
      </c>
      <c r="H478" s="37" t="s">
        <v>1053</v>
      </c>
      <c r="I478" s="7" t="s">
        <v>1108</v>
      </c>
      <c r="K478" s="37" t="s">
        <v>1053</v>
      </c>
      <c r="L478" s="37" t="s">
        <v>1053</v>
      </c>
    </row>
    <row r="479">
      <c r="A479" s="8" t="s">
        <v>1090</v>
      </c>
      <c r="B479" s="8" t="s">
        <v>1113</v>
      </c>
      <c r="C479" s="7" t="s">
        <v>986</v>
      </c>
      <c r="D479" s="8" t="s">
        <v>1181</v>
      </c>
      <c r="E479" s="7" t="s">
        <v>1110</v>
      </c>
      <c r="F479" s="37"/>
      <c r="G479" s="37" t="s">
        <v>1053</v>
      </c>
      <c r="H479" s="37" t="s">
        <v>1053</v>
      </c>
      <c r="I479" s="7" t="s">
        <v>1110</v>
      </c>
      <c r="J479" s="37"/>
      <c r="K479" s="37" t="s">
        <v>1053</v>
      </c>
      <c r="L479" s="7" t="s">
        <v>986</v>
      </c>
      <c r="M479" s="37"/>
    </row>
    <row r="480">
      <c r="A480" s="8" t="s">
        <v>1093</v>
      </c>
      <c r="B480" s="8" t="s">
        <v>1108</v>
      </c>
      <c r="C480" s="7" t="s">
        <v>987</v>
      </c>
      <c r="D480" s="8" t="s">
        <v>1102</v>
      </c>
      <c r="E480" s="7" t="s">
        <v>1354</v>
      </c>
      <c r="G480" s="37" t="s">
        <v>1053</v>
      </c>
      <c r="H480" s="37" t="s">
        <v>1053</v>
      </c>
      <c r="I480" s="7" t="s">
        <v>1354</v>
      </c>
      <c r="K480" s="37" t="s">
        <v>1053</v>
      </c>
      <c r="L480" s="37" t="s">
        <v>1053</v>
      </c>
    </row>
    <row r="481">
      <c r="A481" s="8" t="s">
        <v>1093</v>
      </c>
      <c r="B481" s="8" t="s">
        <v>1111</v>
      </c>
      <c r="C481" s="7" t="s">
        <v>986</v>
      </c>
      <c r="D481" s="8" t="s">
        <v>1102</v>
      </c>
      <c r="E481" s="7" t="s">
        <v>1105</v>
      </c>
      <c r="F481" s="37"/>
      <c r="G481" s="37" t="s">
        <v>1053</v>
      </c>
      <c r="H481" s="37" t="s">
        <v>1053</v>
      </c>
      <c r="I481" s="7" t="s">
        <v>1105</v>
      </c>
      <c r="J481" s="37"/>
      <c r="K481" s="37" t="s">
        <v>1053</v>
      </c>
      <c r="L481" s="7" t="s">
        <v>986</v>
      </c>
      <c r="M481" s="37"/>
    </row>
    <row r="482">
      <c r="A482" s="8" t="s">
        <v>1096</v>
      </c>
      <c r="B482" s="8" t="s">
        <v>1355</v>
      </c>
      <c r="C482" s="7" t="s">
        <v>986</v>
      </c>
      <c r="D482" s="7" t="s">
        <v>1052</v>
      </c>
      <c r="E482" s="7" t="s">
        <v>1097</v>
      </c>
      <c r="F482" s="37"/>
      <c r="G482" s="37" t="s">
        <v>1053</v>
      </c>
      <c r="H482" s="37" t="s">
        <v>1053</v>
      </c>
      <c r="I482" s="7" t="s">
        <v>1097</v>
      </c>
      <c r="J482" s="37"/>
      <c r="K482" s="7" t="s">
        <v>1052</v>
      </c>
      <c r="L482" s="7" t="s">
        <v>986</v>
      </c>
      <c r="M482" s="37"/>
    </row>
    <row r="483">
      <c r="A483" s="8" t="s">
        <v>1096</v>
      </c>
      <c r="B483" s="8" t="s">
        <v>1224</v>
      </c>
      <c r="C483" s="7" t="s">
        <v>986</v>
      </c>
      <c r="D483" s="8" t="s">
        <v>1102</v>
      </c>
      <c r="E483" s="7" t="s">
        <v>1097</v>
      </c>
      <c r="F483" s="37"/>
      <c r="G483" s="37" t="s">
        <v>1053</v>
      </c>
      <c r="H483" s="37" t="s">
        <v>1053</v>
      </c>
      <c r="I483" s="7" t="s">
        <v>1097</v>
      </c>
      <c r="J483" s="37"/>
      <c r="K483" s="37" t="s">
        <v>1053</v>
      </c>
      <c r="L483" s="7" t="s">
        <v>986</v>
      </c>
      <c r="M483" s="37"/>
    </row>
    <row r="484">
      <c r="A484" s="8" t="s">
        <v>1096</v>
      </c>
      <c r="B484" s="8" t="s">
        <v>1356</v>
      </c>
      <c r="C484" s="7" t="s">
        <v>987</v>
      </c>
      <c r="D484" s="8" t="s">
        <v>1102</v>
      </c>
      <c r="E484" s="37" t="str">
        <f t="array" ref="E484">XLOOKUP(F484,'部署遍歴'!D:D,'部署遍歴'!B:B,"×")</f>
        <v>モンスト事業本部</v>
      </c>
      <c r="F484" s="37" t="s">
        <v>1229</v>
      </c>
      <c r="G484" s="37" t="s">
        <v>1053</v>
      </c>
      <c r="H484" s="37" t="s">
        <v>1053</v>
      </c>
      <c r="I484" s="7" t="s">
        <v>1097</v>
      </c>
      <c r="K484" s="37" t="s">
        <v>1229</v>
      </c>
      <c r="L484" s="37" t="s">
        <v>1053</v>
      </c>
    </row>
    <row r="485">
      <c r="A485" s="8" t="s">
        <v>1096</v>
      </c>
      <c r="B485" s="8" t="s">
        <v>1357</v>
      </c>
      <c r="D485" s="7" t="s">
        <v>1052</v>
      </c>
      <c r="E485" s="7" t="s">
        <v>1097</v>
      </c>
      <c r="G485" s="37" t="s">
        <v>1053</v>
      </c>
      <c r="H485" s="37" t="s">
        <v>1053</v>
      </c>
      <c r="I485" s="7" t="s">
        <v>1097</v>
      </c>
      <c r="K485" s="7" t="s">
        <v>1052</v>
      </c>
      <c r="L485" s="37" t="s">
        <v>1053</v>
      </c>
    </row>
    <row r="486">
      <c r="A486" s="8" t="s">
        <v>1096</v>
      </c>
      <c r="B486" s="8" t="s">
        <v>1227</v>
      </c>
      <c r="C486" s="7" t="s">
        <v>986</v>
      </c>
      <c r="D486" s="8" t="s">
        <v>1102</v>
      </c>
      <c r="E486" s="37" t="str">
        <f t="array" ref="E486">XLOOKUP(F486,'部署遍歴'!D:D,'部署遍歴'!B:B,"×")</f>
        <v>モンスト事業本部</v>
      </c>
      <c r="F486" s="37" t="s">
        <v>1358</v>
      </c>
      <c r="G486" s="37" t="s">
        <v>1053</v>
      </c>
      <c r="H486" s="37" t="s">
        <v>1053</v>
      </c>
      <c r="I486" s="7" t="s">
        <v>693</v>
      </c>
      <c r="J486" s="37"/>
      <c r="K486" s="37" t="s">
        <v>1358</v>
      </c>
      <c r="L486" s="7" t="s">
        <v>986</v>
      </c>
      <c r="M486" s="37"/>
    </row>
    <row r="487">
      <c r="A487" s="8" t="s">
        <v>1096</v>
      </c>
      <c r="B487" s="8" t="s">
        <v>1358</v>
      </c>
      <c r="D487" s="7" t="s">
        <v>1052</v>
      </c>
      <c r="E487" s="7" t="s">
        <v>1097</v>
      </c>
      <c r="G487" s="37" t="s">
        <v>1053</v>
      </c>
      <c r="H487" s="37" t="s">
        <v>1053</v>
      </c>
      <c r="I487" s="7" t="s">
        <v>1097</v>
      </c>
      <c r="K487" s="7" t="s">
        <v>1052</v>
      </c>
      <c r="L487" s="37" t="s">
        <v>1053</v>
      </c>
    </row>
    <row r="488">
      <c r="A488" s="8" t="s">
        <v>1096</v>
      </c>
      <c r="B488" s="8" t="s">
        <v>1359</v>
      </c>
      <c r="C488" s="7" t="s">
        <v>986</v>
      </c>
      <c r="D488" s="8" t="s">
        <v>1102</v>
      </c>
      <c r="E488" s="7" t="s">
        <v>693</v>
      </c>
      <c r="F488" s="37"/>
      <c r="G488" s="37" t="s">
        <v>1053</v>
      </c>
      <c r="H488" s="37" t="s">
        <v>1053</v>
      </c>
      <c r="I488" s="7" t="s">
        <v>693</v>
      </c>
      <c r="J488" s="37"/>
      <c r="K488" s="37" t="s">
        <v>1053</v>
      </c>
      <c r="L488" s="7" t="s">
        <v>986</v>
      </c>
      <c r="M488" s="37"/>
    </row>
    <row r="489">
      <c r="A489" s="8" t="s">
        <v>1096</v>
      </c>
      <c r="B489" s="8" t="s">
        <v>1360</v>
      </c>
      <c r="C489" s="7" t="s">
        <v>987</v>
      </c>
      <c r="D489" s="8" t="s">
        <v>1102</v>
      </c>
      <c r="E489" s="37" t="str">
        <f t="array" ref="E489">XLOOKUP(F489,'部署遍歴'!D:D,'部署遍歴'!B:B,"×")</f>
        <v>モンスト事業本部</v>
      </c>
      <c r="F489" s="37" t="s">
        <v>1137</v>
      </c>
      <c r="G489" s="37" t="s">
        <v>1053</v>
      </c>
      <c r="H489" s="37" t="s">
        <v>1053</v>
      </c>
      <c r="I489" s="7" t="s">
        <v>1097</v>
      </c>
      <c r="K489" s="37" t="s">
        <v>1137</v>
      </c>
      <c r="L489" s="37" t="s">
        <v>1053</v>
      </c>
    </row>
    <row r="490">
      <c r="A490" s="8" t="s">
        <v>1096</v>
      </c>
      <c r="B490" s="8" t="s">
        <v>1361</v>
      </c>
      <c r="C490" s="7" t="s">
        <v>987</v>
      </c>
      <c r="D490" s="8" t="s">
        <v>1102</v>
      </c>
      <c r="E490" s="7" t="s">
        <v>1097</v>
      </c>
      <c r="G490" s="37" t="s">
        <v>1053</v>
      </c>
      <c r="H490" s="37" t="s">
        <v>1053</v>
      </c>
      <c r="I490" s="7" t="s">
        <v>1097</v>
      </c>
      <c r="K490" s="37" t="s">
        <v>1053</v>
      </c>
      <c r="L490" s="37" t="s">
        <v>1053</v>
      </c>
    </row>
    <row r="491">
      <c r="A491" s="8" t="s">
        <v>1096</v>
      </c>
      <c r="B491" s="8" t="s">
        <v>1137</v>
      </c>
      <c r="C491" s="7" t="s">
        <v>987</v>
      </c>
      <c r="D491" s="8" t="s">
        <v>1102</v>
      </c>
      <c r="E491" s="37" t="str">
        <f t="array" ref="E491">XLOOKUP(F491,'部署遍歴'!D:D,'部署遍歴'!B:B,"×")</f>
        <v>モンスト事業本部</v>
      </c>
      <c r="F491" s="37" t="s">
        <v>1360</v>
      </c>
      <c r="G491" s="37" t="s">
        <v>1053</v>
      </c>
      <c r="H491" s="37" t="s">
        <v>1053</v>
      </c>
      <c r="I491" s="7" t="s">
        <v>1097</v>
      </c>
      <c r="K491" s="37" t="s">
        <v>1360</v>
      </c>
      <c r="L491" s="37" t="s">
        <v>1053</v>
      </c>
    </row>
    <row r="492">
      <c r="A492" s="8" t="s">
        <v>1096</v>
      </c>
      <c r="B492" s="8" t="s">
        <v>1362</v>
      </c>
      <c r="C492" s="7" t="s">
        <v>986</v>
      </c>
      <c r="D492" s="8" t="s">
        <v>1102</v>
      </c>
      <c r="E492" s="7" t="s">
        <v>1097</v>
      </c>
      <c r="F492" s="37"/>
      <c r="G492" s="37" t="s">
        <v>1053</v>
      </c>
      <c r="H492" s="37" t="s">
        <v>1053</v>
      </c>
      <c r="I492" s="7" t="s">
        <v>1097</v>
      </c>
      <c r="J492" s="37"/>
      <c r="K492" s="37" t="s">
        <v>1053</v>
      </c>
      <c r="L492" s="7" t="s">
        <v>986</v>
      </c>
      <c r="M492" s="37"/>
    </row>
    <row r="493">
      <c r="A493" s="8" t="s">
        <v>1096</v>
      </c>
      <c r="B493" s="8" t="s">
        <v>1174</v>
      </c>
      <c r="C493" s="7" t="s">
        <v>987</v>
      </c>
      <c r="D493" s="8" t="s">
        <v>1102</v>
      </c>
      <c r="E493" s="37" t="str">
        <f t="array" ref="E493">XLOOKUP(F493,'部署遍歴'!D:D,'部署遍歴'!B:B,"×")</f>
        <v>モンスト事業本部</v>
      </c>
      <c r="F493" s="37" t="s">
        <v>1362</v>
      </c>
      <c r="G493" s="37" t="s">
        <v>1053</v>
      </c>
      <c r="H493" s="37" t="s">
        <v>1053</v>
      </c>
      <c r="I493" s="7" t="s">
        <v>693</v>
      </c>
      <c r="K493" s="37" t="s">
        <v>1362</v>
      </c>
      <c r="L493" s="37" t="s">
        <v>1053</v>
      </c>
    </row>
    <row r="494">
      <c r="A494" s="8" t="s">
        <v>1096</v>
      </c>
      <c r="B494" s="8" t="s">
        <v>148</v>
      </c>
      <c r="D494" s="7" t="s">
        <v>1052</v>
      </c>
      <c r="E494" s="37" t="s">
        <v>140</v>
      </c>
      <c r="F494" s="37" t="s">
        <v>148</v>
      </c>
      <c r="G494" s="37" t="s">
        <v>1053</v>
      </c>
      <c r="H494" s="37" t="s">
        <v>2156</v>
      </c>
      <c r="K494" s="7" t="s">
        <v>1052</v>
      </c>
      <c r="L494" s="37" t="s">
        <v>1053</v>
      </c>
    </row>
    <row r="495">
      <c r="A495" s="8" t="s">
        <v>1096</v>
      </c>
      <c r="B495" s="8" t="s">
        <v>1111</v>
      </c>
      <c r="C495" s="7" t="s">
        <v>987</v>
      </c>
      <c r="D495" s="8" t="s">
        <v>1102</v>
      </c>
      <c r="E495" s="7" t="s">
        <v>1105</v>
      </c>
      <c r="G495" s="37" t="s">
        <v>1053</v>
      </c>
      <c r="H495" s="37" t="s">
        <v>1053</v>
      </c>
      <c r="I495" s="7" t="s">
        <v>1105</v>
      </c>
      <c r="K495" s="37" t="s">
        <v>1053</v>
      </c>
      <c r="L495" s="37" t="s">
        <v>1053</v>
      </c>
    </row>
    <row r="496">
      <c r="A496" s="8" t="s">
        <v>1096</v>
      </c>
      <c r="B496" s="8" t="s">
        <v>1363</v>
      </c>
      <c r="C496" s="7" t="s">
        <v>986</v>
      </c>
      <c r="D496" s="8" t="s">
        <v>1102</v>
      </c>
      <c r="E496" s="7" t="s">
        <v>1097</v>
      </c>
      <c r="F496" s="37"/>
      <c r="G496" s="37" t="s">
        <v>1053</v>
      </c>
      <c r="H496" s="37" t="s">
        <v>1053</v>
      </c>
      <c r="I496" s="7" t="s">
        <v>1097</v>
      </c>
      <c r="J496" s="37"/>
      <c r="K496" s="37" t="s">
        <v>1053</v>
      </c>
      <c r="L496" s="7" t="s">
        <v>986</v>
      </c>
      <c r="M496" s="37"/>
    </row>
    <row r="497">
      <c r="A497" s="8" t="s">
        <v>1096</v>
      </c>
      <c r="B497" s="8" t="s">
        <v>1229</v>
      </c>
      <c r="C497" s="7" t="s">
        <v>986</v>
      </c>
      <c r="D497" s="8" t="s">
        <v>1102</v>
      </c>
      <c r="E497" s="7" t="s">
        <v>1097</v>
      </c>
      <c r="F497" s="37"/>
      <c r="G497" s="37" t="s">
        <v>1053</v>
      </c>
      <c r="H497" s="37" t="s">
        <v>1053</v>
      </c>
      <c r="I497" s="7" t="s">
        <v>1097</v>
      </c>
      <c r="J497" s="37"/>
      <c r="K497" s="37" t="s">
        <v>1053</v>
      </c>
      <c r="L497" s="7" t="s">
        <v>986</v>
      </c>
      <c r="M497" s="37"/>
    </row>
    <row r="498">
      <c r="A498" s="8" t="s">
        <v>1096</v>
      </c>
      <c r="B498" s="8" t="s">
        <v>359</v>
      </c>
      <c r="C498" s="7" t="s">
        <v>986</v>
      </c>
      <c r="D498" s="8"/>
      <c r="E498" s="37" t="s">
        <v>353</v>
      </c>
      <c r="F498" s="37" t="s">
        <v>359</v>
      </c>
      <c r="G498" s="37" t="s">
        <v>2147</v>
      </c>
      <c r="H498" s="37" t="s">
        <v>1053</v>
      </c>
      <c r="I498" s="37"/>
      <c r="J498" s="37"/>
      <c r="K498" s="37" t="s">
        <v>1053</v>
      </c>
      <c r="L498" s="7" t="s">
        <v>986</v>
      </c>
      <c r="M498" s="37"/>
    </row>
  </sheetData>
  <autoFilter ref="$A$1:$N$685"/>
  <customSheetViews>
    <customSheetView guid="{D848EDFF-2B5F-48B8-A8E0-2EFD137DDB06}" filter="1" showAutoFilter="1">
      <autoFilter ref="$A$1:$N$685">
        <filterColumn colId="4">
          <filters blank="1">
            <filter val="デジタルエンターテインメント事業本部"/>
            <filter val="次世代エンターテインメント事業本部"/>
            <filter val="-"/>
          </filters>
        </filterColumn>
        <filterColumn colId="11">
          <filters blank="1">
            <filter val="×"/>
          </filters>
        </filterColumn>
      </autoFilter>
    </customSheetView>
    <customSheetView guid="{F7B26469-9DA0-467D-B3C8-EE61D3009939}" filter="1" showAutoFilter="1">
      <autoFilter ref="$A$1:$N$685">
        <filterColumn colId="2">
          <filters blank="1">
            <filter val="0file"/>
          </filters>
        </filterColumn>
        <filterColumn colId="11">
          <filters blank="1">
            <filter val="×"/>
          </filters>
        </filterColumn>
      </autoFilter>
    </customSheetView>
    <customSheetView guid="{1EE54929-8933-44E4-85F3-B334003C8BB0}" filter="1" showAutoFilter="1">
      <autoFilter ref="$A$1:$M$685">
        <filterColumn colId="11">
          <filters>
            <filter val="0file"/>
          </filters>
        </filterColumn>
      </autoFilter>
    </customSheetView>
    <customSheetView guid="{3F512EAA-FF12-4BDE-8DF4-23B9F9EEE442}" filter="1" showAutoFilter="1">
      <autoFilter ref="$A$1:$N$685">
        <filterColumn colId="2">
          <filters>
            <filter val="仮説"/>
            <filter val="0file"/>
          </filters>
        </filterColumn>
        <filterColumn colId="11">
          <filters blank="1">
            <filter val="×"/>
          </filters>
        </filterColumn>
        <filterColumn colId="4">
          <filters blank="1">
            <filter val="CS本部"/>
            <filter val="渉外部本部格"/>
            <filter val="ｺｰﾎﾟﾚｰﾄﾃﾞﾍﾞﾛｯﾌﾟﾒﾝﾄ本部"/>
            <filter val="デザイン本部 / 事業推進部"/>
            <filter val="開発本部 / デザイン本部"/>
            <filter val="各事業部"/>
            <filter val="各ゲーム事業部"/>
            <filter val="CS本部 (CX部)"/>
            <filter val="開発本部"/>
            <filter val="経営推進本部"/>
            <filter val="開発本部 / スポーツ事業部"/>
            <filter val="社長室"/>
            <filter val="デジタルエンターテインメント事業本部"/>
            <filter val="CS本部 (トラスト＆セーフティ部)"/>
            <filter val="コーポレートファイナンス本部"/>
            <filter val="デザイン本部"/>
            <filter val="株式会社ノハナ"/>
            <filter val="ﾃﾞｻﾞｲﾝ本部"/>
            <filter val="次世代エンターテインメント事業本部"/>
            <filter val="ゲーム事業部"/>
            <filter val="デジタルエンターテインメントパブリッシング本部"/>
            <filter val="株式会社Diverse"/>
            <filter val="スポーツ事業部 (TIPSTAR)"/>
            <filter val="ﾃﾞｼﾞﾀﾙｴﾝﾀｰﾃｲﾝﾒﾝﾄｵﾍﾟﾚｰｼｮﾝｽﾞ本部"/>
            <filter val="ライブエクスペリエンス事業本部"/>
            <filter val="株式会社アイ・マーキュリーキャピタル"/>
            <filter val="みてね事業本部"/>
            <filter val="みてね事業部"/>
            <filter val="MIXI M事業部"/>
            <filter val="ミニモ事業部"/>
            <filter val="モンスト事業部"/>
            <filter val="スポーツ事業部"/>
            <filter val="エンターテインメントクリエイション室本部格"/>
            <filter val="ﾃﾞｼﾞﾀﾙｴﾝﾀｰﾃｲﾝﾒﾝﾄﾊﾟﾌﾞﾘｯｼﾝｸﾞ本部"/>
            <filter val="デジタルエンターテインメントオペレーションズ本部"/>
            <filter val="開発本部 / デザイン本部 / 各事業部"/>
            <filter val="Vantageｽﾀｼﾞｵ"/>
            <filter val="CS本部 (CS部)"/>
            <filter val="コーポレートデベロップメント本部"/>
            <filter val="デザイン本部 / 各事業部"/>
            <filter val="ｺﾝﾌﾟﾗｲｱﾝｽ本部"/>
            <filter val="コトダマン事業部"/>
            <filter val="経営管理本部"/>
            <filter val="監査役室本部格"/>
            <filter val="ｾｷｭﾘﾃｨ室本部格"/>
            <filter val="事業推進部"/>
            <filter val="はたらく環境推進本部"/>
            <filter val="スポーツ事業部など"/>
            <filter val="ソーシャルベッティング事業本部"/>
            <filter val="モンスト事業本部"/>
            <filter val="ﾒﾃﾞｨｱ&amp;ﾍﾞｯﾃｨﾝｸﾞ事業本部"/>
            <filter val="経理財務本部"/>
            <filter val="人事本部"/>
            <filter val="ｿｰｼｬﾙﾍﾞｯﾃｨﾝｸﾞ事業本部"/>
            <filter val="広報部"/>
            <filter val="内部監査室本部格"/>
            <filter val="CS本部 / 開発本部"/>
            <filter val="ﾀﾞﾐｰ株式会社ﾈｯﾄﾄﾞﾘｰﾏｰｽﾞ"/>
            <filter val="ﾗｲﾌﾞｴｸｽﾍﾟﾘｴﾝｽ事業本部"/>
            <filter val="社長室本部格"/>
          </filters>
        </filterColumn>
      </autoFilter>
    </customSheetView>
  </customSheetViews>
  <conditionalFormatting sqref="A1:M685">
    <cfRule type="expression" dxfId="3" priority="1">
      <formula>countif($L1,"0file")</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2.13"/>
    <col customWidth="1" min="2" max="2" width="14.63"/>
    <col customWidth="1" min="5" max="6" width="17.88"/>
    <col customWidth="1" min="7" max="7" width="12.63"/>
    <col customWidth="1" min="8" max="9" width="52.13"/>
    <col customWidth="1" min="10" max="12" width="29.38"/>
  </cols>
  <sheetData>
    <row r="1">
      <c r="A1" s="31" t="s">
        <v>2385</v>
      </c>
      <c r="B1" s="31" t="s">
        <v>2386</v>
      </c>
      <c r="C1" s="72"/>
      <c r="D1" s="72"/>
      <c r="E1" s="30"/>
      <c r="F1" s="30"/>
      <c r="G1" s="30"/>
      <c r="H1" s="30"/>
      <c r="I1" s="30"/>
      <c r="J1" s="30"/>
      <c r="K1" s="30"/>
      <c r="L1" s="30"/>
    </row>
    <row r="2">
      <c r="A2" s="31" t="s">
        <v>2387</v>
      </c>
      <c r="B2" s="31" t="s">
        <v>2388</v>
      </c>
      <c r="C2" s="72"/>
      <c r="D2" s="72"/>
      <c r="E2" s="30"/>
      <c r="F2" s="30"/>
      <c r="G2" s="31"/>
      <c r="H2" s="30"/>
      <c r="I2" s="30"/>
      <c r="J2" s="30"/>
      <c r="K2" s="30"/>
      <c r="L2" s="30"/>
    </row>
    <row r="3">
      <c r="A3" s="31"/>
      <c r="B3" s="31"/>
      <c r="C3" s="72"/>
      <c r="D3" s="72"/>
      <c r="E3" s="30"/>
      <c r="F3" s="30"/>
      <c r="G3" s="31"/>
      <c r="H3" s="31"/>
      <c r="I3" s="73">
        <f>COUNTA(I5:I325)</f>
        <v>321</v>
      </c>
      <c r="J3" s="30"/>
      <c r="K3" s="30"/>
      <c r="L3" s="30"/>
    </row>
    <row r="4">
      <c r="A4" s="74" t="s">
        <v>1367</v>
      </c>
      <c r="B4" s="75" t="s">
        <v>1021</v>
      </c>
      <c r="C4" s="76" t="s">
        <v>2389</v>
      </c>
      <c r="D4" s="76" t="s">
        <v>2390</v>
      </c>
      <c r="E4" s="76" t="s">
        <v>2391</v>
      </c>
      <c r="F4" s="75" t="s">
        <v>2174</v>
      </c>
      <c r="G4" s="77" t="s">
        <v>2167</v>
      </c>
      <c r="H4" s="77" t="s">
        <v>2168</v>
      </c>
      <c r="I4" s="75" t="s">
        <v>2392</v>
      </c>
      <c r="J4" s="75" t="s">
        <v>1371</v>
      </c>
      <c r="K4" s="75" t="s">
        <v>2393</v>
      </c>
      <c r="L4" s="75" t="s">
        <v>1038</v>
      </c>
    </row>
    <row r="5">
      <c r="A5" s="31" t="s">
        <v>1373</v>
      </c>
      <c r="B5" s="31" t="s">
        <v>2394</v>
      </c>
      <c r="C5" s="78">
        <v>196.0</v>
      </c>
      <c r="D5" s="78">
        <v>864.0</v>
      </c>
      <c r="E5" s="79" t="str">
        <f t="array" ref="E5">XLOOKUP($A5,'source isilon_Projectまとめ'!$A:$A,'source isilon_Projectまとめ'!$D:$D,XLOOKUP($A5,'source isilon-Project-du'!$A:$A,'source isilon-Project-du'!$C:$C))</f>
        <v>0.23GB</v>
      </c>
      <c r="F5" s="79" t="str">
        <f t="array" ref="F5">XLOOKUP($A5,'source isilon_Projectまとめ'!$A:$A,'source isilon_Projectまとめ'!$C:$C,XLOOKUP($A5,'source NetApp-file-sv01～03-Proj'!$A:$A,'source NetApp-file-sv01～03-Proj'!$D:$D))</f>
        <v>2017/11/14</v>
      </c>
      <c r="G5" s="31" t="s">
        <v>2177</v>
      </c>
      <c r="H5" s="30"/>
      <c r="I5" s="31" t="s">
        <v>1375</v>
      </c>
      <c r="J5" s="30" t="str">
        <f t="array" ref="J5">XLOOKUP(I5,'従業員情報'!$A:$A,'従業員情報'!$N:$N,"×")</f>
        <v>株式会社MIXI/管掌役員なし/取締役</v>
      </c>
      <c r="K5" s="30" t="s">
        <v>1375</v>
      </c>
      <c r="L5" s="30"/>
    </row>
    <row r="6">
      <c r="A6" s="31" t="s">
        <v>1376</v>
      </c>
      <c r="B6" s="31" t="s">
        <v>2394</v>
      </c>
      <c r="C6" s="78">
        <v>59.0</v>
      </c>
      <c r="D6" s="78">
        <v>312.0</v>
      </c>
      <c r="E6" s="79" t="str">
        <f t="array" ref="E6">XLOOKUP($A6,'source isilon_Projectまとめ'!$A:$A,'source isilon_Projectまとめ'!$D:$D,XLOOKUP($A6,'source isilon-Project-du'!$A:$A,'source isilon-Project-du'!$C:$C))</f>
        <v>0.22GB</v>
      </c>
      <c r="F6" s="79" t="str">
        <f t="array" ref="F6">XLOOKUP($A6,'source isilon_Projectまとめ'!$A:$A,'source isilon_Projectまとめ'!$C:$C,XLOOKUP($A6,'source NetApp-file-sv01～03-Proj'!$A:$A,'source NetApp-file-sv01～03-Proj'!$D:$D))</f>
        <v>2013/10/08</v>
      </c>
      <c r="G6" s="31" t="s">
        <v>2177</v>
      </c>
      <c r="H6" s="30"/>
      <c r="I6" s="31" t="s">
        <v>1379</v>
      </c>
      <c r="J6" s="30" t="str">
        <f t="array" ref="J6">XLOOKUP(I6,'従業員情報'!$A:$A,'従業員情報'!$N:$N,"×")</f>
        <v>株式会社MIXI/島村管掌/コーポレートファイナンス本部/経理税務部/経理グループ</v>
      </c>
      <c r="K6" s="30" t="s">
        <v>1379</v>
      </c>
      <c r="L6" s="30"/>
    </row>
    <row r="7">
      <c r="A7" s="31" t="s">
        <v>1380</v>
      </c>
      <c r="B7" s="31" t="s">
        <v>2394</v>
      </c>
      <c r="C7" s="78">
        <v>6.0</v>
      </c>
      <c r="D7" s="78">
        <v>4.0</v>
      </c>
      <c r="E7" s="79" t="str">
        <f t="array" ref="E7">XLOOKUP($A7,'source isilon_Projectまとめ'!$A:$A,'source isilon_Projectまとめ'!$D:$D,XLOOKUP($A7,'source isilon-Project-du'!$A:$A,'source isilon-Project-du'!$C:$C))</f>
        <v>0.00GB</v>
      </c>
      <c r="F7" s="79" t="str">
        <f t="array" ref="F7">XLOOKUP($A7,'source isilon_Projectまとめ'!$A:$A,'source isilon_Projectまとめ'!$C:$C,XLOOKUP($A7,'source NetApp-file-sv01～03-Proj'!$A:$A,'source NetApp-file-sv01～03-Proj'!$D:$D))</f>
        <v>2015/07/15</v>
      </c>
      <c r="G7" s="31" t="s">
        <v>2177</v>
      </c>
      <c r="H7" s="30"/>
      <c r="I7" s="31" t="s">
        <v>1383</v>
      </c>
      <c r="J7" s="30" t="str">
        <f t="array" ref="J7">XLOOKUP(I7,'従業員情報'!$A:$A,'従業員情報'!$N:$N,"×")</f>
        <v>株式会社MIXI/小林管掌/コンプライアンス本部/知財室/商標・著作権グループ</v>
      </c>
      <c r="K7" s="30" t="s">
        <v>1383</v>
      </c>
      <c r="L7" s="30"/>
    </row>
    <row r="8">
      <c r="A8" s="31" t="s">
        <v>1384</v>
      </c>
      <c r="B8" s="31" t="s">
        <v>2394</v>
      </c>
      <c r="C8" s="78">
        <v>1087.0</v>
      </c>
      <c r="D8" s="78">
        <v>4845.0</v>
      </c>
      <c r="E8" s="79" t="str">
        <f t="array" ref="E8">XLOOKUP($A8,'source isilon_Projectまとめ'!$A:$A,'source isilon_Projectまとめ'!$D:$D,XLOOKUP($A8,'source isilon-Project-du'!$A:$A,'source isilon-Project-du'!$C:$C))</f>
        <v>5.82GB</v>
      </c>
      <c r="F8" s="79" t="str">
        <f t="array" ref="F8">XLOOKUP($A8,'source isilon_Projectまとめ'!$A:$A,'source isilon_Projectまとめ'!$C:$C,XLOOKUP($A8,'source NetApp-file-sv01～03-Proj'!$A:$A,'source NetApp-file-sv01～03-Proj'!$D:$D))</f>
        <v>2014/04/10</v>
      </c>
      <c r="G8" s="31" t="s">
        <v>2177</v>
      </c>
      <c r="H8" s="30"/>
      <c r="I8" s="31" t="s">
        <v>1387</v>
      </c>
      <c r="J8" s="30" t="str">
        <f t="array" ref="J8">XLOOKUP(I8,'従業員情報'!$A:$A,'従業員情報'!$N:$N,"×")</f>
        <v>株式会社MIXI/笠原管掌/みてね事業本部/みてねプラットフォーム部/SREグループ</v>
      </c>
      <c r="K8" s="30" t="s">
        <v>1387</v>
      </c>
      <c r="L8" s="30"/>
    </row>
    <row r="9">
      <c r="A9" s="31" t="s">
        <v>1388</v>
      </c>
      <c r="B9" s="31" t="s">
        <v>2394</v>
      </c>
      <c r="C9" s="78">
        <v>2532.0</v>
      </c>
      <c r="D9" s="78">
        <v>16929.0</v>
      </c>
      <c r="E9" s="79" t="str">
        <f t="array" ref="E9">XLOOKUP($A9,'source isilon_Projectまとめ'!$A:$A,'source isilon_Projectまとめ'!$D:$D,XLOOKUP($A9,'source isilon-Project-du'!$A:$A,'source isilon-Project-du'!$C:$C))</f>
        <v>17.73GB</v>
      </c>
      <c r="F9" s="79" t="str">
        <f t="array" ref="F9">XLOOKUP($A9,'source isilon_Projectまとめ'!$A:$A,'source isilon_Projectまとめ'!$C:$C,XLOOKUP($A9,'source NetApp-file-sv01～03-Proj'!$A:$A,'source NetApp-file-sv01～03-Proj'!$D:$D))</f>
        <v>2016/05/19</v>
      </c>
      <c r="G9" s="31" t="s">
        <v>2177</v>
      </c>
      <c r="H9" s="30"/>
      <c r="I9" s="31" t="s">
        <v>1391</v>
      </c>
      <c r="J9" s="30" t="str">
        <f t="array" ref="J9">XLOOKUP(I9,'従業員情報'!$A:$A,'従業員情報'!$N:$N,"×")</f>
        <v>株式会社MIXI/笠原管掌/Vantageスタジオ/Romi事業部/UX企画グループ</v>
      </c>
      <c r="K9" s="30" t="s">
        <v>1391</v>
      </c>
      <c r="L9" s="30"/>
    </row>
    <row r="10">
      <c r="A10" s="31" t="s">
        <v>1392</v>
      </c>
      <c r="B10" s="31" t="s">
        <v>2394</v>
      </c>
      <c r="C10" s="78">
        <v>6.0</v>
      </c>
      <c r="D10" s="78">
        <v>15.0</v>
      </c>
      <c r="E10" s="79" t="str">
        <f t="array" ref="E10">XLOOKUP($A10,'source isilon_Projectまとめ'!$A:$A,'source isilon_Projectまとめ'!$D:$D,XLOOKUP($A10,'source isilon-Project-du'!$A:$A,'source isilon-Project-du'!$C:$C))</f>
        <v>0.78GB</v>
      </c>
      <c r="F10" s="79" t="str">
        <f t="array" ref="F10">XLOOKUP($A10,'source isilon_Projectまとめ'!$A:$A,'source isilon_Projectまとめ'!$C:$C,XLOOKUP($A10,'source NetApp-file-sv01～03-Proj'!$A:$A,'source NetApp-file-sv01～03-Proj'!$D:$D))</f>
        <v>2012/04/13</v>
      </c>
      <c r="G10" s="31" t="s">
        <v>2177</v>
      </c>
      <c r="H10" s="30"/>
      <c r="I10" s="31" t="s">
        <v>1395</v>
      </c>
      <c r="J10" s="30" t="str">
        <f t="array" ref="J10">XLOOKUP(I10,'従業員情報'!$A:$A,'従業員情報'!$N:$N,"×")</f>
        <v>株式会社MIXI/笠原管掌/Vantageスタジオ/事業推進室/mercuryグループ</v>
      </c>
      <c r="K10" s="30" t="s">
        <v>1395</v>
      </c>
      <c r="L10" s="30"/>
    </row>
    <row r="11">
      <c r="A11" s="31" t="s">
        <v>1396</v>
      </c>
      <c r="B11" s="31" t="s">
        <v>2394</v>
      </c>
      <c r="C11" s="78">
        <v>5.0</v>
      </c>
      <c r="D11" s="78">
        <v>8.0</v>
      </c>
      <c r="E11" s="79" t="str">
        <f t="array" ref="E11">XLOOKUP($A11,'source isilon_Projectまとめ'!$A:$A,'source isilon_Projectまとめ'!$D:$D,XLOOKUP($A11,'source isilon-Project-du'!$A:$A,'source isilon-Project-du'!$C:$C))</f>
        <v>0.00GB</v>
      </c>
      <c r="F11" s="79" t="str">
        <f t="array" ref="F11">XLOOKUP($A11,'source isilon_Projectまとめ'!$A:$A,'source isilon_Projectまとめ'!$C:$C,XLOOKUP($A11,'source NetApp-file-sv01～03-Proj'!$A:$A,'source NetApp-file-sv01～03-Proj'!$D:$D))</f>
        <v>2022/12/27</v>
      </c>
      <c r="G11" s="31" t="s">
        <v>2177</v>
      </c>
      <c r="H11" s="30"/>
      <c r="I11" s="31" t="s">
        <v>1399</v>
      </c>
      <c r="J11" s="30" t="str">
        <f t="array" ref="J11">XLOOKUP(I11,'従業員情報'!$A:$A,'従業員情報'!$N:$N,"×")</f>
        <v>株式会社MIXI/島村管掌/経営推進本部/広報部/インターナルコミュニケーショングループ/インターナルコミュニケーションチーム</v>
      </c>
      <c r="K11" s="30" t="s">
        <v>1399</v>
      </c>
      <c r="L11" s="30"/>
    </row>
    <row r="12">
      <c r="A12" s="31" t="s">
        <v>1396</v>
      </c>
      <c r="B12" s="31" t="s">
        <v>2394</v>
      </c>
      <c r="C12" s="78">
        <v>5.0</v>
      </c>
      <c r="D12" s="78">
        <v>8.0</v>
      </c>
      <c r="E12" s="79" t="str">
        <f t="array" ref="E12">XLOOKUP($A12,'source isilon_Projectまとめ'!$A:$A,'source isilon_Projectまとめ'!$D:$D,XLOOKUP($A12,'source isilon-Project-du'!$A:$A,'source isilon-Project-du'!$C:$C))</f>
        <v>0.00GB</v>
      </c>
      <c r="F12" s="79" t="str">
        <f t="array" ref="F12">XLOOKUP($A12,'source isilon_Projectまとめ'!$A:$A,'source isilon_Projectまとめ'!$C:$C,XLOOKUP($A12,'source NetApp-file-sv01～03-Proj'!$A:$A,'source NetApp-file-sv01～03-Proj'!$D:$D))</f>
        <v>2022/12/27</v>
      </c>
      <c r="G12" s="31" t="s">
        <v>2177</v>
      </c>
      <c r="H12" s="30"/>
      <c r="I12" s="31" t="s">
        <v>1401</v>
      </c>
      <c r="J12" s="30" t="str">
        <f t="array" ref="J12">XLOOKUP(I12,'従業員情報'!$A:$A,'従業員情報'!$N:$N,"×")</f>
        <v>株式会社MIXI/島村管掌/経営推進本部/広報部</v>
      </c>
      <c r="K12" s="30" t="s">
        <v>1401</v>
      </c>
      <c r="L12" s="30"/>
    </row>
    <row r="13">
      <c r="A13" s="31" t="s">
        <v>1396</v>
      </c>
      <c r="B13" s="31" t="s">
        <v>2394</v>
      </c>
      <c r="C13" s="78">
        <v>5.0</v>
      </c>
      <c r="D13" s="78">
        <v>8.0</v>
      </c>
      <c r="E13" s="79" t="str">
        <f t="array" ref="E13">XLOOKUP($A13,'source isilon_Projectまとめ'!$A:$A,'source isilon_Projectまとめ'!$D:$D,XLOOKUP($A13,'source isilon-Project-du'!$A:$A,'source isilon-Project-du'!$C:$C))</f>
        <v>0.00GB</v>
      </c>
      <c r="F13" s="79" t="str">
        <f t="array" ref="F13">XLOOKUP($A13,'source isilon_Projectまとめ'!$A:$A,'source isilon_Projectまとめ'!$C:$C,XLOOKUP($A13,'source NetApp-file-sv01～03-Proj'!$A:$A,'source NetApp-file-sv01～03-Proj'!$D:$D))</f>
        <v>2022/12/27</v>
      </c>
      <c r="G13" s="31" t="s">
        <v>2177</v>
      </c>
      <c r="H13" s="30"/>
      <c r="I13" s="31" t="s">
        <v>2395</v>
      </c>
      <c r="J13" s="30" t="str">
        <f t="array" ref="J13">XLOOKUP(I13,'従業員情報'!$A:$A,'従業員情報'!$N:$N,"×")</f>
        <v>株式会社MIXI/島村管掌/経営推進本部/広報部/サステナビリティ推進グループ</v>
      </c>
      <c r="K13" s="30" t="s">
        <v>2395</v>
      </c>
      <c r="L13" s="30"/>
    </row>
    <row r="14">
      <c r="A14" s="31" t="s">
        <v>1396</v>
      </c>
      <c r="B14" s="31" t="s">
        <v>2394</v>
      </c>
      <c r="C14" s="78">
        <v>5.0</v>
      </c>
      <c r="D14" s="78">
        <v>8.0</v>
      </c>
      <c r="E14" s="79" t="str">
        <f t="array" ref="E14">XLOOKUP($A14,'source isilon_Projectまとめ'!$A:$A,'source isilon_Projectまとめ'!$D:$D,XLOOKUP($A14,'source isilon-Project-du'!$A:$A,'source isilon-Project-du'!$C:$C))</f>
        <v>0.00GB</v>
      </c>
      <c r="F14" s="79" t="str">
        <f t="array" ref="F14">XLOOKUP($A14,'source isilon_Projectまとめ'!$A:$A,'source isilon_Projectまとめ'!$C:$C,XLOOKUP($A14,'source NetApp-file-sv01～03-Proj'!$A:$A,'source NetApp-file-sv01～03-Proj'!$D:$D))</f>
        <v>2022/12/27</v>
      </c>
      <c r="G14" s="31" t="s">
        <v>2177</v>
      </c>
      <c r="H14" s="30"/>
      <c r="I14" s="31" t="s">
        <v>2396</v>
      </c>
      <c r="J14" s="30" t="str">
        <f t="array" ref="J14">XLOOKUP(I14,'従業員情報'!$A:$A,'従業員情報'!$N:$N,"×")</f>
        <v>株式会社MIXI/島村管掌/経営推進本部/広報部/サステナビリティ推進グループ/次世代育成支援チーム</v>
      </c>
      <c r="K14" s="30" t="s">
        <v>2396</v>
      </c>
      <c r="L14" s="30"/>
    </row>
    <row r="15">
      <c r="A15" s="31" t="s">
        <v>1396</v>
      </c>
      <c r="B15" s="31" t="s">
        <v>2394</v>
      </c>
      <c r="C15" s="78">
        <v>5.0</v>
      </c>
      <c r="D15" s="78">
        <v>8.0</v>
      </c>
      <c r="E15" s="79" t="str">
        <f t="array" ref="E15">XLOOKUP($A15,'source isilon_Projectまとめ'!$A:$A,'source isilon_Projectまとめ'!$D:$D,XLOOKUP($A15,'source isilon-Project-du'!$A:$A,'source isilon-Project-du'!$C:$C))</f>
        <v>0.00GB</v>
      </c>
      <c r="F15" s="79" t="str">
        <f t="array" ref="F15">XLOOKUP($A15,'source isilon_Projectまとめ'!$A:$A,'source isilon_Projectまとめ'!$C:$C,XLOOKUP($A15,'source NetApp-file-sv01～03-Proj'!$A:$A,'source NetApp-file-sv01～03-Proj'!$D:$D))</f>
        <v>2022/12/27</v>
      </c>
      <c r="G15" s="31" t="s">
        <v>2177</v>
      </c>
      <c r="H15" s="30"/>
      <c r="I15" s="31" t="s">
        <v>2397</v>
      </c>
      <c r="J15" s="30" t="str">
        <f t="array" ref="J15">XLOOKUP(I15,'従業員情報'!$A:$A,'従業員情報'!$N:$N,"×")</f>
        <v>株式会社MIXI/島村管掌/経営推進本部/広報部/サステナビリティ推進グループ/次世代育成支援チーム</v>
      </c>
      <c r="K15" s="30" t="s">
        <v>2397</v>
      </c>
      <c r="L15" s="30"/>
    </row>
    <row r="16">
      <c r="A16" s="31" t="s">
        <v>1396</v>
      </c>
      <c r="B16" s="31" t="s">
        <v>2394</v>
      </c>
      <c r="C16" s="78">
        <v>5.0</v>
      </c>
      <c r="D16" s="78">
        <v>8.0</v>
      </c>
      <c r="E16" s="79" t="str">
        <f t="array" ref="E16">XLOOKUP($A16,'source isilon_Projectまとめ'!$A:$A,'source isilon_Projectまとめ'!$D:$D,XLOOKUP($A16,'source isilon-Project-du'!$A:$A,'source isilon-Project-du'!$C:$C))</f>
        <v>0.00GB</v>
      </c>
      <c r="F16" s="79" t="str">
        <f t="array" ref="F16">XLOOKUP($A16,'source isilon_Projectまとめ'!$A:$A,'source isilon_Projectまとめ'!$C:$C,XLOOKUP($A16,'source NetApp-file-sv01～03-Proj'!$A:$A,'source NetApp-file-sv01～03-Proj'!$D:$D))</f>
        <v>2022/12/27</v>
      </c>
      <c r="G16" s="31" t="s">
        <v>2177</v>
      </c>
      <c r="H16" s="30"/>
      <c r="I16" s="31" t="s">
        <v>2398</v>
      </c>
      <c r="J16" s="30" t="str">
        <f t="array" ref="J16">XLOOKUP(I16,'従業員情報'!$A:$A,'従業員情報'!$N:$N,"×")</f>
        <v>株式会社MIXI/島村管掌/経営推進本部/広報部/企業広報グループ</v>
      </c>
      <c r="K16" s="30" t="s">
        <v>2398</v>
      </c>
      <c r="L16" s="30"/>
    </row>
    <row r="17">
      <c r="A17" s="31" t="s">
        <v>1396</v>
      </c>
      <c r="B17" s="31" t="s">
        <v>2394</v>
      </c>
      <c r="C17" s="78">
        <v>5.0</v>
      </c>
      <c r="D17" s="78">
        <v>8.0</v>
      </c>
      <c r="E17" s="79" t="str">
        <f t="array" ref="E17">XLOOKUP($A17,'source isilon_Projectまとめ'!$A:$A,'source isilon_Projectまとめ'!$D:$D,XLOOKUP($A17,'source isilon-Project-du'!$A:$A,'source isilon-Project-du'!$C:$C))</f>
        <v>0.00GB</v>
      </c>
      <c r="F17" s="79" t="str">
        <f t="array" ref="F17">XLOOKUP($A17,'source isilon_Projectまとめ'!$A:$A,'source isilon_Projectまとめ'!$C:$C,XLOOKUP($A17,'source NetApp-file-sv01～03-Proj'!$A:$A,'source NetApp-file-sv01～03-Proj'!$D:$D))</f>
        <v>2022/12/27</v>
      </c>
      <c r="G17" s="31" t="s">
        <v>2177</v>
      </c>
      <c r="H17" s="30"/>
      <c r="I17" s="31" t="s">
        <v>1411</v>
      </c>
      <c r="J17" s="30" t="str">
        <f t="array" ref="J17">XLOOKUP(I17,'従業員情報'!$A:$A,'従業員情報'!$N:$N,"×")</f>
        <v>株式会社MIXI/木村管掌/ライブエクスペリエンス事業本部</v>
      </c>
      <c r="K17" s="30" t="s">
        <v>1411</v>
      </c>
      <c r="L17" s="30"/>
    </row>
    <row r="18">
      <c r="A18" s="31" t="s">
        <v>1412</v>
      </c>
      <c r="B18" s="31" t="s">
        <v>1425</v>
      </c>
      <c r="C18" s="78">
        <v>6.0</v>
      </c>
      <c r="D18" s="78">
        <v>5.0</v>
      </c>
      <c r="E18" s="79" t="str">
        <f t="array" ref="E18">XLOOKUP($A18,'source isilon_Projectまとめ'!$A:$A,'source isilon_Projectまとめ'!$D:$D,XLOOKUP($A18,'source isilon-Project-du'!$A:$A,'source isilon-Project-du'!$C:$C))</f>
        <v>0.00GB</v>
      </c>
      <c r="F18" s="79" t="str">
        <f t="array" ref="F18">XLOOKUP($A18,'source isilon_Projectまとめ'!$A:$A,'source isilon_Projectまとめ'!$C:$C,XLOOKUP($A18,'source NetApp-file-sv01～03-Proj'!$A:$A,'source NetApp-file-sv01～03-Proj'!$D:$D))</f>
        <v>2017/07/07</v>
      </c>
      <c r="G18" s="31" t="s">
        <v>2177</v>
      </c>
      <c r="H18" s="30"/>
      <c r="I18" s="31" t="s">
        <v>1414</v>
      </c>
      <c r="J18" s="30" t="str">
        <f t="array" ref="J18">XLOOKUP(I18,'退職者'!$C:$C,'退職者'!$B:$B,"×")&amp;XLOOKUP(I18,'退職者'!$C:$C,'退職者'!$A:$A,"×")</f>
        <v>人事本部人事戦略部付</v>
      </c>
      <c r="K18" s="30" t="s">
        <v>2399</v>
      </c>
      <c r="L18" s="30"/>
    </row>
    <row r="19">
      <c r="A19" s="31" t="s">
        <v>1412</v>
      </c>
      <c r="B19" s="31" t="s">
        <v>2394</v>
      </c>
      <c r="C19" s="78">
        <v>6.0</v>
      </c>
      <c r="D19" s="78">
        <v>5.0</v>
      </c>
      <c r="E19" s="79" t="str">
        <f t="array" ref="E19">XLOOKUP($A19,'source isilon_Projectまとめ'!$A:$A,'source isilon_Projectまとめ'!$D:$D,XLOOKUP($A19,'source isilon-Project-du'!$A:$A,'source isilon-Project-du'!$C:$C))</f>
        <v>0.00GB</v>
      </c>
      <c r="F19" s="79" t="str">
        <f t="array" ref="F19">XLOOKUP($A19,'source isilon_Projectまとめ'!$A:$A,'source isilon_Projectまとめ'!$C:$C,XLOOKUP($A19,'source NetApp-file-sv01～03-Proj'!$A:$A,'source NetApp-file-sv01～03-Proj'!$D:$D))</f>
        <v>2017/07/07</v>
      </c>
      <c r="G19" s="31" t="s">
        <v>2177</v>
      </c>
      <c r="H19" s="30"/>
      <c r="I19" s="31" t="s">
        <v>1416</v>
      </c>
      <c r="J19" s="31" t="str">
        <f t="array" ref="J19">XLOOKUP(I19,'従業員情報'!$A:$A,'従業員情報'!$N:$N,"×")</f>
        <v>株式会社MIXI/木村管掌/デジタルエンターテインメントオペレーションズ本部/モンスト運営部/ディレクターグループ</v>
      </c>
      <c r="K19" s="31" t="s">
        <v>1416</v>
      </c>
      <c r="L19" s="31" t="s">
        <v>2400</v>
      </c>
    </row>
    <row r="20">
      <c r="A20" s="31" t="s">
        <v>1417</v>
      </c>
      <c r="B20" s="31" t="s">
        <v>2394</v>
      </c>
      <c r="C20" s="78">
        <v>101.0</v>
      </c>
      <c r="D20" s="78">
        <v>1312.0</v>
      </c>
      <c r="E20" s="79" t="str">
        <f t="array" ref="E20">XLOOKUP($A20,'source isilon_Projectまとめ'!$A:$A,'source isilon_Projectまとめ'!$D:$D,XLOOKUP($A20,'source isilon-Project-du'!$A:$A,'source isilon-Project-du'!$C:$C))</f>
        <v>0.11GB</v>
      </c>
      <c r="F20" s="79" t="str">
        <f t="array" ref="F20">XLOOKUP($A20,'source isilon_Projectまとめ'!$A:$A,'source isilon_Projectまとめ'!$C:$C,XLOOKUP($A20,'source NetApp-file-sv01～03-Proj'!$A:$A,'source NetApp-file-sv01～03-Proj'!$D:$D))</f>
        <v>2025/06/27</v>
      </c>
      <c r="G20" s="31" t="s">
        <v>2184</v>
      </c>
      <c r="H20" s="30"/>
      <c r="I20" s="31" t="s">
        <v>1418</v>
      </c>
      <c r="J20" s="30" t="str">
        <f t="array" ref="J20">XLOOKUP(I20,'従業員情報'!$A:$A,'従業員情報'!$N:$N,"×")</f>
        <v>株式会社MIXI/小林管掌/コンプライアンス本部/法務部/オペレーショングループ</v>
      </c>
      <c r="K20" s="30" t="s">
        <v>1418</v>
      </c>
      <c r="L20" s="30"/>
    </row>
    <row r="21">
      <c r="A21" s="31" t="s">
        <v>1420</v>
      </c>
      <c r="B21" s="31" t="s">
        <v>2394</v>
      </c>
      <c r="C21" s="78">
        <v>233015.0</v>
      </c>
      <c r="D21" s="78">
        <v>1955863.0</v>
      </c>
      <c r="E21" s="79" t="str">
        <f t="array" ref="E21">XLOOKUP($A21,'source isilon_Projectまとめ'!$A:$A,'source isilon_Projectまとめ'!$D:$D,XLOOKUP($A21,'source isilon-Project-du'!$A:$A,'source isilon-Project-du'!$C:$C))</f>
        <v>525.02GB</v>
      </c>
      <c r="F21" s="79" t="str">
        <f t="array" ref="F21">XLOOKUP($A21,'source isilon_Projectまとめ'!$A:$A,'source isilon_Projectまとめ'!$C:$C,XLOOKUP($A21,'source NetApp-file-sv01～03-Proj'!$A:$A,'source NetApp-file-sv01～03-Proj'!$D:$D))</f>
        <v>2025/07/08</v>
      </c>
      <c r="G21" s="31" t="s">
        <v>2184</v>
      </c>
      <c r="H21" s="30"/>
      <c r="I21" s="31" t="s">
        <v>1423</v>
      </c>
      <c r="J21" s="30" t="str">
        <f t="array" ref="J21">XLOOKUP(I21,'従業員情報'!$A:$A,'従業員情報'!$N:$N,"×")</f>
        <v>株式会社MIXI/笠原管掌/Vantageスタジオ/mixi事業部</v>
      </c>
      <c r="K21" s="30" t="s">
        <v>1423</v>
      </c>
      <c r="L21" s="30"/>
    </row>
    <row r="22">
      <c r="A22" s="31" t="s">
        <v>1424</v>
      </c>
      <c r="B22" s="31" t="s">
        <v>993</v>
      </c>
      <c r="C22" s="78">
        <v>23.0</v>
      </c>
      <c r="D22" s="78">
        <v>40.0</v>
      </c>
      <c r="E22" s="79" t="str">
        <f t="array" ref="E22">XLOOKUP($A22,'source isilon_Projectまとめ'!$A:$A,'source isilon_Projectまとめ'!$D:$D,XLOOKUP($A22,'source isilon-Project-du'!$A:$A,'source isilon-Project-du'!$C:$C))</f>
        <v>0.01GB</v>
      </c>
      <c r="F22" s="79" t="str">
        <f t="array" ref="F22">XLOOKUP($A22,'source isilon_Projectまとめ'!$A:$A,'source isilon_Projectまとめ'!$C:$C,XLOOKUP($A22,'source NetApp-file-sv01～03-Proj'!$A:$A,'source NetApp-file-sv01～03-Proj'!$D:$D))</f>
        <v>2019/02/04</v>
      </c>
      <c r="G22" s="31" t="s">
        <v>2177</v>
      </c>
      <c r="H22" s="30"/>
      <c r="I22" s="31" t="s">
        <v>1428</v>
      </c>
      <c r="J22" s="30" t="str">
        <f t="array" ref="J22">XLOOKUP(I22,'退職者'!$C:$C,'退職者'!$B:$B,"×")&amp;XLOOKUP(I22,'退職者'!$C:$C,'退職者'!$A:$A,"×")</f>
        <v>無無</v>
      </c>
      <c r="K22" s="30" t="s">
        <v>2401</v>
      </c>
      <c r="L22" s="30"/>
    </row>
    <row r="23">
      <c r="A23" s="31" t="s">
        <v>1424</v>
      </c>
      <c r="B23" s="31" t="s">
        <v>1425</v>
      </c>
      <c r="C23" s="78">
        <v>23.0</v>
      </c>
      <c r="D23" s="78">
        <v>40.0</v>
      </c>
      <c r="E23" s="79" t="str">
        <f t="array" ref="E23">XLOOKUP($A23,'source isilon_Projectまとめ'!$A:$A,'source isilon_Projectまとめ'!$D:$D,XLOOKUP($A23,'source isilon-Project-du'!$A:$A,'source isilon-Project-du'!$C:$C))</f>
        <v>0.01GB</v>
      </c>
      <c r="F23" s="79" t="str">
        <f t="array" ref="F23">XLOOKUP($A23,'source isilon_Projectまとめ'!$A:$A,'source isilon_Projectまとめ'!$C:$C,XLOOKUP($A23,'source NetApp-file-sv01～03-Proj'!$A:$A,'source NetApp-file-sv01～03-Proj'!$D:$D))</f>
        <v>2019/02/04</v>
      </c>
      <c r="G23" s="31" t="s">
        <v>2177</v>
      </c>
      <c r="H23" s="30"/>
      <c r="I23" s="31" t="s">
        <v>1429</v>
      </c>
      <c r="J23" s="30" t="str">
        <f t="array" ref="J23">XLOOKUP(I23,'退職者'!$C:$C,'退職者'!$B:$B,"×")&amp;XLOOKUP(I23,'退職者'!$C:$C,'退職者'!$A:$A,"×")</f>
        <v>無しノハナ事業部</v>
      </c>
      <c r="K23" s="30" t="s">
        <v>2401</v>
      </c>
      <c r="L23" s="30"/>
    </row>
    <row r="24">
      <c r="A24" s="31" t="s">
        <v>1431</v>
      </c>
      <c r="B24" s="31" t="s">
        <v>2394</v>
      </c>
      <c r="C24" s="78">
        <v>7571.0</v>
      </c>
      <c r="D24" s="78">
        <v>145774.0</v>
      </c>
      <c r="E24" s="79" t="str">
        <f t="array" ref="E24">XLOOKUP($A24,'source isilon_Projectまとめ'!$A:$A,'source isilon_Projectまとめ'!$D:$D,XLOOKUP($A24,'source isilon-Project-du'!$A:$A,'source isilon-Project-du'!$C:$C))</f>
        <v>46.35GB</v>
      </c>
      <c r="F24" s="79" t="str">
        <f t="array" ref="F24">XLOOKUP($A24,'source isilon_Projectまとめ'!$A:$A,'source isilon_Projectまとめ'!$C:$C,XLOOKUP($A24,'source NetApp-file-sv01～03-Proj'!$A:$A,'source NetApp-file-sv01～03-Proj'!$D:$D))</f>
        <v>2017/05/24</v>
      </c>
      <c r="G24" s="31" t="s">
        <v>2177</v>
      </c>
      <c r="H24" s="30"/>
      <c r="I24" s="31" t="s">
        <v>1434</v>
      </c>
      <c r="J24" s="30" t="str">
        <f t="array" ref="J24">XLOOKUP(I24,'従業員情報'!$A:$A,'従業員情報'!$N:$N,"×")</f>
        <v>株式会社MIXI/村瀨管掌/セキュリティ室(本部格)</v>
      </c>
      <c r="K24" s="30" t="s">
        <v>1434</v>
      </c>
      <c r="L24" s="30"/>
    </row>
    <row r="25">
      <c r="A25" s="31" t="s">
        <v>1431</v>
      </c>
      <c r="B25" s="31" t="s">
        <v>2394</v>
      </c>
      <c r="C25" s="78">
        <v>7571.0</v>
      </c>
      <c r="D25" s="78">
        <v>145774.0</v>
      </c>
      <c r="E25" s="79" t="str">
        <f t="array" ref="E25">XLOOKUP($A25,'source isilon_Projectまとめ'!$A:$A,'source isilon_Projectまとめ'!$D:$D,XLOOKUP($A25,'source isilon-Project-du'!$A:$A,'source isilon-Project-du'!$C:$C))</f>
        <v>46.35GB</v>
      </c>
      <c r="F25" s="79" t="str">
        <f t="array" ref="F25">XLOOKUP($A25,'source isilon_Projectまとめ'!$A:$A,'source isilon_Projectまとめ'!$C:$C,XLOOKUP($A25,'source NetApp-file-sv01～03-Proj'!$A:$A,'source NetApp-file-sv01～03-Proj'!$D:$D))</f>
        <v>2017/05/24</v>
      </c>
      <c r="G25" s="31" t="s">
        <v>2177</v>
      </c>
      <c r="H25" s="30"/>
      <c r="I25" s="31" t="s">
        <v>2402</v>
      </c>
      <c r="J25" s="30" t="str">
        <f t="array" ref="J25">XLOOKUP(I25,'従業員情報'!$A:$A,'従業員情報'!$N:$N,"×")</f>
        <v>株式会社MIXI/管掌役員なし/取締役</v>
      </c>
      <c r="K25" s="30" t="s">
        <v>2402</v>
      </c>
      <c r="L25" s="30"/>
    </row>
    <row r="26">
      <c r="A26" s="31" t="s">
        <v>1436</v>
      </c>
      <c r="B26" s="31" t="s">
        <v>2394</v>
      </c>
      <c r="C26" s="78">
        <v>118.0</v>
      </c>
      <c r="D26" s="78">
        <v>298.0</v>
      </c>
      <c r="E26" s="79" t="str">
        <f t="array" ref="E26">XLOOKUP($A26,'source isilon_Projectまとめ'!$A:$A,'source isilon_Projectまとめ'!$D:$D,XLOOKUP($A26,'source isilon-Project-du'!$A:$A,'source isilon-Project-du'!$C:$C))</f>
        <v>0.06GB</v>
      </c>
      <c r="F26" s="79" t="str">
        <f t="array" ref="F26">XLOOKUP($A26,'source isilon_Projectまとめ'!$A:$A,'source isilon_Projectまとめ'!$C:$C,XLOOKUP($A26,'source NetApp-file-sv01～03-Proj'!$A:$A,'source NetApp-file-sv01～03-Proj'!$D:$D))</f>
        <v>2025/03/25</v>
      </c>
      <c r="G26" s="31" t="s">
        <v>2184</v>
      </c>
      <c r="H26" s="30"/>
      <c r="I26" s="31" t="s">
        <v>1439</v>
      </c>
      <c r="J26" s="30" t="str">
        <f t="array" ref="J26">XLOOKUP(I26,'従業員情報'!$A:$A,'従業員情報'!$N:$N,"×")</f>
        <v>株式会社MIXI/島村管掌/人事本部/組織戦略部/横断HRBPグループ</v>
      </c>
      <c r="K26" s="30" t="s">
        <v>1439</v>
      </c>
      <c r="L26" s="30"/>
    </row>
    <row r="27">
      <c r="A27" s="31" t="s">
        <v>1440</v>
      </c>
      <c r="B27" s="31" t="s">
        <v>2394</v>
      </c>
      <c r="C27" s="78">
        <v>1.0</v>
      </c>
      <c r="D27" s="78">
        <v>9.0</v>
      </c>
      <c r="E27" s="79" t="str">
        <f t="array" ref="E27">XLOOKUP($A27,'source isilon_Projectまとめ'!$A:$A,'source isilon_Projectまとめ'!$D:$D,XLOOKUP($A27,'source isilon-Project-du'!$A:$A,'source isilon-Project-du'!$C:$C))</f>
        <v>0.00GB</v>
      </c>
      <c r="F27" s="79" t="str">
        <f t="array" ref="F27">XLOOKUP($A27,'source isilon_Projectまとめ'!$A:$A,'source isilon_Projectまとめ'!$C:$C,XLOOKUP($A27,'source NetApp-file-sv01～03-Proj'!$A:$A,'source NetApp-file-sv01～03-Proj'!$D:$D))</f>
        <v>2016/04/19</v>
      </c>
      <c r="G27" s="31" t="s">
        <v>2177</v>
      </c>
      <c r="H27" s="30"/>
      <c r="I27" s="31" t="s">
        <v>1391</v>
      </c>
      <c r="J27" s="30" t="str">
        <f t="array" ref="J27">XLOOKUP(I27,'従業員情報'!$A:$A,'従業員情報'!$N:$N,"×")</f>
        <v>株式会社MIXI/笠原管掌/Vantageスタジオ/Romi事業部/UX企画グループ</v>
      </c>
      <c r="K27" s="30" t="s">
        <v>1391</v>
      </c>
      <c r="L27" s="30"/>
    </row>
    <row r="28">
      <c r="A28" s="31" t="s">
        <v>1441</v>
      </c>
      <c r="B28" s="31" t="s">
        <v>2394</v>
      </c>
      <c r="C28" s="78">
        <v>257.0</v>
      </c>
      <c r="D28" s="78">
        <v>14187.0</v>
      </c>
      <c r="E28" s="79" t="str">
        <f t="array" ref="E28">XLOOKUP($A28,'source isilon_Projectまとめ'!$A:$A,'source isilon_Projectまとめ'!$D:$D,XLOOKUP($A28,'source isilon-Project-du'!$A:$A,'source isilon-Project-du'!$C:$C))</f>
        <v>61.19GB</v>
      </c>
      <c r="F28" s="79" t="str">
        <f t="array" ref="F28">XLOOKUP($A28,'source isilon_Projectまとめ'!$A:$A,'source isilon_Projectまとめ'!$C:$C,XLOOKUP($A28,'source NetApp-file-sv01～03-Proj'!$A:$A,'source NetApp-file-sv01～03-Proj'!$D:$D))</f>
        <v>2024/04/12</v>
      </c>
      <c r="G28" s="31" t="s">
        <v>2184</v>
      </c>
      <c r="H28" s="30"/>
      <c r="I28" s="31" t="s">
        <v>1444</v>
      </c>
      <c r="J28" s="30" t="str">
        <f t="array" ref="J28">XLOOKUP(I28,'従業員情報'!$A:$A,'従業員情報'!$N:$N,"×")</f>
        <v>株式会社MIXI/村瀨管掌/開発本部/たんぽぽ室/ブルーグループ</v>
      </c>
      <c r="K28" s="30" t="s">
        <v>1444</v>
      </c>
      <c r="L28" s="30"/>
    </row>
    <row r="29">
      <c r="A29" s="31" t="s">
        <v>1441</v>
      </c>
      <c r="B29" s="31" t="s">
        <v>1425</v>
      </c>
      <c r="C29" s="78">
        <v>257.0</v>
      </c>
      <c r="D29" s="78">
        <v>14187.0</v>
      </c>
      <c r="E29" s="79" t="str">
        <f t="array" ref="E29">XLOOKUP($A29,'source isilon_Projectまとめ'!$A:$A,'source isilon_Projectまとめ'!$D:$D,XLOOKUP($A29,'source isilon-Project-du'!$A:$A,'source isilon-Project-du'!$C:$C))</f>
        <v>61.19GB</v>
      </c>
      <c r="F29" s="79" t="str">
        <f t="array" ref="F29">XLOOKUP($A29,'source isilon_Projectまとめ'!$A:$A,'source isilon_Projectまとめ'!$C:$C,XLOOKUP($A29,'source NetApp-file-sv01～03-Proj'!$A:$A,'source NetApp-file-sv01～03-Proj'!$D:$D))</f>
        <v>2024/04/12</v>
      </c>
      <c r="G29" s="31" t="s">
        <v>2184</v>
      </c>
      <c r="H29" s="30"/>
      <c r="I29" s="31" t="s">
        <v>1445</v>
      </c>
      <c r="J29" s="31" t="str">
        <f t="array" ref="J29">XLOOKUP(I29,'退職者'!$C:$C,'退職者'!$B:$B,"×")&amp;XLOOKUP(I29,'退職者'!$C:$C,'退職者'!$A:$A,"×")</f>
        <v>デジタルエンターテインメントオペレーションズ本部ファンマーケティング部</v>
      </c>
      <c r="K29" s="31" t="s">
        <v>2400</v>
      </c>
      <c r="L29" s="31" t="s">
        <v>2403</v>
      </c>
    </row>
    <row r="30">
      <c r="A30" s="31" t="s">
        <v>1441</v>
      </c>
      <c r="B30" s="31" t="s">
        <v>2394</v>
      </c>
      <c r="C30" s="78">
        <v>257.0</v>
      </c>
      <c r="D30" s="78">
        <v>14187.0</v>
      </c>
      <c r="E30" s="79" t="str">
        <f t="array" ref="E30">XLOOKUP($A30,'source isilon_Projectまとめ'!$A:$A,'source isilon_Projectまとめ'!$D:$D,XLOOKUP($A30,'source isilon-Project-du'!$A:$A,'source isilon-Project-du'!$C:$C))</f>
        <v>61.19GB</v>
      </c>
      <c r="F30" s="79" t="str">
        <f t="array" ref="F30">XLOOKUP($A30,'source isilon_Projectまとめ'!$A:$A,'source isilon_Projectまとめ'!$C:$C,XLOOKUP($A30,'source NetApp-file-sv01～03-Proj'!$A:$A,'source NetApp-file-sv01～03-Proj'!$D:$D))</f>
        <v>2024/04/12</v>
      </c>
      <c r="G30" s="31" t="s">
        <v>2184</v>
      </c>
      <c r="H30" s="30"/>
      <c r="I30" s="31" t="s">
        <v>2404</v>
      </c>
      <c r="J30" s="30" t="str">
        <f t="array" ref="J30">XLOOKUP(I30,'従業員情報'!$A:$A,'従業員情報'!$N:$N,"×")</f>
        <v>株式会社MIXI/村瀨管掌/開発本部/CTO室/クライアントグループ</v>
      </c>
      <c r="K30" s="30" t="s">
        <v>2404</v>
      </c>
      <c r="L30" s="30"/>
    </row>
    <row r="31">
      <c r="A31" s="31" t="s">
        <v>1447</v>
      </c>
      <c r="B31" s="31" t="s">
        <v>2394</v>
      </c>
      <c r="C31" s="78">
        <v>988.0</v>
      </c>
      <c r="D31" s="78">
        <v>15646.0</v>
      </c>
      <c r="E31" s="79" t="str">
        <f t="array" ref="E31">XLOOKUP($A31,'source isilon_Projectまとめ'!$A:$A,'source isilon_Projectまとめ'!$D:$D,XLOOKUP($A31,'source isilon-Project-du'!$A:$A,'source isilon-Project-du'!$C:$C))</f>
        <v>102.93GB</v>
      </c>
      <c r="F31" s="79" t="str">
        <f t="array" ref="F31">XLOOKUP($A31,'source isilon_Projectまとめ'!$A:$A,'source isilon_Projectまとめ'!$C:$C,XLOOKUP($A31,'source NetApp-file-sv01～03-Proj'!$A:$A,'source NetApp-file-sv01～03-Proj'!$D:$D))</f>
        <v>2018/02/20</v>
      </c>
      <c r="G31" s="31" t="s">
        <v>2177</v>
      </c>
      <c r="H31" s="30"/>
      <c r="I31" s="31" t="s">
        <v>1411</v>
      </c>
      <c r="J31" s="30" t="str">
        <f t="array" ref="J31">XLOOKUP(I31,'従業員情報'!$A:$A,'従業員情報'!$N:$N,"×")</f>
        <v>株式会社MIXI/木村管掌/ライブエクスペリエンス事業本部</v>
      </c>
      <c r="K31" s="30" t="s">
        <v>1411</v>
      </c>
      <c r="L31" s="30"/>
    </row>
    <row r="32">
      <c r="A32" s="31" t="s">
        <v>1448</v>
      </c>
      <c r="B32" s="31" t="s">
        <v>2394</v>
      </c>
      <c r="C32" s="78">
        <v>1.0</v>
      </c>
      <c r="D32" s="78">
        <v>4.0</v>
      </c>
      <c r="E32" s="79" t="str">
        <f t="array" ref="E32">XLOOKUP($A32,'source isilon_Projectまとめ'!$A:$A,'source isilon_Projectまとめ'!$D:$D,XLOOKUP($A32,'source isilon-Project-du'!$A:$A,'source isilon-Project-du'!$C:$C))</f>
        <v>0.03GB</v>
      </c>
      <c r="F32" s="79" t="str">
        <f t="array" ref="F32">XLOOKUP($A32,'source isilon_Projectまとめ'!$A:$A,'source isilon_Projectまとめ'!$C:$C,XLOOKUP($A32,'source NetApp-file-sv01～03-Proj'!$A:$A,'source NetApp-file-sv01～03-Proj'!$D:$D))</f>
        <v>2014/05/02</v>
      </c>
      <c r="G32" s="31" t="s">
        <v>2177</v>
      </c>
      <c r="H32" s="30"/>
      <c r="I32" s="31" t="s">
        <v>1451</v>
      </c>
      <c r="J32" s="30" t="str">
        <f t="array" ref="J32">XLOOKUP(I32,'従業員情報'!$A:$A,'従業員情報'!$N:$N,"×")</f>
        <v>株式会社MIXI/村瀨管掌/開発本部/たんぽぽ室/Enablementグループ</v>
      </c>
      <c r="K32" s="30" t="s">
        <v>1451</v>
      </c>
      <c r="L32" s="30"/>
    </row>
    <row r="33">
      <c r="A33" s="31" t="s">
        <v>1452</v>
      </c>
      <c r="B33" s="31" t="s">
        <v>2394</v>
      </c>
      <c r="C33" s="78">
        <v>5.0</v>
      </c>
      <c r="D33" s="78">
        <v>15.0</v>
      </c>
      <c r="E33" s="79" t="str">
        <f t="array" ref="E33">XLOOKUP($A33,'source isilon_Projectまとめ'!$A:$A,'source isilon_Projectまとめ'!$D:$D,XLOOKUP($A33,'source isilon-Project-du'!$A:$A,'source isilon-Project-du'!$C:$C))</f>
        <v>0.01GB</v>
      </c>
      <c r="F33" s="79" t="str">
        <f t="array" ref="F33">XLOOKUP($A33,'source isilon_Projectまとめ'!$A:$A,'source isilon_Projectまとめ'!$C:$C,XLOOKUP($A33,'source NetApp-file-sv01～03-Proj'!$A:$A,'source NetApp-file-sv01～03-Proj'!$D:$D))</f>
        <v>2020/03/10</v>
      </c>
      <c r="G33" s="31" t="s">
        <v>2177</v>
      </c>
      <c r="H33" s="30"/>
      <c r="I33" s="31" t="s">
        <v>1454</v>
      </c>
      <c r="J33" s="30" t="str">
        <f t="array" ref="J33">XLOOKUP(I33,'従業員情報'!$A:$A,'従業員情報'!$N:$N,"×")</f>
        <v>株式会社MIXI/管掌役員なし/上級執行役員</v>
      </c>
      <c r="K33" s="30" t="s">
        <v>1454</v>
      </c>
      <c r="L33" s="30"/>
    </row>
    <row r="34">
      <c r="A34" s="31" t="s">
        <v>1455</v>
      </c>
      <c r="B34" s="31" t="s">
        <v>2394</v>
      </c>
      <c r="C34" s="78">
        <v>832.0</v>
      </c>
      <c r="D34" s="78">
        <v>6214.0</v>
      </c>
      <c r="E34" s="79" t="str">
        <f t="array" ref="E34">XLOOKUP($A34,'source isilon_Projectまとめ'!$A:$A,'source isilon_Projectまとめ'!$D:$D,XLOOKUP($A34,'source isilon-Project-du'!$A:$A,'source isilon-Project-du'!$C:$C))</f>
        <v>1.68GB</v>
      </c>
      <c r="F34" s="79" t="str">
        <f t="array" ref="F34">XLOOKUP($A34,'source isilon_Projectまとめ'!$A:$A,'source isilon_Projectまとめ'!$C:$C,XLOOKUP($A34,'source NetApp-file-sv01～03-Proj'!$A:$A,'source NetApp-file-sv01～03-Proj'!$D:$D))</f>
        <v>2025/07/08</v>
      </c>
      <c r="G34" s="31" t="s">
        <v>2184</v>
      </c>
      <c r="H34" s="30"/>
      <c r="I34" s="31" t="s">
        <v>1458</v>
      </c>
      <c r="J34" s="30" t="str">
        <f t="array" ref="J34">XLOOKUP(I34,'従業員情報'!$A:$A,'従業員情報'!$N:$N,"×")</f>
        <v>株式会社MIXI/木村管掌/デジタルエンターテインメントオペレーションズ本部/モンスト運営部</v>
      </c>
      <c r="K34" s="30" t="s">
        <v>1458</v>
      </c>
      <c r="L34" s="30"/>
    </row>
    <row r="35">
      <c r="A35" s="31" t="s">
        <v>1459</v>
      </c>
      <c r="B35" s="31" t="s">
        <v>2394</v>
      </c>
      <c r="C35" s="78">
        <v>298.0</v>
      </c>
      <c r="D35" s="78">
        <v>2773.0</v>
      </c>
      <c r="E35" s="79" t="str">
        <f t="array" ref="E35">XLOOKUP($A35,'source isilon_Projectまとめ'!$A:$A,'source isilon_Projectまとめ'!$D:$D,XLOOKUP($A35,'source isilon-Project-du'!$A:$A,'source isilon-Project-du'!$C:$C))</f>
        <v>4.02GB</v>
      </c>
      <c r="F35" s="79" t="str">
        <f t="array" ref="F35">XLOOKUP($A35,'source isilon_Projectまとめ'!$A:$A,'source isilon_Projectまとめ'!$C:$C,XLOOKUP($A35,'source NetApp-file-sv01～03-Proj'!$A:$A,'source NetApp-file-sv01～03-Proj'!$D:$D))</f>
        <v>2019/03/22</v>
      </c>
      <c r="G35" s="31" t="s">
        <v>2177</v>
      </c>
      <c r="H35" s="30"/>
      <c r="I35" s="31" t="s">
        <v>1460</v>
      </c>
      <c r="J35" s="30" t="str">
        <f t="array" ref="J35">XLOOKUP(I35,'従業員情報'!$A:$A,'従業員情報'!$N:$N,"×")</f>
        <v>株式会社MIXI/小林管掌/CS本部/CX部/Enhancementグループ/組織開発チーム</v>
      </c>
      <c r="K35" s="30" t="s">
        <v>1460</v>
      </c>
      <c r="L35" s="30"/>
    </row>
    <row r="36">
      <c r="A36" s="31" t="s">
        <v>1462</v>
      </c>
      <c r="B36" s="31" t="s">
        <v>2394</v>
      </c>
      <c r="C36" s="78">
        <v>116214.0</v>
      </c>
      <c r="D36" s="78">
        <v>2044364.0</v>
      </c>
      <c r="E36" s="79" t="str">
        <f t="array" ref="E36">XLOOKUP($A36,'source isilon_Projectまとめ'!$A:$A,'source isilon_Projectまとめ'!$D:$D,XLOOKUP($A36,'source isilon-Project-du'!$A:$A,'source isilon-Project-du'!$C:$C))</f>
        <v>13579.15GB</v>
      </c>
      <c r="F36" s="79" t="str">
        <f t="array" ref="F36">XLOOKUP($A36,'source isilon_Projectまとめ'!$A:$A,'source isilon_Projectまとめ'!$C:$C,XLOOKUP($A36,'source NetApp-file-sv01～03-Proj'!$A:$A,'source NetApp-file-sv01～03-Proj'!$D:$D))</f>
        <v>2025/06/23</v>
      </c>
      <c r="G36" s="31" t="s">
        <v>2184</v>
      </c>
      <c r="H36" s="30"/>
      <c r="I36" s="31" t="s">
        <v>1465</v>
      </c>
      <c r="J36" s="30" t="str">
        <f t="array" ref="J36">XLOOKUP(I36,'従業員情報'!$A:$A,'従業員情報'!$N:$N,"×")</f>
        <v>株式会社MIXI/村瀨管掌/デザイン本部/動画クリエイティブ室</v>
      </c>
      <c r="K36" s="30" t="s">
        <v>1465</v>
      </c>
      <c r="L36" s="30"/>
    </row>
    <row r="37">
      <c r="A37" s="31" t="s">
        <v>1466</v>
      </c>
      <c r="B37" s="31" t="s">
        <v>2394</v>
      </c>
      <c r="C37" s="78">
        <v>1.0</v>
      </c>
      <c r="D37" s="78">
        <v>13.0</v>
      </c>
      <c r="E37" s="79" t="str">
        <f t="array" ref="E37">XLOOKUP($A37,'source isilon_Projectまとめ'!$A:$A,'source isilon_Projectまとめ'!$D:$D,XLOOKUP($A37,'source isilon-Project-du'!$A:$A,'source isilon-Project-du'!$C:$C))</f>
        <v>12.78GB</v>
      </c>
      <c r="F37" s="79" t="str">
        <f t="array" ref="F37">XLOOKUP($A37,'source isilon_Projectまとめ'!$A:$A,'source isilon_Projectまとめ'!$C:$C,XLOOKUP($A37,'source NetApp-file-sv01～03-Proj'!$A:$A,'source NetApp-file-sv01～03-Proj'!$D:$D))</f>
        <v>2015/07/14</v>
      </c>
      <c r="G37" s="31" t="s">
        <v>2177</v>
      </c>
      <c r="H37" s="30"/>
      <c r="I37" s="31" t="s">
        <v>1469</v>
      </c>
      <c r="J37" s="30" t="str">
        <f t="array" ref="J37">XLOOKUP(I37,'従業員情報'!$A:$A,'従業員情報'!$N:$N,"×")</f>
        <v>株式会社MIXI/笠原管掌/Vantageスタジオ/事業推進室</v>
      </c>
      <c r="K37" s="30" t="s">
        <v>1469</v>
      </c>
      <c r="L37" s="30"/>
    </row>
    <row r="38">
      <c r="A38" s="31" t="s">
        <v>1470</v>
      </c>
      <c r="B38" s="31" t="s">
        <v>2394</v>
      </c>
      <c r="C38" s="78">
        <v>18.0</v>
      </c>
      <c r="D38" s="78">
        <v>56.0</v>
      </c>
      <c r="E38" s="79" t="str">
        <f t="array" ref="E38">XLOOKUP($A38,'source isilon_Projectまとめ'!$A:$A,'source isilon_Projectまとめ'!$D:$D,XLOOKUP($A38,'source isilon-Project-du'!$A:$A,'source isilon-Project-du'!$C:$C))</f>
        <v>0.02GB</v>
      </c>
      <c r="F38" s="79" t="str">
        <f t="array" ref="F38">XLOOKUP($A38,'source isilon_Projectまとめ'!$A:$A,'source isilon_Projectまとめ'!$C:$C,XLOOKUP($A38,'source NetApp-file-sv01～03-Proj'!$A:$A,'source NetApp-file-sv01～03-Proj'!$D:$D))</f>
        <v>2013/08/15</v>
      </c>
      <c r="G38" s="31" t="s">
        <v>2177</v>
      </c>
      <c r="H38" s="30"/>
      <c r="I38" s="31" t="s">
        <v>1383</v>
      </c>
      <c r="J38" s="30" t="str">
        <f t="array" ref="J38">XLOOKUP(I38,'従業員情報'!$A:$A,'従業員情報'!$N:$N,"×")</f>
        <v>株式会社MIXI/小林管掌/コンプライアンス本部/知財室/商標・著作権グループ</v>
      </c>
      <c r="K38" s="30" t="s">
        <v>1383</v>
      </c>
      <c r="L38" s="30"/>
    </row>
    <row r="39">
      <c r="A39" s="31" t="s">
        <v>1471</v>
      </c>
      <c r="B39" s="31" t="s">
        <v>1425</v>
      </c>
      <c r="C39" s="78">
        <v>1.0</v>
      </c>
      <c r="D39" s="78">
        <v>4.0</v>
      </c>
      <c r="E39" s="79" t="str">
        <f t="array" ref="E39">XLOOKUP($A39,'source isilon_Projectまとめ'!$A:$A,'source isilon_Projectまとめ'!$D:$D,XLOOKUP($A39,'source isilon-Project-du'!$A:$A,'source isilon-Project-du'!$C:$C))</f>
        <v>0.00GB</v>
      </c>
      <c r="F39" s="79" t="str">
        <f t="array" ref="F39">XLOOKUP($A39,'source isilon_Projectまとめ'!$A:$A,'source isilon_Projectまとめ'!$C:$C,XLOOKUP($A39,'source NetApp-file-sv01～03-Proj'!$A:$A,'source NetApp-file-sv01～03-Proj'!$D:$D))</f>
        <v>2013/02/06</v>
      </c>
      <c r="G39" s="31" t="s">
        <v>2177</v>
      </c>
      <c r="H39" s="30"/>
      <c r="I39" s="31" t="s">
        <v>1473</v>
      </c>
      <c r="J39" s="31" t="str">
        <f t="array" ref="J39">XLOOKUP(I39,'退職者'!$C:$C,'退職者'!$B:$B,"×")&amp;XLOOKUP(I39,'退職者'!$C:$C,'退職者'!$A:$A,"×")</f>
        <v>人事本部人事部</v>
      </c>
      <c r="K39" s="31" t="s">
        <v>2399</v>
      </c>
      <c r="L39" s="31" t="s">
        <v>2405</v>
      </c>
    </row>
    <row r="40">
      <c r="A40" s="31" t="s">
        <v>1474</v>
      </c>
      <c r="B40" s="31" t="s">
        <v>1425</v>
      </c>
      <c r="C40" s="78">
        <v>39712.0</v>
      </c>
      <c r="D40" s="78">
        <v>859726.0</v>
      </c>
      <c r="E40" s="79" t="str">
        <f t="array" ref="E40">XLOOKUP($A40,'source isilon_Projectまとめ'!$A:$A,'source isilon_Projectまとめ'!$D:$D,XLOOKUP($A40,'source isilon-Project-du'!$A:$A,'source isilon-Project-du'!$C:$C))</f>
        <v>1368.78GB</v>
      </c>
      <c r="F40" s="79" t="str">
        <f t="array" ref="F40">XLOOKUP($A40,'source isilon_Projectまとめ'!$A:$A,'source isilon_Projectまとめ'!$C:$C,XLOOKUP($A40,'source NetApp-file-sv01～03-Proj'!$A:$A,'source NetApp-file-sv01～03-Proj'!$D:$D))</f>
        <v>2023/01/18</v>
      </c>
      <c r="G40" s="31" t="s">
        <v>2184</v>
      </c>
      <c r="H40" s="30"/>
      <c r="I40" s="31" t="s">
        <v>1476</v>
      </c>
      <c r="J40" s="31" t="str">
        <f t="array" ref="J40">XLOOKUP(I40,'退職者'!$C:$C,'退職者'!$B:$B,"×")&amp;XLOOKUP(I40,'退職者'!$C:$C,'退職者'!$A:$A,"×")</f>
        <v>投資事業推進本部投資事業部</v>
      </c>
      <c r="K40" s="31" t="s">
        <v>2406</v>
      </c>
      <c r="L40" s="31" t="s">
        <v>2406</v>
      </c>
    </row>
    <row r="41">
      <c r="A41" s="31" t="s">
        <v>1477</v>
      </c>
      <c r="B41" s="31" t="s">
        <v>2394</v>
      </c>
      <c r="C41" s="78">
        <v>2.0</v>
      </c>
      <c r="D41" s="78">
        <v>8.0</v>
      </c>
      <c r="E41" s="79" t="str">
        <f t="array" ref="E41">XLOOKUP($A41,'source isilon_Projectまとめ'!$A:$A,'source isilon_Projectまとめ'!$D:$D,XLOOKUP($A41,'source isilon-Project-du'!$A:$A,'source isilon-Project-du'!$C:$C))</f>
        <v>0.00GB</v>
      </c>
      <c r="F41" s="79" t="str">
        <f t="array" ref="F41">XLOOKUP($A41,'source isilon_Projectまとめ'!$A:$A,'source isilon_Projectまとめ'!$C:$C,XLOOKUP($A41,'source NetApp-file-sv01～03-Proj'!$A:$A,'source NetApp-file-sv01～03-Proj'!$D:$D))</f>
        <v>2015/05/07</v>
      </c>
      <c r="G41" s="31" t="s">
        <v>2177</v>
      </c>
      <c r="H41" s="30"/>
      <c r="I41" s="31" t="s">
        <v>1391</v>
      </c>
      <c r="J41" s="30" t="str">
        <f t="array" ref="J41">XLOOKUP(I41,'従業員情報'!$A:$A,'従業員情報'!$N:$N,"×")</f>
        <v>株式会社MIXI/笠原管掌/Vantageスタジオ/Romi事業部/UX企画グループ</v>
      </c>
      <c r="K41" s="30" t="s">
        <v>1391</v>
      </c>
      <c r="L41" s="30"/>
    </row>
    <row r="42">
      <c r="A42" s="31" t="s">
        <v>1478</v>
      </c>
      <c r="B42" s="31" t="s">
        <v>2394</v>
      </c>
      <c r="C42" s="78">
        <v>202020.0</v>
      </c>
      <c r="D42" s="78">
        <v>957265.0</v>
      </c>
      <c r="E42" s="79" t="str">
        <f t="array" ref="E42">XLOOKUP($A42,'source isilon_Projectまとめ'!$A:$A,'source isilon_Projectまとめ'!$D:$D,XLOOKUP($A42,'source isilon-Project-du'!$A:$A,'source isilon-Project-du'!$C:$C))</f>
        <v>1149.15GB</v>
      </c>
      <c r="F42" s="79" t="str">
        <f t="array" ref="F42">XLOOKUP($A42,'source isilon_Projectまとめ'!$A:$A,'source isilon_Projectまとめ'!$C:$C,XLOOKUP($A42,'source NetApp-file-sv01～03-Proj'!$A:$A,'source NetApp-file-sv01～03-Proj'!$D:$D))</f>
        <v>2025/07/08</v>
      </c>
      <c r="G42" s="31" t="s">
        <v>2184</v>
      </c>
      <c r="H42" s="30"/>
      <c r="I42" s="31" t="s">
        <v>1481</v>
      </c>
      <c r="J42" s="30" t="str">
        <f t="array" ref="J42">XLOOKUP(I42,'従業員情報'!$A:$A,'従業員情報'!$N:$N,"×")</f>
        <v>株式会社MIXI/島村管掌/コーポレートファイナンス本部/経理税務部</v>
      </c>
      <c r="K42" s="30" t="s">
        <v>1481</v>
      </c>
      <c r="L42" s="30"/>
    </row>
    <row r="43">
      <c r="A43" s="31" t="s">
        <v>1482</v>
      </c>
      <c r="B43" s="31" t="s">
        <v>1425</v>
      </c>
      <c r="C43" s="78">
        <v>5328.0</v>
      </c>
      <c r="D43" s="78">
        <v>91479.0</v>
      </c>
      <c r="E43" s="79" t="str">
        <f t="array" ref="E43">XLOOKUP($A43,'source isilon_Projectまとめ'!$A:$A,'source isilon_Projectまとめ'!$D:$D,XLOOKUP($A43,'source isilon-Project-du'!$A:$A,'source isilon-Project-du'!$C:$C))</f>
        <v>218.12GB</v>
      </c>
      <c r="F43" s="79" t="str">
        <f t="array" ref="F43">XLOOKUP($A43,'source isilon_Projectまとめ'!$A:$A,'source isilon_Projectまとめ'!$C:$C,XLOOKUP($A43,'source NetApp-file-sv01～03-Proj'!$A:$A,'source NetApp-file-sv01～03-Proj'!$D:$D))</f>
        <v>2025/07/08</v>
      </c>
      <c r="G43" s="31" t="s">
        <v>2184</v>
      </c>
      <c r="H43" s="30"/>
      <c r="I43" s="31" t="s">
        <v>1484</v>
      </c>
      <c r="J43" s="31" t="str">
        <f t="array" ref="J43">XLOOKUP(I43,'退職者'!$C:$C,'退職者'!$B:$B,"×")&amp;XLOOKUP(I43,'退職者'!$C:$C,'退職者'!$A:$A,"×")</f>
        <v>デジタルエンターテイメント事業本部インキュベーション事業部</v>
      </c>
      <c r="K43" s="31" t="s">
        <v>2400</v>
      </c>
      <c r="L43" s="31" t="s">
        <v>2400</v>
      </c>
    </row>
    <row r="44">
      <c r="A44" s="31" t="s">
        <v>1485</v>
      </c>
      <c r="B44" s="31" t="s">
        <v>2394</v>
      </c>
      <c r="C44" s="78">
        <v>22.0</v>
      </c>
      <c r="D44" s="78">
        <v>66.0</v>
      </c>
      <c r="E44" s="79" t="str">
        <f t="array" ref="E44">XLOOKUP($A44,'source isilon_Projectまとめ'!$A:$A,'source isilon_Projectまとめ'!$D:$D,XLOOKUP($A44,'source isilon-Project-du'!$A:$A,'source isilon-Project-du'!$C:$C))</f>
        <v>0.08GB</v>
      </c>
      <c r="F44" s="79" t="str">
        <f t="array" ref="F44">XLOOKUP($A44,'source isilon_Projectまとめ'!$A:$A,'source isilon_Projectまとめ'!$C:$C,XLOOKUP($A44,'source NetApp-file-sv01～03-Proj'!$A:$A,'source NetApp-file-sv01～03-Proj'!$D:$D))</f>
        <v>2015/07/16</v>
      </c>
      <c r="G44" s="31" t="s">
        <v>2177</v>
      </c>
      <c r="H44" s="30"/>
      <c r="I44" s="31" t="s">
        <v>1488</v>
      </c>
      <c r="J44" s="30" t="str">
        <f t="array" ref="J44">XLOOKUP(I44,'従業員情報'!$A:$A,'従業員情報'!$N:$N,"×")</f>
        <v>株式会社MIXI/村瀨管掌/はたらく環境推進本部/せいかつ環境室/せいかつ環境Aグループ</v>
      </c>
      <c r="K44" s="30" t="s">
        <v>1488</v>
      </c>
      <c r="L44" s="30"/>
    </row>
    <row r="45">
      <c r="A45" s="31" t="s">
        <v>1489</v>
      </c>
      <c r="B45" s="31" t="s">
        <v>2394</v>
      </c>
      <c r="C45" s="78">
        <v>2095.0</v>
      </c>
      <c r="D45" s="78">
        <v>9706.0</v>
      </c>
      <c r="E45" s="79" t="str">
        <f t="array" ref="E45">XLOOKUP($A45,'source isilon_Projectまとめ'!$A:$A,'source isilon_Projectまとめ'!$D:$D,XLOOKUP($A45,'source isilon-Project-du'!$A:$A,'source isilon-Project-du'!$C:$C))</f>
        <v>4.58GB</v>
      </c>
      <c r="F45" s="79" t="str">
        <f t="array" ref="F45">XLOOKUP($A45,'source isilon_Projectまとめ'!$A:$A,'source isilon_Projectまとめ'!$C:$C,XLOOKUP($A45,'source NetApp-file-sv01～03-Proj'!$A:$A,'source NetApp-file-sv01～03-Proj'!$D:$D))</f>
        <v>2025/07/08</v>
      </c>
      <c r="G45" s="31" t="s">
        <v>2184</v>
      </c>
      <c r="H45" s="30"/>
      <c r="I45" s="31" t="s">
        <v>1492</v>
      </c>
      <c r="J45" s="30" t="str">
        <f t="array" ref="J45">XLOOKUP(I45,'従業員情報'!$A:$A,'従業員情報'!$N:$N,"×")</f>
        <v>株式会社MIXI/島村管掌/人事本部/グループ会社サポート部</v>
      </c>
      <c r="K45" s="30" t="s">
        <v>1492</v>
      </c>
      <c r="L45" s="30"/>
    </row>
    <row r="46">
      <c r="A46" s="31" t="s">
        <v>1493</v>
      </c>
      <c r="B46" s="31" t="s">
        <v>1425</v>
      </c>
      <c r="C46" s="78">
        <v>20.0</v>
      </c>
      <c r="D46" s="78">
        <v>132.0</v>
      </c>
      <c r="E46" s="79" t="str">
        <f t="array" ref="E46">XLOOKUP($A46,'source isilon_Projectまとめ'!$A:$A,'source isilon_Projectまとめ'!$D:$D,XLOOKUP($A46,'source isilon-Project-du'!$A:$A,'source isilon-Project-du'!$C:$C))</f>
        <v>0.04GB</v>
      </c>
      <c r="F46" s="79" t="str">
        <f t="array" ref="F46">XLOOKUP($A46,'source isilon_Projectまとめ'!$A:$A,'source isilon_Projectまとめ'!$C:$C,XLOOKUP($A46,'source NetApp-file-sv01～03-Proj'!$A:$A,'source NetApp-file-sv01～03-Proj'!$D:$D))</f>
        <v>2022/05/25</v>
      </c>
      <c r="G46" s="31" t="s">
        <v>2177</v>
      </c>
      <c r="H46" s="30"/>
      <c r="I46" s="31" t="s">
        <v>1496</v>
      </c>
      <c r="J46" s="31" t="str">
        <f t="array" ref="J46">XLOOKUP(I46,'退職者'!$C:$C,'退職者'!$B:$B,"×")&amp;XLOOKUP(I46,'退職者'!$C:$C,'退職者'!$A:$A,"×")</f>
        <v>ライブエクスペリエンス事業本部無し</v>
      </c>
      <c r="K46" s="31" t="s">
        <v>2399</v>
      </c>
      <c r="L46" s="31" t="s">
        <v>2407</v>
      </c>
    </row>
    <row r="47">
      <c r="A47" s="31" t="s">
        <v>1497</v>
      </c>
      <c r="B47" s="31" t="s">
        <v>2394</v>
      </c>
      <c r="C47" s="78">
        <v>507.0</v>
      </c>
      <c r="D47" s="78">
        <v>2954.0</v>
      </c>
      <c r="E47" s="79" t="str">
        <f t="array" ref="E47">XLOOKUP($A47,'source isilon_Projectまとめ'!$A:$A,'source isilon_Projectまとめ'!$D:$D,XLOOKUP($A47,'source isilon-Project-du'!$A:$A,'source isilon-Project-du'!$C:$C))</f>
        <v>5.25GB</v>
      </c>
      <c r="F47" s="79" t="str">
        <f t="array" ref="F47">XLOOKUP($A47,'source isilon_Projectまとめ'!$A:$A,'source isilon_Projectまとめ'!$C:$C,XLOOKUP($A47,'source NetApp-file-sv01～03-Proj'!$A:$A,'source NetApp-file-sv01～03-Proj'!$D:$D))</f>
        <v>2015/06/29</v>
      </c>
      <c r="G47" s="31" t="s">
        <v>2177</v>
      </c>
      <c r="H47" s="30"/>
      <c r="I47" s="31" t="s">
        <v>1499</v>
      </c>
      <c r="J47" s="30" t="str">
        <f t="array" ref="J47">XLOOKUP(I47,'従業員情報'!$A:$A,'従業員情報'!$N:$N,"×")</f>
        <v>株式会社MIXI/木村管掌/デジタルエンターテインメントパブリッシング本部</v>
      </c>
      <c r="K47" s="30" t="s">
        <v>1499</v>
      </c>
      <c r="L47" s="30"/>
    </row>
    <row r="48">
      <c r="A48" s="31" t="s">
        <v>1500</v>
      </c>
      <c r="B48" s="31" t="s">
        <v>2394</v>
      </c>
      <c r="C48" s="78">
        <v>1.0</v>
      </c>
      <c r="D48" s="78">
        <v>3.0</v>
      </c>
      <c r="E48" s="30" t="str">
        <f t="array" ref="E48">XLOOKUP($A48,'source isilon_Projectまとめ'!$A:$A,'source isilon_Projectまとめ'!$D:$D,XLOOKUP($A48,'source isilon-Project-du'!$A:$A,'source isilon-Project-du'!$C:$C))</f>
        <v>0.00GB</v>
      </c>
      <c r="F48" s="80" t="str">
        <f t="array" ref="F48">XLOOKUP($A48,'source isilon_Projectまとめ'!$A:$A,'source isilon_Projectまとめ'!$C:$C,XLOOKUP($A48,'source NetApp-file-sv01～03-Proj'!$A:$A,'source NetApp-file-sv01～03-Proj'!$D:$D))</f>
        <v>#N/A</v>
      </c>
      <c r="G48" s="31"/>
      <c r="H48" s="30"/>
      <c r="I48" s="31" t="s">
        <v>1503</v>
      </c>
      <c r="J48" s="30" t="str">
        <f t="array" ref="J48">XLOOKUP(I48,'従業員情報'!$A:$A,'従業員情報'!$N:$N,"×")</f>
        <v>株式会社MIXI/木村管掌/ライブエクスペリエンス事業本部/フットボール事業部/事業推進グループ</v>
      </c>
      <c r="K48" s="30" t="s">
        <v>1503</v>
      </c>
      <c r="L48" s="30"/>
    </row>
    <row r="49">
      <c r="A49" s="31" t="s">
        <v>1504</v>
      </c>
      <c r="B49" s="31" t="s">
        <v>2394</v>
      </c>
      <c r="C49" s="78">
        <v>1347.0</v>
      </c>
      <c r="D49" s="78">
        <v>24649.0</v>
      </c>
      <c r="E49" s="79" t="str">
        <f t="array" ref="E49">XLOOKUP($A49,'source isilon_Projectまとめ'!$A:$A,'source isilon_Projectまとめ'!$D:$D,XLOOKUP($A49,'source isilon-Project-du'!$A:$A,'source isilon-Project-du'!$C:$C))</f>
        <v>149.68GB</v>
      </c>
      <c r="F49" s="79" t="str">
        <f t="array" ref="F49">XLOOKUP($A49,'source isilon_Projectまとめ'!$A:$A,'source isilon_Projectまとめ'!$C:$C,XLOOKUP($A49,'source NetApp-file-sv01～03-Proj'!$A:$A,'source NetApp-file-sv01～03-Proj'!$D:$D))</f>
        <v>2016/12/21</v>
      </c>
      <c r="G49" s="31" t="s">
        <v>2177</v>
      </c>
      <c r="H49" s="30"/>
      <c r="I49" s="31" t="s">
        <v>1507</v>
      </c>
      <c r="J49" s="31" t="str">
        <f t="array" ref="J49">XLOOKUP(I49,'従業員情報'!$A:$A,'従業員情報'!$N:$N,"×")</f>
        <v>株式会社MIXI/奥山管掌/ソーシャルベッティング事業本部/TIPSTAR事業部/プロダクト戦略グループ/開発チーム</v>
      </c>
      <c r="K49" s="31" t="s">
        <v>1507</v>
      </c>
      <c r="L49" s="31" t="s">
        <v>2400</v>
      </c>
    </row>
    <row r="50">
      <c r="A50" s="31" t="s">
        <v>1508</v>
      </c>
      <c r="B50" s="31" t="s">
        <v>2394</v>
      </c>
      <c r="C50" s="78">
        <v>17.0</v>
      </c>
      <c r="D50" s="78">
        <v>519.0</v>
      </c>
      <c r="E50" s="79" t="str">
        <f t="array" ref="E50">XLOOKUP($A50,'source isilon_Projectまとめ'!$A:$A,'source isilon_Projectまとめ'!$D:$D,XLOOKUP($A50,'source isilon-Project-du'!$A:$A,'source isilon-Project-du'!$C:$C))</f>
        <v>477.23GB</v>
      </c>
      <c r="F50" s="79" t="str">
        <f t="array" ref="F50">XLOOKUP($A50,'source isilon_Projectまとめ'!$A:$A,'source isilon_Projectまとめ'!$C:$C,XLOOKUP($A50,'source NetApp-file-sv01～03-Proj'!$A:$A,'source NetApp-file-sv01～03-Proj'!$D:$D))</f>
        <v>2019/01/31</v>
      </c>
      <c r="G50" s="31" t="s">
        <v>2177</v>
      </c>
      <c r="H50" s="30"/>
      <c r="I50" s="31" t="s">
        <v>1510</v>
      </c>
      <c r="J50" s="30" t="str">
        <f t="array" ref="J50">XLOOKUP(I50,'従業員情報'!$A:$A,'従業員情報'!$N:$N,"×")</f>
        <v>株式会社MIXI/村瀨管掌/デザイン本部</v>
      </c>
      <c r="K50" s="30" t="s">
        <v>1510</v>
      </c>
      <c r="L50" s="30"/>
    </row>
    <row r="51">
      <c r="A51" s="31" t="s">
        <v>1511</v>
      </c>
      <c r="B51" s="31" t="s">
        <v>1425</v>
      </c>
      <c r="C51" s="78">
        <v>20.0</v>
      </c>
      <c r="D51" s="78">
        <v>175.0</v>
      </c>
      <c r="E51" s="79" t="str">
        <f t="array" ref="E51">XLOOKUP($A51,'source isilon_Projectまとめ'!$A:$A,'source isilon_Projectまとめ'!$D:$D,XLOOKUP($A51,'source isilon-Project-du'!$A:$A,'source isilon-Project-du'!$C:$C))</f>
        <v>0.05GB</v>
      </c>
      <c r="F51" s="79" t="str">
        <f t="array" ref="F51">XLOOKUP($A51,'source isilon_Projectまとめ'!$A:$A,'source isilon_Projectまとめ'!$C:$C,XLOOKUP($A51,'source NetApp-file-sv01～03-Proj'!$A:$A,'source NetApp-file-sv01～03-Proj'!$D:$D))</f>
        <v>2014/11/06</v>
      </c>
      <c r="G51" s="31" t="s">
        <v>2177</v>
      </c>
      <c r="H51" s="30"/>
      <c r="I51" s="31" t="s">
        <v>1513</v>
      </c>
      <c r="J51" s="31" t="str">
        <f t="array" ref="J51">XLOOKUP(I51,'退職者'!$C:$C,'退職者'!$B:$B,"×")&amp;XLOOKUP(I51,'退職者'!$C:$C,'退職者'!$A:$A,"×")</f>
        <v>人事本部労務部</v>
      </c>
      <c r="K51" s="31" t="s">
        <v>2399</v>
      </c>
      <c r="L51" s="31" t="s">
        <v>2408</v>
      </c>
    </row>
    <row r="52">
      <c r="A52" s="31" t="s">
        <v>1511</v>
      </c>
      <c r="B52" s="31" t="s">
        <v>2394</v>
      </c>
      <c r="C52" s="78">
        <v>20.0</v>
      </c>
      <c r="D52" s="78">
        <v>175.0</v>
      </c>
      <c r="E52" s="79" t="str">
        <f t="array" ref="E52">XLOOKUP($A52,'source isilon_Projectまとめ'!$A:$A,'source isilon_Projectまとめ'!$D:$D,XLOOKUP($A52,'source isilon-Project-du'!$A:$A,'source isilon-Project-du'!$C:$C))</f>
        <v>0.05GB</v>
      </c>
      <c r="F52" s="79" t="str">
        <f t="array" ref="F52">XLOOKUP($A52,'source isilon_Projectまとめ'!$A:$A,'source isilon_Projectまとめ'!$C:$C,XLOOKUP($A52,'source NetApp-file-sv01～03-Proj'!$A:$A,'source NetApp-file-sv01～03-Proj'!$D:$D))</f>
        <v>2014/11/06</v>
      </c>
      <c r="G52" s="31" t="s">
        <v>2177</v>
      </c>
      <c r="H52" s="30"/>
      <c r="I52" s="31" t="s">
        <v>1492</v>
      </c>
      <c r="J52" s="31" t="str">
        <f t="array" ref="J52">XLOOKUP(I52,'従業員情報'!$A:$A,'従業員情報'!$N:$N,"×")</f>
        <v>株式会社MIXI/島村管掌/人事本部/グループ会社サポート部</v>
      </c>
      <c r="K52" s="31" t="s">
        <v>1492</v>
      </c>
      <c r="L52" s="31" t="s">
        <v>2408</v>
      </c>
    </row>
    <row r="53">
      <c r="A53" s="31" t="s">
        <v>1514</v>
      </c>
      <c r="B53" s="31" t="s">
        <v>2394</v>
      </c>
      <c r="C53" s="78">
        <v>1.0</v>
      </c>
      <c r="D53" s="78">
        <v>5.0</v>
      </c>
      <c r="E53" s="79" t="str">
        <f t="array" ref="E53">XLOOKUP($A53,'source isilon_Projectまとめ'!$A:$A,'source isilon_Projectまとめ'!$D:$D,XLOOKUP($A53,'source isilon-Project-du'!$A:$A,'source isilon-Project-du'!$C:$C))</f>
        <v>0.00GB</v>
      </c>
      <c r="F53" s="79" t="str">
        <f t="array" ref="F53">XLOOKUP($A53,'source isilon_Projectまとめ'!$A:$A,'source isilon_Projectまとめ'!$C:$C,XLOOKUP($A53,'source NetApp-file-sv01～03-Proj'!$A:$A,'source NetApp-file-sv01～03-Proj'!$D:$D))</f>
        <v>2020/10/08</v>
      </c>
      <c r="G53" s="31" t="s">
        <v>2177</v>
      </c>
      <c r="H53" s="30"/>
      <c r="I53" s="31" t="s">
        <v>1517</v>
      </c>
      <c r="J53" s="30" t="str">
        <f t="array" ref="J53">XLOOKUP(I53,'従業員情報'!$A:$A,'従業員情報'!$N:$N,"×")</f>
        <v>株式会社MIXI/奥山管掌/ソーシャルベッティング事業本部/価値創造室/コンテンツグループ/コンテンツビジネスチーム</v>
      </c>
      <c r="K53" s="30" t="s">
        <v>1517</v>
      </c>
      <c r="L53" s="30"/>
    </row>
    <row r="54">
      <c r="A54" s="31" t="s">
        <v>1514</v>
      </c>
      <c r="B54" s="31" t="s">
        <v>2394</v>
      </c>
      <c r="C54" s="78">
        <v>1.0</v>
      </c>
      <c r="D54" s="78">
        <v>5.0</v>
      </c>
      <c r="E54" s="79" t="str">
        <f t="array" ref="E54">XLOOKUP($A54,'source isilon_Projectまとめ'!$A:$A,'source isilon_Projectまとめ'!$D:$D,XLOOKUP($A54,'source isilon-Project-du'!$A:$A,'source isilon-Project-du'!$C:$C))</f>
        <v>0.00GB</v>
      </c>
      <c r="F54" s="79" t="str">
        <f t="array" ref="F54">XLOOKUP($A54,'source isilon_Projectまとめ'!$A:$A,'source isilon_Projectまとめ'!$C:$C,XLOOKUP($A54,'source NetApp-file-sv01～03-Proj'!$A:$A,'source NetApp-file-sv01～03-Proj'!$D:$D))</f>
        <v>2020/10/08</v>
      </c>
      <c r="G54" s="31" t="s">
        <v>2177</v>
      </c>
      <c r="H54" s="30"/>
      <c r="I54" s="31" t="s">
        <v>1519</v>
      </c>
      <c r="J54" s="30" t="str">
        <f t="array" ref="J54">XLOOKUP(I54,'従業員情報'!$A:$A,'従業員情報'!$N:$N,"×")</f>
        <v>株式会社MIXI/木村管掌/ライブエクスペリエンス事業本部/企画推進部/HRBPグループ</v>
      </c>
      <c r="K54" s="30" t="s">
        <v>1519</v>
      </c>
      <c r="L54" s="30"/>
    </row>
    <row r="55">
      <c r="A55" s="31" t="s">
        <v>1514</v>
      </c>
      <c r="B55" s="31" t="s">
        <v>2394</v>
      </c>
      <c r="C55" s="78">
        <v>1.0</v>
      </c>
      <c r="D55" s="78">
        <v>5.0</v>
      </c>
      <c r="E55" s="79" t="str">
        <f t="array" ref="E55">XLOOKUP($A55,'source isilon_Projectまとめ'!$A:$A,'source isilon_Projectまとめ'!$D:$D,XLOOKUP($A55,'source isilon-Project-du'!$A:$A,'source isilon-Project-du'!$C:$C))</f>
        <v>0.00GB</v>
      </c>
      <c r="F55" s="79" t="str">
        <f t="array" ref="F55">XLOOKUP($A55,'source isilon_Projectまとめ'!$A:$A,'source isilon_Projectまとめ'!$C:$C,XLOOKUP($A55,'source NetApp-file-sv01～03-Proj'!$A:$A,'source NetApp-file-sv01～03-Proj'!$D:$D))</f>
        <v>2020/10/08</v>
      </c>
      <c r="G55" s="31" t="s">
        <v>2177</v>
      </c>
      <c r="H55" s="30"/>
      <c r="I55" s="31" t="s">
        <v>2409</v>
      </c>
      <c r="J55" s="30" t="str">
        <f t="array" ref="J55">XLOOKUP(I55,'従業員情報'!$A:$A,'従業員情報'!$N:$N,"×")</f>
        <v>株式会社MIXI/島村管掌/人事本部/人事戦略部/データ活用推進グループ</v>
      </c>
      <c r="K55" s="30" t="s">
        <v>2409</v>
      </c>
      <c r="L55" s="30"/>
    </row>
    <row r="56">
      <c r="A56" s="31" t="s">
        <v>1514</v>
      </c>
      <c r="B56" s="31" t="s">
        <v>2394</v>
      </c>
      <c r="C56" s="78">
        <v>1.0</v>
      </c>
      <c r="D56" s="78">
        <v>5.0</v>
      </c>
      <c r="E56" s="79" t="str">
        <f t="array" ref="E56">XLOOKUP($A56,'source isilon_Projectまとめ'!$A:$A,'source isilon_Projectまとめ'!$D:$D,XLOOKUP($A56,'source isilon-Project-du'!$A:$A,'source isilon-Project-du'!$C:$C))</f>
        <v>0.00GB</v>
      </c>
      <c r="F56" s="79" t="str">
        <f t="array" ref="F56">XLOOKUP($A56,'source isilon_Projectまとめ'!$A:$A,'source isilon_Projectまとめ'!$C:$C,XLOOKUP($A56,'source NetApp-file-sv01～03-Proj'!$A:$A,'source NetApp-file-sv01～03-Proj'!$D:$D))</f>
        <v>2020/10/08</v>
      </c>
      <c r="G56" s="31" t="s">
        <v>2177</v>
      </c>
      <c r="H56" s="30"/>
      <c r="I56" s="31" t="s">
        <v>1688</v>
      </c>
      <c r="J56" s="30" t="str">
        <f t="array" ref="J56">XLOOKUP(I56,'従業員情報'!$A:$A,'従業員情報'!$N:$N,"×")</f>
        <v>株式会社MIXI/島村管掌/人事本部/組織戦略部</v>
      </c>
      <c r="K56" s="30" t="s">
        <v>1688</v>
      </c>
      <c r="L56" s="30"/>
    </row>
    <row r="57">
      <c r="A57" s="31" t="s">
        <v>1514</v>
      </c>
      <c r="B57" s="31" t="s">
        <v>2394</v>
      </c>
      <c r="C57" s="78">
        <v>1.0</v>
      </c>
      <c r="D57" s="78">
        <v>5.0</v>
      </c>
      <c r="E57" s="79" t="str">
        <f t="array" ref="E57">XLOOKUP($A57,'source isilon_Projectまとめ'!$A:$A,'source isilon_Projectまとめ'!$D:$D,XLOOKUP($A57,'source isilon-Project-du'!$A:$A,'source isilon-Project-du'!$C:$C))</f>
        <v>0.00GB</v>
      </c>
      <c r="F57" s="79" t="str">
        <f t="array" ref="F57">XLOOKUP($A57,'source isilon_Projectまとめ'!$A:$A,'source isilon_Projectまとめ'!$C:$C,XLOOKUP($A57,'source NetApp-file-sv01～03-Proj'!$A:$A,'source NetApp-file-sv01～03-Proj'!$D:$D))</f>
        <v>2020/10/08</v>
      </c>
      <c r="G57" s="31" t="s">
        <v>2177</v>
      </c>
      <c r="H57" s="30"/>
      <c r="I57" s="31" t="s">
        <v>1990</v>
      </c>
      <c r="J57" s="30" t="str">
        <f t="array" ref="J57">XLOOKUP(I57,'従業員情報'!$A:$A,'従業員情報'!$N:$N,"×")</f>
        <v>株式会社MIXI/島村管掌/人事本部/MCS室</v>
      </c>
      <c r="K57" s="30" t="s">
        <v>1990</v>
      </c>
      <c r="L57" s="30"/>
    </row>
    <row r="58">
      <c r="A58" s="31" t="s">
        <v>1526</v>
      </c>
      <c r="B58" s="31" t="s">
        <v>2394</v>
      </c>
      <c r="C58" s="78">
        <v>6000.0</v>
      </c>
      <c r="D58" s="78">
        <v>35594.0</v>
      </c>
      <c r="E58" s="79" t="str">
        <f t="array" ref="E58">XLOOKUP($A58,'source isilon_Projectまとめ'!$A:$A,'source isilon_Projectまとめ'!$D:$D,XLOOKUP($A58,'source isilon-Project-du'!$A:$A,'source isilon-Project-du'!$C:$C))</f>
        <v>79.94GB</v>
      </c>
      <c r="F58" s="79" t="str">
        <f t="array" ref="F58">XLOOKUP($A58,'source isilon_Projectまとめ'!$A:$A,'source isilon_Projectまとめ'!$C:$C,XLOOKUP($A58,'source NetApp-file-sv01～03-Proj'!$A:$A,'source NetApp-file-sv01～03-Proj'!$D:$D))</f>
        <v>2022/09/29</v>
      </c>
      <c r="G58" s="31" t="s">
        <v>2177</v>
      </c>
      <c r="H58" s="30"/>
      <c r="I58" s="31" t="s">
        <v>1399</v>
      </c>
      <c r="J58" s="30" t="str">
        <f t="array" ref="J58">XLOOKUP(I58,'従業員情報'!$A:$A,'従業員情報'!$N:$N,"×")</f>
        <v>株式会社MIXI/島村管掌/経営推進本部/広報部/インターナルコミュニケーショングループ/インターナルコミュニケーションチーム</v>
      </c>
      <c r="K58" s="30" t="s">
        <v>1399</v>
      </c>
      <c r="L58" s="30"/>
    </row>
    <row r="59">
      <c r="A59" s="31" t="s">
        <v>1526</v>
      </c>
      <c r="B59" s="31" t="s">
        <v>2394</v>
      </c>
      <c r="C59" s="78">
        <v>6000.0</v>
      </c>
      <c r="D59" s="78">
        <v>35594.0</v>
      </c>
      <c r="E59" s="79" t="str">
        <f t="array" ref="E59">XLOOKUP($A59,'source isilon_Projectまとめ'!$A:$A,'source isilon_Projectまとめ'!$D:$D,XLOOKUP($A59,'source isilon-Project-du'!$A:$A,'source isilon-Project-du'!$C:$C))</f>
        <v>79.94GB</v>
      </c>
      <c r="F59" s="79" t="str">
        <f t="array" ref="F59">XLOOKUP($A59,'source isilon_Projectまとめ'!$A:$A,'source isilon_Projectまとめ'!$C:$C,XLOOKUP($A59,'source NetApp-file-sv01～03-Proj'!$A:$A,'source NetApp-file-sv01～03-Proj'!$D:$D))</f>
        <v>2022/09/29</v>
      </c>
      <c r="G59" s="31" t="s">
        <v>2177</v>
      </c>
      <c r="H59" s="30"/>
      <c r="I59" s="31" t="s">
        <v>1401</v>
      </c>
      <c r="J59" s="30" t="str">
        <f t="array" ref="J59">XLOOKUP(I59,'従業員情報'!$A:$A,'従業員情報'!$N:$N,"×")</f>
        <v>株式会社MIXI/島村管掌/経営推進本部/広報部</v>
      </c>
      <c r="K59" s="30" t="s">
        <v>1401</v>
      </c>
      <c r="L59" s="30"/>
    </row>
    <row r="60">
      <c r="A60" s="31" t="s">
        <v>1526</v>
      </c>
      <c r="B60" s="31" t="s">
        <v>2394</v>
      </c>
      <c r="C60" s="78">
        <v>6000.0</v>
      </c>
      <c r="D60" s="78">
        <v>35594.0</v>
      </c>
      <c r="E60" s="79" t="str">
        <f t="array" ref="E60">XLOOKUP($A60,'source isilon_Projectまとめ'!$A:$A,'source isilon_Projectまとめ'!$D:$D,XLOOKUP($A60,'source isilon-Project-du'!$A:$A,'source isilon-Project-du'!$C:$C))</f>
        <v>79.94GB</v>
      </c>
      <c r="F60" s="79" t="str">
        <f t="array" ref="F60">XLOOKUP($A60,'source isilon_Projectまとめ'!$A:$A,'source isilon_Projectまとめ'!$C:$C,XLOOKUP($A60,'source NetApp-file-sv01～03-Proj'!$A:$A,'source NetApp-file-sv01～03-Proj'!$D:$D))</f>
        <v>2022/09/29</v>
      </c>
      <c r="G60" s="31" t="s">
        <v>2177</v>
      </c>
      <c r="H60" s="30"/>
      <c r="I60" s="31" t="s">
        <v>2395</v>
      </c>
      <c r="J60" s="30" t="str">
        <f t="array" ref="J60">XLOOKUP(I60,'従業員情報'!$A:$A,'従業員情報'!$N:$N,"×")</f>
        <v>株式会社MIXI/島村管掌/経営推進本部/広報部/サステナビリティ推進グループ</v>
      </c>
      <c r="K60" s="30" t="s">
        <v>2395</v>
      </c>
      <c r="L60" s="30"/>
    </row>
    <row r="61">
      <c r="A61" s="31" t="s">
        <v>1526</v>
      </c>
      <c r="B61" s="31" t="s">
        <v>2394</v>
      </c>
      <c r="C61" s="78">
        <v>6000.0</v>
      </c>
      <c r="D61" s="78">
        <v>35594.0</v>
      </c>
      <c r="E61" s="79" t="str">
        <f t="array" ref="E61">XLOOKUP($A61,'source isilon_Projectまとめ'!$A:$A,'source isilon_Projectまとめ'!$D:$D,XLOOKUP($A61,'source isilon-Project-du'!$A:$A,'source isilon-Project-du'!$C:$C))</f>
        <v>79.94GB</v>
      </c>
      <c r="F61" s="79" t="str">
        <f t="array" ref="F61">XLOOKUP($A61,'source isilon_Projectまとめ'!$A:$A,'source isilon_Projectまとめ'!$C:$C,XLOOKUP($A61,'source NetApp-file-sv01～03-Proj'!$A:$A,'source NetApp-file-sv01～03-Proj'!$D:$D))</f>
        <v>2022/09/29</v>
      </c>
      <c r="G61" s="31" t="s">
        <v>2177</v>
      </c>
      <c r="H61" s="30"/>
      <c r="I61" s="31" t="s">
        <v>2396</v>
      </c>
      <c r="J61" s="30" t="str">
        <f t="array" ref="J61">XLOOKUP(I61,'従業員情報'!$A:$A,'従業員情報'!$N:$N,"×")</f>
        <v>株式会社MIXI/島村管掌/経営推進本部/広報部/サステナビリティ推進グループ/次世代育成支援チーム</v>
      </c>
      <c r="K61" s="30" t="s">
        <v>2396</v>
      </c>
      <c r="L61" s="30"/>
    </row>
    <row r="62">
      <c r="A62" s="31" t="s">
        <v>1526</v>
      </c>
      <c r="B62" s="31" t="s">
        <v>2394</v>
      </c>
      <c r="C62" s="78">
        <v>6000.0</v>
      </c>
      <c r="D62" s="78">
        <v>35594.0</v>
      </c>
      <c r="E62" s="79" t="str">
        <f t="array" ref="E62">XLOOKUP($A62,'source isilon_Projectまとめ'!$A:$A,'source isilon_Projectまとめ'!$D:$D,XLOOKUP($A62,'source isilon-Project-du'!$A:$A,'source isilon-Project-du'!$C:$C))</f>
        <v>79.94GB</v>
      </c>
      <c r="F62" s="79" t="str">
        <f t="array" ref="F62">XLOOKUP($A62,'source isilon_Projectまとめ'!$A:$A,'source isilon_Projectまとめ'!$C:$C,XLOOKUP($A62,'source NetApp-file-sv01～03-Proj'!$A:$A,'source NetApp-file-sv01～03-Proj'!$D:$D))</f>
        <v>2022/09/29</v>
      </c>
      <c r="G62" s="31" t="s">
        <v>2177</v>
      </c>
      <c r="H62" s="30"/>
      <c r="I62" s="31" t="s">
        <v>2397</v>
      </c>
      <c r="J62" s="30" t="str">
        <f t="array" ref="J62">XLOOKUP(I62,'従業員情報'!$A:$A,'従業員情報'!$N:$N,"×")</f>
        <v>株式会社MIXI/島村管掌/経営推進本部/広報部/サステナビリティ推進グループ/次世代育成支援チーム</v>
      </c>
      <c r="K62" s="30" t="s">
        <v>2397</v>
      </c>
      <c r="L62" s="30"/>
    </row>
    <row r="63">
      <c r="A63" s="31" t="s">
        <v>1528</v>
      </c>
      <c r="B63" s="31" t="s">
        <v>2394</v>
      </c>
      <c r="C63" s="78">
        <v>8.0</v>
      </c>
      <c r="D63" s="78">
        <v>38.0</v>
      </c>
      <c r="E63" s="79" t="str">
        <f t="array" ref="E63">XLOOKUP($A63,'source isilon_Projectまとめ'!$A:$A,'source isilon_Projectまとめ'!$D:$D,XLOOKUP($A63,'source isilon-Project-du'!$A:$A,'source isilon-Project-du'!$C:$C))</f>
        <v>0.00GB</v>
      </c>
      <c r="F63" s="79" t="str">
        <f t="array" ref="F63">XLOOKUP($A63,'source isilon_Projectまとめ'!$A:$A,'source isilon_Projectまとめ'!$C:$C,XLOOKUP($A63,'source NetApp-file-sv01～03-Proj'!$A:$A,'source NetApp-file-sv01～03-Proj'!$D:$D))</f>
        <v>2013/07/01</v>
      </c>
      <c r="G63" s="31" t="s">
        <v>2177</v>
      </c>
      <c r="H63" s="30"/>
      <c r="I63" s="31" t="s">
        <v>1451</v>
      </c>
      <c r="J63" s="30" t="str">
        <f t="array" ref="J63">XLOOKUP(I63,'従業員情報'!$A:$A,'従業員情報'!$N:$N,"×")</f>
        <v>株式会社MIXI/村瀨管掌/開発本部/たんぽぽ室/Enablementグループ</v>
      </c>
      <c r="K63" s="30" t="s">
        <v>1451</v>
      </c>
      <c r="L63" s="30"/>
    </row>
    <row r="64">
      <c r="A64" s="31" t="s">
        <v>1529</v>
      </c>
      <c r="B64" s="31" t="s">
        <v>2394</v>
      </c>
      <c r="C64" s="78">
        <v>45029.0</v>
      </c>
      <c r="D64" s="78">
        <v>476350.0</v>
      </c>
      <c r="E64" s="79" t="str">
        <f t="array" ref="E64">XLOOKUP($A64,'source isilon_Projectまとめ'!$A:$A,'source isilon_Projectまとめ'!$D:$D,XLOOKUP($A64,'source isilon-Project-du'!$A:$A,'source isilon-Project-du'!$C:$C))</f>
        <v>4881.30GB</v>
      </c>
      <c r="F64" s="79" t="str">
        <f t="array" ref="F64">XLOOKUP($A64,'source isilon_Projectまとめ'!$A:$A,'source isilon_Projectまとめ'!$C:$C,XLOOKUP($A64,'source NetApp-file-sv01～03-Proj'!$A:$A,'source NetApp-file-sv01～03-Proj'!$D:$D))</f>
        <v>2025/07/08</v>
      </c>
      <c r="G64" s="31" t="s">
        <v>2184</v>
      </c>
      <c r="H64" s="30"/>
      <c r="I64" s="31" t="s">
        <v>1532</v>
      </c>
      <c r="J64" s="30" t="str">
        <f t="array" ref="J64">XLOOKUP(I64,'従業員情報'!$A:$A,'従業員情報'!$N:$N,"×")</f>
        <v>株式会社MIXI/木村管掌/デジタルエンターテインメントオペレーションズ本部/モンスト運営部/コラボ推進グループ</v>
      </c>
      <c r="K64" s="30" t="s">
        <v>1532</v>
      </c>
      <c r="L64" s="30"/>
    </row>
    <row r="65">
      <c r="A65" s="31" t="s">
        <v>1533</v>
      </c>
      <c r="B65" s="31" t="s">
        <v>2394</v>
      </c>
      <c r="C65" s="78">
        <v>1157.0</v>
      </c>
      <c r="D65" s="78">
        <v>9390.0</v>
      </c>
      <c r="E65" s="79" t="str">
        <f t="array" ref="E65">XLOOKUP($A65,'source isilon_Projectまとめ'!$A:$A,'source isilon_Projectまとめ'!$D:$D,XLOOKUP($A65,'source isilon-Project-du'!$A:$A,'source isilon-Project-du'!$C:$C))</f>
        <v>3.90GB</v>
      </c>
      <c r="F65" s="79" t="str">
        <f t="array" ref="F65">XLOOKUP($A65,'source isilon_Projectまとめ'!$A:$A,'source isilon_Projectまとめ'!$C:$C,XLOOKUP($A65,'source NetApp-file-sv01～03-Proj'!$A:$A,'source NetApp-file-sv01～03-Proj'!$D:$D))</f>
        <v>2025/07/08</v>
      </c>
      <c r="G65" s="31" t="s">
        <v>2184</v>
      </c>
      <c r="H65" s="30"/>
      <c r="I65" s="31" t="s">
        <v>1454</v>
      </c>
      <c r="J65" s="30" t="str">
        <f t="array" ref="J65">XLOOKUP(I65,'従業員情報'!$A:$A,'従業員情報'!$N:$N,"×")</f>
        <v>株式会社MIXI/管掌役員なし/上級執行役員</v>
      </c>
      <c r="K65" s="30" t="s">
        <v>1454</v>
      </c>
      <c r="L65" s="30"/>
    </row>
    <row r="66">
      <c r="A66" s="31" t="s">
        <v>1534</v>
      </c>
      <c r="B66" s="31" t="s">
        <v>993</v>
      </c>
      <c r="C66" s="78">
        <v>153303.0</v>
      </c>
      <c r="D66" s="78">
        <v>596633.0</v>
      </c>
      <c r="E66" s="79" t="str">
        <f t="array" ref="E66">XLOOKUP($A66,'source isilon_Projectまとめ'!$A:$A,'source isilon_Projectまとめ'!$D:$D,XLOOKUP($A66,'source isilon-Project-du'!$A:$A,'source isilon-Project-du'!$C:$C))</f>
        <v>418.02GB</v>
      </c>
      <c r="F66" s="79" t="str">
        <f t="array" ref="F66">XLOOKUP($A66,'source isilon_Projectまとめ'!$A:$A,'source isilon_Projectまとめ'!$C:$C,XLOOKUP($A66,'source NetApp-file-sv01～03-Proj'!$A:$A,'source NetApp-file-sv01～03-Proj'!$D:$D))</f>
        <v>2025/05/27</v>
      </c>
      <c r="G66" s="31" t="s">
        <v>2184</v>
      </c>
      <c r="H66" s="30"/>
      <c r="I66" s="31" t="s">
        <v>1537</v>
      </c>
      <c r="J66" s="31" t="str">
        <f t="array" ref="J66">XLOOKUP(I66,'退職者'!$C:$C,'退職者'!$B:$B,"×")&amp;XLOOKUP(I66,'退職者'!$C:$C,'退職者'!$A:$A,"×")</f>
        <v/>
      </c>
      <c r="K66" s="31" t="s">
        <v>2410</v>
      </c>
      <c r="L66" s="31" t="s">
        <v>2410</v>
      </c>
    </row>
    <row r="67">
      <c r="A67" s="31" t="s">
        <v>1539</v>
      </c>
      <c r="B67" s="31" t="s">
        <v>993</v>
      </c>
      <c r="C67" s="78">
        <v>29.0</v>
      </c>
      <c r="D67" s="78">
        <v>30.0</v>
      </c>
      <c r="E67" s="79" t="str">
        <f t="array" ref="E67">XLOOKUP($A67,'source isilon_Projectまとめ'!$A:$A,'source isilon_Projectまとめ'!$D:$D,XLOOKUP($A67,'source isilon-Project-du'!$A:$A,'source isilon-Project-du'!$C:$C))</f>
        <v>0.01GB</v>
      </c>
      <c r="F67" s="79" t="str">
        <f t="array" ref="F67">XLOOKUP($A67,'source isilon_Projectまとめ'!$A:$A,'source isilon_Projectまとめ'!$C:$C,XLOOKUP($A67,'source NetApp-file-sv01～03-Proj'!$A:$A,'source NetApp-file-sv01～03-Proj'!$D:$D))</f>
        <v>2016/02/25</v>
      </c>
      <c r="G67" s="31" t="s">
        <v>2177</v>
      </c>
      <c r="H67" s="30"/>
      <c r="I67" s="31" t="s">
        <v>1541</v>
      </c>
      <c r="J67" s="30" t="str">
        <f t="array" ref="J67">XLOOKUP(I67,'退職者'!$C:$C,'退職者'!$B:$B,"×")&amp;XLOOKUP(I67,'退職者'!$C:$C,'退職者'!$A:$A,"×")</f>
        <v>××</v>
      </c>
      <c r="K67" s="30" t="s">
        <v>2399</v>
      </c>
      <c r="L67" s="30"/>
    </row>
    <row r="68">
      <c r="A68" s="31" t="s">
        <v>1542</v>
      </c>
      <c r="B68" s="31" t="s">
        <v>994</v>
      </c>
      <c r="C68" s="78">
        <v>15.0</v>
      </c>
      <c r="D68" s="78">
        <v>13.0</v>
      </c>
      <c r="E68" s="31" t="str">
        <f t="array" ref="E68">XLOOKUP($A68,'source isilon_Projectまとめ'!$A:$A,'source isilon_Projectまとめ'!$D:$D,XLOOKUP($A68,'source isilon-Project-du'!$A:$A,'source isilon-Project-du'!$C:$C))</f>
        <v>0.00GB</v>
      </c>
      <c r="F68" s="30" t="str">
        <f t="array" ref="F68">XLOOKUP($A68,'source isilon_Projectまとめ'!$A:$A,'source isilon_Projectまとめ'!$C:$C,XLOOKUP($A68,'source NetApp-file-sv01～03-Proj'!$A:$A,'source NetApp-file-sv01～03-Proj'!$D:$D))</f>
        <v>2011/06/14</v>
      </c>
      <c r="G68" s="30" t="s">
        <v>2177</v>
      </c>
      <c r="H68" s="30"/>
      <c r="I68" s="31" t="s">
        <v>1053</v>
      </c>
      <c r="J68" s="31" t="str">
        <f t="array" ref="J68">XLOOKUP(I68,'退職者'!$C:$C,'退職者'!$A:$A,"×")</f>
        <v>×</v>
      </c>
      <c r="K68" s="31" t="s">
        <v>2399</v>
      </c>
      <c r="L68" s="31" t="s">
        <v>2407</v>
      </c>
    </row>
    <row r="69">
      <c r="A69" s="31" t="s">
        <v>1543</v>
      </c>
      <c r="B69" s="31" t="s">
        <v>1425</v>
      </c>
      <c r="C69" s="78">
        <v>37.0</v>
      </c>
      <c r="D69" s="78">
        <v>260.0</v>
      </c>
      <c r="E69" s="79" t="str">
        <f t="array" ref="E69">XLOOKUP($A69,'source isilon_Projectまとめ'!$A:$A,'source isilon_Projectまとめ'!$D:$D,XLOOKUP($A69,'source isilon-Project-du'!$A:$A,'source isilon-Project-du'!$C:$C))</f>
        <v>0.19GB</v>
      </c>
      <c r="F69" s="79" t="str">
        <f t="array" ref="F69">XLOOKUP($A69,'source isilon_Projectまとめ'!$A:$A,'source isilon_Projectまとめ'!$C:$C,XLOOKUP($A69,'source NetApp-file-sv01～03-Proj'!$A:$A,'source NetApp-file-sv01～03-Proj'!$D:$D))</f>
        <v>2022/04/01</v>
      </c>
      <c r="G69" s="31" t="s">
        <v>2177</v>
      </c>
      <c r="H69" s="30"/>
      <c r="I69" s="31" t="s">
        <v>1545</v>
      </c>
      <c r="J69" s="31" t="str">
        <f t="array" ref="J69">XLOOKUP(I69,'退職者'!$C:$C,'退職者'!$B:$B,"×")&amp;XLOOKUP(I69,'退職者'!$C:$C,'退職者'!$A:$A,"×")</f>
        <v>Vantageスタジオ無し</v>
      </c>
      <c r="K69" s="31" t="s">
        <v>2399</v>
      </c>
      <c r="L69" s="31" t="s">
        <v>2407</v>
      </c>
    </row>
    <row r="70">
      <c r="A70" s="31" t="s">
        <v>1546</v>
      </c>
      <c r="B70" s="31" t="s">
        <v>2394</v>
      </c>
      <c r="C70" s="78">
        <v>1.0</v>
      </c>
      <c r="D70" s="78">
        <v>4.0</v>
      </c>
      <c r="E70" s="30" t="str">
        <f t="array" ref="E70">XLOOKUP($A70,'source isilon_Projectまとめ'!$A:$A,'source isilon_Projectまとめ'!$D:$D,XLOOKUP($A70,'source isilon-Project-du'!$A:$A,'source isilon-Project-du'!$C:$C))</f>
        <v>0.00GB</v>
      </c>
      <c r="F70" s="80" t="str">
        <f t="array" ref="F70">XLOOKUP($A70,'source isilon_Projectまとめ'!$A:$A,'source isilon_Projectまとめ'!$C:$C,XLOOKUP($A70,'source NetApp-file-sv01～03-Proj'!$A:$A,'source NetApp-file-sv01～03-Proj'!$D:$D))</f>
        <v>#N/A</v>
      </c>
      <c r="G70" s="31"/>
      <c r="H70" s="30"/>
      <c r="I70" s="31" t="s">
        <v>1548</v>
      </c>
      <c r="J70" s="30" t="str">
        <f t="array" ref="J70">XLOOKUP(I70,'従業員情報'!$A:$A,'従業員情報'!$N:$N,"×")</f>
        <v>株式会社MIXI/笠原管掌/みてね事業本部</v>
      </c>
      <c r="K70" s="30" t="s">
        <v>1548</v>
      </c>
      <c r="L70" s="30"/>
    </row>
    <row r="71">
      <c r="A71" s="31" t="s">
        <v>1549</v>
      </c>
      <c r="B71" s="31" t="s">
        <v>2394</v>
      </c>
      <c r="C71" s="78">
        <v>4879.0</v>
      </c>
      <c r="D71" s="78">
        <v>13179.0</v>
      </c>
      <c r="E71" s="79" t="str">
        <f t="array" ref="E71">XLOOKUP($A71,'source isilon_Projectまとめ'!$A:$A,'source isilon_Projectまとめ'!$D:$D,XLOOKUP($A71,'source isilon-Project-du'!$A:$A,'source isilon-Project-du'!$C:$C))</f>
        <v>1.43GB</v>
      </c>
      <c r="F71" s="79" t="str">
        <f t="array" ref="F71">XLOOKUP($A71,'source isilon_Projectまとめ'!$A:$A,'source isilon_Projectまとめ'!$C:$C,XLOOKUP($A71,'source NetApp-file-sv01～03-Proj'!$A:$A,'source NetApp-file-sv01～03-Proj'!$D:$D))</f>
        <v>2019/01/21</v>
      </c>
      <c r="G71" s="31" t="s">
        <v>2177</v>
      </c>
      <c r="H71" s="30"/>
      <c r="I71" s="31" t="s">
        <v>1552</v>
      </c>
      <c r="J71" s="30" t="str">
        <f t="array" ref="J71">XLOOKUP(I71,'従業員情報'!$A:$A,'従業員情報'!$N:$N,"×")</f>
        <v>株式会社MIXI/笠原管掌/Vantageスタジオ/事業推進室/事業推進グループ/アシスタントチーム</v>
      </c>
      <c r="K71" s="30" t="s">
        <v>1552</v>
      </c>
      <c r="L71" s="30"/>
    </row>
    <row r="72">
      <c r="A72" s="31" t="s">
        <v>1553</v>
      </c>
      <c r="B72" s="31" t="s">
        <v>1425</v>
      </c>
      <c r="C72" s="78">
        <v>20.0</v>
      </c>
      <c r="D72" s="78">
        <v>193.0</v>
      </c>
      <c r="E72" s="79" t="str">
        <f t="array" ref="E72">XLOOKUP($A72,'source isilon_Projectまとめ'!$A:$A,'source isilon_Projectまとめ'!$D:$D,XLOOKUP($A72,'source isilon-Project-du'!$A:$A,'source isilon-Project-du'!$C:$C))</f>
        <v>3.15GB</v>
      </c>
      <c r="F72" s="79" t="str">
        <f t="array" ref="F72">XLOOKUP($A72,'source isilon_Projectまとめ'!$A:$A,'source isilon_Projectまとめ'!$C:$C,XLOOKUP($A72,'source NetApp-file-sv01～03-Proj'!$A:$A,'source NetApp-file-sv01～03-Proj'!$D:$D))</f>
        <v>2014/04/04</v>
      </c>
      <c r="G72" s="31" t="s">
        <v>2177</v>
      </c>
      <c r="H72" s="30"/>
      <c r="I72" s="31" t="s">
        <v>1513</v>
      </c>
      <c r="J72" s="30" t="str">
        <f t="array" ref="J72">XLOOKUP(I72,'退職者'!$C:$C,'退職者'!$B:$B,"×")&amp;XLOOKUP(I72,'退職者'!$C:$C,'退職者'!$A:$A,"×")</f>
        <v>人事本部労務部</v>
      </c>
      <c r="K72" s="30" t="s">
        <v>2399</v>
      </c>
      <c r="L72" s="30"/>
    </row>
    <row r="73">
      <c r="A73" s="31" t="s">
        <v>1553</v>
      </c>
      <c r="B73" s="31" t="s">
        <v>2394</v>
      </c>
      <c r="C73" s="78">
        <v>20.0</v>
      </c>
      <c r="D73" s="78">
        <v>193.0</v>
      </c>
      <c r="E73" s="79" t="str">
        <f t="array" ref="E73">XLOOKUP($A73,'source isilon_Projectまとめ'!$A:$A,'source isilon_Projectまとめ'!$D:$D,XLOOKUP($A73,'source isilon-Project-du'!$A:$A,'source isilon-Project-du'!$C:$C))</f>
        <v>3.15GB</v>
      </c>
      <c r="F73" s="79" t="str">
        <f t="array" ref="F73">XLOOKUP($A73,'source isilon_Projectまとめ'!$A:$A,'source isilon_Projectまとめ'!$C:$C,XLOOKUP($A73,'source NetApp-file-sv01～03-Proj'!$A:$A,'source NetApp-file-sv01～03-Proj'!$D:$D))</f>
        <v>2014/04/04</v>
      </c>
      <c r="G73" s="31" t="s">
        <v>2177</v>
      </c>
      <c r="H73" s="30"/>
      <c r="I73" s="31" t="s">
        <v>1492</v>
      </c>
      <c r="J73" s="30" t="str">
        <f t="array" ref="J73">XLOOKUP(I73,'従業員情報'!$A:$A,'従業員情報'!$N:$N,"×")</f>
        <v>株式会社MIXI/島村管掌/人事本部/グループ会社サポート部</v>
      </c>
      <c r="K73" s="30" t="s">
        <v>1492</v>
      </c>
      <c r="L73" s="30"/>
    </row>
    <row r="74">
      <c r="A74" s="31" t="s">
        <v>1554</v>
      </c>
      <c r="B74" s="31" t="s">
        <v>2394</v>
      </c>
      <c r="C74" s="78">
        <v>58914.0</v>
      </c>
      <c r="D74" s="78">
        <v>1112556.0</v>
      </c>
      <c r="E74" s="79" t="str">
        <f t="array" ref="E74">XLOOKUP($A74,'source isilon_Projectまとめ'!$A:$A,'source isilon_Projectまとめ'!$D:$D,XLOOKUP($A74,'source isilon-Project-du'!$A:$A,'source isilon-Project-du'!$C:$C))</f>
        <v>15805.60GB</v>
      </c>
      <c r="F74" s="79" t="str">
        <f t="array" ref="F74">XLOOKUP($A74,'source isilon_Projectまとめ'!$A:$A,'source isilon_Projectまとめ'!$C:$C,XLOOKUP($A74,'source NetApp-file-sv01～03-Proj'!$A:$A,'source NetApp-file-sv01～03-Proj'!$D:$D))</f>
        <v>2025/03/27</v>
      </c>
      <c r="G74" s="31" t="s">
        <v>2184</v>
      </c>
      <c r="H74" s="30"/>
      <c r="I74" s="31" t="s">
        <v>1557</v>
      </c>
      <c r="J74" s="30" t="str">
        <f t="array" ref="J74">XLOOKUP(I74,'従業員情報'!$A:$A,'従業員情報'!$N:$N,"×")</f>
        <v>株式会社MIXI/村瀨管掌/はたらく環境推進本部/ビジネスサポート室/インフォメーションハブグループ</v>
      </c>
      <c r="K74" s="30" t="s">
        <v>1557</v>
      </c>
      <c r="L74" s="30"/>
    </row>
    <row r="75">
      <c r="A75" s="31" t="s">
        <v>1558</v>
      </c>
      <c r="B75" s="31" t="s">
        <v>2394</v>
      </c>
      <c r="C75" s="78">
        <v>257.0</v>
      </c>
      <c r="D75" s="78">
        <v>1938.0</v>
      </c>
      <c r="E75" s="79" t="str">
        <f t="array" ref="E75">XLOOKUP($A75,'source isilon_Projectまとめ'!$A:$A,'source isilon_Projectまとめ'!$D:$D,XLOOKUP($A75,'source isilon-Project-du'!$A:$A,'source isilon-Project-du'!$C:$C))</f>
        <v>27.01GB</v>
      </c>
      <c r="F75" s="79" t="str">
        <f t="array" ref="F75">XLOOKUP($A75,'source isilon_Projectまとめ'!$A:$A,'source isilon_Projectまとめ'!$C:$C,XLOOKUP($A75,'source NetApp-file-sv01～03-Proj'!$A:$A,'source NetApp-file-sv01～03-Proj'!$D:$D))</f>
        <v>2025/01/30</v>
      </c>
      <c r="G75" s="31" t="s">
        <v>2184</v>
      </c>
      <c r="H75" s="30"/>
      <c r="I75" s="31" t="s">
        <v>1561</v>
      </c>
      <c r="J75" s="30" t="str">
        <f t="array" ref="J75">XLOOKUP(I75,'従業員情報'!$A:$A,'従業員情報'!$N:$N,"×")</f>
        <v>株式会社MIXI/村瀨管掌/デザイン本部/テクニカルデザイン室</v>
      </c>
      <c r="K75" s="30" t="s">
        <v>1561</v>
      </c>
      <c r="L75" s="30"/>
    </row>
    <row r="76">
      <c r="A76" s="31" t="s">
        <v>1562</v>
      </c>
      <c r="B76" s="31" t="s">
        <v>2394</v>
      </c>
      <c r="C76" s="78">
        <v>12.0</v>
      </c>
      <c r="D76" s="78">
        <v>55.0</v>
      </c>
      <c r="E76" s="79" t="str">
        <f t="array" ref="E76">XLOOKUP($A76,'source isilon_Projectまとめ'!$A:$A,'source isilon_Projectまとめ'!$D:$D,XLOOKUP($A76,'source isilon-Project-du'!$A:$A,'source isilon-Project-du'!$C:$C))</f>
        <v>0.09GB</v>
      </c>
      <c r="F76" s="79" t="str">
        <f t="array" ref="F76">XLOOKUP($A76,'source isilon_Projectまとめ'!$A:$A,'source isilon_Projectまとめ'!$C:$C,XLOOKUP($A76,'source NetApp-file-sv01～03-Proj'!$A:$A,'source NetApp-file-sv01～03-Proj'!$D:$D))</f>
        <v>2018/02/20</v>
      </c>
      <c r="G76" s="31" t="s">
        <v>2177</v>
      </c>
      <c r="H76" s="30"/>
      <c r="I76" s="31" t="s">
        <v>1423</v>
      </c>
      <c r="J76" s="30" t="str">
        <f t="array" ref="J76">XLOOKUP(I76,'従業員情報'!$A:$A,'従業員情報'!$N:$N,"×")</f>
        <v>株式会社MIXI/笠原管掌/Vantageスタジオ/mixi事業部</v>
      </c>
      <c r="K76" s="30" t="s">
        <v>1423</v>
      </c>
      <c r="L76" s="30"/>
    </row>
    <row r="77">
      <c r="A77" s="31" t="s">
        <v>1563</v>
      </c>
      <c r="B77" s="31" t="s">
        <v>2394</v>
      </c>
      <c r="C77" s="78">
        <v>10166.0</v>
      </c>
      <c r="D77" s="78">
        <v>48011.0</v>
      </c>
      <c r="E77" s="79" t="str">
        <f t="array" ref="E77">XLOOKUP($A77,'source isilon_Projectまとめ'!$A:$A,'source isilon_Projectまとめ'!$D:$D,XLOOKUP($A77,'source isilon-Project-du'!$A:$A,'source isilon-Project-du'!$C:$C))</f>
        <v>19.54GB</v>
      </c>
      <c r="F77" s="79" t="str">
        <f t="array" ref="F77">XLOOKUP($A77,'source isilon_Projectまとめ'!$A:$A,'source isilon_Projectまとめ'!$C:$C,XLOOKUP($A77,'source NetApp-file-sv01～03-Proj'!$A:$A,'source NetApp-file-sv01～03-Proj'!$D:$D))</f>
        <v>2015/11/17</v>
      </c>
      <c r="G77" s="31" t="s">
        <v>2177</v>
      </c>
      <c r="H77" s="30"/>
      <c r="I77" s="31" t="s">
        <v>1566</v>
      </c>
      <c r="J77" s="30" t="str">
        <f t="array" ref="J77">XLOOKUP(I77,'従業員情報'!$A:$A,'従業員情報'!$N:$N,"×")</f>
        <v>株式会社MIXI/木村管掌/デジタルエンターテインメントオペレーションズ本部/モンスト開発部/QAグループ/QA3チーム</v>
      </c>
      <c r="K77" s="30" t="s">
        <v>1566</v>
      </c>
      <c r="L77" s="30"/>
    </row>
    <row r="78">
      <c r="A78" s="31" t="s">
        <v>1567</v>
      </c>
      <c r="B78" s="31" t="s">
        <v>1425</v>
      </c>
      <c r="C78" s="78">
        <v>1657.0</v>
      </c>
      <c r="D78" s="78">
        <v>15386.0</v>
      </c>
      <c r="E78" s="79" t="str">
        <f t="array" ref="E78">XLOOKUP($A78,'source isilon_Projectまとめ'!$A:$A,'source isilon_Projectまとめ'!$D:$D,XLOOKUP($A78,'source isilon-Project-du'!$A:$A,'source isilon-Project-du'!$C:$C))</f>
        <v>45.72GB</v>
      </c>
      <c r="F78" s="79" t="str">
        <f t="array" ref="F78">XLOOKUP($A78,'source isilon_Projectまとめ'!$A:$A,'source isilon_Projectまとめ'!$C:$C,XLOOKUP($A78,'source NetApp-file-sv01～03-Proj'!$A:$A,'source NetApp-file-sv01～03-Proj'!$D:$D))</f>
        <v>2024/02/16</v>
      </c>
      <c r="G78" s="31" t="s">
        <v>2184</v>
      </c>
      <c r="H78" s="30"/>
      <c r="I78" s="31" t="s">
        <v>1414</v>
      </c>
      <c r="J78" s="31" t="str">
        <f t="array" ref="J78">XLOOKUP(I78,'退職者'!$C:$C,'退職者'!$B:$B,"×")&amp;XLOOKUP(I78,'退職者'!$C:$C,'退職者'!$A:$A,"×")</f>
        <v>人事本部人事戦略部付</v>
      </c>
      <c r="K78" s="31" t="s">
        <v>2411</v>
      </c>
      <c r="L78" s="31" t="s">
        <v>2412</v>
      </c>
    </row>
    <row r="79">
      <c r="A79" s="31" t="s">
        <v>1569</v>
      </c>
      <c r="B79" s="31" t="s">
        <v>1425</v>
      </c>
      <c r="C79" s="78">
        <v>26.0</v>
      </c>
      <c r="D79" s="78">
        <v>93.0</v>
      </c>
      <c r="E79" s="79" t="str">
        <f t="array" ref="E79">XLOOKUP($A79,'source isilon_Projectまとめ'!$A:$A,'source isilon_Projectまとめ'!$D:$D,XLOOKUP($A79,'source isilon-Project-du'!$A:$A,'source isilon-Project-du'!$C:$C))</f>
        <v>0.18GB</v>
      </c>
      <c r="F79" s="79" t="str">
        <f t="array" ref="F79">XLOOKUP($A79,'source isilon_Projectまとめ'!$A:$A,'source isilon_Projectまとめ'!$C:$C,XLOOKUP($A79,'source NetApp-file-sv01～03-Proj'!$A:$A,'source NetApp-file-sv01～03-Proj'!$D:$D))</f>
        <v>2013/07/24</v>
      </c>
      <c r="G79" s="31" t="s">
        <v>2177</v>
      </c>
      <c r="H79" s="30"/>
      <c r="I79" s="31" t="s">
        <v>1572</v>
      </c>
      <c r="J79" s="31" t="str">
        <f t="array" ref="J79">XLOOKUP(I79,'退職者'!$C:$C,'退職者'!$B:$B,"×")&amp;XLOOKUP(I79,'退職者'!$C:$C,'退職者'!$A:$A,"×")</f>
        <v>ﾗｲﾌﾞｴｸｽﾍﾟﾘｴﾝｽ事業本部ﾏｰﾁｬﾝﾀﾞｲｼﾞﾝｸﾞ部</v>
      </c>
      <c r="K79" s="31" t="s">
        <v>2399</v>
      </c>
      <c r="L79" s="31" t="s">
        <v>2413</v>
      </c>
    </row>
    <row r="80">
      <c r="A80" s="31" t="s">
        <v>1573</v>
      </c>
      <c r="B80" s="31" t="s">
        <v>1425</v>
      </c>
      <c r="C80" s="78">
        <v>244.0</v>
      </c>
      <c r="D80" s="78">
        <v>3552.0</v>
      </c>
      <c r="E80" s="79" t="str">
        <f t="array" ref="E80">XLOOKUP($A80,'source isilon_Projectまとめ'!$A:$A,'source isilon_Projectまとめ'!$D:$D,XLOOKUP($A80,'source isilon-Project-du'!$A:$A,'source isilon-Project-du'!$C:$C))</f>
        <v>0.48GB</v>
      </c>
      <c r="F80" s="79" t="str">
        <f t="array" ref="F80">XLOOKUP($A80,'source isilon_Projectまとめ'!$A:$A,'source isilon_Projectまとめ'!$C:$C,XLOOKUP($A80,'source NetApp-file-sv01～03-Proj'!$A:$A,'source NetApp-file-sv01～03-Proj'!$D:$D))</f>
        <v>2021/04/09</v>
      </c>
      <c r="G80" s="31" t="s">
        <v>2177</v>
      </c>
      <c r="H80" s="30"/>
      <c r="I80" s="31" t="s">
        <v>1575</v>
      </c>
      <c r="J80" s="31" t="str">
        <f t="array" ref="J80">XLOOKUP(I80,'退職者'!$C:$C,'退職者'!$B:$B,"×")&amp;XLOOKUP(I80,'退職者'!$C:$C,'退職者'!$A:$A,"×")</f>
        <v> CS本部CS部</v>
      </c>
      <c r="K80" s="31" t="s">
        <v>2399</v>
      </c>
      <c r="L80" s="31" t="s">
        <v>2414</v>
      </c>
    </row>
    <row r="81">
      <c r="A81" s="31" t="s">
        <v>1576</v>
      </c>
      <c r="B81" s="31" t="s">
        <v>2394</v>
      </c>
      <c r="C81" s="78">
        <v>15419.0</v>
      </c>
      <c r="D81" s="78">
        <v>54220.0</v>
      </c>
      <c r="E81" s="79" t="str">
        <f t="array" ref="E81">XLOOKUP($A81,'source isilon_Projectまとめ'!$A:$A,'source isilon_Projectまとめ'!$D:$D,XLOOKUP($A81,'source isilon-Project-du'!$A:$A,'source isilon-Project-du'!$C:$C))</f>
        <v>9.20GB</v>
      </c>
      <c r="F81" s="79" t="str">
        <f t="array" ref="F81">XLOOKUP($A81,'source isilon_Projectまとめ'!$A:$A,'source isilon_Projectまとめ'!$C:$C,XLOOKUP($A81,'source NetApp-file-sv01～03-Proj'!$A:$A,'source NetApp-file-sv01～03-Proj'!$D:$D))</f>
        <v>2025/07/08</v>
      </c>
      <c r="G81" s="31" t="s">
        <v>2184</v>
      </c>
      <c r="H81" s="30"/>
      <c r="I81" s="31" t="s">
        <v>1579</v>
      </c>
      <c r="J81" s="30" t="str">
        <f t="array" ref="J81">XLOOKUP(I81,'従業員情報'!$A:$A,'従業員情報'!$N:$N,"×")</f>
        <v>株式会社MIXI/木村管掌/デジタルエンターテインメントオペレーションズ本部/モンストIPクリエイション部/PJ支援グループ</v>
      </c>
      <c r="K81" s="30" t="s">
        <v>1579</v>
      </c>
      <c r="L81" s="30"/>
    </row>
    <row r="82">
      <c r="A82" s="31" t="s">
        <v>1580</v>
      </c>
      <c r="B82" s="31" t="s">
        <v>2394</v>
      </c>
      <c r="C82" s="78">
        <v>10831.0</v>
      </c>
      <c r="D82" s="78">
        <v>57724.0</v>
      </c>
      <c r="E82" s="79" t="str">
        <f t="array" ref="E82">XLOOKUP($A82,'source isilon_Projectまとめ'!$A:$A,'source isilon_Projectまとめ'!$D:$D,XLOOKUP($A82,'source isilon-Project-du'!$A:$A,'source isilon-Project-du'!$C:$C))</f>
        <v>221.86GB</v>
      </c>
      <c r="F82" s="79" t="str">
        <f t="array" ref="F82">XLOOKUP($A82,'source isilon_Projectまとめ'!$A:$A,'source isilon_Projectまとめ'!$C:$C,XLOOKUP($A82,'source NetApp-file-sv01～03-Proj'!$A:$A,'source NetApp-file-sv01～03-Proj'!$D:$D))</f>
        <v>2025/07/08</v>
      </c>
      <c r="G82" s="31" t="s">
        <v>2184</v>
      </c>
      <c r="H82" s="30"/>
      <c r="I82" s="31" t="s">
        <v>1583</v>
      </c>
      <c r="J82" s="30" t="str">
        <f t="array" ref="J82">XLOOKUP(I82,'従業員情報'!$A:$A,'従業員情報'!$N:$N,"×")</f>
        <v>株式会社MIXI/村瀨管掌/はたらく環境推進本部/コーポレートエンジニアリング部</v>
      </c>
      <c r="K82" s="30" t="s">
        <v>1583</v>
      </c>
      <c r="L82" s="30"/>
    </row>
    <row r="83">
      <c r="A83" s="31" t="s">
        <v>1584</v>
      </c>
      <c r="B83" s="31" t="s">
        <v>2394</v>
      </c>
      <c r="C83" s="78">
        <v>125.0</v>
      </c>
      <c r="D83" s="78">
        <v>2391.0</v>
      </c>
      <c r="E83" s="79" t="str">
        <f t="array" ref="E83">XLOOKUP($A83,'source isilon_Projectまとめ'!$A:$A,'source isilon_Projectまとめ'!$D:$D,XLOOKUP($A83,'source isilon-Project-du'!$A:$A,'source isilon-Project-du'!$C:$C))</f>
        <v>0.76GB</v>
      </c>
      <c r="F83" s="79" t="str">
        <f t="array" ref="F83">XLOOKUP($A83,'source isilon_Projectまとめ'!$A:$A,'source isilon_Projectまとめ'!$C:$C,XLOOKUP($A83,'source NetApp-file-sv01～03-Proj'!$A:$A,'source NetApp-file-sv01～03-Proj'!$D:$D))</f>
        <v>2017/10/16</v>
      </c>
      <c r="G83" s="31" t="s">
        <v>2177</v>
      </c>
      <c r="H83" s="30"/>
      <c r="I83" s="31" t="s">
        <v>1587</v>
      </c>
      <c r="J83" s="30" t="str">
        <f t="array" ref="J83">XLOOKUP(I83,'従業員情報'!$A:$A,'従業員情報'!$N:$N,"×")</f>
        <v>株式会社MIXI/木村管掌/デジタルエンターテインメントオペレーションズ本部/コトダマン制作部/制作運用グループ/サービス運用チーム</v>
      </c>
      <c r="K83" s="30" t="s">
        <v>1587</v>
      </c>
      <c r="L83" s="30"/>
    </row>
    <row r="84">
      <c r="A84" s="31" t="s">
        <v>1584</v>
      </c>
      <c r="B84" s="31" t="s">
        <v>2394</v>
      </c>
      <c r="C84" s="78">
        <v>125.0</v>
      </c>
      <c r="D84" s="78">
        <v>2391.0</v>
      </c>
      <c r="E84" s="79" t="str">
        <f t="array" ref="E84">XLOOKUP($A84,'source isilon_Projectまとめ'!$A:$A,'source isilon_Projectまとめ'!$D:$D,XLOOKUP($A84,'source isilon-Project-du'!$A:$A,'source isilon-Project-du'!$C:$C))</f>
        <v>0.76GB</v>
      </c>
      <c r="F84" s="79" t="str">
        <f t="array" ref="F84">XLOOKUP($A84,'source isilon_Projectまとめ'!$A:$A,'source isilon_Projectまとめ'!$C:$C,XLOOKUP($A84,'source NetApp-file-sv01～03-Proj'!$A:$A,'source NetApp-file-sv01～03-Proj'!$D:$D))</f>
        <v>2017/10/16</v>
      </c>
      <c r="G84" s="31" t="s">
        <v>2177</v>
      </c>
      <c r="H84" s="30"/>
      <c r="I84" s="31" t="s">
        <v>1589</v>
      </c>
      <c r="J84" s="30" t="str">
        <f t="array" ref="J84">XLOOKUP(I84,'従業員情報'!$A:$A,'従業員情報'!$N:$N,"×")</f>
        <v>株式会社MIXI/村瀨管掌/はたらく環境推進本部/せいかつ環境室/せいかつ環境Bグループ/せいかつ環境Cチーム</v>
      </c>
      <c r="K84" s="30" t="s">
        <v>1589</v>
      </c>
      <c r="L84" s="30"/>
    </row>
    <row r="85">
      <c r="A85" s="31" t="s">
        <v>1584</v>
      </c>
      <c r="B85" s="31" t="s">
        <v>2394</v>
      </c>
      <c r="C85" s="78">
        <v>125.0</v>
      </c>
      <c r="D85" s="78">
        <v>2391.0</v>
      </c>
      <c r="E85" s="79" t="str">
        <f t="array" ref="E85">XLOOKUP($A85,'source isilon_Projectまとめ'!$A:$A,'source isilon_Projectまとめ'!$D:$D,XLOOKUP($A85,'source isilon-Project-du'!$A:$A,'source isilon-Project-du'!$C:$C))</f>
        <v>0.76GB</v>
      </c>
      <c r="F85" s="79" t="str">
        <f t="array" ref="F85">XLOOKUP($A85,'source isilon_Projectまとめ'!$A:$A,'source isilon_Projectまとめ'!$C:$C,XLOOKUP($A85,'source NetApp-file-sv01～03-Proj'!$A:$A,'source NetApp-file-sv01～03-Proj'!$D:$D))</f>
        <v>2017/10/16</v>
      </c>
      <c r="G85" s="31" t="s">
        <v>2177</v>
      </c>
      <c r="H85" s="30"/>
      <c r="I85" s="31" t="s">
        <v>2415</v>
      </c>
      <c r="J85" s="30" t="str">
        <f t="array" ref="J85">XLOOKUP(I85,'従業員情報'!$A:$A,'従業員情報'!$N:$N,"×")</f>
        <v>株式会社MIXI/村瀨管掌/開発本部/たんぽぽ室/BOグループ</v>
      </c>
      <c r="K85" s="30" t="s">
        <v>2415</v>
      </c>
      <c r="L85" s="30"/>
    </row>
    <row r="86">
      <c r="A86" s="31" t="s">
        <v>1584</v>
      </c>
      <c r="B86" s="31" t="s">
        <v>2394</v>
      </c>
      <c r="C86" s="78">
        <v>125.0</v>
      </c>
      <c r="D86" s="78">
        <v>2391.0</v>
      </c>
      <c r="E86" s="79" t="str">
        <f t="array" ref="E86">XLOOKUP($A86,'source isilon_Projectまとめ'!$A:$A,'source isilon_Projectまとめ'!$D:$D,XLOOKUP($A86,'source isilon-Project-du'!$A:$A,'source isilon-Project-du'!$C:$C))</f>
        <v>0.76GB</v>
      </c>
      <c r="F86" s="79" t="str">
        <f t="array" ref="F86">XLOOKUP($A86,'source isilon_Projectまとめ'!$A:$A,'source isilon_Projectまとめ'!$C:$C,XLOOKUP($A86,'source NetApp-file-sv01～03-Proj'!$A:$A,'source NetApp-file-sv01～03-Proj'!$D:$D))</f>
        <v>2017/10/16</v>
      </c>
      <c r="G86" s="31" t="s">
        <v>2177</v>
      </c>
      <c r="H86" s="30"/>
      <c r="I86" s="31" t="s">
        <v>2416</v>
      </c>
      <c r="J86" s="30" t="str">
        <f t="array" ref="J86">XLOOKUP(I86,'従業員情報'!$A:$A,'従業員情報'!$N:$N,"×")</f>
        <v>株式会社MIXI/村瀨管掌/はたらく環境推進本部/ビジネスサポート室/ボイスグループ</v>
      </c>
      <c r="K86" s="30" t="s">
        <v>2416</v>
      </c>
      <c r="L86" s="30"/>
    </row>
    <row r="87">
      <c r="A87" s="31" t="s">
        <v>1594</v>
      </c>
      <c r="B87" s="31" t="s">
        <v>2394</v>
      </c>
      <c r="C87" s="78">
        <v>352.0</v>
      </c>
      <c r="D87" s="78">
        <v>1297.0</v>
      </c>
      <c r="E87" s="79" t="str">
        <f t="array" ref="E87">XLOOKUP($A87,'source isilon_Projectまとめ'!$A:$A,'source isilon_Projectまとめ'!$D:$D,XLOOKUP($A87,'source isilon-Project-du'!$A:$A,'source isilon-Project-du'!$C:$C))</f>
        <v>1.19GB</v>
      </c>
      <c r="F87" s="79" t="str">
        <f t="array" ref="F87">XLOOKUP($A87,'source isilon_Projectまとめ'!$A:$A,'source isilon_Projectまとめ'!$C:$C,XLOOKUP($A87,'source NetApp-file-sv01～03-Proj'!$A:$A,'source NetApp-file-sv01～03-Proj'!$D:$D))</f>
        <v>2014/12/26</v>
      </c>
      <c r="G87" s="31" t="s">
        <v>2177</v>
      </c>
      <c r="H87" s="30"/>
      <c r="I87" s="31" t="s">
        <v>1595</v>
      </c>
      <c r="J87" s="31" t="str">
        <f t="array" ref="J87">XLOOKUP(I87,'従業員情報'!$A:$A,'従業員情報'!$N:$N,"×")</f>
        <v>株式会社MIXI/村瀨管掌/はたらく環境推進本部</v>
      </c>
      <c r="K87" s="31" t="s">
        <v>1595</v>
      </c>
      <c r="L87" s="31" t="s">
        <v>2417</v>
      </c>
    </row>
    <row r="88">
      <c r="A88" s="31" t="s">
        <v>1596</v>
      </c>
      <c r="B88" s="31" t="s">
        <v>2394</v>
      </c>
      <c r="C88" s="78">
        <v>331.0</v>
      </c>
      <c r="D88" s="78">
        <v>2750.0</v>
      </c>
      <c r="E88" s="79" t="str">
        <f t="array" ref="E88">XLOOKUP($A88,'source isilon_Projectまとめ'!$A:$A,'source isilon_Projectまとめ'!$D:$D,XLOOKUP($A88,'source isilon-Project-du'!$A:$A,'source isilon-Project-du'!$C:$C))</f>
        <v>2.90GB</v>
      </c>
      <c r="F88" s="79" t="str">
        <f t="array" ref="F88">XLOOKUP($A88,'source isilon_Projectまとめ'!$A:$A,'source isilon_Projectまとめ'!$C:$C,XLOOKUP($A88,'source NetApp-file-sv01～03-Proj'!$A:$A,'source NetApp-file-sv01～03-Proj'!$D:$D))</f>
        <v>2025/03/21</v>
      </c>
      <c r="G88" s="31" t="s">
        <v>2184</v>
      </c>
      <c r="H88" s="30"/>
      <c r="I88" s="31" t="s">
        <v>1439</v>
      </c>
      <c r="J88" s="30" t="str">
        <f t="array" ref="J88">XLOOKUP(I88,'従業員情報'!$A:$A,'従業員情報'!$N:$N,"×")</f>
        <v>株式会社MIXI/島村管掌/人事本部/組織戦略部/横断HRBPグループ</v>
      </c>
      <c r="K88" s="30" t="s">
        <v>1439</v>
      </c>
      <c r="L88" s="30"/>
    </row>
    <row r="89">
      <c r="A89" s="31" t="s">
        <v>1598</v>
      </c>
      <c r="B89" s="31" t="s">
        <v>994</v>
      </c>
      <c r="C89" s="78">
        <v>284.0</v>
      </c>
      <c r="D89" s="78">
        <v>9485.0</v>
      </c>
      <c r="E89" s="79" t="str">
        <f t="array" ref="E89">XLOOKUP($A89,'source isilon_Projectまとめ'!$A:$A,'source isilon_Projectまとめ'!$D:$D,XLOOKUP($A89,'source isilon-Project-du'!$A:$A,'source isilon-Project-du'!$C:$C))</f>
        <v>6262.65GB</v>
      </c>
      <c r="F89" s="79" t="str">
        <f t="array" ref="F89">XLOOKUP($A89,'source isilon_Projectまとめ'!$A:$A,'source isilon_Projectまとめ'!$C:$C,XLOOKUP($A89,'source NetApp-file-sv01～03-Proj'!$A:$A,'source NetApp-file-sv01～03-Proj'!$D:$D))</f>
        <v>2023/05/04</v>
      </c>
      <c r="G89" s="30" t="s">
        <v>2184</v>
      </c>
      <c r="H89" s="30"/>
      <c r="I89" s="31" t="s">
        <v>1053</v>
      </c>
      <c r="J89" s="31" t="str">
        <f t="array" ref="J89">XLOOKUP(I89,'退職者'!$C:$C,'退職者'!$A:$A,"×")</f>
        <v>×</v>
      </c>
      <c r="K89" s="81" t="s">
        <v>2401</v>
      </c>
      <c r="L89" s="31" t="s">
        <v>2401</v>
      </c>
    </row>
    <row r="90">
      <c r="A90" s="31" t="s">
        <v>1599</v>
      </c>
      <c r="B90" s="31" t="s">
        <v>2394</v>
      </c>
      <c r="C90" s="78">
        <v>9.0</v>
      </c>
      <c r="D90" s="78">
        <v>279.0</v>
      </c>
      <c r="E90" s="79" t="str">
        <f t="array" ref="E90">XLOOKUP($A90,'source isilon_Projectまとめ'!$A:$A,'source isilon_Projectまとめ'!$D:$D,XLOOKUP($A90,'source isilon-Project-du'!$A:$A,'source isilon-Project-du'!$C:$C))</f>
        <v>0.27GB</v>
      </c>
      <c r="F90" s="79" t="str">
        <f t="array" ref="F90">XLOOKUP($A90,'source isilon_Projectまとめ'!$A:$A,'source isilon_Projectまとめ'!$C:$C,XLOOKUP($A90,'source NetApp-file-sv01～03-Proj'!$A:$A,'source NetApp-file-sv01～03-Proj'!$D:$D))</f>
        <v>2009/02/20</v>
      </c>
      <c r="G90" s="31" t="s">
        <v>2177</v>
      </c>
      <c r="H90" s="30"/>
      <c r="I90" s="31" t="s">
        <v>1423</v>
      </c>
      <c r="J90" s="30" t="str">
        <f t="array" ref="J90">XLOOKUP(I90,'従業員情報'!$A:$A,'従業員情報'!$N:$N,"×")</f>
        <v>株式会社MIXI/笠原管掌/Vantageスタジオ/mixi事業部</v>
      </c>
      <c r="K90" s="30" t="s">
        <v>1423</v>
      </c>
      <c r="L90" s="30"/>
    </row>
    <row r="91">
      <c r="A91" s="31" t="s">
        <v>1600</v>
      </c>
      <c r="B91" s="31" t="s">
        <v>1425</v>
      </c>
      <c r="C91" s="78">
        <v>78.0</v>
      </c>
      <c r="D91" s="78">
        <v>456.0</v>
      </c>
      <c r="E91" s="79" t="str">
        <f t="array" ref="E91">XLOOKUP($A91,'source isilon_Projectまとめ'!$A:$A,'source isilon_Projectまとめ'!$D:$D,XLOOKUP($A91,'source isilon-Project-du'!$A:$A,'source isilon-Project-du'!$C:$C))</f>
        <v>0.38GB</v>
      </c>
      <c r="F91" s="79" t="str">
        <f t="array" ref="F91">XLOOKUP($A91,'source isilon_Projectまとめ'!$A:$A,'source isilon_Projectまとめ'!$C:$C,XLOOKUP($A91,'source NetApp-file-sv01～03-Proj'!$A:$A,'source NetApp-file-sv01～03-Proj'!$D:$D))</f>
        <v>2017/10/27</v>
      </c>
      <c r="G91" s="31" t="s">
        <v>2177</v>
      </c>
      <c r="H91" s="30"/>
      <c r="I91" s="31" t="s">
        <v>1601</v>
      </c>
      <c r="J91" s="31" t="str">
        <f t="array" ref="J91">XLOOKUP(I91,'退職者'!$C:$C,'退職者'!$B:$B,"×")&amp;XLOOKUP(I91,'退職者'!$C:$C,'退職者'!$A:$A,"×")</f>
        <v>ﾃﾞｼﾞﾀﾙｴﾝﾀｰﾃｲﾝﾒﾝﾄ事業本部ｲﾝｷｭﾍﾞｰｼｮﾝ事業部</v>
      </c>
      <c r="K91" s="31" t="s">
        <v>2399</v>
      </c>
      <c r="L91" s="31" t="s">
        <v>2418</v>
      </c>
    </row>
    <row r="92">
      <c r="A92" s="31" t="s">
        <v>1603</v>
      </c>
      <c r="B92" s="31" t="s">
        <v>2394</v>
      </c>
      <c r="C92" s="78">
        <v>308.0</v>
      </c>
      <c r="D92" s="78">
        <v>1263.0</v>
      </c>
      <c r="E92" s="79" t="str">
        <f t="array" ref="E92">XLOOKUP($A92,'source isilon_Projectまとめ'!$A:$A,'source isilon_Projectまとめ'!$D:$D,XLOOKUP($A92,'source isilon-Project-du'!$A:$A,'source isilon-Project-du'!$C:$C))</f>
        <v>1.14GB</v>
      </c>
      <c r="F92" s="79" t="str">
        <f t="array" ref="F92">XLOOKUP($A92,'source isilon_Projectまとめ'!$A:$A,'source isilon_Projectまとめ'!$C:$C,XLOOKUP($A92,'source NetApp-file-sv01～03-Proj'!$A:$A,'source NetApp-file-sv01～03-Proj'!$D:$D))</f>
        <v>2012/04/19</v>
      </c>
      <c r="G92" s="31" t="s">
        <v>2177</v>
      </c>
      <c r="H92" s="30"/>
      <c r="I92" s="31" t="s">
        <v>1606</v>
      </c>
      <c r="J92" s="30" t="str">
        <f t="array" ref="J92">XLOOKUP(I92,'従業員情報'!$A:$A,'従業員情報'!$N:$N,"×")</f>
        <v>株式会社MIXI/奥山管掌/ソーシャルベッティング事業本部/チャリ・ロト事業部/ソリューショングループ/管理チーム</v>
      </c>
      <c r="K92" s="30" t="s">
        <v>1606</v>
      </c>
      <c r="L92" s="30"/>
    </row>
    <row r="93">
      <c r="A93" s="31" t="s">
        <v>1607</v>
      </c>
      <c r="B93" s="31" t="s">
        <v>994</v>
      </c>
      <c r="C93" s="78">
        <v>34227.0</v>
      </c>
      <c r="D93" s="78">
        <v>184919.0</v>
      </c>
      <c r="E93" s="79" t="str">
        <f t="array" ref="E93">XLOOKUP($A93,'source isilon_Projectまとめ'!$A:$A,'source isilon_Projectまとめ'!$D:$D,XLOOKUP($A93,'source isilon-Project-du'!$A:$A,'source isilon-Project-du'!$C:$C))</f>
        <v>193.12GB</v>
      </c>
      <c r="F93" s="79" t="str">
        <f t="array" ref="F93">XLOOKUP($A93,'source isilon_Projectまとめ'!$A:$A,'source isilon_Projectまとめ'!$C:$C,XLOOKUP($A93,'source NetApp-file-sv01～03-Proj'!$A:$A,'source NetApp-file-sv01～03-Proj'!$D:$D))</f>
        <v>2025/06/24</v>
      </c>
      <c r="G93" s="30" t="s">
        <v>2184</v>
      </c>
      <c r="H93" s="30"/>
      <c r="I93" s="31" t="s">
        <v>1053</v>
      </c>
      <c r="J93" s="31" t="str">
        <f t="array" ref="J93">XLOOKUP(I93,'退職者'!$C:$C,'退職者'!$A:$A,"×")</f>
        <v>×</v>
      </c>
      <c r="K93" s="81" t="s">
        <v>2419</v>
      </c>
      <c r="L93" s="31" t="s">
        <v>2419</v>
      </c>
    </row>
    <row r="94">
      <c r="A94" s="31" t="s">
        <v>1608</v>
      </c>
      <c r="B94" s="31" t="s">
        <v>2394</v>
      </c>
      <c r="C94" s="78">
        <v>19519.0</v>
      </c>
      <c r="D94" s="78">
        <v>76018.0</v>
      </c>
      <c r="E94" s="79" t="str">
        <f t="array" ref="E94">XLOOKUP($A94,'source isilon_Projectまとめ'!$A:$A,'source isilon_Projectまとめ'!$D:$D,XLOOKUP($A94,'source isilon-Project-du'!$A:$A,'source isilon-Project-du'!$C:$C))</f>
        <v>16.61GB</v>
      </c>
      <c r="F94" s="79" t="str">
        <f t="array" ref="F94">XLOOKUP($A94,'source isilon_Projectまとめ'!$A:$A,'source isilon_Projectまとめ'!$C:$C,XLOOKUP($A94,'source NetApp-file-sv01～03-Proj'!$A:$A,'source NetApp-file-sv01～03-Proj'!$D:$D))</f>
        <v>2025/07/08</v>
      </c>
      <c r="G94" s="31" t="s">
        <v>2184</v>
      </c>
      <c r="H94" s="30"/>
      <c r="I94" s="31" t="s">
        <v>1611</v>
      </c>
      <c r="J94" s="30" t="str">
        <f t="array" ref="J94">XLOOKUP(I94,'従業員情報'!$A:$A,'従業員情報'!$N:$N,"×")</f>
        <v>株式会社MIXI/村瀨管掌/デザイン本部/ブランドデザイン室/マネジメントグループ/バックオフィスチーム</v>
      </c>
      <c r="K94" s="30" t="s">
        <v>1611</v>
      </c>
      <c r="L94" s="30"/>
    </row>
    <row r="95">
      <c r="A95" s="31" t="s">
        <v>1608</v>
      </c>
      <c r="B95" s="31" t="s">
        <v>2394</v>
      </c>
      <c r="C95" s="78">
        <v>19519.0</v>
      </c>
      <c r="D95" s="78">
        <v>76018.0</v>
      </c>
      <c r="E95" s="79" t="str">
        <f t="array" ref="E95">XLOOKUP($A95,'source isilon_Projectまとめ'!$A:$A,'source isilon_Projectまとめ'!$D:$D,XLOOKUP($A95,'source isilon-Project-du'!$A:$A,'source isilon-Project-du'!$C:$C))</f>
        <v>16.61GB</v>
      </c>
      <c r="F95" s="79" t="str">
        <f t="array" ref="F95">XLOOKUP($A95,'source isilon_Projectまとめ'!$A:$A,'source isilon_Projectまとめ'!$C:$C,XLOOKUP($A95,'source NetApp-file-sv01～03-Proj'!$A:$A,'source NetApp-file-sv01～03-Proj'!$D:$D))</f>
        <v>2025/07/08</v>
      </c>
      <c r="G95" s="31" t="s">
        <v>2184</v>
      </c>
      <c r="H95" s="30"/>
      <c r="I95" s="31" t="s">
        <v>1612</v>
      </c>
      <c r="J95" s="30" t="str">
        <f t="array" ref="J95">XLOOKUP(I95,'従業員情報'!$A:$A,'従業員情報'!$N:$N,"×")</f>
        <v>株式会社MIXI/村瀨管掌/デザイン本部/ブランドデザイン室/マネジメントグループ/バックオフィスチーム</v>
      </c>
      <c r="K95" s="30" t="s">
        <v>1612</v>
      </c>
      <c r="L95" s="30"/>
    </row>
    <row r="96">
      <c r="A96" s="31" t="s">
        <v>1613</v>
      </c>
      <c r="B96" s="31" t="s">
        <v>2394</v>
      </c>
      <c r="C96" s="78">
        <v>7.0</v>
      </c>
      <c r="D96" s="78">
        <v>7.0</v>
      </c>
      <c r="E96" s="79" t="str">
        <f t="array" ref="E96">XLOOKUP($A96,'source isilon_Projectまとめ'!$A:$A,'source isilon_Projectまとめ'!$D:$D,XLOOKUP($A96,'source isilon-Project-du'!$A:$A,'source isilon-Project-du'!$C:$C))</f>
        <v>0.00GB</v>
      </c>
      <c r="F96" s="79" t="str">
        <f t="array" ref="F96">XLOOKUP($A96,'source isilon_Projectまとめ'!$A:$A,'source isilon_Projectまとめ'!$C:$C,XLOOKUP($A96,'source NetApp-file-sv01～03-Proj'!$A:$A,'source NetApp-file-sv01～03-Proj'!$D:$D))</f>
        <v>2013/11/20</v>
      </c>
      <c r="G96" s="31" t="s">
        <v>2177</v>
      </c>
      <c r="H96" s="30"/>
      <c r="I96" s="31" t="s">
        <v>1616</v>
      </c>
      <c r="J96" s="30" t="str">
        <f t="array" ref="J96">XLOOKUP(I96,'従業員情報'!$A:$A,'従業員情報'!$N:$N,"×")</f>
        <v>株式会社MIXI/木村管掌/デジタルエンターテインメントオペレーションズ本部/コトダマン制作部</v>
      </c>
      <c r="K96" s="30" t="s">
        <v>1616</v>
      </c>
      <c r="L96" s="30"/>
    </row>
    <row r="97">
      <c r="A97" s="31" t="s">
        <v>1617</v>
      </c>
      <c r="B97" s="31" t="s">
        <v>1425</v>
      </c>
      <c r="C97" s="78">
        <v>26166.0</v>
      </c>
      <c r="D97" s="78">
        <v>250197.0</v>
      </c>
      <c r="E97" s="79" t="str">
        <f t="array" ref="E97">XLOOKUP($A97,'source isilon_Projectまとめ'!$A:$A,'source isilon_Projectまとめ'!$D:$D,XLOOKUP($A97,'source isilon-Project-du'!$A:$A,'source isilon-Project-du'!$C:$C))</f>
        <v>3746.40GB</v>
      </c>
      <c r="F97" s="79" t="str">
        <f t="array" ref="F97">XLOOKUP($A97,'source isilon_Projectまとめ'!$A:$A,'source isilon_Projectまとめ'!$C:$C,XLOOKUP($A97,'source NetApp-file-sv01～03-Proj'!$A:$A,'source NetApp-file-sv01～03-Proj'!$D:$D))</f>
        <v>2023/11/20</v>
      </c>
      <c r="G97" s="31" t="s">
        <v>2184</v>
      </c>
      <c r="H97" s="30"/>
      <c r="I97" s="31" t="s">
        <v>1619</v>
      </c>
      <c r="J97" s="31" t="str">
        <f t="array" ref="J97">XLOOKUP(I97,'退職者'!$C:$C,'退職者'!$B:$B,"×")&amp;XLOOKUP(I97,'退職者'!$C:$C,'退職者'!$A:$A,"×")</f>
        <v>デジタルエンターテインメント事業本部スタースマッシュ事業部</v>
      </c>
      <c r="K97" s="31" t="s">
        <v>2412</v>
      </c>
      <c r="L97" s="31" t="s">
        <v>2412</v>
      </c>
    </row>
    <row r="98">
      <c r="A98" s="31" t="s">
        <v>1617</v>
      </c>
      <c r="B98" s="31" t="s">
        <v>993</v>
      </c>
      <c r="C98" s="78">
        <v>26166.0</v>
      </c>
      <c r="D98" s="78">
        <v>250197.0</v>
      </c>
      <c r="E98" s="79" t="str">
        <f t="array" ref="E98">XLOOKUP($A98,'source isilon_Projectまとめ'!$A:$A,'source isilon_Projectまとめ'!$D:$D,XLOOKUP($A98,'source isilon-Project-du'!$A:$A,'source isilon-Project-du'!$C:$C))</f>
        <v>3746.40GB</v>
      </c>
      <c r="F98" s="79" t="str">
        <f t="array" ref="F98">XLOOKUP($A98,'source isilon_Projectまとめ'!$A:$A,'source isilon_Projectまとめ'!$C:$C,XLOOKUP($A98,'source NetApp-file-sv01～03-Proj'!$A:$A,'source NetApp-file-sv01～03-Proj'!$D:$D))</f>
        <v>2023/11/20</v>
      </c>
      <c r="G98" s="31" t="s">
        <v>2184</v>
      </c>
      <c r="H98" s="30"/>
      <c r="I98" s="31" t="s">
        <v>1620</v>
      </c>
      <c r="J98" s="31" t="str">
        <f t="array" ref="J98">XLOOKUP(I98,'退職者'!$C:$C,'退職者'!$B:$B,"×")&amp;XLOOKUP(I98,'退職者'!$C:$C,'退職者'!$A:$A,"×")</f>
        <v>××</v>
      </c>
      <c r="K98" s="31" t="s">
        <v>2412</v>
      </c>
      <c r="L98" s="31" t="s">
        <v>2412</v>
      </c>
    </row>
    <row r="99">
      <c r="A99" s="31" t="s">
        <v>1621</v>
      </c>
      <c r="B99" s="31" t="s">
        <v>1425</v>
      </c>
      <c r="C99" s="78">
        <v>5615.0</v>
      </c>
      <c r="D99" s="78">
        <v>386108.0</v>
      </c>
      <c r="E99" s="79" t="str">
        <f t="array" ref="E99">XLOOKUP($A99,'source isilon_Projectまとめ'!$A:$A,'source isilon_Projectまとめ'!$D:$D,XLOOKUP($A99,'source isilon-Project-du'!$A:$A,'source isilon-Project-du'!$C:$C))</f>
        <v>1420.86GB</v>
      </c>
      <c r="F99" s="79" t="str">
        <f t="array" ref="F99">XLOOKUP($A99,'source isilon_Projectまとめ'!$A:$A,'source isilon_Projectまとめ'!$C:$C,XLOOKUP($A99,'source NetApp-file-sv01～03-Proj'!$A:$A,'source NetApp-file-sv01～03-Proj'!$D:$D))</f>
        <v>2023/08/23</v>
      </c>
      <c r="G99" s="31" t="s">
        <v>2184</v>
      </c>
      <c r="H99" s="30"/>
      <c r="I99" s="31" t="s">
        <v>1623</v>
      </c>
      <c r="J99" s="30" t="str">
        <f t="array" ref="J99">XLOOKUP(I99,'退職者'!$C:$C,'退職者'!$B:$B,"×")&amp;XLOOKUP(I99,'退職者'!$C:$C,'退職者'!$A:$A,"×")</f>
        <v>デザイン本部ブランドデザイン室</v>
      </c>
      <c r="K99" s="82"/>
      <c r="L99" s="30"/>
    </row>
    <row r="100">
      <c r="A100" s="31" t="s">
        <v>1621</v>
      </c>
      <c r="B100" s="31" t="s">
        <v>2394</v>
      </c>
      <c r="C100" s="78">
        <v>5615.0</v>
      </c>
      <c r="D100" s="78">
        <v>386108.0</v>
      </c>
      <c r="E100" s="79" t="str">
        <f t="array" ref="E100">XLOOKUP($A100,'source isilon_Projectまとめ'!$A:$A,'source isilon_Projectまとめ'!$D:$D,XLOOKUP($A100,'source isilon-Project-du'!$A:$A,'source isilon-Project-du'!$C:$C))</f>
        <v>1420.86GB</v>
      </c>
      <c r="F100" s="79" t="str">
        <f t="array" ref="F100">XLOOKUP($A100,'source isilon_Projectまとめ'!$A:$A,'source isilon_Projectまとめ'!$C:$C,XLOOKUP($A100,'source NetApp-file-sv01～03-Proj'!$A:$A,'source NetApp-file-sv01～03-Proj'!$D:$D))</f>
        <v>2023/08/23</v>
      </c>
      <c r="G100" s="31" t="s">
        <v>2184</v>
      </c>
      <c r="H100" s="30"/>
      <c r="I100" s="31" t="s">
        <v>1625</v>
      </c>
      <c r="J100" s="30" t="str">
        <f t="array" ref="J100">XLOOKUP(I100,'従業員情報'!$A:$A,'従業員情報'!$N:$N,"×")</f>
        <v>株式会社MIXI/村瀨管掌/デザイン本部/動画クリエイティブ室/クリエイティブサウンドグループ</v>
      </c>
      <c r="K100" s="30" t="s">
        <v>1625</v>
      </c>
      <c r="L100" s="30"/>
    </row>
    <row r="101">
      <c r="A101" s="31" t="s">
        <v>1626</v>
      </c>
      <c r="B101" s="31" t="s">
        <v>2394</v>
      </c>
      <c r="C101" s="78">
        <v>421.0</v>
      </c>
      <c r="D101" s="78">
        <v>2562.0</v>
      </c>
      <c r="E101" s="79" t="str">
        <f t="array" ref="E101">XLOOKUP($A101,'source isilon_Projectまとめ'!$A:$A,'source isilon_Projectまとめ'!$D:$D,XLOOKUP($A101,'source isilon-Project-du'!$A:$A,'source isilon-Project-du'!$C:$C))</f>
        <v>0.93GB</v>
      </c>
      <c r="F101" s="79" t="str">
        <f t="array" ref="F101">XLOOKUP($A101,'source isilon_Projectまとめ'!$A:$A,'source isilon_Projectまとめ'!$C:$C,XLOOKUP($A101,'source NetApp-file-sv01～03-Proj'!$A:$A,'source NetApp-file-sv01～03-Proj'!$D:$D))</f>
        <v>2014/07/11</v>
      </c>
      <c r="G101" s="31" t="s">
        <v>2177</v>
      </c>
      <c r="H101" s="30"/>
      <c r="I101" s="31" t="s">
        <v>1628</v>
      </c>
      <c r="J101" s="31" t="str">
        <f t="array" ref="J101">XLOOKUP(I101,'従業員情報'!$A:$A,'従業員情報'!$N:$N,"×")</f>
        <v>株式会社MIXI/管掌役員なし/取締役</v>
      </c>
      <c r="K101" s="31" t="s">
        <v>1628</v>
      </c>
      <c r="L101" s="31" t="s">
        <v>2417</v>
      </c>
    </row>
    <row r="102">
      <c r="A102" s="31" t="s">
        <v>1629</v>
      </c>
      <c r="B102" s="31" t="s">
        <v>2394</v>
      </c>
      <c r="C102" s="78">
        <v>3.0</v>
      </c>
      <c r="D102" s="78">
        <v>6.0</v>
      </c>
      <c r="E102" s="79" t="str">
        <f t="array" ref="E102">XLOOKUP($A102,'source isilon_Projectまとめ'!$A:$A,'source isilon_Projectまとめ'!$D:$D,XLOOKUP($A102,'source isilon-Project-du'!$A:$A,'source isilon-Project-du'!$C:$C))</f>
        <v>0.12GB</v>
      </c>
      <c r="F102" s="79" t="str">
        <f t="array" ref="F102">XLOOKUP($A102,'source isilon_Projectまとめ'!$A:$A,'source isilon_Projectまとめ'!$C:$C,XLOOKUP($A102,'source NetApp-file-sv01～03-Proj'!$A:$A,'source NetApp-file-sv01～03-Proj'!$D:$D))</f>
        <v>2019/07/29</v>
      </c>
      <c r="G102" s="31" t="s">
        <v>2177</v>
      </c>
      <c r="H102" s="30"/>
      <c r="I102" s="31" t="s">
        <v>1632</v>
      </c>
      <c r="J102" s="30" t="str">
        <f t="array" ref="J102">XLOOKUP(I102,'従業員情報'!$A:$A,'従業員情報'!$N:$N,"×")</f>
        <v>株式会社MIXI/管掌役員なし/内部監査室(本部格)/内部監査室</v>
      </c>
      <c r="K102" s="30" t="s">
        <v>1632</v>
      </c>
      <c r="L102" s="30"/>
    </row>
    <row r="103">
      <c r="A103" s="31" t="s">
        <v>1633</v>
      </c>
      <c r="B103" s="31" t="s">
        <v>2394</v>
      </c>
      <c r="C103" s="78">
        <v>1943.0</v>
      </c>
      <c r="D103" s="78">
        <v>26079.0</v>
      </c>
      <c r="E103" s="79" t="str">
        <f t="array" ref="E103">XLOOKUP($A103,'source isilon_Projectまとめ'!$A:$A,'source isilon_Projectまとめ'!$D:$D,XLOOKUP($A103,'source isilon-Project-du'!$A:$A,'source isilon-Project-du'!$C:$C))</f>
        <v>8.02GB</v>
      </c>
      <c r="F103" s="79" t="str">
        <f t="array" ref="F103">XLOOKUP($A103,'source isilon_Projectまとめ'!$A:$A,'source isilon_Projectまとめ'!$C:$C,XLOOKUP($A103,'source NetApp-file-sv01～03-Proj'!$A:$A,'source NetApp-file-sv01～03-Proj'!$D:$D))</f>
        <v>2023/06/29</v>
      </c>
      <c r="G103" s="31" t="s">
        <v>2184</v>
      </c>
      <c r="H103" s="30"/>
      <c r="I103" s="31" t="s">
        <v>1636</v>
      </c>
      <c r="J103" s="30" t="str">
        <f t="array" ref="J103">XLOOKUP(I103,'従業員情報'!$A:$A,'従業員情報'!$N:$N,"×")</f>
        <v>株式会社MIXI/笠原管掌/みてね事業本部/みてね事業開発部/CSグループ</v>
      </c>
      <c r="K103" s="30" t="s">
        <v>1636</v>
      </c>
      <c r="L103" s="30"/>
    </row>
    <row r="104">
      <c r="A104" s="31" t="s">
        <v>1637</v>
      </c>
      <c r="B104" s="31" t="s">
        <v>2394</v>
      </c>
      <c r="C104" s="78">
        <v>9686.0</v>
      </c>
      <c r="D104" s="78">
        <v>61917.0</v>
      </c>
      <c r="E104" s="79" t="str">
        <f t="array" ref="E104">XLOOKUP($A104,'source isilon_Projectまとめ'!$A:$A,'source isilon_Projectまとめ'!$D:$D,XLOOKUP($A104,'source isilon-Project-du'!$A:$A,'source isilon-Project-du'!$C:$C))</f>
        <v>653.44GB</v>
      </c>
      <c r="F104" s="79" t="str">
        <f t="array" ref="F104">XLOOKUP($A104,'source isilon_Projectまとめ'!$A:$A,'source isilon_Projectまとめ'!$C:$C,XLOOKUP($A104,'source NetApp-file-sv01～03-Proj'!$A:$A,'source NetApp-file-sv01～03-Proj'!$D:$D))</f>
        <v>2025/07/08</v>
      </c>
      <c r="G104" s="31" t="s">
        <v>2184</v>
      </c>
      <c r="H104" s="30"/>
      <c r="I104" s="31" t="s">
        <v>1639</v>
      </c>
      <c r="J104" s="30" t="str">
        <f t="array" ref="J104">XLOOKUP(I104,'従業員情報'!$A:$A,'従業員情報'!$N:$N,"×")</f>
        <v>株式会社MIXI/島村管掌/人事本部</v>
      </c>
      <c r="K104" s="30" t="s">
        <v>1639</v>
      </c>
      <c r="L104" s="30"/>
    </row>
    <row r="105">
      <c r="A105" s="31" t="s">
        <v>1640</v>
      </c>
      <c r="B105" s="31" t="s">
        <v>2394</v>
      </c>
      <c r="C105" s="78">
        <v>4.0</v>
      </c>
      <c r="D105" s="78">
        <v>20.0</v>
      </c>
      <c r="E105" s="79" t="str">
        <f t="array" ref="E105">XLOOKUP($A105,'source isilon_Projectまとめ'!$A:$A,'source isilon_Projectまとめ'!$D:$D,XLOOKUP($A105,'source isilon-Project-du'!$A:$A,'source isilon-Project-du'!$C:$C))</f>
        <v>0.01GB</v>
      </c>
      <c r="F105" s="79" t="str">
        <f t="array" ref="F105">XLOOKUP($A105,'source isilon_Projectまとめ'!$A:$A,'source isilon_Projectまとめ'!$C:$C,XLOOKUP($A105,'source NetApp-file-sv01～03-Proj'!$A:$A,'source NetApp-file-sv01～03-Proj'!$D:$D))</f>
        <v>2013/10/31</v>
      </c>
      <c r="G105" s="31" t="s">
        <v>2177</v>
      </c>
      <c r="H105" s="30"/>
      <c r="I105" s="31" t="s">
        <v>1423</v>
      </c>
      <c r="J105" s="30" t="str">
        <f t="array" ref="J105">XLOOKUP(I105,'従業員情報'!$A:$A,'従業員情報'!$N:$N,"×")</f>
        <v>株式会社MIXI/笠原管掌/Vantageスタジオ/mixi事業部</v>
      </c>
      <c r="K105" s="30" t="s">
        <v>1423</v>
      </c>
      <c r="L105" s="30"/>
    </row>
    <row r="106">
      <c r="A106" s="31" t="s">
        <v>1641</v>
      </c>
      <c r="B106" s="31" t="s">
        <v>993</v>
      </c>
      <c r="C106" s="78">
        <v>137.0</v>
      </c>
      <c r="D106" s="78">
        <v>482.0</v>
      </c>
      <c r="E106" s="79" t="str">
        <f t="array" ref="E106">XLOOKUP($A106,'source isilon_Projectまとめ'!$A:$A,'source isilon_Projectまとめ'!$D:$D,XLOOKUP($A106,'source isilon-Project-du'!$A:$A,'source isilon-Project-du'!$C:$C))</f>
        <v>0.34GB</v>
      </c>
      <c r="F106" s="79" t="str">
        <f t="array" ref="F106">XLOOKUP($A106,'source isilon_Projectまとめ'!$A:$A,'source isilon_Projectまとめ'!$C:$C,XLOOKUP($A106,'source NetApp-file-sv01～03-Proj'!$A:$A,'source NetApp-file-sv01～03-Proj'!$D:$D))</f>
        <v>2016/08/31</v>
      </c>
      <c r="G106" s="31" t="s">
        <v>2177</v>
      </c>
      <c r="H106" s="30"/>
      <c r="I106" s="31" t="s">
        <v>1643</v>
      </c>
      <c r="J106" s="31" t="str">
        <f t="array" ref="J106">XLOOKUP(I106,'退職者'!$C:$C,'退職者'!$B:$B,"×")&amp;XLOOKUP(I106,'退職者'!$C:$C,'退職者'!$A:$A,"×")</f>
        <v/>
      </c>
      <c r="K106" s="31" t="s">
        <v>2399</v>
      </c>
      <c r="L106" s="31" t="s">
        <v>2417</v>
      </c>
    </row>
    <row r="107">
      <c r="A107" s="31" t="s">
        <v>1644</v>
      </c>
      <c r="B107" s="31" t="s">
        <v>993</v>
      </c>
      <c r="C107" s="78">
        <v>1852.0</v>
      </c>
      <c r="D107" s="78">
        <v>7331.0</v>
      </c>
      <c r="E107" s="79" t="str">
        <f t="array" ref="E107">XLOOKUP($A107,'source isilon_Projectまとめ'!$A:$A,'source isilon_Projectまとめ'!$D:$D,XLOOKUP($A107,'source isilon-Project-du'!$A:$A,'source isilon-Project-du'!$C:$C))</f>
        <v>7.75GB</v>
      </c>
      <c r="F107" s="79" t="str">
        <f t="array" ref="F107">XLOOKUP($A107,'source isilon_Projectまとめ'!$A:$A,'source isilon_Projectまとめ'!$C:$C,XLOOKUP($A107,'source NetApp-file-sv01～03-Proj'!$A:$A,'source NetApp-file-sv01～03-Proj'!$D:$D))</f>
        <v>2017/01/31</v>
      </c>
      <c r="G107" s="31" t="s">
        <v>2177</v>
      </c>
      <c r="H107" s="30"/>
      <c r="I107" s="31" t="s">
        <v>1646</v>
      </c>
      <c r="J107" s="31" t="str">
        <f t="array" ref="J107">XLOOKUP(I107,'退職者'!$C:$C,'退職者'!$B:$B,"×")&amp;XLOOKUP(I107,'退職者'!$C:$C,'退職者'!$A:$A,"×")</f>
        <v/>
      </c>
      <c r="K107" s="31" t="s">
        <v>2399</v>
      </c>
      <c r="L107" s="31" t="s">
        <v>2417</v>
      </c>
    </row>
    <row r="108">
      <c r="A108" s="31" t="s">
        <v>1647</v>
      </c>
      <c r="B108" s="31" t="s">
        <v>2394</v>
      </c>
      <c r="C108" s="78">
        <v>54582.0</v>
      </c>
      <c r="D108" s="78">
        <v>507927.0</v>
      </c>
      <c r="E108" s="79" t="str">
        <f t="array" ref="E108">XLOOKUP($A108,'source isilon_Projectまとめ'!$A:$A,'source isilon_Projectまとめ'!$D:$D,XLOOKUP($A108,'source isilon-Project-du'!$A:$A,'source isilon-Project-du'!$C:$C))</f>
        <v>1175.80GB</v>
      </c>
      <c r="F108" s="79" t="str">
        <f t="array" ref="F108">XLOOKUP($A108,'source isilon_Projectまとめ'!$A:$A,'source isilon_Projectまとめ'!$C:$C,XLOOKUP($A108,'source NetApp-file-sv01～03-Proj'!$A:$A,'source NetApp-file-sv01～03-Proj'!$D:$D))</f>
        <v>2025/03/06</v>
      </c>
      <c r="G108" s="31" t="s">
        <v>2184</v>
      </c>
      <c r="H108" s="30"/>
      <c r="I108" s="31" t="s">
        <v>1510</v>
      </c>
      <c r="J108" s="30" t="str">
        <f t="array" ref="J108">XLOOKUP(I108,'従業員情報'!$A:$A,'従業員情報'!$N:$N,"×")</f>
        <v>株式会社MIXI/村瀨管掌/デザイン本部</v>
      </c>
      <c r="K108" s="30" t="s">
        <v>1510</v>
      </c>
      <c r="L108" s="30"/>
    </row>
    <row r="109">
      <c r="A109" s="31" t="s">
        <v>1648</v>
      </c>
      <c r="B109" s="31" t="s">
        <v>2394</v>
      </c>
      <c r="C109" s="78">
        <v>1401.0</v>
      </c>
      <c r="D109" s="78">
        <v>7777.0</v>
      </c>
      <c r="E109" s="79" t="str">
        <f t="array" ref="E109">XLOOKUP($A109,'source isilon_Projectまとめ'!$A:$A,'source isilon_Projectまとめ'!$D:$D,XLOOKUP($A109,'source isilon-Project-du'!$A:$A,'source isilon-Project-du'!$C:$C))</f>
        <v>90.44GB</v>
      </c>
      <c r="F109" s="79" t="str">
        <f t="array" ref="F109">XLOOKUP($A109,'source isilon_Projectまとめ'!$A:$A,'source isilon_Projectまとめ'!$C:$C,XLOOKUP($A109,'source NetApp-file-sv01～03-Proj'!$A:$A,'source NetApp-file-sv01～03-Proj'!$D:$D))</f>
        <v>2025/07/08</v>
      </c>
      <c r="G109" s="31" t="s">
        <v>2184</v>
      </c>
      <c r="H109" s="30"/>
      <c r="I109" s="31" t="s">
        <v>1454</v>
      </c>
      <c r="J109" s="30" t="str">
        <f t="array" ref="J109">XLOOKUP(I109,'従業員情報'!$A:$A,'従業員情報'!$N:$N,"×")</f>
        <v>株式会社MIXI/管掌役員なし/上級執行役員</v>
      </c>
      <c r="K109" s="30" t="s">
        <v>1454</v>
      </c>
      <c r="L109" s="30"/>
    </row>
    <row r="110">
      <c r="A110" s="31" t="s">
        <v>1649</v>
      </c>
      <c r="B110" s="31" t="s">
        <v>2394</v>
      </c>
      <c r="C110" s="78">
        <v>289.0</v>
      </c>
      <c r="D110" s="78">
        <v>54474.0</v>
      </c>
      <c r="E110" s="79" t="str">
        <f t="array" ref="E110">XLOOKUP($A110,'source isilon_Projectまとめ'!$A:$A,'source isilon_Projectまとめ'!$D:$D,XLOOKUP($A110,'source isilon-Project-du'!$A:$A,'source isilon-Project-du'!$C:$C))</f>
        <v>2.84GB</v>
      </c>
      <c r="F110" s="79" t="str">
        <f t="array" ref="F110">XLOOKUP($A110,'source isilon_Projectまとめ'!$A:$A,'source isilon_Projectまとめ'!$C:$C,XLOOKUP($A110,'source NetApp-file-sv01～03-Proj'!$A:$A,'source NetApp-file-sv01～03-Proj'!$D:$D))</f>
        <v>2021/03/30</v>
      </c>
      <c r="G110" s="31" t="s">
        <v>2177</v>
      </c>
      <c r="H110" s="30"/>
      <c r="I110" s="31" t="s">
        <v>1652</v>
      </c>
      <c r="J110" s="30" t="str">
        <f t="array" ref="J110">XLOOKUP(I110,'従業員情報'!$A:$A,'従業員情報'!$N:$N,"×")</f>
        <v>株式会社MIXI/島村管掌/経営推進本部/グループ会社統括支援部</v>
      </c>
      <c r="K110" s="30" t="s">
        <v>1652</v>
      </c>
      <c r="L110" s="30"/>
    </row>
    <row r="111">
      <c r="A111" s="31" t="s">
        <v>1653</v>
      </c>
      <c r="B111" s="31" t="s">
        <v>993</v>
      </c>
      <c r="C111" s="78">
        <v>166.0</v>
      </c>
      <c r="D111" s="78">
        <v>1495.0</v>
      </c>
      <c r="E111" s="79" t="str">
        <f t="array" ref="E111">XLOOKUP($A111,'source isilon_Projectまとめ'!$A:$A,'source isilon_Projectまとめ'!$D:$D,XLOOKUP($A111,'source isilon-Project-du'!$A:$A,'source isilon-Project-du'!$C:$C))</f>
        <v>0.95GB</v>
      </c>
      <c r="F111" s="79" t="str">
        <f t="array" ref="F111">XLOOKUP($A111,'source isilon_Projectまとめ'!$A:$A,'source isilon_Projectまとめ'!$C:$C,XLOOKUP($A111,'source NetApp-file-sv01～03-Proj'!$A:$A,'source NetApp-file-sv01～03-Proj'!$D:$D))</f>
        <v>2013/08/13</v>
      </c>
      <c r="G111" s="31" t="s">
        <v>2177</v>
      </c>
      <c r="H111" s="30"/>
      <c r="I111" s="31" t="s">
        <v>1654</v>
      </c>
      <c r="J111" s="31" t="str">
        <f t="array" ref="J111">XLOOKUP(I111,'退職者'!$C:$C,'退職者'!$B:$B,"×")&amp;XLOOKUP(I111,'退職者'!$C:$C,'退職者'!$A:$A,"×")</f>
        <v/>
      </c>
      <c r="K111" s="31" t="s">
        <v>2399</v>
      </c>
      <c r="L111" s="31" t="s">
        <v>2420</v>
      </c>
    </row>
    <row r="112">
      <c r="A112" s="31" t="s">
        <v>1318</v>
      </c>
      <c r="B112" s="31" t="s">
        <v>2394</v>
      </c>
      <c r="C112" s="78">
        <v>77499.0</v>
      </c>
      <c r="D112" s="78">
        <v>312710.0</v>
      </c>
      <c r="E112" s="79" t="str">
        <f t="array" ref="E112">XLOOKUP($A112,'source isilon_Projectまとめ'!$A:$A,'source isilon_Projectまとめ'!$D:$D,XLOOKUP($A112,'source isilon-Project-du'!$A:$A,'source isilon-Project-du'!$C:$C))</f>
        <v>210.56GB</v>
      </c>
      <c r="F112" s="79" t="str">
        <f t="array" ref="F112">XLOOKUP($A112,'source isilon_Projectまとめ'!$A:$A,'source isilon_Projectまとめ'!$C:$C,XLOOKUP($A112,'source NetApp-file-sv01～03-Proj'!$A:$A,'source NetApp-file-sv01～03-Proj'!$D:$D))</f>
        <v>2025/07/08</v>
      </c>
      <c r="G112" s="31" t="s">
        <v>2184</v>
      </c>
      <c r="H112" s="30"/>
      <c r="I112" s="31" t="s">
        <v>1657</v>
      </c>
      <c r="J112" s="30" t="str">
        <f t="array" ref="J112">XLOOKUP(I112,'従業員情報'!$A:$A,'従業員情報'!$N:$N,"×")</f>
        <v>株式会社MIXI/島村管掌/人事本部/労務部</v>
      </c>
      <c r="K112" s="30" t="s">
        <v>1657</v>
      </c>
      <c r="L112" s="30"/>
    </row>
    <row r="113">
      <c r="A113" s="31" t="s">
        <v>1658</v>
      </c>
      <c r="B113" s="31" t="s">
        <v>2394</v>
      </c>
      <c r="C113" s="78">
        <v>49.0</v>
      </c>
      <c r="D113" s="78">
        <v>200.0</v>
      </c>
      <c r="E113" s="79" t="str">
        <f t="array" ref="E113">XLOOKUP($A113,'source isilon_Projectまとめ'!$A:$A,'source isilon_Projectまとめ'!$D:$D,XLOOKUP($A113,'source isilon-Project-du'!$A:$A,'source isilon-Project-du'!$C:$C))</f>
        <v>0.08GB</v>
      </c>
      <c r="F113" s="79" t="str">
        <f t="array" ref="F113">XLOOKUP($A113,'source isilon_Projectまとめ'!$A:$A,'source isilon_Projectまとめ'!$C:$C,XLOOKUP($A113,'source NetApp-file-sv01～03-Proj'!$A:$A,'source NetApp-file-sv01～03-Proj'!$D:$D))</f>
        <v>2012/01/12</v>
      </c>
      <c r="G113" s="31" t="s">
        <v>2177</v>
      </c>
      <c r="H113" s="30"/>
      <c r="I113" s="31" t="s">
        <v>1661</v>
      </c>
      <c r="J113" s="30" t="str">
        <f t="array" ref="J113">XLOOKUP(I113,'従業員情報'!$A:$A,'従業員情報'!$N:$N,"×")</f>
        <v>株式会社MIXI/村瀨管掌/開発本部/インフラ室</v>
      </c>
      <c r="K113" s="30" t="s">
        <v>1661</v>
      </c>
      <c r="L113" s="30"/>
    </row>
    <row r="114">
      <c r="A114" s="31" t="s">
        <v>1662</v>
      </c>
      <c r="B114" s="31" t="s">
        <v>2394</v>
      </c>
      <c r="C114" s="78">
        <v>349.0</v>
      </c>
      <c r="D114" s="78">
        <v>6161.0</v>
      </c>
      <c r="E114" s="79" t="str">
        <f t="array" ref="E114">XLOOKUP($A114,'source isilon_Projectまとめ'!$A:$A,'source isilon_Projectまとめ'!$D:$D,XLOOKUP($A114,'source isilon-Project-du'!$A:$A,'source isilon-Project-du'!$C:$C))</f>
        <v>17.04GB</v>
      </c>
      <c r="F114" s="79" t="str">
        <f t="array" ref="F114">XLOOKUP($A114,'source isilon_Projectまとめ'!$A:$A,'source isilon_Projectまとめ'!$C:$C,XLOOKUP($A114,'source NetApp-file-sv01～03-Proj'!$A:$A,'source NetApp-file-sv01～03-Proj'!$D:$D))</f>
        <v>2025/07/08</v>
      </c>
      <c r="G114" s="31" t="s">
        <v>2184</v>
      </c>
      <c r="H114" s="30"/>
      <c r="I114" s="31" t="s">
        <v>1665</v>
      </c>
      <c r="J114" s="30" t="str">
        <f t="array" ref="J114">XLOOKUP(I114,'従業員情報'!$A:$A,'従業員情報'!$N:$N,"×")</f>
        <v>株式会社MIXI/笠原管掌/Vantageスタジオ/mixi事業部/パートナービジネスグループ</v>
      </c>
      <c r="K114" s="30" t="s">
        <v>1665</v>
      </c>
      <c r="L114" s="30"/>
    </row>
    <row r="115">
      <c r="A115" s="31" t="s">
        <v>1666</v>
      </c>
      <c r="B115" s="31" t="s">
        <v>2394</v>
      </c>
      <c r="C115" s="78">
        <v>40.0</v>
      </c>
      <c r="D115" s="78">
        <v>167.0</v>
      </c>
      <c r="E115" s="79" t="str">
        <f t="array" ref="E115">XLOOKUP($A115,'source isilon_Projectまとめ'!$A:$A,'source isilon_Projectまとめ'!$D:$D,XLOOKUP($A115,'source isilon-Project-du'!$A:$A,'source isilon-Project-du'!$C:$C))</f>
        <v>0.12GB</v>
      </c>
      <c r="F115" s="79" t="str">
        <f t="array" ref="F115">XLOOKUP($A115,'source isilon_Projectまとめ'!$A:$A,'source isilon_Projectまとめ'!$C:$C,XLOOKUP($A115,'source NetApp-file-sv01～03-Proj'!$A:$A,'source NetApp-file-sv01～03-Proj'!$D:$D))</f>
        <v>2025/04/10</v>
      </c>
      <c r="G115" s="31" t="s">
        <v>2184</v>
      </c>
      <c r="H115" s="30"/>
      <c r="I115" s="31" t="s">
        <v>1423</v>
      </c>
      <c r="J115" s="30" t="str">
        <f t="array" ref="J115">XLOOKUP(I115,'従業員情報'!$A:$A,'従業員情報'!$N:$N,"×")</f>
        <v>株式会社MIXI/笠原管掌/Vantageスタジオ/mixi事業部</v>
      </c>
      <c r="K115" s="30" t="s">
        <v>1423</v>
      </c>
      <c r="L115" s="30"/>
    </row>
    <row r="116">
      <c r="A116" s="31" t="s">
        <v>1667</v>
      </c>
      <c r="B116" s="31" t="s">
        <v>2394</v>
      </c>
      <c r="C116" s="78">
        <v>13647.0</v>
      </c>
      <c r="D116" s="78">
        <v>46142.0</v>
      </c>
      <c r="E116" s="79" t="str">
        <f t="array" ref="E116">XLOOKUP($A116,'source isilon_Projectまとめ'!$A:$A,'source isilon_Projectまとめ'!$D:$D,XLOOKUP($A116,'source isilon-Project-du'!$A:$A,'source isilon-Project-du'!$C:$C))</f>
        <v>120.32GB</v>
      </c>
      <c r="F116" s="79" t="str">
        <f t="array" ref="F116">XLOOKUP($A116,'source isilon_Projectまとめ'!$A:$A,'source isilon_Projectまとめ'!$C:$C,XLOOKUP($A116,'source NetApp-file-sv01～03-Proj'!$A:$A,'source NetApp-file-sv01～03-Proj'!$D:$D))</f>
        <v>2025/07/07</v>
      </c>
      <c r="G116" s="31" t="s">
        <v>2184</v>
      </c>
      <c r="H116" s="30"/>
      <c r="I116" s="31" t="s">
        <v>1454</v>
      </c>
      <c r="J116" s="30" t="str">
        <f t="array" ref="J116">XLOOKUP(I116,'従業員情報'!$A:$A,'従業員情報'!$N:$N,"×")</f>
        <v>株式会社MIXI/管掌役員なし/上級執行役員</v>
      </c>
      <c r="K116" s="30" t="s">
        <v>1454</v>
      </c>
      <c r="L116" s="30"/>
    </row>
    <row r="117">
      <c r="A117" s="31" t="s">
        <v>1669</v>
      </c>
      <c r="B117" s="31" t="s">
        <v>2394</v>
      </c>
      <c r="C117" s="78">
        <v>138.0</v>
      </c>
      <c r="D117" s="78">
        <v>615.0</v>
      </c>
      <c r="E117" s="79" t="str">
        <f t="array" ref="E117">XLOOKUP($A117,'source isilon_Projectまとめ'!$A:$A,'source isilon_Projectまとめ'!$D:$D,XLOOKUP($A117,'source isilon-Project-du'!$A:$A,'source isilon-Project-du'!$C:$C))</f>
        <v>0.08GB</v>
      </c>
      <c r="F117" s="79" t="str">
        <f t="array" ref="F117">XLOOKUP($A117,'source isilon_Projectまとめ'!$A:$A,'source isilon_Projectまとめ'!$C:$C,XLOOKUP($A117,'source NetApp-file-sv01～03-Proj'!$A:$A,'source NetApp-file-sv01～03-Proj'!$D:$D))</f>
        <v>2018/08/27</v>
      </c>
      <c r="G117" s="31" t="s">
        <v>2177</v>
      </c>
      <c r="H117" s="30"/>
      <c r="I117" s="31" t="s">
        <v>1672</v>
      </c>
      <c r="J117" s="30" t="str">
        <f t="array" ref="J117">XLOOKUP(I117,'従業員情報'!$A:$A,'従業員情報'!$N:$N,"×")</f>
        <v>株式会社MIXI/木村管掌/デジタルエンターテインメントオペレーションズ本部/モンストIPクリエイション部/キャラプログループ/アート監修チーム</v>
      </c>
      <c r="K117" s="30" t="s">
        <v>1672</v>
      </c>
      <c r="L117" s="30"/>
    </row>
    <row r="118">
      <c r="A118" s="31" t="s">
        <v>1673</v>
      </c>
      <c r="B118" s="31" t="s">
        <v>2394</v>
      </c>
      <c r="C118" s="78">
        <v>1.0</v>
      </c>
      <c r="D118" s="78">
        <v>8.0</v>
      </c>
      <c r="E118" s="31" t="str">
        <f t="array" ref="E118">XLOOKUP($A118,'source isilon_Projectまとめ'!$A:$A,'source isilon_Projectまとめ'!$D:$D,XLOOKUP($A118,'source isilon-Project-du'!$A:$A,'source isilon-Project-du'!$C:$C))</f>
        <v>0.00GB</v>
      </c>
      <c r="F118" s="30" t="str">
        <f t="array" ref="F118">XLOOKUP($A118,'source isilon_Projectまとめ'!$A:$A,'source isilon_Projectまとめ'!$C:$C,XLOOKUP($A118,'source NetApp-file-sv01～03-Proj'!$A:$A,'source NetApp-file-sv01～03-Proj'!$D:$D))</f>
        <v>2020/09/07</v>
      </c>
      <c r="G118" s="31" t="s">
        <v>2177</v>
      </c>
      <c r="H118" s="30"/>
      <c r="I118" s="31" t="s">
        <v>1676</v>
      </c>
      <c r="J118" s="30" t="str">
        <f t="array" ref="J118">XLOOKUP(I118,'従業員情報'!$A:$A,'従業員情報'!$N:$N,"×")</f>
        <v>株式会社MIXI/村瀨管掌/デザイン本部/ブランドデザイン室</v>
      </c>
      <c r="K118" s="30" t="s">
        <v>1676</v>
      </c>
      <c r="L118" s="30"/>
    </row>
    <row r="119">
      <c r="A119" s="31" t="s">
        <v>1677</v>
      </c>
      <c r="B119" s="31" t="s">
        <v>1425</v>
      </c>
      <c r="C119" s="78">
        <v>36.0</v>
      </c>
      <c r="D119" s="78">
        <v>338.0</v>
      </c>
      <c r="E119" s="79" t="str">
        <f t="array" ref="E119">XLOOKUP($A119,'source isilon_Projectまとめ'!$A:$A,'source isilon_Projectまとめ'!$D:$D,XLOOKUP($A119,'source isilon-Project-du'!$A:$A,'source isilon-Project-du'!$C:$C))</f>
        <v>1.70GB</v>
      </c>
      <c r="F119" s="79" t="str">
        <f t="array" ref="F119">XLOOKUP($A119,'source isilon_Projectまとめ'!$A:$A,'source isilon_Projectまとめ'!$C:$C,XLOOKUP($A119,'source NetApp-file-sv01～03-Proj'!$A:$A,'source NetApp-file-sv01～03-Proj'!$D:$D))</f>
        <v>2013/04/25</v>
      </c>
      <c r="G119" s="31" t="s">
        <v>2177</v>
      </c>
      <c r="H119" s="30"/>
      <c r="I119" s="31" t="s">
        <v>1679</v>
      </c>
      <c r="J119" s="31" t="str">
        <f t="array" ref="J119">XLOOKUP(I119,'退職者'!$C:$C,'退職者'!$B:$B,"×")&amp;XLOOKUP(I119,'退職者'!$C:$C,'退職者'!$A:$A,"×")</f>
        <v>開発本部XFLAG事業推進室</v>
      </c>
      <c r="K119" s="31" t="s">
        <v>2399</v>
      </c>
      <c r="L119" s="31" t="s">
        <v>2421</v>
      </c>
    </row>
    <row r="120">
      <c r="A120" s="31" t="s">
        <v>1680</v>
      </c>
      <c r="B120" s="31" t="s">
        <v>2394</v>
      </c>
      <c r="C120" s="78">
        <v>6.0</v>
      </c>
      <c r="D120" s="78">
        <v>14.0</v>
      </c>
      <c r="E120" s="79" t="str">
        <f t="array" ref="E120">XLOOKUP($A120,'source isilon_Projectまとめ'!$A:$A,'source isilon_Projectまとめ'!$D:$D,XLOOKUP($A120,'source isilon-Project-du'!$A:$A,'source isilon-Project-du'!$C:$C))</f>
        <v>0.00GB</v>
      </c>
      <c r="F120" s="79" t="str">
        <f t="array" ref="F120">XLOOKUP($A120,'source isilon_Projectまとめ'!$A:$A,'source isilon_Projectまとめ'!$C:$C,XLOOKUP($A120,'source NetApp-file-sv01～03-Proj'!$A:$A,'source NetApp-file-sv01～03-Proj'!$D:$D))</f>
        <v>2014/01/09</v>
      </c>
      <c r="G120" s="31" t="s">
        <v>2177</v>
      </c>
      <c r="H120" s="30"/>
      <c r="I120" s="31" t="s">
        <v>1683</v>
      </c>
      <c r="J120" s="30" t="str">
        <f t="array" ref="J120">XLOOKUP(I120,'従業員情報'!$A:$A,'従業員情報'!$N:$N,"×")</f>
        <v>株式会社MIXI/笠原管掌/みてね事業本部/みてねマーケティング部/ユーザーコミュニケーショングループ</v>
      </c>
      <c r="K120" s="30" t="s">
        <v>1683</v>
      </c>
      <c r="L120" s="30"/>
    </row>
    <row r="121">
      <c r="A121" s="31" t="s">
        <v>1684</v>
      </c>
      <c r="B121" s="31" t="s">
        <v>994</v>
      </c>
      <c r="C121" s="78">
        <v>23.0</v>
      </c>
      <c r="D121" s="78">
        <v>200004.0</v>
      </c>
      <c r="E121" s="80" t="str">
        <f t="array" ref="E121">XLOOKUP($A121,'source isilon_Projectまとめ'!$A:$A,'source isilon_Projectまとめ'!$D:$D,XLOOKUP($A121,'source isilon-Project-du'!$A:$A,'source isilon-Project-du'!$C:$C))</f>
        <v>#N/A</v>
      </c>
      <c r="F121" s="80" t="str">
        <f t="array" ref="F121">XLOOKUP($A121,'source isilon_Projectまとめ'!$A:$A,'source isilon_Projectまとめ'!$C:$C,XLOOKUP($A121,'source NetApp-file-sv01～03-Proj'!$A:$A,'source NetApp-file-sv01～03-Proj'!$D:$D))</f>
        <v>#N/A</v>
      </c>
      <c r="G121" s="30"/>
      <c r="H121" s="30"/>
      <c r="I121" s="31" t="s">
        <v>1053</v>
      </c>
      <c r="J121" s="31" t="str">
        <f t="array" ref="J121">XLOOKUP(I121,'退職者'!$C:$C,'退職者'!$A:$A,"×")</f>
        <v>×</v>
      </c>
      <c r="K121" s="31" t="s">
        <v>2399</v>
      </c>
      <c r="L121" s="31" t="s">
        <v>2417</v>
      </c>
    </row>
    <row r="122">
      <c r="A122" s="31" t="s">
        <v>1685</v>
      </c>
      <c r="B122" s="31" t="s">
        <v>2394</v>
      </c>
      <c r="C122" s="78">
        <v>572.0</v>
      </c>
      <c r="D122" s="78">
        <v>2132.0</v>
      </c>
      <c r="E122" s="79" t="str">
        <f t="array" ref="E122">XLOOKUP($A122,'source isilon_Projectまとめ'!$A:$A,'source isilon_Projectまとめ'!$D:$D,XLOOKUP($A122,'source isilon-Project-du'!$A:$A,'source isilon-Project-du'!$C:$C))</f>
        <v>0.77GB</v>
      </c>
      <c r="F122" s="79" t="str">
        <f t="array" ref="F122">XLOOKUP($A122,'source isilon_Projectまとめ'!$A:$A,'source isilon_Projectまとめ'!$C:$C,XLOOKUP($A122,'source NetApp-file-sv01～03-Proj'!$A:$A,'source NetApp-file-sv01～03-Proj'!$D:$D))</f>
        <v>2016/04/07</v>
      </c>
      <c r="G122" s="31" t="s">
        <v>2177</v>
      </c>
      <c r="H122" s="30"/>
      <c r="I122" s="31" t="s">
        <v>1391</v>
      </c>
      <c r="J122" s="30" t="str">
        <f t="array" ref="J122">XLOOKUP(I122,'従業員情報'!$A:$A,'従業員情報'!$N:$N,"×")</f>
        <v>株式会社MIXI/笠原管掌/Vantageスタジオ/Romi事業部/UX企画グループ</v>
      </c>
      <c r="K122" s="30" t="s">
        <v>1391</v>
      </c>
      <c r="L122" s="30"/>
    </row>
    <row r="123">
      <c r="A123" s="31" t="s">
        <v>1686</v>
      </c>
      <c r="B123" s="31" t="s">
        <v>1425</v>
      </c>
      <c r="C123" s="78">
        <v>115.0</v>
      </c>
      <c r="D123" s="78">
        <v>273.0</v>
      </c>
      <c r="E123" s="79" t="str">
        <f t="array" ref="E123">XLOOKUP($A123,'source isilon_Projectまとめ'!$A:$A,'source isilon_Projectまとめ'!$D:$D,XLOOKUP($A123,'source isilon-Project-du'!$A:$A,'source isilon-Project-du'!$C:$C))</f>
        <v>2.36GB</v>
      </c>
      <c r="F123" s="79" t="str">
        <f t="array" ref="F123">XLOOKUP($A123,'source isilon_Projectまとめ'!$A:$A,'source isilon_Projectまとめ'!$C:$C,XLOOKUP($A123,'source NetApp-file-sv01～03-Proj'!$A:$A,'source NetApp-file-sv01～03-Proj'!$D:$D))</f>
        <v>2017/04/20</v>
      </c>
      <c r="G123" s="31" t="s">
        <v>2177</v>
      </c>
      <c r="H123" s="30"/>
      <c r="I123" s="31" t="s">
        <v>1601</v>
      </c>
      <c r="J123" s="30" t="str">
        <f t="array" ref="J123">XLOOKUP(I123,'退職者'!$C:$C,'退職者'!$B:$B,"×")&amp;XLOOKUP(I123,'退職者'!$C:$C,'退職者'!$A:$A,"×")</f>
        <v>ﾃﾞｼﾞﾀﾙｴﾝﾀｰﾃｲﾝﾒﾝﾄ事業本部ｲﾝｷｭﾍﾞｰｼｮﾝ事業部</v>
      </c>
      <c r="K123" s="30" t="s">
        <v>2399</v>
      </c>
      <c r="L123" s="30"/>
    </row>
    <row r="124">
      <c r="A124" s="31" t="s">
        <v>1687</v>
      </c>
      <c r="B124" s="31" t="s">
        <v>2394</v>
      </c>
      <c r="C124" s="78">
        <v>9.0</v>
      </c>
      <c r="D124" s="78">
        <v>7.0</v>
      </c>
      <c r="E124" s="30" t="str">
        <f t="array" ref="E124">XLOOKUP($A124,'source isilon_Projectまとめ'!$A:$A,'source isilon_Projectまとめ'!$D:$D,XLOOKUP($A124,'source isilon-Project-du'!$A:$A,'source isilon-Project-du'!$C:$C))</f>
        <v>0.00GB</v>
      </c>
      <c r="F124" s="80" t="str">
        <f t="array" ref="F124">XLOOKUP($A124,'source isilon_Projectまとめ'!$A:$A,'source isilon_Projectまとめ'!$C:$C,XLOOKUP($A124,'source NetApp-file-sv01～03-Proj'!$A:$A,'source NetApp-file-sv01～03-Proj'!$D:$D))</f>
        <v>#N/A</v>
      </c>
      <c r="G124" s="31"/>
      <c r="H124" s="30"/>
      <c r="I124" s="31" t="s">
        <v>1688</v>
      </c>
      <c r="J124" s="30" t="str">
        <f t="array" ref="J124">XLOOKUP(I124,'従業員情報'!$A:$A,'従業員情報'!$N:$N,"×")</f>
        <v>株式会社MIXI/島村管掌/人事本部/組織戦略部</v>
      </c>
      <c r="K124" s="30" t="s">
        <v>1688</v>
      </c>
      <c r="L124" s="30"/>
    </row>
    <row r="125">
      <c r="A125" s="31" t="s">
        <v>1689</v>
      </c>
      <c r="B125" s="31" t="s">
        <v>2394</v>
      </c>
      <c r="C125" s="78">
        <v>94.0</v>
      </c>
      <c r="D125" s="78">
        <v>484.0</v>
      </c>
      <c r="E125" s="79" t="str">
        <f t="array" ref="E125">XLOOKUP($A125,'source isilon_Projectまとめ'!$A:$A,'source isilon_Projectまとめ'!$D:$D,XLOOKUP($A125,'source isilon-Project-du'!$A:$A,'source isilon-Project-du'!$C:$C))</f>
        <v>0.49GB</v>
      </c>
      <c r="F125" s="79" t="str">
        <f t="array" ref="F125">XLOOKUP($A125,'source isilon_Projectまとめ'!$A:$A,'source isilon_Projectまとめ'!$C:$C,XLOOKUP($A125,'source NetApp-file-sv01～03-Proj'!$A:$A,'source NetApp-file-sv01～03-Proj'!$D:$D))</f>
        <v>2012/06/07</v>
      </c>
      <c r="G125" s="31" t="s">
        <v>2177</v>
      </c>
      <c r="H125" s="30"/>
      <c r="I125" s="31" t="s">
        <v>1469</v>
      </c>
      <c r="J125" s="30" t="str">
        <f t="array" ref="J125">XLOOKUP(I125,'従業員情報'!$A:$A,'従業員情報'!$N:$N,"×")</f>
        <v>株式会社MIXI/笠原管掌/Vantageスタジオ/事業推進室</v>
      </c>
      <c r="K125" s="30" t="s">
        <v>1469</v>
      </c>
      <c r="L125" s="30"/>
    </row>
    <row r="126">
      <c r="A126" s="31" t="s">
        <v>1690</v>
      </c>
      <c r="B126" s="31" t="s">
        <v>2394</v>
      </c>
      <c r="C126" s="78">
        <v>644.0</v>
      </c>
      <c r="D126" s="78">
        <v>2071.0</v>
      </c>
      <c r="E126" s="79" t="str">
        <f t="array" ref="E126">XLOOKUP($A126,'source isilon_Projectまとめ'!$A:$A,'source isilon_Projectまとめ'!$D:$D,XLOOKUP($A126,'source isilon-Project-du'!$A:$A,'source isilon-Project-du'!$C:$C))</f>
        <v>5.28GB</v>
      </c>
      <c r="F126" s="79" t="str">
        <f t="array" ref="F126">XLOOKUP($A126,'source isilon_Projectまとめ'!$A:$A,'source isilon_Projectまとめ'!$C:$C,XLOOKUP($A126,'source NetApp-file-sv01～03-Proj'!$A:$A,'source NetApp-file-sv01～03-Proj'!$D:$D))</f>
        <v>2015/02/24</v>
      </c>
      <c r="G126" s="31" t="s">
        <v>2177</v>
      </c>
      <c r="H126" s="30"/>
      <c r="I126" s="31" t="s">
        <v>1387</v>
      </c>
      <c r="J126" s="30" t="str">
        <f t="array" ref="J126">XLOOKUP(I126,'従業員情報'!$A:$A,'従業員情報'!$N:$N,"×")</f>
        <v>株式会社MIXI/笠原管掌/みてね事業本部/みてねプラットフォーム部/SREグループ</v>
      </c>
      <c r="K126" s="30" t="s">
        <v>1387</v>
      </c>
      <c r="L126" s="30"/>
    </row>
    <row r="127">
      <c r="A127" s="31" t="s">
        <v>1691</v>
      </c>
      <c r="B127" s="31" t="s">
        <v>993</v>
      </c>
      <c r="C127" s="78">
        <v>9.0</v>
      </c>
      <c r="D127" s="78">
        <v>25.0</v>
      </c>
      <c r="E127" s="79" t="str">
        <f t="array" ref="E127">XLOOKUP($A127,'source isilon_Projectまとめ'!$A:$A,'source isilon_Projectまとめ'!$D:$D,XLOOKUP($A127,'source isilon-Project-du'!$A:$A,'source isilon-Project-du'!$C:$C))</f>
        <v>0.03GB</v>
      </c>
      <c r="F127" s="79" t="str">
        <f t="array" ref="F127">XLOOKUP($A127,'source isilon_Projectまとめ'!$A:$A,'source isilon_Projectまとめ'!$C:$C,XLOOKUP($A127,'source NetApp-file-sv01～03-Proj'!$A:$A,'source NetApp-file-sv01～03-Proj'!$D:$D))</f>
        <v>2013/07/01</v>
      </c>
      <c r="G127" s="31" t="s">
        <v>2177</v>
      </c>
      <c r="H127" s="30"/>
      <c r="I127" s="31" t="s">
        <v>1693</v>
      </c>
      <c r="J127" s="31" t="str">
        <f t="array" ref="J127">XLOOKUP(I127,'退職者'!$C:$C,'退職者'!$B:$B,"×")&amp;XLOOKUP(I127,'退職者'!$C:$C,'退職者'!$A:$A,"×")</f>
        <v>××</v>
      </c>
      <c r="K127" s="31" t="s">
        <v>2399</v>
      </c>
      <c r="L127" s="31" t="s">
        <v>2417</v>
      </c>
    </row>
    <row r="128">
      <c r="A128" s="31" t="s">
        <v>1694</v>
      </c>
      <c r="B128" s="31" t="s">
        <v>2394</v>
      </c>
      <c r="C128" s="78">
        <v>125342.0</v>
      </c>
      <c r="D128" s="78">
        <v>643037.0</v>
      </c>
      <c r="E128" s="79" t="str">
        <f t="array" ref="E128">XLOOKUP($A128,'source isilon_Projectまとめ'!$A:$A,'source isilon_Projectまとめ'!$D:$D,XLOOKUP($A128,'source isilon-Project-du'!$A:$A,'source isilon-Project-du'!$C:$C))</f>
        <v>114.64GB</v>
      </c>
      <c r="F128" s="79" t="str">
        <f t="array" ref="F128">XLOOKUP($A128,'source isilon_Projectまとめ'!$A:$A,'source isilon_Projectまとめ'!$C:$C,XLOOKUP($A128,'source NetApp-file-sv01～03-Proj'!$A:$A,'source NetApp-file-sv01～03-Proj'!$D:$D))</f>
        <v>2022/04/22</v>
      </c>
      <c r="G128" s="31" t="s">
        <v>2177</v>
      </c>
      <c r="H128" s="30"/>
      <c r="I128" s="31" t="s">
        <v>1665</v>
      </c>
      <c r="J128" s="30" t="str">
        <f t="array" ref="J128">XLOOKUP(I128,'従業員情報'!$A:$A,'従業員情報'!$N:$N,"×")</f>
        <v>株式会社MIXI/笠原管掌/Vantageスタジオ/mixi事業部/パートナービジネスグループ</v>
      </c>
      <c r="K128" s="30" t="s">
        <v>1665</v>
      </c>
      <c r="L128" s="30"/>
    </row>
    <row r="129">
      <c r="A129" s="31" t="s">
        <v>1695</v>
      </c>
      <c r="B129" s="31" t="s">
        <v>1425</v>
      </c>
      <c r="C129" s="78">
        <v>49.0</v>
      </c>
      <c r="D129" s="78">
        <v>295.0</v>
      </c>
      <c r="E129" s="79" t="str">
        <f t="array" ref="E129">XLOOKUP($A129,'source isilon_Projectまとめ'!$A:$A,'source isilon_Projectまとめ'!$D:$D,XLOOKUP($A129,'source isilon-Project-du'!$A:$A,'source isilon-Project-du'!$C:$C))</f>
        <v>176.47GB</v>
      </c>
      <c r="F129" s="79" t="str">
        <f t="array" ref="F129">XLOOKUP($A129,'source isilon_Projectまとめ'!$A:$A,'source isilon_Projectまとめ'!$C:$C,XLOOKUP($A129,'source NetApp-file-sv01～03-Proj'!$A:$A,'source NetApp-file-sv01～03-Proj'!$D:$D))</f>
        <v>2013/10/18</v>
      </c>
      <c r="G129" s="31" t="s">
        <v>2177</v>
      </c>
      <c r="H129" s="30"/>
      <c r="I129" s="31" t="s">
        <v>1697</v>
      </c>
      <c r="J129" s="30" t="str">
        <f t="array" ref="J129">XLOOKUP(I129,'退職者'!$C:$C,'退職者'!$B:$B,"×")&amp;XLOOKUP(I129,'退職者'!$C:$C,'退職者'!$A:$A,"×")</f>
        <v>投資事業推進本部事業推進部</v>
      </c>
      <c r="K129" s="30" t="s">
        <v>2399</v>
      </c>
      <c r="L129" s="30"/>
    </row>
    <row r="130">
      <c r="A130" s="31" t="s">
        <v>1698</v>
      </c>
      <c r="B130" s="31" t="s">
        <v>2394</v>
      </c>
      <c r="C130" s="78">
        <v>2751.0</v>
      </c>
      <c r="D130" s="78">
        <v>31955.0</v>
      </c>
      <c r="E130" s="79" t="str">
        <f t="array" ref="E130">XLOOKUP($A130,'source isilon_Projectまとめ'!$A:$A,'source isilon_Projectまとめ'!$D:$D,XLOOKUP($A130,'source isilon-Project-du'!$A:$A,'source isilon-Project-du'!$C:$C))</f>
        <v>9922.15GB</v>
      </c>
      <c r="F130" s="79" t="str">
        <f t="array" ref="F130">XLOOKUP($A130,'source isilon_Projectまとめ'!$A:$A,'source isilon_Projectまとめ'!$C:$C,XLOOKUP($A130,'source NetApp-file-sv01～03-Proj'!$A:$A,'source NetApp-file-sv01～03-Proj'!$D:$D))</f>
        <v>2025/06/13</v>
      </c>
      <c r="G130" s="31" t="s">
        <v>2184</v>
      </c>
      <c r="H130" s="30"/>
      <c r="I130" s="31" t="s">
        <v>1465</v>
      </c>
      <c r="J130" s="30" t="str">
        <f t="array" ref="J130">XLOOKUP(I130,'従業員情報'!$A:$A,'従業員情報'!$N:$N,"×")</f>
        <v>株式会社MIXI/村瀨管掌/デザイン本部/動画クリエイティブ室</v>
      </c>
      <c r="K130" s="30" t="s">
        <v>1465</v>
      </c>
      <c r="L130" s="30"/>
    </row>
    <row r="131">
      <c r="A131" s="31" t="s">
        <v>1700</v>
      </c>
      <c r="B131" s="31" t="s">
        <v>2394</v>
      </c>
      <c r="C131" s="78">
        <v>339.0</v>
      </c>
      <c r="D131" s="78">
        <v>1662.0</v>
      </c>
      <c r="E131" s="79" t="str">
        <f t="array" ref="E131">XLOOKUP($A131,'source isilon_Projectまとめ'!$A:$A,'source isilon_Projectまとめ'!$D:$D,XLOOKUP($A131,'source isilon-Project-du'!$A:$A,'source isilon-Project-du'!$C:$C))</f>
        <v>2.05GB</v>
      </c>
      <c r="F131" s="79" t="str">
        <f t="array" ref="F131">XLOOKUP($A131,'source isilon_Projectまとめ'!$A:$A,'source isilon_Projectまとめ'!$C:$C,XLOOKUP($A131,'source NetApp-file-sv01～03-Proj'!$A:$A,'source NetApp-file-sv01～03-Proj'!$D:$D))</f>
        <v>2013/07/11</v>
      </c>
      <c r="G131" s="31" t="s">
        <v>2177</v>
      </c>
      <c r="H131" s="30"/>
      <c r="I131" s="31" t="s">
        <v>1399</v>
      </c>
      <c r="J131" s="30" t="str">
        <f t="array" ref="J131">XLOOKUP(I131,'従業員情報'!$A:$A,'従業員情報'!$N:$N,"×")</f>
        <v>株式会社MIXI/島村管掌/経営推進本部/広報部/インターナルコミュニケーショングループ/インターナルコミュニケーションチーム</v>
      </c>
      <c r="K131" s="30" t="s">
        <v>1399</v>
      </c>
      <c r="L131" s="30"/>
    </row>
    <row r="132">
      <c r="A132" s="31" t="s">
        <v>1702</v>
      </c>
      <c r="B132" s="31" t="s">
        <v>1425</v>
      </c>
      <c r="C132" s="78">
        <v>5.0</v>
      </c>
      <c r="D132" s="78">
        <v>5.0</v>
      </c>
      <c r="E132" s="30" t="str">
        <f t="array" ref="E132">XLOOKUP($A132,'source isilon_Projectまとめ'!$A:$A,'source isilon_Projectまとめ'!$D:$D,XLOOKUP($A132,'source isilon-Project-du'!$A:$A,'source isilon-Project-du'!$C:$C))</f>
        <v>0.00GB</v>
      </c>
      <c r="F132" s="80" t="str">
        <f t="array" ref="F132">XLOOKUP($A132,'source isilon_Projectまとめ'!$A:$A,'source isilon_Projectまとめ'!$C:$C,XLOOKUP($A132,'source NetApp-file-sv01～03-Proj'!$A:$A,'source NetApp-file-sv01～03-Proj'!$D:$D))</f>
        <v>#N/A</v>
      </c>
      <c r="G132" s="31"/>
      <c r="H132" s="30"/>
      <c r="I132" s="30" t="s">
        <v>1414</v>
      </c>
      <c r="J132" s="30" t="str">
        <f t="array" ref="J132">XLOOKUP(I132,'退職者'!$C:$C,'退職者'!$B:$B,"×")&amp;XLOOKUP(I132,'退職者'!$C:$C,'退職者'!$A:$A,"×")</f>
        <v>人事本部人事戦略部付</v>
      </c>
      <c r="K132" s="30"/>
      <c r="L132" s="30"/>
    </row>
    <row r="133">
      <c r="A133" s="31" t="s">
        <v>1702</v>
      </c>
      <c r="B133" s="31" t="s">
        <v>1425</v>
      </c>
      <c r="C133" s="78">
        <v>5.0</v>
      </c>
      <c r="D133" s="78">
        <v>5.0</v>
      </c>
      <c r="E133" s="30" t="str">
        <f t="array" ref="E133">XLOOKUP($A133,'source isilon_Projectまとめ'!$A:$A,'source isilon_Projectまとめ'!$D:$D,XLOOKUP($A133,'source isilon-Project-du'!$A:$A,'source isilon-Project-du'!$C:$C))</f>
        <v>0.00GB</v>
      </c>
      <c r="F133" s="80" t="str">
        <f t="array" ref="F133">XLOOKUP($A133,'source isilon_Projectまとめ'!$A:$A,'source isilon_Projectまとめ'!$C:$C,XLOOKUP($A133,'source NetApp-file-sv01～03-Proj'!$A:$A,'source NetApp-file-sv01～03-Proj'!$D:$D))</f>
        <v>#N/A</v>
      </c>
      <c r="G133" s="31"/>
      <c r="H133" s="30"/>
      <c r="I133" s="30" t="s">
        <v>1704</v>
      </c>
      <c r="J133" s="30" t="str">
        <f t="array" ref="J133">XLOOKUP(I133,'退職者'!$C:$C,'退職者'!$B:$B,"×")&amp;XLOOKUP(I133,'退職者'!$C:$C,'退職者'!$A:$A,"×")</f>
        <v>アライアンス統括本部バスケットボール事業部</v>
      </c>
      <c r="K133" s="30"/>
      <c r="L133" s="30"/>
    </row>
    <row r="134">
      <c r="A134" s="31" t="s">
        <v>1702</v>
      </c>
      <c r="B134" s="31" t="s">
        <v>2394</v>
      </c>
      <c r="C134" s="78">
        <v>5.0</v>
      </c>
      <c r="D134" s="78">
        <v>5.0</v>
      </c>
      <c r="E134" s="30" t="str">
        <f t="array" ref="E134">XLOOKUP($A134,'source isilon_Projectまとめ'!$A:$A,'source isilon_Projectまとめ'!$D:$D,XLOOKUP($A134,'source isilon-Project-du'!$A:$A,'source isilon-Project-du'!$C:$C))</f>
        <v>0.00GB</v>
      </c>
      <c r="F134" s="80" t="str">
        <f t="array" ref="F134">XLOOKUP($A134,'source isilon_Projectまとめ'!$A:$A,'source isilon_Projectまとめ'!$C:$C,XLOOKUP($A134,'source NetApp-file-sv01～03-Proj'!$A:$A,'source NetApp-file-sv01～03-Proj'!$D:$D))</f>
        <v>#N/A</v>
      </c>
      <c r="G134" s="31"/>
      <c r="H134" s="30"/>
      <c r="I134" s="31" t="s">
        <v>1616</v>
      </c>
      <c r="J134" s="30" t="str">
        <f t="array" ref="J134">XLOOKUP(I134,'従業員情報'!$A:$A,'従業員情報'!$N:$N,"×")</f>
        <v>株式会社MIXI/木村管掌/デジタルエンターテインメントオペレーションズ本部/コトダマン制作部</v>
      </c>
      <c r="K134" s="30" t="s">
        <v>1616</v>
      </c>
      <c r="L134" s="30"/>
    </row>
    <row r="135">
      <c r="A135" s="31" t="s">
        <v>1702</v>
      </c>
      <c r="B135" s="31" t="s">
        <v>993</v>
      </c>
      <c r="C135" s="78">
        <v>5.0</v>
      </c>
      <c r="D135" s="78">
        <v>5.0</v>
      </c>
      <c r="E135" s="30" t="str">
        <f t="array" ref="E135">XLOOKUP($A135,'source isilon_Projectまとめ'!$A:$A,'source isilon_Projectまとめ'!$D:$D,XLOOKUP($A135,'source isilon-Project-du'!$A:$A,'source isilon-Project-du'!$C:$C))</f>
        <v>0.00GB</v>
      </c>
      <c r="F135" s="80" t="str">
        <f t="array" ref="F135">XLOOKUP($A135,'source isilon_Projectまとめ'!$A:$A,'source isilon_Projectまとめ'!$C:$C,XLOOKUP($A135,'source NetApp-file-sv01～03-Proj'!$A:$A,'source NetApp-file-sv01～03-Proj'!$D:$D))</f>
        <v>#N/A</v>
      </c>
      <c r="G135" s="30"/>
      <c r="H135" s="30"/>
      <c r="I135" s="30" t="s">
        <v>1705</v>
      </c>
      <c r="J135" s="30" t="str">
        <f t="array" ref="J135">XLOOKUP(I135,'退職者'!$C:$C,'退職者'!$B:$B,"×")&amp;XLOOKUP(I135,'退職者'!$C:$C,'退職者'!$A:$A,"×")</f>
        <v/>
      </c>
      <c r="K135" s="30"/>
      <c r="L135" s="30"/>
    </row>
    <row r="136">
      <c r="A136" s="31" t="s">
        <v>1702</v>
      </c>
      <c r="B136" s="31" t="s">
        <v>2394</v>
      </c>
      <c r="C136" s="78">
        <v>5.0</v>
      </c>
      <c r="D136" s="78">
        <v>5.0</v>
      </c>
      <c r="E136" s="30" t="str">
        <f t="array" ref="E136">XLOOKUP($A136,'source isilon_Projectまとめ'!$A:$A,'source isilon_Projectまとめ'!$D:$D,XLOOKUP($A136,'source isilon-Project-du'!$A:$A,'source isilon-Project-du'!$C:$C))</f>
        <v>0.00GB</v>
      </c>
      <c r="F136" s="80" t="str">
        <f t="array" ref="F136">XLOOKUP($A136,'source isilon_Projectまとめ'!$A:$A,'source isilon_Projectまとめ'!$C:$C,XLOOKUP($A136,'source NetApp-file-sv01～03-Proj'!$A:$A,'source NetApp-file-sv01～03-Proj'!$D:$D))</f>
        <v>#N/A</v>
      </c>
      <c r="G136" s="31"/>
      <c r="H136" s="30"/>
      <c r="I136" s="30" t="s">
        <v>2422</v>
      </c>
      <c r="J136" s="30" t="str">
        <f t="array" ref="J136">XLOOKUP(I136,'従業員情報'!$A:$A,'従業員情報'!$N:$N,"×")</f>
        <v>株式会社MIXI/木村管掌/デジタルエンターテインメントパブリッシング本部/事業戦略室/事業戦略グループ</v>
      </c>
      <c r="K136" s="30"/>
      <c r="L136" s="30"/>
    </row>
    <row r="137">
      <c r="A137" s="31" t="s">
        <v>1702</v>
      </c>
      <c r="B137" s="31" t="s">
        <v>2394</v>
      </c>
      <c r="C137" s="78">
        <v>5.0</v>
      </c>
      <c r="D137" s="78">
        <v>5.0</v>
      </c>
      <c r="E137" s="30" t="str">
        <f t="array" ref="E137">XLOOKUP($A137,'source isilon_Projectまとめ'!$A:$A,'source isilon_Projectまとめ'!$D:$D,XLOOKUP($A137,'source isilon-Project-du'!$A:$A,'source isilon-Project-du'!$C:$C))</f>
        <v>0.00GB</v>
      </c>
      <c r="F137" s="80" t="str">
        <f t="array" ref="F137">XLOOKUP($A137,'source isilon_Projectまとめ'!$A:$A,'source isilon_Projectまとめ'!$C:$C,XLOOKUP($A137,'source NetApp-file-sv01～03-Proj'!$A:$A,'source NetApp-file-sv01～03-Proj'!$D:$D))</f>
        <v>#N/A</v>
      </c>
      <c r="G137" s="31"/>
      <c r="H137" s="30"/>
      <c r="I137" s="30" t="s">
        <v>2423</v>
      </c>
      <c r="J137" s="30" t="str">
        <f t="array" ref="J137">XLOOKUP(I137,'従業員情報'!$A:$A,'従業員情報'!$N:$N,"×")</f>
        <v>株式会社MIXI/木村管掌/デジタルエンターテインメントパブリッシング本部/事業戦略室/事業戦略グループ</v>
      </c>
      <c r="K137" s="30"/>
      <c r="L137" s="30"/>
    </row>
    <row r="138">
      <c r="A138" s="31" t="s">
        <v>1702</v>
      </c>
      <c r="B138" s="31" t="s">
        <v>2394</v>
      </c>
      <c r="C138" s="78">
        <v>5.0</v>
      </c>
      <c r="D138" s="78">
        <v>5.0</v>
      </c>
      <c r="E138" s="30" t="str">
        <f t="array" ref="E138">XLOOKUP($A138,'source isilon_Projectまとめ'!$A:$A,'source isilon_Projectまとめ'!$D:$D,XLOOKUP($A138,'source isilon-Project-du'!$A:$A,'source isilon-Project-du'!$C:$C))</f>
        <v>0.00GB</v>
      </c>
      <c r="F138" s="80" t="str">
        <f t="array" ref="F138">XLOOKUP($A138,'source isilon_Projectまとめ'!$A:$A,'source isilon_Projectまとめ'!$C:$C,XLOOKUP($A138,'source NetApp-file-sv01～03-Proj'!$A:$A,'source NetApp-file-sv01～03-Proj'!$D:$D))</f>
        <v>#N/A</v>
      </c>
      <c r="G138" s="31"/>
      <c r="H138" s="31"/>
      <c r="I138" s="31" t="s">
        <v>2424</v>
      </c>
      <c r="J138" s="30" t="str">
        <f t="array" ref="J138">XLOOKUP(I138,'従業員情報'!$A:$A,'従業員情報'!$N:$N,"×")</f>
        <v>株式会社MIXI/木村管掌/デジタルエンターテインメントパブリッシング本部/事業探索室/Rajaグループ</v>
      </c>
      <c r="K138" s="30" t="s">
        <v>2424</v>
      </c>
      <c r="L138" s="30"/>
    </row>
    <row r="139">
      <c r="A139" s="31" t="s">
        <v>1711</v>
      </c>
      <c r="B139" s="31" t="s">
        <v>2394</v>
      </c>
      <c r="C139" s="78">
        <v>6756.0</v>
      </c>
      <c r="D139" s="78">
        <v>27111.0</v>
      </c>
      <c r="E139" s="79" t="str">
        <f t="array" ref="E139">XLOOKUP($A139,'source isilon_Projectまとめ'!$A:$A,'source isilon_Projectまとめ'!$D:$D,XLOOKUP($A139,'source isilon-Project-du'!$A:$A,'source isilon-Project-du'!$C:$C))</f>
        <v>480.28GB</v>
      </c>
      <c r="F139" s="79" t="str">
        <f t="array" ref="F139">XLOOKUP($A139,'source isilon_Projectまとめ'!$A:$A,'source isilon_Projectまとめ'!$C:$C,XLOOKUP($A139,'source NetApp-file-sv01～03-Proj'!$A:$A,'source NetApp-file-sv01～03-Proj'!$D:$D))</f>
        <v>2018/11/06</v>
      </c>
      <c r="G139" s="31" t="s">
        <v>2177</v>
      </c>
      <c r="H139" s="30"/>
      <c r="I139" s="31" t="s">
        <v>1595</v>
      </c>
      <c r="J139" s="31" t="str">
        <f t="array" ref="J139">XLOOKUP(I139,'従業員情報'!$A:$A,'従業員情報'!$N:$N,"×")</f>
        <v>株式会社MIXI/村瀨管掌/はたらく環境推進本部</v>
      </c>
      <c r="K139" s="31" t="s">
        <v>1595</v>
      </c>
      <c r="L139" s="31" t="s">
        <v>2412</v>
      </c>
    </row>
    <row r="140">
      <c r="A140" s="31" t="s">
        <v>1712</v>
      </c>
      <c r="B140" s="31" t="s">
        <v>1425</v>
      </c>
      <c r="C140" s="78">
        <v>2413.0</v>
      </c>
      <c r="D140" s="78">
        <v>7321.0</v>
      </c>
      <c r="E140" s="79" t="str">
        <f t="array" ref="E140">XLOOKUP($A140,'source isilon_Projectまとめ'!$A:$A,'source isilon_Projectまとめ'!$D:$D,XLOOKUP($A140,'source isilon-Project-du'!$A:$A,'source isilon-Project-du'!$C:$C))</f>
        <v>1.86GB</v>
      </c>
      <c r="F140" s="79" t="str">
        <f t="array" ref="F140">XLOOKUP($A140,'source isilon_Projectまとめ'!$A:$A,'source isilon_Projectまとめ'!$C:$C,XLOOKUP($A140,'source NetApp-file-sv01～03-Proj'!$A:$A,'source NetApp-file-sv01～03-Proj'!$D:$D))</f>
        <v>2016/01/28</v>
      </c>
      <c r="G140" s="31" t="s">
        <v>2177</v>
      </c>
      <c r="H140" s="30"/>
      <c r="I140" s="31" t="s">
        <v>1513</v>
      </c>
      <c r="J140" s="30" t="str">
        <f t="array" ref="J140">XLOOKUP(I140,'退職者'!$C:$C,'退職者'!$B:$B,"×")&amp;XLOOKUP(I140,'退職者'!$C:$C,'退職者'!$A:$A,"×")</f>
        <v>人事本部労務部</v>
      </c>
      <c r="K140" s="30" t="s">
        <v>2399</v>
      </c>
      <c r="L140" s="30"/>
    </row>
    <row r="141">
      <c r="A141" s="31" t="s">
        <v>1712</v>
      </c>
      <c r="B141" s="31" t="s">
        <v>2394</v>
      </c>
      <c r="C141" s="78">
        <v>2413.0</v>
      </c>
      <c r="D141" s="78">
        <v>7321.0</v>
      </c>
      <c r="E141" s="79" t="str">
        <f t="array" ref="E141">XLOOKUP($A141,'source isilon_Projectまとめ'!$A:$A,'source isilon_Projectまとめ'!$D:$D,XLOOKUP($A141,'source isilon-Project-du'!$A:$A,'source isilon-Project-du'!$C:$C))</f>
        <v>1.86GB</v>
      </c>
      <c r="F141" s="79" t="str">
        <f t="array" ref="F141">XLOOKUP($A141,'source isilon_Projectまとめ'!$A:$A,'source isilon_Projectまとめ'!$C:$C,XLOOKUP($A141,'source NetApp-file-sv01～03-Proj'!$A:$A,'source NetApp-file-sv01～03-Proj'!$D:$D))</f>
        <v>2016/01/28</v>
      </c>
      <c r="G141" s="31" t="s">
        <v>2177</v>
      </c>
      <c r="H141" s="30"/>
      <c r="I141" s="31" t="s">
        <v>1492</v>
      </c>
      <c r="J141" s="30" t="str">
        <f t="array" ref="J141">XLOOKUP(I141,'従業員情報'!$A:$A,'従業員情報'!$N:$N,"×")</f>
        <v>株式会社MIXI/島村管掌/人事本部/グループ会社サポート部</v>
      </c>
      <c r="K141" s="30" t="s">
        <v>1492</v>
      </c>
      <c r="L141" s="30"/>
    </row>
    <row r="142">
      <c r="A142" s="31" t="s">
        <v>1713</v>
      </c>
      <c r="B142" s="31" t="s">
        <v>2394</v>
      </c>
      <c r="C142" s="78">
        <v>3872.0</v>
      </c>
      <c r="D142" s="78">
        <v>10967.0</v>
      </c>
      <c r="E142" s="79" t="str">
        <f t="array" ref="E142">XLOOKUP($A142,'source isilon_Projectまとめ'!$A:$A,'source isilon_Projectまとめ'!$D:$D,XLOOKUP($A142,'source isilon-Project-du'!$A:$A,'source isilon-Project-du'!$C:$C))</f>
        <v>13.25GB</v>
      </c>
      <c r="F142" s="79" t="str">
        <f t="array" ref="F142">XLOOKUP($A142,'source isilon_Projectまとめ'!$A:$A,'source isilon_Projectまとめ'!$C:$C,XLOOKUP($A142,'source NetApp-file-sv01～03-Proj'!$A:$A,'source NetApp-file-sv01～03-Proj'!$D:$D))</f>
        <v>2025/05/30</v>
      </c>
      <c r="G142" s="31" t="s">
        <v>2184</v>
      </c>
      <c r="H142" s="30"/>
      <c r="I142" s="31" t="s">
        <v>1454</v>
      </c>
      <c r="J142" s="30" t="str">
        <f t="array" ref="J142">XLOOKUP(I142,'従業員情報'!$A:$A,'従業員情報'!$N:$N,"×")</f>
        <v>株式会社MIXI/管掌役員なし/上級執行役員</v>
      </c>
      <c r="K142" s="30" t="s">
        <v>1454</v>
      </c>
      <c r="L142" s="30"/>
    </row>
    <row r="143">
      <c r="A143" s="31" t="s">
        <v>1714</v>
      </c>
      <c r="B143" s="31" t="s">
        <v>2394</v>
      </c>
      <c r="C143" s="78">
        <v>579.0</v>
      </c>
      <c r="D143" s="78">
        <v>3683.0</v>
      </c>
      <c r="E143" s="79" t="str">
        <f t="array" ref="E143">XLOOKUP($A143,'source isilon_Projectまとめ'!$A:$A,'source isilon_Projectまとめ'!$D:$D,XLOOKUP($A143,'source isilon-Project-du'!$A:$A,'source isilon-Project-du'!$C:$C))</f>
        <v>2.35GB</v>
      </c>
      <c r="F143" s="79" t="str">
        <f t="array" ref="F143">XLOOKUP($A143,'source isilon_Projectまとめ'!$A:$A,'source isilon_Projectまとめ'!$C:$C,XLOOKUP($A143,'source NetApp-file-sv01～03-Proj'!$A:$A,'source NetApp-file-sv01～03-Proj'!$D:$D))</f>
        <v>2025/07/07</v>
      </c>
      <c r="G143" s="31" t="s">
        <v>2184</v>
      </c>
      <c r="H143" s="30"/>
      <c r="I143" s="31" t="s">
        <v>1717</v>
      </c>
      <c r="J143" s="30" t="str">
        <f t="array" ref="J143">XLOOKUP(I143,'従業員情報'!$A:$A,'従業員情報'!$N:$N,"×")</f>
        <v>株式会社MIXI/木村管掌/デジタルエンターテインメントオペレーションズ本部/ファンマーケティング部/MD事業開発グループ/モンストア運営チーム</v>
      </c>
      <c r="K143" s="30" t="s">
        <v>1717</v>
      </c>
      <c r="L143" s="30"/>
    </row>
    <row r="144">
      <c r="A144" s="31" t="s">
        <v>1718</v>
      </c>
      <c r="B144" s="31" t="s">
        <v>1425</v>
      </c>
      <c r="C144" s="78">
        <v>92.0</v>
      </c>
      <c r="D144" s="78">
        <v>473.0</v>
      </c>
      <c r="E144" s="79" t="str">
        <f t="array" ref="E144">XLOOKUP($A144,'source isilon_Projectまとめ'!$A:$A,'source isilon_Projectまとめ'!$D:$D,XLOOKUP($A144,'source isilon-Project-du'!$A:$A,'source isilon-Project-du'!$C:$C))</f>
        <v>0.25GB</v>
      </c>
      <c r="F144" s="79" t="str">
        <f t="array" ref="F144">XLOOKUP($A144,'source isilon_Projectまとめ'!$A:$A,'source isilon_Projectまとめ'!$C:$C,XLOOKUP($A144,'source NetApp-file-sv01～03-Proj'!$A:$A,'source NetApp-file-sv01～03-Proj'!$D:$D))</f>
        <v>2013/10/30</v>
      </c>
      <c r="G144" s="31" t="s">
        <v>2177</v>
      </c>
      <c r="H144" s="30"/>
      <c r="I144" s="31" t="s">
        <v>1473</v>
      </c>
      <c r="J144" s="30" t="str">
        <f t="array" ref="J144">XLOOKUP(I144,'退職者'!$C:$C,'退職者'!$B:$B,"×")&amp;XLOOKUP(I144,'退職者'!$C:$C,'退職者'!$A:$A,"×")</f>
        <v>人事本部人事部</v>
      </c>
      <c r="K144" s="30" t="s">
        <v>2399</v>
      </c>
      <c r="L144" s="30"/>
    </row>
    <row r="145">
      <c r="A145" s="31" t="s">
        <v>1719</v>
      </c>
      <c r="B145" s="31" t="s">
        <v>2394</v>
      </c>
      <c r="C145" s="78">
        <v>37.0</v>
      </c>
      <c r="D145" s="78">
        <v>195.0</v>
      </c>
      <c r="E145" s="79" t="str">
        <f t="array" ref="E145">XLOOKUP($A145,'source isilon_Projectまとめ'!$A:$A,'source isilon_Projectまとめ'!$D:$D,XLOOKUP($A145,'source isilon-Project-du'!$A:$A,'source isilon-Project-du'!$C:$C))</f>
        <v>0.61GB</v>
      </c>
      <c r="F145" s="79" t="str">
        <f t="array" ref="F145">XLOOKUP($A145,'source isilon_Projectまとめ'!$A:$A,'source isilon_Projectまとめ'!$C:$C,XLOOKUP($A145,'source NetApp-file-sv01～03-Proj'!$A:$A,'source NetApp-file-sv01～03-Proj'!$D:$D))</f>
        <v>2015/10/07</v>
      </c>
      <c r="G145" s="31" t="s">
        <v>2177</v>
      </c>
      <c r="H145" s="30"/>
      <c r="I145" s="31" t="s">
        <v>1595</v>
      </c>
      <c r="J145" s="31" t="str">
        <f t="array" ref="J145">XLOOKUP(I145,'従業員情報'!$A:$A,'従業員情報'!$N:$N,"×")</f>
        <v>株式会社MIXI/村瀨管掌/はたらく環境推進本部</v>
      </c>
      <c r="K145" s="31" t="s">
        <v>1595</v>
      </c>
      <c r="L145" s="31" t="s">
        <v>2412</v>
      </c>
    </row>
    <row r="146">
      <c r="A146" s="31" t="s">
        <v>1720</v>
      </c>
      <c r="B146" s="31" t="s">
        <v>2394</v>
      </c>
      <c r="C146" s="78">
        <v>147.0</v>
      </c>
      <c r="D146" s="78">
        <v>3951.0</v>
      </c>
      <c r="E146" s="79" t="str">
        <f t="array" ref="E146">XLOOKUP($A146,'source isilon_Projectまとめ'!$A:$A,'source isilon_Projectまとめ'!$D:$D,XLOOKUP($A146,'source isilon-Project-du'!$A:$A,'source isilon-Project-du'!$C:$C))</f>
        <v>0.60GB</v>
      </c>
      <c r="F146" s="79" t="str">
        <f t="array" ref="F146">XLOOKUP($A146,'source isilon_Projectまとめ'!$A:$A,'source isilon_Projectまとめ'!$C:$C,XLOOKUP($A146,'source NetApp-file-sv01～03-Proj'!$A:$A,'source NetApp-file-sv01～03-Proj'!$D:$D))</f>
        <v>2013/06/28</v>
      </c>
      <c r="G146" s="31" t="s">
        <v>2177</v>
      </c>
      <c r="H146" s="30"/>
      <c r="I146" s="31" t="s">
        <v>1589</v>
      </c>
      <c r="J146" s="30" t="str">
        <f t="array" ref="J146">XLOOKUP(I146,'従業員情報'!$A:$A,'従業員情報'!$N:$N,"×")</f>
        <v>株式会社MIXI/村瀨管掌/はたらく環境推進本部/せいかつ環境室/せいかつ環境Bグループ/せいかつ環境Cチーム</v>
      </c>
      <c r="K146" s="30" t="s">
        <v>1589</v>
      </c>
      <c r="L146" s="30"/>
    </row>
    <row r="147">
      <c r="A147" s="31" t="s">
        <v>1722</v>
      </c>
      <c r="B147" s="31" t="s">
        <v>2394</v>
      </c>
      <c r="C147" s="78">
        <v>828.0</v>
      </c>
      <c r="D147" s="78">
        <v>4734.0</v>
      </c>
      <c r="E147" s="79" t="str">
        <f t="array" ref="E147">XLOOKUP($A147,'source isilon_Projectまとめ'!$A:$A,'source isilon_Projectまとめ'!$D:$D,XLOOKUP($A147,'source isilon-Project-du'!$A:$A,'source isilon-Project-du'!$C:$C))</f>
        <v>17.54GB</v>
      </c>
      <c r="F147" s="79" t="str">
        <f t="array" ref="F147">XLOOKUP($A147,'source isilon_Projectまとめ'!$A:$A,'source isilon_Projectまとめ'!$C:$C,XLOOKUP($A147,'source NetApp-file-sv01～03-Proj'!$A:$A,'source NetApp-file-sv01～03-Proj'!$D:$D))</f>
        <v>2025/07/04</v>
      </c>
      <c r="G147" s="31" t="s">
        <v>2184</v>
      </c>
      <c r="H147" s="30"/>
      <c r="I147" s="31" t="s">
        <v>1724</v>
      </c>
      <c r="J147" s="30" t="str">
        <f t="array" ref="J147">XLOOKUP(I147,'従業員情報'!$A:$A,'従業員情報'!$N:$N,"×")</f>
        <v>株式会社MIXI/島村管掌/経営推進本部</v>
      </c>
      <c r="K147" s="30" t="s">
        <v>1724</v>
      </c>
      <c r="L147" s="30"/>
    </row>
    <row r="148">
      <c r="A148" s="31" t="s">
        <v>1725</v>
      </c>
      <c r="B148" s="31" t="s">
        <v>2394</v>
      </c>
      <c r="C148" s="78">
        <v>1.0</v>
      </c>
      <c r="D148" s="78">
        <v>5.0</v>
      </c>
      <c r="E148" s="31" t="str">
        <f t="array" ref="E148">XLOOKUP($A148,'source isilon_Projectまとめ'!$A:$A,'source isilon_Projectまとめ'!$D:$D,XLOOKUP($A148,'source isilon-Project-du'!$A:$A,'source isilon-Project-du'!$C:$C))</f>
        <v>0.00GB</v>
      </c>
      <c r="F148" s="30" t="str">
        <f t="array" ref="F148">XLOOKUP($A148,'source isilon_Projectまとめ'!$A:$A,'source isilon_Projectまとめ'!$C:$C,XLOOKUP($A148,'source NetApp-file-sv01～03-Proj'!$A:$A,'source NetApp-file-sv01～03-Proj'!$D:$D))</f>
        <v>2022/04/12</v>
      </c>
      <c r="G148" s="31" t="s">
        <v>2177</v>
      </c>
      <c r="H148" s="30"/>
      <c r="I148" s="31" t="s">
        <v>1728</v>
      </c>
      <c r="J148" s="30" t="str">
        <f t="array" ref="J148">XLOOKUP(I148,'従業員情報'!$A:$A,'従業員情報'!$N:$N,"×")</f>
        <v>株式会社MIXI/島村管掌/人事本部/組織戦略部/事業HRBPグループ</v>
      </c>
      <c r="K148" s="30" t="s">
        <v>1728</v>
      </c>
      <c r="L148" s="30"/>
    </row>
    <row r="149">
      <c r="A149" s="31" t="s">
        <v>1729</v>
      </c>
      <c r="B149" s="31" t="s">
        <v>2394</v>
      </c>
      <c r="C149" s="78">
        <v>49.0</v>
      </c>
      <c r="D149" s="78">
        <v>347.0</v>
      </c>
      <c r="E149" s="79" t="str">
        <f t="array" ref="E149">XLOOKUP($A149,'source isilon_Projectまとめ'!$A:$A,'source isilon_Projectまとめ'!$D:$D,XLOOKUP($A149,'source isilon-Project-du'!$A:$A,'source isilon-Project-du'!$C:$C))</f>
        <v>0.10GB</v>
      </c>
      <c r="F149" s="79" t="str">
        <f t="array" ref="F149">XLOOKUP($A149,'source isilon_Projectまとめ'!$A:$A,'source isilon_Projectまとめ'!$C:$C,XLOOKUP($A149,'source NetApp-file-sv01～03-Proj'!$A:$A,'source NetApp-file-sv01～03-Proj'!$D:$D))</f>
        <v>2009/02/12</v>
      </c>
      <c r="G149" s="31" t="s">
        <v>2177</v>
      </c>
      <c r="H149" s="30"/>
      <c r="I149" s="31" t="s">
        <v>1423</v>
      </c>
      <c r="J149" s="30" t="str">
        <f t="array" ref="J149">XLOOKUP(I149,'従業員情報'!$A:$A,'従業員情報'!$N:$N,"×")</f>
        <v>株式会社MIXI/笠原管掌/Vantageスタジオ/mixi事業部</v>
      </c>
      <c r="K149" s="30" t="s">
        <v>1423</v>
      </c>
      <c r="L149" s="30"/>
    </row>
    <row r="150">
      <c r="A150" s="31" t="s">
        <v>1730</v>
      </c>
      <c r="B150" s="31" t="s">
        <v>2394</v>
      </c>
      <c r="C150" s="78">
        <v>2610.0</v>
      </c>
      <c r="D150" s="78">
        <v>5475.0</v>
      </c>
      <c r="E150" s="79" t="str">
        <f t="array" ref="E150">XLOOKUP($A150,'source isilon_Projectまとめ'!$A:$A,'source isilon_Projectまとめ'!$D:$D,XLOOKUP($A150,'source isilon-Project-du'!$A:$A,'source isilon-Project-du'!$C:$C))</f>
        <v>2.58GB</v>
      </c>
      <c r="F150" s="79" t="str">
        <f t="array" ref="F150">XLOOKUP($A150,'source isilon_Projectまとめ'!$A:$A,'source isilon_Projectまとめ'!$C:$C,XLOOKUP($A150,'source NetApp-file-sv01～03-Proj'!$A:$A,'source NetApp-file-sv01～03-Proj'!$D:$D))</f>
        <v>2025/07/07</v>
      </c>
      <c r="G150" s="31" t="s">
        <v>2184</v>
      </c>
      <c r="H150" s="30"/>
      <c r="I150" s="31" t="s">
        <v>1728</v>
      </c>
      <c r="J150" s="30" t="str">
        <f t="array" ref="J150">XLOOKUP(I150,'従業員情報'!$A:$A,'従業員情報'!$N:$N,"×")</f>
        <v>株式会社MIXI/島村管掌/人事本部/組織戦略部/事業HRBPグループ</v>
      </c>
      <c r="K150" s="30" t="s">
        <v>1728</v>
      </c>
      <c r="L150" s="30"/>
    </row>
    <row r="151">
      <c r="A151" s="31" t="s">
        <v>1732</v>
      </c>
      <c r="B151" s="31" t="s">
        <v>2394</v>
      </c>
      <c r="C151" s="78">
        <v>183.0</v>
      </c>
      <c r="D151" s="78">
        <v>620.0</v>
      </c>
      <c r="E151" s="79" t="str">
        <f t="array" ref="E151">XLOOKUP($A151,'source isilon_Projectまとめ'!$A:$A,'source isilon_Projectまとめ'!$D:$D,XLOOKUP($A151,'source isilon-Project-du'!$A:$A,'source isilon-Project-du'!$C:$C))</f>
        <v>1.25GB</v>
      </c>
      <c r="F151" s="79" t="str">
        <f t="array" ref="F151">XLOOKUP($A151,'source isilon_Projectまとめ'!$A:$A,'source isilon_Projectまとめ'!$C:$C,XLOOKUP($A151,'source NetApp-file-sv01～03-Proj'!$A:$A,'source NetApp-file-sv01～03-Proj'!$D:$D))</f>
        <v>2024/04/11</v>
      </c>
      <c r="G151" s="31" t="s">
        <v>2184</v>
      </c>
      <c r="H151" s="30"/>
      <c r="I151" s="31" t="s">
        <v>1492</v>
      </c>
      <c r="J151" s="30" t="str">
        <f t="array" ref="J151">XLOOKUP(I151,'従業員情報'!$A:$A,'従業員情報'!$N:$N,"×")</f>
        <v>株式会社MIXI/島村管掌/人事本部/グループ会社サポート部</v>
      </c>
      <c r="K151" s="30" t="s">
        <v>1492</v>
      </c>
      <c r="L151" s="30"/>
    </row>
    <row r="152">
      <c r="A152" s="31" t="s">
        <v>1734</v>
      </c>
      <c r="B152" s="31" t="s">
        <v>993</v>
      </c>
      <c r="C152" s="78">
        <v>3.0</v>
      </c>
      <c r="D152" s="78">
        <v>22.0</v>
      </c>
      <c r="E152" s="79" t="str">
        <f t="array" ref="E152">XLOOKUP($A152,'source isilon_Projectまとめ'!$A:$A,'source isilon_Projectまとめ'!$D:$D,XLOOKUP($A152,'source isilon-Project-du'!$A:$A,'source isilon-Project-du'!$C:$C))</f>
        <v>0.03GB</v>
      </c>
      <c r="F152" s="79" t="str">
        <f t="array" ref="F152">XLOOKUP($A152,'source isilon_Projectまとめ'!$A:$A,'source isilon_Projectまとめ'!$C:$C,XLOOKUP($A152,'source NetApp-file-sv01～03-Proj'!$A:$A,'source NetApp-file-sv01～03-Proj'!$D:$D))</f>
        <v>2014/06/11</v>
      </c>
      <c r="G152" s="31" t="s">
        <v>2177</v>
      </c>
      <c r="H152" s="30"/>
      <c r="I152" s="31" t="s">
        <v>1735</v>
      </c>
      <c r="J152" s="30" t="str">
        <f t="array" ref="J152">XLOOKUP(I152,'退職者'!$C:$C,'退職者'!$B:$B,"×")&amp;XLOOKUP(I152,'退職者'!$C:$C,'退職者'!$A:$A,"×")</f>
        <v/>
      </c>
      <c r="K152" s="30" t="s">
        <v>2399</v>
      </c>
      <c r="L152" s="30"/>
    </row>
    <row r="153">
      <c r="A153" s="31" t="s">
        <v>1736</v>
      </c>
      <c r="B153" s="31" t="s">
        <v>2394</v>
      </c>
      <c r="C153" s="78">
        <v>2523.0</v>
      </c>
      <c r="D153" s="78">
        <v>13731.0</v>
      </c>
      <c r="E153" s="79" t="str">
        <f t="array" ref="E153">XLOOKUP($A153,'source isilon_Projectまとめ'!$A:$A,'source isilon_Projectまとめ'!$D:$D,XLOOKUP($A153,'source isilon-Project-du'!$A:$A,'source isilon-Project-du'!$C:$C))</f>
        <v>19.65GB</v>
      </c>
      <c r="F153" s="79" t="str">
        <f t="array" ref="F153">XLOOKUP($A153,'source isilon_Projectまとめ'!$A:$A,'source isilon_Projectまとめ'!$C:$C,XLOOKUP($A153,'source NetApp-file-sv01～03-Proj'!$A:$A,'source NetApp-file-sv01～03-Proj'!$D:$D))</f>
        <v>2020/07/16</v>
      </c>
      <c r="G153" s="31" t="s">
        <v>2177</v>
      </c>
      <c r="H153" s="30"/>
      <c r="I153" s="31" t="s">
        <v>1739</v>
      </c>
      <c r="J153" s="30" t="str">
        <f t="array" ref="J153">XLOOKUP(I153,'従業員情報'!$A:$A,'従業員情報'!$N:$N,"×")</f>
        <v>アイ・マーキュリーキャピタル株式会社/アイ・マーキュリーキャピタル株式会社/アイ・マーキュリーキャピタル株式会社(本部格)</v>
      </c>
      <c r="K153" s="30" t="s">
        <v>1739</v>
      </c>
      <c r="L153" s="30"/>
    </row>
    <row r="154">
      <c r="A154" s="31" t="s">
        <v>1740</v>
      </c>
      <c r="B154" s="31" t="s">
        <v>2394</v>
      </c>
      <c r="C154" s="78">
        <v>161.0</v>
      </c>
      <c r="D154" s="78">
        <v>12401.0</v>
      </c>
      <c r="E154" s="79" t="str">
        <f t="array" ref="E154">XLOOKUP($A154,'source isilon_Projectまとめ'!$A:$A,'source isilon_Projectまとめ'!$D:$D,XLOOKUP($A154,'source isilon-Project-du'!$A:$A,'source isilon-Project-du'!$C:$C))</f>
        <v>48.40GB</v>
      </c>
      <c r="F154" s="79" t="str">
        <f t="array" ref="F154">XLOOKUP($A154,'source isilon_Projectまとめ'!$A:$A,'source isilon_Projectまとめ'!$C:$C,XLOOKUP($A154,'source NetApp-file-sv01～03-Proj'!$A:$A,'source NetApp-file-sv01～03-Proj'!$D:$D))</f>
        <v>2024/04/09</v>
      </c>
      <c r="G154" s="31" t="s">
        <v>2184</v>
      </c>
      <c r="H154" s="30"/>
      <c r="I154" s="31" t="s">
        <v>1743</v>
      </c>
      <c r="J154" s="30" t="str">
        <f t="array" ref="J154">XLOOKUP(I154,'従業員情報'!$A:$A,'従業員情報'!$N:$N,"×")</f>
        <v>株式会社MIXI/村瀨管掌/デザイン本部/テクニカルデザイン室/テクニカルデザイングループ/R&amp;Dチーム</v>
      </c>
      <c r="K154" s="30" t="s">
        <v>1743</v>
      </c>
      <c r="L154" s="30"/>
    </row>
    <row r="155">
      <c r="A155" s="31" t="s">
        <v>1744</v>
      </c>
      <c r="B155" s="31" t="s">
        <v>2394</v>
      </c>
      <c r="C155" s="78">
        <v>57.0</v>
      </c>
      <c r="D155" s="78">
        <v>162.0</v>
      </c>
      <c r="E155" s="79" t="str">
        <f t="array" ref="E155">XLOOKUP($A155,'source isilon_Projectまとめ'!$A:$A,'source isilon_Projectまとめ'!$D:$D,XLOOKUP($A155,'source isilon-Project-du'!$A:$A,'source isilon-Project-du'!$C:$C))</f>
        <v>0.00GB</v>
      </c>
      <c r="F155" s="79" t="str">
        <f t="array" ref="F155">XLOOKUP($A155,'source isilon_Projectまとめ'!$A:$A,'source isilon_Projectまとめ'!$C:$C,XLOOKUP($A155,'source NetApp-file-sv01～03-Proj'!$A:$A,'source NetApp-file-sv01～03-Proj'!$D:$D))</f>
        <v>2014/03/26</v>
      </c>
      <c r="G155" s="31" t="s">
        <v>2177</v>
      </c>
      <c r="H155" s="30"/>
      <c r="I155" s="31" t="s">
        <v>1632</v>
      </c>
      <c r="J155" s="30" t="str">
        <f t="array" ref="J155">XLOOKUP(I155,'従業員情報'!$A:$A,'従業員情報'!$N:$N,"×")</f>
        <v>株式会社MIXI/管掌役員なし/内部監査室(本部格)/内部監査室</v>
      </c>
      <c r="K155" s="30" t="s">
        <v>1632</v>
      </c>
      <c r="L155" s="30"/>
    </row>
    <row r="156">
      <c r="A156" s="31" t="s">
        <v>1746</v>
      </c>
      <c r="B156" s="31" t="s">
        <v>1425</v>
      </c>
      <c r="C156" s="78">
        <v>52.0</v>
      </c>
      <c r="D156" s="78">
        <v>127.0</v>
      </c>
      <c r="E156" s="79" t="str">
        <f t="array" ref="E156">XLOOKUP($A156,'source isilon_Projectまとめ'!$A:$A,'source isilon_Projectまとめ'!$D:$D,XLOOKUP($A156,'source isilon-Project-du'!$A:$A,'source isilon-Project-du'!$C:$C))</f>
        <v>0.01GB</v>
      </c>
      <c r="F156" s="79" t="str">
        <f t="array" ref="F156">XLOOKUP($A156,'source isilon_Projectまとめ'!$A:$A,'source isilon_Projectまとめ'!$C:$C,XLOOKUP($A156,'source NetApp-file-sv01～03-Proj'!$A:$A,'source NetApp-file-sv01～03-Proj'!$D:$D))</f>
        <v>2015/05/01</v>
      </c>
      <c r="G156" s="31" t="s">
        <v>2177</v>
      </c>
      <c r="H156" s="30"/>
      <c r="I156" s="31" t="s">
        <v>1545</v>
      </c>
      <c r="J156" s="30" t="str">
        <f t="array" ref="J156">XLOOKUP(I156,'退職者'!$C:$C,'退職者'!$B:$B,"×")&amp;XLOOKUP(I156,'退職者'!$C:$C,'退職者'!$A:$A,"×")</f>
        <v>Vantageスタジオ無し</v>
      </c>
      <c r="K156" s="30" t="s">
        <v>2399</v>
      </c>
      <c r="L156" s="30"/>
    </row>
    <row r="157">
      <c r="A157" s="31" t="s">
        <v>1747</v>
      </c>
      <c r="B157" s="31" t="s">
        <v>2394</v>
      </c>
      <c r="C157" s="78">
        <v>721.0</v>
      </c>
      <c r="D157" s="78">
        <v>34479.0</v>
      </c>
      <c r="E157" s="79" t="str">
        <f t="array" ref="E157">XLOOKUP($A157,'source isilon_Projectまとめ'!$A:$A,'source isilon_Projectまとめ'!$D:$D,XLOOKUP($A157,'source isilon-Project-du'!$A:$A,'source isilon-Project-du'!$C:$C))</f>
        <v>76.53GB</v>
      </c>
      <c r="F157" s="79" t="str">
        <f t="array" ref="F157">XLOOKUP($A157,'source isilon_Projectまとめ'!$A:$A,'source isilon_Projectまとめ'!$C:$C,XLOOKUP($A157,'source NetApp-file-sv01～03-Proj'!$A:$A,'source NetApp-file-sv01～03-Proj'!$D:$D))</f>
        <v>2022/09/26</v>
      </c>
      <c r="G157" s="31" t="s">
        <v>2177</v>
      </c>
      <c r="H157" s="30"/>
      <c r="I157" s="31" t="s">
        <v>1507</v>
      </c>
      <c r="J157" s="30" t="str">
        <f t="array" ref="J157">XLOOKUP(I157,'従業員情報'!$A:$A,'従業員情報'!$N:$N,"×")</f>
        <v>株式会社MIXI/奥山管掌/ソーシャルベッティング事業本部/TIPSTAR事業部/プロダクト戦略グループ/開発チーム</v>
      </c>
      <c r="K157" s="30" t="s">
        <v>1507</v>
      </c>
      <c r="L157" s="30"/>
    </row>
    <row r="158">
      <c r="A158" s="31" t="s">
        <v>1748</v>
      </c>
      <c r="B158" s="31" t="s">
        <v>2394</v>
      </c>
      <c r="C158" s="78">
        <v>3645.0</v>
      </c>
      <c r="D158" s="78">
        <v>11259.0</v>
      </c>
      <c r="E158" s="79" t="str">
        <f t="array" ref="E158">XLOOKUP($A158,'source isilon_Projectまとめ'!$A:$A,'source isilon_Projectまとめ'!$D:$D,XLOOKUP($A158,'source isilon-Project-du'!$A:$A,'source isilon-Project-du'!$C:$C))</f>
        <v>22.36GB</v>
      </c>
      <c r="F158" s="79" t="str">
        <f t="array" ref="F158">XLOOKUP($A158,'source isilon_Projectまとめ'!$A:$A,'source isilon_Projectまとめ'!$C:$C,XLOOKUP($A158,'source NetApp-file-sv01～03-Proj'!$A:$A,'source NetApp-file-sv01～03-Proj'!$D:$D))</f>
        <v>2025/07/08</v>
      </c>
      <c r="G158" s="31" t="s">
        <v>2184</v>
      </c>
      <c r="H158" s="30"/>
      <c r="I158" s="31" t="s">
        <v>1454</v>
      </c>
      <c r="J158" s="30" t="str">
        <f t="array" ref="J158">XLOOKUP(I158,'従業員情報'!$A:$A,'従業員情報'!$N:$N,"×")</f>
        <v>株式会社MIXI/管掌役員なし/上級執行役員</v>
      </c>
      <c r="K158" s="30" t="s">
        <v>1454</v>
      </c>
      <c r="L158" s="30"/>
    </row>
    <row r="159">
      <c r="A159" s="31" t="s">
        <v>1749</v>
      </c>
      <c r="B159" s="31" t="s">
        <v>2394</v>
      </c>
      <c r="C159" s="78">
        <v>388.0</v>
      </c>
      <c r="D159" s="78">
        <v>2503.0</v>
      </c>
      <c r="E159" s="79" t="str">
        <f t="array" ref="E159">XLOOKUP($A159,'source isilon_Projectまとめ'!$A:$A,'source isilon_Projectまとめ'!$D:$D,XLOOKUP($A159,'source isilon-Project-du'!$A:$A,'source isilon-Project-du'!$C:$C))</f>
        <v>5.49GB</v>
      </c>
      <c r="F159" s="79" t="str">
        <f t="array" ref="F159">XLOOKUP($A159,'source isilon_Projectまとめ'!$A:$A,'source isilon_Projectまとめ'!$C:$C,XLOOKUP($A159,'source NetApp-file-sv01～03-Proj'!$A:$A,'source NetApp-file-sv01～03-Proj'!$D:$D))</f>
        <v>2012/04/03</v>
      </c>
      <c r="G159" s="31" t="s">
        <v>2177</v>
      </c>
      <c r="H159" s="30"/>
      <c r="I159" s="31" t="s">
        <v>1423</v>
      </c>
      <c r="J159" s="30" t="str">
        <f t="array" ref="J159">XLOOKUP(I159,'従業員情報'!$A:$A,'従業員情報'!$N:$N,"×")</f>
        <v>株式会社MIXI/笠原管掌/Vantageスタジオ/mixi事業部</v>
      </c>
      <c r="K159" s="30" t="s">
        <v>1423</v>
      </c>
      <c r="L159" s="30"/>
    </row>
    <row r="160">
      <c r="A160" s="31" t="s">
        <v>1750</v>
      </c>
      <c r="B160" s="31" t="s">
        <v>1425</v>
      </c>
      <c r="C160" s="78">
        <v>9.0</v>
      </c>
      <c r="D160" s="78">
        <v>66.0</v>
      </c>
      <c r="E160" s="79" t="str">
        <f t="array" ref="E160">XLOOKUP($A160,'source isilon_Projectまとめ'!$A:$A,'source isilon_Projectまとめ'!$D:$D,XLOOKUP($A160,'source isilon-Project-du'!$A:$A,'source isilon-Project-du'!$C:$C))</f>
        <v>0.00GB</v>
      </c>
      <c r="F160" s="79" t="str">
        <f t="array" ref="F160">XLOOKUP($A160,'source isilon_Projectまとめ'!$A:$A,'source isilon_Projectまとめ'!$C:$C,XLOOKUP($A160,'source NetApp-file-sv01～03-Proj'!$A:$A,'source NetApp-file-sv01～03-Proj'!$D:$D))</f>
        <v>2020/03/05</v>
      </c>
      <c r="G160" s="31" t="s">
        <v>2177</v>
      </c>
      <c r="H160" s="30"/>
      <c r="I160" s="31" t="s">
        <v>1476</v>
      </c>
      <c r="J160" s="30" t="str">
        <f t="array" ref="J160">XLOOKUP(I160,'退職者'!$C:$C,'退職者'!$B:$B,"×")&amp;XLOOKUP(I160,'退職者'!$C:$C,'退職者'!$A:$A,"×")</f>
        <v>投資事業推進本部投資事業部</v>
      </c>
      <c r="K160" s="30" t="s">
        <v>2399</v>
      </c>
      <c r="L160" s="30"/>
    </row>
    <row r="161">
      <c r="A161" s="31" t="s">
        <v>1751</v>
      </c>
      <c r="B161" s="31" t="s">
        <v>2394</v>
      </c>
      <c r="C161" s="78">
        <v>1507.0</v>
      </c>
      <c r="D161" s="78">
        <v>10309.0</v>
      </c>
      <c r="E161" s="79" t="str">
        <f t="array" ref="E161">XLOOKUP($A161,'source isilon_Projectまとめ'!$A:$A,'source isilon_Projectまとめ'!$D:$D,XLOOKUP($A161,'source isilon-Project-du'!$A:$A,'source isilon-Project-du'!$C:$C))</f>
        <v>48116.43GB</v>
      </c>
      <c r="F161" s="79" t="str">
        <f t="array" ref="F161">XLOOKUP($A161,'source isilon_Projectまとめ'!$A:$A,'source isilon_Projectまとめ'!$C:$C,XLOOKUP($A161,'source NetApp-file-sv01～03-Proj'!$A:$A,'source NetApp-file-sv01～03-Proj'!$D:$D))</f>
        <v>2025/05/07</v>
      </c>
      <c r="G161" s="31" t="s">
        <v>2184</v>
      </c>
      <c r="H161" s="30"/>
      <c r="I161" s="31" t="s">
        <v>1754</v>
      </c>
      <c r="J161" s="30" t="str">
        <f t="array" ref="J161">XLOOKUP(I161,'従業員情報'!$A:$A,'従業員情報'!$N:$N,"×")</f>
        <v>株式会社MIXI/木村管掌/デジタルエンターテインメントオペレーションズ本部/事業戦略部/IPマーケティンググループ</v>
      </c>
      <c r="K161" s="30" t="s">
        <v>1754</v>
      </c>
      <c r="L161" s="30"/>
    </row>
    <row r="162">
      <c r="A162" s="31" t="s">
        <v>1755</v>
      </c>
      <c r="B162" s="31" t="s">
        <v>2394</v>
      </c>
      <c r="C162" s="78">
        <v>64.0</v>
      </c>
      <c r="D162" s="78">
        <v>12486.0</v>
      </c>
      <c r="E162" s="79" t="str">
        <f t="array" ref="E162">XLOOKUP($A162,'source isilon_Projectまとめ'!$A:$A,'source isilon_Projectまとめ'!$D:$D,XLOOKUP($A162,'source isilon-Project-du'!$A:$A,'source isilon-Project-du'!$C:$C))</f>
        <v>871.42GB</v>
      </c>
      <c r="F162" s="79" t="str">
        <f t="array" ref="F162">XLOOKUP($A162,'source isilon_Projectまとめ'!$A:$A,'source isilon_Projectまとめ'!$C:$C,XLOOKUP($A162,'source NetApp-file-sv01～03-Proj'!$A:$A,'source NetApp-file-sv01～03-Proj'!$D:$D))</f>
        <v>2024/03/12</v>
      </c>
      <c r="G162" s="31" t="s">
        <v>2184</v>
      </c>
      <c r="H162" s="30"/>
      <c r="I162" s="31" t="s">
        <v>1758</v>
      </c>
      <c r="J162" s="30" t="str">
        <f t="array" ref="J162">XLOOKUP(I162,'従業員情報'!$A:$A,'従業員情報'!$N:$N,"×")</f>
        <v>株式会社MIXI/村瀨管掌/デザイン本部/動画クリエイティブ室/CGデザイングループ</v>
      </c>
      <c r="K162" s="30" t="s">
        <v>1758</v>
      </c>
      <c r="L162" s="30"/>
    </row>
    <row r="163">
      <c r="A163" s="31" t="s">
        <v>1759</v>
      </c>
      <c r="B163" s="31" t="s">
        <v>2394</v>
      </c>
      <c r="C163" s="78">
        <v>499.0</v>
      </c>
      <c r="D163" s="78">
        <v>1639.0</v>
      </c>
      <c r="E163" s="79" t="str">
        <f t="array" ref="E163">XLOOKUP($A163,'source isilon_Projectまとめ'!$A:$A,'source isilon_Projectまとめ'!$D:$D,XLOOKUP($A163,'source isilon-Project-du'!$A:$A,'source isilon-Project-du'!$C:$C))</f>
        <v>0.93GB</v>
      </c>
      <c r="F163" s="79" t="str">
        <f t="array" ref="F163">XLOOKUP($A163,'source isilon_Projectまとめ'!$A:$A,'source isilon_Projectまとめ'!$C:$C,XLOOKUP($A163,'source NetApp-file-sv01～03-Proj'!$A:$A,'source NetApp-file-sv01～03-Proj'!$D:$D))</f>
        <v>2014/11/14</v>
      </c>
      <c r="G163" s="31" t="s">
        <v>2177</v>
      </c>
      <c r="H163" s="30"/>
      <c r="I163" s="31" t="s">
        <v>1454</v>
      </c>
      <c r="J163" s="30" t="str">
        <f t="array" ref="J163">XLOOKUP(I163,'従業員情報'!$A:$A,'従業員情報'!$N:$N,"×")</f>
        <v>株式会社MIXI/管掌役員なし/上級執行役員</v>
      </c>
      <c r="K163" s="30" t="s">
        <v>1454</v>
      </c>
      <c r="L163" s="30"/>
    </row>
    <row r="164">
      <c r="A164" s="31" t="s">
        <v>1760</v>
      </c>
      <c r="B164" s="31" t="s">
        <v>1425</v>
      </c>
      <c r="C164" s="78">
        <v>2450.0</v>
      </c>
      <c r="D164" s="78">
        <v>13067.0</v>
      </c>
      <c r="E164" s="79" t="str">
        <f t="array" ref="E164">XLOOKUP($A164,'source isilon_Projectまとめ'!$A:$A,'source isilon_Projectまとめ'!$D:$D,XLOOKUP($A164,'source isilon-Project-du'!$A:$A,'source isilon-Project-du'!$C:$C))</f>
        <v>18.33GB</v>
      </c>
      <c r="F164" s="79" t="str">
        <f t="array" ref="F164">XLOOKUP($A164,'source isilon_Projectまとめ'!$A:$A,'source isilon_Projectまとめ'!$C:$C,XLOOKUP($A164,'source NetApp-file-sv01～03-Proj'!$A:$A,'source NetApp-file-sv01～03-Proj'!$D:$D))</f>
        <v>2017/09/13</v>
      </c>
      <c r="G164" s="31" t="s">
        <v>2177</v>
      </c>
      <c r="H164" s="30"/>
      <c r="I164" s="31" t="s">
        <v>1679</v>
      </c>
      <c r="J164" s="30" t="str">
        <f t="array" ref="J164">XLOOKUP(I164,'退職者'!$C:$C,'退職者'!$B:$B,"×")&amp;XLOOKUP(I164,'退職者'!$C:$C,'退職者'!$A:$A,"×")</f>
        <v>開発本部XFLAG事業推進室</v>
      </c>
      <c r="K164" s="30" t="s">
        <v>2399</v>
      </c>
      <c r="L164" s="30"/>
    </row>
    <row r="165">
      <c r="A165" s="31" t="s">
        <v>1761</v>
      </c>
      <c r="B165" s="31" t="s">
        <v>2394</v>
      </c>
      <c r="C165" s="78">
        <v>46.0</v>
      </c>
      <c r="D165" s="78">
        <v>189.0</v>
      </c>
      <c r="E165" s="79" t="str">
        <f t="array" ref="E165">XLOOKUP($A165,'source isilon_Projectまとめ'!$A:$A,'source isilon_Projectまとめ'!$D:$D,XLOOKUP($A165,'source isilon-Project-du'!$A:$A,'source isilon-Project-du'!$C:$C))</f>
        <v>0.07GB</v>
      </c>
      <c r="F165" s="79" t="str">
        <f t="array" ref="F165">XLOOKUP($A165,'source isilon_Projectまとめ'!$A:$A,'source isilon_Projectまとめ'!$C:$C,XLOOKUP($A165,'source NetApp-file-sv01～03-Proj'!$A:$A,'source NetApp-file-sv01～03-Proj'!$D:$D))</f>
        <v>2012/12/19</v>
      </c>
      <c r="G165" s="31" t="s">
        <v>2177</v>
      </c>
      <c r="H165" s="30"/>
      <c r="I165" s="31" t="s">
        <v>1488</v>
      </c>
      <c r="J165" s="30" t="str">
        <f t="array" ref="J165">XLOOKUP(I165,'従業員情報'!$A:$A,'従業員情報'!$N:$N,"×")</f>
        <v>株式会社MIXI/村瀨管掌/はたらく環境推進本部/せいかつ環境室/せいかつ環境Aグループ</v>
      </c>
      <c r="K165" s="30" t="s">
        <v>1488</v>
      </c>
      <c r="L165" s="30"/>
    </row>
    <row r="166">
      <c r="A166" s="31" t="s">
        <v>1762</v>
      </c>
      <c r="B166" s="31" t="s">
        <v>993</v>
      </c>
      <c r="C166" s="78">
        <v>1911.0</v>
      </c>
      <c r="D166" s="78">
        <v>5166.0</v>
      </c>
      <c r="E166" s="79" t="str">
        <f t="array" ref="E166">XLOOKUP($A166,'source isilon_Projectまとめ'!$A:$A,'source isilon_Projectまとめ'!$D:$D,XLOOKUP($A166,'source isilon-Project-du'!$A:$A,'source isilon-Project-du'!$C:$C))</f>
        <v>3.01GB</v>
      </c>
      <c r="F166" s="79" t="str">
        <f t="array" ref="F166">XLOOKUP($A166,'source isilon_Projectまとめ'!$A:$A,'source isilon_Projectまとめ'!$C:$C,XLOOKUP($A166,'source NetApp-file-sv01～03-Proj'!$A:$A,'source NetApp-file-sv01～03-Proj'!$D:$D))</f>
        <v>2013/06/17</v>
      </c>
      <c r="G166" s="31" t="s">
        <v>2177</v>
      </c>
      <c r="H166" s="30"/>
      <c r="I166" s="31" t="s">
        <v>1537</v>
      </c>
      <c r="J166" s="30" t="str">
        <f t="array" ref="J166">XLOOKUP(I166,'退職者'!$C:$C,'退職者'!$B:$B,"×")&amp;XLOOKUP(I166,'退職者'!$C:$C,'退職者'!$A:$A,"×")</f>
        <v/>
      </c>
      <c r="K166" s="30" t="s">
        <v>2399</v>
      </c>
      <c r="L166" s="30"/>
    </row>
    <row r="167">
      <c r="A167" s="31" t="s">
        <v>1763</v>
      </c>
      <c r="B167" s="31" t="s">
        <v>2394</v>
      </c>
      <c r="C167" s="78">
        <v>158.0</v>
      </c>
      <c r="D167" s="78">
        <v>2593.0</v>
      </c>
      <c r="E167" s="79" t="str">
        <f t="array" ref="E167">XLOOKUP($A167,'source isilon_Projectまとめ'!$A:$A,'source isilon_Projectまとめ'!$D:$D,XLOOKUP($A167,'source isilon-Project-du'!$A:$A,'source isilon-Project-du'!$C:$C))</f>
        <v>0.14GB</v>
      </c>
      <c r="F167" s="79" t="str">
        <f t="array" ref="F167">XLOOKUP($A167,'source isilon_Projectまとめ'!$A:$A,'source isilon_Projectまとめ'!$C:$C,XLOOKUP($A167,'source NetApp-file-sv01～03-Proj'!$A:$A,'source NetApp-file-sv01～03-Proj'!$D:$D))</f>
        <v>2015/03/09</v>
      </c>
      <c r="G167" s="31" t="s">
        <v>2177</v>
      </c>
      <c r="H167" s="30"/>
      <c r="I167" s="31" t="s">
        <v>1391</v>
      </c>
      <c r="J167" s="30" t="str">
        <f t="array" ref="J167">XLOOKUP(I167,'従業員情報'!$A:$A,'従業員情報'!$N:$N,"×")</f>
        <v>株式会社MIXI/笠原管掌/Vantageスタジオ/Romi事業部/UX企画グループ</v>
      </c>
      <c r="K167" s="30" t="s">
        <v>1391</v>
      </c>
      <c r="L167" s="30"/>
    </row>
    <row r="168">
      <c r="A168" s="31" t="s">
        <v>1764</v>
      </c>
      <c r="B168" s="31" t="s">
        <v>2394</v>
      </c>
      <c r="C168" s="78">
        <v>60490.0</v>
      </c>
      <c r="D168" s="78">
        <v>427620.0</v>
      </c>
      <c r="E168" s="79" t="str">
        <f t="array" ref="E168">XLOOKUP($A168,'source isilon_Projectまとめ'!$A:$A,'source isilon_Projectまとめ'!$D:$D,XLOOKUP($A168,'source isilon-Project-du'!$A:$A,'source isilon-Project-du'!$C:$C))</f>
        <v>1640.74GB</v>
      </c>
      <c r="F168" s="79" t="str">
        <f t="array" ref="F168">XLOOKUP($A168,'source isilon_Projectまとめ'!$A:$A,'source isilon_Projectまとめ'!$C:$C,XLOOKUP($A168,'source NetApp-file-sv01～03-Proj'!$A:$A,'source NetApp-file-sv01～03-Proj'!$D:$D))</f>
        <v>2016/02/26</v>
      </c>
      <c r="G168" s="31" t="s">
        <v>2177</v>
      </c>
      <c r="H168" s="30"/>
      <c r="I168" s="31" t="s">
        <v>1595</v>
      </c>
      <c r="J168" s="31" t="str">
        <f t="array" ref="J168">XLOOKUP(I168,'従業員情報'!$A:$A,'従業員情報'!$N:$N,"×")</f>
        <v>株式会社MIXI/村瀨管掌/はたらく環境推進本部</v>
      </c>
      <c r="K168" s="31" t="s">
        <v>1595</v>
      </c>
      <c r="L168" s="31" t="s">
        <v>2412</v>
      </c>
    </row>
    <row r="169">
      <c r="A169" s="31" t="s">
        <v>1765</v>
      </c>
      <c r="B169" s="31" t="s">
        <v>993</v>
      </c>
      <c r="C169" s="78">
        <v>112.0</v>
      </c>
      <c r="D169" s="78">
        <v>603.0</v>
      </c>
      <c r="E169" s="79" t="str">
        <f t="array" ref="E169">XLOOKUP($A169,'source isilon_Projectまとめ'!$A:$A,'source isilon_Projectまとめ'!$D:$D,XLOOKUP($A169,'source isilon-Project-du'!$A:$A,'source isilon-Project-du'!$C:$C))</f>
        <v>0.18GB</v>
      </c>
      <c r="F169" s="79" t="str">
        <f t="array" ref="F169">XLOOKUP($A169,'source isilon_Projectまとめ'!$A:$A,'source isilon_Projectまとめ'!$C:$C,XLOOKUP($A169,'source NetApp-file-sv01～03-Proj'!$A:$A,'source NetApp-file-sv01～03-Proj'!$D:$D))</f>
        <v>2014/03/20</v>
      </c>
      <c r="G169" s="31" t="s">
        <v>2177</v>
      </c>
      <c r="H169" s="30"/>
      <c r="I169" s="31" t="s">
        <v>1643</v>
      </c>
      <c r="J169" s="30" t="str">
        <f t="array" ref="J169">XLOOKUP(I169,'退職者'!$C:$C,'退職者'!$B:$B,"×")&amp;XLOOKUP(I169,'退職者'!$C:$C,'退職者'!$A:$A,"×")</f>
        <v/>
      </c>
      <c r="K169" s="30" t="s">
        <v>2399</v>
      </c>
      <c r="L169" s="30"/>
    </row>
    <row r="170">
      <c r="A170" s="31" t="s">
        <v>1766</v>
      </c>
      <c r="B170" s="31" t="s">
        <v>2394</v>
      </c>
      <c r="C170" s="78">
        <v>84303.0</v>
      </c>
      <c r="D170" s="78">
        <v>1096039.0</v>
      </c>
      <c r="E170" s="79" t="str">
        <f t="array" ref="E170">XLOOKUP($A170,'source isilon_Projectまとめ'!$A:$A,'source isilon_Projectまとめ'!$D:$D,XLOOKUP($A170,'source isilon-Project-du'!$A:$A,'source isilon-Project-du'!$C:$C))</f>
        <v>1596.02GB</v>
      </c>
      <c r="F170" s="79" t="str">
        <f t="array" ref="F170">XLOOKUP($A170,'source isilon_Projectまとめ'!$A:$A,'source isilon_Projectまとめ'!$C:$C,XLOOKUP($A170,'source NetApp-file-sv01～03-Proj'!$A:$A,'source NetApp-file-sv01～03-Proj'!$D:$D))</f>
        <v>2023/01/06</v>
      </c>
      <c r="G170" s="31" t="s">
        <v>2184</v>
      </c>
      <c r="H170" s="30"/>
      <c r="I170" s="31" t="s">
        <v>1769</v>
      </c>
      <c r="J170" s="30" t="str">
        <f t="array" ref="J170">XLOOKUP(I170,'従業員情報'!$A:$A,'従業員情報'!$N:$N,"×")</f>
        <v>株式会社MIXI/村瀨管掌/デザイン本部/テクニカルデザイン室/デジタルエンターテインメント支援グループ/2DUI第1チーム</v>
      </c>
      <c r="K170" s="30" t="s">
        <v>1769</v>
      </c>
      <c r="L170" s="30"/>
    </row>
    <row r="171">
      <c r="A171" s="31" t="s">
        <v>1766</v>
      </c>
      <c r="B171" s="31" t="s">
        <v>993</v>
      </c>
      <c r="C171" s="78">
        <v>84303.0</v>
      </c>
      <c r="D171" s="78">
        <v>1096039.0</v>
      </c>
      <c r="E171" s="79" t="str">
        <f t="array" ref="E171">XLOOKUP($A171,'source isilon_Projectまとめ'!$A:$A,'source isilon_Projectまとめ'!$D:$D,XLOOKUP($A171,'source isilon-Project-du'!$A:$A,'source isilon-Project-du'!$C:$C))</f>
        <v>1596.02GB</v>
      </c>
      <c r="F171" s="79" t="str">
        <f t="array" ref="F171">XLOOKUP($A171,'source isilon_Projectまとめ'!$A:$A,'source isilon_Projectまとめ'!$C:$C,XLOOKUP($A171,'source NetApp-file-sv01～03-Proj'!$A:$A,'source NetApp-file-sv01～03-Proj'!$D:$D))</f>
        <v>2023/01/06</v>
      </c>
      <c r="G171" s="31" t="s">
        <v>2184</v>
      </c>
      <c r="H171" s="30"/>
      <c r="I171" s="83" t="s">
        <v>1770</v>
      </c>
      <c r="J171" s="31" t="str">
        <f t="array" ref="J171">XLOOKUP(I171,'退職者'!$C:$C,'退職者'!$B:$B,"×")&amp;XLOOKUP(I171,'退職者'!$C:$C,'退職者'!$A:$A,"×")</f>
        <v>××</v>
      </c>
      <c r="K171" s="81"/>
      <c r="L171" s="31" t="s">
        <v>2425</v>
      </c>
    </row>
    <row r="172">
      <c r="A172" s="31" t="s">
        <v>1771</v>
      </c>
      <c r="B172" s="31" t="s">
        <v>2394</v>
      </c>
      <c r="C172" s="78">
        <v>888.0</v>
      </c>
      <c r="D172" s="78">
        <v>6138.0</v>
      </c>
      <c r="E172" s="79" t="str">
        <f t="array" ref="E172">XLOOKUP($A172,'source isilon_Projectまとめ'!$A:$A,'source isilon_Projectまとめ'!$D:$D,XLOOKUP($A172,'source isilon-Project-du'!$A:$A,'source isilon-Project-du'!$C:$C))</f>
        <v>1.24GB</v>
      </c>
      <c r="F172" s="79" t="str">
        <f t="array" ref="F172">XLOOKUP($A172,'source isilon_Projectまとめ'!$A:$A,'source isilon_Projectまとめ'!$C:$C,XLOOKUP($A172,'source NetApp-file-sv01～03-Proj'!$A:$A,'source NetApp-file-sv01～03-Proj'!$D:$D))</f>
        <v>2017/03/31</v>
      </c>
      <c r="G172" s="31" t="s">
        <v>2177</v>
      </c>
      <c r="H172" s="30"/>
      <c r="I172" s="31" t="s">
        <v>1454</v>
      </c>
      <c r="J172" s="30" t="str">
        <f t="array" ref="J172">XLOOKUP(I172,'従業員情報'!$A:$A,'従業員情報'!$N:$N,"×")</f>
        <v>株式会社MIXI/管掌役員なし/上級執行役員</v>
      </c>
      <c r="K172" s="30" t="s">
        <v>1454</v>
      </c>
      <c r="L172" s="30"/>
    </row>
    <row r="173">
      <c r="A173" s="31" t="s">
        <v>1772</v>
      </c>
      <c r="B173" s="31" t="s">
        <v>1425</v>
      </c>
      <c r="C173" s="78">
        <v>10234.0</v>
      </c>
      <c r="D173" s="78">
        <v>48934.0</v>
      </c>
      <c r="E173" s="79" t="str">
        <f t="array" ref="E173">XLOOKUP($A173,'source isilon_Projectまとめ'!$A:$A,'source isilon_Projectまとめ'!$D:$D,XLOOKUP($A173,'source isilon-Project-du'!$A:$A,'source isilon-Project-du'!$C:$C))</f>
        <v>1158.40GB</v>
      </c>
      <c r="F173" s="79" t="str">
        <f t="array" ref="F173">XLOOKUP($A173,'source isilon_Projectまとめ'!$A:$A,'source isilon_Projectまとめ'!$C:$C,XLOOKUP($A173,'source NetApp-file-sv01～03-Proj'!$A:$A,'source NetApp-file-sv01～03-Proj'!$D:$D))</f>
        <v>2016/11/07</v>
      </c>
      <c r="G173" s="31" t="s">
        <v>2177</v>
      </c>
      <c r="H173" s="30"/>
      <c r="I173" s="31" t="s">
        <v>1773</v>
      </c>
      <c r="J173" s="30" t="str">
        <f t="array" ref="J173">XLOOKUP(I173,'退職者'!$C:$C,'退職者'!$B:$B,"×")&amp;XLOOKUP(I173,'退職者'!$C:$C,'退職者'!$A:$A,"×")</f>
        <v>モンスト事業本部ライフコミュニケーション部</v>
      </c>
      <c r="K173" s="30" t="s">
        <v>2399</v>
      </c>
      <c r="L173" s="30"/>
    </row>
    <row r="174">
      <c r="A174" s="31" t="s">
        <v>1774</v>
      </c>
      <c r="B174" s="31" t="s">
        <v>2394</v>
      </c>
      <c r="C174" s="78">
        <v>6707.0</v>
      </c>
      <c r="D174" s="78">
        <v>63205.0</v>
      </c>
      <c r="E174" s="79" t="str">
        <f t="array" ref="E174">XLOOKUP($A174,'source isilon_Projectまとめ'!$A:$A,'source isilon_Projectまとめ'!$D:$D,XLOOKUP($A174,'source isilon-Project-du'!$A:$A,'source isilon-Project-du'!$C:$C))</f>
        <v>1266.35GB</v>
      </c>
      <c r="F174" s="79" t="str">
        <f t="array" ref="F174">XLOOKUP($A174,'source isilon_Projectまとめ'!$A:$A,'source isilon_Projectまとめ'!$C:$C,XLOOKUP($A174,'source NetApp-file-sv01～03-Proj'!$A:$A,'source NetApp-file-sv01～03-Proj'!$D:$D))</f>
        <v>2025/06/25</v>
      </c>
      <c r="G174" s="31" t="s">
        <v>2184</v>
      </c>
      <c r="H174" s="30"/>
      <c r="I174" s="31" t="s">
        <v>1583</v>
      </c>
      <c r="J174" s="30" t="str">
        <f t="array" ref="J174">XLOOKUP(I174,'従業員情報'!$A:$A,'従業員情報'!$N:$N,"×")</f>
        <v>株式会社MIXI/村瀨管掌/はたらく環境推進本部/コーポレートエンジニアリング部</v>
      </c>
      <c r="K174" s="30" t="s">
        <v>1583</v>
      </c>
      <c r="L174" s="30"/>
    </row>
    <row r="175">
      <c r="A175" s="31" t="s">
        <v>1776</v>
      </c>
      <c r="B175" s="31" t="s">
        <v>2394</v>
      </c>
      <c r="C175" s="78">
        <v>870.0</v>
      </c>
      <c r="D175" s="78">
        <v>3203.0</v>
      </c>
      <c r="E175" s="79" t="str">
        <f t="array" ref="E175">XLOOKUP($A175,'source isilon_Projectまとめ'!$A:$A,'source isilon_Projectまとめ'!$D:$D,XLOOKUP($A175,'source isilon-Project-du'!$A:$A,'source isilon-Project-du'!$C:$C))</f>
        <v>1.54GB</v>
      </c>
      <c r="F175" s="79" t="str">
        <f t="array" ref="F175">XLOOKUP($A175,'source isilon_Projectまとめ'!$A:$A,'source isilon_Projectまとめ'!$C:$C,XLOOKUP($A175,'source NetApp-file-sv01～03-Proj'!$A:$A,'source NetApp-file-sv01～03-Proj'!$D:$D))</f>
        <v>2017/12/08</v>
      </c>
      <c r="G175" s="31" t="s">
        <v>2177</v>
      </c>
      <c r="H175" s="30"/>
      <c r="I175" s="31" t="s">
        <v>1375</v>
      </c>
      <c r="J175" s="30" t="str">
        <f t="array" ref="J175">XLOOKUP(I175,'従業員情報'!$A:$A,'従業員情報'!$N:$N,"×")</f>
        <v>株式会社MIXI/管掌役員なし/取締役</v>
      </c>
      <c r="K175" s="30" t="s">
        <v>1375</v>
      </c>
      <c r="L175" s="30"/>
    </row>
    <row r="176">
      <c r="A176" s="31" t="s">
        <v>1777</v>
      </c>
      <c r="B176" s="31" t="s">
        <v>2394</v>
      </c>
      <c r="C176" s="78">
        <v>143.0</v>
      </c>
      <c r="D176" s="78">
        <v>654.0</v>
      </c>
      <c r="E176" s="79" t="str">
        <f t="array" ref="E176">XLOOKUP($A176,'source isilon_Projectまとめ'!$A:$A,'source isilon_Projectまとめ'!$D:$D,XLOOKUP($A176,'source isilon-Project-du'!$A:$A,'source isilon-Project-du'!$C:$C))</f>
        <v>2.27GB</v>
      </c>
      <c r="F176" s="79" t="str">
        <f t="array" ref="F176">XLOOKUP($A176,'source isilon_Projectまとめ'!$A:$A,'source isilon_Projectまとめ'!$C:$C,XLOOKUP($A176,'source NetApp-file-sv01～03-Proj'!$A:$A,'source NetApp-file-sv01～03-Proj'!$D:$D))</f>
        <v>2012/02/23</v>
      </c>
      <c r="G176" s="31" t="s">
        <v>2177</v>
      </c>
      <c r="H176" s="30"/>
      <c r="I176" s="31" t="s">
        <v>1379</v>
      </c>
      <c r="J176" s="30" t="str">
        <f t="array" ref="J176">XLOOKUP(I176,'従業員情報'!$A:$A,'従業員情報'!$N:$N,"×")</f>
        <v>株式会社MIXI/島村管掌/コーポレートファイナンス本部/経理税務部/経理グループ</v>
      </c>
      <c r="K176" s="30" t="s">
        <v>1379</v>
      </c>
      <c r="L176" s="30"/>
    </row>
    <row r="177">
      <c r="A177" s="31" t="s">
        <v>1778</v>
      </c>
      <c r="B177" s="31" t="s">
        <v>2394</v>
      </c>
      <c r="C177" s="78">
        <v>77.0</v>
      </c>
      <c r="D177" s="78">
        <v>421.0</v>
      </c>
      <c r="E177" s="79" t="str">
        <f t="array" ref="E177">XLOOKUP($A177,'source isilon_Projectまとめ'!$A:$A,'source isilon_Projectまとめ'!$D:$D,XLOOKUP($A177,'source isilon-Project-du'!$A:$A,'source isilon-Project-du'!$C:$C))</f>
        <v>0.02GB</v>
      </c>
      <c r="F177" s="79" t="str">
        <f t="array" ref="F177">XLOOKUP($A177,'source isilon_Projectまとめ'!$A:$A,'source isilon_Projectまとめ'!$C:$C,XLOOKUP($A177,'source NetApp-file-sv01～03-Proj'!$A:$A,'source NetApp-file-sv01～03-Proj'!$D:$D))</f>
        <v>2014/08/05</v>
      </c>
      <c r="G177" s="31" t="s">
        <v>2177</v>
      </c>
      <c r="H177" s="30"/>
      <c r="I177" s="31" t="s">
        <v>1481</v>
      </c>
      <c r="J177" s="30" t="str">
        <f t="array" ref="J177">XLOOKUP(I177,'従業員情報'!$A:$A,'従業員情報'!$N:$N,"×")</f>
        <v>株式会社MIXI/島村管掌/コーポレートファイナンス本部/経理税務部</v>
      </c>
      <c r="K177" s="30" t="s">
        <v>1481</v>
      </c>
      <c r="L177" s="30"/>
    </row>
    <row r="178">
      <c r="A178" s="31" t="s">
        <v>1779</v>
      </c>
      <c r="B178" s="31" t="s">
        <v>993</v>
      </c>
      <c r="C178" s="78">
        <v>272.0</v>
      </c>
      <c r="D178" s="78">
        <v>2516.0</v>
      </c>
      <c r="E178" s="79" t="str">
        <f t="array" ref="E178">XLOOKUP($A178,'source isilon_Projectまとめ'!$A:$A,'source isilon_Projectまとめ'!$D:$D,XLOOKUP($A178,'source isilon-Project-du'!$A:$A,'source isilon-Project-du'!$C:$C))</f>
        <v>1.09GB</v>
      </c>
      <c r="F178" s="79" t="str">
        <f t="array" ref="F178">XLOOKUP($A178,'source isilon_Projectまとめ'!$A:$A,'source isilon_Projectまとめ'!$C:$C,XLOOKUP($A178,'source NetApp-file-sv01～03-Proj'!$A:$A,'source NetApp-file-sv01～03-Proj'!$D:$D))</f>
        <v>2013/10/31</v>
      </c>
      <c r="G178" s="31" t="s">
        <v>2177</v>
      </c>
      <c r="H178" s="30"/>
      <c r="I178" s="31" t="s">
        <v>1781</v>
      </c>
      <c r="J178" s="30" t="str">
        <f t="array" ref="J178">XLOOKUP(I178,'退職者'!$C:$C,'退職者'!$B:$B,"×")&amp;XLOOKUP(I178,'退職者'!$C:$C,'退職者'!$A:$A,"×")</f>
        <v/>
      </c>
      <c r="K178" s="30" t="s">
        <v>2399</v>
      </c>
      <c r="L178" s="30"/>
    </row>
    <row r="179">
      <c r="A179" s="31" t="s">
        <v>1782</v>
      </c>
      <c r="B179" s="31" t="s">
        <v>2394</v>
      </c>
      <c r="C179" s="78">
        <v>983.0</v>
      </c>
      <c r="D179" s="78">
        <v>3175.0</v>
      </c>
      <c r="E179" s="79" t="str">
        <f t="array" ref="E179">XLOOKUP($A179,'source isilon_Projectまとめ'!$A:$A,'source isilon_Projectまとめ'!$D:$D,XLOOKUP($A179,'source isilon-Project-du'!$A:$A,'source isilon-Project-du'!$C:$C))</f>
        <v>11.03GB</v>
      </c>
      <c r="F179" s="79" t="str">
        <f t="array" ref="F179">XLOOKUP($A179,'source isilon_Projectまとめ'!$A:$A,'source isilon_Projectまとめ'!$C:$C,XLOOKUP($A179,'source NetApp-file-sv01～03-Proj'!$A:$A,'source NetApp-file-sv01～03-Proj'!$D:$D))</f>
        <v>2021/06/18</v>
      </c>
      <c r="G179" s="31" t="s">
        <v>2177</v>
      </c>
      <c r="H179" s="30"/>
      <c r="I179" s="31" t="s">
        <v>1375</v>
      </c>
      <c r="J179" s="30" t="str">
        <f t="array" ref="J179">XLOOKUP(I179,'従業員情報'!$A:$A,'従業員情報'!$N:$N,"×")</f>
        <v>株式会社MIXI/管掌役員なし/取締役</v>
      </c>
      <c r="K179" s="30" t="s">
        <v>1375</v>
      </c>
      <c r="L179" s="30"/>
    </row>
    <row r="180">
      <c r="A180" s="31" t="s">
        <v>1783</v>
      </c>
      <c r="B180" s="31" t="s">
        <v>2394</v>
      </c>
      <c r="C180" s="78">
        <v>2969.0</v>
      </c>
      <c r="D180" s="78">
        <v>19554.0</v>
      </c>
      <c r="E180" s="79" t="str">
        <f t="array" ref="E180">XLOOKUP($A180,'source isilon_Projectまとめ'!$A:$A,'source isilon_Projectまとめ'!$D:$D,XLOOKUP($A180,'source isilon-Project-du'!$A:$A,'source isilon-Project-du'!$C:$C))</f>
        <v>43.05GB</v>
      </c>
      <c r="F180" s="79" t="str">
        <f t="array" ref="F180">XLOOKUP($A180,'source isilon_Projectまとめ'!$A:$A,'source isilon_Projectまとめ'!$C:$C,XLOOKUP($A180,'source NetApp-file-sv01～03-Proj'!$A:$A,'source NetApp-file-sv01～03-Proj'!$D:$D))</f>
        <v>2020/03/25</v>
      </c>
      <c r="G180" s="31" t="s">
        <v>2177</v>
      </c>
      <c r="H180" s="30"/>
      <c r="I180" s="31" t="s">
        <v>1423</v>
      </c>
      <c r="J180" s="30" t="str">
        <f t="array" ref="J180">XLOOKUP(I180,'従業員情報'!$A:$A,'従業員情報'!$N:$N,"×")</f>
        <v>株式会社MIXI/笠原管掌/Vantageスタジオ/mixi事業部</v>
      </c>
      <c r="K180" s="30" t="s">
        <v>1423</v>
      </c>
      <c r="L180" s="30"/>
    </row>
    <row r="181">
      <c r="A181" s="31" t="s">
        <v>1784</v>
      </c>
      <c r="B181" s="31" t="s">
        <v>993</v>
      </c>
      <c r="C181" s="78">
        <v>63.0</v>
      </c>
      <c r="D181" s="78">
        <v>66.0</v>
      </c>
      <c r="E181" s="79" t="str">
        <f t="array" ref="E181">XLOOKUP($A181,'source isilon_Projectまとめ'!$A:$A,'source isilon_Projectまとめ'!$D:$D,XLOOKUP($A181,'source isilon-Project-du'!$A:$A,'source isilon-Project-du'!$C:$C))</f>
        <v>0.01GB</v>
      </c>
      <c r="F181" s="79" t="str">
        <f t="array" ref="F181">XLOOKUP($A181,'source isilon_Projectまとめ'!$A:$A,'source isilon_Projectまとめ'!$C:$C,XLOOKUP($A181,'source NetApp-file-sv01～03-Proj'!$A:$A,'source NetApp-file-sv01～03-Proj'!$D:$D))</f>
        <v>2014/03/20</v>
      </c>
      <c r="G181" s="31" t="s">
        <v>2177</v>
      </c>
      <c r="H181" s="30"/>
      <c r="I181" s="31" t="s">
        <v>1735</v>
      </c>
      <c r="J181" s="30" t="str">
        <f t="array" ref="J181">XLOOKUP(I181,'退職者'!$C:$C,'退職者'!$B:$B,"×")&amp;XLOOKUP(I181,'退職者'!$C:$C,'退職者'!$A:$A,"×")</f>
        <v/>
      </c>
      <c r="K181" s="30" t="s">
        <v>2399</v>
      </c>
      <c r="L181" s="30"/>
    </row>
    <row r="182">
      <c r="A182" s="31" t="s">
        <v>1785</v>
      </c>
      <c r="B182" s="31" t="s">
        <v>2394</v>
      </c>
      <c r="C182" s="78">
        <v>3.0</v>
      </c>
      <c r="D182" s="78">
        <v>125.0</v>
      </c>
      <c r="E182" s="79" t="str">
        <f t="array" ref="E182">XLOOKUP($A182,'source isilon_Projectまとめ'!$A:$A,'source isilon_Projectまとめ'!$D:$D,XLOOKUP($A182,'source isilon-Project-du'!$A:$A,'source isilon-Project-du'!$C:$C))</f>
        <v>0.00GB</v>
      </c>
      <c r="F182" s="79" t="str">
        <f t="array" ref="F182">XLOOKUP($A182,'source isilon_Projectまとめ'!$A:$A,'source isilon_Projectまとめ'!$C:$C,XLOOKUP($A182,'source NetApp-file-sv01～03-Proj'!$A:$A,'source NetApp-file-sv01～03-Proj'!$D:$D))</f>
        <v>2025/07/02</v>
      </c>
      <c r="G182" s="31" t="s">
        <v>2184</v>
      </c>
      <c r="H182" s="30"/>
      <c r="I182" s="31" t="s">
        <v>1595</v>
      </c>
      <c r="J182" s="31" t="str">
        <f t="array" ref="J182">XLOOKUP(I182,'従業員情報'!$A:$A,'従業員情報'!$N:$N,"×")</f>
        <v>株式会社MIXI/村瀨管掌/はたらく環境推進本部</v>
      </c>
      <c r="K182" s="31" t="s">
        <v>1595</v>
      </c>
      <c r="L182" s="31" t="s">
        <v>2081</v>
      </c>
    </row>
    <row r="183">
      <c r="A183" s="31" t="s">
        <v>1786</v>
      </c>
      <c r="B183" s="31" t="s">
        <v>2394</v>
      </c>
      <c r="C183" s="78">
        <v>98886.0</v>
      </c>
      <c r="D183" s="78">
        <v>912922.0</v>
      </c>
      <c r="E183" s="79" t="str">
        <f t="array" ref="E183">XLOOKUP($A183,'source isilon_Projectまとめ'!$A:$A,'source isilon_Projectまとめ'!$D:$D,XLOOKUP($A183,'source isilon-Project-du'!$A:$A,'source isilon-Project-du'!$C:$C))</f>
        <v>3468.91GB</v>
      </c>
      <c r="F183" s="79" t="str">
        <f t="array" ref="F183">XLOOKUP($A183,'source isilon_Projectまとめ'!$A:$A,'source isilon_Projectまとめ'!$C:$C,XLOOKUP($A183,'source NetApp-file-sv01～03-Proj'!$A:$A,'source NetApp-file-sv01～03-Proj'!$D:$D))</f>
        <v>2019/05/13</v>
      </c>
      <c r="G183" s="31" t="s">
        <v>2177</v>
      </c>
      <c r="H183" s="30"/>
      <c r="I183" s="31" t="s">
        <v>1788</v>
      </c>
      <c r="J183" s="30" t="str">
        <f t="array" ref="J183">XLOOKUP(I183,'従業員情報'!$A:$A,'従業員情報'!$N:$N,"×")</f>
        <v>株式会社MIXI/管掌役員なし/上級執行役員</v>
      </c>
      <c r="K183" s="30" t="s">
        <v>1788</v>
      </c>
      <c r="L183" s="30"/>
    </row>
    <row r="184">
      <c r="A184" s="31" t="s">
        <v>1789</v>
      </c>
      <c r="B184" s="31" t="s">
        <v>2394</v>
      </c>
      <c r="C184" s="78">
        <v>15802.0</v>
      </c>
      <c r="D184" s="78">
        <v>131807.0</v>
      </c>
      <c r="E184" s="79" t="str">
        <f t="array" ref="E184">XLOOKUP($A184,'source isilon_Projectまとめ'!$A:$A,'source isilon_Projectまとめ'!$D:$D,XLOOKUP($A184,'source isilon-Project-du'!$A:$A,'source isilon-Project-du'!$C:$C))</f>
        <v>85.19GB</v>
      </c>
      <c r="F184" s="79" t="str">
        <f t="array" ref="F184">XLOOKUP($A184,'source isilon_Projectまとめ'!$A:$A,'source isilon_Projectまとめ'!$C:$C,XLOOKUP($A184,'source NetApp-file-sv01～03-Proj'!$A:$A,'source NetApp-file-sv01～03-Proj'!$D:$D))</f>
        <v>2025/07/09</v>
      </c>
      <c r="G184" s="31" t="s">
        <v>2184</v>
      </c>
      <c r="H184" s="30"/>
      <c r="I184" s="31" t="s">
        <v>1792</v>
      </c>
      <c r="J184" s="30" t="str">
        <f t="array" ref="J184">XLOOKUP(I184,'従業員情報'!$A:$A,'従業員情報'!$N:$N,"×")</f>
        <v>株式会社MIXI/村瀨管掌/はたらく環境推進本部/せいかつ環境室</v>
      </c>
      <c r="K184" s="30" t="s">
        <v>1792</v>
      </c>
      <c r="L184" s="30"/>
    </row>
    <row r="185">
      <c r="A185" s="31" t="s">
        <v>1793</v>
      </c>
      <c r="B185" s="31" t="s">
        <v>2394</v>
      </c>
      <c r="C185" s="78">
        <v>9703.0</v>
      </c>
      <c r="D185" s="78">
        <v>45424.0</v>
      </c>
      <c r="E185" s="79" t="str">
        <f t="array" ref="E185">XLOOKUP($A185,'source isilon_Projectまとめ'!$A:$A,'source isilon_Projectまとめ'!$D:$D,XLOOKUP($A185,'source isilon-Project-du'!$A:$A,'source isilon-Project-du'!$C:$C))</f>
        <v>90.17GB</v>
      </c>
      <c r="F185" s="79" t="str">
        <f t="array" ref="F185">XLOOKUP($A185,'source isilon_Projectまとめ'!$A:$A,'source isilon_Projectまとめ'!$C:$C,XLOOKUP($A185,'source NetApp-file-sv01～03-Proj'!$A:$A,'source NetApp-file-sv01～03-Proj'!$D:$D))</f>
        <v>2018/09/14</v>
      </c>
      <c r="G185" s="31" t="s">
        <v>2177</v>
      </c>
      <c r="H185" s="30"/>
      <c r="I185" s="31" t="s">
        <v>1796</v>
      </c>
      <c r="J185" s="30" t="str">
        <f t="array" ref="J185">XLOOKUP(I185,'従業員情報'!$A:$A,'従業員情報'!$N:$N,"×")</f>
        <v>株式会社MIXI/笠原管掌/Vantageスタジオ/mixi事業部/開発2グループ</v>
      </c>
      <c r="K185" s="30" t="s">
        <v>1796</v>
      </c>
      <c r="L185" s="30"/>
    </row>
    <row r="186">
      <c r="A186" s="31" t="s">
        <v>1797</v>
      </c>
      <c r="B186" s="31" t="s">
        <v>2394</v>
      </c>
      <c r="C186" s="78">
        <v>2.0</v>
      </c>
      <c r="D186" s="78">
        <v>9.0</v>
      </c>
      <c r="E186" s="79" t="str">
        <f t="array" ref="E186">XLOOKUP($A186,'source isilon_Projectまとめ'!$A:$A,'source isilon_Projectまとめ'!$D:$D,XLOOKUP($A186,'source isilon-Project-du'!$A:$A,'source isilon-Project-du'!$C:$C))</f>
        <v>0.00GB</v>
      </c>
      <c r="F186" s="79" t="str">
        <f t="array" ref="F186">XLOOKUP($A186,'source isilon_Projectまとめ'!$A:$A,'source isilon_Projectまとめ'!$C:$C,XLOOKUP($A186,'source NetApp-file-sv01～03-Proj'!$A:$A,'source NetApp-file-sv01～03-Proj'!$D:$D))</f>
        <v>2021/09/17</v>
      </c>
      <c r="G186" s="31" t="s">
        <v>2177</v>
      </c>
      <c r="H186" s="30"/>
      <c r="I186" s="31" t="s">
        <v>1583</v>
      </c>
      <c r="J186" s="30" t="str">
        <f t="array" ref="J186">XLOOKUP(I186,'従業員情報'!$A:$A,'従業員情報'!$N:$N,"×")</f>
        <v>株式会社MIXI/村瀨管掌/はたらく環境推進本部/コーポレートエンジニアリング部</v>
      </c>
      <c r="K186" s="30" t="s">
        <v>1583</v>
      </c>
      <c r="L186" s="30"/>
    </row>
    <row r="187">
      <c r="A187" s="31" t="s">
        <v>1799</v>
      </c>
      <c r="B187" s="31" t="s">
        <v>2394</v>
      </c>
      <c r="C187" s="78">
        <v>62466.0</v>
      </c>
      <c r="D187" s="78">
        <v>523880.0</v>
      </c>
      <c r="E187" s="79" t="str">
        <f t="array" ref="E187">XLOOKUP($A187,'source isilon_Projectまとめ'!$A:$A,'source isilon_Projectまとめ'!$D:$D,XLOOKUP($A187,'source isilon-Project-du'!$A:$A,'source isilon-Project-du'!$C:$C))</f>
        <v>206.80GB</v>
      </c>
      <c r="F187" s="79" t="str">
        <f t="array" ref="F187">XLOOKUP($A187,'source isilon_Projectまとめ'!$A:$A,'source isilon_Projectまとめ'!$C:$C,XLOOKUP($A187,'source NetApp-file-sv01～03-Proj'!$A:$A,'source NetApp-file-sv01～03-Proj'!$D:$D))</f>
        <v>2019/05/15</v>
      </c>
      <c r="G187" s="31" t="s">
        <v>2177</v>
      </c>
      <c r="H187" s="30"/>
      <c r="I187" s="31" t="s">
        <v>1391</v>
      </c>
      <c r="J187" s="30" t="str">
        <f t="array" ref="J187">XLOOKUP(I187,'従業員情報'!$A:$A,'従業員情報'!$N:$N,"×")</f>
        <v>株式会社MIXI/笠原管掌/Vantageスタジオ/Romi事業部/UX企画グループ</v>
      </c>
      <c r="K187" s="30" t="s">
        <v>1391</v>
      </c>
      <c r="L187" s="30"/>
    </row>
    <row r="188">
      <c r="A188" s="31" t="s">
        <v>1800</v>
      </c>
      <c r="B188" s="31" t="s">
        <v>2394</v>
      </c>
      <c r="C188" s="78">
        <v>28.0</v>
      </c>
      <c r="D188" s="78">
        <v>20.0</v>
      </c>
      <c r="E188" s="79" t="str">
        <f t="array" ref="E188">XLOOKUP($A188,'source isilon_Projectまとめ'!$A:$A,'source isilon_Projectまとめ'!$D:$D,XLOOKUP($A188,'source isilon-Project-du'!$A:$A,'source isilon-Project-du'!$C:$C))</f>
        <v>0.12GB</v>
      </c>
      <c r="F188" s="79" t="str">
        <f t="array" ref="F188">XLOOKUP($A188,'source isilon_Projectまとめ'!$A:$A,'source isilon_Projectまとめ'!$C:$C,XLOOKUP($A188,'source NetApp-file-sv01～03-Proj'!$A:$A,'source NetApp-file-sv01～03-Proj'!$D:$D))</f>
        <v>2025/04/07</v>
      </c>
      <c r="G188" s="31" t="s">
        <v>2184</v>
      </c>
      <c r="H188" s="30"/>
      <c r="I188" s="31" t="s">
        <v>1803</v>
      </c>
      <c r="J188" s="30" t="str">
        <f t="array" ref="J188">XLOOKUP(I188,'従業員情報'!$A:$A,'従業員情報'!$N:$N,"×")</f>
        <v>株式会社MIXI/木村管掌/デジタルエンターテインメントオペレーションズ本部/宣伝部/海外プロモーショングループ</v>
      </c>
      <c r="K188" s="30" t="s">
        <v>1803</v>
      </c>
      <c r="L188" s="30"/>
    </row>
    <row r="189">
      <c r="A189" s="31" t="s">
        <v>1800</v>
      </c>
      <c r="B189" s="31" t="s">
        <v>2394</v>
      </c>
      <c r="C189" s="78">
        <v>28.0</v>
      </c>
      <c r="D189" s="78">
        <v>20.0</v>
      </c>
      <c r="E189" s="79" t="str">
        <f t="array" ref="E189">XLOOKUP($A189,'source isilon_Projectまとめ'!$A:$A,'source isilon_Projectまとめ'!$D:$D,XLOOKUP($A189,'source isilon-Project-du'!$A:$A,'source isilon-Project-du'!$C:$C))</f>
        <v>0.12GB</v>
      </c>
      <c r="F189" s="79" t="str">
        <f t="array" ref="F189">XLOOKUP($A189,'source isilon_Projectまとめ'!$A:$A,'source isilon_Projectまとめ'!$C:$C,XLOOKUP($A189,'source NetApp-file-sv01～03-Proj'!$A:$A,'source NetApp-file-sv01～03-Proj'!$D:$D))</f>
        <v>2025/04/07</v>
      </c>
      <c r="G189" s="31" t="s">
        <v>2184</v>
      </c>
      <c r="H189" s="30"/>
      <c r="I189" s="31" t="s">
        <v>1805</v>
      </c>
      <c r="J189" s="30" t="str">
        <f t="array" ref="J189">XLOOKUP(I189,'従業員情報'!$A:$A,'従業員情報'!$N:$N,"×")</f>
        <v>株式会社MIXI/奥山管掌/ソーシャルベッティング事業本部/TIPSTAR事業部/プロダクト戦略グループ/マーケティングチーム</v>
      </c>
      <c r="K189" s="30" t="s">
        <v>1805</v>
      </c>
      <c r="L189" s="30"/>
    </row>
    <row r="190">
      <c r="A190" s="31" t="s">
        <v>1806</v>
      </c>
      <c r="B190" s="31" t="s">
        <v>2394</v>
      </c>
      <c r="C190" s="78">
        <v>142269.0</v>
      </c>
      <c r="D190" s="78">
        <v>1537397.0</v>
      </c>
      <c r="E190" s="79" t="str">
        <f t="array" ref="E190">XLOOKUP($A190,'source isilon_Projectまとめ'!$A:$A,'source isilon_Projectまとめ'!$D:$D,XLOOKUP($A190,'source isilon-Project-du'!$A:$A,'source isilon-Project-du'!$C:$C))</f>
        <v>1230.15GB</v>
      </c>
      <c r="F190" s="79" t="str">
        <f t="array" ref="F190">XLOOKUP($A190,'source isilon_Projectまとめ'!$A:$A,'source isilon_Projectまとめ'!$C:$C,XLOOKUP($A190,'source NetApp-file-sv01～03-Proj'!$A:$A,'source NetApp-file-sv01～03-Proj'!$D:$D))</f>
        <v>2025/06/02</v>
      </c>
      <c r="G190" s="31" t="s">
        <v>2184</v>
      </c>
      <c r="H190" s="30"/>
      <c r="I190" s="31" t="s">
        <v>1469</v>
      </c>
      <c r="J190" s="30" t="str">
        <f t="array" ref="J190">XLOOKUP(I190,'従業員情報'!$A:$A,'従業員情報'!$N:$N,"×")</f>
        <v>株式会社MIXI/笠原管掌/Vantageスタジオ/事業推進室</v>
      </c>
      <c r="K190" s="30" t="s">
        <v>1469</v>
      </c>
      <c r="L190" s="30"/>
    </row>
    <row r="191">
      <c r="A191" s="31" t="s">
        <v>1807</v>
      </c>
      <c r="B191" s="31" t="s">
        <v>2394</v>
      </c>
      <c r="C191" s="78">
        <v>315729.0</v>
      </c>
      <c r="D191" s="78">
        <v>2975141.0</v>
      </c>
      <c r="E191" s="79" t="str">
        <f t="array" ref="E191">XLOOKUP($A191,'source isilon_Projectまとめ'!$A:$A,'source isilon_Projectまとめ'!$D:$D,XLOOKUP($A191,'source isilon-Project-du'!$A:$A,'source isilon-Project-du'!$C:$C))</f>
        <v>33925.28GB</v>
      </c>
      <c r="F191" s="79" t="str">
        <f t="array" ref="F191">XLOOKUP($A191,'source isilon_Projectまとめ'!$A:$A,'source isilon_Projectまとめ'!$C:$C,XLOOKUP($A191,'source NetApp-file-sv01～03-Proj'!$A:$A,'source NetApp-file-sv01～03-Proj'!$D:$D))</f>
        <v>2025/07/09</v>
      </c>
      <c r="G191" s="31" t="s">
        <v>2184</v>
      </c>
      <c r="H191" s="30"/>
      <c r="I191" s="31" t="s">
        <v>1810</v>
      </c>
      <c r="J191" s="30" t="str">
        <f t="array" ref="J191">XLOOKUP(I191,'従業員情報'!$A:$A,'従業員情報'!$N:$N,"×")</f>
        <v>株式会社MIXI/木村管掌/デジタルエンターテインメントオペレーションズ本部/モンストIPクリエイション部</v>
      </c>
      <c r="K191" s="30" t="s">
        <v>1810</v>
      </c>
      <c r="L191" s="30"/>
    </row>
    <row r="192">
      <c r="A192" s="31" t="s">
        <v>1811</v>
      </c>
      <c r="B192" s="31" t="s">
        <v>2394</v>
      </c>
      <c r="C192" s="78">
        <v>7602.0</v>
      </c>
      <c r="D192" s="78">
        <v>36124.0</v>
      </c>
      <c r="E192" s="79" t="str">
        <f t="array" ref="E192">XLOOKUP($A192,'source isilon_Projectまとめ'!$A:$A,'source isilon_Projectまとめ'!$D:$D,XLOOKUP($A192,'source isilon-Project-du'!$A:$A,'source isilon-Project-du'!$C:$C))</f>
        <v>43.89GB</v>
      </c>
      <c r="F192" s="79" t="str">
        <f t="array" ref="F192">XLOOKUP($A192,'source isilon_Projectまとめ'!$A:$A,'source isilon_Projectまとめ'!$C:$C,XLOOKUP($A192,'source NetApp-file-sv01～03-Proj'!$A:$A,'source NetApp-file-sv01～03-Proj'!$D:$D))</f>
        <v>2025/06/27</v>
      </c>
      <c r="G192" s="31" t="s">
        <v>2184</v>
      </c>
      <c r="H192" s="30"/>
      <c r="I192" s="31" t="s">
        <v>1375</v>
      </c>
      <c r="J192" s="30" t="str">
        <f t="array" ref="J192">XLOOKUP(I192,'従業員情報'!$A:$A,'従業員情報'!$N:$N,"×")</f>
        <v>株式会社MIXI/管掌役員なし/取締役</v>
      </c>
      <c r="K192" s="30" t="s">
        <v>1375</v>
      </c>
      <c r="L192" s="30"/>
    </row>
    <row r="193">
      <c r="A193" s="31" t="s">
        <v>1811</v>
      </c>
      <c r="B193" s="31" t="s">
        <v>2394</v>
      </c>
      <c r="C193" s="78">
        <v>7602.0</v>
      </c>
      <c r="D193" s="78">
        <v>36124.0</v>
      </c>
      <c r="E193" s="79" t="str">
        <f t="array" ref="E193">XLOOKUP($A193,'source isilon_Projectまとめ'!$A:$A,'source isilon_Projectまとめ'!$D:$D,XLOOKUP($A193,'source isilon-Project-du'!$A:$A,'source isilon-Project-du'!$C:$C))</f>
        <v>43.89GB</v>
      </c>
      <c r="F193" s="79" t="str">
        <f t="array" ref="F193">XLOOKUP($A193,'source isilon_Projectまとめ'!$A:$A,'source isilon_Projectまとめ'!$C:$C,XLOOKUP($A193,'source NetApp-file-sv01～03-Proj'!$A:$A,'source NetApp-file-sv01～03-Proj'!$D:$D))</f>
        <v>2025/06/27</v>
      </c>
      <c r="G193" s="31" t="s">
        <v>2184</v>
      </c>
      <c r="H193" s="30"/>
      <c r="I193" s="31" t="s">
        <v>1788</v>
      </c>
      <c r="J193" s="30" t="str">
        <f t="array" ref="J193">XLOOKUP(I193,'従業員情報'!$A:$A,'従業員情報'!$N:$N,"×")</f>
        <v>株式会社MIXI/管掌役員なし/上級執行役員</v>
      </c>
      <c r="K193" s="30" t="s">
        <v>1788</v>
      </c>
      <c r="L193" s="30"/>
    </row>
    <row r="194">
      <c r="A194" s="31" t="s">
        <v>1813</v>
      </c>
      <c r="B194" s="31" t="s">
        <v>2394</v>
      </c>
      <c r="C194" s="78">
        <v>163806.0</v>
      </c>
      <c r="D194" s="78">
        <v>1679905.0</v>
      </c>
      <c r="E194" s="79" t="str">
        <f t="array" ref="E194">XLOOKUP($A194,'source isilon_Projectまとめ'!$A:$A,'source isilon_Projectまとめ'!$D:$D,XLOOKUP($A194,'source isilon-Project-du'!$A:$A,'source isilon-Project-du'!$C:$C))</f>
        <v>32063.28GB</v>
      </c>
      <c r="F194" s="79" t="str">
        <f t="array" ref="F194">XLOOKUP($A194,'source isilon_Projectまとめ'!$A:$A,'source isilon_Projectまとめ'!$C:$C,XLOOKUP($A194,'source NetApp-file-sv01～03-Proj'!$A:$A,'source NetApp-file-sv01～03-Proj'!$D:$D))</f>
        <v>2023/10/11</v>
      </c>
      <c r="G194" s="31" t="s">
        <v>2184</v>
      </c>
      <c r="H194" s="30"/>
      <c r="I194" s="31" t="s">
        <v>1557</v>
      </c>
      <c r="J194" s="30" t="str">
        <f t="array" ref="J194">XLOOKUP(I194,'従業員情報'!$A:$A,'従業員情報'!$N:$N,"×")</f>
        <v>株式会社MIXI/村瀨管掌/はたらく環境推進本部/ビジネスサポート室/インフォメーションハブグループ</v>
      </c>
      <c r="K194" s="30" t="s">
        <v>1557</v>
      </c>
      <c r="L194" s="30"/>
    </row>
    <row r="195">
      <c r="A195" s="31" t="s">
        <v>1815</v>
      </c>
      <c r="B195" s="31" t="s">
        <v>2394</v>
      </c>
      <c r="C195" s="78">
        <v>668.0</v>
      </c>
      <c r="D195" s="78">
        <v>2876.0</v>
      </c>
      <c r="E195" s="79" t="str">
        <f t="array" ref="E195">XLOOKUP($A195,'source isilon_Projectまとめ'!$A:$A,'source isilon_Projectまとめ'!$D:$D,XLOOKUP($A195,'source isilon-Project-du'!$A:$A,'source isilon-Project-du'!$C:$C))</f>
        <v>1.17GB</v>
      </c>
      <c r="F195" s="79" t="str">
        <f t="array" ref="F195">XLOOKUP($A195,'source isilon_Projectまとめ'!$A:$A,'source isilon_Projectまとめ'!$C:$C,XLOOKUP($A195,'source NetApp-file-sv01～03-Proj'!$A:$A,'source NetApp-file-sv01～03-Proj'!$D:$D))</f>
        <v>2024/06/18</v>
      </c>
      <c r="G195" s="31" t="s">
        <v>2184</v>
      </c>
      <c r="H195" s="30"/>
      <c r="I195" s="31" t="s">
        <v>1818</v>
      </c>
      <c r="J195" s="30" t="str">
        <f t="array" ref="J195">XLOOKUP(I195,'従業員情報'!$A:$A,'従業員情報'!$N:$N,"×")</f>
        <v>株式会社MIXI/村瀨管掌/はたらく環境推進本部/コーポレートITサービス部/バックオフィスグループ</v>
      </c>
      <c r="K195" s="30" t="s">
        <v>1818</v>
      </c>
      <c r="L195" s="30"/>
    </row>
    <row r="196">
      <c r="A196" s="31" t="s">
        <v>1819</v>
      </c>
      <c r="B196" s="31" t="s">
        <v>994</v>
      </c>
      <c r="C196" s="78">
        <v>71610.0</v>
      </c>
      <c r="D196" s="78">
        <v>549325.0</v>
      </c>
      <c r="E196" s="79" t="str">
        <f t="array" ref="E196">XLOOKUP($A196,'source isilon_Projectまとめ'!$A:$A,'source isilon_Projectまとめ'!$D:$D,XLOOKUP($A196,'source isilon-Project-du'!$A:$A,'source isilon-Project-du'!$C:$C))</f>
        <v>306.49GB</v>
      </c>
      <c r="F196" s="79" t="str">
        <f t="array" ref="F196">XLOOKUP($A196,'source isilon_Projectまとめ'!$A:$A,'source isilon_Projectまとめ'!$C:$C,XLOOKUP($A196,'source NetApp-file-sv01～03-Proj'!$A:$A,'source NetApp-file-sv01～03-Proj'!$D:$D))</f>
        <v>2025/07/09</v>
      </c>
      <c r="G196" s="30" t="s">
        <v>2184</v>
      </c>
      <c r="H196" s="30"/>
      <c r="I196" s="31" t="s">
        <v>1053</v>
      </c>
      <c r="J196" s="31" t="str">
        <f t="array" ref="J196">XLOOKUP(I196,'退職者'!$C:$C,'退職者'!$A:$A,"×")</f>
        <v>×</v>
      </c>
      <c r="K196" s="81" t="s">
        <v>2419</v>
      </c>
      <c r="L196" s="31" t="s">
        <v>2419</v>
      </c>
    </row>
    <row r="197">
      <c r="A197" s="31" t="s">
        <v>1820</v>
      </c>
      <c r="B197" s="31" t="s">
        <v>2394</v>
      </c>
      <c r="C197" s="78">
        <v>8.0</v>
      </c>
      <c r="D197" s="78">
        <v>13.0</v>
      </c>
      <c r="E197" s="79" t="str">
        <f t="array" ref="E197">XLOOKUP($A197,'source isilon_Projectまとめ'!$A:$A,'source isilon_Projectまとめ'!$D:$D,XLOOKUP($A197,'source isilon-Project-du'!$A:$A,'source isilon-Project-du'!$C:$C))</f>
        <v>0.01GB</v>
      </c>
      <c r="F197" s="79" t="str">
        <f t="array" ref="F197">XLOOKUP($A197,'source isilon_Projectまとめ'!$A:$A,'source isilon_Projectまとめ'!$C:$C,XLOOKUP($A197,'source NetApp-file-sv01～03-Proj'!$A:$A,'source NetApp-file-sv01～03-Proj'!$D:$D))</f>
        <v>2020/03/19</v>
      </c>
      <c r="G197" s="31" t="s">
        <v>2177</v>
      </c>
      <c r="H197" s="30"/>
      <c r="I197" s="31" t="s">
        <v>1823</v>
      </c>
      <c r="J197" s="30" t="str">
        <f t="array" ref="J197">XLOOKUP(I197,'従業員情報'!$A:$A,'従業員情報'!$N:$N,"×")</f>
        <v>株式会社MIXI/木村管掌/デジタルエンターテインメントオペレーションズ本部/宣伝部/デジタルマーケティンググループ/離反復帰チーム</v>
      </c>
      <c r="K197" s="30" t="s">
        <v>1823</v>
      </c>
      <c r="L197" s="30"/>
    </row>
    <row r="198">
      <c r="A198" s="31" t="s">
        <v>1820</v>
      </c>
      <c r="B198" s="31" t="s">
        <v>1425</v>
      </c>
      <c r="C198" s="78">
        <v>8.0</v>
      </c>
      <c r="D198" s="78">
        <v>13.0</v>
      </c>
      <c r="E198" s="79" t="str">
        <f t="array" ref="E198">XLOOKUP($A198,'source isilon_Projectまとめ'!$A:$A,'source isilon_Projectまとめ'!$D:$D,XLOOKUP($A198,'source isilon-Project-du'!$A:$A,'source isilon-Project-du'!$C:$C))</f>
        <v>0.01GB</v>
      </c>
      <c r="F198" s="79" t="str">
        <f t="array" ref="F198">XLOOKUP($A198,'source isilon_Projectまとめ'!$A:$A,'source isilon_Projectまとめ'!$C:$C,XLOOKUP($A198,'source NetApp-file-sv01～03-Proj'!$A:$A,'source NetApp-file-sv01～03-Proj'!$D:$D))</f>
        <v>2020/03/19</v>
      </c>
      <c r="G198" s="31" t="s">
        <v>2177</v>
      </c>
      <c r="H198" s="30"/>
      <c r="I198" s="31" t="s">
        <v>1824</v>
      </c>
      <c r="J198" s="30" t="str">
        <f t="array" ref="J198">XLOOKUP(I198,'退職者'!$C:$C,'退職者'!$B:$B,"×")&amp;XLOOKUP(I198,'退職者'!$C:$C,'退職者'!$A:$A,"×")</f>
        <v>ﾓﾝｽﾄ事業本部MSｽﾋﾟﾝｵﾌｹﾞｰﾑ事業部</v>
      </c>
      <c r="K198" s="30" t="s">
        <v>2399</v>
      </c>
      <c r="L198" s="30"/>
    </row>
    <row r="199">
      <c r="A199" s="31" t="s">
        <v>1825</v>
      </c>
      <c r="B199" s="31" t="s">
        <v>2394</v>
      </c>
      <c r="C199" s="78">
        <v>13.0</v>
      </c>
      <c r="D199" s="78">
        <v>125.0</v>
      </c>
      <c r="E199" s="79" t="str">
        <f t="array" ref="E199">XLOOKUP($A199,'source isilon_Projectまとめ'!$A:$A,'source isilon_Projectまとめ'!$D:$D,XLOOKUP($A199,'source isilon-Project-du'!$A:$A,'source isilon-Project-du'!$C:$C))</f>
        <v>0.35GB</v>
      </c>
      <c r="F199" s="79" t="str">
        <f t="array" ref="F199">XLOOKUP($A199,'source isilon_Projectまとめ'!$A:$A,'source isilon_Projectまとめ'!$C:$C,XLOOKUP($A199,'source NetApp-file-sv01～03-Proj'!$A:$A,'source NetApp-file-sv01～03-Proj'!$D:$D))</f>
        <v>2015/01/08</v>
      </c>
      <c r="G199" s="31" t="s">
        <v>2177</v>
      </c>
      <c r="H199" s="30"/>
      <c r="I199" s="31" t="s">
        <v>1379</v>
      </c>
      <c r="J199" s="30" t="str">
        <f t="array" ref="J199">XLOOKUP(I199,'従業員情報'!$A:$A,'従業員情報'!$N:$N,"×")</f>
        <v>株式会社MIXI/島村管掌/コーポレートファイナンス本部/経理税務部/経理グループ</v>
      </c>
      <c r="K199" s="30" t="s">
        <v>1379</v>
      </c>
      <c r="L199" s="30"/>
    </row>
    <row r="200">
      <c r="A200" s="31" t="s">
        <v>1826</v>
      </c>
      <c r="B200" s="31" t="s">
        <v>2394</v>
      </c>
      <c r="C200" s="78">
        <v>7.0</v>
      </c>
      <c r="D200" s="78">
        <v>22.0</v>
      </c>
      <c r="E200" s="79" t="str">
        <f t="array" ref="E200">XLOOKUP($A200,'source isilon_Projectまとめ'!$A:$A,'source isilon_Projectまとめ'!$D:$D,XLOOKUP($A200,'source isilon-Project-du'!$A:$A,'source isilon-Project-du'!$C:$C))</f>
        <v>0.00GB</v>
      </c>
      <c r="F200" s="79" t="str">
        <f t="array" ref="F200">XLOOKUP($A200,'source isilon_Projectまとめ'!$A:$A,'source isilon_Projectまとめ'!$C:$C,XLOOKUP($A200,'source NetApp-file-sv01～03-Proj'!$A:$A,'source NetApp-file-sv01～03-Proj'!$D:$D))</f>
        <v>2018/06/25</v>
      </c>
      <c r="G200" s="31" t="s">
        <v>2177</v>
      </c>
      <c r="H200" s="30"/>
      <c r="I200" s="31" t="s">
        <v>1827</v>
      </c>
      <c r="J200" s="30" t="str">
        <f t="array" ref="J200">XLOOKUP(I200,'従業員情報'!$A:$A,'従業員情報'!$N:$N,"×")</f>
        <v>株式会社MIXI/島村管掌/経営推進本部/FP&amp;Aインテリジェンス部/コーポレートFP&amp;Aグループ</v>
      </c>
      <c r="K200" s="30" t="s">
        <v>1827</v>
      </c>
      <c r="L200" s="30"/>
    </row>
    <row r="201">
      <c r="A201" s="31" t="s">
        <v>1829</v>
      </c>
      <c r="B201" s="31" t="s">
        <v>2394</v>
      </c>
      <c r="C201" s="78">
        <v>72805.0</v>
      </c>
      <c r="D201" s="78">
        <v>740769.0</v>
      </c>
      <c r="E201" s="79" t="str">
        <f t="array" ref="E201">XLOOKUP($A201,'source isilon_Projectまとめ'!$A:$A,'source isilon_Projectまとめ'!$D:$D,XLOOKUP($A201,'source isilon-Project-du'!$A:$A,'source isilon-Project-du'!$C:$C))</f>
        <v>1550.04GB</v>
      </c>
      <c r="F201" s="79" t="str">
        <f t="array" ref="F201">XLOOKUP($A201,'source isilon_Projectまとめ'!$A:$A,'source isilon_Projectまとめ'!$C:$C,XLOOKUP($A201,'source NetApp-file-sv01～03-Proj'!$A:$A,'source NetApp-file-sv01～03-Proj'!$D:$D))</f>
        <v>2025/07/09</v>
      </c>
      <c r="G201" s="31" t="s">
        <v>2184</v>
      </c>
      <c r="H201" s="30"/>
      <c r="I201" s="31" t="s">
        <v>1672</v>
      </c>
      <c r="J201" s="30" t="str">
        <f t="array" ref="J201">XLOOKUP(I201,'従業員情報'!$A:$A,'従業員情報'!$N:$N,"×")</f>
        <v>株式会社MIXI/木村管掌/デジタルエンターテインメントオペレーションズ本部/モンストIPクリエイション部/キャラプログループ/アート監修チーム</v>
      </c>
      <c r="K201" s="30" t="s">
        <v>1672</v>
      </c>
      <c r="L201" s="30"/>
    </row>
    <row r="202">
      <c r="A202" s="31" t="s">
        <v>1831</v>
      </c>
      <c r="B202" s="31" t="s">
        <v>2394</v>
      </c>
      <c r="C202" s="78">
        <v>32.0</v>
      </c>
      <c r="D202" s="78">
        <v>182.0</v>
      </c>
      <c r="E202" s="79" t="str">
        <f t="array" ref="E202">XLOOKUP($A202,'source isilon_Projectまとめ'!$A:$A,'source isilon_Projectまとめ'!$D:$D,XLOOKUP($A202,'source isilon-Project-du'!$A:$A,'source isilon-Project-du'!$C:$C))</f>
        <v>0.07GB</v>
      </c>
      <c r="F202" s="79" t="str">
        <f t="array" ref="F202">XLOOKUP($A202,'source isilon_Projectまとめ'!$A:$A,'source isilon_Projectまとめ'!$C:$C,XLOOKUP($A202,'source NetApp-file-sv01～03-Proj'!$A:$A,'source NetApp-file-sv01～03-Proj'!$D:$D))</f>
        <v>2011/04/13</v>
      </c>
      <c r="G202" s="31" t="s">
        <v>2177</v>
      </c>
      <c r="H202" s="30"/>
      <c r="I202" s="31" t="s">
        <v>1423</v>
      </c>
      <c r="J202" s="30" t="str">
        <f t="array" ref="J202">XLOOKUP(I202,'従業員情報'!$A:$A,'従業員情報'!$N:$N,"×")</f>
        <v>株式会社MIXI/笠原管掌/Vantageスタジオ/mixi事業部</v>
      </c>
      <c r="K202" s="30" t="s">
        <v>1423</v>
      </c>
      <c r="L202" s="30"/>
    </row>
    <row r="203">
      <c r="A203" s="31" t="s">
        <v>1832</v>
      </c>
      <c r="B203" s="31" t="s">
        <v>1425</v>
      </c>
      <c r="C203" s="78">
        <v>621.0</v>
      </c>
      <c r="D203" s="78">
        <v>7262.0</v>
      </c>
      <c r="E203" s="79" t="str">
        <f t="array" ref="E203">XLOOKUP($A203,'source isilon_Projectまとめ'!$A:$A,'source isilon_Projectまとめ'!$D:$D,XLOOKUP($A203,'source isilon-Project-du'!$A:$A,'source isilon-Project-du'!$C:$C))</f>
        <v>92.31GB</v>
      </c>
      <c r="F203" s="79" t="str">
        <f t="array" ref="F203">XLOOKUP($A203,'source isilon_Projectまとめ'!$A:$A,'source isilon_Projectまとめ'!$C:$C,XLOOKUP($A203,'source NetApp-file-sv01～03-Proj'!$A:$A,'source NetApp-file-sv01～03-Proj'!$D:$D))</f>
        <v>2023/01/18</v>
      </c>
      <c r="G203" s="31" t="s">
        <v>2184</v>
      </c>
      <c r="H203" s="30"/>
      <c r="I203" s="31" t="s">
        <v>1834</v>
      </c>
      <c r="J203" s="31" t="str">
        <f t="array" ref="J203">XLOOKUP(I203,'退職者'!$C:$C,'退職者'!$B:$B,"×")&amp;XLOOKUP(I203,'退職者'!$C:$C,'退職者'!$A:$A,"×")</f>
        <v>ﾃﾞｼﾞﾀﾙｴﾝﾀｰﾃｲﾝﾒﾝﾄｵﾍﾟﾚｰｼｮﾝｽﾞ本部ｺﾄﾀﾞﾏﾝ運営部</v>
      </c>
      <c r="K203" s="31" t="s">
        <v>2426</v>
      </c>
      <c r="L203" s="31" t="s">
        <v>2426</v>
      </c>
    </row>
    <row r="204">
      <c r="A204" s="31" t="s">
        <v>1832</v>
      </c>
      <c r="B204" s="31" t="s">
        <v>2394</v>
      </c>
      <c r="C204" s="78">
        <v>621.0</v>
      </c>
      <c r="D204" s="78">
        <v>7262.0</v>
      </c>
      <c r="E204" s="79" t="str">
        <f t="array" ref="E204">XLOOKUP($A204,'source isilon_Projectまとめ'!$A:$A,'source isilon_Projectまとめ'!$D:$D,XLOOKUP($A204,'source isilon-Project-du'!$A:$A,'source isilon-Project-du'!$C:$C))</f>
        <v>92.31GB</v>
      </c>
      <c r="F204" s="79" t="str">
        <f t="array" ref="F204">XLOOKUP($A204,'source isilon_Projectまとめ'!$A:$A,'source isilon_Projectまとめ'!$C:$C,XLOOKUP($A204,'source NetApp-file-sv01～03-Proj'!$A:$A,'source NetApp-file-sv01～03-Proj'!$D:$D))</f>
        <v>2023/01/18</v>
      </c>
      <c r="G204" s="31" t="s">
        <v>2184</v>
      </c>
      <c r="H204" s="30"/>
      <c r="I204" s="31" t="s">
        <v>1836</v>
      </c>
      <c r="J204" s="31" t="str">
        <f t="array" ref="J204">XLOOKUP(I204,'従業員情報'!$A:$A,'従業員情報'!$N:$N,"×")</f>
        <v>株式会社MIXI/木村管掌/デジタルエンターテインメントパブリッシング本部/グローバルモンスト室/事業企画グループ/事業推進チーム</v>
      </c>
      <c r="K204" s="31" t="s">
        <v>1836</v>
      </c>
      <c r="L204" s="31" t="s">
        <v>2426</v>
      </c>
    </row>
    <row r="205">
      <c r="A205" s="31" t="s">
        <v>1832</v>
      </c>
      <c r="B205" s="31" t="s">
        <v>1425</v>
      </c>
      <c r="C205" s="78">
        <v>621.0</v>
      </c>
      <c r="D205" s="78">
        <v>7262.0</v>
      </c>
      <c r="E205" s="79" t="str">
        <f t="array" ref="E205">XLOOKUP($A205,'source isilon_Projectまとめ'!$A:$A,'source isilon_Projectまとめ'!$D:$D,XLOOKUP($A205,'source isilon-Project-du'!$A:$A,'source isilon-Project-du'!$C:$C))</f>
        <v>92.31GB</v>
      </c>
      <c r="F205" s="79" t="str">
        <f t="array" ref="F205">XLOOKUP($A205,'source isilon_Projectまとめ'!$A:$A,'source isilon_Projectまとめ'!$C:$C,XLOOKUP($A205,'source NetApp-file-sv01～03-Proj'!$A:$A,'source NetApp-file-sv01～03-Proj'!$D:$D))</f>
        <v>2023/01/18</v>
      </c>
      <c r="G205" s="31" t="s">
        <v>2184</v>
      </c>
      <c r="H205" s="30"/>
      <c r="I205" s="31" t="s">
        <v>2427</v>
      </c>
      <c r="J205" s="31" t="str">
        <f t="array" ref="J205">XLOOKUP(I205,'退職者'!$C:$C,'退職者'!$B:$B,"×")&amp;XLOOKUP(I205,'退職者'!$C:$C,'退職者'!$A:$A,"×")</f>
        <v>ﾃﾞｼﾞﾀﾙｴﾝﾀｰﾃｲﾝﾒﾝﾄ事業本部ﾓﾝｽﾄｼﾘｰｽﾞｹﾞｰﾑ事業部</v>
      </c>
      <c r="K205" s="31" t="s">
        <v>2426</v>
      </c>
      <c r="L205" s="31" t="s">
        <v>2426</v>
      </c>
    </row>
    <row r="206">
      <c r="A206" s="31" t="s">
        <v>1838</v>
      </c>
      <c r="B206" s="31" t="s">
        <v>2394</v>
      </c>
      <c r="C206" s="78">
        <v>69.0</v>
      </c>
      <c r="D206" s="78">
        <v>906.0</v>
      </c>
      <c r="E206" s="79" t="str">
        <f t="array" ref="E206">XLOOKUP($A206,'source isilon_Projectまとめ'!$A:$A,'source isilon_Projectまとめ'!$D:$D,XLOOKUP($A206,'source isilon-Project-du'!$A:$A,'source isilon-Project-du'!$C:$C))</f>
        <v>0.01GB</v>
      </c>
      <c r="F206" s="79" t="str">
        <f t="array" ref="F206">XLOOKUP($A206,'source isilon_Projectまとめ'!$A:$A,'source isilon_Projectまとめ'!$C:$C,XLOOKUP($A206,'source NetApp-file-sv01～03-Proj'!$A:$A,'source NetApp-file-sv01～03-Proj'!$D:$D))</f>
        <v>2015/12/07</v>
      </c>
      <c r="G206" s="31" t="s">
        <v>2177</v>
      </c>
      <c r="H206" s="30"/>
      <c r="I206" s="31" t="s">
        <v>1587</v>
      </c>
      <c r="J206" s="30" t="str">
        <f t="array" ref="J206">XLOOKUP(I206,'従業員情報'!$A:$A,'従業員情報'!$N:$N,"×")</f>
        <v>株式会社MIXI/木村管掌/デジタルエンターテインメントオペレーションズ本部/コトダマン制作部/制作運用グループ/サービス運用チーム</v>
      </c>
      <c r="K206" s="30" t="s">
        <v>1587</v>
      </c>
      <c r="L206" s="30"/>
    </row>
    <row r="207">
      <c r="A207" s="31" t="s">
        <v>1840</v>
      </c>
      <c r="B207" s="31" t="s">
        <v>993</v>
      </c>
      <c r="C207" s="78">
        <v>149.0</v>
      </c>
      <c r="D207" s="78">
        <v>932.0</v>
      </c>
      <c r="E207" s="79" t="str">
        <f t="array" ref="E207">XLOOKUP($A207,'source isilon_Projectまとめ'!$A:$A,'source isilon_Projectまとめ'!$D:$D,XLOOKUP($A207,'source isilon-Project-du'!$A:$A,'source isilon-Project-du'!$C:$C))</f>
        <v>0.46GB</v>
      </c>
      <c r="F207" s="79" t="str">
        <f t="array" ref="F207">XLOOKUP($A207,'source isilon_Projectまとめ'!$A:$A,'source isilon_Projectまとめ'!$C:$C,XLOOKUP($A207,'source NetApp-file-sv01～03-Proj'!$A:$A,'source NetApp-file-sv01～03-Proj'!$D:$D))</f>
        <v>2015/04/07</v>
      </c>
      <c r="G207" s="31" t="s">
        <v>2177</v>
      </c>
      <c r="H207" s="30"/>
      <c r="I207" s="31" t="s">
        <v>1643</v>
      </c>
      <c r="J207" s="30" t="str">
        <f t="array" ref="J207">XLOOKUP(I207,'退職者'!$C:$C,'退職者'!$B:$B,"×")&amp;XLOOKUP(I207,'退職者'!$C:$C,'退職者'!$A:$A,"×")</f>
        <v/>
      </c>
      <c r="K207" s="30" t="s">
        <v>2399</v>
      </c>
      <c r="L207" s="30"/>
    </row>
    <row r="208">
      <c r="A208" s="31" t="s">
        <v>1841</v>
      </c>
      <c r="B208" s="31" t="s">
        <v>2394</v>
      </c>
      <c r="C208" s="78">
        <v>48.0</v>
      </c>
      <c r="D208" s="78">
        <v>142.0</v>
      </c>
      <c r="E208" s="79" t="str">
        <f t="array" ref="E208">XLOOKUP($A208,'source isilon_Projectまとめ'!$A:$A,'source isilon_Projectまとめ'!$D:$D,XLOOKUP($A208,'source isilon-Project-du'!$A:$A,'source isilon-Project-du'!$C:$C))</f>
        <v>0.05GB</v>
      </c>
      <c r="F208" s="79" t="str">
        <f t="array" ref="F208">XLOOKUP($A208,'source isilon_Projectまとめ'!$A:$A,'source isilon_Projectまとめ'!$C:$C,XLOOKUP($A208,'source NetApp-file-sv01～03-Proj'!$A:$A,'source NetApp-file-sv01～03-Proj'!$D:$D))</f>
        <v>2018/05/07</v>
      </c>
      <c r="G208" s="31" t="s">
        <v>2177</v>
      </c>
      <c r="H208" s="30"/>
      <c r="I208" s="31" t="s">
        <v>1632</v>
      </c>
      <c r="J208" s="30" t="str">
        <f t="array" ref="J208">XLOOKUP(I208,'従業員情報'!$A:$A,'従業員情報'!$N:$N,"×")</f>
        <v>株式会社MIXI/管掌役員なし/内部監査室(本部格)/内部監査室</v>
      </c>
      <c r="K208" s="30" t="s">
        <v>1632</v>
      </c>
      <c r="L208" s="30"/>
    </row>
    <row r="209">
      <c r="A209" s="31" t="s">
        <v>1841</v>
      </c>
      <c r="B209" s="31" t="s">
        <v>1425</v>
      </c>
      <c r="C209" s="78">
        <v>48.0</v>
      </c>
      <c r="D209" s="78">
        <v>142.0</v>
      </c>
      <c r="E209" s="79" t="str">
        <f t="array" ref="E209">XLOOKUP($A209,'source isilon_Projectまとめ'!$A:$A,'source isilon_Projectまとめ'!$D:$D,XLOOKUP($A209,'source isilon-Project-du'!$A:$A,'source isilon-Project-du'!$C:$C))</f>
        <v>0.05GB</v>
      </c>
      <c r="F209" s="79" t="str">
        <f t="array" ref="F209">XLOOKUP($A209,'source isilon_Projectまとめ'!$A:$A,'source isilon_Projectまとめ'!$C:$C,XLOOKUP($A209,'source NetApp-file-sv01～03-Proj'!$A:$A,'source NetApp-file-sv01～03-Proj'!$D:$D))</f>
        <v>2018/05/07</v>
      </c>
      <c r="G209" s="31" t="s">
        <v>2177</v>
      </c>
      <c r="H209" s="30"/>
      <c r="I209" s="31" t="s">
        <v>1843</v>
      </c>
      <c r="J209" s="30" t="str">
        <f t="array" ref="J209">XLOOKUP(I209,'退職者'!$C:$C,'退職者'!$B:$B,"×")&amp;XLOOKUP(I209,'退職者'!$C:$C,'退職者'!$A:$A,"×")</f>
        <v>内部監査室内部監査室</v>
      </c>
      <c r="K209" s="30" t="s">
        <v>2399</v>
      </c>
      <c r="L209" s="30"/>
    </row>
    <row r="210">
      <c r="A210" s="31" t="s">
        <v>1844</v>
      </c>
      <c r="B210" s="31" t="s">
        <v>2394</v>
      </c>
      <c r="C210" s="78">
        <v>79587.0</v>
      </c>
      <c r="D210" s="78">
        <v>355502.0</v>
      </c>
      <c r="E210" s="79" t="str">
        <f t="array" ref="E210">XLOOKUP($A210,'source isilon_Projectまとめ'!$A:$A,'source isilon_Projectまとめ'!$D:$D,XLOOKUP($A210,'source isilon-Project-du'!$A:$A,'source isilon-Project-du'!$C:$C))</f>
        <v>353.90GB</v>
      </c>
      <c r="F210" s="79" t="str">
        <f t="array" ref="F210">XLOOKUP($A210,'source isilon_Projectまとめ'!$A:$A,'source isilon_Projectまとめ'!$C:$C,XLOOKUP($A210,'source NetApp-file-sv01～03-Proj'!$A:$A,'source NetApp-file-sv01～03-Proj'!$D:$D))</f>
        <v>2015/11/24</v>
      </c>
      <c r="G210" s="31" t="s">
        <v>2177</v>
      </c>
      <c r="H210" s="30"/>
      <c r="I210" s="31" t="s">
        <v>1391</v>
      </c>
      <c r="J210" s="30" t="str">
        <f t="array" ref="J210">XLOOKUP(I210,'従業員情報'!$A:$A,'従業員情報'!$N:$N,"×")</f>
        <v>株式会社MIXI/笠原管掌/Vantageスタジオ/Romi事業部/UX企画グループ</v>
      </c>
      <c r="K210" s="30" t="s">
        <v>1391</v>
      </c>
      <c r="L210" s="30"/>
    </row>
    <row r="211">
      <c r="A211" s="31" t="s">
        <v>1845</v>
      </c>
      <c r="B211" s="31" t="s">
        <v>993</v>
      </c>
      <c r="C211" s="78">
        <v>9.0</v>
      </c>
      <c r="D211" s="78">
        <v>21.0</v>
      </c>
      <c r="E211" s="79" t="str">
        <f t="array" ref="E211">XLOOKUP($A211,'source isilon_Projectまとめ'!$A:$A,'source isilon_Projectまとめ'!$D:$D,XLOOKUP($A211,'source isilon-Project-du'!$A:$A,'source isilon-Project-du'!$C:$C))</f>
        <v>0.00GB</v>
      </c>
      <c r="F211" s="79" t="str">
        <f t="array" ref="F211">XLOOKUP($A211,'source isilon_Projectまとめ'!$A:$A,'source isilon_Projectまとめ'!$C:$C,XLOOKUP($A211,'source NetApp-file-sv01～03-Proj'!$A:$A,'source NetApp-file-sv01～03-Proj'!$D:$D))</f>
        <v>2019/02/01</v>
      </c>
      <c r="G211" s="31" t="s">
        <v>2177</v>
      </c>
      <c r="H211" s="30"/>
      <c r="I211" s="31" t="s">
        <v>1428</v>
      </c>
      <c r="J211" s="30" t="str">
        <f t="array" ref="J211">XLOOKUP(I211,'退職者'!$C:$C,'退職者'!$B:$B,"×")&amp;XLOOKUP(I211,'退職者'!$C:$C,'退職者'!$A:$A,"×")</f>
        <v>無無</v>
      </c>
      <c r="K211" s="30" t="s">
        <v>2399</v>
      </c>
      <c r="L211" s="30"/>
    </row>
    <row r="212">
      <c r="A212" s="31" t="s">
        <v>1846</v>
      </c>
      <c r="B212" s="31" t="s">
        <v>2394</v>
      </c>
      <c r="C212" s="78">
        <v>16.0</v>
      </c>
      <c r="D212" s="78">
        <v>57.0</v>
      </c>
      <c r="E212" s="79" t="str">
        <f t="array" ref="E212">XLOOKUP($A212,'source isilon_Projectまとめ'!$A:$A,'source isilon_Projectまとめ'!$D:$D,XLOOKUP($A212,'source isilon-Project-du'!$A:$A,'source isilon-Project-du'!$C:$C))</f>
        <v>0.02GB</v>
      </c>
      <c r="F212" s="79" t="str">
        <f t="array" ref="F212">XLOOKUP($A212,'source isilon_Projectまとめ'!$A:$A,'source isilon_Projectまとめ'!$C:$C,XLOOKUP($A212,'source NetApp-file-sv01～03-Proj'!$A:$A,'source NetApp-file-sv01～03-Proj'!$D:$D))</f>
        <v>2014/03/05</v>
      </c>
      <c r="G212" s="31" t="s">
        <v>2177</v>
      </c>
      <c r="H212" s="30"/>
      <c r="I212" s="31" t="s">
        <v>1391</v>
      </c>
      <c r="J212" s="30" t="str">
        <f t="array" ref="J212">XLOOKUP(I212,'従業員情報'!$A:$A,'従業員情報'!$N:$N,"×")</f>
        <v>株式会社MIXI/笠原管掌/Vantageスタジオ/Romi事業部/UX企画グループ</v>
      </c>
      <c r="K212" s="30" t="s">
        <v>1391</v>
      </c>
      <c r="L212" s="30"/>
    </row>
    <row r="213">
      <c r="A213" s="31" t="s">
        <v>1847</v>
      </c>
      <c r="B213" s="31" t="s">
        <v>2394</v>
      </c>
      <c r="C213" s="78">
        <v>2679.0</v>
      </c>
      <c r="D213" s="78">
        <v>17825.0</v>
      </c>
      <c r="E213" s="79" t="str">
        <f t="array" ref="E213">XLOOKUP($A213,'source isilon_Projectまとめ'!$A:$A,'source isilon_Projectまとめ'!$D:$D,XLOOKUP($A213,'source isilon-Project-du'!$A:$A,'source isilon-Project-du'!$C:$C))</f>
        <v>7.34GB</v>
      </c>
      <c r="F213" s="79" t="str">
        <f t="array" ref="F213">XLOOKUP($A213,'source isilon_Projectまとめ'!$A:$A,'source isilon_Projectまとめ'!$C:$C,XLOOKUP($A213,'source NetApp-file-sv01～03-Proj'!$A:$A,'source NetApp-file-sv01～03-Proj'!$D:$D))</f>
        <v>2021/07/06</v>
      </c>
      <c r="G213" s="31" t="s">
        <v>2177</v>
      </c>
      <c r="H213" s="30"/>
      <c r="I213" s="31" t="s">
        <v>1488</v>
      </c>
      <c r="J213" s="30" t="str">
        <f t="array" ref="J213">XLOOKUP(I213,'従業員情報'!$A:$A,'従業員情報'!$N:$N,"×")</f>
        <v>株式会社MIXI/村瀨管掌/はたらく環境推進本部/せいかつ環境室/せいかつ環境Aグループ</v>
      </c>
      <c r="K213" s="30" t="s">
        <v>1488</v>
      </c>
      <c r="L213" s="30"/>
    </row>
    <row r="214">
      <c r="A214" s="31" t="s">
        <v>1848</v>
      </c>
      <c r="B214" s="31" t="s">
        <v>2394</v>
      </c>
      <c r="C214" s="78">
        <v>6835.0</v>
      </c>
      <c r="D214" s="78">
        <v>291834.0</v>
      </c>
      <c r="E214" s="79" t="str">
        <f t="array" ref="E214">XLOOKUP($A214,'source isilon_Projectまとめ'!$A:$A,'source isilon_Projectまとめ'!$D:$D,XLOOKUP($A214,'source isilon-Project-du'!$A:$A,'source isilon-Project-du'!$C:$C))</f>
        <v>159.19GB</v>
      </c>
      <c r="F214" s="79" t="str">
        <f t="array" ref="F214">XLOOKUP($A214,'source isilon_Projectまとめ'!$A:$A,'source isilon_Projectまとめ'!$C:$C,XLOOKUP($A214,'source NetApp-file-sv01～03-Proj'!$A:$A,'source NetApp-file-sv01～03-Proj'!$D:$D))</f>
        <v>2017/11/28</v>
      </c>
      <c r="G214" s="31" t="s">
        <v>2177</v>
      </c>
      <c r="H214" s="30"/>
      <c r="I214" s="31" t="s">
        <v>1850</v>
      </c>
      <c r="J214" s="30" t="str">
        <f t="array" ref="J214">XLOOKUP(I214,'従業員情報'!$A:$A,'従業員情報'!$N:$N,"×")</f>
        <v>株式会社MIXI/村瀨管掌/開発本部/たんぽぽ室/Enablementグループ</v>
      </c>
      <c r="K214" s="30" t="s">
        <v>1850</v>
      </c>
      <c r="L214" s="30"/>
    </row>
    <row r="215">
      <c r="A215" s="31" t="s">
        <v>1851</v>
      </c>
      <c r="B215" s="31" t="s">
        <v>993</v>
      </c>
      <c r="C215" s="78">
        <v>81.0</v>
      </c>
      <c r="D215" s="78">
        <v>305.0</v>
      </c>
      <c r="E215" s="79" t="str">
        <f t="array" ref="E215">XLOOKUP($A215,'source isilon_Projectまとめ'!$A:$A,'source isilon_Projectまとめ'!$D:$D,XLOOKUP($A215,'source isilon-Project-du'!$A:$A,'source isilon-Project-du'!$C:$C))</f>
        <v>0.09GB</v>
      </c>
      <c r="F215" s="79" t="str">
        <f t="array" ref="F215">XLOOKUP($A215,'source isilon_Projectまとめ'!$A:$A,'source isilon_Projectまとめ'!$C:$C,XLOOKUP($A215,'source NetApp-file-sv01～03-Proj'!$A:$A,'source NetApp-file-sv01～03-Proj'!$D:$D))</f>
        <v>2015/10/21</v>
      </c>
      <c r="G215" s="31" t="s">
        <v>2177</v>
      </c>
      <c r="H215" s="30"/>
      <c r="I215" s="31" t="s">
        <v>1735</v>
      </c>
      <c r="J215" s="30" t="str">
        <f t="array" ref="J215">XLOOKUP(I215,'退職者'!$C:$C,'退職者'!$B:$B,"×")&amp;XLOOKUP(I215,'退職者'!$C:$C,'退職者'!$A:$A,"×")</f>
        <v/>
      </c>
      <c r="K215" s="30" t="s">
        <v>2399</v>
      </c>
      <c r="L215" s="30"/>
    </row>
    <row r="216">
      <c r="A216" s="31" t="s">
        <v>1853</v>
      </c>
      <c r="B216" s="31" t="s">
        <v>2394</v>
      </c>
      <c r="C216" s="78">
        <v>324.0</v>
      </c>
      <c r="D216" s="78">
        <v>1724.0</v>
      </c>
      <c r="E216" s="79" t="str">
        <f t="array" ref="E216">XLOOKUP($A216,'source isilon_Projectまとめ'!$A:$A,'source isilon_Projectまとめ'!$D:$D,XLOOKUP($A216,'source isilon-Project-du'!$A:$A,'source isilon-Project-du'!$C:$C))</f>
        <v>1.48GB</v>
      </c>
      <c r="F216" s="79" t="str">
        <f t="array" ref="F216">XLOOKUP($A216,'source isilon_Projectまとめ'!$A:$A,'source isilon_Projectまとめ'!$C:$C,XLOOKUP($A216,'source NetApp-file-sv01～03-Proj'!$A:$A,'source NetApp-file-sv01～03-Proj'!$D:$D))</f>
        <v>2021/02/26</v>
      </c>
      <c r="G216" s="31" t="s">
        <v>2177</v>
      </c>
      <c r="H216" s="30"/>
      <c r="I216" s="31" t="s">
        <v>1583</v>
      </c>
      <c r="J216" s="30" t="str">
        <f t="array" ref="J216">XLOOKUP(I216,'従業員情報'!$A:$A,'従業員情報'!$N:$N,"×")</f>
        <v>株式会社MIXI/村瀨管掌/はたらく環境推進本部/コーポレートエンジニアリング部</v>
      </c>
      <c r="K216" s="30" t="s">
        <v>1583</v>
      </c>
      <c r="L216" s="30"/>
    </row>
    <row r="217">
      <c r="A217" s="31" t="s">
        <v>1854</v>
      </c>
      <c r="B217" s="31" t="s">
        <v>2394</v>
      </c>
      <c r="C217" s="78">
        <v>1372.0</v>
      </c>
      <c r="D217" s="78">
        <v>5807.0</v>
      </c>
      <c r="E217" s="79" t="str">
        <f t="array" ref="E217">XLOOKUP($A217,'source isilon_Projectまとめ'!$A:$A,'source isilon_Projectまとめ'!$D:$D,XLOOKUP($A217,'source isilon-Project-du'!$A:$A,'source isilon-Project-du'!$C:$C))</f>
        <v>4.64GB</v>
      </c>
      <c r="F217" s="79" t="str">
        <f t="array" ref="F217">XLOOKUP($A217,'source isilon_Projectまとめ'!$A:$A,'source isilon_Projectまとめ'!$C:$C,XLOOKUP($A217,'source NetApp-file-sv01～03-Proj'!$A:$A,'source NetApp-file-sv01～03-Proj'!$D:$D))</f>
        <v>2012/04/16</v>
      </c>
      <c r="G217" s="31" t="s">
        <v>2177</v>
      </c>
      <c r="H217" s="30"/>
      <c r="I217" s="31" t="s">
        <v>1423</v>
      </c>
      <c r="J217" s="30" t="str">
        <f t="array" ref="J217">XLOOKUP(I217,'従業員情報'!$A:$A,'従業員情報'!$N:$N,"×")</f>
        <v>株式会社MIXI/笠原管掌/Vantageスタジオ/mixi事業部</v>
      </c>
      <c r="K217" s="30" t="s">
        <v>1423</v>
      </c>
      <c r="L217" s="30"/>
    </row>
    <row r="218">
      <c r="A218" s="31" t="s">
        <v>1855</v>
      </c>
      <c r="B218" s="31" t="s">
        <v>2394</v>
      </c>
      <c r="C218" s="78">
        <v>135704.0</v>
      </c>
      <c r="D218" s="78">
        <v>1764823.0</v>
      </c>
      <c r="E218" s="79" t="str">
        <f t="array" ref="E218">XLOOKUP($A218,'source isilon_Projectまとめ'!$A:$A,'source isilon_Projectまとめ'!$D:$D,XLOOKUP($A218,'source isilon-Project-du'!$A:$A,'source isilon-Project-du'!$C:$C))</f>
        <v>13310.23GB</v>
      </c>
      <c r="F218" s="79" t="str">
        <f t="array" ref="F218">XLOOKUP($A218,'source isilon_Projectまとめ'!$A:$A,'source isilon_Projectまとめ'!$C:$C,XLOOKUP($A218,'source NetApp-file-sv01～03-Proj'!$A:$A,'source NetApp-file-sv01～03-Proj'!$D:$D))</f>
        <v>2025/07/09</v>
      </c>
      <c r="G218" s="31" t="s">
        <v>2184</v>
      </c>
      <c r="H218" s="30"/>
      <c r="I218" s="31" t="s">
        <v>1857</v>
      </c>
      <c r="J218" s="30" t="str">
        <f t="array" ref="J218">XLOOKUP(I218,'従業員情報'!$A:$A,'従業員情報'!$N:$N,"×")</f>
        <v>株式会社MIXI/木村管掌/デジタルエンターテインメントオペレーションズ本部/コトダマン制作部</v>
      </c>
      <c r="K218" s="30" t="s">
        <v>1857</v>
      </c>
      <c r="L218" s="30"/>
    </row>
    <row r="219">
      <c r="A219" s="31" t="s">
        <v>1855</v>
      </c>
      <c r="B219" s="31" t="s">
        <v>2394</v>
      </c>
      <c r="C219" s="78">
        <v>135704.0</v>
      </c>
      <c r="D219" s="78">
        <v>1764823.0</v>
      </c>
      <c r="E219" s="79" t="str">
        <f t="array" ref="E219">XLOOKUP($A219,'source isilon_Projectまとめ'!$A:$A,'source isilon_Projectまとめ'!$D:$D,XLOOKUP($A219,'source isilon-Project-du'!$A:$A,'source isilon-Project-du'!$C:$C))</f>
        <v>13310.23GB</v>
      </c>
      <c r="F219" s="79" t="str">
        <f t="array" ref="F219">XLOOKUP($A219,'source isilon_Projectまとめ'!$A:$A,'source isilon_Projectまとめ'!$C:$C,XLOOKUP($A219,'source NetApp-file-sv01～03-Proj'!$A:$A,'source NetApp-file-sv01～03-Proj'!$D:$D))</f>
        <v>2025/07/09</v>
      </c>
      <c r="G219" s="31" t="s">
        <v>2184</v>
      </c>
      <c r="H219" s="30"/>
      <c r="I219" s="31" t="s">
        <v>1859</v>
      </c>
      <c r="J219" s="30" t="str">
        <f t="array" ref="J219">XLOOKUP(I219,'従業員情報'!$A:$A,'従業員情報'!$N:$N,"×")</f>
        <v>株式会社MIXI/木村管掌/デジタルエンターテインメントオペレーションズ本部/コトダマン運営部</v>
      </c>
      <c r="K219" s="30" t="s">
        <v>1859</v>
      </c>
      <c r="L219" s="30"/>
    </row>
    <row r="220">
      <c r="A220" s="31" t="s">
        <v>1855</v>
      </c>
      <c r="B220" s="31" t="s">
        <v>2394</v>
      </c>
      <c r="C220" s="78">
        <v>135704.0</v>
      </c>
      <c r="D220" s="78">
        <v>1764823.0</v>
      </c>
      <c r="E220" s="79" t="str">
        <f t="array" ref="E220">XLOOKUP($A220,'source isilon_Projectまとめ'!$A:$A,'source isilon_Projectまとめ'!$D:$D,XLOOKUP($A220,'source isilon-Project-du'!$A:$A,'source isilon-Project-du'!$C:$C))</f>
        <v>13310.23GB</v>
      </c>
      <c r="F220" s="79" t="str">
        <f t="array" ref="F220">XLOOKUP($A220,'source isilon_Projectまとめ'!$A:$A,'source isilon_Projectまとめ'!$C:$C,XLOOKUP($A220,'source NetApp-file-sv01～03-Proj'!$A:$A,'source NetApp-file-sv01～03-Proj'!$D:$D))</f>
        <v>2025/07/09</v>
      </c>
      <c r="G220" s="31" t="s">
        <v>2184</v>
      </c>
      <c r="H220" s="30"/>
      <c r="I220" s="31" t="s">
        <v>1616</v>
      </c>
      <c r="J220" s="30" t="str">
        <f t="array" ref="J220">XLOOKUP(I220,'従業員情報'!$A:$A,'従業員情報'!$N:$N,"×")</f>
        <v>株式会社MIXI/木村管掌/デジタルエンターテインメントオペレーションズ本部/コトダマン制作部</v>
      </c>
      <c r="K220" s="30" t="s">
        <v>1616</v>
      </c>
      <c r="L220" s="30"/>
    </row>
    <row r="221">
      <c r="A221" s="31" t="s">
        <v>1860</v>
      </c>
      <c r="B221" s="31" t="s">
        <v>2394</v>
      </c>
      <c r="C221" s="78">
        <v>4421.0</v>
      </c>
      <c r="D221" s="78">
        <v>22221.0</v>
      </c>
      <c r="E221" s="31" t="str">
        <f t="array" ref="E221">XLOOKUP($A221,'source isilon_Projectまとめ'!$A:$A,'source isilon_Projectまとめ'!$D:$D,XLOOKUP($A221,'source isilon-Project-du'!$A:$A,'source isilon-Project-du'!$C:$C))</f>
        <v>28.96GB</v>
      </c>
      <c r="F221" s="30" t="str">
        <f t="array" ref="F221">XLOOKUP($A221,'source isilon_Projectまとめ'!$A:$A,'source isilon_Projectまとめ'!$C:$C,XLOOKUP($A221,'source NetApp-file-sv01～03-Proj'!$A:$A,'source NetApp-file-sv01～03-Proj'!$D:$D))</f>
        <v>2021/05/05</v>
      </c>
      <c r="G221" s="31" t="s">
        <v>2177</v>
      </c>
      <c r="H221" s="30"/>
      <c r="I221" s="31" t="s">
        <v>1375</v>
      </c>
      <c r="J221" s="30" t="str">
        <f t="array" ref="J221">XLOOKUP(I221,'従業員情報'!$A:$A,'従業員情報'!$N:$N,"×")</f>
        <v>株式会社MIXI/管掌役員なし/取締役</v>
      </c>
      <c r="K221" s="30" t="s">
        <v>1375</v>
      </c>
      <c r="L221" s="30"/>
    </row>
    <row r="222">
      <c r="A222" s="31" t="s">
        <v>1861</v>
      </c>
      <c r="B222" s="31" t="s">
        <v>993</v>
      </c>
      <c r="C222" s="78">
        <v>2.0</v>
      </c>
      <c r="D222" s="78">
        <v>11.0</v>
      </c>
      <c r="E222" s="31" t="str">
        <f t="array" ref="E222">XLOOKUP($A222,'source isilon_Projectまとめ'!$A:$A,'source isilon_Projectまとめ'!$D:$D,XLOOKUP($A222,'source isilon-Project-du'!$A:$A,'source isilon-Project-du'!$C:$C))</f>
        <v>2.52GB</v>
      </c>
      <c r="F222" s="30" t="str">
        <f t="array" ref="F222">XLOOKUP($A222,'source isilon_Projectまとめ'!$A:$A,'source isilon_Projectまとめ'!$C:$C,XLOOKUP($A222,'source NetApp-file-sv01～03-Proj'!$A:$A,'source NetApp-file-sv01～03-Proj'!$D:$D))</f>
        <v>2015/05/14</v>
      </c>
      <c r="G222" s="31" t="s">
        <v>2177</v>
      </c>
      <c r="H222" s="30"/>
      <c r="I222" s="31" t="s">
        <v>1863</v>
      </c>
      <c r="J222" s="30" t="str">
        <f t="array" ref="J222">XLOOKUP(I222,'退職者'!$C:$C,'退職者'!$B:$B,"×")&amp;XLOOKUP(I222,'退職者'!$C:$C,'退職者'!$A:$A,"×")</f>
        <v>××</v>
      </c>
      <c r="K222" s="30" t="s">
        <v>2399</v>
      </c>
      <c r="L222" s="30"/>
    </row>
    <row r="223">
      <c r="A223" s="31" t="s">
        <v>1864</v>
      </c>
      <c r="B223" s="31" t="s">
        <v>2394</v>
      </c>
      <c r="C223" s="78">
        <v>1625.0</v>
      </c>
      <c r="D223" s="78">
        <v>7431.0</v>
      </c>
      <c r="E223" s="31" t="str">
        <f t="array" ref="E223">XLOOKUP($A223,'source isilon_Projectまとめ'!$A:$A,'source isilon_Projectまとめ'!$D:$D,XLOOKUP($A223,'source isilon-Project-du'!$A:$A,'source isilon-Project-du'!$C:$C))</f>
        <v>19.71GB</v>
      </c>
      <c r="F223" s="30" t="str">
        <f t="array" ref="F223">XLOOKUP($A223,'source isilon_Projectまとめ'!$A:$A,'source isilon_Projectまとめ'!$C:$C,XLOOKUP($A223,'source NetApp-file-sv01～03-Proj'!$A:$A,'source NetApp-file-sv01～03-Proj'!$D:$D))</f>
        <v>2018/05/30</v>
      </c>
      <c r="G223" s="31" t="s">
        <v>2177</v>
      </c>
      <c r="H223" s="30"/>
      <c r="I223" s="31" t="s">
        <v>1451</v>
      </c>
      <c r="J223" s="30" t="str">
        <f t="array" ref="J223">XLOOKUP(I223,'従業員情報'!$A:$A,'従業員情報'!$N:$N,"×")</f>
        <v>株式会社MIXI/村瀨管掌/開発本部/たんぽぽ室/Enablementグループ</v>
      </c>
      <c r="K223" s="30" t="s">
        <v>1451</v>
      </c>
      <c r="L223" s="30"/>
    </row>
    <row r="224">
      <c r="A224" s="31" t="s">
        <v>1865</v>
      </c>
      <c r="B224" s="31" t="s">
        <v>2394</v>
      </c>
      <c r="C224" s="78">
        <v>40252.0</v>
      </c>
      <c r="D224" s="78">
        <v>425874.0</v>
      </c>
      <c r="E224" s="31" t="str">
        <f t="array" ref="E224">XLOOKUP($A224,'source isilon_Projectまとめ'!$A:$A,'source isilon_Projectまとめ'!$D:$D,XLOOKUP($A224,'source isilon-Project-du'!$A:$A,'source isilon-Project-du'!$C:$C))</f>
        <v>2108.85GB</v>
      </c>
      <c r="F224" s="30" t="str">
        <f t="array" ref="F224">XLOOKUP($A224,'source isilon_Projectまとめ'!$A:$A,'source isilon_Projectまとめ'!$C:$C,XLOOKUP($A224,'source NetApp-file-sv01～03-Proj'!$A:$A,'source NetApp-file-sv01～03-Proj'!$D:$D))</f>
        <v>2020/11/10</v>
      </c>
      <c r="G224" s="31" t="s">
        <v>2177</v>
      </c>
      <c r="H224" s="30"/>
      <c r="I224" s="31" t="s">
        <v>1868</v>
      </c>
      <c r="J224" s="30" t="str">
        <f t="array" ref="J224">XLOOKUP(I224,'従業員情報'!$A:$A,'従業員情報'!$N:$N,"×")</f>
        <v>株式会社MIXI/木村管掌/デジタルエンターテインメントオペレーションズ本部/モンストIPクリエイション部/キャラプログループ</v>
      </c>
      <c r="K224" s="30" t="s">
        <v>1868</v>
      </c>
      <c r="L224" s="30"/>
    </row>
    <row r="225">
      <c r="A225" s="31" t="s">
        <v>1869</v>
      </c>
      <c r="B225" s="31" t="s">
        <v>2394</v>
      </c>
      <c r="C225" s="78">
        <v>63.0</v>
      </c>
      <c r="D225" s="78">
        <v>255.0</v>
      </c>
      <c r="E225" s="31" t="str">
        <f t="array" ref="E225">XLOOKUP($A225,'source isilon_Projectまとめ'!$A:$A,'source isilon_Projectまとめ'!$D:$D,XLOOKUP($A225,'source isilon-Project-du'!$A:$A,'source isilon-Project-du'!$C:$C))</f>
        <v>0.03GB</v>
      </c>
      <c r="F225" s="30" t="str">
        <f t="array" ref="F225">XLOOKUP($A225,'source isilon_Projectまとめ'!$A:$A,'source isilon_Projectまとめ'!$C:$C,XLOOKUP($A225,'source NetApp-file-sv01～03-Proj'!$A:$A,'source NetApp-file-sv01～03-Proj'!$D:$D))</f>
        <v>2016/09/13</v>
      </c>
      <c r="G225" s="31" t="s">
        <v>2177</v>
      </c>
      <c r="H225" s="30"/>
      <c r="I225" s="31" t="s">
        <v>1391</v>
      </c>
      <c r="J225" s="30" t="str">
        <f t="array" ref="J225">XLOOKUP(I225,'従業員情報'!$A:$A,'従業員情報'!$N:$N,"×")</f>
        <v>株式会社MIXI/笠原管掌/Vantageスタジオ/Romi事業部/UX企画グループ</v>
      </c>
      <c r="K225" s="30" t="s">
        <v>1391</v>
      </c>
      <c r="L225" s="30"/>
    </row>
    <row r="226">
      <c r="A226" s="31" t="s">
        <v>1870</v>
      </c>
      <c r="B226" s="31" t="s">
        <v>2394</v>
      </c>
      <c r="C226" s="78">
        <v>40084.0</v>
      </c>
      <c r="D226" s="78">
        <v>336771.0</v>
      </c>
      <c r="E226" s="31" t="str">
        <f t="array" ref="E226">XLOOKUP($A226,'source isilon_Projectまとめ'!$A:$A,'source isilon_Projectまとめ'!$D:$D,XLOOKUP($A226,'source isilon-Project-du'!$A:$A,'source isilon-Project-du'!$C:$C))</f>
        <v>4104.40GB</v>
      </c>
      <c r="F226" s="30" t="str">
        <f t="array" ref="F226">XLOOKUP($A226,'source isilon_Projectまとめ'!$A:$A,'source isilon_Projectまとめ'!$C:$C,XLOOKUP($A226,'source NetApp-file-sv01～03-Proj'!$A:$A,'source NetApp-file-sv01～03-Proj'!$D:$D))</f>
        <v>2024/09/19</v>
      </c>
      <c r="G226" s="31" t="s">
        <v>2184</v>
      </c>
      <c r="H226" s="30"/>
      <c r="I226" s="31" t="s">
        <v>1873</v>
      </c>
      <c r="J226" s="30" t="str">
        <f t="array" ref="J226">XLOOKUP(I226,'従業員情報'!$A:$A,'従業員情報'!$N:$N,"×")</f>
        <v>株式会社MIXI/木村管掌/デジタルエンターテインメントオペレーションズ本部/ファンマーケティング部/MD事業開発グループ</v>
      </c>
      <c r="K226" s="30" t="s">
        <v>1873</v>
      </c>
      <c r="L226" s="30"/>
    </row>
    <row r="227">
      <c r="A227" s="31" t="s">
        <v>1874</v>
      </c>
      <c r="B227" s="31" t="s">
        <v>993</v>
      </c>
      <c r="C227" s="78">
        <v>1076.0</v>
      </c>
      <c r="D227" s="78">
        <v>2982.0</v>
      </c>
      <c r="E227" s="31" t="str">
        <f t="array" ref="E227">XLOOKUP($A227,'source isilon_Projectまとめ'!$A:$A,'source isilon_Projectまとめ'!$D:$D,XLOOKUP($A227,'source isilon-Project-du'!$A:$A,'source isilon-Project-du'!$C:$C))</f>
        <v>0.31GB</v>
      </c>
      <c r="F227" s="30" t="str">
        <f t="array" ref="F227">XLOOKUP($A227,'source isilon_Projectまとめ'!$A:$A,'source isilon_Projectまとめ'!$C:$C,XLOOKUP($A227,'source NetApp-file-sv01～03-Proj'!$A:$A,'source NetApp-file-sv01～03-Proj'!$D:$D))</f>
        <v>2009/07/21</v>
      </c>
      <c r="G227" s="31" t="s">
        <v>2177</v>
      </c>
      <c r="H227" s="30"/>
      <c r="I227" s="31" t="s">
        <v>1876</v>
      </c>
      <c r="J227" s="30" t="str">
        <f t="array" ref="J227">XLOOKUP(I227,'退職者'!$C:$C,'退職者'!$B:$B,"×")&amp;XLOOKUP(I227,'退職者'!$C:$C,'退職者'!$A:$A,"×")</f>
        <v/>
      </c>
      <c r="K227" s="30" t="s">
        <v>2399</v>
      </c>
      <c r="L227" s="30"/>
    </row>
    <row r="228">
      <c r="A228" s="31" t="s">
        <v>1874</v>
      </c>
      <c r="B228" s="31" t="s">
        <v>1425</v>
      </c>
      <c r="C228" s="78">
        <v>1076.0</v>
      </c>
      <c r="D228" s="78">
        <v>2982.0</v>
      </c>
      <c r="E228" s="31" t="str">
        <f t="array" ref="E228">XLOOKUP($A228,'source isilon_Projectまとめ'!$A:$A,'source isilon_Projectまとめ'!$D:$D,XLOOKUP($A228,'source isilon-Project-du'!$A:$A,'source isilon-Project-du'!$C:$C))</f>
        <v>0.31GB</v>
      </c>
      <c r="F228" s="30" t="str">
        <f t="array" ref="F228">XLOOKUP($A228,'source isilon_Projectまとめ'!$A:$A,'source isilon_Projectまとめ'!$C:$C,XLOOKUP($A228,'source NetApp-file-sv01～03-Proj'!$A:$A,'source NetApp-file-sv01～03-Proj'!$D:$D))</f>
        <v>2009/07/21</v>
      </c>
      <c r="G228" s="31" t="s">
        <v>2177</v>
      </c>
      <c r="H228" s="30"/>
      <c r="I228" s="31" t="s">
        <v>1473</v>
      </c>
      <c r="J228" s="30" t="str">
        <f t="array" ref="J228">XLOOKUP(I228,'退職者'!$C:$C,'退職者'!$B:$B,"×")&amp;XLOOKUP(I228,'退職者'!$C:$C,'退職者'!$A:$A,"×")</f>
        <v>人事本部人事部</v>
      </c>
      <c r="K228" s="30" t="s">
        <v>2399</v>
      </c>
      <c r="L228" s="30"/>
    </row>
    <row r="229">
      <c r="A229" s="31" t="s">
        <v>1877</v>
      </c>
      <c r="B229" s="31" t="s">
        <v>994</v>
      </c>
      <c r="C229" s="78">
        <v>6817.0</v>
      </c>
      <c r="D229" s="78">
        <v>34893.0</v>
      </c>
      <c r="E229" s="31" t="str">
        <f t="array" ref="E229">XLOOKUP($A229,'source isilon_Projectまとめ'!$A:$A,'source isilon_Projectまとめ'!$D:$D,XLOOKUP($A229,'source isilon-Project-du'!$A:$A,'source isilon-Project-du'!$C:$C))</f>
        <v>137.98GB</v>
      </c>
      <c r="F229" s="30" t="str">
        <f t="array" ref="F229">XLOOKUP($A229,'source isilon_Projectまとめ'!$A:$A,'source isilon_Projectまとめ'!$C:$C,XLOOKUP($A229,'source NetApp-file-sv01～03-Proj'!$A:$A,'source NetApp-file-sv01～03-Proj'!$D:$D))</f>
        <v>2018/10/11</v>
      </c>
      <c r="G229" s="30" t="s">
        <v>2177</v>
      </c>
      <c r="H229" s="30"/>
      <c r="I229" s="31" t="s">
        <v>1053</v>
      </c>
      <c r="J229" s="30" t="str">
        <f t="array" ref="J229">XLOOKUP(I229,'退職者'!$C:$C,'退職者'!$A:$A,"×")</f>
        <v>×</v>
      </c>
      <c r="K229" s="30" t="s">
        <v>2399</v>
      </c>
      <c r="L229" s="30"/>
    </row>
    <row r="230">
      <c r="A230" s="31" t="s">
        <v>1878</v>
      </c>
      <c r="B230" s="31" t="s">
        <v>2394</v>
      </c>
      <c r="C230" s="78">
        <v>55718.0</v>
      </c>
      <c r="D230" s="78">
        <v>432326.0</v>
      </c>
      <c r="E230" s="31" t="str">
        <f t="array" ref="E230">XLOOKUP($A230,'source isilon_Projectまとめ'!$A:$A,'source isilon_Projectまとめ'!$D:$D,XLOOKUP($A230,'source isilon-Project-du'!$A:$A,'source isilon-Project-du'!$C:$C))</f>
        <v>824.96GB</v>
      </c>
      <c r="F230" s="30" t="str">
        <f t="array" ref="F230">XLOOKUP($A230,'source isilon_Projectまとめ'!$A:$A,'source isilon_Projectまとめ'!$C:$C,XLOOKUP($A230,'source NetApp-file-sv01～03-Proj'!$A:$A,'source NetApp-file-sv01～03-Proj'!$D:$D))</f>
        <v>2024/01/15</v>
      </c>
      <c r="G230" s="31" t="s">
        <v>2184</v>
      </c>
      <c r="H230" s="30"/>
      <c r="I230" s="31" t="s">
        <v>1796</v>
      </c>
      <c r="J230" s="30" t="str">
        <f t="array" ref="J230">XLOOKUP(I230,'従業員情報'!$A:$A,'従業員情報'!$N:$N,"×")</f>
        <v>株式会社MIXI/笠原管掌/Vantageスタジオ/mixi事業部/開発2グループ</v>
      </c>
      <c r="K230" s="30" t="s">
        <v>1796</v>
      </c>
      <c r="L230" s="30"/>
    </row>
    <row r="231">
      <c r="A231" s="31" t="s">
        <v>1879</v>
      </c>
      <c r="B231" s="31" t="s">
        <v>1425</v>
      </c>
      <c r="C231" s="78">
        <v>27.0</v>
      </c>
      <c r="D231" s="78">
        <v>215.0</v>
      </c>
      <c r="E231" s="31" t="str">
        <f t="array" ref="E231">XLOOKUP($A231,'source isilon_Projectまとめ'!$A:$A,'source isilon_Projectまとめ'!$D:$D,XLOOKUP($A231,'source isilon-Project-du'!$A:$A,'source isilon-Project-du'!$C:$C))</f>
        <v>0.02GB</v>
      </c>
      <c r="F231" s="30" t="str">
        <f t="array" ref="F231">XLOOKUP($A231,'source isilon_Projectまとめ'!$A:$A,'source isilon_Projectまとめ'!$C:$C,XLOOKUP($A231,'source NetApp-file-sv01～03-Proj'!$A:$A,'source NetApp-file-sv01～03-Proj'!$D:$D))</f>
        <v>2015/03/26</v>
      </c>
      <c r="G231" s="31" t="s">
        <v>2177</v>
      </c>
      <c r="H231" s="30"/>
      <c r="I231" s="31" t="s">
        <v>1513</v>
      </c>
      <c r="J231" s="30" t="str">
        <f t="array" ref="J231">XLOOKUP(I231,'退職者'!$C:$C,'退職者'!$B:$B,"×")&amp;XLOOKUP(I231,'退職者'!$C:$C,'退職者'!$A:$A,"×")</f>
        <v>人事本部労務部</v>
      </c>
      <c r="K231" s="30" t="s">
        <v>2399</v>
      </c>
      <c r="L231" s="30"/>
    </row>
    <row r="232">
      <c r="A232" s="31" t="s">
        <v>1879</v>
      </c>
      <c r="B232" s="31" t="s">
        <v>2394</v>
      </c>
      <c r="C232" s="78">
        <v>27.0</v>
      </c>
      <c r="D232" s="78">
        <v>215.0</v>
      </c>
      <c r="E232" s="31" t="str">
        <f t="array" ref="E232">XLOOKUP($A232,'source isilon_Projectまとめ'!$A:$A,'source isilon_Projectまとめ'!$D:$D,XLOOKUP($A232,'source isilon-Project-du'!$A:$A,'source isilon-Project-du'!$C:$C))</f>
        <v>0.02GB</v>
      </c>
      <c r="F232" s="30" t="str">
        <f t="array" ref="F232">XLOOKUP($A232,'source isilon_Projectまとめ'!$A:$A,'source isilon_Projectまとめ'!$C:$C,XLOOKUP($A232,'source NetApp-file-sv01～03-Proj'!$A:$A,'source NetApp-file-sv01～03-Proj'!$D:$D))</f>
        <v>2015/03/26</v>
      </c>
      <c r="G232" s="31" t="s">
        <v>2177</v>
      </c>
      <c r="H232" s="30"/>
      <c r="I232" s="31" t="s">
        <v>1492</v>
      </c>
      <c r="J232" s="30" t="str">
        <f t="array" ref="J232">XLOOKUP(I232,'従業員情報'!$A:$A,'従業員情報'!$N:$N,"×")</f>
        <v>株式会社MIXI/島村管掌/人事本部/グループ会社サポート部</v>
      </c>
      <c r="K232" s="30" t="s">
        <v>1492</v>
      </c>
      <c r="L232" s="30"/>
    </row>
    <row r="233">
      <c r="A233" s="31" t="s">
        <v>1881</v>
      </c>
      <c r="B233" s="31" t="s">
        <v>2394</v>
      </c>
      <c r="C233" s="78">
        <v>9.0</v>
      </c>
      <c r="D233" s="78">
        <v>12.0</v>
      </c>
      <c r="E233" s="31" t="str">
        <f t="array" ref="E233">XLOOKUP($A233,'source isilon_Projectまとめ'!$A:$A,'source isilon_Projectまとめ'!$D:$D,XLOOKUP($A233,'source isilon-Project-du'!$A:$A,'source isilon-Project-du'!$C:$C))</f>
        <v>0.32GB</v>
      </c>
      <c r="F233" s="30" t="str">
        <f t="array" ref="F233">XLOOKUP($A233,'source isilon_Projectまとめ'!$A:$A,'source isilon_Projectまとめ'!$C:$C,XLOOKUP($A233,'source NetApp-file-sv01～03-Proj'!$A:$A,'source NetApp-file-sv01～03-Proj'!$D:$D))</f>
        <v>2020/02/17</v>
      </c>
      <c r="G233" s="31" t="s">
        <v>2177</v>
      </c>
      <c r="H233" s="30"/>
      <c r="I233" s="31" t="s">
        <v>1883</v>
      </c>
      <c r="J233" s="30" t="str">
        <f t="array" ref="J233">XLOOKUP(I233,'従業員情報'!$A:$A,'従業員情報'!$N:$N,"×")</f>
        <v>株式会社MIXI/笠原管掌/Vantageスタジオ/事業推進室/mercuryグループ</v>
      </c>
      <c r="K233" s="30" t="s">
        <v>1883</v>
      </c>
      <c r="L233" s="30"/>
    </row>
    <row r="234">
      <c r="A234" s="31" t="s">
        <v>1884</v>
      </c>
      <c r="B234" s="31" t="s">
        <v>2394</v>
      </c>
      <c r="C234" s="78">
        <v>93.0</v>
      </c>
      <c r="D234" s="78">
        <v>1002.0</v>
      </c>
      <c r="E234" s="31" t="str">
        <f t="array" ref="E234">XLOOKUP($A234,'source isilon_Projectまとめ'!$A:$A,'source isilon_Projectまとめ'!$D:$D,XLOOKUP($A234,'source isilon-Project-du'!$A:$A,'source isilon-Project-du'!$C:$C))</f>
        <v>2.78GB</v>
      </c>
      <c r="F234" s="30" t="str">
        <f t="array" ref="F234">XLOOKUP($A234,'source isilon_Projectまとめ'!$A:$A,'source isilon_Projectまとめ'!$C:$C,XLOOKUP($A234,'source NetApp-file-sv01～03-Proj'!$A:$A,'source NetApp-file-sv01～03-Proj'!$D:$D))</f>
        <v>2016/04/13</v>
      </c>
      <c r="G234" s="31" t="s">
        <v>2177</v>
      </c>
      <c r="H234" s="30"/>
      <c r="I234" s="31" t="s">
        <v>1391</v>
      </c>
      <c r="J234" s="30" t="str">
        <f t="array" ref="J234">XLOOKUP(I234,'従業員情報'!$A:$A,'従業員情報'!$N:$N,"×")</f>
        <v>株式会社MIXI/笠原管掌/Vantageスタジオ/Romi事業部/UX企画グループ</v>
      </c>
      <c r="K234" s="30" t="s">
        <v>1391</v>
      </c>
      <c r="L234" s="30"/>
    </row>
    <row r="235">
      <c r="A235" s="31" t="s">
        <v>1885</v>
      </c>
      <c r="B235" s="31" t="s">
        <v>993</v>
      </c>
      <c r="C235" s="78">
        <v>39.0</v>
      </c>
      <c r="D235" s="78">
        <v>307.0</v>
      </c>
      <c r="E235" s="31" t="str">
        <f t="array" ref="E235">XLOOKUP($A235,'source isilon_Projectまとめ'!$A:$A,'source isilon_Projectまとめ'!$D:$D,XLOOKUP($A235,'source isilon-Project-du'!$A:$A,'source isilon-Project-du'!$C:$C))</f>
        <v>0.02GB</v>
      </c>
      <c r="F235" s="30" t="str">
        <f t="array" ref="F235">XLOOKUP($A235,'source isilon_Projectまとめ'!$A:$A,'source isilon_Projectまとめ'!$C:$C,XLOOKUP($A235,'source NetApp-file-sv01～03-Proj'!$A:$A,'source NetApp-file-sv01～03-Proj'!$D:$D))</f>
        <v>2012/07/11</v>
      </c>
      <c r="G235" s="31" t="s">
        <v>2177</v>
      </c>
      <c r="H235" s="30"/>
      <c r="I235" s="31" t="s">
        <v>1887</v>
      </c>
      <c r="J235" s="30" t="str">
        <f t="array" ref="J235">XLOOKUP(I235,'退職者'!$C:$C,'退職者'!$B:$B,"×")&amp;XLOOKUP(I235,'退職者'!$C:$C,'退職者'!$A:$A,"×")</f>
        <v>××</v>
      </c>
      <c r="K235" s="30" t="s">
        <v>2399</v>
      </c>
      <c r="L235" s="30"/>
    </row>
    <row r="236">
      <c r="A236" s="31" t="s">
        <v>1888</v>
      </c>
      <c r="B236" s="31" t="s">
        <v>2394</v>
      </c>
      <c r="C236" s="78">
        <v>10.0</v>
      </c>
      <c r="D236" s="78">
        <v>119.0</v>
      </c>
      <c r="E236" s="31" t="str">
        <f t="array" ref="E236">XLOOKUP($A236,'source isilon_Projectまとめ'!$A:$A,'source isilon_Projectまとめ'!$D:$D,XLOOKUP($A236,'source isilon-Project-du'!$A:$A,'source isilon-Project-du'!$C:$C))</f>
        <v>0.05GB</v>
      </c>
      <c r="F236" s="30" t="str">
        <f t="array" ref="F236">XLOOKUP($A236,'source isilon_Projectまとめ'!$A:$A,'source isilon_Projectまとめ'!$C:$C,XLOOKUP($A236,'source NetApp-file-sv01～03-Proj'!$A:$A,'source NetApp-file-sv01～03-Proj'!$D:$D))</f>
        <v>2017/03/13</v>
      </c>
      <c r="G236" s="31" t="s">
        <v>2177</v>
      </c>
      <c r="H236" s="30"/>
      <c r="I236" s="31" t="s">
        <v>1469</v>
      </c>
      <c r="J236" s="30" t="str">
        <f t="array" ref="J236">XLOOKUP(I236,'従業員情報'!$A:$A,'従業員情報'!$N:$N,"×")</f>
        <v>株式会社MIXI/笠原管掌/Vantageスタジオ/事業推進室</v>
      </c>
      <c r="K236" s="30" t="s">
        <v>1469</v>
      </c>
      <c r="L236" s="30"/>
    </row>
    <row r="237">
      <c r="A237" s="31" t="s">
        <v>1890</v>
      </c>
      <c r="B237" s="31" t="s">
        <v>2394</v>
      </c>
      <c r="C237" s="78">
        <v>3249.0</v>
      </c>
      <c r="D237" s="78">
        <v>2230619.0</v>
      </c>
      <c r="E237" s="31" t="str">
        <f t="array" ref="E237">XLOOKUP($A237,'source isilon_Projectまとめ'!$A:$A,'source isilon_Projectまとめ'!$D:$D,XLOOKUP($A237,'source isilon-Project-du'!$A:$A,'source isilon-Project-du'!$C:$C))</f>
        <v>928.42GB</v>
      </c>
      <c r="F237" s="30" t="str">
        <f t="array" ref="F237">XLOOKUP($A237,'source isilon_Projectまとめ'!$A:$A,'source isilon_Projectまとめ'!$C:$C,XLOOKUP($A237,'source NetApp-file-sv01～03-Proj'!$A:$A,'source NetApp-file-sv01～03-Proj'!$D:$D))</f>
        <v>2020/07/30</v>
      </c>
      <c r="G237" s="31" t="s">
        <v>2177</v>
      </c>
      <c r="H237" s="30"/>
      <c r="I237" s="31" t="s">
        <v>1510</v>
      </c>
      <c r="J237" s="30" t="str">
        <f t="array" ref="J237">XLOOKUP(I237,'従業員情報'!$A:$A,'従業員情報'!$N:$N,"×")</f>
        <v>株式会社MIXI/村瀨管掌/デザイン本部</v>
      </c>
      <c r="K237" s="30" t="s">
        <v>1510</v>
      </c>
      <c r="L237" s="30"/>
    </row>
    <row r="238">
      <c r="A238" s="31" t="s">
        <v>1891</v>
      </c>
      <c r="B238" s="31" t="s">
        <v>1425</v>
      </c>
      <c r="C238" s="78">
        <v>15719.0</v>
      </c>
      <c r="D238" s="78">
        <v>8229807.0</v>
      </c>
      <c r="E238" s="30" t="str">
        <f t="array" ref="E238">XLOOKUP($A238,'source isilon_Projectまとめ'!$A:$A,'source isilon_Projectまとめ'!$D:$D,XLOOKUP($A238,'source isilon-Project-du'!$A:$A,'source isilon-Project-du'!$C:$C))</f>
        <v>9480.47GB</v>
      </c>
      <c r="F238" s="84" t="str">
        <f t="array" ref="F238">XLOOKUP($A238,'source isilon_Projectまとめ'!$A:$A,'source isilon_Projectまとめ'!$C:$C,XLOOKUP($A238,'source NetApp-file-sv01～03-Proj'!$A:$A,'source NetApp-file-sv01～03-Proj'!$D:$D))</f>
        <v>#N/A</v>
      </c>
      <c r="G238" s="31"/>
      <c r="H238" s="30"/>
      <c r="I238" s="30" t="s">
        <v>1893</v>
      </c>
      <c r="J238" s="30" t="str">
        <f t="array" ref="J238">XLOOKUP(I238,'退職者'!$C:$C,'退職者'!$B:$B,"×")&amp;XLOOKUP(I238,'退職者'!$C:$C,'退職者'!$A:$A,"×")</f>
        <v>デジタルエンターテインメントパブリッシング本部グローバルモンスト室</v>
      </c>
      <c r="K238" s="30"/>
      <c r="L238" s="30"/>
    </row>
    <row r="239">
      <c r="A239" s="31" t="s">
        <v>1891</v>
      </c>
      <c r="B239" s="31" t="s">
        <v>2394</v>
      </c>
      <c r="C239" s="78">
        <v>15719.0</v>
      </c>
      <c r="D239" s="78">
        <v>8229807.0</v>
      </c>
      <c r="E239" s="30" t="str">
        <f t="array" ref="E239">XLOOKUP($A239,'source isilon_Projectまとめ'!$A:$A,'source isilon_Projectまとめ'!$D:$D,XLOOKUP($A239,'source isilon-Project-du'!$A:$A,'source isilon-Project-du'!$C:$C))</f>
        <v>9480.47GB</v>
      </c>
      <c r="F239" s="84" t="str">
        <f t="array" ref="F239">XLOOKUP($A239,'source isilon_Projectまとめ'!$A:$A,'source isilon_Projectまとめ'!$C:$C,XLOOKUP($A239,'source NetApp-file-sv01～03-Proj'!$A:$A,'source NetApp-file-sv01～03-Proj'!$D:$D))</f>
        <v>#N/A</v>
      </c>
      <c r="G239" s="31"/>
      <c r="H239" s="30"/>
      <c r="I239" s="31" t="s">
        <v>1616</v>
      </c>
      <c r="J239" s="30" t="str">
        <f t="array" ref="J239">XLOOKUP(I239,'従業員情報'!$A:$A,'従業員情報'!$N:$N,"×")</f>
        <v>株式会社MIXI/木村管掌/デジタルエンターテインメントオペレーションズ本部/コトダマン制作部</v>
      </c>
      <c r="K239" s="30" t="s">
        <v>1616</v>
      </c>
      <c r="L239" s="30"/>
    </row>
    <row r="240">
      <c r="A240" s="31" t="s">
        <v>1891</v>
      </c>
      <c r="B240" s="31" t="s">
        <v>2394</v>
      </c>
      <c r="C240" s="78">
        <v>15719.0</v>
      </c>
      <c r="D240" s="78">
        <v>8229807.0</v>
      </c>
      <c r="E240" s="30" t="str">
        <f t="array" ref="E240">XLOOKUP($A240,'source isilon_Projectまとめ'!$A:$A,'source isilon_Projectまとめ'!$D:$D,XLOOKUP($A240,'source isilon-Project-du'!$A:$A,'source isilon-Project-du'!$C:$C))</f>
        <v>9480.47GB</v>
      </c>
      <c r="F240" s="84" t="str">
        <f t="array" ref="F240">XLOOKUP($A240,'source isilon_Projectまとめ'!$A:$A,'source isilon_Projectまとめ'!$C:$C,XLOOKUP($A240,'source NetApp-file-sv01～03-Proj'!$A:$A,'source NetApp-file-sv01～03-Proj'!$D:$D))</f>
        <v>#N/A</v>
      </c>
      <c r="G240" s="31"/>
      <c r="H240" s="30"/>
      <c r="I240" s="30" t="s">
        <v>2428</v>
      </c>
      <c r="J240" s="30" t="str">
        <f t="array" ref="J240">XLOOKUP(I240,'従業員情報'!$A:$A,'従業員情報'!$N:$N,"×")</f>
        <v>株式会社MIXI/奥山管掌/コーポレートデベロップメント本部/事業企画推進部/事業推進グループ/ARG企画チーム</v>
      </c>
      <c r="K240" s="30"/>
      <c r="L240" s="30"/>
    </row>
    <row r="241">
      <c r="A241" s="31" t="s">
        <v>1891</v>
      </c>
      <c r="B241" s="31" t="s">
        <v>1425</v>
      </c>
      <c r="C241" s="78">
        <v>15719.0</v>
      </c>
      <c r="D241" s="78">
        <v>8229807.0</v>
      </c>
      <c r="E241" s="30" t="str">
        <f t="array" ref="E241">XLOOKUP($A241,'source isilon_Projectまとめ'!$A:$A,'source isilon_Projectまとめ'!$D:$D,XLOOKUP($A241,'source isilon-Project-du'!$A:$A,'source isilon-Project-du'!$C:$C))</f>
        <v>9480.47GB</v>
      </c>
      <c r="F241" s="84" t="str">
        <f t="array" ref="F241">XLOOKUP($A241,'source isilon_Projectまとめ'!$A:$A,'source isilon_Projectまとめ'!$C:$C,XLOOKUP($A241,'source NetApp-file-sv01～03-Proj'!$A:$A,'source NetApp-file-sv01～03-Proj'!$D:$D))</f>
        <v>#N/A</v>
      </c>
      <c r="G241" s="31"/>
      <c r="H241" s="30"/>
      <c r="I241" s="30" t="s">
        <v>2429</v>
      </c>
      <c r="J241" s="30" t="str">
        <f t="array" ref="J241">XLOOKUP(I241,'退職者'!$C:$C,'退職者'!$B:$B,"×")&amp;XLOOKUP(I241,'退職者'!$C:$C,'退職者'!$A:$A,"×")</f>
        <v>モンスト事業本部デザイン室</v>
      </c>
      <c r="K241" s="30"/>
      <c r="L241" s="30"/>
    </row>
    <row r="242">
      <c r="A242" s="31" t="s">
        <v>1897</v>
      </c>
      <c r="B242" s="31" t="s">
        <v>994</v>
      </c>
      <c r="C242" s="78">
        <v>159309.0</v>
      </c>
      <c r="D242" s="78">
        <v>1194474.0</v>
      </c>
      <c r="E242" s="30" t="str">
        <f t="array" ref="E242">XLOOKUP($A242,'source isilon_Projectまとめ'!$A:$A,'source isilon_Projectまとめ'!$D:$D,XLOOKUP($A242,'source isilon-Project-du'!$A:$A,'source isilon-Project-du'!$C:$C))</f>
        <v>1408.20GB</v>
      </c>
      <c r="F242" s="84" t="str">
        <f t="array" ref="F242">XLOOKUP($A242,'source isilon_Projectまとめ'!$A:$A,'source isilon_Projectまとめ'!$C:$C,XLOOKUP($A242,'source NetApp-file-sv01～03-Proj'!$A:$A,'source NetApp-file-sv01～03-Proj'!$D:$D))</f>
        <v>#N/A</v>
      </c>
      <c r="G242" s="30"/>
      <c r="H242" s="30"/>
      <c r="I242" s="30" t="s">
        <v>1053</v>
      </c>
      <c r="J242" s="30" t="str">
        <f t="array" ref="J242">XLOOKUP(I242,'退職者'!$C:$C,'退職者'!$A:$A,"×")</f>
        <v>×</v>
      </c>
      <c r="K242" s="30"/>
      <c r="L242" s="30"/>
    </row>
    <row r="243">
      <c r="A243" s="31" t="s">
        <v>1898</v>
      </c>
      <c r="B243" s="31" t="s">
        <v>2394</v>
      </c>
      <c r="C243" s="78">
        <v>1.0</v>
      </c>
      <c r="D243" s="78">
        <v>2.0</v>
      </c>
      <c r="E243" s="30" t="str">
        <f t="array" ref="E243">XLOOKUP($A243,'source isilon_Projectまとめ'!$A:$A,'source isilon_Projectまとめ'!$D:$D,XLOOKUP($A243,'source isilon-Project-du'!$A:$A,'source isilon-Project-du'!$C:$C))</f>
        <v>0.00GB</v>
      </c>
      <c r="F243" s="80" t="str">
        <f t="array" ref="F243">XLOOKUP($A243,'source isilon_Projectまとめ'!$A:$A,'source isilon_Projectまとめ'!$C:$C,XLOOKUP($A243,'source NetApp-file-sv01～03-Proj'!$A:$A,'source NetApp-file-sv01～03-Proj'!$D:$D))</f>
        <v>#N/A</v>
      </c>
      <c r="G243" s="31"/>
      <c r="H243" s="30"/>
      <c r="I243" s="31" t="s">
        <v>1901</v>
      </c>
      <c r="J243" s="30" t="str">
        <f t="array" ref="J243">XLOOKUP(I243,'従業員情報'!$A:$A,'従業員情報'!$N:$N,"×")</f>
        <v>株式会社MIXI/笠原管掌/Vantageスタジオ/事業推進室/choidoraグループ</v>
      </c>
      <c r="K243" s="30" t="s">
        <v>1901</v>
      </c>
      <c r="L243" s="30"/>
    </row>
    <row r="244">
      <c r="A244" s="31" t="s">
        <v>1902</v>
      </c>
      <c r="B244" s="31" t="s">
        <v>993</v>
      </c>
      <c r="C244" s="78">
        <v>144.0</v>
      </c>
      <c r="D244" s="78">
        <v>670.0</v>
      </c>
      <c r="E244" s="31" t="str">
        <f t="array" ref="E244">XLOOKUP($A244,'source isilon_Projectまとめ'!$A:$A,'source isilon_Projectまとめ'!$D:$D,XLOOKUP($A244,'source isilon-Project-du'!$A:$A,'source isilon-Project-du'!$C:$C))</f>
        <v>0.15GB</v>
      </c>
      <c r="F244" s="30" t="str">
        <f t="array" ref="F244">XLOOKUP($A244,'source isilon_Projectまとめ'!$A:$A,'source isilon_Projectまとめ'!$C:$C,XLOOKUP($A244,'source NetApp-file-sv01～03-Proj'!$A:$A,'source NetApp-file-sv01～03-Proj'!$D:$D))</f>
        <v>2017/11/14</v>
      </c>
      <c r="G244" s="31" t="s">
        <v>2177</v>
      </c>
      <c r="H244" s="30"/>
      <c r="I244" s="31" t="s">
        <v>1541</v>
      </c>
      <c r="J244" s="30" t="str">
        <f t="array" ref="J244">XLOOKUP(I244,'退職者'!$C:$C,'退職者'!$B:$B,"×")&amp;XLOOKUP(I244,'退職者'!$C:$C,'退職者'!$A:$A,"×")</f>
        <v>××</v>
      </c>
      <c r="K244" s="30" t="s">
        <v>2399</v>
      </c>
      <c r="L244" s="30"/>
    </row>
    <row r="245">
      <c r="A245" s="31" t="s">
        <v>1903</v>
      </c>
      <c r="B245" s="31" t="s">
        <v>2394</v>
      </c>
      <c r="C245" s="78">
        <v>1.0</v>
      </c>
      <c r="D245" s="78">
        <v>3.0</v>
      </c>
      <c r="E245" s="30" t="str">
        <f t="array" ref="E245">XLOOKUP($A245,'source isilon_Projectまとめ'!$A:$A,'source isilon_Projectまとめ'!$D:$D,XLOOKUP($A245,'source isilon-Project-du'!$A:$A,'source isilon-Project-du'!$C:$C))</f>
        <v>0.00GB</v>
      </c>
      <c r="F245" s="80" t="str">
        <f t="array" ref="F245">XLOOKUP($A245,'source isilon_Projectまとめ'!$A:$A,'source isilon_Projectまとめ'!$C:$C,XLOOKUP($A245,'source NetApp-file-sv01～03-Proj'!$A:$A,'source NetApp-file-sv01～03-Proj'!$D:$D))</f>
        <v>#N/A</v>
      </c>
      <c r="G245" s="31"/>
      <c r="H245" s="30"/>
      <c r="I245" s="31" t="s">
        <v>1906</v>
      </c>
      <c r="J245" s="30" t="str">
        <f t="array" ref="J245">XLOOKUP(I245,'従業員情報'!$A:$A,'従業員情報'!$N:$N,"×")</f>
        <v>株式会社MIXI/木村管掌/デジタルエンターテインメントオペレーションズ本部/モンストIPクリエイション部/映像グループ</v>
      </c>
      <c r="K245" s="30" t="s">
        <v>1906</v>
      </c>
      <c r="L245" s="30"/>
    </row>
    <row r="246">
      <c r="A246" s="31" t="s">
        <v>1907</v>
      </c>
      <c r="B246" s="31" t="s">
        <v>2394</v>
      </c>
      <c r="C246" s="78">
        <v>7809.0</v>
      </c>
      <c r="D246" s="78">
        <v>29192.0</v>
      </c>
      <c r="E246" s="31" t="str">
        <f t="array" ref="E246">XLOOKUP($A246,'source isilon_Projectまとめ'!$A:$A,'source isilon_Projectまとめ'!$D:$D,XLOOKUP($A246,'source isilon-Project-du'!$A:$A,'source isilon-Project-du'!$C:$C))</f>
        <v>3.42GB</v>
      </c>
      <c r="F246" s="30" t="str">
        <f t="array" ref="F246">XLOOKUP($A246,'source isilon_Projectまとめ'!$A:$A,'source isilon_Projectまとめ'!$C:$C,XLOOKUP($A246,'source NetApp-file-sv01～03-Proj'!$A:$A,'source NetApp-file-sv01～03-Proj'!$D:$D))</f>
        <v>2018/03/16</v>
      </c>
      <c r="G246" s="31" t="s">
        <v>2177</v>
      </c>
      <c r="H246" s="30"/>
      <c r="I246" s="31" t="s">
        <v>1510</v>
      </c>
      <c r="J246" s="30" t="str">
        <f t="array" ref="J246">XLOOKUP(I246,'従業員情報'!$A:$A,'従業員情報'!$N:$N,"×")</f>
        <v>株式会社MIXI/村瀨管掌/デザイン本部</v>
      </c>
      <c r="K246" s="30" t="s">
        <v>1510</v>
      </c>
      <c r="L246" s="30"/>
    </row>
    <row r="247">
      <c r="A247" s="31" t="s">
        <v>1908</v>
      </c>
      <c r="B247" s="31" t="s">
        <v>2394</v>
      </c>
      <c r="C247" s="78">
        <v>482.0</v>
      </c>
      <c r="D247" s="78">
        <v>1399.0</v>
      </c>
      <c r="E247" s="31" t="str">
        <f t="array" ref="E247">XLOOKUP($A247,'source isilon_Projectまとめ'!$A:$A,'source isilon_Projectまとめ'!$D:$D,XLOOKUP($A247,'source isilon-Project-du'!$A:$A,'source isilon-Project-du'!$C:$C))</f>
        <v>0.37GB</v>
      </c>
      <c r="F247" s="30" t="str">
        <f t="array" ref="F247">XLOOKUP($A247,'source isilon_Projectまとめ'!$A:$A,'source isilon_Projectまとめ'!$C:$C,XLOOKUP($A247,'source NetApp-file-sv01～03-Proj'!$A:$A,'source NetApp-file-sv01～03-Proj'!$D:$D))</f>
        <v>2024/11/15</v>
      </c>
      <c r="G247" s="31" t="s">
        <v>2184</v>
      </c>
      <c r="H247" s="30"/>
      <c r="I247" s="31" t="s">
        <v>1911</v>
      </c>
      <c r="J247" s="30" t="str">
        <f t="array" ref="J247">XLOOKUP(I247,'従業員情報'!$A:$A,'従業員情報'!$N:$N,"×")</f>
        <v>株式会社MIXI/島村管掌/人事本部/組織戦略部/組織推進グループ</v>
      </c>
      <c r="K247" s="30" t="s">
        <v>1911</v>
      </c>
      <c r="L247" s="30"/>
    </row>
    <row r="248">
      <c r="A248" s="31" t="s">
        <v>1912</v>
      </c>
      <c r="B248" s="31" t="s">
        <v>2394</v>
      </c>
      <c r="C248" s="78">
        <v>17.0</v>
      </c>
      <c r="D248" s="78">
        <v>72.0</v>
      </c>
      <c r="E248" s="31" t="str">
        <f t="array" ref="E248">XLOOKUP($A248,'source isilon_Projectまとめ'!$A:$A,'source isilon_Projectまとめ'!$D:$D,XLOOKUP($A248,'source isilon-Project-du'!$A:$A,'source isilon-Project-du'!$C:$C))</f>
        <v>0.07GB</v>
      </c>
      <c r="F248" s="30" t="str">
        <f t="array" ref="F248">XLOOKUP($A248,'source isilon_Projectまとめ'!$A:$A,'source isilon_Projectまとめ'!$C:$C,XLOOKUP($A248,'source NetApp-file-sv01～03-Proj'!$A:$A,'source NetApp-file-sv01～03-Proj'!$D:$D))</f>
        <v>2013/01/10</v>
      </c>
      <c r="G248" s="31" t="s">
        <v>2177</v>
      </c>
      <c r="H248" s="30"/>
      <c r="I248" s="31" t="s">
        <v>1739</v>
      </c>
      <c r="J248" s="30" t="str">
        <f t="array" ref="J248">XLOOKUP(I248,'従業員情報'!$A:$A,'従業員情報'!$N:$N,"×")</f>
        <v>アイ・マーキュリーキャピタル株式会社/アイ・マーキュリーキャピタル株式会社/アイ・マーキュリーキャピタル株式会社(本部格)</v>
      </c>
      <c r="K248" s="30" t="s">
        <v>1739</v>
      </c>
      <c r="L248" s="30"/>
    </row>
    <row r="249">
      <c r="A249" s="31" t="s">
        <v>1913</v>
      </c>
      <c r="B249" s="31" t="s">
        <v>2394</v>
      </c>
      <c r="C249" s="78">
        <v>1217.0</v>
      </c>
      <c r="D249" s="78">
        <v>3836.0</v>
      </c>
      <c r="E249" s="31" t="str">
        <f t="array" ref="E249">XLOOKUP($A249,'source isilon_Projectまとめ'!$A:$A,'source isilon_Projectまとめ'!$D:$D,XLOOKUP($A249,'source isilon-Project-du'!$A:$A,'source isilon-Project-du'!$C:$C))</f>
        <v>1.19GB</v>
      </c>
      <c r="F249" s="30" t="str">
        <f t="array" ref="F249">XLOOKUP($A249,'source isilon_Projectまとめ'!$A:$A,'source isilon_Projectまとめ'!$C:$C,XLOOKUP($A249,'source NetApp-file-sv01～03-Proj'!$A:$A,'source NetApp-file-sv01～03-Proj'!$D:$D))</f>
        <v>2022/03/15</v>
      </c>
      <c r="G249" s="31" t="s">
        <v>2177</v>
      </c>
      <c r="H249" s="30"/>
      <c r="I249" s="31" t="s">
        <v>1916</v>
      </c>
      <c r="J249" s="30" t="str">
        <f t="array" ref="J249">XLOOKUP(I249,'従業員情報'!$A:$A,'従業員情報'!$N:$N,"×")</f>
        <v>株式会社MIXI/木村管掌/ライブエクスペリエンス事業本部/バスケットボール事業部/マーケティンググループ</v>
      </c>
      <c r="K249" s="30" t="s">
        <v>1916</v>
      </c>
      <c r="L249" s="30"/>
    </row>
    <row r="250">
      <c r="A250" s="31" t="s">
        <v>1917</v>
      </c>
      <c r="B250" s="31" t="s">
        <v>2394</v>
      </c>
      <c r="C250" s="78">
        <v>13522.0</v>
      </c>
      <c r="D250" s="78">
        <v>64338.0</v>
      </c>
      <c r="E250" s="31" t="str">
        <f t="array" ref="E250">XLOOKUP($A250,'source isilon_Projectまとめ'!$A:$A,'source isilon_Projectまとめ'!$D:$D,XLOOKUP($A250,'source isilon-Project-du'!$A:$A,'source isilon-Project-du'!$C:$C))</f>
        <v>110.06GB</v>
      </c>
      <c r="F250" s="30" t="str">
        <f t="array" ref="F250">XLOOKUP($A250,'source isilon_Projectまとめ'!$A:$A,'source isilon_Projectまとめ'!$C:$C,XLOOKUP($A250,'source NetApp-file-sv01～03-Proj'!$A:$A,'source NetApp-file-sv01～03-Proj'!$D:$D))</f>
        <v>2022/11/22</v>
      </c>
      <c r="G250" s="31" t="s">
        <v>2177</v>
      </c>
      <c r="H250" s="30"/>
      <c r="I250" s="31" t="s">
        <v>1920</v>
      </c>
      <c r="J250" s="30" t="str">
        <f t="array" ref="J250">XLOOKUP(I250,'従業員情報'!$A:$A,'従業員情報'!$N:$N,"×")</f>
        <v>株式会社MIXI/奥山管掌/ソーシャルベッティング事業本部/TIPSTAR事業部/運営グループ/ミッション運用チーム</v>
      </c>
      <c r="K250" s="30" t="s">
        <v>1920</v>
      </c>
      <c r="L250" s="30"/>
    </row>
    <row r="251">
      <c r="A251" s="31" t="s">
        <v>1921</v>
      </c>
      <c r="B251" s="31" t="s">
        <v>993</v>
      </c>
      <c r="C251" s="78">
        <v>1809.0</v>
      </c>
      <c r="D251" s="78">
        <v>17725.0</v>
      </c>
      <c r="E251" s="31" t="str">
        <f t="array" ref="E251">XLOOKUP($A251,'source isilon_Projectまとめ'!$A:$A,'source isilon_Projectまとめ'!$D:$D,XLOOKUP($A251,'source isilon-Project-du'!$A:$A,'source isilon-Project-du'!$C:$C))</f>
        <v>21.48GB</v>
      </c>
      <c r="F251" s="30" t="str">
        <f t="array" ref="F251">XLOOKUP($A251,'source isilon_Projectまとめ'!$A:$A,'source isilon_Projectまとめ'!$C:$C,XLOOKUP($A251,'source NetApp-file-sv01～03-Proj'!$A:$A,'source NetApp-file-sv01～03-Proj'!$D:$D))</f>
        <v>2013/02/19</v>
      </c>
      <c r="G251" s="31" t="s">
        <v>2177</v>
      </c>
      <c r="H251" s="30"/>
      <c r="I251" s="31" t="s">
        <v>1643</v>
      </c>
      <c r="J251" s="30" t="str">
        <f t="array" ref="J251">XLOOKUP(I251,'退職者'!$C:$C,'退職者'!$B:$B,"×")&amp;XLOOKUP(I251,'退職者'!$C:$C,'退職者'!$A:$A,"×")</f>
        <v/>
      </c>
      <c r="K251" s="30" t="s">
        <v>2399</v>
      </c>
      <c r="L251" s="30"/>
    </row>
    <row r="252">
      <c r="A252" s="31" t="s">
        <v>1922</v>
      </c>
      <c r="B252" s="31" t="s">
        <v>993</v>
      </c>
      <c r="C252" s="78">
        <v>544.0</v>
      </c>
      <c r="D252" s="78">
        <v>3923.0</v>
      </c>
      <c r="E252" s="31" t="str">
        <f t="array" ref="E252">XLOOKUP($A252,'source isilon_Projectまとめ'!$A:$A,'source isilon_Projectまとめ'!$D:$D,XLOOKUP($A252,'source isilon-Project-du'!$A:$A,'source isilon-Project-du'!$C:$C))</f>
        <v>2.45GB</v>
      </c>
      <c r="F252" s="30" t="str">
        <f t="array" ref="F252">XLOOKUP($A252,'source isilon_Projectまとめ'!$A:$A,'source isilon_Projectまとめ'!$C:$C,XLOOKUP($A252,'source NetApp-file-sv01～03-Proj'!$A:$A,'source NetApp-file-sv01～03-Proj'!$D:$D))</f>
        <v>2016/10/04</v>
      </c>
      <c r="G252" s="31" t="s">
        <v>2177</v>
      </c>
      <c r="H252" s="30"/>
      <c r="I252" s="31" t="s">
        <v>1924</v>
      </c>
      <c r="J252" s="30" t="str">
        <f t="array" ref="J252">XLOOKUP(I252,'退職者'!$C:$C,'退職者'!$B:$B,"×")&amp;XLOOKUP(I252,'退職者'!$C:$C,'退職者'!$A:$A,"×")</f>
        <v/>
      </c>
      <c r="K252" s="30" t="s">
        <v>2399</v>
      </c>
      <c r="L252" s="30"/>
    </row>
    <row r="253">
      <c r="A253" s="31" t="s">
        <v>1925</v>
      </c>
      <c r="B253" s="31" t="s">
        <v>1425</v>
      </c>
      <c r="C253" s="78">
        <v>262.0</v>
      </c>
      <c r="D253" s="78">
        <v>961.0</v>
      </c>
      <c r="E253" s="31" t="str">
        <f t="array" ref="E253">XLOOKUP($A253,'source isilon_Projectまとめ'!$A:$A,'source isilon_Projectまとめ'!$D:$D,XLOOKUP($A253,'source isilon-Project-du'!$A:$A,'source isilon-Project-du'!$C:$C))</f>
        <v>1.02GB</v>
      </c>
      <c r="F253" s="30" t="str">
        <f t="array" ref="F253">XLOOKUP($A253,'source isilon_Projectまとめ'!$A:$A,'source isilon_Projectまとめ'!$C:$C,XLOOKUP($A253,'source NetApp-file-sv01～03-Proj'!$A:$A,'source NetApp-file-sv01～03-Proj'!$D:$D))</f>
        <v>2019/04/24</v>
      </c>
      <c r="G253" s="31" t="s">
        <v>2177</v>
      </c>
      <c r="H253" s="30"/>
      <c r="I253" s="31" t="s">
        <v>1927</v>
      </c>
      <c r="J253" s="30" t="str">
        <f t="array" ref="J253">XLOOKUP(I253,'退職者'!$C:$C,'退職者'!$B:$B,"×")&amp;XLOOKUP(I253,'退職者'!$C:$C,'退職者'!$A:$A,"×")</f>
        <v>社長本部コーポレートコミュニケーション部</v>
      </c>
      <c r="K253" s="30" t="s">
        <v>2399</v>
      </c>
      <c r="L253" s="30"/>
    </row>
    <row r="254">
      <c r="A254" s="31" t="s">
        <v>1928</v>
      </c>
      <c r="B254" s="31" t="s">
        <v>993</v>
      </c>
      <c r="C254" s="78">
        <v>8.0</v>
      </c>
      <c r="D254" s="78">
        <v>49.0</v>
      </c>
      <c r="E254" s="31" t="str">
        <f t="array" ref="E254">XLOOKUP($A254,'source isilon_Projectまとめ'!$A:$A,'source isilon_Projectまとめ'!$D:$D,XLOOKUP($A254,'source isilon-Project-du'!$A:$A,'source isilon-Project-du'!$C:$C))</f>
        <v>0.01GB</v>
      </c>
      <c r="F254" s="30" t="str">
        <f t="array" ref="F254">XLOOKUP($A254,'source isilon_Projectまとめ'!$A:$A,'source isilon_Projectまとめ'!$C:$C,XLOOKUP($A254,'source NetApp-file-sv01～03-Proj'!$A:$A,'source NetApp-file-sv01～03-Proj'!$D:$D))</f>
        <v>2016/09/05</v>
      </c>
      <c r="G254" s="31" t="s">
        <v>2177</v>
      </c>
      <c r="H254" s="30"/>
      <c r="I254" s="31" t="s">
        <v>1930</v>
      </c>
      <c r="J254" s="30" t="str">
        <f t="array" ref="J254">XLOOKUP(I254,'退職者'!$C:$C,'退職者'!$B:$B,"×")&amp;XLOOKUP(I254,'退職者'!$C:$C,'退職者'!$A:$A,"×")</f>
        <v>××</v>
      </c>
      <c r="K254" s="30" t="s">
        <v>2399</v>
      </c>
      <c r="L254" s="30"/>
    </row>
    <row r="255">
      <c r="A255" s="31" t="s">
        <v>1931</v>
      </c>
      <c r="B255" s="31" t="s">
        <v>2394</v>
      </c>
      <c r="C255" s="78">
        <v>217.0</v>
      </c>
      <c r="D255" s="78">
        <v>487.0</v>
      </c>
      <c r="E255" s="31" t="str">
        <f t="array" ref="E255">XLOOKUP($A255,'source isilon_Projectまとめ'!$A:$A,'source isilon_Projectまとめ'!$D:$D,XLOOKUP($A255,'source isilon-Project-du'!$A:$A,'source isilon-Project-du'!$C:$C))</f>
        <v>0.07GB</v>
      </c>
      <c r="F255" s="30" t="str">
        <f t="array" ref="F255">XLOOKUP($A255,'source isilon_Projectまとめ'!$A:$A,'source isilon_Projectまとめ'!$C:$C,XLOOKUP($A255,'source NetApp-file-sv01～03-Proj'!$A:$A,'source NetApp-file-sv01～03-Proj'!$D:$D))</f>
        <v>2015/01/09</v>
      </c>
      <c r="G255" s="31" t="s">
        <v>2177</v>
      </c>
      <c r="H255" s="30"/>
      <c r="I255" s="31" t="s">
        <v>1391</v>
      </c>
      <c r="J255" s="30" t="str">
        <f t="array" ref="J255">XLOOKUP(I255,'従業員情報'!$A:$A,'従業員情報'!$N:$N,"×")</f>
        <v>株式会社MIXI/笠原管掌/Vantageスタジオ/Romi事業部/UX企画グループ</v>
      </c>
      <c r="K255" s="30" t="s">
        <v>1391</v>
      </c>
      <c r="L255" s="30"/>
    </row>
    <row r="256">
      <c r="A256" s="31" t="s">
        <v>1932</v>
      </c>
      <c r="B256" s="31" t="s">
        <v>2394</v>
      </c>
      <c r="C256" s="78">
        <v>1.0</v>
      </c>
      <c r="D256" s="78">
        <v>3.0</v>
      </c>
      <c r="E256" s="30" t="str">
        <f t="array" ref="E256">XLOOKUP($A256,'source isilon_Projectまとめ'!$A:$A,'source isilon_Projectまとめ'!$D:$D,XLOOKUP($A256,'source isilon-Project-du'!$A:$A,'source isilon-Project-du'!$C:$C))</f>
        <v>0.00GB</v>
      </c>
      <c r="F256" s="80" t="str">
        <f t="array" ref="F256">XLOOKUP($A256,'source isilon_Projectまとめ'!$A:$A,'source isilon_Projectまとめ'!$C:$C,XLOOKUP($A256,'source NetApp-file-sv01～03-Proj'!$A:$A,'source NetApp-file-sv01～03-Proj'!$D:$D))</f>
        <v>#N/A</v>
      </c>
      <c r="G256" s="31"/>
      <c r="H256" s="30"/>
      <c r="I256" s="31" t="s">
        <v>1454</v>
      </c>
      <c r="J256" s="30" t="str">
        <f t="array" ref="J256">XLOOKUP(I256,'従業員情報'!$A:$A,'従業員情報'!$N:$N,"×")</f>
        <v>株式会社MIXI/管掌役員なし/上級執行役員</v>
      </c>
      <c r="K256" s="30" t="s">
        <v>1454</v>
      </c>
      <c r="L256" s="30"/>
    </row>
    <row r="257">
      <c r="A257" s="31" t="s">
        <v>1932</v>
      </c>
      <c r="B257" s="31" t="s">
        <v>2394</v>
      </c>
      <c r="C257" s="78">
        <v>1.0</v>
      </c>
      <c r="D257" s="78">
        <v>3.0</v>
      </c>
      <c r="E257" s="30" t="str">
        <f t="array" ref="E257">XLOOKUP($A257,'source isilon_Projectまとめ'!$A:$A,'source isilon_Projectまとめ'!$D:$D,XLOOKUP($A257,'source isilon-Project-du'!$A:$A,'source isilon-Project-du'!$C:$C))</f>
        <v>0.00GB</v>
      </c>
      <c r="F257" s="80" t="str">
        <f t="array" ref="F257">XLOOKUP($A257,'source isilon_Projectまとめ'!$A:$A,'source isilon_Projectまとめ'!$C:$C,XLOOKUP($A257,'source NetApp-file-sv01～03-Proj'!$A:$A,'source NetApp-file-sv01～03-Proj'!$D:$D))</f>
        <v>#N/A</v>
      </c>
      <c r="G257" s="31"/>
      <c r="H257" s="30"/>
      <c r="I257" s="31" t="s">
        <v>1935</v>
      </c>
      <c r="J257" s="30" t="str">
        <f t="array" ref="J257">XLOOKUP(I257,'従業員情報'!$A:$A,'従業員情報'!$N:$N,"×")</f>
        <v>株式会社MIXI/小林管掌/コンプライアンス本部/法務部/コンプライアンスグループ</v>
      </c>
      <c r="K257" s="30" t="s">
        <v>1935</v>
      </c>
      <c r="L257" s="30"/>
    </row>
    <row r="258">
      <c r="A258" s="31" t="s">
        <v>1936</v>
      </c>
      <c r="B258" s="31" t="s">
        <v>993</v>
      </c>
      <c r="C258" s="78">
        <v>35.0</v>
      </c>
      <c r="D258" s="78">
        <v>276.0</v>
      </c>
      <c r="E258" s="31" t="str">
        <f t="array" ref="E258">XLOOKUP($A258,'source isilon_Projectまとめ'!$A:$A,'source isilon_Projectまとめ'!$D:$D,XLOOKUP($A258,'source isilon-Project-du'!$A:$A,'source isilon-Project-du'!$C:$C))</f>
        <v>0.08GB</v>
      </c>
      <c r="F258" s="30" t="str">
        <f t="array" ref="F258">XLOOKUP($A258,'source isilon_Projectまとめ'!$A:$A,'source isilon_Projectまとめ'!$C:$C,XLOOKUP($A258,'source NetApp-file-sv01～03-Proj'!$A:$A,'source NetApp-file-sv01～03-Proj'!$D:$D))</f>
        <v>2011/12/20</v>
      </c>
      <c r="G258" s="31" t="s">
        <v>2177</v>
      </c>
      <c r="H258" s="30"/>
      <c r="I258" s="31" t="s">
        <v>1537</v>
      </c>
      <c r="J258" s="30" t="str">
        <f t="array" ref="J258">XLOOKUP(I258,'退職者'!$C:$C,'退職者'!$B:$B,"×")&amp;XLOOKUP(I258,'退職者'!$C:$C,'退職者'!$A:$A,"×")</f>
        <v/>
      </c>
      <c r="K258" s="30" t="s">
        <v>2399</v>
      </c>
      <c r="L258" s="30"/>
    </row>
    <row r="259">
      <c r="A259" s="31" t="s">
        <v>1937</v>
      </c>
      <c r="B259" s="31" t="s">
        <v>2394</v>
      </c>
      <c r="C259" s="78">
        <v>351.0</v>
      </c>
      <c r="D259" s="78">
        <v>1785.0</v>
      </c>
      <c r="E259" s="31" t="str">
        <f t="array" ref="E259">XLOOKUP($A259,'source isilon_Projectまとめ'!$A:$A,'source isilon_Projectまとめ'!$D:$D,XLOOKUP($A259,'source isilon-Project-du'!$A:$A,'source isilon-Project-du'!$C:$C))</f>
        <v>2.18GB</v>
      </c>
      <c r="F259" s="30" t="str">
        <f t="array" ref="F259">XLOOKUP($A259,'source isilon_Projectまとめ'!$A:$A,'source isilon_Projectまとめ'!$C:$C,XLOOKUP($A259,'source NetApp-file-sv01～03-Proj'!$A:$A,'source NetApp-file-sv01～03-Proj'!$D:$D))</f>
        <v>2015/09/30</v>
      </c>
      <c r="G259" s="31" t="s">
        <v>2177</v>
      </c>
      <c r="H259" s="30"/>
      <c r="I259" s="31" t="s">
        <v>1488</v>
      </c>
      <c r="J259" s="30" t="str">
        <f t="array" ref="J259">XLOOKUP(I259,'従業員情報'!$A:$A,'従業員情報'!$N:$N,"×")</f>
        <v>株式会社MIXI/村瀨管掌/はたらく環境推進本部/せいかつ環境室/せいかつ環境Aグループ</v>
      </c>
      <c r="K259" s="30" t="s">
        <v>1488</v>
      </c>
      <c r="L259" s="30"/>
    </row>
    <row r="260">
      <c r="A260" s="31" t="s">
        <v>1237</v>
      </c>
      <c r="B260" s="31" t="s">
        <v>994</v>
      </c>
      <c r="C260" s="78">
        <v>14150.0</v>
      </c>
      <c r="D260" s="78">
        <v>122468.0</v>
      </c>
      <c r="E260" s="30" t="str">
        <f t="array" ref="E260">XLOOKUP($A260,'source isilon_Projectまとめ'!$A:$A,'source isilon_Projectまとめ'!$D:$D,XLOOKUP($A260,'source isilon-Project-du'!$A:$A,'source isilon-Project-du'!$C:$C))</f>
        <v>299.02GB</v>
      </c>
      <c r="F260" s="80" t="str">
        <f t="array" ref="F260">XLOOKUP($A260,'source isilon_Projectまとめ'!$A:$A,'source isilon_Projectまとめ'!$C:$C,XLOOKUP($A260,'source NetApp-file-sv01～03-Proj'!$A:$A,'source NetApp-file-sv01～03-Proj'!$D:$D))</f>
        <v>#N/A</v>
      </c>
      <c r="G260" s="30"/>
      <c r="H260" s="30"/>
      <c r="I260" s="30" t="s">
        <v>1053</v>
      </c>
      <c r="J260" s="30" t="str">
        <f t="array" ref="J260">XLOOKUP(I260,'退職者'!$C:$C,'退職者'!$A:$A,"×")</f>
        <v>×</v>
      </c>
      <c r="K260" s="30"/>
      <c r="L260" s="30"/>
    </row>
    <row r="261">
      <c r="A261" s="31" t="s">
        <v>1938</v>
      </c>
      <c r="B261" s="31" t="s">
        <v>2394</v>
      </c>
      <c r="C261" s="78">
        <v>4.0</v>
      </c>
      <c r="D261" s="78">
        <v>39.0</v>
      </c>
      <c r="E261" s="31" t="str">
        <f t="array" ref="E261">XLOOKUP($A261,'source isilon_Projectまとめ'!$A:$A,'source isilon_Projectまとめ'!$D:$D,XLOOKUP($A261,'source isilon-Project-du'!$A:$A,'source isilon-Project-du'!$C:$C))</f>
        <v>0.00GB</v>
      </c>
      <c r="F261" s="30" t="str">
        <f t="array" ref="F261">XLOOKUP($A261,'source isilon_Projectまとめ'!$A:$A,'source isilon_Projectまとめ'!$C:$C,XLOOKUP($A261,'source NetApp-file-sv01～03-Proj'!$A:$A,'source NetApp-file-sv01～03-Proj'!$D:$D))</f>
        <v>2012/10/25</v>
      </c>
      <c r="G261" s="31" t="s">
        <v>2177</v>
      </c>
      <c r="H261" s="30"/>
      <c r="I261" s="31" t="s">
        <v>1606</v>
      </c>
      <c r="J261" s="30" t="str">
        <f t="array" ref="J261">XLOOKUP(I261,'従業員情報'!$A:$A,'従業員情報'!$N:$N,"×")</f>
        <v>株式会社MIXI/奥山管掌/ソーシャルベッティング事業本部/チャリ・ロト事業部/ソリューショングループ/管理チーム</v>
      </c>
      <c r="K261" s="30" t="s">
        <v>1606</v>
      </c>
      <c r="L261" s="30"/>
    </row>
    <row r="262">
      <c r="A262" s="31" t="s">
        <v>1939</v>
      </c>
      <c r="B262" s="31" t="s">
        <v>2394</v>
      </c>
      <c r="C262" s="78">
        <v>8.0</v>
      </c>
      <c r="D262" s="78">
        <v>292.0</v>
      </c>
      <c r="E262" s="31" t="str">
        <f t="array" ref="E262">XLOOKUP($A262,'source isilon_Projectまとめ'!$A:$A,'source isilon_Projectまとめ'!$D:$D,XLOOKUP($A262,'source isilon-Project-du'!$A:$A,'source isilon-Project-du'!$C:$C))</f>
        <v>0.16GB</v>
      </c>
      <c r="F262" s="30" t="str">
        <f t="array" ref="F262">XLOOKUP($A262,'source isilon_Projectまとめ'!$A:$A,'source isilon_Projectまとめ'!$C:$C,XLOOKUP($A262,'source NetApp-file-sv01～03-Proj'!$A:$A,'source NetApp-file-sv01～03-Proj'!$D:$D))</f>
        <v>2024/04/08</v>
      </c>
      <c r="G262" s="31" t="s">
        <v>2184</v>
      </c>
      <c r="H262" s="30"/>
      <c r="I262" s="31" t="s">
        <v>1583</v>
      </c>
      <c r="J262" s="30" t="str">
        <f t="array" ref="J262">XLOOKUP(I262,'従業員情報'!$A:$A,'従業員情報'!$N:$N,"×")</f>
        <v>株式会社MIXI/村瀨管掌/はたらく環境推進本部/コーポレートエンジニアリング部</v>
      </c>
      <c r="K262" s="30" t="s">
        <v>1583</v>
      </c>
      <c r="L262" s="30"/>
    </row>
    <row r="263">
      <c r="A263" s="31" t="s">
        <v>1940</v>
      </c>
      <c r="B263" s="31" t="s">
        <v>2394</v>
      </c>
      <c r="C263" s="78">
        <v>2.0</v>
      </c>
      <c r="D263" s="78">
        <v>7.0</v>
      </c>
      <c r="E263" s="31" t="str">
        <f t="array" ref="E263">XLOOKUP($A263,'source isilon_Projectまとめ'!$A:$A,'source isilon_Projectまとめ'!$D:$D,XLOOKUP($A263,'source isilon-Project-du'!$A:$A,'source isilon-Project-du'!$C:$C))</f>
        <v>0.01GB</v>
      </c>
      <c r="F263" s="30" t="str">
        <f t="array" ref="F263">XLOOKUP($A263,'source isilon_Projectまとめ'!$A:$A,'source isilon_Projectまとめ'!$C:$C,XLOOKUP($A263,'source NetApp-file-sv01～03-Proj'!$A:$A,'source NetApp-file-sv01～03-Proj'!$D:$D))</f>
        <v>2013/10/29</v>
      </c>
      <c r="G263" s="31" t="s">
        <v>2177</v>
      </c>
      <c r="H263" s="30"/>
      <c r="I263" s="31" t="s">
        <v>1423</v>
      </c>
      <c r="J263" s="30" t="str">
        <f t="array" ref="J263">XLOOKUP(I263,'従業員情報'!$A:$A,'従業員情報'!$N:$N,"×")</f>
        <v>株式会社MIXI/笠原管掌/Vantageスタジオ/mixi事業部</v>
      </c>
      <c r="K263" s="30" t="s">
        <v>1423</v>
      </c>
      <c r="L263" s="30"/>
    </row>
    <row r="264">
      <c r="A264" s="31" t="s">
        <v>1941</v>
      </c>
      <c r="B264" s="31" t="s">
        <v>993</v>
      </c>
      <c r="C264" s="78">
        <v>131.0</v>
      </c>
      <c r="D264" s="78">
        <v>651.0</v>
      </c>
      <c r="E264" s="31" t="str">
        <f t="array" ref="E264">XLOOKUP($A264,'source isilon_Projectまとめ'!$A:$A,'source isilon_Projectまとめ'!$D:$D,XLOOKUP($A264,'source isilon-Project-du'!$A:$A,'source isilon-Project-du'!$C:$C))</f>
        <v>0.18GB</v>
      </c>
      <c r="F264" s="30" t="str">
        <f t="array" ref="F264">XLOOKUP($A264,'source isilon_Projectまとめ'!$A:$A,'source isilon_Projectまとめ'!$C:$C,XLOOKUP($A264,'source NetApp-file-sv01～03-Proj'!$A:$A,'source NetApp-file-sv01～03-Proj'!$D:$D))</f>
        <v>2014/11/26</v>
      </c>
      <c r="G264" s="31" t="s">
        <v>2177</v>
      </c>
      <c r="H264" s="30"/>
      <c r="I264" s="31" t="s">
        <v>1643</v>
      </c>
      <c r="J264" s="30" t="str">
        <f t="array" ref="J264">XLOOKUP(I264,'退職者'!$C:$C,'退職者'!$B:$B,"×")&amp;XLOOKUP(I264,'退職者'!$C:$C,'退職者'!$A:$A,"×")</f>
        <v/>
      </c>
      <c r="K264" s="30" t="s">
        <v>2399</v>
      </c>
      <c r="L264" s="30"/>
    </row>
    <row r="265">
      <c r="A265" s="31" t="s">
        <v>1942</v>
      </c>
      <c r="B265" s="31" t="s">
        <v>2394</v>
      </c>
      <c r="C265" s="78">
        <v>2.0</v>
      </c>
      <c r="D265" s="78">
        <v>4.0</v>
      </c>
      <c r="E265" s="30" t="str">
        <f t="array" ref="E265">XLOOKUP($A265,'source isilon_Projectまとめ'!$A:$A,'source isilon_Projectまとめ'!$D:$D,XLOOKUP($A265,'source isilon-Project-du'!$A:$A,'source isilon-Project-du'!$C:$C))</f>
        <v>0.00GB</v>
      </c>
      <c r="F265" s="80" t="str">
        <f t="array" ref="F265">XLOOKUP($A265,'source isilon_Projectまとめ'!$A:$A,'source isilon_Projectまとめ'!$C:$C,XLOOKUP($A265,'source NetApp-file-sv01～03-Proj'!$A:$A,'source NetApp-file-sv01～03-Proj'!$D:$D))</f>
        <v>#N/A</v>
      </c>
      <c r="G265" s="31"/>
      <c r="H265" s="30"/>
      <c r="I265" s="31" t="s">
        <v>1769</v>
      </c>
      <c r="J265" s="30" t="str">
        <f t="array" ref="J265">XLOOKUP(I265,'従業員情報'!$A:$A,'従業員情報'!$N:$N,"×")</f>
        <v>株式会社MIXI/村瀨管掌/デザイン本部/テクニカルデザイン室/デジタルエンターテインメント支援グループ/2DUI第1チーム</v>
      </c>
      <c r="K265" s="30" t="s">
        <v>1769</v>
      </c>
      <c r="L265" s="30"/>
    </row>
    <row r="266">
      <c r="A266" s="31" t="s">
        <v>1944</v>
      </c>
      <c r="B266" s="31" t="s">
        <v>2394</v>
      </c>
      <c r="C266" s="78">
        <v>1.0</v>
      </c>
      <c r="D266" s="78">
        <v>4.0</v>
      </c>
      <c r="E266" s="31" t="str">
        <f t="array" ref="E266">XLOOKUP($A266,'source isilon_Projectまとめ'!$A:$A,'source isilon_Projectまとめ'!$D:$D,XLOOKUP($A266,'source isilon-Project-du'!$A:$A,'source isilon-Project-du'!$C:$C))</f>
        <v>0.00GB</v>
      </c>
      <c r="F266" s="30" t="str">
        <f t="array" ref="F266">XLOOKUP($A266,'source isilon_Projectまとめ'!$A:$A,'source isilon_Projectまとめ'!$C:$C,XLOOKUP($A266,'source NetApp-file-sv01～03-Proj'!$A:$A,'source NetApp-file-sv01～03-Proj'!$D:$D))</f>
        <v>2019/01/16</v>
      </c>
      <c r="G266" s="31" t="s">
        <v>2177</v>
      </c>
      <c r="H266" s="30"/>
      <c r="I266" s="31" t="s">
        <v>1583</v>
      </c>
      <c r="J266" s="30" t="str">
        <f t="array" ref="J266">XLOOKUP(I266,'従業員情報'!$A:$A,'従業員情報'!$N:$N,"×")</f>
        <v>株式会社MIXI/村瀨管掌/はたらく環境推進本部/コーポレートエンジニアリング部</v>
      </c>
      <c r="K266" s="30" t="s">
        <v>1583</v>
      </c>
      <c r="L266" s="30"/>
    </row>
    <row r="267">
      <c r="A267" s="31" t="s">
        <v>1946</v>
      </c>
      <c r="B267" s="31" t="s">
        <v>2394</v>
      </c>
      <c r="C267" s="78">
        <v>4.0</v>
      </c>
      <c r="D267" s="78">
        <v>8.0</v>
      </c>
      <c r="E267" s="31" t="str">
        <f t="array" ref="E267">XLOOKUP($A267,'source isilon_Projectまとめ'!$A:$A,'source isilon_Projectまとめ'!$D:$D,XLOOKUP($A267,'source isilon-Project-du'!$A:$A,'source isilon-Project-du'!$C:$C))</f>
        <v>0.00GB</v>
      </c>
      <c r="F267" s="30" t="str">
        <f t="array" ref="F267">XLOOKUP($A267,'source isilon_Projectまとめ'!$A:$A,'source isilon_Projectまとめ'!$C:$C,XLOOKUP($A267,'source NetApp-file-sv01～03-Proj'!$A:$A,'source NetApp-file-sv01～03-Proj'!$D:$D))</f>
        <v>2020/05/25</v>
      </c>
      <c r="G267" s="31" t="s">
        <v>2177</v>
      </c>
      <c r="H267" s="30"/>
      <c r="I267" s="31" t="s">
        <v>1657</v>
      </c>
      <c r="J267" s="30" t="str">
        <f t="array" ref="J267">XLOOKUP(I267,'従業員情報'!$A:$A,'従業員情報'!$N:$N,"×")</f>
        <v>株式会社MIXI/島村管掌/人事本部/労務部</v>
      </c>
      <c r="K267" s="30" t="s">
        <v>1657</v>
      </c>
      <c r="L267" s="30"/>
    </row>
    <row r="268">
      <c r="A268" s="31" t="s">
        <v>1948</v>
      </c>
      <c r="B268" s="31" t="s">
        <v>2394</v>
      </c>
      <c r="C268" s="78">
        <v>408.0</v>
      </c>
      <c r="D268" s="78">
        <v>3013.0</v>
      </c>
      <c r="E268" s="31" t="str">
        <f t="array" ref="E268">XLOOKUP($A268,'source isilon_Projectまとめ'!$A:$A,'source isilon_Projectまとめ'!$D:$D,XLOOKUP($A268,'source isilon-Project-du'!$A:$A,'source isilon-Project-du'!$C:$C))</f>
        <v>1.47GB</v>
      </c>
      <c r="F268" s="30" t="str">
        <f t="array" ref="F268">XLOOKUP($A268,'source isilon_Projectまとめ'!$A:$A,'source isilon_Projectまとめ'!$C:$C,XLOOKUP($A268,'source NetApp-file-sv01～03-Proj'!$A:$A,'source NetApp-file-sv01～03-Proj'!$D:$D))</f>
        <v>2025/02/21</v>
      </c>
      <c r="G268" s="31" t="s">
        <v>2184</v>
      </c>
      <c r="H268" s="30"/>
      <c r="I268" s="31" t="s">
        <v>1951</v>
      </c>
      <c r="J268" s="30" t="str">
        <f t="array" ref="J268">XLOOKUP(I268,'従業員情報'!$A:$A,'従業員情報'!$N:$N,"×")</f>
        <v>株式会社MIXI/島村管掌/人事本部/労務部/ウェルネス推進グループ/保健衛生チーム</v>
      </c>
      <c r="K268" s="30" t="s">
        <v>1951</v>
      </c>
      <c r="L268" s="30"/>
    </row>
    <row r="269">
      <c r="A269" s="31" t="s">
        <v>1952</v>
      </c>
      <c r="B269" s="31" t="s">
        <v>2394</v>
      </c>
      <c r="C269" s="78">
        <v>22578.0</v>
      </c>
      <c r="D269" s="78">
        <v>41171.0</v>
      </c>
      <c r="E269" s="31" t="str">
        <f t="array" ref="E269">XLOOKUP($A269,'source isilon_Projectまとめ'!$A:$A,'source isilon_Projectまとめ'!$D:$D,XLOOKUP($A269,'source isilon-Project-du'!$A:$A,'source isilon-Project-du'!$C:$C))</f>
        <v>5.74GB</v>
      </c>
      <c r="F269" s="30" t="str">
        <f t="array" ref="F269">XLOOKUP($A269,'source isilon_Projectまとめ'!$A:$A,'source isilon_Projectまとめ'!$C:$C,XLOOKUP($A269,'source NetApp-file-sv01～03-Proj'!$A:$A,'source NetApp-file-sv01～03-Proj'!$D:$D))</f>
        <v>2025/03/19</v>
      </c>
      <c r="G269" s="31" t="s">
        <v>2184</v>
      </c>
      <c r="H269" s="30"/>
      <c r="I269" s="31" t="s">
        <v>1583</v>
      </c>
      <c r="J269" s="30" t="str">
        <f t="array" ref="J269">XLOOKUP(I269,'従業員情報'!$A:$A,'従業員情報'!$N:$N,"×")</f>
        <v>株式会社MIXI/村瀨管掌/はたらく環境推進本部/コーポレートエンジニアリング部</v>
      </c>
      <c r="K269" s="30" t="s">
        <v>1583</v>
      </c>
      <c r="L269" s="30"/>
    </row>
    <row r="270">
      <c r="A270" s="31" t="s">
        <v>1953</v>
      </c>
      <c r="B270" s="31" t="s">
        <v>2394</v>
      </c>
      <c r="C270" s="78">
        <v>2390.0</v>
      </c>
      <c r="D270" s="78">
        <v>17830.0</v>
      </c>
      <c r="E270" s="31" t="str">
        <f t="array" ref="E270">XLOOKUP($A270,'source isilon_Projectまとめ'!$A:$A,'source isilon_Projectまとめ'!$D:$D,XLOOKUP($A270,'source isilon-Project-du'!$A:$A,'source isilon-Project-du'!$C:$C))</f>
        <v>10.40GB</v>
      </c>
      <c r="F270" s="30" t="str">
        <f t="array" ref="F270">XLOOKUP($A270,'source isilon_Projectまとめ'!$A:$A,'source isilon_Projectまとめ'!$C:$C,XLOOKUP($A270,'source NetApp-file-sv01～03-Proj'!$A:$A,'source NetApp-file-sv01～03-Proj'!$D:$D))</f>
        <v>2017/12/13</v>
      </c>
      <c r="G270" s="31" t="s">
        <v>2177</v>
      </c>
      <c r="H270" s="30"/>
      <c r="I270" s="31" t="s">
        <v>1566</v>
      </c>
      <c r="J270" s="30" t="str">
        <f t="array" ref="J270">XLOOKUP(I270,'従業員情報'!$A:$A,'従業員情報'!$N:$N,"×")</f>
        <v>株式会社MIXI/木村管掌/デジタルエンターテインメントオペレーションズ本部/モンスト開発部/QAグループ/QA3チーム</v>
      </c>
      <c r="K270" s="30" t="s">
        <v>1566</v>
      </c>
      <c r="L270" s="30"/>
    </row>
    <row r="271">
      <c r="A271" s="31" t="s">
        <v>1954</v>
      </c>
      <c r="B271" s="31" t="s">
        <v>1425</v>
      </c>
      <c r="C271" s="78">
        <v>111.0</v>
      </c>
      <c r="D271" s="78">
        <v>334.0</v>
      </c>
      <c r="E271" s="31" t="str">
        <f t="array" ref="E271">XLOOKUP($A271,'source isilon_Projectまとめ'!$A:$A,'source isilon_Projectまとめ'!$D:$D,XLOOKUP($A271,'source isilon-Project-du'!$A:$A,'source isilon-Project-du'!$C:$C))</f>
        <v>2.28GB</v>
      </c>
      <c r="F271" s="30" t="str">
        <f t="array" ref="F271">XLOOKUP($A271,'source isilon_Projectまとめ'!$A:$A,'source isilon_Projectまとめ'!$C:$C,XLOOKUP($A271,'source NetApp-file-sv01～03-Proj'!$A:$A,'source NetApp-file-sv01～03-Proj'!$D:$D))</f>
        <v>2017/10/02</v>
      </c>
      <c r="G271" s="31" t="s">
        <v>2177</v>
      </c>
      <c r="H271" s="30"/>
      <c r="I271" s="31" t="s">
        <v>1956</v>
      </c>
      <c r="J271" s="30" t="str">
        <f t="array" ref="J271">XLOOKUP(I271,'退職者'!$C:$C,'退職者'!$B:$B,"×")&amp;XLOOKUP(I271,'退職者'!$C:$C,'退職者'!$A:$A,"×")</f>
        <v>ﾗｲﾌﾞｴｸｽﾍﾟﾘｴﾝｽ事業本部ﾌｧﾝｺﾐｭﾆｹｰｼｮﾝ部</v>
      </c>
      <c r="K271" s="30" t="s">
        <v>2399</v>
      </c>
      <c r="L271" s="30"/>
    </row>
    <row r="272">
      <c r="A272" s="31" t="s">
        <v>1954</v>
      </c>
      <c r="B272" s="31" t="s">
        <v>2394</v>
      </c>
      <c r="C272" s="78">
        <v>111.0</v>
      </c>
      <c r="D272" s="78">
        <v>334.0</v>
      </c>
      <c r="E272" s="31" t="str">
        <f t="array" ref="E272">XLOOKUP($A272,'source isilon_Projectまとめ'!$A:$A,'source isilon_Projectまとめ'!$D:$D,XLOOKUP($A272,'source isilon-Project-du'!$A:$A,'source isilon-Project-du'!$C:$C))</f>
        <v>2.28GB</v>
      </c>
      <c r="F272" s="30" t="str">
        <f t="array" ref="F272">XLOOKUP($A272,'source isilon_Projectまとめ'!$A:$A,'source isilon_Projectまとめ'!$C:$C,XLOOKUP($A272,'source NetApp-file-sv01～03-Proj'!$A:$A,'source NetApp-file-sv01～03-Proj'!$D:$D))</f>
        <v>2017/10/02</v>
      </c>
      <c r="G272" s="31" t="s">
        <v>2177</v>
      </c>
      <c r="H272" s="30"/>
      <c r="I272" s="31" t="s">
        <v>1552</v>
      </c>
      <c r="J272" s="30" t="str">
        <f t="array" ref="J272">XLOOKUP(I272,'従業員情報'!$A:$A,'従業員情報'!$N:$N,"×")</f>
        <v>株式会社MIXI/笠原管掌/Vantageスタジオ/事業推進室/事業推進グループ/アシスタントチーム</v>
      </c>
      <c r="K272" s="30" t="s">
        <v>1552</v>
      </c>
      <c r="L272" s="30"/>
    </row>
    <row r="273">
      <c r="A273" s="31" t="s">
        <v>1957</v>
      </c>
      <c r="B273" s="31" t="s">
        <v>993</v>
      </c>
      <c r="C273" s="78">
        <v>196.0</v>
      </c>
      <c r="D273" s="78">
        <v>668.0</v>
      </c>
      <c r="E273" s="31" t="str">
        <f t="array" ref="E273">XLOOKUP($A273,'source isilon_Projectまとめ'!$A:$A,'source isilon_Projectまとめ'!$D:$D,XLOOKUP($A273,'source isilon-Project-du'!$A:$A,'source isilon-Project-du'!$C:$C))</f>
        <v>0.90GB</v>
      </c>
      <c r="F273" s="30" t="str">
        <f t="array" ref="F273">XLOOKUP($A273,'source isilon_Projectまとめ'!$A:$A,'source isilon_Projectまとめ'!$C:$C,XLOOKUP($A273,'source NetApp-file-sv01～03-Proj'!$A:$A,'source NetApp-file-sv01～03-Proj'!$D:$D))</f>
        <v>2016/02/01</v>
      </c>
      <c r="G273" s="31" t="s">
        <v>2177</v>
      </c>
      <c r="H273" s="30"/>
      <c r="I273" s="31" t="s">
        <v>1643</v>
      </c>
      <c r="J273" s="30" t="str">
        <f t="array" ref="J273">XLOOKUP(I273,'退職者'!$C:$C,'退職者'!$B:$B,"×")&amp;XLOOKUP(I273,'退職者'!$C:$C,'退職者'!$A:$A,"×")</f>
        <v/>
      </c>
      <c r="K273" s="30" t="s">
        <v>2399</v>
      </c>
      <c r="L273" s="30"/>
    </row>
    <row r="274">
      <c r="A274" s="31" t="s">
        <v>1958</v>
      </c>
      <c r="B274" s="31" t="s">
        <v>993</v>
      </c>
      <c r="C274" s="78">
        <v>36.0</v>
      </c>
      <c r="D274" s="78">
        <v>370.0</v>
      </c>
      <c r="E274" s="31" t="str">
        <f t="array" ref="E274">XLOOKUP($A274,'source isilon_Projectまとめ'!$A:$A,'source isilon_Projectまとめ'!$D:$D,XLOOKUP($A274,'source isilon-Project-du'!$A:$A,'source isilon-Project-du'!$C:$C))</f>
        <v>0.03GB</v>
      </c>
      <c r="F274" s="30" t="str">
        <f t="array" ref="F274">XLOOKUP($A274,'source isilon_Projectまとめ'!$A:$A,'source isilon_Projectまとめ'!$C:$C,XLOOKUP($A274,'source NetApp-file-sv01～03-Proj'!$A:$A,'source NetApp-file-sv01～03-Proj'!$D:$D))</f>
        <v>2011/01/18</v>
      </c>
      <c r="G274" s="31" t="s">
        <v>2177</v>
      </c>
      <c r="H274" s="30"/>
      <c r="I274" s="31" t="s">
        <v>1876</v>
      </c>
      <c r="J274" s="30" t="str">
        <f t="array" ref="J274">XLOOKUP(I274,'退職者'!$C:$C,'退職者'!$B:$B,"×")&amp;XLOOKUP(I274,'退職者'!$C:$C,'退職者'!$A:$A,"×")</f>
        <v/>
      </c>
      <c r="K274" s="30" t="s">
        <v>2399</v>
      </c>
      <c r="L274" s="30"/>
    </row>
    <row r="275">
      <c r="A275" s="31" t="s">
        <v>1958</v>
      </c>
      <c r="B275" s="31" t="s">
        <v>1425</v>
      </c>
      <c r="C275" s="78">
        <v>36.0</v>
      </c>
      <c r="D275" s="78">
        <v>370.0</v>
      </c>
      <c r="E275" s="31" t="str">
        <f t="array" ref="E275">XLOOKUP($A275,'source isilon_Projectまとめ'!$A:$A,'source isilon_Projectまとめ'!$D:$D,XLOOKUP($A275,'source isilon-Project-du'!$A:$A,'source isilon-Project-du'!$C:$C))</f>
        <v>0.03GB</v>
      </c>
      <c r="F275" s="30" t="str">
        <f t="array" ref="F275">XLOOKUP($A275,'source isilon_Projectまとめ'!$A:$A,'source isilon_Projectまとめ'!$C:$C,XLOOKUP($A275,'source NetApp-file-sv01～03-Proj'!$A:$A,'source NetApp-file-sv01～03-Proj'!$D:$D))</f>
        <v>2011/01/18</v>
      </c>
      <c r="G275" s="31" t="s">
        <v>2177</v>
      </c>
      <c r="H275" s="30"/>
      <c r="I275" s="31" t="s">
        <v>1473</v>
      </c>
      <c r="J275" s="30" t="str">
        <f t="array" ref="J275">XLOOKUP(I275,'退職者'!$C:$C,'退職者'!$B:$B,"×")&amp;XLOOKUP(I275,'退職者'!$C:$C,'退職者'!$A:$A,"×")</f>
        <v>人事本部人事部</v>
      </c>
      <c r="K275" s="30" t="s">
        <v>2399</v>
      </c>
      <c r="L275" s="30"/>
    </row>
    <row r="276">
      <c r="A276" s="31" t="s">
        <v>1959</v>
      </c>
      <c r="B276" s="31" t="s">
        <v>1425</v>
      </c>
      <c r="C276" s="78">
        <v>5.0</v>
      </c>
      <c r="D276" s="78">
        <v>19.0</v>
      </c>
      <c r="E276" s="31" t="str">
        <f t="array" ref="E276">XLOOKUP($A276,'source isilon_Projectまとめ'!$A:$A,'source isilon_Projectまとめ'!$D:$D,XLOOKUP($A276,'source isilon-Project-du'!$A:$A,'source isilon-Project-du'!$C:$C))</f>
        <v>0.00GB</v>
      </c>
      <c r="F276" s="30" t="str">
        <f t="array" ref="F276">XLOOKUP($A276,'source isilon_Projectまとめ'!$A:$A,'source isilon_Projectまとめ'!$C:$C,XLOOKUP($A276,'source NetApp-file-sv01～03-Proj'!$A:$A,'source NetApp-file-sv01～03-Proj'!$D:$D))</f>
        <v>2009/12/25</v>
      </c>
      <c r="G276" s="31" t="s">
        <v>2177</v>
      </c>
      <c r="H276" s="30"/>
      <c r="I276" s="31" t="s">
        <v>1773</v>
      </c>
      <c r="J276" s="30" t="str">
        <f t="array" ref="J276">XLOOKUP(I276,'退職者'!$C:$C,'退職者'!$B:$B,"×")&amp;XLOOKUP(I276,'退職者'!$C:$C,'退職者'!$A:$A,"×")</f>
        <v>モンスト事業本部ライフコミュニケーション部</v>
      </c>
      <c r="K276" s="30" t="s">
        <v>2399</v>
      </c>
      <c r="L276" s="30"/>
    </row>
    <row r="277">
      <c r="A277" s="31" t="s">
        <v>1961</v>
      </c>
      <c r="B277" s="31" t="s">
        <v>2394</v>
      </c>
      <c r="C277" s="78">
        <v>17.0</v>
      </c>
      <c r="D277" s="78">
        <v>41.0</v>
      </c>
      <c r="E277" s="31" t="str">
        <f t="array" ref="E277">XLOOKUP($A277,'source isilon_Projectまとめ'!$A:$A,'source isilon_Projectまとめ'!$D:$D,XLOOKUP($A277,'source isilon-Project-du'!$A:$A,'source isilon-Project-du'!$C:$C))</f>
        <v>0.00GB</v>
      </c>
      <c r="F277" s="30" t="str">
        <f t="array" ref="F277">XLOOKUP($A277,'source isilon_Projectまとめ'!$A:$A,'source isilon_Projectまとめ'!$C:$C,XLOOKUP($A277,'source NetApp-file-sv01～03-Proj'!$A:$A,'source NetApp-file-sv01～03-Proj'!$D:$D))</f>
        <v>2014/09/08</v>
      </c>
      <c r="G277" s="31" t="s">
        <v>2177</v>
      </c>
      <c r="H277" s="30"/>
      <c r="I277" s="31" t="s">
        <v>1964</v>
      </c>
      <c r="J277" s="30" t="str">
        <f t="array" ref="J277">XLOOKUP(I277,'従業員情報'!$A:$A,'従業員情報'!$N:$N,"×")</f>
        <v>株式会社MIXI/木村管掌/デジタルエンターテインメントオペレーションズ本部/事業戦略部/メタストグループ</v>
      </c>
      <c r="K277" s="30" t="s">
        <v>1964</v>
      </c>
      <c r="L277" s="30"/>
    </row>
    <row r="278">
      <c r="A278" s="31" t="s">
        <v>1965</v>
      </c>
      <c r="B278" s="31" t="s">
        <v>2394</v>
      </c>
      <c r="C278" s="78">
        <v>821.0</v>
      </c>
      <c r="D278" s="78">
        <v>6730.0</v>
      </c>
      <c r="E278" s="31" t="str">
        <f t="array" ref="E278">XLOOKUP($A278,'source isilon_Projectまとめ'!$A:$A,'source isilon_Projectまとめ'!$D:$D,XLOOKUP($A278,'source isilon-Project-du'!$A:$A,'source isilon-Project-du'!$C:$C))</f>
        <v>2822.21GB</v>
      </c>
      <c r="F278" s="30" t="str">
        <f t="array" ref="F278">XLOOKUP($A278,'source isilon_Projectまとめ'!$A:$A,'source isilon_Projectまとめ'!$C:$C,XLOOKUP($A278,'source NetApp-file-sv01～03-Proj'!$A:$A,'source NetApp-file-sv01～03-Proj'!$D:$D))</f>
        <v>2016/12/08</v>
      </c>
      <c r="G278" s="31" t="s">
        <v>2177</v>
      </c>
      <c r="H278" s="30"/>
      <c r="I278" s="31" t="s">
        <v>1967</v>
      </c>
      <c r="J278" s="30" t="str">
        <f t="array" ref="J278">XLOOKUP(I278,'従業員情報'!$A:$A,'従業員情報'!$N:$N,"×")</f>
        <v>株式会社MIXI/村瀨管掌/はたらく環境推進本部/コーポレートエンジニアリング部</v>
      </c>
      <c r="K278" s="30" t="s">
        <v>1967</v>
      </c>
      <c r="L278" s="30"/>
    </row>
    <row r="279">
      <c r="A279" s="31" t="s">
        <v>1968</v>
      </c>
      <c r="B279" s="31" t="s">
        <v>993</v>
      </c>
      <c r="C279" s="78">
        <v>13.0</v>
      </c>
      <c r="D279" s="78">
        <v>96.0</v>
      </c>
      <c r="E279" s="31" t="str">
        <f t="array" ref="E279">XLOOKUP($A279,'source isilon_Projectまとめ'!$A:$A,'source isilon_Projectまとめ'!$D:$D,XLOOKUP($A279,'source isilon-Project-du'!$A:$A,'source isilon-Project-du'!$C:$C))</f>
        <v>0.03GB</v>
      </c>
      <c r="F279" s="30" t="str">
        <f t="array" ref="F279">XLOOKUP($A279,'source isilon_Projectまとめ'!$A:$A,'source isilon_Projectまとめ'!$C:$C,XLOOKUP($A279,'source NetApp-file-sv01～03-Proj'!$A:$A,'source NetApp-file-sv01～03-Proj'!$D:$D))</f>
        <v>2014/08/05</v>
      </c>
      <c r="G279" s="31" t="s">
        <v>2177</v>
      </c>
      <c r="H279" s="30"/>
      <c r="I279" s="31" t="s">
        <v>1643</v>
      </c>
      <c r="J279" s="30" t="str">
        <f t="array" ref="J279">XLOOKUP(I279,'退職者'!$C:$C,'退職者'!$B:$B,"×")&amp;XLOOKUP(I279,'退職者'!$C:$C,'退職者'!$A:$A,"×")</f>
        <v/>
      </c>
      <c r="K279" s="30" t="s">
        <v>2399</v>
      </c>
      <c r="L279" s="30"/>
    </row>
    <row r="280">
      <c r="A280" s="31" t="s">
        <v>1969</v>
      </c>
      <c r="B280" s="31" t="s">
        <v>2394</v>
      </c>
      <c r="C280" s="78">
        <v>334.0</v>
      </c>
      <c r="D280" s="78">
        <v>2946.0</v>
      </c>
      <c r="E280" s="31" t="str">
        <f t="array" ref="E280">XLOOKUP($A280,'source isilon_Projectまとめ'!$A:$A,'source isilon_Projectまとめ'!$D:$D,XLOOKUP($A280,'source isilon-Project-du'!$A:$A,'source isilon-Project-du'!$C:$C))</f>
        <v>2.03GB</v>
      </c>
      <c r="F280" s="30" t="str">
        <f t="array" ref="F280">XLOOKUP($A280,'source isilon_Projectまとめ'!$A:$A,'source isilon_Projectまとめ'!$C:$C,XLOOKUP($A280,'source NetApp-file-sv01～03-Proj'!$A:$A,'source NetApp-file-sv01～03-Proj'!$D:$D))</f>
        <v>2023/11/01</v>
      </c>
      <c r="G280" s="31" t="s">
        <v>2184</v>
      </c>
      <c r="H280" s="30"/>
      <c r="I280" s="31" t="s">
        <v>1657</v>
      </c>
      <c r="J280" s="30" t="str">
        <f t="array" ref="J280">XLOOKUP(I280,'従業員情報'!$A:$A,'従業員情報'!$N:$N,"×")</f>
        <v>株式会社MIXI/島村管掌/人事本部/労務部</v>
      </c>
      <c r="K280" s="30" t="s">
        <v>1657</v>
      </c>
      <c r="L280" s="30"/>
    </row>
    <row r="281">
      <c r="A281" s="31" t="s">
        <v>1971</v>
      </c>
      <c r="B281" s="31" t="s">
        <v>2394</v>
      </c>
      <c r="C281" s="78">
        <v>65.0</v>
      </c>
      <c r="D281" s="78">
        <v>213.0</v>
      </c>
      <c r="E281" s="31" t="str">
        <f t="array" ref="E281">XLOOKUP($A281,'source isilon_Projectまとめ'!$A:$A,'source isilon_Projectまとめ'!$D:$D,XLOOKUP($A281,'source isilon-Project-du'!$A:$A,'source isilon-Project-du'!$C:$C))</f>
        <v>0.00GB</v>
      </c>
      <c r="F281" s="30" t="str">
        <f t="array" ref="F281">XLOOKUP($A281,'source isilon_Projectまとめ'!$A:$A,'source isilon_Projectまとめ'!$C:$C,XLOOKUP($A281,'source NetApp-file-sv01～03-Proj'!$A:$A,'source NetApp-file-sv01～03-Proj'!$D:$D))</f>
        <v>2025/03/12</v>
      </c>
      <c r="G281" s="31" t="s">
        <v>2184</v>
      </c>
      <c r="H281" s="30"/>
      <c r="I281" s="31" t="s">
        <v>1974</v>
      </c>
      <c r="J281" s="30" t="str">
        <f t="array" ref="J281">XLOOKUP(I281,'従業員情報'!$A:$A,'従業員情報'!$N:$N,"×")</f>
        <v>株式会社MIXI/島村管掌/人事本部/労務部/労務管理第1グループ</v>
      </c>
      <c r="K281" s="30" t="s">
        <v>1974</v>
      </c>
      <c r="L281" s="30"/>
    </row>
    <row r="282">
      <c r="A282" s="31" t="s">
        <v>1975</v>
      </c>
      <c r="B282" s="31" t="s">
        <v>993</v>
      </c>
      <c r="C282" s="78">
        <v>6.0</v>
      </c>
      <c r="D282" s="78">
        <v>58.0</v>
      </c>
      <c r="E282" s="31" t="str">
        <f t="array" ref="E282">XLOOKUP($A282,'source isilon_Projectまとめ'!$A:$A,'source isilon_Projectまとめ'!$D:$D,XLOOKUP($A282,'source isilon-Project-du'!$A:$A,'source isilon-Project-du'!$C:$C))</f>
        <v>0.04GB</v>
      </c>
      <c r="F282" s="30" t="str">
        <f t="array" ref="F282">XLOOKUP($A282,'source isilon_Projectまとめ'!$A:$A,'source isilon_Projectまとめ'!$C:$C,XLOOKUP($A282,'source NetApp-file-sv01～03-Proj'!$A:$A,'source NetApp-file-sv01～03-Proj'!$D:$D))</f>
        <v>2009/12/21</v>
      </c>
      <c r="G282" s="31" t="s">
        <v>2177</v>
      </c>
      <c r="H282" s="30"/>
      <c r="I282" s="31" t="s">
        <v>1876</v>
      </c>
      <c r="J282" s="30" t="str">
        <f t="array" ref="J282">XLOOKUP(I282,'退職者'!$C:$C,'退職者'!$B:$B,"×")&amp;XLOOKUP(I282,'退職者'!$C:$C,'退職者'!$A:$A,"×")</f>
        <v/>
      </c>
      <c r="K282" s="30" t="s">
        <v>2399</v>
      </c>
      <c r="L282" s="30"/>
    </row>
    <row r="283">
      <c r="A283" s="31" t="s">
        <v>1975</v>
      </c>
      <c r="B283" s="31" t="s">
        <v>1425</v>
      </c>
      <c r="C283" s="78">
        <v>6.0</v>
      </c>
      <c r="D283" s="78">
        <v>58.0</v>
      </c>
      <c r="E283" s="31" t="str">
        <f t="array" ref="E283">XLOOKUP($A283,'source isilon_Projectまとめ'!$A:$A,'source isilon_Projectまとめ'!$D:$D,XLOOKUP($A283,'source isilon-Project-du'!$A:$A,'source isilon-Project-du'!$C:$C))</f>
        <v>0.04GB</v>
      </c>
      <c r="F283" s="30" t="str">
        <f t="array" ref="F283">XLOOKUP($A283,'source isilon_Projectまとめ'!$A:$A,'source isilon_Projectまとめ'!$C:$C,XLOOKUP($A283,'source NetApp-file-sv01～03-Proj'!$A:$A,'source NetApp-file-sv01～03-Proj'!$D:$D))</f>
        <v>2009/12/21</v>
      </c>
      <c r="G283" s="31" t="s">
        <v>2177</v>
      </c>
      <c r="H283" s="30"/>
      <c r="I283" s="31" t="s">
        <v>1473</v>
      </c>
      <c r="J283" s="30" t="str">
        <f t="array" ref="J283">XLOOKUP(I283,'退職者'!$C:$C,'退職者'!$B:$B,"×")&amp;XLOOKUP(I283,'退職者'!$C:$C,'退職者'!$A:$A,"×")</f>
        <v>人事本部人事部</v>
      </c>
      <c r="K283" s="30" t="s">
        <v>2399</v>
      </c>
      <c r="L283" s="30"/>
    </row>
    <row r="284">
      <c r="A284" s="31" t="s">
        <v>1976</v>
      </c>
      <c r="B284" s="31" t="s">
        <v>2394</v>
      </c>
      <c r="C284" s="78">
        <v>15.0</v>
      </c>
      <c r="D284" s="78">
        <v>29.0</v>
      </c>
      <c r="E284" s="31" t="str">
        <f t="array" ref="E284">XLOOKUP($A284,'source isilon_Projectまとめ'!$A:$A,'source isilon_Projectまとめ'!$D:$D,XLOOKUP($A284,'source isilon-Project-du'!$A:$A,'source isilon-Project-du'!$C:$C))</f>
        <v>0.00GB</v>
      </c>
      <c r="F284" s="30" t="str">
        <f t="array" ref="F284">XLOOKUP($A284,'source isilon_Projectまとめ'!$A:$A,'source isilon_Projectまとめ'!$C:$C,XLOOKUP($A284,'source NetApp-file-sv01～03-Proj'!$A:$A,'source NetApp-file-sv01～03-Proj'!$D:$D))</f>
        <v>2022/01/06</v>
      </c>
      <c r="G284" s="31" t="s">
        <v>2177</v>
      </c>
      <c r="H284" s="30"/>
      <c r="I284" s="31" t="s">
        <v>1979</v>
      </c>
      <c r="J284" s="30" t="str">
        <f t="array" ref="J284">XLOOKUP(I284,'従業員情報'!$A:$A,'従業員情報'!$N:$N,"×")</f>
        <v>株式会社MIXI/木村管掌/デジタルエンターテインメントオペレーションズ本部/ファンマーケティング部/ライセンスグループ</v>
      </c>
      <c r="K284" s="30" t="s">
        <v>1979</v>
      </c>
      <c r="L284" s="30"/>
    </row>
    <row r="285">
      <c r="A285" s="31" t="s">
        <v>1980</v>
      </c>
      <c r="B285" s="31" t="s">
        <v>994</v>
      </c>
      <c r="C285" s="78">
        <v>2012959.0</v>
      </c>
      <c r="D285" s="78">
        <v>2.7342609E7</v>
      </c>
      <c r="E285" s="80" t="str">
        <f t="array" ref="E285">XLOOKUP($A285,'source isilon_Projectまとめ'!$A:$A,'source isilon_Projectまとめ'!$D:$D,XLOOKUP($A285,'source isilon-Project-du'!$A:$A,'source isilon-Project-du'!$C:$C))</f>
        <v>#N/A</v>
      </c>
      <c r="F285" s="80" t="str">
        <f t="array" ref="F285">XLOOKUP($A285,'source isilon_Projectまとめ'!$A:$A,'source isilon_Projectまとめ'!$C:$C,XLOOKUP($A285,'source NetApp-file-sv01～03-Proj'!$A:$A,'source NetApp-file-sv01～03-Proj'!$D:$D))</f>
        <v>#N/A</v>
      </c>
      <c r="G285" s="30"/>
      <c r="H285" s="30"/>
      <c r="I285" s="31" t="s">
        <v>1053</v>
      </c>
      <c r="J285" s="30" t="str">
        <f t="array" ref="J285">XLOOKUP(I285,'退職者'!$C:$C,'退職者'!$A:$A,"×")</f>
        <v>×</v>
      </c>
      <c r="K285" s="30" t="s">
        <v>2399</v>
      </c>
      <c r="L285" s="30"/>
    </row>
    <row r="286">
      <c r="A286" s="31" t="s">
        <v>1981</v>
      </c>
      <c r="B286" s="31" t="s">
        <v>2394</v>
      </c>
      <c r="C286" s="78">
        <v>1798.0</v>
      </c>
      <c r="D286" s="78">
        <v>10329.0</v>
      </c>
      <c r="E286" s="31" t="str">
        <f t="array" ref="E286">XLOOKUP($A286,'source isilon_Projectまとめ'!$A:$A,'source isilon_Projectまとめ'!$D:$D,XLOOKUP($A286,'source isilon-Project-du'!$A:$A,'source isilon-Project-du'!$C:$C))</f>
        <v>5.16GB</v>
      </c>
      <c r="F286" s="30" t="str">
        <f t="array" ref="F286">XLOOKUP($A286,'source isilon_Projectまとめ'!$A:$A,'source isilon_Projectまとめ'!$C:$C,XLOOKUP($A286,'source NetApp-file-sv01～03-Proj'!$A:$A,'source NetApp-file-sv01～03-Proj'!$D:$D))</f>
        <v>2018/03/15</v>
      </c>
      <c r="G286" s="31" t="s">
        <v>2177</v>
      </c>
      <c r="H286" s="30"/>
      <c r="I286" s="31" t="s">
        <v>1375</v>
      </c>
      <c r="J286" s="30" t="str">
        <f t="array" ref="J286">XLOOKUP(I286,'従業員情報'!$A:$A,'従業員情報'!$N:$N,"×")</f>
        <v>株式会社MIXI/管掌役員なし/取締役</v>
      </c>
      <c r="K286" s="30" t="s">
        <v>1375</v>
      </c>
      <c r="L286" s="30"/>
    </row>
    <row r="287">
      <c r="A287" s="31" t="s">
        <v>1982</v>
      </c>
      <c r="B287" s="31" t="s">
        <v>1425</v>
      </c>
      <c r="C287" s="78">
        <v>237.0</v>
      </c>
      <c r="D287" s="78">
        <v>1714.0</v>
      </c>
      <c r="E287" s="31" t="str">
        <f t="array" ref="E287">XLOOKUP($A287,'source isilon_Projectまとめ'!$A:$A,'source isilon_Projectまとめ'!$D:$D,XLOOKUP($A287,'source isilon-Project-du'!$A:$A,'source isilon-Project-du'!$C:$C))</f>
        <v>0.09GB</v>
      </c>
      <c r="F287" s="30" t="str">
        <f t="array" ref="F287">XLOOKUP($A287,'source isilon_Projectまとめ'!$A:$A,'source isilon_Projectまとめ'!$C:$C,XLOOKUP($A287,'source NetApp-file-sv01～03-Proj'!$A:$A,'source NetApp-file-sv01～03-Proj'!$D:$D))</f>
        <v>2025/03/19</v>
      </c>
      <c r="G287" s="31" t="s">
        <v>2184</v>
      </c>
      <c r="H287" s="30"/>
      <c r="I287" s="31" t="s">
        <v>1984</v>
      </c>
      <c r="J287" s="30" t="str">
        <f t="array" ref="J287">XLOOKUP(I287,'退職者'!$C:$C,'退職者'!$B:$B,"×")&amp;XLOOKUP(I287,'退職者'!$C:$C,'退職者'!$A:$A,"×")</f>
        <v>人事本部労務部</v>
      </c>
      <c r="K287" s="30" t="s">
        <v>1986</v>
      </c>
      <c r="L287" s="30"/>
    </row>
    <row r="288">
      <c r="A288" s="31" t="s">
        <v>1982</v>
      </c>
      <c r="B288" s="31" t="s">
        <v>2394</v>
      </c>
      <c r="C288" s="78">
        <v>237.0</v>
      </c>
      <c r="D288" s="78">
        <v>1714.0</v>
      </c>
      <c r="E288" s="31" t="str">
        <f t="array" ref="E288">XLOOKUP($A288,'source isilon_Projectまとめ'!$A:$A,'source isilon_Projectまとめ'!$D:$D,XLOOKUP($A288,'source isilon-Project-du'!$A:$A,'source isilon-Project-du'!$C:$C))</f>
        <v>0.09GB</v>
      </c>
      <c r="F288" s="30" t="str">
        <f t="array" ref="F288">XLOOKUP($A288,'source isilon_Projectまとめ'!$A:$A,'source isilon_Projectまとめ'!$C:$C,XLOOKUP($A288,'source NetApp-file-sv01～03-Proj'!$A:$A,'source NetApp-file-sv01～03-Proj'!$D:$D))</f>
        <v>2025/03/19</v>
      </c>
      <c r="G288" s="31" t="s">
        <v>2184</v>
      </c>
      <c r="H288" s="30"/>
      <c r="I288" s="31" t="s">
        <v>1986</v>
      </c>
      <c r="J288" s="30" t="str">
        <f t="array" ref="J288">XLOOKUP(I288,'従業員情報'!$A:$A,'従業員情報'!$N:$N,"×")</f>
        <v>株式会社MIXI/島村管掌/人事本部/グループ会社サポート部/人事労務グループ</v>
      </c>
      <c r="K288" s="30" t="s">
        <v>1986</v>
      </c>
      <c r="L288" s="30"/>
    </row>
    <row r="289">
      <c r="A289" s="31" t="s">
        <v>1324</v>
      </c>
      <c r="B289" s="31" t="s">
        <v>2394</v>
      </c>
      <c r="C289" s="78">
        <v>1117.0</v>
      </c>
      <c r="D289" s="78">
        <v>4631.0</v>
      </c>
      <c r="E289" s="31" t="str">
        <f t="array" ref="E289">XLOOKUP($A289,'source isilon_Projectまとめ'!$A:$A,'source isilon_Projectまとめ'!$D:$D,XLOOKUP($A289,'source isilon-Project-du'!$A:$A,'source isilon-Project-du'!$C:$C))</f>
        <v>0.77GB</v>
      </c>
      <c r="F289" s="30" t="str">
        <f t="array" ref="F289">XLOOKUP($A289,'source isilon_Projectまとめ'!$A:$A,'source isilon_Projectまとめ'!$C:$C,XLOOKUP($A289,'source NetApp-file-sv01～03-Proj'!$A:$A,'source NetApp-file-sv01～03-Proj'!$D:$D))</f>
        <v>2024/09/10</v>
      </c>
      <c r="G289" s="31" t="s">
        <v>2184</v>
      </c>
      <c r="H289" s="30"/>
      <c r="I289" s="31" t="s">
        <v>1728</v>
      </c>
      <c r="J289" s="30" t="str">
        <f t="array" ref="J289">XLOOKUP(I289,'従業員情報'!$A:$A,'従業員情報'!$N:$N,"×")</f>
        <v>株式会社MIXI/島村管掌/人事本部/組織戦略部/事業HRBPグループ</v>
      </c>
      <c r="K289" s="30" t="s">
        <v>1728</v>
      </c>
      <c r="L289" s="30"/>
    </row>
    <row r="290">
      <c r="A290" s="31" t="s">
        <v>1987</v>
      </c>
      <c r="B290" s="31" t="s">
        <v>2394</v>
      </c>
      <c r="C290" s="78">
        <v>2371.0</v>
      </c>
      <c r="D290" s="78">
        <v>35262.0</v>
      </c>
      <c r="E290" s="31" t="str">
        <f t="array" ref="E290">XLOOKUP($A290,'source isilon_Projectまとめ'!$A:$A,'source isilon_Projectまとめ'!$D:$D,XLOOKUP($A290,'source isilon-Project-du'!$A:$A,'source isilon-Project-du'!$C:$C))</f>
        <v>0.58GB</v>
      </c>
      <c r="F290" s="30" t="str">
        <f t="array" ref="F290">XLOOKUP($A290,'source isilon_Projectまとめ'!$A:$A,'source isilon_Projectまとめ'!$C:$C,XLOOKUP($A290,'source NetApp-file-sv01～03-Proj'!$A:$A,'source NetApp-file-sv01～03-Proj'!$D:$D))</f>
        <v>2025/02/25</v>
      </c>
      <c r="G290" s="31" t="s">
        <v>2184</v>
      </c>
      <c r="H290" s="30"/>
      <c r="I290" s="31" t="s">
        <v>1665</v>
      </c>
      <c r="J290" s="30" t="str">
        <f t="array" ref="J290">XLOOKUP(I290,'従業員情報'!$A:$A,'従業員情報'!$N:$N,"×")</f>
        <v>株式会社MIXI/笠原管掌/Vantageスタジオ/mixi事業部/パートナービジネスグループ</v>
      </c>
      <c r="K290" s="30" t="s">
        <v>1665</v>
      </c>
      <c r="L290" s="30"/>
    </row>
    <row r="291">
      <c r="A291" s="31" t="s">
        <v>1988</v>
      </c>
      <c r="B291" s="31" t="s">
        <v>2394</v>
      </c>
      <c r="C291" s="78">
        <v>2794.0</v>
      </c>
      <c r="D291" s="78">
        <v>15313.0</v>
      </c>
      <c r="E291" s="31" t="str">
        <f t="array" ref="E291">XLOOKUP($A291,'source isilon_Projectまとめ'!$A:$A,'source isilon_Projectまとめ'!$D:$D,XLOOKUP($A291,'source isilon-Project-du'!$A:$A,'source isilon-Project-du'!$C:$C))</f>
        <v>189.59GB</v>
      </c>
      <c r="F291" s="30" t="str">
        <f t="array" ref="F291">XLOOKUP($A291,'source isilon_Projectまとめ'!$A:$A,'source isilon_Projectまとめ'!$C:$C,XLOOKUP($A291,'source NetApp-file-sv01～03-Proj'!$A:$A,'source NetApp-file-sv01～03-Proj'!$D:$D))</f>
        <v>2025/03/18</v>
      </c>
      <c r="G291" s="31" t="s">
        <v>2184</v>
      </c>
      <c r="H291" s="30"/>
      <c r="I291" s="31" t="s">
        <v>1379</v>
      </c>
      <c r="J291" s="30" t="str">
        <f t="array" ref="J291">XLOOKUP(I291,'従業員情報'!$A:$A,'従業員情報'!$N:$N,"×")</f>
        <v>株式会社MIXI/島村管掌/コーポレートファイナンス本部/経理税務部/経理グループ</v>
      </c>
      <c r="K291" s="30" t="s">
        <v>1379</v>
      </c>
      <c r="L291" s="30"/>
    </row>
    <row r="292">
      <c r="A292" s="31" t="s">
        <v>1989</v>
      </c>
      <c r="B292" s="31" t="s">
        <v>2394</v>
      </c>
      <c r="C292" s="78">
        <v>121.0</v>
      </c>
      <c r="D292" s="78">
        <v>801.0</v>
      </c>
      <c r="E292" s="31" t="str">
        <f t="array" ref="E292">XLOOKUP($A292,'source isilon_Projectまとめ'!$A:$A,'source isilon_Projectまとめ'!$D:$D,XLOOKUP($A292,'source isilon-Project-du'!$A:$A,'source isilon-Project-du'!$C:$C))</f>
        <v>0.53GB</v>
      </c>
      <c r="F292" s="30" t="str">
        <f t="array" ref="F292">XLOOKUP($A292,'source isilon_Projectまとめ'!$A:$A,'source isilon_Projectまとめ'!$C:$C,XLOOKUP($A292,'source NetApp-file-sv01～03-Proj'!$A:$A,'source NetApp-file-sv01～03-Proj'!$D:$D))</f>
        <v>2015/08/12</v>
      </c>
      <c r="G292" s="31" t="s">
        <v>2177</v>
      </c>
      <c r="H292" s="30"/>
      <c r="I292" s="31" t="s">
        <v>1990</v>
      </c>
      <c r="J292" s="30" t="str">
        <f t="array" ref="J292">XLOOKUP(I292,'従業員情報'!$A:$A,'従業員情報'!$N:$N,"×")</f>
        <v>株式会社MIXI/島村管掌/人事本部/MCS室</v>
      </c>
      <c r="K292" s="30" t="s">
        <v>1990</v>
      </c>
      <c r="L292" s="30"/>
    </row>
    <row r="293">
      <c r="A293" s="31" t="s">
        <v>1991</v>
      </c>
      <c r="B293" s="31" t="s">
        <v>2394</v>
      </c>
      <c r="C293" s="78">
        <v>16.0</v>
      </c>
      <c r="D293" s="78">
        <v>167.0</v>
      </c>
      <c r="E293" s="31" t="str">
        <f t="array" ref="E293">XLOOKUP($A293,'source isilon_Projectまとめ'!$A:$A,'source isilon_Projectまとめ'!$D:$D,XLOOKUP($A293,'source isilon-Project-du'!$A:$A,'source isilon-Project-du'!$C:$C))</f>
        <v>0.09GB</v>
      </c>
      <c r="F293" s="30" t="str">
        <f t="array" ref="F293">XLOOKUP($A293,'source isilon_Projectまとめ'!$A:$A,'source isilon_Projectまとめ'!$C:$C,XLOOKUP($A293,'source NetApp-file-sv01～03-Proj'!$A:$A,'source NetApp-file-sv01～03-Proj'!$D:$D))</f>
        <v>2025/03/04</v>
      </c>
      <c r="G293" s="31" t="s">
        <v>2184</v>
      </c>
      <c r="H293" s="30"/>
      <c r="I293" s="31" t="s">
        <v>1994</v>
      </c>
      <c r="J293" s="30" t="str">
        <f t="array" ref="J293">XLOOKUP(I293,'従業員情報'!$A:$A,'従業員情報'!$N:$N,"×")</f>
        <v>株式会社MIXI/島村管掌/人事本部/エンパワーメント推進室/企画管理グループ</v>
      </c>
      <c r="K293" s="30" t="s">
        <v>1994</v>
      </c>
      <c r="L293" s="30"/>
    </row>
    <row r="294">
      <c r="A294" s="31" t="s">
        <v>1995</v>
      </c>
      <c r="B294" s="31" t="s">
        <v>2394</v>
      </c>
      <c r="C294" s="78">
        <v>1023.0</v>
      </c>
      <c r="D294" s="78">
        <v>8292.0</v>
      </c>
      <c r="E294" s="31" t="str">
        <f t="array" ref="E294">XLOOKUP($A294,'source isilon_Projectまとめ'!$A:$A,'source isilon_Projectまとめ'!$D:$D,XLOOKUP($A294,'source isilon-Project-du'!$A:$A,'source isilon-Project-du'!$C:$C))</f>
        <v>5.98GB</v>
      </c>
      <c r="F294" s="30" t="str">
        <f t="array" ref="F294">XLOOKUP($A294,'source isilon_Projectまとめ'!$A:$A,'source isilon_Projectまとめ'!$C:$C,XLOOKUP($A294,'source NetApp-file-sv01～03-Proj'!$A:$A,'source NetApp-file-sv01～03-Proj'!$D:$D))</f>
        <v>2038/01/19</v>
      </c>
      <c r="G294" s="31" t="s">
        <v>2177</v>
      </c>
      <c r="H294" s="30"/>
      <c r="I294" s="31" t="s">
        <v>1375</v>
      </c>
      <c r="J294" s="30" t="str">
        <f t="array" ref="J294">XLOOKUP(I294,'従業員情報'!$A:$A,'従業員情報'!$N:$N,"×")</f>
        <v>株式会社MIXI/管掌役員なし/取締役</v>
      </c>
      <c r="K294" s="30" t="s">
        <v>1375</v>
      </c>
      <c r="L294" s="30"/>
    </row>
    <row r="295">
      <c r="A295" s="31" t="s">
        <v>1996</v>
      </c>
      <c r="B295" s="31" t="s">
        <v>993</v>
      </c>
      <c r="C295" s="78">
        <v>4738.0</v>
      </c>
      <c r="D295" s="78">
        <v>32931.0</v>
      </c>
      <c r="E295" s="31" t="str">
        <f t="array" ref="E295">XLOOKUP($A295,'source isilon_Projectまとめ'!$A:$A,'source isilon_Projectまとめ'!$D:$D,XLOOKUP($A295,'source isilon-Project-du'!$A:$A,'source isilon-Project-du'!$C:$C))</f>
        <v>31.27GB</v>
      </c>
      <c r="F295" s="30" t="str">
        <f t="array" ref="F295">XLOOKUP($A295,'source isilon_Projectまとめ'!$A:$A,'source isilon_Projectまとめ'!$C:$C,XLOOKUP($A295,'source NetApp-file-sv01～03-Proj'!$A:$A,'source NetApp-file-sv01～03-Proj'!$D:$D))</f>
        <v>2024/04/01</v>
      </c>
      <c r="G295" s="31" t="s">
        <v>2184</v>
      </c>
      <c r="H295" s="30"/>
      <c r="I295" s="31" t="s">
        <v>1998</v>
      </c>
      <c r="J295" s="30" t="str">
        <f t="array" ref="J295">XLOOKUP(I295,'退職者'!$C:$C,'退職者'!$B:$B,"×")&amp;XLOOKUP(I295,'退職者'!$C:$C,'退職者'!$A:$A,"×")</f>
        <v>××</v>
      </c>
      <c r="K295" s="30" t="s">
        <v>2430</v>
      </c>
      <c r="L295" s="30"/>
    </row>
    <row r="296">
      <c r="A296" s="31" t="s">
        <v>1999</v>
      </c>
      <c r="B296" s="31" t="s">
        <v>1425</v>
      </c>
      <c r="C296" s="78">
        <v>1233.0</v>
      </c>
      <c r="D296" s="78">
        <v>24546.0</v>
      </c>
      <c r="E296" s="31" t="str">
        <f t="array" ref="E296">XLOOKUP($A296,'source isilon_Projectまとめ'!$A:$A,'source isilon_Projectまとめ'!$D:$D,XLOOKUP($A296,'source isilon-Project-du'!$A:$A,'source isilon-Project-du'!$C:$C))</f>
        <v>49.26GB</v>
      </c>
      <c r="F296" s="30" t="str">
        <f t="array" ref="F296">XLOOKUP($A296,'source isilon_Projectまとめ'!$A:$A,'source isilon_Projectまとめ'!$C:$C,XLOOKUP($A296,'source NetApp-file-sv01～03-Proj'!$A:$A,'source NetApp-file-sv01～03-Proj'!$D:$D))</f>
        <v>2019/03/05</v>
      </c>
      <c r="G296" s="31" t="s">
        <v>2177</v>
      </c>
      <c r="H296" s="30"/>
      <c r="I296" s="31" t="s">
        <v>1473</v>
      </c>
      <c r="J296" s="30" t="str">
        <f t="array" ref="J296">XLOOKUP(I296,'退職者'!$C:$C,'退職者'!$B:$B,"×")&amp;XLOOKUP(I296,'退職者'!$C:$C,'退職者'!$A:$A,"×")</f>
        <v>人事本部人事部</v>
      </c>
      <c r="K296" s="30" t="s">
        <v>2399</v>
      </c>
      <c r="L296" s="30"/>
    </row>
    <row r="297">
      <c r="A297" s="31" t="s">
        <v>2000</v>
      </c>
      <c r="B297" s="31" t="s">
        <v>2394</v>
      </c>
      <c r="C297" s="78">
        <v>3633.0</v>
      </c>
      <c r="D297" s="78">
        <v>17617.0</v>
      </c>
      <c r="E297" s="31" t="str">
        <f t="array" ref="E297">XLOOKUP($A297,'source isilon_Projectまとめ'!$A:$A,'source isilon_Projectまとめ'!$D:$D,XLOOKUP($A297,'source isilon-Project-du'!$A:$A,'source isilon-Project-du'!$C:$C))</f>
        <v>3.42GB</v>
      </c>
      <c r="F297" s="30" t="str">
        <f t="array" ref="F297">XLOOKUP($A297,'source isilon_Projectまとめ'!$A:$A,'source isilon_Projectまとめ'!$C:$C,XLOOKUP($A297,'source NetApp-file-sv01～03-Proj'!$A:$A,'source NetApp-file-sv01～03-Proj'!$D:$D))</f>
        <v>2025/03/18</v>
      </c>
      <c r="G297" s="31" t="s">
        <v>2184</v>
      </c>
      <c r="H297" s="30"/>
      <c r="I297" s="31" t="s">
        <v>2003</v>
      </c>
      <c r="J297" s="30" t="str">
        <f t="array" ref="J297">XLOOKUP(I297,'従業員情報'!$A:$A,'従業員情報'!$N:$N,"×")</f>
        <v>株式会社MIXI/小林管掌/CS本部/CS部/健全化グループ</v>
      </c>
      <c r="K297" s="30" t="s">
        <v>2003</v>
      </c>
      <c r="L297" s="30"/>
    </row>
    <row r="298">
      <c r="A298" s="31" t="s">
        <v>2004</v>
      </c>
      <c r="B298" s="31" t="s">
        <v>2394</v>
      </c>
      <c r="C298" s="78">
        <v>78.0</v>
      </c>
      <c r="D298" s="78">
        <v>106.0</v>
      </c>
      <c r="E298" s="31" t="str">
        <f t="array" ref="E298">XLOOKUP($A298,'source isilon_Projectまとめ'!$A:$A,'source isilon_Projectまとめ'!$D:$D,XLOOKUP($A298,'source isilon-Project-du'!$A:$A,'source isilon-Project-du'!$C:$C))</f>
        <v>0.04GB</v>
      </c>
      <c r="F298" s="30" t="str">
        <f t="array" ref="F298">XLOOKUP($A298,'source isilon_Projectまとめ'!$A:$A,'source isilon_Projectまとめ'!$C:$C,XLOOKUP($A298,'source NetApp-file-sv01～03-Proj'!$A:$A,'source NetApp-file-sv01～03-Proj'!$D:$D))</f>
        <v>2018/01/25</v>
      </c>
      <c r="G298" s="31" t="s">
        <v>2177</v>
      </c>
      <c r="H298" s="30"/>
      <c r="I298" s="31" t="s">
        <v>2006</v>
      </c>
      <c r="J298" s="30" t="str">
        <f t="array" ref="J298">XLOOKUP(I298,'従業員情報'!$A:$A,'従業員情報'!$N:$N,"×")</f>
        <v>株式会社MIXI/木村管掌/ライブエクスペリエンス事業本部</v>
      </c>
      <c r="K298" s="30" t="s">
        <v>2006</v>
      </c>
      <c r="L298" s="30"/>
    </row>
    <row r="299">
      <c r="A299" s="31" t="s">
        <v>2007</v>
      </c>
      <c r="B299" s="31" t="s">
        <v>2394</v>
      </c>
      <c r="C299" s="78">
        <v>10940.0</v>
      </c>
      <c r="D299" s="78">
        <v>69724.0</v>
      </c>
      <c r="E299" s="31" t="str">
        <f t="array" ref="E299">XLOOKUP($A299,'source isilon_Projectまとめ'!$A:$A,'source isilon_Projectまとめ'!$D:$D,XLOOKUP($A299,'source isilon-Project-du'!$A:$A,'source isilon-Project-du'!$C:$C))</f>
        <v>25.36GB</v>
      </c>
      <c r="F299" s="30" t="str">
        <f t="array" ref="F299">XLOOKUP($A299,'source isilon_Projectまとめ'!$A:$A,'source isilon_Projectまとめ'!$C:$C,XLOOKUP($A299,'source NetApp-file-sv01～03-Proj'!$A:$A,'source NetApp-file-sv01～03-Proj'!$D:$D))</f>
        <v>2017/09/11</v>
      </c>
      <c r="G299" s="31" t="s">
        <v>2177</v>
      </c>
      <c r="H299" s="30"/>
      <c r="I299" s="31" t="s">
        <v>1583</v>
      </c>
      <c r="J299" s="30" t="str">
        <f t="array" ref="J299">XLOOKUP(I299,'従業員情報'!$A:$A,'従業員情報'!$N:$N,"×")</f>
        <v>株式会社MIXI/村瀨管掌/はたらく環境推進本部/コーポレートエンジニアリング部</v>
      </c>
      <c r="K299" s="30" t="s">
        <v>1583</v>
      </c>
      <c r="L299" s="30"/>
    </row>
    <row r="300">
      <c r="A300" s="31" t="s">
        <v>2008</v>
      </c>
      <c r="B300" s="31" t="s">
        <v>2394</v>
      </c>
      <c r="C300" s="78">
        <v>27.0</v>
      </c>
      <c r="D300" s="78">
        <v>160.0</v>
      </c>
      <c r="E300" s="31" t="str">
        <f t="array" ref="E300">XLOOKUP($A300,'source isilon_Projectまとめ'!$A:$A,'source isilon_Projectまとめ'!$D:$D,XLOOKUP($A300,'source isilon-Project-du'!$A:$A,'source isilon-Project-du'!$C:$C))</f>
        <v>0.35GB</v>
      </c>
      <c r="F300" s="30" t="str">
        <f t="array" ref="F300">XLOOKUP($A300,'source isilon_Projectまとめ'!$A:$A,'source isilon_Projectまとめ'!$C:$C,XLOOKUP($A300,'source NetApp-file-sv01～03-Proj'!$A:$A,'source NetApp-file-sv01～03-Proj'!$D:$D))</f>
        <v>2013/09/13</v>
      </c>
      <c r="G300" s="31" t="s">
        <v>2177</v>
      </c>
      <c r="H300" s="30"/>
      <c r="I300" s="31" t="s">
        <v>1492</v>
      </c>
      <c r="J300" s="30" t="str">
        <f t="array" ref="J300">XLOOKUP(I300,'従業員情報'!$A:$A,'従業員情報'!$N:$N,"×")</f>
        <v>株式会社MIXI/島村管掌/人事本部/グループ会社サポート部</v>
      </c>
      <c r="K300" s="30" t="s">
        <v>1492</v>
      </c>
      <c r="L300" s="30"/>
    </row>
    <row r="301">
      <c r="A301" s="31" t="s">
        <v>2010</v>
      </c>
      <c r="B301" s="31" t="s">
        <v>2394</v>
      </c>
      <c r="C301" s="78">
        <v>5223.0</v>
      </c>
      <c r="D301" s="78">
        <v>45815.0</v>
      </c>
      <c r="E301" s="31" t="str">
        <f t="array" ref="E301">XLOOKUP($A301,'source isilon_Projectまとめ'!$A:$A,'source isilon_Projectまとめ'!$D:$D,XLOOKUP($A301,'source isilon-Project-du'!$A:$A,'source isilon-Project-du'!$C:$C))</f>
        <v>89.46GB</v>
      </c>
      <c r="F301" s="30" t="str">
        <f t="array" ref="F301">XLOOKUP($A301,'source isilon_Projectまとめ'!$A:$A,'source isilon_Projectまとめ'!$C:$C,XLOOKUP($A301,'source NetApp-file-sv01～03-Proj'!$A:$A,'source NetApp-file-sv01～03-Proj'!$D:$D))</f>
        <v>2020/12/24</v>
      </c>
      <c r="G301" s="31" t="s">
        <v>2177</v>
      </c>
      <c r="H301" s="30"/>
      <c r="I301" s="31" t="s">
        <v>1499</v>
      </c>
      <c r="J301" s="30" t="str">
        <f t="array" ref="J301">XLOOKUP(I301,'従業員情報'!$A:$A,'従業員情報'!$N:$N,"×")</f>
        <v>株式会社MIXI/木村管掌/デジタルエンターテインメントパブリッシング本部</v>
      </c>
      <c r="K301" s="30" t="s">
        <v>1499</v>
      </c>
      <c r="L301" s="30"/>
    </row>
    <row r="302">
      <c r="A302" s="31" t="s">
        <v>2011</v>
      </c>
      <c r="B302" s="31" t="s">
        <v>2394</v>
      </c>
      <c r="C302" s="78">
        <v>111.0</v>
      </c>
      <c r="D302" s="78">
        <v>374.0</v>
      </c>
      <c r="E302" s="31" t="str">
        <f t="array" ref="E302">XLOOKUP($A302,'source isilon_Projectまとめ'!$A:$A,'source isilon_Projectまとめ'!$D:$D,XLOOKUP($A302,'source isilon-Project-du'!$A:$A,'source isilon-Project-du'!$C:$C))</f>
        <v>0.09GB</v>
      </c>
      <c r="F302" s="30" t="str">
        <f t="array" ref="F302">XLOOKUP($A302,'source isilon_Projectまとめ'!$A:$A,'source isilon_Projectまとめ'!$C:$C,XLOOKUP($A302,'source NetApp-file-sv01～03-Proj'!$A:$A,'source NetApp-file-sv01～03-Proj'!$D:$D))</f>
        <v>2015/02/13</v>
      </c>
      <c r="G302" s="31" t="s">
        <v>2177</v>
      </c>
      <c r="H302" s="30"/>
      <c r="I302" s="31" t="s">
        <v>1583</v>
      </c>
      <c r="J302" s="30" t="str">
        <f t="array" ref="J302">XLOOKUP(I302,'従業員情報'!$A:$A,'従業員情報'!$N:$N,"×")</f>
        <v>株式会社MIXI/村瀨管掌/はたらく環境推進本部/コーポレートエンジニアリング部</v>
      </c>
      <c r="K302" s="30" t="s">
        <v>1583</v>
      </c>
      <c r="L302" s="30"/>
    </row>
    <row r="303">
      <c r="A303" s="31" t="s">
        <v>2012</v>
      </c>
      <c r="B303" s="31" t="s">
        <v>2394</v>
      </c>
      <c r="C303" s="78">
        <v>282.0</v>
      </c>
      <c r="D303" s="78">
        <v>657.0</v>
      </c>
      <c r="E303" s="31" t="str">
        <f t="array" ref="E303">XLOOKUP($A303,'source isilon_Projectまとめ'!$A:$A,'source isilon_Projectまとめ'!$D:$D,XLOOKUP($A303,'source isilon-Project-du'!$A:$A,'source isilon-Project-du'!$C:$C))</f>
        <v>0.19GB</v>
      </c>
      <c r="F303" s="30" t="str">
        <f t="array" ref="F303">XLOOKUP($A303,'source isilon_Projectまとめ'!$A:$A,'source isilon_Projectまとめ'!$C:$C,XLOOKUP($A303,'source NetApp-file-sv01～03-Proj'!$A:$A,'source NetApp-file-sv01～03-Proj'!$D:$D))</f>
        <v>2015/10/08</v>
      </c>
      <c r="G303" s="31" t="s">
        <v>2177</v>
      </c>
      <c r="H303" s="30"/>
      <c r="I303" s="31" t="s">
        <v>1391</v>
      </c>
      <c r="J303" s="30" t="str">
        <f t="array" ref="J303">XLOOKUP(I303,'従業員情報'!$A:$A,'従業員情報'!$N:$N,"×")</f>
        <v>株式会社MIXI/笠原管掌/Vantageスタジオ/Romi事業部/UX企画グループ</v>
      </c>
      <c r="K303" s="30" t="s">
        <v>1391</v>
      </c>
      <c r="L303" s="30"/>
    </row>
    <row r="304">
      <c r="A304" s="31" t="s">
        <v>2013</v>
      </c>
      <c r="B304" s="31" t="s">
        <v>2394</v>
      </c>
      <c r="C304" s="78">
        <v>7004.0</v>
      </c>
      <c r="D304" s="78">
        <v>32493.0</v>
      </c>
      <c r="E304" s="31" t="str">
        <f t="array" ref="E304">XLOOKUP($A304,'source isilon_Projectまとめ'!$A:$A,'source isilon_Projectまとめ'!$D:$D,XLOOKUP($A304,'source isilon-Project-du'!$A:$A,'source isilon-Project-du'!$C:$C))</f>
        <v>17.01GB</v>
      </c>
      <c r="F304" s="30" t="str">
        <f t="array" ref="F304">XLOOKUP($A304,'source isilon_Projectまとめ'!$A:$A,'source isilon_Projectまとめ'!$C:$C,XLOOKUP($A304,'source NetApp-file-sv01～03-Proj'!$A:$A,'source NetApp-file-sv01～03-Proj'!$D:$D))</f>
        <v>2016/07/19</v>
      </c>
      <c r="G304" s="31" t="s">
        <v>2177</v>
      </c>
      <c r="H304" s="30"/>
      <c r="I304" s="31" t="s">
        <v>1391</v>
      </c>
      <c r="J304" s="30" t="str">
        <f t="array" ref="J304">XLOOKUP(I304,'従業員情報'!$A:$A,'従業員情報'!$N:$N,"×")</f>
        <v>株式会社MIXI/笠原管掌/Vantageスタジオ/Romi事業部/UX企画グループ</v>
      </c>
      <c r="K304" s="30" t="s">
        <v>1391</v>
      </c>
      <c r="L304" s="30"/>
    </row>
    <row r="305">
      <c r="A305" s="31" t="s">
        <v>2013</v>
      </c>
      <c r="B305" s="31" t="s">
        <v>2394</v>
      </c>
      <c r="C305" s="78">
        <v>7004.0</v>
      </c>
      <c r="D305" s="78">
        <v>32493.0</v>
      </c>
      <c r="E305" s="31" t="str">
        <f t="array" ref="E305">XLOOKUP($A305,'source isilon_Projectまとめ'!$A:$A,'source isilon_Projectまとめ'!$D:$D,XLOOKUP($A305,'source isilon-Project-du'!$A:$A,'source isilon-Project-du'!$C:$C))</f>
        <v>17.01GB</v>
      </c>
      <c r="F305" s="30" t="str">
        <f t="array" ref="F305">XLOOKUP($A305,'source isilon_Projectまとめ'!$A:$A,'source isilon_Projectまとめ'!$C:$C,XLOOKUP($A305,'source NetApp-file-sv01～03-Proj'!$A:$A,'source NetApp-file-sv01～03-Proj'!$D:$D))</f>
        <v>2016/07/19</v>
      </c>
      <c r="G305" s="31" t="s">
        <v>2177</v>
      </c>
      <c r="H305" s="30"/>
      <c r="I305" s="31" t="s">
        <v>1375</v>
      </c>
      <c r="J305" s="30" t="str">
        <f t="array" ref="J305">XLOOKUP(I305,'従業員情報'!$A:$A,'従業員情報'!$N:$N,"×")</f>
        <v>株式会社MIXI/管掌役員なし/取締役</v>
      </c>
      <c r="K305" s="30" t="s">
        <v>1375</v>
      </c>
      <c r="L305" s="30"/>
    </row>
    <row r="306">
      <c r="A306" s="31" t="s">
        <v>2015</v>
      </c>
      <c r="B306" s="31" t="s">
        <v>1425</v>
      </c>
      <c r="C306" s="78">
        <v>1246.0</v>
      </c>
      <c r="D306" s="78">
        <v>5212.0</v>
      </c>
      <c r="E306" s="31" t="str">
        <f t="array" ref="E306">XLOOKUP($A306,'source isilon_Projectまとめ'!$A:$A,'source isilon_Projectまとめ'!$D:$D,XLOOKUP($A306,'source isilon-Project-du'!$A:$A,'source isilon-Project-du'!$C:$C))</f>
        <v>0.46GB</v>
      </c>
      <c r="F306" s="30" t="str">
        <f t="array" ref="F306">XLOOKUP($A306,'source isilon_Projectまとめ'!$A:$A,'source isilon_Projectまとめ'!$C:$C,XLOOKUP($A306,'source NetApp-file-sv01～03-Proj'!$A:$A,'source NetApp-file-sv01～03-Proj'!$D:$D))</f>
        <v>2019/05/13</v>
      </c>
      <c r="G306" s="31" t="s">
        <v>2177</v>
      </c>
      <c r="H306" s="30"/>
      <c r="I306" s="31" t="s">
        <v>1704</v>
      </c>
      <c r="J306" s="30" t="str">
        <f t="array" ref="J306">XLOOKUP(I306,'退職者'!$C:$C,'退職者'!$B:$B,"×")&amp;XLOOKUP(I306,'退職者'!$C:$C,'退職者'!$A:$A,"×")</f>
        <v>アライアンス統括本部バスケットボール事業部</v>
      </c>
      <c r="K306" s="30" t="s">
        <v>2399</v>
      </c>
      <c r="L306" s="30"/>
    </row>
    <row r="307">
      <c r="A307" s="31" t="s">
        <v>2015</v>
      </c>
      <c r="B307" s="31" t="s">
        <v>2394</v>
      </c>
      <c r="C307" s="78">
        <v>1246.0</v>
      </c>
      <c r="D307" s="78">
        <v>5212.0</v>
      </c>
      <c r="E307" s="31" t="str">
        <f t="array" ref="E307">XLOOKUP($A307,'source isilon_Projectまとめ'!$A:$A,'source isilon_Projectまとめ'!$D:$D,XLOOKUP($A307,'source isilon-Project-du'!$A:$A,'source isilon-Project-du'!$C:$C))</f>
        <v>0.46GB</v>
      </c>
      <c r="F307" s="30" t="str">
        <f t="array" ref="F307">XLOOKUP($A307,'source isilon_Projectまとめ'!$A:$A,'source isilon_Projectまとめ'!$C:$C,XLOOKUP($A307,'source NetApp-file-sv01～03-Proj'!$A:$A,'source NetApp-file-sv01～03-Proj'!$D:$D))</f>
        <v>2019/05/13</v>
      </c>
      <c r="G307" s="31" t="s">
        <v>2177</v>
      </c>
      <c r="H307" s="30"/>
      <c r="I307" s="31" t="s">
        <v>2018</v>
      </c>
      <c r="J307" s="30" t="str">
        <f t="array" ref="J307">XLOOKUP(I307,'従業員情報'!$A:$A,'従業員情報'!$N:$N,"×")</f>
        <v>株式会社MIXI/村瀨管掌/デザイン本部/ブランドデザイン室/ブランディンググループ/推進チーム</v>
      </c>
      <c r="K307" s="30" t="s">
        <v>2018</v>
      </c>
      <c r="L307" s="30"/>
    </row>
    <row r="308">
      <c r="A308" s="31" t="s">
        <v>2019</v>
      </c>
      <c r="B308" s="31" t="s">
        <v>2394</v>
      </c>
      <c r="C308" s="78">
        <v>169.0</v>
      </c>
      <c r="D308" s="78">
        <v>726.0</v>
      </c>
      <c r="E308" s="31" t="str">
        <f t="array" ref="E308">XLOOKUP($A308,'source isilon_Projectまとめ'!$A:$A,'source isilon_Projectまとめ'!$D:$D,XLOOKUP($A308,'source isilon-Project-du'!$A:$A,'source isilon-Project-du'!$C:$C))</f>
        <v>0.12GB</v>
      </c>
      <c r="F308" s="30" t="str">
        <f t="array" ref="F308">XLOOKUP($A308,'source isilon_Projectまとめ'!$A:$A,'source isilon_Projectまとめ'!$C:$C,XLOOKUP($A308,'source NetApp-file-sv01～03-Proj'!$A:$A,'source NetApp-file-sv01～03-Proj'!$D:$D))</f>
        <v>2014/03/19</v>
      </c>
      <c r="G308" s="31" t="s">
        <v>2177</v>
      </c>
      <c r="H308" s="30"/>
      <c r="I308" s="31" t="s">
        <v>1499</v>
      </c>
      <c r="J308" s="30" t="str">
        <f t="array" ref="J308">XLOOKUP(I308,'従業員情報'!$A:$A,'従業員情報'!$N:$N,"×")</f>
        <v>株式会社MIXI/木村管掌/デジタルエンターテインメントパブリッシング本部</v>
      </c>
      <c r="K308" s="30" t="s">
        <v>1499</v>
      </c>
      <c r="L308" s="30"/>
    </row>
    <row r="309">
      <c r="A309" s="31" t="s">
        <v>2020</v>
      </c>
      <c r="B309" s="31" t="s">
        <v>1425</v>
      </c>
      <c r="C309" s="78">
        <v>101.0</v>
      </c>
      <c r="D309" s="78">
        <v>785.0</v>
      </c>
      <c r="E309" s="31" t="str">
        <f t="array" ref="E309">XLOOKUP($A309,'source isilon_Projectまとめ'!$A:$A,'source isilon_Projectまとめ'!$D:$D,XLOOKUP($A309,'source isilon-Project-du'!$A:$A,'source isilon-Project-du'!$C:$C))</f>
        <v>14.51GB</v>
      </c>
      <c r="F309" s="30" t="str">
        <f t="array" ref="F309">XLOOKUP($A309,'source isilon_Projectまとめ'!$A:$A,'source isilon_Projectまとめ'!$C:$C,XLOOKUP($A309,'source NetApp-file-sv01～03-Proj'!$A:$A,'source NetApp-file-sv01～03-Proj'!$D:$D))</f>
        <v>2016/10/28</v>
      </c>
      <c r="G309" s="31" t="s">
        <v>2177</v>
      </c>
      <c r="H309" s="30"/>
      <c r="I309" s="31" t="s">
        <v>2022</v>
      </c>
      <c r="J309" s="30" t="str">
        <f t="array" ref="J309">XLOOKUP(I309,'退職者'!$C:$C,'退職者'!$B:$B,"×")&amp;XLOOKUP(I309,'退職者'!$C:$C,'退職者'!$A:$A,"×")</f>
        <v>ライブエクスペリエンス事業本部企画推進部</v>
      </c>
      <c r="K309" s="30" t="s">
        <v>2399</v>
      </c>
      <c r="L309" s="30"/>
    </row>
    <row r="310">
      <c r="A310" s="31" t="s">
        <v>2023</v>
      </c>
      <c r="B310" s="31" t="s">
        <v>1425</v>
      </c>
      <c r="C310" s="78">
        <v>11.0</v>
      </c>
      <c r="D310" s="78">
        <v>2.0</v>
      </c>
      <c r="E310" s="30" t="str">
        <f t="array" ref="E310">XLOOKUP($A310,'source isilon_Projectまとめ'!$A:$A,'source isilon_Projectまとめ'!$D:$D,XLOOKUP($A310,'source isilon-Project-du'!$A:$A,'source isilon-Project-du'!$C:$C))</f>
        <v>0.00GB</v>
      </c>
      <c r="F310" s="80" t="str">
        <f t="array" ref="F310">XLOOKUP($A310,'source isilon_Projectまとめ'!$A:$A,'source isilon_Projectまとめ'!$C:$C,XLOOKUP($A310,'source NetApp-file-sv01～03-Proj'!$A:$A,'source NetApp-file-sv01～03-Proj'!$D:$D))</f>
        <v>#N/A</v>
      </c>
      <c r="G310" s="31"/>
      <c r="H310" s="30"/>
      <c r="I310" s="30" t="s">
        <v>2025</v>
      </c>
      <c r="J310" s="30" t="str">
        <f t="array" ref="J310">XLOOKUP(I310,'退職者'!$C:$C,'退職者'!$B:$B,"×")&amp;XLOOKUP(I310,'退職者'!$C:$C,'退職者'!$A:$A,"×")</f>
        <v>経営推進本部はたらく環境室</v>
      </c>
      <c r="K310" s="30"/>
      <c r="L310" s="30"/>
    </row>
    <row r="311">
      <c r="A311" s="31" t="s">
        <v>2026</v>
      </c>
      <c r="B311" s="31" t="s">
        <v>2394</v>
      </c>
      <c r="C311" s="78">
        <v>23.0</v>
      </c>
      <c r="D311" s="78">
        <v>106.0</v>
      </c>
      <c r="E311" s="31" t="str">
        <f t="array" ref="E311">XLOOKUP($A311,'source isilon_Projectまとめ'!$A:$A,'source isilon_Projectまとめ'!$D:$D,XLOOKUP($A311,'source isilon-Project-du'!$A:$A,'source isilon-Project-du'!$C:$C))</f>
        <v>0.01GB</v>
      </c>
      <c r="F311" s="30" t="str">
        <f t="array" ref="F311">XLOOKUP($A311,'source isilon_Projectまとめ'!$A:$A,'source isilon_Projectまとめ'!$C:$C,XLOOKUP($A311,'source NetApp-file-sv01～03-Proj'!$A:$A,'source NetApp-file-sv01～03-Proj'!$D:$D))</f>
        <v>2016/07/07</v>
      </c>
      <c r="G311" s="31" t="s">
        <v>2177</v>
      </c>
      <c r="H311" s="30"/>
      <c r="I311" s="31" t="s">
        <v>2029</v>
      </c>
      <c r="J311" s="30" t="str">
        <f t="array" ref="J311">XLOOKUP(I311,'従業員情報'!$A:$A,'従業員情報'!$N:$N,"×")</f>
        <v>株式会社MIXI/小林管掌/コンプライアンス本部/法務部</v>
      </c>
      <c r="K311" s="30" t="s">
        <v>2029</v>
      </c>
      <c r="L311" s="30"/>
    </row>
    <row r="312">
      <c r="A312" s="31" t="s">
        <v>2030</v>
      </c>
      <c r="B312" s="31" t="s">
        <v>2394</v>
      </c>
      <c r="C312" s="78">
        <v>246.0</v>
      </c>
      <c r="D312" s="78">
        <v>1838.0</v>
      </c>
      <c r="E312" s="31" t="str">
        <f t="array" ref="E312">XLOOKUP($A312,'source isilon_Projectまとめ'!$A:$A,'source isilon_Projectまとめ'!$D:$D,XLOOKUP($A312,'source isilon-Project-du'!$A:$A,'source isilon-Project-du'!$C:$C))</f>
        <v>0.46GB</v>
      </c>
      <c r="F312" s="30" t="str">
        <f t="array" ref="F312">XLOOKUP($A312,'source isilon_Projectまとめ'!$A:$A,'source isilon_Projectまとめ'!$C:$C,XLOOKUP($A312,'source NetApp-file-sv01～03-Proj'!$A:$A,'source NetApp-file-sv01～03-Proj'!$D:$D))</f>
        <v>2013/03/18</v>
      </c>
      <c r="G312" s="31" t="s">
        <v>2177</v>
      </c>
      <c r="H312" s="30"/>
      <c r="I312" s="31" t="s">
        <v>1964</v>
      </c>
      <c r="J312" s="30" t="str">
        <f t="array" ref="J312">XLOOKUP(I312,'従業員情報'!$A:$A,'従業員情報'!$N:$N,"×")</f>
        <v>株式会社MIXI/木村管掌/デジタルエンターテインメントオペレーションズ本部/事業戦略部/メタストグループ</v>
      </c>
      <c r="K312" s="30" t="s">
        <v>1964</v>
      </c>
      <c r="L312" s="30"/>
    </row>
    <row r="313">
      <c r="A313" s="31" t="s">
        <v>2031</v>
      </c>
      <c r="B313" s="31" t="s">
        <v>2394</v>
      </c>
      <c r="C313" s="78">
        <v>7925.0</v>
      </c>
      <c r="D313" s="78">
        <v>43425.0</v>
      </c>
      <c r="E313" s="31" t="str">
        <f t="array" ref="E313">XLOOKUP($A313,'source isilon_Projectまとめ'!$A:$A,'source isilon_Projectまとめ'!$D:$D,XLOOKUP($A313,'source isilon-Project-du'!$A:$A,'source isilon-Project-du'!$C:$C))</f>
        <v>8.93GB</v>
      </c>
      <c r="F313" s="30" t="str">
        <f t="array" ref="F313">XLOOKUP($A313,'source isilon_Projectまとめ'!$A:$A,'source isilon_Projectまとめ'!$C:$C,XLOOKUP($A313,'source NetApp-file-sv01～03-Proj'!$A:$A,'source NetApp-file-sv01～03-Proj'!$D:$D))</f>
        <v>2025/02/12</v>
      </c>
      <c r="G313" s="31" t="s">
        <v>2184</v>
      </c>
      <c r="H313" s="30"/>
      <c r="I313" s="31" t="s">
        <v>1665</v>
      </c>
      <c r="J313" s="30" t="str">
        <f t="array" ref="J313">XLOOKUP(I313,'従業員情報'!$A:$A,'従業員情報'!$N:$N,"×")</f>
        <v>株式会社MIXI/笠原管掌/Vantageスタジオ/mixi事業部/パートナービジネスグループ</v>
      </c>
      <c r="K313" s="30" t="s">
        <v>1665</v>
      </c>
      <c r="L313" s="30"/>
    </row>
    <row r="314">
      <c r="A314" s="31" t="s">
        <v>2032</v>
      </c>
      <c r="B314" s="31" t="s">
        <v>2394</v>
      </c>
      <c r="C314" s="78">
        <v>4929.0</v>
      </c>
      <c r="D314" s="78">
        <v>27273.0</v>
      </c>
      <c r="E314" s="31" t="str">
        <f t="array" ref="E314">XLOOKUP($A314,'source isilon_Projectまとめ'!$A:$A,'source isilon_Projectまとめ'!$D:$D,XLOOKUP($A314,'source isilon-Project-du'!$A:$A,'source isilon-Project-du'!$C:$C))</f>
        <v>11.96GB</v>
      </c>
      <c r="F314" s="30" t="str">
        <f t="array" ref="F314">XLOOKUP($A314,'source isilon_Projectまとめ'!$A:$A,'source isilon_Projectまとめ'!$C:$C,XLOOKUP($A314,'source NetApp-file-sv01～03-Proj'!$A:$A,'source NetApp-file-sv01～03-Proj'!$D:$D))</f>
        <v>2025/03/07</v>
      </c>
      <c r="G314" s="31" t="s">
        <v>2184</v>
      </c>
      <c r="H314" s="30"/>
      <c r="I314" s="31" t="s">
        <v>1665</v>
      </c>
      <c r="J314" s="30" t="str">
        <f t="array" ref="J314">XLOOKUP(I314,'従業員情報'!$A:$A,'従業員情報'!$N:$N,"×")</f>
        <v>株式会社MIXI/笠原管掌/Vantageスタジオ/mixi事業部/パートナービジネスグループ</v>
      </c>
      <c r="K314" s="30" t="s">
        <v>1665</v>
      </c>
      <c r="L314" s="30"/>
    </row>
    <row r="315">
      <c r="A315" s="31" t="s">
        <v>2033</v>
      </c>
      <c r="B315" s="31" t="s">
        <v>1425</v>
      </c>
      <c r="C315" s="78">
        <v>1.0</v>
      </c>
      <c r="D315" s="78">
        <v>4.0</v>
      </c>
      <c r="E315" s="30" t="str">
        <f t="array" ref="E315">XLOOKUP($A315,'source isilon_Projectまとめ'!$A:$A,'source isilon_Projectまとめ'!$D:$D,XLOOKUP($A315,'source isilon-Project-du'!$A:$A,'source isilon-Project-du'!$C:$C))</f>
        <v>0.00GB</v>
      </c>
      <c r="F315" s="80" t="str">
        <f t="array" ref="F315">XLOOKUP($A315,'source isilon_Projectまとめ'!$A:$A,'source isilon_Projectまとめ'!$C:$C,XLOOKUP($A315,'source NetApp-file-sv01～03-Proj'!$A:$A,'source NetApp-file-sv01～03-Proj'!$D:$D))</f>
        <v>#N/A</v>
      </c>
      <c r="G315" s="31"/>
      <c r="H315" s="30"/>
      <c r="I315" s="30" t="s">
        <v>1984</v>
      </c>
      <c r="J315" s="30" t="str">
        <f t="array" ref="J315">XLOOKUP(I315,'退職者'!$C:$C,'退職者'!$B:$B,"×")&amp;XLOOKUP(I315,'退職者'!$C:$C,'退職者'!$A:$A,"×")</f>
        <v>人事本部労務部</v>
      </c>
      <c r="K315" s="30"/>
      <c r="L315" s="30"/>
    </row>
    <row r="316">
      <c r="A316" s="31" t="s">
        <v>2033</v>
      </c>
      <c r="B316" s="31" t="s">
        <v>1425</v>
      </c>
      <c r="C316" s="78">
        <v>1.0</v>
      </c>
      <c r="D316" s="78">
        <v>4.0</v>
      </c>
      <c r="E316" s="30" t="str">
        <f t="array" ref="E316">XLOOKUP($A316,'source isilon_Projectまとめ'!$A:$A,'source isilon_Projectまとめ'!$D:$D,XLOOKUP($A316,'source isilon-Project-du'!$A:$A,'source isilon-Project-du'!$C:$C))</f>
        <v>0.00GB</v>
      </c>
      <c r="F316" s="80" t="str">
        <f t="array" ref="F316">XLOOKUP($A316,'source isilon_Projectまとめ'!$A:$A,'source isilon_Projectまとめ'!$C:$C,XLOOKUP($A316,'source NetApp-file-sv01～03-Proj'!$A:$A,'source NetApp-file-sv01～03-Proj'!$D:$D))</f>
        <v>#N/A</v>
      </c>
      <c r="G316" s="31"/>
      <c r="H316" s="30"/>
      <c r="I316" s="30" t="s">
        <v>1476</v>
      </c>
      <c r="J316" s="30" t="str">
        <f t="array" ref="J316">XLOOKUP(I316,'退職者'!$C:$C,'退職者'!$B:$B,"×")&amp;XLOOKUP(I316,'退職者'!$C:$C,'退職者'!$A:$A,"×")</f>
        <v>投資事業推進本部投資事業部</v>
      </c>
      <c r="K316" s="30"/>
      <c r="L316" s="30"/>
    </row>
    <row r="317">
      <c r="A317" s="31" t="s">
        <v>2035</v>
      </c>
      <c r="B317" s="31" t="s">
        <v>2394</v>
      </c>
      <c r="C317" s="78">
        <v>18781.0</v>
      </c>
      <c r="D317" s="78">
        <v>172910.0</v>
      </c>
      <c r="E317" s="31" t="str">
        <f t="array" ref="E317">XLOOKUP($A317,'source isilon_Projectまとめ'!$A:$A,'source isilon_Projectまとめ'!$D:$D,XLOOKUP($A317,'source isilon-Project-du'!$A:$A,'source isilon-Project-du'!$C:$C))</f>
        <v>1124.06GB</v>
      </c>
      <c r="F317" s="30" t="str">
        <f t="array" ref="F317">XLOOKUP($A317,'source isilon_Projectまとめ'!$A:$A,'source isilon_Projectまとめ'!$C:$C,XLOOKUP($A317,'source NetApp-file-sv01～03-Proj'!$A:$A,'source NetApp-file-sv01～03-Proj'!$D:$D))</f>
        <v>2025/03/14</v>
      </c>
      <c r="G317" s="31" t="s">
        <v>2184</v>
      </c>
      <c r="H317" s="30"/>
      <c r="I317" s="31" t="s">
        <v>2038</v>
      </c>
      <c r="J317" s="30" t="str">
        <f t="array" ref="J317">XLOOKUP(I317,'従業員情報'!$A:$A,'従業員情報'!$N:$N,"×")</f>
        <v>株式会社MIXI/木村管掌/デジタルエンターテインメントオペレーションズ本部/モンストIPクリエイション部/アート第1グループ</v>
      </c>
      <c r="K317" s="30" t="s">
        <v>2038</v>
      </c>
      <c r="L317" s="30"/>
    </row>
    <row r="318">
      <c r="A318" s="31" t="s">
        <v>2039</v>
      </c>
      <c r="B318" s="31" t="s">
        <v>2394</v>
      </c>
      <c r="C318" s="78">
        <v>10913.0</v>
      </c>
      <c r="D318" s="78">
        <v>214808.0</v>
      </c>
      <c r="E318" s="31" t="str">
        <f t="array" ref="E318">XLOOKUP($A318,'source isilon_Projectまとめ'!$A:$A,'source isilon_Projectまとめ'!$D:$D,XLOOKUP($A318,'source isilon-Project-du'!$A:$A,'source isilon-Project-du'!$C:$C))</f>
        <v>9758.07GB</v>
      </c>
      <c r="F318" s="30" t="str">
        <f t="array" ref="F318">XLOOKUP($A318,'source isilon_Projectまとめ'!$A:$A,'source isilon_Projectまとめ'!$C:$C,XLOOKUP($A318,'source NetApp-file-sv01～03-Proj'!$A:$A,'source NetApp-file-sv01～03-Proj'!$D:$D))</f>
        <v>2019/08/29</v>
      </c>
      <c r="G318" s="31" t="s">
        <v>2177</v>
      </c>
      <c r="H318" s="30"/>
      <c r="I318" s="31" t="s">
        <v>1465</v>
      </c>
      <c r="J318" s="30" t="str">
        <f t="array" ref="J318">XLOOKUP(I318,'従業員情報'!$A:$A,'従業員情報'!$N:$N,"×")</f>
        <v>株式会社MIXI/村瀨管掌/デザイン本部/動画クリエイティブ室</v>
      </c>
      <c r="K318" s="30" t="s">
        <v>1465</v>
      </c>
      <c r="L318" s="30"/>
    </row>
    <row r="319">
      <c r="A319" s="31" t="s">
        <v>2040</v>
      </c>
      <c r="B319" s="31" t="s">
        <v>993</v>
      </c>
      <c r="C319" s="78">
        <v>29.0</v>
      </c>
      <c r="D319" s="78">
        <v>141.0</v>
      </c>
      <c r="E319" s="31" t="str">
        <f t="array" ref="E319">XLOOKUP($A319,'source isilon_Projectまとめ'!$A:$A,'source isilon_Projectまとめ'!$D:$D,XLOOKUP($A319,'source isilon-Project-du'!$A:$A,'source isilon-Project-du'!$C:$C))</f>
        <v>0.30GB</v>
      </c>
      <c r="F319" s="30" t="str">
        <f t="array" ref="F319">XLOOKUP($A319,'source isilon_Projectまとめ'!$A:$A,'source isilon_Projectまとめ'!$C:$C,XLOOKUP($A319,'source NetApp-file-sv01～03-Proj'!$A:$A,'source NetApp-file-sv01～03-Proj'!$D:$D))</f>
        <v>2011/12/14</v>
      </c>
      <c r="G319" s="31" t="s">
        <v>2177</v>
      </c>
      <c r="H319" s="30"/>
      <c r="I319" s="31" t="s">
        <v>1876</v>
      </c>
      <c r="J319" s="30" t="str">
        <f t="array" ref="J319">XLOOKUP(I319,'退職者'!$C:$C,'退職者'!$B:$B,"×")&amp;XLOOKUP(I319,'退職者'!$C:$C,'退職者'!$A:$A,"×")</f>
        <v/>
      </c>
      <c r="K319" s="30" t="s">
        <v>2399</v>
      </c>
      <c r="L319" s="30"/>
    </row>
    <row r="320">
      <c r="A320" s="31" t="s">
        <v>2040</v>
      </c>
      <c r="B320" s="31" t="s">
        <v>1425</v>
      </c>
      <c r="C320" s="78">
        <v>29.0</v>
      </c>
      <c r="D320" s="78">
        <v>141.0</v>
      </c>
      <c r="E320" s="31" t="str">
        <f t="array" ref="E320">XLOOKUP($A320,'source isilon_Projectまとめ'!$A:$A,'source isilon_Projectまとめ'!$D:$D,XLOOKUP($A320,'source isilon-Project-du'!$A:$A,'source isilon-Project-du'!$C:$C))</f>
        <v>0.30GB</v>
      </c>
      <c r="F320" s="30" t="str">
        <f t="array" ref="F320">XLOOKUP($A320,'source isilon_Projectまとめ'!$A:$A,'source isilon_Projectまとめ'!$C:$C,XLOOKUP($A320,'source NetApp-file-sv01～03-Proj'!$A:$A,'source NetApp-file-sv01～03-Proj'!$D:$D))</f>
        <v>2011/12/14</v>
      </c>
      <c r="G320" s="31" t="s">
        <v>2177</v>
      </c>
      <c r="H320" s="30"/>
      <c r="I320" s="31" t="s">
        <v>1473</v>
      </c>
      <c r="J320" s="30" t="str">
        <f t="array" ref="J320">XLOOKUP(I320,'退職者'!$C:$C,'退職者'!$B:$B,"×")&amp;XLOOKUP(I320,'退職者'!$C:$C,'退職者'!$A:$A,"×")</f>
        <v>人事本部人事部</v>
      </c>
      <c r="K320" s="30" t="s">
        <v>2399</v>
      </c>
      <c r="L320" s="30"/>
    </row>
    <row r="321">
      <c r="A321" s="31" t="s">
        <v>2042</v>
      </c>
      <c r="B321" s="31" t="s">
        <v>2394</v>
      </c>
      <c r="C321" s="78">
        <v>94437.0</v>
      </c>
      <c r="D321" s="78">
        <v>9602880.0</v>
      </c>
      <c r="E321" s="30" t="str">
        <f t="array" ref="E321">XLOOKUP($A321,'source isilon_Projectまとめ'!$A:$A,'source isilon_Projectまとめ'!$D:$D,XLOOKUP($A321,'source isilon-Project-du'!$A:$A,'source isilon-Project-du'!$C:$C))</f>
        <v>36320.66GB</v>
      </c>
      <c r="F321" s="84" t="str">
        <f t="array" ref="F321">XLOOKUP($A321,'source isilon_Projectまとめ'!$A:$A,'source isilon_Projectまとめ'!$C:$C,XLOOKUP($A321,'source NetApp-file-sv01～03-Proj'!$A:$A,'source NetApp-file-sv01～03-Proj'!$D:$D))</f>
        <v>#N/A</v>
      </c>
      <c r="G321" s="31"/>
      <c r="H321" s="30"/>
      <c r="I321" s="31" t="s">
        <v>1758</v>
      </c>
      <c r="J321" s="30" t="str">
        <f t="array" ref="J321">XLOOKUP(I321,'従業員情報'!$A:$A,'従業員情報'!$N:$N,"×")</f>
        <v>株式会社MIXI/村瀨管掌/デザイン本部/動画クリエイティブ室/CGデザイングループ</v>
      </c>
      <c r="K321" s="30" t="s">
        <v>1758</v>
      </c>
      <c r="L321" s="30"/>
    </row>
    <row r="322">
      <c r="A322" s="31" t="s">
        <v>2043</v>
      </c>
      <c r="B322" s="31" t="s">
        <v>993</v>
      </c>
      <c r="C322" s="78">
        <v>26.0</v>
      </c>
      <c r="D322" s="78">
        <v>192.0</v>
      </c>
      <c r="E322" s="31" t="str">
        <f t="array" ref="E322">XLOOKUP($A322,'source isilon_Projectまとめ'!$A:$A,'source isilon_Projectまとめ'!$D:$D,XLOOKUP($A322,'source isilon-Project-du'!$A:$A,'source isilon-Project-du'!$C:$C))</f>
        <v>0.03GB</v>
      </c>
      <c r="F322" s="30" t="str">
        <f t="array" ref="F322">XLOOKUP($A322,'source isilon_Projectまとめ'!$A:$A,'source isilon_Projectまとめ'!$C:$C,XLOOKUP($A322,'source NetApp-file-sv01～03-Proj'!$A:$A,'source NetApp-file-sv01～03-Proj'!$D:$D))</f>
        <v>2010/05/24</v>
      </c>
      <c r="G322" s="31" t="s">
        <v>2177</v>
      </c>
      <c r="H322" s="30"/>
      <c r="I322" s="31" t="s">
        <v>1643</v>
      </c>
      <c r="J322" s="30" t="str">
        <f t="array" ref="J322">XLOOKUP(I322,'退職者'!$C:$C,'退職者'!$B:$B,"×")&amp;XLOOKUP(I322,'退職者'!$C:$C,'退職者'!$A:$A,"×")</f>
        <v/>
      </c>
      <c r="K322" s="30" t="s">
        <v>2399</v>
      </c>
      <c r="L322" s="30"/>
    </row>
    <row r="323">
      <c r="A323" s="31" t="s">
        <v>2044</v>
      </c>
      <c r="B323" s="31" t="s">
        <v>993</v>
      </c>
      <c r="C323" s="78">
        <v>2.0</v>
      </c>
      <c r="D323" s="78">
        <v>5.0</v>
      </c>
      <c r="E323" s="31" t="str">
        <f t="array" ref="E323">XLOOKUP($A323,'source isilon_Projectまとめ'!$A:$A,'source isilon_Projectまとめ'!$D:$D,XLOOKUP($A323,'source isilon-Project-du'!$A:$A,'source isilon-Project-du'!$C:$C))</f>
        <v>0.05GB</v>
      </c>
      <c r="F323" s="30" t="str">
        <f t="array" ref="F323">XLOOKUP($A323,'source isilon_Projectまとめ'!$A:$A,'source isilon_Projectまとめ'!$C:$C,XLOOKUP($A323,'source NetApp-file-sv01～03-Proj'!$A:$A,'source NetApp-file-sv01～03-Proj'!$D:$D))</f>
        <v>2013/11/05</v>
      </c>
      <c r="G323" s="31" t="s">
        <v>2177</v>
      </c>
      <c r="H323" s="30"/>
      <c r="I323" s="31" t="s">
        <v>1643</v>
      </c>
      <c r="J323" s="30" t="str">
        <f t="array" ref="J323">XLOOKUP(I323,'退職者'!$C:$C,'退職者'!$B:$B,"×")&amp;XLOOKUP(I323,'退職者'!$C:$C,'退職者'!$A:$A,"×")</f>
        <v/>
      </c>
      <c r="K323" s="30" t="s">
        <v>2399</v>
      </c>
      <c r="L323" s="30"/>
    </row>
    <row r="324">
      <c r="A324" s="31" t="s">
        <v>2045</v>
      </c>
      <c r="B324" s="31" t="s">
        <v>2394</v>
      </c>
      <c r="C324" s="78">
        <v>667.0</v>
      </c>
      <c r="D324" s="78">
        <v>2869.0</v>
      </c>
      <c r="E324" s="31" t="str">
        <f t="array" ref="E324">XLOOKUP($A324,'source isilon_Projectまとめ'!$A:$A,'source isilon_Projectまとめ'!$D:$D,XLOOKUP($A324,'source isilon-Project-du'!$A:$A,'source isilon-Project-du'!$C:$C))</f>
        <v>1.41GB</v>
      </c>
      <c r="F324" s="30" t="str">
        <f t="array" ref="F324">XLOOKUP($A324,'source isilon_Projectまとめ'!$A:$A,'source isilon_Projectまとめ'!$C:$C,XLOOKUP($A324,'source NetApp-file-sv01～03-Proj'!$A:$A,'source NetApp-file-sv01～03-Proj'!$D:$D))</f>
        <v>2016/04/27</v>
      </c>
      <c r="G324" s="31" t="s">
        <v>2177</v>
      </c>
      <c r="H324" s="30"/>
      <c r="I324" s="31" t="s">
        <v>1391</v>
      </c>
      <c r="J324" s="30" t="str">
        <f t="array" ref="J324">XLOOKUP(I324,'従業員情報'!$A:$A,'従業員情報'!$N:$N,"×")</f>
        <v>株式会社MIXI/笠原管掌/Vantageスタジオ/Romi事業部/UX企画グループ</v>
      </c>
      <c r="K324" s="30" t="s">
        <v>1391</v>
      </c>
      <c r="L324" s="30"/>
    </row>
    <row r="325">
      <c r="A325" s="31" t="s">
        <v>2046</v>
      </c>
      <c r="B325" s="31" t="s">
        <v>2394</v>
      </c>
      <c r="C325" s="78">
        <v>1002.0</v>
      </c>
      <c r="D325" s="78">
        <v>5950.0</v>
      </c>
      <c r="E325" s="31" t="str">
        <f t="array" ref="E325">XLOOKUP($A325,'source isilon_Projectまとめ'!$A:$A,'source isilon_Projectまとめ'!$D:$D,XLOOKUP($A325,'source isilon-Project-du'!$A:$A,'source isilon-Project-du'!$C:$C))</f>
        <v>9.45GB</v>
      </c>
      <c r="F325" s="30" t="str">
        <f t="array" ref="F325">XLOOKUP($A325,'source isilon_Projectまとめ'!$A:$A,'source isilon_Projectまとめ'!$C:$C,XLOOKUP($A325,'source NetApp-file-sv01～03-Proj'!$A:$A,'source NetApp-file-sv01～03-Proj'!$D:$D))</f>
        <v>2025/03/19</v>
      </c>
      <c r="G325" s="31" t="s">
        <v>2184</v>
      </c>
      <c r="H325" s="30"/>
      <c r="I325" s="31" t="s">
        <v>2049</v>
      </c>
      <c r="J325" s="30" t="str">
        <f t="array" ref="J325">XLOOKUP(I325,'従業員情報'!$A:$A,'従業員情報'!$N:$N,"×")</f>
        <v>株式会社MIXI/笠原管掌/Vantageスタジオ/mixi事業部/パートナービジネスグループ/ニュースチーム</v>
      </c>
      <c r="K325" s="30" t="s">
        <v>2049</v>
      </c>
      <c r="L325" s="30"/>
    </row>
  </sheetData>
  <autoFilter ref="$A$4:$L$325"/>
  <customSheetViews>
    <customSheetView guid="{5FB54E22-F1CB-4257-9B67-803D4ECE88C4}" filter="1" showAutoFilter="1">
      <autoFilter ref="$A$4:$J$325">
        <filterColumn colId="1">
          <filters>
            <filter val="退職（部署不明）"/>
            <filter val="管理者不明"/>
          </filters>
        </filterColumn>
      </autoFilter>
    </customSheetView>
    <customSheetView guid="{52298433-EC3F-487F-953D-E02EC2F3755B}" filter="1" showAutoFilter="1">
      <autoFilter ref="$A$4:$J$325">
        <filterColumn colId="1">
          <filters>
            <filter val="退職"/>
          </filters>
        </filterColumn>
      </autoFilter>
    </customSheetView>
    <customSheetView guid="{73409713-43FA-4453-9359-3E50EAC9253C}" filter="1" showAutoFilter="1">
      <autoFilter ref="$A$4:$J$325">
        <filterColumn colId="1">
          <filters>
            <filter val="在職"/>
          </filters>
        </filterColumn>
      </autoFilter>
    </customSheetView>
    <customSheetView guid="{5F737215-684E-4514-B2D8-73A887334D90}" filter="1" showAutoFilter="1">
      <autoFilter ref="$A$4:$J$325">
        <filterColumn colId="1">
          <filters>
            <filter val="退職（部署不明）"/>
            <filter val="退職"/>
            <filter val="管理者不明"/>
          </filters>
        </filterColumn>
        <filterColumn colId="6">
          <filters blank="1">
            <filter val="AWS S3"/>
            <filter val="Googleドライブ"/>
          </filters>
        </filterColumn>
      </autoFilter>
    </customSheetView>
    <customSheetView guid="{A2DD9A4E-E606-43D6-BD19-E54F611B2CB6}" filter="1" showAutoFilter="1">
      <autoFilter ref="$A$4:$J$325">
        <filterColumn colId="1">
          <filters>
            <filter val="退職（部署不明）"/>
          </filters>
        </filterColumn>
      </autoFilter>
    </customSheetView>
  </customSheetViews>
  <dataValidations>
    <dataValidation type="list" allowBlank="1" showErrorMessage="1" sqref="F5:F325 H5:H325">
      <formula1>"自対応,hatakan依頼,不要"</formula1>
    </dataValidation>
    <dataValidation type="list" allowBlank="1" showErrorMessage="1" sqref="E5:E325 G5:G325">
      <formula1>"Googleドライブ,AWS S3,別テナント,不要"</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3.38"/>
    <col customWidth="1" min="16" max="16" width="3.13"/>
  </cols>
  <sheetData>
    <row r="1">
      <c r="A1" s="48" t="s">
        <v>2431</v>
      </c>
      <c r="B1" s="48" t="s">
        <v>2432</v>
      </c>
      <c r="C1" s="48" t="s">
        <v>2433</v>
      </c>
      <c r="D1" s="48" t="s">
        <v>2163</v>
      </c>
      <c r="E1" s="48" t="s">
        <v>2164</v>
      </c>
      <c r="F1" s="48" t="s">
        <v>2434</v>
      </c>
      <c r="G1" s="48" t="s">
        <v>2166</v>
      </c>
      <c r="H1" s="48" t="s">
        <v>2435</v>
      </c>
      <c r="I1" s="48" t="s">
        <v>2436</v>
      </c>
      <c r="J1" s="48" t="s">
        <v>2437</v>
      </c>
      <c r="K1" s="48" t="s">
        <v>2167</v>
      </c>
      <c r="L1" s="48" t="s">
        <v>2168</v>
      </c>
      <c r="M1" s="48" t="s">
        <v>2438</v>
      </c>
      <c r="N1" s="48" t="s">
        <v>2439</v>
      </c>
      <c r="O1" s="48" t="s">
        <v>2440</v>
      </c>
      <c r="P1" s="48" t="s">
        <v>2441</v>
      </c>
    </row>
    <row r="2">
      <c r="A2" s="7" t="s">
        <v>2090</v>
      </c>
      <c r="B2" s="7" t="s">
        <v>1106</v>
      </c>
      <c r="C2" s="7" t="s">
        <v>1107</v>
      </c>
      <c r="D2" s="50">
        <v>32.0</v>
      </c>
      <c r="E2" s="50">
        <v>17.0</v>
      </c>
      <c r="F2" s="7" t="s">
        <v>2442</v>
      </c>
      <c r="G2" s="85">
        <v>42480.0</v>
      </c>
      <c r="H2" s="7" t="s">
        <v>717</v>
      </c>
      <c r="I2" s="7" t="s">
        <v>2175</v>
      </c>
      <c r="K2" s="7" t="s">
        <v>2177</v>
      </c>
      <c r="N2" s="7" t="b">
        <v>0</v>
      </c>
      <c r="O2" s="7" t="b">
        <v>0</v>
      </c>
    </row>
    <row r="3">
      <c r="A3" s="7" t="s">
        <v>2090</v>
      </c>
      <c r="B3" s="7" t="s">
        <v>1075</v>
      </c>
      <c r="C3" s="7" t="s">
        <v>1131</v>
      </c>
      <c r="D3" s="50">
        <v>19360.0</v>
      </c>
      <c r="E3" s="50">
        <v>201896.0</v>
      </c>
      <c r="F3" s="7" t="s">
        <v>2443</v>
      </c>
      <c r="G3" s="85">
        <v>44384.0</v>
      </c>
      <c r="H3" s="7" t="s">
        <v>717</v>
      </c>
      <c r="I3" s="7" t="s">
        <v>2175</v>
      </c>
      <c r="K3" s="7" t="s">
        <v>2177</v>
      </c>
      <c r="N3" s="7" t="b">
        <v>0</v>
      </c>
      <c r="O3" s="7" t="b">
        <v>0</v>
      </c>
    </row>
    <row r="4">
      <c r="A4" s="7" t="s">
        <v>2090</v>
      </c>
      <c r="B4" s="7" t="s">
        <v>1075</v>
      </c>
      <c r="C4" s="7" t="s">
        <v>1328</v>
      </c>
      <c r="D4" s="50">
        <v>24.0</v>
      </c>
      <c r="E4" s="50">
        <v>129.0</v>
      </c>
      <c r="F4" s="7" t="s">
        <v>2444</v>
      </c>
      <c r="G4" s="85">
        <v>42249.0</v>
      </c>
      <c r="H4" s="7" t="s">
        <v>717</v>
      </c>
      <c r="I4" s="7" t="s">
        <v>2175</v>
      </c>
      <c r="K4" s="7" t="s">
        <v>2177</v>
      </c>
      <c r="N4" s="7" t="b">
        <v>0</v>
      </c>
      <c r="O4" s="7" t="b">
        <v>0</v>
      </c>
    </row>
    <row r="5">
      <c r="A5" s="7" t="s">
        <v>2092</v>
      </c>
      <c r="B5" s="7" t="s">
        <v>1106</v>
      </c>
      <c r="C5" s="7" t="s">
        <v>1109</v>
      </c>
      <c r="D5" s="50">
        <v>55.0</v>
      </c>
      <c r="E5" s="50">
        <v>53.0</v>
      </c>
      <c r="F5" s="7" t="s">
        <v>2445</v>
      </c>
      <c r="G5" s="85">
        <v>42433.0</v>
      </c>
      <c r="H5" s="7" t="s">
        <v>391</v>
      </c>
      <c r="I5" s="7" t="s">
        <v>395</v>
      </c>
      <c r="K5" s="7" t="s">
        <v>2177</v>
      </c>
      <c r="N5" s="7" t="b">
        <v>0</v>
      </c>
      <c r="O5" s="7" t="b">
        <v>0</v>
      </c>
    </row>
    <row r="6">
      <c r="A6" s="7" t="s">
        <v>2092</v>
      </c>
      <c r="B6" s="7" t="s">
        <v>1106</v>
      </c>
      <c r="C6" s="7" t="s">
        <v>1113</v>
      </c>
      <c r="D6" s="50">
        <v>19.0</v>
      </c>
      <c r="E6" s="50">
        <v>19.0</v>
      </c>
      <c r="F6" s="7" t="s">
        <v>2446</v>
      </c>
      <c r="G6" s="85">
        <v>42509.0</v>
      </c>
      <c r="H6" s="7" t="s">
        <v>391</v>
      </c>
      <c r="I6" s="7" t="s">
        <v>395</v>
      </c>
      <c r="K6" s="7" t="s">
        <v>2177</v>
      </c>
      <c r="N6" s="7" t="b">
        <v>0</v>
      </c>
      <c r="O6" s="7" t="b">
        <v>0</v>
      </c>
    </row>
    <row r="7">
      <c r="A7" s="7" t="s">
        <v>2092</v>
      </c>
      <c r="B7" s="7" t="s">
        <v>1075</v>
      </c>
      <c r="C7" s="7" t="s">
        <v>1327</v>
      </c>
      <c r="D7" s="50">
        <v>87.0</v>
      </c>
      <c r="E7" s="50">
        <v>416.0</v>
      </c>
      <c r="F7" s="7" t="s">
        <v>2447</v>
      </c>
      <c r="G7" s="85">
        <v>42124.0</v>
      </c>
      <c r="H7" s="7" t="s">
        <v>391</v>
      </c>
      <c r="I7" s="7" t="s">
        <v>395</v>
      </c>
      <c r="K7" s="7" t="s">
        <v>2177</v>
      </c>
      <c r="N7" s="7" t="b">
        <v>0</v>
      </c>
      <c r="O7" s="7" t="b">
        <v>0</v>
      </c>
    </row>
    <row r="8">
      <c r="A8" s="7" t="s">
        <v>2092</v>
      </c>
      <c r="B8" s="7" t="s">
        <v>1075</v>
      </c>
      <c r="C8" s="7" t="s">
        <v>1109</v>
      </c>
      <c r="D8" s="50">
        <v>475.0</v>
      </c>
      <c r="E8" s="50">
        <v>2781.0</v>
      </c>
      <c r="F8" s="7" t="s">
        <v>2448</v>
      </c>
      <c r="G8" s="85">
        <v>42538.0</v>
      </c>
      <c r="H8" s="7" t="s">
        <v>391</v>
      </c>
      <c r="I8" s="7" t="s">
        <v>395</v>
      </c>
      <c r="K8" s="7" t="s">
        <v>2177</v>
      </c>
      <c r="N8" s="7" t="b">
        <v>0</v>
      </c>
      <c r="O8" s="7" t="b">
        <v>0</v>
      </c>
    </row>
    <row r="9">
      <c r="A9" s="7" t="s">
        <v>2092</v>
      </c>
      <c r="B9" s="7" t="s">
        <v>1075</v>
      </c>
      <c r="C9" s="7" t="s">
        <v>1112</v>
      </c>
      <c r="D9" s="50">
        <v>27769.0</v>
      </c>
      <c r="E9" s="50">
        <v>112263.0</v>
      </c>
      <c r="F9" s="7" t="s">
        <v>2449</v>
      </c>
      <c r="G9" s="85">
        <v>42809.0</v>
      </c>
      <c r="H9" s="7" t="s">
        <v>391</v>
      </c>
      <c r="I9" s="7" t="s">
        <v>395</v>
      </c>
      <c r="K9" s="7" t="s">
        <v>2177</v>
      </c>
      <c r="N9" s="7" t="b">
        <v>0</v>
      </c>
      <c r="O9" s="7" t="b">
        <v>0</v>
      </c>
    </row>
    <row r="10">
      <c r="A10" s="7" t="s">
        <v>2092</v>
      </c>
      <c r="B10" s="7" t="s">
        <v>1090</v>
      </c>
      <c r="C10" s="7" t="s">
        <v>1109</v>
      </c>
      <c r="D10" s="50">
        <v>777.0</v>
      </c>
      <c r="E10" s="50">
        <v>8837.0</v>
      </c>
      <c r="F10" s="7" t="s">
        <v>2450</v>
      </c>
      <c r="G10" s="85">
        <v>43384.0</v>
      </c>
      <c r="H10" s="7" t="s">
        <v>391</v>
      </c>
      <c r="I10" s="7" t="s">
        <v>395</v>
      </c>
      <c r="K10" s="7" t="s">
        <v>2177</v>
      </c>
      <c r="N10" s="7" t="b">
        <v>0</v>
      </c>
      <c r="O10" s="7" t="b">
        <v>0</v>
      </c>
    </row>
    <row r="11">
      <c r="A11" s="7" t="s">
        <v>2094</v>
      </c>
      <c r="B11" s="7" t="s">
        <v>1106</v>
      </c>
      <c r="C11" s="7" t="s">
        <v>1111</v>
      </c>
      <c r="D11" s="50">
        <v>1345.0</v>
      </c>
      <c r="E11" s="50">
        <v>9883.0</v>
      </c>
      <c r="F11" s="7" t="s">
        <v>2451</v>
      </c>
      <c r="G11" s="85">
        <v>44667.0</v>
      </c>
      <c r="H11" s="7" t="s">
        <v>693</v>
      </c>
      <c r="K11" s="7" t="s">
        <v>2177</v>
      </c>
      <c r="N11" s="7" t="b">
        <v>0</v>
      </c>
      <c r="O11" s="7" t="b">
        <v>0</v>
      </c>
    </row>
    <row r="12">
      <c r="A12" s="7" t="s">
        <v>2094</v>
      </c>
      <c r="B12" s="7" t="s">
        <v>693</v>
      </c>
      <c r="C12" s="7" t="s">
        <v>1155</v>
      </c>
      <c r="D12" s="50">
        <v>43.0</v>
      </c>
      <c r="E12" s="50">
        <v>45.0</v>
      </c>
      <c r="F12" s="7" t="s">
        <v>2452</v>
      </c>
      <c r="G12" s="85">
        <v>45237.0</v>
      </c>
      <c r="H12" s="7" t="s">
        <v>693</v>
      </c>
      <c r="I12" s="7" t="s">
        <v>1053</v>
      </c>
      <c r="K12" s="7" t="s">
        <v>2184</v>
      </c>
      <c r="N12" s="7" t="b">
        <v>0</v>
      </c>
      <c r="O12" s="7" t="b">
        <v>0</v>
      </c>
    </row>
    <row r="13">
      <c r="A13" s="7" t="s">
        <v>2094</v>
      </c>
      <c r="B13" s="7" t="s">
        <v>693</v>
      </c>
      <c r="C13" s="7" t="s">
        <v>1156</v>
      </c>
      <c r="D13" s="50">
        <v>1044.0</v>
      </c>
      <c r="E13" s="50">
        <v>245586.0</v>
      </c>
      <c r="F13" s="7" t="s">
        <v>2453</v>
      </c>
      <c r="G13" s="85">
        <v>43543.0</v>
      </c>
      <c r="H13" s="7" t="s">
        <v>693</v>
      </c>
      <c r="I13" s="7" t="s">
        <v>1053</v>
      </c>
      <c r="K13" s="7" t="s">
        <v>2177</v>
      </c>
      <c r="N13" s="7" t="b">
        <v>0</v>
      </c>
      <c r="O13" s="7" t="b">
        <v>0</v>
      </c>
    </row>
    <row r="14">
      <c r="A14" s="7" t="s">
        <v>2094</v>
      </c>
      <c r="B14" s="7" t="s">
        <v>693</v>
      </c>
      <c r="C14" s="7" t="s">
        <v>696</v>
      </c>
      <c r="D14" s="50">
        <v>43.0</v>
      </c>
      <c r="E14" s="50">
        <v>2.0</v>
      </c>
      <c r="F14" s="7" t="s">
        <v>2454</v>
      </c>
      <c r="G14" s="7" t="s">
        <v>1053</v>
      </c>
      <c r="H14" s="7" t="s">
        <v>693</v>
      </c>
      <c r="I14" s="7" t="s">
        <v>696</v>
      </c>
      <c r="K14" s="7" t="s">
        <v>2177</v>
      </c>
      <c r="N14" s="7" t="b">
        <v>0</v>
      </c>
      <c r="O14" s="7" t="b">
        <v>0</v>
      </c>
    </row>
    <row r="15">
      <c r="A15" s="7" t="s">
        <v>2094</v>
      </c>
      <c r="B15" s="7" t="s">
        <v>693</v>
      </c>
      <c r="C15" s="7" t="s">
        <v>1157</v>
      </c>
      <c r="D15" s="50">
        <v>137.0</v>
      </c>
      <c r="E15" s="50">
        <v>1031.0</v>
      </c>
      <c r="F15" s="7" t="s">
        <v>2455</v>
      </c>
      <c r="G15" s="85">
        <v>45077.0</v>
      </c>
      <c r="H15" s="7" t="s">
        <v>693</v>
      </c>
      <c r="I15" s="7" t="s">
        <v>1155</v>
      </c>
      <c r="K15" s="7" t="s">
        <v>2184</v>
      </c>
      <c r="N15" s="7" t="b">
        <v>0</v>
      </c>
      <c r="O15" s="7" t="b">
        <v>0</v>
      </c>
    </row>
    <row r="16">
      <c r="A16" s="7" t="s">
        <v>2094</v>
      </c>
      <c r="B16" s="7" t="s">
        <v>693</v>
      </c>
      <c r="C16" s="7" t="s">
        <v>1111</v>
      </c>
      <c r="D16" s="50">
        <v>23.0</v>
      </c>
      <c r="E16" s="50">
        <v>244.0</v>
      </c>
      <c r="F16" s="7" t="s">
        <v>2456</v>
      </c>
      <c r="G16" s="85">
        <v>44957.0</v>
      </c>
      <c r="H16" s="7" t="s">
        <v>693</v>
      </c>
      <c r="I16" s="7" t="s">
        <v>1053</v>
      </c>
      <c r="K16" s="7" t="s">
        <v>2184</v>
      </c>
      <c r="N16" s="7" t="b">
        <v>0</v>
      </c>
      <c r="O16" s="7" t="b">
        <v>0</v>
      </c>
    </row>
    <row r="17">
      <c r="A17" s="7" t="s">
        <v>2094</v>
      </c>
      <c r="B17" s="7" t="s">
        <v>693</v>
      </c>
      <c r="C17" s="7" t="s">
        <v>1160</v>
      </c>
      <c r="D17" s="50">
        <v>46.0</v>
      </c>
      <c r="E17" s="50">
        <v>7.0</v>
      </c>
      <c r="F17" s="7" t="s">
        <v>2457</v>
      </c>
      <c r="G17" s="85">
        <v>43454.0</v>
      </c>
      <c r="H17" s="7" t="s">
        <v>693</v>
      </c>
      <c r="I17" s="7" t="s">
        <v>1053</v>
      </c>
      <c r="K17" s="7" t="s">
        <v>2177</v>
      </c>
      <c r="N17" s="7" t="b">
        <v>0</v>
      </c>
      <c r="O17" s="7" t="b">
        <v>0</v>
      </c>
    </row>
    <row r="18">
      <c r="A18" s="7" t="s">
        <v>2094</v>
      </c>
      <c r="B18" s="7" t="s">
        <v>693</v>
      </c>
      <c r="C18" s="7" t="s">
        <v>1161</v>
      </c>
      <c r="D18" s="50">
        <v>366.0</v>
      </c>
      <c r="E18" s="50">
        <v>624.0</v>
      </c>
      <c r="F18" s="7" t="s">
        <v>2458</v>
      </c>
      <c r="G18" s="85">
        <v>44202.0</v>
      </c>
      <c r="H18" s="7" t="s">
        <v>693</v>
      </c>
      <c r="I18" s="7" t="s">
        <v>1053</v>
      </c>
      <c r="K18" s="7" t="s">
        <v>2177</v>
      </c>
      <c r="N18" s="7" t="b">
        <v>0</v>
      </c>
      <c r="O18" s="7" t="b">
        <v>0</v>
      </c>
    </row>
    <row r="19">
      <c r="A19" s="7" t="s">
        <v>2094</v>
      </c>
      <c r="B19" s="7" t="s">
        <v>1060</v>
      </c>
      <c r="C19" s="7" t="s">
        <v>1317</v>
      </c>
      <c r="D19" s="50">
        <v>516.0</v>
      </c>
      <c r="E19" s="50">
        <v>2450.0</v>
      </c>
      <c r="F19" s="7" t="s">
        <v>2459</v>
      </c>
      <c r="G19" s="85">
        <v>41698.0</v>
      </c>
      <c r="H19" s="7" t="s">
        <v>693</v>
      </c>
      <c r="K19" s="7" t="s">
        <v>2177</v>
      </c>
      <c r="N19" s="7" t="b">
        <v>0</v>
      </c>
      <c r="O19" s="7" t="b">
        <v>0</v>
      </c>
    </row>
    <row r="20">
      <c r="A20" s="7" t="s">
        <v>2094</v>
      </c>
      <c r="B20" s="7" t="s">
        <v>1068</v>
      </c>
      <c r="C20" s="7" t="s">
        <v>1227</v>
      </c>
      <c r="D20" s="50">
        <v>431.0</v>
      </c>
      <c r="E20" s="50">
        <v>9738.0</v>
      </c>
      <c r="F20" s="7" t="s">
        <v>2460</v>
      </c>
      <c r="G20" s="85">
        <v>44726.0</v>
      </c>
      <c r="H20" s="7" t="s">
        <v>693</v>
      </c>
      <c r="K20" s="7" t="s">
        <v>2177</v>
      </c>
      <c r="N20" s="7" t="b">
        <v>0</v>
      </c>
      <c r="O20" s="7" t="b">
        <v>0</v>
      </c>
    </row>
    <row r="21">
      <c r="A21" s="7" t="s">
        <v>2094</v>
      </c>
      <c r="B21" s="7" t="s">
        <v>1075</v>
      </c>
      <c r="C21" s="7" t="s">
        <v>1326</v>
      </c>
      <c r="D21" s="50">
        <v>515.0</v>
      </c>
      <c r="E21" s="50">
        <v>23340.0</v>
      </c>
      <c r="F21" s="7" t="s">
        <v>2461</v>
      </c>
      <c r="G21" s="85">
        <v>41844.0</v>
      </c>
      <c r="H21" s="7" t="s">
        <v>693</v>
      </c>
      <c r="K21" s="7" t="s">
        <v>2177</v>
      </c>
      <c r="N21" s="7" t="b">
        <v>0</v>
      </c>
      <c r="O21" s="7" t="b">
        <v>0</v>
      </c>
    </row>
    <row r="22">
      <c r="A22" s="7" t="s">
        <v>2094</v>
      </c>
      <c r="B22" s="7" t="s">
        <v>1081</v>
      </c>
      <c r="C22" s="7" t="s">
        <v>1160</v>
      </c>
      <c r="D22" s="50">
        <v>1839.0</v>
      </c>
      <c r="E22" s="50">
        <v>115323.0</v>
      </c>
      <c r="F22" s="7" t="s">
        <v>2462</v>
      </c>
      <c r="G22" s="85">
        <v>43494.0</v>
      </c>
      <c r="H22" s="7" t="s">
        <v>693</v>
      </c>
      <c r="K22" s="7" t="s">
        <v>2177</v>
      </c>
      <c r="N22" s="7" t="b">
        <v>0</v>
      </c>
      <c r="O22" s="7" t="b">
        <v>0</v>
      </c>
    </row>
    <row r="23">
      <c r="A23" s="7" t="s">
        <v>2096</v>
      </c>
      <c r="B23" s="7" t="s">
        <v>1114</v>
      </c>
      <c r="C23" s="7" t="s">
        <v>430</v>
      </c>
      <c r="D23" s="50">
        <v>4342.0</v>
      </c>
      <c r="E23" s="50">
        <v>26544.0</v>
      </c>
      <c r="F23" s="7" t="s">
        <v>2463</v>
      </c>
      <c r="G23" s="85">
        <v>43536.0</v>
      </c>
      <c r="H23" s="7" t="s">
        <v>429</v>
      </c>
      <c r="I23" s="7" t="s">
        <v>430</v>
      </c>
      <c r="K23" s="7" t="s">
        <v>2177</v>
      </c>
      <c r="N23" s="7" t="b">
        <v>0</v>
      </c>
      <c r="O23" s="7" t="b">
        <v>0</v>
      </c>
    </row>
    <row r="24">
      <c r="A24" s="7" t="s">
        <v>2098</v>
      </c>
      <c r="B24" s="7" t="s">
        <v>1114</v>
      </c>
      <c r="C24" s="7" t="s">
        <v>1111</v>
      </c>
      <c r="D24" s="50">
        <v>1.0</v>
      </c>
      <c r="E24" s="50">
        <v>1.0</v>
      </c>
      <c r="F24" s="7" t="s">
        <v>2464</v>
      </c>
      <c r="G24" s="7" t="s">
        <v>1053</v>
      </c>
      <c r="H24" s="7" t="s">
        <v>1117</v>
      </c>
      <c r="K24" s="7" t="s">
        <v>2177</v>
      </c>
      <c r="N24" s="7" t="b">
        <v>0</v>
      </c>
      <c r="O24" s="7" t="b">
        <v>0</v>
      </c>
    </row>
    <row r="25">
      <c r="A25" s="7" t="s">
        <v>2098</v>
      </c>
      <c r="B25" s="7" t="s">
        <v>1131</v>
      </c>
      <c r="C25" s="7" t="s">
        <v>1111</v>
      </c>
      <c r="D25" s="50">
        <v>3062.0</v>
      </c>
      <c r="E25" s="50">
        <v>143503.0</v>
      </c>
      <c r="F25" s="7" t="s">
        <v>2465</v>
      </c>
      <c r="G25" s="85">
        <v>43205.0</v>
      </c>
      <c r="H25" s="7" t="s">
        <v>1105</v>
      </c>
      <c r="K25" s="7" t="s">
        <v>2177</v>
      </c>
      <c r="N25" s="7" t="b">
        <v>0</v>
      </c>
      <c r="O25" s="7" t="b">
        <v>0</v>
      </c>
    </row>
    <row r="26">
      <c r="A26" s="7" t="s">
        <v>2098</v>
      </c>
      <c r="B26" s="7" t="s">
        <v>1138</v>
      </c>
      <c r="C26" s="7" t="s">
        <v>1139</v>
      </c>
      <c r="D26" s="50">
        <v>16182.0</v>
      </c>
      <c r="E26" s="50">
        <v>185216.0</v>
      </c>
      <c r="F26" s="7" t="s">
        <v>2466</v>
      </c>
      <c r="G26" s="85">
        <v>43553.0</v>
      </c>
      <c r="H26" s="7" t="s">
        <v>1141</v>
      </c>
      <c r="K26" s="7" t="s">
        <v>2177</v>
      </c>
      <c r="N26" s="7" t="b">
        <v>0</v>
      </c>
      <c r="O26" s="7" t="b">
        <v>0</v>
      </c>
    </row>
    <row r="27">
      <c r="A27" s="7" t="s">
        <v>2098</v>
      </c>
      <c r="B27" s="7" t="s">
        <v>1166</v>
      </c>
      <c r="C27" s="7" t="s">
        <v>1167</v>
      </c>
      <c r="D27" s="50">
        <v>13.0</v>
      </c>
      <c r="E27" s="50">
        <v>4.0</v>
      </c>
      <c r="F27" s="7" t="s">
        <v>2467</v>
      </c>
      <c r="G27" s="85">
        <v>42556.0</v>
      </c>
      <c r="H27" s="7" t="s">
        <v>1103</v>
      </c>
      <c r="K27" s="7" t="s">
        <v>2177</v>
      </c>
      <c r="N27" s="7" t="b">
        <v>0</v>
      </c>
      <c r="O27" s="7" t="b">
        <v>0</v>
      </c>
    </row>
    <row r="28">
      <c r="A28" s="7" t="s">
        <v>2098</v>
      </c>
      <c r="B28" s="7" t="s">
        <v>1166</v>
      </c>
      <c r="C28" s="7" t="s">
        <v>1133</v>
      </c>
      <c r="D28" s="50">
        <v>4363.0</v>
      </c>
      <c r="E28" s="50">
        <v>29376.0</v>
      </c>
      <c r="F28" s="7" t="s">
        <v>2468</v>
      </c>
      <c r="G28" s="85">
        <v>43923.0</v>
      </c>
      <c r="H28" s="7" t="s">
        <v>1069</v>
      </c>
      <c r="K28" s="7" t="s">
        <v>2177</v>
      </c>
      <c r="N28" s="7" t="b">
        <v>0</v>
      </c>
      <c r="O28" s="7" t="b">
        <v>0</v>
      </c>
    </row>
    <row r="29">
      <c r="A29" s="7" t="s">
        <v>2098</v>
      </c>
      <c r="B29" s="7" t="s">
        <v>1166</v>
      </c>
      <c r="C29" s="7" t="s">
        <v>1168</v>
      </c>
      <c r="D29" s="50">
        <v>43.0</v>
      </c>
      <c r="E29" s="50">
        <v>2.0</v>
      </c>
      <c r="F29" s="7" t="s">
        <v>2469</v>
      </c>
      <c r="G29" s="85">
        <v>43032.0</v>
      </c>
      <c r="H29" s="7" t="s">
        <v>1069</v>
      </c>
      <c r="K29" s="7" t="s">
        <v>2177</v>
      </c>
      <c r="N29" s="7" t="b">
        <v>0</v>
      </c>
      <c r="O29" s="7" t="b">
        <v>0</v>
      </c>
    </row>
    <row r="30">
      <c r="A30" s="7" t="s">
        <v>2098</v>
      </c>
      <c r="B30" s="7" t="s">
        <v>1166</v>
      </c>
      <c r="C30" s="7" t="s">
        <v>1134</v>
      </c>
      <c r="D30" s="50">
        <v>655.0</v>
      </c>
      <c r="E30" s="50">
        <v>2379.0</v>
      </c>
      <c r="F30" s="7" t="s">
        <v>2470</v>
      </c>
      <c r="G30" s="85">
        <v>43069.0</v>
      </c>
      <c r="H30" s="7" t="s">
        <v>1069</v>
      </c>
      <c r="K30" s="7" t="s">
        <v>2177</v>
      </c>
      <c r="N30" s="7" t="b">
        <v>0</v>
      </c>
      <c r="O30" s="7" t="b">
        <v>0</v>
      </c>
    </row>
    <row r="31">
      <c r="A31" s="7" t="s">
        <v>2098</v>
      </c>
      <c r="B31" s="7" t="s">
        <v>1166</v>
      </c>
      <c r="C31" s="7" t="s">
        <v>1172</v>
      </c>
      <c r="D31" s="50">
        <v>1320.0</v>
      </c>
      <c r="E31" s="50">
        <v>6901.0</v>
      </c>
      <c r="F31" s="7" t="s">
        <v>2471</v>
      </c>
      <c r="G31" s="85">
        <v>43398.0</v>
      </c>
      <c r="H31" s="7" t="s">
        <v>188</v>
      </c>
      <c r="I31" s="7" t="s">
        <v>2223</v>
      </c>
      <c r="K31" s="7" t="s">
        <v>2177</v>
      </c>
      <c r="N31" s="7" t="b">
        <v>0</v>
      </c>
      <c r="O31" s="7" t="b">
        <v>0</v>
      </c>
    </row>
    <row r="32">
      <c r="A32" s="7" t="s">
        <v>2098</v>
      </c>
      <c r="B32" s="7" t="s">
        <v>1166</v>
      </c>
      <c r="C32" s="7" t="s">
        <v>1136</v>
      </c>
      <c r="D32" s="50">
        <v>2498.0</v>
      </c>
      <c r="E32" s="50">
        <v>19384.0</v>
      </c>
      <c r="F32" s="7" t="s">
        <v>2472</v>
      </c>
      <c r="G32" s="85">
        <v>42922.0</v>
      </c>
      <c r="H32" s="7" t="s">
        <v>1058</v>
      </c>
      <c r="K32" s="7" t="s">
        <v>2177</v>
      </c>
      <c r="N32" s="7" t="b">
        <v>0</v>
      </c>
      <c r="O32" s="7" t="b">
        <v>0</v>
      </c>
    </row>
    <row r="33">
      <c r="A33" s="7" t="s">
        <v>2098</v>
      </c>
      <c r="B33" s="7" t="s">
        <v>1166</v>
      </c>
      <c r="C33" s="7" t="s">
        <v>1137</v>
      </c>
      <c r="D33" s="50">
        <v>8222.0</v>
      </c>
      <c r="E33" s="50">
        <v>73682.0</v>
      </c>
      <c r="F33" s="7" t="s">
        <v>2473</v>
      </c>
      <c r="G33" s="85">
        <v>44715.0</v>
      </c>
      <c r="H33" s="7" t="s">
        <v>1058</v>
      </c>
      <c r="K33" s="7" t="s">
        <v>2177</v>
      </c>
      <c r="N33" s="7" t="b">
        <v>0</v>
      </c>
      <c r="O33" s="7" t="b">
        <v>0</v>
      </c>
    </row>
    <row r="34">
      <c r="A34" s="7" t="s">
        <v>2098</v>
      </c>
      <c r="B34" s="7" t="s">
        <v>1166</v>
      </c>
      <c r="C34" s="7" t="s">
        <v>1111</v>
      </c>
      <c r="D34" s="50">
        <v>46864.0</v>
      </c>
      <c r="E34" s="50">
        <v>315041.0</v>
      </c>
      <c r="F34" s="7" t="s">
        <v>2474</v>
      </c>
      <c r="G34" s="85">
        <v>44715.0</v>
      </c>
      <c r="H34" s="7" t="s">
        <v>1105</v>
      </c>
      <c r="K34" s="7" t="s">
        <v>2177</v>
      </c>
      <c r="N34" s="7" t="b">
        <v>0</v>
      </c>
      <c r="O34" s="7" t="b">
        <v>0</v>
      </c>
    </row>
    <row r="35">
      <c r="A35" s="7" t="s">
        <v>2098</v>
      </c>
      <c r="B35" s="7" t="s">
        <v>1166</v>
      </c>
      <c r="C35" s="7" t="s">
        <v>1178</v>
      </c>
      <c r="D35" s="50">
        <v>11.0</v>
      </c>
      <c r="E35" s="50">
        <v>29.0</v>
      </c>
      <c r="F35" s="7" t="s">
        <v>2475</v>
      </c>
      <c r="G35" s="85">
        <v>42620.0</v>
      </c>
      <c r="H35" s="7" t="s">
        <v>1069</v>
      </c>
      <c r="K35" s="7" t="s">
        <v>2177</v>
      </c>
      <c r="N35" s="7" t="b">
        <v>0</v>
      </c>
      <c r="O35" s="7" t="b">
        <v>0</v>
      </c>
    </row>
    <row r="36">
      <c r="A36" s="7" t="s">
        <v>2098</v>
      </c>
      <c r="B36" s="7" t="s">
        <v>1195</v>
      </c>
      <c r="C36" s="7" t="s">
        <v>1196</v>
      </c>
      <c r="D36" s="50">
        <v>27456.0</v>
      </c>
      <c r="E36" s="50">
        <v>273316.0</v>
      </c>
      <c r="F36" s="7" t="s">
        <v>2476</v>
      </c>
      <c r="G36" s="85">
        <v>42755.0</v>
      </c>
      <c r="H36" s="7" t="s">
        <v>1105</v>
      </c>
      <c r="K36" s="7" t="s">
        <v>2177</v>
      </c>
      <c r="N36" s="7" t="b">
        <v>0</v>
      </c>
      <c r="O36" s="7" t="b">
        <v>0</v>
      </c>
    </row>
    <row r="37">
      <c r="A37" s="7" t="s">
        <v>2098</v>
      </c>
      <c r="B37" s="7" t="s">
        <v>1198</v>
      </c>
      <c r="C37" s="7" t="s">
        <v>1200</v>
      </c>
      <c r="D37" s="50">
        <v>3.0</v>
      </c>
      <c r="E37" s="50">
        <v>1.0</v>
      </c>
      <c r="F37" s="7" t="s">
        <v>2477</v>
      </c>
      <c r="G37" s="7" t="s">
        <v>1053</v>
      </c>
      <c r="H37" s="7" t="s">
        <v>1105</v>
      </c>
      <c r="K37" s="7" t="s">
        <v>2177</v>
      </c>
      <c r="N37" s="7" t="b">
        <v>0</v>
      </c>
      <c r="O37" s="7" t="b">
        <v>0</v>
      </c>
    </row>
    <row r="38">
      <c r="A38" s="7" t="s">
        <v>2098</v>
      </c>
      <c r="B38" s="7" t="s">
        <v>1205</v>
      </c>
      <c r="C38" s="7" t="s">
        <v>1111</v>
      </c>
      <c r="D38" s="50">
        <v>341.0</v>
      </c>
      <c r="E38" s="50">
        <v>1146.0</v>
      </c>
      <c r="F38" s="7" t="s">
        <v>2478</v>
      </c>
      <c r="G38" s="85">
        <v>41785.0</v>
      </c>
      <c r="H38" s="7" t="s">
        <v>1105</v>
      </c>
      <c r="K38" s="7" t="s">
        <v>2177</v>
      </c>
      <c r="N38" s="7" t="b">
        <v>0</v>
      </c>
      <c r="O38" s="7" t="b">
        <v>0</v>
      </c>
    </row>
    <row r="39">
      <c r="A39" s="7" t="s">
        <v>2098</v>
      </c>
      <c r="B39" s="7" t="s">
        <v>1211</v>
      </c>
      <c r="C39" s="7" t="s">
        <v>1214</v>
      </c>
      <c r="D39" s="50">
        <v>20.0</v>
      </c>
      <c r="E39" s="50">
        <v>10.0</v>
      </c>
      <c r="F39" s="7" t="s">
        <v>2479</v>
      </c>
      <c r="G39" s="85">
        <v>41800.0</v>
      </c>
      <c r="H39" s="7" t="s">
        <v>1215</v>
      </c>
      <c r="K39" s="7" t="s">
        <v>2177</v>
      </c>
      <c r="N39" s="7" t="b">
        <v>0</v>
      </c>
      <c r="O39" s="7" t="b">
        <v>0</v>
      </c>
    </row>
    <row r="40">
      <c r="A40" s="7" t="s">
        <v>2098</v>
      </c>
      <c r="B40" s="7" t="s">
        <v>1216</v>
      </c>
      <c r="C40" s="7" t="s">
        <v>1111</v>
      </c>
      <c r="D40" s="50">
        <v>1974.0</v>
      </c>
      <c r="E40" s="50">
        <v>9989.0</v>
      </c>
      <c r="F40" s="7" t="s">
        <v>2480</v>
      </c>
      <c r="G40" s="85">
        <v>44883.0</v>
      </c>
      <c r="H40" s="7" t="s">
        <v>1105</v>
      </c>
      <c r="K40" s="7" t="s">
        <v>2177</v>
      </c>
      <c r="N40" s="7" t="b">
        <v>0</v>
      </c>
      <c r="O40" s="7" t="b">
        <v>0</v>
      </c>
    </row>
    <row r="41">
      <c r="A41" s="7" t="s">
        <v>2098</v>
      </c>
      <c r="B41" s="7" t="s">
        <v>1219</v>
      </c>
      <c r="C41" s="7" t="s">
        <v>1220</v>
      </c>
      <c r="D41" s="50">
        <v>2.0</v>
      </c>
      <c r="E41" s="50">
        <v>1.0</v>
      </c>
      <c r="F41" s="7" t="s">
        <v>2481</v>
      </c>
      <c r="G41" s="7" t="s">
        <v>1053</v>
      </c>
      <c r="H41" s="7" t="s">
        <v>1105</v>
      </c>
      <c r="K41" s="7" t="s">
        <v>2177</v>
      </c>
      <c r="N41" s="7" t="b">
        <v>0</v>
      </c>
      <c r="O41" s="7" t="b">
        <v>0</v>
      </c>
    </row>
    <row r="42">
      <c r="A42" s="7" t="s">
        <v>2098</v>
      </c>
      <c r="B42" s="7" t="s">
        <v>1219</v>
      </c>
      <c r="C42" s="7" t="s">
        <v>1139</v>
      </c>
      <c r="D42" s="50">
        <v>43735.0</v>
      </c>
      <c r="E42" s="50">
        <v>414981.0</v>
      </c>
      <c r="F42" s="7" t="s">
        <v>2482</v>
      </c>
      <c r="G42" s="85">
        <v>45364.0</v>
      </c>
      <c r="H42" s="7" t="s">
        <v>1105</v>
      </c>
      <c r="K42" s="7" t="s">
        <v>2184</v>
      </c>
      <c r="N42" s="7" t="b">
        <v>0</v>
      </c>
      <c r="O42" s="7" t="b">
        <v>0</v>
      </c>
    </row>
    <row r="43">
      <c r="A43" s="7" t="s">
        <v>2098</v>
      </c>
      <c r="B43" s="7" t="s">
        <v>1219</v>
      </c>
      <c r="C43" s="7" t="s">
        <v>1221</v>
      </c>
      <c r="D43" s="50">
        <v>33922.0</v>
      </c>
      <c r="E43" s="50">
        <v>150423.0</v>
      </c>
      <c r="F43" s="7" t="s">
        <v>2483</v>
      </c>
      <c r="G43" s="85">
        <v>45105.0</v>
      </c>
      <c r="H43" s="7" t="s">
        <v>1105</v>
      </c>
      <c r="K43" s="7" t="s">
        <v>2184</v>
      </c>
      <c r="N43" s="7" t="b">
        <v>0</v>
      </c>
      <c r="O43" s="7" t="b">
        <v>0</v>
      </c>
    </row>
    <row r="44">
      <c r="A44" s="7" t="s">
        <v>2098</v>
      </c>
      <c r="B44" s="7" t="s">
        <v>1252</v>
      </c>
      <c r="C44" s="7" t="s">
        <v>1111</v>
      </c>
      <c r="D44" s="50">
        <v>13.0</v>
      </c>
      <c r="E44" s="50">
        <v>115.0</v>
      </c>
      <c r="F44" s="7" t="s">
        <v>2484</v>
      </c>
      <c r="G44" s="85">
        <v>41521.0</v>
      </c>
      <c r="H44" s="7" t="s">
        <v>1105</v>
      </c>
      <c r="K44" s="7" t="s">
        <v>2177</v>
      </c>
      <c r="N44" s="7" t="b">
        <v>0</v>
      </c>
      <c r="O44" s="7" t="b">
        <v>0</v>
      </c>
    </row>
    <row r="45">
      <c r="A45" s="7" t="s">
        <v>2098</v>
      </c>
      <c r="B45" s="7" t="s">
        <v>1213</v>
      </c>
      <c r="C45" s="7" t="s">
        <v>1104</v>
      </c>
      <c r="D45" s="50">
        <v>6403.0</v>
      </c>
      <c r="E45" s="50">
        <v>42443.0</v>
      </c>
      <c r="F45" s="7" t="s">
        <v>2485</v>
      </c>
      <c r="G45" s="85">
        <v>44670.0</v>
      </c>
      <c r="H45" s="7" t="s">
        <v>1105</v>
      </c>
      <c r="K45" s="7" t="s">
        <v>2177</v>
      </c>
      <c r="N45" s="7" t="b">
        <v>0</v>
      </c>
      <c r="O45" s="7" t="b">
        <v>0</v>
      </c>
    </row>
    <row r="46">
      <c r="A46" s="7" t="s">
        <v>2098</v>
      </c>
      <c r="B46" s="7" t="s">
        <v>1264</v>
      </c>
      <c r="C46" s="7" t="s">
        <v>1134</v>
      </c>
      <c r="D46" s="50">
        <v>47.0</v>
      </c>
      <c r="E46" s="50">
        <v>3.0</v>
      </c>
      <c r="F46" s="7" t="s">
        <v>2486</v>
      </c>
      <c r="G46" s="7" t="s">
        <v>1053</v>
      </c>
      <c r="H46" s="7" t="s">
        <v>1069</v>
      </c>
      <c r="K46" s="7" t="s">
        <v>2177</v>
      </c>
      <c r="N46" s="7" t="b">
        <v>0</v>
      </c>
      <c r="O46" s="7" t="b">
        <v>0</v>
      </c>
    </row>
    <row r="47">
      <c r="A47" s="7" t="s">
        <v>2098</v>
      </c>
      <c r="B47" s="7" t="s">
        <v>1264</v>
      </c>
      <c r="C47" s="7" t="s">
        <v>1266</v>
      </c>
      <c r="D47" s="50">
        <v>34.0</v>
      </c>
      <c r="E47" s="50">
        <v>3.0</v>
      </c>
      <c r="F47" s="7" t="s">
        <v>2487</v>
      </c>
      <c r="G47" s="7" t="s">
        <v>1053</v>
      </c>
      <c r="H47" s="7" t="s">
        <v>1105</v>
      </c>
      <c r="K47" s="7" t="s">
        <v>2177</v>
      </c>
      <c r="N47" s="7" t="b">
        <v>0</v>
      </c>
      <c r="O47" s="7" t="b">
        <v>0</v>
      </c>
    </row>
    <row r="48">
      <c r="A48" s="7" t="s">
        <v>2098</v>
      </c>
      <c r="B48" s="7" t="s">
        <v>1214</v>
      </c>
      <c r="C48" s="7" t="s">
        <v>1287</v>
      </c>
      <c r="D48" s="50">
        <v>179.0</v>
      </c>
      <c r="E48" s="50">
        <v>1079.0</v>
      </c>
      <c r="F48" s="7" t="s">
        <v>2488</v>
      </c>
      <c r="G48" s="85">
        <v>41610.0</v>
      </c>
      <c r="H48" s="7" t="s">
        <v>1215</v>
      </c>
      <c r="K48" s="7" t="s">
        <v>2177</v>
      </c>
      <c r="N48" s="7" t="b">
        <v>0</v>
      </c>
      <c r="O48" s="7" t="b">
        <v>0</v>
      </c>
    </row>
    <row r="49">
      <c r="A49" s="7" t="s">
        <v>2098</v>
      </c>
      <c r="B49" s="7" t="s">
        <v>1214</v>
      </c>
      <c r="C49" s="7" t="s">
        <v>1104</v>
      </c>
      <c r="D49" s="50">
        <v>2.0</v>
      </c>
      <c r="E49" s="50">
        <v>37.0</v>
      </c>
      <c r="F49" s="7" t="s">
        <v>2489</v>
      </c>
      <c r="G49" s="85">
        <v>41479.0</v>
      </c>
      <c r="H49" s="7" t="s">
        <v>1105</v>
      </c>
      <c r="K49" s="7" t="s">
        <v>2177</v>
      </c>
      <c r="N49" s="7" t="b">
        <v>0</v>
      </c>
      <c r="O49" s="7" t="b">
        <v>0</v>
      </c>
    </row>
    <row r="50">
      <c r="A50" s="7" t="s">
        <v>2098</v>
      </c>
      <c r="B50" s="7" t="s">
        <v>1295</v>
      </c>
      <c r="C50" s="7" t="s">
        <v>1296</v>
      </c>
      <c r="D50" s="7" t="e">
        <v>#N/A</v>
      </c>
      <c r="E50" s="7" t="e">
        <v>#N/A</v>
      </c>
      <c r="F50" s="7" t="s">
        <v>1053</v>
      </c>
      <c r="G50" s="7" t="s">
        <v>1053</v>
      </c>
      <c r="H50" s="7" t="s">
        <v>1105</v>
      </c>
      <c r="K50" s="7" t="s">
        <v>2177</v>
      </c>
      <c r="N50" s="7" t="b">
        <v>0</v>
      </c>
      <c r="O50" s="7" t="b">
        <v>0</v>
      </c>
    </row>
    <row r="51">
      <c r="A51" s="7" t="s">
        <v>2098</v>
      </c>
      <c r="B51" s="7" t="s">
        <v>1054</v>
      </c>
      <c r="C51" s="7" t="s">
        <v>1111</v>
      </c>
      <c r="D51" s="50">
        <v>379.0</v>
      </c>
      <c r="E51" s="50">
        <v>405.0</v>
      </c>
      <c r="F51" s="7" t="s">
        <v>2490</v>
      </c>
      <c r="G51" s="85">
        <v>44014.0</v>
      </c>
      <c r="H51" s="7" t="s">
        <v>1105</v>
      </c>
      <c r="K51" s="7" t="s">
        <v>2177</v>
      </c>
      <c r="N51" s="7" t="b">
        <v>0</v>
      </c>
      <c r="O51" s="7" t="b">
        <v>0</v>
      </c>
    </row>
    <row r="52">
      <c r="A52" s="7" t="s">
        <v>2098</v>
      </c>
      <c r="B52" s="7" t="s">
        <v>1054</v>
      </c>
      <c r="C52" s="7" t="s">
        <v>1314</v>
      </c>
      <c r="D52" s="50">
        <v>42.0</v>
      </c>
      <c r="E52" s="50">
        <v>73.0</v>
      </c>
      <c r="F52" s="7" t="s">
        <v>2491</v>
      </c>
      <c r="G52" s="85">
        <v>43811.0</v>
      </c>
      <c r="H52" s="7" t="s">
        <v>1105</v>
      </c>
      <c r="K52" s="7" t="s">
        <v>2177</v>
      </c>
      <c r="N52" s="7" t="b">
        <v>0</v>
      </c>
      <c r="O52" s="7" t="b">
        <v>0</v>
      </c>
    </row>
    <row r="53">
      <c r="A53" s="7" t="s">
        <v>2098</v>
      </c>
      <c r="B53" s="7" t="s">
        <v>1065</v>
      </c>
      <c r="C53" s="7" t="s">
        <v>1204</v>
      </c>
      <c r="D53" s="50">
        <v>4979.0</v>
      </c>
      <c r="E53" s="50">
        <v>52650.0</v>
      </c>
      <c r="F53" s="7" t="s">
        <v>2492</v>
      </c>
      <c r="G53" s="85">
        <v>44799.0</v>
      </c>
      <c r="H53" s="7" t="s">
        <v>1105</v>
      </c>
      <c r="K53" s="7" t="s">
        <v>2177</v>
      </c>
      <c r="N53" s="7" t="b">
        <v>0</v>
      </c>
      <c r="O53" s="7" t="b">
        <v>0</v>
      </c>
    </row>
    <row r="54">
      <c r="A54" s="7" t="s">
        <v>2098</v>
      </c>
      <c r="B54" s="7" t="s">
        <v>1071</v>
      </c>
      <c r="C54" s="7" t="s">
        <v>1286</v>
      </c>
      <c r="D54" s="50">
        <v>4.0</v>
      </c>
      <c r="E54" s="50">
        <v>48.0</v>
      </c>
      <c r="F54" s="7" t="s">
        <v>2493</v>
      </c>
      <c r="G54" s="85">
        <v>42044.0</v>
      </c>
      <c r="H54" s="7" t="s">
        <v>1215</v>
      </c>
      <c r="K54" s="7" t="s">
        <v>2177</v>
      </c>
      <c r="N54" s="7" t="b">
        <v>0</v>
      </c>
      <c r="O54" s="7" t="b">
        <v>0</v>
      </c>
    </row>
    <row r="55">
      <c r="A55" s="7" t="s">
        <v>2098</v>
      </c>
      <c r="B55" s="7" t="s">
        <v>1071</v>
      </c>
      <c r="C55" s="7" t="s">
        <v>1289</v>
      </c>
      <c r="D55" s="50">
        <v>13.0</v>
      </c>
      <c r="E55" s="50">
        <v>54.0</v>
      </c>
      <c r="F55" s="7" t="s">
        <v>2494</v>
      </c>
      <c r="G55" s="85">
        <v>43109.0</v>
      </c>
      <c r="H55" s="7" t="s">
        <v>1246</v>
      </c>
      <c r="K55" s="7" t="s">
        <v>2177</v>
      </c>
      <c r="N55" s="7" t="b">
        <v>0</v>
      </c>
      <c r="O55" s="7" t="b">
        <v>0</v>
      </c>
    </row>
    <row r="56">
      <c r="A56" s="7" t="s">
        <v>2098</v>
      </c>
      <c r="B56" s="7" t="s">
        <v>1075</v>
      </c>
      <c r="C56" s="7" t="s">
        <v>1111</v>
      </c>
      <c r="D56" s="50">
        <v>339.0</v>
      </c>
      <c r="E56" s="50">
        <v>1079.0</v>
      </c>
      <c r="F56" s="7" t="s">
        <v>2495</v>
      </c>
      <c r="G56" s="85">
        <v>42170.0</v>
      </c>
      <c r="H56" s="7" t="s">
        <v>1105</v>
      </c>
      <c r="K56" s="7" t="s">
        <v>2177</v>
      </c>
      <c r="N56" s="7" t="b">
        <v>0</v>
      </c>
      <c r="O56" s="7" t="b">
        <v>0</v>
      </c>
    </row>
    <row r="57">
      <c r="A57" s="7" t="s">
        <v>2098</v>
      </c>
      <c r="B57" s="7" t="s">
        <v>1082</v>
      </c>
      <c r="C57" s="7" t="s">
        <v>1139</v>
      </c>
      <c r="D57" s="50">
        <v>1416.0</v>
      </c>
      <c r="E57" s="50">
        <v>5563.0</v>
      </c>
      <c r="F57" s="7" t="s">
        <v>2496</v>
      </c>
      <c r="G57" s="85">
        <v>43852.0</v>
      </c>
      <c r="H57" s="7" t="s">
        <v>1105</v>
      </c>
      <c r="K57" s="7" t="s">
        <v>2177</v>
      </c>
      <c r="N57" s="7" t="b">
        <v>0</v>
      </c>
      <c r="O57" s="7" t="b">
        <v>0</v>
      </c>
    </row>
    <row r="58">
      <c r="A58" s="7" t="s">
        <v>2098</v>
      </c>
      <c r="B58" s="7" t="s">
        <v>1085</v>
      </c>
      <c r="C58" s="7" t="s">
        <v>1243</v>
      </c>
      <c r="D58" s="50">
        <v>94.0</v>
      </c>
      <c r="E58" s="50">
        <v>387.0</v>
      </c>
      <c r="F58" s="7" t="s">
        <v>2497</v>
      </c>
      <c r="G58" s="85">
        <v>43139.0</v>
      </c>
      <c r="H58" s="7" t="s">
        <v>1105</v>
      </c>
      <c r="K58" s="7" t="s">
        <v>2177</v>
      </c>
      <c r="N58" s="7" t="b">
        <v>0</v>
      </c>
      <c r="O58" s="7" t="b">
        <v>0</v>
      </c>
    </row>
    <row r="59">
      <c r="A59" s="7" t="s">
        <v>2098</v>
      </c>
      <c r="B59" s="7" t="s">
        <v>1085</v>
      </c>
      <c r="C59" s="7" t="s">
        <v>1111</v>
      </c>
      <c r="D59" s="50">
        <v>1055.0</v>
      </c>
      <c r="E59" s="50">
        <v>4443.0</v>
      </c>
      <c r="F59" s="7" t="s">
        <v>2498</v>
      </c>
      <c r="G59" s="85">
        <v>43935.0</v>
      </c>
      <c r="H59" s="7" t="s">
        <v>1105</v>
      </c>
      <c r="K59" s="7" t="s">
        <v>2177</v>
      </c>
      <c r="N59" s="7" t="b">
        <v>0</v>
      </c>
      <c r="O59" s="7" t="b">
        <v>0</v>
      </c>
    </row>
    <row r="60">
      <c r="A60" s="7" t="s">
        <v>2098</v>
      </c>
      <c r="B60" s="7" t="s">
        <v>1090</v>
      </c>
      <c r="C60" s="7" t="s">
        <v>1111</v>
      </c>
      <c r="D60" s="50">
        <v>6.0</v>
      </c>
      <c r="E60" s="50">
        <v>8.0</v>
      </c>
      <c r="F60" s="7" t="s">
        <v>2499</v>
      </c>
      <c r="G60" s="85">
        <v>42629.0</v>
      </c>
      <c r="H60" s="7" t="s">
        <v>1105</v>
      </c>
      <c r="K60" s="7" t="s">
        <v>2177</v>
      </c>
      <c r="N60" s="7" t="b">
        <v>0</v>
      </c>
      <c r="O60" s="7" t="b">
        <v>0</v>
      </c>
    </row>
    <row r="61">
      <c r="A61" s="7" t="s">
        <v>2098</v>
      </c>
      <c r="B61" s="7" t="s">
        <v>1093</v>
      </c>
      <c r="C61" s="7" t="s">
        <v>1108</v>
      </c>
      <c r="D61" s="50">
        <v>996.0</v>
      </c>
      <c r="E61" s="50">
        <v>10517.0</v>
      </c>
      <c r="F61" s="7" t="s">
        <v>2500</v>
      </c>
      <c r="G61" s="85">
        <v>41789.0</v>
      </c>
      <c r="H61" s="7" t="s">
        <v>1354</v>
      </c>
      <c r="K61" s="7" t="s">
        <v>2177</v>
      </c>
      <c r="N61" s="7" t="b">
        <v>0</v>
      </c>
      <c r="O61" s="7" t="b">
        <v>0</v>
      </c>
    </row>
    <row r="62">
      <c r="A62" s="7" t="s">
        <v>2098</v>
      </c>
      <c r="B62" s="7" t="s">
        <v>1096</v>
      </c>
      <c r="C62" s="7" t="s">
        <v>1111</v>
      </c>
      <c r="D62" s="50">
        <v>17.0</v>
      </c>
      <c r="E62" s="50">
        <v>8.0</v>
      </c>
      <c r="F62" s="7" t="s">
        <v>2501</v>
      </c>
      <c r="G62" s="85">
        <v>44049.0</v>
      </c>
      <c r="H62" s="7" t="s">
        <v>1105</v>
      </c>
      <c r="K62" s="7" t="s">
        <v>2177</v>
      </c>
      <c r="N62" s="7" t="b">
        <v>0</v>
      </c>
      <c r="O62" s="7" t="b">
        <v>0</v>
      </c>
    </row>
    <row r="63">
      <c r="A63" s="7" t="s">
        <v>2100</v>
      </c>
      <c r="B63" s="7" t="s">
        <v>1131</v>
      </c>
      <c r="C63" s="7" t="s">
        <v>1132</v>
      </c>
      <c r="D63" s="50">
        <v>275.0</v>
      </c>
      <c r="E63" s="50">
        <v>909.0</v>
      </c>
      <c r="F63" s="7" t="s">
        <v>2502</v>
      </c>
      <c r="G63" s="85">
        <v>41989.0</v>
      </c>
      <c r="H63" s="7" t="s">
        <v>717</v>
      </c>
      <c r="K63" s="7" t="s">
        <v>2177</v>
      </c>
      <c r="N63" s="7" t="b">
        <v>0</v>
      </c>
      <c r="O63" s="7" t="b">
        <v>0</v>
      </c>
    </row>
    <row r="64">
      <c r="A64" s="7" t="s">
        <v>2100</v>
      </c>
      <c r="B64" s="7" t="s">
        <v>1131</v>
      </c>
      <c r="C64" s="7" t="s">
        <v>1133</v>
      </c>
      <c r="D64" s="50">
        <v>3844.0</v>
      </c>
      <c r="E64" s="50">
        <v>91526.0</v>
      </c>
      <c r="F64" s="7" t="s">
        <v>2503</v>
      </c>
      <c r="G64" s="85">
        <v>45845.0</v>
      </c>
      <c r="H64" s="7" t="s">
        <v>717</v>
      </c>
      <c r="K64" s="7" t="s">
        <v>2184</v>
      </c>
      <c r="N64" s="7" t="b">
        <v>0</v>
      </c>
      <c r="O64" s="7" t="b">
        <v>0</v>
      </c>
    </row>
    <row r="65">
      <c r="A65" s="7" t="s">
        <v>2100</v>
      </c>
      <c r="B65" s="7" t="s">
        <v>1131</v>
      </c>
      <c r="C65" s="7" t="s">
        <v>1134</v>
      </c>
      <c r="D65" s="50">
        <v>58.0</v>
      </c>
      <c r="E65" s="50">
        <v>103.0</v>
      </c>
      <c r="F65" s="7" t="s">
        <v>2504</v>
      </c>
      <c r="G65" s="85">
        <v>42339.0</v>
      </c>
      <c r="H65" s="7" t="s">
        <v>717</v>
      </c>
      <c r="K65" s="7" t="s">
        <v>2177</v>
      </c>
      <c r="N65" s="7" t="b">
        <v>0</v>
      </c>
      <c r="O65" s="7" t="b">
        <v>0</v>
      </c>
    </row>
    <row r="66">
      <c r="A66" s="7" t="s">
        <v>2100</v>
      </c>
      <c r="B66" s="7" t="s">
        <v>1131</v>
      </c>
      <c r="C66" s="7" t="s">
        <v>1135</v>
      </c>
      <c r="D66" s="50">
        <v>447.0</v>
      </c>
      <c r="E66" s="50">
        <v>4523.0</v>
      </c>
      <c r="F66" s="7" t="s">
        <v>2505</v>
      </c>
      <c r="G66" s="85">
        <v>42836.0</v>
      </c>
      <c r="H66" s="7" t="s">
        <v>717</v>
      </c>
      <c r="K66" s="7" t="s">
        <v>2177</v>
      </c>
      <c r="N66" s="7" t="b">
        <v>0</v>
      </c>
      <c r="O66" s="7" t="b">
        <v>0</v>
      </c>
    </row>
    <row r="67">
      <c r="A67" s="7" t="s">
        <v>2100</v>
      </c>
      <c r="B67" s="7" t="s">
        <v>1131</v>
      </c>
      <c r="C67" s="7" t="s">
        <v>1136</v>
      </c>
      <c r="D67" s="50">
        <v>1626.0</v>
      </c>
      <c r="E67" s="50">
        <v>10752.0</v>
      </c>
      <c r="F67" s="7" t="s">
        <v>2506</v>
      </c>
      <c r="G67" s="85">
        <v>42389.0</v>
      </c>
      <c r="H67" s="7" t="s">
        <v>717</v>
      </c>
      <c r="K67" s="7" t="s">
        <v>2177</v>
      </c>
      <c r="N67" s="7" t="b">
        <v>0</v>
      </c>
      <c r="O67" s="7" t="b">
        <v>0</v>
      </c>
    </row>
    <row r="68">
      <c r="A68" s="7" t="s">
        <v>2100</v>
      </c>
      <c r="B68" s="7" t="s">
        <v>1131</v>
      </c>
      <c r="C68" s="7" t="s">
        <v>1137</v>
      </c>
      <c r="D68" s="50">
        <v>59696.0</v>
      </c>
      <c r="E68" s="50">
        <v>263909.0</v>
      </c>
      <c r="F68" s="7" t="s">
        <v>2507</v>
      </c>
      <c r="G68" s="85">
        <v>44715.0</v>
      </c>
      <c r="H68" s="7" t="s">
        <v>717</v>
      </c>
      <c r="K68" s="7" t="s">
        <v>2177</v>
      </c>
      <c r="N68" s="7" t="b">
        <v>0</v>
      </c>
      <c r="O68" s="7" t="b">
        <v>0</v>
      </c>
    </row>
    <row r="69">
      <c r="A69" s="7" t="s">
        <v>2100</v>
      </c>
      <c r="B69" s="7" t="s">
        <v>1166</v>
      </c>
      <c r="C69" s="7" t="s">
        <v>1170</v>
      </c>
      <c r="D69" s="50">
        <v>44.0</v>
      </c>
      <c r="E69" s="50">
        <v>12.0</v>
      </c>
      <c r="F69" s="7" t="s">
        <v>2508</v>
      </c>
      <c r="G69" s="85">
        <v>44635.0</v>
      </c>
      <c r="H69" s="7" t="s">
        <v>717</v>
      </c>
      <c r="K69" s="7" t="s">
        <v>2177</v>
      </c>
      <c r="N69" s="7" t="b">
        <v>0</v>
      </c>
      <c r="O69" s="7" t="b">
        <v>0</v>
      </c>
    </row>
    <row r="70">
      <c r="A70" s="7" t="s">
        <v>2100</v>
      </c>
      <c r="B70" s="7" t="s">
        <v>1166</v>
      </c>
      <c r="C70" s="7" t="s">
        <v>1171</v>
      </c>
      <c r="D70" s="50">
        <v>73077.0</v>
      </c>
      <c r="E70" s="50">
        <v>374524.0</v>
      </c>
      <c r="F70" s="7" t="s">
        <v>2509</v>
      </c>
      <c r="G70" s="85">
        <v>44715.0</v>
      </c>
      <c r="H70" s="7" t="s">
        <v>717</v>
      </c>
      <c r="K70" s="7" t="s">
        <v>2177</v>
      </c>
      <c r="N70" s="7" t="b">
        <v>0</v>
      </c>
      <c r="O70" s="7" t="b">
        <v>0</v>
      </c>
    </row>
    <row r="71">
      <c r="A71" s="7" t="s">
        <v>2100</v>
      </c>
      <c r="B71" s="7" t="s">
        <v>1166</v>
      </c>
      <c r="C71" s="7" t="s">
        <v>1068</v>
      </c>
      <c r="D71" s="50">
        <v>16577.0</v>
      </c>
      <c r="E71" s="50">
        <v>215180.0</v>
      </c>
      <c r="F71" s="7" t="s">
        <v>2510</v>
      </c>
      <c r="G71" s="85">
        <v>44328.0</v>
      </c>
      <c r="H71" s="7" t="s">
        <v>717</v>
      </c>
      <c r="K71" s="7" t="s">
        <v>2177</v>
      </c>
      <c r="N71" s="7" t="b">
        <v>0</v>
      </c>
      <c r="O71" s="7" t="b">
        <v>0</v>
      </c>
    </row>
    <row r="72">
      <c r="A72" s="7" t="s">
        <v>2100</v>
      </c>
      <c r="B72" s="7" t="s">
        <v>1166</v>
      </c>
      <c r="C72" s="7" t="s">
        <v>1081</v>
      </c>
      <c r="D72" s="50">
        <v>8997.0</v>
      </c>
      <c r="E72" s="50">
        <v>106583.0</v>
      </c>
      <c r="F72" s="7" t="s">
        <v>2511</v>
      </c>
      <c r="G72" s="85">
        <v>44106.0</v>
      </c>
      <c r="H72" s="7" t="s">
        <v>717</v>
      </c>
      <c r="K72" s="7" t="s">
        <v>2177</v>
      </c>
      <c r="N72" s="7" t="b">
        <v>0</v>
      </c>
      <c r="O72" s="7" t="b">
        <v>0</v>
      </c>
    </row>
    <row r="73">
      <c r="A73" s="7" t="s">
        <v>2100</v>
      </c>
      <c r="B73" s="7" t="s">
        <v>1166</v>
      </c>
      <c r="C73" s="7" t="s">
        <v>1161</v>
      </c>
      <c r="D73" s="50">
        <v>251.0</v>
      </c>
      <c r="E73" s="50">
        <v>1428.0</v>
      </c>
      <c r="F73" s="7" t="s">
        <v>2512</v>
      </c>
      <c r="G73" s="85">
        <v>45567.0</v>
      </c>
      <c r="H73" s="7" t="s">
        <v>717</v>
      </c>
      <c r="K73" s="7" t="s">
        <v>2184</v>
      </c>
      <c r="N73" s="7" t="b">
        <v>0</v>
      </c>
      <c r="O73" s="7" t="b">
        <v>0</v>
      </c>
    </row>
    <row r="74">
      <c r="A74" s="7" t="s">
        <v>2100</v>
      </c>
      <c r="B74" s="7" t="s">
        <v>1216</v>
      </c>
      <c r="C74" s="7" t="s">
        <v>1217</v>
      </c>
      <c r="D74" s="50">
        <v>654.0</v>
      </c>
      <c r="E74" s="50">
        <v>11265.0</v>
      </c>
      <c r="F74" s="7" t="s">
        <v>2513</v>
      </c>
      <c r="G74" s="85">
        <v>42410.0</v>
      </c>
      <c r="H74" s="7" t="s">
        <v>717</v>
      </c>
      <c r="K74" s="7" t="s">
        <v>2177</v>
      </c>
      <c r="N74" s="7" t="b">
        <v>0</v>
      </c>
      <c r="O74" s="7" t="b">
        <v>0</v>
      </c>
    </row>
    <row r="75">
      <c r="A75" s="7" t="s">
        <v>2100</v>
      </c>
      <c r="B75" s="7" t="s">
        <v>1264</v>
      </c>
      <c r="C75" s="7" t="s">
        <v>1170</v>
      </c>
      <c r="D75" s="50">
        <v>111.0</v>
      </c>
      <c r="E75" s="50">
        <v>6.0</v>
      </c>
      <c r="F75" s="7" t="s">
        <v>2514</v>
      </c>
      <c r="G75" s="85">
        <v>44434.0</v>
      </c>
      <c r="H75" s="7" t="s">
        <v>717</v>
      </c>
      <c r="K75" s="7" t="s">
        <v>2177</v>
      </c>
      <c r="N75" s="7" t="b">
        <v>0</v>
      </c>
      <c r="O75" s="7" t="b">
        <v>0</v>
      </c>
    </row>
    <row r="76">
      <c r="A76" s="7" t="s">
        <v>2100</v>
      </c>
      <c r="B76" s="7" t="s">
        <v>1264</v>
      </c>
      <c r="C76" s="7" t="s">
        <v>1187</v>
      </c>
      <c r="D76" s="50">
        <v>61.0</v>
      </c>
      <c r="E76" s="50">
        <v>514.0</v>
      </c>
      <c r="F76" s="7" t="s">
        <v>2515</v>
      </c>
      <c r="G76" s="85">
        <v>42902.0</v>
      </c>
      <c r="H76" s="7" t="s">
        <v>717</v>
      </c>
      <c r="K76" s="7" t="s">
        <v>2177</v>
      </c>
      <c r="N76" s="7" t="b">
        <v>0</v>
      </c>
      <c r="O76" s="7" t="b">
        <v>0</v>
      </c>
    </row>
    <row r="77">
      <c r="A77" s="7" t="s">
        <v>2100</v>
      </c>
      <c r="B77" s="7" t="s">
        <v>1264</v>
      </c>
      <c r="C77" s="7" t="s">
        <v>1081</v>
      </c>
      <c r="D77" s="50">
        <v>2331.0</v>
      </c>
      <c r="E77" s="50">
        <v>11946.0</v>
      </c>
      <c r="F77" s="7" t="s">
        <v>2516</v>
      </c>
      <c r="G77" s="85">
        <v>43312.0</v>
      </c>
      <c r="H77" s="7" t="s">
        <v>717</v>
      </c>
      <c r="K77" s="7" t="s">
        <v>2177</v>
      </c>
      <c r="N77" s="7" t="b">
        <v>0</v>
      </c>
      <c r="O77" s="7" t="b">
        <v>0</v>
      </c>
    </row>
    <row r="78">
      <c r="A78" s="7" t="s">
        <v>2100</v>
      </c>
      <c r="B78" s="7" t="s">
        <v>1264</v>
      </c>
      <c r="C78" s="7" t="s">
        <v>1267</v>
      </c>
      <c r="D78" s="50">
        <v>5782.0</v>
      </c>
      <c r="E78" s="50">
        <v>97346.0</v>
      </c>
      <c r="F78" s="7" t="s">
        <v>2517</v>
      </c>
      <c r="G78" s="85">
        <v>44060.0</v>
      </c>
      <c r="H78" s="7" t="s">
        <v>717</v>
      </c>
      <c r="K78" s="7" t="s">
        <v>2177</v>
      </c>
      <c r="N78" s="7" t="b">
        <v>0</v>
      </c>
      <c r="O78" s="7" t="b">
        <v>0</v>
      </c>
    </row>
    <row r="79">
      <c r="A79" s="7" t="s">
        <v>2100</v>
      </c>
      <c r="B79" s="7" t="s">
        <v>1264</v>
      </c>
      <c r="C79" s="7" t="s">
        <v>1161</v>
      </c>
      <c r="D79" s="50">
        <v>428.0</v>
      </c>
      <c r="E79" s="50">
        <v>1449.0</v>
      </c>
      <c r="F79" s="7" t="s">
        <v>2518</v>
      </c>
      <c r="G79" s="85">
        <v>43446.0</v>
      </c>
      <c r="H79" s="7" t="s">
        <v>717</v>
      </c>
      <c r="K79" s="7" t="s">
        <v>2177</v>
      </c>
      <c r="N79" s="7" t="b">
        <v>0</v>
      </c>
      <c r="O79" s="7" t="b">
        <v>0</v>
      </c>
    </row>
    <row r="80">
      <c r="A80" s="7" t="s">
        <v>2100</v>
      </c>
      <c r="B80" s="7" t="s">
        <v>1054</v>
      </c>
      <c r="C80" s="7" t="s">
        <v>1278</v>
      </c>
      <c r="D80" s="50">
        <v>241.0</v>
      </c>
      <c r="E80" s="50">
        <v>670.0</v>
      </c>
      <c r="F80" s="7" t="s">
        <v>2519</v>
      </c>
      <c r="G80" s="85">
        <v>43943.0</v>
      </c>
      <c r="H80" s="7" t="s">
        <v>717</v>
      </c>
      <c r="K80" s="7" t="s">
        <v>2177</v>
      </c>
      <c r="N80" s="7" t="b">
        <v>0</v>
      </c>
      <c r="O80" s="7" t="b">
        <v>0</v>
      </c>
    </row>
    <row r="81">
      <c r="A81" s="7" t="s">
        <v>2100</v>
      </c>
      <c r="B81" s="7" t="s">
        <v>1054</v>
      </c>
      <c r="C81" s="7" t="s">
        <v>1311</v>
      </c>
      <c r="D81" s="50">
        <v>98.0</v>
      </c>
      <c r="E81" s="50">
        <v>7.0</v>
      </c>
      <c r="F81" s="7" t="s">
        <v>2520</v>
      </c>
      <c r="G81" s="85">
        <v>43732.0</v>
      </c>
      <c r="H81" s="7" t="s">
        <v>717</v>
      </c>
      <c r="K81" s="7" t="s">
        <v>2177</v>
      </c>
      <c r="N81" s="7" t="b">
        <v>0</v>
      </c>
      <c r="O81" s="7" t="b">
        <v>0</v>
      </c>
    </row>
    <row r="82">
      <c r="A82" s="7" t="s">
        <v>2100</v>
      </c>
      <c r="B82" s="7" t="s">
        <v>1054</v>
      </c>
      <c r="C82" s="7" t="s">
        <v>1162</v>
      </c>
      <c r="D82" s="50">
        <v>137343.0</v>
      </c>
      <c r="E82" s="50">
        <v>532575.0</v>
      </c>
      <c r="F82" s="7" t="s">
        <v>2521</v>
      </c>
      <c r="G82" s="85">
        <v>45694.0</v>
      </c>
      <c r="H82" s="7" t="s">
        <v>717</v>
      </c>
      <c r="K82" s="7" t="s">
        <v>2184</v>
      </c>
      <c r="N82" s="7" t="b">
        <v>0</v>
      </c>
      <c r="O82" s="7" t="b">
        <v>0</v>
      </c>
    </row>
    <row r="83">
      <c r="A83" s="7" t="s">
        <v>2100</v>
      </c>
      <c r="B83" s="7" t="s">
        <v>1054</v>
      </c>
      <c r="C83" s="7" t="s">
        <v>1267</v>
      </c>
      <c r="D83" s="50">
        <v>246.0</v>
      </c>
      <c r="E83" s="50">
        <v>1896.0</v>
      </c>
      <c r="F83" s="7" t="s">
        <v>2522</v>
      </c>
      <c r="G83" s="85">
        <v>43853.0</v>
      </c>
      <c r="H83" s="7" t="s">
        <v>717</v>
      </c>
      <c r="K83" s="7" t="s">
        <v>2177</v>
      </c>
      <c r="N83" s="7" t="b">
        <v>0</v>
      </c>
      <c r="O83" s="7" t="b">
        <v>0</v>
      </c>
    </row>
    <row r="84">
      <c r="A84" s="7" t="s">
        <v>2100</v>
      </c>
      <c r="B84" s="7" t="s">
        <v>1054</v>
      </c>
      <c r="C84" s="7" t="s">
        <v>1161</v>
      </c>
      <c r="D84" s="50">
        <v>9963.0</v>
      </c>
      <c r="E84" s="50">
        <v>30679.0</v>
      </c>
      <c r="F84" s="7" t="s">
        <v>2523</v>
      </c>
      <c r="G84" s="85">
        <v>43881.0</v>
      </c>
      <c r="H84" s="7" t="s">
        <v>717</v>
      </c>
      <c r="K84" s="7" t="s">
        <v>2177</v>
      </c>
      <c r="N84" s="7" t="b">
        <v>0</v>
      </c>
      <c r="O84" s="7" t="b">
        <v>0</v>
      </c>
    </row>
    <row r="85">
      <c r="A85" s="7" t="s">
        <v>2100</v>
      </c>
      <c r="B85" s="7" t="s">
        <v>1096</v>
      </c>
      <c r="C85" s="7" t="s">
        <v>1357</v>
      </c>
      <c r="D85" s="50">
        <v>23.0</v>
      </c>
      <c r="E85" s="50">
        <v>5.0</v>
      </c>
      <c r="F85" s="7" t="s">
        <v>2524</v>
      </c>
      <c r="G85" s="85">
        <v>43663.0</v>
      </c>
      <c r="H85" s="7" t="s">
        <v>717</v>
      </c>
      <c r="K85" s="7" t="s">
        <v>2177</v>
      </c>
      <c r="N85" s="7" t="b">
        <v>0</v>
      </c>
      <c r="O85" s="7" t="b">
        <v>0</v>
      </c>
    </row>
    <row r="86">
      <c r="A86" s="7" t="s">
        <v>2100</v>
      </c>
      <c r="B86" s="7" t="s">
        <v>1096</v>
      </c>
      <c r="C86" s="7" t="s">
        <v>1358</v>
      </c>
      <c r="D86" s="50">
        <v>33.0</v>
      </c>
      <c r="E86" s="50">
        <v>2.0</v>
      </c>
      <c r="F86" s="7" t="s">
        <v>2525</v>
      </c>
      <c r="G86" s="85">
        <v>44187.0</v>
      </c>
      <c r="H86" s="7" t="s">
        <v>717</v>
      </c>
      <c r="K86" s="7" t="s">
        <v>2177</v>
      </c>
      <c r="N86" s="7" t="b">
        <v>0</v>
      </c>
      <c r="O86" s="7" t="b">
        <v>0</v>
      </c>
    </row>
    <row r="87">
      <c r="A87" s="7" t="s">
        <v>2100</v>
      </c>
      <c r="B87" s="7" t="s">
        <v>1096</v>
      </c>
      <c r="C87" s="7" t="s">
        <v>1361</v>
      </c>
      <c r="D87" s="50">
        <v>2378.0</v>
      </c>
      <c r="E87" s="50">
        <v>12680.0</v>
      </c>
      <c r="F87" s="7" t="s">
        <v>2526</v>
      </c>
      <c r="G87" s="85">
        <v>44162.0</v>
      </c>
      <c r="H87" s="7" t="s">
        <v>717</v>
      </c>
      <c r="K87" s="7" t="s">
        <v>2177</v>
      </c>
      <c r="N87" s="7" t="b">
        <v>0</v>
      </c>
      <c r="O87" s="7" t="b">
        <v>0</v>
      </c>
    </row>
    <row r="88">
      <c r="A88" s="7" t="s">
        <v>2100</v>
      </c>
      <c r="B88" s="7" t="s">
        <v>1096</v>
      </c>
      <c r="C88" s="7" t="s">
        <v>1137</v>
      </c>
      <c r="D88" s="50">
        <v>6092.0</v>
      </c>
      <c r="E88" s="50">
        <v>90641.0</v>
      </c>
      <c r="F88" s="7" t="s">
        <v>2527</v>
      </c>
      <c r="G88" s="85">
        <v>43844.0</v>
      </c>
      <c r="H88" s="7" t="s">
        <v>717</v>
      </c>
      <c r="K88" s="7" t="s">
        <v>2177</v>
      </c>
      <c r="N88" s="7" t="b">
        <v>0</v>
      </c>
      <c r="O88" s="7" t="b">
        <v>0</v>
      </c>
    </row>
    <row r="89">
      <c r="A89" s="7" t="s">
        <v>2100</v>
      </c>
      <c r="B89" s="7" t="s">
        <v>1096</v>
      </c>
      <c r="C89" s="7" t="s">
        <v>1174</v>
      </c>
      <c r="D89" s="50">
        <v>4245.0</v>
      </c>
      <c r="E89" s="50">
        <v>169814.0</v>
      </c>
      <c r="F89" s="7" t="s">
        <v>2528</v>
      </c>
      <c r="G89" s="85">
        <v>43857.0</v>
      </c>
      <c r="H89" s="7" t="s">
        <v>717</v>
      </c>
      <c r="K89" s="7" t="s">
        <v>2177</v>
      </c>
      <c r="N89" s="7" t="b">
        <v>0</v>
      </c>
      <c r="O89" s="7" t="b">
        <v>0</v>
      </c>
    </row>
    <row r="90">
      <c r="A90" s="7" t="s">
        <v>1947</v>
      </c>
      <c r="B90" s="7" t="s">
        <v>478</v>
      </c>
      <c r="C90" s="7" t="s">
        <v>484</v>
      </c>
      <c r="D90" s="50">
        <v>47.0</v>
      </c>
      <c r="E90" s="50">
        <v>1.0</v>
      </c>
      <c r="F90" s="7" t="s">
        <v>2529</v>
      </c>
      <c r="G90" s="7" t="s">
        <v>1053</v>
      </c>
      <c r="H90" s="7" t="s">
        <v>478</v>
      </c>
      <c r="I90" s="7" t="s">
        <v>484</v>
      </c>
      <c r="K90" s="7" t="s">
        <v>2177</v>
      </c>
      <c r="N90" s="7" t="b">
        <v>0</v>
      </c>
      <c r="O90" s="7" t="b">
        <v>0</v>
      </c>
    </row>
    <row r="91">
      <c r="A91" s="7" t="s">
        <v>1066</v>
      </c>
      <c r="B91" s="7" t="s">
        <v>478</v>
      </c>
      <c r="C91" s="7" t="s">
        <v>1143</v>
      </c>
      <c r="D91" s="50">
        <v>19.0</v>
      </c>
      <c r="E91" s="50">
        <v>26.0</v>
      </c>
      <c r="F91" s="7" t="s">
        <v>2530</v>
      </c>
      <c r="G91" s="85">
        <v>44329.0</v>
      </c>
      <c r="H91" s="7" t="s">
        <v>478</v>
      </c>
      <c r="I91" s="7" t="s">
        <v>1053</v>
      </c>
      <c r="K91" s="7" t="s">
        <v>2177</v>
      </c>
      <c r="N91" s="7" t="b">
        <v>0</v>
      </c>
      <c r="O91" s="7" t="b">
        <v>0</v>
      </c>
    </row>
    <row r="92">
      <c r="A92" s="7" t="s">
        <v>1066</v>
      </c>
      <c r="B92" s="7" t="s">
        <v>478</v>
      </c>
      <c r="C92" s="7" t="s">
        <v>487</v>
      </c>
      <c r="D92" s="50">
        <v>894.0</v>
      </c>
      <c r="E92" s="50">
        <v>5215.0</v>
      </c>
      <c r="F92" s="7" t="s">
        <v>2531</v>
      </c>
      <c r="G92" s="85">
        <v>45846.0</v>
      </c>
      <c r="H92" s="7" t="s">
        <v>478</v>
      </c>
      <c r="I92" s="7" t="s">
        <v>487</v>
      </c>
      <c r="K92" s="7" t="s">
        <v>2184</v>
      </c>
      <c r="N92" s="7" t="b">
        <v>0</v>
      </c>
      <c r="O92" s="7" t="b">
        <v>0</v>
      </c>
    </row>
    <row r="93">
      <c r="A93" s="7" t="s">
        <v>1066</v>
      </c>
      <c r="B93" s="7" t="s">
        <v>478</v>
      </c>
      <c r="C93" s="7" t="s">
        <v>1146</v>
      </c>
      <c r="D93" s="50">
        <v>26.0</v>
      </c>
      <c r="E93" s="50">
        <v>30.0</v>
      </c>
      <c r="F93" s="7" t="s">
        <v>2532</v>
      </c>
      <c r="G93" s="85">
        <v>44834.0</v>
      </c>
      <c r="H93" s="7" t="s">
        <v>478</v>
      </c>
      <c r="I93" s="7" t="s">
        <v>487</v>
      </c>
      <c r="K93" s="7" t="s">
        <v>2177</v>
      </c>
      <c r="N93" s="7" t="b">
        <v>0</v>
      </c>
      <c r="O93" s="7" t="b">
        <v>0</v>
      </c>
    </row>
    <row r="94">
      <c r="A94" s="7" t="s">
        <v>1066</v>
      </c>
      <c r="B94" s="7" t="s">
        <v>478</v>
      </c>
      <c r="C94" s="7" t="s">
        <v>1111</v>
      </c>
      <c r="D94" s="50">
        <v>220.0</v>
      </c>
      <c r="E94" s="50">
        <v>1083.0</v>
      </c>
      <c r="F94" s="7" t="s">
        <v>2533</v>
      </c>
      <c r="G94" s="85">
        <v>45841.0</v>
      </c>
      <c r="H94" s="7" t="s">
        <v>478</v>
      </c>
      <c r="I94" s="7" t="s">
        <v>1053</v>
      </c>
      <c r="K94" s="7" t="s">
        <v>2184</v>
      </c>
      <c r="N94" s="7" t="b">
        <v>0</v>
      </c>
      <c r="O94" s="7" t="b">
        <v>0</v>
      </c>
    </row>
    <row r="95">
      <c r="A95" s="7" t="s">
        <v>1066</v>
      </c>
      <c r="B95" s="7" t="s">
        <v>478</v>
      </c>
      <c r="C95" s="7" t="s">
        <v>1065</v>
      </c>
      <c r="D95" s="50">
        <v>2477.0</v>
      </c>
      <c r="E95" s="50">
        <v>15890.0</v>
      </c>
      <c r="F95" s="7" t="s">
        <v>2534</v>
      </c>
      <c r="G95" s="85">
        <v>43901.0</v>
      </c>
      <c r="H95" s="7" t="s">
        <v>478</v>
      </c>
      <c r="I95" s="7" t="s">
        <v>1053</v>
      </c>
      <c r="K95" s="7" t="s">
        <v>2177</v>
      </c>
      <c r="N95" s="7" t="b">
        <v>0</v>
      </c>
      <c r="O95" s="7" t="b">
        <v>0</v>
      </c>
    </row>
    <row r="96">
      <c r="A96" s="7" t="s">
        <v>1066</v>
      </c>
      <c r="B96" s="7" t="s">
        <v>1205</v>
      </c>
      <c r="C96" s="7" t="s">
        <v>1065</v>
      </c>
      <c r="D96" s="50">
        <v>20265.0</v>
      </c>
      <c r="E96" s="50">
        <v>132289.0</v>
      </c>
      <c r="F96" s="7" t="s">
        <v>2535</v>
      </c>
      <c r="G96" s="85">
        <v>41620.0</v>
      </c>
      <c r="H96" s="7" t="s">
        <v>478</v>
      </c>
      <c r="K96" s="7" t="s">
        <v>2177</v>
      </c>
      <c r="N96" s="7" t="b">
        <v>0</v>
      </c>
      <c r="O96" s="7" t="b">
        <v>0</v>
      </c>
    </row>
    <row r="97">
      <c r="A97" s="7" t="s">
        <v>1066</v>
      </c>
      <c r="B97" s="7" t="s">
        <v>1065</v>
      </c>
      <c r="C97" s="7" t="s">
        <v>1318</v>
      </c>
      <c r="D97" s="50">
        <v>679.0</v>
      </c>
      <c r="E97" s="50">
        <v>6839.0</v>
      </c>
      <c r="F97" s="7" t="s">
        <v>2536</v>
      </c>
      <c r="G97" s="85">
        <v>42751.0</v>
      </c>
      <c r="H97" s="7" t="s">
        <v>478</v>
      </c>
      <c r="K97" s="7" t="s">
        <v>2177</v>
      </c>
      <c r="N97" s="7" t="b">
        <v>0</v>
      </c>
      <c r="O97" s="7" t="b">
        <v>0</v>
      </c>
    </row>
    <row r="98">
      <c r="A98" s="7" t="s">
        <v>1066</v>
      </c>
      <c r="B98" s="7" t="s">
        <v>1065</v>
      </c>
      <c r="C98" s="7" t="s">
        <v>1319</v>
      </c>
      <c r="D98" s="50">
        <v>6021.0</v>
      </c>
      <c r="E98" s="50">
        <v>45116.0</v>
      </c>
      <c r="F98" s="7" t="s">
        <v>2537</v>
      </c>
      <c r="G98" s="85">
        <v>44799.0</v>
      </c>
      <c r="H98" s="7" t="s">
        <v>478</v>
      </c>
      <c r="K98" s="7" t="s">
        <v>2177</v>
      </c>
      <c r="N98" s="7" t="b">
        <v>0</v>
      </c>
      <c r="O98" s="7" t="b">
        <v>0</v>
      </c>
    </row>
    <row r="99">
      <c r="A99" s="7" t="s">
        <v>1066</v>
      </c>
      <c r="B99" s="7" t="s">
        <v>1065</v>
      </c>
      <c r="C99" s="7" t="s">
        <v>1321</v>
      </c>
      <c r="D99" s="50">
        <v>53.0</v>
      </c>
      <c r="E99" s="50">
        <v>29.0</v>
      </c>
      <c r="F99" s="7" t="s">
        <v>2538</v>
      </c>
      <c r="G99" s="85">
        <v>45099.0</v>
      </c>
      <c r="H99" s="7" t="s">
        <v>478</v>
      </c>
      <c r="K99" s="7" t="s">
        <v>2184</v>
      </c>
      <c r="N99" s="7" t="b">
        <v>0</v>
      </c>
      <c r="O99" s="7" t="b">
        <v>0</v>
      </c>
    </row>
    <row r="100">
      <c r="A100" s="7" t="s">
        <v>1066</v>
      </c>
      <c r="B100" s="7" t="s">
        <v>1065</v>
      </c>
      <c r="C100" s="7" t="s">
        <v>444</v>
      </c>
      <c r="D100" s="50">
        <v>4936.0</v>
      </c>
      <c r="E100" s="50">
        <v>27063.0</v>
      </c>
      <c r="F100" s="7" t="s">
        <v>2539</v>
      </c>
      <c r="G100" s="85">
        <v>43558.0</v>
      </c>
      <c r="H100" s="7" t="s">
        <v>478</v>
      </c>
      <c r="K100" s="7" t="s">
        <v>2177</v>
      </c>
      <c r="N100" s="7" t="b">
        <v>0</v>
      </c>
      <c r="O100" s="7" t="b">
        <v>0</v>
      </c>
    </row>
    <row r="101">
      <c r="A101" s="7" t="s">
        <v>1066</v>
      </c>
      <c r="B101" s="7" t="s">
        <v>1065</v>
      </c>
      <c r="C101" s="7" t="s">
        <v>1323</v>
      </c>
      <c r="D101" s="50">
        <v>9066.0</v>
      </c>
      <c r="E101" s="50">
        <v>67691.0</v>
      </c>
      <c r="F101" s="7" t="s">
        <v>2540</v>
      </c>
      <c r="G101" s="85">
        <v>41926.0</v>
      </c>
      <c r="H101" s="7" t="s">
        <v>478</v>
      </c>
      <c r="K101" s="7" t="s">
        <v>2177</v>
      </c>
      <c r="N101" s="7" t="b">
        <v>0</v>
      </c>
      <c r="O101" s="7" t="b">
        <v>0</v>
      </c>
    </row>
    <row r="102">
      <c r="A102" s="7" t="s">
        <v>1066</v>
      </c>
      <c r="B102" s="7" t="s">
        <v>1065</v>
      </c>
      <c r="C102" s="7" t="s">
        <v>1324</v>
      </c>
      <c r="D102" s="50">
        <v>3.0</v>
      </c>
      <c r="E102" s="50">
        <v>1.0</v>
      </c>
      <c r="F102" s="7" t="s">
        <v>2541</v>
      </c>
      <c r="G102" s="7" t="s">
        <v>1053</v>
      </c>
      <c r="H102" s="7" t="s">
        <v>478</v>
      </c>
      <c r="K102" s="7" t="s">
        <v>2177</v>
      </c>
      <c r="N102" s="7" t="b">
        <v>0</v>
      </c>
      <c r="O102" s="7" t="b">
        <v>0</v>
      </c>
    </row>
    <row r="103">
      <c r="A103" s="7" t="s">
        <v>2104</v>
      </c>
      <c r="B103" s="7" t="s">
        <v>478</v>
      </c>
      <c r="C103" s="7" t="s">
        <v>482</v>
      </c>
      <c r="D103" s="50">
        <v>3705.0</v>
      </c>
      <c r="E103" s="50">
        <v>6381.0</v>
      </c>
      <c r="F103" s="7" t="s">
        <v>2542</v>
      </c>
      <c r="G103" s="85">
        <v>45826.0</v>
      </c>
      <c r="H103" s="7" t="s">
        <v>478</v>
      </c>
      <c r="I103" s="7" t="s">
        <v>482</v>
      </c>
      <c r="K103" s="7" t="s">
        <v>2184</v>
      </c>
      <c r="N103" s="7" t="b">
        <v>0</v>
      </c>
      <c r="O103" s="7" t="b">
        <v>0</v>
      </c>
    </row>
    <row r="104">
      <c r="A104" s="7" t="s">
        <v>1523</v>
      </c>
      <c r="B104" s="7" t="s">
        <v>478</v>
      </c>
      <c r="C104" s="7" t="s">
        <v>491</v>
      </c>
      <c r="D104" s="50">
        <v>3512.0</v>
      </c>
      <c r="E104" s="50">
        <v>10523.0</v>
      </c>
      <c r="F104" s="7" t="s">
        <v>2543</v>
      </c>
      <c r="G104" s="85">
        <v>45846.0</v>
      </c>
      <c r="H104" s="7" t="s">
        <v>478</v>
      </c>
      <c r="I104" s="7" t="s">
        <v>491</v>
      </c>
      <c r="K104" s="7" t="s">
        <v>2184</v>
      </c>
      <c r="N104" s="7" t="b">
        <v>0</v>
      </c>
      <c r="O104" s="7" t="b">
        <v>0</v>
      </c>
    </row>
    <row r="105">
      <c r="A105" s="7" t="s">
        <v>2107</v>
      </c>
      <c r="B105" s="7" t="s">
        <v>603</v>
      </c>
      <c r="C105" s="7" t="s">
        <v>97</v>
      </c>
      <c r="D105" s="50">
        <v>14.0</v>
      </c>
      <c r="E105" s="50">
        <v>24.0</v>
      </c>
      <c r="F105" s="7" t="s">
        <v>2544</v>
      </c>
      <c r="G105" s="7" t="s">
        <v>1053</v>
      </c>
      <c r="H105" s="7" t="s">
        <v>603</v>
      </c>
      <c r="I105" s="7" t="s">
        <v>97</v>
      </c>
      <c r="K105" s="7" t="s">
        <v>2177</v>
      </c>
      <c r="N105" s="7" t="b">
        <v>0</v>
      </c>
      <c r="O105" s="7" t="b">
        <v>0</v>
      </c>
    </row>
    <row r="106">
      <c r="A106" s="7" t="s">
        <v>2109</v>
      </c>
      <c r="B106" s="7" t="s">
        <v>432</v>
      </c>
      <c r="C106" s="7" t="s">
        <v>1104</v>
      </c>
      <c r="D106" s="50">
        <v>228.0</v>
      </c>
      <c r="E106" s="50">
        <v>1811.0</v>
      </c>
      <c r="F106" s="7" t="s">
        <v>2545</v>
      </c>
      <c r="G106" s="85">
        <v>41529.0</v>
      </c>
      <c r="H106" s="7" t="s">
        <v>429</v>
      </c>
      <c r="I106" s="7" t="s">
        <v>432</v>
      </c>
      <c r="K106" s="7" t="s">
        <v>2177</v>
      </c>
      <c r="N106" s="7" t="b">
        <v>0</v>
      </c>
      <c r="O106" s="7" t="b">
        <v>0</v>
      </c>
    </row>
    <row r="107">
      <c r="A107" s="7" t="s">
        <v>2109</v>
      </c>
      <c r="B107" s="7" t="s">
        <v>1219</v>
      </c>
      <c r="C107" s="7" t="s">
        <v>432</v>
      </c>
      <c r="D107" s="50">
        <v>343.0</v>
      </c>
      <c r="E107" s="50">
        <v>1725.0</v>
      </c>
      <c r="F107" s="7" t="s">
        <v>2546</v>
      </c>
      <c r="G107" s="85">
        <v>42837.0</v>
      </c>
      <c r="H107" s="7" t="s">
        <v>429</v>
      </c>
      <c r="I107" s="7" t="s">
        <v>432</v>
      </c>
      <c r="K107" s="7" t="s">
        <v>2177</v>
      </c>
      <c r="N107" s="7" t="b">
        <v>0</v>
      </c>
      <c r="O107" s="7" t="b">
        <v>0</v>
      </c>
    </row>
    <row r="108">
      <c r="A108" s="7" t="s">
        <v>2109</v>
      </c>
      <c r="B108" s="7" t="s">
        <v>440</v>
      </c>
      <c r="C108" s="7" t="s">
        <v>432</v>
      </c>
      <c r="D108" s="50">
        <v>8007.0</v>
      </c>
      <c r="E108" s="50">
        <v>38713.0</v>
      </c>
      <c r="F108" s="7" t="s">
        <v>2547</v>
      </c>
      <c r="G108" s="85">
        <v>43711.0</v>
      </c>
      <c r="H108" s="7" t="s">
        <v>440</v>
      </c>
      <c r="I108" s="7" t="s">
        <v>432</v>
      </c>
      <c r="K108" s="7" t="s">
        <v>2177</v>
      </c>
      <c r="N108" s="7" t="b">
        <v>0</v>
      </c>
      <c r="O108" s="7" t="b">
        <v>0</v>
      </c>
    </row>
    <row r="109">
      <c r="A109" s="7" t="s">
        <v>2109</v>
      </c>
      <c r="B109" s="7" t="s">
        <v>1078</v>
      </c>
      <c r="C109" s="7" t="s">
        <v>432</v>
      </c>
      <c r="D109" s="50">
        <v>10.0</v>
      </c>
      <c r="E109" s="50">
        <v>1.0</v>
      </c>
      <c r="F109" s="7" t="s">
        <v>2548</v>
      </c>
      <c r="G109" s="7" t="s">
        <v>1053</v>
      </c>
      <c r="H109" s="7" t="s">
        <v>429</v>
      </c>
      <c r="I109" s="7" t="s">
        <v>432</v>
      </c>
      <c r="K109" s="7" t="s">
        <v>2177</v>
      </c>
      <c r="N109" s="7" t="b">
        <v>0</v>
      </c>
      <c r="O109" s="7" t="b">
        <v>0</v>
      </c>
    </row>
    <row r="110">
      <c r="A110" s="7" t="s">
        <v>2109</v>
      </c>
      <c r="B110" s="7" t="s">
        <v>1078</v>
      </c>
      <c r="C110" s="7" t="s">
        <v>1332</v>
      </c>
      <c r="D110" s="50">
        <v>420.0</v>
      </c>
      <c r="E110" s="50">
        <v>2222.0</v>
      </c>
      <c r="F110" s="7" t="s">
        <v>2549</v>
      </c>
      <c r="G110" s="85">
        <v>42235.0</v>
      </c>
      <c r="H110" s="7" t="s">
        <v>429</v>
      </c>
      <c r="I110" s="7" t="s">
        <v>432</v>
      </c>
      <c r="K110" s="7" t="s">
        <v>2177</v>
      </c>
      <c r="N110" s="7" t="b">
        <v>0</v>
      </c>
      <c r="O110" s="7" t="b">
        <v>0</v>
      </c>
    </row>
    <row r="111">
      <c r="A111" s="7" t="s">
        <v>2111</v>
      </c>
      <c r="B111" s="7" t="s">
        <v>1149</v>
      </c>
      <c r="C111" s="7" t="s">
        <v>1154</v>
      </c>
      <c r="D111" s="50">
        <v>2792.0</v>
      </c>
      <c r="E111" s="50">
        <v>13760.0</v>
      </c>
      <c r="F111" s="7" t="s">
        <v>2550</v>
      </c>
      <c r="G111" s="85">
        <v>43538.0</v>
      </c>
      <c r="H111" s="7" t="s">
        <v>717</v>
      </c>
      <c r="I111" s="7" t="s">
        <v>223</v>
      </c>
      <c r="K111" s="7" t="s">
        <v>2177</v>
      </c>
      <c r="N111" s="7" t="b">
        <v>0</v>
      </c>
      <c r="O111" s="7" t="b">
        <v>0</v>
      </c>
    </row>
    <row r="112">
      <c r="A112" s="7" t="s">
        <v>2111</v>
      </c>
      <c r="B112" s="7" t="s">
        <v>1166</v>
      </c>
      <c r="C112" s="7" t="s">
        <v>286</v>
      </c>
      <c r="D112" s="50">
        <v>73864.0</v>
      </c>
      <c r="E112" s="50">
        <v>464823.0</v>
      </c>
      <c r="F112" s="7" t="s">
        <v>2551</v>
      </c>
      <c r="G112" s="85">
        <v>45835.0</v>
      </c>
      <c r="H112" s="7" t="s">
        <v>281</v>
      </c>
      <c r="I112" s="7" t="s">
        <v>286</v>
      </c>
      <c r="K112" s="7" t="s">
        <v>2184</v>
      </c>
      <c r="N112" s="7" t="b">
        <v>0</v>
      </c>
      <c r="O112" s="7" t="b">
        <v>0</v>
      </c>
    </row>
    <row r="113">
      <c r="A113" s="7" t="s">
        <v>2113</v>
      </c>
      <c r="B113" s="7" t="s">
        <v>693</v>
      </c>
      <c r="C113" s="7" t="s">
        <v>703</v>
      </c>
      <c r="D113" s="50">
        <v>919.0</v>
      </c>
      <c r="E113" s="50">
        <v>10232.0</v>
      </c>
      <c r="F113" s="7" t="s">
        <v>2552</v>
      </c>
      <c r="G113" s="85">
        <v>45804.0</v>
      </c>
      <c r="H113" s="7" t="s">
        <v>192</v>
      </c>
      <c r="I113" s="7" t="s">
        <v>202</v>
      </c>
      <c r="K113" s="7" t="s">
        <v>2184</v>
      </c>
      <c r="N113" s="7" t="b">
        <v>0</v>
      </c>
      <c r="O113" s="7" t="b">
        <v>0</v>
      </c>
    </row>
    <row r="114">
      <c r="A114" s="7" t="s">
        <v>1674</v>
      </c>
      <c r="B114" s="7" t="s">
        <v>693</v>
      </c>
      <c r="C114" s="7" t="s">
        <v>701</v>
      </c>
      <c r="D114" s="50">
        <v>29.0</v>
      </c>
      <c r="E114" s="50">
        <v>8.0</v>
      </c>
      <c r="F114" s="7" t="s">
        <v>2553</v>
      </c>
      <c r="G114" s="85">
        <v>45448.0</v>
      </c>
      <c r="H114" s="7" t="s">
        <v>192</v>
      </c>
      <c r="I114" s="7" t="s">
        <v>200</v>
      </c>
      <c r="K114" s="7" t="s">
        <v>2184</v>
      </c>
      <c r="N114" s="7" t="b">
        <v>0</v>
      </c>
      <c r="O114" s="7" t="b">
        <v>0</v>
      </c>
    </row>
    <row r="115">
      <c r="A115" s="7" t="s">
        <v>2116</v>
      </c>
      <c r="B115" s="7" t="s">
        <v>1166</v>
      </c>
      <c r="C115" s="7" t="s">
        <v>1135</v>
      </c>
      <c r="D115" s="50">
        <v>3134.0</v>
      </c>
      <c r="E115" s="50">
        <v>10851.0</v>
      </c>
      <c r="F115" s="7" t="s">
        <v>2554</v>
      </c>
      <c r="G115" s="85">
        <v>43074.0</v>
      </c>
      <c r="H115" s="7" t="s">
        <v>391</v>
      </c>
      <c r="K115" s="7" t="s">
        <v>2177</v>
      </c>
      <c r="N115" s="7" t="b">
        <v>0</v>
      </c>
      <c r="O115" s="7" t="b">
        <v>0</v>
      </c>
    </row>
    <row r="116">
      <c r="A116" s="7" t="s">
        <v>2116</v>
      </c>
      <c r="B116" s="7" t="s">
        <v>1166</v>
      </c>
      <c r="C116" s="7" t="s">
        <v>1175</v>
      </c>
      <c r="D116" s="50">
        <v>27.0</v>
      </c>
      <c r="E116" s="50">
        <v>20.0</v>
      </c>
      <c r="F116" s="7" t="s">
        <v>2555</v>
      </c>
      <c r="G116" s="85">
        <v>42636.0</v>
      </c>
      <c r="H116" s="7" t="s">
        <v>391</v>
      </c>
      <c r="K116" s="7" t="s">
        <v>2177</v>
      </c>
      <c r="N116" s="7" t="b">
        <v>0</v>
      </c>
      <c r="O116" s="7" t="b">
        <v>0</v>
      </c>
    </row>
    <row r="117">
      <c r="A117" s="7" t="s">
        <v>2116</v>
      </c>
      <c r="B117" s="7" t="s">
        <v>1205</v>
      </c>
      <c r="C117" s="7" t="s">
        <v>1206</v>
      </c>
      <c r="D117" s="50">
        <v>8258.0</v>
      </c>
      <c r="E117" s="50">
        <v>60196.0</v>
      </c>
      <c r="F117" s="7" t="s">
        <v>2556</v>
      </c>
      <c r="G117" s="85">
        <v>42655.0</v>
      </c>
      <c r="H117" s="7" t="s">
        <v>391</v>
      </c>
      <c r="K117" s="7" t="s">
        <v>2177</v>
      </c>
      <c r="N117" s="7" t="b">
        <v>0</v>
      </c>
      <c r="O117" s="7" t="b">
        <v>0</v>
      </c>
    </row>
    <row r="118">
      <c r="A118" s="7" t="s">
        <v>2116</v>
      </c>
      <c r="B118" s="7" t="s">
        <v>1205</v>
      </c>
      <c r="C118" s="7" t="s">
        <v>1207</v>
      </c>
      <c r="D118" s="50">
        <v>3118.0</v>
      </c>
      <c r="E118" s="50">
        <v>34642.0</v>
      </c>
      <c r="F118" s="7" t="s">
        <v>2557</v>
      </c>
      <c r="G118" s="85">
        <v>42989.0</v>
      </c>
      <c r="H118" s="7" t="s">
        <v>391</v>
      </c>
      <c r="K118" s="7" t="s">
        <v>2177</v>
      </c>
      <c r="N118" s="7" t="b">
        <v>0</v>
      </c>
      <c r="O118" s="7" t="b">
        <v>0</v>
      </c>
    </row>
    <row r="119">
      <c r="A119" s="7" t="s">
        <v>2116</v>
      </c>
      <c r="B119" s="7" t="s">
        <v>1211</v>
      </c>
      <c r="C119" s="7" t="s">
        <v>1212</v>
      </c>
      <c r="D119" s="50">
        <v>1421.0</v>
      </c>
      <c r="E119" s="50">
        <v>8581.0</v>
      </c>
      <c r="F119" s="7" t="s">
        <v>2558</v>
      </c>
      <c r="G119" s="85">
        <v>42095.0</v>
      </c>
      <c r="H119" s="7" t="s">
        <v>391</v>
      </c>
      <c r="K119" s="7" t="s">
        <v>2177</v>
      </c>
      <c r="N119" s="7" t="b">
        <v>0</v>
      </c>
      <c r="O119" s="7" t="b">
        <v>0</v>
      </c>
    </row>
    <row r="120">
      <c r="A120" s="7" t="s">
        <v>1410</v>
      </c>
      <c r="B120" s="7" t="s">
        <v>1179</v>
      </c>
      <c r="C120" s="7" t="s">
        <v>1183</v>
      </c>
      <c r="D120" s="50">
        <v>583.0</v>
      </c>
      <c r="E120" s="50">
        <v>10814.0</v>
      </c>
      <c r="F120" s="7" t="s">
        <v>2559</v>
      </c>
      <c r="G120" s="85">
        <v>43657.0</v>
      </c>
      <c r="H120" s="7" t="s">
        <v>854</v>
      </c>
      <c r="I120" s="7" t="s">
        <v>173</v>
      </c>
      <c r="K120" s="7" t="s">
        <v>2177</v>
      </c>
      <c r="N120" s="7" t="b">
        <v>0</v>
      </c>
      <c r="O120" s="7" t="b">
        <v>0</v>
      </c>
    </row>
    <row r="121">
      <c r="A121" s="7" t="s">
        <v>1410</v>
      </c>
      <c r="B121" s="7" t="s">
        <v>1179</v>
      </c>
      <c r="C121" s="7" t="s">
        <v>1186</v>
      </c>
      <c r="D121" s="50">
        <v>307.0</v>
      </c>
      <c r="E121" s="50">
        <v>15810.0</v>
      </c>
      <c r="F121" s="7" t="s">
        <v>2560</v>
      </c>
      <c r="G121" s="85">
        <v>44041.0</v>
      </c>
      <c r="H121" s="7" t="s">
        <v>854</v>
      </c>
      <c r="I121" s="7" t="s">
        <v>173</v>
      </c>
      <c r="K121" s="7" t="s">
        <v>2177</v>
      </c>
      <c r="N121" s="7" t="b">
        <v>0</v>
      </c>
      <c r="O121" s="7" t="b">
        <v>0</v>
      </c>
    </row>
    <row r="122">
      <c r="A122" s="7" t="s">
        <v>1410</v>
      </c>
      <c r="B122" s="7" t="s">
        <v>854</v>
      </c>
      <c r="C122" s="7" t="s">
        <v>1223</v>
      </c>
      <c r="D122" s="50">
        <v>34.0</v>
      </c>
      <c r="E122" s="50">
        <v>30.0</v>
      </c>
      <c r="F122" s="7" t="s">
        <v>2561</v>
      </c>
      <c r="G122" s="85">
        <v>43409.0</v>
      </c>
      <c r="H122" s="7" t="s">
        <v>363</v>
      </c>
      <c r="I122" s="7" t="s">
        <v>1053</v>
      </c>
      <c r="K122" s="7" t="s">
        <v>2177</v>
      </c>
      <c r="N122" s="7" t="b">
        <v>0</v>
      </c>
      <c r="O122" s="7" t="b">
        <v>0</v>
      </c>
    </row>
    <row r="123">
      <c r="A123" s="7" t="s">
        <v>1410</v>
      </c>
      <c r="B123" s="7" t="s">
        <v>854</v>
      </c>
      <c r="C123" s="7" t="s">
        <v>1224</v>
      </c>
      <c r="D123" s="50">
        <v>40.0</v>
      </c>
      <c r="E123" s="50">
        <v>8.0</v>
      </c>
      <c r="F123" s="7" t="s">
        <v>2562</v>
      </c>
      <c r="G123" s="85">
        <v>43844.0</v>
      </c>
      <c r="H123" s="7" t="s">
        <v>363</v>
      </c>
      <c r="I123" s="7" t="s">
        <v>1053</v>
      </c>
      <c r="K123" s="7" t="s">
        <v>2177</v>
      </c>
      <c r="N123" s="7" t="b">
        <v>0</v>
      </c>
      <c r="O123" s="7" t="b">
        <v>0</v>
      </c>
    </row>
    <row r="124">
      <c r="A124" s="7" t="s">
        <v>1410</v>
      </c>
      <c r="B124" s="7" t="s">
        <v>854</v>
      </c>
      <c r="C124" s="7" t="s">
        <v>1227</v>
      </c>
      <c r="D124" s="50">
        <v>2307.0</v>
      </c>
      <c r="E124" s="50">
        <v>14044.0</v>
      </c>
      <c r="F124" s="7" t="s">
        <v>2563</v>
      </c>
      <c r="G124" s="85">
        <v>43866.0</v>
      </c>
      <c r="H124" s="7" t="s">
        <v>363</v>
      </c>
      <c r="I124" s="7" t="s">
        <v>1053</v>
      </c>
      <c r="K124" s="7" t="s">
        <v>2177</v>
      </c>
      <c r="N124" s="7" t="b">
        <v>0</v>
      </c>
      <c r="O124" s="7" t="b">
        <v>0</v>
      </c>
    </row>
    <row r="125">
      <c r="A125" s="7" t="s">
        <v>1410</v>
      </c>
      <c r="B125" s="7" t="s">
        <v>854</v>
      </c>
      <c r="C125" s="7" t="s">
        <v>1111</v>
      </c>
      <c r="D125" s="50">
        <v>5.0</v>
      </c>
      <c r="E125" s="50">
        <v>1.0</v>
      </c>
      <c r="F125" s="7" t="s">
        <v>2564</v>
      </c>
      <c r="G125" s="85">
        <v>43570.0</v>
      </c>
      <c r="H125" s="7" t="s">
        <v>363</v>
      </c>
      <c r="I125" s="7" t="s">
        <v>1053</v>
      </c>
      <c r="K125" s="7" t="s">
        <v>2177</v>
      </c>
      <c r="N125" s="7" t="b">
        <v>0</v>
      </c>
      <c r="O125" s="7" t="b">
        <v>0</v>
      </c>
    </row>
    <row r="126">
      <c r="A126" s="7" t="s">
        <v>1410</v>
      </c>
      <c r="B126" s="7" t="s">
        <v>854</v>
      </c>
      <c r="C126" s="7" t="s">
        <v>1229</v>
      </c>
      <c r="D126" s="50">
        <v>35.0</v>
      </c>
      <c r="E126" s="50">
        <v>5.0</v>
      </c>
      <c r="F126" s="7" t="s">
        <v>2565</v>
      </c>
      <c r="G126" s="7" t="s">
        <v>1053</v>
      </c>
      <c r="H126" s="7" t="s">
        <v>363</v>
      </c>
      <c r="I126" s="7" t="s">
        <v>1053</v>
      </c>
      <c r="K126" s="7" t="s">
        <v>2177</v>
      </c>
      <c r="N126" s="7" t="b">
        <v>0</v>
      </c>
      <c r="O126" s="7" t="b">
        <v>0</v>
      </c>
    </row>
    <row r="127">
      <c r="A127" s="7" t="s">
        <v>1410</v>
      </c>
      <c r="B127" s="7" t="s">
        <v>1273</v>
      </c>
      <c r="C127" s="7" t="s">
        <v>1276</v>
      </c>
      <c r="D127" s="50">
        <v>64.0</v>
      </c>
      <c r="E127" s="50">
        <v>124.0</v>
      </c>
      <c r="F127" s="7" t="s">
        <v>2566</v>
      </c>
      <c r="G127" s="85">
        <v>44679.0</v>
      </c>
      <c r="H127" s="7" t="s">
        <v>854</v>
      </c>
      <c r="K127" s="7" t="s">
        <v>2177</v>
      </c>
      <c r="N127" s="7" t="b">
        <v>0</v>
      </c>
      <c r="O127" s="7" t="b">
        <v>0</v>
      </c>
    </row>
    <row r="128">
      <c r="A128" s="7" t="s">
        <v>1410</v>
      </c>
      <c r="B128" s="7" t="s">
        <v>1273</v>
      </c>
      <c r="C128" s="7" t="s">
        <v>1277</v>
      </c>
      <c r="D128" s="50">
        <v>46.0</v>
      </c>
      <c r="E128" s="50">
        <v>20.0</v>
      </c>
      <c r="F128" s="7" t="s">
        <v>2567</v>
      </c>
      <c r="G128" s="85">
        <v>45320.0</v>
      </c>
      <c r="H128" s="7" t="s">
        <v>854</v>
      </c>
      <c r="K128" s="7" t="s">
        <v>2184</v>
      </c>
      <c r="N128" s="7" t="b">
        <v>0</v>
      </c>
      <c r="O128" s="7" t="b">
        <v>0</v>
      </c>
    </row>
    <row r="129">
      <c r="A129" s="7" t="s">
        <v>1410</v>
      </c>
      <c r="B129" s="7" t="s">
        <v>1273</v>
      </c>
      <c r="C129" s="7" t="s">
        <v>1189</v>
      </c>
      <c r="D129" s="50">
        <v>123.0</v>
      </c>
      <c r="E129" s="50">
        <v>702.0</v>
      </c>
      <c r="F129" s="7" t="s">
        <v>2568</v>
      </c>
      <c r="G129" s="85">
        <v>44124.0</v>
      </c>
      <c r="H129" s="7" t="s">
        <v>854</v>
      </c>
      <c r="K129" s="7" t="s">
        <v>2177</v>
      </c>
      <c r="N129" s="7" t="b">
        <v>0</v>
      </c>
      <c r="O129" s="7" t="b">
        <v>0</v>
      </c>
    </row>
    <row r="130">
      <c r="A130" s="7" t="s">
        <v>2119</v>
      </c>
      <c r="B130" s="7" t="s">
        <v>1179</v>
      </c>
      <c r="C130" s="7" t="s">
        <v>1184</v>
      </c>
      <c r="D130" s="50">
        <v>149.0</v>
      </c>
      <c r="E130" s="50">
        <v>868.0</v>
      </c>
      <c r="F130" s="7" t="s">
        <v>2569</v>
      </c>
      <c r="G130" s="85">
        <v>43886.0</v>
      </c>
      <c r="H130" s="7" t="s">
        <v>440</v>
      </c>
      <c r="I130" s="7" t="s">
        <v>441</v>
      </c>
      <c r="K130" s="7" t="s">
        <v>2177</v>
      </c>
      <c r="N130" s="7" t="b">
        <v>0</v>
      </c>
      <c r="O130" s="7" t="b">
        <v>0</v>
      </c>
    </row>
    <row r="131">
      <c r="A131" s="7" t="s">
        <v>2119</v>
      </c>
      <c r="B131" s="7" t="s">
        <v>440</v>
      </c>
      <c r="C131" s="7" t="s">
        <v>441</v>
      </c>
      <c r="D131" s="50">
        <v>18935.0</v>
      </c>
      <c r="E131" s="50">
        <v>140386.0</v>
      </c>
      <c r="F131" s="7" t="s">
        <v>2570</v>
      </c>
      <c r="G131" s="85">
        <v>45156.0</v>
      </c>
      <c r="H131" s="7" t="s">
        <v>440</v>
      </c>
      <c r="I131" s="7" t="s">
        <v>441</v>
      </c>
      <c r="K131" s="7" t="s">
        <v>2184</v>
      </c>
      <c r="N131" s="7" t="b">
        <v>0</v>
      </c>
      <c r="O131" s="7" t="b">
        <v>0</v>
      </c>
    </row>
    <row r="132">
      <c r="A132" s="7" t="s">
        <v>2119</v>
      </c>
      <c r="B132" s="7" t="s">
        <v>1293</v>
      </c>
      <c r="C132" s="7" t="s">
        <v>441</v>
      </c>
      <c r="D132" s="50">
        <v>3315.0</v>
      </c>
      <c r="E132" s="50">
        <v>23560.0</v>
      </c>
      <c r="F132" s="7" t="s">
        <v>2571</v>
      </c>
      <c r="G132" s="85">
        <v>43404.0</v>
      </c>
      <c r="H132" s="7" t="s">
        <v>440</v>
      </c>
      <c r="I132" s="7" t="s">
        <v>441</v>
      </c>
      <c r="K132" s="7" t="s">
        <v>2177</v>
      </c>
      <c r="N132" s="7" t="b">
        <v>0</v>
      </c>
      <c r="O132" s="7" t="b">
        <v>0</v>
      </c>
    </row>
    <row r="133">
      <c r="A133" s="7" t="s">
        <v>2121</v>
      </c>
      <c r="B133" s="7" t="s">
        <v>391</v>
      </c>
      <c r="C133" s="7" t="s">
        <v>399</v>
      </c>
      <c r="D133" s="50">
        <v>44.0</v>
      </c>
      <c r="E133" s="50">
        <v>2.0</v>
      </c>
      <c r="F133" s="7" t="s">
        <v>2572</v>
      </c>
      <c r="G133" s="7" t="s">
        <v>1053</v>
      </c>
      <c r="H133" s="7" t="s">
        <v>391</v>
      </c>
      <c r="I133" s="7" t="s">
        <v>399</v>
      </c>
      <c r="K133" s="7" t="s">
        <v>2177</v>
      </c>
      <c r="N133" s="7" t="b">
        <v>0</v>
      </c>
      <c r="O133" s="7" t="b">
        <v>0</v>
      </c>
    </row>
    <row r="134">
      <c r="A134" s="7" t="s">
        <v>1745</v>
      </c>
      <c r="B134" s="7" t="s">
        <v>427</v>
      </c>
      <c r="C134" s="7" t="s">
        <v>1104</v>
      </c>
      <c r="D134" s="50">
        <v>55.0</v>
      </c>
      <c r="E134" s="50">
        <v>196.0</v>
      </c>
      <c r="F134" s="7" t="s">
        <v>2573</v>
      </c>
      <c r="G134" s="85">
        <v>45666.0</v>
      </c>
      <c r="H134" s="7" t="s">
        <v>426</v>
      </c>
      <c r="I134" s="7" t="s">
        <v>427</v>
      </c>
      <c r="K134" s="7" t="s">
        <v>2184</v>
      </c>
      <c r="N134" s="7" t="b">
        <v>0</v>
      </c>
      <c r="O134" s="7" t="b">
        <v>0</v>
      </c>
    </row>
    <row r="135">
      <c r="A135" s="7" t="s">
        <v>1745</v>
      </c>
      <c r="B135" s="7" t="s">
        <v>186</v>
      </c>
      <c r="C135" s="7" t="s">
        <v>1337</v>
      </c>
      <c r="D135" s="50">
        <v>1964.0</v>
      </c>
      <c r="E135" s="50">
        <v>7273.0</v>
      </c>
      <c r="F135" s="7" t="s">
        <v>2574</v>
      </c>
      <c r="G135" s="85">
        <v>45805.0</v>
      </c>
      <c r="H135" s="7" t="s">
        <v>516</v>
      </c>
      <c r="I135" s="7" t="s">
        <v>186</v>
      </c>
      <c r="K135" s="7" t="s">
        <v>2184</v>
      </c>
      <c r="N135" s="7" t="b">
        <v>0</v>
      </c>
      <c r="O135" s="7" t="b">
        <v>0</v>
      </c>
    </row>
    <row r="136">
      <c r="A136" s="7" t="s">
        <v>1745</v>
      </c>
      <c r="B136" s="7" t="s">
        <v>186</v>
      </c>
      <c r="C136" s="7" t="s">
        <v>1338</v>
      </c>
      <c r="D136" s="50">
        <v>6.0</v>
      </c>
      <c r="E136" s="50">
        <v>3.0</v>
      </c>
      <c r="F136" s="7" t="s">
        <v>2575</v>
      </c>
      <c r="G136" s="85">
        <v>44816.0</v>
      </c>
      <c r="H136" s="7" t="s">
        <v>516</v>
      </c>
      <c r="I136" s="7" t="s">
        <v>186</v>
      </c>
      <c r="K136" s="7" t="s">
        <v>2177</v>
      </c>
      <c r="N136" s="7" t="b">
        <v>0</v>
      </c>
      <c r="O136" s="7" t="b">
        <v>0</v>
      </c>
    </row>
    <row r="137">
      <c r="A137" s="7" t="s">
        <v>1745</v>
      </c>
      <c r="B137" s="7" t="s">
        <v>186</v>
      </c>
      <c r="C137" s="7" t="s">
        <v>1339</v>
      </c>
      <c r="D137" s="50">
        <v>194.0</v>
      </c>
      <c r="E137" s="50">
        <v>1019.0</v>
      </c>
      <c r="F137" s="7" t="s">
        <v>2576</v>
      </c>
      <c r="G137" s="85">
        <v>45805.0</v>
      </c>
      <c r="H137" s="7" t="s">
        <v>516</v>
      </c>
      <c r="I137" s="7" t="s">
        <v>186</v>
      </c>
      <c r="K137" s="7" t="s">
        <v>2184</v>
      </c>
      <c r="N137" s="7" t="b">
        <v>0</v>
      </c>
      <c r="O137" s="7" t="b">
        <v>0</v>
      </c>
    </row>
    <row r="138">
      <c r="A138" s="7" t="s">
        <v>1745</v>
      </c>
      <c r="B138" s="7" t="s">
        <v>186</v>
      </c>
      <c r="C138" s="7" t="s">
        <v>1341</v>
      </c>
      <c r="D138" s="50">
        <v>109.0</v>
      </c>
      <c r="E138" s="50">
        <v>790.0</v>
      </c>
      <c r="F138" s="7" t="s">
        <v>2577</v>
      </c>
      <c r="G138" s="85">
        <v>45805.0</v>
      </c>
      <c r="H138" s="7" t="s">
        <v>516</v>
      </c>
      <c r="I138" s="7" t="s">
        <v>186</v>
      </c>
      <c r="K138" s="7" t="s">
        <v>2184</v>
      </c>
      <c r="N138" s="7" t="b">
        <v>0</v>
      </c>
      <c r="O138" s="7" t="b">
        <v>0</v>
      </c>
    </row>
    <row r="139">
      <c r="A139" s="7" t="s">
        <v>1745</v>
      </c>
      <c r="B139" s="7" t="s">
        <v>186</v>
      </c>
      <c r="C139" s="7" t="s">
        <v>1342</v>
      </c>
      <c r="D139" s="50">
        <v>1.0</v>
      </c>
      <c r="E139" s="50">
        <v>2.0</v>
      </c>
      <c r="F139" s="7" t="s">
        <v>2578</v>
      </c>
      <c r="G139" s="85">
        <v>44595.0</v>
      </c>
      <c r="H139" s="7" t="s">
        <v>516</v>
      </c>
      <c r="I139" s="7" t="s">
        <v>186</v>
      </c>
      <c r="K139" s="7" t="s">
        <v>2177</v>
      </c>
      <c r="N139" s="7" t="b">
        <v>0</v>
      </c>
      <c r="O139" s="7" t="b">
        <v>0</v>
      </c>
    </row>
    <row r="140">
      <c r="A140" s="7" t="s">
        <v>1745</v>
      </c>
      <c r="B140" s="7" t="s">
        <v>186</v>
      </c>
      <c r="C140" s="7" t="s">
        <v>1343</v>
      </c>
      <c r="D140" s="50">
        <v>4064.0</v>
      </c>
      <c r="E140" s="50">
        <v>13606.0</v>
      </c>
      <c r="F140" s="7" t="s">
        <v>2579</v>
      </c>
      <c r="G140" s="85">
        <v>45707.0</v>
      </c>
      <c r="H140" s="7" t="s">
        <v>516</v>
      </c>
      <c r="I140" s="7" t="s">
        <v>186</v>
      </c>
      <c r="K140" s="7" t="s">
        <v>2184</v>
      </c>
      <c r="N140" s="7" t="b">
        <v>0</v>
      </c>
      <c r="O140" s="7" t="b">
        <v>0</v>
      </c>
    </row>
    <row r="141">
      <c r="A141" s="7" t="s">
        <v>1745</v>
      </c>
      <c r="B141" s="7" t="s">
        <v>186</v>
      </c>
      <c r="C141" s="7" t="s">
        <v>1344</v>
      </c>
      <c r="D141" s="50">
        <v>1591.0</v>
      </c>
      <c r="E141" s="50">
        <v>4218.0</v>
      </c>
      <c r="F141" s="7" t="s">
        <v>2580</v>
      </c>
      <c r="G141" s="85">
        <v>45805.0</v>
      </c>
      <c r="H141" s="7" t="s">
        <v>516</v>
      </c>
      <c r="I141" s="7" t="s">
        <v>186</v>
      </c>
      <c r="K141" s="7" t="s">
        <v>2184</v>
      </c>
      <c r="N141" s="7" t="b">
        <v>0</v>
      </c>
      <c r="O141" s="7" t="b">
        <v>0</v>
      </c>
    </row>
    <row r="142">
      <c r="A142" s="7" t="s">
        <v>1745</v>
      </c>
      <c r="B142" s="7" t="s">
        <v>186</v>
      </c>
      <c r="C142" s="7" t="s">
        <v>444</v>
      </c>
      <c r="D142" s="50">
        <v>10.0</v>
      </c>
      <c r="E142" s="50">
        <v>173.0</v>
      </c>
      <c r="F142" s="7" t="s">
        <v>2581</v>
      </c>
      <c r="G142" s="85">
        <v>44257.0</v>
      </c>
      <c r="H142" s="7" t="s">
        <v>516</v>
      </c>
      <c r="I142" s="7" t="s">
        <v>186</v>
      </c>
      <c r="K142" s="7" t="s">
        <v>2177</v>
      </c>
      <c r="N142" s="7" t="b">
        <v>0</v>
      </c>
      <c r="O142" s="7" t="b">
        <v>0</v>
      </c>
    </row>
    <row r="143">
      <c r="A143" s="7" t="s">
        <v>1745</v>
      </c>
      <c r="B143" s="7" t="s">
        <v>186</v>
      </c>
      <c r="C143" s="7" t="s">
        <v>1345</v>
      </c>
      <c r="D143" s="50">
        <v>172.0</v>
      </c>
      <c r="E143" s="50">
        <v>1022.0</v>
      </c>
      <c r="F143" s="7" t="s">
        <v>2582</v>
      </c>
      <c r="G143" s="85">
        <v>44140.0</v>
      </c>
      <c r="H143" s="7" t="s">
        <v>516</v>
      </c>
      <c r="I143" s="7" t="s">
        <v>186</v>
      </c>
      <c r="K143" s="7" t="s">
        <v>2177</v>
      </c>
      <c r="N143" s="7" t="b">
        <v>0</v>
      </c>
      <c r="O143" s="7" t="b">
        <v>0</v>
      </c>
    </row>
    <row r="144">
      <c r="A144" s="7" t="s">
        <v>1745</v>
      </c>
      <c r="B144" s="7" t="s">
        <v>186</v>
      </c>
      <c r="C144" s="7" t="s">
        <v>1346</v>
      </c>
      <c r="D144" s="50">
        <v>44.0</v>
      </c>
      <c r="E144" s="50">
        <v>706.0</v>
      </c>
      <c r="F144" s="7" t="s">
        <v>2583</v>
      </c>
      <c r="G144" s="85">
        <v>40241.0</v>
      </c>
      <c r="H144" s="7" t="s">
        <v>516</v>
      </c>
      <c r="I144" s="7" t="s">
        <v>186</v>
      </c>
      <c r="K144" s="7" t="s">
        <v>2177</v>
      </c>
      <c r="N144" s="7" t="b">
        <v>0</v>
      </c>
      <c r="O144" s="7" t="b">
        <v>0</v>
      </c>
    </row>
    <row r="145">
      <c r="A145" s="7" t="s">
        <v>2124</v>
      </c>
      <c r="B145" s="7" t="s">
        <v>3</v>
      </c>
      <c r="C145" s="7" t="s">
        <v>9</v>
      </c>
      <c r="D145" s="50">
        <v>80.0</v>
      </c>
      <c r="E145" s="50">
        <v>252.0</v>
      </c>
      <c r="F145" s="7" t="s">
        <v>2584</v>
      </c>
      <c r="G145" s="85">
        <v>45839.0</v>
      </c>
      <c r="H145" s="7" t="s">
        <v>3</v>
      </c>
      <c r="I145" s="7" t="s">
        <v>9</v>
      </c>
      <c r="K145" s="7" t="s">
        <v>2184</v>
      </c>
      <c r="N145" s="7" t="b">
        <v>0</v>
      </c>
      <c r="O145" s="7" t="b">
        <v>0</v>
      </c>
    </row>
    <row r="146">
      <c r="A146" s="7" t="s">
        <v>2124</v>
      </c>
      <c r="B146" s="7" t="s">
        <v>1213</v>
      </c>
      <c r="C146" s="7" t="s">
        <v>444</v>
      </c>
      <c r="D146" s="50">
        <v>53.0</v>
      </c>
      <c r="E146" s="50">
        <v>1172.0</v>
      </c>
      <c r="F146" s="7" t="s">
        <v>2585</v>
      </c>
      <c r="G146" s="85">
        <v>42004.0</v>
      </c>
      <c r="H146" s="7" t="s">
        <v>2290</v>
      </c>
      <c r="I146" s="7" t="s">
        <v>9</v>
      </c>
      <c r="K146" s="7" t="s">
        <v>2177</v>
      </c>
      <c r="N146" s="7" t="b">
        <v>0</v>
      </c>
      <c r="O146" s="7" t="b">
        <v>0</v>
      </c>
    </row>
    <row r="147">
      <c r="A147" s="7" t="s">
        <v>2126</v>
      </c>
      <c r="B147" s="7" t="s">
        <v>3</v>
      </c>
      <c r="C147" s="7" t="s">
        <v>4</v>
      </c>
      <c r="D147" s="50">
        <v>33.0</v>
      </c>
      <c r="E147" s="50">
        <v>75.0</v>
      </c>
      <c r="F147" s="7" t="s">
        <v>2586</v>
      </c>
      <c r="G147" s="85">
        <v>45786.0</v>
      </c>
      <c r="H147" s="7" t="s">
        <v>3</v>
      </c>
      <c r="I147" s="7" t="s">
        <v>4</v>
      </c>
      <c r="K147" s="7" t="s">
        <v>2184</v>
      </c>
      <c r="N147" s="7" t="b">
        <v>0</v>
      </c>
      <c r="O147" s="7" t="b">
        <v>0</v>
      </c>
    </row>
    <row r="148">
      <c r="A148" s="7" t="s">
        <v>2126</v>
      </c>
      <c r="B148" s="7" t="s">
        <v>1213</v>
      </c>
      <c r="C148" s="7" t="s">
        <v>1257</v>
      </c>
      <c r="D148" s="50">
        <v>1224.0</v>
      </c>
      <c r="E148" s="50">
        <v>15605.0</v>
      </c>
      <c r="F148" s="7" t="s">
        <v>2587</v>
      </c>
      <c r="G148" s="85">
        <v>44669.0</v>
      </c>
      <c r="H148" s="7" t="s">
        <v>2290</v>
      </c>
      <c r="I148" s="7" t="s">
        <v>4</v>
      </c>
      <c r="K148" s="7" t="s">
        <v>2177</v>
      </c>
      <c r="N148" s="7" t="b">
        <v>0</v>
      </c>
      <c r="O148" s="7" t="b">
        <v>0</v>
      </c>
    </row>
    <row r="149">
      <c r="A149" s="7" t="s">
        <v>2126</v>
      </c>
      <c r="B149" s="7" t="s">
        <v>1293</v>
      </c>
      <c r="C149" s="7" t="s">
        <v>4</v>
      </c>
      <c r="D149" s="50">
        <v>907.0</v>
      </c>
      <c r="E149" s="50">
        <v>4213.0</v>
      </c>
      <c r="F149" s="7" t="s">
        <v>2588</v>
      </c>
      <c r="G149" s="85">
        <v>45524.0</v>
      </c>
      <c r="H149" s="7" t="s">
        <v>3</v>
      </c>
      <c r="I149" s="7" t="s">
        <v>4</v>
      </c>
      <c r="K149" s="7" t="s">
        <v>2184</v>
      </c>
      <c r="N149" s="7" t="b">
        <v>0</v>
      </c>
      <c r="O149" s="7" t="b">
        <v>0</v>
      </c>
    </row>
    <row r="150">
      <c r="A150" s="7" t="s">
        <v>1453</v>
      </c>
      <c r="B150" s="7" t="s">
        <v>3</v>
      </c>
      <c r="C150" s="7" t="s">
        <v>1111</v>
      </c>
      <c r="D150" s="50">
        <v>1035.0</v>
      </c>
      <c r="E150" s="50">
        <v>3969.0</v>
      </c>
      <c r="F150" s="7" t="s">
        <v>2589</v>
      </c>
      <c r="G150" s="85">
        <v>45842.0</v>
      </c>
      <c r="H150" s="7" t="s">
        <v>520</v>
      </c>
      <c r="I150" s="7" t="s">
        <v>1053</v>
      </c>
      <c r="K150" s="7" t="s">
        <v>2184</v>
      </c>
      <c r="N150" s="7" t="b">
        <v>0</v>
      </c>
      <c r="O150" s="7" t="b">
        <v>0</v>
      </c>
    </row>
    <row r="151">
      <c r="A151" s="7" t="s">
        <v>1453</v>
      </c>
      <c r="B151" s="7" t="s">
        <v>1211</v>
      </c>
      <c r="C151" s="7" t="s">
        <v>1213</v>
      </c>
      <c r="D151" s="50">
        <v>624.0</v>
      </c>
      <c r="E151" s="50">
        <v>11969.0</v>
      </c>
      <c r="F151" s="7" t="s">
        <v>2590</v>
      </c>
      <c r="G151" s="85">
        <v>44670.0</v>
      </c>
      <c r="H151" s="7" t="s">
        <v>3</v>
      </c>
      <c r="K151" s="7" t="s">
        <v>2177</v>
      </c>
      <c r="N151" s="7" t="b">
        <v>0</v>
      </c>
      <c r="O151" s="7" t="b">
        <v>0</v>
      </c>
    </row>
    <row r="152">
      <c r="A152" s="7" t="s">
        <v>1453</v>
      </c>
      <c r="B152" s="7" t="s">
        <v>1216</v>
      </c>
      <c r="C152" s="7" t="s">
        <v>1218</v>
      </c>
      <c r="D152" s="50">
        <v>9690.0</v>
      </c>
      <c r="E152" s="50">
        <v>72649.0</v>
      </c>
      <c r="F152" s="7" t="s">
        <v>2591</v>
      </c>
      <c r="G152" s="85">
        <v>42705.0</v>
      </c>
      <c r="H152" s="7" t="s">
        <v>3</v>
      </c>
      <c r="K152" s="7" t="s">
        <v>2177</v>
      </c>
      <c r="N152" s="7" t="b">
        <v>0</v>
      </c>
      <c r="O152" s="7" t="b">
        <v>0</v>
      </c>
    </row>
    <row r="153">
      <c r="A153" s="7" t="s">
        <v>1453</v>
      </c>
      <c r="B153" s="7" t="s">
        <v>1252</v>
      </c>
      <c r="C153" s="7" t="s">
        <v>1253</v>
      </c>
      <c r="D153" s="50">
        <v>145.0</v>
      </c>
      <c r="E153" s="50">
        <v>686.0</v>
      </c>
      <c r="F153" s="7" t="s">
        <v>2592</v>
      </c>
      <c r="G153" s="85">
        <v>41127.0</v>
      </c>
      <c r="H153" s="7" t="s">
        <v>3</v>
      </c>
      <c r="K153" s="7" t="s">
        <v>2177</v>
      </c>
      <c r="N153" s="7" t="b">
        <v>0</v>
      </c>
      <c r="O153" s="7" t="b">
        <v>0</v>
      </c>
    </row>
    <row r="154">
      <c r="A154" s="7" t="s">
        <v>1453</v>
      </c>
      <c r="B154" s="7" t="s">
        <v>1252</v>
      </c>
      <c r="C154" s="7" t="s">
        <v>1254</v>
      </c>
      <c r="D154" s="50">
        <v>31.0</v>
      </c>
      <c r="E154" s="50">
        <v>44.0</v>
      </c>
      <c r="F154" s="7" t="s">
        <v>2593</v>
      </c>
      <c r="G154" s="85">
        <v>41557.0</v>
      </c>
      <c r="H154" s="7" t="s">
        <v>3</v>
      </c>
      <c r="K154" s="7" t="s">
        <v>2177</v>
      </c>
      <c r="N154" s="7" t="b">
        <v>0</v>
      </c>
      <c r="O154" s="7" t="b">
        <v>0</v>
      </c>
    </row>
    <row r="155">
      <c r="A155" s="7" t="s">
        <v>1453</v>
      </c>
      <c r="B155" s="7" t="s">
        <v>1252</v>
      </c>
      <c r="C155" s="7" t="s">
        <v>1256</v>
      </c>
      <c r="D155" s="50">
        <v>17180.0</v>
      </c>
      <c r="E155" s="50">
        <v>90849.0</v>
      </c>
      <c r="F155" s="7" t="s">
        <v>2594</v>
      </c>
      <c r="G155" s="85">
        <v>42124.0</v>
      </c>
      <c r="H155" s="7" t="s">
        <v>3</v>
      </c>
      <c r="K155" s="7" t="s">
        <v>2177</v>
      </c>
      <c r="N155" s="7" t="b">
        <v>0</v>
      </c>
      <c r="O155" s="7" t="b">
        <v>0</v>
      </c>
    </row>
    <row r="156">
      <c r="A156" s="7" t="s">
        <v>1453</v>
      </c>
      <c r="B156" s="7" t="s">
        <v>1213</v>
      </c>
      <c r="C156" s="7" t="s">
        <v>1260</v>
      </c>
      <c r="D156" s="50">
        <v>627.0</v>
      </c>
      <c r="E156" s="50">
        <v>12993.0</v>
      </c>
      <c r="F156" s="7" t="s">
        <v>2595</v>
      </c>
      <c r="G156" s="85">
        <v>43451.0</v>
      </c>
      <c r="H156" s="7" t="s">
        <v>1261</v>
      </c>
      <c r="I156" s="7" t="s">
        <v>613</v>
      </c>
      <c r="K156" s="7" t="s">
        <v>2177</v>
      </c>
      <c r="N156" s="7" t="b">
        <v>0</v>
      </c>
      <c r="O156" s="7" t="b">
        <v>0</v>
      </c>
    </row>
    <row r="157">
      <c r="A157" s="7" t="s">
        <v>1453</v>
      </c>
      <c r="B157" s="7" t="s">
        <v>613</v>
      </c>
      <c r="C157" s="7" t="s">
        <v>1111</v>
      </c>
      <c r="D157" s="50">
        <v>28344.0</v>
      </c>
      <c r="E157" s="50">
        <v>162482.0</v>
      </c>
      <c r="F157" s="7" t="s">
        <v>2596</v>
      </c>
      <c r="G157" s="85">
        <v>45847.0</v>
      </c>
      <c r="H157" s="7" t="s">
        <v>613</v>
      </c>
      <c r="I157" s="7" t="s">
        <v>1053</v>
      </c>
      <c r="K157" s="7" t="s">
        <v>2184</v>
      </c>
      <c r="N157" s="7" t="b">
        <v>0</v>
      </c>
      <c r="O157" s="7" t="b">
        <v>0</v>
      </c>
    </row>
    <row r="158">
      <c r="A158" s="7" t="s">
        <v>2129</v>
      </c>
      <c r="B158" s="7" t="s">
        <v>1216</v>
      </c>
      <c r="C158" s="7" t="s">
        <v>644</v>
      </c>
      <c r="D158" s="50">
        <v>4.0</v>
      </c>
      <c r="E158" s="50">
        <v>28.0</v>
      </c>
      <c r="F158" s="7" t="s">
        <v>2597</v>
      </c>
      <c r="G158" s="85">
        <v>42394.0</v>
      </c>
      <c r="H158" s="7" t="s">
        <v>641</v>
      </c>
      <c r="I158" s="7" t="s">
        <v>644</v>
      </c>
      <c r="K158" s="7" t="s">
        <v>2177</v>
      </c>
      <c r="N158" s="7" t="b">
        <v>0</v>
      </c>
      <c r="O158" s="7" t="b">
        <v>0</v>
      </c>
    </row>
    <row r="159">
      <c r="A159" s="7" t="s">
        <v>1723</v>
      </c>
      <c r="B159" s="7" t="s">
        <v>440</v>
      </c>
      <c r="C159" s="7" t="s">
        <v>97</v>
      </c>
      <c r="D159" s="50">
        <v>51.0</v>
      </c>
      <c r="E159" s="50">
        <v>128.0</v>
      </c>
      <c r="F159" s="7" t="s">
        <v>2598</v>
      </c>
      <c r="G159" s="85">
        <v>45846.0</v>
      </c>
      <c r="H159" s="7" t="s">
        <v>440</v>
      </c>
      <c r="I159" s="7" t="s">
        <v>97</v>
      </c>
      <c r="K159" s="7" t="s">
        <v>2184</v>
      </c>
      <c r="N159" s="7" t="b">
        <v>0</v>
      </c>
      <c r="O159" s="7" t="b">
        <v>0</v>
      </c>
    </row>
    <row r="160">
      <c r="A160" s="7" t="s">
        <v>1723</v>
      </c>
      <c r="B160" s="7" t="s">
        <v>440</v>
      </c>
      <c r="C160" s="7" t="s">
        <v>1198</v>
      </c>
      <c r="D160" s="50">
        <v>12.0</v>
      </c>
      <c r="E160" s="50">
        <v>3.0</v>
      </c>
      <c r="F160" s="7" t="s">
        <v>2599</v>
      </c>
      <c r="G160" s="85">
        <v>42937.0</v>
      </c>
      <c r="H160" s="7" t="s">
        <v>440</v>
      </c>
      <c r="I160" s="7" t="s">
        <v>1053</v>
      </c>
      <c r="K160" s="7" t="s">
        <v>2177</v>
      </c>
      <c r="N160" s="7" t="b">
        <v>0</v>
      </c>
      <c r="O160" s="7" t="b">
        <v>0</v>
      </c>
    </row>
    <row r="161">
      <c r="A161" s="7" t="s">
        <v>1723</v>
      </c>
      <c r="B161" s="7" t="s">
        <v>440</v>
      </c>
      <c r="C161" s="7" t="s">
        <v>1231</v>
      </c>
      <c r="D161" s="50">
        <v>4871.0</v>
      </c>
      <c r="E161" s="50">
        <v>31362.0</v>
      </c>
      <c r="F161" s="7" t="s">
        <v>2600</v>
      </c>
      <c r="G161" s="85">
        <v>45846.0</v>
      </c>
      <c r="H161" s="7" t="s">
        <v>440</v>
      </c>
      <c r="I161" s="7" t="s">
        <v>1053</v>
      </c>
      <c r="K161" s="7" t="s">
        <v>2184</v>
      </c>
      <c r="N161" s="7" t="b">
        <v>0</v>
      </c>
      <c r="O161" s="7" t="b">
        <v>0</v>
      </c>
    </row>
    <row r="162">
      <c r="A162" s="7" t="s">
        <v>1723</v>
      </c>
      <c r="B162" s="7" t="s">
        <v>440</v>
      </c>
      <c r="C162" s="7" t="s">
        <v>1213</v>
      </c>
      <c r="D162" s="50">
        <v>1623.0</v>
      </c>
      <c r="E162" s="50">
        <v>24865.0</v>
      </c>
      <c r="F162" s="7" t="s">
        <v>2601</v>
      </c>
      <c r="G162" s="85">
        <v>42100.0</v>
      </c>
      <c r="H162" s="7" t="s">
        <v>440</v>
      </c>
      <c r="I162" s="7" t="s">
        <v>1053</v>
      </c>
      <c r="K162" s="7" t="s">
        <v>2177</v>
      </c>
      <c r="N162" s="7" t="b">
        <v>0</v>
      </c>
      <c r="O162" s="7" t="b">
        <v>0</v>
      </c>
    </row>
    <row r="163">
      <c r="A163" s="7" t="s">
        <v>1723</v>
      </c>
      <c r="B163" s="7" t="s">
        <v>440</v>
      </c>
      <c r="C163" s="7" t="s">
        <v>443</v>
      </c>
      <c r="D163" s="50">
        <v>20191.0</v>
      </c>
      <c r="E163" s="50">
        <v>145455.0</v>
      </c>
      <c r="F163" s="7" t="s">
        <v>2602</v>
      </c>
      <c r="G163" s="85">
        <v>45845.0</v>
      </c>
      <c r="H163" s="7" t="s">
        <v>440</v>
      </c>
      <c r="I163" s="7" t="s">
        <v>443</v>
      </c>
      <c r="K163" s="7" t="s">
        <v>2184</v>
      </c>
      <c r="N163" s="7" t="b">
        <v>0</v>
      </c>
      <c r="O163" s="7" t="b">
        <v>0</v>
      </c>
    </row>
    <row r="164">
      <c r="A164" s="7" t="s">
        <v>1723</v>
      </c>
      <c r="B164" s="7" t="s">
        <v>440</v>
      </c>
      <c r="C164" s="7" t="s">
        <v>1235</v>
      </c>
      <c r="D164" s="50">
        <v>12765.0</v>
      </c>
      <c r="E164" s="50">
        <v>54670.0</v>
      </c>
      <c r="F164" s="7" t="s">
        <v>2603</v>
      </c>
      <c r="G164" s="85">
        <v>42758.0</v>
      </c>
      <c r="H164" s="7" t="s">
        <v>440</v>
      </c>
      <c r="I164" s="7" t="s">
        <v>1053</v>
      </c>
      <c r="K164" s="7" t="s">
        <v>2177</v>
      </c>
      <c r="N164" s="7" t="b">
        <v>0</v>
      </c>
      <c r="O164" s="7" t="b">
        <v>0</v>
      </c>
    </row>
    <row r="165">
      <c r="A165" s="7" t="s">
        <v>1723</v>
      </c>
      <c r="B165" s="7" t="s">
        <v>440</v>
      </c>
      <c r="C165" s="7" t="s">
        <v>1236</v>
      </c>
      <c r="D165" s="50">
        <v>546.0</v>
      </c>
      <c r="E165" s="50">
        <v>3554.0</v>
      </c>
      <c r="F165" s="7" t="s">
        <v>2604</v>
      </c>
      <c r="G165" s="85">
        <v>42978.0</v>
      </c>
      <c r="H165" s="7" t="s">
        <v>440</v>
      </c>
      <c r="I165" s="7" t="s">
        <v>90</v>
      </c>
      <c r="K165" s="7" t="s">
        <v>2177</v>
      </c>
      <c r="N165" s="7" t="b">
        <v>0</v>
      </c>
      <c r="O165" s="7" t="b">
        <v>0</v>
      </c>
    </row>
    <row r="166">
      <c r="A166" s="7" t="s">
        <v>1723</v>
      </c>
      <c r="B166" s="7" t="s">
        <v>440</v>
      </c>
      <c r="C166" s="7" t="s">
        <v>1111</v>
      </c>
      <c r="D166" s="50">
        <v>31.0</v>
      </c>
      <c r="E166" s="50">
        <v>5.0</v>
      </c>
      <c r="F166" s="7" t="s">
        <v>2605</v>
      </c>
      <c r="G166" s="85">
        <v>41431.0</v>
      </c>
      <c r="H166" s="7" t="s">
        <v>440</v>
      </c>
      <c r="I166" s="7" t="s">
        <v>1053</v>
      </c>
      <c r="K166" s="7" t="s">
        <v>2177</v>
      </c>
      <c r="N166" s="7" t="b">
        <v>0</v>
      </c>
      <c r="O166" s="7" t="b">
        <v>0</v>
      </c>
    </row>
    <row r="167">
      <c r="A167" s="7" t="s">
        <v>1723</v>
      </c>
      <c r="B167" s="7" t="s">
        <v>440</v>
      </c>
      <c r="C167" s="7" t="s">
        <v>1187</v>
      </c>
      <c r="D167" s="50">
        <v>151.0</v>
      </c>
      <c r="E167" s="50">
        <v>1323.0</v>
      </c>
      <c r="F167" s="7" t="s">
        <v>2606</v>
      </c>
      <c r="G167" s="85">
        <v>44657.0</v>
      </c>
      <c r="H167" s="7" t="s">
        <v>440</v>
      </c>
      <c r="I167" s="7" t="s">
        <v>1053</v>
      </c>
      <c r="K167" s="7" t="s">
        <v>2177</v>
      </c>
      <c r="N167" s="7" t="b">
        <v>0</v>
      </c>
      <c r="O167" s="7" t="b">
        <v>0</v>
      </c>
    </row>
    <row r="168">
      <c r="A168" s="7" t="s">
        <v>1723</v>
      </c>
      <c r="B168" s="7" t="s">
        <v>440</v>
      </c>
      <c r="C168" s="7" t="s">
        <v>1065</v>
      </c>
      <c r="D168" s="50">
        <v>19018.0</v>
      </c>
      <c r="E168" s="50">
        <v>149219.0</v>
      </c>
      <c r="F168" s="7" t="s">
        <v>2607</v>
      </c>
      <c r="G168" s="85">
        <v>41998.0</v>
      </c>
      <c r="H168" s="7" t="s">
        <v>440</v>
      </c>
      <c r="I168" s="7" t="s">
        <v>1053</v>
      </c>
      <c r="K168" s="7" t="s">
        <v>2177</v>
      </c>
      <c r="N168" s="7" t="b">
        <v>0</v>
      </c>
      <c r="O168" s="7" t="b">
        <v>0</v>
      </c>
    </row>
    <row r="169">
      <c r="A169" s="7" t="s">
        <v>1723</v>
      </c>
      <c r="B169" s="7" t="s">
        <v>440</v>
      </c>
      <c r="C169" s="7" t="s">
        <v>1237</v>
      </c>
      <c r="D169" s="50">
        <v>16.0</v>
      </c>
      <c r="E169" s="50">
        <v>12.0</v>
      </c>
      <c r="F169" s="7" t="s">
        <v>2608</v>
      </c>
      <c r="G169" s="85">
        <v>43563.0</v>
      </c>
      <c r="H169" s="7" t="s">
        <v>440</v>
      </c>
      <c r="I169" s="7" t="s">
        <v>1053</v>
      </c>
      <c r="K169" s="7" t="s">
        <v>2177</v>
      </c>
      <c r="N169" s="7" t="b">
        <v>0</v>
      </c>
      <c r="O169" s="7" t="b">
        <v>0</v>
      </c>
    </row>
    <row r="170">
      <c r="A170" s="7" t="s">
        <v>1723</v>
      </c>
      <c r="B170" s="7" t="s">
        <v>440</v>
      </c>
      <c r="C170" s="7" t="s">
        <v>1218</v>
      </c>
      <c r="D170" s="50">
        <v>1439.0</v>
      </c>
      <c r="E170" s="50">
        <v>16150.0</v>
      </c>
      <c r="F170" s="7" t="s">
        <v>2609</v>
      </c>
      <c r="G170" s="85">
        <v>42038.0</v>
      </c>
      <c r="H170" s="7" t="s">
        <v>440</v>
      </c>
      <c r="I170" s="7" t="s">
        <v>1053</v>
      </c>
      <c r="K170" s="7" t="s">
        <v>2177</v>
      </c>
      <c r="N170" s="7" t="b">
        <v>0</v>
      </c>
      <c r="O170" s="7" t="b">
        <v>0</v>
      </c>
    </row>
    <row r="171">
      <c r="A171" s="7" t="s">
        <v>1723</v>
      </c>
      <c r="B171" s="7" t="s">
        <v>440</v>
      </c>
      <c r="C171" s="7" t="s">
        <v>1240</v>
      </c>
      <c r="D171" s="50">
        <v>39.0</v>
      </c>
      <c r="E171" s="50">
        <v>20.0</v>
      </c>
      <c r="F171" s="7" t="s">
        <v>2610</v>
      </c>
      <c r="G171" s="85">
        <v>42388.0</v>
      </c>
      <c r="H171" s="7" t="s">
        <v>440</v>
      </c>
      <c r="I171" s="7" t="s">
        <v>1053</v>
      </c>
      <c r="K171" s="7" t="s">
        <v>2177</v>
      </c>
      <c r="N171" s="7" t="b">
        <v>0</v>
      </c>
      <c r="O171" s="7" t="b">
        <v>0</v>
      </c>
    </row>
    <row r="172">
      <c r="A172" s="7" t="s">
        <v>1723</v>
      </c>
      <c r="B172" s="7" t="s">
        <v>440</v>
      </c>
      <c r="C172" s="7" t="s">
        <v>1241</v>
      </c>
      <c r="D172" s="50">
        <v>5402.0</v>
      </c>
      <c r="E172" s="50">
        <v>39155.0</v>
      </c>
      <c r="F172" s="7" t="s">
        <v>2611</v>
      </c>
      <c r="G172" s="85">
        <v>41934.0</v>
      </c>
      <c r="H172" s="7" t="s">
        <v>440</v>
      </c>
      <c r="I172" s="7" t="s">
        <v>1053</v>
      </c>
      <c r="K172" s="7" t="s">
        <v>2177</v>
      </c>
      <c r="N172" s="7" t="b">
        <v>0</v>
      </c>
      <c r="O172" s="7" t="b">
        <v>0</v>
      </c>
    </row>
    <row r="173">
      <c r="A173" s="7" t="s">
        <v>1723</v>
      </c>
      <c r="B173" s="7" t="s">
        <v>1078</v>
      </c>
      <c r="C173" s="7" t="s">
        <v>443</v>
      </c>
      <c r="D173" s="50">
        <v>610.0</v>
      </c>
      <c r="E173" s="50">
        <v>2554.0</v>
      </c>
      <c r="F173" s="7" t="s">
        <v>2612</v>
      </c>
      <c r="G173" s="85">
        <v>44445.0</v>
      </c>
      <c r="H173" s="7" t="s">
        <v>440</v>
      </c>
      <c r="I173" s="7" t="s">
        <v>443</v>
      </c>
      <c r="K173" s="7" t="s">
        <v>2177</v>
      </c>
      <c r="N173" s="7" t="b">
        <v>0</v>
      </c>
      <c r="O173" s="7" t="b">
        <v>0</v>
      </c>
    </row>
    <row r="174">
      <c r="A174" s="7" t="s">
        <v>1723</v>
      </c>
      <c r="B174" s="7" t="s">
        <v>1078</v>
      </c>
      <c r="C174" s="7" t="s">
        <v>1111</v>
      </c>
      <c r="D174" s="50">
        <v>3.0</v>
      </c>
      <c r="E174" s="50">
        <v>2.0</v>
      </c>
      <c r="F174" s="7" t="s">
        <v>2613</v>
      </c>
      <c r="G174" s="85">
        <v>42355.0</v>
      </c>
      <c r="H174" s="7" t="s">
        <v>440</v>
      </c>
      <c r="I174" s="7" t="s">
        <v>443</v>
      </c>
      <c r="K174" s="7" t="s">
        <v>2177</v>
      </c>
      <c r="N174" s="7" t="b">
        <v>0</v>
      </c>
      <c r="O174" s="7" t="b">
        <v>0</v>
      </c>
    </row>
    <row r="175">
      <c r="A175" s="7" t="s">
        <v>2132</v>
      </c>
      <c r="B175" s="7" t="s">
        <v>440</v>
      </c>
      <c r="C175" s="7" t="s">
        <v>188</v>
      </c>
      <c r="D175" s="50">
        <v>12.0</v>
      </c>
      <c r="E175" s="50">
        <v>6.0</v>
      </c>
      <c r="F175" s="7" t="s">
        <v>2614</v>
      </c>
      <c r="G175" s="85">
        <v>44985.0</v>
      </c>
      <c r="H175" s="7" t="s">
        <v>440</v>
      </c>
      <c r="I175" s="7" t="s">
        <v>188</v>
      </c>
      <c r="K175" s="7" t="s">
        <v>2184</v>
      </c>
      <c r="N175" s="7" t="b">
        <v>0</v>
      </c>
      <c r="O175" s="7" t="b">
        <v>0</v>
      </c>
    </row>
    <row r="176">
      <c r="A176" s="7" t="s">
        <v>2132</v>
      </c>
      <c r="B176" s="7" t="s">
        <v>188</v>
      </c>
      <c r="C176" s="7" t="s">
        <v>1250</v>
      </c>
      <c r="D176" s="7" t="e">
        <v>#N/A</v>
      </c>
      <c r="E176" s="7" t="e">
        <v>#N/A</v>
      </c>
      <c r="F176" s="7" t="s">
        <v>1053</v>
      </c>
      <c r="G176" s="85">
        <v>41682.0</v>
      </c>
      <c r="H176" s="7" t="s">
        <v>470</v>
      </c>
      <c r="I176" s="7" t="s">
        <v>188</v>
      </c>
      <c r="K176" s="7" t="s">
        <v>2177</v>
      </c>
      <c r="N176" s="7" t="b">
        <v>0</v>
      </c>
      <c r="O176" s="7" t="b">
        <v>0</v>
      </c>
    </row>
    <row r="177">
      <c r="A177" s="7" t="s">
        <v>2027</v>
      </c>
      <c r="B177" s="7" t="s">
        <v>440</v>
      </c>
      <c r="C177" s="7" t="s">
        <v>104</v>
      </c>
      <c r="D177" s="50">
        <v>1115.0</v>
      </c>
      <c r="E177" s="50">
        <v>6611.0</v>
      </c>
      <c r="F177" s="7" t="s">
        <v>2615</v>
      </c>
      <c r="G177" s="85">
        <v>43454.0</v>
      </c>
      <c r="H177" s="7" t="s">
        <v>440</v>
      </c>
      <c r="I177" s="7" t="s">
        <v>104</v>
      </c>
      <c r="K177" s="7" t="s">
        <v>2177</v>
      </c>
      <c r="N177" s="7" t="b">
        <v>0</v>
      </c>
      <c r="O177" s="7" t="b">
        <v>0</v>
      </c>
    </row>
    <row r="178">
      <c r="A178" s="7" t="s">
        <v>2027</v>
      </c>
      <c r="B178" s="7" t="s">
        <v>1293</v>
      </c>
      <c r="C178" s="7" t="s">
        <v>104</v>
      </c>
      <c r="D178" s="50">
        <v>15096.0</v>
      </c>
      <c r="E178" s="50">
        <v>51869.0</v>
      </c>
      <c r="F178" s="7" t="s">
        <v>2616</v>
      </c>
      <c r="G178" s="85">
        <v>44418.0</v>
      </c>
      <c r="H178" s="7" t="s">
        <v>101</v>
      </c>
      <c r="I178" s="7" t="s">
        <v>104</v>
      </c>
      <c r="K178" s="7" t="s">
        <v>2177</v>
      </c>
      <c r="N178" s="7" t="b">
        <v>0</v>
      </c>
      <c r="O178" s="7" t="b">
        <v>0</v>
      </c>
    </row>
    <row r="179">
      <c r="A179" s="7" t="s">
        <v>2027</v>
      </c>
      <c r="B179" s="7" t="s">
        <v>613</v>
      </c>
      <c r="C179" s="7" t="s">
        <v>104</v>
      </c>
      <c r="D179" s="50">
        <v>176.0</v>
      </c>
      <c r="E179" s="50">
        <v>374.0</v>
      </c>
      <c r="F179" s="7" t="s">
        <v>2545</v>
      </c>
      <c r="G179" s="85">
        <v>44719.0</v>
      </c>
      <c r="H179" s="7" t="s">
        <v>101</v>
      </c>
      <c r="I179" s="7" t="s">
        <v>104</v>
      </c>
      <c r="K179" s="7" t="s">
        <v>2177</v>
      </c>
      <c r="N179" s="7" t="b">
        <v>0</v>
      </c>
      <c r="O179" s="7" t="b">
        <v>0</v>
      </c>
    </row>
    <row r="180">
      <c r="A180" s="7" t="s">
        <v>2135</v>
      </c>
      <c r="B180" s="7" t="s">
        <v>1242</v>
      </c>
      <c r="C180" s="7" t="s">
        <v>1243</v>
      </c>
      <c r="D180" s="50">
        <v>31.0</v>
      </c>
      <c r="E180" s="50">
        <v>1.0</v>
      </c>
      <c r="F180" s="7" t="s">
        <v>2617</v>
      </c>
      <c r="G180" s="7" t="s">
        <v>1053</v>
      </c>
      <c r="H180" s="7" t="s">
        <v>1242</v>
      </c>
      <c r="I180" s="7" t="s">
        <v>1053</v>
      </c>
      <c r="K180" s="7" t="s">
        <v>2177</v>
      </c>
      <c r="N180" s="7" t="b">
        <v>0</v>
      </c>
      <c r="O180" s="7" t="b">
        <v>0</v>
      </c>
    </row>
    <row r="181">
      <c r="A181" s="7" t="s">
        <v>2135</v>
      </c>
      <c r="B181" s="7" t="s">
        <v>1242</v>
      </c>
      <c r="C181" s="7" t="s">
        <v>953</v>
      </c>
      <c r="D181" s="50">
        <v>10.0</v>
      </c>
      <c r="E181" s="50">
        <v>1.0</v>
      </c>
      <c r="F181" s="7" t="s">
        <v>2618</v>
      </c>
      <c r="G181" s="85">
        <v>43264.0</v>
      </c>
      <c r="H181" s="7" t="s">
        <v>555</v>
      </c>
      <c r="I181" s="7" t="s">
        <v>953</v>
      </c>
      <c r="K181" s="7" t="s">
        <v>2177</v>
      </c>
      <c r="N181" s="7" t="b">
        <v>0</v>
      </c>
      <c r="O181" s="7" t="b">
        <v>0</v>
      </c>
    </row>
    <row r="182">
      <c r="A182" s="7" t="s">
        <v>2135</v>
      </c>
      <c r="B182" s="7" t="s">
        <v>1242</v>
      </c>
      <c r="C182" s="7" t="s">
        <v>1246</v>
      </c>
      <c r="D182" s="50">
        <v>32.0</v>
      </c>
      <c r="E182" s="50">
        <v>4.0</v>
      </c>
      <c r="F182" s="7" t="s">
        <v>2619</v>
      </c>
      <c r="G182" s="85">
        <v>43573.0</v>
      </c>
      <c r="H182" s="7" t="s">
        <v>555</v>
      </c>
      <c r="I182" s="7" t="s">
        <v>1053</v>
      </c>
      <c r="K182" s="7" t="s">
        <v>2177</v>
      </c>
      <c r="N182" s="7" t="b">
        <v>0</v>
      </c>
      <c r="O182" s="7" t="b">
        <v>0</v>
      </c>
    </row>
    <row r="183">
      <c r="A183" s="7" t="s">
        <v>2135</v>
      </c>
      <c r="B183" s="7" t="s">
        <v>1085</v>
      </c>
      <c r="C183" s="7" t="s">
        <v>1335</v>
      </c>
      <c r="D183" s="50">
        <v>4031.0</v>
      </c>
      <c r="E183" s="50">
        <v>24465.0</v>
      </c>
      <c r="F183" s="7" t="s">
        <v>2620</v>
      </c>
      <c r="G183" s="85">
        <v>45811.0</v>
      </c>
      <c r="H183" s="7" t="s">
        <v>1242</v>
      </c>
      <c r="K183" s="7" t="s">
        <v>2184</v>
      </c>
      <c r="N183" s="7" t="b">
        <v>0</v>
      </c>
      <c r="O183" s="7" t="b">
        <v>0</v>
      </c>
    </row>
    <row r="184">
      <c r="A184" s="7" t="s">
        <v>2135</v>
      </c>
      <c r="B184" s="7" t="s">
        <v>1085</v>
      </c>
      <c r="C184" s="7" t="s">
        <v>1336</v>
      </c>
      <c r="D184" s="50">
        <v>23925.0</v>
      </c>
      <c r="E184" s="50">
        <v>165351.0</v>
      </c>
      <c r="F184" s="7" t="s">
        <v>2621</v>
      </c>
      <c r="G184" s="85">
        <v>45328.0</v>
      </c>
      <c r="H184" s="7" t="s">
        <v>1242</v>
      </c>
      <c r="K184" s="7" t="s">
        <v>2184</v>
      </c>
      <c r="N184" s="7" t="b">
        <v>0</v>
      </c>
      <c r="O184" s="7" t="b">
        <v>0</v>
      </c>
    </row>
    <row r="185">
      <c r="A185" s="7" t="s">
        <v>2135</v>
      </c>
      <c r="B185" s="7" t="s">
        <v>1090</v>
      </c>
      <c r="C185" s="7" t="s">
        <v>1336</v>
      </c>
      <c r="D185" s="50">
        <v>7462.0</v>
      </c>
      <c r="E185" s="50">
        <v>25065.0</v>
      </c>
      <c r="F185" s="7" t="s">
        <v>2622</v>
      </c>
      <c r="G185" s="85">
        <v>42636.0</v>
      </c>
      <c r="H185" s="7" t="s">
        <v>1242</v>
      </c>
      <c r="K185" s="7" t="s">
        <v>2177</v>
      </c>
      <c r="N185" s="7" t="b">
        <v>0</v>
      </c>
      <c r="O185" s="7" t="b">
        <v>0</v>
      </c>
    </row>
    <row r="186">
      <c r="A186" s="7" t="s">
        <v>1467</v>
      </c>
      <c r="B186" s="7" t="s">
        <v>1242</v>
      </c>
      <c r="C186" s="7" t="s">
        <v>1245</v>
      </c>
      <c r="D186" s="50">
        <v>1976.0</v>
      </c>
      <c r="E186" s="50">
        <v>33543.0</v>
      </c>
      <c r="F186" s="7" t="s">
        <v>2623</v>
      </c>
      <c r="G186" s="85">
        <v>43860.0</v>
      </c>
      <c r="H186" s="7" t="s">
        <v>1242</v>
      </c>
      <c r="I186" s="7" t="s">
        <v>43</v>
      </c>
      <c r="K186" s="7" t="s">
        <v>2177</v>
      </c>
      <c r="N186" s="7" t="b">
        <v>0</v>
      </c>
      <c r="O186" s="7" t="b">
        <v>0</v>
      </c>
    </row>
    <row r="187">
      <c r="A187" s="7" t="s">
        <v>1467</v>
      </c>
      <c r="B187" s="7" t="s">
        <v>1242</v>
      </c>
      <c r="C187" s="7" t="s">
        <v>43</v>
      </c>
      <c r="D187" s="50">
        <v>36.0</v>
      </c>
      <c r="E187" s="50">
        <v>1.0</v>
      </c>
      <c r="F187" s="7" t="s">
        <v>2624</v>
      </c>
      <c r="G187" s="7" t="s">
        <v>1053</v>
      </c>
      <c r="H187" s="7" t="s">
        <v>38</v>
      </c>
      <c r="I187" s="7" t="s">
        <v>43</v>
      </c>
      <c r="K187" s="7" t="s">
        <v>2177</v>
      </c>
      <c r="N187" s="7" t="b">
        <v>0</v>
      </c>
      <c r="O187" s="7" t="b">
        <v>0</v>
      </c>
    </row>
    <row r="188">
      <c r="A188" s="7" t="s">
        <v>1467</v>
      </c>
      <c r="B188" s="7" t="s">
        <v>1068</v>
      </c>
      <c r="C188" s="7" t="s">
        <v>1225</v>
      </c>
      <c r="D188" s="50">
        <v>3.0</v>
      </c>
      <c r="E188" s="50">
        <v>1.0</v>
      </c>
      <c r="F188" s="7" t="s">
        <v>2477</v>
      </c>
      <c r="G188" s="7" t="s">
        <v>1053</v>
      </c>
      <c r="H188" s="7" t="s">
        <v>38</v>
      </c>
      <c r="I188" s="7" t="s">
        <v>43</v>
      </c>
      <c r="K188" s="7" t="s">
        <v>2177</v>
      </c>
      <c r="N188" s="7" t="b">
        <v>0</v>
      </c>
      <c r="O188" s="7" t="b">
        <v>0</v>
      </c>
    </row>
    <row r="189">
      <c r="A189" s="7" t="s">
        <v>1467</v>
      </c>
      <c r="B189" s="7" t="s">
        <v>1068</v>
      </c>
      <c r="C189" s="7" t="s">
        <v>1229</v>
      </c>
      <c r="D189" s="50">
        <v>50.0</v>
      </c>
      <c r="E189" s="50">
        <v>44.0</v>
      </c>
      <c r="F189" s="7" t="s">
        <v>2625</v>
      </c>
      <c r="G189" s="85">
        <v>43244.0</v>
      </c>
      <c r="H189" s="7" t="s">
        <v>717</v>
      </c>
      <c r="I189" s="7" t="s">
        <v>43</v>
      </c>
      <c r="K189" s="7" t="s">
        <v>2177</v>
      </c>
      <c r="N189" s="7" t="b">
        <v>0</v>
      </c>
      <c r="O189" s="7" t="b">
        <v>0</v>
      </c>
    </row>
    <row r="190">
      <c r="A190" s="7" t="s">
        <v>1467</v>
      </c>
      <c r="B190" s="7" t="s">
        <v>1075</v>
      </c>
      <c r="C190" s="7" t="s">
        <v>1188</v>
      </c>
      <c r="D190" s="50">
        <v>11.0</v>
      </c>
      <c r="E190" s="50">
        <v>2.0</v>
      </c>
      <c r="F190" s="7" t="s">
        <v>2626</v>
      </c>
      <c r="G190" s="7" t="s">
        <v>1053</v>
      </c>
      <c r="H190" s="7" t="s">
        <v>38</v>
      </c>
      <c r="I190" s="7" t="s">
        <v>43</v>
      </c>
      <c r="K190" s="7" t="s">
        <v>2177</v>
      </c>
      <c r="N190" s="7" t="b">
        <v>0</v>
      </c>
      <c r="O190" s="7" t="b">
        <v>0</v>
      </c>
    </row>
    <row r="191">
      <c r="A191" s="7" t="s">
        <v>1467</v>
      </c>
      <c r="B191" s="7" t="s">
        <v>1085</v>
      </c>
      <c r="C191" s="7" t="s">
        <v>1134</v>
      </c>
      <c r="D191" s="50">
        <v>62.0</v>
      </c>
      <c r="E191" s="50">
        <v>197.0</v>
      </c>
      <c r="F191" s="7" t="s">
        <v>2627</v>
      </c>
      <c r="G191" s="85">
        <v>43014.0</v>
      </c>
      <c r="K191" s="7" t="s">
        <v>2177</v>
      </c>
      <c r="N191" s="7" t="b">
        <v>0</v>
      </c>
      <c r="O191" s="7" t="b">
        <v>0</v>
      </c>
    </row>
    <row r="192">
      <c r="A192" s="7" t="s">
        <v>1467</v>
      </c>
      <c r="B192" s="7" t="s">
        <v>1085</v>
      </c>
      <c r="C192" s="7" t="s">
        <v>43</v>
      </c>
      <c r="D192" s="50">
        <v>21.0</v>
      </c>
      <c r="E192" s="50">
        <v>30.0</v>
      </c>
      <c r="F192" s="7" t="s">
        <v>2628</v>
      </c>
      <c r="G192" s="85">
        <v>42962.0</v>
      </c>
      <c r="H192" s="7" t="s">
        <v>38</v>
      </c>
      <c r="I192" s="7" t="s">
        <v>43</v>
      </c>
      <c r="K192" s="7" t="s">
        <v>2177</v>
      </c>
      <c r="N192" s="7" t="b">
        <v>0</v>
      </c>
      <c r="O192" s="7" t="b">
        <v>0</v>
      </c>
    </row>
    <row r="193">
      <c r="A193" s="7" t="s">
        <v>1467</v>
      </c>
      <c r="B193" s="7" t="s">
        <v>1096</v>
      </c>
      <c r="C193" s="7" t="s">
        <v>1356</v>
      </c>
      <c r="D193" s="50">
        <v>5825.0</v>
      </c>
      <c r="E193" s="50">
        <v>89729.0</v>
      </c>
      <c r="F193" s="7" t="s">
        <v>2629</v>
      </c>
      <c r="G193" s="85">
        <v>44322.0</v>
      </c>
      <c r="H193" s="7" t="s">
        <v>717</v>
      </c>
      <c r="I193" s="7" t="s">
        <v>43</v>
      </c>
      <c r="K193" s="7" t="s">
        <v>2177</v>
      </c>
      <c r="N193" s="7" t="b">
        <v>0</v>
      </c>
      <c r="O193" s="7" t="b">
        <v>0</v>
      </c>
    </row>
    <row r="194">
      <c r="A194" s="7" t="s">
        <v>1421</v>
      </c>
      <c r="B194" s="7" t="s">
        <v>1242</v>
      </c>
      <c r="C194" s="7" t="s">
        <v>48</v>
      </c>
      <c r="D194" s="50">
        <v>21644.0</v>
      </c>
      <c r="E194" s="50">
        <v>99138.0</v>
      </c>
      <c r="F194" s="7" t="s">
        <v>2630</v>
      </c>
      <c r="G194" s="85">
        <v>45846.0</v>
      </c>
      <c r="H194" s="7" t="s">
        <v>38</v>
      </c>
      <c r="I194" s="7" t="s">
        <v>48</v>
      </c>
      <c r="K194" s="7" t="s">
        <v>2184</v>
      </c>
      <c r="N194" s="7" t="b">
        <v>0</v>
      </c>
      <c r="O194" s="7" t="b">
        <v>0</v>
      </c>
    </row>
    <row r="195">
      <c r="A195" s="7" t="s">
        <v>1421</v>
      </c>
      <c r="B195" s="7" t="s">
        <v>1085</v>
      </c>
      <c r="C195" s="7" t="s">
        <v>1109</v>
      </c>
      <c r="D195" s="50">
        <v>139.0</v>
      </c>
      <c r="E195" s="50">
        <v>1590.0</v>
      </c>
      <c r="F195" s="7" t="s">
        <v>2631</v>
      </c>
      <c r="G195" s="85">
        <v>43460.0</v>
      </c>
      <c r="H195" s="7" t="s">
        <v>1242</v>
      </c>
      <c r="K195" s="7" t="s">
        <v>2177</v>
      </c>
      <c r="N195" s="7" t="b">
        <v>0</v>
      </c>
      <c r="O195" s="7" t="b">
        <v>0</v>
      </c>
    </row>
    <row r="196">
      <c r="A196" s="7" t="s">
        <v>1421</v>
      </c>
      <c r="B196" s="7" t="s">
        <v>1085</v>
      </c>
      <c r="C196" s="7" t="s">
        <v>48</v>
      </c>
      <c r="D196" s="50">
        <v>5233.0</v>
      </c>
      <c r="E196" s="50">
        <v>53949.0</v>
      </c>
      <c r="F196" s="7" t="s">
        <v>2632</v>
      </c>
      <c r="G196" s="85">
        <v>43236.0</v>
      </c>
      <c r="H196" s="7" t="s">
        <v>38</v>
      </c>
      <c r="I196" s="7" t="s">
        <v>48</v>
      </c>
      <c r="K196" s="7" t="s">
        <v>2177</v>
      </c>
      <c r="N196" s="7" t="b">
        <v>0</v>
      </c>
      <c r="O196" s="7" t="b">
        <v>0</v>
      </c>
    </row>
    <row r="197">
      <c r="A197" s="7" t="s">
        <v>1498</v>
      </c>
      <c r="B197" s="7" t="s">
        <v>1272</v>
      </c>
      <c r="C197" s="7" t="s">
        <v>286</v>
      </c>
      <c r="D197" s="50">
        <v>299.0</v>
      </c>
      <c r="E197" s="50">
        <v>15808.0</v>
      </c>
      <c r="F197" s="7" t="s">
        <v>2560</v>
      </c>
      <c r="G197" s="85">
        <v>44028.0</v>
      </c>
      <c r="H197" s="7" t="s">
        <v>854</v>
      </c>
      <c r="I197" s="7" t="s">
        <v>286</v>
      </c>
      <c r="K197" s="7" t="s">
        <v>2177</v>
      </c>
      <c r="N197" s="7" t="b">
        <v>0</v>
      </c>
      <c r="O197" s="7" t="b">
        <v>0</v>
      </c>
    </row>
    <row r="198">
      <c r="A198" s="7" t="s">
        <v>1063</v>
      </c>
      <c r="B198" s="7" t="s">
        <v>298</v>
      </c>
      <c r="C198" s="7" t="s">
        <v>1283</v>
      </c>
      <c r="D198" s="50">
        <v>32.0</v>
      </c>
      <c r="E198" s="50">
        <v>18.0</v>
      </c>
      <c r="F198" s="7" t="s">
        <v>2633</v>
      </c>
      <c r="G198" s="85">
        <v>44764.0</v>
      </c>
      <c r="H198" s="7" t="s">
        <v>298</v>
      </c>
      <c r="I198" s="7" t="s">
        <v>1053</v>
      </c>
      <c r="K198" s="7" t="s">
        <v>2177</v>
      </c>
      <c r="N198" s="7" t="b">
        <v>0</v>
      </c>
      <c r="O198" s="7" t="b">
        <v>0</v>
      </c>
    </row>
    <row r="199">
      <c r="A199" s="7" t="s">
        <v>1063</v>
      </c>
      <c r="B199" s="7" t="s">
        <v>298</v>
      </c>
      <c r="C199" s="7" t="s">
        <v>1111</v>
      </c>
      <c r="D199" s="50">
        <v>40275.0</v>
      </c>
      <c r="E199" s="50">
        <v>347392.0</v>
      </c>
      <c r="F199" s="7" t="s">
        <v>2634</v>
      </c>
      <c r="G199" s="85">
        <v>45846.0</v>
      </c>
      <c r="H199" s="7" t="s">
        <v>298</v>
      </c>
      <c r="I199" s="7" t="s">
        <v>1053</v>
      </c>
      <c r="K199" s="7" t="s">
        <v>2184</v>
      </c>
      <c r="N199" s="7" t="b">
        <v>0</v>
      </c>
      <c r="O199" s="7" t="b">
        <v>0</v>
      </c>
    </row>
    <row r="200">
      <c r="A200" s="7" t="s">
        <v>1063</v>
      </c>
      <c r="B200" s="7" t="s">
        <v>1062</v>
      </c>
      <c r="C200" s="7" t="s">
        <v>1237</v>
      </c>
      <c r="D200" s="50">
        <v>12907.0</v>
      </c>
      <c r="E200" s="50">
        <v>67943.0</v>
      </c>
      <c r="F200" s="7" t="s">
        <v>2635</v>
      </c>
      <c r="G200" s="85">
        <v>45064.0</v>
      </c>
      <c r="H200" s="7" t="s">
        <v>298</v>
      </c>
      <c r="K200" s="7" t="s">
        <v>2184</v>
      </c>
      <c r="N200" s="7" t="b">
        <v>0</v>
      </c>
      <c r="O200" s="7" t="b">
        <v>0</v>
      </c>
    </row>
    <row r="201">
      <c r="A201" s="7" t="s">
        <v>1063</v>
      </c>
      <c r="B201" s="7" t="s">
        <v>1065</v>
      </c>
      <c r="C201" s="7" t="s">
        <v>1320</v>
      </c>
      <c r="D201" s="50">
        <v>12.0</v>
      </c>
      <c r="E201" s="50">
        <v>7.0</v>
      </c>
      <c r="F201" s="7" t="s">
        <v>2636</v>
      </c>
      <c r="G201" s="85">
        <v>42897.0</v>
      </c>
      <c r="H201" s="7" t="s">
        <v>298</v>
      </c>
      <c r="K201" s="7" t="s">
        <v>2177</v>
      </c>
      <c r="N201" s="7" t="b">
        <v>0</v>
      </c>
      <c r="O201" s="7" t="b">
        <v>0</v>
      </c>
    </row>
    <row r="202">
      <c r="A202" s="7" t="s">
        <v>1798</v>
      </c>
      <c r="B202" s="7" t="s">
        <v>298</v>
      </c>
      <c r="C202" s="7" t="s">
        <v>798</v>
      </c>
      <c r="D202" s="50">
        <v>17.0</v>
      </c>
      <c r="E202" s="50">
        <v>2.0</v>
      </c>
      <c r="F202" s="7" t="s">
        <v>2637</v>
      </c>
      <c r="G202" s="85">
        <v>45280.0</v>
      </c>
      <c r="H202" s="7" t="s">
        <v>298</v>
      </c>
      <c r="I202" s="7" t="s">
        <v>798</v>
      </c>
      <c r="K202" s="7" t="s">
        <v>2184</v>
      </c>
      <c r="N202" s="7" t="b">
        <v>0</v>
      </c>
      <c r="O202" s="7" t="b">
        <v>0</v>
      </c>
    </row>
    <row r="203">
      <c r="A203" s="7" t="s">
        <v>2142</v>
      </c>
      <c r="B203" s="7" t="s">
        <v>298</v>
      </c>
      <c r="C203" s="7" t="s">
        <v>1284</v>
      </c>
      <c r="D203" s="50">
        <v>20.0</v>
      </c>
      <c r="E203" s="50">
        <v>55046.0</v>
      </c>
      <c r="F203" s="7" t="s">
        <v>2638</v>
      </c>
      <c r="G203" s="7" t="s">
        <v>1053</v>
      </c>
      <c r="H203" s="7" t="s">
        <v>298</v>
      </c>
      <c r="I203" s="7" t="s">
        <v>795</v>
      </c>
      <c r="K203" s="7" t="s">
        <v>2184</v>
      </c>
      <c r="N203" s="7" t="b">
        <v>0</v>
      </c>
      <c r="O203" s="7" t="b">
        <v>0</v>
      </c>
    </row>
    <row r="204">
      <c r="A204" s="7" t="s">
        <v>2144</v>
      </c>
      <c r="B204" s="7" t="s">
        <v>298</v>
      </c>
      <c r="C204" s="7" t="s">
        <v>802</v>
      </c>
      <c r="D204" s="50">
        <v>877.0</v>
      </c>
      <c r="E204" s="50">
        <v>10440.0</v>
      </c>
      <c r="F204" s="7" t="s">
        <v>2639</v>
      </c>
      <c r="G204" s="85">
        <v>45838.0</v>
      </c>
      <c r="H204" s="7" t="s">
        <v>298</v>
      </c>
      <c r="I204" s="7" t="s">
        <v>802</v>
      </c>
      <c r="K204" s="7" t="s">
        <v>2184</v>
      </c>
      <c r="N204" s="7" t="b">
        <v>0</v>
      </c>
      <c r="O204" s="7" t="b">
        <v>0</v>
      </c>
    </row>
    <row r="205">
      <c r="A205" s="7" t="s">
        <v>2144</v>
      </c>
      <c r="B205" s="7" t="s">
        <v>1062</v>
      </c>
      <c r="C205" s="7" t="s">
        <v>802</v>
      </c>
      <c r="D205" s="50">
        <v>1204.0</v>
      </c>
      <c r="E205" s="50">
        <v>11784.0</v>
      </c>
      <c r="F205" s="7" t="s">
        <v>2640</v>
      </c>
      <c r="G205" s="85">
        <v>44482.0</v>
      </c>
      <c r="H205" s="7" t="s">
        <v>298</v>
      </c>
      <c r="I205" s="7" t="s">
        <v>802</v>
      </c>
      <c r="K205" s="7" t="s">
        <v>2177</v>
      </c>
      <c r="N205" s="7" t="b">
        <v>0</v>
      </c>
      <c r="O205" s="7" t="b">
        <v>0</v>
      </c>
    </row>
    <row r="206">
      <c r="A206" s="7" t="s">
        <v>1790</v>
      </c>
      <c r="B206" s="7" t="s">
        <v>298</v>
      </c>
      <c r="C206" s="7" t="s">
        <v>304</v>
      </c>
      <c r="D206" s="50">
        <v>13.0</v>
      </c>
      <c r="E206" s="50">
        <v>2.0</v>
      </c>
      <c r="F206" s="7" t="s">
        <v>2641</v>
      </c>
      <c r="G206" s="7" t="s">
        <v>1053</v>
      </c>
      <c r="H206" s="7" t="s">
        <v>298</v>
      </c>
      <c r="I206" s="7" t="s">
        <v>304</v>
      </c>
      <c r="K206" s="7" t="s">
        <v>2184</v>
      </c>
      <c r="N206" s="7" t="b">
        <v>0</v>
      </c>
      <c r="O206" s="7" t="b">
        <v>0</v>
      </c>
    </row>
    <row r="207">
      <c r="A207" s="7" t="s">
        <v>2147</v>
      </c>
      <c r="B207" s="7" t="s">
        <v>1054</v>
      </c>
      <c r="C207" s="7" t="s">
        <v>359</v>
      </c>
      <c r="D207" s="50">
        <v>38.0</v>
      </c>
      <c r="E207" s="50">
        <v>558.0</v>
      </c>
      <c r="F207" s="7" t="s">
        <v>2642</v>
      </c>
      <c r="G207" s="85">
        <v>43804.0</v>
      </c>
      <c r="H207" s="7" t="s">
        <v>353</v>
      </c>
      <c r="I207" s="7" t="s">
        <v>359</v>
      </c>
      <c r="K207" s="7" t="s">
        <v>2177</v>
      </c>
      <c r="N207" s="7" t="b">
        <v>0</v>
      </c>
      <c r="O207" s="7" t="b">
        <v>0</v>
      </c>
    </row>
    <row r="208">
      <c r="A208" s="7" t="s">
        <v>2149</v>
      </c>
      <c r="B208" s="7" t="s">
        <v>613</v>
      </c>
      <c r="C208" s="7" t="s">
        <v>106</v>
      </c>
      <c r="D208" s="50">
        <v>7030.0</v>
      </c>
      <c r="E208" s="50">
        <v>76429.0</v>
      </c>
      <c r="F208" s="7" t="s">
        <v>2643</v>
      </c>
      <c r="G208" s="85">
        <v>45847.0</v>
      </c>
      <c r="H208" s="7" t="s">
        <v>101</v>
      </c>
      <c r="I208" s="7" t="s">
        <v>106</v>
      </c>
      <c r="K208" s="7" t="s">
        <v>2184</v>
      </c>
      <c r="N208" s="7" t="b">
        <v>0</v>
      </c>
      <c r="O208" s="7" t="b">
        <v>0</v>
      </c>
    </row>
    <row r="209">
      <c r="A209" s="7" t="s">
        <v>1547</v>
      </c>
      <c r="B209" s="7" t="s">
        <v>1085</v>
      </c>
      <c r="C209" s="7" t="s">
        <v>1246</v>
      </c>
      <c r="D209" s="50">
        <v>11.0</v>
      </c>
      <c r="E209" s="50">
        <v>12.0</v>
      </c>
      <c r="F209" s="7" t="s">
        <v>2644</v>
      </c>
      <c r="G209" s="85">
        <v>43505.0</v>
      </c>
      <c r="H209" s="7" t="s">
        <v>1242</v>
      </c>
      <c r="K209" s="7" t="s">
        <v>2177</v>
      </c>
      <c r="N209" s="7" t="b">
        <v>0</v>
      </c>
      <c r="O209" s="7" t="b">
        <v>0</v>
      </c>
    </row>
    <row r="210">
      <c r="A210" s="7" t="s">
        <v>2152</v>
      </c>
      <c r="B210" s="7" t="s">
        <v>1085</v>
      </c>
      <c r="C210" s="7" t="s">
        <v>51</v>
      </c>
      <c r="D210" s="50">
        <v>9.0</v>
      </c>
      <c r="E210" s="50">
        <v>2.0</v>
      </c>
      <c r="F210" s="7" t="s">
        <v>2645</v>
      </c>
      <c r="G210" s="85">
        <v>43189.0</v>
      </c>
      <c r="H210" s="7" t="s">
        <v>38</v>
      </c>
      <c r="I210" s="7" t="s">
        <v>51</v>
      </c>
      <c r="K210" s="7" t="s">
        <v>2177</v>
      </c>
      <c r="N210" s="7" t="b">
        <v>0</v>
      </c>
      <c r="O210" s="7" t="b">
        <v>0</v>
      </c>
    </row>
    <row r="211">
      <c r="A211" s="7" t="s">
        <v>2154</v>
      </c>
      <c r="B211" s="7" t="s">
        <v>1096</v>
      </c>
      <c r="C211" s="7" t="s">
        <v>1360</v>
      </c>
      <c r="D211" s="50">
        <v>46.0</v>
      </c>
      <c r="E211" s="50">
        <v>2.0</v>
      </c>
      <c r="F211" s="7" t="s">
        <v>2646</v>
      </c>
      <c r="G211" s="7" t="s">
        <v>1053</v>
      </c>
      <c r="H211" s="7" t="s">
        <v>717</v>
      </c>
      <c r="I211" s="7" t="s">
        <v>730</v>
      </c>
      <c r="K211" s="7" t="s">
        <v>2177</v>
      </c>
      <c r="N211" s="7" t="b">
        <v>0</v>
      </c>
      <c r="O211" s="7" t="b">
        <v>0</v>
      </c>
    </row>
    <row r="212">
      <c r="A212" s="7" t="s">
        <v>2156</v>
      </c>
      <c r="B212" s="7" t="s">
        <v>1096</v>
      </c>
      <c r="C212" s="7" t="s">
        <v>148</v>
      </c>
      <c r="D212" s="50">
        <v>536.0</v>
      </c>
      <c r="E212" s="50">
        <v>2627.0</v>
      </c>
      <c r="F212" s="7" t="s">
        <v>2647</v>
      </c>
      <c r="G212" s="85">
        <v>45587.0</v>
      </c>
      <c r="H212" s="7" t="s">
        <v>140</v>
      </c>
      <c r="I212" s="7" t="s">
        <v>148</v>
      </c>
      <c r="K212" s="7" t="s">
        <v>2184</v>
      </c>
      <c r="N212" s="7" t="b">
        <v>0</v>
      </c>
      <c r="O212" s="7" t="b">
        <v>0</v>
      </c>
    </row>
    <row r="213">
      <c r="A213" s="7" t="s">
        <v>2158</v>
      </c>
      <c r="B213" s="7" t="s">
        <v>1100</v>
      </c>
      <c r="C213" s="7" t="s">
        <v>1101</v>
      </c>
      <c r="D213" s="50">
        <v>4.0</v>
      </c>
      <c r="E213" s="50">
        <v>0.0</v>
      </c>
      <c r="F213" s="7" t="s">
        <v>2648</v>
      </c>
      <c r="G213" s="7" t="s">
        <v>1053</v>
      </c>
      <c r="H213" s="7" t="s">
        <v>717</v>
      </c>
      <c r="I213" s="7" t="s">
        <v>2175</v>
      </c>
      <c r="N213" s="7" t="b">
        <v>0</v>
      </c>
      <c r="O213" s="7" t="b">
        <v>0</v>
      </c>
    </row>
    <row r="214">
      <c r="A214" s="7" t="s">
        <v>2158</v>
      </c>
      <c r="B214" s="7" t="s">
        <v>1100</v>
      </c>
      <c r="C214" s="7" t="s">
        <v>444</v>
      </c>
      <c r="D214" s="50">
        <v>3.0</v>
      </c>
      <c r="E214" s="50">
        <v>0.0</v>
      </c>
      <c r="F214" s="7" t="s">
        <v>2649</v>
      </c>
      <c r="G214" s="7" t="s">
        <v>1053</v>
      </c>
      <c r="H214" s="7" t="s">
        <v>717</v>
      </c>
      <c r="I214" s="7" t="s">
        <v>2175</v>
      </c>
      <c r="N214" s="7" t="b">
        <v>0</v>
      </c>
      <c r="O214" s="7" t="b">
        <v>0</v>
      </c>
    </row>
    <row r="215">
      <c r="A215" s="7" t="s">
        <v>2158</v>
      </c>
      <c r="B215" s="7" t="s">
        <v>1100</v>
      </c>
      <c r="C215" s="7" t="s">
        <v>56</v>
      </c>
      <c r="D215" s="50">
        <v>3.0</v>
      </c>
      <c r="E215" s="50">
        <v>0.0</v>
      </c>
      <c r="F215" s="7" t="s">
        <v>2649</v>
      </c>
      <c r="G215" s="7" t="s">
        <v>1053</v>
      </c>
      <c r="H215" s="7" t="s">
        <v>717</v>
      </c>
      <c r="I215" s="7" t="s">
        <v>2175</v>
      </c>
      <c r="N215" s="7" t="b">
        <v>0</v>
      </c>
      <c r="O215" s="7" t="b">
        <v>0</v>
      </c>
    </row>
    <row r="216">
      <c r="A216" s="7" t="s">
        <v>2158</v>
      </c>
      <c r="B216" s="7" t="s">
        <v>1100</v>
      </c>
      <c r="C216" s="7" t="s">
        <v>1104</v>
      </c>
      <c r="D216" s="50">
        <v>2.0</v>
      </c>
      <c r="E216" s="50">
        <v>0.0</v>
      </c>
      <c r="F216" s="7" t="s">
        <v>2650</v>
      </c>
      <c r="G216" s="7" t="s">
        <v>1053</v>
      </c>
      <c r="H216" s="7" t="s">
        <v>717</v>
      </c>
      <c r="I216" s="7" t="s">
        <v>2175</v>
      </c>
      <c r="N216" s="7" t="b">
        <v>0</v>
      </c>
      <c r="O216" s="7" t="b">
        <v>0</v>
      </c>
    </row>
    <row r="217">
      <c r="A217" s="7" t="s">
        <v>2158</v>
      </c>
      <c r="B217" s="7" t="s">
        <v>1106</v>
      </c>
      <c r="C217" s="7" t="s">
        <v>1112</v>
      </c>
      <c r="D217" s="50">
        <v>29.0</v>
      </c>
      <c r="E217" s="50">
        <v>0.0</v>
      </c>
      <c r="F217" s="7" t="s">
        <v>2651</v>
      </c>
      <c r="G217" s="7" t="s">
        <v>1053</v>
      </c>
      <c r="H217" s="7" t="s">
        <v>391</v>
      </c>
      <c r="I217" s="7" t="s">
        <v>395</v>
      </c>
      <c r="N217" s="7" t="b">
        <v>0</v>
      </c>
      <c r="O217" s="7" t="b">
        <v>0</v>
      </c>
    </row>
    <row r="218">
      <c r="A218" s="7" t="s">
        <v>2158</v>
      </c>
      <c r="B218" s="7" t="s">
        <v>1114</v>
      </c>
      <c r="C218" s="7" t="s">
        <v>1115</v>
      </c>
      <c r="D218" s="50">
        <v>4.0</v>
      </c>
      <c r="E218" s="50">
        <v>0.0</v>
      </c>
      <c r="F218" s="7" t="s">
        <v>2652</v>
      </c>
      <c r="G218" s="7" t="s">
        <v>1053</v>
      </c>
      <c r="H218" s="7" t="s">
        <v>1117</v>
      </c>
      <c r="N218" s="7" t="b">
        <v>0</v>
      </c>
      <c r="O218" s="7" t="b">
        <v>0</v>
      </c>
    </row>
    <row r="219">
      <c r="A219" s="7" t="s">
        <v>2158</v>
      </c>
      <c r="B219" s="7" t="s">
        <v>1114</v>
      </c>
      <c r="C219" s="7" t="s">
        <v>1118</v>
      </c>
      <c r="D219" s="50">
        <v>2.0</v>
      </c>
      <c r="E219" s="50">
        <v>0.0</v>
      </c>
      <c r="F219" s="7" t="s">
        <v>2653</v>
      </c>
      <c r="G219" s="7" t="s">
        <v>1053</v>
      </c>
      <c r="H219" s="7" t="s">
        <v>1117</v>
      </c>
      <c r="N219" s="7" t="b">
        <v>0</v>
      </c>
      <c r="O219" s="7" t="b">
        <v>0</v>
      </c>
    </row>
    <row r="220">
      <c r="A220" s="7" t="s">
        <v>2158</v>
      </c>
      <c r="B220" s="7" t="s">
        <v>1114</v>
      </c>
      <c r="C220" s="7" t="s">
        <v>1119</v>
      </c>
      <c r="D220" s="50">
        <v>2.0</v>
      </c>
      <c r="E220" s="50">
        <v>0.0</v>
      </c>
      <c r="F220" s="7" t="s">
        <v>2653</v>
      </c>
      <c r="G220" s="7" t="s">
        <v>1053</v>
      </c>
      <c r="H220" s="7" t="s">
        <v>1117</v>
      </c>
      <c r="N220" s="7" t="b">
        <v>0</v>
      </c>
      <c r="O220" s="7" t="b">
        <v>0</v>
      </c>
    </row>
    <row r="221">
      <c r="A221" s="7" t="s">
        <v>2158</v>
      </c>
      <c r="B221" s="7" t="s">
        <v>1114</v>
      </c>
      <c r="C221" s="7" t="s">
        <v>1120</v>
      </c>
      <c r="D221" s="50">
        <v>10.0</v>
      </c>
      <c r="E221" s="50">
        <v>0.0</v>
      </c>
      <c r="F221" s="7" t="s">
        <v>2654</v>
      </c>
      <c r="G221" s="7" t="s">
        <v>1053</v>
      </c>
      <c r="H221" s="7" t="s">
        <v>1117</v>
      </c>
      <c r="N221" s="7" t="b">
        <v>0</v>
      </c>
      <c r="O221" s="7" t="b">
        <v>0</v>
      </c>
    </row>
    <row r="222">
      <c r="A222" s="7" t="s">
        <v>2158</v>
      </c>
      <c r="B222" s="7" t="s">
        <v>1114</v>
      </c>
      <c r="C222" s="7" t="s">
        <v>1121</v>
      </c>
      <c r="D222" s="50">
        <v>4.0</v>
      </c>
      <c r="E222" s="50">
        <v>0.0</v>
      </c>
      <c r="F222" s="7" t="s">
        <v>2655</v>
      </c>
      <c r="G222" s="7" t="s">
        <v>1053</v>
      </c>
      <c r="H222" s="7" t="s">
        <v>1117</v>
      </c>
      <c r="N222" s="7" t="b">
        <v>0</v>
      </c>
      <c r="O222" s="7" t="b">
        <v>0</v>
      </c>
    </row>
    <row r="223">
      <c r="A223" s="7" t="s">
        <v>2158</v>
      </c>
      <c r="B223" s="7" t="s">
        <v>1114</v>
      </c>
      <c r="C223" s="7" t="s">
        <v>1122</v>
      </c>
      <c r="D223" s="50">
        <v>13.0</v>
      </c>
      <c r="E223" s="50">
        <v>0.0</v>
      </c>
      <c r="F223" s="7" t="s">
        <v>2656</v>
      </c>
      <c r="G223" s="7" t="s">
        <v>1053</v>
      </c>
      <c r="H223" s="7" t="s">
        <v>1117</v>
      </c>
      <c r="N223" s="7" t="b">
        <v>0</v>
      </c>
      <c r="O223" s="7" t="b">
        <v>0</v>
      </c>
    </row>
    <row r="224">
      <c r="A224" s="7" t="s">
        <v>2158</v>
      </c>
      <c r="B224" s="7" t="s">
        <v>1114</v>
      </c>
      <c r="C224" s="7" t="s">
        <v>1123</v>
      </c>
      <c r="D224" s="50">
        <v>6.0</v>
      </c>
      <c r="E224" s="50">
        <v>0.0</v>
      </c>
      <c r="F224" s="7" t="s">
        <v>2657</v>
      </c>
      <c r="G224" s="7" t="s">
        <v>1053</v>
      </c>
      <c r="H224" s="7" t="s">
        <v>1117</v>
      </c>
      <c r="N224" s="7" t="b">
        <v>0</v>
      </c>
      <c r="O224" s="7" t="b">
        <v>0</v>
      </c>
    </row>
    <row r="225">
      <c r="A225" s="7" t="s">
        <v>2158</v>
      </c>
      <c r="B225" s="7" t="s">
        <v>1114</v>
      </c>
      <c r="C225" s="7" t="s">
        <v>1124</v>
      </c>
      <c r="D225" s="50">
        <v>4.0</v>
      </c>
      <c r="E225" s="50">
        <v>0.0</v>
      </c>
      <c r="F225" s="7" t="s">
        <v>2658</v>
      </c>
      <c r="G225" s="7" t="s">
        <v>1053</v>
      </c>
      <c r="H225" s="7" t="s">
        <v>1117</v>
      </c>
      <c r="N225" s="7" t="b">
        <v>0</v>
      </c>
      <c r="O225" s="7" t="b">
        <v>0</v>
      </c>
    </row>
    <row r="226">
      <c r="A226" s="7" t="s">
        <v>2158</v>
      </c>
      <c r="B226" s="7" t="s">
        <v>1114</v>
      </c>
      <c r="C226" s="7" t="s">
        <v>1125</v>
      </c>
      <c r="D226" s="50">
        <v>2.0</v>
      </c>
      <c r="E226" s="50">
        <v>0.0</v>
      </c>
      <c r="F226" s="7" t="s">
        <v>2653</v>
      </c>
      <c r="G226" s="7" t="s">
        <v>1053</v>
      </c>
      <c r="H226" s="7" t="s">
        <v>1117</v>
      </c>
      <c r="N226" s="7" t="b">
        <v>0</v>
      </c>
      <c r="O226" s="7" t="b">
        <v>0</v>
      </c>
    </row>
    <row r="227">
      <c r="A227" s="7" t="s">
        <v>2158</v>
      </c>
      <c r="B227" s="7" t="s">
        <v>1114</v>
      </c>
      <c r="C227" s="7" t="s">
        <v>1126</v>
      </c>
      <c r="D227" s="50">
        <v>2.0</v>
      </c>
      <c r="E227" s="50">
        <v>0.0</v>
      </c>
      <c r="F227" s="7" t="s">
        <v>2653</v>
      </c>
      <c r="G227" s="7" t="s">
        <v>1053</v>
      </c>
      <c r="H227" s="7" t="s">
        <v>1117</v>
      </c>
      <c r="N227" s="7" t="b">
        <v>0</v>
      </c>
      <c r="O227" s="7" t="b">
        <v>0</v>
      </c>
    </row>
    <row r="228">
      <c r="A228" s="7" t="s">
        <v>2158</v>
      </c>
      <c r="B228" s="7" t="s">
        <v>1114</v>
      </c>
      <c r="C228" s="7" t="s">
        <v>1127</v>
      </c>
      <c r="D228" s="50">
        <v>4.0</v>
      </c>
      <c r="E228" s="50">
        <v>0.0</v>
      </c>
      <c r="F228" s="7" t="s">
        <v>2648</v>
      </c>
      <c r="G228" s="7" t="s">
        <v>2659</v>
      </c>
      <c r="H228" s="7" t="s">
        <v>1117</v>
      </c>
      <c r="N228" s="7" t="b">
        <v>0</v>
      </c>
      <c r="O228" s="7" t="b">
        <v>0</v>
      </c>
    </row>
    <row r="229">
      <c r="A229" s="7" t="s">
        <v>2158</v>
      </c>
      <c r="B229" s="7" t="s">
        <v>1114</v>
      </c>
      <c r="C229" s="7" t="s">
        <v>1128</v>
      </c>
      <c r="D229" s="50">
        <v>6.0</v>
      </c>
      <c r="E229" s="50">
        <v>0.0</v>
      </c>
      <c r="F229" s="7" t="s">
        <v>2660</v>
      </c>
      <c r="G229" s="7" t="s">
        <v>1053</v>
      </c>
      <c r="H229" s="7" t="s">
        <v>1117</v>
      </c>
      <c r="N229" s="7" t="b">
        <v>0</v>
      </c>
      <c r="O229" s="7" t="b">
        <v>0</v>
      </c>
    </row>
    <row r="230">
      <c r="A230" s="7" t="s">
        <v>2158</v>
      </c>
      <c r="B230" s="7" t="s">
        <v>1114</v>
      </c>
      <c r="C230" s="7" t="s">
        <v>1129</v>
      </c>
      <c r="D230" s="50">
        <v>7.0</v>
      </c>
      <c r="E230" s="50">
        <v>0.0</v>
      </c>
      <c r="F230" s="7" t="s">
        <v>2661</v>
      </c>
      <c r="G230" s="7" t="s">
        <v>1053</v>
      </c>
      <c r="H230" s="7" t="s">
        <v>1117</v>
      </c>
      <c r="N230" s="7" t="b">
        <v>0</v>
      </c>
      <c r="O230" s="7" t="b">
        <v>0</v>
      </c>
    </row>
    <row r="231">
      <c r="A231" s="7" t="s">
        <v>2158</v>
      </c>
      <c r="B231" s="7" t="s">
        <v>1114</v>
      </c>
      <c r="C231" s="7" t="s">
        <v>1130</v>
      </c>
      <c r="D231" s="50">
        <v>9.0</v>
      </c>
      <c r="E231" s="50">
        <v>0.0</v>
      </c>
      <c r="F231" s="7" t="s">
        <v>2662</v>
      </c>
      <c r="G231" s="7" t="s">
        <v>1053</v>
      </c>
      <c r="H231" s="7" t="s">
        <v>1117</v>
      </c>
      <c r="N231" s="7" t="b">
        <v>0</v>
      </c>
      <c r="O231" s="7" t="b">
        <v>0</v>
      </c>
    </row>
    <row r="232">
      <c r="A232" s="7" t="s">
        <v>2158</v>
      </c>
      <c r="B232" s="7" t="s">
        <v>1131</v>
      </c>
      <c r="C232" s="7" t="s">
        <v>286</v>
      </c>
      <c r="D232" s="50">
        <v>6.0</v>
      </c>
      <c r="E232" s="50">
        <v>0.0</v>
      </c>
      <c r="F232" s="7" t="s">
        <v>2663</v>
      </c>
      <c r="G232" s="7" t="s">
        <v>1053</v>
      </c>
      <c r="H232" s="7" t="s">
        <v>281</v>
      </c>
      <c r="I232" s="7" t="s">
        <v>286</v>
      </c>
      <c r="N232" s="7" t="b">
        <v>0</v>
      </c>
      <c r="O232" s="7" t="b">
        <v>0</v>
      </c>
    </row>
    <row r="233">
      <c r="A233" s="7" t="s">
        <v>2158</v>
      </c>
      <c r="B233" s="7" t="s">
        <v>478</v>
      </c>
      <c r="C233" s="7" t="s">
        <v>508</v>
      </c>
      <c r="D233" s="50">
        <v>2.0</v>
      </c>
      <c r="E233" s="50">
        <v>0.0</v>
      </c>
      <c r="F233" s="7" t="s">
        <v>2653</v>
      </c>
      <c r="G233" s="7" t="s">
        <v>1053</v>
      </c>
      <c r="H233" s="7" t="s">
        <v>478</v>
      </c>
      <c r="I233" s="7" t="s">
        <v>508</v>
      </c>
      <c r="N233" s="7" t="b">
        <v>0</v>
      </c>
      <c r="O233" s="7" t="b">
        <v>0</v>
      </c>
    </row>
    <row r="234">
      <c r="A234" s="7" t="s">
        <v>2158</v>
      </c>
      <c r="B234" s="7" t="s">
        <v>478</v>
      </c>
      <c r="C234" s="7" t="s">
        <v>1142</v>
      </c>
      <c r="D234" s="50">
        <v>2.0</v>
      </c>
      <c r="E234" s="50">
        <v>0.0</v>
      </c>
      <c r="F234" s="7" t="s">
        <v>2653</v>
      </c>
      <c r="G234" s="7" t="s">
        <v>1053</v>
      </c>
      <c r="H234" s="7" t="s">
        <v>478</v>
      </c>
      <c r="I234" s="7" t="s">
        <v>1053</v>
      </c>
      <c r="N234" s="7" t="b">
        <v>0</v>
      </c>
      <c r="O234" s="7" t="b">
        <v>0</v>
      </c>
    </row>
    <row r="235">
      <c r="A235" s="7" t="s">
        <v>2158</v>
      </c>
      <c r="B235" s="7" t="s">
        <v>478</v>
      </c>
      <c r="C235" s="7" t="s">
        <v>1144</v>
      </c>
      <c r="D235" s="50">
        <v>6.0</v>
      </c>
      <c r="E235" s="50">
        <v>0.0</v>
      </c>
      <c r="F235" s="7" t="s">
        <v>2664</v>
      </c>
      <c r="G235" s="7" t="s">
        <v>1053</v>
      </c>
      <c r="H235" s="7" t="s">
        <v>478</v>
      </c>
      <c r="I235" s="7" t="s">
        <v>1053</v>
      </c>
      <c r="N235" s="7" t="b">
        <v>0</v>
      </c>
      <c r="O235" s="7" t="b">
        <v>0</v>
      </c>
    </row>
    <row r="236">
      <c r="A236" s="7" t="s">
        <v>2158</v>
      </c>
      <c r="B236" s="7" t="s">
        <v>478</v>
      </c>
      <c r="C236" s="7" t="s">
        <v>1145</v>
      </c>
      <c r="D236" s="50">
        <v>2.0</v>
      </c>
      <c r="E236" s="50">
        <v>0.0</v>
      </c>
      <c r="F236" s="7" t="s">
        <v>2653</v>
      </c>
      <c r="G236" s="7" t="s">
        <v>1053</v>
      </c>
      <c r="H236" s="7" t="s">
        <v>478</v>
      </c>
      <c r="I236" s="7" t="s">
        <v>1053</v>
      </c>
      <c r="N236" s="7" t="b">
        <v>0</v>
      </c>
      <c r="O236" s="7" t="b">
        <v>0</v>
      </c>
    </row>
    <row r="237">
      <c r="A237" s="7" t="s">
        <v>2158</v>
      </c>
      <c r="B237" s="7" t="s">
        <v>478</v>
      </c>
      <c r="C237" s="7" t="s">
        <v>958</v>
      </c>
      <c r="D237" s="50">
        <v>7.0</v>
      </c>
      <c r="E237" s="50">
        <v>0.0</v>
      </c>
      <c r="F237" s="7" t="s">
        <v>2665</v>
      </c>
      <c r="G237" s="7" t="s">
        <v>1053</v>
      </c>
      <c r="H237" s="7" t="s">
        <v>478</v>
      </c>
      <c r="I237" s="7" t="s">
        <v>958</v>
      </c>
      <c r="N237" s="7" t="b">
        <v>0</v>
      </c>
      <c r="O237" s="7" t="b">
        <v>0</v>
      </c>
    </row>
    <row r="238">
      <c r="A238" s="7" t="s">
        <v>2158</v>
      </c>
      <c r="B238" s="7" t="s">
        <v>478</v>
      </c>
      <c r="C238" s="7" t="s">
        <v>1147</v>
      </c>
      <c r="D238" s="50">
        <v>2.0</v>
      </c>
      <c r="E238" s="50">
        <v>0.0</v>
      </c>
      <c r="F238" s="7" t="s">
        <v>2653</v>
      </c>
      <c r="G238" s="7" t="s">
        <v>1053</v>
      </c>
      <c r="H238" s="7" t="s">
        <v>478</v>
      </c>
      <c r="I238" s="7" t="s">
        <v>1053</v>
      </c>
      <c r="N238" s="7" t="b">
        <v>0</v>
      </c>
      <c r="O238" s="7" t="b">
        <v>0</v>
      </c>
    </row>
    <row r="239">
      <c r="A239" s="7" t="s">
        <v>2158</v>
      </c>
      <c r="B239" s="7" t="s">
        <v>478</v>
      </c>
      <c r="C239" s="7" t="s">
        <v>953</v>
      </c>
      <c r="D239" s="50">
        <v>11.0</v>
      </c>
      <c r="E239" s="50">
        <v>0.0</v>
      </c>
      <c r="F239" s="7" t="s">
        <v>2666</v>
      </c>
      <c r="G239" s="7" t="s">
        <v>1053</v>
      </c>
      <c r="H239" s="7" t="s">
        <v>478</v>
      </c>
      <c r="I239" s="7" t="s">
        <v>953</v>
      </c>
      <c r="N239" s="7" t="b">
        <v>0</v>
      </c>
      <c r="O239" s="7" t="b">
        <v>0</v>
      </c>
    </row>
    <row r="240">
      <c r="A240" s="7" t="s">
        <v>2158</v>
      </c>
      <c r="B240" s="7" t="s">
        <v>478</v>
      </c>
      <c r="C240" s="7" t="s">
        <v>1072</v>
      </c>
      <c r="D240" s="50">
        <v>2.0</v>
      </c>
      <c r="E240" s="50">
        <v>0.0</v>
      </c>
      <c r="F240" s="7" t="s">
        <v>2653</v>
      </c>
      <c r="G240" s="7" t="s">
        <v>1053</v>
      </c>
      <c r="H240" s="7" t="s">
        <v>478</v>
      </c>
      <c r="I240" s="7" t="s">
        <v>1053</v>
      </c>
      <c r="N240" s="7" t="b">
        <v>0</v>
      </c>
      <c r="O240" s="7" t="b">
        <v>0</v>
      </c>
    </row>
    <row r="241">
      <c r="A241" s="7" t="s">
        <v>2158</v>
      </c>
      <c r="B241" s="7" t="s">
        <v>478</v>
      </c>
      <c r="C241" s="7" t="s">
        <v>479</v>
      </c>
      <c r="D241" s="50">
        <v>4.0</v>
      </c>
      <c r="E241" s="50">
        <v>0.0</v>
      </c>
      <c r="F241" s="7" t="s">
        <v>2667</v>
      </c>
      <c r="G241" s="7" t="s">
        <v>1053</v>
      </c>
      <c r="H241" s="7" t="s">
        <v>478</v>
      </c>
      <c r="I241" s="7" t="s">
        <v>479</v>
      </c>
      <c r="N241" s="7" t="b">
        <v>0</v>
      </c>
      <c r="O241" s="7" t="b">
        <v>0</v>
      </c>
    </row>
    <row r="242">
      <c r="A242" s="7" t="s">
        <v>2158</v>
      </c>
      <c r="B242" s="7" t="s">
        <v>603</v>
      </c>
      <c r="C242" s="7" t="s">
        <v>1111</v>
      </c>
      <c r="D242" s="50">
        <v>1.0</v>
      </c>
      <c r="E242" s="50">
        <v>0.0</v>
      </c>
      <c r="F242" s="7" t="s">
        <v>2668</v>
      </c>
      <c r="G242" s="7" t="s">
        <v>1053</v>
      </c>
      <c r="H242" s="7" t="s">
        <v>603</v>
      </c>
      <c r="I242" s="7" t="s">
        <v>1053</v>
      </c>
      <c r="N242" s="7" t="b">
        <v>0</v>
      </c>
      <c r="O242" s="7" t="b">
        <v>0</v>
      </c>
    </row>
    <row r="243">
      <c r="A243" s="7" t="s">
        <v>2158</v>
      </c>
      <c r="B243" s="7" t="s">
        <v>603</v>
      </c>
      <c r="C243" s="7" t="s">
        <v>90</v>
      </c>
      <c r="D243" s="50">
        <v>11.0</v>
      </c>
      <c r="E243" s="50">
        <v>0.0</v>
      </c>
      <c r="F243" s="7" t="s">
        <v>2669</v>
      </c>
      <c r="G243" s="7" t="s">
        <v>1053</v>
      </c>
      <c r="H243" s="7" t="s">
        <v>603</v>
      </c>
      <c r="I243" s="7" t="s">
        <v>90</v>
      </c>
      <c r="N243" s="7" t="b">
        <v>0</v>
      </c>
      <c r="O243" s="7" t="b">
        <v>0</v>
      </c>
    </row>
    <row r="244">
      <c r="A244" s="7" t="s">
        <v>2158</v>
      </c>
      <c r="B244" s="7" t="s">
        <v>587</v>
      </c>
      <c r="C244" s="7" t="s">
        <v>81</v>
      </c>
      <c r="D244" s="50">
        <v>2.0</v>
      </c>
      <c r="E244" s="50">
        <v>0.0</v>
      </c>
      <c r="F244" s="7" t="s">
        <v>2653</v>
      </c>
      <c r="G244" s="7" t="s">
        <v>1053</v>
      </c>
      <c r="H244" s="7" t="s">
        <v>587</v>
      </c>
      <c r="I244" s="7" t="s">
        <v>81</v>
      </c>
      <c r="N244" s="7" t="b">
        <v>0</v>
      </c>
      <c r="O244" s="7" t="b">
        <v>0</v>
      </c>
    </row>
    <row r="245">
      <c r="A245" s="7" t="s">
        <v>2158</v>
      </c>
      <c r="B245" s="7" t="s">
        <v>587</v>
      </c>
      <c r="C245" s="7" t="s">
        <v>1148</v>
      </c>
      <c r="D245" s="50">
        <v>8.0</v>
      </c>
      <c r="E245" s="50">
        <v>0.0</v>
      </c>
      <c r="F245" s="7" t="s">
        <v>2670</v>
      </c>
      <c r="G245" s="7" t="s">
        <v>1053</v>
      </c>
      <c r="H245" s="7" t="s">
        <v>587</v>
      </c>
      <c r="I245" s="7" t="s">
        <v>1053</v>
      </c>
      <c r="N245" s="7" t="b">
        <v>0</v>
      </c>
      <c r="O245" s="7" t="b">
        <v>0</v>
      </c>
    </row>
    <row r="246">
      <c r="A246" s="7" t="s">
        <v>2158</v>
      </c>
      <c r="B246" s="7" t="s">
        <v>587</v>
      </c>
      <c r="C246" s="7" t="s">
        <v>1111</v>
      </c>
      <c r="D246" s="50">
        <v>1.0</v>
      </c>
      <c r="E246" s="50">
        <v>0.0</v>
      </c>
      <c r="F246" s="7" t="s">
        <v>2668</v>
      </c>
      <c r="G246" s="7" t="s">
        <v>1053</v>
      </c>
      <c r="H246" s="7" t="s">
        <v>587</v>
      </c>
      <c r="I246" s="7" t="s">
        <v>1053</v>
      </c>
      <c r="N246" s="7" t="b">
        <v>0</v>
      </c>
      <c r="O246" s="7" t="b">
        <v>0</v>
      </c>
    </row>
    <row r="247">
      <c r="A247" s="7" t="s">
        <v>2158</v>
      </c>
      <c r="B247" s="7" t="s">
        <v>587</v>
      </c>
      <c r="C247" s="7" t="s">
        <v>74</v>
      </c>
      <c r="D247" s="50">
        <v>30.0</v>
      </c>
      <c r="E247" s="50">
        <v>0.0</v>
      </c>
      <c r="F247" s="7" t="s">
        <v>2671</v>
      </c>
      <c r="G247" s="7" t="s">
        <v>1053</v>
      </c>
      <c r="H247" s="7" t="s">
        <v>587</v>
      </c>
      <c r="I247" s="7" t="s">
        <v>74</v>
      </c>
      <c r="N247" s="7" t="b">
        <v>0</v>
      </c>
      <c r="O247" s="7" t="b">
        <v>0</v>
      </c>
    </row>
    <row r="248">
      <c r="A248" s="7" t="s">
        <v>2158</v>
      </c>
      <c r="B248" s="7" t="s">
        <v>587</v>
      </c>
      <c r="C248" s="7" t="s">
        <v>72</v>
      </c>
      <c r="D248" s="50">
        <v>9.0</v>
      </c>
      <c r="E248" s="50">
        <v>0.0</v>
      </c>
      <c r="F248" s="7" t="s">
        <v>2672</v>
      </c>
      <c r="G248" s="7" t="s">
        <v>1053</v>
      </c>
      <c r="H248" s="7" t="s">
        <v>587</v>
      </c>
      <c r="I248" s="7" t="s">
        <v>72</v>
      </c>
      <c r="N248" s="7" t="b">
        <v>0</v>
      </c>
      <c r="O248" s="7" t="b">
        <v>0</v>
      </c>
    </row>
    <row r="249">
      <c r="A249" s="7" t="s">
        <v>2158</v>
      </c>
      <c r="B249" s="7" t="s">
        <v>1149</v>
      </c>
      <c r="C249" s="7" t="s">
        <v>1150</v>
      </c>
      <c r="D249" s="50">
        <v>14.0</v>
      </c>
      <c r="E249" s="50">
        <v>0.0</v>
      </c>
      <c r="F249" s="7" t="s">
        <v>2673</v>
      </c>
      <c r="G249" s="7" t="s">
        <v>1053</v>
      </c>
      <c r="H249" s="7" t="s">
        <v>1058</v>
      </c>
      <c r="N249" s="7" t="b">
        <v>0</v>
      </c>
      <c r="O249" s="7" t="b">
        <v>0</v>
      </c>
    </row>
    <row r="250">
      <c r="A250" s="7" t="s">
        <v>2158</v>
      </c>
      <c r="B250" s="7" t="s">
        <v>1149</v>
      </c>
      <c r="C250" s="7" t="s">
        <v>1151</v>
      </c>
      <c r="D250" s="50">
        <v>6.0</v>
      </c>
      <c r="E250" s="50">
        <v>0.0</v>
      </c>
      <c r="F250" s="7" t="s">
        <v>2674</v>
      </c>
      <c r="G250" s="7" t="s">
        <v>1053</v>
      </c>
      <c r="H250" s="7" t="s">
        <v>1058</v>
      </c>
      <c r="N250" s="7" t="b">
        <v>0</v>
      </c>
      <c r="O250" s="7" t="b">
        <v>0</v>
      </c>
    </row>
    <row r="251">
      <c r="A251" s="7" t="s">
        <v>2158</v>
      </c>
      <c r="B251" s="7" t="s">
        <v>1149</v>
      </c>
      <c r="C251" s="7" t="s">
        <v>1152</v>
      </c>
      <c r="D251" s="50">
        <v>16.0</v>
      </c>
      <c r="E251" s="50">
        <v>0.0</v>
      </c>
      <c r="F251" s="7" t="s">
        <v>2675</v>
      </c>
      <c r="G251" s="7" t="s">
        <v>1053</v>
      </c>
      <c r="H251" s="7" t="s">
        <v>1058</v>
      </c>
      <c r="N251" s="7" t="b">
        <v>0</v>
      </c>
      <c r="O251" s="7" t="b">
        <v>0</v>
      </c>
    </row>
    <row r="252">
      <c r="A252" s="7" t="s">
        <v>2158</v>
      </c>
      <c r="B252" s="7" t="s">
        <v>1149</v>
      </c>
      <c r="C252" s="7" t="s">
        <v>1153</v>
      </c>
      <c r="D252" s="50">
        <v>5.0</v>
      </c>
      <c r="E252" s="50">
        <v>0.0</v>
      </c>
      <c r="F252" s="7" t="s">
        <v>2676</v>
      </c>
      <c r="G252" s="7" t="s">
        <v>1053</v>
      </c>
      <c r="H252" s="7" t="s">
        <v>1058</v>
      </c>
      <c r="N252" s="7" t="b">
        <v>0</v>
      </c>
      <c r="O252" s="7" t="b">
        <v>0</v>
      </c>
    </row>
    <row r="253">
      <c r="A253" s="7" t="s">
        <v>2158</v>
      </c>
      <c r="B253" s="7" t="s">
        <v>1149</v>
      </c>
      <c r="C253" s="7" t="s">
        <v>1111</v>
      </c>
      <c r="D253" s="50">
        <v>1.0</v>
      </c>
      <c r="E253" s="50">
        <v>0.0</v>
      </c>
      <c r="F253" s="7" t="s">
        <v>2668</v>
      </c>
      <c r="G253" s="7" t="s">
        <v>1053</v>
      </c>
      <c r="H253" s="7" t="s">
        <v>1105</v>
      </c>
      <c r="N253" s="7" t="b">
        <v>0</v>
      </c>
      <c r="O253" s="7" t="b">
        <v>0</v>
      </c>
    </row>
    <row r="254">
      <c r="A254" s="7" t="s">
        <v>2158</v>
      </c>
      <c r="B254" s="7" t="s">
        <v>693</v>
      </c>
      <c r="C254" s="7" t="s">
        <v>1158</v>
      </c>
      <c r="D254" s="50">
        <v>8.0</v>
      </c>
      <c r="E254" s="50">
        <v>0.0</v>
      </c>
      <c r="F254" s="7" t="s">
        <v>2677</v>
      </c>
      <c r="G254" s="7" t="s">
        <v>1053</v>
      </c>
      <c r="H254" s="7" t="s">
        <v>192</v>
      </c>
      <c r="I254" s="7" t="s">
        <v>1053</v>
      </c>
      <c r="N254" s="7" t="b">
        <v>0</v>
      </c>
      <c r="O254" s="7" t="b">
        <v>0</v>
      </c>
    </row>
    <row r="255">
      <c r="A255" s="7" t="s">
        <v>2158</v>
      </c>
      <c r="B255" s="7" t="s">
        <v>693</v>
      </c>
      <c r="C255" s="7" t="s">
        <v>1159</v>
      </c>
      <c r="D255" s="50">
        <v>10.0</v>
      </c>
      <c r="E255" s="50">
        <v>0.0</v>
      </c>
      <c r="F255" s="7" t="s">
        <v>2678</v>
      </c>
      <c r="G255" s="7" t="s">
        <v>1053</v>
      </c>
      <c r="H255" s="7" t="s">
        <v>192</v>
      </c>
      <c r="I255" s="7" t="s">
        <v>1053</v>
      </c>
      <c r="N255" s="7" t="b">
        <v>0</v>
      </c>
      <c r="O255" s="7" t="b">
        <v>0</v>
      </c>
    </row>
    <row r="256">
      <c r="A256" s="7" t="s">
        <v>2158</v>
      </c>
      <c r="B256" s="7" t="s">
        <v>693</v>
      </c>
      <c r="C256" s="7" t="s">
        <v>698</v>
      </c>
      <c r="D256" s="50">
        <v>52.0</v>
      </c>
      <c r="E256" s="50">
        <v>0.0</v>
      </c>
      <c r="F256" s="7" t="s">
        <v>2679</v>
      </c>
      <c r="G256" s="7" t="s">
        <v>1053</v>
      </c>
      <c r="H256" s="7" t="s">
        <v>192</v>
      </c>
      <c r="I256" s="7" t="s">
        <v>197</v>
      </c>
      <c r="N256" s="7" t="b">
        <v>0</v>
      </c>
      <c r="O256" s="7" t="b">
        <v>0</v>
      </c>
    </row>
    <row r="257">
      <c r="A257" s="7" t="s">
        <v>2158</v>
      </c>
      <c r="B257" s="7" t="s">
        <v>717</v>
      </c>
      <c r="C257" s="7" t="s">
        <v>738</v>
      </c>
      <c r="D257" s="50">
        <v>34.0</v>
      </c>
      <c r="E257" s="50">
        <v>0.0</v>
      </c>
      <c r="F257" s="7" t="s">
        <v>2680</v>
      </c>
      <c r="G257" s="7" t="s">
        <v>1053</v>
      </c>
      <c r="H257" s="7" t="s">
        <v>717</v>
      </c>
      <c r="I257" s="7" t="s">
        <v>238</v>
      </c>
      <c r="N257" s="7" t="b">
        <v>0</v>
      </c>
      <c r="O257" s="7" t="b">
        <v>0</v>
      </c>
    </row>
    <row r="258">
      <c r="A258" s="7" t="s">
        <v>2158</v>
      </c>
      <c r="B258" s="7" t="s">
        <v>717</v>
      </c>
      <c r="C258" s="7" t="s">
        <v>251</v>
      </c>
      <c r="D258" s="50">
        <v>28.0</v>
      </c>
      <c r="E258" s="50">
        <v>0.0</v>
      </c>
      <c r="F258" s="7" t="s">
        <v>2681</v>
      </c>
      <c r="G258" s="7" t="s">
        <v>1053</v>
      </c>
      <c r="H258" s="7" t="s">
        <v>717</v>
      </c>
      <c r="I258" s="7" t="s">
        <v>251</v>
      </c>
      <c r="N258" s="7" t="b">
        <v>0</v>
      </c>
      <c r="O258" s="7" t="b">
        <v>0</v>
      </c>
    </row>
    <row r="259">
      <c r="A259" s="7" t="s">
        <v>2158</v>
      </c>
      <c r="B259" s="7" t="s">
        <v>717</v>
      </c>
      <c r="C259" s="7" t="s">
        <v>223</v>
      </c>
      <c r="D259" s="50">
        <v>29.0</v>
      </c>
      <c r="E259" s="50">
        <v>0.0</v>
      </c>
      <c r="F259" s="7" t="s">
        <v>2682</v>
      </c>
      <c r="G259" s="7" t="s">
        <v>1053</v>
      </c>
      <c r="H259" s="7" t="s">
        <v>717</v>
      </c>
      <c r="I259" s="7" t="s">
        <v>223</v>
      </c>
      <c r="N259" s="7" t="b">
        <v>0</v>
      </c>
      <c r="O259" s="7" t="b">
        <v>0</v>
      </c>
    </row>
    <row r="260">
      <c r="A260" s="7" t="s">
        <v>2158</v>
      </c>
      <c r="B260" s="7" t="s">
        <v>717</v>
      </c>
      <c r="C260" s="7" t="s">
        <v>722</v>
      </c>
      <c r="D260" s="50">
        <v>24.0</v>
      </c>
      <c r="E260" s="50">
        <v>0.0</v>
      </c>
      <c r="F260" s="7" t="s">
        <v>2683</v>
      </c>
      <c r="G260" s="7" t="s">
        <v>1053</v>
      </c>
      <c r="H260" s="7" t="s">
        <v>717</v>
      </c>
      <c r="I260" s="7" t="s">
        <v>221</v>
      </c>
      <c r="N260" s="7" t="b">
        <v>0</v>
      </c>
      <c r="O260" s="7" t="b">
        <v>0</v>
      </c>
    </row>
    <row r="261">
      <c r="A261" s="7" t="s">
        <v>2158</v>
      </c>
      <c r="B261" s="7" t="s">
        <v>717</v>
      </c>
      <c r="C261" s="7" t="s">
        <v>725</v>
      </c>
      <c r="D261" s="50">
        <v>41.0</v>
      </c>
      <c r="E261" s="50">
        <v>0.0</v>
      </c>
      <c r="F261" s="7" t="s">
        <v>2684</v>
      </c>
      <c r="G261" s="7" t="s">
        <v>1053</v>
      </c>
      <c r="H261" s="7" t="s">
        <v>717</v>
      </c>
      <c r="I261" s="7" t="s">
        <v>225</v>
      </c>
      <c r="N261" s="7" t="b">
        <v>0</v>
      </c>
      <c r="O261" s="7" t="b">
        <v>0</v>
      </c>
    </row>
    <row r="262">
      <c r="A262" s="7" t="s">
        <v>2158</v>
      </c>
      <c r="B262" s="7" t="s">
        <v>717</v>
      </c>
      <c r="C262" s="7" t="s">
        <v>1111</v>
      </c>
      <c r="D262" s="50">
        <v>1.0</v>
      </c>
      <c r="E262" s="50">
        <v>0.0</v>
      </c>
      <c r="F262" s="7" t="s">
        <v>2668</v>
      </c>
      <c r="G262" s="7" t="s">
        <v>1053</v>
      </c>
      <c r="H262" s="7" t="s">
        <v>717</v>
      </c>
      <c r="I262" s="7" t="s">
        <v>1053</v>
      </c>
      <c r="N262" s="7" t="b">
        <v>0</v>
      </c>
      <c r="O262" s="7" t="b">
        <v>0</v>
      </c>
    </row>
    <row r="263">
      <c r="A263" s="7" t="s">
        <v>2158</v>
      </c>
      <c r="B263" s="7" t="s">
        <v>717</v>
      </c>
      <c r="C263" s="7" t="s">
        <v>730</v>
      </c>
      <c r="D263" s="50">
        <v>29.0</v>
      </c>
      <c r="E263" s="50">
        <v>0.0</v>
      </c>
      <c r="F263" s="7" t="s">
        <v>2685</v>
      </c>
      <c r="G263" s="7" t="s">
        <v>1053</v>
      </c>
      <c r="H263" s="7" t="s">
        <v>717</v>
      </c>
      <c r="I263" s="7" t="s">
        <v>730</v>
      </c>
      <c r="N263" s="7" t="b">
        <v>0</v>
      </c>
      <c r="O263" s="7" t="b">
        <v>0</v>
      </c>
    </row>
    <row r="264">
      <c r="A264" s="7" t="s">
        <v>2158</v>
      </c>
      <c r="B264" s="7" t="s">
        <v>717</v>
      </c>
      <c r="C264" s="7" t="s">
        <v>720</v>
      </c>
      <c r="D264" s="50">
        <v>44.0</v>
      </c>
      <c r="E264" s="50">
        <v>0.0</v>
      </c>
      <c r="F264" s="7" t="s">
        <v>2686</v>
      </c>
      <c r="G264" s="7" t="s">
        <v>1053</v>
      </c>
      <c r="H264" s="7" t="s">
        <v>717</v>
      </c>
      <c r="I264" s="7" t="s">
        <v>219</v>
      </c>
      <c r="N264" s="7" t="b">
        <v>0</v>
      </c>
      <c r="O264" s="7" t="b">
        <v>0</v>
      </c>
    </row>
    <row r="265">
      <c r="A265" s="7" t="s">
        <v>2158</v>
      </c>
      <c r="B265" s="7" t="s">
        <v>717</v>
      </c>
      <c r="C265" s="7" t="s">
        <v>1162</v>
      </c>
      <c r="D265" s="50">
        <v>70.0</v>
      </c>
      <c r="E265" s="50">
        <v>0.0</v>
      </c>
      <c r="F265" s="7" t="s">
        <v>2687</v>
      </c>
      <c r="G265" s="7" t="s">
        <v>1053</v>
      </c>
      <c r="H265" s="7" t="s">
        <v>717</v>
      </c>
      <c r="I265" s="7" t="s">
        <v>738</v>
      </c>
      <c r="N265" s="7" t="b">
        <v>0</v>
      </c>
      <c r="O265" s="7" t="b">
        <v>0</v>
      </c>
    </row>
    <row r="266">
      <c r="A266" s="7" t="s">
        <v>2158</v>
      </c>
      <c r="B266" s="7" t="s">
        <v>717</v>
      </c>
      <c r="C266" s="7" t="s">
        <v>1163</v>
      </c>
      <c r="D266" s="50">
        <v>43.0</v>
      </c>
      <c r="E266" s="50">
        <v>0.0</v>
      </c>
      <c r="F266" s="7" t="s">
        <v>2688</v>
      </c>
      <c r="G266" s="7" t="s">
        <v>1053</v>
      </c>
      <c r="H266" s="7" t="s">
        <v>717</v>
      </c>
      <c r="I266" s="7" t="s">
        <v>217</v>
      </c>
      <c r="N266" s="7" t="b">
        <v>0</v>
      </c>
      <c r="O266" s="7" t="b">
        <v>0</v>
      </c>
    </row>
    <row r="267">
      <c r="A267" s="7" t="s">
        <v>2158</v>
      </c>
      <c r="B267" s="7" t="s">
        <v>1164</v>
      </c>
      <c r="C267" s="7" t="s">
        <v>1139</v>
      </c>
      <c r="D267" s="50">
        <v>1.0</v>
      </c>
      <c r="E267" s="50">
        <v>0.0</v>
      </c>
      <c r="F267" s="7" t="s">
        <v>2668</v>
      </c>
      <c r="G267" s="7" t="s">
        <v>1053</v>
      </c>
      <c r="H267" s="7" t="s">
        <v>1165</v>
      </c>
      <c r="N267" s="7" t="b">
        <v>0</v>
      </c>
      <c r="O267" s="7" t="b">
        <v>0</v>
      </c>
    </row>
    <row r="268">
      <c r="A268" s="7" t="s">
        <v>2158</v>
      </c>
      <c r="B268" s="7" t="s">
        <v>1166</v>
      </c>
      <c r="C268" s="7" t="s">
        <v>1169</v>
      </c>
      <c r="D268" s="50">
        <v>1.0</v>
      </c>
      <c r="E268" s="50">
        <v>0.0</v>
      </c>
      <c r="F268" s="7" t="s">
        <v>2668</v>
      </c>
      <c r="G268" s="7" t="s">
        <v>1053</v>
      </c>
      <c r="H268" s="7" t="s">
        <v>1069</v>
      </c>
      <c r="N268" s="7" t="b">
        <v>0</v>
      </c>
      <c r="O268" s="7" t="b">
        <v>0</v>
      </c>
    </row>
    <row r="269">
      <c r="A269" s="7" t="s">
        <v>2158</v>
      </c>
      <c r="B269" s="7" t="s">
        <v>1166</v>
      </c>
      <c r="C269" s="7" t="s">
        <v>1144</v>
      </c>
      <c r="D269" s="50">
        <v>5.0</v>
      </c>
      <c r="E269" s="50">
        <v>0.0</v>
      </c>
      <c r="F269" s="7" t="s">
        <v>2689</v>
      </c>
      <c r="G269" s="7" t="s">
        <v>1053</v>
      </c>
      <c r="H269" s="7" t="s">
        <v>478</v>
      </c>
      <c r="N269" s="7" t="b">
        <v>0</v>
      </c>
      <c r="O269" s="7" t="b">
        <v>0</v>
      </c>
    </row>
    <row r="270">
      <c r="A270" s="7" t="s">
        <v>2158</v>
      </c>
      <c r="B270" s="7" t="s">
        <v>1166</v>
      </c>
      <c r="C270" s="7" t="s">
        <v>1173</v>
      </c>
      <c r="D270" s="50">
        <v>1.0</v>
      </c>
      <c r="E270" s="50">
        <v>0.0</v>
      </c>
      <c r="F270" s="7" t="s">
        <v>2668</v>
      </c>
      <c r="G270" s="7" t="s">
        <v>1053</v>
      </c>
      <c r="H270" s="7" t="s">
        <v>1069</v>
      </c>
      <c r="N270" s="7" t="b">
        <v>0</v>
      </c>
      <c r="O270" s="7" t="b">
        <v>0</v>
      </c>
    </row>
    <row r="271">
      <c r="A271" s="7" t="s">
        <v>2158</v>
      </c>
      <c r="B271" s="7" t="s">
        <v>1166</v>
      </c>
      <c r="C271" s="7" t="s">
        <v>1174</v>
      </c>
      <c r="D271" s="50">
        <v>13.0</v>
      </c>
      <c r="E271" s="50">
        <v>0.0</v>
      </c>
      <c r="F271" s="7" t="s">
        <v>2690</v>
      </c>
      <c r="G271" s="7" t="s">
        <v>1053</v>
      </c>
      <c r="H271" s="7" t="s">
        <v>693</v>
      </c>
      <c r="N271" s="7" t="b">
        <v>0</v>
      </c>
      <c r="O271" s="7" t="b">
        <v>0</v>
      </c>
    </row>
    <row r="272">
      <c r="A272" s="7" t="s">
        <v>2158</v>
      </c>
      <c r="B272" s="7" t="s">
        <v>1166</v>
      </c>
      <c r="C272" s="7" t="s">
        <v>1177</v>
      </c>
      <c r="D272" s="50">
        <v>22.0</v>
      </c>
      <c r="E272" s="50">
        <v>0.0</v>
      </c>
      <c r="F272" s="7" t="s">
        <v>2691</v>
      </c>
      <c r="G272" s="7" t="s">
        <v>1053</v>
      </c>
      <c r="H272" s="7" t="s">
        <v>693</v>
      </c>
      <c r="N272" s="7" t="b">
        <v>0</v>
      </c>
      <c r="O272" s="7" t="b">
        <v>0</v>
      </c>
    </row>
    <row r="273">
      <c r="A273" s="7" t="s">
        <v>2158</v>
      </c>
      <c r="B273" s="7" t="s">
        <v>1179</v>
      </c>
      <c r="C273" s="7" t="s">
        <v>1180</v>
      </c>
      <c r="D273" s="50">
        <v>26.0</v>
      </c>
      <c r="E273" s="50">
        <v>0.0</v>
      </c>
      <c r="F273" s="7" t="s">
        <v>2692</v>
      </c>
      <c r="G273" s="7" t="s">
        <v>1053</v>
      </c>
      <c r="H273" s="7" t="s">
        <v>854</v>
      </c>
      <c r="N273" s="7" t="b">
        <v>0</v>
      </c>
      <c r="O273" s="7" t="b">
        <v>0</v>
      </c>
    </row>
    <row r="274">
      <c r="A274" s="7" t="s">
        <v>2158</v>
      </c>
      <c r="B274" s="7" t="s">
        <v>1179</v>
      </c>
      <c r="C274" s="7" t="s">
        <v>1170</v>
      </c>
      <c r="D274" s="50">
        <v>2.0</v>
      </c>
      <c r="E274" s="50">
        <v>0.0</v>
      </c>
      <c r="F274" s="7" t="s">
        <v>2653</v>
      </c>
      <c r="G274" s="7" t="s">
        <v>1053</v>
      </c>
      <c r="H274" s="7" t="s">
        <v>1069</v>
      </c>
      <c r="N274" s="7" t="b">
        <v>0</v>
      </c>
      <c r="O274" s="7" t="b">
        <v>0</v>
      </c>
    </row>
    <row r="275">
      <c r="A275" s="7" t="s">
        <v>2158</v>
      </c>
      <c r="B275" s="7" t="s">
        <v>1179</v>
      </c>
      <c r="C275" s="7" t="s">
        <v>859</v>
      </c>
      <c r="D275" s="50">
        <v>4.0</v>
      </c>
      <c r="E275" s="50">
        <v>0.0</v>
      </c>
      <c r="F275" s="7" t="s">
        <v>2693</v>
      </c>
      <c r="G275" s="7" t="s">
        <v>1053</v>
      </c>
      <c r="H275" s="7" t="s">
        <v>854</v>
      </c>
      <c r="I275" s="7" t="s">
        <v>859</v>
      </c>
      <c r="N275" s="7" t="b">
        <v>0</v>
      </c>
      <c r="O275" s="7" t="b">
        <v>0</v>
      </c>
    </row>
    <row r="276">
      <c r="A276" s="7" t="s">
        <v>2158</v>
      </c>
      <c r="B276" s="7" t="s">
        <v>1179</v>
      </c>
      <c r="C276" s="7" t="s">
        <v>188</v>
      </c>
      <c r="D276" s="50">
        <v>19.0</v>
      </c>
      <c r="E276" s="50">
        <v>0.0</v>
      </c>
      <c r="F276" s="7" t="s">
        <v>2694</v>
      </c>
      <c r="G276" s="7" t="s">
        <v>1053</v>
      </c>
      <c r="H276" s="7" t="s">
        <v>183</v>
      </c>
      <c r="I276" s="7" t="s">
        <v>188</v>
      </c>
      <c r="N276" s="7" t="b">
        <v>0</v>
      </c>
      <c r="O276" s="7" t="b">
        <v>0</v>
      </c>
    </row>
    <row r="277">
      <c r="A277" s="7" t="s">
        <v>2158</v>
      </c>
      <c r="B277" s="7" t="s">
        <v>1179</v>
      </c>
      <c r="C277" s="7" t="s">
        <v>1182</v>
      </c>
      <c r="D277" s="50">
        <v>11.0</v>
      </c>
      <c r="E277" s="50">
        <v>0.0</v>
      </c>
      <c r="F277" s="7" t="s">
        <v>2695</v>
      </c>
      <c r="G277" s="7" t="s">
        <v>1053</v>
      </c>
      <c r="H277" s="7" t="s">
        <v>854</v>
      </c>
      <c r="N277" s="7" t="b">
        <v>0</v>
      </c>
      <c r="O277" s="7" t="b">
        <v>0</v>
      </c>
    </row>
    <row r="278">
      <c r="A278" s="7" t="s">
        <v>2158</v>
      </c>
      <c r="B278" s="7" t="s">
        <v>1179</v>
      </c>
      <c r="C278" s="7" t="s">
        <v>1151</v>
      </c>
      <c r="D278" s="50">
        <v>18.0</v>
      </c>
      <c r="E278" s="50">
        <v>0.0</v>
      </c>
      <c r="F278" s="7" t="s">
        <v>2696</v>
      </c>
      <c r="G278" s="7" t="s">
        <v>1053</v>
      </c>
      <c r="H278" s="7" t="s">
        <v>693</v>
      </c>
      <c r="N278" s="7" t="b">
        <v>0</v>
      </c>
      <c r="O278" s="7" t="b">
        <v>0</v>
      </c>
    </row>
    <row r="279">
      <c r="A279" s="7" t="s">
        <v>2158</v>
      </c>
      <c r="B279" s="7" t="s">
        <v>1179</v>
      </c>
      <c r="C279" s="7" t="s">
        <v>1153</v>
      </c>
      <c r="D279" s="50">
        <v>9.0</v>
      </c>
      <c r="E279" s="50">
        <v>0.0</v>
      </c>
      <c r="F279" s="7" t="s">
        <v>2697</v>
      </c>
      <c r="G279" s="7" t="s">
        <v>1053</v>
      </c>
      <c r="H279" s="7" t="s">
        <v>440</v>
      </c>
      <c r="I279" s="7" t="s">
        <v>441</v>
      </c>
      <c r="N279" s="7" t="b">
        <v>0</v>
      </c>
      <c r="O279" s="7" t="b">
        <v>0</v>
      </c>
    </row>
    <row r="280">
      <c r="A280" s="7" t="s">
        <v>2158</v>
      </c>
      <c r="B280" s="7" t="s">
        <v>1179</v>
      </c>
      <c r="C280" s="7" t="s">
        <v>1185</v>
      </c>
      <c r="D280" s="50">
        <v>6.0</v>
      </c>
      <c r="E280" s="50">
        <v>0.0</v>
      </c>
      <c r="F280" s="7" t="s">
        <v>2698</v>
      </c>
      <c r="G280" s="7" t="s">
        <v>1053</v>
      </c>
      <c r="H280" s="7" t="s">
        <v>391</v>
      </c>
      <c r="I280" s="7" t="s">
        <v>395</v>
      </c>
      <c r="N280" s="7" t="b">
        <v>0</v>
      </c>
      <c r="O280" s="7" t="b">
        <v>0</v>
      </c>
    </row>
    <row r="281">
      <c r="A281" s="7" t="s">
        <v>2158</v>
      </c>
      <c r="B281" s="7" t="s">
        <v>1179</v>
      </c>
      <c r="C281" s="7" t="s">
        <v>857</v>
      </c>
      <c r="D281" s="50">
        <v>10.0</v>
      </c>
      <c r="E281" s="50">
        <v>0.0</v>
      </c>
      <c r="F281" s="7" t="s">
        <v>2699</v>
      </c>
      <c r="G281" s="7" t="s">
        <v>1053</v>
      </c>
      <c r="H281" s="7" t="s">
        <v>854</v>
      </c>
      <c r="I281" s="7" t="s">
        <v>857</v>
      </c>
      <c r="N281" s="7" t="b">
        <v>0</v>
      </c>
      <c r="O281" s="7" t="b">
        <v>0</v>
      </c>
    </row>
    <row r="282">
      <c r="A282" s="7" t="s">
        <v>2158</v>
      </c>
      <c r="B282" s="7" t="s">
        <v>1179</v>
      </c>
      <c r="C282" s="7" t="s">
        <v>1111</v>
      </c>
      <c r="D282" s="50">
        <v>1.0</v>
      </c>
      <c r="E282" s="50">
        <v>0.0</v>
      </c>
      <c r="F282" s="7" t="s">
        <v>2668</v>
      </c>
      <c r="G282" s="7" t="s">
        <v>1053</v>
      </c>
      <c r="H282" s="7" t="s">
        <v>188</v>
      </c>
      <c r="I282" s="7" t="s">
        <v>2223</v>
      </c>
      <c r="N282" s="7" t="b">
        <v>0</v>
      </c>
      <c r="O282" s="7" t="b">
        <v>0</v>
      </c>
    </row>
    <row r="283">
      <c r="A283" s="7" t="s">
        <v>2158</v>
      </c>
      <c r="B283" s="7" t="s">
        <v>1179</v>
      </c>
      <c r="C283" s="7" t="s">
        <v>1187</v>
      </c>
      <c r="D283" s="50">
        <v>5.0</v>
      </c>
      <c r="E283" s="50">
        <v>0.0</v>
      </c>
      <c r="F283" s="7" t="s">
        <v>2700</v>
      </c>
      <c r="G283" s="7" t="s">
        <v>1053</v>
      </c>
      <c r="H283" s="7" t="s">
        <v>38</v>
      </c>
      <c r="I283" s="7" t="s">
        <v>43</v>
      </c>
      <c r="N283" s="7" t="b">
        <v>0</v>
      </c>
      <c r="O283" s="7" t="b">
        <v>0</v>
      </c>
    </row>
    <row r="284">
      <c r="A284" s="7" t="s">
        <v>2158</v>
      </c>
      <c r="B284" s="7" t="s">
        <v>1179</v>
      </c>
      <c r="C284" s="7" t="s">
        <v>1189</v>
      </c>
      <c r="D284" s="50">
        <v>2.0</v>
      </c>
      <c r="E284" s="50">
        <v>0.0</v>
      </c>
      <c r="F284" s="7" t="s">
        <v>2653</v>
      </c>
      <c r="G284" s="7" t="s">
        <v>1053</v>
      </c>
      <c r="H284" s="7" t="s">
        <v>854</v>
      </c>
      <c r="N284" s="7" t="b">
        <v>0</v>
      </c>
      <c r="O284" s="7" t="b">
        <v>0</v>
      </c>
    </row>
    <row r="285">
      <c r="A285" s="7" t="s">
        <v>2158</v>
      </c>
      <c r="B285" s="7" t="s">
        <v>1179</v>
      </c>
      <c r="C285" s="7" t="s">
        <v>1191</v>
      </c>
      <c r="D285" s="50">
        <v>19.0</v>
      </c>
      <c r="E285" s="50">
        <v>0.0</v>
      </c>
      <c r="F285" s="7" t="s">
        <v>2701</v>
      </c>
      <c r="G285" s="7" t="s">
        <v>1053</v>
      </c>
      <c r="H285" s="7" t="s">
        <v>854</v>
      </c>
      <c r="N285" s="7" t="b">
        <v>0</v>
      </c>
      <c r="O285" s="7" t="b">
        <v>0</v>
      </c>
    </row>
    <row r="286">
      <c r="A286" s="7" t="s">
        <v>2158</v>
      </c>
      <c r="B286" s="7" t="s">
        <v>391</v>
      </c>
      <c r="C286" s="7" t="s">
        <v>890</v>
      </c>
      <c r="D286" s="50">
        <v>8.0</v>
      </c>
      <c r="E286" s="50">
        <v>0.0</v>
      </c>
      <c r="F286" s="7" t="s">
        <v>2702</v>
      </c>
      <c r="G286" s="7" t="s">
        <v>1053</v>
      </c>
      <c r="H286" s="7" t="s">
        <v>391</v>
      </c>
      <c r="I286" s="7" t="s">
        <v>403</v>
      </c>
      <c r="N286" s="7" t="b">
        <v>0</v>
      </c>
      <c r="O286" s="7" t="b">
        <v>0</v>
      </c>
    </row>
    <row r="287">
      <c r="A287" s="7" t="s">
        <v>2158</v>
      </c>
      <c r="B287" s="7" t="s">
        <v>391</v>
      </c>
      <c r="C287" s="7" t="s">
        <v>395</v>
      </c>
      <c r="D287" s="50">
        <v>28.0</v>
      </c>
      <c r="E287" s="50">
        <v>0.0</v>
      </c>
      <c r="F287" s="7" t="s">
        <v>2703</v>
      </c>
      <c r="G287" s="7" t="s">
        <v>1053</v>
      </c>
      <c r="H287" s="7" t="s">
        <v>391</v>
      </c>
      <c r="I287" s="7" t="s">
        <v>395</v>
      </c>
      <c r="N287" s="7" t="b">
        <v>0</v>
      </c>
      <c r="O287" s="7" t="b">
        <v>0</v>
      </c>
    </row>
    <row r="288">
      <c r="A288" s="7" t="s">
        <v>2158</v>
      </c>
      <c r="B288" s="7" t="s">
        <v>391</v>
      </c>
      <c r="C288" s="7" t="s">
        <v>644</v>
      </c>
      <c r="D288" s="50">
        <v>2.0</v>
      </c>
      <c r="E288" s="50">
        <v>0.0</v>
      </c>
      <c r="F288" s="7" t="s">
        <v>2653</v>
      </c>
      <c r="G288" s="7" t="s">
        <v>1053</v>
      </c>
      <c r="H288" s="7" t="s">
        <v>1433</v>
      </c>
      <c r="I288" s="7" t="s">
        <v>136</v>
      </c>
      <c r="N288" s="7" t="b">
        <v>0</v>
      </c>
      <c r="O288" s="7" t="b">
        <v>0</v>
      </c>
    </row>
    <row r="289">
      <c r="A289" s="7" t="s">
        <v>2158</v>
      </c>
      <c r="B289" s="7" t="s">
        <v>391</v>
      </c>
      <c r="C289" s="7" t="s">
        <v>1193</v>
      </c>
      <c r="D289" s="50">
        <v>10.0</v>
      </c>
      <c r="E289" s="50">
        <v>0.0</v>
      </c>
      <c r="F289" s="7" t="s">
        <v>2704</v>
      </c>
      <c r="G289" s="7" t="s">
        <v>1053</v>
      </c>
      <c r="H289" s="7" t="s">
        <v>391</v>
      </c>
      <c r="I289" s="7" t="s">
        <v>1053</v>
      </c>
      <c r="N289" s="7" t="b">
        <v>0</v>
      </c>
      <c r="O289" s="7" t="b">
        <v>0</v>
      </c>
    </row>
    <row r="290">
      <c r="A290" s="7" t="s">
        <v>2158</v>
      </c>
      <c r="B290" s="7" t="s">
        <v>391</v>
      </c>
      <c r="C290" s="7" t="s">
        <v>392</v>
      </c>
      <c r="D290" s="50">
        <v>32.0</v>
      </c>
      <c r="E290" s="50">
        <v>0.0</v>
      </c>
      <c r="F290" s="7" t="s">
        <v>2705</v>
      </c>
      <c r="G290" s="7" t="s">
        <v>1053</v>
      </c>
      <c r="H290" s="7" t="s">
        <v>391</v>
      </c>
      <c r="I290" s="7" t="s">
        <v>392</v>
      </c>
      <c r="N290" s="7" t="b">
        <v>0</v>
      </c>
      <c r="O290" s="7" t="b">
        <v>0</v>
      </c>
    </row>
    <row r="291">
      <c r="A291" s="7" t="s">
        <v>2158</v>
      </c>
      <c r="B291" s="7" t="s">
        <v>391</v>
      </c>
      <c r="C291" s="7" t="s">
        <v>1111</v>
      </c>
      <c r="D291" s="50">
        <v>1.0</v>
      </c>
      <c r="E291" s="50">
        <v>0.0</v>
      </c>
      <c r="F291" s="7" t="s">
        <v>2668</v>
      </c>
      <c r="G291" s="7" t="s">
        <v>1053</v>
      </c>
      <c r="H291" s="7" t="s">
        <v>391</v>
      </c>
      <c r="I291" s="7" t="s">
        <v>1053</v>
      </c>
      <c r="N291" s="7" t="b">
        <v>0</v>
      </c>
      <c r="O291" s="7" t="b">
        <v>0</v>
      </c>
    </row>
    <row r="292">
      <c r="A292" s="7" t="s">
        <v>2158</v>
      </c>
      <c r="B292" s="7" t="s">
        <v>1194</v>
      </c>
      <c r="C292" s="7" t="s">
        <v>1139</v>
      </c>
      <c r="D292" s="50">
        <v>1.0</v>
      </c>
      <c r="E292" s="50">
        <v>0.0</v>
      </c>
      <c r="F292" s="7" t="s">
        <v>2668</v>
      </c>
      <c r="G292" s="7" t="s">
        <v>1053</v>
      </c>
      <c r="H292" s="7" t="s">
        <v>1105</v>
      </c>
      <c r="N292" s="7" t="b">
        <v>0</v>
      </c>
      <c r="O292" s="7" t="b">
        <v>0</v>
      </c>
    </row>
    <row r="293">
      <c r="A293" s="7" t="s">
        <v>2158</v>
      </c>
      <c r="B293" s="7" t="s">
        <v>1198</v>
      </c>
      <c r="C293" s="7" t="s">
        <v>1199</v>
      </c>
      <c r="D293" s="50">
        <v>2.0</v>
      </c>
      <c r="E293" s="50">
        <v>0.0</v>
      </c>
      <c r="F293" s="7" t="s">
        <v>2706</v>
      </c>
      <c r="G293" s="7" t="s">
        <v>1053</v>
      </c>
      <c r="H293" s="7" t="s">
        <v>1105</v>
      </c>
      <c r="N293" s="7" t="b">
        <v>0</v>
      </c>
      <c r="O293" s="7" t="b">
        <v>0</v>
      </c>
    </row>
    <row r="294">
      <c r="A294" s="7" t="s">
        <v>2158</v>
      </c>
      <c r="B294" s="7" t="s">
        <v>1198</v>
      </c>
      <c r="C294" s="7" t="s">
        <v>46</v>
      </c>
      <c r="D294" s="50">
        <v>4.0</v>
      </c>
      <c r="E294" s="50">
        <v>0.0</v>
      </c>
      <c r="F294" s="7" t="s">
        <v>2707</v>
      </c>
      <c r="G294" s="7" t="s">
        <v>1053</v>
      </c>
      <c r="H294" s="7" t="s">
        <v>1105</v>
      </c>
      <c r="N294" s="7" t="b">
        <v>0</v>
      </c>
      <c r="O294" s="7" t="b">
        <v>0</v>
      </c>
    </row>
    <row r="295">
      <c r="A295" s="7" t="s">
        <v>2158</v>
      </c>
      <c r="B295" s="7" t="s">
        <v>1198</v>
      </c>
      <c r="C295" s="7" t="s">
        <v>59</v>
      </c>
      <c r="D295" s="50">
        <v>2.0</v>
      </c>
      <c r="E295" s="50">
        <v>0.0</v>
      </c>
      <c r="F295" s="7" t="s">
        <v>2706</v>
      </c>
      <c r="G295" s="7" t="s">
        <v>1053</v>
      </c>
      <c r="H295" s="7" t="s">
        <v>1105</v>
      </c>
      <c r="N295" s="7" t="b">
        <v>0</v>
      </c>
      <c r="O295" s="7" t="b">
        <v>0</v>
      </c>
    </row>
    <row r="296">
      <c r="A296" s="7" t="s">
        <v>2158</v>
      </c>
      <c r="B296" s="7" t="s">
        <v>1198</v>
      </c>
      <c r="C296" s="7" t="s">
        <v>1201</v>
      </c>
      <c r="D296" s="50">
        <v>2.0</v>
      </c>
      <c r="E296" s="50">
        <v>0.0</v>
      </c>
      <c r="F296" s="7" t="s">
        <v>2706</v>
      </c>
      <c r="G296" s="7" t="s">
        <v>1053</v>
      </c>
      <c r="H296" s="7" t="s">
        <v>1105</v>
      </c>
      <c r="N296" s="7" t="b">
        <v>0</v>
      </c>
      <c r="O296" s="7" t="b">
        <v>0</v>
      </c>
    </row>
    <row r="297">
      <c r="A297" s="7" t="s">
        <v>2158</v>
      </c>
      <c r="B297" s="7" t="s">
        <v>1198</v>
      </c>
      <c r="C297" s="7" t="s">
        <v>1202</v>
      </c>
      <c r="D297" s="50">
        <v>4.0</v>
      </c>
      <c r="E297" s="50">
        <v>0.0</v>
      </c>
      <c r="F297" s="7" t="s">
        <v>2708</v>
      </c>
      <c r="G297" s="7" t="s">
        <v>1053</v>
      </c>
      <c r="H297" s="7" t="s">
        <v>1105</v>
      </c>
      <c r="N297" s="7" t="b">
        <v>0</v>
      </c>
      <c r="O297" s="7" t="b">
        <v>0</v>
      </c>
    </row>
    <row r="298">
      <c r="A298" s="7" t="s">
        <v>2158</v>
      </c>
      <c r="B298" s="7" t="s">
        <v>1198</v>
      </c>
      <c r="C298" s="7" t="s">
        <v>56</v>
      </c>
      <c r="D298" s="50">
        <v>2.0</v>
      </c>
      <c r="E298" s="50">
        <v>0.0</v>
      </c>
      <c r="F298" s="7" t="s">
        <v>2706</v>
      </c>
      <c r="G298" s="7" t="s">
        <v>1053</v>
      </c>
      <c r="H298" s="7" t="s">
        <v>1105</v>
      </c>
      <c r="N298" s="7" t="b">
        <v>0</v>
      </c>
      <c r="O298" s="7" t="b">
        <v>0</v>
      </c>
    </row>
    <row r="299">
      <c r="A299" s="7" t="s">
        <v>2158</v>
      </c>
      <c r="B299" s="7" t="s">
        <v>1198</v>
      </c>
      <c r="C299" s="7" t="s">
        <v>292</v>
      </c>
      <c r="D299" s="50">
        <v>2.0</v>
      </c>
      <c r="E299" s="50">
        <v>0.0</v>
      </c>
      <c r="F299" s="7" t="s">
        <v>2706</v>
      </c>
      <c r="G299" s="7" t="s">
        <v>1053</v>
      </c>
      <c r="H299" s="7" t="s">
        <v>1105</v>
      </c>
      <c r="N299" s="7" t="b">
        <v>0</v>
      </c>
      <c r="O299" s="7" t="b">
        <v>0</v>
      </c>
    </row>
    <row r="300">
      <c r="A300" s="7" t="s">
        <v>2158</v>
      </c>
      <c r="B300" s="7" t="s">
        <v>1198</v>
      </c>
      <c r="C300" s="7" t="s">
        <v>1203</v>
      </c>
      <c r="D300" s="50">
        <v>2.0</v>
      </c>
      <c r="E300" s="50">
        <v>0.0</v>
      </c>
      <c r="F300" s="7" t="s">
        <v>2706</v>
      </c>
      <c r="G300" s="7" t="s">
        <v>1053</v>
      </c>
      <c r="H300" s="7" t="s">
        <v>1105</v>
      </c>
      <c r="N300" s="7" t="b">
        <v>0</v>
      </c>
      <c r="O300" s="7" t="b">
        <v>0</v>
      </c>
    </row>
    <row r="301">
      <c r="A301" s="7" t="s">
        <v>2158</v>
      </c>
      <c r="B301" s="7" t="s">
        <v>1198</v>
      </c>
      <c r="C301" s="7" t="s">
        <v>1204</v>
      </c>
      <c r="D301" s="50">
        <v>2.0</v>
      </c>
      <c r="E301" s="50">
        <v>0.0</v>
      </c>
      <c r="F301" s="7" t="s">
        <v>2709</v>
      </c>
      <c r="G301" s="7" t="s">
        <v>1053</v>
      </c>
      <c r="H301" s="7" t="s">
        <v>1105</v>
      </c>
      <c r="N301" s="7" t="b">
        <v>0</v>
      </c>
      <c r="O301" s="7" t="b">
        <v>0</v>
      </c>
    </row>
    <row r="302">
      <c r="A302" s="7" t="s">
        <v>2158</v>
      </c>
      <c r="B302" s="7" t="s">
        <v>3</v>
      </c>
      <c r="C302" s="7" t="s">
        <v>1207</v>
      </c>
      <c r="D302" s="50">
        <v>8.0</v>
      </c>
      <c r="E302" s="50">
        <v>0.0</v>
      </c>
      <c r="F302" s="7" t="s">
        <v>2710</v>
      </c>
      <c r="G302" s="7" t="s">
        <v>1053</v>
      </c>
      <c r="H302" s="7" t="s">
        <v>3</v>
      </c>
      <c r="I302" s="7" t="s">
        <v>1053</v>
      </c>
      <c r="N302" s="7" t="b">
        <v>0</v>
      </c>
      <c r="O302" s="7" t="b">
        <v>0</v>
      </c>
    </row>
    <row r="303">
      <c r="A303" s="7" t="s">
        <v>2158</v>
      </c>
      <c r="B303" s="7" t="s">
        <v>1208</v>
      </c>
      <c r="C303" s="7" t="s">
        <v>1209</v>
      </c>
      <c r="D303" s="50">
        <v>24.0</v>
      </c>
      <c r="E303" s="50">
        <v>0.0</v>
      </c>
      <c r="F303" s="7" t="s">
        <v>2711</v>
      </c>
      <c r="G303" s="7" t="s">
        <v>1053</v>
      </c>
      <c r="H303" s="7" t="s">
        <v>587</v>
      </c>
      <c r="N303" s="7" t="b">
        <v>0</v>
      </c>
      <c r="O303" s="7" t="b">
        <v>0</v>
      </c>
    </row>
    <row r="304">
      <c r="A304" s="7" t="s">
        <v>2158</v>
      </c>
      <c r="B304" s="7" t="s">
        <v>1208</v>
      </c>
      <c r="C304" s="7" t="s">
        <v>1148</v>
      </c>
      <c r="D304" s="50">
        <v>28.0</v>
      </c>
      <c r="E304" s="50">
        <v>0.0</v>
      </c>
      <c r="F304" s="7" t="s">
        <v>2712</v>
      </c>
      <c r="G304" s="7" t="s">
        <v>1053</v>
      </c>
      <c r="H304" s="7" t="s">
        <v>587</v>
      </c>
      <c r="N304" s="7" t="b">
        <v>0</v>
      </c>
      <c r="O304" s="7" t="b">
        <v>0</v>
      </c>
    </row>
    <row r="305">
      <c r="A305" s="7" t="s">
        <v>2158</v>
      </c>
      <c r="B305" s="7" t="s">
        <v>1208</v>
      </c>
      <c r="C305" s="7" t="s">
        <v>1210</v>
      </c>
      <c r="D305" s="50">
        <v>2.0</v>
      </c>
      <c r="E305" s="50">
        <v>0.0</v>
      </c>
      <c r="F305" s="7" t="s">
        <v>2653</v>
      </c>
      <c r="G305" s="7" t="s">
        <v>1053</v>
      </c>
      <c r="H305" s="7" t="s">
        <v>38</v>
      </c>
      <c r="I305" s="7" t="s">
        <v>43</v>
      </c>
      <c r="N305" s="7" t="b">
        <v>0</v>
      </c>
      <c r="O305" s="7" t="b">
        <v>0</v>
      </c>
    </row>
    <row r="306">
      <c r="A306" s="7" t="s">
        <v>2158</v>
      </c>
      <c r="B306" s="7" t="s">
        <v>1208</v>
      </c>
      <c r="C306" s="7" t="s">
        <v>651</v>
      </c>
      <c r="D306" s="50">
        <v>21.0</v>
      </c>
      <c r="E306" s="50">
        <v>0.0</v>
      </c>
      <c r="F306" s="7" t="s">
        <v>2713</v>
      </c>
      <c r="G306" s="7" t="s">
        <v>1053</v>
      </c>
      <c r="H306" s="7" t="s">
        <v>140</v>
      </c>
      <c r="I306" s="7" t="s">
        <v>144</v>
      </c>
      <c r="N306" s="7" t="b">
        <v>0</v>
      </c>
      <c r="O306" s="7" t="b">
        <v>0</v>
      </c>
    </row>
    <row r="307">
      <c r="A307" s="7" t="s">
        <v>2158</v>
      </c>
      <c r="B307" s="7" t="s">
        <v>1208</v>
      </c>
      <c r="C307" s="7" t="s">
        <v>1188</v>
      </c>
      <c r="D307" s="50">
        <v>67.0</v>
      </c>
      <c r="E307" s="50">
        <v>0.0</v>
      </c>
      <c r="F307" s="7" t="s">
        <v>2714</v>
      </c>
      <c r="G307" s="7" t="s">
        <v>1053</v>
      </c>
      <c r="H307" s="7" t="s">
        <v>38</v>
      </c>
      <c r="I307" s="7" t="s">
        <v>43</v>
      </c>
      <c r="N307" s="7" t="b">
        <v>0</v>
      </c>
      <c r="O307" s="7" t="b">
        <v>0</v>
      </c>
    </row>
    <row r="308">
      <c r="A308" s="7" t="s">
        <v>2158</v>
      </c>
      <c r="B308" s="7" t="s">
        <v>1208</v>
      </c>
      <c r="C308" s="7" t="s">
        <v>1111</v>
      </c>
      <c r="D308" s="50">
        <v>1.0</v>
      </c>
      <c r="E308" s="50">
        <v>0.0</v>
      </c>
      <c r="F308" s="7" t="s">
        <v>2668</v>
      </c>
      <c r="G308" s="7" t="s">
        <v>1053</v>
      </c>
      <c r="H308" s="7" t="s">
        <v>1105</v>
      </c>
      <c r="N308" s="7" t="b">
        <v>0</v>
      </c>
      <c r="O308" s="7" t="b">
        <v>0</v>
      </c>
    </row>
    <row r="309">
      <c r="A309" s="7" t="s">
        <v>2158</v>
      </c>
      <c r="B309" s="7" t="s">
        <v>1208</v>
      </c>
      <c r="C309" s="7" t="s">
        <v>74</v>
      </c>
      <c r="D309" s="50">
        <v>52.0</v>
      </c>
      <c r="E309" s="50">
        <v>0.0</v>
      </c>
      <c r="F309" s="7" t="s">
        <v>2715</v>
      </c>
      <c r="G309" s="7" t="s">
        <v>1053</v>
      </c>
      <c r="H309" s="7" t="s">
        <v>71</v>
      </c>
      <c r="I309" s="7" t="s">
        <v>74</v>
      </c>
      <c r="N309" s="7" t="b">
        <v>0</v>
      </c>
      <c r="O309" s="7" t="b">
        <v>0</v>
      </c>
    </row>
    <row r="310">
      <c r="A310" s="7" t="s">
        <v>2158</v>
      </c>
      <c r="B310" s="7" t="s">
        <v>1211</v>
      </c>
      <c r="C310" s="7" t="s">
        <v>1111</v>
      </c>
      <c r="D310" s="50">
        <v>1.0</v>
      </c>
      <c r="E310" s="50">
        <v>0.0</v>
      </c>
      <c r="F310" s="7" t="s">
        <v>2668</v>
      </c>
      <c r="G310" s="7" t="s">
        <v>1053</v>
      </c>
      <c r="H310" s="7" t="s">
        <v>1105</v>
      </c>
      <c r="N310" s="7" t="b">
        <v>0</v>
      </c>
      <c r="O310" s="7" t="b">
        <v>0</v>
      </c>
    </row>
    <row r="311">
      <c r="A311" s="7" t="s">
        <v>2158</v>
      </c>
      <c r="B311" s="7" t="s">
        <v>854</v>
      </c>
      <c r="C311" s="7" t="s">
        <v>1222</v>
      </c>
      <c r="D311" s="50">
        <v>7.0</v>
      </c>
      <c r="E311" s="50">
        <v>0.0</v>
      </c>
      <c r="F311" s="7" t="s">
        <v>2716</v>
      </c>
      <c r="G311" s="7" t="s">
        <v>1053</v>
      </c>
      <c r="H311" s="7" t="s">
        <v>363</v>
      </c>
      <c r="I311" s="7" t="s">
        <v>1053</v>
      </c>
      <c r="N311" s="7" t="b">
        <v>0</v>
      </c>
      <c r="O311" s="7" t="b">
        <v>0</v>
      </c>
    </row>
    <row r="312">
      <c r="A312" s="7" t="s">
        <v>2158</v>
      </c>
      <c r="B312" s="7" t="s">
        <v>854</v>
      </c>
      <c r="C312" s="7" t="s">
        <v>861</v>
      </c>
      <c r="D312" s="50">
        <v>19.0</v>
      </c>
      <c r="E312" s="50">
        <v>0.0</v>
      </c>
      <c r="F312" s="7" t="s">
        <v>2717</v>
      </c>
      <c r="G312" s="7" t="s">
        <v>1053</v>
      </c>
      <c r="H312" s="7" t="s">
        <v>363</v>
      </c>
      <c r="I312" s="7" t="s">
        <v>861</v>
      </c>
      <c r="N312" s="7" t="b">
        <v>0</v>
      </c>
      <c r="O312" s="7" t="b">
        <v>0</v>
      </c>
    </row>
    <row r="313">
      <c r="A313" s="7" t="s">
        <v>2158</v>
      </c>
      <c r="B313" s="7" t="s">
        <v>854</v>
      </c>
      <c r="C313" s="7" t="s">
        <v>1225</v>
      </c>
      <c r="D313" s="50">
        <v>18.0</v>
      </c>
      <c r="E313" s="50">
        <v>0.0</v>
      </c>
      <c r="F313" s="7" t="s">
        <v>2718</v>
      </c>
      <c r="G313" s="7" t="s">
        <v>1053</v>
      </c>
      <c r="H313" s="7" t="s">
        <v>363</v>
      </c>
      <c r="I313" s="7" t="s">
        <v>1053</v>
      </c>
      <c r="N313" s="7" t="b">
        <v>0</v>
      </c>
      <c r="O313" s="7" t="b">
        <v>0</v>
      </c>
    </row>
    <row r="314">
      <c r="A314" s="7" t="s">
        <v>2158</v>
      </c>
      <c r="B314" s="7" t="s">
        <v>854</v>
      </c>
      <c r="C314" s="7" t="s">
        <v>1226</v>
      </c>
      <c r="D314" s="50">
        <v>27.0</v>
      </c>
      <c r="E314" s="50">
        <v>0.0</v>
      </c>
      <c r="F314" s="7" t="s">
        <v>2719</v>
      </c>
      <c r="G314" s="7" t="s">
        <v>1053</v>
      </c>
      <c r="H314" s="7" t="s">
        <v>363</v>
      </c>
      <c r="I314" s="7" t="s">
        <v>1053</v>
      </c>
      <c r="N314" s="7" t="b">
        <v>0</v>
      </c>
      <c r="O314" s="7" t="b">
        <v>0</v>
      </c>
    </row>
    <row r="315">
      <c r="A315" s="7" t="s">
        <v>2158</v>
      </c>
      <c r="B315" s="7" t="s">
        <v>854</v>
      </c>
      <c r="C315" s="7" t="s">
        <v>859</v>
      </c>
      <c r="D315" s="50">
        <v>18.0</v>
      </c>
      <c r="E315" s="50">
        <v>0.0</v>
      </c>
      <c r="F315" s="7" t="s">
        <v>2720</v>
      </c>
      <c r="G315" s="7" t="s">
        <v>1053</v>
      </c>
      <c r="H315" s="7" t="s">
        <v>363</v>
      </c>
      <c r="I315" s="7" t="s">
        <v>859</v>
      </c>
      <c r="N315" s="7" t="b">
        <v>0</v>
      </c>
      <c r="O315" s="7" t="b">
        <v>0</v>
      </c>
    </row>
    <row r="316">
      <c r="A316" s="7" t="s">
        <v>2158</v>
      </c>
      <c r="B316" s="7" t="s">
        <v>854</v>
      </c>
      <c r="C316" s="7" t="s">
        <v>173</v>
      </c>
      <c r="D316" s="50">
        <v>44.0</v>
      </c>
      <c r="E316" s="50">
        <v>0.0</v>
      </c>
      <c r="F316" s="7" t="s">
        <v>2721</v>
      </c>
      <c r="G316" s="7" t="s">
        <v>1053</v>
      </c>
      <c r="H316" s="7" t="s">
        <v>363</v>
      </c>
      <c r="I316" s="7" t="s">
        <v>173</v>
      </c>
      <c r="N316" s="7" t="b">
        <v>0</v>
      </c>
      <c r="O316" s="7" t="b">
        <v>0</v>
      </c>
    </row>
    <row r="317">
      <c r="A317" s="7" t="s">
        <v>2158</v>
      </c>
      <c r="B317" s="7" t="s">
        <v>854</v>
      </c>
      <c r="C317" s="7" t="s">
        <v>1183</v>
      </c>
      <c r="D317" s="50">
        <v>10.0</v>
      </c>
      <c r="E317" s="50">
        <v>0.0</v>
      </c>
      <c r="F317" s="7" t="s">
        <v>2722</v>
      </c>
      <c r="G317" s="7" t="s">
        <v>1053</v>
      </c>
      <c r="H317" s="7" t="s">
        <v>363</v>
      </c>
      <c r="I317" s="7" t="s">
        <v>1053</v>
      </c>
      <c r="N317" s="7" t="b">
        <v>0</v>
      </c>
      <c r="O317" s="7" t="b">
        <v>0</v>
      </c>
    </row>
    <row r="318">
      <c r="A318" s="7" t="s">
        <v>2158</v>
      </c>
      <c r="B318" s="7" t="s">
        <v>854</v>
      </c>
      <c r="C318" s="7" t="s">
        <v>1182</v>
      </c>
      <c r="D318" s="50">
        <v>14.0</v>
      </c>
      <c r="E318" s="50">
        <v>0.0</v>
      </c>
      <c r="F318" s="7" t="s">
        <v>2723</v>
      </c>
      <c r="G318" s="7" t="s">
        <v>1053</v>
      </c>
      <c r="I318" s="7" t="s">
        <v>1228</v>
      </c>
      <c r="N318" s="7" t="b">
        <v>0</v>
      </c>
      <c r="O318" s="7" t="b">
        <v>0</v>
      </c>
    </row>
    <row r="319">
      <c r="A319" s="7" t="s">
        <v>2158</v>
      </c>
      <c r="B319" s="7" t="s">
        <v>854</v>
      </c>
      <c r="C319" s="7" t="s">
        <v>1186</v>
      </c>
      <c r="D319" s="50">
        <v>7.0</v>
      </c>
      <c r="E319" s="50">
        <v>0.0</v>
      </c>
      <c r="F319" s="7" t="s">
        <v>2665</v>
      </c>
      <c r="G319" s="7" t="s">
        <v>1053</v>
      </c>
      <c r="H319" s="7" t="s">
        <v>363</v>
      </c>
      <c r="I319" s="7" t="s">
        <v>1053</v>
      </c>
      <c r="N319" s="7" t="b">
        <v>0</v>
      </c>
      <c r="O319" s="7" t="b">
        <v>0</v>
      </c>
    </row>
    <row r="320">
      <c r="A320" s="7" t="s">
        <v>2158</v>
      </c>
      <c r="B320" s="7" t="s">
        <v>854</v>
      </c>
      <c r="C320" s="7" t="s">
        <v>1228</v>
      </c>
      <c r="D320" s="50">
        <v>14.0</v>
      </c>
      <c r="E320" s="50">
        <v>0.0</v>
      </c>
      <c r="F320" s="7" t="s">
        <v>2724</v>
      </c>
      <c r="G320" s="7" t="s">
        <v>1053</v>
      </c>
      <c r="H320" s="7" t="s">
        <v>854</v>
      </c>
      <c r="I320" s="7" t="s">
        <v>173</v>
      </c>
      <c r="N320" s="7" t="b">
        <v>0</v>
      </c>
      <c r="O320" s="7" t="b">
        <v>0</v>
      </c>
    </row>
    <row r="321">
      <c r="A321" s="7" t="s">
        <v>2158</v>
      </c>
      <c r="B321" s="7" t="s">
        <v>854</v>
      </c>
      <c r="C321" s="7" t="s">
        <v>857</v>
      </c>
      <c r="D321" s="50">
        <v>8.0</v>
      </c>
      <c r="E321" s="50">
        <v>0.0</v>
      </c>
      <c r="F321" s="7" t="s">
        <v>2725</v>
      </c>
      <c r="G321" s="7" t="s">
        <v>1053</v>
      </c>
      <c r="H321" s="7" t="s">
        <v>363</v>
      </c>
      <c r="I321" s="7" t="s">
        <v>857</v>
      </c>
      <c r="N321" s="7" t="b">
        <v>0</v>
      </c>
      <c r="O321" s="7" t="b">
        <v>0</v>
      </c>
    </row>
    <row r="322">
      <c r="A322" s="7" t="s">
        <v>2158</v>
      </c>
      <c r="B322" s="7" t="s">
        <v>854</v>
      </c>
      <c r="C322" s="7" t="s">
        <v>286</v>
      </c>
      <c r="D322" s="50">
        <v>31.0</v>
      </c>
      <c r="E322" s="50">
        <v>0.0</v>
      </c>
      <c r="F322" s="7" t="s">
        <v>2726</v>
      </c>
      <c r="G322" s="7" t="s">
        <v>1053</v>
      </c>
      <c r="H322" s="7" t="s">
        <v>363</v>
      </c>
      <c r="I322" s="7" t="s">
        <v>286</v>
      </c>
      <c r="N322" s="7" t="b">
        <v>0</v>
      </c>
      <c r="O322" s="7" t="b">
        <v>0</v>
      </c>
    </row>
    <row r="323">
      <c r="A323" s="7" t="s">
        <v>2158</v>
      </c>
      <c r="B323" s="7" t="s">
        <v>854</v>
      </c>
      <c r="C323" s="7" t="s">
        <v>51</v>
      </c>
      <c r="D323" s="50">
        <v>28.0</v>
      </c>
      <c r="E323" s="50">
        <v>0.0</v>
      </c>
      <c r="F323" s="7" t="s">
        <v>2727</v>
      </c>
      <c r="G323" s="7" t="s">
        <v>1053</v>
      </c>
      <c r="H323" s="7" t="s">
        <v>363</v>
      </c>
      <c r="I323" s="7" t="s">
        <v>51</v>
      </c>
      <c r="N323" s="7" t="b">
        <v>0</v>
      </c>
      <c r="O323" s="7" t="b">
        <v>0</v>
      </c>
    </row>
    <row r="324">
      <c r="A324" s="7" t="s">
        <v>2158</v>
      </c>
      <c r="B324" s="7" t="s">
        <v>854</v>
      </c>
      <c r="C324" s="7" t="s">
        <v>864</v>
      </c>
      <c r="D324" s="50">
        <v>26.0</v>
      </c>
      <c r="E324" s="50">
        <v>0.0</v>
      </c>
      <c r="F324" s="7" t="s">
        <v>2728</v>
      </c>
      <c r="G324" s="7" t="s">
        <v>1053</v>
      </c>
      <c r="H324" s="7" t="s">
        <v>363</v>
      </c>
      <c r="I324" s="7" t="s">
        <v>864</v>
      </c>
      <c r="N324" s="7" t="b">
        <v>0</v>
      </c>
      <c r="O324" s="7" t="b">
        <v>0</v>
      </c>
    </row>
    <row r="325">
      <c r="A325" s="7" t="s">
        <v>2158</v>
      </c>
      <c r="B325" s="7" t="s">
        <v>440</v>
      </c>
      <c r="C325" s="7" t="s">
        <v>430</v>
      </c>
      <c r="D325" s="50">
        <v>10.0</v>
      </c>
      <c r="E325" s="50">
        <v>0.0</v>
      </c>
      <c r="F325" s="7" t="s">
        <v>2672</v>
      </c>
      <c r="G325" s="7" t="s">
        <v>1053</v>
      </c>
      <c r="H325" s="7" t="s">
        <v>440</v>
      </c>
      <c r="I325" s="7" t="s">
        <v>430</v>
      </c>
      <c r="N325" s="7" t="b">
        <v>0</v>
      </c>
      <c r="O325" s="7" t="b">
        <v>0</v>
      </c>
    </row>
    <row r="326">
      <c r="A326" s="7" t="s">
        <v>2158</v>
      </c>
      <c r="B326" s="7" t="s">
        <v>440</v>
      </c>
      <c r="C326" s="7" t="s">
        <v>1230</v>
      </c>
      <c r="D326" s="50">
        <v>1.0</v>
      </c>
      <c r="E326" s="50">
        <v>0.0</v>
      </c>
      <c r="F326" s="7" t="s">
        <v>2668</v>
      </c>
      <c r="G326" s="7" t="s">
        <v>1053</v>
      </c>
      <c r="H326" s="7" t="s">
        <v>440</v>
      </c>
      <c r="I326" s="7" t="s">
        <v>1053</v>
      </c>
      <c r="N326" s="7" t="b">
        <v>0</v>
      </c>
      <c r="O326" s="7" t="b">
        <v>0</v>
      </c>
    </row>
    <row r="327">
      <c r="A327" s="7" t="s">
        <v>2158</v>
      </c>
      <c r="B327" s="7" t="s">
        <v>440</v>
      </c>
      <c r="C327" s="7" t="s">
        <v>1232</v>
      </c>
      <c r="D327" s="50">
        <v>13.0</v>
      </c>
      <c r="E327" s="50">
        <v>0.0</v>
      </c>
      <c r="F327" s="7" t="s">
        <v>2656</v>
      </c>
      <c r="G327" s="7" t="s">
        <v>1053</v>
      </c>
      <c r="H327" s="7" t="s">
        <v>440</v>
      </c>
      <c r="I327" s="7" t="s">
        <v>1053</v>
      </c>
      <c r="N327" s="7" t="b">
        <v>0</v>
      </c>
      <c r="O327" s="7" t="b">
        <v>0</v>
      </c>
    </row>
    <row r="328">
      <c r="A328" s="7" t="s">
        <v>2158</v>
      </c>
      <c r="B328" s="7" t="s">
        <v>440</v>
      </c>
      <c r="C328" s="7" t="s">
        <v>1233</v>
      </c>
      <c r="D328" s="50">
        <v>14.0</v>
      </c>
      <c r="E328" s="50">
        <v>0.0</v>
      </c>
      <c r="F328" s="7" t="s">
        <v>2729</v>
      </c>
      <c r="G328" s="7" t="s">
        <v>1053</v>
      </c>
      <c r="H328" s="7" t="s">
        <v>440</v>
      </c>
      <c r="I328" s="7" t="s">
        <v>1053</v>
      </c>
      <c r="N328" s="7" t="b">
        <v>0</v>
      </c>
      <c r="O328" s="7" t="b">
        <v>0</v>
      </c>
    </row>
    <row r="329">
      <c r="A329" s="7" t="s">
        <v>2158</v>
      </c>
      <c r="B329" s="7" t="s">
        <v>440</v>
      </c>
      <c r="C329" s="7" t="s">
        <v>924</v>
      </c>
      <c r="D329" s="50">
        <v>11.0</v>
      </c>
      <c r="E329" s="50">
        <v>0.0</v>
      </c>
      <c r="F329" s="7" t="s">
        <v>2730</v>
      </c>
      <c r="G329" s="7" t="s">
        <v>1053</v>
      </c>
      <c r="H329" s="7" t="s">
        <v>440</v>
      </c>
      <c r="I329" s="7" t="s">
        <v>924</v>
      </c>
      <c r="N329" s="7" t="b">
        <v>0</v>
      </c>
      <c r="O329" s="7" t="b">
        <v>0</v>
      </c>
    </row>
    <row r="330">
      <c r="A330" s="7" t="s">
        <v>2158</v>
      </c>
      <c r="B330" s="7" t="s">
        <v>440</v>
      </c>
      <c r="C330" s="7" t="s">
        <v>1234</v>
      </c>
      <c r="D330" s="50">
        <v>9.0</v>
      </c>
      <c r="E330" s="50">
        <v>0.0</v>
      </c>
      <c r="F330" s="7" t="s">
        <v>2731</v>
      </c>
      <c r="G330" s="7" t="s">
        <v>1053</v>
      </c>
      <c r="H330" s="7" t="s">
        <v>440</v>
      </c>
      <c r="I330" s="7" t="s">
        <v>454</v>
      </c>
      <c r="N330" s="7" t="b">
        <v>0</v>
      </c>
      <c r="O330" s="7" t="b">
        <v>0</v>
      </c>
    </row>
    <row r="331">
      <c r="A331" s="7" t="s">
        <v>2158</v>
      </c>
      <c r="B331" s="7" t="s">
        <v>440</v>
      </c>
      <c r="C331" s="7" t="s">
        <v>802</v>
      </c>
      <c r="D331" s="50">
        <v>11.0</v>
      </c>
      <c r="E331" s="50">
        <v>0.0</v>
      </c>
      <c r="F331" s="7" t="s">
        <v>2732</v>
      </c>
      <c r="G331" s="7" t="s">
        <v>1053</v>
      </c>
      <c r="H331" s="7" t="s">
        <v>440</v>
      </c>
      <c r="I331" s="7" t="s">
        <v>802</v>
      </c>
      <c r="N331" s="7" t="b">
        <v>0</v>
      </c>
      <c r="O331" s="7" t="b">
        <v>0</v>
      </c>
    </row>
    <row r="332">
      <c r="A332" s="7" t="s">
        <v>2158</v>
      </c>
      <c r="B332" s="7" t="s">
        <v>440</v>
      </c>
      <c r="C332" s="7" t="s">
        <v>1238</v>
      </c>
      <c r="D332" s="50">
        <v>12.0</v>
      </c>
      <c r="E332" s="50">
        <v>0.0</v>
      </c>
      <c r="F332" s="7" t="s">
        <v>2733</v>
      </c>
      <c r="G332" s="7" t="s">
        <v>1053</v>
      </c>
      <c r="H332" s="7" t="s">
        <v>440</v>
      </c>
      <c r="I332" s="7" t="s">
        <v>924</v>
      </c>
      <c r="N332" s="7" t="b">
        <v>0</v>
      </c>
      <c r="O332" s="7" t="b">
        <v>0</v>
      </c>
    </row>
    <row r="333">
      <c r="A333" s="7" t="s">
        <v>2158</v>
      </c>
      <c r="B333" s="7" t="s">
        <v>440</v>
      </c>
      <c r="C333" s="7" t="s">
        <v>1239</v>
      </c>
      <c r="D333" s="50">
        <v>2.0</v>
      </c>
      <c r="E333" s="50">
        <v>0.0</v>
      </c>
      <c r="F333" s="7" t="s">
        <v>2653</v>
      </c>
      <c r="G333" s="7" t="s">
        <v>1053</v>
      </c>
      <c r="H333" s="7" t="s">
        <v>440</v>
      </c>
      <c r="I333" s="7" t="s">
        <v>1053</v>
      </c>
      <c r="N333" s="7" t="b">
        <v>0</v>
      </c>
      <c r="O333" s="7" t="b">
        <v>0</v>
      </c>
    </row>
    <row r="334">
      <c r="A334" s="7" t="s">
        <v>2158</v>
      </c>
      <c r="B334" s="7" t="s">
        <v>440</v>
      </c>
      <c r="C334" s="7" t="s">
        <v>90</v>
      </c>
      <c r="D334" s="50">
        <v>21.0</v>
      </c>
      <c r="E334" s="50">
        <v>0.0</v>
      </c>
      <c r="F334" s="7" t="s">
        <v>2734</v>
      </c>
      <c r="G334" s="7" t="s">
        <v>1053</v>
      </c>
      <c r="H334" s="7" t="s">
        <v>440</v>
      </c>
      <c r="I334" s="7" t="s">
        <v>90</v>
      </c>
      <c r="N334" s="7" t="b">
        <v>0</v>
      </c>
      <c r="O334" s="7" t="b">
        <v>0</v>
      </c>
    </row>
    <row r="335">
      <c r="A335" s="7" t="s">
        <v>2158</v>
      </c>
      <c r="B335" s="7" t="s">
        <v>1242</v>
      </c>
      <c r="C335" s="7" t="s">
        <v>819</v>
      </c>
      <c r="D335" s="50">
        <v>8.0</v>
      </c>
      <c r="E335" s="50">
        <v>0.0</v>
      </c>
      <c r="F335" s="7" t="s">
        <v>2735</v>
      </c>
      <c r="G335" s="7" t="s">
        <v>1053</v>
      </c>
      <c r="H335" s="7" t="s">
        <v>38</v>
      </c>
      <c r="I335" s="7" t="s">
        <v>819</v>
      </c>
      <c r="N335" s="7" t="b">
        <v>0</v>
      </c>
      <c r="O335" s="7" t="b">
        <v>0</v>
      </c>
    </row>
    <row r="336">
      <c r="A336" s="7" t="s">
        <v>2158</v>
      </c>
      <c r="B336" s="7" t="s">
        <v>1242</v>
      </c>
      <c r="C336" s="7" t="s">
        <v>1226</v>
      </c>
      <c r="D336" s="50">
        <v>3.0</v>
      </c>
      <c r="E336" s="50">
        <v>0.0</v>
      </c>
      <c r="F336" s="7" t="s">
        <v>2736</v>
      </c>
      <c r="G336" s="7" t="s">
        <v>1053</v>
      </c>
      <c r="H336" s="7" t="s">
        <v>38</v>
      </c>
      <c r="I336" s="7" t="s">
        <v>1053</v>
      </c>
      <c r="N336" s="7" t="b">
        <v>0</v>
      </c>
      <c r="O336" s="7" t="b">
        <v>0</v>
      </c>
    </row>
    <row r="337">
      <c r="A337" s="7" t="s">
        <v>2158</v>
      </c>
      <c r="B337" s="7" t="s">
        <v>1242</v>
      </c>
      <c r="C337" s="7" t="s">
        <v>1244</v>
      </c>
      <c r="D337" s="50">
        <v>6.0</v>
      </c>
      <c r="E337" s="50">
        <v>0.0</v>
      </c>
      <c r="F337" s="7" t="s">
        <v>2698</v>
      </c>
      <c r="G337" s="7" t="s">
        <v>1053</v>
      </c>
      <c r="H337" s="7" t="s">
        <v>38</v>
      </c>
      <c r="I337" s="7" t="s">
        <v>1053</v>
      </c>
      <c r="N337" s="7" t="b">
        <v>0</v>
      </c>
      <c r="O337" s="7" t="b">
        <v>0</v>
      </c>
    </row>
    <row r="338">
      <c r="A338" s="7" t="s">
        <v>2158</v>
      </c>
      <c r="B338" s="7" t="s">
        <v>1242</v>
      </c>
      <c r="C338" s="7" t="s">
        <v>821</v>
      </c>
      <c r="D338" s="50">
        <v>8.0</v>
      </c>
      <c r="E338" s="50">
        <v>0.0</v>
      </c>
      <c r="F338" s="7" t="s">
        <v>2737</v>
      </c>
      <c r="G338" s="7" t="s">
        <v>1053</v>
      </c>
      <c r="H338" s="7" t="s">
        <v>38</v>
      </c>
      <c r="I338" s="7" t="s">
        <v>821</v>
      </c>
      <c r="N338" s="7" t="b">
        <v>0</v>
      </c>
      <c r="O338" s="7" t="b">
        <v>0</v>
      </c>
    </row>
    <row r="339">
      <c r="A339" s="7" t="s">
        <v>2158</v>
      </c>
      <c r="B339" s="7" t="s">
        <v>1242</v>
      </c>
      <c r="C339" s="7" t="s">
        <v>824</v>
      </c>
      <c r="D339" s="50">
        <v>49.0</v>
      </c>
      <c r="E339" s="50">
        <v>0.0</v>
      </c>
      <c r="F339" s="7" t="s">
        <v>2738</v>
      </c>
      <c r="G339" s="7" t="s">
        <v>1053</v>
      </c>
      <c r="H339" s="7" t="s">
        <v>38</v>
      </c>
      <c r="I339" s="7" t="s">
        <v>331</v>
      </c>
      <c r="N339" s="7" t="b">
        <v>0</v>
      </c>
      <c r="O339" s="7" t="b">
        <v>0</v>
      </c>
    </row>
    <row r="340">
      <c r="A340" s="7" t="s">
        <v>2158</v>
      </c>
      <c r="B340" s="7" t="s">
        <v>1242</v>
      </c>
      <c r="C340" s="7" t="s">
        <v>1111</v>
      </c>
      <c r="D340" s="50">
        <v>1.0</v>
      </c>
      <c r="E340" s="50">
        <v>0.0</v>
      </c>
      <c r="F340" s="7" t="s">
        <v>2668</v>
      </c>
      <c r="G340" s="7" t="s">
        <v>1053</v>
      </c>
      <c r="H340" s="7" t="s">
        <v>38</v>
      </c>
      <c r="I340" s="7" t="s">
        <v>1053</v>
      </c>
      <c r="N340" s="7" t="b">
        <v>0</v>
      </c>
      <c r="O340" s="7" t="b">
        <v>0</v>
      </c>
    </row>
    <row r="341">
      <c r="A341" s="7" t="s">
        <v>2158</v>
      </c>
      <c r="B341" s="7" t="s">
        <v>1242</v>
      </c>
      <c r="C341" s="7" t="s">
        <v>39</v>
      </c>
      <c r="D341" s="50">
        <v>19.0</v>
      </c>
      <c r="E341" s="50">
        <v>0.0</v>
      </c>
      <c r="F341" s="7" t="s">
        <v>2739</v>
      </c>
      <c r="G341" s="7" t="s">
        <v>1053</v>
      </c>
      <c r="H341" s="7" t="s">
        <v>38</v>
      </c>
      <c r="I341" s="7" t="s">
        <v>39</v>
      </c>
      <c r="N341" s="7" t="b">
        <v>0</v>
      </c>
      <c r="O341" s="7" t="b">
        <v>0</v>
      </c>
    </row>
    <row r="342">
      <c r="A342" s="7" t="s">
        <v>2158</v>
      </c>
      <c r="B342" s="7" t="s">
        <v>1242</v>
      </c>
      <c r="C342" s="7" t="s">
        <v>51</v>
      </c>
      <c r="D342" s="50">
        <v>81.0</v>
      </c>
      <c r="E342" s="50">
        <v>0.0</v>
      </c>
      <c r="F342" s="7" t="s">
        <v>2740</v>
      </c>
      <c r="G342" s="7" t="s">
        <v>1053</v>
      </c>
      <c r="H342" s="7" t="s">
        <v>38</v>
      </c>
      <c r="I342" s="7" t="s">
        <v>51</v>
      </c>
      <c r="N342" s="7" t="b">
        <v>0</v>
      </c>
      <c r="O342" s="7" t="b">
        <v>0</v>
      </c>
    </row>
    <row r="343">
      <c r="A343" s="7" t="s">
        <v>2158</v>
      </c>
      <c r="B343" s="7" t="s">
        <v>1242</v>
      </c>
      <c r="C343" s="7" t="s">
        <v>324</v>
      </c>
      <c r="D343" s="50">
        <v>16.0</v>
      </c>
      <c r="E343" s="50">
        <v>0.0</v>
      </c>
      <c r="F343" s="7" t="s">
        <v>2741</v>
      </c>
      <c r="G343" s="7" t="s">
        <v>1053</v>
      </c>
      <c r="H343" s="7" t="s">
        <v>323</v>
      </c>
      <c r="I343" s="7" t="s">
        <v>324</v>
      </c>
      <c r="N343" s="7" t="b">
        <v>0</v>
      </c>
      <c r="O343" s="7" t="b">
        <v>0</v>
      </c>
    </row>
    <row r="344">
      <c r="A344" s="7" t="s">
        <v>2158</v>
      </c>
      <c r="B344" s="7" t="s">
        <v>188</v>
      </c>
      <c r="C344" s="7" t="s">
        <v>114</v>
      </c>
      <c r="D344" s="50">
        <v>0.0</v>
      </c>
      <c r="E344" s="50">
        <v>0.0</v>
      </c>
      <c r="F344" s="7" t="s">
        <v>1053</v>
      </c>
      <c r="G344" s="7" t="s">
        <v>1053</v>
      </c>
      <c r="H344" s="7" t="s">
        <v>470</v>
      </c>
      <c r="I344" s="7" t="s">
        <v>188</v>
      </c>
      <c r="K344" s="7" t="s">
        <v>2177</v>
      </c>
      <c r="N344" s="7" t="b">
        <v>0</v>
      </c>
      <c r="O344" s="7" t="b">
        <v>0</v>
      </c>
    </row>
    <row r="345">
      <c r="A345" s="7" t="s">
        <v>2158</v>
      </c>
      <c r="B345" s="7" t="s">
        <v>188</v>
      </c>
      <c r="C345" s="7" t="s">
        <v>1247</v>
      </c>
      <c r="D345" s="50">
        <v>0.0</v>
      </c>
      <c r="E345" s="50">
        <v>0.0</v>
      </c>
      <c r="F345" s="7" t="s">
        <v>1053</v>
      </c>
      <c r="G345" s="7" t="s">
        <v>1053</v>
      </c>
      <c r="H345" s="7" t="s">
        <v>470</v>
      </c>
      <c r="I345" s="7" t="s">
        <v>188</v>
      </c>
      <c r="K345" s="7" t="s">
        <v>2177</v>
      </c>
      <c r="N345" s="7" t="b">
        <v>0</v>
      </c>
      <c r="O345" s="7" t="b">
        <v>0</v>
      </c>
    </row>
    <row r="346">
      <c r="A346" s="7" t="s">
        <v>2158</v>
      </c>
      <c r="B346" s="7" t="s">
        <v>188</v>
      </c>
      <c r="C346" s="7" t="s">
        <v>46</v>
      </c>
      <c r="D346" s="50">
        <v>0.0</v>
      </c>
      <c r="E346" s="50">
        <v>0.0</v>
      </c>
      <c r="F346" s="7" t="s">
        <v>1053</v>
      </c>
      <c r="G346" s="7" t="s">
        <v>1053</v>
      </c>
      <c r="H346" s="7" t="s">
        <v>470</v>
      </c>
      <c r="I346" s="7" t="s">
        <v>188</v>
      </c>
      <c r="K346" s="7" t="s">
        <v>2177</v>
      </c>
      <c r="N346" s="7" t="b">
        <v>0</v>
      </c>
      <c r="O346" s="7" t="b">
        <v>0</v>
      </c>
    </row>
    <row r="347">
      <c r="A347" s="7" t="s">
        <v>2158</v>
      </c>
      <c r="B347" s="7" t="s">
        <v>188</v>
      </c>
      <c r="C347" s="7" t="s">
        <v>471</v>
      </c>
      <c r="D347" s="50">
        <v>0.0</v>
      </c>
      <c r="E347" s="50">
        <v>0.0</v>
      </c>
      <c r="F347" s="7" t="s">
        <v>1053</v>
      </c>
      <c r="G347" s="7" t="s">
        <v>1053</v>
      </c>
      <c r="H347" s="7" t="s">
        <v>470</v>
      </c>
      <c r="I347" s="7" t="s">
        <v>188</v>
      </c>
      <c r="K347" s="7" t="s">
        <v>2177</v>
      </c>
      <c r="N347" s="7" t="b">
        <v>0</v>
      </c>
      <c r="O347" s="7" t="b">
        <v>0</v>
      </c>
    </row>
    <row r="348">
      <c r="A348" s="7" t="s">
        <v>2158</v>
      </c>
      <c r="B348" s="7" t="s">
        <v>188</v>
      </c>
      <c r="C348" s="7" t="s">
        <v>1248</v>
      </c>
      <c r="D348" s="50">
        <v>0.0</v>
      </c>
      <c r="E348" s="50">
        <v>0.0</v>
      </c>
      <c r="F348" s="7" t="s">
        <v>1053</v>
      </c>
      <c r="G348" s="7" t="s">
        <v>1053</v>
      </c>
      <c r="H348" s="7" t="s">
        <v>470</v>
      </c>
      <c r="I348" s="7" t="s">
        <v>188</v>
      </c>
      <c r="K348" s="7" t="s">
        <v>2177</v>
      </c>
      <c r="N348" s="7" t="b">
        <v>0</v>
      </c>
      <c r="O348" s="7" t="b">
        <v>0</v>
      </c>
    </row>
    <row r="349">
      <c r="A349" s="7" t="s">
        <v>2158</v>
      </c>
      <c r="B349" s="7" t="s">
        <v>188</v>
      </c>
      <c r="C349" s="7" t="s">
        <v>1249</v>
      </c>
      <c r="D349" s="50">
        <v>0.0</v>
      </c>
      <c r="E349" s="50">
        <v>0.0</v>
      </c>
      <c r="F349" s="7" t="s">
        <v>1053</v>
      </c>
      <c r="G349" s="7" t="s">
        <v>1053</v>
      </c>
      <c r="H349" s="7" t="s">
        <v>470</v>
      </c>
      <c r="I349" s="7" t="s">
        <v>188</v>
      </c>
      <c r="K349" s="7" t="s">
        <v>2177</v>
      </c>
      <c r="N349" s="7" t="b">
        <v>0</v>
      </c>
      <c r="O349" s="7" t="b">
        <v>0</v>
      </c>
    </row>
    <row r="350">
      <c r="A350" s="7" t="s">
        <v>2158</v>
      </c>
      <c r="B350" s="7" t="s">
        <v>188</v>
      </c>
      <c r="C350" s="7" t="s">
        <v>1251</v>
      </c>
      <c r="D350" s="50">
        <v>0.0</v>
      </c>
      <c r="E350" s="50">
        <v>0.0</v>
      </c>
      <c r="F350" s="7" t="s">
        <v>1053</v>
      </c>
      <c r="G350" s="7" t="s">
        <v>1053</v>
      </c>
      <c r="H350" s="7" t="s">
        <v>470</v>
      </c>
      <c r="I350" s="7" t="s">
        <v>188</v>
      </c>
      <c r="K350" s="7" t="s">
        <v>2177</v>
      </c>
      <c r="N350" s="7" t="b">
        <v>0</v>
      </c>
      <c r="O350" s="7" t="b">
        <v>0</v>
      </c>
    </row>
    <row r="351">
      <c r="A351" s="7" t="s">
        <v>2158</v>
      </c>
      <c r="B351" s="7" t="s">
        <v>188</v>
      </c>
      <c r="C351" s="7" t="s">
        <v>1104</v>
      </c>
      <c r="D351" s="50">
        <v>0.0</v>
      </c>
      <c r="E351" s="50">
        <v>0.0</v>
      </c>
      <c r="F351" s="7" t="s">
        <v>1053</v>
      </c>
      <c r="G351" s="7" t="s">
        <v>1053</v>
      </c>
      <c r="H351" s="7" t="s">
        <v>470</v>
      </c>
      <c r="I351" s="7" t="s">
        <v>188</v>
      </c>
      <c r="K351" s="7" t="s">
        <v>2177</v>
      </c>
      <c r="N351" s="7" t="b">
        <v>0</v>
      </c>
      <c r="O351" s="7" t="b">
        <v>0</v>
      </c>
    </row>
    <row r="352">
      <c r="A352" s="7" t="s">
        <v>2158</v>
      </c>
      <c r="B352" s="7" t="s">
        <v>1213</v>
      </c>
      <c r="C352" s="7" t="s">
        <v>56</v>
      </c>
      <c r="D352" s="50">
        <v>2.0</v>
      </c>
      <c r="E352" s="50">
        <v>0.0</v>
      </c>
      <c r="F352" s="7" t="s">
        <v>2706</v>
      </c>
      <c r="G352" s="7" t="s">
        <v>1053</v>
      </c>
      <c r="H352" s="7" t="s">
        <v>1255</v>
      </c>
      <c r="N352" s="7" t="b">
        <v>0</v>
      </c>
      <c r="O352" s="7" t="b">
        <v>0</v>
      </c>
    </row>
    <row r="353">
      <c r="A353" s="7" t="s">
        <v>2158</v>
      </c>
      <c r="B353" s="7" t="s">
        <v>780</v>
      </c>
      <c r="C353" s="7" t="s">
        <v>786</v>
      </c>
      <c r="D353" s="50">
        <v>28.0</v>
      </c>
      <c r="E353" s="50">
        <v>0.0</v>
      </c>
      <c r="F353" s="7" t="s">
        <v>2685</v>
      </c>
      <c r="G353" s="7" t="s">
        <v>1053</v>
      </c>
      <c r="H353" s="7" t="s">
        <v>780</v>
      </c>
      <c r="I353" s="7" t="s">
        <v>786</v>
      </c>
      <c r="N353" s="7" t="b">
        <v>0</v>
      </c>
      <c r="O353" s="7" t="b">
        <v>0</v>
      </c>
    </row>
    <row r="354">
      <c r="A354" s="7" t="s">
        <v>2158</v>
      </c>
      <c r="B354" s="7" t="s">
        <v>780</v>
      </c>
      <c r="C354" s="7" t="s">
        <v>284</v>
      </c>
      <c r="D354" s="50">
        <v>20.0</v>
      </c>
      <c r="E354" s="50">
        <v>0.0</v>
      </c>
      <c r="F354" s="7" t="s">
        <v>2742</v>
      </c>
      <c r="G354" s="7" t="s">
        <v>1053</v>
      </c>
      <c r="H354" s="7" t="s">
        <v>780</v>
      </c>
      <c r="I354" s="7" t="s">
        <v>284</v>
      </c>
      <c r="N354" s="7" t="b">
        <v>0</v>
      </c>
      <c r="O354" s="7" t="b">
        <v>0</v>
      </c>
    </row>
    <row r="355">
      <c r="A355" s="7" t="s">
        <v>2158</v>
      </c>
      <c r="B355" s="7" t="s">
        <v>780</v>
      </c>
      <c r="C355" s="7" t="s">
        <v>286</v>
      </c>
      <c r="D355" s="50">
        <v>4.0</v>
      </c>
      <c r="E355" s="50">
        <v>0.0</v>
      </c>
      <c r="F355" s="7" t="s">
        <v>2743</v>
      </c>
      <c r="G355" s="7" t="s">
        <v>1053</v>
      </c>
      <c r="H355" s="7" t="s">
        <v>780</v>
      </c>
      <c r="I355" s="7" t="s">
        <v>286</v>
      </c>
      <c r="N355" s="7" t="b">
        <v>0</v>
      </c>
      <c r="O355" s="7" t="b">
        <v>0</v>
      </c>
    </row>
    <row r="356">
      <c r="A356" s="7" t="s">
        <v>2158</v>
      </c>
      <c r="B356" s="7" t="s">
        <v>780</v>
      </c>
      <c r="C356" s="7" t="s">
        <v>1111</v>
      </c>
      <c r="D356" s="50">
        <v>1.0</v>
      </c>
      <c r="E356" s="50">
        <v>0.0</v>
      </c>
      <c r="F356" s="7" t="s">
        <v>2668</v>
      </c>
      <c r="G356" s="7" t="s">
        <v>1053</v>
      </c>
      <c r="H356" s="7" t="s">
        <v>780</v>
      </c>
      <c r="I356" s="7" t="s">
        <v>1053</v>
      </c>
      <c r="N356" s="7" t="b">
        <v>0</v>
      </c>
      <c r="O356" s="7" t="b">
        <v>0</v>
      </c>
    </row>
    <row r="357">
      <c r="A357" s="7" t="s">
        <v>2158</v>
      </c>
      <c r="B357" s="7" t="s">
        <v>648</v>
      </c>
      <c r="C357" s="7" t="s">
        <v>143</v>
      </c>
      <c r="D357" s="50">
        <v>53.0</v>
      </c>
      <c r="E357" s="50">
        <v>0.0</v>
      </c>
      <c r="F357" s="7" t="s">
        <v>2744</v>
      </c>
      <c r="G357" s="7" t="s">
        <v>1053</v>
      </c>
      <c r="H357" s="7" t="s">
        <v>648</v>
      </c>
      <c r="I357" s="7" t="s">
        <v>143</v>
      </c>
      <c r="N357" s="7" t="b">
        <v>0</v>
      </c>
      <c r="O357" s="7" t="b">
        <v>0</v>
      </c>
    </row>
    <row r="358">
      <c r="A358" s="7" t="s">
        <v>2158</v>
      </c>
      <c r="B358" s="7" t="s">
        <v>648</v>
      </c>
      <c r="C358" s="7" t="s">
        <v>668</v>
      </c>
      <c r="D358" s="50">
        <v>2.0</v>
      </c>
      <c r="E358" s="50">
        <v>0.0</v>
      </c>
      <c r="F358" s="7" t="s">
        <v>2653</v>
      </c>
      <c r="G358" s="7" t="s">
        <v>1053</v>
      </c>
      <c r="H358" s="7" t="s">
        <v>648</v>
      </c>
      <c r="I358" s="7" t="s">
        <v>163</v>
      </c>
      <c r="N358" s="7" t="b">
        <v>0</v>
      </c>
      <c r="O358" s="7" t="b">
        <v>0</v>
      </c>
    </row>
    <row r="359">
      <c r="A359" s="7" t="s">
        <v>2158</v>
      </c>
      <c r="B359" s="7" t="s">
        <v>648</v>
      </c>
      <c r="C359" s="7" t="s">
        <v>662</v>
      </c>
      <c r="D359" s="50">
        <v>6.0</v>
      </c>
      <c r="E359" s="50">
        <v>0.0</v>
      </c>
      <c r="F359" s="7" t="s">
        <v>2745</v>
      </c>
      <c r="G359" s="7" t="s">
        <v>1053</v>
      </c>
      <c r="H359" s="7" t="s">
        <v>648</v>
      </c>
      <c r="I359" s="7" t="s">
        <v>662</v>
      </c>
      <c r="N359" s="7" t="b">
        <v>0</v>
      </c>
      <c r="O359" s="7" t="b">
        <v>0</v>
      </c>
    </row>
    <row r="360">
      <c r="A360" s="7" t="s">
        <v>2158</v>
      </c>
      <c r="B360" s="7" t="s">
        <v>648</v>
      </c>
      <c r="C360" s="7" t="s">
        <v>155</v>
      </c>
      <c r="D360" s="50">
        <v>4.0</v>
      </c>
      <c r="E360" s="50">
        <v>0.0</v>
      </c>
      <c r="F360" s="7" t="s">
        <v>2743</v>
      </c>
      <c r="G360" s="7" t="s">
        <v>1053</v>
      </c>
      <c r="H360" s="7" t="s">
        <v>648</v>
      </c>
      <c r="I360" s="7" t="s">
        <v>155</v>
      </c>
      <c r="N360" s="7" t="b">
        <v>0</v>
      </c>
      <c r="O360" s="7" t="b">
        <v>0</v>
      </c>
    </row>
    <row r="361">
      <c r="A361" s="7" t="s">
        <v>2158</v>
      </c>
      <c r="B361" s="7" t="s">
        <v>648</v>
      </c>
      <c r="C361" s="7" t="s">
        <v>651</v>
      </c>
      <c r="D361" s="50">
        <v>11.0</v>
      </c>
      <c r="E361" s="50">
        <v>0.0</v>
      </c>
      <c r="F361" s="7" t="s">
        <v>2746</v>
      </c>
      <c r="G361" s="7" t="s">
        <v>1053</v>
      </c>
      <c r="H361" s="7" t="s">
        <v>648</v>
      </c>
      <c r="I361" s="7" t="s">
        <v>144</v>
      </c>
      <c r="N361" s="7" t="b">
        <v>0</v>
      </c>
      <c r="O361" s="7" t="b">
        <v>0</v>
      </c>
    </row>
    <row r="362">
      <c r="A362" s="7" t="s">
        <v>2158</v>
      </c>
      <c r="B362" s="7" t="s">
        <v>648</v>
      </c>
      <c r="C362" s="7" t="s">
        <v>1262</v>
      </c>
      <c r="D362" s="50">
        <v>8.0</v>
      </c>
      <c r="E362" s="50">
        <v>0.0</v>
      </c>
      <c r="F362" s="7" t="s">
        <v>2747</v>
      </c>
      <c r="G362" s="7" t="s">
        <v>1053</v>
      </c>
      <c r="H362" s="7" t="s">
        <v>648</v>
      </c>
      <c r="I362" s="7" t="s">
        <v>141</v>
      </c>
      <c r="N362" s="7" t="b">
        <v>0</v>
      </c>
      <c r="O362" s="7" t="b">
        <v>0</v>
      </c>
    </row>
    <row r="363">
      <c r="A363" s="7" t="s">
        <v>2158</v>
      </c>
      <c r="B363" s="7" t="s">
        <v>648</v>
      </c>
      <c r="C363" s="7" t="s">
        <v>1263</v>
      </c>
      <c r="D363" s="50">
        <v>54.0</v>
      </c>
      <c r="E363" s="50">
        <v>0.0</v>
      </c>
      <c r="F363" s="7" t="s">
        <v>2748</v>
      </c>
      <c r="G363" s="7" t="s">
        <v>1053</v>
      </c>
      <c r="H363" s="7" t="s">
        <v>648</v>
      </c>
      <c r="I363" s="7" t="s">
        <v>668</v>
      </c>
      <c r="N363" s="7" t="b">
        <v>0</v>
      </c>
      <c r="O363" s="7" t="b">
        <v>0</v>
      </c>
    </row>
    <row r="364">
      <c r="A364" s="7" t="s">
        <v>2158</v>
      </c>
      <c r="B364" s="7" t="s">
        <v>648</v>
      </c>
      <c r="C364" s="7" t="s">
        <v>148</v>
      </c>
      <c r="D364" s="50">
        <v>23.0</v>
      </c>
      <c r="E364" s="50">
        <v>0.0</v>
      </c>
      <c r="F364" s="7" t="s">
        <v>2749</v>
      </c>
      <c r="G364" s="7" t="s">
        <v>1053</v>
      </c>
      <c r="H364" s="7" t="s">
        <v>648</v>
      </c>
      <c r="I364" s="7" t="s">
        <v>148</v>
      </c>
      <c r="N364" s="7" t="b">
        <v>0</v>
      </c>
      <c r="O364" s="7" t="b">
        <v>0</v>
      </c>
    </row>
    <row r="365">
      <c r="A365" s="7" t="s">
        <v>2158</v>
      </c>
      <c r="B365" s="7" t="s">
        <v>648</v>
      </c>
      <c r="C365" s="7" t="s">
        <v>1111</v>
      </c>
      <c r="D365" s="50">
        <v>1.0</v>
      </c>
      <c r="E365" s="50">
        <v>0.0</v>
      </c>
      <c r="F365" s="7" t="s">
        <v>2668</v>
      </c>
      <c r="G365" s="7" t="s">
        <v>1053</v>
      </c>
      <c r="H365" s="7" t="s">
        <v>648</v>
      </c>
      <c r="I365" s="7" t="s">
        <v>1053</v>
      </c>
      <c r="N365" s="7" t="b">
        <v>0</v>
      </c>
      <c r="O365" s="7" t="b">
        <v>0</v>
      </c>
    </row>
    <row r="366">
      <c r="A366" s="7" t="s">
        <v>2158</v>
      </c>
      <c r="B366" s="7" t="s">
        <v>648</v>
      </c>
      <c r="C366" s="7" t="s">
        <v>141</v>
      </c>
      <c r="D366" s="50">
        <v>11.0</v>
      </c>
      <c r="E366" s="50">
        <v>0.0</v>
      </c>
      <c r="F366" s="7" t="s">
        <v>2750</v>
      </c>
      <c r="G366" s="7" t="s">
        <v>1053</v>
      </c>
      <c r="H366" s="7" t="s">
        <v>648</v>
      </c>
      <c r="I366" s="7" t="s">
        <v>141</v>
      </c>
      <c r="N366" s="7" t="b">
        <v>0</v>
      </c>
      <c r="O366" s="7" t="b">
        <v>0</v>
      </c>
    </row>
    <row r="367">
      <c r="A367" s="7" t="s">
        <v>2158</v>
      </c>
      <c r="B367" s="7" t="s">
        <v>1264</v>
      </c>
      <c r="C367" s="7" t="s">
        <v>1180</v>
      </c>
      <c r="D367" s="50">
        <v>16.0</v>
      </c>
      <c r="E367" s="50">
        <v>0.0</v>
      </c>
      <c r="F367" s="7" t="s">
        <v>2751</v>
      </c>
      <c r="G367" s="7" t="s">
        <v>1053</v>
      </c>
      <c r="H367" s="7" t="s">
        <v>854</v>
      </c>
      <c r="N367" s="7" t="b">
        <v>0</v>
      </c>
      <c r="O367" s="7" t="b">
        <v>0</v>
      </c>
    </row>
    <row r="368">
      <c r="A368" s="7" t="s">
        <v>2158</v>
      </c>
      <c r="B368" s="7" t="s">
        <v>1264</v>
      </c>
      <c r="C368" s="7" t="s">
        <v>1144</v>
      </c>
      <c r="D368" s="50">
        <v>5.0</v>
      </c>
      <c r="E368" s="50">
        <v>0.0</v>
      </c>
      <c r="F368" s="7" t="s">
        <v>2689</v>
      </c>
      <c r="G368" s="7" t="s">
        <v>1053</v>
      </c>
      <c r="H368" s="7" t="s">
        <v>478</v>
      </c>
      <c r="N368" s="7" t="b">
        <v>0</v>
      </c>
      <c r="O368" s="7" t="b">
        <v>0</v>
      </c>
    </row>
    <row r="369">
      <c r="A369" s="7" t="s">
        <v>2158</v>
      </c>
      <c r="B369" s="7" t="s">
        <v>1264</v>
      </c>
      <c r="C369" s="7" t="s">
        <v>1265</v>
      </c>
      <c r="D369" s="50">
        <v>4.0</v>
      </c>
      <c r="E369" s="50">
        <v>0.0</v>
      </c>
      <c r="F369" s="7" t="s">
        <v>2693</v>
      </c>
      <c r="G369" s="7" t="s">
        <v>1053</v>
      </c>
      <c r="H369" s="7" t="s">
        <v>391</v>
      </c>
      <c r="I369" s="7" t="s">
        <v>395</v>
      </c>
      <c r="N369" s="7" t="b">
        <v>0</v>
      </c>
      <c r="O369" s="7" t="b">
        <v>0</v>
      </c>
    </row>
    <row r="370">
      <c r="A370" s="7" t="s">
        <v>2158</v>
      </c>
      <c r="B370" s="7" t="s">
        <v>1264</v>
      </c>
      <c r="C370" s="7" t="s">
        <v>1175</v>
      </c>
      <c r="D370" s="50">
        <v>13.0</v>
      </c>
      <c r="E370" s="50">
        <v>0.0</v>
      </c>
      <c r="F370" s="7" t="s">
        <v>2752</v>
      </c>
      <c r="G370" s="7" t="s">
        <v>1053</v>
      </c>
      <c r="H370" s="7" t="s">
        <v>391</v>
      </c>
      <c r="N370" s="7" t="b">
        <v>0</v>
      </c>
      <c r="O370" s="7" t="b">
        <v>0</v>
      </c>
    </row>
    <row r="371">
      <c r="A371" s="7" t="s">
        <v>2158</v>
      </c>
      <c r="B371" s="7" t="s">
        <v>1264</v>
      </c>
      <c r="C371" s="7" t="s">
        <v>286</v>
      </c>
      <c r="D371" s="50">
        <v>6.0</v>
      </c>
      <c r="E371" s="50">
        <v>0.0</v>
      </c>
      <c r="F371" s="7" t="s">
        <v>2753</v>
      </c>
      <c r="G371" s="7" t="s">
        <v>1053</v>
      </c>
      <c r="H371" s="7" t="s">
        <v>281</v>
      </c>
      <c r="I371" s="7" t="s">
        <v>286</v>
      </c>
      <c r="N371" s="7" t="b">
        <v>0</v>
      </c>
      <c r="O371" s="7" t="b">
        <v>0</v>
      </c>
    </row>
    <row r="372">
      <c r="A372" s="7" t="s">
        <v>2158</v>
      </c>
      <c r="B372" s="7" t="s">
        <v>1264</v>
      </c>
      <c r="C372" s="7" t="s">
        <v>1068</v>
      </c>
      <c r="D372" s="50">
        <v>22.0</v>
      </c>
      <c r="E372" s="50">
        <v>0.0</v>
      </c>
      <c r="F372" s="7" t="s">
        <v>2754</v>
      </c>
      <c r="G372" s="7" t="s">
        <v>1053</v>
      </c>
      <c r="H372" s="7" t="s">
        <v>1176</v>
      </c>
      <c r="N372" s="7" t="b">
        <v>0</v>
      </c>
      <c r="O372" s="7" t="b">
        <v>0</v>
      </c>
    </row>
    <row r="373">
      <c r="A373" s="7" t="s">
        <v>2158</v>
      </c>
      <c r="B373" s="7" t="s">
        <v>1268</v>
      </c>
      <c r="C373" s="7" t="s">
        <v>1225</v>
      </c>
      <c r="D373" s="50">
        <v>4.0</v>
      </c>
      <c r="E373" s="50">
        <v>0.0</v>
      </c>
      <c r="F373" s="7" t="s">
        <v>2693</v>
      </c>
      <c r="G373" s="7" t="s">
        <v>1053</v>
      </c>
      <c r="H373" s="7" t="s">
        <v>38</v>
      </c>
      <c r="I373" s="7" t="s">
        <v>43</v>
      </c>
      <c r="N373" s="7" t="b">
        <v>0</v>
      </c>
      <c r="O373" s="7" t="b">
        <v>0</v>
      </c>
    </row>
    <row r="374">
      <c r="A374" s="7" t="s">
        <v>2158</v>
      </c>
      <c r="B374" s="7" t="s">
        <v>1268</v>
      </c>
      <c r="C374" s="7" t="s">
        <v>1226</v>
      </c>
      <c r="D374" s="50">
        <v>13.0</v>
      </c>
      <c r="E374" s="50">
        <v>0.0</v>
      </c>
      <c r="F374" s="7" t="s">
        <v>2755</v>
      </c>
      <c r="G374" s="7" t="s">
        <v>1053</v>
      </c>
      <c r="H374" s="7" t="s">
        <v>391</v>
      </c>
      <c r="N374" s="7" t="b">
        <v>0</v>
      </c>
      <c r="O374" s="7" t="b">
        <v>0</v>
      </c>
    </row>
    <row r="375">
      <c r="A375" s="7" t="s">
        <v>2158</v>
      </c>
      <c r="B375" s="7" t="s">
        <v>1268</v>
      </c>
      <c r="C375" s="7" t="s">
        <v>859</v>
      </c>
      <c r="D375" s="50">
        <v>4.0</v>
      </c>
      <c r="E375" s="50">
        <v>0.0</v>
      </c>
      <c r="F375" s="7" t="s">
        <v>2693</v>
      </c>
      <c r="G375" s="7" t="s">
        <v>1053</v>
      </c>
      <c r="H375" s="7" t="s">
        <v>854</v>
      </c>
      <c r="I375" s="7" t="s">
        <v>859</v>
      </c>
      <c r="N375" s="7" t="b">
        <v>0</v>
      </c>
      <c r="O375" s="7" t="b">
        <v>0</v>
      </c>
    </row>
    <row r="376">
      <c r="A376" s="7" t="s">
        <v>2158</v>
      </c>
      <c r="B376" s="7" t="s">
        <v>1268</v>
      </c>
      <c r="C376" s="7" t="s">
        <v>1183</v>
      </c>
      <c r="D376" s="50">
        <v>11.0</v>
      </c>
      <c r="E376" s="50">
        <v>0.0</v>
      </c>
      <c r="F376" s="7" t="s">
        <v>2756</v>
      </c>
      <c r="G376" s="7" t="s">
        <v>1053</v>
      </c>
      <c r="H376" s="7" t="s">
        <v>854</v>
      </c>
      <c r="N376" s="7" t="b">
        <v>0</v>
      </c>
      <c r="O376" s="7" t="b">
        <v>0</v>
      </c>
    </row>
    <row r="377">
      <c r="A377" s="7" t="s">
        <v>2158</v>
      </c>
      <c r="B377" s="7" t="s">
        <v>1268</v>
      </c>
      <c r="C377" s="7" t="s">
        <v>1182</v>
      </c>
      <c r="D377" s="50">
        <v>6.0</v>
      </c>
      <c r="E377" s="50">
        <v>0.0</v>
      </c>
      <c r="F377" s="7" t="s">
        <v>2757</v>
      </c>
      <c r="G377" s="7" t="s">
        <v>1053</v>
      </c>
      <c r="H377" s="7" t="s">
        <v>854</v>
      </c>
      <c r="N377" s="7" t="b">
        <v>0</v>
      </c>
      <c r="O377" s="7" t="b">
        <v>0</v>
      </c>
    </row>
    <row r="378">
      <c r="A378" s="7" t="s">
        <v>2158</v>
      </c>
      <c r="B378" s="7" t="s">
        <v>1268</v>
      </c>
      <c r="C378" s="7" t="s">
        <v>857</v>
      </c>
      <c r="D378" s="50">
        <v>4.0</v>
      </c>
      <c r="E378" s="50">
        <v>0.0</v>
      </c>
      <c r="F378" s="7" t="s">
        <v>2758</v>
      </c>
      <c r="G378" s="7" t="s">
        <v>1053</v>
      </c>
      <c r="H378" s="7" t="s">
        <v>854</v>
      </c>
      <c r="I378" s="7" t="s">
        <v>857</v>
      </c>
      <c r="N378" s="7" t="b">
        <v>0</v>
      </c>
      <c r="O378" s="7" t="b">
        <v>0</v>
      </c>
    </row>
    <row r="379">
      <c r="A379" s="7" t="s">
        <v>2158</v>
      </c>
      <c r="B379" s="7" t="s">
        <v>1268</v>
      </c>
      <c r="C379" s="7" t="s">
        <v>286</v>
      </c>
      <c r="D379" s="50">
        <v>9.0</v>
      </c>
      <c r="E379" s="50">
        <v>0.0</v>
      </c>
      <c r="F379" s="7" t="s">
        <v>2759</v>
      </c>
      <c r="G379" s="7" t="s">
        <v>1053</v>
      </c>
      <c r="H379" s="7" t="s">
        <v>281</v>
      </c>
      <c r="I379" s="7" t="s">
        <v>286</v>
      </c>
      <c r="N379" s="7" t="b">
        <v>0</v>
      </c>
      <c r="O379" s="7" t="b">
        <v>0</v>
      </c>
    </row>
    <row r="380">
      <c r="A380" s="7" t="s">
        <v>2158</v>
      </c>
      <c r="B380" s="7" t="s">
        <v>1268</v>
      </c>
      <c r="C380" s="7" t="s">
        <v>1111</v>
      </c>
      <c r="D380" s="50">
        <v>1.0</v>
      </c>
      <c r="E380" s="50">
        <v>0.0</v>
      </c>
      <c r="F380" s="7" t="s">
        <v>2668</v>
      </c>
      <c r="G380" s="7" t="s">
        <v>1053</v>
      </c>
      <c r="H380" s="7" t="s">
        <v>1105</v>
      </c>
      <c r="N380" s="7" t="b">
        <v>0</v>
      </c>
      <c r="O380" s="7" t="b">
        <v>0</v>
      </c>
    </row>
    <row r="381">
      <c r="A381" s="7" t="s">
        <v>2158</v>
      </c>
      <c r="B381" s="7" t="s">
        <v>1268</v>
      </c>
      <c r="C381" s="7" t="s">
        <v>864</v>
      </c>
      <c r="D381" s="50">
        <v>4.0</v>
      </c>
      <c r="E381" s="50">
        <v>0.0</v>
      </c>
      <c r="F381" s="7" t="s">
        <v>2743</v>
      </c>
      <c r="G381" s="7" t="s">
        <v>1053</v>
      </c>
      <c r="H381" s="7" t="s">
        <v>854</v>
      </c>
      <c r="I381" s="7" t="s">
        <v>864</v>
      </c>
      <c r="N381" s="7" t="b">
        <v>0</v>
      </c>
      <c r="O381" s="7" t="b">
        <v>0</v>
      </c>
    </row>
    <row r="382">
      <c r="A382" s="7" t="s">
        <v>2158</v>
      </c>
      <c r="B382" s="7" t="s">
        <v>323</v>
      </c>
      <c r="C382" s="7" t="s">
        <v>819</v>
      </c>
      <c r="D382" s="50">
        <v>9.0</v>
      </c>
      <c r="E382" s="50">
        <v>0.0</v>
      </c>
      <c r="F382" s="7" t="s">
        <v>2760</v>
      </c>
      <c r="G382" s="7" t="s">
        <v>1053</v>
      </c>
      <c r="H382" s="7" t="s">
        <v>323</v>
      </c>
      <c r="I382" s="7" t="s">
        <v>819</v>
      </c>
      <c r="N382" s="7" t="b">
        <v>0</v>
      </c>
      <c r="O382" s="7" t="b">
        <v>0</v>
      </c>
    </row>
    <row r="383">
      <c r="A383" s="7" t="s">
        <v>2158</v>
      </c>
      <c r="B383" s="7" t="s">
        <v>323</v>
      </c>
      <c r="C383" s="7" t="s">
        <v>821</v>
      </c>
      <c r="D383" s="50">
        <v>8.0</v>
      </c>
      <c r="E383" s="50">
        <v>0.0</v>
      </c>
      <c r="F383" s="7" t="s">
        <v>2737</v>
      </c>
      <c r="G383" s="7" t="s">
        <v>1053</v>
      </c>
      <c r="H383" s="7" t="s">
        <v>323</v>
      </c>
      <c r="I383" s="7" t="s">
        <v>821</v>
      </c>
      <c r="N383" s="7" t="b">
        <v>0</v>
      </c>
      <c r="O383" s="7" t="b">
        <v>0</v>
      </c>
    </row>
    <row r="384">
      <c r="A384" s="7" t="s">
        <v>2158</v>
      </c>
      <c r="B384" s="7" t="s">
        <v>323</v>
      </c>
      <c r="C384" s="7" t="s">
        <v>824</v>
      </c>
      <c r="D384" s="50">
        <v>28.0</v>
      </c>
      <c r="E384" s="50">
        <v>0.0</v>
      </c>
      <c r="F384" s="7" t="s">
        <v>2761</v>
      </c>
      <c r="G384" s="7" t="s">
        <v>1053</v>
      </c>
      <c r="H384" s="7" t="s">
        <v>323</v>
      </c>
      <c r="I384" s="7" t="s">
        <v>331</v>
      </c>
      <c r="N384" s="7" t="b">
        <v>0</v>
      </c>
      <c r="O384" s="7" t="b">
        <v>0</v>
      </c>
    </row>
    <row r="385">
      <c r="A385" s="7" t="s">
        <v>2158</v>
      </c>
      <c r="B385" s="7" t="s">
        <v>323</v>
      </c>
      <c r="C385" s="7" t="s">
        <v>1111</v>
      </c>
      <c r="D385" s="50">
        <v>1.0</v>
      </c>
      <c r="E385" s="50">
        <v>0.0</v>
      </c>
      <c r="F385" s="7" t="s">
        <v>2668</v>
      </c>
      <c r="G385" s="7" t="s">
        <v>1053</v>
      </c>
      <c r="H385" s="7" t="s">
        <v>323</v>
      </c>
      <c r="I385" s="7" t="s">
        <v>1053</v>
      </c>
      <c r="N385" s="7" t="b">
        <v>0</v>
      </c>
      <c r="O385" s="7" t="b">
        <v>0</v>
      </c>
    </row>
    <row r="386">
      <c r="A386" s="7" t="s">
        <v>2158</v>
      </c>
      <c r="B386" s="7" t="s">
        <v>323</v>
      </c>
      <c r="C386" s="7" t="s">
        <v>324</v>
      </c>
      <c r="D386" s="50">
        <v>20.0</v>
      </c>
      <c r="E386" s="50">
        <v>0.0</v>
      </c>
      <c r="F386" s="7" t="s">
        <v>2762</v>
      </c>
      <c r="G386" s="7" t="s">
        <v>1053</v>
      </c>
      <c r="H386" s="7" t="s">
        <v>323</v>
      </c>
      <c r="I386" s="7" t="s">
        <v>324</v>
      </c>
      <c r="N386" s="7" t="b">
        <v>0</v>
      </c>
      <c r="O386" s="7" t="b">
        <v>0</v>
      </c>
    </row>
    <row r="387">
      <c r="A387" s="7" t="s">
        <v>2158</v>
      </c>
      <c r="B387" s="7" t="s">
        <v>644</v>
      </c>
      <c r="C387" s="7" t="s">
        <v>1269</v>
      </c>
      <c r="D387" s="50">
        <v>2.0</v>
      </c>
      <c r="E387" s="50">
        <v>0.0</v>
      </c>
      <c r="F387" s="7" t="s">
        <v>2706</v>
      </c>
      <c r="G387" s="7" t="s">
        <v>1053</v>
      </c>
      <c r="H387" s="7" t="s">
        <v>1433</v>
      </c>
      <c r="I387" s="7" t="s">
        <v>136</v>
      </c>
      <c r="N387" s="7" t="b">
        <v>0</v>
      </c>
      <c r="O387" s="7" t="b">
        <v>0</v>
      </c>
    </row>
    <row r="388">
      <c r="A388" s="7" t="s">
        <v>2158</v>
      </c>
      <c r="B388" s="7" t="s">
        <v>644</v>
      </c>
      <c r="C388" s="7" t="s">
        <v>1270</v>
      </c>
      <c r="D388" s="50">
        <v>2.0</v>
      </c>
      <c r="E388" s="50">
        <v>0.0</v>
      </c>
      <c r="F388" s="7" t="s">
        <v>2706</v>
      </c>
      <c r="G388" s="7" t="s">
        <v>1053</v>
      </c>
      <c r="H388" s="7" t="s">
        <v>1433</v>
      </c>
      <c r="I388" s="7" t="s">
        <v>136</v>
      </c>
      <c r="N388" s="7" t="b">
        <v>0</v>
      </c>
      <c r="O388" s="7" t="b">
        <v>0</v>
      </c>
    </row>
    <row r="389">
      <c r="A389" s="7" t="s">
        <v>2158</v>
      </c>
      <c r="B389" s="7" t="s">
        <v>644</v>
      </c>
      <c r="C389" s="7" t="s">
        <v>1271</v>
      </c>
      <c r="D389" s="50">
        <v>2.0</v>
      </c>
      <c r="E389" s="50">
        <v>0.0</v>
      </c>
      <c r="F389" s="7" t="s">
        <v>2706</v>
      </c>
      <c r="G389" s="7" t="s">
        <v>1053</v>
      </c>
      <c r="H389" s="7" t="s">
        <v>1433</v>
      </c>
      <c r="I389" s="7" t="s">
        <v>136</v>
      </c>
      <c r="N389" s="7" t="b">
        <v>0</v>
      </c>
      <c r="O389" s="7" t="b">
        <v>0</v>
      </c>
    </row>
    <row r="390">
      <c r="A390" s="7" t="s">
        <v>2158</v>
      </c>
      <c r="B390" s="7" t="s">
        <v>644</v>
      </c>
      <c r="C390" s="7" t="s">
        <v>1104</v>
      </c>
      <c r="D390" s="50">
        <v>1.0</v>
      </c>
      <c r="E390" s="50">
        <v>0.0</v>
      </c>
      <c r="F390" s="7" t="s">
        <v>2668</v>
      </c>
      <c r="G390" s="7" t="s">
        <v>1053</v>
      </c>
      <c r="H390" s="7" t="s">
        <v>1433</v>
      </c>
      <c r="I390" s="7" t="s">
        <v>136</v>
      </c>
      <c r="N390" s="7" t="b">
        <v>0</v>
      </c>
      <c r="O390" s="7" t="b">
        <v>0</v>
      </c>
    </row>
    <row r="391">
      <c r="A391" s="7" t="s">
        <v>2158</v>
      </c>
      <c r="B391" s="7" t="s">
        <v>1272</v>
      </c>
      <c r="C391" s="7" t="s">
        <v>1225</v>
      </c>
      <c r="D391" s="50">
        <v>6.0</v>
      </c>
      <c r="E391" s="50">
        <v>0.0</v>
      </c>
      <c r="F391" s="7" t="s">
        <v>2674</v>
      </c>
      <c r="G391" s="7" t="s">
        <v>1053</v>
      </c>
      <c r="H391" s="7" t="s">
        <v>38</v>
      </c>
      <c r="I391" s="7" t="s">
        <v>43</v>
      </c>
      <c r="N391" s="7" t="b">
        <v>0</v>
      </c>
      <c r="O391" s="7" t="b">
        <v>0</v>
      </c>
    </row>
    <row r="392">
      <c r="A392" s="7" t="s">
        <v>2158</v>
      </c>
      <c r="B392" s="7" t="s">
        <v>1272</v>
      </c>
      <c r="C392" s="7" t="s">
        <v>1226</v>
      </c>
      <c r="D392" s="50">
        <v>26.0</v>
      </c>
      <c r="E392" s="50">
        <v>0.0</v>
      </c>
      <c r="F392" s="7" t="s">
        <v>2763</v>
      </c>
      <c r="G392" s="7" t="s">
        <v>1053</v>
      </c>
      <c r="H392" s="7" t="s">
        <v>391</v>
      </c>
      <c r="N392" s="7" t="b">
        <v>0</v>
      </c>
      <c r="O392" s="7" t="b">
        <v>0</v>
      </c>
    </row>
    <row r="393">
      <c r="A393" s="7" t="s">
        <v>2158</v>
      </c>
      <c r="B393" s="7" t="s">
        <v>1272</v>
      </c>
      <c r="C393" s="7" t="s">
        <v>859</v>
      </c>
      <c r="D393" s="50">
        <v>4.0</v>
      </c>
      <c r="E393" s="50">
        <v>0.0</v>
      </c>
      <c r="F393" s="7" t="s">
        <v>2693</v>
      </c>
      <c r="G393" s="7" t="s">
        <v>1053</v>
      </c>
      <c r="H393" s="7" t="s">
        <v>854</v>
      </c>
      <c r="I393" s="7" t="s">
        <v>859</v>
      </c>
      <c r="N393" s="7" t="b">
        <v>0</v>
      </c>
      <c r="O393" s="7" t="b">
        <v>0</v>
      </c>
    </row>
    <row r="394">
      <c r="A394" s="7" t="s">
        <v>2158</v>
      </c>
      <c r="B394" s="7" t="s">
        <v>1272</v>
      </c>
      <c r="C394" s="7" t="s">
        <v>1186</v>
      </c>
      <c r="D394" s="50">
        <v>12.0</v>
      </c>
      <c r="E394" s="50">
        <v>0.0</v>
      </c>
      <c r="F394" s="7" t="s">
        <v>2764</v>
      </c>
      <c r="G394" s="7" t="s">
        <v>1053</v>
      </c>
      <c r="H394" s="7" t="s">
        <v>854</v>
      </c>
      <c r="N394" s="7" t="b">
        <v>0</v>
      </c>
      <c r="O394" s="7" t="b">
        <v>0</v>
      </c>
    </row>
    <row r="395">
      <c r="A395" s="7" t="s">
        <v>2158</v>
      </c>
      <c r="B395" s="7" t="s">
        <v>1272</v>
      </c>
      <c r="C395" s="7" t="s">
        <v>857</v>
      </c>
      <c r="D395" s="50">
        <v>8.0</v>
      </c>
      <c r="E395" s="50">
        <v>0.0</v>
      </c>
      <c r="F395" s="7" t="s">
        <v>2765</v>
      </c>
      <c r="G395" s="7" t="s">
        <v>1053</v>
      </c>
      <c r="H395" s="7" t="s">
        <v>854</v>
      </c>
      <c r="I395" s="7" t="s">
        <v>857</v>
      </c>
      <c r="N395" s="7" t="b">
        <v>0</v>
      </c>
      <c r="O395" s="7" t="b">
        <v>0</v>
      </c>
    </row>
    <row r="396">
      <c r="A396" s="7" t="s">
        <v>2158</v>
      </c>
      <c r="B396" s="7" t="s">
        <v>1272</v>
      </c>
      <c r="C396" s="7" t="s">
        <v>1111</v>
      </c>
      <c r="D396" s="50">
        <v>1.0</v>
      </c>
      <c r="E396" s="50">
        <v>0.0</v>
      </c>
      <c r="F396" s="7" t="s">
        <v>2668</v>
      </c>
      <c r="G396" s="7" t="s">
        <v>1053</v>
      </c>
      <c r="H396" s="7" t="s">
        <v>1105</v>
      </c>
      <c r="N396" s="7" t="b">
        <v>0</v>
      </c>
      <c r="O396" s="7" t="b">
        <v>0</v>
      </c>
    </row>
    <row r="397">
      <c r="A397" s="7" t="s">
        <v>2158</v>
      </c>
      <c r="B397" s="7" t="s">
        <v>1273</v>
      </c>
      <c r="C397" s="7" t="s">
        <v>1119</v>
      </c>
      <c r="D397" s="50">
        <v>22.0</v>
      </c>
      <c r="E397" s="50">
        <v>0.0</v>
      </c>
      <c r="F397" s="7" t="s">
        <v>2766</v>
      </c>
      <c r="G397" s="7" t="s">
        <v>1053</v>
      </c>
      <c r="H397" s="7" t="s">
        <v>854</v>
      </c>
      <c r="N397" s="7" t="b">
        <v>0</v>
      </c>
      <c r="O397" s="7" t="b">
        <v>0</v>
      </c>
    </row>
    <row r="398">
      <c r="A398" s="7" t="s">
        <v>2158</v>
      </c>
      <c r="B398" s="7" t="s">
        <v>1273</v>
      </c>
      <c r="C398" s="7" t="s">
        <v>1120</v>
      </c>
      <c r="D398" s="50">
        <v>4.0</v>
      </c>
      <c r="E398" s="50">
        <v>0.0</v>
      </c>
      <c r="F398" s="7" t="s">
        <v>2767</v>
      </c>
      <c r="G398" s="7" t="s">
        <v>1053</v>
      </c>
      <c r="H398" s="7" t="s">
        <v>854</v>
      </c>
      <c r="N398" s="7" t="b">
        <v>0</v>
      </c>
      <c r="O398" s="7" t="b">
        <v>0</v>
      </c>
    </row>
    <row r="399">
      <c r="A399" s="7" t="s">
        <v>2158</v>
      </c>
      <c r="B399" s="7" t="s">
        <v>1273</v>
      </c>
      <c r="C399" s="7" t="s">
        <v>143</v>
      </c>
      <c r="D399" s="50">
        <v>32.0</v>
      </c>
      <c r="E399" s="50">
        <v>0.0</v>
      </c>
      <c r="F399" s="7" t="s">
        <v>2768</v>
      </c>
      <c r="G399" s="7" t="s">
        <v>1053</v>
      </c>
      <c r="H399" s="7" t="s">
        <v>140</v>
      </c>
      <c r="I399" s="7" t="s">
        <v>143</v>
      </c>
      <c r="N399" s="7" t="b">
        <v>0</v>
      </c>
      <c r="O399" s="7" t="b">
        <v>0</v>
      </c>
    </row>
    <row r="400">
      <c r="A400" s="7" t="s">
        <v>2158</v>
      </c>
      <c r="B400" s="7" t="s">
        <v>1273</v>
      </c>
      <c r="C400" s="7" t="s">
        <v>1148</v>
      </c>
      <c r="D400" s="50">
        <v>9.0</v>
      </c>
      <c r="E400" s="50">
        <v>0.0</v>
      </c>
      <c r="F400" s="7" t="s">
        <v>2769</v>
      </c>
      <c r="G400" s="7" t="s">
        <v>1053</v>
      </c>
      <c r="H400" s="7" t="s">
        <v>854</v>
      </c>
      <c r="N400" s="7" t="b">
        <v>0</v>
      </c>
      <c r="O400" s="7" t="b">
        <v>0</v>
      </c>
    </row>
    <row r="401">
      <c r="A401" s="7" t="s">
        <v>2158</v>
      </c>
      <c r="B401" s="7" t="s">
        <v>1273</v>
      </c>
      <c r="C401" s="7" t="s">
        <v>1183</v>
      </c>
      <c r="D401" s="50">
        <v>19.0</v>
      </c>
      <c r="E401" s="50">
        <v>0.0</v>
      </c>
      <c r="F401" s="7" t="s">
        <v>2770</v>
      </c>
      <c r="G401" s="7" t="s">
        <v>1053</v>
      </c>
      <c r="H401" s="7" t="s">
        <v>854</v>
      </c>
      <c r="N401" s="7" t="b">
        <v>0</v>
      </c>
      <c r="O401" s="7" t="b">
        <v>0</v>
      </c>
    </row>
    <row r="402">
      <c r="A402" s="7" t="s">
        <v>2158</v>
      </c>
      <c r="B402" s="7" t="s">
        <v>1273</v>
      </c>
      <c r="C402" s="7" t="s">
        <v>1274</v>
      </c>
      <c r="D402" s="50">
        <v>26.0</v>
      </c>
      <c r="E402" s="50">
        <v>0.0</v>
      </c>
      <c r="F402" s="7" t="s">
        <v>2771</v>
      </c>
      <c r="G402" s="7" t="s">
        <v>1053</v>
      </c>
      <c r="H402" s="7" t="s">
        <v>1275</v>
      </c>
      <c r="N402" s="7" t="b">
        <v>0</v>
      </c>
      <c r="O402" s="7" t="b">
        <v>0</v>
      </c>
    </row>
    <row r="403">
      <c r="A403" s="7" t="s">
        <v>2158</v>
      </c>
      <c r="B403" s="7" t="s">
        <v>1273</v>
      </c>
      <c r="C403" s="7" t="s">
        <v>188</v>
      </c>
      <c r="D403" s="50">
        <v>6.0</v>
      </c>
      <c r="E403" s="50">
        <v>0.0</v>
      </c>
      <c r="F403" s="7" t="s">
        <v>2772</v>
      </c>
      <c r="G403" s="7" t="s">
        <v>1053</v>
      </c>
      <c r="H403" s="7" t="s">
        <v>1273</v>
      </c>
      <c r="I403" s="7" t="s">
        <v>1278</v>
      </c>
      <c r="N403" s="7" t="b">
        <v>0</v>
      </c>
      <c r="O403" s="7" t="b">
        <v>0</v>
      </c>
    </row>
    <row r="404">
      <c r="A404" s="7" t="s">
        <v>2158</v>
      </c>
      <c r="B404" s="7" t="s">
        <v>1273</v>
      </c>
      <c r="C404" s="7" t="s">
        <v>1151</v>
      </c>
      <c r="D404" s="50">
        <v>28.0</v>
      </c>
      <c r="E404" s="50">
        <v>0.0</v>
      </c>
      <c r="F404" s="7" t="s">
        <v>2773</v>
      </c>
      <c r="G404" s="7" t="s">
        <v>1053</v>
      </c>
      <c r="H404" s="7" t="s">
        <v>693</v>
      </c>
      <c r="N404" s="7" t="b">
        <v>0</v>
      </c>
      <c r="O404" s="7" t="b">
        <v>0</v>
      </c>
    </row>
    <row r="405">
      <c r="A405" s="7" t="s">
        <v>2158</v>
      </c>
      <c r="B405" s="7" t="s">
        <v>1273</v>
      </c>
      <c r="C405" s="7" t="s">
        <v>1185</v>
      </c>
      <c r="D405" s="50">
        <v>10.0</v>
      </c>
      <c r="E405" s="50">
        <v>0.0</v>
      </c>
      <c r="F405" s="7" t="s">
        <v>2654</v>
      </c>
      <c r="G405" s="7" t="s">
        <v>1053</v>
      </c>
      <c r="H405" s="7" t="s">
        <v>391</v>
      </c>
      <c r="I405" s="7" t="s">
        <v>395</v>
      </c>
      <c r="N405" s="7" t="b">
        <v>0</v>
      </c>
      <c r="O405" s="7" t="b">
        <v>0</v>
      </c>
    </row>
    <row r="406">
      <c r="A406" s="7" t="s">
        <v>2158</v>
      </c>
      <c r="B406" s="7" t="s">
        <v>1273</v>
      </c>
      <c r="C406" s="7" t="s">
        <v>1278</v>
      </c>
      <c r="D406" s="50">
        <v>4.0</v>
      </c>
      <c r="E406" s="50">
        <v>0.0</v>
      </c>
      <c r="F406" s="7" t="s">
        <v>2655</v>
      </c>
      <c r="G406" s="7" t="s">
        <v>1053</v>
      </c>
      <c r="H406" s="7" t="s">
        <v>854</v>
      </c>
      <c r="N406" s="7" t="b">
        <v>0</v>
      </c>
      <c r="O406" s="7" t="b">
        <v>0</v>
      </c>
    </row>
    <row r="407">
      <c r="A407" s="7" t="s">
        <v>2158</v>
      </c>
      <c r="B407" s="7" t="s">
        <v>1273</v>
      </c>
      <c r="C407" s="7" t="s">
        <v>1262</v>
      </c>
      <c r="D407" s="50">
        <v>11.0</v>
      </c>
      <c r="E407" s="50">
        <v>0.0</v>
      </c>
      <c r="F407" s="7" t="s">
        <v>2774</v>
      </c>
      <c r="G407" s="7" t="s">
        <v>1053</v>
      </c>
      <c r="H407" s="7" t="s">
        <v>854</v>
      </c>
      <c r="N407" s="7" t="b">
        <v>0</v>
      </c>
      <c r="O407" s="7" t="b">
        <v>0</v>
      </c>
    </row>
    <row r="408">
      <c r="A408" s="7" t="s">
        <v>2158</v>
      </c>
      <c r="B408" s="7" t="s">
        <v>1273</v>
      </c>
      <c r="C408" s="7" t="s">
        <v>1279</v>
      </c>
      <c r="D408" s="50">
        <v>19.0</v>
      </c>
      <c r="E408" s="50">
        <v>0.0</v>
      </c>
      <c r="F408" s="7" t="s">
        <v>2711</v>
      </c>
      <c r="G408" s="7" t="s">
        <v>1053</v>
      </c>
      <c r="H408" s="7" t="s">
        <v>854</v>
      </c>
      <c r="N408" s="7" t="b">
        <v>0</v>
      </c>
      <c r="O408" s="7" t="b">
        <v>0</v>
      </c>
    </row>
    <row r="409">
      <c r="A409" s="7" t="s">
        <v>2158</v>
      </c>
      <c r="B409" s="7" t="s">
        <v>1273</v>
      </c>
      <c r="C409" s="7" t="s">
        <v>1280</v>
      </c>
      <c r="D409" s="50">
        <v>9.0</v>
      </c>
      <c r="E409" s="50">
        <v>0.0</v>
      </c>
      <c r="F409" s="7" t="s">
        <v>2775</v>
      </c>
      <c r="G409" s="7" t="s">
        <v>1053</v>
      </c>
      <c r="H409" s="7" t="s">
        <v>854</v>
      </c>
      <c r="N409" s="7" t="b">
        <v>0</v>
      </c>
      <c r="O409" s="7" t="b">
        <v>0</v>
      </c>
    </row>
    <row r="410">
      <c r="A410" s="7" t="s">
        <v>2158</v>
      </c>
      <c r="B410" s="7" t="s">
        <v>1273</v>
      </c>
      <c r="C410" s="7" t="s">
        <v>1111</v>
      </c>
      <c r="D410" s="50">
        <v>1.0</v>
      </c>
      <c r="E410" s="50">
        <v>0.0</v>
      </c>
      <c r="F410" s="7" t="s">
        <v>2668</v>
      </c>
      <c r="G410" s="7" t="s">
        <v>1053</v>
      </c>
      <c r="H410" s="7" t="s">
        <v>1105</v>
      </c>
      <c r="N410" s="7" t="b">
        <v>0</v>
      </c>
      <c r="O410" s="7" t="b">
        <v>0</v>
      </c>
    </row>
    <row r="411">
      <c r="A411" s="7" t="s">
        <v>2158</v>
      </c>
      <c r="B411" s="7" t="s">
        <v>1273</v>
      </c>
      <c r="C411" s="7" t="s">
        <v>1187</v>
      </c>
      <c r="D411" s="50">
        <v>5.0</v>
      </c>
      <c r="E411" s="50">
        <v>0.0</v>
      </c>
      <c r="F411" s="7" t="s">
        <v>2700</v>
      </c>
      <c r="G411" s="7" t="s">
        <v>1053</v>
      </c>
      <c r="H411" s="7" t="s">
        <v>854</v>
      </c>
      <c r="N411" s="7" t="b">
        <v>0</v>
      </c>
      <c r="O411" s="7" t="b">
        <v>0</v>
      </c>
    </row>
    <row r="412">
      <c r="A412" s="7" t="s">
        <v>2158</v>
      </c>
      <c r="B412" s="7" t="s">
        <v>1273</v>
      </c>
      <c r="C412" s="7" t="s">
        <v>1281</v>
      </c>
      <c r="D412" s="50">
        <v>15.0</v>
      </c>
      <c r="E412" s="50">
        <v>0.0</v>
      </c>
      <c r="F412" s="7" t="s">
        <v>2776</v>
      </c>
      <c r="G412" s="7" t="s">
        <v>1053</v>
      </c>
      <c r="H412" s="7" t="s">
        <v>854</v>
      </c>
      <c r="N412" s="7" t="b">
        <v>0</v>
      </c>
      <c r="O412" s="7" t="b">
        <v>0</v>
      </c>
    </row>
    <row r="413">
      <c r="A413" s="7" t="s">
        <v>2158</v>
      </c>
      <c r="B413" s="7" t="s">
        <v>1273</v>
      </c>
      <c r="C413" s="7" t="s">
        <v>1191</v>
      </c>
      <c r="D413" s="50">
        <v>24.0</v>
      </c>
      <c r="E413" s="50">
        <v>0.0</v>
      </c>
      <c r="F413" s="7" t="s">
        <v>2777</v>
      </c>
      <c r="G413" s="7" t="s">
        <v>1053</v>
      </c>
      <c r="H413" s="7" t="s">
        <v>854</v>
      </c>
      <c r="N413" s="7" t="b">
        <v>0</v>
      </c>
      <c r="O413" s="7" t="b">
        <v>0</v>
      </c>
    </row>
    <row r="414">
      <c r="A414" s="7" t="s">
        <v>2158</v>
      </c>
      <c r="B414" s="7" t="s">
        <v>1282</v>
      </c>
      <c r="C414" s="7" t="s">
        <v>1193</v>
      </c>
      <c r="D414" s="50">
        <v>19.0</v>
      </c>
      <c r="E414" s="50">
        <v>0.0</v>
      </c>
      <c r="F414" s="7" t="s">
        <v>2694</v>
      </c>
      <c r="G414" s="7" t="s">
        <v>1053</v>
      </c>
      <c r="H414" s="7" t="s">
        <v>391</v>
      </c>
      <c r="N414" s="7" t="b">
        <v>0</v>
      </c>
      <c r="O414" s="7" t="b">
        <v>0</v>
      </c>
    </row>
    <row r="415">
      <c r="A415" s="7" t="s">
        <v>2158</v>
      </c>
      <c r="B415" s="7" t="s">
        <v>1282</v>
      </c>
      <c r="C415" s="7" t="s">
        <v>1111</v>
      </c>
      <c r="D415" s="50">
        <v>1.0</v>
      </c>
      <c r="E415" s="50">
        <v>0.0</v>
      </c>
      <c r="F415" s="7" t="s">
        <v>2668</v>
      </c>
      <c r="G415" s="7" t="s">
        <v>1053</v>
      </c>
      <c r="H415" s="7" t="s">
        <v>1105</v>
      </c>
      <c r="N415" s="7" t="b">
        <v>0</v>
      </c>
      <c r="O415" s="7" t="b">
        <v>0</v>
      </c>
    </row>
    <row r="416">
      <c r="A416" s="7" t="s">
        <v>2158</v>
      </c>
      <c r="B416" s="7" t="s">
        <v>583</v>
      </c>
      <c r="C416" s="7" t="s">
        <v>1104</v>
      </c>
      <c r="D416" s="50">
        <v>1.0</v>
      </c>
      <c r="E416" s="50">
        <v>0.0</v>
      </c>
      <c r="F416" s="7" t="s">
        <v>2668</v>
      </c>
      <c r="G416" s="7" t="s">
        <v>1053</v>
      </c>
      <c r="H416" s="7" t="s">
        <v>582</v>
      </c>
      <c r="I416" s="7" t="s">
        <v>583</v>
      </c>
      <c r="N416" s="7" t="b">
        <v>0</v>
      </c>
      <c r="O416" s="7" t="b">
        <v>0</v>
      </c>
    </row>
    <row r="417">
      <c r="A417" s="7" t="s">
        <v>2158</v>
      </c>
      <c r="B417" s="7" t="s">
        <v>1285</v>
      </c>
      <c r="C417" s="7" t="s">
        <v>1111</v>
      </c>
      <c r="D417" s="50">
        <v>1.0</v>
      </c>
      <c r="E417" s="50">
        <v>0.0</v>
      </c>
      <c r="F417" s="7" t="s">
        <v>2668</v>
      </c>
      <c r="G417" s="7" t="s">
        <v>1053</v>
      </c>
      <c r="H417" s="7" t="s">
        <v>587</v>
      </c>
      <c r="N417" s="7" t="b">
        <v>0</v>
      </c>
      <c r="O417" s="7" t="b">
        <v>0</v>
      </c>
    </row>
    <row r="418">
      <c r="A418" s="7" t="s">
        <v>2158</v>
      </c>
      <c r="B418" s="7" t="s">
        <v>1285</v>
      </c>
      <c r="C418" s="7" t="s">
        <v>359</v>
      </c>
      <c r="D418" s="50">
        <v>5.0</v>
      </c>
      <c r="E418" s="50">
        <v>0.0</v>
      </c>
      <c r="F418" s="7" t="s">
        <v>2778</v>
      </c>
      <c r="G418" s="7" t="s">
        <v>1053</v>
      </c>
      <c r="H418" s="7" t="s">
        <v>353</v>
      </c>
      <c r="I418" s="7" t="s">
        <v>359</v>
      </c>
      <c r="N418" s="7" t="b">
        <v>0</v>
      </c>
      <c r="O418" s="7" t="b">
        <v>0</v>
      </c>
    </row>
    <row r="419">
      <c r="A419" s="7" t="s">
        <v>2158</v>
      </c>
      <c r="B419" s="7" t="s">
        <v>1285</v>
      </c>
      <c r="C419" s="7" t="s">
        <v>43</v>
      </c>
      <c r="D419" s="50">
        <v>12.0</v>
      </c>
      <c r="E419" s="50">
        <v>0.0</v>
      </c>
      <c r="F419" s="7" t="s">
        <v>2779</v>
      </c>
      <c r="G419" s="7" t="s">
        <v>1053</v>
      </c>
      <c r="H419" s="7" t="s">
        <v>38</v>
      </c>
      <c r="I419" s="7" t="s">
        <v>43</v>
      </c>
      <c r="N419" s="7" t="b">
        <v>0</v>
      </c>
      <c r="O419" s="7" t="b">
        <v>0</v>
      </c>
    </row>
    <row r="420">
      <c r="A420" s="7" t="s">
        <v>2158</v>
      </c>
      <c r="B420" s="7" t="s">
        <v>1214</v>
      </c>
      <c r="C420" s="7" t="s">
        <v>1286</v>
      </c>
      <c r="D420" s="50">
        <v>2.0</v>
      </c>
      <c r="E420" s="50">
        <v>0.0</v>
      </c>
      <c r="F420" s="7" t="s">
        <v>2706</v>
      </c>
      <c r="G420" s="7" t="s">
        <v>1053</v>
      </c>
      <c r="H420" s="7" t="s">
        <v>1215</v>
      </c>
      <c r="N420" s="7" t="b">
        <v>0</v>
      </c>
      <c r="O420" s="7" t="b">
        <v>0</v>
      </c>
    </row>
    <row r="421">
      <c r="A421" s="7" t="s">
        <v>2158</v>
      </c>
      <c r="B421" s="7" t="s">
        <v>1214</v>
      </c>
      <c r="C421" s="7" t="s">
        <v>1288</v>
      </c>
      <c r="D421" s="50">
        <v>3.0</v>
      </c>
      <c r="E421" s="50">
        <v>0.0</v>
      </c>
      <c r="F421" s="7" t="s">
        <v>2780</v>
      </c>
      <c r="G421" s="7" t="s">
        <v>1053</v>
      </c>
      <c r="H421" s="7" t="s">
        <v>1215</v>
      </c>
      <c r="N421" s="7" t="b">
        <v>0</v>
      </c>
      <c r="O421" s="7" t="b">
        <v>0</v>
      </c>
    </row>
    <row r="422">
      <c r="A422" s="7" t="s">
        <v>2158</v>
      </c>
      <c r="B422" s="7" t="s">
        <v>1214</v>
      </c>
      <c r="C422" s="7" t="s">
        <v>1289</v>
      </c>
      <c r="D422" s="50">
        <v>2.0</v>
      </c>
      <c r="E422" s="50">
        <v>0.0</v>
      </c>
      <c r="F422" s="7" t="s">
        <v>2706</v>
      </c>
      <c r="G422" s="7" t="s">
        <v>1053</v>
      </c>
      <c r="H422" s="7" t="s">
        <v>323</v>
      </c>
      <c r="I422" s="7" t="s">
        <v>324</v>
      </c>
      <c r="N422" s="7" t="b">
        <v>0</v>
      </c>
      <c r="O422" s="7" t="b">
        <v>0</v>
      </c>
    </row>
    <row r="423">
      <c r="A423" s="7" t="s">
        <v>2158</v>
      </c>
      <c r="B423" s="7" t="s">
        <v>1214</v>
      </c>
      <c r="C423" s="7" t="s">
        <v>1290</v>
      </c>
      <c r="D423" s="50">
        <v>3.0</v>
      </c>
      <c r="E423" s="50">
        <v>0.0</v>
      </c>
      <c r="F423" s="7" t="s">
        <v>2781</v>
      </c>
      <c r="G423" s="7" t="s">
        <v>1053</v>
      </c>
      <c r="H423" s="7" t="s">
        <v>38</v>
      </c>
      <c r="I423" s="7" t="s">
        <v>51</v>
      </c>
      <c r="N423" s="7" t="b">
        <v>0</v>
      </c>
      <c r="O423" s="7" t="b">
        <v>0</v>
      </c>
    </row>
    <row r="424">
      <c r="A424" s="7" t="s">
        <v>2158</v>
      </c>
      <c r="B424" s="7" t="s">
        <v>1214</v>
      </c>
      <c r="C424" s="7" t="s">
        <v>1292</v>
      </c>
      <c r="D424" s="50">
        <v>2.0</v>
      </c>
      <c r="E424" s="50">
        <v>0.0</v>
      </c>
      <c r="F424" s="7" t="s">
        <v>2706</v>
      </c>
      <c r="G424" s="7" t="s">
        <v>1053</v>
      </c>
      <c r="H424" s="7" t="s">
        <v>391</v>
      </c>
      <c r="N424" s="7" t="b">
        <v>0</v>
      </c>
      <c r="O424" s="7" t="b">
        <v>0</v>
      </c>
    </row>
    <row r="425">
      <c r="A425" s="7" t="s">
        <v>2158</v>
      </c>
      <c r="B425" s="7" t="s">
        <v>1293</v>
      </c>
      <c r="C425" s="7" t="s">
        <v>1294</v>
      </c>
      <c r="D425" s="50">
        <v>10.0</v>
      </c>
      <c r="E425" s="50">
        <v>0.0</v>
      </c>
      <c r="F425" s="7" t="s">
        <v>2782</v>
      </c>
      <c r="G425" s="7" t="s">
        <v>1053</v>
      </c>
      <c r="H425" s="7" t="s">
        <v>440</v>
      </c>
      <c r="I425" s="7" t="s">
        <v>441</v>
      </c>
      <c r="N425" s="7" t="b">
        <v>0</v>
      </c>
      <c r="O425" s="7" t="b">
        <v>0</v>
      </c>
    </row>
    <row r="426">
      <c r="A426" s="7" t="s">
        <v>2158</v>
      </c>
      <c r="B426" s="7" t="s">
        <v>1293</v>
      </c>
      <c r="C426" s="7" t="s">
        <v>953</v>
      </c>
      <c r="D426" s="50">
        <v>10.0</v>
      </c>
      <c r="E426" s="50">
        <v>0.0</v>
      </c>
      <c r="F426" s="7" t="s">
        <v>2783</v>
      </c>
      <c r="G426" s="7" t="s">
        <v>1053</v>
      </c>
      <c r="H426" s="7" t="s">
        <v>478</v>
      </c>
      <c r="I426" s="7" t="s">
        <v>953</v>
      </c>
      <c r="N426" s="7" t="b">
        <v>0</v>
      </c>
      <c r="O426" s="7" t="b">
        <v>0</v>
      </c>
    </row>
    <row r="427">
      <c r="A427" s="7" t="s">
        <v>2158</v>
      </c>
      <c r="B427" s="7" t="s">
        <v>1293</v>
      </c>
      <c r="C427" s="7" t="s">
        <v>1111</v>
      </c>
      <c r="D427" s="50">
        <v>1.0</v>
      </c>
      <c r="E427" s="50">
        <v>0.0</v>
      </c>
      <c r="F427" s="7" t="s">
        <v>2668</v>
      </c>
      <c r="G427" s="7" t="s">
        <v>1053</v>
      </c>
      <c r="H427" s="7" t="s">
        <v>1105</v>
      </c>
      <c r="N427" s="7" t="b">
        <v>0</v>
      </c>
      <c r="O427" s="7" t="b">
        <v>0</v>
      </c>
    </row>
    <row r="428">
      <c r="A428" s="7" t="s">
        <v>2158</v>
      </c>
      <c r="B428" s="7" t="s">
        <v>1051</v>
      </c>
      <c r="C428" s="7" t="s">
        <v>432</v>
      </c>
      <c r="D428" s="50">
        <v>6.0</v>
      </c>
      <c r="E428" s="50">
        <v>0.0</v>
      </c>
      <c r="F428" s="7" t="s">
        <v>2784</v>
      </c>
      <c r="G428" s="7" t="s">
        <v>1053</v>
      </c>
      <c r="H428" s="7" t="s">
        <v>429</v>
      </c>
      <c r="I428" s="7" t="s">
        <v>432</v>
      </c>
      <c r="N428" s="7" t="b">
        <v>0</v>
      </c>
      <c r="O428" s="7" t="b">
        <v>0</v>
      </c>
    </row>
    <row r="429">
      <c r="A429" s="7" t="s">
        <v>2158</v>
      </c>
      <c r="B429" s="7" t="s">
        <v>1051</v>
      </c>
      <c r="C429" s="7" t="s">
        <v>1134</v>
      </c>
      <c r="D429" s="50">
        <v>7.0</v>
      </c>
      <c r="E429" s="50">
        <v>0.0</v>
      </c>
      <c r="F429" s="7" t="s">
        <v>2785</v>
      </c>
      <c r="G429" s="7" t="s">
        <v>1053</v>
      </c>
      <c r="H429" s="7" t="s">
        <v>1105</v>
      </c>
      <c r="N429" s="7" t="b">
        <v>0</v>
      </c>
      <c r="O429" s="7" t="b">
        <v>0</v>
      </c>
    </row>
    <row r="430">
      <c r="A430" s="7" t="s">
        <v>2158</v>
      </c>
      <c r="B430" s="7" t="s">
        <v>1051</v>
      </c>
      <c r="C430" s="7" t="s">
        <v>1298</v>
      </c>
      <c r="D430" s="50">
        <v>6.0</v>
      </c>
      <c r="E430" s="50">
        <v>0.0</v>
      </c>
      <c r="F430" s="7" t="s">
        <v>2786</v>
      </c>
      <c r="G430" s="7" t="s">
        <v>1053</v>
      </c>
      <c r="H430" s="7" t="s">
        <v>1105</v>
      </c>
      <c r="N430" s="7" t="b">
        <v>0</v>
      </c>
      <c r="O430" s="7" t="b">
        <v>0</v>
      </c>
    </row>
    <row r="431">
      <c r="A431" s="7" t="s">
        <v>2158</v>
      </c>
      <c r="B431" s="7" t="s">
        <v>1051</v>
      </c>
      <c r="C431" s="7" t="s">
        <v>1111</v>
      </c>
      <c r="D431" s="50">
        <v>1.0</v>
      </c>
      <c r="E431" s="50">
        <v>0.0</v>
      </c>
      <c r="F431" s="7" t="s">
        <v>2668</v>
      </c>
      <c r="G431" s="7" t="s">
        <v>1053</v>
      </c>
      <c r="H431" s="7" t="s">
        <v>1105</v>
      </c>
      <c r="N431" s="7" t="b">
        <v>0</v>
      </c>
      <c r="O431" s="7" t="b">
        <v>0</v>
      </c>
    </row>
    <row r="432">
      <c r="A432" s="7" t="s">
        <v>2158</v>
      </c>
      <c r="B432" s="7" t="s">
        <v>1051</v>
      </c>
      <c r="C432" s="7" t="s">
        <v>1299</v>
      </c>
      <c r="D432" s="50">
        <v>6.0</v>
      </c>
      <c r="E432" s="50">
        <v>0.0</v>
      </c>
      <c r="F432" s="7" t="s">
        <v>2787</v>
      </c>
      <c r="G432" s="7" t="s">
        <v>1053</v>
      </c>
      <c r="H432" s="7" t="s">
        <v>1105</v>
      </c>
      <c r="N432" s="7" t="b">
        <v>0</v>
      </c>
      <c r="O432" s="7" t="b">
        <v>0</v>
      </c>
    </row>
    <row r="433">
      <c r="A433" s="7" t="s">
        <v>2158</v>
      </c>
      <c r="B433" s="7" t="s">
        <v>1051</v>
      </c>
      <c r="C433" s="7" t="s">
        <v>1087</v>
      </c>
      <c r="D433" s="50">
        <v>40.0</v>
      </c>
      <c r="E433" s="50">
        <v>0.0</v>
      </c>
      <c r="F433" s="7" t="s">
        <v>2788</v>
      </c>
      <c r="G433" s="7" t="s">
        <v>1053</v>
      </c>
      <c r="H433" s="7" t="s">
        <v>1105</v>
      </c>
      <c r="N433" s="7" t="b">
        <v>0</v>
      </c>
      <c r="O433" s="7" t="b">
        <v>0</v>
      </c>
    </row>
    <row r="434">
      <c r="A434" s="7" t="s">
        <v>2158</v>
      </c>
      <c r="B434" s="7" t="s">
        <v>1054</v>
      </c>
      <c r="C434" s="7" t="s">
        <v>1300</v>
      </c>
      <c r="D434" s="50">
        <v>11.0</v>
      </c>
      <c r="E434" s="50">
        <v>0.0</v>
      </c>
      <c r="F434" s="7" t="s">
        <v>2704</v>
      </c>
      <c r="G434" s="7" t="s">
        <v>1053</v>
      </c>
      <c r="H434" s="7" t="s">
        <v>391</v>
      </c>
      <c r="N434" s="7" t="b">
        <v>0</v>
      </c>
      <c r="O434" s="7" t="b">
        <v>0</v>
      </c>
    </row>
    <row r="435">
      <c r="A435" s="7" t="s">
        <v>2158</v>
      </c>
      <c r="B435" s="7" t="s">
        <v>1054</v>
      </c>
      <c r="C435" s="7" t="s">
        <v>1301</v>
      </c>
      <c r="D435" s="50">
        <v>21.0</v>
      </c>
      <c r="E435" s="50">
        <v>0.0</v>
      </c>
      <c r="F435" s="7" t="s">
        <v>2696</v>
      </c>
      <c r="G435" s="7" t="s">
        <v>1053</v>
      </c>
      <c r="H435" s="7" t="s">
        <v>391</v>
      </c>
      <c r="N435" s="7" t="b">
        <v>0</v>
      </c>
      <c r="O435" s="7" t="b">
        <v>0</v>
      </c>
    </row>
    <row r="436">
      <c r="A436" s="7" t="s">
        <v>2158</v>
      </c>
      <c r="B436" s="7" t="s">
        <v>1054</v>
      </c>
      <c r="C436" s="7" t="s">
        <v>1302</v>
      </c>
      <c r="D436" s="50">
        <v>53.0</v>
      </c>
      <c r="E436" s="50">
        <v>0.0</v>
      </c>
      <c r="F436" s="7" t="s">
        <v>2789</v>
      </c>
      <c r="G436" s="7" t="s">
        <v>1053</v>
      </c>
      <c r="H436" s="7" t="s">
        <v>391</v>
      </c>
      <c r="N436" s="7" t="b">
        <v>0</v>
      </c>
      <c r="O436" s="7" t="b">
        <v>0</v>
      </c>
    </row>
    <row r="437">
      <c r="A437" s="7" t="s">
        <v>2158</v>
      </c>
      <c r="B437" s="7" t="s">
        <v>1054</v>
      </c>
      <c r="C437" s="7" t="s">
        <v>1303</v>
      </c>
      <c r="D437" s="50">
        <v>54.0</v>
      </c>
      <c r="E437" s="50">
        <v>0.0</v>
      </c>
      <c r="F437" s="7" t="s">
        <v>2790</v>
      </c>
      <c r="G437" s="7" t="s">
        <v>1053</v>
      </c>
      <c r="H437" s="7" t="s">
        <v>717</v>
      </c>
      <c r="N437" s="7" t="b">
        <v>0</v>
      </c>
      <c r="O437" s="7" t="b">
        <v>0</v>
      </c>
    </row>
    <row r="438">
      <c r="A438" s="7" t="s">
        <v>2158</v>
      </c>
      <c r="B438" s="7" t="s">
        <v>1054</v>
      </c>
      <c r="C438" s="7" t="s">
        <v>1304</v>
      </c>
      <c r="D438" s="50">
        <v>11.0</v>
      </c>
      <c r="E438" s="50">
        <v>0.0</v>
      </c>
      <c r="F438" s="7" t="s">
        <v>2791</v>
      </c>
      <c r="G438" s="7" t="s">
        <v>1053</v>
      </c>
      <c r="H438" s="7" t="s">
        <v>1105</v>
      </c>
      <c r="N438" s="7" t="b">
        <v>0</v>
      </c>
      <c r="O438" s="7" t="b">
        <v>0</v>
      </c>
    </row>
    <row r="439">
      <c r="A439" s="7" t="s">
        <v>2158</v>
      </c>
      <c r="B439" s="7" t="s">
        <v>1054</v>
      </c>
      <c r="C439" s="7" t="s">
        <v>1305</v>
      </c>
      <c r="D439" s="50">
        <v>37.0</v>
      </c>
      <c r="E439" s="50">
        <v>0.0</v>
      </c>
      <c r="F439" s="7" t="s">
        <v>2680</v>
      </c>
      <c r="G439" s="7" t="s">
        <v>1053</v>
      </c>
      <c r="H439" s="7" t="s">
        <v>1105</v>
      </c>
      <c r="N439" s="7" t="b">
        <v>0</v>
      </c>
      <c r="O439" s="7" t="b">
        <v>0</v>
      </c>
    </row>
    <row r="440">
      <c r="A440" s="7" t="s">
        <v>2158</v>
      </c>
      <c r="B440" s="7" t="s">
        <v>1054</v>
      </c>
      <c r="C440" s="7" t="s">
        <v>1306</v>
      </c>
      <c r="D440" s="50">
        <v>10.0</v>
      </c>
      <c r="E440" s="50">
        <v>0.0</v>
      </c>
      <c r="F440" s="7" t="s">
        <v>2792</v>
      </c>
      <c r="G440" s="7" t="s">
        <v>1053</v>
      </c>
      <c r="H440" s="7" t="s">
        <v>391</v>
      </c>
      <c r="N440" s="7" t="b">
        <v>0</v>
      </c>
      <c r="O440" s="7" t="b">
        <v>0</v>
      </c>
    </row>
    <row r="441">
      <c r="A441" s="7" t="s">
        <v>2158</v>
      </c>
      <c r="B441" s="7" t="s">
        <v>1054</v>
      </c>
      <c r="C441" s="7" t="s">
        <v>1307</v>
      </c>
      <c r="D441" s="50">
        <v>14.0</v>
      </c>
      <c r="E441" s="50">
        <v>0.0</v>
      </c>
      <c r="F441" s="7" t="s">
        <v>2793</v>
      </c>
      <c r="G441" s="7" t="s">
        <v>1053</v>
      </c>
      <c r="H441" s="7" t="s">
        <v>717</v>
      </c>
      <c r="N441" s="7" t="b">
        <v>0</v>
      </c>
      <c r="O441" s="7" t="b">
        <v>0</v>
      </c>
    </row>
    <row r="442">
      <c r="A442" s="7" t="s">
        <v>2158</v>
      </c>
      <c r="B442" s="7" t="s">
        <v>1054</v>
      </c>
      <c r="C442" s="7" t="s">
        <v>1308</v>
      </c>
      <c r="D442" s="50">
        <v>2.0</v>
      </c>
      <c r="E442" s="50">
        <v>0.0</v>
      </c>
      <c r="F442" s="7" t="s">
        <v>2653</v>
      </c>
      <c r="G442" s="7" t="s">
        <v>1053</v>
      </c>
      <c r="H442" s="7" t="s">
        <v>391</v>
      </c>
      <c r="N442" s="7" t="b">
        <v>0</v>
      </c>
      <c r="O442" s="7" t="b">
        <v>0</v>
      </c>
    </row>
    <row r="443">
      <c r="A443" s="7" t="s">
        <v>2158</v>
      </c>
      <c r="B443" s="7" t="s">
        <v>1054</v>
      </c>
      <c r="C443" s="7" t="s">
        <v>1309</v>
      </c>
      <c r="D443" s="50">
        <v>30.0</v>
      </c>
      <c r="E443" s="50">
        <v>0.0</v>
      </c>
      <c r="F443" s="7" t="s">
        <v>2794</v>
      </c>
      <c r="G443" s="7" t="s">
        <v>1053</v>
      </c>
      <c r="H443" s="7" t="s">
        <v>717</v>
      </c>
      <c r="N443" s="7" t="b">
        <v>0</v>
      </c>
      <c r="O443" s="7" t="b">
        <v>0</v>
      </c>
    </row>
    <row r="444">
      <c r="A444" s="7" t="s">
        <v>2158</v>
      </c>
      <c r="B444" s="7" t="s">
        <v>1054</v>
      </c>
      <c r="C444" s="7" t="s">
        <v>1228</v>
      </c>
      <c r="D444" s="50">
        <v>4.0</v>
      </c>
      <c r="E444" s="50">
        <v>0.0</v>
      </c>
      <c r="F444" s="7" t="s">
        <v>2743</v>
      </c>
      <c r="G444" s="7" t="s">
        <v>1053</v>
      </c>
      <c r="H444" s="7" t="s">
        <v>1215</v>
      </c>
      <c r="N444" s="7" t="b">
        <v>0</v>
      </c>
      <c r="O444" s="7" t="b">
        <v>0</v>
      </c>
    </row>
    <row r="445">
      <c r="A445" s="7" t="s">
        <v>2158</v>
      </c>
      <c r="B445" s="7" t="s">
        <v>1054</v>
      </c>
      <c r="C445" s="7" t="s">
        <v>1310</v>
      </c>
      <c r="D445" s="50">
        <v>2.0</v>
      </c>
      <c r="E445" s="50">
        <v>0.0</v>
      </c>
      <c r="F445" s="7" t="s">
        <v>2653</v>
      </c>
      <c r="G445" s="7" t="s">
        <v>1053</v>
      </c>
      <c r="H445" s="7" t="s">
        <v>478</v>
      </c>
      <c r="N445" s="7" t="b">
        <v>0</v>
      </c>
      <c r="O445" s="7" t="b">
        <v>0</v>
      </c>
    </row>
    <row r="446">
      <c r="A446" s="7" t="s">
        <v>2158</v>
      </c>
      <c r="B446" s="7" t="s">
        <v>1054</v>
      </c>
      <c r="C446" s="7" t="s">
        <v>1137</v>
      </c>
      <c r="D446" s="50">
        <v>16.0</v>
      </c>
      <c r="E446" s="50">
        <v>0.0</v>
      </c>
      <c r="F446" s="7" t="s">
        <v>2795</v>
      </c>
      <c r="G446" s="7" t="s">
        <v>1053</v>
      </c>
      <c r="H446" s="7" t="s">
        <v>1058</v>
      </c>
      <c r="N446" s="7" t="b">
        <v>0</v>
      </c>
      <c r="O446" s="7" t="b">
        <v>0</v>
      </c>
    </row>
    <row r="447">
      <c r="A447" s="7" t="s">
        <v>2158</v>
      </c>
      <c r="B447" s="7" t="s">
        <v>1054</v>
      </c>
      <c r="C447" s="7" t="s">
        <v>1187</v>
      </c>
      <c r="D447" s="50">
        <v>4.0</v>
      </c>
      <c r="E447" s="50">
        <v>0.0</v>
      </c>
      <c r="F447" s="7" t="s">
        <v>2693</v>
      </c>
      <c r="G447" s="7" t="s">
        <v>1053</v>
      </c>
      <c r="H447" s="7" t="s">
        <v>38</v>
      </c>
      <c r="I447" s="7" t="s">
        <v>43</v>
      </c>
      <c r="N447" s="7" t="b">
        <v>0</v>
      </c>
      <c r="O447" s="7" t="b">
        <v>0</v>
      </c>
    </row>
    <row r="448">
      <c r="A448" s="7" t="s">
        <v>2158</v>
      </c>
      <c r="B448" s="7" t="s">
        <v>1054</v>
      </c>
      <c r="C448" s="7" t="s">
        <v>1312</v>
      </c>
      <c r="D448" s="50">
        <v>10.0</v>
      </c>
      <c r="E448" s="50">
        <v>0.0</v>
      </c>
      <c r="F448" s="7" t="s">
        <v>2796</v>
      </c>
      <c r="G448" s="7" t="s">
        <v>1053</v>
      </c>
      <c r="H448" s="7" t="s">
        <v>717</v>
      </c>
      <c r="N448" s="7" t="b">
        <v>0</v>
      </c>
      <c r="O448" s="7" t="b">
        <v>0</v>
      </c>
    </row>
    <row r="449">
      <c r="A449" s="7" t="s">
        <v>2158</v>
      </c>
      <c r="B449" s="7" t="s">
        <v>1054</v>
      </c>
      <c r="C449" s="7" t="s">
        <v>1266</v>
      </c>
      <c r="D449" s="50">
        <v>46.0</v>
      </c>
      <c r="E449" s="50">
        <v>0.0</v>
      </c>
      <c r="F449" s="7" t="s">
        <v>2797</v>
      </c>
      <c r="G449" s="7" t="s">
        <v>1053</v>
      </c>
      <c r="H449" s="7" t="s">
        <v>1105</v>
      </c>
      <c r="N449" s="7" t="b">
        <v>0</v>
      </c>
      <c r="O449" s="7" t="b">
        <v>0</v>
      </c>
    </row>
    <row r="450">
      <c r="A450" s="7" t="s">
        <v>2158</v>
      </c>
      <c r="B450" s="7" t="s">
        <v>1054</v>
      </c>
      <c r="C450" s="7" t="s">
        <v>1163</v>
      </c>
      <c r="D450" s="50">
        <v>34.0</v>
      </c>
      <c r="E450" s="50">
        <v>0.0</v>
      </c>
      <c r="F450" s="7" t="s">
        <v>2798</v>
      </c>
      <c r="G450" s="7" t="s">
        <v>1053</v>
      </c>
      <c r="H450" s="7" t="s">
        <v>216</v>
      </c>
      <c r="I450" s="7" t="s">
        <v>217</v>
      </c>
      <c r="N450" s="7" t="b">
        <v>0</v>
      </c>
      <c r="O450" s="7" t="b">
        <v>0</v>
      </c>
    </row>
    <row r="451">
      <c r="A451" s="7" t="s">
        <v>2158</v>
      </c>
      <c r="B451" s="7" t="s">
        <v>1054</v>
      </c>
      <c r="C451" s="7" t="s">
        <v>1315</v>
      </c>
      <c r="D451" s="50">
        <v>53.0</v>
      </c>
      <c r="E451" s="50">
        <v>0.0</v>
      </c>
      <c r="F451" s="7" t="s">
        <v>2799</v>
      </c>
      <c r="G451" s="7" t="s">
        <v>1053</v>
      </c>
      <c r="H451" s="7" t="s">
        <v>717</v>
      </c>
      <c r="N451" s="7" t="b">
        <v>0</v>
      </c>
      <c r="O451" s="7" t="b">
        <v>0</v>
      </c>
    </row>
    <row r="452">
      <c r="A452" s="7" t="s">
        <v>2158</v>
      </c>
      <c r="B452" s="7" t="s">
        <v>1054</v>
      </c>
      <c r="C452" s="7" t="s">
        <v>43</v>
      </c>
      <c r="D452" s="50">
        <v>30.0</v>
      </c>
      <c r="E452" s="50">
        <v>0.0</v>
      </c>
      <c r="F452" s="7" t="s">
        <v>2800</v>
      </c>
      <c r="G452" s="7" t="s">
        <v>1053</v>
      </c>
      <c r="H452" s="7" t="s">
        <v>38</v>
      </c>
      <c r="I452" s="7" t="s">
        <v>43</v>
      </c>
      <c r="N452" s="7" t="b">
        <v>0</v>
      </c>
      <c r="O452" s="7" t="b">
        <v>0</v>
      </c>
    </row>
    <row r="453">
      <c r="A453" s="7" t="s">
        <v>2158</v>
      </c>
      <c r="B453" s="7" t="s">
        <v>1057</v>
      </c>
      <c r="C453" s="7" t="s">
        <v>1139</v>
      </c>
      <c r="D453" s="50">
        <v>3.0</v>
      </c>
      <c r="E453" s="50">
        <v>0.0</v>
      </c>
      <c r="F453" s="7" t="s">
        <v>2801</v>
      </c>
      <c r="G453" s="7" t="s">
        <v>1053</v>
      </c>
      <c r="H453" s="7" t="s">
        <v>1058</v>
      </c>
      <c r="N453" s="7" t="b">
        <v>0</v>
      </c>
      <c r="O453" s="7" t="b">
        <v>0</v>
      </c>
    </row>
    <row r="454">
      <c r="A454" s="7" t="s">
        <v>2158</v>
      </c>
      <c r="B454" s="7" t="s">
        <v>475</v>
      </c>
      <c r="C454" s="7" t="s">
        <v>114</v>
      </c>
      <c r="D454" s="50">
        <v>2.0</v>
      </c>
      <c r="E454" s="50">
        <v>0.0</v>
      </c>
      <c r="F454" s="7" t="s">
        <v>2706</v>
      </c>
      <c r="G454" s="7" t="s">
        <v>1053</v>
      </c>
      <c r="H454" s="7" t="s">
        <v>474</v>
      </c>
      <c r="I454" s="7" t="s">
        <v>475</v>
      </c>
      <c r="N454" s="7" t="b">
        <v>0</v>
      </c>
      <c r="O454" s="7" t="b">
        <v>0</v>
      </c>
    </row>
    <row r="455">
      <c r="A455" s="7" t="s">
        <v>2158</v>
      </c>
      <c r="B455" s="7" t="s">
        <v>475</v>
      </c>
      <c r="C455" s="7" t="s">
        <v>1316</v>
      </c>
      <c r="D455" s="50">
        <v>2.0</v>
      </c>
      <c r="E455" s="50">
        <v>0.0</v>
      </c>
      <c r="F455" s="7" t="s">
        <v>2706</v>
      </c>
      <c r="G455" s="7" t="s">
        <v>1053</v>
      </c>
      <c r="H455" s="7" t="s">
        <v>474</v>
      </c>
      <c r="I455" s="7" t="s">
        <v>475</v>
      </c>
      <c r="N455" s="7" t="b">
        <v>0</v>
      </c>
      <c r="O455" s="7" t="b">
        <v>0</v>
      </c>
    </row>
    <row r="456">
      <c r="A456" s="7" t="s">
        <v>2158</v>
      </c>
      <c r="B456" s="7" t="s">
        <v>475</v>
      </c>
      <c r="C456" s="7" t="s">
        <v>1204</v>
      </c>
      <c r="D456" s="50">
        <v>1.0</v>
      </c>
      <c r="E456" s="50">
        <v>0.0</v>
      </c>
      <c r="F456" s="7" t="s">
        <v>2668</v>
      </c>
      <c r="G456" s="7" t="s">
        <v>1053</v>
      </c>
      <c r="H456" s="7" t="s">
        <v>474</v>
      </c>
      <c r="I456" s="7" t="s">
        <v>475</v>
      </c>
      <c r="N456" s="7" t="b">
        <v>0</v>
      </c>
      <c r="O456" s="7" t="b">
        <v>0</v>
      </c>
    </row>
    <row r="457">
      <c r="A457" s="7" t="s">
        <v>2158</v>
      </c>
      <c r="B457" s="7" t="s">
        <v>1060</v>
      </c>
      <c r="C457" s="7" t="s">
        <v>1111</v>
      </c>
      <c r="D457" s="50">
        <v>1.0</v>
      </c>
      <c r="E457" s="50">
        <v>0.0</v>
      </c>
      <c r="F457" s="7" t="s">
        <v>2668</v>
      </c>
      <c r="G457" s="7" t="s">
        <v>1053</v>
      </c>
      <c r="H457" s="7" t="s">
        <v>693</v>
      </c>
      <c r="N457" s="7" t="b">
        <v>0</v>
      </c>
      <c r="O457" s="7" t="b">
        <v>0</v>
      </c>
    </row>
    <row r="458">
      <c r="A458" s="7" t="s">
        <v>2158</v>
      </c>
      <c r="B458" s="7" t="s">
        <v>1062</v>
      </c>
      <c r="C458" s="7" t="s">
        <v>1111</v>
      </c>
      <c r="D458" s="50">
        <v>1.0</v>
      </c>
      <c r="E458" s="50">
        <v>0.0</v>
      </c>
      <c r="F458" s="7" t="s">
        <v>2668</v>
      </c>
      <c r="G458" s="7" t="s">
        <v>1053</v>
      </c>
      <c r="H458" s="7" t="s">
        <v>298</v>
      </c>
      <c r="N458" s="7" t="b">
        <v>0</v>
      </c>
      <c r="O458" s="7" t="b">
        <v>0</v>
      </c>
    </row>
    <row r="459">
      <c r="A459" s="7" t="s">
        <v>2158</v>
      </c>
      <c r="B459" s="7" t="s">
        <v>1065</v>
      </c>
      <c r="C459" s="7" t="s">
        <v>1322</v>
      </c>
      <c r="D459" s="50">
        <v>6.0</v>
      </c>
      <c r="E459" s="50">
        <v>0.0</v>
      </c>
      <c r="F459" s="7" t="s">
        <v>2786</v>
      </c>
      <c r="G459" s="7" t="s">
        <v>1053</v>
      </c>
      <c r="H459" s="7" t="s">
        <v>478</v>
      </c>
      <c r="N459" s="7" t="b">
        <v>0</v>
      </c>
      <c r="O459" s="7" t="b">
        <v>0</v>
      </c>
    </row>
    <row r="460">
      <c r="A460" s="7" t="s">
        <v>2158</v>
      </c>
      <c r="B460" s="7" t="s">
        <v>1068</v>
      </c>
      <c r="C460" s="7" t="s">
        <v>1111</v>
      </c>
      <c r="D460" s="50">
        <v>1.0</v>
      </c>
      <c r="E460" s="50">
        <v>0.0</v>
      </c>
      <c r="F460" s="7" t="s">
        <v>2668</v>
      </c>
      <c r="G460" s="7" t="s">
        <v>1053</v>
      </c>
      <c r="H460" s="7" t="s">
        <v>1105</v>
      </c>
      <c r="N460" s="7" t="b">
        <v>0</v>
      </c>
      <c r="O460" s="7" t="b">
        <v>0</v>
      </c>
    </row>
    <row r="461">
      <c r="A461" s="7" t="s">
        <v>2158</v>
      </c>
      <c r="B461" s="7" t="s">
        <v>1071</v>
      </c>
      <c r="C461" s="7" t="s">
        <v>1290</v>
      </c>
      <c r="D461" s="50">
        <v>4.0</v>
      </c>
      <c r="E461" s="50">
        <v>0.0</v>
      </c>
      <c r="F461" s="7" t="s">
        <v>2802</v>
      </c>
      <c r="G461" s="7" t="s">
        <v>1053</v>
      </c>
      <c r="H461" s="7" t="s">
        <v>38</v>
      </c>
      <c r="I461" s="7" t="s">
        <v>51</v>
      </c>
      <c r="N461" s="7" t="b">
        <v>0</v>
      </c>
      <c r="O461" s="7" t="b">
        <v>0</v>
      </c>
    </row>
    <row r="462">
      <c r="A462" s="7" t="s">
        <v>2158</v>
      </c>
      <c r="B462" s="7" t="s">
        <v>1071</v>
      </c>
      <c r="C462" s="7" t="s">
        <v>1292</v>
      </c>
      <c r="D462" s="50">
        <v>2.0</v>
      </c>
      <c r="E462" s="50">
        <v>0.0</v>
      </c>
      <c r="F462" s="7" t="s">
        <v>2706</v>
      </c>
      <c r="G462" s="7" t="s">
        <v>1053</v>
      </c>
      <c r="H462" s="7" t="s">
        <v>391</v>
      </c>
      <c r="N462" s="7" t="b">
        <v>0</v>
      </c>
      <c r="O462" s="7" t="b">
        <v>0</v>
      </c>
    </row>
    <row r="463">
      <c r="A463" s="7" t="s">
        <v>2158</v>
      </c>
      <c r="B463" s="7" t="s">
        <v>1071</v>
      </c>
      <c r="C463" s="7" t="s">
        <v>1104</v>
      </c>
      <c r="D463" s="50">
        <v>1.0</v>
      </c>
      <c r="E463" s="50">
        <v>0.0</v>
      </c>
      <c r="F463" s="7" t="s">
        <v>2668</v>
      </c>
      <c r="G463" s="7" t="s">
        <v>1053</v>
      </c>
      <c r="H463" s="7" t="s">
        <v>1105</v>
      </c>
      <c r="N463" s="7" t="b">
        <v>0</v>
      </c>
      <c r="O463" s="7" t="b">
        <v>0</v>
      </c>
    </row>
    <row r="464">
      <c r="A464" s="7" t="s">
        <v>2158</v>
      </c>
      <c r="B464" s="7" t="s">
        <v>1072</v>
      </c>
      <c r="C464" s="7" t="s">
        <v>1325</v>
      </c>
      <c r="D464" s="50">
        <v>1.0</v>
      </c>
      <c r="E464" s="50">
        <v>0.0</v>
      </c>
      <c r="F464" s="7" t="s">
        <v>2668</v>
      </c>
      <c r="G464" s="7" t="s">
        <v>1053</v>
      </c>
      <c r="H464" s="7" t="s">
        <v>1105</v>
      </c>
      <c r="N464" s="7" t="b">
        <v>0</v>
      </c>
      <c r="O464" s="7" t="b">
        <v>0</v>
      </c>
    </row>
    <row r="465">
      <c r="A465" s="7" t="s">
        <v>2158</v>
      </c>
      <c r="B465" s="7" t="s">
        <v>1078</v>
      </c>
      <c r="C465" s="7" t="s">
        <v>1329</v>
      </c>
      <c r="D465" s="50">
        <v>10.0</v>
      </c>
      <c r="E465" s="50">
        <v>0.0</v>
      </c>
      <c r="F465" s="7" t="s">
        <v>2792</v>
      </c>
      <c r="G465" s="7" t="s">
        <v>1053</v>
      </c>
      <c r="H465" s="7" t="s">
        <v>587</v>
      </c>
      <c r="N465" s="7" t="b">
        <v>0</v>
      </c>
      <c r="O465" s="7" t="b">
        <v>0</v>
      </c>
    </row>
    <row r="466">
      <c r="A466" s="7" t="s">
        <v>2158</v>
      </c>
      <c r="B466" s="7" t="s">
        <v>1078</v>
      </c>
      <c r="C466" s="7" t="s">
        <v>430</v>
      </c>
      <c r="D466" s="50">
        <v>6.0</v>
      </c>
      <c r="E466" s="50">
        <v>0.0</v>
      </c>
      <c r="F466" s="7" t="s">
        <v>2660</v>
      </c>
      <c r="G466" s="7" t="s">
        <v>1053</v>
      </c>
      <c r="H466" s="7" t="s">
        <v>429</v>
      </c>
      <c r="I466" s="7" t="s">
        <v>430</v>
      </c>
      <c r="N466" s="7" t="b">
        <v>0</v>
      </c>
      <c r="O466" s="7" t="b">
        <v>0</v>
      </c>
    </row>
    <row r="467">
      <c r="A467" s="7" t="s">
        <v>2158</v>
      </c>
      <c r="B467" s="7" t="s">
        <v>1078</v>
      </c>
      <c r="C467" s="7" t="s">
        <v>1330</v>
      </c>
      <c r="D467" s="50">
        <v>4.0</v>
      </c>
      <c r="E467" s="50">
        <v>0.0</v>
      </c>
      <c r="F467" s="7" t="s">
        <v>2803</v>
      </c>
      <c r="G467" s="7" t="s">
        <v>1053</v>
      </c>
      <c r="H467" s="7" t="s">
        <v>440</v>
      </c>
      <c r="I467" s="7" t="s">
        <v>430</v>
      </c>
      <c r="N467" s="7" t="b">
        <v>0</v>
      </c>
      <c r="O467" s="7" t="b">
        <v>0</v>
      </c>
    </row>
    <row r="468">
      <c r="A468" s="7" t="s">
        <v>2158</v>
      </c>
      <c r="B468" s="7" t="s">
        <v>1078</v>
      </c>
      <c r="C468" s="7" t="s">
        <v>1232</v>
      </c>
      <c r="D468" s="50">
        <v>11.0</v>
      </c>
      <c r="E468" s="50">
        <v>0.0</v>
      </c>
      <c r="F468" s="7" t="s">
        <v>2804</v>
      </c>
      <c r="G468" s="7" t="s">
        <v>1053</v>
      </c>
      <c r="H468" s="7" t="s">
        <v>587</v>
      </c>
      <c r="N468" s="7" t="b">
        <v>0</v>
      </c>
      <c r="O468" s="7" t="b">
        <v>0</v>
      </c>
    </row>
    <row r="469">
      <c r="A469" s="7" t="s">
        <v>2158</v>
      </c>
      <c r="B469" s="7" t="s">
        <v>1078</v>
      </c>
      <c r="C469" s="7" t="s">
        <v>1233</v>
      </c>
      <c r="D469" s="50">
        <v>4.0</v>
      </c>
      <c r="E469" s="50">
        <v>0.0</v>
      </c>
      <c r="F469" s="7" t="s">
        <v>2805</v>
      </c>
      <c r="G469" s="7" t="s">
        <v>1053</v>
      </c>
      <c r="H469" s="7" t="s">
        <v>587</v>
      </c>
      <c r="N469" s="7" t="b">
        <v>0</v>
      </c>
      <c r="O469" s="7" t="b">
        <v>0</v>
      </c>
    </row>
    <row r="470">
      <c r="A470" s="7" t="s">
        <v>2158</v>
      </c>
      <c r="B470" s="7" t="s">
        <v>1078</v>
      </c>
      <c r="C470" s="7" t="s">
        <v>1236</v>
      </c>
      <c r="D470" s="50">
        <v>10.0</v>
      </c>
      <c r="E470" s="50">
        <v>0.0</v>
      </c>
      <c r="F470" s="7" t="s">
        <v>2806</v>
      </c>
      <c r="G470" s="7" t="s">
        <v>1053</v>
      </c>
      <c r="H470" s="7" t="s">
        <v>603</v>
      </c>
      <c r="N470" s="7" t="b">
        <v>0</v>
      </c>
      <c r="O470" s="7" t="b">
        <v>0</v>
      </c>
    </row>
    <row r="471">
      <c r="A471" s="7" t="s">
        <v>2158</v>
      </c>
      <c r="B471" s="7" t="s">
        <v>1078</v>
      </c>
      <c r="C471" s="7" t="s">
        <v>1333</v>
      </c>
      <c r="D471" s="50">
        <v>12.0</v>
      </c>
      <c r="E471" s="50">
        <v>0.0</v>
      </c>
      <c r="F471" s="7" t="s">
        <v>2807</v>
      </c>
      <c r="G471" s="7" t="s">
        <v>1053</v>
      </c>
      <c r="H471" s="7" t="s">
        <v>587</v>
      </c>
      <c r="N471" s="7" t="b">
        <v>0</v>
      </c>
      <c r="O471" s="7" t="b">
        <v>0</v>
      </c>
    </row>
    <row r="472">
      <c r="A472" s="7" t="s">
        <v>2158</v>
      </c>
      <c r="B472" s="7" t="s">
        <v>1081</v>
      </c>
      <c r="C472" s="7" t="s">
        <v>1159</v>
      </c>
      <c r="D472" s="50">
        <v>12.0</v>
      </c>
      <c r="E472" s="50">
        <v>0.0</v>
      </c>
      <c r="F472" s="7" t="s">
        <v>2808</v>
      </c>
      <c r="G472" s="7" t="s">
        <v>1053</v>
      </c>
      <c r="H472" s="7" t="s">
        <v>693</v>
      </c>
      <c r="N472" s="7" t="b">
        <v>0</v>
      </c>
      <c r="O472" s="7" t="b">
        <v>0</v>
      </c>
    </row>
    <row r="473">
      <c r="A473" s="7" t="s">
        <v>2158</v>
      </c>
      <c r="B473" s="7" t="s">
        <v>1081</v>
      </c>
      <c r="C473" s="7" t="s">
        <v>1111</v>
      </c>
      <c r="D473" s="50">
        <v>1.0</v>
      </c>
      <c r="E473" s="50">
        <v>0.0</v>
      </c>
      <c r="F473" s="7" t="s">
        <v>2668</v>
      </c>
      <c r="G473" s="7" t="s">
        <v>1053</v>
      </c>
      <c r="H473" s="7" t="s">
        <v>1105</v>
      </c>
      <c r="N473" s="7" t="b">
        <v>0</v>
      </c>
      <c r="O473" s="7" t="b">
        <v>0</v>
      </c>
    </row>
    <row r="474">
      <c r="A474" s="7" t="s">
        <v>2158</v>
      </c>
      <c r="B474" s="7" t="s">
        <v>1085</v>
      </c>
      <c r="C474" s="7" t="s">
        <v>1226</v>
      </c>
      <c r="D474" s="50">
        <v>10.0</v>
      </c>
      <c r="E474" s="50">
        <v>0.0</v>
      </c>
      <c r="F474" s="7" t="s">
        <v>2809</v>
      </c>
      <c r="G474" s="7" t="s">
        <v>1053</v>
      </c>
      <c r="H474" s="7" t="s">
        <v>391</v>
      </c>
      <c r="N474" s="7" t="b">
        <v>0</v>
      </c>
      <c r="O474" s="7" t="b">
        <v>0</v>
      </c>
    </row>
    <row r="475">
      <c r="A475" s="7" t="s">
        <v>2158</v>
      </c>
      <c r="B475" s="7" t="s">
        <v>1085</v>
      </c>
      <c r="C475" s="7" t="s">
        <v>1334</v>
      </c>
      <c r="D475" s="50">
        <v>6.0</v>
      </c>
      <c r="E475" s="50">
        <v>0.0</v>
      </c>
      <c r="F475" s="7" t="s">
        <v>2810</v>
      </c>
      <c r="G475" s="7" t="s">
        <v>1053</v>
      </c>
      <c r="H475" s="7" t="s">
        <v>1105</v>
      </c>
      <c r="N475" s="7" t="b">
        <v>0</v>
      </c>
      <c r="O475" s="7" t="b">
        <v>0</v>
      </c>
    </row>
    <row r="476">
      <c r="A476" s="7" t="s">
        <v>2158</v>
      </c>
      <c r="B476" s="7" t="s">
        <v>1085</v>
      </c>
      <c r="C476" s="7" t="s">
        <v>1113</v>
      </c>
      <c r="D476" s="50">
        <v>10.0</v>
      </c>
      <c r="E476" s="50">
        <v>0.0</v>
      </c>
      <c r="F476" s="7" t="s">
        <v>2809</v>
      </c>
      <c r="G476" s="7" t="s">
        <v>1053</v>
      </c>
      <c r="H476" s="7" t="s">
        <v>391</v>
      </c>
      <c r="I476" s="7" t="s">
        <v>395</v>
      </c>
      <c r="N476" s="7" t="b">
        <v>0</v>
      </c>
      <c r="O476" s="7" t="b">
        <v>0</v>
      </c>
    </row>
    <row r="477">
      <c r="A477" s="7" t="s">
        <v>2158</v>
      </c>
      <c r="B477" s="7" t="s">
        <v>186</v>
      </c>
      <c r="C477" s="7" t="s">
        <v>518</v>
      </c>
      <c r="D477" s="50">
        <v>3.0</v>
      </c>
      <c r="E477" s="50">
        <v>0.0</v>
      </c>
      <c r="F477" s="7" t="s">
        <v>2811</v>
      </c>
      <c r="G477" s="7" t="s">
        <v>1053</v>
      </c>
      <c r="H477" s="7" t="s">
        <v>516</v>
      </c>
      <c r="I477" s="7" t="s">
        <v>186</v>
      </c>
      <c r="N477" s="7" t="b">
        <v>0</v>
      </c>
      <c r="O477" s="7" t="b">
        <v>0</v>
      </c>
    </row>
    <row r="478">
      <c r="A478" s="7" t="s">
        <v>2158</v>
      </c>
      <c r="B478" s="7" t="s">
        <v>186</v>
      </c>
      <c r="C478" s="7" t="s">
        <v>1340</v>
      </c>
      <c r="D478" s="50">
        <v>2.0</v>
      </c>
      <c r="E478" s="50">
        <v>0.0</v>
      </c>
      <c r="F478" s="7" t="s">
        <v>2706</v>
      </c>
      <c r="G478" s="7" t="s">
        <v>1053</v>
      </c>
      <c r="H478" s="7" t="s">
        <v>516</v>
      </c>
      <c r="I478" s="7" t="s">
        <v>186</v>
      </c>
      <c r="N478" s="7" t="b">
        <v>0</v>
      </c>
      <c r="O478" s="7" t="b">
        <v>0</v>
      </c>
    </row>
    <row r="479">
      <c r="A479" s="7" t="s">
        <v>2158</v>
      </c>
      <c r="B479" s="7" t="s">
        <v>186</v>
      </c>
      <c r="C479" s="7" t="s">
        <v>1347</v>
      </c>
      <c r="D479" s="50">
        <v>2.0</v>
      </c>
      <c r="E479" s="50">
        <v>0.0</v>
      </c>
      <c r="F479" s="7" t="s">
        <v>2706</v>
      </c>
      <c r="G479" s="7" t="s">
        <v>1053</v>
      </c>
      <c r="H479" s="7" t="s">
        <v>516</v>
      </c>
      <c r="I479" s="7" t="s">
        <v>186</v>
      </c>
      <c r="N479" s="7" t="b">
        <v>0</v>
      </c>
      <c r="O479" s="7" t="b">
        <v>0</v>
      </c>
    </row>
    <row r="480">
      <c r="A480" s="7" t="s">
        <v>2158</v>
      </c>
      <c r="B480" s="7" t="s">
        <v>1087</v>
      </c>
      <c r="C480" s="7" t="s">
        <v>1348</v>
      </c>
      <c r="D480" s="50">
        <v>2.0</v>
      </c>
      <c r="E480" s="50">
        <v>0.0</v>
      </c>
      <c r="F480" s="7" t="s">
        <v>2706</v>
      </c>
      <c r="G480" s="7" t="s">
        <v>1053</v>
      </c>
      <c r="H480" s="7" t="s">
        <v>1105</v>
      </c>
      <c r="N480" s="7" t="b">
        <v>0</v>
      </c>
      <c r="O480" s="7" t="b">
        <v>0</v>
      </c>
    </row>
    <row r="481">
      <c r="A481" s="7" t="s">
        <v>2158</v>
      </c>
      <c r="B481" s="7" t="s">
        <v>1087</v>
      </c>
      <c r="C481" s="7" t="s">
        <v>1132</v>
      </c>
      <c r="D481" s="50">
        <v>2.0</v>
      </c>
      <c r="E481" s="50">
        <v>0.0</v>
      </c>
      <c r="F481" s="7" t="s">
        <v>2706</v>
      </c>
      <c r="G481" s="7" t="s">
        <v>1053</v>
      </c>
      <c r="H481" s="7" t="s">
        <v>1105</v>
      </c>
      <c r="N481" s="7" t="b">
        <v>0</v>
      </c>
      <c r="O481" s="7" t="b">
        <v>0</v>
      </c>
    </row>
    <row r="482">
      <c r="A482" s="7" t="s">
        <v>2158</v>
      </c>
      <c r="B482" s="7" t="s">
        <v>1087</v>
      </c>
      <c r="C482" s="7" t="s">
        <v>1349</v>
      </c>
      <c r="D482" s="50">
        <v>2.0</v>
      </c>
      <c r="E482" s="50">
        <v>0.0</v>
      </c>
      <c r="F482" s="7" t="s">
        <v>2706</v>
      </c>
      <c r="G482" s="7" t="s">
        <v>1053</v>
      </c>
      <c r="H482" s="7" t="s">
        <v>1105</v>
      </c>
      <c r="N482" s="7" t="b">
        <v>0</v>
      </c>
      <c r="O482" s="7" t="b">
        <v>0</v>
      </c>
    </row>
    <row r="483">
      <c r="A483" s="7" t="s">
        <v>2158</v>
      </c>
      <c r="B483" s="7" t="s">
        <v>1087</v>
      </c>
      <c r="C483" s="7" t="s">
        <v>1350</v>
      </c>
      <c r="D483" s="50">
        <v>2.0</v>
      </c>
      <c r="E483" s="50">
        <v>0.0</v>
      </c>
      <c r="F483" s="7" t="s">
        <v>2706</v>
      </c>
      <c r="G483" s="7" t="s">
        <v>1053</v>
      </c>
      <c r="H483" s="7" t="s">
        <v>1105</v>
      </c>
      <c r="N483" s="7" t="b">
        <v>0</v>
      </c>
      <c r="O483" s="7" t="b">
        <v>0</v>
      </c>
    </row>
    <row r="484">
      <c r="A484" s="7" t="s">
        <v>2158</v>
      </c>
      <c r="B484" s="7" t="s">
        <v>1087</v>
      </c>
      <c r="C484" s="7" t="s">
        <v>1351</v>
      </c>
      <c r="D484" s="50">
        <v>3.0</v>
      </c>
      <c r="E484" s="50">
        <v>0.0</v>
      </c>
      <c r="F484" s="7" t="s">
        <v>2812</v>
      </c>
      <c r="G484" s="7" t="s">
        <v>1053</v>
      </c>
      <c r="H484" s="7" t="s">
        <v>1105</v>
      </c>
      <c r="N484" s="7" t="b">
        <v>0</v>
      </c>
      <c r="O484" s="7" t="b">
        <v>0</v>
      </c>
    </row>
    <row r="485">
      <c r="A485" s="7" t="s">
        <v>2158</v>
      </c>
      <c r="B485" s="7" t="s">
        <v>1087</v>
      </c>
      <c r="C485" s="7" t="s">
        <v>1352</v>
      </c>
      <c r="D485" s="50">
        <v>2.0</v>
      </c>
      <c r="E485" s="50">
        <v>0.0</v>
      </c>
      <c r="F485" s="7" t="s">
        <v>2706</v>
      </c>
      <c r="G485" s="7" t="s">
        <v>1053</v>
      </c>
      <c r="H485" s="7" t="s">
        <v>1105</v>
      </c>
      <c r="N485" s="7" t="b">
        <v>0</v>
      </c>
      <c r="O485" s="7" t="b">
        <v>0</v>
      </c>
    </row>
    <row r="486">
      <c r="A486" s="7" t="s">
        <v>2158</v>
      </c>
      <c r="B486" s="7" t="s">
        <v>1087</v>
      </c>
      <c r="C486" s="7" t="s">
        <v>1353</v>
      </c>
      <c r="D486" s="50">
        <v>3.0</v>
      </c>
      <c r="E486" s="50">
        <v>0.0</v>
      </c>
      <c r="F486" s="7" t="s">
        <v>2813</v>
      </c>
      <c r="G486" s="7" t="s">
        <v>1053</v>
      </c>
      <c r="H486" s="7" t="s">
        <v>1105</v>
      </c>
      <c r="N486" s="7" t="b">
        <v>0</v>
      </c>
      <c r="O486" s="7" t="b">
        <v>0</v>
      </c>
    </row>
    <row r="487">
      <c r="A487" s="7" t="s">
        <v>2158</v>
      </c>
      <c r="B487" s="7" t="s">
        <v>1087</v>
      </c>
      <c r="C487" s="7" t="s">
        <v>369</v>
      </c>
      <c r="D487" s="50">
        <v>2.0</v>
      </c>
      <c r="E487" s="50">
        <v>0.0</v>
      </c>
      <c r="F487" s="7" t="s">
        <v>2706</v>
      </c>
      <c r="G487" s="7" t="s">
        <v>1053</v>
      </c>
      <c r="H487" s="7" t="s">
        <v>1105</v>
      </c>
      <c r="N487" s="7" t="b">
        <v>0</v>
      </c>
      <c r="O487" s="7" t="b">
        <v>0</v>
      </c>
    </row>
    <row r="488">
      <c r="A488" s="7" t="s">
        <v>2158</v>
      </c>
      <c r="B488" s="7" t="s">
        <v>1087</v>
      </c>
      <c r="C488" s="7" t="s">
        <v>1204</v>
      </c>
      <c r="D488" s="50">
        <v>1.0</v>
      </c>
      <c r="E488" s="50">
        <v>0.0</v>
      </c>
      <c r="F488" s="7" t="s">
        <v>2668</v>
      </c>
      <c r="G488" s="7" t="s">
        <v>1053</v>
      </c>
      <c r="H488" s="7" t="s">
        <v>1105</v>
      </c>
      <c r="N488" s="7" t="b">
        <v>0</v>
      </c>
      <c r="O488" s="7" t="b">
        <v>0</v>
      </c>
    </row>
    <row r="489">
      <c r="A489" s="7" t="s">
        <v>2158</v>
      </c>
      <c r="B489" s="7" t="s">
        <v>1090</v>
      </c>
      <c r="C489" s="7" t="s">
        <v>1113</v>
      </c>
      <c r="D489" s="50">
        <v>11.0</v>
      </c>
      <c r="E489" s="50">
        <v>0.0</v>
      </c>
      <c r="F489" s="7" t="s">
        <v>2814</v>
      </c>
      <c r="G489" s="7" t="s">
        <v>1053</v>
      </c>
      <c r="H489" s="7" t="s">
        <v>391</v>
      </c>
      <c r="I489" s="7" t="s">
        <v>395</v>
      </c>
      <c r="N489" s="7" t="b">
        <v>0</v>
      </c>
      <c r="O489" s="7" t="b">
        <v>0</v>
      </c>
    </row>
    <row r="490">
      <c r="A490" s="7" t="s">
        <v>2158</v>
      </c>
      <c r="B490" s="7" t="s">
        <v>1093</v>
      </c>
      <c r="C490" s="7" t="s">
        <v>1111</v>
      </c>
      <c r="D490" s="50">
        <v>1.0</v>
      </c>
      <c r="E490" s="50">
        <v>0.0</v>
      </c>
      <c r="F490" s="7" t="s">
        <v>2668</v>
      </c>
      <c r="G490" s="7" t="s">
        <v>1053</v>
      </c>
      <c r="H490" s="7" t="s">
        <v>1105</v>
      </c>
      <c r="N490" s="7" t="b">
        <v>0</v>
      </c>
      <c r="O490" s="7" t="b">
        <v>0</v>
      </c>
    </row>
    <row r="491">
      <c r="A491" s="7" t="s">
        <v>2158</v>
      </c>
      <c r="B491" s="7" t="s">
        <v>1096</v>
      </c>
      <c r="C491" s="7" t="s">
        <v>1355</v>
      </c>
      <c r="D491" s="50">
        <v>7.0</v>
      </c>
      <c r="E491" s="50">
        <v>0.0</v>
      </c>
      <c r="F491" s="7" t="s">
        <v>2815</v>
      </c>
      <c r="G491" s="7" t="s">
        <v>1053</v>
      </c>
      <c r="H491" s="7" t="s">
        <v>717</v>
      </c>
      <c r="N491" s="7" t="b">
        <v>0</v>
      </c>
      <c r="O491" s="7" t="b">
        <v>0</v>
      </c>
    </row>
    <row r="492">
      <c r="A492" s="7" t="s">
        <v>2158</v>
      </c>
      <c r="B492" s="7" t="s">
        <v>1096</v>
      </c>
      <c r="C492" s="7" t="s">
        <v>1224</v>
      </c>
      <c r="D492" s="50">
        <v>18.0</v>
      </c>
      <c r="E492" s="50">
        <v>0.0</v>
      </c>
      <c r="F492" s="7" t="s">
        <v>2816</v>
      </c>
      <c r="G492" s="7" t="s">
        <v>1053</v>
      </c>
      <c r="H492" s="7" t="s">
        <v>717</v>
      </c>
      <c r="N492" s="7" t="b">
        <v>0</v>
      </c>
      <c r="O492" s="7" t="b">
        <v>0</v>
      </c>
    </row>
    <row r="493">
      <c r="A493" s="7" t="s">
        <v>2158</v>
      </c>
      <c r="B493" s="7" t="s">
        <v>1096</v>
      </c>
      <c r="C493" s="7" t="s">
        <v>1227</v>
      </c>
      <c r="D493" s="50">
        <v>34.0</v>
      </c>
      <c r="E493" s="50">
        <v>0.0</v>
      </c>
      <c r="F493" s="7" t="s">
        <v>2817</v>
      </c>
      <c r="G493" s="7" t="s">
        <v>1053</v>
      </c>
      <c r="H493" s="7" t="s">
        <v>717</v>
      </c>
      <c r="N493" s="7" t="b">
        <v>0</v>
      </c>
      <c r="O493" s="7" t="b">
        <v>0</v>
      </c>
    </row>
    <row r="494">
      <c r="A494" s="7" t="s">
        <v>2158</v>
      </c>
      <c r="B494" s="7" t="s">
        <v>1096</v>
      </c>
      <c r="C494" s="7" t="s">
        <v>1359</v>
      </c>
      <c r="D494" s="50">
        <v>4.0</v>
      </c>
      <c r="E494" s="50">
        <v>0.0</v>
      </c>
      <c r="F494" s="7" t="s">
        <v>2652</v>
      </c>
      <c r="G494" s="7" t="s">
        <v>1053</v>
      </c>
      <c r="H494" s="7" t="s">
        <v>693</v>
      </c>
      <c r="N494" s="7" t="b">
        <v>0</v>
      </c>
      <c r="O494" s="7" t="b">
        <v>0</v>
      </c>
    </row>
    <row r="495">
      <c r="A495" s="7" t="s">
        <v>2158</v>
      </c>
      <c r="B495" s="7" t="s">
        <v>1096</v>
      </c>
      <c r="C495" s="7" t="s">
        <v>1362</v>
      </c>
      <c r="D495" s="50">
        <v>41.0</v>
      </c>
      <c r="E495" s="50">
        <v>0.0</v>
      </c>
      <c r="F495" s="7" t="s">
        <v>2688</v>
      </c>
      <c r="G495" s="7" t="s">
        <v>1053</v>
      </c>
      <c r="H495" s="7" t="s">
        <v>717</v>
      </c>
      <c r="N495" s="7" t="b">
        <v>0</v>
      </c>
      <c r="O495" s="7" t="b">
        <v>0</v>
      </c>
    </row>
    <row r="496">
      <c r="A496" s="7" t="s">
        <v>2158</v>
      </c>
      <c r="B496" s="7" t="s">
        <v>1096</v>
      </c>
      <c r="C496" s="7" t="s">
        <v>1363</v>
      </c>
      <c r="D496" s="50">
        <v>35.0</v>
      </c>
      <c r="E496" s="50">
        <v>0.0</v>
      </c>
      <c r="F496" s="7" t="s">
        <v>2818</v>
      </c>
      <c r="G496" s="7" t="s">
        <v>1053</v>
      </c>
      <c r="H496" s="7" t="s">
        <v>717</v>
      </c>
      <c r="N496" s="7" t="b">
        <v>0</v>
      </c>
      <c r="O496" s="7" t="b">
        <v>0</v>
      </c>
    </row>
    <row r="497">
      <c r="A497" s="7" t="s">
        <v>2158</v>
      </c>
      <c r="B497" s="7" t="s">
        <v>1096</v>
      </c>
      <c r="C497" s="7" t="s">
        <v>1229</v>
      </c>
      <c r="D497" s="50">
        <v>55.0</v>
      </c>
      <c r="E497" s="50">
        <v>0.0</v>
      </c>
      <c r="F497" s="7" t="s">
        <v>2715</v>
      </c>
      <c r="G497" s="7" t="s">
        <v>1053</v>
      </c>
      <c r="H497" s="7" t="s">
        <v>717</v>
      </c>
      <c r="N497" s="7" t="b">
        <v>0</v>
      </c>
      <c r="O497" s="7" t="b">
        <v>0</v>
      </c>
    </row>
    <row r="498">
      <c r="A498" s="7" t="s">
        <v>2158</v>
      </c>
      <c r="B498" s="7" t="s">
        <v>1096</v>
      </c>
      <c r="C498" s="7" t="s">
        <v>359</v>
      </c>
      <c r="D498" s="50">
        <v>9.0</v>
      </c>
      <c r="E498" s="50">
        <v>0.0</v>
      </c>
      <c r="F498" s="7" t="s">
        <v>2819</v>
      </c>
      <c r="G498" s="7" t="s">
        <v>1053</v>
      </c>
      <c r="H498" s="7" t="s">
        <v>353</v>
      </c>
      <c r="I498" s="7" t="s">
        <v>359</v>
      </c>
      <c r="N498" s="7" t="b">
        <v>0</v>
      </c>
      <c r="O498" s="7" t="b">
        <v>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Col="1"/>
  <cols>
    <col customWidth="1" min="1" max="1" width="42.88"/>
    <col collapsed="1" customWidth="1" min="2" max="2" width="8.5"/>
    <col customWidth="1" hidden="1" min="3" max="3" width="18.88" outlineLevel="1"/>
    <col customWidth="1" hidden="1" min="4" max="4" width="13.0" outlineLevel="1"/>
    <col customWidth="1" min="5" max="5" width="12.63"/>
    <col customWidth="1" min="7" max="7" width="18.88"/>
    <col customWidth="1" min="9" max="9" width="18.88"/>
    <col customWidth="1" min="11" max="11" width="18.88"/>
    <col customWidth="1" min="13" max="13" width="18.88"/>
    <col customWidth="1" min="15" max="15" width="18.88"/>
    <col customWidth="1" min="17" max="17" width="18.88"/>
    <col customWidth="1" min="19" max="19" width="18.88"/>
    <col min="20" max="20" width="12.63"/>
    <col customWidth="1" min="23" max="23" width="17.88"/>
  </cols>
  <sheetData>
    <row r="1" ht="22.5" customHeight="1">
      <c r="A1" s="86" t="s">
        <v>2385</v>
      </c>
      <c r="B1" s="86" t="s">
        <v>2386</v>
      </c>
      <c r="K1" s="37">
        <f>COUNT(E3,G3,I3,M3,K3,O3,Q3,)</f>
        <v>8</v>
      </c>
    </row>
    <row r="2" ht="22.5" customHeight="1">
      <c r="A2" s="87" t="s">
        <v>2387</v>
      </c>
      <c r="B2" s="87" t="s">
        <v>2388</v>
      </c>
      <c r="C2" s="40"/>
      <c r="D2" s="40"/>
      <c r="E2" s="40"/>
      <c r="F2" s="40"/>
      <c r="G2" s="40"/>
      <c r="H2" s="40"/>
      <c r="I2" s="40"/>
      <c r="J2" s="40"/>
      <c r="K2" s="40"/>
      <c r="L2" s="40"/>
      <c r="M2" s="40"/>
      <c r="N2" s="40"/>
      <c r="O2" s="40"/>
      <c r="P2" s="40"/>
      <c r="Q2" s="40"/>
      <c r="R2" s="40"/>
      <c r="S2" s="40"/>
      <c r="T2" s="40"/>
      <c r="U2" s="41"/>
      <c r="V2" s="41"/>
      <c r="W2" s="41"/>
      <c r="X2" s="41"/>
    </row>
    <row r="3">
      <c r="A3" s="8"/>
      <c r="B3" s="8"/>
      <c r="C3" s="40"/>
      <c r="D3" s="40"/>
      <c r="E3" s="40">
        <f>COUNTA(E5:E269)</f>
        <v>265</v>
      </c>
      <c r="F3" s="40"/>
      <c r="G3" s="40">
        <f>COUNTA(G5:G269)</f>
        <v>34</v>
      </c>
      <c r="H3" s="40"/>
      <c r="I3" s="40">
        <f>COUNTA(I5:I269)</f>
        <v>9</v>
      </c>
      <c r="J3" s="40"/>
      <c r="K3" s="40">
        <f>COUNTA(K5:K269)</f>
        <v>6</v>
      </c>
      <c r="L3" s="40"/>
      <c r="M3" s="40">
        <f>COUNTA(M5:M269)</f>
        <v>4</v>
      </c>
      <c r="N3" s="40"/>
      <c r="O3" s="40">
        <f>COUNTA(O5:O269)</f>
        <v>2</v>
      </c>
      <c r="P3" s="40"/>
      <c r="Q3" s="40">
        <f>COUNTA(Q5:Q269)</f>
        <v>1</v>
      </c>
      <c r="R3" s="40"/>
      <c r="S3" s="40">
        <f>COUNTA(S5:S269)</f>
        <v>0</v>
      </c>
      <c r="T3" s="40"/>
      <c r="U3" s="41"/>
      <c r="V3" s="41"/>
      <c r="W3" s="41"/>
      <c r="X3" s="41"/>
    </row>
    <row r="4">
      <c r="A4" s="11" t="s">
        <v>1367</v>
      </c>
      <c r="B4" s="42" t="s">
        <v>1368</v>
      </c>
      <c r="C4" s="10" t="s">
        <v>1369</v>
      </c>
      <c r="D4" s="43" t="s">
        <v>1370</v>
      </c>
      <c r="E4" s="32" t="s">
        <v>1369</v>
      </c>
      <c r="F4" s="32" t="s">
        <v>2820</v>
      </c>
      <c r="G4" s="44" t="s">
        <v>1369</v>
      </c>
      <c r="H4" s="44"/>
      <c r="I4" s="88" t="s">
        <v>1369</v>
      </c>
      <c r="J4" s="88"/>
      <c r="K4" s="45" t="s">
        <v>1369</v>
      </c>
      <c r="L4" s="45"/>
      <c r="M4" s="89" t="s">
        <v>1369</v>
      </c>
      <c r="N4" s="89"/>
      <c r="O4" s="90" t="s">
        <v>1369</v>
      </c>
      <c r="P4" s="90"/>
      <c r="Q4" s="91" t="s">
        <v>1369</v>
      </c>
      <c r="R4" s="91"/>
      <c r="S4" s="92" t="s">
        <v>1369</v>
      </c>
      <c r="T4" s="92"/>
      <c r="U4" s="7" t="s">
        <v>2174</v>
      </c>
      <c r="V4" s="51" t="s">
        <v>2391</v>
      </c>
      <c r="W4" s="7" t="s">
        <v>2167</v>
      </c>
    </row>
    <row r="5">
      <c r="A5" s="8" t="s">
        <v>1500</v>
      </c>
      <c r="B5" s="8" t="s">
        <v>2394</v>
      </c>
      <c r="C5" s="37" t="s">
        <v>1501</v>
      </c>
      <c r="D5" s="7" t="s">
        <v>1502</v>
      </c>
      <c r="E5" s="7" t="s">
        <v>1503</v>
      </c>
      <c r="F5" s="37" t="str">
        <f t="array" ref="F5">XLOOKUP(E5,'従業員情報'!$A:$A,'従業員情報'!$N:$N,"×")</f>
        <v>株式会社MIXI/木村管掌/ライブエクスペリエンス事業本部/フットボール事業部/事業推進グループ</v>
      </c>
      <c r="U5" s="7" t="str">
        <f t="array" ref="U5">XLOOKUP($A5,'source isilon_Projectまとめ'!$A:$A,'source isilon_Projectまとめ'!$C:$C,XLOOKUP($A5,'source NetApp-file-sv01～03-Proj'!$A:$A,'source NetApp-file-sv01～03-Proj'!$D:$D))</f>
        <v>#N/A</v>
      </c>
      <c r="V5" s="7" t="str">
        <f t="array" ref="V5">XLOOKUP($A5,'source isilon_Projectまとめ'!$A:$A,'source isilon_Projectまとめ'!$D:$D,XLOOKUP($A5,'source isilon-Project-du'!$A:$A,'source isilon-Project-du'!$C:$C))</f>
        <v>0.00GB</v>
      </c>
      <c r="W5" s="37"/>
    </row>
    <row r="6">
      <c r="A6" s="8" t="s">
        <v>1542</v>
      </c>
      <c r="B6" s="8" t="s">
        <v>994</v>
      </c>
      <c r="C6" s="37" t="s">
        <v>1053</v>
      </c>
      <c r="E6" s="37" t="s">
        <v>1053</v>
      </c>
      <c r="U6" s="7" t="str">
        <f t="array" ref="U6">XLOOKUP($A6,'source isilon_Projectまとめ'!$A:$A,'source isilon_Projectまとめ'!$C:$C,XLOOKUP($A6,'source NetApp-file-sv01～03-Proj'!$A:$A,'source NetApp-file-sv01～03-Proj'!$D:$D))</f>
        <v>2011/06/14</v>
      </c>
      <c r="V6" s="7" t="str">
        <f t="array" ref="V6">XLOOKUP($A6,'source isilon_Projectまとめ'!$A:$A,'source isilon_Projectまとめ'!$D:$D,XLOOKUP($A6,'source isilon-Project-du'!$A:$A,'source isilon-Project-du'!$C:$C))</f>
        <v>0.00GB</v>
      </c>
      <c r="W6" s="37"/>
    </row>
    <row r="7">
      <c r="A7" s="8" t="s">
        <v>1546</v>
      </c>
      <c r="B7" s="8" t="s">
        <v>2394</v>
      </c>
      <c r="C7" s="37" t="s">
        <v>1547</v>
      </c>
      <c r="D7" s="7" t="s">
        <v>323</v>
      </c>
      <c r="E7" s="7" t="s">
        <v>1548</v>
      </c>
      <c r="F7" s="37" t="str">
        <f t="array" ref="F7">XLOOKUP(E7,'従業員情報'!$A:$A,'従業員情報'!$N:$N,"×")</f>
        <v>株式会社MIXI/笠原管掌/みてね事業本部</v>
      </c>
      <c r="U7" s="7" t="str">
        <f t="array" ref="U7">XLOOKUP($A7,'source isilon_Projectまとめ'!$A:$A,'source isilon_Projectまとめ'!$C:$C,XLOOKUP($A7,'source NetApp-file-sv01～03-Proj'!$A:$A,'source NetApp-file-sv01～03-Proj'!$D:$D))</f>
        <v>#N/A</v>
      </c>
      <c r="V7" s="7" t="str">
        <f t="array" ref="V7">XLOOKUP($A7,'source isilon_Projectまとめ'!$A:$A,'source isilon_Projectまとめ'!$D:$D,XLOOKUP($A7,'source isilon-Project-du'!$A:$A,'source isilon-Project-du'!$C:$C))</f>
        <v>0.00GB</v>
      </c>
      <c r="W7" s="37"/>
    </row>
    <row r="8">
      <c r="A8" s="8" t="s">
        <v>1673</v>
      </c>
      <c r="B8" s="8" t="s">
        <v>2394</v>
      </c>
      <c r="C8" s="37" t="s">
        <v>1674</v>
      </c>
      <c r="D8" s="7" t="s">
        <v>1675</v>
      </c>
      <c r="E8" s="7" t="s">
        <v>1676</v>
      </c>
      <c r="F8" s="37" t="str">
        <f t="array" ref="F8">XLOOKUP(E8,'従業員情報'!$A:$A,'従業員情報'!$N:$N,"×")</f>
        <v>株式会社MIXI/村瀨管掌/デザイン本部/ブランドデザイン室</v>
      </c>
      <c r="U8" s="7" t="str">
        <f t="array" ref="U8">XLOOKUP($A8,'source isilon_Projectまとめ'!$A:$A,'source isilon_Projectまとめ'!$C:$C,XLOOKUP($A8,'source NetApp-file-sv01～03-Proj'!$A:$A,'source NetApp-file-sv01～03-Proj'!$D:$D))</f>
        <v>2020/09/07</v>
      </c>
      <c r="V8" s="7" t="str">
        <f t="array" ref="V8">XLOOKUP($A8,'source isilon_Projectまとめ'!$A:$A,'source isilon_Projectまとめ'!$D:$D,XLOOKUP($A8,'source isilon-Project-du'!$A:$A,'source isilon-Project-du'!$C:$C))</f>
        <v>0.00GB</v>
      </c>
      <c r="W8" s="37"/>
    </row>
    <row r="9">
      <c r="A9" s="8" t="s">
        <v>1684</v>
      </c>
      <c r="B9" s="8" t="s">
        <v>994</v>
      </c>
      <c r="C9" s="37" t="s">
        <v>1053</v>
      </c>
      <c r="E9" s="37" t="s">
        <v>1053</v>
      </c>
      <c r="U9" s="7" t="str">
        <f t="array" ref="U9">XLOOKUP($A9,'source isilon_Projectまとめ'!$A:$A,'source isilon_Projectまとめ'!$C:$C,XLOOKUP($A9,'source NetApp-file-sv01～03-Proj'!$A:$A,'source NetApp-file-sv01～03-Proj'!$D:$D))</f>
        <v>#N/A</v>
      </c>
      <c r="V9" s="7" t="str">
        <f t="array" ref="V9">XLOOKUP($A9,'source isilon_Projectまとめ'!$A:$A,'source isilon_Projectまとめ'!$D:$D,XLOOKUP($A9,'source isilon-Project-du'!$A:$A,'source isilon-Project-du'!$C:$C))</f>
        <v>#N/A</v>
      </c>
      <c r="W9" s="7" t="s">
        <v>2081</v>
      </c>
    </row>
    <row r="10">
      <c r="A10" s="8" t="s">
        <v>1687</v>
      </c>
      <c r="B10" s="8" t="s">
        <v>2394</v>
      </c>
      <c r="C10" s="37" t="s">
        <v>1523</v>
      </c>
      <c r="D10" s="7" t="s">
        <v>1522</v>
      </c>
      <c r="E10" s="7" t="s">
        <v>1688</v>
      </c>
      <c r="F10" s="37" t="str">
        <f t="array" ref="F10">XLOOKUP(E10,'従業員情報'!$A:$A,'従業員情報'!$N:$N,"×")</f>
        <v>株式会社MIXI/島村管掌/人事本部/組織戦略部</v>
      </c>
      <c r="U10" s="7" t="str">
        <f t="array" ref="U10">XLOOKUP($A10,'source isilon_Projectまとめ'!$A:$A,'source isilon_Projectまとめ'!$C:$C,XLOOKUP($A10,'source NetApp-file-sv01～03-Proj'!$A:$A,'source NetApp-file-sv01～03-Proj'!$D:$D))</f>
        <v>#N/A</v>
      </c>
      <c r="V10" s="7" t="str">
        <f t="array" ref="V10">XLOOKUP($A10,'source isilon_Projectまとめ'!$A:$A,'source isilon_Projectまとめ'!$D:$D,XLOOKUP($A10,'source isilon-Project-du'!$A:$A,'source isilon-Project-du'!$C:$C))</f>
        <v>0.00GB</v>
      </c>
      <c r="W10" s="37"/>
    </row>
    <row r="11">
      <c r="A11" s="8" t="s">
        <v>1702</v>
      </c>
      <c r="B11" s="8" t="s">
        <v>992</v>
      </c>
      <c r="C11" s="37" t="s">
        <v>1703</v>
      </c>
      <c r="D11" s="37" t="s">
        <v>1053</v>
      </c>
      <c r="E11" s="7" t="s">
        <v>1414</v>
      </c>
      <c r="F11" s="37" t="str">
        <f t="array" ref="F11">XLOOKUP(E11,'退職者'!$C:$C,'退職者'!$A:$A,"×")</f>
        <v>人事戦略部付</v>
      </c>
      <c r="G11" s="7" t="s">
        <v>1704</v>
      </c>
      <c r="H11" s="37" t="s">
        <v>857</v>
      </c>
      <c r="I11" s="7" t="s">
        <v>1616</v>
      </c>
      <c r="K11" s="37" t="s">
        <v>1705</v>
      </c>
      <c r="M11" s="7" t="s">
        <v>1707</v>
      </c>
      <c r="O11" s="37" t="s">
        <v>1708</v>
      </c>
      <c r="Q11" s="37" t="s">
        <v>1710</v>
      </c>
      <c r="U11" s="7" t="str">
        <f t="array" ref="U11">XLOOKUP($A11,'source isilon_Projectまとめ'!$A:$A,'source isilon_Projectまとめ'!$C:$C,XLOOKUP($A11,'source NetApp-file-sv01～03-Proj'!$A:$A,'source NetApp-file-sv01～03-Proj'!$D:$D))</f>
        <v>#N/A</v>
      </c>
      <c r="V11" s="7" t="str">
        <f t="array" ref="V11">XLOOKUP($A11,'source isilon_Projectまとめ'!$A:$A,'source isilon_Projectまとめ'!$D:$D,XLOOKUP($A11,'source isilon-Project-du'!$A:$A,'source isilon-Project-du'!$C:$C))</f>
        <v>0.00GB</v>
      </c>
      <c r="W11" s="37"/>
    </row>
    <row r="12">
      <c r="A12" s="8" t="s">
        <v>1725</v>
      </c>
      <c r="B12" s="8" t="s">
        <v>2394</v>
      </c>
      <c r="C12" s="37" t="s">
        <v>1726</v>
      </c>
      <c r="D12" s="7" t="s">
        <v>1727</v>
      </c>
      <c r="E12" s="7" t="s">
        <v>1728</v>
      </c>
      <c r="F12" s="37" t="str">
        <f t="array" ref="F12">XLOOKUP(E12,'従業員情報'!$A:$A,'従業員情報'!$N:$N,"×")</f>
        <v>株式会社MIXI/島村管掌/人事本部/組織戦略部/事業HRBPグループ</v>
      </c>
      <c r="U12" s="7" t="str">
        <f t="array" ref="U12">XLOOKUP($A12,'source isilon_Projectまとめ'!$A:$A,'source isilon_Projectまとめ'!$C:$C,XLOOKUP($A12,'source NetApp-file-sv01～03-Proj'!$A:$A,'source NetApp-file-sv01～03-Proj'!$D:$D))</f>
        <v>2022/04/12</v>
      </c>
      <c r="V12" s="7" t="str">
        <f t="array" ref="V12">XLOOKUP($A12,'source isilon_Projectまとめ'!$A:$A,'source isilon_Projectまとめ'!$D:$D,XLOOKUP($A12,'source isilon-Project-du'!$A:$A,'source isilon-Project-du'!$C:$C))</f>
        <v>0.00GB</v>
      </c>
      <c r="W12" s="37"/>
    </row>
    <row r="13">
      <c r="A13" s="8" t="s">
        <v>1860</v>
      </c>
      <c r="B13" s="8" t="s">
        <v>2394</v>
      </c>
      <c r="C13" s="37" t="s">
        <v>1374</v>
      </c>
      <c r="D13" s="7" t="s">
        <v>420</v>
      </c>
      <c r="E13" s="7" t="s">
        <v>1375</v>
      </c>
      <c r="F13" s="37" t="str">
        <f t="array" ref="F13">XLOOKUP(E13,'従業員情報'!$A:$A,'従業員情報'!$N:$N,"×")</f>
        <v>株式会社MIXI/管掌役員なし/取締役</v>
      </c>
      <c r="U13" s="7" t="str">
        <f t="array" ref="U13">XLOOKUP($A13,'source isilon_Projectまとめ'!$A:$A,'source isilon_Projectまとめ'!$C:$C,XLOOKUP($A13,'source NetApp-file-sv01～03-Proj'!$A:$A,'source NetApp-file-sv01～03-Proj'!$D:$D))</f>
        <v>2021/05/05</v>
      </c>
      <c r="V13" s="7" t="str">
        <f t="array" ref="V13">XLOOKUP($A13,'source isilon_Projectまとめ'!$A:$A,'source isilon_Projectまとめ'!$D:$D,XLOOKUP($A13,'source isilon-Project-du'!$A:$A,'source isilon-Project-du'!$C:$C))</f>
        <v>28.96GB</v>
      </c>
      <c r="W13" s="37"/>
    </row>
    <row r="14">
      <c r="A14" s="8" t="s">
        <v>1861</v>
      </c>
      <c r="B14" s="8" t="s">
        <v>993</v>
      </c>
      <c r="C14" s="37" t="s">
        <v>1862</v>
      </c>
      <c r="D14" s="37" t="s">
        <v>1053</v>
      </c>
      <c r="E14" s="7" t="s">
        <v>1863</v>
      </c>
      <c r="F14" s="37" t="s">
        <v>1053</v>
      </c>
      <c r="T14" s="37" t="s">
        <v>1053</v>
      </c>
      <c r="U14" s="7" t="str">
        <f t="array" ref="U14">XLOOKUP($A14,'source isilon_Projectまとめ'!$A:$A,'source isilon_Projectまとめ'!$C:$C,XLOOKUP($A14,'source NetApp-file-sv01～03-Proj'!$A:$A,'source NetApp-file-sv01～03-Proj'!$D:$D))</f>
        <v>2015/05/14</v>
      </c>
      <c r="V14" s="7" t="str">
        <f t="array" ref="V14">XLOOKUP($A14,'source isilon_Projectまとめ'!$A:$A,'source isilon_Projectまとめ'!$D:$D,XLOOKUP($A14,'source isilon-Project-du'!$A:$A,'source isilon-Project-du'!$C:$C))</f>
        <v>2.52GB</v>
      </c>
      <c r="W14" s="37"/>
    </row>
    <row r="15">
      <c r="A15" s="8" t="s">
        <v>1864</v>
      </c>
      <c r="B15" s="8" t="s">
        <v>2394</v>
      </c>
      <c r="C15" s="37" t="s">
        <v>1451</v>
      </c>
      <c r="D15" s="7" t="s">
        <v>1450</v>
      </c>
      <c r="E15" s="7" t="s">
        <v>1451</v>
      </c>
      <c r="F15" s="37" t="str">
        <f t="array" ref="F15">XLOOKUP(E15,'従業員情報'!$A:$A,'従業員情報'!$N:$N,"×")</f>
        <v>株式会社MIXI/村瀨管掌/開発本部/たんぽぽ室/Enablementグループ</v>
      </c>
      <c r="U15" s="7" t="str">
        <f t="array" ref="U15">XLOOKUP($A15,'source isilon_Projectまとめ'!$A:$A,'source isilon_Projectまとめ'!$C:$C,XLOOKUP($A15,'source NetApp-file-sv01～03-Proj'!$A:$A,'source NetApp-file-sv01～03-Proj'!$D:$D))</f>
        <v>2018/05/30</v>
      </c>
      <c r="V15" s="7" t="str">
        <f t="array" ref="V15">XLOOKUP($A15,'source isilon_Projectまとめ'!$A:$A,'source isilon_Projectまとめ'!$D:$D,XLOOKUP($A15,'source isilon-Project-du'!$A:$A,'source isilon-Project-du'!$C:$C))</f>
        <v>19.71GB</v>
      </c>
      <c r="W15" s="37"/>
    </row>
    <row r="16">
      <c r="A16" s="8" t="s">
        <v>1865</v>
      </c>
      <c r="B16" s="8" t="s">
        <v>2394</v>
      </c>
      <c r="C16" s="37" t="s">
        <v>1866</v>
      </c>
      <c r="D16" s="7" t="s">
        <v>1867</v>
      </c>
      <c r="E16" s="7" t="s">
        <v>1868</v>
      </c>
      <c r="F16" s="37" t="str">
        <f t="array" ref="F16">XLOOKUP(E16,'従業員情報'!$A:$A,'従業員情報'!$N:$N,"×")</f>
        <v>株式会社MIXI/木村管掌/デジタルエンターテインメントオペレーションズ本部/モンストIPクリエイション部/キャラプログループ</v>
      </c>
      <c r="U16" s="7" t="str">
        <f t="array" ref="U16">XLOOKUP($A16,'source isilon_Projectまとめ'!$A:$A,'source isilon_Projectまとめ'!$C:$C,XLOOKUP($A16,'source NetApp-file-sv01～03-Proj'!$A:$A,'source NetApp-file-sv01～03-Proj'!$D:$D))</f>
        <v>2020/11/10</v>
      </c>
      <c r="V16" s="7" t="str">
        <f t="array" ref="V16">XLOOKUP($A16,'source isilon_Projectまとめ'!$A:$A,'source isilon_Projectまとめ'!$D:$D,XLOOKUP($A16,'source isilon-Project-du'!$A:$A,'source isilon-Project-du'!$C:$C))</f>
        <v>2108.85GB</v>
      </c>
      <c r="W16" s="37"/>
    </row>
    <row r="17">
      <c r="A17" s="8" t="s">
        <v>1869</v>
      </c>
      <c r="B17" s="8" t="s">
        <v>2394</v>
      </c>
      <c r="C17" s="37" t="s">
        <v>1389</v>
      </c>
      <c r="D17" s="7" t="s">
        <v>1390</v>
      </c>
      <c r="E17" s="7" t="s">
        <v>1391</v>
      </c>
      <c r="F17" s="37" t="str">
        <f t="array" ref="F17">XLOOKUP(E17,'従業員情報'!$A:$A,'従業員情報'!$N:$N,"×")</f>
        <v>株式会社MIXI/笠原管掌/Vantageスタジオ/Romi事業部/UX企画グループ</v>
      </c>
      <c r="U17" s="7" t="str">
        <f t="array" ref="U17">XLOOKUP($A17,'source isilon_Projectまとめ'!$A:$A,'source isilon_Projectまとめ'!$C:$C,XLOOKUP($A17,'source NetApp-file-sv01～03-Proj'!$A:$A,'source NetApp-file-sv01～03-Proj'!$D:$D))</f>
        <v>2016/09/13</v>
      </c>
      <c r="V17" s="7" t="str">
        <f t="array" ref="V17">XLOOKUP($A17,'source isilon_Projectまとめ'!$A:$A,'source isilon_Projectまとめ'!$D:$D,XLOOKUP($A17,'source isilon-Project-du'!$A:$A,'source isilon-Project-du'!$C:$C))</f>
        <v>0.03GB</v>
      </c>
      <c r="W17" s="37"/>
    </row>
    <row r="18">
      <c r="A18" s="8" t="s">
        <v>1870</v>
      </c>
      <c r="B18" s="8" t="s">
        <v>2394</v>
      </c>
      <c r="C18" s="37" t="s">
        <v>1871</v>
      </c>
      <c r="D18" s="7" t="s">
        <v>1872</v>
      </c>
      <c r="E18" s="7" t="s">
        <v>1873</v>
      </c>
      <c r="F18" s="37" t="str">
        <f t="array" ref="F18">XLOOKUP(E18,'従業員情報'!$A:$A,'従業員情報'!$N:$N,"×")</f>
        <v>株式会社MIXI/木村管掌/デジタルエンターテインメントオペレーションズ本部/ファンマーケティング部/MD事業開発グループ</v>
      </c>
      <c r="U18" s="7" t="str">
        <f t="array" ref="U18">XLOOKUP($A18,'source isilon_Projectまとめ'!$A:$A,'source isilon_Projectまとめ'!$C:$C,XLOOKUP($A18,'source NetApp-file-sv01～03-Proj'!$A:$A,'source NetApp-file-sv01～03-Proj'!$D:$D))</f>
        <v>2024/09/19</v>
      </c>
      <c r="V18" s="7" t="str">
        <f t="array" ref="V18">XLOOKUP($A18,'source isilon_Projectまとめ'!$A:$A,'source isilon_Projectまとめ'!$D:$D,XLOOKUP($A18,'source isilon-Project-du'!$A:$A,'source isilon-Project-du'!$C:$C))</f>
        <v>4104.40GB</v>
      </c>
      <c r="W18" s="37"/>
    </row>
    <row r="19">
      <c r="A19" s="8" t="s">
        <v>1874</v>
      </c>
      <c r="B19" s="8" t="s">
        <v>993</v>
      </c>
      <c r="C19" s="7" t="s">
        <v>1875</v>
      </c>
      <c r="D19" s="37" t="s">
        <v>1536</v>
      </c>
      <c r="E19" s="7" t="s">
        <v>1876</v>
      </c>
      <c r="F19" s="37" t="s">
        <v>1053</v>
      </c>
      <c r="G19" s="7" t="s">
        <v>1473</v>
      </c>
      <c r="H19" s="37" t="s">
        <v>1065</v>
      </c>
      <c r="T19" s="37" t="s">
        <v>1065</v>
      </c>
      <c r="U19" s="7" t="str">
        <f t="array" ref="U19">XLOOKUP($A19,'source isilon_Projectまとめ'!$A:$A,'source isilon_Projectまとめ'!$C:$C,XLOOKUP($A19,'source NetApp-file-sv01～03-Proj'!$A:$A,'source NetApp-file-sv01～03-Proj'!$D:$D))</f>
        <v>2009/07/21</v>
      </c>
      <c r="V19" s="7" t="str">
        <f t="array" ref="V19">XLOOKUP($A19,'source isilon_Projectまとめ'!$A:$A,'source isilon_Projectまとめ'!$D:$D,XLOOKUP($A19,'source isilon-Project-du'!$A:$A,'source isilon-Project-du'!$C:$C))</f>
        <v>0.31GB</v>
      </c>
      <c r="W19" s="37"/>
    </row>
    <row r="20">
      <c r="A20" s="8" t="s">
        <v>1877</v>
      </c>
      <c r="B20" s="8" t="s">
        <v>994</v>
      </c>
      <c r="C20" s="37" t="s">
        <v>1053</v>
      </c>
      <c r="E20" s="37" t="s">
        <v>1053</v>
      </c>
      <c r="U20" s="7" t="str">
        <f t="array" ref="U20">XLOOKUP($A20,'source isilon_Projectまとめ'!$A:$A,'source isilon_Projectまとめ'!$C:$C,XLOOKUP($A20,'source NetApp-file-sv01～03-Proj'!$A:$A,'source NetApp-file-sv01～03-Proj'!$D:$D))</f>
        <v>2018/10/11</v>
      </c>
      <c r="V20" s="7" t="str">
        <f t="array" ref="V20">XLOOKUP($A20,'source isilon_Projectまとめ'!$A:$A,'source isilon_Projectまとめ'!$D:$D,XLOOKUP($A20,'source isilon-Project-du'!$A:$A,'source isilon-Project-du'!$C:$C))</f>
        <v>137.98GB</v>
      </c>
      <c r="W20" s="37"/>
    </row>
    <row r="21">
      <c r="A21" s="8" t="s">
        <v>1878</v>
      </c>
      <c r="B21" s="8" t="s">
        <v>2394</v>
      </c>
      <c r="C21" s="37" t="s">
        <v>1794</v>
      </c>
      <c r="D21" s="7" t="s">
        <v>1795</v>
      </c>
      <c r="E21" s="7" t="s">
        <v>1796</v>
      </c>
      <c r="F21" s="37" t="str">
        <f t="array" ref="F21">XLOOKUP(E21,'従業員情報'!$A:$A,'従業員情報'!$N:$N,"×")</f>
        <v>株式会社MIXI/笠原管掌/Vantageスタジオ/mixi事業部/開発2グループ</v>
      </c>
      <c r="U21" s="7" t="str">
        <f t="array" ref="U21">XLOOKUP($A21,'source isilon_Projectまとめ'!$A:$A,'source isilon_Projectまとめ'!$C:$C,XLOOKUP($A21,'source NetApp-file-sv01～03-Proj'!$A:$A,'source NetApp-file-sv01～03-Proj'!$D:$D))</f>
        <v>2024/01/15</v>
      </c>
      <c r="V21" s="7" t="str">
        <f t="array" ref="V21">XLOOKUP($A21,'source isilon_Projectまとめ'!$A:$A,'source isilon_Projectまとめ'!$D:$D,XLOOKUP($A21,'source isilon-Project-du'!$A:$A,'source isilon-Project-du'!$C:$C))</f>
        <v>824.96GB</v>
      </c>
      <c r="W21" s="37"/>
    </row>
    <row r="22">
      <c r="A22" s="8" t="s">
        <v>1879</v>
      </c>
      <c r="B22" s="8" t="s">
        <v>992</v>
      </c>
      <c r="C22" s="7" t="s">
        <v>1880</v>
      </c>
      <c r="D22" s="37" t="s">
        <v>1053</v>
      </c>
      <c r="E22" s="7" t="s">
        <v>1513</v>
      </c>
      <c r="F22" s="37" t="str">
        <f t="array" ref="F22">XLOOKUP(E22,'退職者'!$C:$C,'退職者'!$A:$A,"×")</f>
        <v>労務部</v>
      </c>
      <c r="G22" s="7" t="s">
        <v>1492</v>
      </c>
      <c r="H22" s="37" t="s">
        <v>1053</v>
      </c>
      <c r="U22" s="7" t="str">
        <f t="array" ref="U22">XLOOKUP($A22,'source isilon_Projectまとめ'!$A:$A,'source isilon_Projectまとめ'!$C:$C,XLOOKUP($A22,'source NetApp-file-sv01～03-Proj'!$A:$A,'source NetApp-file-sv01～03-Proj'!$D:$D))</f>
        <v>2015/03/26</v>
      </c>
      <c r="V22" s="7" t="str">
        <f t="array" ref="V22">XLOOKUP($A22,'source isilon_Projectまとめ'!$A:$A,'source isilon_Projectまとめ'!$D:$D,XLOOKUP($A22,'source isilon-Project-du'!$A:$A,'source isilon-Project-du'!$C:$C))</f>
        <v>0.02GB</v>
      </c>
      <c r="W22" s="37"/>
    </row>
    <row r="23">
      <c r="A23" s="8" t="s">
        <v>1881</v>
      </c>
      <c r="B23" s="8" t="s">
        <v>2394</v>
      </c>
      <c r="C23" s="37" t="s">
        <v>1882</v>
      </c>
      <c r="D23" s="7" t="s">
        <v>1394</v>
      </c>
      <c r="E23" s="7" t="s">
        <v>1883</v>
      </c>
      <c r="F23" s="37" t="str">
        <f t="array" ref="F23">XLOOKUP(E23,'従業員情報'!$A:$A,'従業員情報'!$N:$N,"×")</f>
        <v>株式会社MIXI/笠原管掌/Vantageスタジオ/事業推進室/mercuryグループ</v>
      </c>
      <c r="U23" s="7" t="str">
        <f t="array" ref="U23">XLOOKUP($A23,'source isilon_Projectまとめ'!$A:$A,'source isilon_Projectまとめ'!$C:$C,XLOOKUP($A23,'source NetApp-file-sv01～03-Proj'!$A:$A,'source NetApp-file-sv01～03-Proj'!$D:$D))</f>
        <v>2020/02/17</v>
      </c>
      <c r="V23" s="7" t="str">
        <f t="array" ref="V23">XLOOKUP($A23,'source isilon_Projectまとめ'!$A:$A,'source isilon_Projectまとめ'!$D:$D,XLOOKUP($A23,'source isilon-Project-du'!$A:$A,'source isilon-Project-du'!$C:$C))</f>
        <v>0.32GB</v>
      </c>
      <c r="W23" s="37"/>
    </row>
    <row r="24">
      <c r="A24" s="8" t="s">
        <v>1884</v>
      </c>
      <c r="B24" s="8" t="s">
        <v>2394</v>
      </c>
      <c r="C24" s="37" t="s">
        <v>1389</v>
      </c>
      <c r="D24" s="7" t="s">
        <v>1390</v>
      </c>
      <c r="E24" s="7" t="s">
        <v>1391</v>
      </c>
      <c r="F24" s="37" t="str">
        <f t="array" ref="F24">XLOOKUP(E24,'従業員情報'!$A:$A,'従業員情報'!$N:$N,"×")</f>
        <v>株式会社MIXI/笠原管掌/Vantageスタジオ/Romi事業部/UX企画グループ</v>
      </c>
      <c r="U24" s="7" t="str">
        <f t="array" ref="U24">XLOOKUP($A24,'source isilon_Projectまとめ'!$A:$A,'source isilon_Projectまとめ'!$C:$C,XLOOKUP($A24,'source NetApp-file-sv01～03-Proj'!$A:$A,'source NetApp-file-sv01～03-Proj'!$D:$D))</f>
        <v>2016/04/13</v>
      </c>
      <c r="V24" s="7" t="str">
        <f t="array" ref="V24">XLOOKUP($A24,'source isilon_Projectまとめ'!$A:$A,'source isilon_Projectまとめ'!$D:$D,XLOOKUP($A24,'source isilon-Project-du'!$A:$A,'source isilon-Project-du'!$C:$C))</f>
        <v>2.78GB</v>
      </c>
      <c r="W24" s="37"/>
    </row>
    <row r="25">
      <c r="A25" s="8" t="s">
        <v>1885</v>
      </c>
      <c r="B25" s="8" t="s">
        <v>993</v>
      </c>
      <c r="C25" s="37" t="s">
        <v>1886</v>
      </c>
      <c r="D25" s="37" t="s">
        <v>1053</v>
      </c>
      <c r="E25" s="7" t="s">
        <v>1887</v>
      </c>
      <c r="F25" s="37" t="s">
        <v>1053</v>
      </c>
      <c r="T25" s="37" t="s">
        <v>1053</v>
      </c>
      <c r="U25" s="7" t="str">
        <f t="array" ref="U25">XLOOKUP($A25,'source isilon_Projectまとめ'!$A:$A,'source isilon_Projectまとめ'!$C:$C,XLOOKUP($A25,'source NetApp-file-sv01～03-Proj'!$A:$A,'source NetApp-file-sv01～03-Proj'!$D:$D))</f>
        <v>2012/07/11</v>
      </c>
      <c r="V25" s="7" t="str">
        <f t="array" ref="V25">XLOOKUP($A25,'source isilon_Projectまとめ'!$A:$A,'source isilon_Projectまとめ'!$D:$D,XLOOKUP($A25,'source isilon-Project-du'!$A:$A,'source isilon-Project-du'!$C:$C))</f>
        <v>0.02GB</v>
      </c>
      <c r="W25" s="37"/>
    </row>
    <row r="26">
      <c r="A26" s="8" t="s">
        <v>1888</v>
      </c>
      <c r="B26" s="8" t="s">
        <v>2394</v>
      </c>
      <c r="C26" s="37" t="s">
        <v>1889</v>
      </c>
      <c r="D26" s="7" t="s">
        <v>1468</v>
      </c>
      <c r="E26" s="7" t="s">
        <v>1469</v>
      </c>
      <c r="F26" s="37" t="str">
        <f t="array" ref="F26">XLOOKUP(E26,'従業員情報'!$A:$A,'従業員情報'!$N:$N,"×")</f>
        <v>株式会社MIXI/笠原管掌/Vantageスタジオ/事業推進室</v>
      </c>
      <c r="U26" s="7" t="str">
        <f t="array" ref="U26">XLOOKUP($A26,'source isilon_Projectまとめ'!$A:$A,'source isilon_Projectまとめ'!$C:$C,XLOOKUP($A26,'source NetApp-file-sv01～03-Proj'!$A:$A,'source NetApp-file-sv01～03-Proj'!$D:$D))</f>
        <v>2017/03/13</v>
      </c>
      <c r="V26" s="7" t="str">
        <f t="array" ref="V26">XLOOKUP($A26,'source isilon_Projectまとめ'!$A:$A,'source isilon_Projectまとめ'!$D:$D,XLOOKUP($A26,'source isilon-Project-du'!$A:$A,'source isilon-Project-du'!$C:$C))</f>
        <v>0.05GB</v>
      </c>
      <c r="W26" s="37"/>
    </row>
    <row r="27">
      <c r="A27" s="8" t="s">
        <v>1890</v>
      </c>
      <c r="B27" s="8" t="s">
        <v>2394</v>
      </c>
      <c r="C27" s="37" t="s">
        <v>1509</v>
      </c>
      <c r="D27" s="7" t="s">
        <v>693</v>
      </c>
      <c r="E27" s="7" t="s">
        <v>1510</v>
      </c>
      <c r="F27" s="37" t="str">
        <f t="array" ref="F27">XLOOKUP(E27,'従業員情報'!$A:$A,'従業員情報'!$N:$N,"×")</f>
        <v>株式会社MIXI/村瀨管掌/デザイン本部</v>
      </c>
      <c r="U27" s="7" t="str">
        <f t="array" ref="U27">XLOOKUP($A27,'source isilon_Projectまとめ'!$A:$A,'source isilon_Projectまとめ'!$C:$C,XLOOKUP($A27,'source NetApp-file-sv01～03-Proj'!$A:$A,'source NetApp-file-sv01～03-Proj'!$D:$D))</f>
        <v>2020/07/30</v>
      </c>
      <c r="V27" s="7" t="str">
        <f t="array" ref="V27">XLOOKUP($A27,'source isilon_Projectまとめ'!$A:$A,'source isilon_Projectまとめ'!$D:$D,XLOOKUP($A27,'source isilon-Project-du'!$A:$A,'source isilon-Project-du'!$C:$C))</f>
        <v>928.42GB</v>
      </c>
      <c r="W27" s="37"/>
    </row>
    <row r="28">
      <c r="A28" s="8" t="s">
        <v>1891</v>
      </c>
      <c r="B28" s="8" t="s">
        <v>992</v>
      </c>
      <c r="C28" s="37" t="s">
        <v>1892</v>
      </c>
      <c r="D28" s="37" t="s">
        <v>1053</v>
      </c>
      <c r="E28" s="7" t="s">
        <v>1893</v>
      </c>
      <c r="F28" s="37" t="str">
        <f t="array" ref="F28">XLOOKUP(E28,'退職者'!$C:$C,'退職者'!$A:$A,"×")</f>
        <v>グローバルモンスト室</v>
      </c>
      <c r="G28" s="7" t="s">
        <v>1616</v>
      </c>
      <c r="H28" s="37" t="s">
        <v>1053</v>
      </c>
      <c r="I28" s="37" t="s">
        <v>1895</v>
      </c>
      <c r="K28" s="37" t="s">
        <v>1896</v>
      </c>
      <c r="U28" s="7" t="str">
        <f t="array" ref="U28">XLOOKUP($A28,'source isilon_Projectまとめ'!$A:$A,'source isilon_Projectまとめ'!$C:$C,XLOOKUP($A28,'source NetApp-file-sv01～03-Proj'!$A:$A,'source NetApp-file-sv01～03-Proj'!$D:$D))</f>
        <v>#N/A</v>
      </c>
      <c r="V28" s="7" t="str">
        <f t="array" ref="V28">XLOOKUP($A28,'source isilon_Projectまとめ'!$A:$A,'source isilon_Projectまとめ'!$D:$D,XLOOKUP($A28,'source isilon-Project-du'!$A:$A,'source isilon-Project-du'!$C:$C))</f>
        <v>9480.47GB</v>
      </c>
      <c r="W28" s="37"/>
    </row>
    <row r="29">
      <c r="A29" s="8" t="s">
        <v>1897</v>
      </c>
      <c r="B29" s="8" t="s">
        <v>994</v>
      </c>
      <c r="C29" s="37" t="s">
        <v>1053</v>
      </c>
      <c r="E29" s="37" t="s">
        <v>1053</v>
      </c>
      <c r="U29" s="7" t="str">
        <f t="array" ref="U29">XLOOKUP($A29,'source isilon_Projectまとめ'!$A:$A,'source isilon_Projectまとめ'!$C:$C,XLOOKUP($A29,'source NetApp-file-sv01～03-Proj'!$A:$A,'source NetApp-file-sv01～03-Proj'!$D:$D))</f>
        <v>#N/A</v>
      </c>
      <c r="V29" s="7" t="str">
        <f t="array" ref="V29">XLOOKUP($A29,'source isilon_Projectまとめ'!$A:$A,'source isilon_Projectまとめ'!$D:$D,XLOOKUP($A29,'source isilon-Project-du'!$A:$A,'source isilon-Project-du'!$C:$C))</f>
        <v>1408.20GB</v>
      </c>
      <c r="W29" s="37"/>
    </row>
    <row r="30">
      <c r="A30" s="8" t="s">
        <v>1898</v>
      </c>
      <c r="B30" s="8" t="s">
        <v>2394</v>
      </c>
      <c r="C30" s="37" t="s">
        <v>1899</v>
      </c>
      <c r="D30" s="7" t="s">
        <v>1900</v>
      </c>
      <c r="E30" s="7" t="s">
        <v>1901</v>
      </c>
      <c r="F30" s="37" t="str">
        <f t="array" ref="F30">XLOOKUP(E30,'従業員情報'!$A:$A,'従業員情報'!$N:$N,"×")</f>
        <v>株式会社MIXI/笠原管掌/Vantageスタジオ/事業推進室/choidoraグループ</v>
      </c>
      <c r="U30" s="7" t="str">
        <f t="array" ref="U30">XLOOKUP($A30,'source isilon_Projectまとめ'!$A:$A,'source isilon_Projectまとめ'!$C:$C,XLOOKUP($A30,'source NetApp-file-sv01～03-Proj'!$A:$A,'source NetApp-file-sv01～03-Proj'!$D:$D))</f>
        <v>#N/A</v>
      </c>
      <c r="V30" s="7" t="str">
        <f t="array" ref="V30">XLOOKUP($A30,'source isilon_Projectまとめ'!$A:$A,'source isilon_Projectまとめ'!$D:$D,XLOOKUP($A30,'source isilon-Project-du'!$A:$A,'source isilon-Project-du'!$C:$C))</f>
        <v>0.00GB</v>
      </c>
      <c r="W30" s="37"/>
    </row>
    <row r="31">
      <c r="A31" s="8" t="s">
        <v>1902</v>
      </c>
      <c r="B31" s="8" t="s">
        <v>993</v>
      </c>
      <c r="C31" s="37" t="s">
        <v>1540</v>
      </c>
      <c r="D31" s="37" t="s">
        <v>1053</v>
      </c>
      <c r="E31" s="7" t="s">
        <v>1541</v>
      </c>
      <c r="F31" s="37" t="s">
        <v>1053</v>
      </c>
      <c r="T31" s="37" t="s">
        <v>1053</v>
      </c>
      <c r="U31" s="7" t="str">
        <f t="array" ref="U31">XLOOKUP($A31,'source isilon_Projectまとめ'!$A:$A,'source isilon_Projectまとめ'!$C:$C,XLOOKUP($A31,'source NetApp-file-sv01～03-Proj'!$A:$A,'source NetApp-file-sv01～03-Proj'!$D:$D))</f>
        <v>2017/11/14</v>
      </c>
      <c r="V31" s="7" t="str">
        <f t="array" ref="V31">XLOOKUP($A31,'source isilon_Projectまとめ'!$A:$A,'source isilon_Projectまとめ'!$D:$D,XLOOKUP($A31,'source isilon-Project-du'!$A:$A,'source isilon-Project-du'!$C:$C))</f>
        <v>0.15GB</v>
      </c>
      <c r="W31" s="37"/>
    </row>
    <row r="32">
      <c r="A32" s="8" t="s">
        <v>1903</v>
      </c>
      <c r="B32" s="8" t="s">
        <v>2394</v>
      </c>
      <c r="C32" s="37" t="s">
        <v>1904</v>
      </c>
      <c r="D32" s="7" t="s">
        <v>1905</v>
      </c>
      <c r="E32" s="7" t="s">
        <v>1906</v>
      </c>
      <c r="F32" s="37" t="str">
        <f t="array" ref="F32">XLOOKUP(E32,'従業員情報'!$A:$A,'従業員情報'!$N:$N,"×")</f>
        <v>株式会社MIXI/木村管掌/デジタルエンターテインメントオペレーションズ本部/モンストIPクリエイション部/映像グループ</v>
      </c>
      <c r="U32" s="7" t="str">
        <f t="array" ref="U32">XLOOKUP($A32,'source isilon_Projectまとめ'!$A:$A,'source isilon_Projectまとめ'!$C:$C,XLOOKUP($A32,'source NetApp-file-sv01～03-Proj'!$A:$A,'source NetApp-file-sv01～03-Proj'!$D:$D))</f>
        <v>#N/A</v>
      </c>
      <c r="V32" s="7" t="str">
        <f t="array" ref="V32">XLOOKUP($A32,'source isilon_Projectまとめ'!$A:$A,'source isilon_Projectまとめ'!$D:$D,XLOOKUP($A32,'source isilon-Project-du'!$A:$A,'source isilon-Project-du'!$C:$C))</f>
        <v>0.00GB</v>
      </c>
      <c r="W32" s="37"/>
    </row>
    <row r="33">
      <c r="A33" s="8" t="s">
        <v>1907</v>
      </c>
      <c r="B33" s="8" t="s">
        <v>2394</v>
      </c>
      <c r="C33" s="37" t="s">
        <v>1509</v>
      </c>
      <c r="D33" s="7" t="s">
        <v>693</v>
      </c>
      <c r="E33" s="7" t="s">
        <v>1510</v>
      </c>
      <c r="F33" s="37" t="str">
        <f t="array" ref="F33">XLOOKUP(E33,'従業員情報'!$A:$A,'従業員情報'!$N:$N,"×")</f>
        <v>株式会社MIXI/村瀨管掌/デザイン本部</v>
      </c>
      <c r="U33" s="7" t="str">
        <f t="array" ref="U33">XLOOKUP($A33,'source isilon_Projectまとめ'!$A:$A,'source isilon_Projectまとめ'!$C:$C,XLOOKUP($A33,'source NetApp-file-sv01～03-Proj'!$A:$A,'source NetApp-file-sv01～03-Proj'!$D:$D))</f>
        <v>2018/03/16</v>
      </c>
      <c r="V33" s="7" t="str">
        <f t="array" ref="V33">XLOOKUP($A33,'source isilon_Projectまとめ'!$A:$A,'source isilon_Projectまとめ'!$D:$D,XLOOKUP($A33,'source isilon-Project-du'!$A:$A,'source isilon-Project-du'!$C:$C))</f>
        <v>3.42GB</v>
      </c>
      <c r="W33" s="37"/>
    </row>
    <row r="34">
      <c r="A34" s="8" t="s">
        <v>1908</v>
      </c>
      <c r="B34" s="8" t="s">
        <v>2394</v>
      </c>
      <c r="C34" s="37" t="s">
        <v>1909</v>
      </c>
      <c r="D34" s="7" t="s">
        <v>1910</v>
      </c>
      <c r="E34" s="7" t="s">
        <v>1911</v>
      </c>
      <c r="F34" s="37" t="str">
        <f t="array" ref="F34">XLOOKUP(E34,'従業員情報'!$A:$A,'従業員情報'!$N:$N,"×")</f>
        <v>株式会社MIXI/島村管掌/人事本部/組織戦略部/組織推進グループ</v>
      </c>
      <c r="U34" s="7" t="str">
        <f t="array" ref="U34">XLOOKUP($A34,'source isilon_Projectまとめ'!$A:$A,'source isilon_Projectまとめ'!$C:$C,XLOOKUP($A34,'source NetApp-file-sv01～03-Proj'!$A:$A,'source NetApp-file-sv01～03-Proj'!$D:$D))</f>
        <v>2024/11/15</v>
      </c>
      <c r="V34" s="7" t="str">
        <f t="array" ref="V34">XLOOKUP($A34,'source isilon_Projectまとめ'!$A:$A,'source isilon_Projectまとめ'!$D:$D,XLOOKUP($A34,'source isilon-Project-du'!$A:$A,'source isilon-Project-du'!$C:$C))</f>
        <v>0.37GB</v>
      </c>
      <c r="W34" s="37"/>
    </row>
    <row r="35">
      <c r="A35" s="8" t="s">
        <v>1912</v>
      </c>
      <c r="B35" s="8" t="s">
        <v>2394</v>
      </c>
      <c r="C35" s="37" t="s">
        <v>1737</v>
      </c>
      <c r="D35" s="37" t="s">
        <v>1738</v>
      </c>
      <c r="E35" s="7" t="s">
        <v>1739</v>
      </c>
      <c r="F35" s="37" t="str">
        <f t="array" ref="F35">XLOOKUP(E35,'従業員情報'!$A:$A,'従業員情報'!$N:$N,"×")</f>
        <v>アイ・マーキュリーキャピタル株式会社/アイ・マーキュリーキャピタル株式会社/アイ・マーキュリーキャピタル株式会社(本部格)</v>
      </c>
      <c r="U35" s="7" t="str">
        <f t="array" ref="U35">XLOOKUP($A35,'source isilon_Projectまとめ'!$A:$A,'source isilon_Projectまとめ'!$C:$C,XLOOKUP($A35,'source NetApp-file-sv01～03-Proj'!$A:$A,'source NetApp-file-sv01～03-Proj'!$D:$D))</f>
        <v>2013/01/10</v>
      </c>
      <c r="V35" s="7" t="str">
        <f t="array" ref="V35">XLOOKUP($A35,'source isilon_Projectまとめ'!$A:$A,'source isilon_Projectまとめ'!$D:$D,XLOOKUP($A35,'source isilon-Project-du'!$A:$A,'source isilon-Project-du'!$C:$C))</f>
        <v>0.07GB</v>
      </c>
      <c r="W35" s="37"/>
    </row>
    <row r="36">
      <c r="A36" s="8" t="s">
        <v>1913</v>
      </c>
      <c r="B36" s="8" t="s">
        <v>2394</v>
      </c>
      <c r="C36" s="37" t="s">
        <v>1914</v>
      </c>
      <c r="D36" s="7" t="s">
        <v>1915</v>
      </c>
      <c r="E36" s="7" t="s">
        <v>1916</v>
      </c>
      <c r="F36" s="37" t="str">
        <f t="array" ref="F36">XLOOKUP(E36,'従業員情報'!$A:$A,'従業員情報'!$N:$N,"×")</f>
        <v>株式会社MIXI/木村管掌/ライブエクスペリエンス事業本部/バスケットボール事業部/マーケティンググループ</v>
      </c>
      <c r="U36" s="7" t="str">
        <f t="array" ref="U36">XLOOKUP($A36,'source isilon_Projectまとめ'!$A:$A,'source isilon_Projectまとめ'!$C:$C,XLOOKUP($A36,'source NetApp-file-sv01～03-Proj'!$A:$A,'source NetApp-file-sv01～03-Proj'!$D:$D))</f>
        <v>2022/03/15</v>
      </c>
      <c r="V36" s="7" t="str">
        <f t="array" ref="V36">XLOOKUP($A36,'source isilon_Projectまとめ'!$A:$A,'source isilon_Projectまとめ'!$D:$D,XLOOKUP($A36,'source isilon-Project-du'!$A:$A,'source isilon-Project-du'!$C:$C))</f>
        <v>1.19GB</v>
      </c>
      <c r="W36" s="37"/>
    </row>
    <row r="37">
      <c r="A37" s="8" t="s">
        <v>1917</v>
      </c>
      <c r="B37" s="8" t="s">
        <v>2394</v>
      </c>
      <c r="C37" s="37" t="s">
        <v>1918</v>
      </c>
      <c r="D37" s="7" t="s">
        <v>1919</v>
      </c>
      <c r="E37" s="7" t="s">
        <v>1920</v>
      </c>
      <c r="F37" s="37" t="str">
        <f t="array" ref="F37">XLOOKUP(E37,'従業員情報'!$A:$A,'従業員情報'!$N:$N,"×")</f>
        <v>株式会社MIXI/奥山管掌/ソーシャルベッティング事業本部/TIPSTAR事業部/運営グループ/ミッション運用チーム</v>
      </c>
      <c r="U37" s="7" t="str">
        <f t="array" ref="U37">XLOOKUP($A37,'source isilon_Projectまとめ'!$A:$A,'source isilon_Projectまとめ'!$C:$C,XLOOKUP($A37,'source NetApp-file-sv01～03-Proj'!$A:$A,'source NetApp-file-sv01～03-Proj'!$D:$D))</f>
        <v>2022/11/22</v>
      </c>
      <c r="V37" s="7" t="str">
        <f t="array" ref="V37">XLOOKUP($A37,'source isilon_Projectまとめ'!$A:$A,'source isilon_Projectまとめ'!$D:$D,XLOOKUP($A37,'source isilon-Project-du'!$A:$A,'source isilon-Project-du'!$C:$C))</f>
        <v>110.06GB</v>
      </c>
      <c r="W37" s="37"/>
    </row>
    <row r="38">
      <c r="A38" s="8" t="s">
        <v>1921</v>
      </c>
      <c r="B38" s="8" t="s">
        <v>993</v>
      </c>
      <c r="C38" s="37" t="s">
        <v>1642</v>
      </c>
      <c r="D38" s="37" t="s">
        <v>1536</v>
      </c>
      <c r="E38" s="7" t="s">
        <v>1643</v>
      </c>
      <c r="F38" s="37" t="s">
        <v>1053</v>
      </c>
      <c r="T38" s="37" t="s">
        <v>1053</v>
      </c>
      <c r="U38" s="7" t="str">
        <f t="array" ref="U38">XLOOKUP($A38,'source isilon_Projectまとめ'!$A:$A,'source isilon_Projectまとめ'!$C:$C,XLOOKUP($A38,'source NetApp-file-sv01～03-Proj'!$A:$A,'source NetApp-file-sv01～03-Proj'!$D:$D))</f>
        <v>2013/02/19</v>
      </c>
      <c r="V38" s="7" t="str">
        <f t="array" ref="V38">XLOOKUP($A38,'source isilon_Projectまとめ'!$A:$A,'source isilon_Projectまとめ'!$D:$D,XLOOKUP($A38,'source isilon-Project-du'!$A:$A,'source isilon-Project-du'!$C:$C))</f>
        <v>21.48GB</v>
      </c>
      <c r="W38" s="37"/>
    </row>
    <row r="39">
      <c r="A39" s="8" t="s">
        <v>1922</v>
      </c>
      <c r="B39" s="8" t="s">
        <v>993</v>
      </c>
      <c r="C39" s="37" t="s">
        <v>1923</v>
      </c>
      <c r="D39" s="37" t="s">
        <v>1536</v>
      </c>
      <c r="E39" s="7" t="s">
        <v>1924</v>
      </c>
      <c r="F39" s="37" t="s">
        <v>1053</v>
      </c>
      <c r="T39" s="37" t="s">
        <v>1053</v>
      </c>
      <c r="U39" s="7" t="str">
        <f t="array" ref="U39">XLOOKUP($A39,'source isilon_Projectまとめ'!$A:$A,'source isilon_Projectまとめ'!$C:$C,XLOOKUP($A39,'source NetApp-file-sv01～03-Proj'!$A:$A,'source NetApp-file-sv01～03-Proj'!$D:$D))</f>
        <v>2016/10/04</v>
      </c>
      <c r="V39" s="7" t="str">
        <f t="array" ref="V39">XLOOKUP($A39,'source isilon_Projectまとめ'!$A:$A,'source isilon_Projectまとめ'!$D:$D,XLOOKUP($A39,'source isilon-Project-du'!$A:$A,'source isilon-Project-du'!$C:$C))</f>
        <v>2.45GB</v>
      </c>
      <c r="W39" s="37"/>
    </row>
    <row r="40">
      <c r="A40" s="8" t="s">
        <v>1925</v>
      </c>
      <c r="B40" s="8" t="s">
        <v>992</v>
      </c>
      <c r="C40" s="37" t="s">
        <v>1926</v>
      </c>
      <c r="D40" s="37" t="s">
        <v>1184</v>
      </c>
      <c r="E40" s="7" t="s">
        <v>1927</v>
      </c>
      <c r="F40" s="37" t="s">
        <v>1184</v>
      </c>
      <c r="T40" s="37" t="s">
        <v>1053</v>
      </c>
      <c r="U40" s="7" t="str">
        <f t="array" ref="U40">XLOOKUP($A40,'source isilon_Projectまとめ'!$A:$A,'source isilon_Projectまとめ'!$C:$C,XLOOKUP($A40,'source NetApp-file-sv01～03-Proj'!$A:$A,'source NetApp-file-sv01～03-Proj'!$D:$D))</f>
        <v>2019/04/24</v>
      </c>
      <c r="V40" s="7" t="str">
        <f t="array" ref="V40">XLOOKUP($A40,'source isilon_Projectまとめ'!$A:$A,'source isilon_Projectまとめ'!$D:$D,XLOOKUP($A40,'source isilon-Project-du'!$A:$A,'source isilon-Project-du'!$C:$C))</f>
        <v>1.02GB</v>
      </c>
      <c r="W40" s="37"/>
    </row>
    <row r="41">
      <c r="A41" s="8" t="s">
        <v>1928</v>
      </c>
      <c r="B41" s="8" t="s">
        <v>993</v>
      </c>
      <c r="C41" s="37" t="s">
        <v>1929</v>
      </c>
      <c r="D41" s="37" t="s">
        <v>1053</v>
      </c>
      <c r="E41" s="7" t="s">
        <v>1930</v>
      </c>
      <c r="F41" s="37" t="s">
        <v>1053</v>
      </c>
      <c r="T41" s="37" t="s">
        <v>1053</v>
      </c>
      <c r="U41" s="7" t="str">
        <f t="array" ref="U41">XLOOKUP($A41,'source isilon_Projectまとめ'!$A:$A,'source isilon_Projectまとめ'!$C:$C,XLOOKUP($A41,'source NetApp-file-sv01～03-Proj'!$A:$A,'source NetApp-file-sv01～03-Proj'!$D:$D))</f>
        <v>2016/09/05</v>
      </c>
      <c r="V41" s="7" t="str">
        <f t="array" ref="V41">XLOOKUP($A41,'source isilon_Projectまとめ'!$A:$A,'source isilon_Projectまとめ'!$D:$D,XLOOKUP($A41,'source isilon-Project-du'!$A:$A,'source isilon-Project-du'!$C:$C))</f>
        <v>0.01GB</v>
      </c>
      <c r="W41" s="37"/>
    </row>
    <row r="42">
      <c r="A42" s="8" t="s">
        <v>1931</v>
      </c>
      <c r="B42" s="8" t="s">
        <v>2394</v>
      </c>
      <c r="C42" s="37" t="s">
        <v>1389</v>
      </c>
      <c r="D42" s="7" t="s">
        <v>1390</v>
      </c>
      <c r="E42" s="7" t="s">
        <v>1391</v>
      </c>
      <c r="F42" s="37" t="str">
        <f t="array" ref="F42">XLOOKUP(E42,'従業員情報'!$A:$A,'従業員情報'!$N:$N,"×")</f>
        <v>株式会社MIXI/笠原管掌/Vantageスタジオ/Romi事業部/UX企画グループ</v>
      </c>
      <c r="U42" s="7" t="str">
        <f t="array" ref="U42">XLOOKUP($A42,'source isilon_Projectまとめ'!$A:$A,'source isilon_Projectまとめ'!$C:$C,XLOOKUP($A42,'source NetApp-file-sv01～03-Proj'!$A:$A,'source NetApp-file-sv01～03-Proj'!$D:$D))</f>
        <v>2015/01/09</v>
      </c>
      <c r="V42" s="7" t="str">
        <f t="array" ref="V42">XLOOKUP($A42,'source isilon_Projectまとめ'!$A:$A,'source isilon_Projectまとめ'!$D:$D,XLOOKUP($A42,'source isilon-Project-du'!$A:$A,'source isilon-Project-du'!$C:$C))</f>
        <v>0.07GB</v>
      </c>
      <c r="W42" s="37"/>
    </row>
    <row r="43">
      <c r="A43" s="8" t="s">
        <v>1932</v>
      </c>
      <c r="B43" s="8" t="s">
        <v>2394</v>
      </c>
      <c r="C43" s="37" t="s">
        <v>1933</v>
      </c>
      <c r="D43" s="7" t="s">
        <v>422</v>
      </c>
      <c r="E43" s="7" t="s">
        <v>1454</v>
      </c>
      <c r="F43" s="37" t="str">
        <f t="array" ref="F43">XLOOKUP(E43,'従業員情報'!$A:$A,'従業員情報'!$N:$N,"×")</f>
        <v>株式会社MIXI/管掌役員なし/上級執行役員</v>
      </c>
      <c r="G43" s="7" t="s">
        <v>1935</v>
      </c>
      <c r="H43" s="37" t="str">
        <f t="array" ref="H43">XLOOKUP(G43,'従業員情報'!$A:$A,'従業員情報'!$N:$N,"×")</f>
        <v>株式会社MIXI/小林管掌/コンプライアンス本部/法務部/コンプライアンスグループ</v>
      </c>
      <c r="U43" s="7" t="str">
        <f t="array" ref="U43">XLOOKUP($A43,'source isilon_Projectまとめ'!$A:$A,'source isilon_Projectまとめ'!$C:$C,XLOOKUP($A43,'source NetApp-file-sv01～03-Proj'!$A:$A,'source NetApp-file-sv01～03-Proj'!$D:$D))</f>
        <v>#N/A</v>
      </c>
      <c r="V43" s="7" t="str">
        <f t="array" ref="V43">XLOOKUP($A43,'source isilon_Projectまとめ'!$A:$A,'source isilon_Projectまとめ'!$D:$D,XLOOKUP($A43,'source isilon-Project-du'!$A:$A,'source isilon-Project-du'!$C:$C))</f>
        <v>0.00GB</v>
      </c>
      <c r="W43" s="37"/>
    </row>
    <row r="44">
      <c r="A44" s="8" t="s">
        <v>1936</v>
      </c>
      <c r="B44" s="8" t="s">
        <v>993</v>
      </c>
      <c r="C44" s="37" t="s">
        <v>1535</v>
      </c>
      <c r="D44" s="37" t="s">
        <v>1536</v>
      </c>
      <c r="E44" s="7" t="s">
        <v>1537</v>
      </c>
      <c r="F44" s="37" t="s">
        <v>1053</v>
      </c>
      <c r="T44" s="37" t="s">
        <v>1053</v>
      </c>
      <c r="U44" s="7" t="str">
        <f t="array" ref="U44">XLOOKUP($A44,'source isilon_Projectまとめ'!$A:$A,'source isilon_Projectまとめ'!$C:$C,XLOOKUP($A44,'source NetApp-file-sv01～03-Proj'!$A:$A,'source NetApp-file-sv01～03-Proj'!$D:$D))</f>
        <v>2011/12/20</v>
      </c>
      <c r="V44" s="7" t="str">
        <f t="array" ref="V44">XLOOKUP($A44,'source isilon_Projectまとめ'!$A:$A,'source isilon_Projectまとめ'!$D:$D,XLOOKUP($A44,'source isilon-Project-du'!$A:$A,'source isilon-Project-du'!$C:$C))</f>
        <v>0.08GB</v>
      </c>
      <c r="W44" s="37"/>
    </row>
    <row r="45">
      <c r="A45" s="8" t="s">
        <v>1937</v>
      </c>
      <c r="B45" s="8" t="s">
        <v>2394</v>
      </c>
      <c r="C45" s="37" t="s">
        <v>1486</v>
      </c>
      <c r="D45" s="7" t="s">
        <v>1487</v>
      </c>
      <c r="E45" s="7" t="s">
        <v>1488</v>
      </c>
      <c r="F45" s="37" t="str">
        <f t="array" ref="F45">XLOOKUP(E45,'従業員情報'!$A:$A,'従業員情報'!$N:$N,"×")</f>
        <v>株式会社MIXI/村瀨管掌/はたらく環境推進本部/せいかつ環境室/せいかつ環境Aグループ</v>
      </c>
      <c r="U45" s="7" t="str">
        <f t="array" ref="U45">XLOOKUP($A45,'source isilon_Projectまとめ'!$A:$A,'source isilon_Projectまとめ'!$C:$C,XLOOKUP($A45,'source NetApp-file-sv01～03-Proj'!$A:$A,'source NetApp-file-sv01～03-Proj'!$D:$D))</f>
        <v>2015/09/30</v>
      </c>
      <c r="V45" s="7" t="str">
        <f t="array" ref="V45">XLOOKUP($A45,'source isilon_Projectまとめ'!$A:$A,'source isilon_Projectまとめ'!$D:$D,XLOOKUP($A45,'source isilon-Project-du'!$A:$A,'source isilon-Project-du'!$C:$C))</f>
        <v>2.18GB</v>
      </c>
      <c r="W45" s="37"/>
    </row>
    <row r="46">
      <c r="A46" s="8" t="s">
        <v>1237</v>
      </c>
      <c r="B46" s="8" t="s">
        <v>994</v>
      </c>
      <c r="C46" s="37" t="s">
        <v>1053</v>
      </c>
      <c r="E46" s="37" t="s">
        <v>1053</v>
      </c>
      <c r="U46" s="7" t="str">
        <f t="array" ref="U46">XLOOKUP($A46,'source isilon_Projectまとめ'!$A:$A,'source isilon_Projectまとめ'!$C:$C,XLOOKUP($A46,'source NetApp-file-sv01～03-Proj'!$A:$A,'source NetApp-file-sv01～03-Proj'!$D:$D))</f>
        <v>#N/A</v>
      </c>
      <c r="V46" s="7" t="str">
        <f t="array" ref="V46">XLOOKUP($A46,'source isilon_Projectまとめ'!$A:$A,'source isilon_Projectまとめ'!$D:$D,XLOOKUP($A46,'source isilon-Project-du'!$A:$A,'source isilon-Project-du'!$C:$C))</f>
        <v>299.02GB</v>
      </c>
      <c r="W46" s="37"/>
    </row>
    <row r="47">
      <c r="A47" s="8" t="s">
        <v>1938</v>
      </c>
      <c r="B47" s="8" t="s">
        <v>2394</v>
      </c>
      <c r="C47" s="37" t="s">
        <v>1604</v>
      </c>
      <c r="D47" s="7" t="s">
        <v>1605</v>
      </c>
      <c r="E47" s="7" t="s">
        <v>1606</v>
      </c>
      <c r="F47" s="37" t="str">
        <f t="array" ref="F47">XLOOKUP(E47,'従業員情報'!$A:$A,'従業員情報'!$N:$N,"×")</f>
        <v>株式会社MIXI/奥山管掌/ソーシャルベッティング事業本部/チャリ・ロト事業部/ソリューショングループ/管理チーム</v>
      </c>
      <c r="U47" s="7" t="str">
        <f t="array" ref="U47">XLOOKUP($A47,'source isilon_Projectまとめ'!$A:$A,'source isilon_Projectまとめ'!$C:$C,XLOOKUP($A47,'source NetApp-file-sv01～03-Proj'!$A:$A,'source NetApp-file-sv01～03-Proj'!$D:$D))</f>
        <v>2012/10/25</v>
      </c>
      <c r="V47" s="7" t="str">
        <f t="array" ref="V47">XLOOKUP($A47,'source isilon_Projectまとめ'!$A:$A,'source isilon_Projectまとめ'!$D:$D,XLOOKUP($A47,'source isilon-Project-du'!$A:$A,'source isilon-Project-du'!$C:$C))</f>
        <v>0.00GB</v>
      </c>
      <c r="W47" s="37"/>
    </row>
    <row r="48">
      <c r="A48" s="8" t="s">
        <v>1939</v>
      </c>
      <c r="B48" s="8" t="s">
        <v>2394</v>
      </c>
      <c r="C48" s="37" t="s">
        <v>1798</v>
      </c>
      <c r="D48" s="7" t="s">
        <v>1582</v>
      </c>
      <c r="E48" s="7" t="s">
        <v>1583</v>
      </c>
      <c r="F48" s="37" t="str">
        <f t="array" ref="F48">XLOOKUP(E48,'従業員情報'!$A:$A,'従業員情報'!$N:$N,"×")</f>
        <v>株式会社MIXI/村瀨管掌/はたらく環境推進本部/コーポレートエンジニアリング部</v>
      </c>
      <c r="U48" s="7" t="str">
        <f t="array" ref="U48">XLOOKUP($A48,'source isilon_Projectまとめ'!$A:$A,'source isilon_Projectまとめ'!$C:$C,XLOOKUP($A48,'source NetApp-file-sv01～03-Proj'!$A:$A,'source NetApp-file-sv01～03-Proj'!$D:$D))</f>
        <v>2024/04/08</v>
      </c>
      <c r="V48" s="7" t="str">
        <f t="array" ref="V48">XLOOKUP($A48,'source isilon_Projectまとめ'!$A:$A,'source isilon_Projectまとめ'!$D:$D,XLOOKUP($A48,'source isilon-Project-du'!$A:$A,'source isilon-Project-du'!$C:$C))</f>
        <v>0.16GB</v>
      </c>
      <c r="W48" s="37"/>
    </row>
    <row r="49">
      <c r="A49" s="8" t="s">
        <v>1940</v>
      </c>
      <c r="B49" s="8" t="s">
        <v>2394</v>
      </c>
      <c r="C49" s="37" t="s">
        <v>1421</v>
      </c>
      <c r="D49" s="7" t="s">
        <v>1422</v>
      </c>
      <c r="E49" s="7" t="s">
        <v>1423</v>
      </c>
      <c r="F49" s="37" t="str">
        <f t="array" ref="F49">XLOOKUP(E49,'従業員情報'!$A:$A,'従業員情報'!$N:$N,"×")</f>
        <v>株式会社MIXI/笠原管掌/Vantageスタジオ/mixi事業部</v>
      </c>
      <c r="U49" s="7" t="str">
        <f t="array" ref="U49">XLOOKUP($A49,'source isilon_Projectまとめ'!$A:$A,'source isilon_Projectまとめ'!$C:$C,XLOOKUP($A49,'source NetApp-file-sv01～03-Proj'!$A:$A,'source NetApp-file-sv01～03-Proj'!$D:$D))</f>
        <v>2013/10/29</v>
      </c>
      <c r="V49" s="7" t="str">
        <f t="array" ref="V49">XLOOKUP($A49,'source isilon_Projectまとめ'!$A:$A,'source isilon_Projectまとめ'!$D:$D,XLOOKUP($A49,'source isilon-Project-du'!$A:$A,'source isilon-Project-du'!$C:$C))</f>
        <v>0.01GB</v>
      </c>
      <c r="W49" s="37"/>
    </row>
    <row r="50">
      <c r="A50" s="8" t="s">
        <v>1941</v>
      </c>
      <c r="B50" s="8" t="s">
        <v>993</v>
      </c>
      <c r="C50" s="37" t="s">
        <v>1642</v>
      </c>
      <c r="D50" s="37" t="s">
        <v>1536</v>
      </c>
      <c r="E50" s="7" t="s">
        <v>1643</v>
      </c>
      <c r="F50" s="37" t="s">
        <v>1053</v>
      </c>
      <c r="T50" s="37" t="s">
        <v>1053</v>
      </c>
      <c r="U50" s="7" t="str">
        <f t="array" ref="U50">XLOOKUP($A50,'source isilon_Projectまとめ'!$A:$A,'source isilon_Projectまとめ'!$C:$C,XLOOKUP($A50,'source NetApp-file-sv01～03-Proj'!$A:$A,'source NetApp-file-sv01～03-Proj'!$D:$D))</f>
        <v>2014/11/26</v>
      </c>
      <c r="V50" s="7" t="str">
        <f t="array" ref="V50">XLOOKUP($A50,'source isilon_Projectまとめ'!$A:$A,'source isilon_Projectまとめ'!$D:$D,XLOOKUP($A50,'source isilon-Project-du'!$A:$A,'source isilon-Project-du'!$C:$C))</f>
        <v>0.18GB</v>
      </c>
      <c r="W50" s="37"/>
    </row>
    <row r="51">
      <c r="A51" s="8" t="s">
        <v>1942</v>
      </c>
      <c r="B51" s="8" t="s">
        <v>2394</v>
      </c>
      <c r="C51" s="37" t="s">
        <v>1943</v>
      </c>
      <c r="D51" s="7" t="s">
        <v>1768</v>
      </c>
      <c r="E51" s="7" t="s">
        <v>1769</v>
      </c>
      <c r="F51" s="37" t="str">
        <f t="array" ref="F51">XLOOKUP(E51,'従業員情報'!$A:$A,'従業員情報'!$N:$N,"×")</f>
        <v>株式会社MIXI/村瀨管掌/デザイン本部/テクニカルデザイン室/デジタルエンターテインメント支援グループ/2DUI第1チーム</v>
      </c>
      <c r="U51" s="7" t="str">
        <f t="array" ref="U51">XLOOKUP($A51,'source isilon_Projectまとめ'!$A:$A,'source isilon_Projectまとめ'!$C:$C,XLOOKUP($A51,'source NetApp-file-sv01～03-Proj'!$A:$A,'source NetApp-file-sv01～03-Proj'!$D:$D))</f>
        <v>#N/A</v>
      </c>
      <c r="V51" s="7" t="str">
        <f t="array" ref="V51">XLOOKUP($A51,'source isilon_Projectまとめ'!$A:$A,'source isilon_Projectまとめ'!$D:$D,XLOOKUP($A51,'source isilon-Project-du'!$A:$A,'source isilon-Project-du'!$C:$C))</f>
        <v>0.00GB</v>
      </c>
      <c r="W51" s="37"/>
    </row>
    <row r="52">
      <c r="A52" s="8" t="s">
        <v>1944</v>
      </c>
      <c r="B52" s="8" t="s">
        <v>2394</v>
      </c>
      <c r="C52" s="37" t="s">
        <v>1945</v>
      </c>
      <c r="D52" s="7" t="s">
        <v>1582</v>
      </c>
      <c r="E52" s="7" t="s">
        <v>1583</v>
      </c>
      <c r="F52" s="37" t="str">
        <f t="array" ref="F52">XLOOKUP(E52,'従業員情報'!$A:$A,'従業員情報'!$N:$N,"×")</f>
        <v>株式会社MIXI/村瀨管掌/はたらく環境推進本部/コーポレートエンジニアリング部</v>
      </c>
      <c r="U52" s="7" t="str">
        <f t="array" ref="U52">XLOOKUP($A52,'source isilon_Projectまとめ'!$A:$A,'source isilon_Projectまとめ'!$C:$C,XLOOKUP($A52,'source NetApp-file-sv01～03-Proj'!$A:$A,'source NetApp-file-sv01～03-Proj'!$D:$D))</f>
        <v>2019/01/16</v>
      </c>
      <c r="V52" s="7" t="str">
        <f t="array" ref="V52">XLOOKUP($A52,'source isilon_Projectまとめ'!$A:$A,'source isilon_Projectまとめ'!$D:$D,XLOOKUP($A52,'source isilon-Project-du'!$A:$A,'source isilon-Project-du'!$C:$C))</f>
        <v>0.00GB</v>
      </c>
      <c r="W52" s="37"/>
    </row>
    <row r="53">
      <c r="A53" s="8" t="s">
        <v>1946</v>
      </c>
      <c r="B53" s="8" t="s">
        <v>2394</v>
      </c>
      <c r="C53" s="37" t="s">
        <v>1947</v>
      </c>
      <c r="D53" s="7" t="s">
        <v>1656</v>
      </c>
      <c r="E53" s="7" t="s">
        <v>1657</v>
      </c>
      <c r="F53" s="37" t="str">
        <f t="array" ref="F53">XLOOKUP(E53,'従業員情報'!$A:$A,'従業員情報'!$N:$N,"×")</f>
        <v>株式会社MIXI/島村管掌/人事本部/労務部</v>
      </c>
      <c r="U53" s="7" t="str">
        <f t="array" ref="U53">XLOOKUP($A53,'source isilon_Projectまとめ'!$A:$A,'source isilon_Projectまとめ'!$C:$C,XLOOKUP($A53,'source NetApp-file-sv01～03-Proj'!$A:$A,'source NetApp-file-sv01～03-Proj'!$D:$D))</f>
        <v>2020/05/25</v>
      </c>
      <c r="V53" s="7" t="str">
        <f t="array" ref="V53">XLOOKUP($A53,'source isilon_Projectまとめ'!$A:$A,'source isilon_Projectまとめ'!$D:$D,XLOOKUP($A53,'source isilon-Project-du'!$A:$A,'source isilon-Project-du'!$C:$C))</f>
        <v>0.00GB</v>
      </c>
      <c r="W53" s="37"/>
    </row>
    <row r="54">
      <c r="A54" s="8" t="s">
        <v>1948</v>
      </c>
      <c r="B54" s="8" t="s">
        <v>2394</v>
      </c>
      <c r="C54" s="37" t="s">
        <v>1949</v>
      </c>
      <c r="D54" s="7" t="s">
        <v>1950</v>
      </c>
      <c r="E54" s="7" t="s">
        <v>1951</v>
      </c>
      <c r="F54" s="37" t="str">
        <f t="array" ref="F54">XLOOKUP(E54,'従業員情報'!$A:$A,'従業員情報'!$N:$N,"×")</f>
        <v>株式会社MIXI/島村管掌/人事本部/労務部/ウェルネス推進グループ/保健衛生チーム</v>
      </c>
      <c r="U54" s="7" t="str">
        <f t="array" ref="U54">XLOOKUP($A54,'source isilon_Projectまとめ'!$A:$A,'source isilon_Projectまとめ'!$C:$C,XLOOKUP($A54,'source NetApp-file-sv01～03-Proj'!$A:$A,'source NetApp-file-sv01～03-Proj'!$D:$D))</f>
        <v>2025/02/21</v>
      </c>
      <c r="V54" s="7" t="str">
        <f t="array" ref="V54">XLOOKUP($A54,'source isilon_Projectまとめ'!$A:$A,'source isilon_Projectまとめ'!$D:$D,XLOOKUP($A54,'source isilon-Project-du'!$A:$A,'source isilon-Project-du'!$C:$C))</f>
        <v>1.47GB</v>
      </c>
      <c r="W54" s="37"/>
    </row>
    <row r="55">
      <c r="A55" s="8" t="s">
        <v>1952</v>
      </c>
      <c r="B55" s="8" t="s">
        <v>2394</v>
      </c>
      <c r="C55" s="37" t="s">
        <v>1798</v>
      </c>
      <c r="D55" s="7" t="s">
        <v>1582</v>
      </c>
      <c r="E55" s="7" t="s">
        <v>1583</v>
      </c>
      <c r="F55" s="37" t="str">
        <f t="array" ref="F55">XLOOKUP(E55,'従業員情報'!$A:$A,'従業員情報'!$N:$N,"×")</f>
        <v>株式会社MIXI/村瀨管掌/はたらく環境推進本部/コーポレートエンジニアリング部</v>
      </c>
      <c r="U55" s="7" t="str">
        <f t="array" ref="U55">XLOOKUP($A55,'source isilon_Projectまとめ'!$A:$A,'source isilon_Projectまとめ'!$C:$C,XLOOKUP($A55,'source NetApp-file-sv01～03-Proj'!$A:$A,'source NetApp-file-sv01～03-Proj'!$D:$D))</f>
        <v>2025/03/19</v>
      </c>
      <c r="V55" s="7" t="str">
        <f t="array" ref="V55">XLOOKUP($A55,'source isilon_Projectまとめ'!$A:$A,'source isilon_Projectまとめ'!$D:$D,XLOOKUP($A55,'source isilon-Project-du'!$A:$A,'source isilon-Project-du'!$C:$C))</f>
        <v>5.74GB</v>
      </c>
      <c r="W55" s="37"/>
    </row>
    <row r="56">
      <c r="A56" s="8" t="s">
        <v>1953</v>
      </c>
      <c r="B56" s="8" t="s">
        <v>2394</v>
      </c>
      <c r="C56" s="37" t="s">
        <v>1564</v>
      </c>
      <c r="D56" s="7" t="s">
        <v>1565</v>
      </c>
      <c r="E56" s="7" t="s">
        <v>1566</v>
      </c>
      <c r="F56" s="37" t="str">
        <f t="array" ref="F56">XLOOKUP(E56,'従業員情報'!$A:$A,'従業員情報'!$N:$N,"×")</f>
        <v>株式会社MIXI/木村管掌/デジタルエンターテインメントオペレーションズ本部/モンスト開発部/QAグループ/QA3チーム</v>
      </c>
      <c r="U56" s="7" t="str">
        <f t="array" ref="U56">XLOOKUP($A56,'source isilon_Projectまとめ'!$A:$A,'source isilon_Projectまとめ'!$C:$C,XLOOKUP($A56,'source NetApp-file-sv01～03-Proj'!$A:$A,'source NetApp-file-sv01～03-Proj'!$D:$D))</f>
        <v>2017/12/13</v>
      </c>
      <c r="V56" s="7" t="str">
        <f t="array" ref="V56">XLOOKUP($A56,'source isilon_Projectまとめ'!$A:$A,'source isilon_Projectまとめ'!$D:$D,XLOOKUP($A56,'source isilon-Project-du'!$A:$A,'source isilon-Project-du'!$C:$C))</f>
        <v>10.40GB</v>
      </c>
      <c r="W56" s="37"/>
    </row>
    <row r="57">
      <c r="A57" s="8" t="s">
        <v>1954</v>
      </c>
      <c r="B57" s="8" t="s">
        <v>992</v>
      </c>
      <c r="C57" s="37" t="s">
        <v>1955</v>
      </c>
      <c r="D57" s="37" t="s">
        <v>1053</v>
      </c>
      <c r="E57" s="7" t="s">
        <v>1956</v>
      </c>
      <c r="F57" s="37" t="str">
        <f t="array" ref="F57">XLOOKUP(E57,'退職者'!$C:$C,'退職者'!$A:$A,"×")</f>
        <v>ﾌｧﾝｺﾐｭﾆｹｰｼｮﾝ部</v>
      </c>
      <c r="G57" s="7" t="s">
        <v>1552</v>
      </c>
      <c r="H57" s="37" t="s">
        <v>1053</v>
      </c>
      <c r="U57" s="7" t="str">
        <f t="array" ref="U57">XLOOKUP($A57,'source isilon_Projectまとめ'!$A:$A,'source isilon_Projectまとめ'!$C:$C,XLOOKUP($A57,'source NetApp-file-sv01～03-Proj'!$A:$A,'source NetApp-file-sv01～03-Proj'!$D:$D))</f>
        <v>2017/10/02</v>
      </c>
      <c r="V57" s="7" t="str">
        <f t="array" ref="V57">XLOOKUP($A57,'source isilon_Projectまとめ'!$A:$A,'source isilon_Projectまとめ'!$D:$D,XLOOKUP($A57,'source isilon-Project-du'!$A:$A,'source isilon-Project-du'!$C:$C))</f>
        <v>2.28GB</v>
      </c>
      <c r="W57" s="37"/>
    </row>
    <row r="58">
      <c r="A58" s="8" t="s">
        <v>1957</v>
      </c>
      <c r="B58" s="8" t="s">
        <v>993</v>
      </c>
      <c r="C58" s="37" t="s">
        <v>1642</v>
      </c>
      <c r="D58" s="37" t="s">
        <v>1536</v>
      </c>
      <c r="E58" s="7" t="s">
        <v>1643</v>
      </c>
      <c r="F58" s="37" t="s">
        <v>1053</v>
      </c>
      <c r="T58" s="37" t="s">
        <v>1053</v>
      </c>
      <c r="U58" s="7" t="str">
        <f t="array" ref="U58">XLOOKUP($A58,'source isilon_Projectまとめ'!$A:$A,'source isilon_Projectまとめ'!$C:$C,XLOOKUP($A58,'source NetApp-file-sv01～03-Proj'!$A:$A,'source NetApp-file-sv01～03-Proj'!$D:$D))</f>
        <v>2016/02/01</v>
      </c>
      <c r="V58" s="7" t="str">
        <f t="array" ref="V58">XLOOKUP($A58,'source isilon_Projectまとめ'!$A:$A,'source isilon_Projectまとめ'!$D:$D,XLOOKUP($A58,'source isilon-Project-du'!$A:$A,'source isilon-Project-du'!$C:$C))</f>
        <v>0.90GB</v>
      </c>
      <c r="W58" s="37"/>
    </row>
    <row r="59">
      <c r="A59" s="8" t="s">
        <v>1958</v>
      </c>
      <c r="B59" s="8" t="s">
        <v>993</v>
      </c>
      <c r="C59" s="7" t="s">
        <v>1875</v>
      </c>
      <c r="D59" s="37" t="s">
        <v>1536</v>
      </c>
      <c r="E59" s="7" t="s">
        <v>1876</v>
      </c>
      <c r="F59" s="37" t="s">
        <v>1053</v>
      </c>
      <c r="G59" s="7" t="s">
        <v>1473</v>
      </c>
      <c r="H59" s="37" t="s">
        <v>1065</v>
      </c>
      <c r="T59" s="37" t="s">
        <v>1065</v>
      </c>
      <c r="U59" s="7" t="str">
        <f t="array" ref="U59">XLOOKUP($A59,'source isilon_Projectまとめ'!$A:$A,'source isilon_Projectまとめ'!$C:$C,XLOOKUP($A59,'source NetApp-file-sv01～03-Proj'!$A:$A,'source NetApp-file-sv01～03-Proj'!$D:$D))</f>
        <v>2011/01/18</v>
      </c>
      <c r="V59" s="7" t="str">
        <f t="array" ref="V59">XLOOKUP($A59,'source isilon_Projectまとめ'!$A:$A,'source isilon_Projectまとめ'!$D:$D,XLOOKUP($A59,'source isilon-Project-du'!$A:$A,'source isilon-Project-du'!$C:$C))</f>
        <v>0.03GB</v>
      </c>
      <c r="W59" s="37"/>
    </row>
    <row r="60">
      <c r="A60" s="8" t="s">
        <v>1959</v>
      </c>
      <c r="B60" s="8" t="s">
        <v>992</v>
      </c>
      <c r="C60" s="37" t="s">
        <v>1960</v>
      </c>
      <c r="D60" s="37" t="s">
        <v>1358</v>
      </c>
      <c r="E60" s="7" t="s">
        <v>1773</v>
      </c>
      <c r="F60" s="37" t="s">
        <v>1358</v>
      </c>
      <c r="T60" s="37" t="s">
        <v>1053</v>
      </c>
      <c r="U60" s="7" t="str">
        <f t="array" ref="U60">XLOOKUP($A60,'source isilon_Projectまとめ'!$A:$A,'source isilon_Projectまとめ'!$C:$C,XLOOKUP($A60,'source NetApp-file-sv01～03-Proj'!$A:$A,'source NetApp-file-sv01～03-Proj'!$D:$D))</f>
        <v>2009/12/25</v>
      </c>
      <c r="V60" s="7" t="str">
        <f t="array" ref="V60">XLOOKUP($A60,'source isilon_Projectまとめ'!$A:$A,'source isilon_Projectまとめ'!$D:$D,XLOOKUP($A60,'source isilon-Project-du'!$A:$A,'source isilon-Project-du'!$C:$C))</f>
        <v>0.00GB</v>
      </c>
      <c r="W60" s="37"/>
    </row>
    <row r="61">
      <c r="A61" s="8" t="s">
        <v>1961</v>
      </c>
      <c r="B61" s="8" t="s">
        <v>2394</v>
      </c>
      <c r="C61" s="37" t="s">
        <v>1962</v>
      </c>
      <c r="D61" s="7" t="s">
        <v>1963</v>
      </c>
      <c r="E61" s="7" t="s">
        <v>1964</v>
      </c>
      <c r="F61" s="37" t="str">
        <f t="array" ref="F61">XLOOKUP(E61,'従業員情報'!$A:$A,'従業員情報'!$N:$N,"×")</f>
        <v>株式会社MIXI/木村管掌/デジタルエンターテインメントオペレーションズ本部/事業戦略部/メタストグループ</v>
      </c>
      <c r="U61" s="7" t="str">
        <f t="array" ref="U61">XLOOKUP($A61,'source isilon_Projectまとめ'!$A:$A,'source isilon_Projectまとめ'!$C:$C,XLOOKUP($A61,'source NetApp-file-sv01～03-Proj'!$A:$A,'source NetApp-file-sv01～03-Proj'!$D:$D))</f>
        <v>2014/09/08</v>
      </c>
      <c r="V61" s="7" t="str">
        <f t="array" ref="V61">XLOOKUP($A61,'source isilon_Projectまとめ'!$A:$A,'source isilon_Projectまとめ'!$D:$D,XLOOKUP($A61,'source isilon-Project-du'!$A:$A,'source isilon-Project-du'!$C:$C))</f>
        <v>0.00GB</v>
      </c>
      <c r="W61" s="37"/>
    </row>
    <row r="62">
      <c r="A62" s="8" t="s">
        <v>1965</v>
      </c>
      <c r="B62" s="8" t="s">
        <v>2394</v>
      </c>
      <c r="C62" s="37" t="s">
        <v>1966</v>
      </c>
      <c r="D62" s="7" t="s">
        <v>1582</v>
      </c>
      <c r="E62" s="7" t="s">
        <v>1967</v>
      </c>
      <c r="F62" s="37" t="str">
        <f t="array" ref="F62">XLOOKUP(E62,'従業員情報'!$A:$A,'従業員情報'!$N:$N,"×")</f>
        <v>株式会社MIXI/村瀨管掌/はたらく環境推進本部/コーポレートエンジニアリング部</v>
      </c>
      <c r="U62" s="7" t="str">
        <f t="array" ref="U62">XLOOKUP($A62,'source isilon_Projectまとめ'!$A:$A,'source isilon_Projectまとめ'!$C:$C,XLOOKUP($A62,'source NetApp-file-sv01～03-Proj'!$A:$A,'source NetApp-file-sv01～03-Proj'!$D:$D))</f>
        <v>2016/12/08</v>
      </c>
      <c r="V62" s="7" t="str">
        <f t="array" ref="V62">XLOOKUP($A62,'source isilon_Projectまとめ'!$A:$A,'source isilon_Projectまとめ'!$D:$D,XLOOKUP($A62,'source isilon-Project-du'!$A:$A,'source isilon-Project-du'!$C:$C))</f>
        <v>2822.21GB</v>
      </c>
      <c r="W62" s="37"/>
    </row>
    <row r="63">
      <c r="A63" s="8" t="s">
        <v>1968</v>
      </c>
      <c r="B63" s="8" t="s">
        <v>993</v>
      </c>
      <c r="C63" s="37" t="s">
        <v>1642</v>
      </c>
      <c r="D63" s="37" t="s">
        <v>1536</v>
      </c>
      <c r="E63" s="7" t="s">
        <v>1643</v>
      </c>
      <c r="F63" s="37" t="s">
        <v>1053</v>
      </c>
      <c r="T63" s="37" t="s">
        <v>1053</v>
      </c>
      <c r="U63" s="7" t="str">
        <f t="array" ref="U63">XLOOKUP($A63,'source isilon_Projectまとめ'!$A:$A,'source isilon_Projectまとめ'!$C:$C,XLOOKUP($A63,'source NetApp-file-sv01～03-Proj'!$A:$A,'source NetApp-file-sv01～03-Proj'!$D:$D))</f>
        <v>2014/08/05</v>
      </c>
      <c r="V63" s="7" t="str">
        <f t="array" ref="V63">XLOOKUP($A63,'source isilon_Projectまとめ'!$A:$A,'source isilon_Projectまとめ'!$D:$D,XLOOKUP($A63,'source isilon-Project-du'!$A:$A,'source isilon-Project-du'!$C:$C))</f>
        <v>0.03GB</v>
      </c>
      <c r="W63" s="37"/>
    </row>
    <row r="64">
      <c r="A64" s="8" t="s">
        <v>1969</v>
      </c>
      <c r="B64" s="8" t="s">
        <v>2394</v>
      </c>
      <c r="C64" s="37" t="s">
        <v>1970</v>
      </c>
      <c r="D64" s="7" t="s">
        <v>1656</v>
      </c>
      <c r="E64" s="7" t="s">
        <v>1657</v>
      </c>
      <c r="F64" s="37" t="str">
        <f t="array" ref="F64">XLOOKUP(E64,'従業員情報'!$A:$A,'従業員情報'!$N:$N,"×")</f>
        <v>株式会社MIXI/島村管掌/人事本部/労務部</v>
      </c>
      <c r="U64" s="7" t="str">
        <f t="array" ref="U64">XLOOKUP($A64,'source isilon_Projectまとめ'!$A:$A,'source isilon_Projectまとめ'!$C:$C,XLOOKUP($A64,'source NetApp-file-sv01～03-Proj'!$A:$A,'source NetApp-file-sv01～03-Proj'!$D:$D))</f>
        <v>2023/11/01</v>
      </c>
      <c r="V64" s="7" t="str">
        <f t="array" ref="V64">XLOOKUP($A64,'source isilon_Projectまとめ'!$A:$A,'source isilon_Projectまとめ'!$D:$D,XLOOKUP($A64,'source isilon-Project-du'!$A:$A,'source isilon-Project-du'!$C:$C))</f>
        <v>2.03GB</v>
      </c>
      <c r="W64" s="37"/>
    </row>
    <row r="65">
      <c r="A65" s="8" t="s">
        <v>1971</v>
      </c>
      <c r="B65" s="8" t="s">
        <v>2394</v>
      </c>
      <c r="C65" s="37" t="s">
        <v>1972</v>
      </c>
      <c r="D65" s="7" t="s">
        <v>1973</v>
      </c>
      <c r="E65" s="7" t="s">
        <v>1974</v>
      </c>
      <c r="F65" s="37" t="str">
        <f t="array" ref="F65">XLOOKUP(E65,'従業員情報'!$A:$A,'従業員情報'!$N:$N,"×")</f>
        <v>株式会社MIXI/島村管掌/人事本部/労務部/労務管理第1グループ</v>
      </c>
      <c r="U65" s="7" t="str">
        <f t="array" ref="U65">XLOOKUP($A65,'source isilon_Projectまとめ'!$A:$A,'source isilon_Projectまとめ'!$C:$C,XLOOKUP($A65,'source NetApp-file-sv01～03-Proj'!$A:$A,'source NetApp-file-sv01～03-Proj'!$D:$D))</f>
        <v>2025/03/12</v>
      </c>
      <c r="V65" s="7" t="str">
        <f t="array" ref="V65">XLOOKUP($A65,'source isilon_Projectまとめ'!$A:$A,'source isilon_Projectまとめ'!$D:$D,XLOOKUP($A65,'source isilon-Project-du'!$A:$A,'source isilon-Project-du'!$C:$C))</f>
        <v>0.00GB</v>
      </c>
      <c r="W65" s="37"/>
    </row>
    <row r="66">
      <c r="A66" s="8" t="s">
        <v>1975</v>
      </c>
      <c r="B66" s="8" t="s">
        <v>993</v>
      </c>
      <c r="C66" s="7" t="s">
        <v>1875</v>
      </c>
      <c r="D66" s="37" t="s">
        <v>1536</v>
      </c>
      <c r="E66" s="7" t="s">
        <v>1876</v>
      </c>
      <c r="F66" s="37" t="s">
        <v>1053</v>
      </c>
      <c r="G66" s="7" t="s">
        <v>1473</v>
      </c>
      <c r="H66" s="37" t="s">
        <v>1065</v>
      </c>
      <c r="T66" s="37" t="s">
        <v>1065</v>
      </c>
      <c r="U66" s="7" t="str">
        <f t="array" ref="U66">XLOOKUP($A66,'source isilon_Projectまとめ'!$A:$A,'source isilon_Projectまとめ'!$C:$C,XLOOKUP($A66,'source NetApp-file-sv01～03-Proj'!$A:$A,'source NetApp-file-sv01～03-Proj'!$D:$D))</f>
        <v>2009/12/21</v>
      </c>
      <c r="V66" s="7" t="str">
        <f t="array" ref="V66">XLOOKUP($A66,'source isilon_Projectまとめ'!$A:$A,'source isilon_Projectまとめ'!$D:$D,XLOOKUP($A66,'source isilon-Project-du'!$A:$A,'source isilon-Project-du'!$C:$C))</f>
        <v>0.04GB</v>
      </c>
      <c r="W66" s="37"/>
    </row>
    <row r="67">
      <c r="A67" s="8" t="s">
        <v>1976</v>
      </c>
      <c r="B67" s="8" t="s">
        <v>2394</v>
      </c>
      <c r="C67" s="7" t="s">
        <v>1977</v>
      </c>
      <c r="D67" s="7" t="s">
        <v>1978</v>
      </c>
      <c r="E67" s="7" t="s">
        <v>1979</v>
      </c>
      <c r="F67" s="37" t="str">
        <f t="array" ref="F67">XLOOKUP(E67,'従業員情報'!$A:$A,'従業員情報'!$N:$N,"×")</f>
        <v>株式会社MIXI/木村管掌/デジタルエンターテインメントオペレーションズ本部/ファンマーケティング部/ライセンスグループ</v>
      </c>
      <c r="U67" s="7" t="str">
        <f t="array" ref="U67">XLOOKUP($A67,'source isilon_Projectまとめ'!$A:$A,'source isilon_Projectまとめ'!$C:$C,XLOOKUP($A67,'source NetApp-file-sv01～03-Proj'!$A:$A,'source NetApp-file-sv01～03-Proj'!$D:$D))</f>
        <v>2022/01/06</v>
      </c>
      <c r="V67" s="7" t="str">
        <f t="array" ref="V67">XLOOKUP($A67,'source isilon_Projectまとめ'!$A:$A,'source isilon_Projectまとめ'!$D:$D,XLOOKUP($A67,'source isilon-Project-du'!$A:$A,'source isilon-Project-du'!$C:$C))</f>
        <v>0.00GB</v>
      </c>
      <c r="W67" s="37"/>
    </row>
    <row r="68">
      <c r="A68" s="8" t="s">
        <v>1980</v>
      </c>
      <c r="B68" s="8" t="s">
        <v>994</v>
      </c>
      <c r="C68" s="37" t="s">
        <v>1053</v>
      </c>
      <c r="E68" s="37" t="s">
        <v>1053</v>
      </c>
      <c r="U68" s="7" t="str">
        <f t="array" ref="U68">XLOOKUP($A68,'source isilon_Projectまとめ'!$A:$A,'source isilon_Projectまとめ'!$C:$C,XLOOKUP($A68,'source NetApp-file-sv01～03-Proj'!$A:$A,'source NetApp-file-sv01～03-Proj'!$D:$D))</f>
        <v>#N/A</v>
      </c>
      <c r="V68" s="7" t="str">
        <f t="array" ref="V68">XLOOKUP($A68,'source isilon_Projectまとめ'!$A:$A,'source isilon_Projectまとめ'!$D:$D,XLOOKUP($A68,'source isilon-Project-du'!$A:$A,'source isilon-Project-du'!$C:$C))</f>
        <v>#N/A</v>
      </c>
      <c r="W68" s="7" t="s">
        <v>2081</v>
      </c>
    </row>
    <row r="69">
      <c r="A69" s="8" t="s">
        <v>1981</v>
      </c>
      <c r="B69" s="8" t="s">
        <v>2394</v>
      </c>
      <c r="C69" s="37" t="s">
        <v>1374</v>
      </c>
      <c r="D69" s="7" t="s">
        <v>420</v>
      </c>
      <c r="E69" s="7" t="s">
        <v>1375</v>
      </c>
      <c r="F69" s="37" t="str">
        <f t="array" ref="F69">XLOOKUP(E69,'従業員情報'!$A:$A,'従業員情報'!$N:$N,"×")</f>
        <v>株式会社MIXI/管掌役員なし/取締役</v>
      </c>
      <c r="U69" s="7" t="str">
        <f t="array" ref="U69">XLOOKUP($A69,'source isilon_Projectまとめ'!$A:$A,'source isilon_Projectまとめ'!$C:$C,XLOOKUP($A69,'source NetApp-file-sv01～03-Proj'!$A:$A,'source NetApp-file-sv01～03-Proj'!$D:$D))</f>
        <v>2018/03/15</v>
      </c>
      <c r="V69" s="7" t="str">
        <f t="array" ref="V69">XLOOKUP($A69,'source isilon_Projectまとめ'!$A:$A,'source isilon_Projectまとめ'!$D:$D,XLOOKUP($A69,'source isilon-Project-du'!$A:$A,'source isilon-Project-du'!$C:$C))</f>
        <v>5.16GB</v>
      </c>
      <c r="W69" s="37"/>
    </row>
    <row r="70">
      <c r="A70" s="8" t="s">
        <v>1982</v>
      </c>
      <c r="B70" s="8" t="s">
        <v>992</v>
      </c>
      <c r="C70" s="37" t="s">
        <v>1983</v>
      </c>
      <c r="D70" s="37" t="s">
        <v>1053</v>
      </c>
      <c r="E70" s="7" t="s">
        <v>1984</v>
      </c>
      <c r="F70" s="37" t="str">
        <f t="array" ref="F70">XLOOKUP(E70,'退職者'!$C:$C,'退職者'!$A:$A,"×")</f>
        <v>労務部</v>
      </c>
      <c r="G70" s="7" t="s">
        <v>1986</v>
      </c>
      <c r="H70" s="37" t="s">
        <v>1053</v>
      </c>
      <c r="U70" s="7" t="str">
        <f t="array" ref="U70">XLOOKUP($A70,'source isilon_Projectまとめ'!$A:$A,'source isilon_Projectまとめ'!$C:$C,XLOOKUP($A70,'source NetApp-file-sv01～03-Proj'!$A:$A,'source NetApp-file-sv01～03-Proj'!$D:$D))</f>
        <v>2025/03/19</v>
      </c>
      <c r="V70" s="7" t="str">
        <f t="array" ref="V70">XLOOKUP($A70,'source isilon_Projectまとめ'!$A:$A,'source isilon_Projectまとめ'!$D:$D,XLOOKUP($A70,'source isilon-Project-du'!$A:$A,'source isilon-Project-du'!$C:$C))</f>
        <v>0.09GB</v>
      </c>
      <c r="W70" s="37"/>
    </row>
    <row r="71">
      <c r="A71" s="8" t="s">
        <v>1324</v>
      </c>
      <c r="B71" s="8" t="s">
        <v>2394</v>
      </c>
      <c r="C71" s="37" t="s">
        <v>1726</v>
      </c>
      <c r="D71" s="7" t="s">
        <v>1727</v>
      </c>
      <c r="E71" s="7" t="s">
        <v>1728</v>
      </c>
      <c r="F71" s="37" t="str">
        <f t="array" ref="F71">XLOOKUP(E71,'従業員情報'!$A:$A,'従業員情報'!$N:$N,"×")</f>
        <v>株式会社MIXI/島村管掌/人事本部/組織戦略部/事業HRBPグループ</v>
      </c>
      <c r="U71" s="7" t="str">
        <f t="array" ref="U71">XLOOKUP($A71,'source isilon_Projectまとめ'!$A:$A,'source isilon_Projectまとめ'!$C:$C,XLOOKUP($A71,'source NetApp-file-sv01～03-Proj'!$A:$A,'source NetApp-file-sv01～03-Proj'!$D:$D))</f>
        <v>2024/09/10</v>
      </c>
      <c r="V71" s="7" t="str">
        <f t="array" ref="V71">XLOOKUP($A71,'source isilon_Projectまとめ'!$A:$A,'source isilon_Projectまとめ'!$D:$D,XLOOKUP($A71,'source isilon-Project-du'!$A:$A,'source isilon-Project-du'!$C:$C))</f>
        <v>0.77GB</v>
      </c>
      <c r="W71" s="37"/>
    </row>
    <row r="72">
      <c r="A72" s="8" t="s">
        <v>1987</v>
      </c>
      <c r="B72" s="8" t="s">
        <v>2394</v>
      </c>
      <c r="C72" s="37" t="s">
        <v>1663</v>
      </c>
      <c r="D72" s="7" t="s">
        <v>1664</v>
      </c>
      <c r="E72" s="7" t="s">
        <v>1665</v>
      </c>
      <c r="F72" s="37" t="str">
        <f t="array" ref="F72">XLOOKUP(E72,'従業員情報'!$A:$A,'従業員情報'!$N:$N,"×")</f>
        <v>株式会社MIXI/笠原管掌/Vantageスタジオ/mixi事業部/パートナービジネスグループ</v>
      </c>
      <c r="U72" s="7" t="str">
        <f t="array" ref="U72">XLOOKUP($A72,'source isilon_Projectまとめ'!$A:$A,'source isilon_Projectまとめ'!$C:$C,XLOOKUP($A72,'source NetApp-file-sv01～03-Proj'!$A:$A,'source NetApp-file-sv01～03-Proj'!$D:$D))</f>
        <v>2025/02/25</v>
      </c>
      <c r="V72" s="7" t="str">
        <f t="array" ref="V72">XLOOKUP($A72,'source isilon_Projectまとめ'!$A:$A,'source isilon_Projectまとめ'!$D:$D,XLOOKUP($A72,'source isilon-Project-du'!$A:$A,'source isilon-Project-du'!$C:$C))</f>
        <v>0.58GB</v>
      </c>
      <c r="W72" s="37"/>
    </row>
    <row r="73">
      <c r="A73" s="8" t="s">
        <v>1988</v>
      </c>
      <c r="B73" s="8" t="s">
        <v>2394</v>
      </c>
      <c r="C73" s="37" t="s">
        <v>1377</v>
      </c>
      <c r="D73" s="7" t="s">
        <v>1378</v>
      </c>
      <c r="E73" s="7" t="s">
        <v>1379</v>
      </c>
      <c r="F73" s="37" t="str">
        <f t="array" ref="F73">XLOOKUP(E73,'従業員情報'!$A:$A,'従業員情報'!$N:$N,"×")</f>
        <v>株式会社MIXI/島村管掌/コーポレートファイナンス本部/経理税務部/経理グループ</v>
      </c>
      <c r="U73" s="7" t="str">
        <f t="array" ref="U73">XLOOKUP($A73,'source isilon_Projectまとめ'!$A:$A,'source isilon_Projectまとめ'!$C:$C,XLOOKUP($A73,'source NetApp-file-sv01～03-Proj'!$A:$A,'source NetApp-file-sv01～03-Proj'!$D:$D))</f>
        <v>2025/03/18</v>
      </c>
      <c r="V73" s="7" t="str">
        <f t="array" ref="V73">XLOOKUP($A73,'source isilon_Projectまとめ'!$A:$A,'source isilon_Projectまとめ'!$D:$D,XLOOKUP($A73,'source isilon-Project-du'!$A:$A,'source isilon-Project-du'!$C:$C))</f>
        <v>189.59GB</v>
      </c>
      <c r="W73" s="37"/>
    </row>
    <row r="74">
      <c r="A74" s="8" t="s">
        <v>1989</v>
      </c>
      <c r="B74" s="8" t="s">
        <v>2394</v>
      </c>
      <c r="C74" s="37" t="s">
        <v>1525</v>
      </c>
      <c r="D74" s="7" t="s">
        <v>1524</v>
      </c>
      <c r="E74" s="7" t="s">
        <v>1990</v>
      </c>
      <c r="F74" s="37" t="str">
        <f t="array" ref="F74">XLOOKUP(E74,'従業員情報'!$A:$A,'従業員情報'!$N:$N,"×")</f>
        <v>株式会社MIXI/島村管掌/人事本部/MCS室</v>
      </c>
      <c r="U74" s="7" t="str">
        <f t="array" ref="U74">XLOOKUP($A74,'source isilon_Projectまとめ'!$A:$A,'source isilon_Projectまとめ'!$C:$C,XLOOKUP($A74,'source NetApp-file-sv01～03-Proj'!$A:$A,'source NetApp-file-sv01～03-Proj'!$D:$D))</f>
        <v>2015/08/12</v>
      </c>
      <c r="V74" s="7" t="str">
        <f t="array" ref="V74">XLOOKUP($A74,'source isilon_Projectまとめ'!$A:$A,'source isilon_Projectまとめ'!$D:$D,XLOOKUP($A74,'source isilon-Project-du'!$A:$A,'source isilon-Project-du'!$C:$C))</f>
        <v>0.53GB</v>
      </c>
      <c r="W74" s="37"/>
    </row>
    <row r="75">
      <c r="A75" s="8" t="s">
        <v>1991</v>
      </c>
      <c r="B75" s="8" t="s">
        <v>2394</v>
      </c>
      <c r="C75" s="37" t="s">
        <v>1992</v>
      </c>
      <c r="D75" s="7" t="s">
        <v>1993</v>
      </c>
      <c r="E75" s="7" t="s">
        <v>1994</v>
      </c>
      <c r="F75" s="37" t="str">
        <f t="array" ref="F75">XLOOKUP(E75,'従業員情報'!$A:$A,'従業員情報'!$N:$N,"×")</f>
        <v>株式会社MIXI/島村管掌/人事本部/エンパワーメント推進室/企画管理グループ</v>
      </c>
      <c r="U75" s="7" t="str">
        <f t="array" ref="U75">XLOOKUP($A75,'source isilon_Projectまとめ'!$A:$A,'source isilon_Projectまとめ'!$C:$C,XLOOKUP($A75,'source NetApp-file-sv01～03-Proj'!$A:$A,'source NetApp-file-sv01～03-Proj'!$D:$D))</f>
        <v>2025/03/04</v>
      </c>
      <c r="V75" s="7" t="str">
        <f t="array" ref="V75">XLOOKUP($A75,'source isilon_Projectまとめ'!$A:$A,'source isilon_Projectまとめ'!$D:$D,XLOOKUP($A75,'source isilon-Project-du'!$A:$A,'source isilon-Project-du'!$C:$C))</f>
        <v>0.09GB</v>
      </c>
      <c r="W75" s="37"/>
    </row>
    <row r="76">
      <c r="A76" s="8" t="s">
        <v>1995</v>
      </c>
      <c r="B76" s="8" t="s">
        <v>2394</v>
      </c>
      <c r="C76" s="37" t="s">
        <v>1374</v>
      </c>
      <c r="D76" s="7" t="s">
        <v>420</v>
      </c>
      <c r="E76" s="7" t="s">
        <v>1375</v>
      </c>
      <c r="F76" s="37" t="str">
        <f t="array" ref="F76">XLOOKUP(E76,'従業員情報'!$A:$A,'従業員情報'!$N:$N,"×")</f>
        <v>株式会社MIXI/管掌役員なし/取締役</v>
      </c>
      <c r="U76" s="7" t="str">
        <f t="array" ref="U76">XLOOKUP($A76,'source isilon_Projectまとめ'!$A:$A,'source isilon_Projectまとめ'!$C:$C,XLOOKUP($A76,'source NetApp-file-sv01～03-Proj'!$A:$A,'source NetApp-file-sv01～03-Proj'!$D:$D))</f>
        <v>2038/01/19</v>
      </c>
      <c r="V76" s="7" t="str">
        <f t="array" ref="V76">XLOOKUP($A76,'source isilon_Projectまとめ'!$A:$A,'source isilon_Projectまとめ'!$D:$D,XLOOKUP($A76,'source isilon-Project-du'!$A:$A,'source isilon-Project-du'!$C:$C))</f>
        <v>5.98GB</v>
      </c>
      <c r="W76" s="37"/>
    </row>
    <row r="77">
      <c r="A77" s="8" t="s">
        <v>1996</v>
      </c>
      <c r="B77" s="8" t="s">
        <v>993</v>
      </c>
      <c r="C77" s="37" t="s">
        <v>1997</v>
      </c>
      <c r="D77" s="37" t="s">
        <v>1053</v>
      </c>
      <c r="E77" s="7" t="s">
        <v>1998</v>
      </c>
      <c r="F77" s="37" t="s">
        <v>1053</v>
      </c>
      <c r="T77" s="37" t="s">
        <v>1053</v>
      </c>
      <c r="U77" s="7" t="str">
        <f t="array" ref="U77">XLOOKUP($A77,'source isilon_Projectまとめ'!$A:$A,'source isilon_Projectまとめ'!$C:$C,XLOOKUP($A77,'source NetApp-file-sv01～03-Proj'!$A:$A,'source NetApp-file-sv01～03-Proj'!$D:$D))</f>
        <v>2024/04/01</v>
      </c>
      <c r="V77" s="7" t="str">
        <f t="array" ref="V77">XLOOKUP($A77,'source isilon_Projectまとめ'!$A:$A,'source isilon_Projectまとめ'!$D:$D,XLOOKUP($A77,'source isilon-Project-du'!$A:$A,'source isilon-Project-du'!$C:$C))</f>
        <v>31.27GB</v>
      </c>
      <c r="W77" s="37"/>
    </row>
    <row r="78">
      <c r="A78" s="8" t="s">
        <v>1999</v>
      </c>
      <c r="B78" s="8" t="s">
        <v>992</v>
      </c>
      <c r="C78" s="37" t="s">
        <v>1472</v>
      </c>
      <c r="D78" s="37" t="s">
        <v>1065</v>
      </c>
      <c r="E78" s="7" t="s">
        <v>1473</v>
      </c>
      <c r="F78" s="37" t="s">
        <v>1065</v>
      </c>
      <c r="T78" s="37" t="s">
        <v>1053</v>
      </c>
      <c r="U78" s="7" t="str">
        <f t="array" ref="U78">XLOOKUP($A78,'source isilon_Projectまとめ'!$A:$A,'source isilon_Projectまとめ'!$C:$C,XLOOKUP($A78,'source NetApp-file-sv01～03-Proj'!$A:$A,'source NetApp-file-sv01～03-Proj'!$D:$D))</f>
        <v>2019/03/05</v>
      </c>
      <c r="V78" s="7" t="str">
        <f t="array" ref="V78">XLOOKUP($A78,'source isilon_Projectまとめ'!$A:$A,'source isilon_Projectまとめ'!$D:$D,XLOOKUP($A78,'source isilon-Project-du'!$A:$A,'source isilon-Project-du'!$C:$C))</f>
        <v>49.26GB</v>
      </c>
      <c r="W78" s="37"/>
    </row>
    <row r="79">
      <c r="A79" s="8" t="s">
        <v>2000</v>
      </c>
      <c r="B79" s="8" t="s">
        <v>2394</v>
      </c>
      <c r="C79" s="37" t="s">
        <v>2001</v>
      </c>
      <c r="D79" s="7" t="s">
        <v>2002</v>
      </c>
      <c r="E79" s="7" t="s">
        <v>2003</v>
      </c>
      <c r="F79" s="37" t="str">
        <f t="array" ref="F79">XLOOKUP(E79,'従業員情報'!$A:$A,'従業員情報'!$N:$N,"×")</f>
        <v>株式会社MIXI/小林管掌/CS本部/CS部/健全化グループ</v>
      </c>
      <c r="U79" s="7" t="str">
        <f t="array" ref="U79">XLOOKUP($A79,'source isilon_Projectまとめ'!$A:$A,'source isilon_Projectまとめ'!$C:$C,XLOOKUP($A79,'source NetApp-file-sv01～03-Proj'!$A:$A,'source NetApp-file-sv01～03-Proj'!$D:$D))</f>
        <v>2025/03/18</v>
      </c>
      <c r="V79" s="7" t="str">
        <f t="array" ref="V79">XLOOKUP($A79,'source isilon_Projectまとめ'!$A:$A,'source isilon_Projectまとめ'!$D:$D,XLOOKUP($A79,'source isilon-Project-du'!$A:$A,'source isilon-Project-du'!$C:$C))</f>
        <v>3.42GB</v>
      </c>
      <c r="W79" s="37"/>
    </row>
    <row r="80">
      <c r="A80" s="8" t="s">
        <v>2004</v>
      </c>
      <c r="B80" s="8" t="s">
        <v>2394</v>
      </c>
      <c r="C80" s="7" t="s">
        <v>2005</v>
      </c>
      <c r="D80" s="7" t="s">
        <v>854</v>
      </c>
      <c r="E80" s="7" t="s">
        <v>2006</v>
      </c>
      <c r="F80" s="37" t="str">
        <f t="array" ref="F80">XLOOKUP(E80,'従業員情報'!$A:$A,'従業員情報'!$N:$N,"×")</f>
        <v>株式会社MIXI/木村管掌/ライブエクスペリエンス事業本部</v>
      </c>
      <c r="U80" s="7" t="str">
        <f t="array" ref="U80">XLOOKUP($A80,'source isilon_Projectまとめ'!$A:$A,'source isilon_Projectまとめ'!$C:$C,XLOOKUP($A80,'source NetApp-file-sv01～03-Proj'!$A:$A,'source NetApp-file-sv01～03-Proj'!$D:$D))</f>
        <v>2018/01/25</v>
      </c>
      <c r="V80" s="7" t="str">
        <f t="array" ref="V80">XLOOKUP($A80,'source isilon_Projectまとめ'!$A:$A,'source isilon_Projectまとめ'!$D:$D,XLOOKUP($A80,'source isilon-Project-du'!$A:$A,'source isilon-Project-du'!$C:$C))</f>
        <v>0.04GB</v>
      </c>
      <c r="W80" s="37"/>
    </row>
    <row r="81">
      <c r="A81" s="8" t="s">
        <v>2007</v>
      </c>
      <c r="B81" s="8" t="s">
        <v>2394</v>
      </c>
      <c r="C81" s="37" t="s">
        <v>1798</v>
      </c>
      <c r="D81" s="7" t="s">
        <v>1582</v>
      </c>
      <c r="E81" s="7" t="s">
        <v>1583</v>
      </c>
      <c r="F81" s="37" t="str">
        <f t="array" ref="F81">XLOOKUP(E81,'従業員情報'!$A:$A,'従業員情報'!$N:$N,"×")</f>
        <v>株式会社MIXI/村瀨管掌/はたらく環境推進本部/コーポレートエンジニアリング部</v>
      </c>
      <c r="U81" s="7" t="str">
        <f t="array" ref="U81">XLOOKUP($A81,'source isilon_Projectまとめ'!$A:$A,'source isilon_Projectまとめ'!$C:$C,XLOOKUP($A81,'source NetApp-file-sv01～03-Proj'!$A:$A,'source NetApp-file-sv01～03-Proj'!$D:$D))</f>
        <v>2017/09/11</v>
      </c>
      <c r="V81" s="7" t="str">
        <f t="array" ref="V81">XLOOKUP($A81,'source isilon_Projectまとめ'!$A:$A,'source isilon_Projectまとめ'!$D:$D,XLOOKUP($A81,'source isilon-Project-du'!$A:$A,'source isilon-Project-du'!$C:$C))</f>
        <v>25.36GB</v>
      </c>
      <c r="W81" s="37"/>
    </row>
    <row r="82">
      <c r="A82" s="8" t="s">
        <v>2008</v>
      </c>
      <c r="B82" s="8" t="s">
        <v>2394</v>
      </c>
      <c r="C82" s="37" t="s">
        <v>2009</v>
      </c>
      <c r="D82" s="7" t="s">
        <v>1491</v>
      </c>
      <c r="E82" s="7" t="s">
        <v>1492</v>
      </c>
      <c r="F82" s="37" t="str">
        <f t="array" ref="F82">XLOOKUP(E82,'従業員情報'!$A:$A,'従業員情報'!$N:$N,"×")</f>
        <v>株式会社MIXI/島村管掌/人事本部/グループ会社サポート部</v>
      </c>
      <c r="U82" s="7" t="str">
        <f t="array" ref="U82">XLOOKUP($A82,'source isilon_Projectまとめ'!$A:$A,'source isilon_Projectまとめ'!$C:$C,XLOOKUP($A82,'source NetApp-file-sv01～03-Proj'!$A:$A,'source NetApp-file-sv01～03-Proj'!$D:$D))</f>
        <v>2013/09/13</v>
      </c>
      <c r="V82" s="7" t="str">
        <f t="array" ref="V82">XLOOKUP($A82,'source isilon_Projectまとめ'!$A:$A,'source isilon_Projectまとめ'!$D:$D,XLOOKUP($A82,'source isilon-Project-du'!$A:$A,'source isilon-Project-du'!$C:$C))</f>
        <v>0.35GB</v>
      </c>
      <c r="W82" s="37"/>
    </row>
    <row r="83">
      <c r="A83" s="8" t="s">
        <v>2010</v>
      </c>
      <c r="B83" s="8" t="s">
        <v>2394</v>
      </c>
      <c r="C83" s="37" t="s">
        <v>1498</v>
      </c>
      <c r="D83" s="7" t="s">
        <v>780</v>
      </c>
      <c r="E83" s="7" t="s">
        <v>1499</v>
      </c>
      <c r="F83" s="37" t="str">
        <f t="array" ref="F83">XLOOKUP(E83,'従業員情報'!$A:$A,'従業員情報'!$N:$N,"×")</f>
        <v>株式会社MIXI/木村管掌/デジタルエンターテインメントパブリッシング本部</v>
      </c>
      <c r="U83" s="7" t="str">
        <f t="array" ref="U83">XLOOKUP($A83,'source isilon_Projectまとめ'!$A:$A,'source isilon_Projectまとめ'!$C:$C,XLOOKUP($A83,'source NetApp-file-sv01～03-Proj'!$A:$A,'source NetApp-file-sv01～03-Proj'!$D:$D))</f>
        <v>2020/12/24</v>
      </c>
      <c r="V83" s="7" t="str">
        <f t="array" ref="V83">XLOOKUP($A83,'source isilon_Projectまとめ'!$A:$A,'source isilon_Projectまとめ'!$D:$D,XLOOKUP($A83,'source isilon-Project-du'!$A:$A,'source isilon-Project-du'!$C:$C))</f>
        <v>89.46GB</v>
      </c>
      <c r="W83" s="37"/>
    </row>
    <row r="84">
      <c r="A84" s="8" t="s">
        <v>2011</v>
      </c>
      <c r="B84" s="8" t="s">
        <v>2394</v>
      </c>
      <c r="C84" s="37" t="s">
        <v>1798</v>
      </c>
      <c r="D84" s="7" t="s">
        <v>1582</v>
      </c>
      <c r="E84" s="7" t="s">
        <v>1583</v>
      </c>
      <c r="F84" s="37" t="str">
        <f t="array" ref="F84">XLOOKUP(E84,'従業員情報'!$A:$A,'従業員情報'!$N:$N,"×")</f>
        <v>株式会社MIXI/村瀨管掌/はたらく環境推進本部/コーポレートエンジニアリング部</v>
      </c>
      <c r="U84" s="7" t="str">
        <f t="array" ref="U84">XLOOKUP($A84,'source isilon_Projectまとめ'!$A:$A,'source isilon_Projectまとめ'!$C:$C,XLOOKUP($A84,'source NetApp-file-sv01～03-Proj'!$A:$A,'source NetApp-file-sv01～03-Proj'!$D:$D))</f>
        <v>2015/02/13</v>
      </c>
      <c r="V84" s="7" t="str">
        <f t="array" ref="V84">XLOOKUP($A84,'source isilon_Projectまとめ'!$A:$A,'source isilon_Projectまとめ'!$D:$D,XLOOKUP($A84,'source isilon-Project-du'!$A:$A,'source isilon-Project-du'!$C:$C))</f>
        <v>0.09GB</v>
      </c>
      <c r="W84" s="37"/>
    </row>
    <row r="85">
      <c r="A85" s="8" t="s">
        <v>2012</v>
      </c>
      <c r="B85" s="8" t="s">
        <v>2394</v>
      </c>
      <c r="C85" s="37" t="s">
        <v>1389</v>
      </c>
      <c r="D85" s="7" t="s">
        <v>1390</v>
      </c>
      <c r="E85" s="7" t="s">
        <v>1391</v>
      </c>
      <c r="F85" s="37" t="str">
        <f t="array" ref="F85">XLOOKUP(E85,'従業員情報'!$A:$A,'従業員情報'!$N:$N,"×")</f>
        <v>株式会社MIXI/笠原管掌/Vantageスタジオ/Romi事業部/UX企画グループ</v>
      </c>
      <c r="U85" s="7" t="str">
        <f t="array" ref="U85">XLOOKUP($A85,'source isilon_Projectまとめ'!$A:$A,'source isilon_Projectまとめ'!$C:$C,XLOOKUP($A85,'source NetApp-file-sv01～03-Proj'!$A:$A,'source NetApp-file-sv01～03-Proj'!$D:$D))</f>
        <v>2015/10/08</v>
      </c>
      <c r="V85" s="7" t="str">
        <f t="array" ref="V85">XLOOKUP($A85,'source isilon_Projectまとめ'!$A:$A,'source isilon_Projectまとめ'!$D:$D,XLOOKUP($A85,'source isilon-Project-du'!$A:$A,'source isilon-Project-du'!$C:$C))</f>
        <v>0.19GB</v>
      </c>
      <c r="W85" s="37"/>
    </row>
    <row r="86">
      <c r="A86" s="8" t="s">
        <v>2013</v>
      </c>
      <c r="B86" s="8" t="s">
        <v>2394</v>
      </c>
      <c r="C86" s="37" t="s">
        <v>2014</v>
      </c>
      <c r="D86" s="37" t="s">
        <v>1053</v>
      </c>
      <c r="E86" s="7" t="s">
        <v>1391</v>
      </c>
      <c r="F86" s="37" t="str">
        <f t="array" ref="F86">XLOOKUP(E86,'従業員情報'!$A:$A,'従業員情報'!$N:$N,"×")</f>
        <v>株式会社MIXI/笠原管掌/Vantageスタジオ/Romi事業部/UX企画グループ</v>
      </c>
      <c r="G86" s="7" t="s">
        <v>1375</v>
      </c>
      <c r="H86" s="37" t="str">
        <f t="array" ref="H86">XLOOKUP(G86,'従業員情報'!$A:$A,'従業員情報'!$N:$N,"×")</f>
        <v>株式会社MIXI/管掌役員なし/取締役</v>
      </c>
      <c r="U86" s="7" t="str">
        <f t="array" ref="U86">XLOOKUP($A86,'source isilon_Projectまとめ'!$A:$A,'source isilon_Projectまとめ'!$C:$C,XLOOKUP($A86,'source NetApp-file-sv01～03-Proj'!$A:$A,'source NetApp-file-sv01～03-Proj'!$D:$D))</f>
        <v>2016/07/19</v>
      </c>
      <c r="V86" s="7" t="str">
        <f t="array" ref="V86">XLOOKUP($A86,'source isilon_Projectまとめ'!$A:$A,'source isilon_Projectまとめ'!$D:$D,XLOOKUP($A86,'source isilon-Project-du'!$A:$A,'source isilon-Project-du'!$C:$C))</f>
        <v>17.01GB</v>
      </c>
      <c r="W86" s="37"/>
    </row>
    <row r="87">
      <c r="A87" s="8" t="s">
        <v>2015</v>
      </c>
      <c r="B87" s="8" t="s">
        <v>992</v>
      </c>
      <c r="C87" s="37" t="s">
        <v>2016</v>
      </c>
      <c r="D87" s="37" t="s">
        <v>1053</v>
      </c>
      <c r="E87" s="7" t="s">
        <v>1704</v>
      </c>
      <c r="F87" s="37" t="str">
        <f t="array" ref="F87">XLOOKUP(E87,'退職者'!$C:$C,'退職者'!$A:$A,"×")</f>
        <v>バスケットボール事業部</v>
      </c>
      <c r="G87" s="7" t="s">
        <v>2018</v>
      </c>
      <c r="H87" s="37" t="s">
        <v>1053</v>
      </c>
      <c r="U87" s="7" t="str">
        <f t="array" ref="U87">XLOOKUP($A87,'source isilon_Projectまとめ'!$A:$A,'source isilon_Projectまとめ'!$C:$C,XLOOKUP($A87,'source NetApp-file-sv01～03-Proj'!$A:$A,'source NetApp-file-sv01～03-Proj'!$D:$D))</f>
        <v>2019/05/13</v>
      </c>
      <c r="V87" s="7" t="str">
        <f t="array" ref="V87">XLOOKUP($A87,'source isilon_Projectまとめ'!$A:$A,'source isilon_Projectまとめ'!$D:$D,XLOOKUP($A87,'source isilon-Project-du'!$A:$A,'source isilon-Project-du'!$C:$C))</f>
        <v>0.46GB</v>
      </c>
      <c r="W87" s="37"/>
    </row>
    <row r="88">
      <c r="A88" s="8" t="s">
        <v>2019</v>
      </c>
      <c r="B88" s="8" t="s">
        <v>2394</v>
      </c>
      <c r="C88" s="37" t="s">
        <v>1498</v>
      </c>
      <c r="D88" s="7" t="s">
        <v>780</v>
      </c>
      <c r="E88" s="7" t="s">
        <v>1499</v>
      </c>
      <c r="F88" s="37" t="str">
        <f t="array" ref="F88">XLOOKUP(E88,'従業員情報'!$A:$A,'従業員情報'!$N:$N,"×")</f>
        <v>株式会社MIXI/木村管掌/デジタルエンターテインメントパブリッシング本部</v>
      </c>
      <c r="U88" s="7" t="str">
        <f t="array" ref="U88">XLOOKUP($A88,'source isilon_Projectまとめ'!$A:$A,'source isilon_Projectまとめ'!$C:$C,XLOOKUP($A88,'source NetApp-file-sv01～03-Proj'!$A:$A,'source NetApp-file-sv01～03-Proj'!$D:$D))</f>
        <v>2014/03/19</v>
      </c>
      <c r="V88" s="7" t="str">
        <f t="array" ref="V88">XLOOKUP($A88,'source isilon_Projectまとめ'!$A:$A,'source isilon_Projectまとめ'!$D:$D,XLOOKUP($A88,'source isilon-Project-du'!$A:$A,'source isilon-Project-du'!$C:$C))</f>
        <v>0.12GB</v>
      </c>
      <c r="W88" s="37"/>
    </row>
    <row r="89">
      <c r="A89" s="8" t="s">
        <v>2020</v>
      </c>
      <c r="B89" s="8" t="s">
        <v>992</v>
      </c>
      <c r="C89" s="37" t="s">
        <v>2021</v>
      </c>
      <c r="D89" s="37" t="s">
        <v>173</v>
      </c>
      <c r="E89" s="7" t="s">
        <v>2022</v>
      </c>
      <c r="F89" s="37" t="s">
        <v>173</v>
      </c>
      <c r="T89" s="37" t="s">
        <v>1053</v>
      </c>
      <c r="U89" s="7" t="str">
        <f t="array" ref="U89">XLOOKUP($A89,'source isilon_Projectまとめ'!$A:$A,'source isilon_Projectまとめ'!$C:$C,XLOOKUP($A89,'source NetApp-file-sv01～03-Proj'!$A:$A,'source NetApp-file-sv01～03-Proj'!$D:$D))</f>
        <v>2016/10/28</v>
      </c>
      <c r="V89" s="7" t="str">
        <f t="array" ref="V89">XLOOKUP($A89,'source isilon_Projectまとめ'!$A:$A,'source isilon_Projectまとめ'!$D:$D,XLOOKUP($A89,'source isilon-Project-du'!$A:$A,'source isilon-Project-du'!$C:$C))</f>
        <v>14.51GB</v>
      </c>
      <c r="W89" s="37"/>
    </row>
    <row r="90">
      <c r="A90" s="8" t="s">
        <v>2023</v>
      </c>
      <c r="B90" s="8" t="s">
        <v>992</v>
      </c>
      <c r="C90" s="37" t="s">
        <v>2024</v>
      </c>
      <c r="D90" s="37" t="s">
        <v>1237</v>
      </c>
      <c r="E90" s="7" t="s">
        <v>2025</v>
      </c>
      <c r="F90" s="37" t="s">
        <v>1237</v>
      </c>
      <c r="T90" s="37" t="s">
        <v>1053</v>
      </c>
      <c r="U90" s="7" t="str">
        <f t="array" ref="U90">XLOOKUP($A90,'source isilon_Projectまとめ'!$A:$A,'source isilon_Projectまとめ'!$C:$C,XLOOKUP($A90,'source NetApp-file-sv01～03-Proj'!$A:$A,'source NetApp-file-sv01～03-Proj'!$D:$D))</f>
        <v>#N/A</v>
      </c>
      <c r="V90" s="7" t="str">
        <f t="array" ref="V90">XLOOKUP($A90,'source isilon_Projectまとめ'!$A:$A,'source isilon_Projectまとめ'!$D:$D,XLOOKUP($A90,'source isilon-Project-du'!$A:$A,'source isilon-Project-du'!$C:$C))</f>
        <v>0.00GB</v>
      </c>
      <c r="W90" s="37"/>
    </row>
    <row r="91">
      <c r="A91" s="8" t="s">
        <v>2026</v>
      </c>
      <c r="B91" s="8" t="s">
        <v>2394</v>
      </c>
      <c r="C91" s="37" t="s">
        <v>2027</v>
      </c>
      <c r="D91" s="7" t="s">
        <v>2028</v>
      </c>
      <c r="E91" s="7" t="s">
        <v>2029</v>
      </c>
      <c r="F91" s="37" t="str">
        <f t="array" ref="F91">XLOOKUP(E91,'従業員情報'!$A:$A,'従業員情報'!$N:$N,"×")</f>
        <v>株式会社MIXI/小林管掌/コンプライアンス本部/法務部</v>
      </c>
      <c r="U91" s="7" t="str">
        <f t="array" ref="U91">XLOOKUP($A91,'source isilon_Projectまとめ'!$A:$A,'source isilon_Projectまとめ'!$C:$C,XLOOKUP($A91,'source NetApp-file-sv01～03-Proj'!$A:$A,'source NetApp-file-sv01～03-Proj'!$D:$D))</f>
        <v>2016/07/07</v>
      </c>
      <c r="V91" s="7" t="str">
        <f t="array" ref="V91">XLOOKUP($A91,'source isilon_Projectまとめ'!$A:$A,'source isilon_Projectまとめ'!$D:$D,XLOOKUP($A91,'source isilon-Project-du'!$A:$A,'source isilon-Project-du'!$C:$C))</f>
        <v>0.01GB</v>
      </c>
      <c r="W91" s="37"/>
    </row>
    <row r="92">
      <c r="A92" s="8" t="s">
        <v>2030</v>
      </c>
      <c r="B92" s="8" t="s">
        <v>2394</v>
      </c>
      <c r="C92" s="37" t="s">
        <v>1962</v>
      </c>
      <c r="D92" s="7" t="s">
        <v>1963</v>
      </c>
      <c r="E92" s="7" t="s">
        <v>1964</v>
      </c>
      <c r="F92" s="37" t="str">
        <f t="array" ref="F92">XLOOKUP(E92,'従業員情報'!$A:$A,'従業員情報'!$N:$N,"×")</f>
        <v>株式会社MIXI/木村管掌/デジタルエンターテインメントオペレーションズ本部/事業戦略部/メタストグループ</v>
      </c>
      <c r="U92" s="7" t="str">
        <f t="array" ref="U92">XLOOKUP($A92,'source isilon_Projectまとめ'!$A:$A,'source isilon_Projectまとめ'!$C:$C,XLOOKUP($A92,'source NetApp-file-sv01～03-Proj'!$A:$A,'source NetApp-file-sv01～03-Proj'!$D:$D))</f>
        <v>2013/03/18</v>
      </c>
      <c r="V92" s="7" t="str">
        <f t="array" ref="V92">XLOOKUP($A92,'source isilon_Projectまとめ'!$A:$A,'source isilon_Projectまとめ'!$D:$D,XLOOKUP($A92,'source isilon-Project-du'!$A:$A,'source isilon-Project-du'!$C:$C))</f>
        <v>0.46GB</v>
      </c>
      <c r="W92" s="37"/>
    </row>
    <row r="93">
      <c r="A93" s="8" t="s">
        <v>2031</v>
      </c>
      <c r="B93" s="8" t="s">
        <v>2394</v>
      </c>
      <c r="C93" s="37" t="s">
        <v>1663</v>
      </c>
      <c r="D93" s="7" t="s">
        <v>1664</v>
      </c>
      <c r="E93" s="7" t="s">
        <v>1665</v>
      </c>
      <c r="F93" s="37" t="str">
        <f t="array" ref="F93">XLOOKUP(E93,'従業員情報'!$A:$A,'従業員情報'!$N:$N,"×")</f>
        <v>株式会社MIXI/笠原管掌/Vantageスタジオ/mixi事業部/パートナービジネスグループ</v>
      </c>
      <c r="U93" s="7" t="str">
        <f t="array" ref="U93">XLOOKUP($A93,'source isilon_Projectまとめ'!$A:$A,'source isilon_Projectまとめ'!$C:$C,XLOOKUP($A93,'source NetApp-file-sv01～03-Proj'!$A:$A,'source NetApp-file-sv01～03-Proj'!$D:$D))</f>
        <v>2025/02/12</v>
      </c>
      <c r="V93" s="7" t="str">
        <f t="array" ref="V93">XLOOKUP($A93,'source isilon_Projectまとめ'!$A:$A,'source isilon_Projectまとめ'!$D:$D,XLOOKUP($A93,'source isilon-Project-du'!$A:$A,'source isilon-Project-du'!$C:$C))</f>
        <v>8.93GB</v>
      </c>
      <c r="W93" s="37"/>
    </row>
    <row r="94">
      <c r="A94" s="8" t="s">
        <v>2032</v>
      </c>
      <c r="B94" s="8" t="s">
        <v>2394</v>
      </c>
      <c r="C94" s="37" t="s">
        <v>1663</v>
      </c>
      <c r="D94" s="7" t="s">
        <v>1664</v>
      </c>
      <c r="E94" s="7" t="s">
        <v>1665</v>
      </c>
      <c r="F94" s="37" t="str">
        <f t="array" ref="F94">XLOOKUP(E94,'従業員情報'!$A:$A,'従業員情報'!$N:$N,"×")</f>
        <v>株式会社MIXI/笠原管掌/Vantageスタジオ/mixi事業部/パートナービジネスグループ</v>
      </c>
      <c r="U94" s="7" t="str">
        <f t="array" ref="U94">XLOOKUP($A94,'source isilon_Projectまとめ'!$A:$A,'source isilon_Projectまとめ'!$C:$C,XLOOKUP($A94,'source NetApp-file-sv01～03-Proj'!$A:$A,'source NetApp-file-sv01～03-Proj'!$D:$D))</f>
        <v>2025/03/07</v>
      </c>
      <c r="V94" s="7" t="str">
        <f t="array" ref="V94">XLOOKUP($A94,'source isilon_Projectまとめ'!$A:$A,'source isilon_Projectまとめ'!$D:$D,XLOOKUP($A94,'source isilon-Project-du'!$A:$A,'source isilon-Project-du'!$C:$C))</f>
        <v>11.96GB</v>
      </c>
      <c r="W94" s="37"/>
    </row>
    <row r="95">
      <c r="A95" s="8" t="s">
        <v>2033</v>
      </c>
      <c r="B95" s="8" t="s">
        <v>992</v>
      </c>
      <c r="C95" s="37" t="s">
        <v>2034</v>
      </c>
      <c r="D95" s="37" t="s">
        <v>484</v>
      </c>
      <c r="E95" s="7" t="s">
        <v>1984</v>
      </c>
      <c r="F95" s="37" t="s">
        <v>484</v>
      </c>
      <c r="G95" s="7" t="s">
        <v>1476</v>
      </c>
      <c r="H95" s="37" t="s">
        <v>74</v>
      </c>
      <c r="T95" s="37" t="s">
        <v>74</v>
      </c>
      <c r="U95" s="7" t="str">
        <f t="array" ref="U95">XLOOKUP($A95,'source isilon_Projectまとめ'!$A:$A,'source isilon_Projectまとめ'!$C:$C,XLOOKUP($A95,'source NetApp-file-sv01～03-Proj'!$A:$A,'source NetApp-file-sv01～03-Proj'!$D:$D))</f>
        <v>#N/A</v>
      </c>
      <c r="V95" s="7" t="str">
        <f t="array" ref="V95">XLOOKUP($A95,'source isilon_Projectまとめ'!$A:$A,'source isilon_Projectまとめ'!$D:$D,XLOOKUP($A95,'source isilon-Project-du'!$A:$A,'source isilon-Project-du'!$C:$C))</f>
        <v>0.00GB</v>
      </c>
      <c r="W95" s="37"/>
    </row>
    <row r="96">
      <c r="A96" s="8" t="s">
        <v>2035</v>
      </c>
      <c r="B96" s="8" t="s">
        <v>2394</v>
      </c>
      <c r="C96" s="37" t="s">
        <v>2036</v>
      </c>
      <c r="D96" s="7" t="s">
        <v>2037</v>
      </c>
      <c r="E96" s="7" t="s">
        <v>2038</v>
      </c>
      <c r="F96" s="37" t="str">
        <f t="array" ref="F96">XLOOKUP(E96,'従業員情報'!$A:$A,'従業員情報'!$N:$N,"×")</f>
        <v>株式会社MIXI/木村管掌/デジタルエンターテインメントオペレーションズ本部/モンストIPクリエイション部/アート第1グループ</v>
      </c>
      <c r="U96" s="7" t="str">
        <f t="array" ref="U96">XLOOKUP($A96,'source isilon_Projectまとめ'!$A:$A,'source isilon_Projectまとめ'!$C:$C,XLOOKUP($A96,'source NetApp-file-sv01～03-Proj'!$A:$A,'source NetApp-file-sv01～03-Proj'!$D:$D))</f>
        <v>2025/03/14</v>
      </c>
      <c r="V96" s="7" t="str">
        <f t="array" ref="V96">XLOOKUP($A96,'source isilon_Projectまとめ'!$A:$A,'source isilon_Projectまとめ'!$D:$D,XLOOKUP($A96,'source isilon-Project-du'!$A:$A,'source isilon-Project-du'!$C:$C))</f>
        <v>1124.06GB</v>
      </c>
      <c r="W96" s="37"/>
    </row>
    <row r="97">
      <c r="A97" s="8" t="s">
        <v>2039</v>
      </c>
      <c r="B97" s="8" t="s">
        <v>2394</v>
      </c>
      <c r="C97" s="37" t="s">
        <v>1463</v>
      </c>
      <c r="D97" s="7" t="s">
        <v>1464</v>
      </c>
      <c r="E97" s="7" t="s">
        <v>1465</v>
      </c>
      <c r="F97" s="37" t="str">
        <f t="array" ref="F97">XLOOKUP(E97,'従業員情報'!$A:$A,'従業員情報'!$N:$N,"×")</f>
        <v>株式会社MIXI/村瀨管掌/デザイン本部/動画クリエイティブ室</v>
      </c>
      <c r="U97" s="7" t="str">
        <f t="array" ref="U97">XLOOKUP($A97,'source isilon_Projectまとめ'!$A:$A,'source isilon_Projectまとめ'!$C:$C,XLOOKUP($A97,'source NetApp-file-sv01～03-Proj'!$A:$A,'source NetApp-file-sv01～03-Proj'!$D:$D))</f>
        <v>2019/08/29</v>
      </c>
      <c r="V97" s="7" t="str">
        <f t="array" ref="V97">XLOOKUP($A97,'source isilon_Projectまとめ'!$A:$A,'source isilon_Projectまとめ'!$D:$D,XLOOKUP($A97,'source isilon-Project-du'!$A:$A,'source isilon-Project-du'!$C:$C))</f>
        <v>9758.07GB</v>
      </c>
      <c r="W97" s="37"/>
    </row>
    <row r="98">
      <c r="A98" s="8" t="s">
        <v>2040</v>
      </c>
      <c r="B98" s="8" t="s">
        <v>993</v>
      </c>
      <c r="C98" s="7" t="s">
        <v>2041</v>
      </c>
      <c r="D98" s="37" t="s">
        <v>1536</v>
      </c>
      <c r="E98" s="7" t="s">
        <v>1876</v>
      </c>
      <c r="F98" s="37" t="s">
        <v>1053</v>
      </c>
      <c r="G98" s="7" t="s">
        <v>1473</v>
      </c>
      <c r="H98" s="37" t="s">
        <v>1065</v>
      </c>
      <c r="T98" s="37" t="s">
        <v>1065</v>
      </c>
      <c r="U98" s="7" t="str">
        <f t="array" ref="U98">XLOOKUP($A98,'source isilon_Projectまとめ'!$A:$A,'source isilon_Projectまとめ'!$C:$C,XLOOKUP($A98,'source NetApp-file-sv01～03-Proj'!$A:$A,'source NetApp-file-sv01～03-Proj'!$D:$D))</f>
        <v>2011/12/14</v>
      </c>
      <c r="V98" s="7" t="str">
        <f t="array" ref="V98">XLOOKUP($A98,'source isilon_Projectまとめ'!$A:$A,'source isilon_Projectまとめ'!$D:$D,XLOOKUP($A98,'source isilon-Project-du'!$A:$A,'source isilon-Project-du'!$C:$C))</f>
        <v>0.30GB</v>
      </c>
      <c r="W98" s="37"/>
    </row>
    <row r="99">
      <c r="A99" s="8" t="s">
        <v>2042</v>
      </c>
      <c r="B99" s="8" t="s">
        <v>2394</v>
      </c>
      <c r="C99" s="37" t="s">
        <v>1756</v>
      </c>
      <c r="D99" s="7" t="s">
        <v>1757</v>
      </c>
      <c r="E99" s="7" t="s">
        <v>1758</v>
      </c>
      <c r="F99" s="37" t="str">
        <f t="array" ref="F99">XLOOKUP(E99,'従業員情報'!$A:$A,'従業員情報'!$N:$N,"×")</f>
        <v>株式会社MIXI/村瀨管掌/デザイン本部/動画クリエイティブ室/CGデザイングループ</v>
      </c>
      <c r="U99" s="7" t="str">
        <f t="array" ref="U99">XLOOKUP($A99,'source isilon_Projectまとめ'!$A:$A,'source isilon_Projectまとめ'!$C:$C,XLOOKUP($A99,'source NetApp-file-sv01～03-Proj'!$A:$A,'source NetApp-file-sv01～03-Proj'!$D:$D))</f>
        <v>#N/A</v>
      </c>
      <c r="V99" s="7" t="str">
        <f t="array" ref="V99">XLOOKUP($A99,'source isilon_Projectまとめ'!$A:$A,'source isilon_Projectまとめ'!$D:$D,XLOOKUP($A99,'source isilon-Project-du'!$A:$A,'source isilon-Project-du'!$C:$C))</f>
        <v>36320.66GB</v>
      </c>
      <c r="W99" s="37"/>
    </row>
    <row r="100">
      <c r="A100" s="8" t="s">
        <v>2043</v>
      </c>
      <c r="B100" s="8" t="s">
        <v>993</v>
      </c>
      <c r="C100" s="37" t="s">
        <v>1642</v>
      </c>
      <c r="D100" s="37" t="s">
        <v>1536</v>
      </c>
      <c r="E100" s="7" t="s">
        <v>1643</v>
      </c>
      <c r="F100" s="37" t="s">
        <v>1053</v>
      </c>
      <c r="T100" s="37" t="s">
        <v>1053</v>
      </c>
      <c r="U100" s="7" t="str">
        <f t="array" ref="U100">XLOOKUP($A100,'source isilon_Projectまとめ'!$A:$A,'source isilon_Projectまとめ'!$C:$C,XLOOKUP($A100,'source NetApp-file-sv01～03-Proj'!$A:$A,'source NetApp-file-sv01～03-Proj'!$D:$D))</f>
        <v>2010/05/24</v>
      </c>
      <c r="V100" s="7" t="str">
        <f t="array" ref="V100">XLOOKUP($A100,'source isilon_Projectまとめ'!$A:$A,'source isilon_Projectまとめ'!$D:$D,XLOOKUP($A100,'source isilon-Project-du'!$A:$A,'source isilon-Project-du'!$C:$C))</f>
        <v>0.03GB</v>
      </c>
      <c r="W100" s="37"/>
    </row>
    <row r="101">
      <c r="A101" s="8" t="s">
        <v>2044</v>
      </c>
      <c r="B101" s="8" t="s">
        <v>993</v>
      </c>
      <c r="C101" s="37" t="s">
        <v>1642</v>
      </c>
      <c r="D101" s="37" t="s">
        <v>1536</v>
      </c>
      <c r="E101" s="7" t="s">
        <v>1643</v>
      </c>
      <c r="F101" s="37" t="s">
        <v>1053</v>
      </c>
      <c r="T101" s="37" t="s">
        <v>1053</v>
      </c>
      <c r="U101" s="7" t="str">
        <f t="array" ref="U101">XLOOKUP($A101,'source isilon_Projectまとめ'!$A:$A,'source isilon_Projectまとめ'!$C:$C,XLOOKUP($A101,'source NetApp-file-sv01～03-Proj'!$A:$A,'source NetApp-file-sv01～03-Proj'!$D:$D))</f>
        <v>2013/11/05</v>
      </c>
      <c r="V101" s="7" t="str">
        <f t="array" ref="V101">XLOOKUP($A101,'source isilon_Projectまとめ'!$A:$A,'source isilon_Projectまとめ'!$D:$D,XLOOKUP($A101,'source isilon-Project-du'!$A:$A,'source isilon-Project-du'!$C:$C))</f>
        <v>0.05GB</v>
      </c>
      <c r="W101" s="37"/>
    </row>
    <row r="102">
      <c r="A102" s="8" t="s">
        <v>2045</v>
      </c>
      <c r="B102" s="8" t="s">
        <v>2394</v>
      </c>
      <c r="C102" s="37" t="s">
        <v>1389</v>
      </c>
      <c r="D102" s="7" t="s">
        <v>1390</v>
      </c>
      <c r="E102" s="7" t="s">
        <v>1391</v>
      </c>
      <c r="F102" s="37" t="str">
        <f t="array" ref="F102">XLOOKUP(E102,'従業員情報'!$A:$A,'従業員情報'!$N:$N,"×")</f>
        <v>株式会社MIXI/笠原管掌/Vantageスタジオ/Romi事業部/UX企画グループ</v>
      </c>
      <c r="U102" s="7" t="str">
        <f t="array" ref="U102">XLOOKUP($A102,'source isilon_Projectまとめ'!$A:$A,'source isilon_Projectまとめ'!$C:$C,XLOOKUP($A102,'source NetApp-file-sv01～03-Proj'!$A:$A,'source NetApp-file-sv01～03-Proj'!$D:$D))</f>
        <v>2016/04/27</v>
      </c>
      <c r="V102" s="7" t="str">
        <f t="array" ref="V102">XLOOKUP($A102,'source isilon_Projectまとめ'!$A:$A,'source isilon_Projectまとめ'!$D:$D,XLOOKUP($A102,'source isilon-Project-du'!$A:$A,'source isilon-Project-du'!$C:$C))</f>
        <v>1.41GB</v>
      </c>
      <c r="W102" s="37"/>
    </row>
    <row r="103">
      <c r="A103" s="8" t="s">
        <v>2046</v>
      </c>
      <c r="B103" s="8" t="s">
        <v>2394</v>
      </c>
      <c r="C103" s="37" t="s">
        <v>2047</v>
      </c>
      <c r="D103" s="7" t="s">
        <v>2048</v>
      </c>
      <c r="E103" s="7" t="s">
        <v>2049</v>
      </c>
      <c r="F103" s="37" t="str">
        <f t="array" ref="F103">XLOOKUP(E103,'従業員情報'!$A:$A,'従業員情報'!$N:$N,"×")</f>
        <v>株式会社MIXI/笠原管掌/Vantageスタジオ/mixi事業部/パートナービジネスグループ/ニュースチーム</v>
      </c>
      <c r="U103" s="7" t="str">
        <f t="array" ref="U103">XLOOKUP($A103,'source isilon_Projectまとめ'!$A:$A,'source isilon_Projectまとめ'!$C:$C,XLOOKUP($A103,'source NetApp-file-sv01～03-Proj'!$A:$A,'source NetApp-file-sv01～03-Proj'!$D:$D))</f>
        <v>2025/03/19</v>
      </c>
      <c r="V103" s="7" t="str">
        <f t="array" ref="V103">XLOOKUP($A103,'source isilon_Projectまとめ'!$A:$A,'source isilon_Projectまとめ'!$D:$D,XLOOKUP($A103,'source isilon-Project-du'!$A:$A,'source isilon-Project-du'!$C:$C))</f>
        <v>9.45GB</v>
      </c>
      <c r="W103" s="37"/>
    </row>
    <row r="104">
      <c r="A104" s="8" t="s">
        <v>1789</v>
      </c>
      <c r="B104" s="8" t="s">
        <v>2394</v>
      </c>
      <c r="C104" s="37" t="s">
        <v>1790</v>
      </c>
      <c r="D104" s="7" t="s">
        <v>1791</v>
      </c>
      <c r="E104" s="7" t="s">
        <v>1792</v>
      </c>
      <c r="F104" s="37" t="str">
        <f t="array" ref="F104">XLOOKUP(E104,'従業員情報'!$A:$A,'従業員情報'!$N:$N,"×")</f>
        <v>株式会社MIXI/村瀨管掌/はたらく環境推進本部/せいかつ環境室</v>
      </c>
      <c r="U104" s="58" t="str">
        <f t="array" ref="U104">XLOOKUP($A104,'source isilon_Projectまとめ'!$A:$A,'source isilon_Projectまとめ'!$C:$C,XLOOKUP($A104,'source NetApp-file-sv01～03-Proj'!$A:$A,'source NetApp-file-sv01～03-Proj'!$D:$D))</f>
        <v>2025/07/09</v>
      </c>
      <c r="V104" s="58" t="str">
        <f t="array" ref="V104">XLOOKUP($A104,'source isilon_Projectまとめ'!$A:$A,'source isilon_Projectまとめ'!$D:$D,XLOOKUP($A104,'source isilon-Project-du'!$A:$A,'source isilon-Project-du'!$C:$C))</f>
        <v>85.19GB</v>
      </c>
      <c r="W104" s="7" t="s">
        <v>2184</v>
      </c>
    </row>
    <row r="105">
      <c r="A105" s="8" t="s">
        <v>1807</v>
      </c>
      <c r="B105" s="8" t="s">
        <v>2394</v>
      </c>
      <c r="C105" s="37" t="s">
        <v>1808</v>
      </c>
      <c r="D105" s="7" t="s">
        <v>1809</v>
      </c>
      <c r="E105" s="7" t="s">
        <v>1810</v>
      </c>
      <c r="F105" s="37" t="str">
        <f t="array" ref="F105">XLOOKUP(E105,'従業員情報'!$A:$A,'従業員情報'!$N:$N,"×")</f>
        <v>株式会社MIXI/木村管掌/デジタルエンターテインメントオペレーションズ本部/モンストIPクリエイション部</v>
      </c>
      <c r="U105" s="58" t="str">
        <f t="array" ref="U105">XLOOKUP($A105,'source isilon_Projectまとめ'!$A:$A,'source isilon_Projectまとめ'!$C:$C,XLOOKUP($A105,'source NetApp-file-sv01～03-Proj'!$A:$A,'source NetApp-file-sv01～03-Proj'!$D:$D))</f>
        <v>2025/07/09</v>
      </c>
      <c r="V105" s="58" t="str">
        <f t="array" ref="V105">XLOOKUP($A105,'source isilon_Projectまとめ'!$A:$A,'source isilon_Projectまとめ'!$D:$D,XLOOKUP($A105,'source isilon-Project-du'!$A:$A,'source isilon-Project-du'!$C:$C))</f>
        <v>33925.28GB</v>
      </c>
      <c r="W105" s="7" t="s">
        <v>2184</v>
      </c>
    </row>
    <row r="106">
      <c r="A106" s="8" t="s">
        <v>1819</v>
      </c>
      <c r="B106" s="8" t="s">
        <v>994</v>
      </c>
      <c r="C106" s="37" t="s">
        <v>1053</v>
      </c>
      <c r="E106" s="37" t="s">
        <v>1053</v>
      </c>
      <c r="U106" s="58" t="str">
        <f t="array" ref="U106">XLOOKUP($A106,'source isilon_Projectまとめ'!$A:$A,'source isilon_Projectまとめ'!$C:$C,XLOOKUP($A106,'source NetApp-file-sv01～03-Proj'!$A:$A,'source NetApp-file-sv01～03-Proj'!$D:$D))</f>
        <v>2025/07/09</v>
      </c>
      <c r="V106" s="58" t="str">
        <f t="array" ref="V106">XLOOKUP($A106,'source isilon_Projectまとめ'!$A:$A,'source isilon_Projectまとめ'!$D:$D,XLOOKUP($A106,'source isilon-Project-du'!$A:$A,'source isilon-Project-du'!$C:$C))</f>
        <v>306.49GB</v>
      </c>
      <c r="W106" s="7" t="s">
        <v>2184</v>
      </c>
    </row>
    <row r="107">
      <c r="A107" s="8" t="s">
        <v>1829</v>
      </c>
      <c r="B107" s="8" t="s">
        <v>2394</v>
      </c>
      <c r="C107" s="37" t="s">
        <v>1830</v>
      </c>
      <c r="D107" s="7" t="s">
        <v>1671</v>
      </c>
      <c r="E107" s="7" t="s">
        <v>1672</v>
      </c>
      <c r="F107" s="37" t="str">
        <f t="array" ref="F107">XLOOKUP(E107,'従業員情報'!$A:$A,'従業員情報'!$N:$N,"×")</f>
        <v>株式会社MIXI/木村管掌/デジタルエンターテインメントオペレーションズ本部/モンストIPクリエイション部/キャラプログループ/アート監修チーム</v>
      </c>
      <c r="U107" s="58" t="str">
        <f t="array" ref="U107">XLOOKUP($A107,'source isilon_Projectまとめ'!$A:$A,'source isilon_Projectまとめ'!$C:$C,XLOOKUP($A107,'source NetApp-file-sv01～03-Proj'!$A:$A,'source NetApp-file-sv01～03-Proj'!$D:$D))</f>
        <v>2025/07/09</v>
      </c>
      <c r="V107" s="58" t="str">
        <f t="array" ref="V107">XLOOKUP($A107,'source isilon_Projectまとめ'!$A:$A,'source isilon_Projectまとめ'!$D:$D,XLOOKUP($A107,'source isilon-Project-du'!$A:$A,'source isilon-Project-du'!$C:$C))</f>
        <v>1550.04GB</v>
      </c>
      <c r="W107" s="7" t="s">
        <v>2184</v>
      </c>
    </row>
    <row r="108">
      <c r="A108" s="8" t="s">
        <v>1855</v>
      </c>
      <c r="B108" s="8" t="s">
        <v>2394</v>
      </c>
      <c r="C108" s="37" t="s">
        <v>1856</v>
      </c>
      <c r="D108" s="7" t="s">
        <v>1615</v>
      </c>
      <c r="E108" s="7" t="s">
        <v>1857</v>
      </c>
      <c r="F108" s="37" t="str">
        <f t="array" ref="F108">XLOOKUP(E108,'従業員情報'!$A:$A,'従業員情報'!$N:$N,"×")</f>
        <v>株式会社MIXI/木村管掌/デジタルエンターテインメントオペレーションズ本部/コトダマン制作部</v>
      </c>
      <c r="G108" s="7" t="s">
        <v>1859</v>
      </c>
      <c r="H108" s="37" t="str">
        <f t="array" ref="H108">XLOOKUP(G108,'従業員情報'!$A:$A,'従業員情報'!$N:$N,"×")</f>
        <v>株式会社MIXI/木村管掌/デジタルエンターテインメントオペレーションズ本部/コトダマン運営部</v>
      </c>
      <c r="I108" s="7" t="s">
        <v>1616</v>
      </c>
      <c r="J108" s="37" t="str">
        <f t="array" ref="J108">XLOOKUP(I108,'従業員情報'!$A:$A,'従業員情報'!$N:$N,"×")</f>
        <v>株式会社MIXI/木村管掌/デジタルエンターテインメントオペレーションズ本部/コトダマン制作部</v>
      </c>
      <c r="U108" s="58" t="str">
        <f t="array" ref="U108">XLOOKUP($A108,'source isilon_Projectまとめ'!$A:$A,'source isilon_Projectまとめ'!$C:$C,XLOOKUP($A108,'source NetApp-file-sv01～03-Proj'!$A:$A,'source NetApp-file-sv01～03-Proj'!$D:$D))</f>
        <v>2025/07/09</v>
      </c>
      <c r="V108" s="58" t="str">
        <f t="array" ref="V108">XLOOKUP($A108,'source isilon_Projectまとめ'!$A:$A,'source isilon_Projectまとめ'!$D:$D,XLOOKUP($A108,'source isilon-Project-du'!$A:$A,'source isilon-Project-du'!$C:$C))</f>
        <v>13310.23GB</v>
      </c>
      <c r="W108" s="7" t="s">
        <v>2184</v>
      </c>
    </row>
    <row r="109">
      <c r="A109" s="8" t="s">
        <v>1420</v>
      </c>
      <c r="B109" s="8" t="s">
        <v>2394</v>
      </c>
      <c r="C109" s="37" t="s">
        <v>1421</v>
      </c>
      <c r="D109" s="7" t="s">
        <v>1422</v>
      </c>
      <c r="E109" s="7" t="s">
        <v>1423</v>
      </c>
      <c r="F109" s="37" t="str">
        <f t="array" ref="F109">XLOOKUP(E109,'従業員情報'!$A:$A,'従業員情報'!$N:$N,"×")</f>
        <v>株式会社MIXI/笠原管掌/Vantageスタジオ/mixi事業部</v>
      </c>
      <c r="U109" s="58" t="str">
        <f t="array" ref="U109">XLOOKUP($A109,'source isilon_Projectまとめ'!$A:$A,'source isilon_Projectまとめ'!$C:$C,XLOOKUP($A109,'source NetApp-file-sv01～03-Proj'!$A:$A,'source NetApp-file-sv01～03-Proj'!$D:$D))</f>
        <v>2025/07/08</v>
      </c>
      <c r="V109" s="58" t="str">
        <f t="array" ref="V109">XLOOKUP($A109,'source isilon_Projectまとめ'!$A:$A,'source isilon_Projectまとめ'!$D:$D,XLOOKUP($A109,'source isilon-Project-du'!$A:$A,'source isilon-Project-du'!$C:$C))</f>
        <v>525.02GB</v>
      </c>
      <c r="W109" s="7" t="s">
        <v>2184</v>
      </c>
    </row>
    <row r="110">
      <c r="A110" s="8" t="s">
        <v>1455</v>
      </c>
      <c r="B110" s="8" t="s">
        <v>2394</v>
      </c>
      <c r="C110" s="37" t="s">
        <v>1456</v>
      </c>
      <c r="D110" s="7" t="s">
        <v>1457</v>
      </c>
      <c r="E110" s="7" t="s">
        <v>1458</v>
      </c>
      <c r="F110" s="37" t="str">
        <f t="array" ref="F110">XLOOKUP(E110,'従業員情報'!$A:$A,'従業員情報'!$N:$N,"×")</f>
        <v>株式会社MIXI/木村管掌/デジタルエンターテインメントオペレーションズ本部/モンスト運営部</v>
      </c>
      <c r="U110" s="58" t="str">
        <f t="array" ref="U110">XLOOKUP($A110,'source isilon_Projectまとめ'!$A:$A,'source isilon_Projectまとめ'!$C:$C,XLOOKUP($A110,'source NetApp-file-sv01～03-Proj'!$A:$A,'source NetApp-file-sv01～03-Proj'!$D:$D))</f>
        <v>2025/07/08</v>
      </c>
      <c r="V110" s="58" t="str">
        <f t="array" ref="V110">XLOOKUP($A110,'source isilon_Projectまとめ'!$A:$A,'source isilon_Projectまとめ'!$D:$D,XLOOKUP($A110,'source isilon-Project-du'!$A:$A,'source isilon-Project-du'!$C:$C))</f>
        <v>1.68GB</v>
      </c>
      <c r="W110" s="7" t="s">
        <v>2184</v>
      </c>
    </row>
    <row r="111">
      <c r="A111" s="8" t="s">
        <v>1478</v>
      </c>
      <c r="B111" s="8" t="s">
        <v>2394</v>
      </c>
      <c r="C111" s="37" t="s">
        <v>1479</v>
      </c>
      <c r="D111" s="7" t="s">
        <v>1480</v>
      </c>
      <c r="E111" s="7" t="s">
        <v>1481</v>
      </c>
      <c r="F111" s="37" t="str">
        <f t="array" ref="F111">XLOOKUP(E111,'従業員情報'!$A:$A,'従業員情報'!$N:$N,"×")</f>
        <v>株式会社MIXI/島村管掌/コーポレートファイナンス本部/経理税務部</v>
      </c>
      <c r="U111" s="58" t="str">
        <f t="array" ref="U111">XLOOKUP($A111,'source isilon_Projectまとめ'!$A:$A,'source isilon_Projectまとめ'!$C:$C,XLOOKUP($A111,'source NetApp-file-sv01～03-Proj'!$A:$A,'source NetApp-file-sv01～03-Proj'!$D:$D))</f>
        <v>2025/07/08</v>
      </c>
      <c r="V111" s="58" t="str">
        <f t="array" ref="V111">XLOOKUP($A111,'source isilon_Projectまとめ'!$A:$A,'source isilon_Projectまとめ'!$D:$D,XLOOKUP($A111,'source isilon-Project-du'!$A:$A,'source isilon-Project-du'!$C:$C))</f>
        <v>1149.15GB</v>
      </c>
      <c r="W111" s="7" t="s">
        <v>2184</v>
      </c>
    </row>
    <row r="112">
      <c r="A112" s="8" t="s">
        <v>1482</v>
      </c>
      <c r="B112" s="8" t="s">
        <v>992</v>
      </c>
      <c r="C112" s="37" t="s">
        <v>1483</v>
      </c>
      <c r="D112" s="37" t="s">
        <v>1311</v>
      </c>
      <c r="E112" s="7" t="s">
        <v>1484</v>
      </c>
      <c r="F112" s="37" t="s">
        <v>1311</v>
      </c>
      <c r="T112" s="37" t="s">
        <v>1053</v>
      </c>
      <c r="U112" s="58" t="str">
        <f t="array" ref="U112">XLOOKUP($A112,'source isilon_Projectまとめ'!$A:$A,'source isilon_Projectまとめ'!$C:$C,XLOOKUP($A112,'source NetApp-file-sv01～03-Proj'!$A:$A,'source NetApp-file-sv01～03-Proj'!$D:$D))</f>
        <v>2025/07/08</v>
      </c>
      <c r="V112" s="58" t="str">
        <f t="array" ref="V112">XLOOKUP($A112,'source isilon_Projectまとめ'!$A:$A,'source isilon_Projectまとめ'!$D:$D,XLOOKUP($A112,'source isilon-Project-du'!$A:$A,'source isilon-Project-du'!$C:$C))</f>
        <v>218.12GB</v>
      </c>
      <c r="W112" s="7" t="s">
        <v>2184</v>
      </c>
    </row>
    <row r="113">
      <c r="A113" s="8" t="s">
        <v>1489</v>
      </c>
      <c r="B113" s="8" t="s">
        <v>2394</v>
      </c>
      <c r="C113" s="7" t="s">
        <v>1490</v>
      </c>
      <c r="D113" s="7" t="s">
        <v>1491</v>
      </c>
      <c r="E113" s="7" t="s">
        <v>1492</v>
      </c>
      <c r="F113" s="37" t="str">
        <f t="array" ref="F113">XLOOKUP(E113,'従業員情報'!$A:$A,'従業員情報'!$N:$N,"×")</f>
        <v>株式会社MIXI/島村管掌/人事本部/グループ会社サポート部</v>
      </c>
      <c r="U113" s="58" t="str">
        <f t="array" ref="U113">XLOOKUP($A113,'source isilon_Projectまとめ'!$A:$A,'source isilon_Projectまとめ'!$C:$C,XLOOKUP($A113,'source NetApp-file-sv01～03-Proj'!$A:$A,'source NetApp-file-sv01～03-Proj'!$D:$D))</f>
        <v>2025/07/08</v>
      </c>
      <c r="V113" s="58" t="str">
        <f t="array" ref="V113">XLOOKUP($A113,'source isilon_Projectまとめ'!$A:$A,'source isilon_Projectまとめ'!$D:$D,XLOOKUP($A113,'source isilon-Project-du'!$A:$A,'source isilon-Project-du'!$C:$C))</f>
        <v>4.58GB</v>
      </c>
      <c r="W113" s="7" t="s">
        <v>2184</v>
      </c>
    </row>
    <row r="114">
      <c r="A114" s="8" t="s">
        <v>1529</v>
      </c>
      <c r="B114" s="8" t="s">
        <v>2394</v>
      </c>
      <c r="C114" s="37" t="s">
        <v>1530</v>
      </c>
      <c r="D114" s="7" t="s">
        <v>1531</v>
      </c>
      <c r="E114" s="7" t="s">
        <v>1532</v>
      </c>
      <c r="F114" s="37" t="str">
        <f t="array" ref="F114">XLOOKUP(E114,'従業員情報'!$A:$A,'従業員情報'!$N:$N,"×")</f>
        <v>株式会社MIXI/木村管掌/デジタルエンターテインメントオペレーションズ本部/モンスト運営部/コラボ推進グループ</v>
      </c>
      <c r="U114" s="58" t="str">
        <f t="array" ref="U114">XLOOKUP($A114,'source isilon_Projectまとめ'!$A:$A,'source isilon_Projectまとめ'!$C:$C,XLOOKUP($A114,'source NetApp-file-sv01～03-Proj'!$A:$A,'source NetApp-file-sv01～03-Proj'!$D:$D))</f>
        <v>2025/07/08</v>
      </c>
      <c r="V114" s="58" t="str">
        <f t="array" ref="V114">XLOOKUP($A114,'source isilon_Projectまとめ'!$A:$A,'source isilon_Projectまとめ'!$D:$D,XLOOKUP($A114,'source isilon-Project-du'!$A:$A,'source isilon-Project-du'!$C:$C))</f>
        <v>4881.30GB</v>
      </c>
      <c r="W114" s="7" t="s">
        <v>2184</v>
      </c>
    </row>
    <row r="115">
      <c r="A115" s="8" t="s">
        <v>1533</v>
      </c>
      <c r="B115" s="8" t="s">
        <v>2394</v>
      </c>
      <c r="C115" s="37" t="s">
        <v>1453</v>
      </c>
      <c r="D115" s="7" t="s">
        <v>422</v>
      </c>
      <c r="E115" s="7" t="s">
        <v>1454</v>
      </c>
      <c r="F115" s="37" t="str">
        <f t="array" ref="F115">XLOOKUP(E115,'従業員情報'!$A:$A,'従業員情報'!$N:$N,"×")</f>
        <v>株式会社MIXI/管掌役員なし/上級執行役員</v>
      </c>
      <c r="U115" s="58" t="str">
        <f t="array" ref="U115">XLOOKUP($A115,'source isilon_Projectまとめ'!$A:$A,'source isilon_Projectまとめ'!$C:$C,XLOOKUP($A115,'source NetApp-file-sv01～03-Proj'!$A:$A,'source NetApp-file-sv01～03-Proj'!$D:$D))</f>
        <v>2025/07/08</v>
      </c>
      <c r="V115" s="58" t="str">
        <f t="array" ref="V115">XLOOKUP($A115,'source isilon_Projectまとめ'!$A:$A,'source isilon_Projectまとめ'!$D:$D,XLOOKUP($A115,'source isilon-Project-du'!$A:$A,'source isilon-Project-du'!$C:$C))</f>
        <v>3.90GB</v>
      </c>
      <c r="W115" s="7" t="s">
        <v>2184</v>
      </c>
    </row>
    <row r="116">
      <c r="A116" s="8" t="s">
        <v>1576</v>
      </c>
      <c r="B116" s="8" t="s">
        <v>2394</v>
      </c>
      <c r="C116" s="37" t="s">
        <v>1577</v>
      </c>
      <c r="D116" s="7" t="s">
        <v>1578</v>
      </c>
      <c r="E116" s="7" t="s">
        <v>1579</v>
      </c>
      <c r="F116" s="37" t="str">
        <f t="array" ref="F116">XLOOKUP(E116,'従業員情報'!$A:$A,'従業員情報'!$N:$N,"×")</f>
        <v>株式会社MIXI/木村管掌/デジタルエンターテインメントオペレーションズ本部/モンストIPクリエイション部/PJ支援グループ</v>
      </c>
      <c r="U116" s="58" t="str">
        <f t="array" ref="U116">XLOOKUP($A116,'source isilon_Projectまとめ'!$A:$A,'source isilon_Projectまとめ'!$C:$C,XLOOKUP($A116,'source NetApp-file-sv01～03-Proj'!$A:$A,'source NetApp-file-sv01～03-Proj'!$D:$D))</f>
        <v>2025/07/08</v>
      </c>
      <c r="V116" s="58" t="str">
        <f t="array" ref="V116">XLOOKUP($A116,'source isilon_Projectまとめ'!$A:$A,'source isilon_Projectまとめ'!$D:$D,XLOOKUP($A116,'source isilon-Project-du'!$A:$A,'source isilon-Project-du'!$C:$C))</f>
        <v>9.20GB</v>
      </c>
      <c r="W116" s="7" t="s">
        <v>2184</v>
      </c>
    </row>
    <row r="117">
      <c r="A117" s="8" t="s">
        <v>1580</v>
      </c>
      <c r="B117" s="8" t="s">
        <v>2394</v>
      </c>
      <c r="C117" s="7" t="s">
        <v>1581</v>
      </c>
      <c r="D117" s="7" t="s">
        <v>1582</v>
      </c>
      <c r="E117" s="7" t="s">
        <v>1583</v>
      </c>
      <c r="F117" s="37" t="str">
        <f t="array" ref="F117">XLOOKUP(E117,'従業員情報'!$A:$A,'従業員情報'!$N:$N,"×")</f>
        <v>株式会社MIXI/村瀨管掌/はたらく環境推進本部/コーポレートエンジニアリング部</v>
      </c>
      <c r="U117" s="58" t="str">
        <f t="array" ref="U117">XLOOKUP($A117,'source isilon_Projectまとめ'!$A:$A,'source isilon_Projectまとめ'!$C:$C,XLOOKUP($A117,'source NetApp-file-sv01～03-Proj'!$A:$A,'source NetApp-file-sv01～03-Proj'!$D:$D))</f>
        <v>2025/07/08</v>
      </c>
      <c r="V117" s="58" t="str">
        <f t="array" ref="V117">XLOOKUP($A117,'source isilon_Projectまとめ'!$A:$A,'source isilon_Projectまとめ'!$D:$D,XLOOKUP($A117,'source isilon-Project-du'!$A:$A,'source isilon-Project-du'!$C:$C))</f>
        <v>221.86GB</v>
      </c>
      <c r="W117" s="7" t="s">
        <v>2184</v>
      </c>
    </row>
    <row r="118">
      <c r="A118" s="8" t="s">
        <v>1608</v>
      </c>
      <c r="B118" s="8" t="s">
        <v>2394</v>
      </c>
      <c r="C118" s="37" t="s">
        <v>1609</v>
      </c>
      <c r="D118" s="7" t="s">
        <v>1610</v>
      </c>
      <c r="E118" s="7" t="s">
        <v>1611</v>
      </c>
      <c r="F118" s="37" t="str">
        <f t="array" ref="F118">XLOOKUP(E118,'従業員情報'!$A:$A,'従業員情報'!$N:$N,"×")</f>
        <v>株式会社MIXI/村瀨管掌/デザイン本部/ブランドデザイン室/マネジメントグループ/バックオフィスチーム</v>
      </c>
      <c r="G118" s="7" t="s">
        <v>1612</v>
      </c>
      <c r="H118" s="37" t="str">
        <f t="array" ref="H118">XLOOKUP(G118,'従業員情報'!$A:$A,'従業員情報'!$N:$N,"×")</f>
        <v>株式会社MIXI/村瀨管掌/デザイン本部/ブランドデザイン室/マネジメントグループ/バックオフィスチーム</v>
      </c>
      <c r="U118" s="58" t="str">
        <f t="array" ref="U118">XLOOKUP($A118,'source isilon_Projectまとめ'!$A:$A,'source isilon_Projectまとめ'!$C:$C,XLOOKUP($A118,'source NetApp-file-sv01～03-Proj'!$A:$A,'source NetApp-file-sv01～03-Proj'!$D:$D))</f>
        <v>2025/07/08</v>
      </c>
      <c r="V118" s="58" t="str">
        <f t="array" ref="V118">XLOOKUP($A118,'source isilon_Projectまとめ'!$A:$A,'source isilon_Projectまとめ'!$D:$D,XLOOKUP($A118,'source isilon-Project-du'!$A:$A,'source isilon-Project-du'!$C:$C))</f>
        <v>16.61GB</v>
      </c>
      <c r="W118" s="7" t="s">
        <v>2184</v>
      </c>
    </row>
    <row r="119">
      <c r="A119" s="8" t="s">
        <v>1637</v>
      </c>
      <c r="B119" s="8" t="s">
        <v>2394</v>
      </c>
      <c r="C119" s="37" t="s">
        <v>1638</v>
      </c>
      <c r="D119" s="7" t="s">
        <v>478</v>
      </c>
      <c r="E119" s="7" t="s">
        <v>1639</v>
      </c>
      <c r="F119" s="37" t="str">
        <f t="array" ref="F119">XLOOKUP(E119,'従業員情報'!$A:$A,'従業員情報'!$N:$N,"×")</f>
        <v>株式会社MIXI/島村管掌/人事本部</v>
      </c>
      <c r="U119" s="58" t="str">
        <f t="array" ref="U119">XLOOKUP($A119,'source isilon_Projectまとめ'!$A:$A,'source isilon_Projectまとめ'!$C:$C,XLOOKUP($A119,'source NetApp-file-sv01～03-Proj'!$A:$A,'source NetApp-file-sv01～03-Proj'!$D:$D))</f>
        <v>2025/07/08</v>
      </c>
      <c r="V119" s="58" t="str">
        <f t="array" ref="V119">XLOOKUP($A119,'source isilon_Projectまとめ'!$A:$A,'source isilon_Projectまとめ'!$D:$D,XLOOKUP($A119,'source isilon-Project-du'!$A:$A,'source isilon-Project-du'!$C:$C))</f>
        <v>653.44GB</v>
      </c>
      <c r="W119" s="7" t="s">
        <v>2184</v>
      </c>
    </row>
    <row r="120">
      <c r="A120" s="8" t="s">
        <v>1648</v>
      </c>
      <c r="B120" s="8" t="s">
        <v>2394</v>
      </c>
      <c r="C120" s="37" t="s">
        <v>1453</v>
      </c>
      <c r="D120" s="7" t="s">
        <v>422</v>
      </c>
      <c r="E120" s="7" t="s">
        <v>1454</v>
      </c>
      <c r="F120" s="37" t="str">
        <f t="array" ref="F120">XLOOKUP(E120,'従業員情報'!$A:$A,'従業員情報'!$N:$N,"×")</f>
        <v>株式会社MIXI/管掌役員なし/上級執行役員</v>
      </c>
      <c r="U120" s="58" t="str">
        <f t="array" ref="U120">XLOOKUP($A120,'source isilon_Projectまとめ'!$A:$A,'source isilon_Projectまとめ'!$C:$C,XLOOKUP($A120,'source NetApp-file-sv01～03-Proj'!$A:$A,'source NetApp-file-sv01～03-Proj'!$D:$D))</f>
        <v>2025/07/08</v>
      </c>
      <c r="V120" s="58" t="str">
        <f t="array" ref="V120">XLOOKUP($A120,'source isilon_Projectまとめ'!$A:$A,'source isilon_Projectまとめ'!$D:$D,XLOOKUP($A120,'source isilon-Project-du'!$A:$A,'source isilon-Project-du'!$C:$C))</f>
        <v>90.44GB</v>
      </c>
      <c r="W120" s="7" t="s">
        <v>2184</v>
      </c>
    </row>
    <row r="121">
      <c r="A121" s="8" t="s">
        <v>1318</v>
      </c>
      <c r="B121" s="8" t="s">
        <v>2394</v>
      </c>
      <c r="C121" s="7" t="s">
        <v>1655</v>
      </c>
      <c r="D121" s="7" t="s">
        <v>1656</v>
      </c>
      <c r="E121" s="7" t="s">
        <v>1657</v>
      </c>
      <c r="F121" s="37" t="str">
        <f t="array" ref="F121">XLOOKUP(E121,'従業員情報'!$A:$A,'従業員情報'!$N:$N,"×")</f>
        <v>株式会社MIXI/島村管掌/人事本部/労務部</v>
      </c>
      <c r="U121" s="58" t="str">
        <f t="array" ref="U121">XLOOKUP($A121,'source isilon_Projectまとめ'!$A:$A,'source isilon_Projectまとめ'!$C:$C,XLOOKUP($A121,'source NetApp-file-sv01～03-Proj'!$A:$A,'source NetApp-file-sv01～03-Proj'!$D:$D))</f>
        <v>2025/07/08</v>
      </c>
      <c r="V121" s="58" t="str">
        <f t="array" ref="V121">XLOOKUP($A121,'source isilon_Projectまとめ'!$A:$A,'source isilon_Projectまとめ'!$D:$D,XLOOKUP($A121,'source isilon-Project-du'!$A:$A,'source isilon-Project-du'!$C:$C))</f>
        <v>210.56GB</v>
      </c>
      <c r="W121" s="7" t="s">
        <v>2184</v>
      </c>
    </row>
    <row r="122">
      <c r="A122" s="8" t="s">
        <v>1662</v>
      </c>
      <c r="B122" s="8" t="s">
        <v>2394</v>
      </c>
      <c r="C122" s="37" t="s">
        <v>1663</v>
      </c>
      <c r="D122" s="7" t="s">
        <v>1664</v>
      </c>
      <c r="E122" s="7" t="s">
        <v>1665</v>
      </c>
      <c r="F122" s="37" t="str">
        <f t="array" ref="F122">XLOOKUP(E122,'従業員情報'!$A:$A,'従業員情報'!$N:$N,"×")</f>
        <v>株式会社MIXI/笠原管掌/Vantageスタジオ/mixi事業部/パートナービジネスグループ</v>
      </c>
      <c r="U122" s="58" t="str">
        <f t="array" ref="U122">XLOOKUP($A122,'source isilon_Projectまとめ'!$A:$A,'source isilon_Projectまとめ'!$C:$C,XLOOKUP($A122,'source NetApp-file-sv01～03-Proj'!$A:$A,'source NetApp-file-sv01～03-Proj'!$D:$D))</f>
        <v>2025/07/08</v>
      </c>
      <c r="V122" s="58" t="str">
        <f t="array" ref="V122">XLOOKUP($A122,'source isilon_Projectまとめ'!$A:$A,'source isilon_Projectまとめ'!$D:$D,XLOOKUP($A122,'source isilon-Project-du'!$A:$A,'source isilon-Project-du'!$C:$C))</f>
        <v>17.04GB</v>
      </c>
      <c r="W122" s="7" t="s">
        <v>2184</v>
      </c>
    </row>
    <row r="123">
      <c r="A123" s="8" t="s">
        <v>1748</v>
      </c>
      <c r="B123" s="8" t="s">
        <v>2394</v>
      </c>
      <c r="C123" s="37" t="s">
        <v>1453</v>
      </c>
      <c r="D123" s="7" t="s">
        <v>422</v>
      </c>
      <c r="E123" s="7" t="s">
        <v>1454</v>
      </c>
      <c r="F123" s="37" t="str">
        <f t="array" ref="F123">XLOOKUP(E123,'従業員情報'!$A:$A,'従業員情報'!$N:$N,"×")</f>
        <v>株式会社MIXI/管掌役員なし/上級執行役員</v>
      </c>
      <c r="U123" s="58" t="str">
        <f t="array" ref="U123">XLOOKUP($A123,'source isilon_Projectまとめ'!$A:$A,'source isilon_Projectまとめ'!$C:$C,XLOOKUP($A123,'source NetApp-file-sv01～03-Proj'!$A:$A,'source NetApp-file-sv01～03-Proj'!$D:$D))</f>
        <v>2025/07/08</v>
      </c>
      <c r="V123" s="58" t="str">
        <f t="array" ref="V123">XLOOKUP($A123,'source isilon_Projectまとめ'!$A:$A,'source isilon_Projectまとめ'!$D:$D,XLOOKUP($A123,'source isilon-Project-du'!$A:$A,'source isilon-Project-du'!$C:$C))</f>
        <v>22.36GB</v>
      </c>
      <c r="W123" s="7" t="s">
        <v>2184</v>
      </c>
    </row>
    <row r="124">
      <c r="A124" s="8" t="s">
        <v>1667</v>
      </c>
      <c r="B124" s="8" t="s">
        <v>2394</v>
      </c>
      <c r="C124" s="37" t="s">
        <v>1668</v>
      </c>
      <c r="D124" s="7" t="s">
        <v>422</v>
      </c>
      <c r="E124" s="7" t="s">
        <v>1454</v>
      </c>
      <c r="F124" s="37" t="str">
        <f t="array" ref="F124">XLOOKUP(E124,'従業員情報'!$A:$A,'従業員情報'!$N:$N,"×")</f>
        <v>株式会社MIXI/管掌役員なし/上級執行役員</v>
      </c>
      <c r="U124" s="58" t="str">
        <f t="array" ref="U124">XLOOKUP($A124,'source isilon_Projectまとめ'!$A:$A,'source isilon_Projectまとめ'!$C:$C,XLOOKUP($A124,'source NetApp-file-sv01～03-Proj'!$A:$A,'source NetApp-file-sv01～03-Proj'!$D:$D))</f>
        <v>2025/07/07</v>
      </c>
      <c r="V124" s="58" t="str">
        <f t="array" ref="V124">XLOOKUP($A124,'source isilon_Projectまとめ'!$A:$A,'source isilon_Projectまとめ'!$D:$D,XLOOKUP($A124,'source isilon-Project-du'!$A:$A,'source isilon-Project-du'!$C:$C))</f>
        <v>120.32GB</v>
      </c>
      <c r="W124" s="7" t="s">
        <v>2184</v>
      </c>
    </row>
    <row r="125">
      <c r="A125" s="8" t="s">
        <v>1714</v>
      </c>
      <c r="B125" s="8" t="s">
        <v>2394</v>
      </c>
      <c r="C125" s="37" t="s">
        <v>1715</v>
      </c>
      <c r="D125" s="7" t="s">
        <v>1716</v>
      </c>
      <c r="E125" s="7" t="s">
        <v>1717</v>
      </c>
      <c r="F125" s="37" t="str">
        <f t="array" ref="F125">XLOOKUP(E125,'従業員情報'!$A:$A,'従業員情報'!$N:$N,"×")</f>
        <v>株式会社MIXI/木村管掌/デジタルエンターテインメントオペレーションズ本部/ファンマーケティング部/MD事業開発グループ/モンストア運営チーム</v>
      </c>
      <c r="U125" s="58" t="str">
        <f t="array" ref="U125">XLOOKUP($A125,'source isilon_Projectまとめ'!$A:$A,'source isilon_Projectまとめ'!$C:$C,XLOOKUP($A125,'source NetApp-file-sv01～03-Proj'!$A:$A,'source NetApp-file-sv01～03-Proj'!$D:$D))</f>
        <v>2025/07/07</v>
      </c>
      <c r="V125" s="58" t="str">
        <f t="array" ref="V125">XLOOKUP($A125,'source isilon_Projectまとめ'!$A:$A,'source isilon_Projectまとめ'!$D:$D,XLOOKUP($A125,'source isilon-Project-du'!$A:$A,'source isilon-Project-du'!$C:$C))</f>
        <v>2.35GB</v>
      </c>
      <c r="W125" s="7" t="s">
        <v>2184</v>
      </c>
    </row>
    <row r="126">
      <c r="A126" s="8" t="s">
        <v>1730</v>
      </c>
      <c r="B126" s="8" t="s">
        <v>2394</v>
      </c>
      <c r="C126" s="37" t="s">
        <v>1731</v>
      </c>
      <c r="D126" s="7" t="s">
        <v>1727</v>
      </c>
      <c r="E126" s="7" t="s">
        <v>1728</v>
      </c>
      <c r="F126" s="37" t="str">
        <f t="array" ref="F126">XLOOKUP(E126,'従業員情報'!$A:$A,'従業員情報'!$N:$N,"×")</f>
        <v>株式会社MIXI/島村管掌/人事本部/組織戦略部/事業HRBPグループ</v>
      </c>
      <c r="U126" s="58" t="str">
        <f t="array" ref="U126">XLOOKUP($A126,'source isilon_Projectまとめ'!$A:$A,'source isilon_Projectまとめ'!$C:$C,XLOOKUP($A126,'source NetApp-file-sv01～03-Proj'!$A:$A,'source NetApp-file-sv01～03-Proj'!$D:$D))</f>
        <v>2025/07/07</v>
      </c>
      <c r="V126" s="58" t="str">
        <f t="array" ref="V126">XLOOKUP($A126,'source isilon_Projectまとめ'!$A:$A,'source isilon_Projectまとめ'!$D:$D,XLOOKUP($A126,'source isilon-Project-du'!$A:$A,'source isilon-Project-du'!$C:$C))</f>
        <v>2.58GB</v>
      </c>
      <c r="W126" s="7" t="s">
        <v>2184</v>
      </c>
    </row>
    <row r="127">
      <c r="A127" s="8" t="s">
        <v>1722</v>
      </c>
      <c r="B127" s="8" t="s">
        <v>2394</v>
      </c>
      <c r="C127" s="37" t="s">
        <v>1723</v>
      </c>
      <c r="D127" s="7" t="s">
        <v>440</v>
      </c>
      <c r="E127" s="7" t="s">
        <v>1724</v>
      </c>
      <c r="F127" s="37" t="str">
        <f t="array" ref="F127">XLOOKUP(E127,'従業員情報'!$A:$A,'従業員情報'!$N:$N,"×")</f>
        <v>株式会社MIXI/島村管掌/経営推進本部</v>
      </c>
      <c r="U127" s="58" t="str">
        <f t="array" ref="U127">XLOOKUP($A127,'source isilon_Projectまとめ'!$A:$A,'source isilon_Projectまとめ'!$C:$C,XLOOKUP($A127,'source NetApp-file-sv01～03-Proj'!$A:$A,'source NetApp-file-sv01～03-Proj'!$D:$D))</f>
        <v>2025/07/04</v>
      </c>
      <c r="V127" s="58" t="str">
        <f t="array" ref="V127">XLOOKUP($A127,'source isilon_Projectまとめ'!$A:$A,'source isilon_Projectまとめ'!$D:$D,XLOOKUP($A127,'source isilon-Project-du'!$A:$A,'source isilon-Project-du'!$C:$C))</f>
        <v>17.54GB</v>
      </c>
      <c r="W127" s="7" t="s">
        <v>2184</v>
      </c>
    </row>
    <row r="128">
      <c r="A128" s="8" t="s">
        <v>1785</v>
      </c>
      <c r="B128" s="8" t="s">
        <v>2394</v>
      </c>
      <c r="C128" s="37" t="s">
        <v>1053</v>
      </c>
      <c r="E128" s="7" t="s">
        <v>1595</v>
      </c>
      <c r="F128" s="7" t="s">
        <v>298</v>
      </c>
      <c r="U128" s="58" t="str">
        <f t="array" ref="U128">XLOOKUP($A128,'source isilon_Projectまとめ'!$A:$A,'source isilon_Projectまとめ'!$C:$C,XLOOKUP($A128,'source NetApp-file-sv01～03-Proj'!$A:$A,'source NetApp-file-sv01～03-Proj'!$D:$D))</f>
        <v>2025/07/02</v>
      </c>
      <c r="V128" s="58" t="str">
        <f t="array" ref="V128">XLOOKUP($A128,'source isilon_Projectまとめ'!$A:$A,'source isilon_Projectまとめ'!$D:$D,XLOOKUP($A128,'source isilon-Project-du'!$A:$A,'source isilon-Project-du'!$C:$C))</f>
        <v>0.00GB</v>
      </c>
      <c r="W128" s="7" t="s">
        <v>2184</v>
      </c>
    </row>
    <row r="129">
      <c r="A129" s="8" t="s">
        <v>1417</v>
      </c>
      <c r="B129" s="8" t="s">
        <v>2394</v>
      </c>
      <c r="C129" s="37" t="s">
        <v>1418</v>
      </c>
      <c r="D129" s="7" t="s">
        <v>1419</v>
      </c>
      <c r="E129" s="7" t="s">
        <v>1418</v>
      </c>
      <c r="F129" s="37" t="str">
        <f t="array" ref="F129">XLOOKUP(E129,'従業員情報'!$A:$A,'従業員情報'!$N:$N,"×")</f>
        <v>株式会社MIXI/小林管掌/コンプライアンス本部/法務部/オペレーショングループ</v>
      </c>
      <c r="U129" s="58" t="str">
        <f t="array" ref="U129">XLOOKUP($A129,'source isilon_Projectまとめ'!$A:$A,'source isilon_Projectまとめ'!$C:$C,XLOOKUP($A129,'source NetApp-file-sv01～03-Proj'!$A:$A,'source NetApp-file-sv01～03-Proj'!$D:$D))</f>
        <v>2025/06/27</v>
      </c>
      <c r="V129" s="58" t="str">
        <f t="array" ref="V129">XLOOKUP($A129,'source isilon_Projectまとめ'!$A:$A,'source isilon_Projectまとめ'!$D:$D,XLOOKUP($A129,'source isilon-Project-du'!$A:$A,'source isilon-Project-du'!$C:$C))</f>
        <v>0.11GB</v>
      </c>
      <c r="W129" s="7" t="s">
        <v>2184</v>
      </c>
    </row>
    <row r="130">
      <c r="A130" s="8" t="s">
        <v>1811</v>
      </c>
      <c r="B130" s="8" t="s">
        <v>2394</v>
      </c>
      <c r="C130" s="37" t="s">
        <v>1812</v>
      </c>
      <c r="D130" s="7" t="s">
        <v>420</v>
      </c>
      <c r="E130" s="7" t="s">
        <v>1375</v>
      </c>
      <c r="F130" s="37" t="str">
        <f t="array" ref="F130">XLOOKUP(E130,'従業員情報'!$A:$A,'従業員情報'!$N:$N,"×")</f>
        <v>株式会社MIXI/管掌役員なし/取締役</v>
      </c>
      <c r="G130" s="7" t="s">
        <v>1788</v>
      </c>
      <c r="H130" s="37" t="str">
        <f t="array" ref="H130">XLOOKUP(G130,'従業員情報'!$A:$A,'従業員情報'!$N:$N,"×")</f>
        <v>株式会社MIXI/管掌役員なし/上級執行役員</v>
      </c>
      <c r="U130" s="58" t="str">
        <f t="array" ref="U130">XLOOKUP($A130,'source isilon_Projectまとめ'!$A:$A,'source isilon_Projectまとめ'!$C:$C,XLOOKUP($A130,'source NetApp-file-sv01～03-Proj'!$A:$A,'source NetApp-file-sv01～03-Proj'!$D:$D))</f>
        <v>2025/06/27</v>
      </c>
      <c r="V130" s="58" t="str">
        <f t="array" ref="V130">XLOOKUP($A130,'source isilon_Projectまとめ'!$A:$A,'source isilon_Projectまとめ'!$D:$D,XLOOKUP($A130,'source isilon-Project-du'!$A:$A,'source isilon-Project-du'!$C:$C))</f>
        <v>43.89GB</v>
      </c>
      <c r="W130" s="7" t="s">
        <v>2184</v>
      </c>
    </row>
    <row r="131">
      <c r="A131" s="8" t="s">
        <v>1774</v>
      </c>
      <c r="B131" s="8" t="s">
        <v>2394</v>
      </c>
      <c r="C131" s="37" t="s">
        <v>1775</v>
      </c>
      <c r="D131" s="7" t="s">
        <v>1582</v>
      </c>
      <c r="E131" s="7" t="s">
        <v>1583</v>
      </c>
      <c r="F131" s="37" t="str">
        <f t="array" ref="F131">XLOOKUP(E131,'従業員情報'!$A:$A,'従業員情報'!$N:$N,"×")</f>
        <v>株式会社MIXI/村瀨管掌/はたらく環境推進本部/コーポレートエンジニアリング部</v>
      </c>
      <c r="U131" s="58" t="str">
        <f t="array" ref="U131">XLOOKUP($A131,'source isilon_Projectまとめ'!$A:$A,'source isilon_Projectまとめ'!$C:$C,XLOOKUP($A131,'source NetApp-file-sv01～03-Proj'!$A:$A,'source NetApp-file-sv01～03-Proj'!$D:$D))</f>
        <v>2025/06/25</v>
      </c>
      <c r="V131" s="58" t="str">
        <f t="array" ref="V131">XLOOKUP($A131,'source isilon_Projectまとめ'!$A:$A,'source isilon_Projectまとめ'!$D:$D,XLOOKUP($A131,'source isilon-Project-du'!$A:$A,'source isilon-Project-du'!$C:$C))</f>
        <v>1266.35GB</v>
      </c>
      <c r="W131" s="7" t="s">
        <v>2184</v>
      </c>
    </row>
    <row r="132">
      <c r="A132" s="8" t="s">
        <v>1607</v>
      </c>
      <c r="B132" s="8" t="s">
        <v>994</v>
      </c>
      <c r="C132" s="37" t="s">
        <v>1053</v>
      </c>
      <c r="E132" s="37" t="s">
        <v>1053</v>
      </c>
      <c r="U132" s="58" t="str">
        <f t="array" ref="U132">XLOOKUP($A132,'source isilon_Projectまとめ'!$A:$A,'source isilon_Projectまとめ'!$C:$C,XLOOKUP($A132,'source NetApp-file-sv01～03-Proj'!$A:$A,'source NetApp-file-sv01～03-Proj'!$D:$D))</f>
        <v>2025/06/24</v>
      </c>
      <c r="V132" s="58" t="str">
        <f t="array" ref="V132">XLOOKUP($A132,'source isilon_Projectまとめ'!$A:$A,'source isilon_Projectまとめ'!$D:$D,XLOOKUP($A132,'source isilon-Project-du'!$A:$A,'source isilon-Project-du'!$C:$C))</f>
        <v>193.12GB</v>
      </c>
      <c r="W132" s="7" t="s">
        <v>2184</v>
      </c>
    </row>
    <row r="133">
      <c r="A133" s="8" t="s">
        <v>1462</v>
      </c>
      <c r="B133" s="8" t="s">
        <v>2394</v>
      </c>
      <c r="C133" s="37" t="s">
        <v>1463</v>
      </c>
      <c r="D133" s="7" t="s">
        <v>1464</v>
      </c>
      <c r="E133" s="7" t="s">
        <v>1465</v>
      </c>
      <c r="F133" s="37" t="str">
        <f t="array" ref="F133">XLOOKUP(E133,'従業員情報'!$A:$A,'従業員情報'!$N:$N,"×")</f>
        <v>株式会社MIXI/村瀨管掌/デザイン本部/動画クリエイティブ室</v>
      </c>
      <c r="U133" s="58" t="str">
        <f t="array" ref="U133">XLOOKUP($A133,'source isilon_Projectまとめ'!$A:$A,'source isilon_Projectまとめ'!$C:$C,XLOOKUP($A133,'source NetApp-file-sv01～03-Proj'!$A:$A,'source NetApp-file-sv01～03-Proj'!$D:$D))</f>
        <v>2025/06/23</v>
      </c>
      <c r="V133" s="58" t="str">
        <f t="array" ref="V133">XLOOKUP($A133,'source isilon_Projectまとめ'!$A:$A,'source isilon_Projectまとめ'!$D:$D,XLOOKUP($A133,'source isilon-Project-du'!$A:$A,'source isilon-Project-du'!$C:$C))</f>
        <v>13579.15GB</v>
      </c>
      <c r="W133" s="7" t="s">
        <v>2184</v>
      </c>
    </row>
    <row r="134">
      <c r="A134" s="8" t="s">
        <v>1698</v>
      </c>
      <c r="B134" s="8" t="s">
        <v>2394</v>
      </c>
      <c r="C134" s="7" t="s">
        <v>1699</v>
      </c>
      <c r="D134" s="7" t="s">
        <v>1464</v>
      </c>
      <c r="E134" s="7" t="s">
        <v>1465</v>
      </c>
      <c r="F134" s="37" t="str">
        <f t="array" ref="F134">XLOOKUP(E134,'従業員情報'!$A:$A,'従業員情報'!$N:$N,"×")</f>
        <v>株式会社MIXI/村瀨管掌/デザイン本部/動画クリエイティブ室</v>
      </c>
      <c r="U134" s="58" t="str">
        <f t="array" ref="U134">XLOOKUP($A134,'source isilon_Projectまとめ'!$A:$A,'source isilon_Projectまとめ'!$C:$C,XLOOKUP($A134,'source NetApp-file-sv01～03-Proj'!$A:$A,'source NetApp-file-sv01～03-Proj'!$D:$D))</f>
        <v>2025/06/13</v>
      </c>
      <c r="V134" s="58" t="str">
        <f t="array" ref="V134">XLOOKUP($A134,'source isilon_Projectまとめ'!$A:$A,'source isilon_Projectまとめ'!$D:$D,XLOOKUP($A134,'source isilon-Project-du'!$A:$A,'source isilon-Project-du'!$C:$C))</f>
        <v>9922.15GB</v>
      </c>
      <c r="W134" s="7" t="s">
        <v>2184</v>
      </c>
    </row>
    <row r="135">
      <c r="A135" s="8" t="s">
        <v>1806</v>
      </c>
      <c r="B135" s="8" t="s">
        <v>2394</v>
      </c>
      <c r="C135" s="37" t="s">
        <v>1467</v>
      </c>
      <c r="D135" s="7" t="s">
        <v>1468</v>
      </c>
      <c r="E135" s="7" t="s">
        <v>1469</v>
      </c>
      <c r="F135" s="37" t="str">
        <f t="array" ref="F135">XLOOKUP(E135,'従業員情報'!$A:$A,'従業員情報'!$N:$N,"×")</f>
        <v>株式会社MIXI/笠原管掌/Vantageスタジオ/事業推進室</v>
      </c>
      <c r="U135" s="58" t="str">
        <f t="array" ref="U135">XLOOKUP($A135,'source isilon_Projectまとめ'!$A:$A,'source isilon_Projectまとめ'!$C:$C,XLOOKUP($A135,'source NetApp-file-sv01～03-Proj'!$A:$A,'source NetApp-file-sv01～03-Proj'!$D:$D))</f>
        <v>2025/06/02</v>
      </c>
      <c r="V135" s="58" t="str">
        <f t="array" ref="V135">XLOOKUP($A135,'source isilon_Projectまとめ'!$A:$A,'source isilon_Projectまとめ'!$D:$D,XLOOKUP($A135,'source isilon-Project-du'!$A:$A,'source isilon-Project-du'!$C:$C))</f>
        <v>1230.15GB</v>
      </c>
      <c r="W135" s="7" t="s">
        <v>2184</v>
      </c>
    </row>
    <row r="136">
      <c r="A136" s="8" t="s">
        <v>1713</v>
      </c>
      <c r="B136" s="8" t="s">
        <v>2394</v>
      </c>
      <c r="C136" s="37" t="s">
        <v>1668</v>
      </c>
      <c r="D136" s="7" t="s">
        <v>422</v>
      </c>
      <c r="E136" s="7" t="s">
        <v>1454</v>
      </c>
      <c r="F136" s="37" t="str">
        <f t="array" ref="F136">XLOOKUP(E136,'従業員情報'!$A:$A,'従業員情報'!$N:$N,"×")</f>
        <v>株式会社MIXI/管掌役員なし/上級執行役員</v>
      </c>
      <c r="U136" s="58" t="str">
        <f t="array" ref="U136">XLOOKUP($A136,'source isilon_Projectまとめ'!$A:$A,'source isilon_Projectまとめ'!$C:$C,XLOOKUP($A136,'source NetApp-file-sv01～03-Proj'!$A:$A,'source NetApp-file-sv01～03-Proj'!$D:$D))</f>
        <v>2025/05/30</v>
      </c>
      <c r="V136" s="58" t="str">
        <f t="array" ref="V136">XLOOKUP($A136,'source isilon_Projectまとめ'!$A:$A,'source isilon_Projectまとめ'!$D:$D,XLOOKUP($A136,'source isilon-Project-du'!$A:$A,'source isilon-Project-du'!$C:$C))</f>
        <v>13.25GB</v>
      </c>
      <c r="W136" s="7" t="s">
        <v>2184</v>
      </c>
    </row>
    <row r="137">
      <c r="A137" s="8" t="s">
        <v>1534</v>
      </c>
      <c r="B137" s="8" t="s">
        <v>2821</v>
      </c>
      <c r="C137" s="37" t="s">
        <v>1535</v>
      </c>
      <c r="D137" s="37" t="s">
        <v>1536</v>
      </c>
      <c r="E137" s="7" t="s">
        <v>1537</v>
      </c>
      <c r="F137" s="37" t="s">
        <v>1053</v>
      </c>
      <c r="T137" s="37" t="s">
        <v>1053</v>
      </c>
      <c r="U137" s="58" t="str">
        <f t="array" ref="U137">XLOOKUP($A137,'source isilon_Projectまとめ'!$A:$A,'source isilon_Projectまとめ'!$C:$C,XLOOKUP($A137,'source NetApp-file-sv01～03-Proj'!$A:$A,'source NetApp-file-sv01～03-Proj'!$D:$D))</f>
        <v>2025/05/27</v>
      </c>
      <c r="V137" s="58" t="str">
        <f t="array" ref="V137">XLOOKUP($A137,'source isilon_Projectまとめ'!$A:$A,'source isilon_Projectまとめ'!$D:$D,XLOOKUP($A137,'source isilon-Project-du'!$A:$A,'source isilon-Project-du'!$C:$C))</f>
        <v>418.02GB</v>
      </c>
      <c r="W137" s="7" t="s">
        <v>2184</v>
      </c>
    </row>
    <row r="138">
      <c r="A138" s="8" t="s">
        <v>1751</v>
      </c>
      <c r="B138" s="8" t="s">
        <v>2394</v>
      </c>
      <c r="C138" s="37" t="s">
        <v>1752</v>
      </c>
      <c r="D138" s="7" t="s">
        <v>1753</v>
      </c>
      <c r="E138" s="7" t="s">
        <v>1754</v>
      </c>
      <c r="F138" s="37" t="str">
        <f t="array" ref="F138">XLOOKUP(E138,'従業員情報'!$A:$A,'従業員情報'!$N:$N,"×")</f>
        <v>株式会社MIXI/木村管掌/デジタルエンターテインメントオペレーションズ本部/事業戦略部/IPマーケティンググループ</v>
      </c>
      <c r="U138" s="58" t="str">
        <f t="array" ref="U138">XLOOKUP($A138,'source isilon_Projectまとめ'!$A:$A,'source isilon_Projectまとめ'!$C:$C,XLOOKUP($A138,'source NetApp-file-sv01～03-Proj'!$A:$A,'source NetApp-file-sv01～03-Proj'!$D:$D))</f>
        <v>2025/05/07</v>
      </c>
      <c r="V138" s="58" t="str">
        <f t="array" ref="V138">XLOOKUP($A138,'source isilon_Projectまとめ'!$A:$A,'source isilon_Projectまとめ'!$D:$D,XLOOKUP($A138,'source isilon-Project-du'!$A:$A,'source isilon-Project-du'!$C:$C))</f>
        <v>48116.43GB</v>
      </c>
      <c r="W138" s="7" t="s">
        <v>2184</v>
      </c>
    </row>
    <row r="139">
      <c r="A139" s="8" t="s">
        <v>1666</v>
      </c>
      <c r="B139" s="8" t="s">
        <v>2394</v>
      </c>
      <c r="C139" s="37" t="s">
        <v>1421</v>
      </c>
      <c r="D139" s="7" t="s">
        <v>1422</v>
      </c>
      <c r="E139" s="7" t="s">
        <v>1423</v>
      </c>
      <c r="F139" s="37" t="str">
        <f t="array" ref="F139">XLOOKUP(E139,'従業員情報'!$A:$A,'従業員情報'!$N:$N,"×")</f>
        <v>株式会社MIXI/笠原管掌/Vantageスタジオ/mixi事業部</v>
      </c>
      <c r="U139" s="58" t="str">
        <f t="array" ref="U139">XLOOKUP($A139,'source isilon_Projectまとめ'!$A:$A,'source isilon_Projectまとめ'!$C:$C,XLOOKUP($A139,'source NetApp-file-sv01～03-Proj'!$A:$A,'source NetApp-file-sv01～03-Proj'!$D:$D))</f>
        <v>2025/04/10</v>
      </c>
      <c r="V139" s="58" t="str">
        <f t="array" ref="V139">XLOOKUP($A139,'source isilon_Projectまとめ'!$A:$A,'source isilon_Projectまとめ'!$D:$D,XLOOKUP($A139,'source isilon-Project-du'!$A:$A,'source isilon-Project-du'!$C:$C))</f>
        <v>0.12GB</v>
      </c>
      <c r="W139" s="7" t="s">
        <v>2184</v>
      </c>
    </row>
    <row r="140">
      <c r="A140" s="8" t="s">
        <v>1800</v>
      </c>
      <c r="B140" s="8" t="s">
        <v>2394</v>
      </c>
      <c r="C140" s="37" t="s">
        <v>1801</v>
      </c>
      <c r="D140" s="7" t="s">
        <v>1802</v>
      </c>
      <c r="E140" s="7" t="s">
        <v>1803</v>
      </c>
      <c r="F140" s="37" t="str">
        <f t="array" ref="F140">XLOOKUP(E140,'従業員情報'!$A:$A,'従業員情報'!$N:$N,"×")</f>
        <v>株式会社MIXI/木村管掌/デジタルエンターテインメントオペレーションズ本部/宣伝部/海外プロモーショングループ</v>
      </c>
      <c r="G140" s="7" t="s">
        <v>1805</v>
      </c>
      <c r="H140" s="37" t="str">
        <f t="array" ref="H140">XLOOKUP(G140,'従業員情報'!$A:$A,'従業員情報'!$N:$N,"×")</f>
        <v>株式会社MIXI/奥山管掌/ソーシャルベッティング事業本部/TIPSTAR事業部/プロダクト戦略グループ/マーケティングチーム</v>
      </c>
      <c r="U140" s="58" t="str">
        <f t="array" ref="U140">XLOOKUP($A140,'source isilon_Projectまとめ'!$A:$A,'source isilon_Projectまとめ'!$C:$C,XLOOKUP($A140,'source NetApp-file-sv01～03-Proj'!$A:$A,'source NetApp-file-sv01～03-Proj'!$D:$D))</f>
        <v>2025/04/07</v>
      </c>
      <c r="V140" s="58" t="str">
        <f t="array" ref="V140">XLOOKUP($A140,'source isilon_Projectまとめ'!$A:$A,'source isilon_Projectまとめ'!$D:$D,XLOOKUP($A140,'source isilon-Project-du'!$A:$A,'source isilon-Project-du'!$C:$C))</f>
        <v>0.12GB</v>
      </c>
      <c r="W140" s="7" t="s">
        <v>2184</v>
      </c>
    </row>
    <row r="141">
      <c r="A141" s="8" t="s">
        <v>1554</v>
      </c>
      <c r="B141" s="8" t="s">
        <v>2394</v>
      </c>
      <c r="C141" s="37" t="s">
        <v>1555</v>
      </c>
      <c r="D141" s="7" t="s">
        <v>1556</v>
      </c>
      <c r="E141" s="7" t="s">
        <v>1557</v>
      </c>
      <c r="F141" s="37" t="str">
        <f t="array" ref="F141">XLOOKUP(E141,'従業員情報'!$A:$A,'従業員情報'!$N:$N,"×")</f>
        <v>株式会社MIXI/村瀨管掌/はたらく環境推進本部/ビジネスサポート室/インフォメーションハブグループ</v>
      </c>
      <c r="U141" s="58" t="str">
        <f t="array" ref="U141">XLOOKUP($A141,'source isilon_Projectまとめ'!$A:$A,'source isilon_Projectまとめ'!$C:$C,XLOOKUP($A141,'source NetApp-file-sv01～03-Proj'!$A:$A,'source NetApp-file-sv01～03-Proj'!$D:$D))</f>
        <v>2025/03/27</v>
      </c>
      <c r="V141" s="58" t="str">
        <f t="array" ref="V141">XLOOKUP($A141,'source isilon_Projectまとめ'!$A:$A,'source isilon_Projectまとめ'!$D:$D,XLOOKUP($A141,'source isilon-Project-du'!$A:$A,'source isilon-Project-du'!$C:$C))</f>
        <v>15805.60GB</v>
      </c>
      <c r="W141" s="7" t="s">
        <v>2184</v>
      </c>
    </row>
    <row r="142">
      <c r="A142" s="8" t="s">
        <v>1436</v>
      </c>
      <c r="B142" s="8" t="s">
        <v>2394</v>
      </c>
      <c r="C142" s="37" t="s">
        <v>1437</v>
      </c>
      <c r="D142" s="7" t="s">
        <v>1438</v>
      </c>
      <c r="E142" s="7" t="s">
        <v>1439</v>
      </c>
      <c r="F142" s="37" t="str">
        <f t="array" ref="F142">XLOOKUP(E142,'従業員情報'!$A:$A,'従業員情報'!$N:$N,"×")</f>
        <v>株式会社MIXI/島村管掌/人事本部/組織戦略部/横断HRBPグループ</v>
      </c>
      <c r="U142" s="58" t="str">
        <f t="array" ref="U142">XLOOKUP($A142,'source isilon_Projectまとめ'!$A:$A,'source isilon_Projectまとめ'!$C:$C,XLOOKUP($A142,'source NetApp-file-sv01～03-Proj'!$A:$A,'source NetApp-file-sv01～03-Proj'!$D:$D))</f>
        <v>2025/03/25</v>
      </c>
      <c r="V142" s="58" t="str">
        <f t="array" ref="V142">XLOOKUP($A142,'source isilon_Projectまとめ'!$A:$A,'source isilon_Projectまとめ'!$D:$D,XLOOKUP($A142,'source isilon-Project-du'!$A:$A,'source isilon-Project-du'!$C:$C))</f>
        <v>0.06GB</v>
      </c>
      <c r="W142" s="7" t="s">
        <v>2184</v>
      </c>
    </row>
    <row r="143">
      <c r="A143" s="8" t="s">
        <v>1596</v>
      </c>
      <c r="B143" s="8" t="s">
        <v>2394</v>
      </c>
      <c r="C143" s="37" t="s">
        <v>1597</v>
      </c>
      <c r="D143" s="7" t="s">
        <v>1438</v>
      </c>
      <c r="E143" s="7" t="s">
        <v>1439</v>
      </c>
      <c r="F143" s="37" t="str">
        <f t="array" ref="F143">XLOOKUP(E143,'従業員情報'!$A:$A,'従業員情報'!$N:$N,"×")</f>
        <v>株式会社MIXI/島村管掌/人事本部/組織戦略部/横断HRBPグループ</v>
      </c>
      <c r="U143" s="58" t="str">
        <f t="array" ref="U143">XLOOKUP($A143,'source isilon_Projectまとめ'!$A:$A,'source isilon_Projectまとめ'!$C:$C,XLOOKUP($A143,'source NetApp-file-sv01～03-Proj'!$A:$A,'source NetApp-file-sv01～03-Proj'!$D:$D))</f>
        <v>2025/03/21</v>
      </c>
      <c r="V143" s="58" t="str">
        <f t="array" ref="V143">XLOOKUP($A143,'source isilon_Projectまとめ'!$A:$A,'source isilon_Projectまとめ'!$D:$D,XLOOKUP($A143,'source isilon-Project-du'!$A:$A,'source isilon-Project-du'!$C:$C))</f>
        <v>2.90GB</v>
      </c>
      <c r="W143" s="7" t="s">
        <v>2184</v>
      </c>
    </row>
    <row r="144">
      <c r="A144" s="8" t="s">
        <v>1647</v>
      </c>
      <c r="B144" s="8" t="s">
        <v>2394</v>
      </c>
      <c r="C144" s="37" t="s">
        <v>1509</v>
      </c>
      <c r="D144" s="7" t="s">
        <v>693</v>
      </c>
      <c r="E144" s="7" t="s">
        <v>1510</v>
      </c>
      <c r="F144" s="37" t="str">
        <f t="array" ref="F144">XLOOKUP(E144,'従業員情報'!$A:$A,'従業員情報'!$N:$N,"×")</f>
        <v>株式会社MIXI/村瀨管掌/デザイン本部</v>
      </c>
      <c r="U144" s="58" t="str">
        <f t="array" ref="U144">XLOOKUP($A144,'source isilon_Projectまとめ'!$A:$A,'source isilon_Projectまとめ'!$C:$C,XLOOKUP($A144,'source NetApp-file-sv01～03-Proj'!$A:$A,'source NetApp-file-sv01～03-Proj'!$D:$D))</f>
        <v>2025/03/06</v>
      </c>
      <c r="V144" s="58" t="str">
        <f t="array" ref="V144">XLOOKUP($A144,'source isilon_Projectまとめ'!$A:$A,'source isilon_Projectまとめ'!$D:$D,XLOOKUP($A144,'source isilon-Project-du'!$A:$A,'source isilon-Project-du'!$C:$C))</f>
        <v>1175.80GB</v>
      </c>
      <c r="W144" s="7" t="s">
        <v>2184</v>
      </c>
    </row>
    <row r="145">
      <c r="A145" s="8" t="s">
        <v>1558</v>
      </c>
      <c r="B145" s="8" t="s">
        <v>2394</v>
      </c>
      <c r="C145" s="37" t="s">
        <v>1559</v>
      </c>
      <c r="D145" s="7" t="s">
        <v>1560</v>
      </c>
      <c r="E145" s="7" t="s">
        <v>1561</v>
      </c>
      <c r="F145" s="37" t="str">
        <f t="array" ref="F145">XLOOKUP(E145,'従業員情報'!$A:$A,'従業員情報'!$N:$N,"×")</f>
        <v>株式会社MIXI/村瀨管掌/デザイン本部/テクニカルデザイン室</v>
      </c>
      <c r="U145" s="58" t="str">
        <f t="array" ref="U145">XLOOKUP($A145,'source isilon_Projectまとめ'!$A:$A,'source isilon_Projectまとめ'!$C:$C,XLOOKUP($A145,'source NetApp-file-sv01～03-Proj'!$A:$A,'source NetApp-file-sv01～03-Proj'!$D:$D))</f>
        <v>2025/01/30</v>
      </c>
      <c r="V145" s="58" t="str">
        <f t="array" ref="V145">XLOOKUP($A145,'source isilon_Projectまとめ'!$A:$A,'source isilon_Projectまとめ'!$D:$D,XLOOKUP($A145,'source isilon-Project-du'!$A:$A,'source isilon-Project-du'!$C:$C))</f>
        <v>27.01GB</v>
      </c>
      <c r="W145" s="7" t="s">
        <v>2184</v>
      </c>
    </row>
    <row r="146">
      <c r="A146" s="8" t="s">
        <v>1815</v>
      </c>
      <c r="B146" s="8" t="s">
        <v>2394</v>
      </c>
      <c r="C146" s="7" t="s">
        <v>1816</v>
      </c>
      <c r="D146" s="7" t="s">
        <v>1817</v>
      </c>
      <c r="E146" s="7" t="s">
        <v>1818</v>
      </c>
      <c r="F146" s="37" t="str">
        <f t="array" ref="F146">XLOOKUP(E146,'従業員情報'!$A:$A,'従業員情報'!$N:$N,"×")</f>
        <v>株式会社MIXI/村瀨管掌/はたらく環境推進本部/コーポレートITサービス部/バックオフィスグループ</v>
      </c>
      <c r="U146" s="58" t="str">
        <f t="array" ref="U146">XLOOKUP($A146,'source isilon_Projectまとめ'!$A:$A,'source isilon_Projectまとめ'!$C:$C,XLOOKUP($A146,'source NetApp-file-sv01～03-Proj'!$A:$A,'source NetApp-file-sv01～03-Proj'!$D:$D))</f>
        <v>2024/06/18</v>
      </c>
      <c r="V146" s="58" t="str">
        <f t="array" ref="V146">XLOOKUP($A146,'source isilon_Projectまとめ'!$A:$A,'source isilon_Projectまとめ'!$D:$D,XLOOKUP($A146,'source isilon-Project-du'!$A:$A,'source isilon-Project-du'!$C:$C))</f>
        <v>1.17GB</v>
      </c>
      <c r="W146" s="7" t="s">
        <v>2184</v>
      </c>
    </row>
    <row r="147">
      <c r="A147" s="8" t="s">
        <v>1441</v>
      </c>
      <c r="B147" s="8" t="s">
        <v>2394</v>
      </c>
      <c r="C147" s="7" t="s">
        <v>1442</v>
      </c>
      <c r="D147" s="7" t="s">
        <v>1443</v>
      </c>
      <c r="E147" s="7" t="s">
        <v>1444</v>
      </c>
      <c r="F147" s="37" t="str">
        <f t="array" ref="F147">XLOOKUP(E147,'従業員情報'!$A:$A,'従業員情報'!$N:$N,"×")</f>
        <v>株式会社MIXI/村瀨管掌/開発本部/たんぽぽ室/ブルーグループ</v>
      </c>
      <c r="G147" s="7" t="s">
        <v>1445</v>
      </c>
      <c r="H147" s="37" t="str">
        <f t="array" ref="H147">XLOOKUP(G147,'退職者'!C:C,'退職者'!A:A,"×")</f>
        <v>ファンマーケティング部</v>
      </c>
      <c r="I147" s="7" t="s">
        <v>2404</v>
      </c>
      <c r="J147" s="37" t="str">
        <f t="array" ref="J147">XLOOKUP(I147,'従業員情報'!$A:$A,'従業員情報'!$N:$N,"×")</f>
        <v>株式会社MIXI/村瀨管掌/開発本部/CTO室/クライアントグループ</v>
      </c>
      <c r="U147" s="58" t="str">
        <f t="array" ref="U147">XLOOKUP($A147,'source isilon_Projectまとめ'!$A:$A,'source isilon_Projectまとめ'!$C:$C,XLOOKUP($A147,'source NetApp-file-sv01～03-Proj'!$A:$A,'source NetApp-file-sv01～03-Proj'!$D:$D))</f>
        <v>2024/04/12</v>
      </c>
      <c r="V147" s="58" t="str">
        <f t="array" ref="V147">XLOOKUP($A147,'source isilon_Projectまとめ'!$A:$A,'source isilon_Projectまとめ'!$D:$D,XLOOKUP($A147,'source isilon-Project-du'!$A:$A,'source isilon-Project-du'!$C:$C))</f>
        <v>61.19GB</v>
      </c>
      <c r="W147" s="7" t="s">
        <v>2184</v>
      </c>
    </row>
    <row r="148">
      <c r="A148" s="8" t="s">
        <v>1732</v>
      </c>
      <c r="B148" s="8" t="s">
        <v>2394</v>
      </c>
      <c r="C148" s="7" t="s">
        <v>1733</v>
      </c>
      <c r="D148" s="7" t="s">
        <v>1491</v>
      </c>
      <c r="E148" s="7" t="s">
        <v>1492</v>
      </c>
      <c r="F148" s="37" t="str">
        <f t="array" ref="F148">XLOOKUP(E148,'従業員情報'!$A:$A,'従業員情報'!$N:$N,"×")</f>
        <v>株式会社MIXI/島村管掌/人事本部/グループ会社サポート部</v>
      </c>
      <c r="U148" s="58" t="str">
        <f t="array" ref="U148">XLOOKUP($A148,'source isilon_Projectまとめ'!$A:$A,'source isilon_Projectまとめ'!$C:$C,XLOOKUP($A148,'source NetApp-file-sv01～03-Proj'!$A:$A,'source NetApp-file-sv01～03-Proj'!$D:$D))</f>
        <v>2024/04/11</v>
      </c>
      <c r="V148" s="58" t="str">
        <f t="array" ref="V148">XLOOKUP($A148,'source isilon_Projectまとめ'!$A:$A,'source isilon_Projectまとめ'!$D:$D,XLOOKUP($A148,'source isilon-Project-du'!$A:$A,'source isilon-Project-du'!$C:$C))</f>
        <v>1.25GB</v>
      </c>
      <c r="W148" s="7" t="s">
        <v>2184</v>
      </c>
    </row>
    <row r="149">
      <c r="A149" s="8" t="s">
        <v>1740</v>
      </c>
      <c r="B149" s="8" t="s">
        <v>2394</v>
      </c>
      <c r="C149" s="37" t="s">
        <v>1741</v>
      </c>
      <c r="D149" s="7" t="s">
        <v>1742</v>
      </c>
      <c r="E149" s="7" t="s">
        <v>1743</v>
      </c>
      <c r="F149" s="37" t="str">
        <f t="array" ref="F149">XLOOKUP(E149,'従業員情報'!$A:$A,'従業員情報'!$N:$N,"×")</f>
        <v>株式会社MIXI/村瀨管掌/デザイン本部/テクニカルデザイン室/テクニカルデザイングループ/R&amp;Dチーム</v>
      </c>
      <c r="U149" s="58" t="str">
        <f t="array" ref="U149">XLOOKUP($A149,'source isilon_Projectまとめ'!$A:$A,'source isilon_Projectまとめ'!$C:$C,XLOOKUP($A149,'source NetApp-file-sv01～03-Proj'!$A:$A,'source NetApp-file-sv01～03-Proj'!$D:$D))</f>
        <v>2024/04/09</v>
      </c>
      <c r="V149" s="58" t="str">
        <f t="array" ref="V149">XLOOKUP($A149,'source isilon_Projectまとめ'!$A:$A,'source isilon_Projectまとめ'!$D:$D,XLOOKUP($A149,'source isilon-Project-du'!$A:$A,'source isilon-Project-du'!$C:$C))</f>
        <v>48.40GB</v>
      </c>
      <c r="W149" s="7" t="s">
        <v>2184</v>
      </c>
    </row>
    <row r="150">
      <c r="A150" s="8" t="s">
        <v>1755</v>
      </c>
      <c r="B150" s="8" t="s">
        <v>2394</v>
      </c>
      <c r="C150" s="37" t="s">
        <v>1756</v>
      </c>
      <c r="D150" s="7" t="s">
        <v>1757</v>
      </c>
      <c r="E150" s="7" t="s">
        <v>1758</v>
      </c>
      <c r="F150" s="37" t="str">
        <f t="array" ref="F150">XLOOKUP(E150,'従業員情報'!$A:$A,'従業員情報'!$N:$N,"×")</f>
        <v>株式会社MIXI/村瀨管掌/デザイン本部/動画クリエイティブ室/CGデザイングループ</v>
      </c>
      <c r="U150" s="58" t="str">
        <f t="array" ref="U150">XLOOKUP($A150,'source isilon_Projectまとめ'!$A:$A,'source isilon_Projectまとめ'!$C:$C,XLOOKUP($A150,'source NetApp-file-sv01～03-Proj'!$A:$A,'source NetApp-file-sv01～03-Proj'!$D:$D))</f>
        <v>2024/03/12</v>
      </c>
      <c r="V150" s="58" t="str">
        <f t="array" ref="V150">XLOOKUP($A150,'source isilon_Projectまとめ'!$A:$A,'source isilon_Projectまとめ'!$D:$D,XLOOKUP($A150,'source isilon-Project-du'!$A:$A,'source isilon-Project-du'!$C:$C))</f>
        <v>871.42GB</v>
      </c>
      <c r="W150" s="7" t="s">
        <v>2184</v>
      </c>
    </row>
    <row r="151">
      <c r="A151" s="8" t="s">
        <v>1567</v>
      </c>
      <c r="B151" s="8" t="s">
        <v>992</v>
      </c>
      <c r="C151" s="37" t="s">
        <v>1568</v>
      </c>
      <c r="D151" s="37" t="s">
        <v>1142</v>
      </c>
      <c r="E151" s="7" t="s">
        <v>1414</v>
      </c>
      <c r="F151" s="37" t="s">
        <v>1142</v>
      </c>
      <c r="T151" s="37" t="s">
        <v>1053</v>
      </c>
      <c r="U151" s="58" t="str">
        <f t="array" ref="U151">XLOOKUP($A151,'source isilon_Projectまとめ'!$A:$A,'source isilon_Projectまとめ'!$C:$C,XLOOKUP($A151,'source NetApp-file-sv01～03-Proj'!$A:$A,'source NetApp-file-sv01～03-Proj'!$D:$D))</f>
        <v>2024/02/16</v>
      </c>
      <c r="V151" s="58" t="str">
        <f t="array" ref="V151">XLOOKUP($A151,'source isilon_Projectまとめ'!$A:$A,'source isilon_Projectまとめ'!$D:$D,XLOOKUP($A151,'source isilon-Project-du'!$A:$A,'source isilon-Project-du'!$C:$C))</f>
        <v>45.72GB</v>
      </c>
      <c r="W151" s="7" t="s">
        <v>2184</v>
      </c>
    </row>
    <row r="152">
      <c r="A152" s="8" t="s">
        <v>1617</v>
      </c>
      <c r="B152" s="8" t="s">
        <v>992</v>
      </c>
      <c r="C152" s="37" t="s">
        <v>1618</v>
      </c>
      <c r="D152" s="37" t="s">
        <v>1305</v>
      </c>
      <c r="E152" s="7" t="s">
        <v>1619</v>
      </c>
      <c r="F152" s="37" t="s">
        <v>1305</v>
      </c>
      <c r="G152" s="7" t="s">
        <v>1620</v>
      </c>
      <c r="H152" s="37" t="s">
        <v>1053</v>
      </c>
      <c r="T152" s="37" t="s">
        <v>1053</v>
      </c>
      <c r="U152" s="58" t="str">
        <f t="array" ref="U152">XLOOKUP($A152,'source isilon_Projectまとめ'!$A:$A,'source isilon_Projectまとめ'!$C:$C,XLOOKUP($A152,'source NetApp-file-sv01～03-Proj'!$A:$A,'source NetApp-file-sv01～03-Proj'!$D:$D))</f>
        <v>2023/11/20</v>
      </c>
      <c r="V152" s="58" t="str">
        <f t="array" ref="V152">XLOOKUP($A152,'source isilon_Projectまとめ'!$A:$A,'source isilon_Projectまとめ'!$D:$D,XLOOKUP($A152,'source isilon-Project-du'!$A:$A,'source isilon-Project-du'!$C:$C))</f>
        <v>3746.40GB</v>
      </c>
      <c r="W152" s="7" t="s">
        <v>2184</v>
      </c>
    </row>
    <row r="153">
      <c r="A153" s="8" t="s">
        <v>1813</v>
      </c>
      <c r="B153" s="8" t="s">
        <v>2394</v>
      </c>
      <c r="C153" s="37" t="s">
        <v>1814</v>
      </c>
      <c r="D153" s="7" t="s">
        <v>1556</v>
      </c>
      <c r="E153" s="7" t="s">
        <v>1557</v>
      </c>
      <c r="F153" s="37" t="str">
        <f t="array" ref="F153">XLOOKUP(E153,'従業員情報'!$A:$A,'従業員情報'!$N:$N,"×")</f>
        <v>株式会社MIXI/村瀨管掌/はたらく環境推進本部/ビジネスサポート室/インフォメーションハブグループ</v>
      </c>
      <c r="U153" s="58" t="str">
        <f t="array" ref="U153">XLOOKUP($A153,'source isilon_Projectまとめ'!$A:$A,'source isilon_Projectまとめ'!$C:$C,XLOOKUP($A153,'source NetApp-file-sv01～03-Proj'!$A:$A,'source NetApp-file-sv01～03-Proj'!$D:$D))</f>
        <v>2023/10/11</v>
      </c>
      <c r="V153" s="58" t="str">
        <f t="array" ref="V153">XLOOKUP($A153,'source isilon_Projectまとめ'!$A:$A,'source isilon_Projectまとめ'!$D:$D,XLOOKUP($A153,'source isilon-Project-du'!$A:$A,'source isilon-Project-du'!$C:$C))</f>
        <v>32063.28GB</v>
      </c>
      <c r="W153" s="7" t="s">
        <v>2184</v>
      </c>
    </row>
    <row r="154">
      <c r="A154" s="8" t="s">
        <v>1621</v>
      </c>
      <c r="B154" s="8" t="s">
        <v>992</v>
      </c>
      <c r="C154" s="37" t="s">
        <v>1622</v>
      </c>
      <c r="D154" s="37" t="s">
        <v>1053</v>
      </c>
      <c r="E154" s="7" t="s">
        <v>1623</v>
      </c>
      <c r="F154" s="37" t="str">
        <f t="array" ref="F154">XLOOKUP(E154,'退職者'!$C:$C,'退職者'!$A:$A,"×")</f>
        <v>ブランドデザイン室</v>
      </c>
      <c r="G154" s="7" t="s">
        <v>1625</v>
      </c>
      <c r="H154" s="37" t="s">
        <v>1156</v>
      </c>
      <c r="U154" s="58" t="str">
        <f t="array" ref="U154">XLOOKUP($A154,'source isilon_Projectまとめ'!$A:$A,'source isilon_Projectまとめ'!$C:$C,XLOOKUP($A154,'source NetApp-file-sv01～03-Proj'!$A:$A,'source NetApp-file-sv01～03-Proj'!$D:$D))</f>
        <v>2023/08/23</v>
      </c>
      <c r="V154" s="58" t="str">
        <f t="array" ref="V154">XLOOKUP($A154,'source isilon_Projectまとめ'!$A:$A,'source isilon_Projectまとめ'!$D:$D,XLOOKUP($A154,'source isilon-Project-du'!$A:$A,'source isilon-Project-du'!$C:$C))</f>
        <v>1420.86GB</v>
      </c>
      <c r="W154" s="7" t="s">
        <v>2184</v>
      </c>
    </row>
    <row r="155">
      <c r="A155" s="8" t="s">
        <v>1633</v>
      </c>
      <c r="B155" s="8" t="s">
        <v>2394</v>
      </c>
      <c r="C155" s="37" t="s">
        <v>1634</v>
      </c>
      <c r="D155" s="7" t="s">
        <v>1635</v>
      </c>
      <c r="E155" s="7" t="s">
        <v>1636</v>
      </c>
      <c r="F155" s="37" t="str">
        <f t="array" ref="F155">XLOOKUP(E155,'従業員情報'!$A:$A,'従業員情報'!$N:$N,"×")</f>
        <v>株式会社MIXI/笠原管掌/みてね事業本部/みてね事業開発部/CSグループ</v>
      </c>
      <c r="U155" s="58" t="str">
        <f t="array" ref="U155">XLOOKUP($A155,'source isilon_Projectまとめ'!$A:$A,'source isilon_Projectまとめ'!$C:$C,XLOOKUP($A155,'source NetApp-file-sv01～03-Proj'!$A:$A,'source NetApp-file-sv01～03-Proj'!$D:$D))</f>
        <v>2023/06/29</v>
      </c>
      <c r="V155" s="58" t="str">
        <f t="array" ref="V155">XLOOKUP($A155,'source isilon_Projectまとめ'!$A:$A,'source isilon_Projectまとめ'!$D:$D,XLOOKUP($A155,'source isilon-Project-du'!$A:$A,'source isilon-Project-du'!$C:$C))</f>
        <v>8.02GB</v>
      </c>
      <c r="W155" s="7" t="s">
        <v>2184</v>
      </c>
    </row>
    <row r="156">
      <c r="A156" s="8" t="s">
        <v>1598</v>
      </c>
      <c r="B156" s="8" t="s">
        <v>994</v>
      </c>
      <c r="C156" s="37" t="s">
        <v>1053</v>
      </c>
      <c r="E156" s="37" t="s">
        <v>1053</v>
      </c>
      <c r="U156" s="58" t="str">
        <f t="array" ref="U156">XLOOKUP($A156,'source isilon_Projectまとめ'!$A:$A,'source isilon_Projectまとめ'!$C:$C,XLOOKUP($A156,'source NetApp-file-sv01～03-Proj'!$A:$A,'source NetApp-file-sv01～03-Proj'!$D:$D))</f>
        <v>2023/05/04</v>
      </c>
      <c r="V156" s="58" t="str">
        <f t="array" ref="V156">XLOOKUP($A156,'source isilon_Projectまとめ'!$A:$A,'source isilon_Projectまとめ'!$D:$D,XLOOKUP($A156,'source isilon-Project-du'!$A:$A,'source isilon-Project-du'!$C:$C))</f>
        <v>6262.65GB</v>
      </c>
      <c r="W156" s="7" t="s">
        <v>2184</v>
      </c>
    </row>
    <row r="157">
      <c r="A157" s="8" t="s">
        <v>1474</v>
      </c>
      <c r="B157" s="8" t="s">
        <v>992</v>
      </c>
      <c r="C157" s="37" t="s">
        <v>1475</v>
      </c>
      <c r="D157" s="37" t="s">
        <v>74</v>
      </c>
      <c r="E157" s="7" t="s">
        <v>1476</v>
      </c>
      <c r="F157" s="37" t="s">
        <v>74</v>
      </c>
      <c r="T157" s="37" t="s">
        <v>1053</v>
      </c>
      <c r="U157" s="58" t="str">
        <f t="array" ref="U157">XLOOKUP($A157,'source isilon_Projectまとめ'!$A:$A,'source isilon_Projectまとめ'!$C:$C,XLOOKUP($A157,'source NetApp-file-sv01～03-Proj'!$A:$A,'source NetApp-file-sv01～03-Proj'!$D:$D))</f>
        <v>2023/01/18</v>
      </c>
      <c r="V157" s="58" t="str">
        <f t="array" ref="V157">XLOOKUP($A157,'source isilon_Projectまとめ'!$A:$A,'source isilon_Projectまとめ'!$D:$D,XLOOKUP($A157,'source isilon-Project-du'!$A:$A,'source isilon-Project-du'!$C:$C))</f>
        <v>1368.78GB</v>
      </c>
      <c r="W157" s="7" t="s">
        <v>2184</v>
      </c>
    </row>
    <row r="158">
      <c r="A158" s="8" t="s">
        <v>1832</v>
      </c>
      <c r="B158" s="8" t="s">
        <v>992</v>
      </c>
      <c r="C158" s="37" t="s">
        <v>1833</v>
      </c>
      <c r="D158" s="37" t="s">
        <v>1053</v>
      </c>
      <c r="E158" s="7" t="s">
        <v>1834</v>
      </c>
      <c r="F158" s="37" t="str">
        <f t="array" ref="F158">XLOOKUP(E158,'退職者'!$C:$C,'退職者'!$A:$A,"×")</f>
        <v>ｺﾄﾀﾞﾏﾝ運営部</v>
      </c>
      <c r="G158" s="7" t="s">
        <v>1836</v>
      </c>
      <c r="H158" s="37" t="s">
        <v>1053</v>
      </c>
      <c r="I158" s="7" t="s">
        <v>2427</v>
      </c>
      <c r="U158" s="58" t="str">
        <f t="array" ref="U158">XLOOKUP($A158,'source isilon_Projectまとめ'!$A:$A,'source isilon_Projectまとめ'!$C:$C,XLOOKUP($A158,'source NetApp-file-sv01～03-Proj'!$A:$A,'source NetApp-file-sv01～03-Proj'!$D:$D))</f>
        <v>2023/01/18</v>
      </c>
      <c r="V158" s="58" t="str">
        <f t="array" ref="V158">XLOOKUP($A158,'source isilon_Projectまとめ'!$A:$A,'source isilon_Projectまとめ'!$D:$D,XLOOKUP($A158,'source isilon-Project-du'!$A:$A,'source isilon-Project-du'!$C:$C))</f>
        <v>92.31GB</v>
      </c>
      <c r="W158" s="7" t="s">
        <v>2184</v>
      </c>
    </row>
    <row r="159">
      <c r="A159" s="8" t="s">
        <v>1766</v>
      </c>
      <c r="B159" s="8" t="s">
        <v>2394</v>
      </c>
      <c r="C159" s="37" t="s">
        <v>1767</v>
      </c>
      <c r="D159" s="7" t="s">
        <v>1768</v>
      </c>
      <c r="E159" s="7" t="s">
        <v>1769</v>
      </c>
      <c r="F159" s="37" t="str">
        <f t="array" ref="F159">XLOOKUP(E159,'従業員情報'!$A:$A,'従業員情報'!$N:$N,"×")</f>
        <v>株式会社MIXI/村瀨管掌/デザイン本部/テクニカルデザイン室/デジタルエンターテインメント支援グループ/2DUI第1チーム</v>
      </c>
      <c r="G159" s="7" t="s">
        <v>1770</v>
      </c>
      <c r="H159" s="37" t="s">
        <v>1053</v>
      </c>
      <c r="U159" s="58" t="str">
        <f t="array" ref="U159">XLOOKUP($A159,'source isilon_Projectまとめ'!$A:$A,'source isilon_Projectまとめ'!$C:$C,XLOOKUP($A159,'source NetApp-file-sv01～03-Proj'!$A:$A,'source NetApp-file-sv01～03-Proj'!$D:$D))</f>
        <v>2023/01/06</v>
      </c>
      <c r="V159" s="58" t="str">
        <f t="array" ref="V159">XLOOKUP($A159,'source isilon_Projectまとめ'!$A:$A,'source isilon_Projectまとめ'!$D:$D,XLOOKUP($A159,'source isilon-Project-du'!$A:$A,'source isilon-Project-du'!$C:$C))</f>
        <v>1596.02GB</v>
      </c>
      <c r="W159" s="7" t="s">
        <v>2184</v>
      </c>
    </row>
    <row r="160">
      <c r="A160" s="8" t="s">
        <v>1396</v>
      </c>
      <c r="B160" s="8" t="s">
        <v>2394</v>
      </c>
      <c r="C160" s="37" t="s">
        <v>1397</v>
      </c>
      <c r="D160" s="7" t="s">
        <v>1398</v>
      </c>
      <c r="E160" s="7" t="s">
        <v>1399</v>
      </c>
      <c r="F160" s="37" t="str">
        <f t="array" ref="F160">XLOOKUP(E160,'従業員情報'!$A:$A,'従業員情報'!$N:$N,"×")</f>
        <v>株式会社MIXI/島村管掌/経営推進本部/広報部/インターナルコミュニケーショングループ/インターナルコミュニケーションチーム</v>
      </c>
      <c r="G160" s="7" t="s">
        <v>1401</v>
      </c>
      <c r="H160" s="37" t="str">
        <f t="array" ref="H160">XLOOKUP(G160,'従業員情報'!$A:$A,'従業員情報'!$N:$N,"×")</f>
        <v>株式会社MIXI/島村管掌/経営推進本部/広報部</v>
      </c>
      <c r="I160" s="7" t="s">
        <v>2395</v>
      </c>
      <c r="J160" s="37" t="str">
        <f t="array" ref="J160">XLOOKUP(I160,'従業員情報'!$A:$A,'従業員情報'!$N:$N,"×")</f>
        <v>株式会社MIXI/島村管掌/経営推進本部/広報部/サステナビリティ推進グループ</v>
      </c>
      <c r="K160" s="7" t="s">
        <v>2396</v>
      </c>
      <c r="L160" s="37" t="str">
        <f t="array" ref="L160">XLOOKUP(K160,'従業員情報'!$A:$A,'従業員情報'!$N:$N,"×")</f>
        <v>株式会社MIXI/島村管掌/経営推進本部/広報部/サステナビリティ推進グループ/次世代育成支援チーム</v>
      </c>
      <c r="M160" s="7" t="s">
        <v>2397</v>
      </c>
      <c r="N160" s="37" t="str">
        <f t="array" ref="N160">XLOOKUP(M160,'従業員情報'!$A:$A,'従業員情報'!$N:$N,"×")</f>
        <v>株式会社MIXI/島村管掌/経営推進本部/広報部/サステナビリティ推進グループ/次世代育成支援チーム</v>
      </c>
      <c r="O160" s="7" t="s">
        <v>2398</v>
      </c>
      <c r="P160" s="37" t="str">
        <f t="array" ref="P160">XLOOKUP(O160,'従業員情報'!$A:$A,'従業員情報'!$N:$N,"×")</f>
        <v>株式会社MIXI/島村管掌/経営推進本部/広報部/企業広報グループ</v>
      </c>
      <c r="U160" s="58" t="str">
        <f t="array" ref="U160">XLOOKUP($A160,'source isilon_Projectまとめ'!$A:$A,'source isilon_Projectまとめ'!$C:$C,XLOOKUP($A160,'source NetApp-file-sv01～03-Proj'!$A:$A,'source NetApp-file-sv01～03-Proj'!$D:$D))</f>
        <v>2022/12/27</v>
      </c>
      <c r="V160" s="58" t="str">
        <f t="array" ref="V160">XLOOKUP($A160,'source isilon_Projectまとめ'!$A:$A,'source isilon_Projectまとめ'!$D:$D,XLOOKUP($A160,'source isilon-Project-du'!$A:$A,'source isilon-Project-du'!$C:$C))</f>
        <v>0.00GB</v>
      </c>
      <c r="W160" s="7" t="s">
        <v>2177</v>
      </c>
    </row>
    <row r="161">
      <c r="A161" s="8" t="s">
        <v>1526</v>
      </c>
      <c r="B161" s="8" t="s">
        <v>2394</v>
      </c>
      <c r="C161" s="37" t="s">
        <v>1527</v>
      </c>
      <c r="D161" s="7" t="s">
        <v>1398</v>
      </c>
      <c r="E161" s="7" t="s">
        <v>1399</v>
      </c>
      <c r="F161" s="37" t="str">
        <f t="array" ref="F161">XLOOKUP(E161,'従業員情報'!$A:$A,'従業員情報'!$N:$N,"×")</f>
        <v>株式会社MIXI/島村管掌/経営推進本部/広報部/インターナルコミュニケーショングループ/インターナルコミュニケーションチーム</v>
      </c>
      <c r="G161" s="7" t="s">
        <v>1401</v>
      </c>
      <c r="H161" s="37" t="str">
        <f t="array" ref="H161">XLOOKUP(G161,'従業員情報'!$A:$A,'従業員情報'!$N:$N,"×")</f>
        <v>株式会社MIXI/島村管掌/経営推進本部/広報部</v>
      </c>
      <c r="I161" s="7" t="s">
        <v>2395</v>
      </c>
      <c r="J161" s="37" t="str">
        <f t="array" ref="J161">XLOOKUP(I161,'従業員情報'!$A:$A,'従業員情報'!$N:$N,"×")</f>
        <v>株式会社MIXI/島村管掌/経営推進本部/広報部/サステナビリティ推進グループ</v>
      </c>
      <c r="K161" s="7" t="s">
        <v>2396</v>
      </c>
      <c r="L161" s="37" t="str">
        <f t="array" ref="L161">XLOOKUP(K161,'従業員情報'!$A:$A,'従業員情報'!$N:$N,"×")</f>
        <v>株式会社MIXI/島村管掌/経営推進本部/広報部/サステナビリティ推進グループ/次世代育成支援チーム</v>
      </c>
      <c r="M161" s="7" t="s">
        <v>2397</v>
      </c>
      <c r="N161" s="37" t="str">
        <f t="array" ref="N161">XLOOKUP(M161,'従業員情報'!$A:$A,'従業員情報'!$N:$N,"×")</f>
        <v>株式会社MIXI/島村管掌/経営推進本部/広報部/サステナビリティ推進グループ/次世代育成支援チーム</v>
      </c>
      <c r="U161" s="58" t="str">
        <f t="array" ref="U161">XLOOKUP($A161,'source isilon_Projectまとめ'!$A:$A,'source isilon_Projectまとめ'!$C:$C,XLOOKUP($A161,'source NetApp-file-sv01～03-Proj'!$A:$A,'source NetApp-file-sv01～03-Proj'!$D:$D))</f>
        <v>2022/09/29</v>
      </c>
      <c r="V161" s="58" t="str">
        <f t="array" ref="V161">XLOOKUP($A161,'source isilon_Projectまとめ'!$A:$A,'source isilon_Projectまとめ'!$D:$D,XLOOKUP($A161,'source isilon-Project-du'!$A:$A,'source isilon-Project-du'!$C:$C))</f>
        <v>79.94GB</v>
      </c>
      <c r="W161" s="7" t="s">
        <v>2177</v>
      </c>
    </row>
    <row r="162">
      <c r="A162" s="8" t="s">
        <v>1747</v>
      </c>
      <c r="B162" s="8" t="s">
        <v>2394</v>
      </c>
      <c r="C162" s="37" t="s">
        <v>1505</v>
      </c>
      <c r="D162" s="7" t="s">
        <v>1506</v>
      </c>
      <c r="E162" s="7" t="s">
        <v>1507</v>
      </c>
      <c r="F162" s="37" t="str">
        <f t="array" ref="F162">XLOOKUP(E162,'従業員情報'!$A:$A,'従業員情報'!$N:$N,"×")</f>
        <v>株式会社MIXI/奥山管掌/ソーシャルベッティング事業本部/TIPSTAR事業部/プロダクト戦略グループ/開発チーム</v>
      </c>
      <c r="U162" s="58" t="str">
        <f t="array" ref="U162">XLOOKUP($A162,'source isilon_Projectまとめ'!$A:$A,'source isilon_Projectまとめ'!$C:$C,XLOOKUP($A162,'source NetApp-file-sv01～03-Proj'!$A:$A,'source NetApp-file-sv01～03-Proj'!$D:$D))</f>
        <v>2022/09/26</v>
      </c>
      <c r="V162" s="58" t="str">
        <f t="array" ref="V162">XLOOKUP($A162,'source isilon_Projectまとめ'!$A:$A,'source isilon_Projectまとめ'!$D:$D,XLOOKUP($A162,'source isilon-Project-du'!$A:$A,'source isilon-Project-du'!$C:$C))</f>
        <v>76.53GB</v>
      </c>
      <c r="W162" s="7" t="s">
        <v>2177</v>
      </c>
    </row>
    <row r="163">
      <c r="A163" s="8" t="s">
        <v>1493</v>
      </c>
      <c r="B163" s="8" t="s">
        <v>2821</v>
      </c>
      <c r="C163" s="37" t="s">
        <v>1494</v>
      </c>
      <c r="D163" s="37" t="s">
        <v>1495</v>
      </c>
      <c r="E163" s="7" t="s">
        <v>1496</v>
      </c>
      <c r="F163" s="37" t="s">
        <v>1053</v>
      </c>
      <c r="T163" s="37" t="s">
        <v>1053</v>
      </c>
      <c r="U163" s="58" t="str">
        <f t="array" ref="U163">XLOOKUP($A163,'source isilon_Projectまとめ'!$A:$A,'source isilon_Projectまとめ'!$C:$C,XLOOKUP($A163,'source NetApp-file-sv01～03-Proj'!$A:$A,'source NetApp-file-sv01～03-Proj'!$D:$D))</f>
        <v>2022/05/25</v>
      </c>
      <c r="V163" s="58" t="str">
        <f t="array" ref="V163">XLOOKUP($A163,'source isilon_Projectまとめ'!$A:$A,'source isilon_Projectまとめ'!$D:$D,XLOOKUP($A163,'source isilon-Project-du'!$A:$A,'source isilon-Project-du'!$C:$C))</f>
        <v>0.04GB</v>
      </c>
      <c r="W163" s="7" t="s">
        <v>2177</v>
      </c>
    </row>
    <row r="164">
      <c r="A164" s="8" t="s">
        <v>1694</v>
      </c>
      <c r="B164" s="8" t="s">
        <v>2394</v>
      </c>
      <c r="C164" s="37" t="s">
        <v>1663</v>
      </c>
      <c r="D164" s="7" t="s">
        <v>1664</v>
      </c>
      <c r="E164" s="7" t="s">
        <v>1665</v>
      </c>
      <c r="F164" s="37" t="str">
        <f t="array" ref="F164">XLOOKUP(E164,'従業員情報'!$A:$A,'従業員情報'!$N:$N,"×")</f>
        <v>株式会社MIXI/笠原管掌/Vantageスタジオ/mixi事業部/パートナービジネスグループ</v>
      </c>
      <c r="U164" s="58" t="str">
        <f t="array" ref="U164">XLOOKUP($A164,'source isilon_Projectまとめ'!$A:$A,'source isilon_Projectまとめ'!$C:$C,XLOOKUP($A164,'source NetApp-file-sv01～03-Proj'!$A:$A,'source NetApp-file-sv01～03-Proj'!$D:$D))</f>
        <v>2022/04/22</v>
      </c>
      <c r="V164" s="58" t="str">
        <f t="array" ref="V164">XLOOKUP($A164,'source isilon_Projectまとめ'!$A:$A,'source isilon_Projectまとめ'!$D:$D,XLOOKUP($A164,'source isilon-Project-du'!$A:$A,'source isilon-Project-du'!$C:$C))</f>
        <v>114.64GB</v>
      </c>
      <c r="W164" s="7" t="s">
        <v>2177</v>
      </c>
    </row>
    <row r="165">
      <c r="A165" s="8" t="s">
        <v>1543</v>
      </c>
      <c r="B165" s="8" t="s">
        <v>993</v>
      </c>
      <c r="C165" s="37" t="s">
        <v>1544</v>
      </c>
      <c r="D165" s="37" t="s">
        <v>1495</v>
      </c>
      <c r="E165" s="7" t="s">
        <v>1545</v>
      </c>
      <c r="F165" s="37" t="s">
        <v>1053</v>
      </c>
      <c r="T165" s="37" t="s">
        <v>1053</v>
      </c>
      <c r="U165" s="58" t="str">
        <f t="array" ref="U165">XLOOKUP($A165,'source isilon_Projectまとめ'!$A:$A,'source isilon_Projectまとめ'!$C:$C,XLOOKUP($A165,'source NetApp-file-sv01～03-Proj'!$A:$A,'source NetApp-file-sv01～03-Proj'!$D:$D))</f>
        <v>2022/04/01</v>
      </c>
      <c r="V165" s="58" t="str">
        <f t="array" ref="V165">XLOOKUP($A165,'source isilon_Projectまとめ'!$A:$A,'source isilon_Projectまとめ'!$D:$D,XLOOKUP($A165,'source isilon-Project-du'!$A:$A,'source isilon-Project-du'!$C:$C))</f>
        <v>0.19GB</v>
      </c>
      <c r="W165" s="7" t="s">
        <v>2177</v>
      </c>
    </row>
    <row r="166">
      <c r="A166" s="8" t="s">
        <v>1797</v>
      </c>
      <c r="B166" s="8" t="s">
        <v>2394</v>
      </c>
      <c r="C166" s="37" t="s">
        <v>1798</v>
      </c>
      <c r="D166" s="7" t="s">
        <v>1582</v>
      </c>
      <c r="E166" s="7" t="s">
        <v>1583</v>
      </c>
      <c r="F166" s="37" t="str">
        <f t="array" ref="F166">XLOOKUP(E166,'従業員情報'!$A:$A,'従業員情報'!$N:$N,"×")</f>
        <v>株式会社MIXI/村瀨管掌/はたらく環境推進本部/コーポレートエンジニアリング部</v>
      </c>
      <c r="U166" s="58" t="str">
        <f t="array" ref="U166">XLOOKUP($A166,'source isilon_Projectまとめ'!$A:$A,'source isilon_Projectまとめ'!$C:$C,XLOOKUP($A166,'source NetApp-file-sv01～03-Proj'!$A:$A,'source NetApp-file-sv01～03-Proj'!$D:$D))</f>
        <v>2021/09/17</v>
      </c>
      <c r="V166" s="58" t="str">
        <f t="array" ref="V166">XLOOKUP($A166,'source isilon_Projectまとめ'!$A:$A,'source isilon_Projectまとめ'!$D:$D,XLOOKUP($A166,'source isilon-Project-du'!$A:$A,'source isilon-Project-du'!$C:$C))</f>
        <v>0.00GB</v>
      </c>
      <c r="W166" s="7" t="s">
        <v>2177</v>
      </c>
    </row>
    <row r="167">
      <c r="A167" s="8" t="s">
        <v>1847</v>
      </c>
      <c r="B167" s="8" t="s">
        <v>2394</v>
      </c>
      <c r="C167" s="37" t="s">
        <v>1486</v>
      </c>
      <c r="D167" s="7" t="s">
        <v>1487</v>
      </c>
      <c r="E167" s="7" t="s">
        <v>1488</v>
      </c>
      <c r="F167" s="37" t="str">
        <f t="array" ref="F167">XLOOKUP(E167,'従業員情報'!$A:$A,'従業員情報'!$N:$N,"×")</f>
        <v>株式会社MIXI/村瀨管掌/はたらく環境推進本部/せいかつ環境室/せいかつ環境Aグループ</v>
      </c>
      <c r="U167" s="58" t="str">
        <f t="array" ref="U167">XLOOKUP($A167,'source isilon_Projectまとめ'!$A:$A,'source isilon_Projectまとめ'!$C:$C,XLOOKUP($A167,'source NetApp-file-sv01～03-Proj'!$A:$A,'source NetApp-file-sv01～03-Proj'!$D:$D))</f>
        <v>2021/07/06</v>
      </c>
      <c r="V167" s="58" t="str">
        <f t="array" ref="V167">XLOOKUP($A167,'source isilon_Projectまとめ'!$A:$A,'source isilon_Projectまとめ'!$D:$D,XLOOKUP($A167,'source isilon-Project-du'!$A:$A,'source isilon-Project-du'!$C:$C))</f>
        <v>7.34GB</v>
      </c>
      <c r="W167" s="7" t="s">
        <v>2177</v>
      </c>
    </row>
    <row r="168">
      <c r="A168" s="8" t="s">
        <v>1782</v>
      </c>
      <c r="B168" s="8" t="s">
        <v>2394</v>
      </c>
      <c r="C168" s="37" t="s">
        <v>1374</v>
      </c>
      <c r="D168" s="7" t="s">
        <v>420</v>
      </c>
      <c r="E168" s="7" t="s">
        <v>1375</v>
      </c>
      <c r="F168" s="37" t="str">
        <f t="array" ref="F168">XLOOKUP(E168,'従業員情報'!$A:$A,'従業員情報'!$N:$N,"×")</f>
        <v>株式会社MIXI/管掌役員なし/取締役</v>
      </c>
      <c r="U168" s="58" t="str">
        <f t="array" ref="U168">XLOOKUP($A168,'source isilon_Projectまとめ'!$A:$A,'source isilon_Projectまとめ'!$C:$C,XLOOKUP($A168,'source NetApp-file-sv01～03-Proj'!$A:$A,'source NetApp-file-sv01～03-Proj'!$D:$D))</f>
        <v>2021/06/18</v>
      </c>
      <c r="V168" s="58" t="str">
        <f t="array" ref="V168">XLOOKUP($A168,'source isilon_Projectまとめ'!$A:$A,'source isilon_Projectまとめ'!$D:$D,XLOOKUP($A168,'source isilon-Project-du'!$A:$A,'source isilon-Project-du'!$C:$C))</f>
        <v>11.03GB</v>
      </c>
      <c r="W168" s="7" t="s">
        <v>2177</v>
      </c>
    </row>
    <row r="169">
      <c r="A169" s="8" t="s">
        <v>1573</v>
      </c>
      <c r="B169" s="8" t="s">
        <v>992</v>
      </c>
      <c r="C169" s="37" t="s">
        <v>1574</v>
      </c>
      <c r="D169" s="37" t="s">
        <v>4</v>
      </c>
      <c r="E169" s="7" t="s">
        <v>1575</v>
      </c>
      <c r="F169" s="37" t="s">
        <v>4</v>
      </c>
      <c r="T169" s="37" t="s">
        <v>1053</v>
      </c>
      <c r="U169" s="58" t="str">
        <f t="array" ref="U169">XLOOKUP($A169,'source isilon_Projectまとめ'!$A:$A,'source isilon_Projectまとめ'!$C:$C,XLOOKUP($A169,'source NetApp-file-sv01～03-Proj'!$A:$A,'source NetApp-file-sv01～03-Proj'!$D:$D))</f>
        <v>2021/04/09</v>
      </c>
      <c r="V169" s="58" t="str">
        <f t="array" ref="V169">XLOOKUP($A169,'source isilon_Projectまとめ'!$A:$A,'source isilon_Projectまとめ'!$D:$D,XLOOKUP($A169,'source isilon-Project-du'!$A:$A,'source isilon-Project-du'!$C:$C))</f>
        <v>0.48GB</v>
      </c>
      <c r="W169" s="7" t="s">
        <v>2177</v>
      </c>
    </row>
    <row r="170">
      <c r="A170" s="8" t="s">
        <v>1649</v>
      </c>
      <c r="B170" s="8" t="s">
        <v>2394</v>
      </c>
      <c r="C170" s="37" t="s">
        <v>1650</v>
      </c>
      <c r="D170" s="7" t="s">
        <v>1651</v>
      </c>
      <c r="E170" s="7" t="s">
        <v>1652</v>
      </c>
      <c r="F170" s="37" t="str">
        <f t="array" ref="F170">XLOOKUP(E170,'従業員情報'!$A:$A,'従業員情報'!$N:$N,"×")</f>
        <v>株式会社MIXI/島村管掌/経営推進本部/グループ会社統括支援部</v>
      </c>
      <c r="U170" s="58" t="str">
        <f t="array" ref="U170">XLOOKUP($A170,'source isilon_Projectまとめ'!$A:$A,'source isilon_Projectまとめ'!$C:$C,XLOOKUP($A170,'source NetApp-file-sv01～03-Proj'!$A:$A,'source NetApp-file-sv01～03-Proj'!$D:$D))</f>
        <v>2021/03/30</v>
      </c>
      <c r="V170" s="58" t="str">
        <f t="array" ref="V170">XLOOKUP($A170,'source isilon_Projectまとめ'!$A:$A,'source isilon_Projectまとめ'!$D:$D,XLOOKUP($A170,'source isilon-Project-du'!$A:$A,'source isilon-Project-du'!$C:$C))</f>
        <v>2.84GB</v>
      </c>
      <c r="W170" s="7" t="s">
        <v>2177</v>
      </c>
    </row>
    <row r="171">
      <c r="A171" s="8" t="s">
        <v>1853</v>
      </c>
      <c r="B171" s="8" t="s">
        <v>2394</v>
      </c>
      <c r="C171" s="37" t="s">
        <v>1798</v>
      </c>
      <c r="D171" s="7" t="s">
        <v>1582</v>
      </c>
      <c r="E171" s="7" t="s">
        <v>1583</v>
      </c>
      <c r="F171" s="37" t="str">
        <f t="array" ref="F171">XLOOKUP(E171,'従業員情報'!$A:$A,'従業員情報'!$N:$N,"×")</f>
        <v>株式会社MIXI/村瀨管掌/はたらく環境推進本部/コーポレートエンジニアリング部</v>
      </c>
      <c r="U171" s="58" t="str">
        <f t="array" ref="U171">XLOOKUP($A171,'source isilon_Projectまとめ'!$A:$A,'source isilon_Projectまとめ'!$C:$C,XLOOKUP($A171,'source NetApp-file-sv01～03-Proj'!$A:$A,'source NetApp-file-sv01～03-Proj'!$D:$D))</f>
        <v>2021/02/26</v>
      </c>
      <c r="V171" s="58" t="str">
        <f t="array" ref="V171">XLOOKUP($A171,'source isilon_Projectまとめ'!$A:$A,'source isilon_Projectまとめ'!$D:$D,XLOOKUP($A171,'source isilon-Project-du'!$A:$A,'source isilon-Project-du'!$C:$C))</f>
        <v>1.48GB</v>
      </c>
      <c r="W171" s="7" t="s">
        <v>2177</v>
      </c>
    </row>
    <row r="172">
      <c r="A172" s="8" t="s">
        <v>1514</v>
      </c>
      <c r="B172" s="8" t="s">
        <v>2394</v>
      </c>
      <c r="C172" s="37" t="s">
        <v>1515</v>
      </c>
      <c r="D172" s="7" t="s">
        <v>1516</v>
      </c>
      <c r="E172" s="7" t="s">
        <v>1517</v>
      </c>
      <c r="F172" s="37" t="str">
        <f t="array" ref="F172">XLOOKUP(E172,'従業員情報'!$A:$A,'従業員情報'!$N:$N,"×")</f>
        <v>株式会社MIXI/奥山管掌/ソーシャルベッティング事業本部/価値創造室/コンテンツグループ/コンテンツビジネスチーム</v>
      </c>
      <c r="G172" s="7" t="s">
        <v>1519</v>
      </c>
      <c r="H172" s="37" t="str">
        <f t="array" ref="H172">XLOOKUP(G172,'従業員情報'!$A:$A,'従業員情報'!$N:$N,"×")</f>
        <v>株式会社MIXI/木村管掌/ライブエクスペリエンス事業本部/企画推進部/HRBPグループ</v>
      </c>
      <c r="I172" s="7" t="s">
        <v>2409</v>
      </c>
      <c r="J172" s="37" t="str">
        <f t="array" ref="J172">XLOOKUP(I172,'従業員情報'!$A:$A,'従業員情報'!$N:$N,"×")</f>
        <v>株式会社MIXI/島村管掌/人事本部/人事戦略部/データ活用推進グループ</v>
      </c>
      <c r="K172" s="7" t="s">
        <v>1688</v>
      </c>
      <c r="L172" s="37" t="str">
        <f t="array" ref="L172">XLOOKUP(K172,'従業員情報'!$A:$A,'従業員情報'!$N:$N,"×")</f>
        <v>株式会社MIXI/島村管掌/人事本部/組織戦略部</v>
      </c>
      <c r="M172" s="7" t="s">
        <v>1990</v>
      </c>
      <c r="N172" s="37" t="str">
        <f t="array" ref="N172">XLOOKUP(M172,'従業員情報'!$A:$A,'従業員情報'!$N:$N,"×")</f>
        <v>株式会社MIXI/島村管掌/人事本部/MCS室</v>
      </c>
      <c r="U172" s="58" t="str">
        <f t="array" ref="U172">XLOOKUP($A172,'source isilon_Projectまとめ'!$A:$A,'source isilon_Projectまとめ'!$C:$C,XLOOKUP($A172,'source NetApp-file-sv01～03-Proj'!$A:$A,'source NetApp-file-sv01～03-Proj'!$D:$D))</f>
        <v>2020/10/08</v>
      </c>
      <c r="V172" s="58" t="str">
        <f t="array" ref="V172">XLOOKUP($A172,'source isilon_Projectまとめ'!$A:$A,'source isilon_Projectまとめ'!$D:$D,XLOOKUP($A172,'source isilon-Project-du'!$A:$A,'source isilon-Project-du'!$C:$C))</f>
        <v>0.00GB</v>
      </c>
      <c r="W172" s="7" t="s">
        <v>2177</v>
      </c>
    </row>
    <row r="173">
      <c r="A173" s="8" t="s">
        <v>1736</v>
      </c>
      <c r="B173" s="8" t="s">
        <v>2394</v>
      </c>
      <c r="C173" s="37" t="s">
        <v>1737</v>
      </c>
      <c r="D173" s="37" t="s">
        <v>1738</v>
      </c>
      <c r="E173" s="7" t="s">
        <v>1739</v>
      </c>
      <c r="F173" s="37" t="str">
        <f t="array" ref="F173">XLOOKUP(E173,'従業員情報'!$A:$A,'従業員情報'!$N:$N,"×")</f>
        <v>アイ・マーキュリーキャピタル株式会社/アイ・マーキュリーキャピタル株式会社/アイ・マーキュリーキャピタル株式会社(本部格)</v>
      </c>
      <c r="U173" s="58" t="str">
        <f t="array" ref="U173">XLOOKUP($A173,'source isilon_Projectまとめ'!$A:$A,'source isilon_Projectまとめ'!$C:$C,XLOOKUP($A173,'source NetApp-file-sv01～03-Proj'!$A:$A,'source NetApp-file-sv01～03-Proj'!$D:$D))</f>
        <v>2020/07/16</v>
      </c>
      <c r="V173" s="58" t="str">
        <f t="array" ref="V173">XLOOKUP($A173,'source isilon_Projectまとめ'!$A:$A,'source isilon_Projectまとめ'!$D:$D,XLOOKUP($A173,'source isilon-Project-du'!$A:$A,'source isilon-Project-du'!$C:$C))</f>
        <v>19.65GB</v>
      </c>
      <c r="W173" s="7" t="s">
        <v>2177</v>
      </c>
    </row>
    <row r="174">
      <c r="A174" s="8" t="s">
        <v>1783</v>
      </c>
      <c r="B174" s="8" t="s">
        <v>2394</v>
      </c>
      <c r="C174" s="37" t="s">
        <v>1421</v>
      </c>
      <c r="D174" s="7" t="s">
        <v>1422</v>
      </c>
      <c r="E174" s="7" t="s">
        <v>1423</v>
      </c>
      <c r="F174" s="37" t="str">
        <f t="array" ref="F174">XLOOKUP(E174,'従業員情報'!$A:$A,'従業員情報'!$N:$N,"×")</f>
        <v>株式会社MIXI/笠原管掌/Vantageスタジオ/mixi事業部</v>
      </c>
      <c r="U174" s="58" t="str">
        <f t="array" ref="U174">XLOOKUP($A174,'source isilon_Projectまとめ'!$A:$A,'source isilon_Projectまとめ'!$C:$C,XLOOKUP($A174,'source NetApp-file-sv01～03-Proj'!$A:$A,'source NetApp-file-sv01～03-Proj'!$D:$D))</f>
        <v>2020/03/25</v>
      </c>
      <c r="V174" s="58" t="str">
        <f t="array" ref="V174">XLOOKUP($A174,'source isilon_Projectまとめ'!$A:$A,'source isilon_Projectまとめ'!$D:$D,XLOOKUP($A174,'source isilon-Project-du'!$A:$A,'source isilon-Project-du'!$C:$C))</f>
        <v>43.05GB</v>
      </c>
      <c r="W174" s="7" t="s">
        <v>2177</v>
      </c>
    </row>
    <row r="175">
      <c r="A175" s="8" t="s">
        <v>1820</v>
      </c>
      <c r="B175" s="8" t="s">
        <v>2394</v>
      </c>
      <c r="C175" s="37" t="s">
        <v>1821</v>
      </c>
      <c r="D175" s="7" t="s">
        <v>1822</v>
      </c>
      <c r="E175" s="7" t="s">
        <v>1823</v>
      </c>
      <c r="F175" s="37" t="str">
        <f t="array" ref="F175">XLOOKUP(E175,'従業員情報'!$A:$A,'従業員情報'!$N:$N,"×")</f>
        <v>株式会社MIXI/木村管掌/デジタルエンターテインメントオペレーションズ本部/宣伝部/デジタルマーケティンググループ/離反復帰チーム</v>
      </c>
      <c r="G175" s="7" t="s">
        <v>1824</v>
      </c>
      <c r="H175" s="37" t="str">
        <f t="array" ref="H175">XLOOKUP(G175,'退職者'!C:C,'退職者'!A:A,"×")</f>
        <v>MSｽﾋﾟﾝｵﾌｹﾞｰﾑ事業部</v>
      </c>
      <c r="U175" s="58" t="str">
        <f t="array" ref="U175">XLOOKUP($A175,'source isilon_Projectまとめ'!$A:$A,'source isilon_Projectまとめ'!$C:$C,XLOOKUP($A175,'source NetApp-file-sv01～03-Proj'!$A:$A,'source NetApp-file-sv01～03-Proj'!$D:$D))</f>
        <v>2020/03/19</v>
      </c>
      <c r="V175" s="58" t="str">
        <f t="array" ref="V175">XLOOKUP($A175,'source isilon_Projectまとめ'!$A:$A,'source isilon_Projectまとめ'!$D:$D,XLOOKUP($A175,'source isilon-Project-du'!$A:$A,'source isilon-Project-du'!$C:$C))</f>
        <v>0.01GB</v>
      </c>
      <c r="W175" s="7" t="s">
        <v>2177</v>
      </c>
    </row>
    <row r="176">
      <c r="A176" s="8" t="s">
        <v>1452</v>
      </c>
      <c r="B176" s="8" t="s">
        <v>2394</v>
      </c>
      <c r="C176" s="37" t="s">
        <v>1453</v>
      </c>
      <c r="D176" s="7" t="s">
        <v>422</v>
      </c>
      <c r="E176" s="7" t="s">
        <v>1454</v>
      </c>
      <c r="F176" s="37" t="str">
        <f t="array" ref="F176">XLOOKUP(E176,'従業員情報'!$A:$A,'従業員情報'!$N:$N,"×")</f>
        <v>株式会社MIXI/管掌役員なし/上級執行役員</v>
      </c>
      <c r="U176" s="58" t="str">
        <f t="array" ref="U176">XLOOKUP($A176,'source isilon_Projectまとめ'!$A:$A,'source isilon_Projectまとめ'!$C:$C,XLOOKUP($A176,'source NetApp-file-sv01～03-Proj'!$A:$A,'source NetApp-file-sv01～03-Proj'!$D:$D))</f>
        <v>2020/03/10</v>
      </c>
      <c r="V176" s="58" t="str">
        <f t="array" ref="V176">XLOOKUP($A176,'source isilon_Projectまとめ'!$A:$A,'source isilon_Projectまとめ'!$D:$D,XLOOKUP($A176,'source isilon-Project-du'!$A:$A,'source isilon-Project-du'!$C:$C))</f>
        <v>0.01GB</v>
      </c>
      <c r="W176" s="7" t="s">
        <v>2177</v>
      </c>
    </row>
    <row r="177">
      <c r="A177" s="8" t="s">
        <v>1750</v>
      </c>
      <c r="B177" s="8" t="s">
        <v>992</v>
      </c>
      <c r="C177" s="37" t="s">
        <v>1475</v>
      </c>
      <c r="D177" s="37" t="s">
        <v>74</v>
      </c>
      <c r="E177" s="7" t="s">
        <v>1476</v>
      </c>
      <c r="F177" s="37" t="s">
        <v>74</v>
      </c>
      <c r="T177" s="37" t="s">
        <v>1053</v>
      </c>
      <c r="U177" s="58" t="str">
        <f t="array" ref="U177">XLOOKUP($A177,'source isilon_Projectまとめ'!$A:$A,'source isilon_Projectまとめ'!$C:$C,XLOOKUP($A177,'source NetApp-file-sv01～03-Proj'!$A:$A,'source NetApp-file-sv01～03-Proj'!$D:$D))</f>
        <v>2020/03/05</v>
      </c>
      <c r="V177" s="58" t="str">
        <f t="array" ref="V177">XLOOKUP($A177,'source isilon_Projectまとめ'!$A:$A,'source isilon_Projectまとめ'!$D:$D,XLOOKUP($A177,'source isilon-Project-du'!$A:$A,'source isilon-Project-du'!$C:$C))</f>
        <v>0.00GB</v>
      </c>
      <c r="W177" s="7" t="s">
        <v>2177</v>
      </c>
    </row>
    <row r="178">
      <c r="A178" s="8" t="s">
        <v>1629</v>
      </c>
      <c r="B178" s="8" t="s">
        <v>2394</v>
      </c>
      <c r="C178" s="37" t="s">
        <v>1630</v>
      </c>
      <c r="D178" s="7" t="s">
        <v>1631</v>
      </c>
      <c r="E178" s="7" t="s">
        <v>1632</v>
      </c>
      <c r="F178" s="37" t="str">
        <f t="array" ref="F178">XLOOKUP(E178,'従業員情報'!$A:$A,'従業員情報'!$N:$N,"×")</f>
        <v>株式会社MIXI/管掌役員なし/内部監査室(本部格)/内部監査室</v>
      </c>
      <c r="U178" s="58" t="str">
        <f t="array" ref="U178">XLOOKUP($A178,'source isilon_Projectまとめ'!$A:$A,'source isilon_Projectまとめ'!$C:$C,XLOOKUP($A178,'source NetApp-file-sv01～03-Proj'!$A:$A,'source NetApp-file-sv01～03-Proj'!$D:$D))</f>
        <v>2019/07/29</v>
      </c>
      <c r="V178" s="58" t="str">
        <f t="array" ref="V178">XLOOKUP($A178,'source isilon_Projectまとめ'!$A:$A,'source isilon_Projectまとめ'!$D:$D,XLOOKUP($A178,'source isilon-Project-du'!$A:$A,'source isilon-Project-du'!$C:$C))</f>
        <v>0.12GB</v>
      </c>
      <c r="W178" s="7" t="s">
        <v>2177</v>
      </c>
    </row>
    <row r="179">
      <c r="A179" s="8" t="s">
        <v>1799</v>
      </c>
      <c r="B179" s="8" t="s">
        <v>2394</v>
      </c>
      <c r="C179" s="37" t="s">
        <v>1389</v>
      </c>
      <c r="D179" s="7" t="s">
        <v>1390</v>
      </c>
      <c r="E179" s="7" t="s">
        <v>1391</v>
      </c>
      <c r="F179" s="37" t="str">
        <f t="array" ref="F179">XLOOKUP(E179,'従業員情報'!$A:$A,'従業員情報'!$N:$N,"×")</f>
        <v>株式会社MIXI/笠原管掌/Vantageスタジオ/Romi事業部/UX企画グループ</v>
      </c>
      <c r="U179" s="58" t="str">
        <f t="array" ref="U179">XLOOKUP($A179,'source isilon_Projectまとめ'!$A:$A,'source isilon_Projectまとめ'!$C:$C,XLOOKUP($A179,'source NetApp-file-sv01～03-Proj'!$A:$A,'source NetApp-file-sv01～03-Proj'!$D:$D))</f>
        <v>2019/05/15</v>
      </c>
      <c r="V179" s="58" t="str">
        <f t="array" ref="V179">XLOOKUP($A179,'source isilon_Projectまとめ'!$A:$A,'source isilon_Projectまとめ'!$D:$D,XLOOKUP($A179,'source isilon-Project-du'!$A:$A,'source isilon-Project-du'!$C:$C))</f>
        <v>206.80GB</v>
      </c>
      <c r="W179" s="7" t="s">
        <v>2177</v>
      </c>
    </row>
    <row r="180">
      <c r="A180" s="8" t="s">
        <v>1786</v>
      </c>
      <c r="B180" s="8" t="s">
        <v>2394</v>
      </c>
      <c r="C180" s="37" t="s">
        <v>1787</v>
      </c>
      <c r="D180" s="7" t="s">
        <v>422</v>
      </c>
      <c r="E180" s="7" t="s">
        <v>1788</v>
      </c>
      <c r="F180" s="37" t="str">
        <f t="array" ref="F180">XLOOKUP(E180,'従業員情報'!$A:$A,'従業員情報'!$N:$N,"×")</f>
        <v>株式会社MIXI/管掌役員なし/上級執行役員</v>
      </c>
      <c r="U180" s="58" t="str">
        <f t="array" ref="U180">XLOOKUP($A180,'source isilon_Projectまとめ'!$A:$A,'source isilon_Projectまとめ'!$C:$C,XLOOKUP($A180,'source NetApp-file-sv01～03-Proj'!$A:$A,'source NetApp-file-sv01～03-Proj'!$D:$D))</f>
        <v>2019/05/13</v>
      </c>
      <c r="V180" s="58" t="str">
        <f t="array" ref="V180">XLOOKUP($A180,'source isilon_Projectまとめ'!$A:$A,'source isilon_Projectまとめ'!$D:$D,XLOOKUP($A180,'source isilon-Project-du'!$A:$A,'source isilon-Project-du'!$C:$C))</f>
        <v>3468.91GB</v>
      </c>
      <c r="W180" s="7" t="s">
        <v>2177</v>
      </c>
    </row>
    <row r="181">
      <c r="A181" s="8" t="s">
        <v>1459</v>
      </c>
      <c r="B181" s="8" t="s">
        <v>2394</v>
      </c>
      <c r="C181" s="37" t="s">
        <v>1460</v>
      </c>
      <c r="D181" s="7" t="s">
        <v>1461</v>
      </c>
      <c r="E181" s="7" t="s">
        <v>1460</v>
      </c>
      <c r="F181" s="37" t="str">
        <f t="array" ref="F181">XLOOKUP(E181,'従業員情報'!$A:$A,'従業員情報'!$N:$N,"×")</f>
        <v>株式会社MIXI/小林管掌/CS本部/CX部/Enhancementグループ/組織開発チーム</v>
      </c>
      <c r="U181" s="58" t="str">
        <f t="array" ref="U181">XLOOKUP($A181,'source isilon_Projectまとめ'!$A:$A,'source isilon_Projectまとめ'!$C:$C,XLOOKUP($A181,'source NetApp-file-sv01～03-Proj'!$A:$A,'source NetApp-file-sv01～03-Proj'!$D:$D))</f>
        <v>2019/03/22</v>
      </c>
      <c r="V181" s="58" t="str">
        <f t="array" ref="V181">XLOOKUP($A181,'source isilon_Projectまとめ'!$A:$A,'source isilon_Projectまとめ'!$D:$D,XLOOKUP($A181,'source isilon-Project-du'!$A:$A,'source isilon-Project-du'!$C:$C))</f>
        <v>4.02GB</v>
      </c>
      <c r="W181" s="7" t="s">
        <v>2177</v>
      </c>
    </row>
    <row r="182">
      <c r="A182" s="8" t="s">
        <v>1424</v>
      </c>
      <c r="B182" s="8" t="s">
        <v>2821</v>
      </c>
      <c r="C182" s="37" t="s">
        <v>1426</v>
      </c>
      <c r="D182" s="37" t="s">
        <v>1427</v>
      </c>
      <c r="E182" s="7" t="s">
        <v>1428</v>
      </c>
      <c r="F182" s="37" t="s">
        <v>1053</v>
      </c>
      <c r="G182" s="7" t="s">
        <v>1429</v>
      </c>
      <c r="H182" s="37" t="s">
        <v>1430</v>
      </c>
      <c r="T182" s="37" t="s">
        <v>1430</v>
      </c>
      <c r="U182" s="58" t="str">
        <f t="array" ref="U182">XLOOKUP($A182,'source isilon_Projectまとめ'!$A:$A,'source isilon_Projectまとめ'!$C:$C,XLOOKUP($A182,'source NetApp-file-sv01～03-Proj'!$A:$A,'source NetApp-file-sv01～03-Proj'!$D:$D))</f>
        <v>2019/02/04</v>
      </c>
      <c r="V182" s="58" t="str">
        <f t="array" ref="V182">XLOOKUP($A182,'source isilon_Projectまとめ'!$A:$A,'source isilon_Projectまとめ'!$D:$D,XLOOKUP($A182,'source isilon-Project-du'!$A:$A,'source isilon-Project-du'!$C:$C))</f>
        <v>0.01GB</v>
      </c>
      <c r="W182" s="7" t="s">
        <v>2177</v>
      </c>
    </row>
    <row r="183">
      <c r="A183" s="8" t="s">
        <v>1845</v>
      </c>
      <c r="B183" s="8" t="s">
        <v>993</v>
      </c>
      <c r="C183" s="37" t="s">
        <v>1428</v>
      </c>
      <c r="D183" s="37" t="s">
        <v>1427</v>
      </c>
      <c r="E183" s="7" t="s">
        <v>1428</v>
      </c>
      <c r="F183" s="37" t="s">
        <v>1053</v>
      </c>
      <c r="T183" s="37" t="s">
        <v>1053</v>
      </c>
      <c r="U183" s="58" t="str">
        <f t="array" ref="U183">XLOOKUP($A183,'source isilon_Projectまとめ'!$A:$A,'source isilon_Projectまとめ'!$C:$C,XLOOKUP($A183,'source NetApp-file-sv01～03-Proj'!$A:$A,'source NetApp-file-sv01～03-Proj'!$D:$D))</f>
        <v>2019/02/01</v>
      </c>
      <c r="V183" s="58" t="str">
        <f t="array" ref="V183">XLOOKUP($A183,'source isilon_Projectまとめ'!$A:$A,'source isilon_Projectまとめ'!$D:$D,XLOOKUP($A183,'source isilon-Project-du'!$A:$A,'source isilon-Project-du'!$C:$C))</f>
        <v>0.00GB</v>
      </c>
      <c r="W183" s="7" t="s">
        <v>2177</v>
      </c>
    </row>
    <row r="184">
      <c r="A184" s="8" t="s">
        <v>1508</v>
      </c>
      <c r="B184" s="8" t="s">
        <v>2394</v>
      </c>
      <c r="C184" s="37" t="s">
        <v>1509</v>
      </c>
      <c r="D184" s="7" t="s">
        <v>693</v>
      </c>
      <c r="E184" s="7" t="s">
        <v>1510</v>
      </c>
      <c r="F184" s="37" t="str">
        <f t="array" ref="F184">XLOOKUP(E184,'従業員情報'!$A:$A,'従業員情報'!$N:$N,"×")</f>
        <v>株式会社MIXI/村瀨管掌/デザイン本部</v>
      </c>
      <c r="U184" s="58" t="str">
        <f t="array" ref="U184">XLOOKUP($A184,'source isilon_Projectまとめ'!$A:$A,'source isilon_Projectまとめ'!$C:$C,XLOOKUP($A184,'source NetApp-file-sv01～03-Proj'!$A:$A,'source NetApp-file-sv01～03-Proj'!$D:$D))</f>
        <v>2019/01/31</v>
      </c>
      <c r="V184" s="58" t="str">
        <f t="array" ref="V184">XLOOKUP($A184,'source isilon_Projectまとめ'!$A:$A,'source isilon_Projectまとめ'!$D:$D,XLOOKUP($A184,'source isilon-Project-du'!$A:$A,'source isilon-Project-du'!$C:$C))</f>
        <v>477.23GB</v>
      </c>
      <c r="W184" s="7" t="s">
        <v>2177</v>
      </c>
    </row>
    <row r="185">
      <c r="A185" s="8" t="s">
        <v>1549</v>
      </c>
      <c r="B185" s="8" t="s">
        <v>2394</v>
      </c>
      <c r="C185" s="37" t="s">
        <v>1550</v>
      </c>
      <c r="D185" s="7" t="s">
        <v>1551</v>
      </c>
      <c r="E185" s="7" t="s">
        <v>1552</v>
      </c>
      <c r="F185" s="37" t="str">
        <f t="array" ref="F185">XLOOKUP(E185,'従業員情報'!$A:$A,'従業員情報'!$N:$N,"×")</f>
        <v>株式会社MIXI/笠原管掌/Vantageスタジオ/事業推進室/事業推進グループ/アシスタントチーム</v>
      </c>
      <c r="U185" s="58" t="str">
        <f t="array" ref="U185">XLOOKUP($A185,'source isilon_Projectまとめ'!$A:$A,'source isilon_Projectまとめ'!$C:$C,XLOOKUP($A185,'source NetApp-file-sv01～03-Proj'!$A:$A,'source NetApp-file-sv01～03-Proj'!$D:$D))</f>
        <v>2019/01/21</v>
      </c>
      <c r="V185" s="58" t="str">
        <f t="array" ref="V185">XLOOKUP($A185,'source isilon_Projectまとめ'!$A:$A,'source isilon_Projectまとめ'!$D:$D,XLOOKUP($A185,'source isilon-Project-du'!$A:$A,'source isilon-Project-du'!$C:$C))</f>
        <v>1.43GB</v>
      </c>
      <c r="W185" s="7" t="s">
        <v>2177</v>
      </c>
    </row>
    <row r="186">
      <c r="A186" s="8" t="s">
        <v>1711</v>
      </c>
      <c r="B186" s="8" t="s">
        <v>2394</v>
      </c>
      <c r="C186" s="37" t="s">
        <v>1063</v>
      </c>
      <c r="D186" s="7" t="s">
        <v>298</v>
      </c>
      <c r="E186" s="7" t="s">
        <v>1595</v>
      </c>
      <c r="F186" s="37" t="str">
        <f t="array" ref="F186">XLOOKUP(E186,'従業員情報'!$A:$A,'従業員情報'!$N:$N,"×")</f>
        <v>株式会社MIXI/村瀨管掌/はたらく環境推進本部</v>
      </c>
      <c r="U186" s="58" t="str">
        <f t="array" ref="U186">XLOOKUP($A186,'source isilon_Projectまとめ'!$A:$A,'source isilon_Projectまとめ'!$C:$C,XLOOKUP($A186,'source NetApp-file-sv01～03-Proj'!$A:$A,'source NetApp-file-sv01～03-Proj'!$D:$D))</f>
        <v>2018/11/06</v>
      </c>
      <c r="V186" s="58" t="str">
        <f t="array" ref="V186">XLOOKUP($A186,'source isilon_Projectまとめ'!$A:$A,'source isilon_Projectまとめ'!$D:$D,XLOOKUP($A186,'source isilon-Project-du'!$A:$A,'source isilon-Project-du'!$C:$C))</f>
        <v>480.28GB</v>
      </c>
      <c r="W186" s="7" t="s">
        <v>2177</v>
      </c>
    </row>
    <row r="187">
      <c r="A187" s="8" t="s">
        <v>1793</v>
      </c>
      <c r="B187" s="8" t="s">
        <v>2394</v>
      </c>
      <c r="C187" s="37" t="s">
        <v>1794</v>
      </c>
      <c r="D187" s="7" t="s">
        <v>1795</v>
      </c>
      <c r="E187" s="7" t="s">
        <v>1796</v>
      </c>
      <c r="F187" s="37" t="str">
        <f t="array" ref="F187">XLOOKUP(E187,'従業員情報'!$A:$A,'従業員情報'!$N:$N,"×")</f>
        <v>株式会社MIXI/笠原管掌/Vantageスタジオ/mixi事業部/開発2グループ</v>
      </c>
      <c r="U187" s="58" t="str">
        <f t="array" ref="U187">XLOOKUP($A187,'source isilon_Projectまとめ'!$A:$A,'source isilon_Projectまとめ'!$C:$C,XLOOKUP($A187,'source NetApp-file-sv01～03-Proj'!$A:$A,'source NetApp-file-sv01～03-Proj'!$D:$D))</f>
        <v>2018/09/14</v>
      </c>
      <c r="V187" s="58" t="str">
        <f t="array" ref="V187">XLOOKUP($A187,'source isilon_Projectまとめ'!$A:$A,'source isilon_Projectまとめ'!$D:$D,XLOOKUP($A187,'source isilon-Project-du'!$A:$A,'source isilon-Project-du'!$C:$C))</f>
        <v>90.17GB</v>
      </c>
      <c r="W187" s="7" t="s">
        <v>2177</v>
      </c>
    </row>
    <row r="188">
      <c r="A188" s="8" t="s">
        <v>1669</v>
      </c>
      <c r="B188" s="8" t="s">
        <v>2394</v>
      </c>
      <c r="C188" s="37" t="s">
        <v>1670</v>
      </c>
      <c r="D188" s="7" t="s">
        <v>1671</v>
      </c>
      <c r="E188" s="7" t="s">
        <v>1672</v>
      </c>
      <c r="F188" s="37" t="str">
        <f t="array" ref="F188">XLOOKUP(E188,'従業員情報'!$A:$A,'従業員情報'!$N:$N,"×")</f>
        <v>株式会社MIXI/木村管掌/デジタルエンターテインメントオペレーションズ本部/モンストIPクリエイション部/キャラプログループ/アート監修チーム</v>
      </c>
      <c r="U188" s="58" t="str">
        <f t="array" ref="U188">XLOOKUP($A188,'source isilon_Projectまとめ'!$A:$A,'source isilon_Projectまとめ'!$C:$C,XLOOKUP($A188,'source NetApp-file-sv01～03-Proj'!$A:$A,'source NetApp-file-sv01～03-Proj'!$D:$D))</f>
        <v>2018/08/27</v>
      </c>
      <c r="V188" s="58" t="str">
        <f t="array" ref="V188">XLOOKUP($A188,'source isilon_Projectまとめ'!$A:$A,'source isilon_Projectまとめ'!$D:$D,XLOOKUP($A188,'source isilon-Project-du'!$A:$A,'source isilon-Project-du'!$C:$C))</f>
        <v>0.08GB</v>
      </c>
      <c r="W188" s="7" t="s">
        <v>2177</v>
      </c>
    </row>
    <row r="189">
      <c r="A189" s="8" t="s">
        <v>1826</v>
      </c>
      <c r="B189" s="8" t="s">
        <v>2394</v>
      </c>
      <c r="C189" s="37" t="s">
        <v>1827</v>
      </c>
      <c r="D189" s="7" t="s">
        <v>1828</v>
      </c>
      <c r="E189" s="7" t="s">
        <v>1827</v>
      </c>
      <c r="F189" s="37" t="str">
        <f t="array" ref="F189">XLOOKUP(E189,'従業員情報'!$A:$A,'従業員情報'!$N:$N,"×")</f>
        <v>株式会社MIXI/島村管掌/経営推進本部/FP&amp;Aインテリジェンス部/コーポレートFP&amp;Aグループ</v>
      </c>
      <c r="U189" s="58" t="str">
        <f t="array" ref="U189">XLOOKUP($A189,'source isilon_Projectまとめ'!$A:$A,'source isilon_Projectまとめ'!$C:$C,XLOOKUP($A189,'source NetApp-file-sv01～03-Proj'!$A:$A,'source NetApp-file-sv01～03-Proj'!$D:$D))</f>
        <v>2018/06/25</v>
      </c>
      <c r="V189" s="58" t="str">
        <f t="array" ref="V189">XLOOKUP($A189,'source isilon_Projectまとめ'!$A:$A,'source isilon_Projectまとめ'!$D:$D,XLOOKUP($A189,'source isilon-Project-du'!$A:$A,'source isilon-Project-du'!$C:$C))</f>
        <v>0.00GB</v>
      </c>
      <c r="W189" s="7" t="s">
        <v>2177</v>
      </c>
    </row>
    <row r="190">
      <c r="A190" s="8" t="s">
        <v>1841</v>
      </c>
      <c r="B190" s="8" t="s">
        <v>2394</v>
      </c>
      <c r="C190" s="37" t="s">
        <v>1842</v>
      </c>
      <c r="D190" s="7" t="s">
        <v>1631</v>
      </c>
      <c r="E190" s="7" t="s">
        <v>1632</v>
      </c>
      <c r="F190" s="37" t="str">
        <f t="array" ref="F190">XLOOKUP(E190,'従業員情報'!$A:$A,'従業員情報'!$N:$N,"×")</f>
        <v>株式会社MIXI/管掌役員なし/内部監査室(本部格)/内部監査室</v>
      </c>
      <c r="G190" s="7" t="s">
        <v>1843</v>
      </c>
      <c r="H190" s="37" t="str">
        <f t="array" ref="H190">XLOOKUP(G190,'退職者'!C:C,'退職者'!A:A,"×")</f>
        <v>内部監査室</v>
      </c>
      <c r="U190" s="58" t="str">
        <f t="array" ref="U190">XLOOKUP($A190,'source isilon_Projectまとめ'!$A:$A,'source isilon_Projectまとめ'!$C:$C,XLOOKUP($A190,'source NetApp-file-sv01～03-Proj'!$A:$A,'source NetApp-file-sv01～03-Proj'!$D:$D))</f>
        <v>2018/05/07</v>
      </c>
      <c r="V190" s="58" t="str">
        <f t="array" ref="V190">XLOOKUP($A190,'source isilon_Projectまとめ'!$A:$A,'source isilon_Projectまとめ'!$D:$D,XLOOKUP($A190,'source isilon-Project-du'!$A:$A,'source isilon-Project-du'!$C:$C))</f>
        <v>0.05GB</v>
      </c>
      <c r="W190" s="7" t="s">
        <v>2177</v>
      </c>
    </row>
    <row r="191">
      <c r="A191" s="8" t="s">
        <v>1447</v>
      </c>
      <c r="B191" s="8" t="s">
        <v>2394</v>
      </c>
      <c r="C191" s="37" t="s">
        <v>1410</v>
      </c>
      <c r="D191" s="7" t="s">
        <v>854</v>
      </c>
      <c r="E191" s="7" t="s">
        <v>1411</v>
      </c>
      <c r="F191" s="37" t="str">
        <f t="array" ref="F191">XLOOKUP(E191,'従業員情報'!$A:$A,'従業員情報'!$N:$N,"×")</f>
        <v>株式会社MIXI/木村管掌/ライブエクスペリエンス事業本部</v>
      </c>
      <c r="U191" s="58" t="str">
        <f t="array" ref="U191">XLOOKUP($A191,'source isilon_Projectまとめ'!$A:$A,'source isilon_Projectまとめ'!$C:$C,XLOOKUP($A191,'source NetApp-file-sv01～03-Proj'!$A:$A,'source NetApp-file-sv01～03-Proj'!$D:$D))</f>
        <v>2018/02/20</v>
      </c>
      <c r="V191" s="58" t="str">
        <f t="array" ref="V191">XLOOKUP($A191,'source isilon_Projectまとめ'!$A:$A,'source isilon_Projectまとめ'!$D:$D,XLOOKUP($A191,'source isilon-Project-du'!$A:$A,'source isilon-Project-du'!$C:$C))</f>
        <v>102.93GB</v>
      </c>
      <c r="W191" s="7" t="s">
        <v>2177</v>
      </c>
    </row>
    <row r="192">
      <c r="A192" s="8" t="s">
        <v>1562</v>
      </c>
      <c r="B192" s="8" t="s">
        <v>2394</v>
      </c>
      <c r="C192" s="37" t="s">
        <v>1421</v>
      </c>
      <c r="D192" s="7" t="s">
        <v>1422</v>
      </c>
      <c r="E192" s="7" t="s">
        <v>1423</v>
      </c>
      <c r="F192" s="37" t="str">
        <f t="array" ref="F192">XLOOKUP(E192,'従業員情報'!$A:$A,'従業員情報'!$N:$N,"×")</f>
        <v>株式会社MIXI/笠原管掌/Vantageスタジオ/mixi事業部</v>
      </c>
      <c r="U192" s="58" t="str">
        <f t="array" ref="U192">XLOOKUP($A192,'source isilon_Projectまとめ'!$A:$A,'source isilon_Projectまとめ'!$C:$C,XLOOKUP($A192,'source NetApp-file-sv01～03-Proj'!$A:$A,'source NetApp-file-sv01～03-Proj'!$D:$D))</f>
        <v>2018/02/20</v>
      </c>
      <c r="V192" s="58" t="str">
        <f t="array" ref="V192">XLOOKUP($A192,'source isilon_Projectまとめ'!$A:$A,'source isilon_Projectまとめ'!$D:$D,XLOOKUP($A192,'source isilon-Project-du'!$A:$A,'source isilon-Project-du'!$C:$C))</f>
        <v>0.09GB</v>
      </c>
      <c r="W192" s="7" t="s">
        <v>2177</v>
      </c>
    </row>
    <row r="193">
      <c r="A193" s="8" t="s">
        <v>1776</v>
      </c>
      <c r="B193" s="8" t="s">
        <v>2394</v>
      </c>
      <c r="C193" s="37" t="s">
        <v>1374</v>
      </c>
      <c r="D193" s="7" t="s">
        <v>420</v>
      </c>
      <c r="E193" s="7" t="s">
        <v>1375</v>
      </c>
      <c r="F193" s="37" t="str">
        <f t="array" ref="F193">XLOOKUP(E193,'従業員情報'!$A:$A,'従業員情報'!$N:$N,"×")</f>
        <v>株式会社MIXI/管掌役員なし/取締役</v>
      </c>
      <c r="U193" s="58" t="str">
        <f t="array" ref="U193">XLOOKUP($A193,'source isilon_Projectまとめ'!$A:$A,'source isilon_Projectまとめ'!$C:$C,XLOOKUP($A193,'source NetApp-file-sv01～03-Proj'!$A:$A,'source NetApp-file-sv01～03-Proj'!$D:$D))</f>
        <v>2017/12/08</v>
      </c>
      <c r="V193" s="58" t="str">
        <f t="array" ref="V193">XLOOKUP($A193,'source isilon_Projectまとめ'!$A:$A,'source isilon_Projectまとめ'!$D:$D,XLOOKUP($A193,'source isilon-Project-du'!$A:$A,'source isilon-Project-du'!$C:$C))</f>
        <v>1.54GB</v>
      </c>
      <c r="W193" s="7" t="s">
        <v>2177</v>
      </c>
    </row>
    <row r="194">
      <c r="A194" s="8" t="s">
        <v>1848</v>
      </c>
      <c r="B194" s="8" t="s">
        <v>2394</v>
      </c>
      <c r="C194" s="7" t="s">
        <v>1849</v>
      </c>
      <c r="D194" s="7" t="s">
        <v>1450</v>
      </c>
      <c r="E194" s="7" t="s">
        <v>1850</v>
      </c>
      <c r="F194" s="37" t="str">
        <f t="array" ref="F194">XLOOKUP(E194,'従業員情報'!$A:$A,'従業員情報'!$N:$N,"×")</f>
        <v>株式会社MIXI/村瀨管掌/開発本部/たんぽぽ室/Enablementグループ</v>
      </c>
      <c r="U194" s="58" t="str">
        <f t="array" ref="U194">XLOOKUP($A194,'source isilon_Projectまとめ'!$A:$A,'source isilon_Projectまとめ'!$C:$C,XLOOKUP($A194,'source NetApp-file-sv01～03-Proj'!$A:$A,'source NetApp-file-sv01～03-Proj'!$D:$D))</f>
        <v>2017/11/28</v>
      </c>
      <c r="V194" s="58" t="str">
        <f t="array" ref="V194">XLOOKUP($A194,'source isilon_Projectまとめ'!$A:$A,'source isilon_Projectまとめ'!$D:$D,XLOOKUP($A194,'source isilon-Project-du'!$A:$A,'source isilon-Project-du'!$C:$C))</f>
        <v>159.19GB</v>
      </c>
      <c r="W194" s="7" t="s">
        <v>2177</v>
      </c>
    </row>
    <row r="195">
      <c r="A195" s="8" t="s">
        <v>1373</v>
      </c>
      <c r="B195" s="8" t="s">
        <v>2394</v>
      </c>
      <c r="C195" s="37" t="s">
        <v>1374</v>
      </c>
      <c r="D195" s="7" t="s">
        <v>420</v>
      </c>
      <c r="E195" s="7" t="s">
        <v>1375</v>
      </c>
      <c r="F195" s="37" t="str">
        <f t="array" ref="F195">XLOOKUP(E195,'従業員情報'!$A:$A,'従業員情報'!$N:$N,"×")</f>
        <v>株式会社MIXI/管掌役員なし/取締役</v>
      </c>
      <c r="U195" s="58" t="str">
        <f t="array" ref="U195">XLOOKUP($A195,'source isilon_Projectまとめ'!$A:$A,'source isilon_Projectまとめ'!$C:$C,XLOOKUP($A195,'source NetApp-file-sv01～03-Proj'!$A:$A,'source NetApp-file-sv01～03-Proj'!$D:$D))</f>
        <v>2017/11/14</v>
      </c>
      <c r="V195" s="58" t="str">
        <f t="array" ref="V195">XLOOKUP($A195,'source isilon_Projectまとめ'!$A:$A,'source isilon_Projectまとめ'!$D:$D,XLOOKUP($A195,'source isilon-Project-du'!$A:$A,'source isilon-Project-du'!$C:$C))</f>
        <v>0.23GB</v>
      </c>
      <c r="W195" s="7" t="s">
        <v>2177</v>
      </c>
    </row>
    <row r="196">
      <c r="A196" s="8" t="s">
        <v>1600</v>
      </c>
      <c r="B196" s="8" t="s">
        <v>992</v>
      </c>
      <c r="C196" s="37" t="s">
        <v>1601</v>
      </c>
      <c r="D196" s="37" t="s">
        <v>1602</v>
      </c>
      <c r="E196" s="7" t="s">
        <v>1601</v>
      </c>
      <c r="F196" s="37" t="s">
        <v>1602</v>
      </c>
      <c r="T196" s="37" t="s">
        <v>1053</v>
      </c>
      <c r="U196" s="58" t="str">
        <f t="array" ref="U196">XLOOKUP($A196,'source isilon_Projectまとめ'!$A:$A,'source isilon_Projectまとめ'!$C:$C,XLOOKUP($A196,'source NetApp-file-sv01～03-Proj'!$A:$A,'source NetApp-file-sv01～03-Proj'!$D:$D))</f>
        <v>2017/10/27</v>
      </c>
      <c r="V196" s="58" t="str">
        <f t="array" ref="V196">XLOOKUP($A196,'source isilon_Projectまとめ'!$A:$A,'source isilon_Projectまとめ'!$D:$D,XLOOKUP($A196,'source isilon-Project-du'!$A:$A,'source isilon-Project-du'!$C:$C))</f>
        <v>0.38GB</v>
      </c>
      <c r="W196" s="7" t="s">
        <v>2177</v>
      </c>
    </row>
    <row r="197">
      <c r="A197" s="8" t="s">
        <v>1584</v>
      </c>
      <c r="B197" s="8" t="s">
        <v>2394</v>
      </c>
      <c r="C197" s="37" t="s">
        <v>1585</v>
      </c>
      <c r="D197" s="7" t="s">
        <v>1586</v>
      </c>
      <c r="E197" s="7" t="s">
        <v>1587</v>
      </c>
      <c r="F197" s="37" t="str">
        <f t="array" ref="F197">XLOOKUP(E197,'従業員情報'!$A:$A,'従業員情報'!$N:$N,"×")</f>
        <v>株式会社MIXI/木村管掌/デジタルエンターテインメントオペレーションズ本部/コトダマン制作部/制作運用グループ/サービス運用チーム</v>
      </c>
      <c r="G197" s="7" t="s">
        <v>1589</v>
      </c>
      <c r="H197" s="37" t="str">
        <f t="array" ref="H197">XLOOKUP(G197,'従業員情報'!$A:$A,'従業員情報'!$N:$N,"×")</f>
        <v>株式会社MIXI/村瀨管掌/はたらく環境推進本部/せいかつ環境室/せいかつ環境Bグループ/せいかつ環境Cチーム</v>
      </c>
      <c r="I197" s="7" t="s">
        <v>2415</v>
      </c>
      <c r="J197" s="37" t="str">
        <f t="array" ref="J197">XLOOKUP(I197,'従業員情報'!$A:$A,'従業員情報'!$N:$N,"×")</f>
        <v>株式会社MIXI/村瀨管掌/開発本部/たんぽぽ室/BOグループ</v>
      </c>
      <c r="K197" s="7" t="s">
        <v>2416</v>
      </c>
      <c r="L197" s="37" t="str">
        <f t="array" ref="L197">XLOOKUP(K197,'従業員情報'!$A:$A,'従業員情報'!$N:$N,"×")</f>
        <v>株式会社MIXI/村瀨管掌/はたらく環境推進本部/ビジネスサポート室/ボイスグループ</v>
      </c>
      <c r="U197" s="58" t="str">
        <f t="array" ref="U197">XLOOKUP($A197,'source isilon_Projectまとめ'!$A:$A,'source isilon_Projectまとめ'!$C:$C,XLOOKUP($A197,'source NetApp-file-sv01～03-Proj'!$A:$A,'source NetApp-file-sv01～03-Proj'!$D:$D))</f>
        <v>2017/10/16</v>
      </c>
      <c r="V197" s="58" t="str">
        <f t="array" ref="V197">XLOOKUP($A197,'source isilon_Projectまとめ'!$A:$A,'source isilon_Projectまとめ'!$D:$D,XLOOKUP($A197,'source isilon-Project-du'!$A:$A,'source isilon-Project-du'!$C:$C))</f>
        <v>0.76GB</v>
      </c>
      <c r="W197" s="7" t="s">
        <v>2177</v>
      </c>
    </row>
    <row r="198">
      <c r="A198" s="8" t="s">
        <v>1760</v>
      </c>
      <c r="B198" s="8" t="s">
        <v>992</v>
      </c>
      <c r="C198" s="37" t="s">
        <v>1678</v>
      </c>
      <c r="D198" s="37" t="s">
        <v>1193</v>
      </c>
      <c r="E198" s="7" t="s">
        <v>1679</v>
      </c>
      <c r="F198" s="37" t="s">
        <v>1193</v>
      </c>
      <c r="T198" s="37" t="s">
        <v>1053</v>
      </c>
      <c r="U198" s="58" t="str">
        <f t="array" ref="U198">XLOOKUP($A198,'source isilon_Projectまとめ'!$A:$A,'source isilon_Projectまとめ'!$C:$C,XLOOKUP($A198,'source NetApp-file-sv01～03-Proj'!$A:$A,'source NetApp-file-sv01～03-Proj'!$D:$D))</f>
        <v>2017/09/13</v>
      </c>
      <c r="V198" s="58" t="str">
        <f t="array" ref="V198">XLOOKUP($A198,'source isilon_Projectまとめ'!$A:$A,'source isilon_Projectまとめ'!$D:$D,XLOOKUP($A198,'source isilon-Project-du'!$A:$A,'source isilon-Project-du'!$C:$C))</f>
        <v>18.33GB</v>
      </c>
      <c r="W198" s="7" t="s">
        <v>2177</v>
      </c>
    </row>
    <row r="199">
      <c r="A199" s="8" t="s">
        <v>1412</v>
      </c>
      <c r="B199" s="8" t="s">
        <v>992</v>
      </c>
      <c r="C199" s="37" t="s">
        <v>1413</v>
      </c>
      <c r="D199" s="37" t="s">
        <v>1053</v>
      </c>
      <c r="E199" s="7" t="s">
        <v>1414</v>
      </c>
      <c r="F199" s="37" t="str">
        <f t="array" ref="F199">XLOOKUP(E199,'退職者'!$C:$C,'退職者'!$A:$A,"×")</f>
        <v>人事戦略部付</v>
      </c>
      <c r="G199" s="7" t="s">
        <v>1416</v>
      </c>
      <c r="H199" s="37" t="s">
        <v>1053</v>
      </c>
      <c r="U199" s="58" t="str">
        <f t="array" ref="U199">XLOOKUP($A199,'source isilon_Projectまとめ'!$A:$A,'source isilon_Projectまとめ'!$C:$C,XLOOKUP($A199,'source NetApp-file-sv01～03-Proj'!$A:$A,'source NetApp-file-sv01～03-Proj'!$D:$D))</f>
        <v>2017/07/07</v>
      </c>
      <c r="V199" s="58" t="str">
        <f t="array" ref="V199">XLOOKUP($A199,'source isilon_Projectまとめ'!$A:$A,'source isilon_Projectまとめ'!$D:$D,XLOOKUP($A199,'source isilon-Project-du'!$A:$A,'source isilon-Project-du'!$C:$C))</f>
        <v>0.00GB</v>
      </c>
      <c r="W199" s="7" t="s">
        <v>2177</v>
      </c>
    </row>
    <row r="200">
      <c r="A200" s="8" t="s">
        <v>1431</v>
      </c>
      <c r="B200" s="8" t="s">
        <v>2394</v>
      </c>
      <c r="C200" s="37" t="s">
        <v>1432</v>
      </c>
      <c r="D200" s="7" t="s">
        <v>1433</v>
      </c>
      <c r="E200" s="7" t="s">
        <v>1434</v>
      </c>
      <c r="F200" s="37" t="str">
        <f t="array" ref="F200">XLOOKUP(E200,'従業員情報'!$A:$A,'従業員情報'!$N:$N,"×")</f>
        <v>株式会社MIXI/村瀨管掌/セキュリティ室(本部格)</v>
      </c>
      <c r="G200" s="7" t="s">
        <v>2402</v>
      </c>
      <c r="H200" s="37" t="str">
        <f t="array" ref="H200">XLOOKUP(G200,'従業員情報'!$A:$A,'従業員情報'!$N:$N,"×")</f>
        <v>株式会社MIXI/管掌役員なし/取締役</v>
      </c>
      <c r="U200" s="58" t="str">
        <f t="array" ref="U200">XLOOKUP($A200,'source isilon_Projectまとめ'!$A:$A,'source isilon_Projectまとめ'!$C:$C,XLOOKUP($A200,'source NetApp-file-sv01～03-Proj'!$A:$A,'source NetApp-file-sv01～03-Proj'!$D:$D))</f>
        <v>2017/05/24</v>
      </c>
      <c r="V200" s="58" t="str">
        <f t="array" ref="V200">XLOOKUP($A200,'source isilon_Projectまとめ'!$A:$A,'source isilon_Projectまとめ'!$D:$D,XLOOKUP($A200,'source isilon-Project-du'!$A:$A,'source isilon-Project-du'!$C:$C))</f>
        <v>46.35GB</v>
      </c>
      <c r="W200" s="7" t="s">
        <v>2177</v>
      </c>
    </row>
    <row r="201">
      <c r="A201" s="8" t="s">
        <v>1686</v>
      </c>
      <c r="B201" s="8" t="s">
        <v>992</v>
      </c>
      <c r="C201" s="37" t="s">
        <v>1601</v>
      </c>
      <c r="D201" s="37" t="s">
        <v>1602</v>
      </c>
      <c r="E201" s="7" t="s">
        <v>1601</v>
      </c>
      <c r="F201" s="37" t="s">
        <v>1602</v>
      </c>
      <c r="T201" s="37" t="s">
        <v>1053</v>
      </c>
      <c r="U201" s="58" t="str">
        <f t="array" ref="U201">XLOOKUP($A201,'source isilon_Projectまとめ'!$A:$A,'source isilon_Projectまとめ'!$C:$C,XLOOKUP($A201,'source NetApp-file-sv01～03-Proj'!$A:$A,'source NetApp-file-sv01～03-Proj'!$D:$D))</f>
        <v>2017/04/20</v>
      </c>
      <c r="V201" s="58" t="str">
        <f t="array" ref="V201">XLOOKUP($A201,'source isilon_Projectまとめ'!$A:$A,'source isilon_Projectまとめ'!$D:$D,XLOOKUP($A201,'source isilon-Project-du'!$A:$A,'source isilon-Project-du'!$C:$C))</f>
        <v>2.36GB</v>
      </c>
      <c r="W201" s="7" t="s">
        <v>2177</v>
      </c>
    </row>
    <row r="202">
      <c r="A202" s="8" t="s">
        <v>1771</v>
      </c>
      <c r="B202" s="8" t="s">
        <v>2394</v>
      </c>
      <c r="C202" s="37" t="s">
        <v>1453</v>
      </c>
      <c r="D202" s="7" t="s">
        <v>422</v>
      </c>
      <c r="E202" s="7" t="s">
        <v>1454</v>
      </c>
      <c r="F202" s="37" t="str">
        <f t="array" ref="F202">XLOOKUP(E202,'従業員情報'!$A:$A,'従業員情報'!$N:$N,"×")</f>
        <v>株式会社MIXI/管掌役員なし/上級執行役員</v>
      </c>
      <c r="U202" s="58" t="str">
        <f t="array" ref="U202">XLOOKUP($A202,'source isilon_Projectまとめ'!$A:$A,'source isilon_Projectまとめ'!$C:$C,XLOOKUP($A202,'source NetApp-file-sv01～03-Proj'!$A:$A,'source NetApp-file-sv01～03-Proj'!$D:$D))</f>
        <v>2017/03/31</v>
      </c>
      <c r="V202" s="58" t="str">
        <f t="array" ref="V202">XLOOKUP($A202,'source isilon_Projectまとめ'!$A:$A,'source isilon_Projectまとめ'!$D:$D,XLOOKUP($A202,'source isilon-Project-du'!$A:$A,'source isilon-Project-du'!$C:$C))</f>
        <v>1.24GB</v>
      </c>
      <c r="W202" s="7" t="s">
        <v>2177</v>
      </c>
    </row>
    <row r="203">
      <c r="A203" s="8" t="s">
        <v>1644</v>
      </c>
      <c r="B203" s="8" t="s">
        <v>993</v>
      </c>
      <c r="C203" s="37" t="s">
        <v>1645</v>
      </c>
      <c r="D203" s="37" t="s">
        <v>1536</v>
      </c>
      <c r="E203" s="7" t="s">
        <v>1646</v>
      </c>
      <c r="F203" s="37" t="s">
        <v>1053</v>
      </c>
      <c r="T203" s="37" t="s">
        <v>1053</v>
      </c>
      <c r="U203" s="58" t="str">
        <f t="array" ref="U203">XLOOKUP($A203,'source isilon_Projectまとめ'!$A:$A,'source isilon_Projectまとめ'!$C:$C,XLOOKUP($A203,'source NetApp-file-sv01～03-Proj'!$A:$A,'source NetApp-file-sv01～03-Proj'!$D:$D))</f>
        <v>2017/01/31</v>
      </c>
      <c r="V203" s="58" t="str">
        <f t="array" ref="V203">XLOOKUP($A203,'source isilon_Projectまとめ'!$A:$A,'source isilon_Projectまとめ'!$D:$D,XLOOKUP($A203,'source isilon-Project-du'!$A:$A,'source isilon-Project-du'!$C:$C))</f>
        <v>7.75GB</v>
      </c>
      <c r="W203" s="7" t="s">
        <v>2177</v>
      </c>
    </row>
    <row r="204">
      <c r="A204" s="8" t="s">
        <v>1504</v>
      </c>
      <c r="B204" s="8" t="s">
        <v>2394</v>
      </c>
      <c r="C204" s="37" t="s">
        <v>1505</v>
      </c>
      <c r="D204" s="7" t="s">
        <v>1506</v>
      </c>
      <c r="E204" s="7" t="s">
        <v>1507</v>
      </c>
      <c r="F204" s="37" t="str">
        <f t="array" ref="F204">XLOOKUP(E204,'従業員情報'!$A:$A,'従業員情報'!$N:$N,"×")</f>
        <v>株式会社MIXI/奥山管掌/ソーシャルベッティング事業本部/TIPSTAR事業部/プロダクト戦略グループ/開発チーム</v>
      </c>
      <c r="U204" s="58" t="str">
        <f t="array" ref="U204">XLOOKUP($A204,'source isilon_Projectまとめ'!$A:$A,'source isilon_Projectまとめ'!$C:$C,XLOOKUP($A204,'source NetApp-file-sv01～03-Proj'!$A:$A,'source NetApp-file-sv01～03-Proj'!$D:$D))</f>
        <v>2016/12/21</v>
      </c>
      <c r="V204" s="58" t="str">
        <f t="array" ref="V204">XLOOKUP($A204,'source isilon_Projectまとめ'!$A:$A,'source isilon_Projectまとめ'!$D:$D,XLOOKUP($A204,'source isilon-Project-du'!$A:$A,'source isilon-Project-du'!$C:$C))</f>
        <v>149.68GB</v>
      </c>
      <c r="W204" s="7" t="s">
        <v>2177</v>
      </c>
    </row>
    <row r="205">
      <c r="A205" s="8" t="s">
        <v>1772</v>
      </c>
      <c r="B205" s="8" t="s">
        <v>992</v>
      </c>
      <c r="C205" s="37" t="s">
        <v>1773</v>
      </c>
      <c r="D205" s="37" t="s">
        <v>1358</v>
      </c>
      <c r="E205" s="7" t="s">
        <v>1773</v>
      </c>
      <c r="F205" s="37" t="s">
        <v>1358</v>
      </c>
      <c r="T205" s="37" t="s">
        <v>1053</v>
      </c>
      <c r="U205" s="58" t="str">
        <f t="array" ref="U205">XLOOKUP($A205,'source isilon_Projectまとめ'!$A:$A,'source isilon_Projectまとめ'!$C:$C,XLOOKUP($A205,'source NetApp-file-sv01～03-Proj'!$A:$A,'source NetApp-file-sv01～03-Proj'!$D:$D))</f>
        <v>2016/11/07</v>
      </c>
      <c r="V205" s="58" t="str">
        <f t="array" ref="V205">XLOOKUP($A205,'source isilon_Projectまとめ'!$A:$A,'source isilon_Projectまとめ'!$D:$D,XLOOKUP($A205,'source isilon-Project-du'!$A:$A,'source isilon-Project-du'!$C:$C))</f>
        <v>1158.40GB</v>
      </c>
      <c r="W205" s="7" t="s">
        <v>2177</v>
      </c>
    </row>
    <row r="206">
      <c r="A206" s="8" t="s">
        <v>1641</v>
      </c>
      <c r="B206" s="8" t="s">
        <v>993</v>
      </c>
      <c r="C206" s="37" t="s">
        <v>1642</v>
      </c>
      <c r="D206" s="37" t="s">
        <v>1536</v>
      </c>
      <c r="E206" s="7" t="s">
        <v>1643</v>
      </c>
      <c r="F206" s="37" t="s">
        <v>1053</v>
      </c>
      <c r="T206" s="37" t="s">
        <v>1053</v>
      </c>
      <c r="U206" s="58" t="str">
        <f t="array" ref="U206">XLOOKUP($A206,'source isilon_Projectまとめ'!$A:$A,'source isilon_Projectまとめ'!$C:$C,XLOOKUP($A206,'source NetApp-file-sv01～03-Proj'!$A:$A,'source NetApp-file-sv01～03-Proj'!$D:$D))</f>
        <v>2016/08/31</v>
      </c>
      <c r="V206" s="58" t="str">
        <f t="array" ref="V206">XLOOKUP($A206,'source isilon_Projectまとめ'!$A:$A,'source isilon_Projectまとめ'!$D:$D,XLOOKUP($A206,'source isilon-Project-du'!$A:$A,'source isilon-Project-du'!$C:$C))</f>
        <v>0.34GB</v>
      </c>
      <c r="W206" s="7" t="s">
        <v>2177</v>
      </c>
    </row>
    <row r="207">
      <c r="A207" s="8" t="s">
        <v>1388</v>
      </c>
      <c r="B207" s="8" t="s">
        <v>2394</v>
      </c>
      <c r="C207" s="37" t="s">
        <v>1389</v>
      </c>
      <c r="D207" s="7" t="s">
        <v>1390</v>
      </c>
      <c r="E207" s="7" t="s">
        <v>1391</v>
      </c>
      <c r="F207" s="37" t="str">
        <f t="array" ref="F207">XLOOKUP(E207,'従業員情報'!$A:$A,'従業員情報'!$N:$N,"×")</f>
        <v>株式会社MIXI/笠原管掌/Vantageスタジオ/Romi事業部/UX企画グループ</v>
      </c>
      <c r="U207" s="58" t="str">
        <f t="array" ref="U207">XLOOKUP($A207,'source isilon_Projectまとめ'!$A:$A,'source isilon_Projectまとめ'!$C:$C,XLOOKUP($A207,'source NetApp-file-sv01～03-Proj'!$A:$A,'source NetApp-file-sv01～03-Proj'!$D:$D))</f>
        <v>2016/05/19</v>
      </c>
      <c r="V207" s="58" t="str">
        <f t="array" ref="V207">XLOOKUP($A207,'source isilon_Projectまとめ'!$A:$A,'source isilon_Projectまとめ'!$D:$D,XLOOKUP($A207,'source isilon-Project-du'!$A:$A,'source isilon-Project-du'!$C:$C))</f>
        <v>17.73GB</v>
      </c>
      <c r="W207" s="7" t="s">
        <v>2177</v>
      </c>
    </row>
    <row r="208">
      <c r="A208" s="8" t="s">
        <v>1440</v>
      </c>
      <c r="B208" s="8" t="s">
        <v>2394</v>
      </c>
      <c r="C208" s="37" t="s">
        <v>1389</v>
      </c>
      <c r="D208" s="7" t="s">
        <v>1390</v>
      </c>
      <c r="E208" s="7" t="s">
        <v>1391</v>
      </c>
      <c r="F208" s="37" t="str">
        <f t="array" ref="F208">XLOOKUP(E208,'従業員情報'!$A:$A,'従業員情報'!$N:$N,"×")</f>
        <v>株式会社MIXI/笠原管掌/Vantageスタジオ/Romi事業部/UX企画グループ</v>
      </c>
      <c r="U208" s="58" t="str">
        <f t="array" ref="U208">XLOOKUP($A208,'source isilon_Projectまとめ'!$A:$A,'source isilon_Projectまとめ'!$C:$C,XLOOKUP($A208,'source NetApp-file-sv01～03-Proj'!$A:$A,'source NetApp-file-sv01～03-Proj'!$D:$D))</f>
        <v>2016/04/19</v>
      </c>
      <c r="V208" s="58" t="str">
        <f t="array" ref="V208">XLOOKUP($A208,'source isilon_Projectまとめ'!$A:$A,'source isilon_Projectまとめ'!$D:$D,XLOOKUP($A208,'source isilon-Project-du'!$A:$A,'source isilon-Project-du'!$C:$C))</f>
        <v>0.00GB</v>
      </c>
      <c r="W208" s="7" t="s">
        <v>2177</v>
      </c>
    </row>
    <row r="209">
      <c r="A209" s="8" t="s">
        <v>1685</v>
      </c>
      <c r="B209" s="8" t="s">
        <v>2394</v>
      </c>
      <c r="C209" s="37" t="s">
        <v>1389</v>
      </c>
      <c r="D209" s="7" t="s">
        <v>1390</v>
      </c>
      <c r="E209" s="7" t="s">
        <v>1391</v>
      </c>
      <c r="F209" s="37" t="str">
        <f t="array" ref="F209">XLOOKUP(E209,'従業員情報'!$A:$A,'従業員情報'!$N:$N,"×")</f>
        <v>株式会社MIXI/笠原管掌/Vantageスタジオ/Romi事業部/UX企画グループ</v>
      </c>
      <c r="U209" s="58" t="str">
        <f t="array" ref="U209">XLOOKUP($A209,'source isilon_Projectまとめ'!$A:$A,'source isilon_Projectまとめ'!$C:$C,XLOOKUP($A209,'source NetApp-file-sv01～03-Proj'!$A:$A,'source NetApp-file-sv01～03-Proj'!$D:$D))</f>
        <v>2016/04/07</v>
      </c>
      <c r="V209" s="58" t="str">
        <f t="array" ref="V209">XLOOKUP($A209,'source isilon_Projectまとめ'!$A:$A,'source isilon_Projectまとめ'!$D:$D,XLOOKUP($A209,'source isilon-Project-du'!$A:$A,'source isilon-Project-du'!$C:$C))</f>
        <v>0.77GB</v>
      </c>
      <c r="W209" s="7" t="s">
        <v>2177</v>
      </c>
    </row>
    <row r="210">
      <c r="A210" s="8" t="s">
        <v>1764</v>
      </c>
      <c r="B210" s="8" t="s">
        <v>2394</v>
      </c>
      <c r="C210" s="37" t="s">
        <v>1063</v>
      </c>
      <c r="D210" s="7" t="s">
        <v>298</v>
      </c>
      <c r="E210" s="7" t="s">
        <v>1595</v>
      </c>
      <c r="F210" s="37" t="str">
        <f t="array" ref="F210">XLOOKUP(E210,'従業員情報'!$A:$A,'従業員情報'!$N:$N,"×")</f>
        <v>株式会社MIXI/村瀨管掌/はたらく環境推進本部</v>
      </c>
      <c r="U210" s="58" t="str">
        <f t="array" ref="U210">XLOOKUP($A210,'source isilon_Projectまとめ'!$A:$A,'source isilon_Projectまとめ'!$C:$C,XLOOKUP($A210,'source NetApp-file-sv01～03-Proj'!$A:$A,'source NetApp-file-sv01～03-Proj'!$D:$D))</f>
        <v>2016/02/26</v>
      </c>
      <c r="V210" s="58" t="str">
        <f t="array" ref="V210">XLOOKUP($A210,'source isilon_Projectまとめ'!$A:$A,'source isilon_Projectまとめ'!$D:$D,XLOOKUP($A210,'source isilon-Project-du'!$A:$A,'source isilon-Project-du'!$C:$C))</f>
        <v>1640.74GB</v>
      </c>
      <c r="W210" s="7" t="s">
        <v>2177</v>
      </c>
    </row>
    <row r="211">
      <c r="A211" s="8" t="s">
        <v>1539</v>
      </c>
      <c r="B211" s="8" t="s">
        <v>2821</v>
      </c>
      <c r="C211" s="37" t="s">
        <v>1540</v>
      </c>
      <c r="D211" s="37" t="s">
        <v>1053</v>
      </c>
      <c r="E211" s="7" t="s">
        <v>1541</v>
      </c>
      <c r="F211" s="37" t="s">
        <v>1053</v>
      </c>
      <c r="T211" s="37" t="s">
        <v>1053</v>
      </c>
      <c r="U211" s="58" t="str">
        <f t="array" ref="U211">XLOOKUP($A211,'source isilon_Projectまとめ'!$A:$A,'source isilon_Projectまとめ'!$C:$C,XLOOKUP($A211,'source NetApp-file-sv01～03-Proj'!$A:$A,'source NetApp-file-sv01～03-Proj'!$D:$D))</f>
        <v>2016/02/25</v>
      </c>
      <c r="V211" s="58" t="str">
        <f t="array" ref="V211">XLOOKUP($A211,'source isilon_Projectまとめ'!$A:$A,'source isilon_Projectまとめ'!$D:$D,XLOOKUP($A211,'source isilon-Project-du'!$A:$A,'source isilon-Project-du'!$C:$C))</f>
        <v>0.01GB</v>
      </c>
      <c r="W211" s="7" t="s">
        <v>2177</v>
      </c>
    </row>
    <row r="212">
      <c r="A212" s="8" t="s">
        <v>1712</v>
      </c>
      <c r="B212" s="8" t="s">
        <v>992</v>
      </c>
      <c r="C212" s="7" t="s">
        <v>1512</v>
      </c>
      <c r="D212" s="37" t="s">
        <v>484</v>
      </c>
      <c r="E212" s="7" t="s">
        <v>1513</v>
      </c>
      <c r="F212" s="37" t="s">
        <v>484</v>
      </c>
      <c r="G212" s="7" t="s">
        <v>1492</v>
      </c>
      <c r="H212" s="37" t="s">
        <v>1053</v>
      </c>
      <c r="T212" s="37" t="s">
        <v>1053</v>
      </c>
      <c r="U212" s="58" t="str">
        <f t="array" ref="U212">XLOOKUP($A212,'source isilon_Projectまとめ'!$A:$A,'source isilon_Projectまとめ'!$C:$C,XLOOKUP($A212,'source NetApp-file-sv01～03-Proj'!$A:$A,'source NetApp-file-sv01～03-Proj'!$D:$D))</f>
        <v>2016/01/28</v>
      </c>
      <c r="V212" s="58" t="str">
        <f t="array" ref="V212">XLOOKUP($A212,'source isilon_Projectまとめ'!$A:$A,'source isilon_Projectまとめ'!$D:$D,XLOOKUP($A212,'source isilon-Project-du'!$A:$A,'source isilon-Project-du'!$C:$C))</f>
        <v>1.86GB</v>
      </c>
      <c r="W212" s="7" t="s">
        <v>2177</v>
      </c>
    </row>
    <row r="213">
      <c r="A213" s="8" t="s">
        <v>1838</v>
      </c>
      <c r="B213" s="8" t="s">
        <v>2394</v>
      </c>
      <c r="C213" s="37" t="s">
        <v>1839</v>
      </c>
      <c r="D213" s="7" t="s">
        <v>1586</v>
      </c>
      <c r="E213" s="7" t="s">
        <v>1587</v>
      </c>
      <c r="F213" s="37" t="str">
        <f t="array" ref="F213">XLOOKUP(E213,'従業員情報'!$A:$A,'従業員情報'!$N:$N,"×")</f>
        <v>株式会社MIXI/木村管掌/デジタルエンターテインメントオペレーションズ本部/コトダマン制作部/制作運用グループ/サービス運用チーム</v>
      </c>
      <c r="U213" s="58" t="str">
        <f t="array" ref="U213">XLOOKUP($A213,'source isilon_Projectまとめ'!$A:$A,'source isilon_Projectまとめ'!$C:$C,XLOOKUP($A213,'source NetApp-file-sv01～03-Proj'!$A:$A,'source NetApp-file-sv01～03-Proj'!$D:$D))</f>
        <v>2015/12/07</v>
      </c>
      <c r="V213" s="58" t="str">
        <f t="array" ref="V213">XLOOKUP($A213,'source isilon_Projectまとめ'!$A:$A,'source isilon_Projectまとめ'!$D:$D,XLOOKUP($A213,'source isilon-Project-du'!$A:$A,'source isilon-Project-du'!$C:$C))</f>
        <v>0.01GB</v>
      </c>
      <c r="W213" s="7" t="s">
        <v>2177</v>
      </c>
    </row>
    <row r="214">
      <c r="A214" s="8" t="s">
        <v>1844</v>
      </c>
      <c r="B214" s="8" t="s">
        <v>2394</v>
      </c>
      <c r="C214" s="37" t="s">
        <v>1389</v>
      </c>
      <c r="D214" s="7" t="s">
        <v>1390</v>
      </c>
      <c r="E214" s="7" t="s">
        <v>1391</v>
      </c>
      <c r="F214" s="37" t="str">
        <f t="array" ref="F214">XLOOKUP(E214,'従業員情報'!$A:$A,'従業員情報'!$N:$N,"×")</f>
        <v>株式会社MIXI/笠原管掌/Vantageスタジオ/Romi事業部/UX企画グループ</v>
      </c>
      <c r="U214" s="58" t="str">
        <f t="array" ref="U214">XLOOKUP($A214,'source isilon_Projectまとめ'!$A:$A,'source isilon_Projectまとめ'!$C:$C,XLOOKUP($A214,'source NetApp-file-sv01～03-Proj'!$A:$A,'source NetApp-file-sv01～03-Proj'!$D:$D))</f>
        <v>2015/11/24</v>
      </c>
      <c r="V214" s="58" t="str">
        <f t="array" ref="V214">XLOOKUP($A214,'source isilon_Projectまとめ'!$A:$A,'source isilon_Projectまとめ'!$D:$D,XLOOKUP($A214,'source isilon-Project-du'!$A:$A,'source isilon-Project-du'!$C:$C))</f>
        <v>353.90GB</v>
      </c>
      <c r="W214" s="7" t="s">
        <v>2177</v>
      </c>
    </row>
    <row r="215">
      <c r="A215" s="8" t="s">
        <v>1563</v>
      </c>
      <c r="B215" s="8" t="s">
        <v>2394</v>
      </c>
      <c r="C215" s="37" t="s">
        <v>1564</v>
      </c>
      <c r="D215" s="7" t="s">
        <v>1565</v>
      </c>
      <c r="E215" s="7" t="s">
        <v>1566</v>
      </c>
      <c r="F215" s="37" t="str">
        <f t="array" ref="F215">XLOOKUP(E215,'従業員情報'!$A:$A,'従業員情報'!$N:$N,"×")</f>
        <v>株式会社MIXI/木村管掌/デジタルエンターテインメントオペレーションズ本部/モンスト開発部/QAグループ/QA3チーム</v>
      </c>
      <c r="U215" s="58" t="str">
        <f t="array" ref="U215">XLOOKUP($A215,'source isilon_Projectまとめ'!$A:$A,'source isilon_Projectまとめ'!$C:$C,XLOOKUP($A215,'source NetApp-file-sv01～03-Proj'!$A:$A,'source NetApp-file-sv01～03-Proj'!$D:$D))</f>
        <v>2015/11/17</v>
      </c>
      <c r="V215" s="58" t="str">
        <f t="array" ref="V215">XLOOKUP($A215,'source isilon_Projectまとめ'!$A:$A,'source isilon_Projectまとめ'!$D:$D,XLOOKUP($A215,'source isilon-Project-du'!$A:$A,'source isilon-Project-du'!$C:$C))</f>
        <v>19.54GB</v>
      </c>
      <c r="W215" s="7" t="s">
        <v>2177</v>
      </c>
    </row>
    <row r="216">
      <c r="A216" s="8" t="s">
        <v>1851</v>
      </c>
      <c r="B216" s="8" t="s">
        <v>993</v>
      </c>
      <c r="C216" s="37" t="s">
        <v>1852</v>
      </c>
      <c r="D216" s="37" t="s">
        <v>1536</v>
      </c>
      <c r="E216" s="7" t="s">
        <v>1735</v>
      </c>
      <c r="F216" s="37" t="s">
        <v>1053</v>
      </c>
      <c r="T216" s="37" t="s">
        <v>1053</v>
      </c>
      <c r="U216" s="58" t="str">
        <f t="array" ref="U216">XLOOKUP($A216,'source isilon_Projectまとめ'!$A:$A,'source isilon_Projectまとめ'!$C:$C,XLOOKUP($A216,'source NetApp-file-sv01～03-Proj'!$A:$A,'source NetApp-file-sv01～03-Proj'!$D:$D))</f>
        <v>2015/10/21</v>
      </c>
      <c r="V216" s="58" t="str">
        <f t="array" ref="V216">XLOOKUP($A216,'source isilon_Projectまとめ'!$A:$A,'source isilon_Projectまとめ'!$D:$D,XLOOKUP($A216,'source isilon-Project-du'!$A:$A,'source isilon-Project-du'!$C:$C))</f>
        <v>0.09GB</v>
      </c>
      <c r="W216" s="7" t="s">
        <v>2177</v>
      </c>
    </row>
    <row r="217">
      <c r="A217" s="8" t="s">
        <v>1719</v>
      </c>
      <c r="B217" s="8" t="s">
        <v>2394</v>
      </c>
      <c r="C217" s="37" t="s">
        <v>1063</v>
      </c>
      <c r="D217" s="7" t="s">
        <v>298</v>
      </c>
      <c r="E217" s="7" t="s">
        <v>1595</v>
      </c>
      <c r="F217" s="37" t="str">
        <f t="array" ref="F217">XLOOKUP(E217,'従業員情報'!$A:$A,'従業員情報'!$N:$N,"×")</f>
        <v>株式会社MIXI/村瀨管掌/はたらく環境推進本部</v>
      </c>
      <c r="U217" s="58" t="str">
        <f t="array" ref="U217">XLOOKUP($A217,'source isilon_Projectまとめ'!$A:$A,'source isilon_Projectまとめ'!$C:$C,XLOOKUP($A217,'source NetApp-file-sv01～03-Proj'!$A:$A,'source NetApp-file-sv01～03-Proj'!$D:$D))</f>
        <v>2015/10/07</v>
      </c>
      <c r="V217" s="58" t="str">
        <f t="array" ref="V217">XLOOKUP($A217,'source isilon_Projectまとめ'!$A:$A,'source isilon_Projectまとめ'!$D:$D,XLOOKUP($A217,'source isilon-Project-du'!$A:$A,'source isilon-Project-du'!$C:$C))</f>
        <v>0.61GB</v>
      </c>
      <c r="W217" s="7" t="s">
        <v>2177</v>
      </c>
    </row>
    <row r="218">
      <c r="A218" s="8" t="s">
        <v>1485</v>
      </c>
      <c r="B218" s="8" t="s">
        <v>2394</v>
      </c>
      <c r="C218" s="37" t="s">
        <v>1486</v>
      </c>
      <c r="D218" s="7" t="s">
        <v>1487</v>
      </c>
      <c r="E218" s="7" t="s">
        <v>1488</v>
      </c>
      <c r="F218" s="37" t="str">
        <f t="array" ref="F218">XLOOKUP(E218,'従業員情報'!$A:$A,'従業員情報'!$N:$N,"×")</f>
        <v>株式会社MIXI/村瀨管掌/はたらく環境推進本部/せいかつ環境室/せいかつ環境Aグループ</v>
      </c>
      <c r="U218" s="58" t="str">
        <f t="array" ref="U218">XLOOKUP($A218,'source isilon_Projectまとめ'!$A:$A,'source isilon_Projectまとめ'!$C:$C,XLOOKUP($A218,'source NetApp-file-sv01～03-Proj'!$A:$A,'source NetApp-file-sv01～03-Proj'!$D:$D))</f>
        <v>2015/07/16</v>
      </c>
      <c r="V218" s="58" t="str">
        <f t="array" ref="V218">XLOOKUP($A218,'source isilon_Projectまとめ'!$A:$A,'source isilon_Projectまとめ'!$D:$D,XLOOKUP($A218,'source isilon-Project-du'!$A:$A,'source isilon-Project-du'!$C:$C))</f>
        <v>0.08GB</v>
      </c>
      <c r="W218" s="7" t="s">
        <v>2177</v>
      </c>
    </row>
    <row r="219">
      <c r="A219" s="8" t="s">
        <v>1380</v>
      </c>
      <c r="B219" s="8" t="s">
        <v>2394</v>
      </c>
      <c r="C219" s="37" t="s">
        <v>1381</v>
      </c>
      <c r="D219" s="7" t="s">
        <v>1382</v>
      </c>
      <c r="E219" s="7" t="s">
        <v>1383</v>
      </c>
      <c r="F219" s="37" t="str">
        <f t="array" ref="F219">XLOOKUP(E219,'従業員情報'!$A:$A,'従業員情報'!$N:$N,"×")</f>
        <v>株式会社MIXI/小林管掌/コンプライアンス本部/知財室/商標・著作権グループ</v>
      </c>
      <c r="U219" s="58" t="str">
        <f t="array" ref="U219">XLOOKUP($A219,'source isilon_Projectまとめ'!$A:$A,'source isilon_Projectまとめ'!$C:$C,XLOOKUP($A219,'source NetApp-file-sv01～03-Proj'!$A:$A,'source NetApp-file-sv01～03-Proj'!$D:$D))</f>
        <v>2015/07/15</v>
      </c>
      <c r="V219" s="58" t="str">
        <f t="array" ref="V219">XLOOKUP($A219,'source isilon_Projectまとめ'!$A:$A,'source isilon_Projectまとめ'!$D:$D,XLOOKUP($A219,'source isilon-Project-du'!$A:$A,'source isilon-Project-du'!$C:$C))</f>
        <v>0.00GB</v>
      </c>
      <c r="W219" s="7" t="s">
        <v>2177</v>
      </c>
    </row>
    <row r="220">
      <c r="A220" s="8" t="s">
        <v>1466</v>
      </c>
      <c r="B220" s="8" t="s">
        <v>2394</v>
      </c>
      <c r="C220" s="37" t="s">
        <v>1467</v>
      </c>
      <c r="D220" s="7" t="s">
        <v>1468</v>
      </c>
      <c r="E220" s="7" t="s">
        <v>1469</v>
      </c>
      <c r="F220" s="37" t="str">
        <f t="array" ref="F220">XLOOKUP(E220,'従業員情報'!$A:$A,'従業員情報'!$N:$N,"×")</f>
        <v>株式会社MIXI/笠原管掌/Vantageスタジオ/事業推進室</v>
      </c>
      <c r="U220" s="58" t="str">
        <f t="array" ref="U220">XLOOKUP($A220,'source isilon_Projectまとめ'!$A:$A,'source isilon_Projectまとめ'!$C:$C,XLOOKUP($A220,'source NetApp-file-sv01～03-Proj'!$A:$A,'source NetApp-file-sv01～03-Proj'!$D:$D))</f>
        <v>2015/07/14</v>
      </c>
      <c r="V220" s="58" t="str">
        <f t="array" ref="V220">XLOOKUP($A220,'source isilon_Projectまとめ'!$A:$A,'source isilon_Projectまとめ'!$D:$D,XLOOKUP($A220,'source isilon-Project-du'!$A:$A,'source isilon-Project-du'!$C:$C))</f>
        <v>12.78GB</v>
      </c>
      <c r="W220" s="7" t="s">
        <v>2177</v>
      </c>
    </row>
    <row r="221">
      <c r="A221" s="8" t="s">
        <v>1497</v>
      </c>
      <c r="B221" s="8" t="s">
        <v>2394</v>
      </c>
      <c r="C221" s="37" t="s">
        <v>1498</v>
      </c>
      <c r="D221" s="7" t="s">
        <v>780</v>
      </c>
      <c r="E221" s="7" t="s">
        <v>1499</v>
      </c>
      <c r="F221" s="37" t="str">
        <f t="array" ref="F221">XLOOKUP(E221,'従業員情報'!$A:$A,'従業員情報'!$N:$N,"×")</f>
        <v>株式会社MIXI/木村管掌/デジタルエンターテインメントパブリッシング本部</v>
      </c>
      <c r="U221" s="58" t="str">
        <f t="array" ref="U221">XLOOKUP($A221,'source isilon_Projectまとめ'!$A:$A,'source isilon_Projectまとめ'!$C:$C,XLOOKUP($A221,'source NetApp-file-sv01～03-Proj'!$A:$A,'source NetApp-file-sv01～03-Proj'!$D:$D))</f>
        <v>2015/06/29</v>
      </c>
      <c r="V221" s="58" t="str">
        <f t="array" ref="V221">XLOOKUP($A221,'source isilon_Projectまとめ'!$A:$A,'source isilon_Projectまとめ'!$D:$D,XLOOKUP($A221,'source isilon-Project-du'!$A:$A,'source isilon-Project-du'!$C:$C))</f>
        <v>5.25GB</v>
      </c>
      <c r="W221" s="7" t="s">
        <v>2177</v>
      </c>
    </row>
    <row r="222">
      <c r="A222" s="8" t="s">
        <v>1477</v>
      </c>
      <c r="B222" s="8" t="s">
        <v>2394</v>
      </c>
      <c r="C222" s="37" t="s">
        <v>1389</v>
      </c>
      <c r="D222" s="7" t="s">
        <v>1390</v>
      </c>
      <c r="E222" s="7" t="s">
        <v>1391</v>
      </c>
      <c r="F222" s="37" t="str">
        <f t="array" ref="F222">XLOOKUP(E222,'従業員情報'!$A:$A,'従業員情報'!$N:$N,"×")</f>
        <v>株式会社MIXI/笠原管掌/Vantageスタジオ/Romi事業部/UX企画グループ</v>
      </c>
      <c r="U222" s="58" t="str">
        <f t="array" ref="U222">XLOOKUP($A222,'source isilon_Projectまとめ'!$A:$A,'source isilon_Projectまとめ'!$C:$C,XLOOKUP($A222,'source NetApp-file-sv01～03-Proj'!$A:$A,'source NetApp-file-sv01～03-Proj'!$D:$D))</f>
        <v>2015/05/07</v>
      </c>
      <c r="V222" s="58" t="str">
        <f t="array" ref="V222">XLOOKUP($A222,'source isilon_Projectまとめ'!$A:$A,'source isilon_Projectまとめ'!$D:$D,XLOOKUP($A222,'source isilon-Project-du'!$A:$A,'source isilon-Project-du'!$C:$C))</f>
        <v>0.00GB</v>
      </c>
      <c r="W222" s="7" t="s">
        <v>2177</v>
      </c>
    </row>
    <row r="223">
      <c r="A223" s="8" t="s">
        <v>1746</v>
      </c>
      <c r="B223" s="8" t="s">
        <v>993</v>
      </c>
      <c r="C223" s="37" t="s">
        <v>1544</v>
      </c>
      <c r="D223" s="37" t="s">
        <v>1495</v>
      </c>
      <c r="E223" s="7" t="s">
        <v>1545</v>
      </c>
      <c r="F223" s="37" t="s">
        <v>1053</v>
      </c>
      <c r="T223" s="37" t="s">
        <v>1053</v>
      </c>
      <c r="U223" s="58" t="str">
        <f t="array" ref="U223">XLOOKUP($A223,'source isilon_Projectまとめ'!$A:$A,'source isilon_Projectまとめ'!$C:$C,XLOOKUP($A223,'source NetApp-file-sv01～03-Proj'!$A:$A,'source NetApp-file-sv01～03-Proj'!$D:$D))</f>
        <v>2015/05/01</v>
      </c>
      <c r="V223" s="58" t="str">
        <f t="array" ref="V223">XLOOKUP($A223,'source isilon_Projectまとめ'!$A:$A,'source isilon_Projectまとめ'!$D:$D,XLOOKUP($A223,'source isilon-Project-du'!$A:$A,'source isilon-Project-du'!$C:$C))</f>
        <v>0.01GB</v>
      </c>
      <c r="W223" s="7" t="s">
        <v>2177</v>
      </c>
    </row>
    <row r="224">
      <c r="A224" s="8" t="s">
        <v>1840</v>
      </c>
      <c r="B224" s="8" t="s">
        <v>993</v>
      </c>
      <c r="C224" s="37" t="s">
        <v>1642</v>
      </c>
      <c r="D224" s="37" t="s">
        <v>1536</v>
      </c>
      <c r="E224" s="7" t="s">
        <v>1643</v>
      </c>
      <c r="F224" s="37" t="s">
        <v>1053</v>
      </c>
      <c r="T224" s="37" t="s">
        <v>1053</v>
      </c>
      <c r="U224" s="58" t="str">
        <f t="array" ref="U224">XLOOKUP($A224,'source isilon_Projectまとめ'!$A:$A,'source isilon_Projectまとめ'!$C:$C,XLOOKUP($A224,'source NetApp-file-sv01～03-Proj'!$A:$A,'source NetApp-file-sv01～03-Proj'!$D:$D))</f>
        <v>2015/04/07</v>
      </c>
      <c r="V224" s="58" t="str">
        <f t="array" ref="V224">XLOOKUP($A224,'source isilon_Projectまとめ'!$A:$A,'source isilon_Projectまとめ'!$D:$D,XLOOKUP($A224,'source isilon-Project-du'!$A:$A,'source isilon-Project-du'!$C:$C))</f>
        <v>0.46GB</v>
      </c>
      <c r="W224" s="7" t="s">
        <v>2177</v>
      </c>
    </row>
    <row r="225">
      <c r="A225" s="8" t="s">
        <v>1763</v>
      </c>
      <c r="B225" s="8" t="s">
        <v>2394</v>
      </c>
      <c r="C225" s="37" t="s">
        <v>1389</v>
      </c>
      <c r="D225" s="7" t="s">
        <v>1390</v>
      </c>
      <c r="E225" s="7" t="s">
        <v>1391</v>
      </c>
      <c r="F225" s="37" t="str">
        <f t="array" ref="F225">XLOOKUP(E225,'従業員情報'!$A:$A,'従業員情報'!$N:$N,"×")</f>
        <v>株式会社MIXI/笠原管掌/Vantageスタジオ/Romi事業部/UX企画グループ</v>
      </c>
      <c r="U225" s="58" t="str">
        <f t="array" ref="U225">XLOOKUP($A225,'source isilon_Projectまとめ'!$A:$A,'source isilon_Projectまとめ'!$C:$C,XLOOKUP($A225,'source NetApp-file-sv01～03-Proj'!$A:$A,'source NetApp-file-sv01～03-Proj'!$D:$D))</f>
        <v>2015/03/09</v>
      </c>
      <c r="V225" s="58" t="str">
        <f t="array" ref="V225">XLOOKUP($A225,'source isilon_Projectまとめ'!$A:$A,'source isilon_Projectまとめ'!$D:$D,XLOOKUP($A225,'source isilon-Project-du'!$A:$A,'source isilon-Project-du'!$C:$C))</f>
        <v>0.14GB</v>
      </c>
      <c r="W225" s="7" t="s">
        <v>2177</v>
      </c>
    </row>
    <row r="226">
      <c r="A226" s="8" t="s">
        <v>1690</v>
      </c>
      <c r="B226" s="8" t="s">
        <v>2394</v>
      </c>
      <c r="C226" s="37" t="s">
        <v>1385</v>
      </c>
      <c r="D226" s="7" t="s">
        <v>1386</v>
      </c>
      <c r="E226" s="7" t="s">
        <v>1387</v>
      </c>
      <c r="F226" s="37" t="str">
        <f t="array" ref="F226">XLOOKUP(E226,'従業員情報'!$A:$A,'従業員情報'!$N:$N,"×")</f>
        <v>株式会社MIXI/笠原管掌/みてね事業本部/みてねプラットフォーム部/SREグループ</v>
      </c>
      <c r="U226" s="58" t="str">
        <f t="array" ref="U226">XLOOKUP($A226,'source isilon_Projectまとめ'!$A:$A,'source isilon_Projectまとめ'!$C:$C,XLOOKUP($A226,'source NetApp-file-sv01～03-Proj'!$A:$A,'source NetApp-file-sv01～03-Proj'!$D:$D))</f>
        <v>2015/02/24</v>
      </c>
      <c r="V226" s="58" t="str">
        <f t="array" ref="V226">XLOOKUP($A226,'source isilon_Projectまとめ'!$A:$A,'source isilon_Projectまとめ'!$D:$D,XLOOKUP($A226,'source isilon-Project-du'!$A:$A,'source isilon-Project-du'!$C:$C))</f>
        <v>5.28GB</v>
      </c>
      <c r="W226" s="7" t="s">
        <v>2177</v>
      </c>
    </row>
    <row r="227">
      <c r="A227" s="8" t="s">
        <v>1825</v>
      </c>
      <c r="B227" s="8" t="s">
        <v>2394</v>
      </c>
      <c r="C227" s="37" t="s">
        <v>1379</v>
      </c>
      <c r="D227" s="7" t="s">
        <v>1378</v>
      </c>
      <c r="E227" s="7" t="s">
        <v>1379</v>
      </c>
      <c r="F227" s="37" t="str">
        <f t="array" ref="F227">XLOOKUP(E227,'従業員情報'!$A:$A,'従業員情報'!$N:$N,"×")</f>
        <v>株式会社MIXI/島村管掌/コーポレートファイナンス本部/経理税務部/経理グループ</v>
      </c>
      <c r="U227" s="58" t="str">
        <f t="array" ref="U227">XLOOKUP($A227,'source isilon_Projectまとめ'!$A:$A,'source isilon_Projectまとめ'!$C:$C,XLOOKUP($A227,'source NetApp-file-sv01～03-Proj'!$A:$A,'source NetApp-file-sv01～03-Proj'!$D:$D))</f>
        <v>2015/01/08</v>
      </c>
      <c r="V227" s="58" t="str">
        <f t="array" ref="V227">XLOOKUP($A227,'source isilon_Projectまとめ'!$A:$A,'source isilon_Projectまとめ'!$D:$D,XLOOKUP($A227,'source isilon-Project-du'!$A:$A,'source isilon-Project-du'!$C:$C))</f>
        <v>0.35GB</v>
      </c>
      <c r="W227" s="7" t="s">
        <v>2177</v>
      </c>
    </row>
    <row r="228">
      <c r="A228" s="8" t="s">
        <v>1594</v>
      </c>
      <c r="B228" s="8" t="s">
        <v>2394</v>
      </c>
      <c r="C228" s="37" t="s">
        <v>1063</v>
      </c>
      <c r="D228" s="7" t="s">
        <v>298</v>
      </c>
      <c r="E228" s="7" t="s">
        <v>1595</v>
      </c>
      <c r="F228" s="37" t="str">
        <f t="array" ref="F228">XLOOKUP(E228,'従業員情報'!$A:$A,'従業員情報'!$N:$N,"×")</f>
        <v>株式会社MIXI/村瀨管掌/はたらく環境推進本部</v>
      </c>
      <c r="U228" s="58" t="str">
        <f t="array" ref="U228">XLOOKUP($A228,'source isilon_Projectまとめ'!$A:$A,'source isilon_Projectまとめ'!$C:$C,XLOOKUP($A228,'source NetApp-file-sv01～03-Proj'!$A:$A,'source NetApp-file-sv01～03-Proj'!$D:$D))</f>
        <v>2014/12/26</v>
      </c>
      <c r="V228" s="58" t="str">
        <f t="array" ref="V228">XLOOKUP($A228,'source isilon_Projectまとめ'!$A:$A,'source isilon_Projectまとめ'!$D:$D,XLOOKUP($A228,'source isilon-Project-du'!$A:$A,'source isilon-Project-du'!$C:$C))</f>
        <v>1.19GB</v>
      </c>
      <c r="W228" s="7" t="s">
        <v>2177</v>
      </c>
    </row>
    <row r="229">
      <c r="A229" s="8" t="s">
        <v>1759</v>
      </c>
      <c r="B229" s="8" t="s">
        <v>2394</v>
      </c>
      <c r="C229" s="37" t="s">
        <v>1453</v>
      </c>
      <c r="D229" s="7" t="s">
        <v>422</v>
      </c>
      <c r="E229" s="7" t="s">
        <v>1454</v>
      </c>
      <c r="F229" s="37" t="str">
        <f t="array" ref="F229">XLOOKUP(E229,'従業員情報'!$A:$A,'従業員情報'!$N:$N,"×")</f>
        <v>株式会社MIXI/管掌役員なし/上級執行役員</v>
      </c>
      <c r="U229" s="58" t="str">
        <f t="array" ref="U229">XLOOKUP($A229,'source isilon_Projectまとめ'!$A:$A,'source isilon_Projectまとめ'!$C:$C,XLOOKUP($A229,'source NetApp-file-sv01～03-Proj'!$A:$A,'source NetApp-file-sv01～03-Proj'!$D:$D))</f>
        <v>2014/11/14</v>
      </c>
      <c r="V229" s="58" t="str">
        <f t="array" ref="V229">XLOOKUP($A229,'source isilon_Projectまとめ'!$A:$A,'source isilon_Projectまとめ'!$D:$D,XLOOKUP($A229,'source isilon-Project-du'!$A:$A,'source isilon-Project-du'!$C:$C))</f>
        <v>0.93GB</v>
      </c>
      <c r="W229" s="7" t="s">
        <v>2177</v>
      </c>
    </row>
    <row r="230">
      <c r="A230" s="8" t="s">
        <v>1511</v>
      </c>
      <c r="B230" s="8" t="s">
        <v>992</v>
      </c>
      <c r="C230" s="7" t="s">
        <v>1512</v>
      </c>
      <c r="D230" s="37" t="s">
        <v>484</v>
      </c>
      <c r="E230" s="7" t="s">
        <v>1513</v>
      </c>
      <c r="F230" s="37" t="s">
        <v>484</v>
      </c>
      <c r="G230" s="7" t="s">
        <v>1492</v>
      </c>
      <c r="H230" s="37" t="s">
        <v>1053</v>
      </c>
      <c r="T230" s="37" t="s">
        <v>1053</v>
      </c>
      <c r="U230" s="58" t="str">
        <f t="array" ref="U230">XLOOKUP($A230,'source isilon_Projectまとめ'!$A:$A,'source isilon_Projectまとめ'!$C:$C,XLOOKUP($A230,'source NetApp-file-sv01～03-Proj'!$A:$A,'source NetApp-file-sv01～03-Proj'!$D:$D))</f>
        <v>2014/11/06</v>
      </c>
      <c r="V230" s="58" t="str">
        <f t="array" ref="V230">XLOOKUP($A230,'source isilon_Projectまとめ'!$A:$A,'source isilon_Projectまとめ'!$D:$D,XLOOKUP($A230,'source isilon-Project-du'!$A:$A,'source isilon-Project-du'!$C:$C))</f>
        <v>0.05GB</v>
      </c>
      <c r="W230" s="7" t="s">
        <v>2177</v>
      </c>
    </row>
    <row r="231">
      <c r="A231" s="8" t="s">
        <v>1778</v>
      </c>
      <c r="B231" s="8" t="s">
        <v>2394</v>
      </c>
      <c r="C231" s="37" t="s">
        <v>1479</v>
      </c>
      <c r="D231" s="7" t="s">
        <v>1480</v>
      </c>
      <c r="E231" s="7" t="s">
        <v>1481</v>
      </c>
      <c r="F231" s="37" t="str">
        <f t="array" ref="F231">XLOOKUP(E231,'従業員情報'!$A:$A,'従業員情報'!$N:$N,"×")</f>
        <v>株式会社MIXI/島村管掌/コーポレートファイナンス本部/経理税務部</v>
      </c>
      <c r="U231" s="58" t="str">
        <f t="array" ref="U231">XLOOKUP($A231,'source isilon_Projectまとめ'!$A:$A,'source isilon_Projectまとめ'!$C:$C,XLOOKUP($A231,'source NetApp-file-sv01～03-Proj'!$A:$A,'source NetApp-file-sv01～03-Proj'!$D:$D))</f>
        <v>2014/08/05</v>
      </c>
      <c r="V231" s="58" t="str">
        <f t="array" ref="V231">XLOOKUP($A231,'source isilon_Projectまとめ'!$A:$A,'source isilon_Projectまとめ'!$D:$D,XLOOKUP($A231,'source isilon-Project-du'!$A:$A,'source isilon-Project-du'!$C:$C))</f>
        <v>0.02GB</v>
      </c>
      <c r="W231" s="7" t="s">
        <v>2177</v>
      </c>
    </row>
    <row r="232">
      <c r="A232" s="8" t="s">
        <v>1626</v>
      </c>
      <c r="B232" s="8" t="s">
        <v>2394</v>
      </c>
      <c r="C232" s="37" t="s">
        <v>1627</v>
      </c>
      <c r="D232" s="7" t="s">
        <v>420</v>
      </c>
      <c r="E232" s="7" t="s">
        <v>1628</v>
      </c>
      <c r="F232" s="37" t="str">
        <f t="array" ref="F232">XLOOKUP(E232,'従業員情報'!$A:$A,'従業員情報'!$N:$N,"×")</f>
        <v>株式会社MIXI/管掌役員なし/取締役</v>
      </c>
      <c r="U232" s="58" t="str">
        <f t="array" ref="U232">XLOOKUP($A232,'source isilon_Projectまとめ'!$A:$A,'source isilon_Projectまとめ'!$C:$C,XLOOKUP($A232,'source NetApp-file-sv01～03-Proj'!$A:$A,'source NetApp-file-sv01～03-Proj'!$D:$D))</f>
        <v>2014/07/11</v>
      </c>
      <c r="V232" s="58" t="str">
        <f t="array" ref="V232">XLOOKUP($A232,'source isilon_Projectまとめ'!$A:$A,'source isilon_Projectまとめ'!$D:$D,XLOOKUP($A232,'source isilon-Project-du'!$A:$A,'source isilon-Project-du'!$C:$C))</f>
        <v>0.93GB</v>
      </c>
      <c r="W232" s="7" t="s">
        <v>2177</v>
      </c>
    </row>
    <row r="233">
      <c r="A233" s="8" t="s">
        <v>1734</v>
      </c>
      <c r="B233" s="8" t="s">
        <v>993</v>
      </c>
      <c r="C233" s="37" t="s">
        <v>1735</v>
      </c>
      <c r="D233" s="37" t="s">
        <v>1536</v>
      </c>
      <c r="E233" s="7" t="s">
        <v>1735</v>
      </c>
      <c r="F233" s="37" t="s">
        <v>1053</v>
      </c>
      <c r="T233" s="37" t="s">
        <v>1053</v>
      </c>
      <c r="U233" s="58" t="str">
        <f t="array" ref="U233">XLOOKUP($A233,'source isilon_Projectまとめ'!$A:$A,'source isilon_Projectまとめ'!$C:$C,XLOOKUP($A233,'source NetApp-file-sv01～03-Proj'!$A:$A,'source NetApp-file-sv01～03-Proj'!$D:$D))</f>
        <v>2014/06/11</v>
      </c>
      <c r="V233" s="58" t="str">
        <f t="array" ref="V233">XLOOKUP($A233,'source isilon_Projectまとめ'!$A:$A,'source isilon_Projectまとめ'!$D:$D,XLOOKUP($A233,'source isilon-Project-du'!$A:$A,'source isilon-Project-du'!$C:$C))</f>
        <v>0.03GB</v>
      </c>
      <c r="W233" s="7" t="s">
        <v>2177</v>
      </c>
    </row>
    <row r="234">
      <c r="A234" s="8" t="s">
        <v>1448</v>
      </c>
      <c r="B234" s="8" t="s">
        <v>2394</v>
      </c>
      <c r="C234" s="37" t="s">
        <v>1449</v>
      </c>
      <c r="D234" s="7" t="s">
        <v>1450</v>
      </c>
      <c r="E234" s="7" t="s">
        <v>1451</v>
      </c>
      <c r="F234" s="37" t="str">
        <f t="array" ref="F234">XLOOKUP(E234,'従業員情報'!$A:$A,'従業員情報'!$N:$N,"×")</f>
        <v>株式会社MIXI/村瀨管掌/開発本部/たんぽぽ室/Enablementグループ</v>
      </c>
      <c r="U234" s="58" t="str">
        <f t="array" ref="U234">XLOOKUP($A234,'source isilon_Projectまとめ'!$A:$A,'source isilon_Projectまとめ'!$C:$C,XLOOKUP($A234,'source NetApp-file-sv01～03-Proj'!$A:$A,'source NetApp-file-sv01～03-Proj'!$D:$D))</f>
        <v>2014/05/02</v>
      </c>
      <c r="V234" s="58" t="str">
        <f t="array" ref="V234">XLOOKUP($A234,'source isilon_Projectまとめ'!$A:$A,'source isilon_Projectまとめ'!$D:$D,XLOOKUP($A234,'source isilon-Project-du'!$A:$A,'source isilon-Project-du'!$C:$C))</f>
        <v>0.03GB</v>
      </c>
      <c r="W234" s="7" t="s">
        <v>2177</v>
      </c>
    </row>
    <row r="235">
      <c r="A235" s="8" t="s">
        <v>1384</v>
      </c>
      <c r="B235" s="8" t="s">
        <v>2394</v>
      </c>
      <c r="C235" s="37" t="s">
        <v>1385</v>
      </c>
      <c r="D235" s="7" t="s">
        <v>1386</v>
      </c>
      <c r="E235" s="7" t="s">
        <v>1387</v>
      </c>
      <c r="F235" s="37" t="str">
        <f t="array" ref="F235">XLOOKUP(E235,'従業員情報'!$A:$A,'従業員情報'!$N:$N,"×")</f>
        <v>株式会社MIXI/笠原管掌/みてね事業本部/みてねプラットフォーム部/SREグループ</v>
      </c>
      <c r="U235" s="58" t="str">
        <f t="array" ref="U235">XLOOKUP($A235,'source isilon_Projectまとめ'!$A:$A,'source isilon_Projectまとめ'!$C:$C,XLOOKUP($A235,'source NetApp-file-sv01～03-Proj'!$A:$A,'source NetApp-file-sv01～03-Proj'!$D:$D))</f>
        <v>2014/04/10</v>
      </c>
      <c r="V235" s="58" t="str">
        <f t="array" ref="V235">XLOOKUP($A235,'source isilon_Projectまとめ'!$A:$A,'source isilon_Projectまとめ'!$D:$D,XLOOKUP($A235,'source isilon-Project-du'!$A:$A,'source isilon-Project-du'!$C:$C))</f>
        <v>5.82GB</v>
      </c>
      <c r="W235" s="7" t="s">
        <v>2177</v>
      </c>
    </row>
    <row r="236">
      <c r="A236" s="8" t="s">
        <v>1553</v>
      </c>
      <c r="B236" s="8" t="s">
        <v>992</v>
      </c>
      <c r="C236" s="7" t="s">
        <v>1512</v>
      </c>
      <c r="D236" s="37" t="s">
        <v>484</v>
      </c>
      <c r="E236" s="7" t="s">
        <v>1513</v>
      </c>
      <c r="F236" s="37" t="s">
        <v>484</v>
      </c>
      <c r="G236" s="7" t="s">
        <v>1492</v>
      </c>
      <c r="H236" s="37" t="s">
        <v>1053</v>
      </c>
      <c r="T236" s="37" t="s">
        <v>1053</v>
      </c>
      <c r="U236" s="58" t="str">
        <f t="array" ref="U236">XLOOKUP($A236,'source isilon_Projectまとめ'!$A:$A,'source isilon_Projectまとめ'!$C:$C,XLOOKUP($A236,'source NetApp-file-sv01～03-Proj'!$A:$A,'source NetApp-file-sv01～03-Proj'!$D:$D))</f>
        <v>2014/04/04</v>
      </c>
      <c r="V236" s="58" t="str">
        <f t="array" ref="V236">XLOOKUP($A236,'source isilon_Projectまとめ'!$A:$A,'source isilon_Projectまとめ'!$D:$D,XLOOKUP($A236,'source isilon-Project-du'!$A:$A,'source isilon-Project-du'!$C:$C))</f>
        <v>3.15GB</v>
      </c>
      <c r="W236" s="7" t="s">
        <v>2177</v>
      </c>
    </row>
    <row r="237">
      <c r="A237" s="8" t="s">
        <v>1744</v>
      </c>
      <c r="B237" s="8" t="s">
        <v>2394</v>
      </c>
      <c r="C237" s="37" t="s">
        <v>1745</v>
      </c>
      <c r="D237" s="7" t="s">
        <v>1631</v>
      </c>
      <c r="E237" s="7" t="s">
        <v>1632</v>
      </c>
      <c r="F237" s="37" t="str">
        <f t="array" ref="F237">XLOOKUP(E237,'従業員情報'!$A:$A,'従業員情報'!$N:$N,"×")</f>
        <v>株式会社MIXI/管掌役員なし/内部監査室(本部格)/内部監査室</v>
      </c>
      <c r="U237" s="58" t="str">
        <f t="array" ref="U237">XLOOKUP($A237,'source isilon_Projectまとめ'!$A:$A,'source isilon_Projectまとめ'!$C:$C,XLOOKUP($A237,'source NetApp-file-sv01～03-Proj'!$A:$A,'source NetApp-file-sv01～03-Proj'!$D:$D))</f>
        <v>2014/03/26</v>
      </c>
      <c r="V237" s="58" t="str">
        <f t="array" ref="V237">XLOOKUP($A237,'source isilon_Projectまとめ'!$A:$A,'source isilon_Projectまとめ'!$D:$D,XLOOKUP($A237,'source isilon-Project-du'!$A:$A,'source isilon-Project-du'!$C:$C))</f>
        <v>0.00GB</v>
      </c>
      <c r="W237" s="7" t="s">
        <v>2177</v>
      </c>
    </row>
    <row r="238">
      <c r="A238" s="8" t="s">
        <v>1765</v>
      </c>
      <c r="B238" s="8" t="s">
        <v>993</v>
      </c>
      <c r="C238" s="37" t="s">
        <v>1642</v>
      </c>
      <c r="D238" s="37" t="s">
        <v>1536</v>
      </c>
      <c r="E238" s="7" t="s">
        <v>1643</v>
      </c>
      <c r="F238" s="37" t="s">
        <v>1053</v>
      </c>
      <c r="T238" s="37" t="s">
        <v>1053</v>
      </c>
      <c r="U238" s="58" t="str">
        <f t="array" ref="U238">XLOOKUP($A238,'source isilon_Projectまとめ'!$A:$A,'source isilon_Projectまとめ'!$C:$C,XLOOKUP($A238,'source NetApp-file-sv01～03-Proj'!$A:$A,'source NetApp-file-sv01～03-Proj'!$D:$D))</f>
        <v>2014/03/20</v>
      </c>
      <c r="V238" s="58" t="str">
        <f t="array" ref="V238">XLOOKUP($A238,'source isilon_Projectまとめ'!$A:$A,'source isilon_Projectまとめ'!$D:$D,XLOOKUP($A238,'source isilon-Project-du'!$A:$A,'source isilon-Project-du'!$C:$C))</f>
        <v>0.18GB</v>
      </c>
      <c r="W238" s="7" t="s">
        <v>2177</v>
      </c>
    </row>
    <row r="239">
      <c r="A239" s="8" t="s">
        <v>1784</v>
      </c>
      <c r="B239" s="8" t="s">
        <v>993</v>
      </c>
      <c r="C239" s="37" t="s">
        <v>1735</v>
      </c>
      <c r="D239" s="37" t="s">
        <v>1536</v>
      </c>
      <c r="E239" s="7" t="s">
        <v>1735</v>
      </c>
      <c r="F239" s="37" t="s">
        <v>1053</v>
      </c>
      <c r="T239" s="37" t="s">
        <v>1053</v>
      </c>
      <c r="U239" s="58" t="str">
        <f t="array" ref="U239">XLOOKUP($A239,'source isilon_Projectまとめ'!$A:$A,'source isilon_Projectまとめ'!$C:$C,XLOOKUP($A239,'source NetApp-file-sv01～03-Proj'!$A:$A,'source NetApp-file-sv01～03-Proj'!$D:$D))</f>
        <v>2014/03/20</v>
      </c>
      <c r="V239" s="58" t="str">
        <f t="array" ref="V239">XLOOKUP($A239,'source isilon_Projectまとめ'!$A:$A,'source isilon_Projectまとめ'!$D:$D,XLOOKUP($A239,'source isilon-Project-du'!$A:$A,'source isilon-Project-du'!$C:$C))</f>
        <v>0.01GB</v>
      </c>
      <c r="W239" s="7" t="s">
        <v>2177</v>
      </c>
    </row>
    <row r="240">
      <c r="A240" s="8" t="s">
        <v>1846</v>
      </c>
      <c r="B240" s="8" t="s">
        <v>2394</v>
      </c>
      <c r="C240" s="37" t="s">
        <v>1389</v>
      </c>
      <c r="D240" s="7" t="s">
        <v>1390</v>
      </c>
      <c r="E240" s="7" t="s">
        <v>1391</v>
      </c>
      <c r="F240" s="37" t="str">
        <f t="array" ref="F240">XLOOKUP(E240,'従業員情報'!$A:$A,'従業員情報'!$N:$N,"×")</f>
        <v>株式会社MIXI/笠原管掌/Vantageスタジオ/Romi事業部/UX企画グループ</v>
      </c>
      <c r="U240" s="58" t="str">
        <f t="array" ref="U240">XLOOKUP($A240,'source isilon_Projectまとめ'!$A:$A,'source isilon_Projectまとめ'!$C:$C,XLOOKUP($A240,'source NetApp-file-sv01～03-Proj'!$A:$A,'source NetApp-file-sv01～03-Proj'!$D:$D))</f>
        <v>2014/03/05</v>
      </c>
      <c r="V240" s="58" t="str">
        <f t="array" ref="V240">XLOOKUP($A240,'source isilon_Projectまとめ'!$A:$A,'source isilon_Projectまとめ'!$D:$D,XLOOKUP($A240,'source isilon-Project-du'!$A:$A,'source isilon-Project-du'!$C:$C))</f>
        <v>0.02GB</v>
      </c>
      <c r="W240" s="7" t="s">
        <v>2177</v>
      </c>
    </row>
    <row r="241">
      <c r="A241" s="8" t="s">
        <v>1680</v>
      </c>
      <c r="B241" s="8" t="s">
        <v>2394</v>
      </c>
      <c r="C241" s="37" t="s">
        <v>1681</v>
      </c>
      <c r="D241" s="7" t="s">
        <v>1682</v>
      </c>
      <c r="E241" s="7" t="s">
        <v>1683</v>
      </c>
      <c r="F241" s="37" t="str">
        <f t="array" ref="F241">XLOOKUP(E241,'従業員情報'!$A:$A,'従業員情報'!$N:$N,"×")</f>
        <v>株式会社MIXI/笠原管掌/みてね事業本部/みてねマーケティング部/ユーザーコミュニケーショングループ</v>
      </c>
      <c r="U241" s="58" t="str">
        <f t="array" ref="U241">XLOOKUP($A241,'source isilon_Projectまとめ'!$A:$A,'source isilon_Projectまとめ'!$C:$C,XLOOKUP($A241,'source NetApp-file-sv01～03-Proj'!$A:$A,'source NetApp-file-sv01～03-Proj'!$D:$D))</f>
        <v>2014/01/09</v>
      </c>
      <c r="V241" s="58" t="str">
        <f t="array" ref="V241">XLOOKUP($A241,'source isilon_Projectまとめ'!$A:$A,'source isilon_Projectまとめ'!$D:$D,XLOOKUP($A241,'source isilon-Project-du'!$A:$A,'source isilon-Project-du'!$C:$C))</f>
        <v>0.00GB</v>
      </c>
      <c r="W241" s="7" t="s">
        <v>2177</v>
      </c>
    </row>
    <row r="242">
      <c r="A242" s="8" t="s">
        <v>1613</v>
      </c>
      <c r="B242" s="8" t="s">
        <v>2394</v>
      </c>
      <c r="C242" s="37" t="s">
        <v>1614</v>
      </c>
      <c r="D242" s="7" t="s">
        <v>1615</v>
      </c>
      <c r="E242" s="7" t="s">
        <v>1616</v>
      </c>
      <c r="F242" s="37" t="str">
        <f t="array" ref="F242">XLOOKUP(E242,'従業員情報'!$A:$A,'従業員情報'!$N:$N,"×")</f>
        <v>株式会社MIXI/木村管掌/デジタルエンターテインメントオペレーションズ本部/コトダマン制作部</v>
      </c>
      <c r="U242" s="58" t="str">
        <f t="array" ref="U242">XLOOKUP($A242,'source isilon_Projectまとめ'!$A:$A,'source isilon_Projectまとめ'!$C:$C,XLOOKUP($A242,'source NetApp-file-sv01～03-Proj'!$A:$A,'source NetApp-file-sv01～03-Proj'!$D:$D))</f>
        <v>2013/11/20</v>
      </c>
      <c r="V242" s="58" t="str">
        <f t="array" ref="V242">XLOOKUP($A242,'source isilon_Projectまとめ'!$A:$A,'source isilon_Projectまとめ'!$D:$D,XLOOKUP($A242,'source isilon-Project-du'!$A:$A,'source isilon-Project-du'!$C:$C))</f>
        <v>0.00GB</v>
      </c>
      <c r="W242" s="7" t="s">
        <v>2177</v>
      </c>
    </row>
    <row r="243">
      <c r="A243" s="8" t="s">
        <v>1640</v>
      </c>
      <c r="B243" s="8" t="s">
        <v>2394</v>
      </c>
      <c r="C243" s="37" t="s">
        <v>1421</v>
      </c>
      <c r="D243" s="7" t="s">
        <v>1422</v>
      </c>
      <c r="E243" s="7" t="s">
        <v>1423</v>
      </c>
      <c r="F243" s="37" t="str">
        <f t="array" ref="F243">XLOOKUP(E243,'従業員情報'!$A:$A,'従業員情報'!$N:$N,"×")</f>
        <v>株式会社MIXI/笠原管掌/Vantageスタジオ/mixi事業部</v>
      </c>
      <c r="U243" s="58" t="str">
        <f t="array" ref="U243">XLOOKUP($A243,'source isilon_Projectまとめ'!$A:$A,'source isilon_Projectまとめ'!$C:$C,XLOOKUP($A243,'source NetApp-file-sv01～03-Proj'!$A:$A,'source NetApp-file-sv01～03-Proj'!$D:$D))</f>
        <v>2013/10/31</v>
      </c>
      <c r="V243" s="58" t="str">
        <f t="array" ref="V243">XLOOKUP($A243,'source isilon_Projectまとめ'!$A:$A,'source isilon_Projectまとめ'!$D:$D,XLOOKUP($A243,'source isilon-Project-du'!$A:$A,'source isilon-Project-du'!$C:$C))</f>
        <v>0.01GB</v>
      </c>
      <c r="W243" s="7" t="s">
        <v>2177</v>
      </c>
    </row>
    <row r="244">
      <c r="A244" s="8" t="s">
        <v>1779</v>
      </c>
      <c r="B244" s="8" t="s">
        <v>993</v>
      </c>
      <c r="C244" s="37" t="s">
        <v>1780</v>
      </c>
      <c r="D244" s="37" t="s">
        <v>1536</v>
      </c>
      <c r="E244" s="7" t="s">
        <v>1781</v>
      </c>
      <c r="F244" s="37" t="s">
        <v>1053</v>
      </c>
      <c r="T244" s="37" t="s">
        <v>1053</v>
      </c>
      <c r="U244" s="58" t="str">
        <f t="array" ref="U244">XLOOKUP($A244,'source isilon_Projectまとめ'!$A:$A,'source isilon_Projectまとめ'!$C:$C,XLOOKUP($A244,'source NetApp-file-sv01～03-Proj'!$A:$A,'source NetApp-file-sv01～03-Proj'!$D:$D))</f>
        <v>2013/10/31</v>
      </c>
      <c r="V244" s="58" t="str">
        <f t="array" ref="V244">XLOOKUP($A244,'source isilon_Projectまとめ'!$A:$A,'source isilon_Projectまとめ'!$D:$D,XLOOKUP($A244,'source isilon-Project-du'!$A:$A,'source isilon-Project-du'!$C:$C))</f>
        <v>1.09GB</v>
      </c>
      <c r="W244" s="7" t="s">
        <v>2177</v>
      </c>
    </row>
    <row r="245">
      <c r="A245" s="8" t="s">
        <v>1718</v>
      </c>
      <c r="B245" s="8" t="s">
        <v>992</v>
      </c>
      <c r="C245" s="37" t="s">
        <v>1472</v>
      </c>
      <c r="D245" s="37" t="s">
        <v>1065</v>
      </c>
      <c r="E245" s="7" t="s">
        <v>1473</v>
      </c>
      <c r="F245" s="37" t="s">
        <v>1065</v>
      </c>
      <c r="T245" s="37" t="s">
        <v>1053</v>
      </c>
      <c r="U245" s="58" t="str">
        <f t="array" ref="U245">XLOOKUP($A245,'source isilon_Projectまとめ'!$A:$A,'source isilon_Projectまとめ'!$C:$C,XLOOKUP($A245,'source NetApp-file-sv01～03-Proj'!$A:$A,'source NetApp-file-sv01～03-Proj'!$D:$D))</f>
        <v>2013/10/30</v>
      </c>
      <c r="V245" s="58" t="str">
        <f t="array" ref="V245">XLOOKUP($A245,'source isilon_Projectまとめ'!$A:$A,'source isilon_Projectまとめ'!$D:$D,XLOOKUP($A245,'source isilon-Project-du'!$A:$A,'source isilon-Project-du'!$C:$C))</f>
        <v>0.25GB</v>
      </c>
      <c r="W245" s="7" t="s">
        <v>2177</v>
      </c>
    </row>
    <row r="246">
      <c r="A246" s="8" t="s">
        <v>1695</v>
      </c>
      <c r="B246" s="8" t="s">
        <v>992</v>
      </c>
      <c r="C246" s="37" t="s">
        <v>1696</v>
      </c>
      <c r="D246" s="37" t="s">
        <v>1188</v>
      </c>
      <c r="E246" s="7" t="s">
        <v>1697</v>
      </c>
      <c r="F246" s="37" t="s">
        <v>1188</v>
      </c>
      <c r="T246" s="37" t="s">
        <v>1053</v>
      </c>
      <c r="U246" s="58" t="str">
        <f t="array" ref="U246">XLOOKUP($A246,'source isilon_Projectまとめ'!$A:$A,'source isilon_Projectまとめ'!$C:$C,XLOOKUP($A246,'source NetApp-file-sv01～03-Proj'!$A:$A,'source NetApp-file-sv01～03-Proj'!$D:$D))</f>
        <v>2013/10/18</v>
      </c>
      <c r="V246" s="58" t="str">
        <f t="array" ref="V246">XLOOKUP($A246,'source isilon_Projectまとめ'!$A:$A,'source isilon_Projectまとめ'!$D:$D,XLOOKUP($A246,'source isilon-Project-du'!$A:$A,'source isilon-Project-du'!$C:$C))</f>
        <v>176.47GB</v>
      </c>
      <c r="W246" s="7" t="s">
        <v>2177</v>
      </c>
    </row>
    <row r="247">
      <c r="A247" s="8" t="s">
        <v>1376</v>
      </c>
      <c r="B247" s="8" t="s">
        <v>2394</v>
      </c>
      <c r="C247" s="37" t="s">
        <v>1377</v>
      </c>
      <c r="D247" s="7" t="s">
        <v>1378</v>
      </c>
      <c r="E247" s="7" t="s">
        <v>1379</v>
      </c>
      <c r="F247" s="37" t="str">
        <f t="array" ref="F247">XLOOKUP(E247,'従業員情報'!$A:$A,'従業員情報'!$N:$N,"×")</f>
        <v>株式会社MIXI/島村管掌/コーポレートファイナンス本部/経理税務部/経理グループ</v>
      </c>
      <c r="U247" s="58" t="str">
        <f t="array" ref="U247">XLOOKUP($A247,'source isilon_Projectまとめ'!$A:$A,'source isilon_Projectまとめ'!$C:$C,XLOOKUP($A247,'source NetApp-file-sv01～03-Proj'!$A:$A,'source NetApp-file-sv01～03-Proj'!$D:$D))</f>
        <v>2013/10/08</v>
      </c>
      <c r="V247" s="58" t="str">
        <f t="array" ref="V247">XLOOKUP($A247,'source isilon_Projectまとめ'!$A:$A,'source isilon_Projectまとめ'!$D:$D,XLOOKUP($A247,'source isilon-Project-du'!$A:$A,'source isilon-Project-du'!$C:$C))</f>
        <v>0.22GB</v>
      </c>
      <c r="W247" s="7" t="s">
        <v>2177</v>
      </c>
    </row>
    <row r="248">
      <c r="A248" s="8" t="s">
        <v>1470</v>
      </c>
      <c r="B248" s="8" t="s">
        <v>2394</v>
      </c>
      <c r="C248" s="37" t="s">
        <v>1381</v>
      </c>
      <c r="D248" s="7" t="s">
        <v>1382</v>
      </c>
      <c r="E248" s="7" t="s">
        <v>1383</v>
      </c>
      <c r="F248" s="37" t="str">
        <f t="array" ref="F248">XLOOKUP(E248,'従業員情報'!$A:$A,'従業員情報'!$N:$N,"×")</f>
        <v>株式会社MIXI/小林管掌/コンプライアンス本部/知財室/商標・著作権グループ</v>
      </c>
      <c r="U248" s="58" t="str">
        <f t="array" ref="U248">XLOOKUP($A248,'source isilon_Projectまとめ'!$A:$A,'source isilon_Projectまとめ'!$C:$C,XLOOKUP($A248,'source NetApp-file-sv01～03-Proj'!$A:$A,'source NetApp-file-sv01～03-Proj'!$D:$D))</f>
        <v>2013/08/15</v>
      </c>
      <c r="V248" s="58" t="str">
        <f t="array" ref="V248">XLOOKUP($A248,'source isilon_Projectまとめ'!$A:$A,'source isilon_Projectまとめ'!$D:$D,XLOOKUP($A248,'source isilon-Project-du'!$A:$A,'source isilon-Project-du'!$C:$C))</f>
        <v>0.02GB</v>
      </c>
      <c r="W248" s="7" t="s">
        <v>2177</v>
      </c>
    </row>
    <row r="249">
      <c r="A249" s="8" t="s">
        <v>1653</v>
      </c>
      <c r="B249" s="8" t="s">
        <v>993</v>
      </c>
      <c r="C249" s="37" t="s">
        <v>1654</v>
      </c>
      <c r="D249" s="37" t="s">
        <v>1536</v>
      </c>
      <c r="E249" s="7" t="s">
        <v>1654</v>
      </c>
      <c r="F249" s="37" t="s">
        <v>1053</v>
      </c>
      <c r="T249" s="37" t="s">
        <v>1053</v>
      </c>
      <c r="U249" s="58" t="str">
        <f t="array" ref="U249">XLOOKUP($A249,'source isilon_Projectまとめ'!$A:$A,'source isilon_Projectまとめ'!$C:$C,XLOOKUP($A249,'source NetApp-file-sv01～03-Proj'!$A:$A,'source NetApp-file-sv01～03-Proj'!$D:$D))</f>
        <v>2013/08/13</v>
      </c>
      <c r="V249" s="58" t="str">
        <f t="array" ref="V249">XLOOKUP($A249,'source isilon_Projectまとめ'!$A:$A,'source isilon_Projectまとめ'!$D:$D,XLOOKUP($A249,'source isilon-Project-du'!$A:$A,'source isilon-Project-du'!$C:$C))</f>
        <v>0.95GB</v>
      </c>
      <c r="W249" s="7" t="s">
        <v>2177</v>
      </c>
    </row>
    <row r="250">
      <c r="A250" s="8" t="s">
        <v>1569</v>
      </c>
      <c r="B250" s="8" t="s">
        <v>992</v>
      </c>
      <c r="C250" s="37" t="s">
        <v>1570</v>
      </c>
      <c r="D250" s="37" t="s">
        <v>1571</v>
      </c>
      <c r="E250" s="7" t="s">
        <v>1572</v>
      </c>
      <c r="F250" s="37" t="s">
        <v>1571</v>
      </c>
      <c r="T250" s="37" t="s">
        <v>1053</v>
      </c>
      <c r="U250" s="58" t="str">
        <f t="array" ref="U250">XLOOKUP($A250,'source isilon_Projectまとめ'!$A:$A,'source isilon_Projectまとめ'!$C:$C,XLOOKUP($A250,'source NetApp-file-sv01～03-Proj'!$A:$A,'source NetApp-file-sv01～03-Proj'!$D:$D))</f>
        <v>2013/07/24</v>
      </c>
      <c r="V250" s="58" t="str">
        <f t="array" ref="V250">XLOOKUP($A250,'source isilon_Projectまとめ'!$A:$A,'source isilon_Projectまとめ'!$D:$D,XLOOKUP($A250,'source isilon-Project-du'!$A:$A,'source isilon-Project-du'!$C:$C))</f>
        <v>0.18GB</v>
      </c>
      <c r="W250" s="7" t="s">
        <v>2177</v>
      </c>
    </row>
    <row r="251">
      <c r="A251" s="8" t="s">
        <v>1700</v>
      </c>
      <c r="B251" s="8" t="s">
        <v>2394</v>
      </c>
      <c r="C251" s="37" t="s">
        <v>1701</v>
      </c>
      <c r="D251" s="7" t="s">
        <v>1398</v>
      </c>
      <c r="E251" s="7" t="s">
        <v>1399</v>
      </c>
      <c r="F251" s="37" t="str">
        <f t="array" ref="F251">XLOOKUP(E251,'従業員情報'!$A:$A,'従業員情報'!$N:$N,"×")</f>
        <v>株式会社MIXI/島村管掌/経営推進本部/広報部/インターナルコミュニケーショングループ/インターナルコミュニケーションチーム</v>
      </c>
      <c r="U251" s="58" t="str">
        <f t="array" ref="U251">XLOOKUP($A251,'source isilon_Projectまとめ'!$A:$A,'source isilon_Projectまとめ'!$C:$C,XLOOKUP($A251,'source NetApp-file-sv01～03-Proj'!$A:$A,'source NetApp-file-sv01～03-Proj'!$D:$D))</f>
        <v>2013/07/11</v>
      </c>
      <c r="V251" s="58" t="str">
        <f t="array" ref="V251">XLOOKUP($A251,'source isilon_Projectまとめ'!$A:$A,'source isilon_Projectまとめ'!$D:$D,XLOOKUP($A251,'source isilon-Project-du'!$A:$A,'source isilon-Project-du'!$C:$C))</f>
        <v>2.05GB</v>
      </c>
      <c r="W251" s="7" t="s">
        <v>2177</v>
      </c>
    </row>
    <row r="252">
      <c r="A252" s="8" t="s">
        <v>1528</v>
      </c>
      <c r="B252" s="8" t="s">
        <v>2394</v>
      </c>
      <c r="C252" s="37" t="s">
        <v>1449</v>
      </c>
      <c r="D252" s="7" t="s">
        <v>1450</v>
      </c>
      <c r="E252" s="7" t="s">
        <v>1451</v>
      </c>
      <c r="F252" s="37" t="str">
        <f t="array" ref="F252">XLOOKUP(E252,'従業員情報'!$A:$A,'従業員情報'!$N:$N,"×")</f>
        <v>株式会社MIXI/村瀨管掌/開発本部/たんぽぽ室/Enablementグループ</v>
      </c>
      <c r="U252" s="58" t="str">
        <f t="array" ref="U252">XLOOKUP($A252,'source isilon_Projectまとめ'!$A:$A,'source isilon_Projectまとめ'!$C:$C,XLOOKUP($A252,'source NetApp-file-sv01～03-Proj'!$A:$A,'source NetApp-file-sv01～03-Proj'!$D:$D))</f>
        <v>2013/07/01</v>
      </c>
      <c r="V252" s="58" t="str">
        <f t="array" ref="V252">XLOOKUP($A252,'source isilon_Projectまとめ'!$A:$A,'source isilon_Projectまとめ'!$D:$D,XLOOKUP($A252,'source isilon-Project-du'!$A:$A,'source isilon-Project-du'!$C:$C))</f>
        <v>0.00GB</v>
      </c>
      <c r="W252" s="7" t="s">
        <v>2177</v>
      </c>
    </row>
    <row r="253">
      <c r="A253" s="8" t="s">
        <v>1691</v>
      </c>
      <c r="B253" s="8" t="s">
        <v>993</v>
      </c>
      <c r="C253" s="37" t="s">
        <v>1692</v>
      </c>
      <c r="D253" s="37" t="s">
        <v>1053</v>
      </c>
      <c r="E253" s="7" t="s">
        <v>1693</v>
      </c>
      <c r="F253" s="37" t="s">
        <v>1053</v>
      </c>
      <c r="T253" s="37" t="s">
        <v>1053</v>
      </c>
      <c r="U253" s="58" t="str">
        <f t="array" ref="U253">XLOOKUP($A253,'source isilon_Projectまとめ'!$A:$A,'source isilon_Projectまとめ'!$C:$C,XLOOKUP($A253,'source NetApp-file-sv01～03-Proj'!$A:$A,'source NetApp-file-sv01～03-Proj'!$D:$D))</f>
        <v>2013/07/01</v>
      </c>
      <c r="V253" s="58" t="str">
        <f t="array" ref="V253">XLOOKUP($A253,'source isilon_Projectまとめ'!$A:$A,'source isilon_Projectまとめ'!$D:$D,XLOOKUP($A253,'source isilon-Project-du'!$A:$A,'source isilon-Project-du'!$C:$C))</f>
        <v>0.03GB</v>
      </c>
      <c r="W253" s="7" t="s">
        <v>2177</v>
      </c>
    </row>
    <row r="254">
      <c r="A254" s="8" t="s">
        <v>1720</v>
      </c>
      <c r="B254" s="8" t="s">
        <v>2394</v>
      </c>
      <c r="C254" s="37" t="s">
        <v>1721</v>
      </c>
      <c r="D254" s="7" t="s">
        <v>1588</v>
      </c>
      <c r="E254" s="7" t="s">
        <v>1589</v>
      </c>
      <c r="F254" s="37" t="str">
        <f t="array" ref="F254">XLOOKUP(E254,'従業員情報'!$A:$A,'従業員情報'!$N:$N,"×")</f>
        <v>株式会社MIXI/村瀨管掌/はたらく環境推進本部/せいかつ環境室/せいかつ環境Bグループ/せいかつ環境Cチーム</v>
      </c>
      <c r="U254" s="58" t="str">
        <f t="array" ref="U254">XLOOKUP($A254,'source isilon_Projectまとめ'!$A:$A,'source isilon_Projectまとめ'!$C:$C,XLOOKUP($A254,'source NetApp-file-sv01～03-Proj'!$A:$A,'source NetApp-file-sv01～03-Proj'!$D:$D))</f>
        <v>2013/06/28</v>
      </c>
      <c r="V254" s="58" t="str">
        <f t="array" ref="V254">XLOOKUP($A254,'source isilon_Projectまとめ'!$A:$A,'source isilon_Projectまとめ'!$D:$D,XLOOKUP($A254,'source isilon-Project-du'!$A:$A,'source isilon-Project-du'!$C:$C))</f>
        <v>0.60GB</v>
      </c>
      <c r="W254" s="7" t="s">
        <v>2177</v>
      </c>
    </row>
    <row r="255">
      <c r="A255" s="8" t="s">
        <v>1762</v>
      </c>
      <c r="B255" s="8" t="s">
        <v>993</v>
      </c>
      <c r="C255" s="37" t="s">
        <v>1535</v>
      </c>
      <c r="D255" s="37" t="s">
        <v>1536</v>
      </c>
      <c r="E255" s="7" t="s">
        <v>1537</v>
      </c>
      <c r="F255" s="37" t="s">
        <v>1053</v>
      </c>
      <c r="T255" s="37" t="s">
        <v>1053</v>
      </c>
      <c r="U255" s="58" t="str">
        <f t="array" ref="U255">XLOOKUP($A255,'source isilon_Projectまとめ'!$A:$A,'source isilon_Projectまとめ'!$C:$C,XLOOKUP($A255,'source NetApp-file-sv01～03-Proj'!$A:$A,'source NetApp-file-sv01～03-Proj'!$D:$D))</f>
        <v>2013/06/17</v>
      </c>
      <c r="V255" s="58" t="str">
        <f t="array" ref="V255">XLOOKUP($A255,'source isilon_Projectまとめ'!$A:$A,'source isilon_Projectまとめ'!$D:$D,XLOOKUP($A255,'source isilon-Project-du'!$A:$A,'source isilon-Project-du'!$C:$C))</f>
        <v>3.01GB</v>
      </c>
      <c r="W255" s="7" t="s">
        <v>2177</v>
      </c>
    </row>
    <row r="256">
      <c r="A256" s="8" t="s">
        <v>1677</v>
      </c>
      <c r="B256" s="8" t="s">
        <v>992</v>
      </c>
      <c r="C256" s="37" t="s">
        <v>1678</v>
      </c>
      <c r="D256" s="37" t="s">
        <v>1193</v>
      </c>
      <c r="E256" s="7" t="s">
        <v>1679</v>
      </c>
      <c r="F256" s="37" t="s">
        <v>1193</v>
      </c>
      <c r="T256" s="37" t="s">
        <v>1053</v>
      </c>
      <c r="U256" s="58" t="str">
        <f t="array" ref="U256">XLOOKUP($A256,'source isilon_Projectまとめ'!$A:$A,'source isilon_Projectまとめ'!$C:$C,XLOOKUP($A256,'source NetApp-file-sv01～03-Proj'!$A:$A,'source NetApp-file-sv01～03-Proj'!$D:$D))</f>
        <v>2013/04/25</v>
      </c>
      <c r="V256" s="58" t="str">
        <f t="array" ref="V256">XLOOKUP($A256,'source isilon_Projectまとめ'!$A:$A,'source isilon_Projectまとめ'!$D:$D,XLOOKUP($A256,'source isilon-Project-du'!$A:$A,'source isilon-Project-du'!$C:$C))</f>
        <v>1.70GB</v>
      </c>
      <c r="W256" s="7" t="s">
        <v>2177</v>
      </c>
    </row>
    <row r="257">
      <c r="A257" s="8" t="s">
        <v>1471</v>
      </c>
      <c r="B257" s="8" t="s">
        <v>992</v>
      </c>
      <c r="C257" s="37" t="s">
        <v>1472</v>
      </c>
      <c r="D257" s="37" t="s">
        <v>1065</v>
      </c>
      <c r="E257" s="7" t="s">
        <v>1473</v>
      </c>
      <c r="F257" s="37" t="s">
        <v>1065</v>
      </c>
      <c r="T257" s="37" t="s">
        <v>1053</v>
      </c>
      <c r="U257" s="58" t="str">
        <f t="array" ref="U257">XLOOKUP($A257,'source isilon_Projectまとめ'!$A:$A,'source isilon_Projectまとめ'!$C:$C,XLOOKUP($A257,'source NetApp-file-sv01～03-Proj'!$A:$A,'source NetApp-file-sv01～03-Proj'!$D:$D))</f>
        <v>2013/02/06</v>
      </c>
      <c r="V257" s="58" t="str">
        <f t="array" ref="V257">XLOOKUP($A257,'source isilon_Projectまとめ'!$A:$A,'source isilon_Projectまとめ'!$D:$D,XLOOKUP($A257,'source isilon-Project-du'!$A:$A,'source isilon-Project-du'!$C:$C))</f>
        <v>0.00GB</v>
      </c>
      <c r="W257" s="7" t="s">
        <v>2177</v>
      </c>
    </row>
    <row r="258">
      <c r="A258" s="8" t="s">
        <v>1761</v>
      </c>
      <c r="B258" s="8" t="s">
        <v>2394</v>
      </c>
      <c r="C258" s="37" t="s">
        <v>1486</v>
      </c>
      <c r="D258" s="7" t="s">
        <v>1487</v>
      </c>
      <c r="E258" s="7" t="s">
        <v>1488</v>
      </c>
      <c r="F258" s="37" t="str">
        <f t="array" ref="F258">XLOOKUP(E258,'従業員情報'!$A:$A,'従業員情報'!$N:$N,"×")</f>
        <v>株式会社MIXI/村瀨管掌/はたらく環境推進本部/せいかつ環境室/せいかつ環境Aグループ</v>
      </c>
      <c r="U258" s="58" t="str">
        <f t="array" ref="U258">XLOOKUP($A258,'source isilon_Projectまとめ'!$A:$A,'source isilon_Projectまとめ'!$C:$C,XLOOKUP($A258,'source NetApp-file-sv01～03-Proj'!$A:$A,'source NetApp-file-sv01～03-Proj'!$D:$D))</f>
        <v>2012/12/19</v>
      </c>
      <c r="V258" s="58" t="str">
        <f t="array" ref="V258">XLOOKUP($A258,'source isilon_Projectまとめ'!$A:$A,'source isilon_Projectまとめ'!$D:$D,XLOOKUP($A258,'source isilon-Project-du'!$A:$A,'source isilon-Project-du'!$C:$C))</f>
        <v>0.07GB</v>
      </c>
      <c r="W258" s="7" t="s">
        <v>2177</v>
      </c>
    </row>
    <row r="259">
      <c r="A259" s="8" t="s">
        <v>1409</v>
      </c>
      <c r="B259" s="8" t="s">
        <v>2394</v>
      </c>
      <c r="C259" s="37" t="s">
        <v>1410</v>
      </c>
      <c r="D259" s="7" t="s">
        <v>854</v>
      </c>
      <c r="E259" s="7" t="s">
        <v>1411</v>
      </c>
      <c r="F259" s="37" t="str">
        <f t="array" ref="F259">XLOOKUP(E259,'従業員情報'!$A:$A,'従業員情報'!$N:$N,"×")</f>
        <v>株式会社MIXI/木村管掌/ライブエクスペリエンス事業本部</v>
      </c>
      <c r="U259" s="58" t="str">
        <f t="array" ref="U259">XLOOKUP($A259,'source isilon_Projectまとめ'!$A:$A,'source isilon_Projectまとめ'!$C:$C,XLOOKUP($A259,'source NetApp-file-sv01～03-Proj'!$A:$A,'source NetApp-file-sv01～03-Proj'!$D:$D))</f>
        <v>2012/11/22</v>
      </c>
      <c r="V259" s="58" t="str">
        <f t="array" ref="V259">XLOOKUP($A259,'source isilon_Projectまとめ'!$A:$A,'source isilon_Projectまとめ'!$D:$D,XLOOKUP($A259,'source isilon-Project-du'!$A:$A,'source isilon-Project-du'!$C:$C))</f>
        <v>0.27GB</v>
      </c>
      <c r="W259" s="7" t="s">
        <v>2177</v>
      </c>
    </row>
    <row r="260">
      <c r="A260" s="8" t="s">
        <v>1689</v>
      </c>
      <c r="B260" s="8" t="s">
        <v>2394</v>
      </c>
      <c r="C260" s="37" t="s">
        <v>1467</v>
      </c>
      <c r="D260" s="7" t="s">
        <v>1468</v>
      </c>
      <c r="E260" s="7" t="s">
        <v>1469</v>
      </c>
      <c r="F260" s="37" t="str">
        <f t="array" ref="F260">XLOOKUP(E260,'従業員情報'!$A:$A,'従業員情報'!$N:$N,"×")</f>
        <v>株式会社MIXI/笠原管掌/Vantageスタジオ/事業推進室</v>
      </c>
      <c r="U260" s="58" t="str">
        <f t="array" ref="U260">XLOOKUP($A260,'source isilon_Projectまとめ'!$A:$A,'source isilon_Projectまとめ'!$C:$C,XLOOKUP($A260,'source NetApp-file-sv01～03-Proj'!$A:$A,'source NetApp-file-sv01～03-Proj'!$D:$D))</f>
        <v>2012/06/07</v>
      </c>
      <c r="V260" s="58" t="str">
        <f t="array" ref="V260">XLOOKUP($A260,'source isilon_Projectまとめ'!$A:$A,'source isilon_Projectまとめ'!$D:$D,XLOOKUP($A260,'source isilon-Project-du'!$A:$A,'source isilon-Project-du'!$C:$C))</f>
        <v>0.49GB</v>
      </c>
      <c r="W260" s="7" t="s">
        <v>2177</v>
      </c>
    </row>
    <row r="261">
      <c r="A261" s="8" t="s">
        <v>1603</v>
      </c>
      <c r="B261" s="8" t="s">
        <v>2394</v>
      </c>
      <c r="C261" s="37" t="s">
        <v>1604</v>
      </c>
      <c r="D261" s="7" t="s">
        <v>1605</v>
      </c>
      <c r="E261" s="7" t="s">
        <v>1606</v>
      </c>
      <c r="F261" s="37" t="str">
        <f t="array" ref="F261">XLOOKUP(E261,'従業員情報'!$A:$A,'従業員情報'!$N:$N,"×")</f>
        <v>株式会社MIXI/奥山管掌/ソーシャルベッティング事業本部/チャリ・ロト事業部/ソリューショングループ/管理チーム</v>
      </c>
      <c r="U261" s="58" t="str">
        <f t="array" ref="U261">XLOOKUP($A261,'source isilon_Projectまとめ'!$A:$A,'source isilon_Projectまとめ'!$C:$C,XLOOKUP($A261,'source NetApp-file-sv01～03-Proj'!$A:$A,'source NetApp-file-sv01～03-Proj'!$D:$D))</f>
        <v>2012/04/19</v>
      </c>
      <c r="V261" s="58" t="str">
        <f t="array" ref="V261">XLOOKUP($A261,'source isilon_Projectまとめ'!$A:$A,'source isilon_Projectまとめ'!$D:$D,XLOOKUP($A261,'source isilon-Project-du'!$A:$A,'source isilon-Project-du'!$C:$C))</f>
        <v>1.14GB</v>
      </c>
      <c r="W261" s="7" t="s">
        <v>2177</v>
      </c>
    </row>
    <row r="262">
      <c r="A262" s="8" t="s">
        <v>1854</v>
      </c>
      <c r="B262" s="8" t="s">
        <v>2394</v>
      </c>
      <c r="C262" s="37" t="s">
        <v>1421</v>
      </c>
      <c r="D262" s="7" t="s">
        <v>1422</v>
      </c>
      <c r="E262" s="7" t="s">
        <v>1423</v>
      </c>
      <c r="F262" s="37" t="str">
        <f t="array" ref="F262">XLOOKUP(E262,'従業員情報'!$A:$A,'従業員情報'!$N:$N,"×")</f>
        <v>株式会社MIXI/笠原管掌/Vantageスタジオ/mixi事業部</v>
      </c>
      <c r="U262" s="58" t="str">
        <f t="array" ref="U262">XLOOKUP($A262,'source isilon_Projectまとめ'!$A:$A,'source isilon_Projectまとめ'!$C:$C,XLOOKUP($A262,'source NetApp-file-sv01～03-Proj'!$A:$A,'source NetApp-file-sv01～03-Proj'!$D:$D))</f>
        <v>2012/04/16</v>
      </c>
      <c r="V262" s="58" t="str">
        <f t="array" ref="V262">XLOOKUP($A262,'source isilon_Projectまとめ'!$A:$A,'source isilon_Projectまとめ'!$D:$D,XLOOKUP($A262,'source isilon-Project-du'!$A:$A,'source isilon-Project-du'!$C:$C))</f>
        <v>4.64GB</v>
      </c>
      <c r="W262" s="7" t="s">
        <v>2177</v>
      </c>
    </row>
    <row r="263">
      <c r="A263" s="8" t="s">
        <v>1392</v>
      </c>
      <c r="B263" s="8" t="s">
        <v>2394</v>
      </c>
      <c r="C263" s="37" t="s">
        <v>1393</v>
      </c>
      <c r="D263" s="7" t="s">
        <v>1394</v>
      </c>
      <c r="E263" s="7" t="s">
        <v>1395</v>
      </c>
      <c r="F263" s="37" t="str">
        <f t="array" ref="F263">XLOOKUP(E263,'従業員情報'!$A:$A,'従業員情報'!$N:$N,"×")</f>
        <v>株式会社MIXI/笠原管掌/Vantageスタジオ/事業推進室/mercuryグループ</v>
      </c>
      <c r="U263" s="58" t="str">
        <f t="array" ref="U263">XLOOKUP($A263,'source isilon_Projectまとめ'!$A:$A,'source isilon_Projectまとめ'!$C:$C,XLOOKUP($A263,'source NetApp-file-sv01～03-Proj'!$A:$A,'source NetApp-file-sv01～03-Proj'!$D:$D))</f>
        <v>2012/04/13</v>
      </c>
      <c r="V263" s="58" t="str">
        <f t="array" ref="V263">XLOOKUP($A263,'source isilon_Projectまとめ'!$A:$A,'source isilon_Projectまとめ'!$D:$D,XLOOKUP($A263,'source isilon-Project-du'!$A:$A,'source isilon-Project-du'!$C:$C))</f>
        <v>0.78GB</v>
      </c>
      <c r="W263" s="7" t="s">
        <v>2177</v>
      </c>
    </row>
    <row r="264">
      <c r="A264" s="8" t="s">
        <v>1749</v>
      </c>
      <c r="B264" s="8" t="s">
        <v>2394</v>
      </c>
      <c r="C264" s="37" t="s">
        <v>1421</v>
      </c>
      <c r="D264" s="7" t="s">
        <v>1422</v>
      </c>
      <c r="E264" s="7" t="s">
        <v>1423</v>
      </c>
      <c r="F264" s="37" t="str">
        <f t="array" ref="F264">XLOOKUP(E264,'従業員情報'!$A:$A,'従業員情報'!$N:$N,"×")</f>
        <v>株式会社MIXI/笠原管掌/Vantageスタジオ/mixi事業部</v>
      </c>
      <c r="U264" s="58" t="str">
        <f t="array" ref="U264">XLOOKUP($A264,'source isilon_Projectまとめ'!$A:$A,'source isilon_Projectまとめ'!$C:$C,XLOOKUP($A264,'source NetApp-file-sv01～03-Proj'!$A:$A,'source NetApp-file-sv01～03-Proj'!$D:$D))</f>
        <v>2012/04/03</v>
      </c>
      <c r="V264" s="58" t="str">
        <f t="array" ref="V264">XLOOKUP($A264,'source isilon_Projectまとめ'!$A:$A,'source isilon_Projectまとめ'!$D:$D,XLOOKUP($A264,'source isilon-Project-du'!$A:$A,'source isilon-Project-du'!$C:$C))</f>
        <v>5.49GB</v>
      </c>
      <c r="W264" s="7" t="s">
        <v>2177</v>
      </c>
    </row>
    <row r="265">
      <c r="A265" s="8" t="s">
        <v>1777</v>
      </c>
      <c r="B265" s="8" t="s">
        <v>2394</v>
      </c>
      <c r="C265" s="37" t="s">
        <v>1377</v>
      </c>
      <c r="D265" s="7" t="s">
        <v>1378</v>
      </c>
      <c r="E265" s="7" t="s">
        <v>1379</v>
      </c>
      <c r="F265" s="37" t="str">
        <f t="array" ref="F265">XLOOKUP(E265,'従業員情報'!$A:$A,'従業員情報'!$N:$N,"×")</f>
        <v>株式会社MIXI/島村管掌/コーポレートファイナンス本部/経理税務部/経理グループ</v>
      </c>
      <c r="U265" s="58" t="str">
        <f t="array" ref="U265">XLOOKUP($A265,'source isilon_Projectまとめ'!$A:$A,'source isilon_Projectまとめ'!$C:$C,XLOOKUP($A265,'source NetApp-file-sv01～03-Proj'!$A:$A,'source NetApp-file-sv01～03-Proj'!$D:$D))</f>
        <v>2012/02/23</v>
      </c>
      <c r="V265" s="58" t="str">
        <f t="array" ref="V265">XLOOKUP($A265,'source isilon_Projectまとめ'!$A:$A,'source isilon_Projectまとめ'!$D:$D,XLOOKUP($A265,'source isilon-Project-du'!$A:$A,'source isilon-Project-du'!$C:$C))</f>
        <v>2.27GB</v>
      </c>
      <c r="W265" s="7" t="s">
        <v>2177</v>
      </c>
    </row>
    <row r="266">
      <c r="A266" s="8" t="s">
        <v>1658</v>
      </c>
      <c r="B266" s="8" t="s">
        <v>2394</v>
      </c>
      <c r="C266" s="37" t="s">
        <v>1659</v>
      </c>
      <c r="D266" s="7" t="s">
        <v>1660</v>
      </c>
      <c r="E266" s="7" t="s">
        <v>1661</v>
      </c>
      <c r="F266" s="37" t="str">
        <f t="array" ref="F266">XLOOKUP(E266,'従業員情報'!$A:$A,'従業員情報'!$N:$N,"×")</f>
        <v>株式会社MIXI/村瀨管掌/開発本部/インフラ室</v>
      </c>
      <c r="U266" s="58" t="str">
        <f t="array" ref="U266">XLOOKUP($A266,'source isilon_Projectまとめ'!$A:$A,'source isilon_Projectまとめ'!$C:$C,XLOOKUP($A266,'source NetApp-file-sv01～03-Proj'!$A:$A,'source NetApp-file-sv01～03-Proj'!$D:$D))</f>
        <v>2012/01/12</v>
      </c>
      <c r="V266" s="58" t="str">
        <f t="array" ref="V266">XLOOKUP($A266,'source isilon_Projectまとめ'!$A:$A,'source isilon_Projectまとめ'!$D:$D,XLOOKUP($A266,'source isilon-Project-du'!$A:$A,'source isilon-Project-du'!$C:$C))</f>
        <v>0.08GB</v>
      </c>
      <c r="W266" s="7" t="s">
        <v>2177</v>
      </c>
    </row>
    <row r="267">
      <c r="A267" s="8" t="s">
        <v>1831</v>
      </c>
      <c r="B267" s="8" t="s">
        <v>2394</v>
      </c>
      <c r="C267" s="37" t="s">
        <v>1421</v>
      </c>
      <c r="D267" s="7" t="s">
        <v>1422</v>
      </c>
      <c r="E267" s="7" t="s">
        <v>1423</v>
      </c>
      <c r="F267" s="37" t="str">
        <f t="array" ref="F267">XLOOKUP(E267,'従業員情報'!$A:$A,'従業員情報'!$N:$N,"×")</f>
        <v>株式会社MIXI/笠原管掌/Vantageスタジオ/mixi事業部</v>
      </c>
      <c r="U267" s="58" t="str">
        <f t="array" ref="U267">XLOOKUP($A267,'source isilon_Projectまとめ'!$A:$A,'source isilon_Projectまとめ'!$C:$C,XLOOKUP($A267,'source NetApp-file-sv01～03-Proj'!$A:$A,'source NetApp-file-sv01～03-Proj'!$D:$D))</f>
        <v>2011/04/13</v>
      </c>
      <c r="V267" s="58" t="str">
        <f t="array" ref="V267">XLOOKUP($A267,'source isilon_Projectまとめ'!$A:$A,'source isilon_Projectまとめ'!$D:$D,XLOOKUP($A267,'source isilon-Project-du'!$A:$A,'source isilon-Project-du'!$C:$C))</f>
        <v>0.07GB</v>
      </c>
      <c r="W267" s="7" t="s">
        <v>2177</v>
      </c>
    </row>
    <row r="268">
      <c r="A268" s="8" t="s">
        <v>1599</v>
      </c>
      <c r="B268" s="8" t="s">
        <v>2394</v>
      </c>
      <c r="C268" s="37" t="s">
        <v>1421</v>
      </c>
      <c r="D268" s="7" t="s">
        <v>1422</v>
      </c>
      <c r="E268" s="7" t="s">
        <v>1423</v>
      </c>
      <c r="F268" s="37" t="str">
        <f t="array" ref="F268">XLOOKUP(E268,'従業員情報'!$A:$A,'従業員情報'!$N:$N,"×")</f>
        <v>株式会社MIXI/笠原管掌/Vantageスタジオ/mixi事業部</v>
      </c>
      <c r="U268" s="58" t="str">
        <f t="array" ref="U268">XLOOKUP($A268,'source isilon_Projectまとめ'!$A:$A,'source isilon_Projectまとめ'!$C:$C,XLOOKUP($A268,'source NetApp-file-sv01～03-Proj'!$A:$A,'source NetApp-file-sv01～03-Proj'!$D:$D))</f>
        <v>2009/02/20</v>
      </c>
      <c r="V268" s="58" t="str">
        <f t="array" ref="V268">XLOOKUP($A268,'source isilon_Projectまとめ'!$A:$A,'source isilon_Projectまとめ'!$D:$D,XLOOKUP($A268,'source isilon-Project-du'!$A:$A,'source isilon-Project-du'!$C:$C))</f>
        <v>0.27GB</v>
      </c>
      <c r="W268" s="7" t="s">
        <v>2177</v>
      </c>
    </row>
    <row r="269">
      <c r="A269" s="8" t="s">
        <v>1729</v>
      </c>
      <c r="B269" s="8" t="s">
        <v>2394</v>
      </c>
      <c r="C269" s="37" t="s">
        <v>1421</v>
      </c>
      <c r="D269" s="7" t="s">
        <v>1422</v>
      </c>
      <c r="E269" s="7" t="s">
        <v>1423</v>
      </c>
      <c r="F269" s="37" t="str">
        <f t="array" ref="F269">XLOOKUP(E269,'従業員情報'!$A:$A,'従業員情報'!$N:$N,"×")</f>
        <v>株式会社MIXI/笠原管掌/Vantageスタジオ/mixi事業部</v>
      </c>
      <c r="U269" s="58" t="str">
        <f t="array" ref="U269">XLOOKUP($A269,'source isilon_Projectまとめ'!$A:$A,'source isilon_Projectまとめ'!$C:$C,XLOOKUP($A269,'source NetApp-file-sv01～03-Proj'!$A:$A,'source NetApp-file-sv01～03-Proj'!$D:$D))</f>
        <v>2009/02/12</v>
      </c>
      <c r="V269" s="58" t="str">
        <f t="array" ref="V269">XLOOKUP($A269,'source isilon_Projectまとめ'!$A:$A,'source isilon_Projectまとめ'!$D:$D,XLOOKUP($A269,'source isilon-Project-du'!$A:$A,'source isilon-Project-du'!$C:$C))</f>
        <v>0.10GB</v>
      </c>
      <c r="W269" s="7" t="s">
        <v>2177</v>
      </c>
    </row>
  </sheetData>
  <autoFilter ref="$A$4:$W$269">
    <sortState ref="A4:W269">
      <sortCondition descending="1" ref="U4:U269"/>
    </sortState>
  </autoFilter>
  <customSheetViews>
    <customSheetView guid="{83CC0374-9D1B-4FF5-A123-ECF9D65C3BCD}" filter="1" showAutoFilter="1">
      <autoFilter ref="$A$4:$W$269">
        <filterColumn colId="20">
          <filters>
            <filter val="#N/A"/>
          </filters>
        </filterColumn>
      </autoFilter>
    </customSheetView>
    <customSheetView guid="{D7392DF2-DED5-43DC-8AED-E1585F47BCF1}" filter="1" showAutoFilter="1">
      <autoFilter ref="$A$4:$W$269">
        <filterColumn colId="21">
          <filters>
            <filter val="1.47GB"/>
            <filter val="1408.20GB"/>
            <filter val="14.51GB"/>
            <filter val="3.42GB"/>
            <filter val="2.28GB"/>
            <filter val="824.96GB"/>
            <filter val="0.58GB"/>
            <filter val="0.16GB"/>
            <filter val="0.31GB"/>
            <filter val="5.98GB"/>
            <filter val="49.26GB"/>
            <filter val="25.36GB"/>
            <filter val="137.98GB"/>
            <filter val="28.96GB"/>
            <filter val="2108.85GB"/>
            <filter val="2.78GB"/>
            <filter val="9.45GB"/>
            <filter val="8.93GB"/>
            <filter val="10.40GB"/>
            <filter val="928.42GB"/>
            <filter val="4104.40GB"/>
            <filter val="31.27GB"/>
            <filter val="36320.66GB"/>
            <filter val="0.15GB"/>
            <filter val="0.53GB"/>
            <filter val="0.30GB"/>
            <filter val="5.74GB"/>
            <filter val="2.52GB"/>
            <filter val="1.41GB"/>
            <filter val="2.18GB"/>
            <filter val="11.96GB"/>
            <filter val="21.48GB"/>
            <filter val="189.59GB"/>
            <filter val="2.45GB"/>
            <filter val="2.03GB"/>
            <filter val="#N/A"/>
            <filter val="0.37GB"/>
            <filter val="9480.47GB"/>
            <filter val="0.90GB"/>
            <filter val="1.02GB"/>
            <filter val="5.16GB"/>
            <filter val="2822.21GB"/>
            <filter val="19.71GB"/>
            <filter val="110.06GB"/>
            <filter val="299.02GB"/>
            <filter val="9758.07GB"/>
            <filter val="1124.06GB"/>
            <filter val="89.46GB"/>
            <filter val="17.01GB"/>
            <filter val="0.32GB"/>
          </filters>
        </filterColumn>
      </autoFilter>
    </customSheetView>
    <customSheetView guid="{4DEA5A17-5CA4-4056-9FEE-56C0E4A7129F}" filter="1" showAutoFilter="1">
      <autoFilter ref="$A$4:$T$269">
        <filterColumn colId="1">
          <filters>
            <filter val="退職（部署判明）"/>
          </filters>
        </filterColumn>
      </autoFilter>
    </customSheetView>
    <customSheetView guid="{73409713-43FA-4453-9359-3E50EAC9253C}" filter="1" showAutoFilter="1">
      <autoFilter ref="$A$4:$T$269">
        <filterColumn colId="1">
          <filters>
            <filter val="退職（不明）"/>
            <filter val="退職（部署不明）"/>
            <filter val="在職"/>
            <filter val="退職（部署判明）"/>
            <filter val="管理者不明"/>
          </filters>
        </filterColumn>
      </autoFilter>
    </customSheetView>
    <customSheetView guid="{A2DD9A4E-E606-43D6-BD19-E54F611B2CB6}" filter="1" showAutoFilter="1">
      <autoFilter ref="$A$4:$T$269">
        <filterColumn colId="1">
          <filters>
            <filter val="退職（部署不明）"/>
          </filters>
        </filterColumn>
      </autoFilter>
    </customSheetView>
    <customSheetView guid="{5FB54E22-F1CB-4257-9B67-803D4ECE88C4}" filter="1" showAutoFilter="1">
      <autoFilter ref="$A$4:$T$269">
        <filterColumn colId="1">
          <filters>
            <filter val="退職（部署不明）"/>
            <filter val="退職（部署判明）"/>
            <filter val="管理者不明"/>
          </filters>
        </filterColumn>
      </autoFilter>
    </customSheetView>
  </customSheetViews>
  <dataValidations>
    <dataValidation type="list" allowBlank="1" showErrorMessage="1" sqref="W5:W269">
      <formula1>"Googleドライブ,AWS S3,別テナント,不要"</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3" max="3" width="63.63"/>
    <col customWidth="1" min="4" max="4" width="76.75"/>
    <col customWidth="1" min="5" max="5" width="37.88"/>
  </cols>
  <sheetData>
    <row r="1">
      <c r="A1" s="93" t="s">
        <v>2822</v>
      </c>
      <c r="B1" s="93" t="s">
        <v>2823</v>
      </c>
      <c r="C1" s="93" t="s">
        <v>2824</v>
      </c>
      <c r="D1" s="93" t="s">
        <v>2825</v>
      </c>
      <c r="E1" s="94" t="s">
        <v>2826</v>
      </c>
      <c r="F1" s="95"/>
      <c r="G1" s="95"/>
      <c r="H1" s="95"/>
      <c r="I1" s="95"/>
      <c r="J1" s="95"/>
      <c r="K1" s="95"/>
      <c r="L1" s="95"/>
      <c r="M1" s="95"/>
      <c r="N1" s="95"/>
      <c r="O1" s="95"/>
      <c r="P1" s="95"/>
      <c r="Q1" s="95"/>
      <c r="R1" s="95"/>
      <c r="S1" s="95"/>
      <c r="T1" s="95"/>
      <c r="U1" s="95"/>
      <c r="V1" s="95"/>
      <c r="W1" s="95"/>
      <c r="X1" s="95"/>
      <c r="Y1" s="95"/>
      <c r="Z1" s="95"/>
      <c r="AA1" s="95"/>
    </row>
    <row r="2" ht="113.25" customHeight="1">
      <c r="A2" s="96">
        <v>1.0</v>
      </c>
      <c r="B2" s="97" t="s">
        <v>2827</v>
      </c>
      <c r="C2" s="97" t="s">
        <v>2828</v>
      </c>
      <c r="D2" s="97" t="s">
        <v>2829</v>
      </c>
      <c r="E2" s="95"/>
      <c r="F2" s="95"/>
      <c r="G2" s="95"/>
      <c r="H2" s="95"/>
      <c r="I2" s="95"/>
      <c r="J2" s="95"/>
      <c r="K2" s="95"/>
      <c r="L2" s="95"/>
      <c r="M2" s="95"/>
      <c r="N2" s="95"/>
      <c r="O2" s="95"/>
      <c r="P2" s="95"/>
      <c r="Q2" s="95"/>
      <c r="R2" s="95"/>
      <c r="S2" s="95"/>
      <c r="T2" s="95"/>
      <c r="U2" s="95"/>
      <c r="V2" s="95"/>
      <c r="W2" s="95"/>
      <c r="X2" s="95"/>
      <c r="Y2" s="95"/>
      <c r="Z2" s="95"/>
      <c r="AA2" s="95"/>
    </row>
    <row r="3" ht="113.25" customHeight="1">
      <c r="A3" s="96">
        <v>2.0</v>
      </c>
      <c r="B3" s="97" t="s">
        <v>2827</v>
      </c>
      <c r="C3" s="97" t="s">
        <v>2830</v>
      </c>
      <c r="D3" s="97" t="s">
        <v>2831</v>
      </c>
      <c r="E3" s="95"/>
      <c r="F3" s="95"/>
      <c r="G3" s="95"/>
      <c r="H3" s="95"/>
      <c r="I3" s="95"/>
      <c r="J3" s="95"/>
      <c r="K3" s="95"/>
      <c r="L3" s="95"/>
      <c r="M3" s="95"/>
      <c r="N3" s="95"/>
      <c r="O3" s="95"/>
      <c r="P3" s="95"/>
      <c r="Q3" s="95"/>
      <c r="R3" s="95"/>
      <c r="S3" s="95"/>
      <c r="T3" s="95"/>
      <c r="U3" s="95"/>
      <c r="V3" s="95"/>
      <c r="W3" s="95"/>
      <c r="X3" s="95"/>
      <c r="Y3" s="95"/>
      <c r="Z3" s="95"/>
      <c r="AA3" s="95"/>
    </row>
    <row r="4" ht="113.25" customHeight="1">
      <c r="A4" s="96">
        <v>3.0</v>
      </c>
      <c r="B4" s="97" t="s">
        <v>2832</v>
      </c>
      <c r="C4" s="97" t="s">
        <v>2833</v>
      </c>
      <c r="D4" s="97" t="s">
        <v>2834</v>
      </c>
      <c r="E4" s="95"/>
      <c r="F4" s="95"/>
      <c r="G4" s="95"/>
      <c r="H4" s="95"/>
      <c r="I4" s="95"/>
      <c r="J4" s="95"/>
      <c r="K4" s="95"/>
      <c r="L4" s="95"/>
      <c r="M4" s="95"/>
      <c r="N4" s="95"/>
      <c r="O4" s="95"/>
      <c r="P4" s="95"/>
      <c r="Q4" s="95"/>
      <c r="R4" s="95"/>
      <c r="S4" s="95"/>
      <c r="T4" s="95"/>
      <c r="U4" s="95"/>
      <c r="V4" s="95"/>
      <c r="W4" s="95"/>
      <c r="X4" s="95"/>
      <c r="Y4" s="95"/>
      <c r="Z4" s="95"/>
      <c r="AA4" s="95"/>
    </row>
    <row r="5" ht="113.25" customHeight="1">
      <c r="A5" s="96">
        <v>4.0</v>
      </c>
      <c r="B5" s="97" t="s">
        <v>2832</v>
      </c>
      <c r="C5" s="97" t="s">
        <v>2835</v>
      </c>
      <c r="D5" s="98" t="s">
        <v>2836</v>
      </c>
      <c r="E5" s="95"/>
      <c r="F5" s="95"/>
      <c r="G5" s="95"/>
      <c r="H5" s="95"/>
      <c r="I5" s="95"/>
      <c r="J5" s="95"/>
      <c r="K5" s="95"/>
      <c r="L5" s="95"/>
      <c r="M5" s="95"/>
      <c r="N5" s="95"/>
      <c r="O5" s="95"/>
      <c r="P5" s="95"/>
      <c r="Q5" s="95"/>
      <c r="R5" s="95"/>
      <c r="S5" s="95"/>
      <c r="T5" s="95"/>
      <c r="U5" s="95"/>
      <c r="V5" s="95"/>
      <c r="W5" s="95"/>
      <c r="X5" s="95"/>
      <c r="Y5" s="95"/>
      <c r="Z5" s="95"/>
      <c r="AA5" s="95"/>
    </row>
    <row r="6" ht="113.25" customHeight="1">
      <c r="A6" s="96">
        <v>5.0</v>
      </c>
      <c r="B6" s="97" t="s">
        <v>2832</v>
      </c>
      <c r="C6" s="97" t="s">
        <v>2837</v>
      </c>
      <c r="D6" s="98" t="s">
        <v>2838</v>
      </c>
      <c r="E6" s="95"/>
      <c r="F6" s="95"/>
      <c r="G6" s="95"/>
      <c r="H6" s="95"/>
      <c r="I6" s="95"/>
      <c r="J6" s="95"/>
      <c r="K6" s="95"/>
      <c r="L6" s="95"/>
      <c r="M6" s="95"/>
      <c r="N6" s="95"/>
      <c r="O6" s="95"/>
      <c r="P6" s="95"/>
      <c r="Q6" s="95"/>
      <c r="R6" s="95"/>
      <c r="S6" s="95"/>
      <c r="T6" s="95"/>
      <c r="U6" s="95"/>
      <c r="V6" s="95"/>
      <c r="W6" s="95"/>
      <c r="X6" s="95"/>
      <c r="Y6" s="95"/>
      <c r="Z6" s="95"/>
      <c r="AA6" s="95"/>
    </row>
    <row r="7" ht="113.25" customHeight="1">
      <c r="A7" s="96">
        <v>6.0</v>
      </c>
      <c r="B7" s="97" t="s">
        <v>2832</v>
      </c>
      <c r="C7" s="97" t="s">
        <v>2839</v>
      </c>
      <c r="D7" s="97" t="s">
        <v>2840</v>
      </c>
      <c r="E7" s="94" t="s">
        <v>2841</v>
      </c>
      <c r="F7" s="95"/>
      <c r="G7" s="95"/>
      <c r="H7" s="95"/>
      <c r="I7" s="95"/>
      <c r="J7" s="95"/>
      <c r="K7" s="95"/>
      <c r="L7" s="95"/>
      <c r="M7" s="95"/>
      <c r="N7" s="95"/>
      <c r="O7" s="95"/>
      <c r="P7" s="95"/>
      <c r="Q7" s="95"/>
      <c r="R7" s="95"/>
      <c r="S7" s="95"/>
      <c r="T7" s="95"/>
      <c r="U7" s="95"/>
      <c r="V7" s="95"/>
      <c r="W7" s="95"/>
      <c r="X7" s="95"/>
      <c r="Y7" s="95"/>
      <c r="Z7" s="95"/>
      <c r="AA7" s="95"/>
    </row>
    <row r="8" ht="113.25" customHeight="1">
      <c r="A8" s="96">
        <v>7.0</v>
      </c>
      <c r="B8" s="97" t="s">
        <v>2832</v>
      </c>
      <c r="C8" s="99" t="s">
        <v>2842</v>
      </c>
      <c r="D8" s="97" t="s">
        <v>2843</v>
      </c>
      <c r="E8" s="94" t="s">
        <v>2844</v>
      </c>
      <c r="F8" s="95"/>
      <c r="G8" s="95"/>
      <c r="H8" s="95"/>
      <c r="I8" s="95"/>
      <c r="J8" s="95"/>
      <c r="K8" s="95"/>
      <c r="L8" s="95"/>
      <c r="M8" s="95"/>
      <c r="N8" s="95"/>
      <c r="O8" s="95"/>
      <c r="P8" s="95"/>
      <c r="Q8" s="95"/>
      <c r="R8" s="95"/>
      <c r="S8" s="95"/>
      <c r="T8" s="95"/>
      <c r="U8" s="95"/>
      <c r="V8" s="95"/>
      <c r="W8" s="95"/>
      <c r="X8" s="95"/>
      <c r="Y8" s="95"/>
      <c r="Z8" s="95"/>
      <c r="AA8" s="95"/>
    </row>
    <row r="9" ht="113.25" customHeight="1">
      <c r="A9" s="96">
        <v>8.0</v>
      </c>
      <c r="B9" s="97" t="s">
        <v>2832</v>
      </c>
      <c r="C9" s="99" t="s">
        <v>2845</v>
      </c>
      <c r="D9" s="97" t="s">
        <v>2846</v>
      </c>
      <c r="E9" s="94" t="s">
        <v>2847</v>
      </c>
      <c r="F9" s="95"/>
      <c r="G9" s="95"/>
      <c r="H9" s="95"/>
      <c r="I9" s="95"/>
      <c r="J9" s="95"/>
      <c r="K9" s="95"/>
      <c r="L9" s="95"/>
      <c r="M9" s="95"/>
      <c r="N9" s="95"/>
      <c r="O9" s="95"/>
      <c r="P9" s="95"/>
      <c r="Q9" s="95"/>
      <c r="R9" s="95"/>
      <c r="S9" s="95"/>
      <c r="T9" s="95"/>
      <c r="U9" s="95"/>
      <c r="V9" s="95"/>
      <c r="W9" s="95"/>
      <c r="X9" s="95"/>
      <c r="Y9" s="95"/>
      <c r="Z9" s="95"/>
      <c r="AA9" s="95"/>
    </row>
    <row r="10" ht="113.25" customHeight="1">
      <c r="A10" s="96">
        <v>9.0</v>
      </c>
      <c r="B10" s="97" t="s">
        <v>2848</v>
      </c>
      <c r="C10" s="97" t="s">
        <v>2849</v>
      </c>
      <c r="D10" s="97" t="s">
        <v>2850</v>
      </c>
      <c r="E10" s="95"/>
      <c r="F10" s="95"/>
      <c r="G10" s="95"/>
      <c r="H10" s="95"/>
      <c r="I10" s="95"/>
      <c r="J10" s="95"/>
      <c r="K10" s="95"/>
      <c r="L10" s="95"/>
      <c r="M10" s="95"/>
      <c r="N10" s="95"/>
      <c r="O10" s="95"/>
      <c r="P10" s="95"/>
      <c r="Q10" s="95"/>
      <c r="R10" s="95"/>
      <c r="S10" s="95"/>
      <c r="T10" s="95"/>
      <c r="U10" s="95"/>
      <c r="V10" s="95"/>
      <c r="W10" s="95"/>
      <c r="X10" s="95"/>
      <c r="Y10" s="95"/>
      <c r="Z10" s="95"/>
      <c r="AA10" s="95"/>
    </row>
    <row r="11" ht="113.25" customHeight="1">
      <c r="A11" s="96">
        <v>10.0</v>
      </c>
      <c r="B11" s="97" t="s">
        <v>2848</v>
      </c>
      <c r="C11" s="97" t="s">
        <v>2851</v>
      </c>
      <c r="D11" s="97" t="s">
        <v>2852</v>
      </c>
      <c r="E11" s="94" t="s">
        <v>2844</v>
      </c>
      <c r="F11" s="95"/>
      <c r="G11" s="95"/>
      <c r="H11" s="95"/>
      <c r="I11" s="95"/>
      <c r="J11" s="95"/>
      <c r="K11" s="95"/>
      <c r="L11" s="95"/>
      <c r="M11" s="95"/>
      <c r="N11" s="95"/>
      <c r="O11" s="95"/>
      <c r="P11" s="95"/>
      <c r="Q11" s="95"/>
      <c r="R11" s="95"/>
      <c r="S11" s="95"/>
      <c r="T11" s="95"/>
      <c r="U11" s="95"/>
      <c r="V11" s="95"/>
      <c r="W11" s="95"/>
      <c r="X11" s="95"/>
      <c r="Y11" s="95"/>
      <c r="Z11" s="95"/>
      <c r="AA11" s="95"/>
    </row>
    <row r="12" ht="113.25" customHeight="1">
      <c r="A12" s="96">
        <v>11.0</v>
      </c>
      <c r="B12" s="97" t="s">
        <v>2441</v>
      </c>
      <c r="C12" s="97" t="s">
        <v>2853</v>
      </c>
      <c r="D12" s="97" t="s">
        <v>2854</v>
      </c>
      <c r="E12" s="94" t="s">
        <v>2855</v>
      </c>
      <c r="F12" s="95"/>
      <c r="G12" s="95"/>
      <c r="H12" s="95"/>
      <c r="I12" s="95"/>
      <c r="J12" s="95"/>
      <c r="K12" s="95"/>
      <c r="L12" s="95"/>
      <c r="M12" s="95"/>
      <c r="N12" s="95"/>
      <c r="O12" s="95"/>
      <c r="P12" s="95"/>
      <c r="Q12" s="95"/>
      <c r="R12" s="95"/>
      <c r="S12" s="95"/>
      <c r="T12" s="95"/>
      <c r="U12" s="95"/>
      <c r="V12" s="95"/>
      <c r="W12" s="95"/>
      <c r="X12" s="95"/>
      <c r="Y12" s="95"/>
      <c r="Z12" s="95"/>
      <c r="AA12" s="95"/>
    </row>
    <row r="13" ht="113.25" customHeight="1">
      <c r="A13" s="96">
        <v>12.0</v>
      </c>
      <c r="B13" s="97" t="s">
        <v>2441</v>
      </c>
      <c r="C13" s="97" t="s">
        <v>2856</v>
      </c>
      <c r="D13" s="97" t="s">
        <v>2857</v>
      </c>
      <c r="E13" s="100" t="s">
        <v>2858</v>
      </c>
      <c r="F13" s="95"/>
      <c r="G13" s="95"/>
      <c r="H13" s="95"/>
      <c r="I13" s="95"/>
      <c r="J13" s="95"/>
      <c r="K13" s="95"/>
      <c r="L13" s="95"/>
      <c r="M13" s="95"/>
      <c r="N13" s="95"/>
      <c r="O13" s="95"/>
      <c r="P13" s="95"/>
      <c r="Q13" s="95"/>
      <c r="R13" s="95"/>
      <c r="S13" s="95"/>
      <c r="T13" s="95"/>
      <c r="U13" s="95"/>
      <c r="V13" s="95"/>
      <c r="W13" s="95"/>
      <c r="X13" s="95"/>
      <c r="Y13" s="95"/>
      <c r="Z13" s="95"/>
      <c r="AA13" s="95"/>
    </row>
    <row r="14" ht="113.25" customHeight="1">
      <c r="A14" s="96">
        <v>13.0</v>
      </c>
      <c r="B14" s="97" t="s">
        <v>2441</v>
      </c>
      <c r="C14" s="97" t="s">
        <v>2859</v>
      </c>
      <c r="D14" s="97" t="s">
        <v>2860</v>
      </c>
      <c r="E14" s="95"/>
      <c r="F14" s="95"/>
      <c r="G14" s="95"/>
      <c r="H14" s="95"/>
      <c r="I14" s="95"/>
      <c r="J14" s="95"/>
      <c r="K14" s="95"/>
      <c r="L14" s="95"/>
      <c r="M14" s="95"/>
      <c r="N14" s="95"/>
      <c r="O14" s="95"/>
      <c r="P14" s="95"/>
      <c r="Q14" s="95"/>
      <c r="R14" s="95"/>
      <c r="S14" s="95"/>
      <c r="T14" s="95"/>
      <c r="U14" s="95"/>
      <c r="V14" s="95"/>
      <c r="W14" s="95"/>
      <c r="X14" s="95"/>
      <c r="Y14" s="95"/>
      <c r="Z14" s="95"/>
      <c r="AA14" s="95"/>
    </row>
    <row r="15">
      <c r="A15" s="95"/>
      <c r="B15" s="95"/>
      <c r="C15" s="95"/>
      <c r="D15" s="95"/>
      <c r="E15" s="95"/>
      <c r="F15" s="95"/>
      <c r="G15" s="95"/>
      <c r="H15" s="95"/>
      <c r="I15" s="95"/>
      <c r="J15" s="95"/>
      <c r="K15" s="95"/>
      <c r="L15" s="95"/>
      <c r="M15" s="95"/>
      <c r="N15" s="95"/>
      <c r="O15" s="95"/>
      <c r="P15" s="95"/>
      <c r="Q15" s="95"/>
      <c r="R15" s="95"/>
      <c r="S15" s="95"/>
      <c r="T15" s="95"/>
      <c r="U15" s="95"/>
      <c r="V15" s="95"/>
      <c r="W15" s="95"/>
      <c r="X15" s="95"/>
      <c r="Y15" s="95"/>
      <c r="Z15" s="95"/>
      <c r="AA15" s="95"/>
    </row>
    <row r="16">
      <c r="A16" s="95"/>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row>
    <row r="17">
      <c r="A17" s="95"/>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row>
    <row r="18">
      <c r="A18" s="95"/>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row>
    <row r="19">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row>
    <row r="20">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row>
    <row r="2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row>
    <row r="22">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row>
    <row r="23">
      <c r="A23" s="95"/>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row>
    <row r="24">
      <c r="A24" s="95"/>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row>
    <row r="2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row>
    <row r="26">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row>
    <row r="27">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row>
    <row r="28">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c r="AA28" s="95"/>
    </row>
    <row r="29">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row>
    <row r="30">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row>
    <row r="31">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row>
    <row r="32">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row>
    <row r="33">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c r="AA33" s="95"/>
    </row>
    <row r="34">
      <c r="A34" s="95"/>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row>
    <row r="35">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row>
    <row r="36">
      <c r="A36" s="95"/>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row>
    <row r="37">
      <c r="A37" s="95"/>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row>
    <row r="38">
      <c r="A38" s="95"/>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row>
    <row r="39">
      <c r="A39" s="95"/>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row>
    <row r="40">
      <c r="A40" s="95"/>
      <c r="B40" s="95"/>
      <c r="C40" s="95"/>
      <c r="D40" s="95"/>
      <c r="E40" s="95"/>
      <c r="F40" s="95"/>
      <c r="G40" s="95"/>
      <c r="H40" s="95"/>
      <c r="I40" s="95"/>
      <c r="J40" s="95"/>
      <c r="K40" s="95"/>
      <c r="L40" s="95"/>
      <c r="M40" s="95"/>
      <c r="N40" s="95"/>
      <c r="O40" s="95"/>
      <c r="P40" s="95"/>
      <c r="Q40" s="95"/>
      <c r="R40" s="95"/>
      <c r="S40" s="95"/>
      <c r="T40" s="95"/>
      <c r="U40" s="95"/>
      <c r="V40" s="95"/>
      <c r="W40" s="95"/>
      <c r="X40" s="95"/>
      <c r="Y40" s="95"/>
      <c r="Z40" s="95"/>
      <c r="AA40" s="95"/>
    </row>
    <row r="41">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row>
    <row r="42">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c r="AA42" s="95"/>
    </row>
    <row r="43">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row>
    <row r="44">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row>
    <row r="45">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row>
    <row r="46">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row>
    <row r="47">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row>
    <row r="48">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row>
    <row r="49">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row>
    <row r="50">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5"/>
    </row>
    <row r="51">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row>
    <row r="52">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row>
    <row r="53">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row>
    <row r="54">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row>
    <row r="55">
      <c r="A55" s="95"/>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row>
    <row r="56">
      <c r="A56" s="95"/>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row>
    <row r="57">
      <c r="A57" s="95"/>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row>
    <row r="58">
      <c r="A58" s="95"/>
      <c r="B58" s="95"/>
      <c r="C58" s="95"/>
      <c r="D58" s="95"/>
      <c r="E58" s="95"/>
      <c r="F58" s="95"/>
      <c r="G58" s="95"/>
      <c r="H58" s="95"/>
      <c r="I58" s="95"/>
      <c r="J58" s="95"/>
      <c r="K58" s="95"/>
      <c r="L58" s="95"/>
      <c r="M58" s="95"/>
      <c r="N58" s="95"/>
      <c r="O58" s="95"/>
      <c r="P58" s="95"/>
      <c r="Q58" s="95"/>
      <c r="R58" s="95"/>
      <c r="S58" s="95"/>
      <c r="T58" s="95"/>
      <c r="U58" s="95"/>
      <c r="V58" s="95"/>
      <c r="W58" s="95"/>
      <c r="X58" s="95"/>
      <c r="Y58" s="95"/>
      <c r="Z58" s="95"/>
      <c r="AA58" s="95"/>
    </row>
    <row r="59">
      <c r="A59" s="95"/>
      <c r="B59" s="95"/>
      <c r="C59" s="95"/>
      <c r="D59" s="95"/>
      <c r="E59" s="95"/>
      <c r="F59" s="95"/>
      <c r="G59" s="95"/>
      <c r="H59" s="95"/>
      <c r="I59" s="95"/>
      <c r="J59" s="95"/>
      <c r="K59" s="95"/>
      <c r="L59" s="95"/>
      <c r="M59" s="95"/>
      <c r="N59" s="95"/>
      <c r="O59" s="95"/>
      <c r="P59" s="95"/>
      <c r="Q59" s="95"/>
      <c r="R59" s="95"/>
      <c r="S59" s="95"/>
      <c r="T59" s="95"/>
      <c r="U59" s="95"/>
      <c r="V59" s="95"/>
      <c r="W59" s="95"/>
      <c r="X59" s="95"/>
      <c r="Y59" s="95"/>
      <c r="Z59" s="95"/>
      <c r="AA59" s="95"/>
    </row>
    <row r="60">
      <c r="A60" s="95"/>
      <c r="B60" s="95"/>
      <c r="C60" s="95"/>
      <c r="D60" s="95"/>
      <c r="E60" s="95"/>
      <c r="F60" s="95"/>
      <c r="G60" s="95"/>
      <c r="H60" s="95"/>
      <c r="I60" s="95"/>
      <c r="J60" s="95"/>
      <c r="K60" s="95"/>
      <c r="L60" s="95"/>
      <c r="M60" s="95"/>
      <c r="N60" s="95"/>
      <c r="O60" s="95"/>
      <c r="P60" s="95"/>
      <c r="Q60" s="95"/>
      <c r="R60" s="95"/>
      <c r="S60" s="95"/>
      <c r="T60" s="95"/>
      <c r="U60" s="95"/>
      <c r="V60" s="95"/>
      <c r="W60" s="95"/>
      <c r="X60" s="95"/>
      <c r="Y60" s="95"/>
      <c r="Z60" s="95"/>
      <c r="AA60" s="95"/>
    </row>
    <row r="61">
      <c r="A61" s="95"/>
      <c r="B61" s="95"/>
      <c r="C61" s="95"/>
      <c r="D61" s="95"/>
      <c r="E61" s="95"/>
      <c r="F61" s="95"/>
      <c r="G61" s="95"/>
      <c r="H61" s="95"/>
      <c r="I61" s="95"/>
      <c r="J61" s="95"/>
      <c r="K61" s="95"/>
      <c r="L61" s="95"/>
      <c r="M61" s="95"/>
      <c r="N61" s="95"/>
      <c r="O61" s="95"/>
      <c r="P61" s="95"/>
      <c r="Q61" s="95"/>
      <c r="R61" s="95"/>
      <c r="S61" s="95"/>
      <c r="T61" s="95"/>
      <c r="U61" s="95"/>
      <c r="V61" s="95"/>
      <c r="W61" s="95"/>
      <c r="X61" s="95"/>
      <c r="Y61" s="95"/>
      <c r="Z61" s="95"/>
      <c r="AA61" s="95"/>
    </row>
    <row r="62">
      <c r="A62" s="95"/>
      <c r="B62" s="95"/>
      <c r="C62" s="95"/>
      <c r="D62" s="95"/>
      <c r="E62" s="95"/>
      <c r="F62" s="95"/>
      <c r="G62" s="95"/>
      <c r="H62" s="95"/>
      <c r="I62" s="95"/>
      <c r="J62" s="95"/>
      <c r="K62" s="95"/>
      <c r="L62" s="95"/>
      <c r="M62" s="95"/>
      <c r="N62" s="95"/>
      <c r="O62" s="95"/>
      <c r="P62" s="95"/>
      <c r="Q62" s="95"/>
      <c r="R62" s="95"/>
      <c r="S62" s="95"/>
      <c r="T62" s="95"/>
      <c r="U62" s="95"/>
      <c r="V62" s="95"/>
      <c r="W62" s="95"/>
      <c r="X62" s="95"/>
      <c r="Y62" s="95"/>
      <c r="Z62" s="95"/>
      <c r="AA62" s="95"/>
    </row>
    <row r="63">
      <c r="A63" s="95"/>
      <c r="B63" s="95"/>
      <c r="C63" s="95"/>
      <c r="D63" s="95"/>
      <c r="E63" s="95"/>
      <c r="F63" s="95"/>
      <c r="G63" s="95"/>
      <c r="H63" s="95"/>
      <c r="I63" s="95"/>
      <c r="J63" s="95"/>
      <c r="K63" s="95"/>
      <c r="L63" s="95"/>
      <c r="M63" s="95"/>
      <c r="N63" s="95"/>
      <c r="O63" s="95"/>
      <c r="P63" s="95"/>
      <c r="Q63" s="95"/>
      <c r="R63" s="95"/>
      <c r="S63" s="95"/>
      <c r="T63" s="95"/>
      <c r="U63" s="95"/>
      <c r="V63" s="95"/>
      <c r="W63" s="95"/>
      <c r="X63" s="95"/>
      <c r="Y63" s="95"/>
      <c r="Z63" s="95"/>
      <c r="AA63" s="95"/>
    </row>
    <row r="64">
      <c r="A64" s="95"/>
      <c r="B64" s="95"/>
      <c r="C64" s="95"/>
      <c r="D64" s="95"/>
      <c r="E64" s="95"/>
      <c r="F64" s="95"/>
      <c r="G64" s="95"/>
      <c r="H64" s="95"/>
      <c r="I64" s="95"/>
      <c r="J64" s="95"/>
      <c r="K64" s="95"/>
      <c r="L64" s="95"/>
      <c r="M64" s="95"/>
      <c r="N64" s="95"/>
      <c r="O64" s="95"/>
      <c r="P64" s="95"/>
      <c r="Q64" s="95"/>
      <c r="R64" s="95"/>
      <c r="S64" s="95"/>
      <c r="T64" s="95"/>
      <c r="U64" s="95"/>
      <c r="V64" s="95"/>
      <c r="W64" s="95"/>
      <c r="X64" s="95"/>
      <c r="Y64" s="95"/>
      <c r="Z64" s="95"/>
      <c r="AA64" s="95"/>
    </row>
    <row r="65">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c r="AA65" s="95"/>
    </row>
    <row r="66">
      <c r="A66" s="95"/>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row>
    <row r="67">
      <c r="A67" s="95"/>
      <c r="B67" s="95"/>
      <c r="C67" s="95"/>
      <c r="D67" s="95"/>
      <c r="E67" s="95"/>
      <c r="F67" s="95"/>
      <c r="G67" s="95"/>
      <c r="H67" s="95"/>
      <c r="I67" s="95"/>
      <c r="J67" s="95"/>
      <c r="K67" s="95"/>
      <c r="L67" s="95"/>
      <c r="M67" s="95"/>
      <c r="N67" s="95"/>
      <c r="O67" s="95"/>
      <c r="P67" s="95"/>
      <c r="Q67" s="95"/>
      <c r="R67" s="95"/>
      <c r="S67" s="95"/>
      <c r="T67" s="95"/>
      <c r="U67" s="95"/>
      <c r="V67" s="95"/>
      <c r="W67" s="95"/>
      <c r="X67" s="95"/>
      <c r="Y67" s="95"/>
      <c r="Z67" s="95"/>
      <c r="AA67" s="95"/>
    </row>
    <row r="68">
      <c r="A68" s="95"/>
      <c r="B68" s="95"/>
      <c r="C68" s="95"/>
      <c r="D68" s="95"/>
      <c r="E68" s="95"/>
      <c r="F68" s="95"/>
      <c r="G68" s="95"/>
      <c r="H68" s="95"/>
      <c r="I68" s="95"/>
      <c r="J68" s="95"/>
      <c r="K68" s="95"/>
      <c r="L68" s="95"/>
      <c r="M68" s="95"/>
      <c r="N68" s="95"/>
      <c r="O68" s="95"/>
      <c r="P68" s="95"/>
      <c r="Q68" s="95"/>
      <c r="R68" s="95"/>
      <c r="S68" s="95"/>
      <c r="T68" s="95"/>
      <c r="U68" s="95"/>
      <c r="V68" s="95"/>
      <c r="W68" s="95"/>
      <c r="X68" s="95"/>
      <c r="Y68" s="95"/>
      <c r="Z68" s="95"/>
      <c r="AA68" s="95"/>
    </row>
    <row r="69">
      <c r="A69" s="95"/>
      <c r="B69" s="95"/>
      <c r="C69" s="95"/>
      <c r="D69" s="95"/>
      <c r="E69" s="95"/>
      <c r="F69" s="95"/>
      <c r="G69" s="95"/>
      <c r="H69" s="95"/>
      <c r="I69" s="95"/>
      <c r="J69" s="95"/>
      <c r="K69" s="95"/>
      <c r="L69" s="95"/>
      <c r="M69" s="95"/>
      <c r="N69" s="95"/>
      <c r="O69" s="95"/>
      <c r="P69" s="95"/>
      <c r="Q69" s="95"/>
      <c r="R69" s="95"/>
      <c r="S69" s="95"/>
      <c r="T69" s="95"/>
      <c r="U69" s="95"/>
      <c r="V69" s="95"/>
      <c r="W69" s="95"/>
      <c r="X69" s="95"/>
      <c r="Y69" s="95"/>
      <c r="Z69" s="95"/>
      <c r="AA69" s="95"/>
    </row>
    <row r="70">
      <c r="A70" s="95"/>
      <c r="B70" s="95"/>
      <c r="C70" s="95"/>
      <c r="D70" s="95"/>
      <c r="E70" s="95"/>
      <c r="F70" s="95"/>
      <c r="G70" s="95"/>
      <c r="H70" s="95"/>
      <c r="I70" s="95"/>
      <c r="J70" s="95"/>
      <c r="K70" s="95"/>
      <c r="L70" s="95"/>
      <c r="M70" s="95"/>
      <c r="N70" s="95"/>
      <c r="O70" s="95"/>
      <c r="P70" s="95"/>
      <c r="Q70" s="95"/>
      <c r="R70" s="95"/>
      <c r="S70" s="95"/>
      <c r="T70" s="95"/>
      <c r="U70" s="95"/>
      <c r="V70" s="95"/>
      <c r="W70" s="95"/>
      <c r="X70" s="95"/>
      <c r="Y70" s="95"/>
      <c r="Z70" s="95"/>
      <c r="AA70" s="95"/>
    </row>
    <row r="71">
      <c r="A71" s="95"/>
      <c r="B71" s="95"/>
      <c r="C71" s="95"/>
      <c r="D71" s="95"/>
      <c r="E71" s="95"/>
      <c r="F71" s="95"/>
      <c r="G71" s="95"/>
      <c r="H71" s="95"/>
      <c r="I71" s="95"/>
      <c r="J71" s="95"/>
      <c r="K71" s="95"/>
      <c r="L71" s="95"/>
      <c r="M71" s="95"/>
      <c r="N71" s="95"/>
      <c r="O71" s="95"/>
      <c r="P71" s="95"/>
      <c r="Q71" s="95"/>
      <c r="R71" s="95"/>
      <c r="S71" s="95"/>
      <c r="T71" s="95"/>
      <c r="U71" s="95"/>
      <c r="V71" s="95"/>
      <c r="W71" s="95"/>
      <c r="X71" s="95"/>
      <c r="Y71" s="95"/>
      <c r="Z71" s="95"/>
      <c r="AA71" s="95"/>
    </row>
    <row r="72">
      <c r="A72" s="95"/>
      <c r="B72" s="95"/>
      <c r="C72" s="95"/>
      <c r="D72" s="95"/>
      <c r="E72" s="95"/>
      <c r="F72" s="95"/>
      <c r="G72" s="95"/>
      <c r="H72" s="95"/>
      <c r="I72" s="95"/>
      <c r="J72" s="95"/>
      <c r="K72" s="95"/>
      <c r="L72" s="95"/>
      <c r="M72" s="95"/>
      <c r="N72" s="95"/>
      <c r="O72" s="95"/>
      <c r="P72" s="95"/>
      <c r="Q72" s="95"/>
      <c r="R72" s="95"/>
      <c r="S72" s="95"/>
      <c r="T72" s="95"/>
      <c r="U72" s="95"/>
      <c r="V72" s="95"/>
      <c r="W72" s="95"/>
      <c r="X72" s="95"/>
      <c r="Y72" s="95"/>
      <c r="Z72" s="95"/>
      <c r="AA72" s="95"/>
    </row>
    <row r="73">
      <c r="A73" s="95"/>
      <c r="B73" s="95"/>
      <c r="C73" s="95"/>
      <c r="D73" s="95"/>
      <c r="E73" s="95"/>
      <c r="F73" s="95"/>
      <c r="G73" s="95"/>
      <c r="H73" s="95"/>
      <c r="I73" s="95"/>
      <c r="J73" s="95"/>
      <c r="K73" s="95"/>
      <c r="L73" s="95"/>
      <c r="M73" s="95"/>
      <c r="N73" s="95"/>
      <c r="O73" s="95"/>
      <c r="P73" s="95"/>
      <c r="Q73" s="95"/>
      <c r="R73" s="95"/>
      <c r="S73" s="95"/>
      <c r="T73" s="95"/>
      <c r="U73" s="95"/>
      <c r="V73" s="95"/>
      <c r="W73" s="95"/>
      <c r="X73" s="95"/>
      <c r="Y73" s="95"/>
      <c r="Z73" s="95"/>
      <c r="AA73" s="95"/>
    </row>
    <row r="74">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row>
    <row r="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row>
    <row r="76">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row>
    <row r="77">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row>
    <row r="78">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row>
    <row r="79">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row>
    <row r="80">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row>
    <row r="81">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row>
    <row r="82">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row>
    <row r="83">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row>
    <row r="84">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row>
    <row r="85">
      <c r="A85" s="95"/>
      <c r="B85" s="95"/>
      <c r="C85" s="95"/>
      <c r="D85" s="95"/>
      <c r="E85" s="95"/>
      <c r="F85" s="95"/>
      <c r="G85" s="95"/>
      <c r="H85" s="95"/>
      <c r="I85" s="95"/>
      <c r="J85" s="95"/>
      <c r="K85" s="95"/>
      <c r="L85" s="95"/>
      <c r="M85" s="95"/>
      <c r="N85" s="95"/>
      <c r="O85" s="95"/>
      <c r="P85" s="95"/>
      <c r="Q85" s="95"/>
      <c r="R85" s="95"/>
      <c r="S85" s="95"/>
      <c r="T85" s="95"/>
      <c r="U85" s="95"/>
      <c r="V85" s="95"/>
      <c r="W85" s="95"/>
      <c r="X85" s="95"/>
      <c r="Y85" s="95"/>
      <c r="Z85" s="95"/>
      <c r="AA85" s="95"/>
    </row>
    <row r="86">
      <c r="A86" s="95"/>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row>
    <row r="87">
      <c r="A87" s="95"/>
      <c r="B87" s="95"/>
      <c r="C87" s="95"/>
      <c r="D87" s="95"/>
      <c r="E87" s="95"/>
      <c r="F87" s="95"/>
      <c r="G87" s="95"/>
      <c r="H87" s="95"/>
      <c r="I87" s="95"/>
      <c r="J87" s="95"/>
      <c r="K87" s="95"/>
      <c r="L87" s="95"/>
      <c r="M87" s="95"/>
      <c r="N87" s="95"/>
      <c r="O87" s="95"/>
      <c r="P87" s="95"/>
      <c r="Q87" s="95"/>
      <c r="R87" s="95"/>
      <c r="S87" s="95"/>
      <c r="T87" s="95"/>
      <c r="U87" s="95"/>
      <c r="V87" s="95"/>
      <c r="W87" s="95"/>
      <c r="X87" s="95"/>
      <c r="Y87" s="95"/>
      <c r="Z87" s="95"/>
      <c r="AA87" s="95"/>
    </row>
    <row r="88">
      <c r="A88" s="95"/>
      <c r="B88" s="95"/>
      <c r="C88" s="95"/>
      <c r="D88" s="95"/>
      <c r="E88" s="95"/>
      <c r="F88" s="95"/>
      <c r="G88" s="95"/>
      <c r="H88" s="95"/>
      <c r="I88" s="95"/>
      <c r="J88" s="95"/>
      <c r="K88" s="95"/>
      <c r="L88" s="95"/>
      <c r="M88" s="95"/>
      <c r="N88" s="95"/>
      <c r="O88" s="95"/>
      <c r="P88" s="95"/>
      <c r="Q88" s="95"/>
      <c r="R88" s="95"/>
      <c r="S88" s="95"/>
      <c r="T88" s="95"/>
      <c r="U88" s="95"/>
      <c r="V88" s="95"/>
      <c r="W88" s="95"/>
      <c r="X88" s="95"/>
      <c r="Y88" s="95"/>
      <c r="Z88" s="95"/>
      <c r="AA88" s="95"/>
    </row>
    <row r="89">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c r="AA89" s="95"/>
    </row>
    <row r="90">
      <c r="A90" s="95"/>
      <c r="B90" s="95"/>
      <c r="C90" s="95"/>
      <c r="D90" s="95"/>
      <c r="E90" s="95"/>
      <c r="F90" s="95"/>
      <c r="G90" s="95"/>
      <c r="H90" s="95"/>
      <c r="I90" s="95"/>
      <c r="J90" s="95"/>
      <c r="K90" s="95"/>
      <c r="L90" s="95"/>
      <c r="M90" s="95"/>
      <c r="N90" s="95"/>
      <c r="O90" s="95"/>
      <c r="P90" s="95"/>
      <c r="Q90" s="95"/>
      <c r="R90" s="95"/>
      <c r="S90" s="95"/>
      <c r="T90" s="95"/>
      <c r="U90" s="95"/>
      <c r="V90" s="95"/>
      <c r="W90" s="95"/>
      <c r="X90" s="95"/>
      <c r="Y90" s="95"/>
      <c r="Z90" s="95"/>
      <c r="AA90" s="95"/>
    </row>
    <row r="91">
      <c r="A91" s="95"/>
      <c r="B91" s="95"/>
      <c r="C91" s="95"/>
      <c r="D91" s="95"/>
      <c r="E91" s="95"/>
      <c r="F91" s="95"/>
      <c r="G91" s="95"/>
      <c r="H91" s="95"/>
      <c r="I91" s="95"/>
      <c r="J91" s="95"/>
      <c r="K91" s="95"/>
      <c r="L91" s="95"/>
      <c r="M91" s="95"/>
      <c r="N91" s="95"/>
      <c r="O91" s="95"/>
      <c r="P91" s="95"/>
      <c r="Q91" s="95"/>
      <c r="R91" s="95"/>
      <c r="S91" s="95"/>
      <c r="T91" s="95"/>
      <c r="U91" s="95"/>
      <c r="V91" s="95"/>
      <c r="W91" s="95"/>
      <c r="X91" s="95"/>
      <c r="Y91" s="95"/>
      <c r="Z91" s="95"/>
      <c r="AA91" s="95"/>
    </row>
    <row r="92">
      <c r="A92" s="95"/>
      <c r="B92" s="95"/>
      <c r="C92" s="95"/>
      <c r="D92" s="95"/>
      <c r="E92" s="95"/>
      <c r="F92" s="95"/>
      <c r="G92" s="95"/>
      <c r="H92" s="95"/>
      <c r="I92" s="95"/>
      <c r="J92" s="95"/>
      <c r="K92" s="95"/>
      <c r="L92" s="95"/>
      <c r="M92" s="95"/>
      <c r="N92" s="95"/>
      <c r="O92" s="95"/>
      <c r="P92" s="95"/>
      <c r="Q92" s="95"/>
      <c r="R92" s="95"/>
      <c r="S92" s="95"/>
      <c r="T92" s="95"/>
      <c r="U92" s="95"/>
      <c r="V92" s="95"/>
      <c r="W92" s="95"/>
      <c r="X92" s="95"/>
      <c r="Y92" s="95"/>
      <c r="Z92" s="95"/>
      <c r="AA92" s="95"/>
    </row>
    <row r="93">
      <c r="A93" s="95"/>
      <c r="B93" s="95"/>
      <c r="C93" s="95"/>
      <c r="D93" s="95"/>
      <c r="E93" s="95"/>
      <c r="F93" s="95"/>
      <c r="G93" s="95"/>
      <c r="H93" s="95"/>
      <c r="I93" s="95"/>
      <c r="J93" s="95"/>
      <c r="K93" s="95"/>
      <c r="L93" s="95"/>
      <c r="M93" s="95"/>
      <c r="N93" s="95"/>
      <c r="O93" s="95"/>
      <c r="P93" s="95"/>
      <c r="Q93" s="95"/>
      <c r="R93" s="95"/>
      <c r="S93" s="95"/>
      <c r="T93" s="95"/>
      <c r="U93" s="95"/>
      <c r="V93" s="95"/>
      <c r="W93" s="95"/>
      <c r="X93" s="95"/>
      <c r="Y93" s="95"/>
      <c r="Z93" s="95"/>
      <c r="AA93" s="95"/>
    </row>
    <row r="94">
      <c r="A94" s="95"/>
      <c r="B94" s="95"/>
      <c r="C94" s="95"/>
      <c r="D94" s="95"/>
      <c r="E94" s="95"/>
      <c r="F94" s="95"/>
      <c r="G94" s="95"/>
      <c r="H94" s="95"/>
      <c r="I94" s="95"/>
      <c r="J94" s="95"/>
      <c r="K94" s="95"/>
      <c r="L94" s="95"/>
      <c r="M94" s="95"/>
      <c r="N94" s="95"/>
      <c r="O94" s="95"/>
      <c r="P94" s="95"/>
      <c r="Q94" s="95"/>
      <c r="R94" s="95"/>
      <c r="S94" s="95"/>
      <c r="T94" s="95"/>
      <c r="U94" s="95"/>
      <c r="V94" s="95"/>
      <c r="W94" s="95"/>
      <c r="X94" s="95"/>
      <c r="Y94" s="95"/>
      <c r="Z94" s="95"/>
      <c r="AA94" s="95"/>
    </row>
    <row r="9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row>
    <row r="96">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row>
    <row r="97">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row>
    <row r="98">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row>
    <row r="99">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row>
    <row r="100">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row>
    <row r="101">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row>
    <row r="102">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row>
    <row r="103">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row>
    <row r="104">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row>
    <row r="10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row>
    <row r="106">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row>
    <row r="107">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row>
    <row r="108">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row>
    <row r="109">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row>
    <row r="110">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row>
    <row r="111">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row>
    <row r="112">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row>
    <row r="113">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row>
    <row r="114">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row>
    <row r="11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row>
    <row r="116">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row>
    <row r="117">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row>
    <row r="118">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row>
    <row r="119">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row>
    <row r="120">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row>
    <row r="121">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row>
    <row r="122">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row>
    <row r="123">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row>
    <row r="124">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row>
    <row r="12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row>
    <row r="126">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row>
    <row r="127">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row>
    <row r="128">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row>
    <row r="129">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row>
    <row r="130">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row>
    <row r="131">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row>
    <row r="132">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row>
    <row r="133">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row>
    <row r="134">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row>
    <row r="13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row>
    <row r="136">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row>
    <row r="137">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row>
    <row r="138">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row>
    <row r="139">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row>
    <row r="140">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row>
    <row r="141">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row>
    <row r="142">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row>
    <row r="143">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row>
    <row r="144">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row>
    <row r="14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row>
    <row r="146">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row>
    <row r="147">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row>
    <row r="148">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row>
    <row r="149">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row>
    <row r="150">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row>
    <row r="15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row>
    <row r="152">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row>
    <row r="153">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row>
    <row r="15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row>
    <row r="15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row>
    <row r="156">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row>
    <row r="157">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row>
    <row r="158">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row>
    <row r="159">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row>
    <row r="160">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row>
    <row r="16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row>
    <row r="162">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row>
    <row r="163">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row>
    <row r="164">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row>
    <row r="16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row>
    <row r="166">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row>
    <row r="167">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row>
    <row r="168">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row>
    <row r="169">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row>
    <row r="170">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row>
    <row r="17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row>
    <row r="172">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row>
    <row r="173">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row>
    <row r="174">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row>
    <row r="1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row>
    <row r="176">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row>
    <row r="177">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row>
    <row r="178">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row>
    <row r="179">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row>
    <row r="180">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row>
    <row r="18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row>
    <row r="182">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row>
    <row r="183">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row>
    <row r="184">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row>
    <row r="18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row>
    <row r="186">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row>
    <row r="187">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row>
    <row r="188">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row>
    <row r="189">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row>
    <row r="190">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row>
    <row r="19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row>
    <row r="192">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row>
    <row r="193">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row>
    <row r="194">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row>
    <row r="19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row>
    <row r="196">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row>
    <row r="197">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row>
    <row r="198">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row>
    <row r="199">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row>
    <row r="200">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row>
    <row r="20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row>
    <row r="202">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row>
    <row r="203">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row>
    <row r="204">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row>
    <row r="20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row>
    <row r="206">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row>
    <row r="207">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row>
    <row r="208">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row>
    <row r="209">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row>
    <row r="210">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row>
    <row r="21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row>
    <row r="212">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row>
    <row r="213">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row>
    <row r="214">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row>
    <row r="21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row>
    <row r="216">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row>
    <row r="217">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row>
    <row r="218">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row>
    <row r="219">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row>
    <row r="220">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row>
    <row r="22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row>
    <row r="222">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row>
    <row r="223">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row>
    <row r="224">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row>
    <row r="22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row>
    <row r="226">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row>
    <row r="227">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row>
    <row r="228">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row>
    <row r="229">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row>
    <row r="230">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row>
    <row r="23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row>
    <row r="232">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row>
    <row r="233">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row>
    <row r="234">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row>
    <row r="23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row>
    <row r="236">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row>
    <row r="237">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row>
    <row r="238">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row>
    <row r="239">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row>
    <row r="240">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row>
    <row r="24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row>
    <row r="242">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row>
    <row r="243">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row>
    <row r="244">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row>
    <row r="24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row>
    <row r="246">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row>
    <row r="247">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row>
    <row r="248">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row>
    <row r="249">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row>
    <row r="250">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row>
    <row r="25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row>
    <row r="252">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row>
    <row r="253">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row>
    <row r="254">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row>
    <row r="25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row>
    <row r="256">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row>
    <row r="257">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row>
    <row r="258">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row>
    <row r="259">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row>
    <row r="260">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row>
    <row r="26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row>
    <row r="262">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row>
    <row r="263">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row>
    <row r="264">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row>
    <row r="26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row>
    <row r="266">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row>
    <row r="267">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row>
    <row r="268">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row>
    <row r="269">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row>
    <row r="270">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row>
    <row r="27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row>
    <row r="272">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row>
    <row r="273">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row>
    <row r="274">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row>
    <row r="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row>
    <row r="276">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row>
    <row r="277">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row>
    <row r="278">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row>
    <row r="279">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row>
    <row r="280">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row>
    <row r="28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row>
    <row r="282">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row>
    <row r="283">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row>
    <row r="284">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row>
    <row r="28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row>
    <row r="286">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row>
    <row r="287">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row>
    <row r="288">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row>
    <row r="289">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row>
    <row r="290">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row>
    <row r="29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row>
    <row r="292">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row>
    <row r="293">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row>
    <row r="294">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row>
    <row r="29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row>
    <row r="296">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row>
    <row r="297">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row>
    <row r="298">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row>
    <row r="299">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row>
    <row r="300">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row>
    <row r="30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row>
    <row r="302">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row>
    <row r="303">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row>
    <row r="304">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row>
    <row r="30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row>
    <row r="306">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row>
    <row r="307">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row>
    <row r="308">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row>
    <row r="309">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row>
    <row r="310">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row>
    <row r="31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row>
    <row r="312">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row>
    <row r="313">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row>
    <row r="314">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row>
    <row r="31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row>
    <row r="316">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row>
    <row r="317">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row>
    <row r="318">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row>
    <row r="319">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row>
    <row r="320">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row>
    <row r="32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row>
    <row r="322">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row>
    <row r="323">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row>
    <row r="324">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row>
    <row r="32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row>
    <row r="326">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row>
    <row r="327">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row>
    <row r="328">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row>
    <row r="329">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row>
    <row r="330">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row>
    <row r="33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row>
    <row r="332">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row>
    <row r="333">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row>
    <row r="334">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row>
    <row r="33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row>
    <row r="336">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row>
    <row r="337">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row>
    <row r="338">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row>
    <row r="339">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row>
    <row r="340">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row>
    <row r="34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row>
    <row r="342">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row>
    <row r="343">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row>
    <row r="344">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row>
    <row r="34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row>
    <row r="346">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row>
    <row r="347">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row>
    <row r="348">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row>
    <row r="349">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row>
    <row r="350">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row>
    <row r="35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row>
    <row r="352">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row>
    <row r="353">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row>
    <row r="354">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row>
    <row r="35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row>
    <row r="356">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row>
    <row r="357">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row>
    <row r="358">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row>
    <row r="359">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row>
    <row r="360">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row>
    <row r="36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row>
    <row r="362">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row>
    <row r="363">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row>
    <row r="364">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row>
    <row r="36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row>
    <row r="366">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row>
    <row r="367">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row>
    <row r="368">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row>
    <row r="369">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row>
    <row r="370">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row>
    <row r="37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row>
    <row r="372">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row>
    <row r="373">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row>
    <row r="374">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row>
    <row r="3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row>
    <row r="376">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row>
    <row r="377">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row>
    <row r="378">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row>
    <row r="379">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row>
    <row r="380">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row>
    <row r="38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row>
    <row r="382">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row>
    <row r="383">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row>
    <row r="384">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row>
    <row r="38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row>
    <row r="386">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row>
    <row r="387">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row>
    <row r="388">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row>
    <row r="389">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row>
    <row r="390">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row>
    <row r="39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row>
    <row r="392">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row>
    <row r="393">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row>
    <row r="394">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row>
    <row r="39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row>
    <row r="396">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row>
    <row r="397">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row>
    <row r="398">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row>
    <row r="399">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row>
    <row r="400">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row>
    <row r="40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row>
    <row r="402">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row>
    <row r="403">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row>
    <row r="404">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row>
    <row r="40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row>
    <row r="406">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row>
    <row r="407">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row>
    <row r="408">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row>
    <row r="409">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row>
    <row r="410">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row>
    <row r="41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row>
    <row r="412">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row>
    <row r="413">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row>
    <row r="414">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row>
    <row r="41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row>
    <row r="416">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row>
    <row r="417">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row>
    <row r="418">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row>
    <row r="419">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row>
    <row r="420">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row>
    <row r="42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row>
    <row r="422">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row>
    <row r="423">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row>
    <row r="424">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row>
    <row r="42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row>
    <row r="426">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row>
    <row r="427">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row>
    <row r="428">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row>
    <row r="429">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row>
    <row r="430">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row>
    <row r="43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row>
    <row r="432">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row>
    <row r="433">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row>
    <row r="434">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row>
    <row r="43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row>
    <row r="436">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row>
    <row r="437">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row>
    <row r="438">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row>
    <row r="439">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row>
    <row r="440">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row>
    <row r="44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row>
    <row r="442">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row>
    <row r="443">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row>
    <row r="444">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row>
    <row r="44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row>
    <row r="446">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row>
    <row r="447">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row>
    <row r="448">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row>
    <row r="449">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row>
    <row r="450">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row>
    <row r="45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row>
    <row r="452">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row>
    <row r="453">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row>
    <row r="454">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row>
    <row r="45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row>
    <row r="456">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row>
    <row r="457">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row>
    <row r="458">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row>
    <row r="459">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row>
    <row r="460">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row>
    <row r="46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row>
    <row r="462">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row>
    <row r="463">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row>
    <row r="464">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row>
    <row r="46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row>
    <row r="466">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row>
    <row r="467">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row>
    <row r="468">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row>
    <row r="469">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row>
    <row r="470">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row>
    <row r="47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row>
    <row r="472">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row>
    <row r="473">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row>
    <row r="474">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row>
    <row r="4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row>
    <row r="476">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row>
    <row r="477">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row>
    <row r="478">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row>
    <row r="479">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row>
    <row r="480">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row>
    <row r="48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row>
    <row r="482">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row>
    <row r="483">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row>
    <row r="484">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row>
    <row r="48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row>
    <row r="486">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row>
    <row r="487">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row>
    <row r="488">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row>
    <row r="489">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row>
    <row r="490">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row>
    <row r="49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row>
    <row r="492">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row>
    <row r="493">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row>
    <row r="494">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row>
    <row r="49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row>
    <row r="496">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row>
    <row r="497">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row>
    <row r="498">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row>
    <row r="499">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row>
    <row r="500">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row>
    <row r="50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row>
    <row r="502">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row>
    <row r="503">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row>
    <row r="504">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row>
    <row r="50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row>
    <row r="506">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row>
    <row r="507">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row>
    <row r="508">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row>
    <row r="509">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row>
    <row r="510">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row>
    <row r="51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row>
    <row r="512">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row>
    <row r="513">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row>
    <row r="514">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row>
    <row r="51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row>
    <row r="516">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row>
    <row r="517">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row>
    <row r="518">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row>
    <row r="519">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row>
    <row r="520">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row>
    <row r="52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row>
    <row r="522">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row>
    <row r="523">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row>
    <row r="524">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row>
    <row r="52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row>
    <row r="526">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row>
    <row r="527">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row>
    <row r="528">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row>
    <row r="529">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row>
    <row r="530">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row>
    <row r="53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row>
    <row r="532">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row>
    <row r="533">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row>
    <row r="534">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row>
    <row r="53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row>
    <row r="536">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row>
    <row r="537">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row>
    <row r="538">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row>
    <row r="539">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row>
    <row r="540">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row>
    <row r="54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row>
    <row r="542">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row>
    <row r="543">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row>
    <row r="544">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row>
    <row r="54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row>
    <row r="546">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row>
    <row r="547">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row>
    <row r="548">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row>
    <row r="549">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row>
    <row r="550">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row>
    <row r="55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row>
    <row r="552">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row>
    <row r="553">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row>
    <row r="554">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row>
    <row r="55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row>
    <row r="556">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row>
    <row r="557">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row>
    <row r="558">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row>
    <row r="559">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row>
    <row r="560">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row>
    <row r="56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row>
    <row r="562">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row>
    <row r="563">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row>
    <row r="564">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row>
    <row r="56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row>
    <row r="566">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row>
    <row r="567">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row>
    <row r="568">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row>
    <row r="569">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row>
    <row r="570">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row>
    <row r="57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row>
    <row r="572">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row>
    <row r="573">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row>
    <row r="574">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row>
    <row r="5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row>
    <row r="576">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row>
    <row r="577">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row>
    <row r="578">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row>
    <row r="579">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row>
    <row r="580">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row>
    <row r="58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row>
    <row r="582">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row>
    <row r="583">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row>
    <row r="584">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row>
    <row r="58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row>
    <row r="586">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row>
    <row r="587">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row>
    <row r="588">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row>
    <row r="589">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row>
    <row r="590">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row>
    <row r="59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row>
    <row r="592">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row>
    <row r="593">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row>
    <row r="594">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row>
    <row r="59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row>
    <row r="596">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row>
    <row r="597">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row>
    <row r="598">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row>
    <row r="599">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row>
    <row r="600">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row>
    <row r="60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row>
    <row r="602">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row>
    <row r="603">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row>
    <row r="604">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row>
    <row r="60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row>
    <row r="606">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row>
    <row r="607">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row>
    <row r="608">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row>
    <row r="609">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row>
    <row r="610">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row>
    <row r="61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row>
    <row r="612">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row>
    <row r="613">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row>
    <row r="614">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row>
    <row r="61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row>
    <row r="616">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row>
    <row r="617">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row>
    <row r="618">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row>
    <row r="619">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row>
    <row r="620">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row>
    <row r="62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row>
    <row r="622">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row>
    <row r="623">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row>
    <row r="624">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row>
    <row r="62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row>
    <row r="626">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row>
    <row r="627">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row>
    <row r="628">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row>
    <row r="629">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row>
    <row r="630">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row>
    <row r="63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row>
    <row r="632">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row>
    <row r="633">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row>
    <row r="634">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row>
    <row r="63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row>
    <row r="636">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row>
    <row r="637">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row>
    <row r="638">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row>
    <row r="639">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row>
    <row r="640">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row>
    <row r="64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row>
    <row r="642">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row>
    <row r="643">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row>
    <row r="644">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row>
    <row r="64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row>
    <row r="646">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row>
    <row r="647">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row>
    <row r="648">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row>
    <row r="649">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row>
    <row r="650">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row>
    <row r="65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row>
    <row r="652">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row>
    <row r="653">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row>
    <row r="654">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row>
    <row r="65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row>
    <row r="656">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row>
    <row r="657">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row>
    <row r="658">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row>
    <row r="659">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row>
    <row r="660">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row>
    <row r="66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row>
    <row r="662">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row>
    <row r="663">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row>
    <row r="664">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row>
    <row r="66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row>
    <row r="666">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row>
    <row r="667">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row>
    <row r="668">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row>
    <row r="669">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row>
    <row r="670">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row>
    <row r="67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row>
    <row r="672">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row>
    <row r="673">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row>
    <row r="674">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row>
    <row r="6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row>
    <row r="676">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row>
    <row r="677">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row>
    <row r="678">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row>
    <row r="679">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row>
    <row r="680">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row>
    <row r="68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row>
    <row r="682">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row>
    <row r="683">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row>
    <row r="684">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row>
    <row r="68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row>
    <row r="686">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row>
    <row r="687">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row>
    <row r="688">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row>
    <row r="689">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row>
    <row r="690">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row>
    <row r="69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row>
    <row r="692">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row>
    <row r="693">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row>
    <row r="694">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row>
    <row r="69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row>
    <row r="696">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row>
    <row r="697">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row>
    <row r="698">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row>
    <row r="699">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row>
    <row r="700">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row>
    <row r="70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row>
    <row r="702">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row>
    <row r="703">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row>
    <row r="704">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row>
    <row r="70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row>
    <row r="706">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row>
    <row r="707">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row>
    <row r="708">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row>
    <row r="709">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row>
    <row r="710">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row>
    <row r="71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row>
    <row r="712">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row>
    <row r="713">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row>
    <row r="714">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row>
    <row r="71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row>
    <row r="716">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row>
    <row r="717">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row>
    <row r="718">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row>
    <row r="719">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row>
    <row r="720">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row>
    <row r="72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row>
    <row r="722">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row>
    <row r="723">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row>
    <row r="724">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row>
    <row r="72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row>
    <row r="726">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row>
    <row r="727">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row>
    <row r="728">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row>
    <row r="729">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row>
    <row r="730">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row>
    <row r="73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row>
    <row r="732">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row>
    <row r="733">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row>
    <row r="734">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row>
    <row r="73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row>
    <row r="736">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row>
    <row r="737">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row>
    <row r="738">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row>
    <row r="739">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row>
    <row r="740">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row>
    <row r="74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row>
    <row r="742">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row>
    <row r="743">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row>
    <row r="744">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row>
    <row r="74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row>
    <row r="746">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row>
    <row r="747">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row>
    <row r="748">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row>
    <row r="749">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row>
    <row r="750">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row>
    <row r="75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row>
    <row r="752">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row>
    <row r="753">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row>
    <row r="754">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row>
    <row r="75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row>
    <row r="756">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row>
    <row r="757">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row>
    <row r="758">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row>
    <row r="759">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row>
    <row r="760">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row>
    <row r="76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row>
    <row r="762">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row>
    <row r="763">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row>
    <row r="764">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row>
    <row r="76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row>
    <row r="766">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row>
    <row r="767">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row>
    <row r="768">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row>
    <row r="769">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row>
    <row r="770">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row>
    <row r="77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row>
    <row r="772">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row>
    <row r="773">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row>
    <row r="774">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row>
    <row r="7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row>
    <row r="776">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row>
    <row r="777">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row>
    <row r="778">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row>
    <row r="779">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row>
    <row r="780">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row>
    <row r="78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row>
    <row r="782">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row>
    <row r="783">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row>
    <row r="784">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row>
    <row r="78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row>
    <row r="786">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row>
    <row r="787">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row>
    <row r="788">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row>
    <row r="789">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row>
    <row r="790">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row>
    <row r="79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row>
    <row r="792">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row>
    <row r="793">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row>
    <row r="794">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row>
    <row r="79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row>
    <row r="796">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row>
    <row r="797">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row>
    <row r="798">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row>
    <row r="799">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row>
    <row r="800">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row>
    <row r="80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row>
    <row r="802">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row>
    <row r="803">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row>
    <row r="804">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row>
    <row r="80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row>
    <row r="806">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row>
    <row r="807">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row>
    <row r="808">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row>
    <row r="809">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row>
    <row r="810">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row>
    <row r="81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row>
    <row r="812">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row>
    <row r="813">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row>
    <row r="814">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row>
    <row r="81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row>
    <row r="816">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row>
    <row r="817">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row>
    <row r="818">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row>
    <row r="819">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row>
    <row r="820">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row>
    <row r="82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row>
    <row r="822">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row>
    <row r="823">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row>
    <row r="824">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row>
    <row r="82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row>
    <row r="826">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row>
    <row r="827">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row>
    <row r="828">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row>
    <row r="829">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row>
    <row r="830">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row>
    <row r="83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row>
    <row r="832">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row>
    <row r="833">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row>
    <row r="834">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row>
    <row r="83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row>
    <row r="836">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row>
    <row r="837">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row>
    <row r="838">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row>
    <row r="839">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row>
    <row r="840">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row>
    <row r="84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row>
    <row r="842">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row>
    <row r="843">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row>
    <row r="844">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row>
    <row r="84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row>
    <row r="846">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row>
    <row r="847">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row>
    <row r="848">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row>
    <row r="849">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row>
    <row r="850">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row>
    <row r="85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row>
    <row r="852">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row>
    <row r="853">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row>
    <row r="854">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row>
    <row r="85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row>
    <row r="856">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row>
    <row r="857">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row>
    <row r="858">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row>
    <row r="859">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row>
    <row r="860">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row>
    <row r="86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row>
    <row r="862">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row>
    <row r="863">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row>
    <row r="864">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row>
    <row r="86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row>
    <row r="866">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row>
    <row r="867">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row>
    <row r="868">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row>
    <row r="869">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row>
    <row r="870">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row>
    <row r="87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row>
    <row r="872">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row>
    <row r="873">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row>
    <row r="874">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row>
    <row r="8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row>
    <row r="876">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row>
    <row r="877">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row>
    <row r="878">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row>
    <row r="879">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row>
    <row r="880">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row>
    <row r="88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row>
    <row r="882">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row>
    <row r="883">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row>
    <row r="884">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row>
    <row r="88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row>
    <row r="886">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row>
    <row r="887">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row>
    <row r="888">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row>
    <row r="889">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row>
    <row r="890">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row>
    <row r="89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row>
    <row r="892">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row>
    <row r="893">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row>
    <row r="894">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row>
    <row r="89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row>
    <row r="896">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row>
    <row r="897">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row>
    <row r="898">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row>
    <row r="899">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row>
    <row r="900">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row>
    <row r="90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row>
    <row r="902">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row>
    <row r="903">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row>
    <row r="904">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row>
    <row r="90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row>
    <row r="906">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row>
    <row r="907">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row>
    <row r="908">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row>
    <row r="909">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row>
    <row r="910">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row>
    <row r="91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row>
    <row r="912">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row>
    <row r="913">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row>
    <row r="914">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row>
    <row r="91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row>
    <row r="916">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row>
    <row r="917">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row>
    <row r="918">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row>
    <row r="919">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row>
    <row r="920">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row>
    <row r="92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row>
    <row r="922">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row>
    <row r="923">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row>
    <row r="924">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row>
    <row r="92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row>
    <row r="926">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row>
    <row r="927">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row>
    <row r="928">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row>
    <row r="929">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row>
    <row r="930">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row>
    <row r="93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row>
    <row r="932">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row>
    <row r="933">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row>
    <row r="934">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row>
    <row r="93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row>
    <row r="936">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row>
    <row r="937">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row>
    <row r="938">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row>
    <row r="939">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row>
    <row r="940">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row>
    <row r="94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row>
    <row r="942">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row>
    <row r="943">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row>
    <row r="944">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row>
    <row r="94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row>
    <row r="946">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row>
    <row r="947">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row>
    <row r="948">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row>
    <row r="949">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row>
    <row r="950">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row>
    <row r="95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row>
    <row r="952">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row>
    <row r="953">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row>
    <row r="954">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row>
    <row r="95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row>
    <row r="956">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row>
    <row r="957">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row>
    <row r="958">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row>
    <row r="959">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row>
    <row r="960">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row>
    <row r="96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row>
    <row r="962">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row>
    <row r="963">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row>
    <row r="964">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row>
    <row r="96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row>
    <row r="966">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row>
    <row r="967">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row>
    <row r="968">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row>
    <row r="969">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row>
    <row r="970">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row>
    <row r="97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row>
    <row r="972">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row>
    <row r="973">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row>
    <row r="974">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row>
    <row r="9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row>
    <row r="976">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row>
    <row r="977">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row>
    <row r="978">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row>
    <row r="979">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row>
    <row r="980">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row>
    <row r="98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row>
    <row r="982">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row>
    <row r="983">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row>
    <row r="984">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row>
    <row r="98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row>
    <row r="986">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row>
    <row r="987">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row>
    <row r="988">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row>
    <row r="989">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row>
    <row r="990">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row>
    <row r="99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row>
    <row r="992">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row>
    <row r="993">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row>
    <row r="994">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row>
    <row r="99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row>
    <row r="996">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row>
    <row r="997">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row>
    <row r="998">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row>
    <row r="999">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row>
    <row r="1000">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row>
    <row r="1001">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c r="AA1001" s="95"/>
    </row>
    <row r="1002">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c r="AA1002" s="95"/>
    </row>
    <row r="1003">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c r="AA1003" s="95"/>
    </row>
    <row r="1004">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row>
    <row r="100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row>
    <row r="1006">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row>
  </sheetData>
  <hyperlinks>
    <hyperlink r:id="rId1" ref="D5"/>
    <hyperlink r:id="rId2" ref="D6"/>
    <hyperlink r:id="rId3" ref="E13"/>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63"/>
    <col customWidth="1" min="2" max="2" width="12.63"/>
    <col customWidth="1" min="3" max="3" width="13.0"/>
    <col customWidth="1" min="4" max="4" width="7.25"/>
    <col customWidth="1" min="5" max="5" width="14.75"/>
    <col customWidth="1" min="6" max="6" width="17.88"/>
    <col customWidth="1" min="7" max="7" width="19.25"/>
    <col customWidth="1" min="8" max="10" width="19.75"/>
    <col customWidth="1" min="11" max="11" width="20.38"/>
  </cols>
  <sheetData>
    <row r="1">
      <c r="A1" s="101" t="s">
        <v>2861</v>
      </c>
      <c r="B1" s="76"/>
      <c r="C1" s="76"/>
      <c r="D1" s="76"/>
      <c r="E1" s="76"/>
      <c r="F1" s="76"/>
      <c r="G1" s="76"/>
      <c r="H1" s="102"/>
      <c r="I1" s="102"/>
      <c r="J1" s="75"/>
      <c r="K1" s="75"/>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row>
    <row r="2">
      <c r="A2" s="104" t="s">
        <v>2862</v>
      </c>
      <c r="B2" s="105" t="s">
        <v>2863</v>
      </c>
      <c r="C2" s="105" t="s">
        <v>2864</v>
      </c>
      <c r="D2" s="105" t="s">
        <v>2865</v>
      </c>
      <c r="E2" s="105" t="s">
        <v>2866</v>
      </c>
      <c r="F2" s="105" t="s">
        <v>2867</v>
      </c>
      <c r="G2" s="105" t="s">
        <v>2868</v>
      </c>
      <c r="H2" s="106" t="s">
        <v>2869</v>
      </c>
      <c r="I2" s="106" t="s">
        <v>2870</v>
      </c>
      <c r="J2" s="104" t="s">
        <v>2871</v>
      </c>
      <c r="K2" s="104" t="s">
        <v>2872</v>
      </c>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row>
    <row r="3">
      <c r="A3" s="107" t="s">
        <v>2873</v>
      </c>
      <c r="B3" s="108">
        <v>1224.0</v>
      </c>
      <c r="C3" s="108">
        <v>15605.0</v>
      </c>
      <c r="D3" s="108">
        <v>0.0</v>
      </c>
      <c r="E3" s="108">
        <v>0.0</v>
      </c>
      <c r="F3" s="108">
        <v>4.93477344E9</v>
      </c>
      <c r="G3" s="108">
        <v>7.888183296E9</v>
      </c>
      <c r="H3" s="109">
        <f t="shared" ref="H3:I3" si="1">F3/1024/1024/1024</f>
        <v>4.595865905</v>
      </c>
      <c r="I3" s="109">
        <f t="shared" si="1"/>
        <v>7.346443176</v>
      </c>
      <c r="J3" s="110">
        <v>0.0</v>
      </c>
      <c r="K3" s="107"/>
      <c r="L3" s="103"/>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c r="BM3" s="111"/>
      <c r="BN3" s="111"/>
      <c r="BO3" s="111"/>
      <c r="BP3" s="111"/>
      <c r="BQ3" s="111"/>
      <c r="BR3" s="111"/>
      <c r="BS3" s="111"/>
      <c r="BT3" s="111"/>
      <c r="BU3" s="111"/>
      <c r="BV3" s="111"/>
      <c r="BW3" s="111"/>
      <c r="BX3" s="111"/>
      <c r="BY3" s="111"/>
      <c r="BZ3" s="111"/>
    </row>
    <row r="4">
      <c r="A4" s="107" t="s">
        <v>2874</v>
      </c>
      <c r="B4" s="108">
        <v>2.0</v>
      </c>
      <c r="C4" s="108">
        <v>0.0</v>
      </c>
      <c r="D4" s="108">
        <v>0.0</v>
      </c>
      <c r="E4" s="108">
        <v>0.0</v>
      </c>
      <c r="F4" s="108">
        <v>36.0</v>
      </c>
      <c r="G4" s="108">
        <v>65536.0</v>
      </c>
      <c r="H4" s="109">
        <f t="shared" ref="H4:I4" si="2">F4/1024/1024/1024</f>
        <v>0.00000003352761269</v>
      </c>
      <c r="I4" s="109">
        <f t="shared" si="2"/>
        <v>0.00006103515625</v>
      </c>
      <c r="J4" s="110">
        <v>0.0</v>
      </c>
      <c r="K4" s="107"/>
      <c r="L4" s="103"/>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1"/>
      <c r="BS4" s="111"/>
      <c r="BT4" s="111"/>
      <c r="BU4" s="111"/>
      <c r="BV4" s="111"/>
      <c r="BW4" s="111"/>
      <c r="BX4" s="111"/>
      <c r="BY4" s="111"/>
      <c r="BZ4" s="111"/>
    </row>
    <row r="5">
      <c r="A5" s="107" t="s">
        <v>2875</v>
      </c>
      <c r="B5" s="108">
        <v>53.0</v>
      </c>
      <c r="C5" s="108">
        <v>1172.0</v>
      </c>
      <c r="D5" s="108">
        <v>0.0</v>
      </c>
      <c r="E5" s="108">
        <v>0.0</v>
      </c>
      <c r="F5" s="108">
        <v>1.43836772E8</v>
      </c>
      <c r="G5" s="108">
        <v>2.24231424E8</v>
      </c>
      <c r="H5" s="109">
        <f t="shared" ref="H5:I5" si="3">F5/1024/1024/1024</f>
        <v>0.1339584328</v>
      </c>
      <c r="I5" s="109">
        <f t="shared" si="3"/>
        <v>0.2088317871</v>
      </c>
      <c r="J5" s="110">
        <v>0.0</v>
      </c>
      <c r="K5" s="107"/>
      <c r="L5" s="103"/>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c r="BY5" s="111"/>
      <c r="BZ5" s="111"/>
    </row>
    <row r="6">
      <c r="A6" s="107" t="s">
        <v>2876</v>
      </c>
      <c r="B6" s="108">
        <v>627.0</v>
      </c>
      <c r="C6" s="108">
        <v>12993.0</v>
      </c>
      <c r="D6" s="108">
        <v>0.0</v>
      </c>
      <c r="E6" s="108">
        <v>0.0</v>
      </c>
      <c r="F6" s="108">
        <v>3.042573828E9</v>
      </c>
      <c r="G6" s="108">
        <v>4.35130368E9</v>
      </c>
      <c r="H6" s="109">
        <f t="shared" ref="H6:I6" si="4">F6/1024/1024/1024</f>
        <v>2.833617691</v>
      </c>
      <c r="I6" s="109">
        <f t="shared" si="4"/>
        <v>4.052467346</v>
      </c>
      <c r="J6" s="110">
        <v>0.0</v>
      </c>
      <c r="K6" s="107"/>
      <c r="L6" s="103"/>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c r="BY6" s="111"/>
      <c r="BZ6" s="111"/>
    </row>
    <row r="7">
      <c r="A7" s="107" t="s">
        <v>2877</v>
      </c>
      <c r="B7" s="108">
        <v>6403.0</v>
      </c>
      <c r="C7" s="108">
        <v>42443.0</v>
      </c>
      <c r="D7" s="108">
        <v>0.0</v>
      </c>
      <c r="E7" s="108">
        <v>0.0</v>
      </c>
      <c r="F7" s="108">
        <v>7.0262668267E10</v>
      </c>
      <c r="G7" s="108">
        <v>8.9255993344E10</v>
      </c>
      <c r="H7" s="109">
        <f t="shared" ref="H7:I7" si="5">F7/1024/1024/1024</f>
        <v>65.43720911</v>
      </c>
      <c r="I7" s="109">
        <f t="shared" si="5"/>
        <v>83.12612152</v>
      </c>
      <c r="J7" s="110">
        <v>0.0</v>
      </c>
      <c r="K7" s="107"/>
      <c r="L7" s="103"/>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c r="BY7" s="111"/>
      <c r="BZ7" s="111"/>
    </row>
    <row r="8">
      <c r="A8" s="107" t="s">
        <v>2878</v>
      </c>
      <c r="B8" s="108">
        <v>33.0</v>
      </c>
      <c r="C8" s="108">
        <v>75.0</v>
      </c>
      <c r="D8" s="108">
        <v>0.0</v>
      </c>
      <c r="E8" s="108">
        <v>0.0</v>
      </c>
      <c r="F8" s="108">
        <v>9.2466329E7</v>
      </c>
      <c r="G8" s="108">
        <v>1.18595584E8</v>
      </c>
      <c r="H8" s="109">
        <f t="shared" ref="H8:I8" si="6">F8/1024/1024/1024</f>
        <v>0.08611597959</v>
      </c>
      <c r="I8" s="109">
        <f t="shared" si="6"/>
        <v>0.1104507446</v>
      </c>
      <c r="J8" s="110">
        <v>0.0</v>
      </c>
      <c r="K8" s="107"/>
      <c r="L8" s="103"/>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row>
    <row r="9">
      <c r="A9" s="107" t="s">
        <v>2879</v>
      </c>
      <c r="B9" s="108">
        <v>80.0</v>
      </c>
      <c r="C9" s="108">
        <v>252.0</v>
      </c>
      <c r="D9" s="108">
        <v>0.0</v>
      </c>
      <c r="E9" s="108">
        <v>0.0</v>
      </c>
      <c r="F9" s="108">
        <v>2.3108042E8</v>
      </c>
      <c r="G9" s="108">
        <v>3.12426496E8</v>
      </c>
      <c r="H9" s="109">
        <f t="shared" ref="H9:I9" si="7">F9/1024/1024/1024</f>
        <v>0.2152104117</v>
      </c>
      <c r="I9" s="109">
        <f t="shared" si="7"/>
        <v>0.2909698486</v>
      </c>
      <c r="J9" s="110">
        <v>0.0</v>
      </c>
      <c r="K9" s="107"/>
      <c r="L9" s="103"/>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row>
    <row r="10">
      <c r="A10" s="107" t="s">
        <v>2880</v>
      </c>
      <c r="B10" s="108">
        <v>8.0</v>
      </c>
      <c r="C10" s="108">
        <v>0.0</v>
      </c>
      <c r="D10" s="108">
        <v>0.0</v>
      </c>
      <c r="E10" s="108">
        <v>0.0</v>
      </c>
      <c r="F10" s="108">
        <v>217.0</v>
      </c>
      <c r="G10" s="108">
        <v>262144.0</v>
      </c>
      <c r="H10" s="109">
        <f t="shared" ref="H10:I10" si="8">F10/1024/1024/1024</f>
        <v>0.0000002020969987</v>
      </c>
      <c r="I10" s="109">
        <f t="shared" si="8"/>
        <v>0.000244140625</v>
      </c>
      <c r="J10" s="110">
        <v>0.0</v>
      </c>
      <c r="K10" s="107"/>
      <c r="L10" s="103"/>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row>
    <row r="11">
      <c r="A11" s="107" t="s">
        <v>2881</v>
      </c>
      <c r="B11" s="108">
        <v>1035.0</v>
      </c>
      <c r="C11" s="108">
        <v>3969.0</v>
      </c>
      <c r="D11" s="108">
        <v>0.0</v>
      </c>
      <c r="E11" s="108">
        <v>0.0</v>
      </c>
      <c r="F11" s="108">
        <v>1.318614495E9</v>
      </c>
      <c r="G11" s="108">
        <v>2.334416896E9</v>
      </c>
      <c r="H11" s="109">
        <f t="shared" ref="H11:I11" si="9">F11/1024/1024/1024</f>
        <v>1.228055446</v>
      </c>
      <c r="I11" s="109">
        <f t="shared" si="9"/>
        <v>2.174095154</v>
      </c>
      <c r="J11" s="110">
        <v>0.0</v>
      </c>
      <c r="K11" s="107"/>
      <c r="L11" s="103"/>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c r="BY11" s="111"/>
      <c r="BZ11" s="111"/>
    </row>
    <row r="12">
      <c r="A12" s="107" t="s">
        <v>2882</v>
      </c>
      <c r="B12" s="108">
        <v>4.0</v>
      </c>
      <c r="C12" s="108">
        <v>0.0</v>
      </c>
      <c r="D12" s="108">
        <v>0.0</v>
      </c>
      <c r="E12" s="108">
        <v>0.0</v>
      </c>
      <c r="F12" s="108">
        <v>88.0</v>
      </c>
      <c r="G12" s="108">
        <v>131072.0</v>
      </c>
      <c r="H12" s="109">
        <f t="shared" ref="H12:I12" si="10">F12/1024/1024/1024</f>
        <v>0.00000008195638657</v>
      </c>
      <c r="I12" s="109">
        <f t="shared" si="10"/>
        <v>0.0001220703125</v>
      </c>
      <c r="J12" s="110">
        <v>0.0</v>
      </c>
      <c r="K12" s="107"/>
      <c r="L12" s="103"/>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c r="BY12" s="111"/>
      <c r="BZ12" s="111"/>
    </row>
    <row r="13">
      <c r="A13" s="107" t="s">
        <v>2883</v>
      </c>
      <c r="B13" s="108">
        <v>4.0</v>
      </c>
      <c r="C13" s="108">
        <v>0.0</v>
      </c>
      <c r="D13" s="108">
        <v>0.0</v>
      </c>
      <c r="E13" s="108">
        <v>0.0</v>
      </c>
      <c r="F13" s="108">
        <v>86.0</v>
      </c>
      <c r="G13" s="108">
        <v>131072.0</v>
      </c>
      <c r="H13" s="109">
        <f t="shared" ref="H13:I13" si="11">F13/1024/1024/1024</f>
        <v>0.00000008009374142</v>
      </c>
      <c r="I13" s="109">
        <f t="shared" si="11"/>
        <v>0.0001220703125</v>
      </c>
      <c r="J13" s="110">
        <v>0.0</v>
      </c>
      <c r="K13" s="107"/>
      <c r="L13" s="103"/>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111"/>
      <c r="BU13" s="111"/>
      <c r="BV13" s="111"/>
      <c r="BW13" s="111"/>
      <c r="BX13" s="111"/>
      <c r="BY13" s="111"/>
      <c r="BZ13" s="111"/>
    </row>
    <row r="14">
      <c r="A14" s="107" t="s">
        <v>2884</v>
      </c>
      <c r="B14" s="108">
        <v>4.0</v>
      </c>
      <c r="C14" s="108">
        <v>0.0</v>
      </c>
      <c r="D14" s="108">
        <v>0.0</v>
      </c>
      <c r="E14" s="108">
        <v>0.0</v>
      </c>
      <c r="F14" s="108">
        <v>90.0</v>
      </c>
      <c r="G14" s="108">
        <v>131072.0</v>
      </c>
      <c r="H14" s="109">
        <f t="shared" ref="H14:I14" si="12">F14/1024/1024/1024</f>
        <v>0.00000008381903172</v>
      </c>
      <c r="I14" s="109">
        <f t="shared" si="12"/>
        <v>0.0001220703125</v>
      </c>
      <c r="J14" s="110">
        <v>0.0</v>
      </c>
      <c r="K14" s="107"/>
      <c r="L14" s="103"/>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c r="BY14" s="111"/>
      <c r="BZ14" s="111"/>
    </row>
    <row r="15">
      <c r="A15" s="107" t="s">
        <v>2885</v>
      </c>
      <c r="B15" s="108">
        <v>7.0</v>
      </c>
      <c r="C15" s="108">
        <v>0.0</v>
      </c>
      <c r="D15" s="108">
        <v>0.0</v>
      </c>
      <c r="E15" s="108">
        <v>0.0</v>
      </c>
      <c r="F15" s="108">
        <v>213.0</v>
      </c>
      <c r="G15" s="108">
        <v>229376.0</v>
      </c>
      <c r="H15" s="109">
        <f t="shared" ref="H15:I15" si="13">F15/1024/1024/1024</f>
        <v>0.0000001983717084</v>
      </c>
      <c r="I15" s="109">
        <f t="shared" si="13"/>
        <v>0.0002136230469</v>
      </c>
      <c r="J15" s="110">
        <v>0.0</v>
      </c>
      <c r="K15" s="107"/>
      <c r="L15" s="103"/>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c r="BY15" s="111"/>
      <c r="BZ15" s="111"/>
    </row>
    <row r="16">
      <c r="A16" s="107" t="s">
        <v>2886</v>
      </c>
      <c r="B16" s="108">
        <v>4.0</v>
      </c>
      <c r="C16" s="108">
        <v>0.0</v>
      </c>
      <c r="D16" s="108">
        <v>0.0</v>
      </c>
      <c r="E16" s="108">
        <v>0.0</v>
      </c>
      <c r="F16" s="108">
        <v>106.0</v>
      </c>
      <c r="G16" s="108">
        <v>131072.0</v>
      </c>
      <c r="H16" s="109">
        <f t="shared" ref="H16:I16" si="14">F16/1024/1024/1024</f>
        <v>0.00000009872019291</v>
      </c>
      <c r="I16" s="109">
        <f t="shared" si="14"/>
        <v>0.0001220703125</v>
      </c>
      <c r="J16" s="110">
        <v>0.0</v>
      </c>
      <c r="K16" s="107"/>
      <c r="L16" s="103"/>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c r="BY16" s="111"/>
      <c r="BZ16" s="111"/>
    </row>
    <row r="17">
      <c r="A17" s="107" t="s">
        <v>2887</v>
      </c>
      <c r="B17" s="108">
        <v>2.0</v>
      </c>
      <c r="C17" s="108">
        <v>0.0</v>
      </c>
      <c r="D17" s="108">
        <v>0.0</v>
      </c>
      <c r="E17" s="108">
        <v>0.0</v>
      </c>
      <c r="F17" s="108">
        <v>27.0</v>
      </c>
      <c r="G17" s="108">
        <v>65536.0</v>
      </c>
      <c r="H17" s="109">
        <f t="shared" ref="H17:I17" si="15">F17/1024/1024/1024</f>
        <v>0.00000002514570951</v>
      </c>
      <c r="I17" s="109">
        <f t="shared" si="15"/>
        <v>0.00006103515625</v>
      </c>
      <c r="J17" s="110">
        <v>0.0</v>
      </c>
      <c r="K17" s="107"/>
      <c r="L17" s="103"/>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c r="BZ17" s="111"/>
    </row>
    <row r="18">
      <c r="A18" s="107" t="s">
        <v>2888</v>
      </c>
      <c r="B18" s="108">
        <v>2.0</v>
      </c>
      <c r="C18" s="108">
        <v>0.0</v>
      </c>
      <c r="D18" s="108">
        <v>0.0</v>
      </c>
      <c r="E18" s="108">
        <v>0.0</v>
      </c>
      <c r="F18" s="108">
        <v>27.0</v>
      </c>
      <c r="G18" s="108">
        <v>65536.0</v>
      </c>
      <c r="H18" s="109">
        <f t="shared" ref="H18:I18" si="16">F18/1024/1024/1024</f>
        <v>0.00000002514570951</v>
      </c>
      <c r="I18" s="109">
        <f t="shared" si="16"/>
        <v>0.00006103515625</v>
      </c>
      <c r="J18" s="110">
        <v>0.0</v>
      </c>
      <c r="K18" s="107"/>
      <c r="L18" s="103"/>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c r="BY18" s="111"/>
      <c r="BZ18" s="111"/>
    </row>
    <row r="19">
      <c r="A19" s="107" t="s">
        <v>2889</v>
      </c>
      <c r="B19" s="108">
        <v>10.0</v>
      </c>
      <c r="C19" s="108">
        <v>0.0</v>
      </c>
      <c r="D19" s="108">
        <v>0.0</v>
      </c>
      <c r="E19" s="108">
        <v>0.0</v>
      </c>
      <c r="F19" s="108">
        <v>288.0</v>
      </c>
      <c r="G19" s="108">
        <v>327680.0</v>
      </c>
      <c r="H19" s="109">
        <f t="shared" ref="H19:I19" si="17">F19/1024/1024/1024</f>
        <v>0.0000002682209015</v>
      </c>
      <c r="I19" s="109">
        <f t="shared" si="17"/>
        <v>0.0003051757813</v>
      </c>
      <c r="J19" s="110">
        <v>0.0</v>
      </c>
      <c r="K19" s="107"/>
      <c r="L19" s="103"/>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row>
    <row r="20">
      <c r="A20" s="107" t="s">
        <v>2890</v>
      </c>
      <c r="B20" s="108">
        <v>9.0</v>
      </c>
      <c r="C20" s="108">
        <v>0.0</v>
      </c>
      <c r="D20" s="108">
        <v>0.0</v>
      </c>
      <c r="E20" s="108">
        <v>0.0</v>
      </c>
      <c r="F20" s="108">
        <v>276.0</v>
      </c>
      <c r="G20" s="108">
        <v>294912.0</v>
      </c>
      <c r="H20" s="109">
        <f t="shared" ref="H20:I20" si="18">F20/1024/1024/1024</f>
        <v>0.0000002570450306</v>
      </c>
      <c r="I20" s="109">
        <f t="shared" si="18"/>
        <v>0.0002746582031</v>
      </c>
      <c r="J20" s="110">
        <v>0.0</v>
      </c>
      <c r="K20" s="107"/>
      <c r="L20" s="103"/>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c r="BY20" s="111"/>
      <c r="BZ20" s="111"/>
    </row>
    <row r="21">
      <c r="A21" s="107" t="s">
        <v>2891</v>
      </c>
      <c r="B21" s="108">
        <v>6.0</v>
      </c>
      <c r="C21" s="108">
        <v>0.0</v>
      </c>
      <c r="D21" s="108">
        <v>0.0</v>
      </c>
      <c r="E21" s="108">
        <v>0.0</v>
      </c>
      <c r="F21" s="108">
        <v>151.0</v>
      </c>
      <c r="G21" s="108">
        <v>196608.0</v>
      </c>
      <c r="H21" s="109">
        <f t="shared" ref="H21:I21" si="19">F21/1024/1024/1024</f>
        <v>0.0000001406297088</v>
      </c>
      <c r="I21" s="109">
        <f t="shared" si="19"/>
        <v>0.0001831054688</v>
      </c>
      <c r="J21" s="110">
        <v>0.0</v>
      </c>
      <c r="K21" s="107"/>
      <c r="L21" s="103"/>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c r="BY21" s="111"/>
      <c r="BZ21" s="111"/>
    </row>
    <row r="22">
      <c r="A22" s="107" t="s">
        <v>2892</v>
      </c>
      <c r="B22" s="108">
        <v>2.0</v>
      </c>
      <c r="C22" s="108">
        <v>0.0</v>
      </c>
      <c r="D22" s="108">
        <v>0.0</v>
      </c>
      <c r="E22" s="108">
        <v>0.0</v>
      </c>
      <c r="F22" s="108">
        <v>27.0</v>
      </c>
      <c r="G22" s="108">
        <v>65536.0</v>
      </c>
      <c r="H22" s="109">
        <f t="shared" ref="H22:I22" si="20">F22/1024/1024/1024</f>
        <v>0.00000002514570951</v>
      </c>
      <c r="I22" s="109">
        <f t="shared" si="20"/>
        <v>0.00006103515625</v>
      </c>
      <c r="J22" s="110">
        <v>0.0</v>
      </c>
      <c r="K22" s="107"/>
      <c r="L22" s="103"/>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row>
    <row r="23">
      <c r="A23" s="107" t="s">
        <v>2893</v>
      </c>
      <c r="B23" s="108">
        <v>4342.0</v>
      </c>
      <c r="C23" s="108">
        <v>26544.0</v>
      </c>
      <c r="D23" s="108">
        <v>0.0</v>
      </c>
      <c r="E23" s="108">
        <v>0.0</v>
      </c>
      <c r="F23" s="108">
        <v>2.5876260947E10</v>
      </c>
      <c r="G23" s="108">
        <v>3.4672173056E10</v>
      </c>
      <c r="H23" s="109">
        <f t="shared" ref="H23:I23" si="21">F23/1024/1024/1024</f>
        <v>24.09914597</v>
      </c>
      <c r="I23" s="109">
        <f t="shared" si="21"/>
        <v>32.29097748</v>
      </c>
      <c r="J23" s="110">
        <v>0.0</v>
      </c>
      <c r="K23" s="107"/>
      <c r="L23" s="103"/>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row>
    <row r="24">
      <c r="A24" s="107" t="s">
        <v>2894</v>
      </c>
      <c r="B24" s="108">
        <v>13.0</v>
      </c>
      <c r="C24" s="108">
        <v>0.0</v>
      </c>
      <c r="D24" s="108">
        <v>0.0</v>
      </c>
      <c r="E24" s="108">
        <v>0.0</v>
      </c>
      <c r="F24" s="108">
        <v>372.0</v>
      </c>
      <c r="G24" s="108">
        <v>425984.0</v>
      </c>
      <c r="H24" s="109">
        <f t="shared" ref="H24:I24" si="22">F24/1024/1024/1024</f>
        <v>0.0000003464519978</v>
      </c>
      <c r="I24" s="109">
        <f t="shared" si="22"/>
        <v>0.0003967285156</v>
      </c>
      <c r="J24" s="110">
        <v>0.0</v>
      </c>
      <c r="K24" s="107"/>
      <c r="L24" s="103"/>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row>
    <row r="25">
      <c r="A25" s="107" t="s">
        <v>2895</v>
      </c>
      <c r="B25" s="108">
        <v>2.0</v>
      </c>
      <c r="C25" s="108">
        <v>0.0</v>
      </c>
      <c r="D25" s="108">
        <v>0.0</v>
      </c>
      <c r="E25" s="108">
        <v>0.0</v>
      </c>
      <c r="F25" s="108">
        <v>27.0</v>
      </c>
      <c r="G25" s="108">
        <v>65536.0</v>
      </c>
      <c r="H25" s="109">
        <f t="shared" ref="H25:I25" si="23">F25/1024/1024/1024</f>
        <v>0.00000002514570951</v>
      </c>
      <c r="I25" s="109">
        <f t="shared" si="23"/>
        <v>0.00006103515625</v>
      </c>
      <c r="J25" s="110">
        <v>0.0</v>
      </c>
      <c r="K25" s="107"/>
      <c r="L25" s="103"/>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c r="BY25" s="111"/>
      <c r="BZ25" s="111"/>
    </row>
    <row r="26">
      <c r="A26" s="107" t="s">
        <v>2896</v>
      </c>
      <c r="B26" s="108">
        <v>6.0</v>
      </c>
      <c r="C26" s="108">
        <v>0.0</v>
      </c>
      <c r="D26" s="108">
        <v>0.0</v>
      </c>
      <c r="E26" s="108">
        <v>0.0</v>
      </c>
      <c r="F26" s="108">
        <v>148.0</v>
      </c>
      <c r="G26" s="108">
        <v>196608.0</v>
      </c>
      <c r="H26" s="109">
        <f t="shared" ref="H26:I26" si="24">F26/1024/1024/1024</f>
        <v>0.000000137835741</v>
      </c>
      <c r="I26" s="109">
        <f t="shared" si="24"/>
        <v>0.0001831054688</v>
      </c>
      <c r="J26" s="110">
        <v>0.0</v>
      </c>
      <c r="K26" s="107"/>
      <c r="L26" s="103"/>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c r="BY26" s="111"/>
      <c r="BZ26" s="111"/>
    </row>
    <row r="27">
      <c r="A27" s="107" t="s">
        <v>2897</v>
      </c>
      <c r="B27" s="108">
        <v>1.0</v>
      </c>
      <c r="C27" s="108">
        <v>1.0</v>
      </c>
      <c r="D27" s="108">
        <v>0.0</v>
      </c>
      <c r="E27" s="108">
        <v>0.0</v>
      </c>
      <c r="F27" s="108">
        <v>6175.0</v>
      </c>
      <c r="G27" s="108">
        <v>57344.0</v>
      </c>
      <c r="H27" s="109">
        <f t="shared" ref="H27:I27" si="25">F27/1024/1024/1024</f>
        <v>0.000005750916898</v>
      </c>
      <c r="I27" s="109">
        <f t="shared" si="25"/>
        <v>0.00005340576172</v>
      </c>
      <c r="J27" s="110">
        <v>0.0</v>
      </c>
      <c r="K27" s="107"/>
      <c r="L27" s="103"/>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row>
    <row r="28">
      <c r="A28" s="107" t="s">
        <v>2898</v>
      </c>
      <c r="B28" s="108">
        <v>27456.0</v>
      </c>
      <c r="C28" s="108">
        <v>273316.0</v>
      </c>
      <c r="D28" s="108">
        <v>0.0</v>
      </c>
      <c r="E28" s="108">
        <v>0.0</v>
      </c>
      <c r="F28" s="108">
        <v>8.9120031287E10</v>
      </c>
      <c r="G28" s="108">
        <v>1.31343663104E11</v>
      </c>
      <c r="H28" s="109">
        <f t="shared" ref="H28:I28" si="26">F28/1024/1024/1024</f>
        <v>82.99949699</v>
      </c>
      <c r="I28" s="109">
        <f t="shared" si="26"/>
        <v>122.3233185</v>
      </c>
      <c r="J28" s="110">
        <v>0.0</v>
      </c>
      <c r="K28" s="107"/>
      <c r="L28" s="103"/>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c r="BY28" s="111"/>
      <c r="BZ28" s="111"/>
    </row>
    <row r="29">
      <c r="A29" s="107" t="s">
        <v>2899</v>
      </c>
      <c r="B29" s="108">
        <v>9690.0</v>
      </c>
      <c r="C29" s="108">
        <v>72649.0</v>
      </c>
      <c r="D29" s="108">
        <v>0.0</v>
      </c>
      <c r="E29" s="108">
        <v>0.0</v>
      </c>
      <c r="F29" s="108">
        <v>8.7118064642E10</v>
      </c>
      <c r="G29" s="108">
        <v>1.11750561792E11</v>
      </c>
      <c r="H29" s="109">
        <f t="shared" ref="H29:I29" si="27">F29/1024/1024/1024</f>
        <v>81.13502026</v>
      </c>
      <c r="I29" s="109">
        <f t="shared" si="27"/>
        <v>104.0758209</v>
      </c>
      <c r="J29" s="110">
        <v>0.0</v>
      </c>
      <c r="K29" s="107"/>
      <c r="L29" s="103"/>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c r="BY29" s="111"/>
      <c r="BZ29" s="111"/>
    </row>
    <row r="30">
      <c r="A30" s="107" t="s">
        <v>2900</v>
      </c>
      <c r="B30" s="108">
        <v>4.0</v>
      </c>
      <c r="C30" s="108">
        <v>28.0</v>
      </c>
      <c r="D30" s="108">
        <v>0.0</v>
      </c>
      <c r="E30" s="108">
        <v>0.0</v>
      </c>
      <c r="F30" s="108">
        <v>4.1306186E7</v>
      </c>
      <c r="G30" s="108">
        <v>5.1929088E7</v>
      </c>
      <c r="H30" s="109">
        <f t="shared" ref="H30:I30" si="28">F30/1024/1024/1024</f>
        <v>0.03846938349</v>
      </c>
      <c r="I30" s="109">
        <f t="shared" si="28"/>
        <v>0.04836273193</v>
      </c>
      <c r="J30" s="110">
        <v>0.0</v>
      </c>
      <c r="K30" s="107"/>
      <c r="L30" s="103"/>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c r="BY30" s="111"/>
      <c r="BZ30" s="111"/>
    </row>
    <row r="31">
      <c r="A31" s="107" t="s">
        <v>2901</v>
      </c>
      <c r="B31" s="108">
        <v>654.0</v>
      </c>
      <c r="C31" s="108">
        <v>11265.0</v>
      </c>
      <c r="D31" s="108">
        <v>0.0</v>
      </c>
      <c r="E31" s="108">
        <v>0.0</v>
      </c>
      <c r="F31" s="108">
        <v>1.537017163E9</v>
      </c>
      <c r="G31" s="108">
        <v>2.503426048E9</v>
      </c>
      <c r="H31" s="109">
        <f t="shared" ref="H31:I31" si="29">F31/1024/1024/1024</f>
        <v>1.431458781</v>
      </c>
      <c r="I31" s="109">
        <f t="shared" si="29"/>
        <v>2.331497192</v>
      </c>
      <c r="J31" s="110">
        <v>0.0</v>
      </c>
      <c r="K31" s="107"/>
      <c r="L31" s="103"/>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c r="BY31" s="111"/>
      <c r="BZ31" s="111"/>
    </row>
    <row r="32">
      <c r="A32" s="107" t="s">
        <v>2902</v>
      </c>
      <c r="B32" s="108">
        <v>1974.0</v>
      </c>
      <c r="C32" s="108">
        <v>9989.0</v>
      </c>
      <c r="D32" s="108">
        <v>0.0</v>
      </c>
      <c r="E32" s="108">
        <v>0.0</v>
      </c>
      <c r="F32" s="108">
        <v>1.2993414855E10</v>
      </c>
      <c r="G32" s="108">
        <v>1.7167204352E10</v>
      </c>
      <c r="H32" s="109">
        <f t="shared" ref="H32:I32" si="30">F32/1024/1024/1024</f>
        <v>12.10106058</v>
      </c>
      <c r="I32" s="109">
        <f t="shared" si="30"/>
        <v>15.98820496</v>
      </c>
      <c r="J32" s="110">
        <v>0.0</v>
      </c>
      <c r="K32" s="107"/>
      <c r="L32" s="103"/>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c r="BY32" s="111"/>
      <c r="BZ32" s="111"/>
    </row>
    <row r="33">
      <c r="A33" s="107" t="s">
        <v>2903</v>
      </c>
      <c r="B33" s="108">
        <v>6.0</v>
      </c>
      <c r="C33" s="108">
        <v>0.0</v>
      </c>
      <c r="D33" s="108">
        <v>0.0</v>
      </c>
      <c r="E33" s="108">
        <v>0.0</v>
      </c>
      <c r="F33" s="108">
        <v>164.0</v>
      </c>
      <c r="G33" s="108">
        <v>196608.0</v>
      </c>
      <c r="H33" s="109">
        <f t="shared" ref="H33:I33" si="31">F33/1024/1024/1024</f>
        <v>0.0000001527369022</v>
      </c>
      <c r="I33" s="109">
        <f t="shared" si="31"/>
        <v>0.0001831054688</v>
      </c>
      <c r="J33" s="110">
        <v>0.0</v>
      </c>
      <c r="K33" s="107"/>
      <c r="L33" s="103"/>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1"/>
    </row>
    <row r="34">
      <c r="A34" s="107" t="s">
        <v>2904</v>
      </c>
      <c r="B34" s="108">
        <v>81.0</v>
      </c>
      <c r="C34" s="108">
        <v>0.0</v>
      </c>
      <c r="D34" s="108">
        <v>0.0</v>
      </c>
      <c r="E34" s="108">
        <v>0.0</v>
      </c>
      <c r="F34" s="108">
        <v>2799.0</v>
      </c>
      <c r="G34" s="108">
        <v>2654208.0</v>
      </c>
      <c r="H34" s="109">
        <f t="shared" ref="H34:I34" si="32">F34/1024/1024/1024</f>
        <v>0.000002606771886</v>
      </c>
      <c r="I34" s="109">
        <f t="shared" si="32"/>
        <v>0.002471923828</v>
      </c>
      <c r="J34" s="110">
        <v>0.0</v>
      </c>
      <c r="K34" s="107"/>
      <c r="L34" s="103"/>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1"/>
    </row>
    <row r="35">
      <c r="A35" s="107" t="s">
        <v>2905</v>
      </c>
      <c r="B35" s="108">
        <v>21644.0</v>
      </c>
      <c r="C35" s="108">
        <v>99138.0</v>
      </c>
      <c r="D35" s="108">
        <v>0.0</v>
      </c>
      <c r="E35" s="108">
        <v>0.0</v>
      </c>
      <c r="F35" s="108">
        <v>1.75468628075E11</v>
      </c>
      <c r="G35" s="108">
        <v>2.24691019776E11</v>
      </c>
      <c r="H35" s="109">
        <f t="shared" ref="H35:I35" si="33">F35/1024/1024/1024</f>
        <v>163.4178945</v>
      </c>
      <c r="I35" s="109">
        <f t="shared" si="33"/>
        <v>209.259819</v>
      </c>
      <c r="J35" s="110">
        <v>0.0</v>
      </c>
      <c r="K35" s="107"/>
      <c r="L35" s="103"/>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c r="BY35" s="111"/>
      <c r="BZ35" s="111"/>
    </row>
    <row r="36">
      <c r="A36" s="107" t="s">
        <v>2906</v>
      </c>
      <c r="B36" s="108">
        <v>19.0</v>
      </c>
      <c r="C36" s="108">
        <v>0.0</v>
      </c>
      <c r="D36" s="108">
        <v>0.0</v>
      </c>
      <c r="E36" s="108">
        <v>0.0</v>
      </c>
      <c r="F36" s="108">
        <v>584.0</v>
      </c>
      <c r="G36" s="108">
        <v>622592.0</v>
      </c>
      <c r="H36" s="109">
        <f t="shared" ref="H36:I36" si="34">F36/1024/1024/1024</f>
        <v>0.0000005438923836</v>
      </c>
      <c r="I36" s="109">
        <f t="shared" si="34"/>
        <v>0.0005798339844</v>
      </c>
      <c r="J36" s="110">
        <v>0.0</v>
      </c>
      <c r="K36" s="107"/>
      <c r="L36" s="103"/>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c r="BY36" s="111"/>
      <c r="BZ36" s="111"/>
    </row>
    <row r="37">
      <c r="A37" s="107" t="s">
        <v>2907</v>
      </c>
      <c r="B37" s="108">
        <v>10.0</v>
      </c>
      <c r="C37" s="108">
        <v>1.0</v>
      </c>
      <c r="D37" s="108">
        <v>0.0</v>
      </c>
      <c r="E37" s="108">
        <v>0.0</v>
      </c>
      <c r="F37" s="108">
        <v>343640.0</v>
      </c>
      <c r="G37" s="108">
        <v>958464.0</v>
      </c>
      <c r="H37" s="109">
        <f t="shared" ref="H37:I37" si="35">F37/1024/1024/1024</f>
        <v>0.0003200396895</v>
      </c>
      <c r="I37" s="109">
        <f t="shared" si="35"/>
        <v>0.0008926391602</v>
      </c>
      <c r="J37" s="110">
        <v>0.0</v>
      </c>
      <c r="K37" s="107"/>
      <c r="L37" s="103"/>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c r="BY37" s="111"/>
      <c r="BZ37" s="111"/>
    </row>
    <row r="38">
      <c r="A38" s="107" t="s">
        <v>2908</v>
      </c>
      <c r="B38" s="108">
        <v>3.0</v>
      </c>
      <c r="C38" s="108">
        <v>0.0</v>
      </c>
      <c r="D38" s="108">
        <v>0.0</v>
      </c>
      <c r="E38" s="108">
        <v>0.0</v>
      </c>
      <c r="F38" s="108">
        <v>77.0</v>
      </c>
      <c r="G38" s="108">
        <v>98304.0</v>
      </c>
      <c r="H38" s="109">
        <f t="shared" ref="H38:I38" si="36">F38/1024/1024/1024</f>
        <v>0.00000007171183825</v>
      </c>
      <c r="I38" s="109">
        <f t="shared" si="36"/>
        <v>0.00009155273438</v>
      </c>
      <c r="J38" s="110">
        <v>0.0</v>
      </c>
      <c r="K38" s="107"/>
      <c r="L38" s="103"/>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c r="BY38" s="111"/>
      <c r="BZ38" s="111"/>
    </row>
    <row r="39">
      <c r="A39" s="107" t="s">
        <v>2909</v>
      </c>
      <c r="B39" s="108">
        <v>31.0</v>
      </c>
      <c r="C39" s="108">
        <v>1.0</v>
      </c>
      <c r="D39" s="108">
        <v>0.0</v>
      </c>
      <c r="E39" s="108">
        <v>0.0</v>
      </c>
      <c r="F39" s="108">
        <v>7227.0</v>
      </c>
      <c r="G39" s="108">
        <v>1040384.0</v>
      </c>
      <c r="H39" s="109">
        <f t="shared" ref="H39:I39" si="37">F39/1024/1024/1024</f>
        <v>0.000006730668247</v>
      </c>
      <c r="I39" s="109">
        <f t="shared" si="37"/>
        <v>0.0009689331055</v>
      </c>
      <c r="J39" s="110">
        <v>0.0</v>
      </c>
      <c r="K39" s="107"/>
      <c r="L39" s="103"/>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c r="BY39" s="111"/>
      <c r="BZ39" s="111"/>
    </row>
    <row r="40">
      <c r="A40" s="107" t="s">
        <v>2910</v>
      </c>
      <c r="B40" s="108">
        <v>8.0</v>
      </c>
      <c r="C40" s="108">
        <v>0.0</v>
      </c>
      <c r="D40" s="108">
        <v>0.0</v>
      </c>
      <c r="E40" s="108">
        <v>0.0</v>
      </c>
      <c r="F40" s="108">
        <v>216.0</v>
      </c>
      <c r="G40" s="108">
        <v>262144.0</v>
      </c>
      <c r="H40" s="109">
        <f t="shared" ref="H40:I40" si="38">F40/1024/1024/1024</f>
        <v>0.0000002011656761</v>
      </c>
      <c r="I40" s="109">
        <f t="shared" si="38"/>
        <v>0.000244140625</v>
      </c>
      <c r="J40" s="110">
        <v>0.0</v>
      </c>
      <c r="K40" s="107"/>
      <c r="L40" s="103"/>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c r="BY40" s="111"/>
      <c r="BZ40" s="111"/>
    </row>
    <row r="41">
      <c r="A41" s="107" t="s">
        <v>2911</v>
      </c>
      <c r="B41" s="108">
        <v>49.0</v>
      </c>
      <c r="C41" s="108">
        <v>0.0</v>
      </c>
      <c r="D41" s="108">
        <v>0.0</v>
      </c>
      <c r="E41" s="108">
        <v>0.0</v>
      </c>
      <c r="F41" s="108">
        <v>1670.0</v>
      </c>
      <c r="G41" s="108">
        <v>1605632.0</v>
      </c>
      <c r="H41" s="109">
        <f t="shared" ref="H41:I41" si="39">F41/1024/1024/1024</f>
        <v>0.0000015553087</v>
      </c>
      <c r="I41" s="109">
        <f t="shared" si="39"/>
        <v>0.001495361328</v>
      </c>
      <c r="J41" s="110">
        <v>0.0</v>
      </c>
      <c r="K41" s="107"/>
      <c r="L41" s="103"/>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row>
    <row r="42">
      <c r="A42" s="107" t="s">
        <v>2912</v>
      </c>
      <c r="B42" s="108">
        <v>8.0</v>
      </c>
      <c r="C42" s="108">
        <v>0.0</v>
      </c>
      <c r="D42" s="108">
        <v>0.0</v>
      </c>
      <c r="E42" s="108">
        <v>0.0</v>
      </c>
      <c r="F42" s="108">
        <v>310.0</v>
      </c>
      <c r="G42" s="108">
        <v>262144.0</v>
      </c>
      <c r="H42" s="109">
        <f t="shared" ref="H42:I42" si="40">F42/1024/1024/1024</f>
        <v>0.0000002887099981</v>
      </c>
      <c r="I42" s="109">
        <f t="shared" si="40"/>
        <v>0.000244140625</v>
      </c>
      <c r="J42" s="110">
        <v>0.0</v>
      </c>
      <c r="K42" s="107"/>
      <c r="L42" s="103"/>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row>
    <row r="43">
      <c r="A43" s="107" t="s">
        <v>2913</v>
      </c>
      <c r="B43" s="108">
        <v>16.0</v>
      </c>
      <c r="C43" s="108">
        <v>0.0</v>
      </c>
      <c r="D43" s="108">
        <v>0.0</v>
      </c>
      <c r="E43" s="108">
        <v>0.0</v>
      </c>
      <c r="F43" s="108">
        <v>475.0</v>
      </c>
      <c r="G43" s="108">
        <v>524288.0</v>
      </c>
      <c r="H43" s="109">
        <f t="shared" ref="H43:I43" si="41">F43/1024/1024/1024</f>
        <v>0.0000004423782229</v>
      </c>
      <c r="I43" s="109">
        <f t="shared" si="41"/>
        <v>0.00048828125</v>
      </c>
      <c r="J43" s="110">
        <v>0.0</v>
      </c>
      <c r="K43" s="107"/>
      <c r="L43" s="103"/>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row>
    <row r="44">
      <c r="A44" s="107" t="s">
        <v>2914</v>
      </c>
      <c r="B44" s="108">
        <v>32.0</v>
      </c>
      <c r="C44" s="108">
        <v>4.0</v>
      </c>
      <c r="D44" s="108">
        <v>0.0</v>
      </c>
      <c r="E44" s="108">
        <v>0.0</v>
      </c>
      <c r="F44" s="108">
        <v>33636.0</v>
      </c>
      <c r="G44" s="108">
        <v>1220608.0</v>
      </c>
      <c r="H44" s="109">
        <f t="shared" ref="H44:I44" si="42">F44/1024/1024/1024</f>
        <v>0.00003132596612</v>
      </c>
      <c r="I44" s="109">
        <f t="shared" si="42"/>
        <v>0.001136779785</v>
      </c>
      <c r="J44" s="110">
        <v>0.0</v>
      </c>
      <c r="K44" s="107"/>
      <c r="L44" s="103"/>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row>
    <row r="45">
      <c r="A45" s="107" t="s">
        <v>2915</v>
      </c>
      <c r="B45" s="108">
        <v>36.0</v>
      </c>
      <c r="C45" s="108">
        <v>1.0</v>
      </c>
      <c r="D45" s="108">
        <v>0.0</v>
      </c>
      <c r="E45" s="108">
        <v>0.0</v>
      </c>
      <c r="F45" s="108">
        <v>9361.0</v>
      </c>
      <c r="G45" s="108">
        <v>1253376.0</v>
      </c>
      <c r="H45" s="109">
        <f t="shared" ref="H45:I45" si="43">F45/1024/1024/1024</f>
        <v>0.000008718110621</v>
      </c>
      <c r="I45" s="109">
        <f t="shared" si="43"/>
        <v>0.001167297363</v>
      </c>
      <c r="J45" s="110">
        <v>0.0</v>
      </c>
      <c r="K45" s="107"/>
      <c r="L45" s="103"/>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row>
    <row r="46">
      <c r="A46" s="107" t="s">
        <v>2916</v>
      </c>
      <c r="B46" s="108">
        <v>1976.0</v>
      </c>
      <c r="C46" s="108">
        <v>33543.0</v>
      </c>
      <c r="D46" s="108">
        <v>0.0</v>
      </c>
      <c r="E46" s="108">
        <v>0.0</v>
      </c>
      <c r="F46" s="108">
        <v>6.4848252791E10</v>
      </c>
      <c r="G46" s="108">
        <v>8.1736982528E10</v>
      </c>
      <c r="H46" s="109">
        <f t="shared" ref="H46:I46" si="44">F46/1024/1024/1024</f>
        <v>60.39464175</v>
      </c>
      <c r="I46" s="109">
        <f t="shared" si="44"/>
        <v>76.12349701</v>
      </c>
      <c r="J46" s="110">
        <v>0.0</v>
      </c>
      <c r="K46" s="107"/>
      <c r="L46" s="103"/>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row>
    <row r="47">
      <c r="A47" s="107" t="s">
        <v>2917</v>
      </c>
      <c r="B47" s="108">
        <v>1.0</v>
      </c>
      <c r="C47" s="108">
        <v>0.0</v>
      </c>
      <c r="D47" s="108">
        <v>0.0</v>
      </c>
      <c r="E47" s="108">
        <v>0.0</v>
      </c>
      <c r="F47" s="108">
        <v>0.0</v>
      </c>
      <c r="G47" s="108">
        <v>32768.0</v>
      </c>
      <c r="H47" s="109">
        <f t="shared" ref="H47:I47" si="45">F47/1024/1024/1024</f>
        <v>0</v>
      </c>
      <c r="I47" s="109">
        <f t="shared" si="45"/>
        <v>0.00003051757813</v>
      </c>
      <c r="J47" s="110">
        <v>0.0</v>
      </c>
      <c r="K47" s="107"/>
      <c r="L47" s="103"/>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row>
    <row r="48">
      <c r="A48" s="107" t="s">
        <v>2918</v>
      </c>
      <c r="B48" s="108">
        <v>1839.0</v>
      </c>
      <c r="C48" s="108">
        <v>115323.0</v>
      </c>
      <c r="D48" s="108">
        <v>0.0</v>
      </c>
      <c r="E48" s="108">
        <v>0.0</v>
      </c>
      <c r="F48" s="108">
        <v>3.82568284991E11</v>
      </c>
      <c r="G48" s="108">
        <v>4.65398775808E11</v>
      </c>
      <c r="H48" s="109">
        <f t="shared" ref="H48:I48" si="46">F48/1024/1024/1024</f>
        <v>356.2944801</v>
      </c>
      <c r="I48" s="109">
        <f t="shared" si="46"/>
        <v>433.4363861</v>
      </c>
      <c r="J48" s="110">
        <v>0.0</v>
      </c>
      <c r="K48" s="107"/>
      <c r="L48" s="103"/>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row>
    <row r="49">
      <c r="A49" s="107" t="s">
        <v>2919</v>
      </c>
      <c r="B49" s="108">
        <v>12.0</v>
      </c>
      <c r="C49" s="108">
        <v>0.0</v>
      </c>
      <c r="D49" s="108">
        <v>0.0</v>
      </c>
      <c r="E49" s="108">
        <v>0.0</v>
      </c>
      <c r="F49" s="108">
        <v>432.0</v>
      </c>
      <c r="G49" s="108">
        <v>393216.0</v>
      </c>
      <c r="H49" s="109">
        <f t="shared" ref="H49:I49" si="47">F49/1024/1024/1024</f>
        <v>0.0000004023313522</v>
      </c>
      <c r="I49" s="109">
        <f t="shared" si="47"/>
        <v>0.0003662109375</v>
      </c>
      <c r="J49" s="110">
        <v>0.0</v>
      </c>
      <c r="K49" s="107"/>
      <c r="L49" s="103"/>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11"/>
      <c r="BU49" s="111"/>
      <c r="BV49" s="111"/>
      <c r="BW49" s="111"/>
      <c r="BX49" s="111"/>
      <c r="BY49" s="111"/>
      <c r="BZ49" s="111"/>
    </row>
    <row r="50">
      <c r="A50" s="107" t="s">
        <v>2920</v>
      </c>
      <c r="B50" s="108">
        <v>1.0</v>
      </c>
      <c r="C50" s="108">
        <v>0.0</v>
      </c>
      <c r="D50" s="108">
        <v>0.0</v>
      </c>
      <c r="E50" s="108">
        <v>0.0</v>
      </c>
      <c r="F50" s="108">
        <v>0.0</v>
      </c>
      <c r="G50" s="108">
        <v>32768.0</v>
      </c>
      <c r="H50" s="109">
        <f t="shared" ref="H50:I50" si="48">F50/1024/1024/1024</f>
        <v>0</v>
      </c>
      <c r="I50" s="109">
        <f t="shared" si="48"/>
        <v>0.00003051757813</v>
      </c>
      <c r="J50" s="110">
        <v>0.0</v>
      </c>
      <c r="K50" s="107"/>
      <c r="L50" s="103"/>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11"/>
      <c r="BU50" s="111"/>
      <c r="BV50" s="111"/>
      <c r="BW50" s="111"/>
      <c r="BX50" s="111"/>
      <c r="BY50" s="111"/>
      <c r="BZ50" s="111"/>
    </row>
    <row r="51">
      <c r="A51" s="107" t="s">
        <v>2921</v>
      </c>
      <c r="B51" s="108">
        <v>3.0</v>
      </c>
      <c r="C51" s="108">
        <v>1.0</v>
      </c>
      <c r="D51" s="108">
        <v>0.0</v>
      </c>
      <c r="E51" s="108">
        <v>0.0</v>
      </c>
      <c r="F51" s="108">
        <v>6238.0</v>
      </c>
      <c r="G51" s="108">
        <v>122880.0</v>
      </c>
      <c r="H51" s="109">
        <f t="shared" ref="H51:I51" si="49">F51/1024/1024/1024</f>
        <v>0.00000580959022</v>
      </c>
      <c r="I51" s="109">
        <f t="shared" si="49"/>
        <v>0.000114440918</v>
      </c>
      <c r="J51" s="110">
        <v>0.0</v>
      </c>
      <c r="K51" s="107"/>
      <c r="L51" s="103"/>
      <c r="N51" s="111"/>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1"/>
      <c r="BP51" s="111"/>
      <c r="BQ51" s="111"/>
      <c r="BR51" s="111"/>
      <c r="BS51" s="111"/>
      <c r="BT51" s="111"/>
      <c r="BU51" s="111"/>
      <c r="BV51" s="111"/>
      <c r="BW51" s="111"/>
      <c r="BX51" s="111"/>
      <c r="BY51" s="111"/>
      <c r="BZ51" s="111"/>
    </row>
    <row r="52">
      <c r="A52" s="107" t="s">
        <v>2922</v>
      </c>
      <c r="B52" s="108">
        <v>431.0</v>
      </c>
      <c r="C52" s="108">
        <v>9738.0</v>
      </c>
      <c r="D52" s="108">
        <v>0.0</v>
      </c>
      <c r="E52" s="108">
        <v>0.0</v>
      </c>
      <c r="F52" s="108">
        <v>2.3434026922E10</v>
      </c>
      <c r="G52" s="108">
        <v>2.9835010048E10</v>
      </c>
      <c r="H52" s="109">
        <f t="shared" ref="H52:I52" si="50">F52/1024/1024/1024</f>
        <v>21.82463829</v>
      </c>
      <c r="I52" s="109">
        <f t="shared" si="50"/>
        <v>27.78601837</v>
      </c>
      <c r="J52" s="110">
        <v>0.0</v>
      </c>
      <c r="K52" s="107"/>
      <c r="L52" s="103"/>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1"/>
      <c r="BP52" s="111"/>
      <c r="BQ52" s="111"/>
      <c r="BR52" s="111"/>
      <c r="BS52" s="111"/>
      <c r="BT52" s="111"/>
      <c r="BU52" s="111"/>
      <c r="BV52" s="111"/>
      <c r="BW52" s="111"/>
      <c r="BX52" s="111"/>
      <c r="BY52" s="111"/>
      <c r="BZ52" s="111"/>
    </row>
    <row r="53">
      <c r="A53" s="107" t="s">
        <v>2923</v>
      </c>
      <c r="B53" s="108">
        <v>50.0</v>
      </c>
      <c r="C53" s="108">
        <v>44.0</v>
      </c>
      <c r="D53" s="108">
        <v>0.0</v>
      </c>
      <c r="E53" s="108">
        <v>0.0</v>
      </c>
      <c r="F53" s="108">
        <v>9443393.0</v>
      </c>
      <c r="G53" s="108">
        <v>1.8317312E7</v>
      </c>
      <c r="H53" s="109">
        <f t="shared" ref="H53:I53" si="51">F53/1024/1024/1024</f>
        <v>0.008794845082</v>
      </c>
      <c r="I53" s="109">
        <f t="shared" si="51"/>
        <v>0.01705932617</v>
      </c>
      <c r="J53" s="110">
        <v>0.0</v>
      </c>
      <c r="K53" s="107"/>
      <c r="L53" s="103"/>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row>
    <row r="54">
      <c r="A54" s="107" t="s">
        <v>2924</v>
      </c>
      <c r="B54" s="108">
        <v>1.0</v>
      </c>
      <c r="C54" s="108">
        <v>0.0</v>
      </c>
      <c r="D54" s="108">
        <v>0.0</v>
      </c>
      <c r="E54" s="108">
        <v>0.0</v>
      </c>
      <c r="F54" s="108">
        <v>0.0</v>
      </c>
      <c r="G54" s="108">
        <v>32768.0</v>
      </c>
      <c r="H54" s="109">
        <f t="shared" ref="H54:I54" si="52">F54/1024/1024/1024</f>
        <v>0</v>
      </c>
      <c r="I54" s="109">
        <f t="shared" si="52"/>
        <v>0.00003051757813</v>
      </c>
      <c r="J54" s="110">
        <v>0.0</v>
      </c>
      <c r="K54" s="107"/>
      <c r="L54" s="103"/>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c r="BY54" s="111"/>
      <c r="BZ54" s="111"/>
    </row>
    <row r="55">
      <c r="A55" s="107" t="s">
        <v>2925</v>
      </c>
      <c r="B55" s="108">
        <v>19.0</v>
      </c>
      <c r="C55" s="108">
        <v>0.0</v>
      </c>
      <c r="D55" s="108">
        <v>0.0</v>
      </c>
      <c r="E55" s="108">
        <v>0.0</v>
      </c>
      <c r="F55" s="108">
        <v>632.0</v>
      </c>
      <c r="G55" s="108">
        <v>622592.0</v>
      </c>
      <c r="H55" s="109">
        <f t="shared" ref="H55:I55" si="53">F55/1024/1024/1024</f>
        <v>0.0000005885958672</v>
      </c>
      <c r="I55" s="109">
        <f t="shared" si="53"/>
        <v>0.0005798339844</v>
      </c>
      <c r="J55" s="110">
        <v>0.0</v>
      </c>
      <c r="K55" s="107"/>
      <c r="L55" s="103"/>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c r="BY55" s="111"/>
      <c r="BZ55" s="111"/>
    </row>
    <row r="56">
      <c r="A56" s="107" t="s">
        <v>2926</v>
      </c>
      <c r="B56" s="108">
        <v>1.0</v>
      </c>
      <c r="C56" s="108">
        <v>0.0</v>
      </c>
      <c r="D56" s="108">
        <v>0.0</v>
      </c>
      <c r="E56" s="108">
        <v>0.0</v>
      </c>
      <c r="F56" s="108">
        <v>0.0</v>
      </c>
      <c r="G56" s="108">
        <v>32768.0</v>
      </c>
      <c r="H56" s="109">
        <f t="shared" ref="H56:I56" si="54">F56/1024/1024/1024</f>
        <v>0</v>
      </c>
      <c r="I56" s="109">
        <f t="shared" si="54"/>
        <v>0.00003051757813</v>
      </c>
      <c r="J56" s="110">
        <v>0.0</v>
      </c>
      <c r="K56" s="107"/>
      <c r="L56" s="103"/>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row>
    <row r="57">
      <c r="A57" s="107" t="s">
        <v>2927</v>
      </c>
      <c r="B57" s="108">
        <v>5782.0</v>
      </c>
      <c r="C57" s="108">
        <v>97346.0</v>
      </c>
      <c r="D57" s="108">
        <v>0.0</v>
      </c>
      <c r="E57" s="108">
        <v>0.0</v>
      </c>
      <c r="F57" s="108">
        <v>3.58687650658E11</v>
      </c>
      <c r="G57" s="108">
        <v>4.43556724736E11</v>
      </c>
      <c r="H57" s="109">
        <f t="shared" ref="H57:I57" si="55">F57/1024/1024/1024</f>
        <v>334.0539063</v>
      </c>
      <c r="I57" s="109">
        <f t="shared" si="55"/>
        <v>413.0943909</v>
      </c>
      <c r="J57" s="110">
        <v>0.0</v>
      </c>
      <c r="K57" s="107"/>
      <c r="L57" s="103"/>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row>
    <row r="58">
      <c r="A58" s="107" t="s">
        <v>2928</v>
      </c>
      <c r="B58" s="108">
        <v>2331.0</v>
      </c>
      <c r="C58" s="108">
        <v>11946.0</v>
      </c>
      <c r="D58" s="108">
        <v>0.0</v>
      </c>
      <c r="E58" s="108">
        <v>0.0</v>
      </c>
      <c r="F58" s="108">
        <v>2.9590011509E11</v>
      </c>
      <c r="G58" s="108">
        <v>3.57312684032E11</v>
      </c>
      <c r="H58" s="109">
        <f t="shared" ref="H58:I58" si="56">F58/1024/1024/1024</f>
        <v>275.578457</v>
      </c>
      <c r="I58" s="109">
        <f t="shared" si="56"/>
        <v>332.7733688</v>
      </c>
      <c r="J58" s="110">
        <v>0.0</v>
      </c>
      <c r="K58" s="107"/>
      <c r="L58" s="103"/>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c r="BY58" s="111"/>
      <c r="BZ58" s="111"/>
    </row>
    <row r="59">
      <c r="A59" s="107" t="s">
        <v>2929</v>
      </c>
      <c r="B59" s="108">
        <v>22.0</v>
      </c>
      <c r="C59" s="108">
        <v>0.0</v>
      </c>
      <c r="D59" s="108">
        <v>0.0</v>
      </c>
      <c r="E59" s="108">
        <v>0.0</v>
      </c>
      <c r="F59" s="108">
        <v>761.0</v>
      </c>
      <c r="G59" s="108">
        <v>720896.0</v>
      </c>
      <c r="H59" s="109">
        <f t="shared" ref="H59:I59" si="57">F59/1024/1024/1024</f>
        <v>0.0000007087364793</v>
      </c>
      <c r="I59" s="109">
        <f t="shared" si="57"/>
        <v>0.0006713867188</v>
      </c>
      <c r="J59" s="110">
        <v>0.0</v>
      </c>
      <c r="K59" s="107"/>
      <c r="L59" s="103"/>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c r="BY59" s="111"/>
      <c r="BZ59" s="111"/>
    </row>
    <row r="60">
      <c r="A60" s="107" t="s">
        <v>2930</v>
      </c>
      <c r="B60" s="108">
        <v>111.0</v>
      </c>
      <c r="C60" s="108">
        <v>6.0</v>
      </c>
      <c r="D60" s="108">
        <v>0.0</v>
      </c>
      <c r="E60" s="108">
        <v>0.0</v>
      </c>
      <c r="F60" s="108">
        <v>146760.0</v>
      </c>
      <c r="G60" s="108">
        <v>4276224.0</v>
      </c>
      <c r="H60" s="109">
        <f t="shared" ref="H60:I60" si="58">F60/1024/1024/1024</f>
        <v>0.0001366809011</v>
      </c>
      <c r="I60" s="109">
        <f t="shared" si="58"/>
        <v>0.003982543945</v>
      </c>
      <c r="J60" s="110">
        <v>0.0</v>
      </c>
      <c r="K60" s="107"/>
      <c r="L60" s="103"/>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c r="BY60" s="111"/>
      <c r="BZ60" s="111"/>
    </row>
    <row r="61">
      <c r="A61" s="107" t="s">
        <v>2931</v>
      </c>
      <c r="B61" s="108">
        <v>428.0</v>
      </c>
      <c r="C61" s="108">
        <v>1449.0</v>
      </c>
      <c r="D61" s="108">
        <v>0.0</v>
      </c>
      <c r="E61" s="108">
        <v>0.0</v>
      </c>
      <c r="F61" s="108">
        <v>8.361460113E9</v>
      </c>
      <c r="G61" s="108">
        <v>1.0214793216E10</v>
      </c>
      <c r="H61" s="109">
        <f t="shared" ref="H61:I61" si="59">F61/1024/1024/1024</f>
        <v>7.78721656</v>
      </c>
      <c r="I61" s="109">
        <f t="shared" si="59"/>
        <v>9.513267517</v>
      </c>
      <c r="J61" s="110">
        <v>0.0</v>
      </c>
      <c r="K61" s="107"/>
      <c r="L61" s="103"/>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c r="BY61" s="111"/>
      <c r="BZ61" s="111"/>
    </row>
    <row r="62">
      <c r="A62" s="107" t="s">
        <v>2932</v>
      </c>
      <c r="B62" s="108">
        <v>13.0</v>
      </c>
      <c r="C62" s="108">
        <v>0.0</v>
      </c>
      <c r="D62" s="108">
        <v>0.0</v>
      </c>
      <c r="E62" s="108">
        <v>0.0</v>
      </c>
      <c r="F62" s="108">
        <v>433.0</v>
      </c>
      <c r="G62" s="108">
        <v>425984.0</v>
      </c>
      <c r="H62" s="109">
        <f t="shared" ref="H62:I62" si="60">F62/1024/1024/1024</f>
        <v>0.0000004032626748</v>
      </c>
      <c r="I62" s="109">
        <f t="shared" si="60"/>
        <v>0.0003967285156</v>
      </c>
      <c r="J62" s="110">
        <v>0.0</v>
      </c>
      <c r="K62" s="107"/>
      <c r="L62" s="103"/>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c r="BY62" s="111"/>
      <c r="BZ62" s="111"/>
    </row>
    <row r="63">
      <c r="A63" s="107" t="s">
        <v>2933</v>
      </c>
      <c r="B63" s="108">
        <v>16.0</v>
      </c>
      <c r="C63" s="108">
        <v>0.0</v>
      </c>
      <c r="D63" s="108">
        <v>0.0</v>
      </c>
      <c r="E63" s="108">
        <v>0.0</v>
      </c>
      <c r="F63" s="108">
        <v>484.0</v>
      </c>
      <c r="G63" s="108">
        <v>524288.0</v>
      </c>
      <c r="H63" s="109">
        <f t="shared" ref="H63:I63" si="61">F63/1024/1024/1024</f>
        <v>0.0000004507601261</v>
      </c>
      <c r="I63" s="109">
        <f t="shared" si="61"/>
        <v>0.00048828125</v>
      </c>
      <c r="J63" s="110">
        <v>0.0</v>
      </c>
      <c r="K63" s="107"/>
      <c r="L63" s="103"/>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c r="BY63" s="111"/>
      <c r="BZ63" s="111"/>
    </row>
    <row r="64">
      <c r="A64" s="107" t="s">
        <v>2934</v>
      </c>
      <c r="B64" s="108">
        <v>61.0</v>
      </c>
      <c r="C64" s="108">
        <v>514.0</v>
      </c>
      <c r="D64" s="108">
        <v>0.0</v>
      </c>
      <c r="E64" s="108">
        <v>0.0</v>
      </c>
      <c r="F64" s="108">
        <v>2.8357576443E10</v>
      </c>
      <c r="G64" s="108">
        <v>3.4155675648E10</v>
      </c>
      <c r="H64" s="109">
        <f t="shared" ref="H64:I64" si="62">F64/1024/1024/1024</f>
        <v>26.4100511</v>
      </c>
      <c r="I64" s="109">
        <f t="shared" si="62"/>
        <v>31.80995178</v>
      </c>
      <c r="J64" s="110">
        <v>0.0</v>
      </c>
      <c r="K64" s="107"/>
      <c r="L64" s="103"/>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c r="BY64" s="111"/>
      <c r="BZ64" s="111"/>
    </row>
    <row r="65">
      <c r="A65" s="107" t="s">
        <v>2935</v>
      </c>
      <c r="B65" s="108">
        <v>34.0</v>
      </c>
      <c r="C65" s="108">
        <v>3.0</v>
      </c>
      <c r="D65" s="108">
        <v>0.0</v>
      </c>
      <c r="E65" s="108">
        <v>0.0</v>
      </c>
      <c r="F65" s="108">
        <v>19595.0</v>
      </c>
      <c r="G65" s="108">
        <v>1187840.0</v>
      </c>
      <c r="H65" s="109">
        <f t="shared" ref="H65:I65" si="63">F65/1024/1024/1024</f>
        <v>0.00001824926585</v>
      </c>
      <c r="I65" s="109">
        <f t="shared" si="63"/>
        <v>0.001106262207</v>
      </c>
      <c r="J65" s="110">
        <v>0.0</v>
      </c>
      <c r="K65" s="107"/>
      <c r="L65" s="103"/>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c r="BY65" s="111"/>
      <c r="BZ65" s="111"/>
    </row>
    <row r="66">
      <c r="A66" s="107" t="s">
        <v>2936</v>
      </c>
      <c r="B66" s="108">
        <v>4.0</v>
      </c>
      <c r="C66" s="108">
        <v>0.0</v>
      </c>
      <c r="D66" s="108">
        <v>0.0</v>
      </c>
      <c r="E66" s="108">
        <v>0.0</v>
      </c>
      <c r="F66" s="108">
        <v>100.0</v>
      </c>
      <c r="G66" s="108">
        <v>131072.0</v>
      </c>
      <c r="H66" s="109">
        <f t="shared" ref="H66:I66" si="64">F66/1024/1024/1024</f>
        <v>0.00000009313225746</v>
      </c>
      <c r="I66" s="109">
        <f t="shared" si="64"/>
        <v>0.0001220703125</v>
      </c>
      <c r="J66" s="110">
        <v>0.0</v>
      </c>
      <c r="K66" s="107"/>
      <c r="L66" s="103"/>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c r="BY66" s="111"/>
      <c r="BZ66" s="111"/>
    </row>
    <row r="67">
      <c r="A67" s="107" t="s">
        <v>2937</v>
      </c>
      <c r="B67" s="108">
        <v>6.0</v>
      </c>
      <c r="C67" s="108">
        <v>0.0</v>
      </c>
      <c r="D67" s="108">
        <v>0.0</v>
      </c>
      <c r="E67" s="108">
        <v>0.0</v>
      </c>
      <c r="F67" s="108">
        <v>178.0</v>
      </c>
      <c r="G67" s="108">
        <v>196608.0</v>
      </c>
      <c r="H67" s="109">
        <f t="shared" ref="H67:I67" si="65">F67/1024/1024/1024</f>
        <v>0.0000001657754183</v>
      </c>
      <c r="I67" s="109">
        <f t="shared" si="65"/>
        <v>0.0001831054688</v>
      </c>
      <c r="J67" s="110">
        <v>0.0</v>
      </c>
      <c r="K67" s="107"/>
      <c r="L67" s="103"/>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c r="BY67" s="111"/>
      <c r="BZ67" s="111"/>
    </row>
    <row r="68">
      <c r="A68" s="107" t="s">
        <v>2938</v>
      </c>
      <c r="B68" s="108">
        <v>47.0</v>
      </c>
      <c r="C68" s="108">
        <v>3.0</v>
      </c>
      <c r="D68" s="108">
        <v>0.0</v>
      </c>
      <c r="E68" s="108">
        <v>0.0</v>
      </c>
      <c r="F68" s="108">
        <v>24392.0</v>
      </c>
      <c r="G68" s="108">
        <v>1662976.0</v>
      </c>
      <c r="H68" s="109">
        <f t="shared" ref="H68:I68" si="66">F68/1024/1024/1024</f>
        <v>0.00002271682024</v>
      </c>
      <c r="I68" s="109">
        <f t="shared" si="66"/>
        <v>0.00154876709</v>
      </c>
      <c r="J68" s="110">
        <v>0.0</v>
      </c>
      <c r="K68" s="107"/>
      <c r="L68" s="103"/>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c r="BY68" s="111"/>
      <c r="BZ68" s="111"/>
    </row>
    <row r="69">
      <c r="A69" s="107" t="s">
        <v>2939</v>
      </c>
      <c r="B69" s="108">
        <v>5.0</v>
      </c>
      <c r="C69" s="108">
        <v>0.0</v>
      </c>
      <c r="D69" s="108">
        <v>0.0</v>
      </c>
      <c r="E69" s="108">
        <v>0.0</v>
      </c>
      <c r="F69" s="108">
        <v>125.0</v>
      </c>
      <c r="G69" s="108">
        <v>163840.0</v>
      </c>
      <c r="H69" s="109">
        <f t="shared" ref="H69:I69" si="67">F69/1024/1024/1024</f>
        <v>0.0000001164153218</v>
      </c>
      <c r="I69" s="109">
        <f t="shared" si="67"/>
        <v>0.0001525878906</v>
      </c>
      <c r="J69" s="110">
        <v>0.0</v>
      </c>
      <c r="K69" s="107"/>
      <c r="L69" s="103"/>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c r="BY69" s="111"/>
      <c r="BZ69" s="111"/>
    </row>
    <row r="70">
      <c r="A70" s="107" t="s">
        <v>2940</v>
      </c>
      <c r="B70" s="108">
        <v>1.0</v>
      </c>
      <c r="C70" s="108">
        <v>0.0</v>
      </c>
      <c r="D70" s="108">
        <v>0.0</v>
      </c>
      <c r="E70" s="108">
        <v>0.0</v>
      </c>
      <c r="F70" s="108">
        <v>0.0</v>
      </c>
      <c r="G70" s="108">
        <v>32768.0</v>
      </c>
      <c r="H70" s="109">
        <f t="shared" ref="H70:I70" si="68">F70/1024/1024/1024</f>
        <v>0</v>
      </c>
      <c r="I70" s="109">
        <f t="shared" si="68"/>
        <v>0.00003051757813</v>
      </c>
      <c r="J70" s="110">
        <v>0.0</v>
      </c>
      <c r="K70" s="107"/>
      <c r="L70" s="103"/>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c r="BY70" s="111"/>
      <c r="BZ70" s="111"/>
    </row>
    <row r="71">
      <c r="A71" s="107" t="s">
        <v>2941</v>
      </c>
      <c r="B71" s="108">
        <v>4.0</v>
      </c>
      <c r="C71" s="108">
        <v>0.0</v>
      </c>
      <c r="D71" s="108">
        <v>0.0</v>
      </c>
      <c r="E71" s="108">
        <v>0.0</v>
      </c>
      <c r="F71" s="108">
        <v>86.0</v>
      </c>
      <c r="G71" s="108">
        <v>131072.0</v>
      </c>
      <c r="H71" s="109">
        <f t="shared" ref="H71:I71" si="69">F71/1024/1024/1024</f>
        <v>0.00000008009374142</v>
      </c>
      <c r="I71" s="109">
        <f t="shared" si="69"/>
        <v>0.0001220703125</v>
      </c>
      <c r="J71" s="110">
        <v>0.0</v>
      </c>
      <c r="K71" s="107"/>
      <c r="L71" s="103"/>
      <c r="M71" s="103"/>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c r="BY71" s="111"/>
      <c r="BZ71" s="111"/>
    </row>
    <row r="72">
      <c r="A72" s="107" t="s">
        <v>2942</v>
      </c>
      <c r="B72" s="108">
        <v>3.0</v>
      </c>
      <c r="C72" s="108">
        <v>0.0</v>
      </c>
      <c r="D72" s="108">
        <v>0.0</v>
      </c>
      <c r="E72" s="108">
        <v>0.0</v>
      </c>
      <c r="F72" s="108">
        <v>61.0</v>
      </c>
      <c r="G72" s="108">
        <v>98304.0</v>
      </c>
      <c r="H72" s="109">
        <f t="shared" ref="H72:I72" si="70">F72/1024/1024/1024</f>
        <v>0.00000005681067705</v>
      </c>
      <c r="I72" s="109">
        <f t="shared" si="70"/>
        <v>0.00009155273438</v>
      </c>
      <c r="J72" s="110">
        <v>0.0</v>
      </c>
      <c r="K72" s="107"/>
      <c r="L72" s="103"/>
      <c r="M72" s="103"/>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c r="BY72" s="111"/>
      <c r="BZ72" s="111"/>
    </row>
    <row r="73">
      <c r="A73" s="107" t="s">
        <v>2943</v>
      </c>
      <c r="B73" s="108">
        <v>3.0</v>
      </c>
      <c r="C73" s="108">
        <v>0.0</v>
      </c>
      <c r="D73" s="108">
        <v>0.0</v>
      </c>
      <c r="E73" s="108">
        <v>0.0</v>
      </c>
      <c r="F73" s="108">
        <v>61.0</v>
      </c>
      <c r="G73" s="108">
        <v>98304.0</v>
      </c>
      <c r="H73" s="109">
        <f t="shared" ref="H73:I73" si="71">F73/1024/1024/1024</f>
        <v>0.00000005681067705</v>
      </c>
      <c r="I73" s="109">
        <f t="shared" si="71"/>
        <v>0.00009155273438</v>
      </c>
      <c r="J73" s="110">
        <v>0.0</v>
      </c>
      <c r="K73" s="107"/>
      <c r="L73" s="103"/>
      <c r="M73" s="103"/>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c r="BY73" s="111"/>
      <c r="BZ73" s="111"/>
    </row>
    <row r="74">
      <c r="A74" s="107" t="s">
        <v>2944</v>
      </c>
      <c r="B74" s="108">
        <v>2.0</v>
      </c>
      <c r="C74" s="108">
        <v>0.0</v>
      </c>
      <c r="D74" s="108">
        <v>0.0</v>
      </c>
      <c r="E74" s="108">
        <v>0.0</v>
      </c>
      <c r="F74" s="108">
        <v>39.0</v>
      </c>
      <c r="G74" s="108">
        <v>65536.0</v>
      </c>
      <c r="H74" s="109">
        <f t="shared" ref="H74:I74" si="72">F74/1024/1024/1024</f>
        <v>0.00000003632158041</v>
      </c>
      <c r="I74" s="109">
        <f t="shared" si="72"/>
        <v>0.00006103515625</v>
      </c>
      <c r="J74" s="110">
        <v>0.0</v>
      </c>
      <c r="K74" s="107"/>
      <c r="L74" s="103"/>
      <c r="M74" s="103"/>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c r="BY74" s="111"/>
      <c r="BZ74" s="111"/>
    </row>
    <row r="75">
      <c r="A75" s="107" t="s">
        <v>2945</v>
      </c>
      <c r="B75" s="108">
        <v>4.0</v>
      </c>
      <c r="C75" s="108">
        <v>0.0</v>
      </c>
      <c r="D75" s="108">
        <v>0.0</v>
      </c>
      <c r="E75" s="108">
        <v>0.0</v>
      </c>
      <c r="F75" s="108">
        <v>94.0</v>
      </c>
      <c r="G75" s="108">
        <v>131072.0</v>
      </c>
      <c r="H75" s="109">
        <f t="shared" ref="H75:I75" si="73">F75/1024/1024/1024</f>
        <v>0.00000008754432201</v>
      </c>
      <c r="I75" s="109">
        <f t="shared" si="73"/>
        <v>0.0001220703125</v>
      </c>
      <c r="J75" s="110">
        <v>0.0</v>
      </c>
      <c r="K75" s="107"/>
      <c r="L75" s="103"/>
      <c r="M75" s="103"/>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c r="BY75" s="111"/>
      <c r="BZ75" s="111"/>
    </row>
    <row r="76">
      <c r="A76" s="107" t="s">
        <v>2946</v>
      </c>
      <c r="B76" s="108">
        <v>13.0</v>
      </c>
      <c r="C76" s="108">
        <v>0.0</v>
      </c>
      <c r="D76" s="108">
        <v>0.0</v>
      </c>
      <c r="E76" s="108">
        <v>0.0</v>
      </c>
      <c r="F76" s="108">
        <v>396.0</v>
      </c>
      <c r="G76" s="108">
        <v>425984.0</v>
      </c>
      <c r="H76" s="109">
        <f t="shared" ref="H76:I76" si="74">F76/1024/1024/1024</f>
        <v>0.0000003688037395</v>
      </c>
      <c r="I76" s="109">
        <f t="shared" si="74"/>
        <v>0.0003967285156</v>
      </c>
      <c r="J76" s="110">
        <v>0.0</v>
      </c>
      <c r="K76" s="107"/>
      <c r="L76" s="103"/>
      <c r="N76" s="103"/>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c r="BY76" s="111"/>
      <c r="BZ76" s="111"/>
    </row>
    <row r="77">
      <c r="A77" s="107" t="s">
        <v>2947</v>
      </c>
      <c r="B77" s="108">
        <v>11.0</v>
      </c>
      <c r="C77" s="108">
        <v>0.0</v>
      </c>
      <c r="D77" s="108">
        <v>0.0</v>
      </c>
      <c r="E77" s="108">
        <v>0.0</v>
      </c>
      <c r="F77" s="108">
        <v>285.0</v>
      </c>
      <c r="G77" s="108">
        <v>360448.0</v>
      </c>
      <c r="H77" s="109">
        <f t="shared" ref="H77:I77" si="75">F77/1024/1024/1024</f>
        <v>0.0000002654269338</v>
      </c>
      <c r="I77" s="109">
        <f t="shared" si="75"/>
        <v>0.0003356933594</v>
      </c>
      <c r="J77" s="110">
        <v>0.0</v>
      </c>
      <c r="K77" s="107"/>
      <c r="L77" s="103"/>
      <c r="N77" s="103"/>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c r="BY77" s="111"/>
      <c r="BZ77" s="111"/>
    </row>
    <row r="78">
      <c r="A78" s="107" t="s">
        <v>2948</v>
      </c>
      <c r="B78" s="108">
        <v>6.0</v>
      </c>
      <c r="C78" s="108">
        <v>0.0</v>
      </c>
      <c r="D78" s="108">
        <v>0.0</v>
      </c>
      <c r="E78" s="108">
        <v>0.0</v>
      </c>
      <c r="F78" s="108">
        <v>173.0</v>
      </c>
      <c r="G78" s="108">
        <v>196608.0</v>
      </c>
      <c r="H78" s="109">
        <f t="shared" ref="H78:I78" si="76">F78/1024/1024/1024</f>
        <v>0.0000001611188054</v>
      </c>
      <c r="I78" s="109">
        <f t="shared" si="76"/>
        <v>0.0001831054688</v>
      </c>
      <c r="J78" s="110">
        <v>0.0</v>
      </c>
      <c r="K78" s="107"/>
      <c r="L78" s="103"/>
      <c r="N78" s="103"/>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c r="BY78" s="111"/>
      <c r="BZ78" s="111"/>
    </row>
    <row r="79">
      <c r="A79" s="107" t="s">
        <v>2949</v>
      </c>
      <c r="B79" s="108">
        <v>4.0</v>
      </c>
      <c r="C79" s="108">
        <v>0.0</v>
      </c>
      <c r="D79" s="108">
        <v>0.0</v>
      </c>
      <c r="E79" s="108">
        <v>0.0</v>
      </c>
      <c r="F79" s="108">
        <v>109.0</v>
      </c>
      <c r="G79" s="108">
        <v>131072.0</v>
      </c>
      <c r="H79" s="109">
        <f t="shared" ref="H79:I79" si="77">F79/1024/1024/1024</f>
        <v>0.0000001015141606</v>
      </c>
      <c r="I79" s="109">
        <f t="shared" si="77"/>
        <v>0.0001220703125</v>
      </c>
      <c r="J79" s="110">
        <v>0.0</v>
      </c>
      <c r="K79" s="107"/>
      <c r="L79" s="103"/>
      <c r="N79" s="103"/>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c r="BY79" s="111"/>
      <c r="BZ79" s="111"/>
    </row>
    <row r="80">
      <c r="A80" s="107" t="s">
        <v>2950</v>
      </c>
      <c r="B80" s="108">
        <v>4.0</v>
      </c>
      <c r="C80" s="108">
        <v>0.0</v>
      </c>
      <c r="D80" s="108">
        <v>0.0</v>
      </c>
      <c r="E80" s="108">
        <v>0.0</v>
      </c>
      <c r="F80" s="108">
        <v>100.0</v>
      </c>
      <c r="G80" s="108">
        <v>131072.0</v>
      </c>
      <c r="H80" s="109">
        <f t="shared" ref="H80:I80" si="78">F80/1024/1024/1024</f>
        <v>0.00000009313225746</v>
      </c>
      <c r="I80" s="109">
        <f t="shared" si="78"/>
        <v>0.0001220703125</v>
      </c>
      <c r="J80" s="110">
        <v>0.0</v>
      </c>
      <c r="K80" s="107"/>
      <c r="L80" s="103"/>
      <c r="N80" s="111"/>
      <c r="O80" s="103"/>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c r="BY80" s="111"/>
      <c r="BZ80" s="111"/>
    </row>
    <row r="81">
      <c r="A81" s="107" t="s">
        <v>2951</v>
      </c>
      <c r="B81" s="108">
        <v>4.0</v>
      </c>
      <c r="C81" s="108">
        <v>0.0</v>
      </c>
      <c r="D81" s="108">
        <v>0.0</v>
      </c>
      <c r="E81" s="108">
        <v>0.0</v>
      </c>
      <c r="F81" s="108">
        <v>100.0</v>
      </c>
      <c r="G81" s="108">
        <v>131072.0</v>
      </c>
      <c r="H81" s="109">
        <f t="shared" ref="H81:I81" si="79">F81/1024/1024/1024</f>
        <v>0.00000009313225746</v>
      </c>
      <c r="I81" s="109">
        <f t="shared" si="79"/>
        <v>0.0001220703125</v>
      </c>
      <c r="J81" s="110">
        <v>0.0</v>
      </c>
      <c r="K81" s="107"/>
      <c r="L81" s="103"/>
      <c r="N81" s="111"/>
      <c r="O81" s="103"/>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c r="BY81" s="111"/>
      <c r="BZ81" s="111"/>
    </row>
    <row r="82">
      <c r="A82" s="107" t="s">
        <v>2952</v>
      </c>
      <c r="B82" s="108">
        <v>9.0</v>
      </c>
      <c r="C82" s="108">
        <v>0.0</v>
      </c>
      <c r="D82" s="108">
        <v>0.0</v>
      </c>
      <c r="E82" s="108">
        <v>0.0</v>
      </c>
      <c r="F82" s="108">
        <v>286.0</v>
      </c>
      <c r="G82" s="108">
        <v>294912.0</v>
      </c>
      <c r="H82" s="109">
        <f t="shared" ref="H82:I82" si="80">F82/1024/1024/1024</f>
        <v>0.0000002663582563</v>
      </c>
      <c r="I82" s="109">
        <f t="shared" si="80"/>
        <v>0.0002746582031</v>
      </c>
      <c r="J82" s="110">
        <v>0.0</v>
      </c>
      <c r="K82" s="107"/>
      <c r="L82" s="103"/>
      <c r="N82" s="111"/>
      <c r="O82" s="103"/>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c r="BY82" s="111"/>
      <c r="BZ82" s="111"/>
    </row>
    <row r="83">
      <c r="A83" s="107" t="s">
        <v>2953</v>
      </c>
      <c r="B83" s="108">
        <v>1.0</v>
      </c>
      <c r="C83" s="108">
        <v>0.0</v>
      </c>
      <c r="D83" s="108">
        <v>0.0</v>
      </c>
      <c r="E83" s="108">
        <v>0.0</v>
      </c>
      <c r="F83" s="108">
        <v>0.0</v>
      </c>
      <c r="G83" s="108">
        <v>32768.0</v>
      </c>
      <c r="H83" s="109">
        <f t="shared" ref="H83:I83" si="81">F83/1024/1024/1024</f>
        <v>0</v>
      </c>
      <c r="I83" s="109">
        <f t="shared" si="81"/>
        <v>0.00003051757813</v>
      </c>
      <c r="J83" s="110">
        <v>0.0</v>
      </c>
      <c r="K83" s="107"/>
      <c r="L83" s="103"/>
      <c r="N83" s="111"/>
      <c r="O83" s="103"/>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c r="BY83" s="111"/>
      <c r="BZ83" s="111"/>
    </row>
    <row r="84">
      <c r="A84" s="107" t="s">
        <v>2954</v>
      </c>
      <c r="B84" s="108">
        <v>2.0</v>
      </c>
      <c r="C84" s="108">
        <v>0.0</v>
      </c>
      <c r="D84" s="108">
        <v>0.0</v>
      </c>
      <c r="E84" s="108">
        <v>0.0</v>
      </c>
      <c r="F84" s="108">
        <v>36.0</v>
      </c>
      <c r="G84" s="108">
        <v>65536.0</v>
      </c>
      <c r="H84" s="109">
        <f t="shared" ref="H84:I84" si="82">F84/1024/1024/1024</f>
        <v>0.00000003352761269</v>
      </c>
      <c r="I84" s="109">
        <f t="shared" si="82"/>
        <v>0.00006103515625</v>
      </c>
      <c r="J84" s="110">
        <v>0.0</v>
      </c>
      <c r="K84" s="107"/>
      <c r="L84" s="103"/>
      <c r="N84" s="111"/>
      <c r="O84" s="103"/>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c r="BY84" s="111"/>
      <c r="BZ84" s="111"/>
    </row>
    <row r="85">
      <c r="A85" s="107" t="s">
        <v>2955</v>
      </c>
      <c r="B85" s="108">
        <v>2.0</v>
      </c>
      <c r="C85" s="108">
        <v>0.0</v>
      </c>
      <c r="D85" s="108">
        <v>0.0</v>
      </c>
      <c r="E85" s="108">
        <v>0.0</v>
      </c>
      <c r="F85" s="108">
        <v>36.0</v>
      </c>
      <c r="G85" s="108">
        <v>65536.0</v>
      </c>
      <c r="H85" s="109">
        <f t="shared" ref="H85:I85" si="83">F85/1024/1024/1024</f>
        <v>0.00000003352761269</v>
      </c>
      <c r="I85" s="109">
        <f t="shared" si="83"/>
        <v>0.00006103515625</v>
      </c>
      <c r="J85" s="110">
        <v>0.0</v>
      </c>
      <c r="K85" s="107"/>
      <c r="L85" s="103"/>
      <c r="N85" s="111"/>
      <c r="O85" s="103"/>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c r="BY85" s="111"/>
      <c r="BZ85" s="111"/>
    </row>
    <row r="86">
      <c r="A86" s="107" t="s">
        <v>2956</v>
      </c>
      <c r="B86" s="108">
        <v>3.0</v>
      </c>
      <c r="C86" s="108">
        <v>0.0</v>
      </c>
      <c r="D86" s="108">
        <v>0.0</v>
      </c>
      <c r="E86" s="108">
        <v>0.0</v>
      </c>
      <c r="F86" s="108">
        <v>70.0</v>
      </c>
      <c r="G86" s="108">
        <v>98304.0</v>
      </c>
      <c r="H86" s="109">
        <f t="shared" ref="H86:I86" si="84">F86/1024/1024/1024</f>
        <v>0.00000006519258022</v>
      </c>
      <c r="I86" s="109">
        <f t="shared" si="84"/>
        <v>0.00009155273438</v>
      </c>
      <c r="J86" s="110">
        <v>0.0</v>
      </c>
      <c r="K86" s="107"/>
      <c r="L86" s="103"/>
      <c r="N86" s="111"/>
      <c r="O86" s="103"/>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c r="BY86" s="111"/>
      <c r="BZ86" s="111"/>
    </row>
    <row r="87">
      <c r="A87" s="107" t="s">
        <v>2957</v>
      </c>
      <c r="B87" s="108">
        <v>3.0</v>
      </c>
      <c r="C87" s="108">
        <v>0.0</v>
      </c>
      <c r="D87" s="108">
        <v>0.0</v>
      </c>
      <c r="E87" s="108">
        <v>0.0</v>
      </c>
      <c r="F87" s="108">
        <v>71.0</v>
      </c>
      <c r="G87" s="108">
        <v>98304.0</v>
      </c>
      <c r="H87" s="109">
        <f t="shared" ref="H87:I87" si="85">F87/1024/1024/1024</f>
        <v>0.0000000661239028</v>
      </c>
      <c r="I87" s="109">
        <f t="shared" si="85"/>
        <v>0.00009155273438</v>
      </c>
      <c r="J87" s="110">
        <v>0.0</v>
      </c>
      <c r="K87" s="107"/>
      <c r="L87" s="103"/>
      <c r="N87" s="111"/>
      <c r="O87" s="103"/>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c r="BY87" s="111"/>
      <c r="BZ87" s="111"/>
    </row>
    <row r="88">
      <c r="A88" s="107" t="s">
        <v>2958</v>
      </c>
      <c r="B88" s="108">
        <v>179.0</v>
      </c>
      <c r="C88" s="108">
        <v>1079.0</v>
      </c>
      <c r="D88" s="108">
        <v>0.0</v>
      </c>
      <c r="E88" s="108">
        <v>0.0</v>
      </c>
      <c r="F88" s="108">
        <v>2.787031931E9</v>
      </c>
      <c r="G88" s="108">
        <v>3.516268544E9</v>
      </c>
      <c r="H88" s="109">
        <f t="shared" ref="H88:I88" si="86">F88/1024/1024/1024</f>
        <v>2.595625754</v>
      </c>
      <c r="I88" s="109">
        <f t="shared" si="86"/>
        <v>3.274780273</v>
      </c>
      <c r="J88" s="110">
        <v>0.0</v>
      </c>
      <c r="K88" s="107"/>
      <c r="L88" s="103"/>
      <c r="N88" s="111"/>
      <c r="O88" s="103"/>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c r="BY88" s="111"/>
      <c r="BZ88" s="111"/>
    </row>
    <row r="89">
      <c r="A89" s="107" t="s">
        <v>2959</v>
      </c>
      <c r="B89" s="108">
        <v>2.0</v>
      </c>
      <c r="C89" s="108">
        <v>0.0</v>
      </c>
      <c r="D89" s="108">
        <v>0.0</v>
      </c>
      <c r="E89" s="108">
        <v>0.0</v>
      </c>
      <c r="F89" s="108">
        <v>36.0</v>
      </c>
      <c r="G89" s="108">
        <v>65536.0</v>
      </c>
      <c r="H89" s="109">
        <f t="shared" ref="H89:I89" si="87">F89/1024/1024/1024</f>
        <v>0.00000003352761269</v>
      </c>
      <c r="I89" s="109">
        <f t="shared" si="87"/>
        <v>0.00006103515625</v>
      </c>
      <c r="J89" s="110">
        <v>0.0</v>
      </c>
      <c r="K89" s="107"/>
      <c r="L89" s="103"/>
      <c r="N89" s="111"/>
      <c r="O89" s="103"/>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c r="BY89" s="111"/>
      <c r="BZ89" s="111"/>
    </row>
    <row r="90">
      <c r="A90" s="107" t="s">
        <v>2960</v>
      </c>
      <c r="B90" s="108">
        <v>2.0</v>
      </c>
      <c r="C90" s="108">
        <v>37.0</v>
      </c>
      <c r="D90" s="108">
        <v>0.0</v>
      </c>
      <c r="E90" s="108">
        <v>0.0</v>
      </c>
      <c r="F90" s="108">
        <v>1.17993382E8</v>
      </c>
      <c r="G90" s="108">
        <v>1.47079168E8</v>
      </c>
      <c r="H90" s="109">
        <f t="shared" ref="H90:I90" si="88">F90/1024/1024/1024</f>
        <v>0.1098899003</v>
      </c>
      <c r="I90" s="109">
        <f t="shared" si="88"/>
        <v>0.1369781494</v>
      </c>
      <c r="J90" s="110">
        <v>0.0</v>
      </c>
      <c r="K90" s="107"/>
      <c r="L90" s="103"/>
      <c r="N90" s="111"/>
      <c r="O90" s="103"/>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c r="BY90" s="111"/>
      <c r="BZ90" s="111"/>
    </row>
    <row r="91">
      <c r="A91" s="107" t="s">
        <v>2961</v>
      </c>
      <c r="B91" s="108">
        <v>6.0</v>
      </c>
      <c r="C91" s="108">
        <v>0.0</v>
      </c>
      <c r="D91" s="108">
        <v>0.0</v>
      </c>
      <c r="E91" s="108">
        <v>0.0</v>
      </c>
      <c r="F91" s="108">
        <v>167.0</v>
      </c>
      <c r="G91" s="108">
        <v>196608.0</v>
      </c>
      <c r="H91" s="109">
        <f t="shared" ref="H91:I91" si="89">F91/1024/1024/1024</f>
        <v>0.00000015553087</v>
      </c>
      <c r="I91" s="109">
        <f t="shared" si="89"/>
        <v>0.0001831054688</v>
      </c>
      <c r="J91" s="110">
        <v>0.0</v>
      </c>
      <c r="K91" s="107"/>
      <c r="L91" s="103"/>
      <c r="N91" s="111"/>
      <c r="O91" s="103"/>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c r="BY91" s="111"/>
      <c r="BZ91" s="111"/>
    </row>
    <row r="92">
      <c r="A92" s="107" t="s">
        <v>2962</v>
      </c>
      <c r="B92" s="108">
        <v>9.0</v>
      </c>
      <c r="C92" s="108">
        <v>2.0</v>
      </c>
      <c r="D92" s="108">
        <v>0.0</v>
      </c>
      <c r="E92" s="108">
        <v>0.0</v>
      </c>
      <c r="F92" s="108">
        <v>5.64719749E8</v>
      </c>
      <c r="G92" s="108">
        <v>6.79370752E8</v>
      </c>
      <c r="H92" s="109">
        <f t="shared" ref="H92:I92" si="90">F92/1024/1024/1024</f>
        <v>0.5259362506</v>
      </c>
      <c r="I92" s="109">
        <f t="shared" si="90"/>
        <v>0.6327133179</v>
      </c>
      <c r="J92" s="110">
        <v>0.0</v>
      </c>
      <c r="K92" s="107"/>
      <c r="L92" s="103"/>
      <c r="N92" s="111"/>
      <c r="O92" s="103"/>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c r="BY92" s="111"/>
      <c r="BZ92" s="111"/>
    </row>
    <row r="93">
      <c r="A93" s="107" t="s">
        <v>2963</v>
      </c>
      <c r="B93" s="108">
        <v>139.0</v>
      </c>
      <c r="C93" s="108">
        <v>1590.0</v>
      </c>
      <c r="D93" s="108">
        <v>0.0</v>
      </c>
      <c r="E93" s="108">
        <v>0.0</v>
      </c>
      <c r="F93" s="108">
        <v>2.298278037E9</v>
      </c>
      <c r="G93" s="108">
        <v>2.85626368E9</v>
      </c>
      <c r="H93" s="109">
        <f t="shared" ref="H93:I93" si="91">F93/1024/1024/1024</f>
        <v>2.140438219</v>
      </c>
      <c r="I93" s="109">
        <f t="shared" si="91"/>
        <v>2.660102844</v>
      </c>
      <c r="J93" s="110">
        <v>0.0</v>
      </c>
      <c r="K93" s="107"/>
      <c r="L93" s="103"/>
      <c r="N93" s="111"/>
      <c r="O93" s="103"/>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c r="BY93" s="111"/>
      <c r="BZ93" s="111"/>
    </row>
    <row r="94">
      <c r="A94" s="107" t="s">
        <v>2964</v>
      </c>
      <c r="B94" s="108">
        <v>10.0</v>
      </c>
      <c r="C94" s="108">
        <v>0.0</v>
      </c>
      <c r="D94" s="108">
        <v>0.0</v>
      </c>
      <c r="E94" s="108">
        <v>0.0</v>
      </c>
      <c r="F94" s="108">
        <v>299.0</v>
      </c>
      <c r="G94" s="108">
        <v>327680.0</v>
      </c>
      <c r="H94" s="109">
        <f t="shared" ref="H94:I94" si="92">F94/1024/1024/1024</f>
        <v>0.0000002784654498</v>
      </c>
      <c r="I94" s="109">
        <f t="shared" si="92"/>
        <v>0.0003051757813</v>
      </c>
      <c r="J94" s="110">
        <v>0.0</v>
      </c>
      <c r="K94" s="107"/>
      <c r="L94" s="103"/>
      <c r="N94" s="111"/>
      <c r="O94" s="103"/>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c r="BY94" s="111"/>
      <c r="BZ94" s="111"/>
    </row>
    <row r="95">
      <c r="A95" s="107" t="s">
        <v>2965</v>
      </c>
      <c r="B95" s="108">
        <v>5233.0</v>
      </c>
      <c r="C95" s="108">
        <v>53949.0</v>
      </c>
      <c r="D95" s="108">
        <v>0.0</v>
      </c>
      <c r="E95" s="108">
        <v>0.0</v>
      </c>
      <c r="F95" s="108">
        <v>4.8060261119E10</v>
      </c>
      <c r="G95" s="108">
        <v>6.3173132288E10</v>
      </c>
      <c r="H95" s="109">
        <f t="shared" ref="H95:I95" si="93">F95/1024/1024/1024</f>
        <v>44.75960612</v>
      </c>
      <c r="I95" s="109">
        <f t="shared" si="93"/>
        <v>58.83456421</v>
      </c>
      <c r="J95" s="110">
        <v>0.0</v>
      </c>
      <c r="K95" s="107"/>
      <c r="L95" s="103"/>
      <c r="N95" s="111"/>
      <c r="O95" s="103"/>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c r="BY95" s="111"/>
      <c r="BZ95" s="111"/>
    </row>
    <row r="96">
      <c r="A96" s="107" t="s">
        <v>2966</v>
      </c>
      <c r="B96" s="108">
        <v>23925.0</v>
      </c>
      <c r="C96" s="108">
        <v>165351.0</v>
      </c>
      <c r="D96" s="108">
        <v>0.0</v>
      </c>
      <c r="E96" s="108">
        <v>0.0</v>
      </c>
      <c r="F96" s="108">
        <v>2.40874934863E11</v>
      </c>
      <c r="G96" s="108">
        <v>3.05665998848E11</v>
      </c>
      <c r="H96" s="109">
        <f t="shared" ref="H96:I96" si="94">F96/1024/1024/1024</f>
        <v>224.3322645</v>
      </c>
      <c r="I96" s="109">
        <f t="shared" si="94"/>
        <v>284.673645</v>
      </c>
      <c r="J96" s="110">
        <v>0.0</v>
      </c>
      <c r="K96" s="107"/>
      <c r="L96" s="103"/>
      <c r="N96" s="111"/>
      <c r="O96" s="111"/>
      <c r="P96" s="103"/>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c r="BY96" s="111"/>
      <c r="BZ96" s="111"/>
    </row>
    <row r="97">
      <c r="A97" s="107" t="s">
        <v>2967</v>
      </c>
      <c r="B97" s="108">
        <v>10.0</v>
      </c>
      <c r="C97" s="108">
        <v>0.0</v>
      </c>
      <c r="D97" s="108">
        <v>0.0</v>
      </c>
      <c r="E97" s="108">
        <v>0.0</v>
      </c>
      <c r="F97" s="108">
        <v>299.0</v>
      </c>
      <c r="G97" s="108">
        <v>327680.0</v>
      </c>
      <c r="H97" s="109">
        <f t="shared" ref="H97:I97" si="95">F97/1024/1024/1024</f>
        <v>0.0000002784654498</v>
      </c>
      <c r="I97" s="109">
        <f t="shared" si="95"/>
        <v>0.0003051757813</v>
      </c>
      <c r="J97" s="110">
        <v>0.0</v>
      </c>
      <c r="K97" s="107"/>
      <c r="L97" s="103"/>
      <c r="N97" s="111"/>
      <c r="O97" s="111"/>
      <c r="P97" s="111"/>
      <c r="Q97" s="103"/>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c r="BY97" s="111"/>
      <c r="BZ97" s="111"/>
    </row>
    <row r="98">
      <c r="A98" s="107" t="s">
        <v>2968</v>
      </c>
      <c r="B98" s="108">
        <v>4031.0</v>
      </c>
      <c r="C98" s="108">
        <v>24465.0</v>
      </c>
      <c r="D98" s="108">
        <v>0.0</v>
      </c>
      <c r="E98" s="108">
        <v>0.0</v>
      </c>
      <c r="F98" s="108">
        <v>5.1695594593E10</v>
      </c>
      <c r="G98" s="108">
        <v>6.5538179072E10</v>
      </c>
      <c r="H98" s="109">
        <f t="shared" ref="H98:I98" si="96">F98/1024/1024/1024</f>
        <v>48.14527425</v>
      </c>
      <c r="I98" s="109">
        <f t="shared" si="96"/>
        <v>61.03718567</v>
      </c>
      <c r="J98" s="110">
        <v>0.0</v>
      </c>
      <c r="K98" s="107"/>
      <c r="L98" s="103"/>
      <c r="N98" s="111"/>
      <c r="O98" s="111"/>
      <c r="P98" s="111"/>
      <c r="Q98" s="103"/>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c r="BY98" s="111"/>
      <c r="BZ98" s="111"/>
    </row>
    <row r="99">
      <c r="A99" s="107" t="s">
        <v>2969</v>
      </c>
      <c r="B99" s="108">
        <v>94.0</v>
      </c>
      <c r="C99" s="108">
        <v>387.0</v>
      </c>
      <c r="D99" s="108">
        <v>0.0</v>
      </c>
      <c r="E99" s="108">
        <v>0.0</v>
      </c>
      <c r="F99" s="108">
        <v>3.50552862E8</v>
      </c>
      <c r="G99" s="108">
        <v>4.87972864E8</v>
      </c>
      <c r="H99" s="109">
        <f t="shared" ref="H99:I99" si="97">F99/1024/1024/1024</f>
        <v>0.326477794</v>
      </c>
      <c r="I99" s="109">
        <f t="shared" si="97"/>
        <v>0.454460144</v>
      </c>
      <c r="J99" s="110">
        <v>0.0</v>
      </c>
      <c r="K99" s="107"/>
      <c r="L99" s="103"/>
      <c r="N99" s="111"/>
      <c r="O99" s="111"/>
      <c r="P99" s="111"/>
      <c r="Q99" s="103"/>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c r="BY99" s="111"/>
      <c r="BZ99" s="111"/>
    </row>
    <row r="100">
      <c r="A100" s="107" t="s">
        <v>2970</v>
      </c>
      <c r="B100" s="108">
        <v>11.0</v>
      </c>
      <c r="C100" s="108">
        <v>12.0</v>
      </c>
      <c r="D100" s="108">
        <v>0.0</v>
      </c>
      <c r="E100" s="108">
        <v>0.0</v>
      </c>
      <c r="F100" s="108">
        <v>122781.0</v>
      </c>
      <c r="G100" s="108">
        <v>950272.0</v>
      </c>
      <c r="H100" s="109">
        <f t="shared" ref="H100:I100" si="98">F100/1024/1024/1024</f>
        <v>0.000114348717</v>
      </c>
      <c r="I100" s="109">
        <f t="shared" si="98"/>
        <v>0.0008850097656</v>
      </c>
      <c r="J100" s="110">
        <v>0.0</v>
      </c>
      <c r="K100" s="107"/>
      <c r="L100" s="103"/>
      <c r="N100" s="111"/>
      <c r="O100" s="111"/>
      <c r="P100" s="111"/>
      <c r="Q100" s="103"/>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c r="BY100" s="111"/>
      <c r="BZ100" s="111"/>
    </row>
    <row r="101">
      <c r="A101" s="107" t="s">
        <v>2971</v>
      </c>
      <c r="B101" s="108">
        <v>21.0</v>
      </c>
      <c r="C101" s="108">
        <v>30.0</v>
      </c>
      <c r="D101" s="108">
        <v>0.0</v>
      </c>
      <c r="E101" s="108">
        <v>0.0</v>
      </c>
      <c r="F101" s="108">
        <v>3.9381081594E10</v>
      </c>
      <c r="G101" s="108">
        <v>4.7349030912E10</v>
      </c>
      <c r="H101" s="109">
        <f t="shared" ref="H101:I101" si="99">F101/1024/1024/1024</f>
        <v>36.6764903</v>
      </c>
      <c r="I101" s="109">
        <f t="shared" si="99"/>
        <v>44.09722137</v>
      </c>
      <c r="J101" s="110">
        <v>0.0</v>
      </c>
      <c r="K101" s="107"/>
      <c r="L101" s="103"/>
      <c r="O101" s="111"/>
      <c r="P101" s="111"/>
      <c r="Q101" s="111"/>
      <c r="R101" s="103"/>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c r="BY101" s="111"/>
      <c r="BZ101" s="111"/>
    </row>
    <row r="102">
      <c r="A102" s="107" t="s">
        <v>2972</v>
      </c>
      <c r="B102" s="108">
        <v>62.0</v>
      </c>
      <c r="C102" s="108">
        <v>197.0</v>
      </c>
      <c r="D102" s="108">
        <v>0.0</v>
      </c>
      <c r="E102" s="108">
        <v>0.0</v>
      </c>
      <c r="F102" s="108">
        <v>2.63993892E8</v>
      </c>
      <c r="G102" s="108">
        <v>3.39501056E8</v>
      </c>
      <c r="H102" s="109">
        <f t="shared" ref="H102:I102" si="100">F102/1024/1024/1024</f>
        <v>0.2458634712</v>
      </c>
      <c r="I102" s="109">
        <f t="shared" si="100"/>
        <v>0.3161849976</v>
      </c>
      <c r="J102" s="110">
        <v>0.0</v>
      </c>
      <c r="K102" s="107"/>
      <c r="L102" s="103"/>
      <c r="O102" s="111"/>
      <c r="P102" s="111"/>
      <c r="Q102" s="111"/>
      <c r="R102" s="103"/>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c r="BY102" s="111"/>
      <c r="BZ102" s="111"/>
    </row>
    <row r="103">
      <c r="A103" s="107" t="s">
        <v>2973</v>
      </c>
      <c r="B103" s="108">
        <v>1055.0</v>
      </c>
      <c r="C103" s="108">
        <v>4443.0</v>
      </c>
      <c r="D103" s="108">
        <v>0.0</v>
      </c>
      <c r="E103" s="108">
        <v>0.0</v>
      </c>
      <c r="F103" s="108">
        <v>1.3582843286E10</v>
      </c>
      <c r="G103" s="108">
        <v>1.6674299904E10</v>
      </c>
      <c r="H103" s="109">
        <f t="shared" ref="H103:I103" si="101">F103/1024/1024/1024</f>
        <v>12.65000858</v>
      </c>
      <c r="I103" s="109">
        <f t="shared" si="101"/>
        <v>15.52915192</v>
      </c>
      <c r="J103" s="110">
        <v>0.0</v>
      </c>
      <c r="K103" s="107"/>
      <c r="L103" s="103"/>
      <c r="O103" s="111"/>
      <c r="P103" s="111"/>
      <c r="Q103" s="111"/>
      <c r="R103" s="103"/>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c r="BY103" s="111"/>
      <c r="BZ103" s="111"/>
    </row>
    <row r="104">
      <c r="A104" s="107" t="s">
        <v>2974</v>
      </c>
      <c r="B104" s="108">
        <v>11.0</v>
      </c>
      <c r="C104" s="108">
        <v>29.0</v>
      </c>
      <c r="D104" s="108">
        <v>0.0</v>
      </c>
      <c r="E104" s="108">
        <v>0.0</v>
      </c>
      <c r="F104" s="108">
        <v>5.0776102E7</v>
      </c>
      <c r="G104" s="108">
        <v>6.5241088E7</v>
      </c>
      <c r="H104" s="109">
        <f t="shared" ref="H104:I104" si="102">F104/1024/1024/1024</f>
        <v>0.04728893004</v>
      </c>
      <c r="I104" s="109">
        <f t="shared" si="102"/>
        <v>0.06076049805</v>
      </c>
      <c r="J104" s="110">
        <v>0.0</v>
      </c>
      <c r="K104" s="107"/>
      <c r="L104" s="103"/>
      <c r="O104" s="111"/>
      <c r="P104" s="111"/>
      <c r="Q104" s="111"/>
      <c r="R104" s="103"/>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c r="BY104" s="111"/>
      <c r="BZ104" s="111"/>
    </row>
    <row r="105">
      <c r="A105" s="107" t="s">
        <v>2975</v>
      </c>
      <c r="B105" s="108">
        <v>1.0</v>
      </c>
      <c r="C105" s="108">
        <v>0.0</v>
      </c>
      <c r="D105" s="108">
        <v>0.0</v>
      </c>
      <c r="E105" s="108">
        <v>0.0</v>
      </c>
      <c r="F105" s="108">
        <v>0.0</v>
      </c>
      <c r="G105" s="108">
        <v>32768.0</v>
      </c>
      <c r="H105" s="109">
        <f t="shared" ref="H105:I105" si="103">F105/1024/1024/1024</f>
        <v>0</v>
      </c>
      <c r="I105" s="109">
        <f t="shared" si="103"/>
        <v>0.00003051757813</v>
      </c>
      <c r="J105" s="110">
        <v>0.0</v>
      </c>
      <c r="K105" s="107"/>
      <c r="L105" s="103"/>
      <c r="O105" s="111"/>
      <c r="P105" s="111"/>
      <c r="Q105" s="111"/>
      <c r="R105" s="103"/>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c r="BY105" s="111"/>
      <c r="BZ105" s="111"/>
    </row>
    <row r="106">
      <c r="A106" s="107" t="s">
        <v>2976</v>
      </c>
      <c r="B106" s="108">
        <v>8997.0</v>
      </c>
      <c r="C106" s="108">
        <v>106583.0</v>
      </c>
      <c r="D106" s="108">
        <v>0.0</v>
      </c>
      <c r="E106" s="108">
        <v>0.0</v>
      </c>
      <c r="F106" s="108">
        <v>2.70699234339E11</v>
      </c>
      <c r="G106" s="108">
        <v>3.40563771392E11</v>
      </c>
      <c r="H106" s="109">
        <f t="shared" ref="H106:I106" si="104">F106/1024/1024/1024</f>
        <v>252.1083079</v>
      </c>
      <c r="I106" s="109">
        <f t="shared" si="104"/>
        <v>317.1747284</v>
      </c>
      <c r="J106" s="110">
        <v>0.0</v>
      </c>
      <c r="K106" s="107"/>
      <c r="L106" s="103"/>
      <c r="O106" s="111"/>
      <c r="P106" s="111"/>
      <c r="Q106" s="111"/>
      <c r="R106" s="103"/>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c r="BY106" s="111"/>
      <c r="BZ106" s="111"/>
    </row>
    <row r="107">
      <c r="A107" s="107" t="s">
        <v>2977</v>
      </c>
      <c r="B107" s="108">
        <v>16577.0</v>
      </c>
      <c r="C107" s="108">
        <v>215180.0</v>
      </c>
      <c r="D107" s="108">
        <v>0.0</v>
      </c>
      <c r="E107" s="108">
        <v>0.0</v>
      </c>
      <c r="F107" s="108">
        <v>1.510519102243E12</v>
      </c>
      <c r="G107" s="108">
        <v>1.846330351616E12</v>
      </c>
      <c r="H107" s="109">
        <f t="shared" ref="H107:I107" si="105">F107/1024/1024/1024</f>
        <v>1406.780539</v>
      </c>
      <c r="I107" s="109">
        <f t="shared" si="105"/>
        <v>1719.529137</v>
      </c>
      <c r="J107" s="110">
        <v>0.0</v>
      </c>
      <c r="K107" s="107"/>
      <c r="L107" s="103"/>
      <c r="O107" s="111"/>
      <c r="P107" s="111"/>
      <c r="Q107" s="111"/>
      <c r="R107" s="103"/>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c r="BY107" s="111"/>
      <c r="BZ107" s="111"/>
    </row>
    <row r="108">
      <c r="A108" s="107" t="s">
        <v>2978</v>
      </c>
      <c r="B108" s="108">
        <v>73077.0</v>
      </c>
      <c r="C108" s="108">
        <v>374524.0</v>
      </c>
      <c r="D108" s="108">
        <v>0.0</v>
      </c>
      <c r="E108" s="108">
        <v>0.0</v>
      </c>
      <c r="F108" s="108">
        <v>7.66694042876E11</v>
      </c>
      <c r="G108" s="108">
        <v>9.62918064128E11</v>
      </c>
      <c r="H108" s="109">
        <f t="shared" ref="H108:I108" si="106">F108/1024/1024/1024</f>
        <v>714.03947</v>
      </c>
      <c r="I108" s="109">
        <f t="shared" si="106"/>
        <v>896.7873306</v>
      </c>
      <c r="J108" s="110">
        <v>0.0</v>
      </c>
      <c r="K108" s="107"/>
      <c r="L108" s="103"/>
      <c r="O108" s="111"/>
      <c r="P108" s="111"/>
      <c r="Q108" s="111"/>
      <c r="R108" s="103"/>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c r="BY108" s="111"/>
      <c r="BZ108" s="111"/>
    </row>
    <row r="109">
      <c r="A109" s="107" t="s">
        <v>2979</v>
      </c>
      <c r="B109" s="108">
        <v>44.0</v>
      </c>
      <c r="C109" s="108">
        <v>12.0</v>
      </c>
      <c r="D109" s="108">
        <v>0.0</v>
      </c>
      <c r="E109" s="108">
        <v>0.0</v>
      </c>
      <c r="F109" s="108">
        <v>2.8630039E7</v>
      </c>
      <c r="G109" s="108">
        <v>3.7494784E7</v>
      </c>
      <c r="H109" s="109">
        <f t="shared" ref="H109:I109" si="107">F109/1024/1024/1024</f>
        <v>0.02666380163</v>
      </c>
      <c r="I109" s="109">
        <f t="shared" si="107"/>
        <v>0.03491973877</v>
      </c>
      <c r="J109" s="110">
        <v>0.0</v>
      </c>
      <c r="K109" s="107"/>
      <c r="L109" s="103"/>
      <c r="O109" s="111"/>
      <c r="P109" s="111"/>
      <c r="Q109" s="111"/>
      <c r="R109" s="103"/>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c r="BY109" s="111"/>
      <c r="BZ109" s="111"/>
    </row>
    <row r="110">
      <c r="A110" s="107" t="s">
        <v>2980</v>
      </c>
      <c r="B110" s="108">
        <v>251.0</v>
      </c>
      <c r="C110" s="108">
        <v>1428.0</v>
      </c>
      <c r="D110" s="108">
        <v>0.0</v>
      </c>
      <c r="E110" s="108">
        <v>0.0</v>
      </c>
      <c r="F110" s="108">
        <v>6.72080671E8</v>
      </c>
      <c r="G110" s="108">
        <v>1.107156992E9</v>
      </c>
      <c r="H110" s="109">
        <f t="shared" ref="H110:I110" si="108">F110/1024/1024/1024</f>
        <v>0.6259239009</v>
      </c>
      <c r="I110" s="109">
        <f t="shared" si="108"/>
        <v>1.0311203</v>
      </c>
      <c r="J110" s="110">
        <v>0.0</v>
      </c>
      <c r="K110" s="107"/>
      <c r="L110" s="103"/>
      <c r="O110" s="111"/>
      <c r="P110" s="111"/>
      <c r="Q110" s="111"/>
      <c r="R110" s="103"/>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c r="BY110" s="111"/>
      <c r="BZ110" s="111"/>
    </row>
    <row r="111">
      <c r="A111" s="107" t="s">
        <v>2981</v>
      </c>
      <c r="B111" s="108">
        <v>13.0</v>
      </c>
      <c r="C111" s="108">
        <v>4.0</v>
      </c>
      <c r="D111" s="108">
        <v>0.0</v>
      </c>
      <c r="E111" s="108">
        <v>0.0</v>
      </c>
      <c r="F111" s="108">
        <v>1.869197983E9</v>
      </c>
      <c r="G111" s="108">
        <v>2.248097792E9</v>
      </c>
      <c r="H111" s="109">
        <f t="shared" ref="H111:I111" si="109">F111/1024/1024/1024</f>
        <v>1.740826278</v>
      </c>
      <c r="I111" s="109">
        <f t="shared" si="109"/>
        <v>2.093704224</v>
      </c>
      <c r="J111" s="110">
        <v>0.0</v>
      </c>
      <c r="K111" s="107"/>
      <c r="L111" s="103"/>
      <c r="O111" s="111"/>
      <c r="P111" s="111"/>
      <c r="Q111" s="111"/>
      <c r="R111" s="103"/>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c r="BY111" s="111"/>
      <c r="BZ111" s="111"/>
    </row>
    <row r="112">
      <c r="A112" s="107" t="s">
        <v>2982</v>
      </c>
      <c r="B112" s="108">
        <v>1.0</v>
      </c>
      <c r="C112" s="108">
        <v>0.0</v>
      </c>
      <c r="D112" s="108">
        <v>0.0</v>
      </c>
      <c r="E112" s="108">
        <v>0.0</v>
      </c>
      <c r="F112" s="108">
        <v>0.0</v>
      </c>
      <c r="G112" s="108">
        <v>32768.0</v>
      </c>
      <c r="H112" s="109">
        <f t="shared" ref="H112:I112" si="110">F112/1024/1024/1024</f>
        <v>0</v>
      </c>
      <c r="I112" s="109">
        <f t="shared" si="110"/>
        <v>0.00003051757813</v>
      </c>
      <c r="J112" s="110">
        <v>0.0</v>
      </c>
      <c r="K112" s="107"/>
      <c r="L112" s="103"/>
      <c r="O112" s="111"/>
      <c r="P112" s="111"/>
      <c r="Q112" s="111"/>
      <c r="R112" s="103"/>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c r="BY112" s="111"/>
      <c r="BZ112" s="111"/>
    </row>
    <row r="113">
      <c r="A113" s="107" t="s">
        <v>2983</v>
      </c>
      <c r="B113" s="108">
        <v>22.0</v>
      </c>
      <c r="C113" s="108">
        <v>0.0</v>
      </c>
      <c r="D113" s="108">
        <v>0.0</v>
      </c>
      <c r="E113" s="108">
        <v>0.0</v>
      </c>
      <c r="F113" s="108">
        <v>748.0</v>
      </c>
      <c r="G113" s="108">
        <v>720896.0</v>
      </c>
      <c r="H113" s="109">
        <f t="shared" ref="H113:I113" si="111">F113/1024/1024/1024</f>
        <v>0.0000006966292858</v>
      </c>
      <c r="I113" s="109">
        <f t="shared" si="111"/>
        <v>0.0006713867188</v>
      </c>
      <c r="J113" s="110">
        <v>0.0</v>
      </c>
      <c r="K113" s="107"/>
      <c r="L113" s="103"/>
      <c r="O113" s="111"/>
      <c r="P113" s="111"/>
      <c r="Q113" s="111"/>
      <c r="R113" s="103"/>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c r="BY113" s="111"/>
      <c r="BZ113" s="111"/>
    </row>
    <row r="114">
      <c r="A114" s="107" t="s">
        <v>2984</v>
      </c>
      <c r="B114" s="108">
        <v>27.0</v>
      </c>
      <c r="C114" s="108">
        <v>20.0</v>
      </c>
      <c r="D114" s="108">
        <v>0.0</v>
      </c>
      <c r="E114" s="108">
        <v>0.0</v>
      </c>
      <c r="F114" s="108">
        <v>22079.0</v>
      </c>
      <c r="G114" s="108">
        <v>1376256.0</v>
      </c>
      <c r="H114" s="109">
        <f t="shared" ref="H114:I114" si="112">F114/1024/1024/1024</f>
        <v>0.00002056267112</v>
      </c>
      <c r="I114" s="109">
        <f t="shared" si="112"/>
        <v>0.001281738281</v>
      </c>
      <c r="J114" s="110">
        <v>0.0</v>
      </c>
      <c r="K114" s="107"/>
      <c r="L114" s="103"/>
      <c r="O114" s="111"/>
      <c r="P114" s="111"/>
      <c r="Q114" s="111"/>
      <c r="R114" s="103"/>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c r="BY114" s="111"/>
      <c r="BZ114" s="111"/>
    </row>
    <row r="115">
      <c r="A115" s="107" t="s">
        <v>2985</v>
      </c>
      <c r="B115" s="108">
        <v>3134.0</v>
      </c>
      <c r="C115" s="108">
        <v>10851.0</v>
      </c>
      <c r="D115" s="108">
        <v>0.0</v>
      </c>
      <c r="E115" s="108">
        <v>0.0</v>
      </c>
      <c r="F115" s="108">
        <v>7.463479913E9</v>
      </c>
      <c r="G115" s="108">
        <v>1.0572365824E10</v>
      </c>
      <c r="H115" s="109">
        <f t="shared" ref="H115:I115" si="113">F115/1024/1024/1024</f>
        <v>6.950907328</v>
      </c>
      <c r="I115" s="109">
        <f t="shared" si="113"/>
        <v>9.846282959</v>
      </c>
      <c r="J115" s="110">
        <v>0.0</v>
      </c>
      <c r="K115" s="107"/>
      <c r="L115" s="103"/>
      <c r="O115" s="111"/>
      <c r="P115" s="111"/>
      <c r="Q115" s="111"/>
      <c r="R115" s="103"/>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c r="BY115" s="111"/>
      <c r="BZ115" s="111"/>
    </row>
    <row r="116">
      <c r="A116" s="107" t="s">
        <v>2986</v>
      </c>
      <c r="B116" s="108">
        <v>13.0</v>
      </c>
      <c r="C116" s="108">
        <v>0.0</v>
      </c>
      <c r="D116" s="108">
        <v>0.0</v>
      </c>
      <c r="E116" s="108">
        <v>0.0</v>
      </c>
      <c r="F116" s="108">
        <v>436.0</v>
      </c>
      <c r="G116" s="108">
        <v>425984.0</v>
      </c>
      <c r="H116" s="109">
        <f t="shared" ref="H116:I116" si="114">F116/1024/1024/1024</f>
        <v>0.0000004060566425</v>
      </c>
      <c r="I116" s="109">
        <f t="shared" si="114"/>
        <v>0.0003967285156</v>
      </c>
      <c r="J116" s="110">
        <v>0.0</v>
      </c>
      <c r="K116" s="107"/>
      <c r="L116" s="103"/>
      <c r="N116" s="111"/>
      <c r="O116" s="111"/>
      <c r="P116" s="111"/>
      <c r="Q116" s="111"/>
      <c r="R116" s="111"/>
      <c r="S116" s="103"/>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c r="BY116" s="111"/>
      <c r="BZ116" s="111"/>
    </row>
    <row r="117">
      <c r="A117" s="107" t="s">
        <v>2987</v>
      </c>
      <c r="B117" s="108">
        <v>8222.0</v>
      </c>
      <c r="C117" s="108">
        <v>73682.0</v>
      </c>
      <c r="D117" s="108">
        <v>0.0</v>
      </c>
      <c r="E117" s="108">
        <v>0.0</v>
      </c>
      <c r="F117" s="108">
        <v>6.69404446746E11</v>
      </c>
      <c r="G117" s="108">
        <v>8.16377102336E11</v>
      </c>
      <c r="H117" s="109">
        <f t="shared" ref="H117:I117" si="115">F117/1024/1024/1024</f>
        <v>623.4314728</v>
      </c>
      <c r="I117" s="109">
        <f t="shared" si="115"/>
        <v>760.3104248</v>
      </c>
      <c r="J117" s="110">
        <v>0.0</v>
      </c>
      <c r="K117" s="107"/>
      <c r="L117" s="103"/>
      <c r="N117" s="111"/>
      <c r="O117" s="111"/>
      <c r="P117" s="111"/>
      <c r="Q117" s="111"/>
      <c r="R117" s="111"/>
      <c r="S117" s="103"/>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c r="BY117" s="111"/>
      <c r="BZ117" s="111"/>
    </row>
    <row r="118">
      <c r="A118" s="107" t="s">
        <v>2988</v>
      </c>
      <c r="B118" s="108">
        <v>2498.0</v>
      </c>
      <c r="C118" s="108">
        <v>19384.0</v>
      </c>
      <c r="D118" s="108">
        <v>0.0</v>
      </c>
      <c r="E118" s="108">
        <v>0.0</v>
      </c>
      <c r="F118" s="108">
        <v>7.95929272004E11</v>
      </c>
      <c r="G118" s="108">
        <v>9.59632515072E11</v>
      </c>
      <c r="H118" s="109">
        <f t="shared" ref="H118:I118" si="116">F118/1024/1024/1024</f>
        <v>741.2668988</v>
      </c>
      <c r="I118" s="109">
        <f t="shared" si="116"/>
        <v>893.7274246</v>
      </c>
      <c r="J118" s="110">
        <v>0.0</v>
      </c>
      <c r="K118" s="107"/>
      <c r="L118" s="103"/>
      <c r="N118" s="111"/>
      <c r="O118" s="111"/>
      <c r="P118" s="111"/>
      <c r="Q118" s="111"/>
      <c r="R118" s="111"/>
      <c r="S118" s="103"/>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row>
    <row r="119">
      <c r="A119" s="107" t="s">
        <v>2989</v>
      </c>
      <c r="B119" s="108">
        <v>43.0</v>
      </c>
      <c r="C119" s="108">
        <v>2.0</v>
      </c>
      <c r="D119" s="108">
        <v>0.0</v>
      </c>
      <c r="E119" s="108">
        <v>0.0</v>
      </c>
      <c r="F119" s="108">
        <v>5.107657618E9</v>
      </c>
      <c r="G119" s="108">
        <v>6.141599744E9</v>
      </c>
      <c r="H119" s="109">
        <f t="shared" ref="H119:I119" si="117">F119/1024/1024/1024</f>
        <v>4.756876843</v>
      </c>
      <c r="I119" s="109">
        <f t="shared" si="117"/>
        <v>5.719810486</v>
      </c>
      <c r="J119" s="110">
        <v>0.0</v>
      </c>
      <c r="K119" s="107"/>
      <c r="L119" s="103"/>
      <c r="O119" s="111"/>
      <c r="P119" s="111"/>
      <c r="Q119" s="111"/>
      <c r="R119" s="111"/>
      <c r="S119" s="111"/>
      <c r="T119" s="103"/>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c r="BY119" s="111"/>
      <c r="BZ119" s="111"/>
    </row>
    <row r="120">
      <c r="A120" s="107" t="s">
        <v>2990</v>
      </c>
      <c r="B120" s="108">
        <v>4363.0</v>
      </c>
      <c r="C120" s="108">
        <v>29376.0</v>
      </c>
      <c r="D120" s="108">
        <v>0.0</v>
      </c>
      <c r="E120" s="108">
        <v>0.0</v>
      </c>
      <c r="F120" s="108">
        <v>6.4697620188E10</v>
      </c>
      <c r="G120" s="108">
        <v>8.153075712E10</v>
      </c>
      <c r="H120" s="109">
        <f t="shared" ref="H120:I120" si="118">F120/1024/1024/1024</f>
        <v>60.2543542</v>
      </c>
      <c r="I120" s="109">
        <f t="shared" si="118"/>
        <v>75.93143463</v>
      </c>
      <c r="J120" s="110">
        <v>0.0</v>
      </c>
      <c r="K120" s="107"/>
      <c r="L120" s="103"/>
      <c r="O120" s="111"/>
      <c r="P120" s="111"/>
      <c r="Q120" s="111"/>
      <c r="R120" s="111"/>
      <c r="S120" s="111"/>
      <c r="T120" s="103"/>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c r="BY120" s="111"/>
      <c r="BZ120" s="111"/>
    </row>
    <row r="121">
      <c r="A121" s="107" t="s">
        <v>2991</v>
      </c>
      <c r="B121" s="108">
        <v>73864.0</v>
      </c>
      <c r="C121" s="108">
        <v>464823.0</v>
      </c>
      <c r="D121" s="108">
        <v>0.0</v>
      </c>
      <c r="E121" s="108">
        <v>0.0</v>
      </c>
      <c r="F121" s="108">
        <v>7.35428471556E11</v>
      </c>
      <c r="G121" s="108">
        <v>9.099472896E11</v>
      </c>
      <c r="H121" s="109">
        <f t="shared" ref="H121:I121" si="119">F121/1024/1024/1024</f>
        <v>684.9211376</v>
      </c>
      <c r="I121" s="109">
        <f t="shared" si="119"/>
        <v>847.4544525</v>
      </c>
      <c r="J121" s="110">
        <v>0.0</v>
      </c>
      <c r="K121" s="107"/>
      <c r="L121" s="103"/>
      <c r="O121" s="111"/>
      <c r="P121" s="111"/>
      <c r="Q121" s="111"/>
      <c r="R121" s="111"/>
      <c r="S121" s="111"/>
      <c r="T121" s="103"/>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c r="BY121" s="111"/>
      <c r="BZ121" s="111"/>
    </row>
    <row r="122">
      <c r="A122" s="107" t="s">
        <v>2992</v>
      </c>
      <c r="B122" s="108">
        <v>655.0</v>
      </c>
      <c r="C122" s="108">
        <v>2379.0</v>
      </c>
      <c r="D122" s="108">
        <v>0.0</v>
      </c>
      <c r="E122" s="108">
        <v>0.0</v>
      </c>
      <c r="F122" s="108">
        <v>3.25316041E8</v>
      </c>
      <c r="G122" s="108">
        <v>7.72947968E8</v>
      </c>
      <c r="H122" s="109">
        <f t="shared" ref="H122:I122" si="120">F122/1024/1024/1024</f>
        <v>0.3029741729</v>
      </c>
      <c r="I122" s="109">
        <f t="shared" si="120"/>
        <v>0.7198638916</v>
      </c>
      <c r="J122" s="110">
        <v>0.0</v>
      </c>
      <c r="K122" s="107"/>
      <c r="L122" s="103"/>
      <c r="O122" s="111"/>
      <c r="P122" s="111"/>
      <c r="Q122" s="111"/>
      <c r="R122" s="111"/>
      <c r="S122" s="111"/>
      <c r="T122" s="103"/>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c r="BY122" s="111"/>
      <c r="BZ122" s="111"/>
    </row>
    <row r="123">
      <c r="A123" s="107" t="s">
        <v>2993</v>
      </c>
      <c r="B123" s="108">
        <v>5.0</v>
      </c>
      <c r="C123" s="108">
        <v>0.0</v>
      </c>
      <c r="D123" s="108">
        <v>0.0</v>
      </c>
      <c r="E123" s="108">
        <v>0.0</v>
      </c>
      <c r="F123" s="108">
        <v>125.0</v>
      </c>
      <c r="G123" s="108">
        <v>163840.0</v>
      </c>
      <c r="H123" s="109">
        <f t="shared" ref="H123:I123" si="121">F123/1024/1024/1024</f>
        <v>0.0000001164153218</v>
      </c>
      <c r="I123" s="109">
        <f t="shared" si="121"/>
        <v>0.0001525878906</v>
      </c>
      <c r="J123" s="110">
        <v>0.0</v>
      </c>
      <c r="K123" s="107"/>
      <c r="L123" s="103"/>
      <c r="N123" s="111"/>
      <c r="O123" s="111"/>
      <c r="P123" s="111"/>
      <c r="Q123" s="111"/>
      <c r="R123" s="111"/>
      <c r="S123" s="111"/>
      <c r="T123" s="111"/>
      <c r="U123" s="103"/>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c r="BY123" s="111"/>
      <c r="BZ123" s="111"/>
    </row>
    <row r="124">
      <c r="A124" s="107" t="s">
        <v>2994</v>
      </c>
      <c r="B124" s="108">
        <v>1320.0</v>
      </c>
      <c r="C124" s="108">
        <v>6901.0</v>
      </c>
      <c r="D124" s="108">
        <v>0.0</v>
      </c>
      <c r="E124" s="108">
        <v>0.0</v>
      </c>
      <c r="F124" s="108">
        <v>1.1200137872E10</v>
      </c>
      <c r="G124" s="108">
        <v>1.1760443392E10</v>
      </c>
      <c r="H124" s="109">
        <f t="shared" ref="H124:I124" si="122">F124/1024/1024/1024</f>
        <v>10.43094124</v>
      </c>
      <c r="I124" s="109">
        <f t="shared" si="122"/>
        <v>10.95276642</v>
      </c>
      <c r="J124" s="110">
        <v>0.0</v>
      </c>
      <c r="K124" s="107"/>
      <c r="L124" s="103"/>
      <c r="N124" s="111"/>
      <c r="O124" s="111"/>
      <c r="P124" s="111"/>
      <c r="Q124" s="111"/>
      <c r="R124" s="111"/>
      <c r="S124" s="111"/>
      <c r="T124" s="111"/>
      <c r="U124" s="103"/>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c r="BY124" s="111"/>
      <c r="BZ124" s="111"/>
    </row>
    <row r="125">
      <c r="A125" s="107" t="s">
        <v>2995</v>
      </c>
      <c r="B125" s="108">
        <v>46864.0</v>
      </c>
      <c r="C125" s="108">
        <v>315041.0</v>
      </c>
      <c r="D125" s="108">
        <v>0.0</v>
      </c>
      <c r="E125" s="108">
        <v>0.0</v>
      </c>
      <c r="F125" s="108">
        <v>5.679506587655E12</v>
      </c>
      <c r="G125" s="108">
        <v>6.869788033024E12</v>
      </c>
      <c r="H125" s="109">
        <f t="shared" ref="H125:I125" si="123">F125/1024/1024/1024</f>
        <v>5289.452698</v>
      </c>
      <c r="I125" s="109">
        <f t="shared" si="123"/>
        <v>6397.988678</v>
      </c>
      <c r="J125" s="110">
        <v>0.0</v>
      </c>
      <c r="K125" s="107"/>
      <c r="L125" s="103"/>
      <c r="N125" s="111"/>
      <c r="O125" s="111"/>
      <c r="P125" s="111"/>
      <c r="Q125" s="111"/>
      <c r="R125" s="111"/>
      <c r="S125" s="111"/>
      <c r="T125" s="111"/>
      <c r="U125" s="103"/>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c r="BY125" s="111"/>
      <c r="BZ125" s="111"/>
    </row>
    <row r="126">
      <c r="A126" s="107" t="s">
        <v>2996</v>
      </c>
      <c r="B126" s="108">
        <v>1.0</v>
      </c>
      <c r="C126" s="108">
        <v>0.0</v>
      </c>
      <c r="D126" s="108">
        <v>0.0</v>
      </c>
      <c r="E126" s="108">
        <v>0.0</v>
      </c>
      <c r="F126" s="108">
        <v>0.0</v>
      </c>
      <c r="G126" s="108">
        <v>32768.0</v>
      </c>
      <c r="H126" s="109">
        <f t="shared" ref="H126:I126" si="124">F126/1024/1024/1024</f>
        <v>0</v>
      </c>
      <c r="I126" s="109">
        <f t="shared" si="124"/>
        <v>0.00003051757813</v>
      </c>
      <c r="J126" s="110">
        <v>0.0</v>
      </c>
      <c r="K126" s="107"/>
      <c r="L126" s="103"/>
      <c r="N126" s="111"/>
      <c r="O126" s="111"/>
      <c r="P126" s="111"/>
      <c r="Q126" s="111"/>
      <c r="R126" s="111"/>
      <c r="S126" s="111"/>
      <c r="T126" s="111"/>
      <c r="U126" s="103"/>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c r="BY126" s="111"/>
      <c r="BZ126" s="111"/>
    </row>
    <row r="127">
      <c r="A127" s="107" t="s">
        <v>2997</v>
      </c>
      <c r="B127" s="108">
        <v>777.0</v>
      </c>
      <c r="C127" s="108">
        <v>8837.0</v>
      </c>
      <c r="D127" s="108">
        <v>0.0</v>
      </c>
      <c r="E127" s="108">
        <v>0.0</v>
      </c>
      <c r="F127" s="108">
        <v>5.566347756E9</v>
      </c>
      <c r="G127" s="108">
        <v>7.309344768E9</v>
      </c>
      <c r="H127" s="109">
        <f t="shared" ref="H127:I127" si="125">F127/1024/1024/1024</f>
        <v>5.184065323</v>
      </c>
      <c r="I127" s="109">
        <f t="shared" si="125"/>
        <v>6.807357788</v>
      </c>
      <c r="J127" s="110">
        <v>0.0</v>
      </c>
      <c r="K127" s="107"/>
      <c r="L127" s="103"/>
      <c r="N127" s="111"/>
      <c r="O127" s="111"/>
      <c r="P127" s="111"/>
      <c r="Q127" s="111"/>
      <c r="R127" s="111"/>
      <c r="S127" s="111"/>
      <c r="T127" s="111"/>
      <c r="U127" s="103"/>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c r="BY127" s="111"/>
      <c r="BZ127" s="111"/>
    </row>
    <row r="128">
      <c r="A128" s="107" t="s">
        <v>2998</v>
      </c>
      <c r="B128" s="108">
        <v>11.0</v>
      </c>
      <c r="C128" s="108">
        <v>0.0</v>
      </c>
      <c r="D128" s="108">
        <v>0.0</v>
      </c>
      <c r="E128" s="108">
        <v>0.0</v>
      </c>
      <c r="F128" s="108">
        <v>324.0</v>
      </c>
      <c r="G128" s="108">
        <v>360448.0</v>
      </c>
      <c r="H128" s="109">
        <f t="shared" ref="H128:I128" si="126">F128/1024/1024/1024</f>
        <v>0.0000003017485142</v>
      </c>
      <c r="I128" s="109">
        <f t="shared" si="126"/>
        <v>0.0003356933594</v>
      </c>
      <c r="J128" s="110">
        <v>0.0</v>
      </c>
      <c r="K128" s="107"/>
      <c r="L128" s="103"/>
      <c r="N128" s="111"/>
      <c r="O128" s="111"/>
      <c r="P128" s="111"/>
      <c r="Q128" s="111"/>
      <c r="R128" s="111"/>
      <c r="S128" s="111"/>
      <c r="T128" s="111"/>
      <c r="U128" s="103"/>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c r="BY128" s="111"/>
      <c r="BZ128" s="111"/>
    </row>
    <row r="129">
      <c r="A129" s="107" t="s">
        <v>2999</v>
      </c>
      <c r="B129" s="108">
        <v>7462.0</v>
      </c>
      <c r="C129" s="108">
        <v>25065.0</v>
      </c>
      <c r="D129" s="108">
        <v>0.0</v>
      </c>
      <c r="E129" s="108">
        <v>0.0</v>
      </c>
      <c r="F129" s="108">
        <v>2.6504693184E10</v>
      </c>
      <c r="G129" s="108">
        <v>3.5702956032E10</v>
      </c>
      <c r="H129" s="109">
        <f t="shared" ref="H129:I129" si="127">F129/1024/1024/1024</f>
        <v>24.6844191</v>
      </c>
      <c r="I129" s="109">
        <f t="shared" si="127"/>
        <v>33.25096893</v>
      </c>
      <c r="J129" s="110">
        <v>0.0</v>
      </c>
      <c r="K129" s="107"/>
      <c r="L129" s="103"/>
      <c r="N129" s="111"/>
      <c r="O129" s="111"/>
      <c r="P129" s="111"/>
      <c r="Q129" s="111"/>
      <c r="R129" s="111"/>
      <c r="S129" s="111"/>
      <c r="T129" s="111"/>
      <c r="U129" s="103"/>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c r="BY129" s="111"/>
      <c r="BZ129" s="111"/>
    </row>
    <row r="130">
      <c r="A130" s="107" t="s">
        <v>3000</v>
      </c>
      <c r="B130" s="108">
        <v>6.0</v>
      </c>
      <c r="C130" s="108">
        <v>8.0</v>
      </c>
      <c r="D130" s="108">
        <v>0.0</v>
      </c>
      <c r="E130" s="108">
        <v>0.0</v>
      </c>
      <c r="F130" s="108">
        <v>7.5925081E7</v>
      </c>
      <c r="G130" s="108">
        <v>9.2790784E7</v>
      </c>
      <c r="H130" s="109">
        <f t="shared" ref="H130:I130" si="128">F130/1024/1024/1024</f>
        <v>0.07071074191</v>
      </c>
      <c r="I130" s="109">
        <f t="shared" si="128"/>
        <v>0.08641815186</v>
      </c>
      <c r="J130" s="110">
        <v>0.0</v>
      </c>
      <c r="K130" s="107"/>
      <c r="L130" s="103"/>
      <c r="N130" s="111"/>
      <c r="O130" s="111"/>
      <c r="P130" s="111"/>
      <c r="Q130" s="111"/>
      <c r="R130" s="111"/>
      <c r="S130" s="111"/>
      <c r="T130" s="111"/>
      <c r="U130" s="103"/>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c r="BY130" s="111"/>
      <c r="BZ130" s="111"/>
    </row>
    <row r="131">
      <c r="A131" s="107" t="s">
        <v>3001</v>
      </c>
      <c r="B131" s="108">
        <v>1.0</v>
      </c>
      <c r="C131" s="108">
        <v>0.0</v>
      </c>
      <c r="D131" s="108">
        <v>0.0</v>
      </c>
      <c r="E131" s="108">
        <v>0.0</v>
      </c>
      <c r="F131" s="108">
        <v>0.0</v>
      </c>
      <c r="G131" s="108">
        <v>32768.0</v>
      </c>
      <c r="H131" s="109">
        <f t="shared" ref="H131:I131" si="129">F131/1024/1024/1024</f>
        <v>0</v>
      </c>
      <c r="I131" s="109">
        <f t="shared" si="129"/>
        <v>0.00003051757813</v>
      </c>
      <c r="J131" s="110">
        <v>0.0</v>
      </c>
      <c r="K131" s="107"/>
      <c r="L131" s="103"/>
      <c r="N131" s="111"/>
      <c r="O131" s="111"/>
      <c r="P131" s="111"/>
      <c r="Q131" s="111"/>
      <c r="R131" s="111"/>
      <c r="S131" s="111"/>
      <c r="T131" s="111"/>
      <c r="U131" s="103"/>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c r="BY131" s="111"/>
      <c r="BZ131" s="111"/>
    </row>
    <row r="132">
      <c r="A132" s="107" t="s">
        <v>3002</v>
      </c>
      <c r="B132" s="108">
        <v>624.0</v>
      </c>
      <c r="C132" s="108">
        <v>11969.0</v>
      </c>
      <c r="D132" s="108">
        <v>0.0</v>
      </c>
      <c r="E132" s="108">
        <v>0.0</v>
      </c>
      <c r="F132" s="108">
        <v>7.40550339E8</v>
      </c>
      <c r="G132" s="108">
        <v>1.548959744E9</v>
      </c>
      <c r="H132" s="109">
        <f t="shared" ref="H132:I132" si="130">F132/1024/1024/1024</f>
        <v>0.6896912483</v>
      </c>
      <c r="I132" s="109">
        <f t="shared" si="130"/>
        <v>1.442581177</v>
      </c>
      <c r="J132" s="110">
        <v>0.0</v>
      </c>
      <c r="K132" s="107"/>
      <c r="L132" s="103"/>
      <c r="N132" s="111"/>
      <c r="O132" s="111"/>
      <c r="P132" s="111"/>
      <c r="Q132" s="111"/>
      <c r="R132" s="111"/>
      <c r="S132" s="111"/>
      <c r="T132" s="111"/>
      <c r="U132" s="103"/>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c r="BY132" s="111"/>
      <c r="BZ132" s="111"/>
    </row>
    <row r="133">
      <c r="A133" s="107" t="s">
        <v>3003</v>
      </c>
      <c r="B133" s="108">
        <v>20.0</v>
      </c>
      <c r="C133" s="108">
        <v>10.0</v>
      </c>
      <c r="D133" s="108">
        <v>0.0</v>
      </c>
      <c r="E133" s="108">
        <v>0.0</v>
      </c>
      <c r="F133" s="108">
        <v>1.2538801907E10</v>
      </c>
      <c r="G133" s="108">
        <v>1.5078055936E10</v>
      </c>
      <c r="H133" s="109">
        <f t="shared" ref="H133:I133" si="131">F133/1024/1024/1024</f>
        <v>11.67766927</v>
      </c>
      <c r="I133" s="109">
        <f t="shared" si="131"/>
        <v>14.04253387</v>
      </c>
      <c r="J133" s="110">
        <v>0.0</v>
      </c>
      <c r="K133" s="107"/>
      <c r="L133" s="103"/>
      <c r="N133" s="111"/>
      <c r="O133" s="111"/>
      <c r="P133" s="111"/>
      <c r="Q133" s="111"/>
      <c r="R133" s="111"/>
      <c r="S133" s="111"/>
      <c r="T133" s="111"/>
      <c r="U133" s="103"/>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c r="BY133" s="111"/>
      <c r="BZ133" s="111"/>
    </row>
    <row r="134">
      <c r="A134" s="107" t="s">
        <v>3004</v>
      </c>
      <c r="B134" s="108">
        <v>1421.0</v>
      </c>
      <c r="C134" s="108">
        <v>8581.0</v>
      </c>
      <c r="D134" s="108">
        <v>0.0</v>
      </c>
      <c r="E134" s="108">
        <v>0.0</v>
      </c>
      <c r="F134" s="108">
        <v>1.754659953E9</v>
      </c>
      <c r="G134" s="108">
        <v>3.173408768E9</v>
      </c>
      <c r="H134" s="109">
        <f t="shared" ref="H134:I134" si="132">F134/1024/1024/1024</f>
        <v>1.634154425</v>
      </c>
      <c r="I134" s="109">
        <f t="shared" si="132"/>
        <v>2.955467224</v>
      </c>
      <c r="J134" s="110">
        <v>0.0</v>
      </c>
      <c r="K134" s="107"/>
      <c r="L134" s="103"/>
      <c r="N134" s="111"/>
      <c r="O134" s="111"/>
      <c r="P134" s="111"/>
      <c r="Q134" s="111"/>
      <c r="R134" s="111"/>
      <c r="S134" s="111"/>
      <c r="T134" s="111"/>
      <c r="U134" s="103"/>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c r="BY134" s="111"/>
      <c r="BZ134" s="111"/>
    </row>
    <row r="135">
      <c r="A135" s="107" t="s">
        <v>3005</v>
      </c>
      <c r="B135" s="108">
        <v>1.0</v>
      </c>
      <c r="C135" s="108">
        <v>0.0</v>
      </c>
      <c r="D135" s="108">
        <v>0.0</v>
      </c>
      <c r="E135" s="108">
        <v>0.0</v>
      </c>
      <c r="F135" s="108">
        <v>0.0</v>
      </c>
      <c r="G135" s="108">
        <v>32768.0</v>
      </c>
      <c r="H135" s="109">
        <f t="shared" ref="H135:I135" si="133">F135/1024/1024/1024</f>
        <v>0</v>
      </c>
      <c r="I135" s="109">
        <f t="shared" si="133"/>
        <v>0.00003051757813</v>
      </c>
      <c r="J135" s="110">
        <v>0.0</v>
      </c>
      <c r="K135" s="107"/>
      <c r="L135" s="103"/>
      <c r="N135" s="111"/>
      <c r="O135" s="111"/>
      <c r="P135" s="111"/>
      <c r="Q135" s="111"/>
      <c r="R135" s="111"/>
      <c r="S135" s="111"/>
      <c r="T135" s="111"/>
      <c r="U135" s="103"/>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c r="BY135" s="111"/>
      <c r="BZ135" s="111"/>
    </row>
    <row r="136">
      <c r="A136" s="107" t="s">
        <v>3006</v>
      </c>
      <c r="B136" s="108">
        <v>996.0</v>
      </c>
      <c r="C136" s="108">
        <v>10517.0</v>
      </c>
      <c r="D136" s="108">
        <v>0.0</v>
      </c>
      <c r="E136" s="108">
        <v>0.0</v>
      </c>
      <c r="F136" s="108">
        <v>9.156267736E9</v>
      </c>
      <c r="G136" s="108">
        <v>1.2224077824E10</v>
      </c>
      <c r="H136" s="109">
        <f t="shared" ref="H136:I136" si="134">F136/1024/1024/1024</f>
        <v>8.527438842</v>
      </c>
      <c r="I136" s="109">
        <f t="shared" si="134"/>
        <v>11.38455963</v>
      </c>
      <c r="J136" s="110">
        <v>0.0</v>
      </c>
      <c r="K136" s="107"/>
      <c r="L136" s="103"/>
      <c r="N136" s="111"/>
      <c r="O136" s="111"/>
      <c r="P136" s="111"/>
      <c r="Q136" s="111"/>
      <c r="R136" s="111"/>
      <c r="S136" s="111"/>
      <c r="T136" s="111"/>
      <c r="U136" s="111"/>
      <c r="V136" s="103"/>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c r="BY136" s="111"/>
      <c r="BZ136" s="111"/>
    </row>
    <row r="137">
      <c r="A137" s="107" t="s">
        <v>3007</v>
      </c>
      <c r="B137" s="108">
        <v>1.0</v>
      </c>
      <c r="C137" s="108">
        <v>0.0</v>
      </c>
      <c r="D137" s="108">
        <v>0.0</v>
      </c>
      <c r="E137" s="108">
        <v>0.0</v>
      </c>
      <c r="F137" s="108">
        <v>0.0</v>
      </c>
      <c r="G137" s="108">
        <v>32768.0</v>
      </c>
      <c r="H137" s="109">
        <f t="shared" ref="H137:I137" si="135">F137/1024/1024/1024</f>
        <v>0</v>
      </c>
      <c r="I137" s="109">
        <f t="shared" si="135"/>
        <v>0.00003051757813</v>
      </c>
      <c r="J137" s="110">
        <v>0.0</v>
      </c>
      <c r="K137" s="107"/>
      <c r="L137" s="103"/>
      <c r="N137" s="111"/>
      <c r="O137" s="111"/>
      <c r="P137" s="111"/>
      <c r="Q137" s="111"/>
      <c r="R137" s="111"/>
      <c r="S137" s="111"/>
      <c r="T137" s="111"/>
      <c r="U137" s="111"/>
      <c r="V137" s="103"/>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c r="BY137" s="111"/>
      <c r="BZ137" s="111"/>
    </row>
    <row r="138">
      <c r="A138" s="107" t="s">
        <v>3008</v>
      </c>
      <c r="B138" s="108">
        <v>12907.0</v>
      </c>
      <c r="C138" s="108">
        <v>67943.0</v>
      </c>
      <c r="D138" s="108">
        <v>0.0</v>
      </c>
      <c r="E138" s="108">
        <v>0.0</v>
      </c>
      <c r="F138" s="108">
        <v>3.24244116447E11</v>
      </c>
      <c r="G138" s="108">
        <v>3.98256914432E11</v>
      </c>
      <c r="H138" s="109">
        <f t="shared" ref="H138:I138" si="136">F138/1024/1024/1024</f>
        <v>301.9758653</v>
      </c>
      <c r="I138" s="109">
        <f t="shared" si="136"/>
        <v>370.9056549</v>
      </c>
      <c r="J138" s="110">
        <v>0.0</v>
      </c>
      <c r="K138" s="107"/>
      <c r="L138" s="103"/>
      <c r="O138" s="111"/>
      <c r="P138" s="111"/>
      <c r="Q138" s="111"/>
      <c r="R138" s="111"/>
      <c r="S138" s="111"/>
      <c r="T138" s="111"/>
      <c r="U138" s="111"/>
      <c r="V138" s="111"/>
      <c r="W138" s="103"/>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c r="BY138" s="111"/>
      <c r="BZ138" s="111"/>
    </row>
    <row r="139">
      <c r="A139" s="107" t="s">
        <v>3009</v>
      </c>
      <c r="B139" s="108">
        <v>1204.0</v>
      </c>
      <c r="C139" s="108">
        <v>11784.0</v>
      </c>
      <c r="D139" s="108">
        <v>0.0</v>
      </c>
      <c r="E139" s="108">
        <v>0.0</v>
      </c>
      <c r="F139" s="108">
        <v>5.4403705859E10</v>
      </c>
      <c r="G139" s="108">
        <v>6.753763328E10</v>
      </c>
      <c r="H139" s="109">
        <f t="shared" ref="H139:I139" si="137">F139/1024/1024/1024</f>
        <v>50.66739941</v>
      </c>
      <c r="I139" s="109">
        <f t="shared" si="137"/>
        <v>62.89932251</v>
      </c>
      <c r="J139" s="110">
        <v>0.0</v>
      </c>
      <c r="K139" s="107"/>
      <c r="L139" s="103"/>
      <c r="O139" s="111"/>
      <c r="P139" s="111"/>
      <c r="Q139" s="111"/>
      <c r="R139" s="111"/>
      <c r="S139" s="111"/>
      <c r="T139" s="111"/>
      <c r="U139" s="111"/>
      <c r="V139" s="111"/>
      <c r="W139" s="103"/>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c r="BY139" s="111"/>
      <c r="BZ139" s="111"/>
    </row>
    <row r="140">
      <c r="A140" s="107" t="s">
        <v>3010</v>
      </c>
      <c r="B140" s="108">
        <v>1.0</v>
      </c>
      <c r="C140" s="108">
        <v>0.0</v>
      </c>
      <c r="D140" s="108">
        <v>0.0</v>
      </c>
      <c r="E140" s="108">
        <v>0.0</v>
      </c>
      <c r="F140" s="108">
        <v>0.0</v>
      </c>
      <c r="G140" s="108">
        <v>32768.0</v>
      </c>
      <c r="H140" s="109">
        <f t="shared" ref="H140:I140" si="138">F140/1024/1024/1024</f>
        <v>0</v>
      </c>
      <c r="I140" s="109">
        <f t="shared" si="138"/>
        <v>0.00003051757813</v>
      </c>
      <c r="J140" s="110">
        <v>0.0</v>
      </c>
      <c r="K140" s="107"/>
      <c r="L140" s="103"/>
      <c r="O140" s="111"/>
      <c r="P140" s="111"/>
      <c r="Q140" s="111"/>
      <c r="R140" s="111"/>
      <c r="S140" s="111"/>
      <c r="T140" s="111"/>
      <c r="U140" s="111"/>
      <c r="V140" s="111"/>
      <c r="W140" s="103"/>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c r="BY140" s="111"/>
      <c r="BZ140" s="111"/>
    </row>
    <row r="141">
      <c r="A141" s="107" t="s">
        <v>3011</v>
      </c>
      <c r="B141" s="108">
        <v>2.0</v>
      </c>
      <c r="C141" s="108">
        <v>0.0</v>
      </c>
      <c r="D141" s="108">
        <v>0.0</v>
      </c>
      <c r="E141" s="108">
        <v>0.0</v>
      </c>
      <c r="F141" s="108">
        <v>27.0</v>
      </c>
      <c r="G141" s="108">
        <v>65536.0</v>
      </c>
      <c r="H141" s="109">
        <f t="shared" ref="H141:I141" si="139">F141/1024/1024/1024</f>
        <v>0.00000002514570951</v>
      </c>
      <c r="I141" s="109">
        <f t="shared" si="139"/>
        <v>0.00006103515625</v>
      </c>
      <c r="J141" s="110">
        <v>0.0</v>
      </c>
      <c r="K141" s="107"/>
      <c r="L141" s="103"/>
      <c r="O141" s="111"/>
      <c r="P141" s="111"/>
      <c r="Q141" s="111"/>
      <c r="R141" s="111"/>
      <c r="S141" s="111"/>
      <c r="T141" s="111"/>
      <c r="U141" s="111"/>
      <c r="V141" s="111"/>
      <c r="W141" s="103"/>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c r="BY141" s="111"/>
      <c r="BZ141" s="111"/>
    </row>
    <row r="142">
      <c r="A142" s="107" t="s">
        <v>3012</v>
      </c>
      <c r="B142" s="108">
        <v>8.0</v>
      </c>
      <c r="C142" s="108">
        <v>0.0</v>
      </c>
      <c r="D142" s="108">
        <v>0.0</v>
      </c>
      <c r="E142" s="108">
        <v>0.0</v>
      </c>
      <c r="F142" s="108">
        <v>224.0</v>
      </c>
      <c r="G142" s="108">
        <v>262144.0</v>
      </c>
      <c r="H142" s="109">
        <f t="shared" ref="H142:I142" si="140">F142/1024/1024/1024</f>
        <v>0.0000002086162567</v>
      </c>
      <c r="I142" s="109">
        <f t="shared" si="140"/>
        <v>0.000244140625</v>
      </c>
      <c r="J142" s="110">
        <v>0.0</v>
      </c>
      <c r="K142" s="107"/>
      <c r="L142" s="103"/>
      <c r="O142" s="111"/>
      <c r="P142" s="111"/>
      <c r="Q142" s="111"/>
      <c r="R142" s="111"/>
      <c r="S142" s="111"/>
      <c r="T142" s="111"/>
      <c r="U142" s="111"/>
      <c r="V142" s="111"/>
      <c r="W142" s="103"/>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c r="BY142" s="111"/>
      <c r="BZ142" s="111"/>
    </row>
    <row r="143">
      <c r="A143" s="107" t="s">
        <v>3013</v>
      </c>
      <c r="B143" s="108">
        <v>9.0</v>
      </c>
      <c r="C143" s="108">
        <v>0.0</v>
      </c>
      <c r="D143" s="108">
        <v>0.0</v>
      </c>
      <c r="E143" s="108">
        <v>0.0</v>
      </c>
      <c r="F143" s="108">
        <v>274.0</v>
      </c>
      <c r="G143" s="108">
        <v>294912.0</v>
      </c>
      <c r="H143" s="109">
        <f t="shared" ref="H143:I143" si="141">F143/1024/1024/1024</f>
        <v>0.0000002551823854</v>
      </c>
      <c r="I143" s="109">
        <f t="shared" si="141"/>
        <v>0.0002746582031</v>
      </c>
      <c r="J143" s="110">
        <v>0.0</v>
      </c>
      <c r="K143" s="107"/>
      <c r="L143" s="103"/>
      <c r="O143" s="111"/>
      <c r="P143" s="111"/>
      <c r="Q143" s="111"/>
      <c r="R143" s="111"/>
      <c r="S143" s="111"/>
      <c r="T143" s="111"/>
      <c r="U143" s="111"/>
      <c r="V143" s="111"/>
      <c r="W143" s="103"/>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c r="BY143" s="111"/>
      <c r="BZ143" s="111"/>
    </row>
    <row r="144">
      <c r="A144" s="107" t="s">
        <v>3014</v>
      </c>
      <c r="B144" s="108">
        <v>30.0</v>
      </c>
      <c r="C144" s="108">
        <v>0.0</v>
      </c>
      <c r="D144" s="108">
        <v>0.0</v>
      </c>
      <c r="E144" s="108">
        <v>0.0</v>
      </c>
      <c r="F144" s="108">
        <v>1011.0</v>
      </c>
      <c r="G144" s="108">
        <v>983040.0</v>
      </c>
      <c r="H144" s="109">
        <f t="shared" ref="H144:I144" si="142">F144/1024/1024/1024</f>
        <v>0.0000009415671229</v>
      </c>
      <c r="I144" s="109">
        <f t="shared" si="142"/>
        <v>0.0009155273438</v>
      </c>
      <c r="J144" s="110">
        <v>0.0</v>
      </c>
      <c r="K144" s="107"/>
      <c r="L144" s="103"/>
      <c r="N144" s="111"/>
      <c r="O144" s="111"/>
      <c r="P144" s="111"/>
      <c r="Q144" s="111"/>
      <c r="R144" s="111"/>
      <c r="S144" s="111"/>
      <c r="T144" s="111"/>
      <c r="U144" s="111"/>
      <c r="V144" s="111"/>
      <c r="W144" s="111"/>
      <c r="X144" s="103"/>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c r="BY144" s="111"/>
      <c r="BZ144" s="111"/>
    </row>
    <row r="145">
      <c r="A145" s="107" t="s">
        <v>3015</v>
      </c>
      <c r="B145" s="108">
        <v>1.0</v>
      </c>
      <c r="C145" s="108">
        <v>0.0</v>
      </c>
      <c r="D145" s="108">
        <v>0.0</v>
      </c>
      <c r="E145" s="108">
        <v>0.0</v>
      </c>
      <c r="F145" s="108">
        <v>0.0</v>
      </c>
      <c r="G145" s="108">
        <v>32768.0</v>
      </c>
      <c r="H145" s="109">
        <f t="shared" ref="H145:I145" si="143">F145/1024/1024/1024</f>
        <v>0</v>
      </c>
      <c r="I145" s="109">
        <f t="shared" si="143"/>
        <v>0.00003051757813</v>
      </c>
      <c r="J145" s="110">
        <v>0.0</v>
      </c>
      <c r="K145" s="107"/>
      <c r="L145" s="103"/>
      <c r="N145" s="111"/>
      <c r="O145" s="111"/>
      <c r="P145" s="111"/>
      <c r="Q145" s="111"/>
      <c r="R145" s="111"/>
      <c r="S145" s="111"/>
      <c r="T145" s="111"/>
      <c r="U145" s="111"/>
      <c r="V145" s="111"/>
      <c r="W145" s="111"/>
      <c r="X145" s="103"/>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c r="BY145" s="111"/>
      <c r="BZ145" s="111"/>
    </row>
    <row r="146">
      <c r="A146" s="107" t="s">
        <v>3016</v>
      </c>
      <c r="B146" s="108">
        <v>11.0</v>
      </c>
      <c r="C146" s="108">
        <v>0.0</v>
      </c>
      <c r="D146" s="108">
        <v>0.0</v>
      </c>
      <c r="E146" s="108">
        <v>0.0</v>
      </c>
      <c r="F146" s="108">
        <v>323.0</v>
      </c>
      <c r="G146" s="108">
        <v>360448.0</v>
      </c>
      <c r="H146" s="109">
        <f t="shared" ref="H146:I146" si="144">F146/1024/1024/1024</f>
        <v>0.0000003008171916</v>
      </c>
      <c r="I146" s="109">
        <f t="shared" si="144"/>
        <v>0.0003356933594</v>
      </c>
      <c r="J146" s="110">
        <v>0.0</v>
      </c>
      <c r="K146" s="107"/>
      <c r="L146" s="103"/>
      <c r="N146" s="111"/>
      <c r="O146" s="111"/>
      <c r="P146" s="111"/>
      <c r="Q146" s="111"/>
      <c r="R146" s="111"/>
      <c r="S146" s="111"/>
      <c r="T146" s="111"/>
      <c r="U146" s="111"/>
      <c r="V146" s="111"/>
      <c r="W146" s="111"/>
      <c r="X146" s="103"/>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c r="BY146" s="111"/>
      <c r="BZ146" s="111"/>
    </row>
    <row r="147">
      <c r="A147" s="107" t="s">
        <v>3017</v>
      </c>
      <c r="B147" s="108">
        <v>14.0</v>
      </c>
      <c r="C147" s="108">
        <v>24.0</v>
      </c>
      <c r="D147" s="108">
        <v>0.0</v>
      </c>
      <c r="E147" s="108">
        <v>0.0</v>
      </c>
      <c r="F147" s="108">
        <v>5006540.0</v>
      </c>
      <c r="G147" s="108">
        <v>8863744.0</v>
      </c>
      <c r="H147" s="109">
        <f t="shared" ref="H147:I147" si="145">F147/1024/1024/1024</f>
        <v>0.004662703723</v>
      </c>
      <c r="I147" s="109">
        <f t="shared" si="145"/>
        <v>0.008255004883</v>
      </c>
      <c r="J147" s="110">
        <v>0.0</v>
      </c>
      <c r="K147" s="107"/>
      <c r="L147" s="103"/>
      <c r="N147" s="111"/>
      <c r="O147" s="111"/>
      <c r="P147" s="111"/>
      <c r="Q147" s="111"/>
      <c r="R147" s="111"/>
      <c r="S147" s="111"/>
      <c r="T147" s="111"/>
      <c r="U147" s="111"/>
      <c r="V147" s="111"/>
      <c r="W147" s="111"/>
      <c r="X147" s="103"/>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c r="BY147" s="111"/>
      <c r="BZ147" s="111"/>
    </row>
    <row r="148">
      <c r="A148" s="107" t="s">
        <v>3018</v>
      </c>
      <c r="B148" s="108">
        <v>1.0</v>
      </c>
      <c r="C148" s="108">
        <v>0.0</v>
      </c>
      <c r="D148" s="108">
        <v>0.0</v>
      </c>
      <c r="E148" s="108">
        <v>0.0</v>
      </c>
      <c r="F148" s="108">
        <v>0.0</v>
      </c>
      <c r="G148" s="108">
        <v>32768.0</v>
      </c>
      <c r="H148" s="109">
        <f t="shared" ref="H148:I148" si="146">F148/1024/1024/1024</f>
        <v>0</v>
      </c>
      <c r="I148" s="109">
        <f t="shared" si="146"/>
        <v>0.00003051757813</v>
      </c>
      <c r="J148" s="110">
        <v>0.0</v>
      </c>
      <c r="K148" s="107"/>
      <c r="L148" s="103"/>
      <c r="N148" s="111"/>
      <c r="O148" s="111"/>
      <c r="P148" s="111"/>
      <c r="Q148" s="111"/>
      <c r="R148" s="111"/>
      <c r="S148" s="111"/>
      <c r="T148" s="111"/>
      <c r="U148" s="111"/>
      <c r="V148" s="111"/>
      <c r="W148" s="111"/>
      <c r="X148" s="103"/>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c r="BY148" s="111"/>
      <c r="BZ148" s="111"/>
    </row>
    <row r="149">
      <c r="A149" s="107" t="s">
        <v>3019</v>
      </c>
      <c r="B149" s="108">
        <v>7030.0</v>
      </c>
      <c r="C149" s="108">
        <v>76429.0</v>
      </c>
      <c r="D149" s="108">
        <v>0.0</v>
      </c>
      <c r="E149" s="108">
        <v>0.0</v>
      </c>
      <c r="F149" s="108">
        <v>1.334079245E10</v>
      </c>
      <c r="G149" s="108">
        <v>2.1927288832E10</v>
      </c>
      <c r="H149" s="109">
        <f t="shared" ref="H149:I149" si="147">F149/1024/1024/1024</f>
        <v>12.42458117</v>
      </c>
      <c r="I149" s="109">
        <f t="shared" si="147"/>
        <v>20.42137909</v>
      </c>
      <c r="J149" s="110">
        <v>0.0</v>
      </c>
      <c r="K149" s="107"/>
      <c r="L149" s="103"/>
      <c r="P149" s="111"/>
      <c r="Q149" s="111"/>
      <c r="R149" s="111"/>
      <c r="S149" s="111"/>
      <c r="T149" s="111"/>
      <c r="U149" s="111"/>
      <c r="V149" s="111"/>
      <c r="W149" s="111"/>
      <c r="X149" s="111"/>
      <c r="Y149" s="103"/>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c r="BY149" s="111"/>
      <c r="BZ149" s="111"/>
    </row>
    <row r="150">
      <c r="A150" s="107" t="s">
        <v>3020</v>
      </c>
      <c r="B150" s="108">
        <v>176.0</v>
      </c>
      <c r="C150" s="108">
        <v>374.0</v>
      </c>
      <c r="D150" s="108">
        <v>0.0</v>
      </c>
      <c r="E150" s="108">
        <v>0.0</v>
      </c>
      <c r="F150" s="108">
        <v>1.548159507E9</v>
      </c>
      <c r="G150" s="108">
        <v>1.913798656E9</v>
      </c>
      <c r="H150" s="109">
        <f t="shared" ref="H150:I150" si="148">F150/1024/1024/1024</f>
        <v>1.441835898</v>
      </c>
      <c r="I150" s="109">
        <f t="shared" si="148"/>
        <v>1.782363892</v>
      </c>
      <c r="J150" s="110">
        <v>0.0</v>
      </c>
      <c r="K150" s="107"/>
      <c r="L150" s="103"/>
      <c r="O150" s="111"/>
      <c r="P150" s="111"/>
      <c r="Q150" s="111"/>
      <c r="R150" s="111"/>
      <c r="S150" s="111"/>
      <c r="T150" s="111"/>
      <c r="U150" s="111"/>
      <c r="V150" s="111"/>
      <c r="W150" s="111"/>
      <c r="X150" s="111"/>
      <c r="Y150" s="111"/>
      <c r="Z150" s="103"/>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c r="BY150" s="111"/>
      <c r="BZ150" s="111"/>
    </row>
    <row r="151">
      <c r="A151" s="107" t="s">
        <v>3021</v>
      </c>
      <c r="B151" s="108">
        <v>28344.0</v>
      </c>
      <c r="C151" s="108">
        <v>162482.0</v>
      </c>
      <c r="D151" s="108">
        <v>0.0</v>
      </c>
      <c r="E151" s="108">
        <v>0.0</v>
      </c>
      <c r="F151" s="108">
        <v>8.2178770952E10</v>
      </c>
      <c r="G151" s="108">
        <v>1.1963408384E11</v>
      </c>
      <c r="H151" s="109">
        <f t="shared" ref="H151:I151" si="149">F151/1024/1024/1024</f>
        <v>76.53494454</v>
      </c>
      <c r="I151" s="109">
        <f t="shared" si="149"/>
        <v>111.417923</v>
      </c>
      <c r="J151" s="110">
        <v>0.0</v>
      </c>
      <c r="K151" s="107"/>
      <c r="L151" s="103"/>
      <c r="O151" s="111"/>
      <c r="P151" s="111"/>
      <c r="Q151" s="111"/>
      <c r="R151" s="111"/>
      <c r="S151" s="111"/>
      <c r="T151" s="111"/>
      <c r="U151" s="111"/>
      <c r="V151" s="111"/>
      <c r="W151" s="111"/>
      <c r="X151" s="111"/>
      <c r="Y151" s="111"/>
      <c r="Z151" s="103"/>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c r="BY151" s="111"/>
      <c r="BZ151" s="111"/>
    </row>
    <row r="152">
      <c r="A152" s="107" t="s">
        <v>3022</v>
      </c>
      <c r="B152" s="108">
        <v>8258.0</v>
      </c>
      <c r="C152" s="108">
        <v>60196.0</v>
      </c>
      <c r="D152" s="108">
        <v>0.0</v>
      </c>
      <c r="E152" s="108">
        <v>0.0</v>
      </c>
      <c r="F152" s="108">
        <v>2.0269130767E10</v>
      </c>
      <c r="G152" s="108">
        <v>3.0121426944E10</v>
      </c>
      <c r="H152" s="109">
        <f t="shared" ref="H152:I152" si="150">F152/1024/1024/1024</f>
        <v>18.87709905</v>
      </c>
      <c r="I152" s="109">
        <f t="shared" si="150"/>
        <v>28.05276489</v>
      </c>
      <c r="J152" s="110">
        <v>0.0</v>
      </c>
      <c r="K152" s="107"/>
      <c r="L152" s="103"/>
      <c r="O152" s="111"/>
      <c r="P152" s="111"/>
      <c r="Q152" s="111"/>
      <c r="R152" s="111"/>
      <c r="S152" s="111"/>
      <c r="T152" s="111"/>
      <c r="U152" s="111"/>
      <c r="V152" s="111"/>
      <c r="W152" s="111"/>
      <c r="X152" s="111"/>
      <c r="Y152" s="111"/>
      <c r="Z152" s="103"/>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c r="BY152" s="111"/>
      <c r="BZ152" s="111"/>
    </row>
    <row r="153">
      <c r="A153" s="107" t="s">
        <v>3023</v>
      </c>
      <c r="B153" s="108">
        <v>3118.0</v>
      </c>
      <c r="C153" s="108">
        <v>34642.0</v>
      </c>
      <c r="D153" s="108">
        <v>0.0</v>
      </c>
      <c r="E153" s="108">
        <v>0.0</v>
      </c>
      <c r="F153" s="108">
        <v>3.4750634191E10</v>
      </c>
      <c r="G153" s="108">
        <v>4.4851412992E10</v>
      </c>
      <c r="H153" s="109">
        <f t="shared" ref="H153:I153" si="151">F153/1024/1024/1024</f>
        <v>32.3640501</v>
      </c>
      <c r="I153" s="109">
        <f t="shared" si="151"/>
        <v>41.77113342</v>
      </c>
      <c r="J153" s="110">
        <v>0.0</v>
      </c>
      <c r="K153" s="107"/>
      <c r="L153" s="103"/>
      <c r="O153" s="111"/>
      <c r="P153" s="111"/>
      <c r="Q153" s="111"/>
      <c r="R153" s="111"/>
      <c r="S153" s="111"/>
      <c r="T153" s="111"/>
      <c r="U153" s="111"/>
      <c r="V153" s="111"/>
      <c r="W153" s="111"/>
      <c r="X153" s="111"/>
      <c r="Y153" s="111"/>
      <c r="Z153" s="103"/>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c r="BY153" s="111"/>
      <c r="BZ153" s="111"/>
    </row>
    <row r="154">
      <c r="A154" s="107" t="s">
        <v>3024</v>
      </c>
      <c r="B154" s="108">
        <v>20265.0</v>
      </c>
      <c r="C154" s="108">
        <v>132289.0</v>
      </c>
      <c r="D154" s="108">
        <v>0.0</v>
      </c>
      <c r="E154" s="108">
        <v>0.0</v>
      </c>
      <c r="F154" s="108">
        <v>1.50065149197E11</v>
      </c>
      <c r="G154" s="108">
        <v>1.9828555776E11</v>
      </c>
      <c r="H154" s="109">
        <f t="shared" ref="H154:I154" si="152">F154/1024/1024/1024</f>
        <v>139.7590611</v>
      </c>
      <c r="I154" s="109">
        <f t="shared" si="152"/>
        <v>184.6678162</v>
      </c>
      <c r="J154" s="110">
        <v>0.0</v>
      </c>
      <c r="K154" s="107"/>
      <c r="L154" s="103"/>
      <c r="O154" s="111"/>
      <c r="P154" s="111"/>
      <c r="Q154" s="111"/>
      <c r="R154" s="111"/>
      <c r="S154" s="111"/>
      <c r="T154" s="111"/>
      <c r="U154" s="111"/>
      <c r="V154" s="111"/>
      <c r="W154" s="111"/>
      <c r="X154" s="111"/>
      <c r="Y154" s="111"/>
      <c r="Z154" s="111"/>
      <c r="AA154" s="103"/>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c r="BY154" s="111"/>
      <c r="BZ154" s="111"/>
    </row>
    <row r="155">
      <c r="A155" s="107" t="s">
        <v>3025</v>
      </c>
      <c r="B155" s="108">
        <v>341.0</v>
      </c>
      <c r="C155" s="108">
        <v>1146.0</v>
      </c>
      <c r="D155" s="108">
        <v>0.0</v>
      </c>
      <c r="E155" s="108">
        <v>0.0</v>
      </c>
      <c r="F155" s="108">
        <v>1.9885849E8</v>
      </c>
      <c r="G155" s="108">
        <v>4.00769024E8</v>
      </c>
      <c r="H155" s="109">
        <f t="shared" ref="H155:I155" si="153">F155/1024/1024/1024</f>
        <v>0.1852014009</v>
      </c>
      <c r="I155" s="109">
        <f t="shared" si="153"/>
        <v>0.3732452393</v>
      </c>
      <c r="J155" s="110">
        <v>0.0</v>
      </c>
      <c r="K155" s="107"/>
      <c r="L155" s="103"/>
      <c r="O155" s="111"/>
      <c r="P155" s="111"/>
      <c r="Q155" s="111"/>
      <c r="R155" s="111"/>
      <c r="S155" s="111"/>
      <c r="T155" s="111"/>
      <c r="U155" s="111"/>
      <c r="V155" s="111"/>
      <c r="W155" s="111"/>
      <c r="X155" s="111"/>
      <c r="Y155" s="111"/>
      <c r="Z155" s="111"/>
      <c r="AA155" s="103"/>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c r="BY155" s="111"/>
      <c r="BZ155" s="111"/>
    </row>
    <row r="156">
      <c r="A156" s="107" t="s">
        <v>3026</v>
      </c>
      <c r="B156" s="108">
        <v>40.0</v>
      </c>
      <c r="C156" s="108">
        <v>0.0</v>
      </c>
      <c r="D156" s="108">
        <v>0.0</v>
      </c>
      <c r="E156" s="108">
        <v>0.0</v>
      </c>
      <c r="F156" s="108">
        <v>1245.0</v>
      </c>
      <c r="G156" s="108">
        <v>1310720.0</v>
      </c>
      <c r="H156" s="109">
        <f t="shared" ref="H156:I156" si="154">F156/1024/1024/1024</f>
        <v>0.000001159496605</v>
      </c>
      <c r="I156" s="109">
        <f t="shared" si="154"/>
        <v>0.001220703125</v>
      </c>
      <c r="J156" s="110">
        <v>0.0</v>
      </c>
      <c r="K156" s="107"/>
      <c r="L156" s="103"/>
      <c r="O156" s="111"/>
      <c r="P156" s="111"/>
      <c r="Q156" s="111"/>
      <c r="R156" s="111"/>
      <c r="S156" s="111"/>
      <c r="T156" s="111"/>
      <c r="U156" s="111"/>
      <c r="V156" s="111"/>
      <c r="W156" s="111"/>
      <c r="X156" s="111"/>
      <c r="Y156" s="111"/>
      <c r="Z156" s="111"/>
      <c r="AA156" s="103"/>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c r="BY156" s="111"/>
      <c r="BZ156" s="111"/>
    </row>
    <row r="157">
      <c r="A157" s="107" t="s">
        <v>3027</v>
      </c>
      <c r="B157" s="108">
        <v>6.0</v>
      </c>
      <c r="C157" s="108">
        <v>0.0</v>
      </c>
      <c r="D157" s="108">
        <v>0.0</v>
      </c>
      <c r="E157" s="108">
        <v>0.0</v>
      </c>
      <c r="F157" s="108">
        <v>145.0</v>
      </c>
      <c r="G157" s="108">
        <v>196608.0</v>
      </c>
      <c r="H157" s="109">
        <f t="shared" ref="H157:I157" si="155">F157/1024/1024/1024</f>
        <v>0.0000001350417733</v>
      </c>
      <c r="I157" s="109">
        <f t="shared" si="155"/>
        <v>0.0001831054688</v>
      </c>
      <c r="J157" s="110">
        <v>0.0</v>
      </c>
      <c r="K157" s="107"/>
      <c r="L157" s="103"/>
      <c r="O157" s="111"/>
      <c r="P157" s="111"/>
      <c r="Q157" s="111"/>
      <c r="R157" s="111"/>
      <c r="S157" s="111"/>
      <c r="T157" s="111"/>
      <c r="U157" s="111"/>
      <c r="V157" s="111"/>
      <c r="W157" s="111"/>
      <c r="X157" s="111"/>
      <c r="Y157" s="111"/>
      <c r="Z157" s="111"/>
      <c r="AA157" s="103"/>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c r="BY157" s="111"/>
      <c r="BZ157" s="111"/>
    </row>
    <row r="158">
      <c r="A158" s="107" t="s">
        <v>3028</v>
      </c>
      <c r="B158" s="108">
        <v>6.0</v>
      </c>
      <c r="C158" s="108">
        <v>0.0</v>
      </c>
      <c r="D158" s="108">
        <v>0.0</v>
      </c>
      <c r="E158" s="108">
        <v>0.0</v>
      </c>
      <c r="F158" s="108">
        <v>179.0</v>
      </c>
      <c r="G158" s="108">
        <v>196608.0</v>
      </c>
      <c r="H158" s="109">
        <f t="shared" ref="H158:I158" si="156">F158/1024/1024/1024</f>
        <v>0.0000001667067409</v>
      </c>
      <c r="I158" s="109">
        <f t="shared" si="156"/>
        <v>0.0001831054688</v>
      </c>
      <c r="J158" s="110">
        <v>0.0</v>
      </c>
      <c r="K158" s="107"/>
      <c r="L158" s="103"/>
      <c r="O158" s="111"/>
      <c r="P158" s="111"/>
      <c r="Q158" s="111"/>
      <c r="R158" s="111"/>
      <c r="S158" s="111"/>
      <c r="T158" s="111"/>
      <c r="U158" s="111"/>
      <c r="V158" s="111"/>
      <c r="W158" s="111"/>
      <c r="X158" s="111"/>
      <c r="Y158" s="111"/>
      <c r="Z158" s="111"/>
      <c r="AA158" s="103"/>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c r="BY158" s="111"/>
      <c r="BZ158" s="111"/>
    </row>
    <row r="159">
      <c r="A159" s="107" t="s">
        <v>3029</v>
      </c>
      <c r="B159" s="108">
        <v>6.0</v>
      </c>
      <c r="C159" s="108">
        <v>0.0</v>
      </c>
      <c r="D159" s="108">
        <v>0.0</v>
      </c>
      <c r="E159" s="108">
        <v>0.0</v>
      </c>
      <c r="F159" s="108">
        <v>168.0</v>
      </c>
      <c r="G159" s="108">
        <v>196608.0</v>
      </c>
      <c r="H159" s="109">
        <f t="shared" ref="H159:I159" si="157">F159/1024/1024/1024</f>
        <v>0.0000001564621925</v>
      </c>
      <c r="I159" s="109">
        <f t="shared" si="157"/>
        <v>0.0001831054688</v>
      </c>
      <c r="J159" s="110">
        <v>0.0</v>
      </c>
      <c r="K159" s="107"/>
      <c r="L159" s="103"/>
      <c r="O159" s="111"/>
      <c r="P159" s="111"/>
      <c r="Q159" s="111"/>
      <c r="R159" s="111"/>
      <c r="S159" s="111"/>
      <c r="T159" s="111"/>
      <c r="U159" s="111"/>
      <c r="V159" s="111"/>
      <c r="W159" s="111"/>
      <c r="X159" s="111"/>
      <c r="Y159" s="111"/>
      <c r="Z159" s="111"/>
      <c r="AA159" s="103"/>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c r="BY159" s="111"/>
      <c r="BZ159" s="111"/>
    </row>
    <row r="160">
      <c r="A160" s="107" t="s">
        <v>3030</v>
      </c>
      <c r="B160" s="108">
        <v>7.0</v>
      </c>
      <c r="C160" s="108">
        <v>0.0</v>
      </c>
      <c r="D160" s="108">
        <v>0.0</v>
      </c>
      <c r="E160" s="108">
        <v>0.0</v>
      </c>
      <c r="F160" s="108">
        <v>183.0</v>
      </c>
      <c r="G160" s="108">
        <v>229376.0</v>
      </c>
      <c r="H160" s="109">
        <f t="shared" ref="H160:I160" si="158">F160/1024/1024/1024</f>
        <v>0.0000001704320312</v>
      </c>
      <c r="I160" s="109">
        <f t="shared" si="158"/>
        <v>0.0002136230469</v>
      </c>
      <c r="J160" s="110">
        <v>0.0</v>
      </c>
      <c r="K160" s="107"/>
      <c r="L160" s="103"/>
      <c r="O160" s="111"/>
      <c r="P160" s="111"/>
      <c r="Q160" s="111"/>
      <c r="R160" s="111"/>
      <c r="S160" s="111"/>
      <c r="T160" s="111"/>
      <c r="U160" s="111"/>
      <c r="V160" s="111"/>
      <c r="W160" s="111"/>
      <c r="X160" s="111"/>
      <c r="Y160" s="111"/>
      <c r="Z160" s="111"/>
      <c r="AA160" s="103"/>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c r="BY160" s="111"/>
      <c r="BZ160" s="111"/>
    </row>
    <row r="161">
      <c r="A161" s="107" t="s">
        <v>3031</v>
      </c>
      <c r="B161" s="108">
        <v>1.0</v>
      </c>
      <c r="C161" s="108">
        <v>0.0</v>
      </c>
      <c r="D161" s="108">
        <v>0.0</v>
      </c>
      <c r="E161" s="108">
        <v>0.0</v>
      </c>
      <c r="F161" s="108">
        <v>0.0</v>
      </c>
      <c r="G161" s="108">
        <v>32768.0</v>
      </c>
      <c r="H161" s="109">
        <f t="shared" ref="H161:I161" si="159">F161/1024/1024/1024</f>
        <v>0</v>
      </c>
      <c r="I161" s="109">
        <f t="shared" si="159"/>
        <v>0.00003051757813</v>
      </c>
      <c r="J161" s="110">
        <v>0.0</v>
      </c>
      <c r="K161" s="107"/>
      <c r="L161" s="103"/>
      <c r="O161" s="111"/>
      <c r="P161" s="111"/>
      <c r="Q161" s="111"/>
      <c r="R161" s="111"/>
      <c r="S161" s="111"/>
      <c r="T161" s="111"/>
      <c r="U161" s="111"/>
      <c r="V161" s="111"/>
      <c r="W161" s="111"/>
      <c r="X161" s="111"/>
      <c r="Y161" s="111"/>
      <c r="Z161" s="111"/>
      <c r="AA161" s="103"/>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c r="BY161" s="111"/>
      <c r="BZ161" s="111"/>
    </row>
    <row r="162">
      <c r="A162" s="107" t="s">
        <v>3032</v>
      </c>
      <c r="B162" s="108">
        <v>26.0</v>
      </c>
      <c r="C162" s="108">
        <v>0.0</v>
      </c>
      <c r="D162" s="108">
        <v>0.0</v>
      </c>
      <c r="E162" s="108">
        <v>0.0</v>
      </c>
      <c r="F162" s="108">
        <v>887.0</v>
      </c>
      <c r="G162" s="108">
        <v>851968.0</v>
      </c>
      <c r="H162" s="109">
        <f t="shared" ref="H162:I162" si="160">F162/1024/1024/1024</f>
        <v>0.0000008260831237</v>
      </c>
      <c r="I162" s="109">
        <f t="shared" si="160"/>
        <v>0.0007934570313</v>
      </c>
      <c r="J162" s="110">
        <v>0.0</v>
      </c>
      <c r="K162" s="107"/>
      <c r="L162" s="103"/>
      <c r="O162" s="111"/>
      <c r="P162" s="111"/>
      <c r="Q162" s="111"/>
      <c r="R162" s="111"/>
      <c r="S162" s="111"/>
      <c r="T162" s="111"/>
      <c r="U162" s="111"/>
      <c r="V162" s="111"/>
      <c r="W162" s="111"/>
      <c r="X162" s="111"/>
      <c r="Y162" s="111"/>
      <c r="Z162" s="111"/>
      <c r="AA162" s="103"/>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c r="BY162" s="111"/>
      <c r="BZ162" s="111"/>
    </row>
    <row r="163">
      <c r="A163" s="107" t="s">
        <v>3033</v>
      </c>
      <c r="B163" s="108">
        <v>12.0</v>
      </c>
      <c r="C163" s="108">
        <v>0.0</v>
      </c>
      <c r="D163" s="108">
        <v>0.0</v>
      </c>
      <c r="E163" s="108">
        <v>0.0</v>
      </c>
      <c r="F163" s="108">
        <v>406.0</v>
      </c>
      <c r="G163" s="108">
        <v>393216.0</v>
      </c>
      <c r="H163" s="109">
        <f t="shared" ref="H163:I163" si="161">F163/1024/1024/1024</f>
        <v>0.0000003781169653</v>
      </c>
      <c r="I163" s="109">
        <f t="shared" si="161"/>
        <v>0.0003662109375</v>
      </c>
      <c r="J163" s="110">
        <v>0.0</v>
      </c>
      <c r="K163" s="107"/>
      <c r="L163" s="103"/>
      <c r="O163" s="111"/>
      <c r="P163" s="111"/>
      <c r="Q163" s="111"/>
      <c r="R163" s="111"/>
      <c r="S163" s="111"/>
      <c r="T163" s="111"/>
      <c r="U163" s="111"/>
      <c r="V163" s="111"/>
      <c r="W163" s="111"/>
      <c r="X163" s="111"/>
      <c r="Y163" s="111"/>
      <c r="Z163" s="111"/>
      <c r="AA163" s="111"/>
      <c r="AB163" s="103"/>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c r="BY163" s="111"/>
      <c r="BZ163" s="111"/>
    </row>
    <row r="164">
      <c r="A164" s="107" t="s">
        <v>3034</v>
      </c>
      <c r="B164" s="108">
        <v>8.0</v>
      </c>
      <c r="C164" s="108">
        <v>0.0</v>
      </c>
      <c r="D164" s="108">
        <v>0.0</v>
      </c>
      <c r="E164" s="108">
        <v>0.0</v>
      </c>
      <c r="F164" s="108">
        <v>235.0</v>
      </c>
      <c r="G164" s="108">
        <v>262144.0</v>
      </c>
      <c r="H164" s="109">
        <f t="shared" ref="H164:I164" si="162">F164/1024/1024/1024</f>
        <v>0.000000218860805</v>
      </c>
      <c r="I164" s="109">
        <f t="shared" si="162"/>
        <v>0.000244140625</v>
      </c>
      <c r="J164" s="110">
        <v>0.0</v>
      </c>
      <c r="K164" s="107"/>
      <c r="L164" s="103"/>
      <c r="O164" s="111"/>
      <c r="P164" s="111"/>
      <c r="Q164" s="111"/>
      <c r="R164" s="111"/>
      <c r="S164" s="111"/>
      <c r="T164" s="111"/>
      <c r="U164" s="111"/>
      <c r="V164" s="111"/>
      <c r="W164" s="111"/>
      <c r="X164" s="111"/>
      <c r="Y164" s="111"/>
      <c r="Z164" s="111"/>
      <c r="AA164" s="111"/>
      <c r="AB164" s="103"/>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c r="BY164" s="111"/>
      <c r="BZ164" s="111"/>
    </row>
    <row r="165">
      <c r="A165" s="107" t="s">
        <v>3035</v>
      </c>
      <c r="B165" s="108">
        <v>6.0</v>
      </c>
      <c r="C165" s="108">
        <v>0.0</v>
      </c>
      <c r="D165" s="108">
        <v>0.0</v>
      </c>
      <c r="E165" s="108">
        <v>0.0</v>
      </c>
      <c r="F165" s="108">
        <v>185.0</v>
      </c>
      <c r="G165" s="108">
        <v>196608.0</v>
      </c>
      <c r="H165" s="109">
        <f t="shared" ref="H165:I165" si="163">F165/1024/1024/1024</f>
        <v>0.0000001722946763</v>
      </c>
      <c r="I165" s="109">
        <f t="shared" si="163"/>
        <v>0.0001831054688</v>
      </c>
      <c r="J165" s="110">
        <v>0.0</v>
      </c>
      <c r="K165" s="107"/>
      <c r="L165" s="103"/>
      <c r="O165" s="111"/>
      <c r="P165" s="111"/>
      <c r="Q165" s="111"/>
      <c r="R165" s="111"/>
      <c r="S165" s="111"/>
      <c r="T165" s="111"/>
      <c r="U165" s="111"/>
      <c r="V165" s="111"/>
      <c r="W165" s="111"/>
      <c r="X165" s="111"/>
      <c r="Y165" s="111"/>
      <c r="Z165" s="111"/>
      <c r="AA165" s="111"/>
      <c r="AB165" s="103"/>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c r="BY165" s="111"/>
      <c r="BZ165" s="111"/>
    </row>
    <row r="166">
      <c r="A166" s="107" t="s">
        <v>3036</v>
      </c>
      <c r="B166" s="108">
        <v>4.0</v>
      </c>
      <c r="C166" s="108">
        <v>0.0</v>
      </c>
      <c r="D166" s="108">
        <v>0.0</v>
      </c>
      <c r="E166" s="108">
        <v>0.0</v>
      </c>
      <c r="F166" s="108">
        <v>100.0</v>
      </c>
      <c r="G166" s="108">
        <v>131072.0</v>
      </c>
      <c r="H166" s="109">
        <f t="shared" ref="H166:I166" si="164">F166/1024/1024/1024</f>
        <v>0.00000009313225746</v>
      </c>
      <c r="I166" s="109">
        <f t="shared" si="164"/>
        <v>0.0001220703125</v>
      </c>
      <c r="J166" s="110">
        <v>0.0</v>
      </c>
      <c r="K166" s="107"/>
      <c r="L166" s="103"/>
      <c r="O166" s="111"/>
      <c r="P166" s="111"/>
      <c r="Q166" s="111"/>
      <c r="R166" s="111"/>
      <c r="S166" s="111"/>
      <c r="T166" s="111"/>
      <c r="U166" s="111"/>
      <c r="V166" s="111"/>
      <c r="W166" s="111"/>
      <c r="X166" s="111"/>
      <c r="Y166" s="111"/>
      <c r="Z166" s="111"/>
      <c r="AA166" s="111"/>
      <c r="AB166" s="103"/>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c r="BY166" s="111"/>
      <c r="BZ166" s="111"/>
    </row>
    <row r="167">
      <c r="A167" s="107" t="s">
        <v>3037</v>
      </c>
      <c r="B167" s="108">
        <v>299.0</v>
      </c>
      <c r="C167" s="108">
        <v>15808.0</v>
      </c>
      <c r="D167" s="108">
        <v>0.0</v>
      </c>
      <c r="E167" s="108">
        <v>0.0</v>
      </c>
      <c r="F167" s="108">
        <v>5.9016505141E10</v>
      </c>
      <c r="G167" s="108">
        <v>7.3253052416E10</v>
      </c>
      <c r="H167" s="109">
        <f t="shared" ref="H167:I167" si="165">F167/1024/1024/1024</f>
        <v>54.96340351</v>
      </c>
      <c r="I167" s="109">
        <f t="shared" si="165"/>
        <v>68.22222137</v>
      </c>
      <c r="J167" s="110">
        <v>0.0</v>
      </c>
      <c r="K167" s="107"/>
      <c r="L167" s="103"/>
      <c r="O167" s="111"/>
      <c r="P167" s="111"/>
      <c r="Q167" s="111"/>
      <c r="R167" s="111"/>
      <c r="S167" s="111"/>
      <c r="T167" s="111"/>
      <c r="U167" s="111"/>
      <c r="V167" s="111"/>
      <c r="W167" s="111"/>
      <c r="X167" s="111"/>
      <c r="Y167" s="111"/>
      <c r="Z167" s="111"/>
      <c r="AA167" s="111"/>
      <c r="AB167" s="103"/>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c r="BY167" s="111"/>
      <c r="BZ167" s="111"/>
    </row>
    <row r="168">
      <c r="A168" s="107" t="s">
        <v>3038</v>
      </c>
      <c r="B168" s="108">
        <v>1.0</v>
      </c>
      <c r="C168" s="108">
        <v>0.0</v>
      </c>
      <c r="D168" s="108">
        <v>0.0</v>
      </c>
      <c r="E168" s="108">
        <v>0.0</v>
      </c>
      <c r="F168" s="108">
        <v>0.0</v>
      </c>
      <c r="G168" s="108">
        <v>32768.0</v>
      </c>
      <c r="H168" s="109">
        <f t="shared" ref="H168:I168" si="166">F168/1024/1024/1024</f>
        <v>0</v>
      </c>
      <c r="I168" s="109">
        <f t="shared" si="166"/>
        <v>0.00003051757813</v>
      </c>
      <c r="J168" s="110">
        <v>0.0</v>
      </c>
      <c r="K168" s="107"/>
      <c r="L168" s="103"/>
      <c r="O168" s="111"/>
      <c r="P168" s="111"/>
      <c r="Q168" s="111"/>
      <c r="R168" s="111"/>
      <c r="S168" s="111"/>
      <c r="T168" s="111"/>
      <c r="U168" s="111"/>
      <c r="V168" s="111"/>
      <c r="W168" s="111"/>
      <c r="X168" s="111"/>
      <c r="Y168" s="111"/>
      <c r="Z168" s="111"/>
      <c r="AA168" s="111"/>
      <c r="AB168" s="103"/>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c r="BY168" s="111"/>
      <c r="BZ168" s="111"/>
    </row>
    <row r="169">
      <c r="A169" s="107" t="s">
        <v>3039</v>
      </c>
      <c r="B169" s="108">
        <v>1416.0</v>
      </c>
      <c r="C169" s="108">
        <v>5563.0</v>
      </c>
      <c r="D169" s="108">
        <v>0.0</v>
      </c>
      <c r="E169" s="108">
        <v>0.0</v>
      </c>
      <c r="F169" s="108">
        <v>1.06694950552E11</v>
      </c>
      <c r="G169" s="108">
        <v>1.28854499328E11</v>
      </c>
      <c r="H169" s="109">
        <f t="shared" ref="H169:I169" si="167">F169/1024/1024/1024</f>
        <v>99.36741605</v>
      </c>
      <c r="I169" s="109">
        <f t="shared" si="167"/>
        <v>120.0051041</v>
      </c>
      <c r="J169" s="110">
        <v>0.0</v>
      </c>
      <c r="K169" s="107"/>
      <c r="L169" s="103"/>
      <c r="O169" s="111"/>
      <c r="P169" s="111"/>
      <c r="Q169" s="111"/>
      <c r="R169" s="111"/>
      <c r="S169" s="111"/>
      <c r="T169" s="111"/>
      <c r="U169" s="111"/>
      <c r="V169" s="111"/>
      <c r="W169" s="111"/>
      <c r="X169" s="111"/>
      <c r="Y169" s="111"/>
      <c r="Z169" s="111"/>
      <c r="AA169" s="111"/>
      <c r="AB169" s="103"/>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c r="BY169" s="111"/>
      <c r="BZ169" s="111"/>
    </row>
    <row r="170">
      <c r="A170" s="107" t="s">
        <v>3040</v>
      </c>
      <c r="B170" s="108">
        <v>2.0</v>
      </c>
      <c r="C170" s="108">
        <v>0.0</v>
      </c>
      <c r="D170" s="108">
        <v>0.0</v>
      </c>
      <c r="E170" s="108">
        <v>0.0</v>
      </c>
      <c r="F170" s="108">
        <v>36.0</v>
      </c>
      <c r="G170" s="108">
        <v>65536.0</v>
      </c>
      <c r="H170" s="109">
        <f t="shared" ref="H170:I170" si="168">F170/1024/1024/1024</f>
        <v>0.00000003352761269</v>
      </c>
      <c r="I170" s="109">
        <f t="shared" si="168"/>
        <v>0.00006103515625</v>
      </c>
      <c r="J170" s="110">
        <v>0.0</v>
      </c>
      <c r="K170" s="107"/>
      <c r="L170" s="103"/>
      <c r="P170" s="111"/>
      <c r="Q170" s="111"/>
      <c r="R170" s="111"/>
      <c r="S170" s="111"/>
      <c r="T170" s="111"/>
      <c r="U170" s="111"/>
      <c r="V170" s="111"/>
      <c r="W170" s="111"/>
      <c r="X170" s="111"/>
      <c r="Y170" s="111"/>
      <c r="Z170" s="111"/>
      <c r="AA170" s="111"/>
      <c r="AB170" s="111"/>
      <c r="AC170" s="103"/>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c r="BY170" s="111"/>
      <c r="BZ170" s="111"/>
    </row>
    <row r="171">
      <c r="A171" s="107" t="s">
        <v>3041</v>
      </c>
      <c r="B171" s="108">
        <v>2.0</v>
      </c>
      <c r="C171" s="108">
        <v>0.0</v>
      </c>
      <c r="D171" s="108">
        <v>0.0</v>
      </c>
      <c r="E171" s="108">
        <v>0.0</v>
      </c>
      <c r="F171" s="108">
        <v>36.0</v>
      </c>
      <c r="G171" s="108">
        <v>65536.0</v>
      </c>
      <c r="H171" s="109">
        <f t="shared" ref="H171:I171" si="169">F171/1024/1024/1024</f>
        <v>0.00000003352761269</v>
      </c>
      <c r="I171" s="109">
        <f t="shared" si="169"/>
        <v>0.00006103515625</v>
      </c>
      <c r="J171" s="110">
        <v>0.0</v>
      </c>
      <c r="K171" s="107"/>
      <c r="L171" s="103"/>
      <c r="P171" s="111"/>
      <c r="Q171" s="111"/>
      <c r="R171" s="111"/>
      <c r="S171" s="111"/>
      <c r="T171" s="111"/>
      <c r="U171" s="111"/>
      <c r="V171" s="111"/>
      <c r="W171" s="111"/>
      <c r="X171" s="111"/>
      <c r="Y171" s="111"/>
      <c r="Z171" s="111"/>
      <c r="AA171" s="111"/>
      <c r="AB171" s="111"/>
      <c r="AC171" s="103"/>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c r="BY171" s="111"/>
      <c r="BZ171" s="111"/>
    </row>
    <row r="172">
      <c r="A172" s="107" t="s">
        <v>3042</v>
      </c>
      <c r="B172" s="108">
        <v>2.0</v>
      </c>
      <c r="C172" s="108">
        <v>0.0</v>
      </c>
      <c r="D172" s="108">
        <v>0.0</v>
      </c>
      <c r="E172" s="108">
        <v>0.0</v>
      </c>
      <c r="F172" s="108">
        <v>36.0</v>
      </c>
      <c r="G172" s="108">
        <v>65536.0</v>
      </c>
      <c r="H172" s="109">
        <f t="shared" ref="H172:I172" si="170">F172/1024/1024/1024</f>
        <v>0.00000003352761269</v>
      </c>
      <c r="I172" s="109">
        <f t="shared" si="170"/>
        <v>0.00006103515625</v>
      </c>
      <c r="J172" s="110">
        <v>0.0</v>
      </c>
      <c r="K172" s="107"/>
      <c r="L172" s="103"/>
      <c r="P172" s="111"/>
      <c r="Q172" s="111"/>
      <c r="R172" s="111"/>
      <c r="S172" s="111"/>
      <c r="T172" s="111"/>
      <c r="U172" s="111"/>
      <c r="V172" s="111"/>
      <c r="W172" s="111"/>
      <c r="X172" s="111"/>
      <c r="Y172" s="111"/>
      <c r="Z172" s="111"/>
      <c r="AA172" s="111"/>
      <c r="AB172" s="111"/>
      <c r="AC172" s="103"/>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c r="BY172" s="111"/>
      <c r="BZ172" s="111"/>
    </row>
    <row r="173">
      <c r="A173" s="107" t="s">
        <v>3043</v>
      </c>
      <c r="B173" s="108">
        <v>2.0</v>
      </c>
      <c r="C173" s="108">
        <v>0.0</v>
      </c>
      <c r="D173" s="108">
        <v>0.0</v>
      </c>
      <c r="E173" s="108">
        <v>0.0</v>
      </c>
      <c r="F173" s="108">
        <v>36.0</v>
      </c>
      <c r="G173" s="108">
        <v>65536.0</v>
      </c>
      <c r="H173" s="109">
        <f t="shared" ref="H173:I173" si="171">F173/1024/1024/1024</f>
        <v>0.00000003352761269</v>
      </c>
      <c r="I173" s="109">
        <f t="shared" si="171"/>
        <v>0.00006103515625</v>
      </c>
      <c r="J173" s="110">
        <v>0.0</v>
      </c>
      <c r="K173" s="107"/>
      <c r="L173" s="103"/>
      <c r="P173" s="111"/>
      <c r="Q173" s="111"/>
      <c r="R173" s="111"/>
      <c r="S173" s="111"/>
      <c r="T173" s="111"/>
      <c r="U173" s="111"/>
      <c r="V173" s="111"/>
      <c r="W173" s="111"/>
      <c r="X173" s="111"/>
      <c r="Y173" s="111"/>
      <c r="Z173" s="111"/>
      <c r="AA173" s="111"/>
      <c r="AB173" s="111"/>
      <c r="AC173" s="103"/>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c r="BY173" s="111"/>
      <c r="BZ173" s="111"/>
    </row>
    <row r="174">
      <c r="A174" s="107" t="s">
        <v>3044</v>
      </c>
      <c r="B174" s="108">
        <v>2.0</v>
      </c>
      <c r="C174" s="108">
        <v>0.0</v>
      </c>
      <c r="D174" s="108">
        <v>0.0</v>
      </c>
      <c r="E174" s="108">
        <v>0.0</v>
      </c>
      <c r="F174" s="108">
        <v>36.0</v>
      </c>
      <c r="G174" s="108">
        <v>65536.0</v>
      </c>
      <c r="H174" s="109">
        <f t="shared" ref="H174:I174" si="172">F174/1024/1024/1024</f>
        <v>0.00000003352761269</v>
      </c>
      <c r="I174" s="109">
        <f t="shared" si="172"/>
        <v>0.00006103515625</v>
      </c>
      <c r="J174" s="110">
        <v>0.0</v>
      </c>
      <c r="K174" s="107"/>
      <c r="L174" s="103"/>
      <c r="P174" s="111"/>
      <c r="Q174" s="111"/>
      <c r="R174" s="111"/>
      <c r="S174" s="111"/>
      <c r="T174" s="111"/>
      <c r="U174" s="111"/>
      <c r="V174" s="111"/>
      <c r="W174" s="111"/>
      <c r="X174" s="111"/>
      <c r="Y174" s="111"/>
      <c r="Z174" s="111"/>
      <c r="AA174" s="111"/>
      <c r="AB174" s="111"/>
      <c r="AC174" s="103"/>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c r="BY174" s="111"/>
      <c r="BZ174" s="111"/>
    </row>
    <row r="175">
      <c r="A175" s="107" t="s">
        <v>3045</v>
      </c>
      <c r="B175" s="108">
        <v>3.0</v>
      </c>
      <c r="C175" s="108">
        <v>1.0</v>
      </c>
      <c r="D175" s="108">
        <v>0.0</v>
      </c>
      <c r="E175" s="108">
        <v>0.0</v>
      </c>
      <c r="F175" s="108">
        <v>6236.0</v>
      </c>
      <c r="G175" s="108">
        <v>122880.0</v>
      </c>
      <c r="H175" s="109">
        <f t="shared" ref="H175:I175" si="173">F175/1024/1024/1024</f>
        <v>0.000005807727575</v>
      </c>
      <c r="I175" s="109">
        <f t="shared" si="173"/>
        <v>0.000114440918</v>
      </c>
      <c r="J175" s="110">
        <v>0.0</v>
      </c>
      <c r="K175" s="107"/>
      <c r="L175" s="103"/>
      <c r="P175" s="111"/>
      <c r="Q175" s="111"/>
      <c r="R175" s="111"/>
      <c r="S175" s="111"/>
      <c r="T175" s="111"/>
      <c r="U175" s="111"/>
      <c r="V175" s="111"/>
      <c r="W175" s="111"/>
      <c r="X175" s="111"/>
      <c r="Y175" s="111"/>
      <c r="Z175" s="111"/>
      <c r="AA175" s="111"/>
      <c r="AB175" s="111"/>
      <c r="AC175" s="103"/>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c r="BY175" s="111"/>
      <c r="BZ175" s="111"/>
    </row>
    <row r="176">
      <c r="A176" s="107" t="s">
        <v>3046</v>
      </c>
      <c r="B176" s="108">
        <v>4.0</v>
      </c>
      <c r="C176" s="108">
        <v>0.0</v>
      </c>
      <c r="D176" s="108">
        <v>0.0</v>
      </c>
      <c r="E176" s="108">
        <v>0.0</v>
      </c>
      <c r="F176" s="108">
        <v>113.0</v>
      </c>
      <c r="G176" s="108">
        <v>131072.0</v>
      </c>
      <c r="H176" s="109">
        <f t="shared" ref="H176:I176" si="174">F176/1024/1024/1024</f>
        <v>0.0000001052394509</v>
      </c>
      <c r="I176" s="109">
        <f t="shared" si="174"/>
        <v>0.0001220703125</v>
      </c>
      <c r="J176" s="110">
        <v>0.0</v>
      </c>
      <c r="K176" s="107"/>
      <c r="L176" s="103"/>
      <c r="P176" s="111"/>
      <c r="Q176" s="111"/>
      <c r="R176" s="111"/>
      <c r="S176" s="111"/>
      <c r="T176" s="111"/>
      <c r="U176" s="111"/>
      <c r="V176" s="111"/>
      <c r="W176" s="111"/>
      <c r="X176" s="111"/>
      <c r="Y176" s="111"/>
      <c r="Z176" s="111"/>
      <c r="AA176" s="111"/>
      <c r="AB176" s="111"/>
      <c r="AC176" s="103"/>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c r="BY176" s="111"/>
      <c r="BZ176" s="111"/>
    </row>
    <row r="177">
      <c r="A177" s="107" t="s">
        <v>3047</v>
      </c>
      <c r="B177" s="108">
        <v>4.0</v>
      </c>
      <c r="C177" s="108">
        <v>0.0</v>
      </c>
      <c r="D177" s="108">
        <v>0.0</v>
      </c>
      <c r="E177" s="108">
        <v>0.0</v>
      </c>
      <c r="F177" s="108">
        <v>98.0</v>
      </c>
      <c r="G177" s="108">
        <v>131072.0</v>
      </c>
      <c r="H177" s="109">
        <f t="shared" ref="H177:I177" si="175">F177/1024/1024/1024</f>
        <v>0.00000009126961231</v>
      </c>
      <c r="I177" s="109">
        <f t="shared" si="175"/>
        <v>0.0001220703125</v>
      </c>
      <c r="J177" s="110">
        <v>0.0</v>
      </c>
      <c r="K177" s="107"/>
      <c r="L177" s="103"/>
      <c r="P177" s="111"/>
      <c r="Q177" s="111"/>
      <c r="R177" s="111"/>
      <c r="S177" s="111"/>
      <c r="T177" s="111"/>
      <c r="U177" s="111"/>
      <c r="V177" s="111"/>
      <c r="W177" s="111"/>
      <c r="X177" s="111"/>
      <c r="Y177" s="111"/>
      <c r="Z177" s="111"/>
      <c r="AA177" s="111"/>
      <c r="AB177" s="111"/>
      <c r="AC177" s="103"/>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c r="BY177" s="111"/>
      <c r="BZ177" s="111"/>
    </row>
    <row r="178">
      <c r="A178" s="107" t="s">
        <v>3048</v>
      </c>
      <c r="B178" s="108">
        <v>2.0</v>
      </c>
      <c r="C178" s="108">
        <v>0.0</v>
      </c>
      <c r="D178" s="108">
        <v>0.0</v>
      </c>
      <c r="E178" s="108">
        <v>0.0</v>
      </c>
      <c r="F178" s="108">
        <v>36.0</v>
      </c>
      <c r="G178" s="108">
        <v>65536.0</v>
      </c>
      <c r="H178" s="109">
        <f t="shared" ref="H178:I178" si="176">F178/1024/1024/1024</f>
        <v>0.00000003352761269</v>
      </c>
      <c r="I178" s="109">
        <f t="shared" si="176"/>
        <v>0.00006103515625</v>
      </c>
      <c r="J178" s="110">
        <v>0.0</v>
      </c>
      <c r="K178" s="107"/>
      <c r="L178" s="103"/>
      <c r="P178" s="111"/>
      <c r="Q178" s="111"/>
      <c r="R178" s="111"/>
      <c r="S178" s="111"/>
      <c r="T178" s="111"/>
      <c r="U178" s="111"/>
      <c r="V178" s="111"/>
      <c r="W178" s="111"/>
      <c r="X178" s="111"/>
      <c r="Y178" s="111"/>
      <c r="Z178" s="111"/>
      <c r="AA178" s="111"/>
      <c r="AB178" s="111"/>
      <c r="AC178" s="103"/>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c r="BY178" s="111"/>
      <c r="BZ178" s="111"/>
    </row>
    <row r="179">
      <c r="A179" s="107" t="s">
        <v>3049</v>
      </c>
      <c r="B179" s="108">
        <v>2.0</v>
      </c>
      <c r="C179" s="108">
        <v>0.0</v>
      </c>
      <c r="D179" s="108">
        <v>0.0</v>
      </c>
      <c r="E179" s="108">
        <v>0.0</v>
      </c>
      <c r="F179" s="108">
        <v>33.0</v>
      </c>
      <c r="G179" s="108">
        <v>65536.0</v>
      </c>
      <c r="H179" s="109">
        <f t="shared" ref="H179:I179" si="177">F179/1024/1024/1024</f>
        <v>0.00000003073364496</v>
      </c>
      <c r="I179" s="109">
        <f t="shared" si="177"/>
        <v>0.00006103515625</v>
      </c>
      <c r="J179" s="110">
        <v>0.0</v>
      </c>
      <c r="K179" s="107"/>
      <c r="L179" s="103"/>
      <c r="P179" s="111"/>
      <c r="Q179" s="111"/>
      <c r="R179" s="111"/>
      <c r="S179" s="111"/>
      <c r="T179" s="111"/>
      <c r="U179" s="111"/>
      <c r="V179" s="111"/>
      <c r="W179" s="111"/>
      <c r="X179" s="111"/>
      <c r="Y179" s="111"/>
      <c r="Z179" s="111"/>
      <c r="AA179" s="111"/>
      <c r="AB179" s="111"/>
      <c r="AC179" s="103"/>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c r="BY179" s="111"/>
      <c r="BZ179" s="111"/>
    </row>
    <row r="180">
      <c r="A180" s="107" t="s">
        <v>3050</v>
      </c>
      <c r="B180" s="108">
        <v>2.0</v>
      </c>
      <c r="C180" s="108">
        <v>0.0</v>
      </c>
      <c r="D180" s="108">
        <v>0.0</v>
      </c>
      <c r="E180" s="108">
        <v>0.0</v>
      </c>
      <c r="F180" s="108">
        <v>36.0</v>
      </c>
      <c r="G180" s="108">
        <v>65536.0</v>
      </c>
      <c r="H180" s="109">
        <f t="shared" ref="H180:I180" si="178">F180/1024/1024/1024</f>
        <v>0.00000003352761269</v>
      </c>
      <c r="I180" s="109">
        <f t="shared" si="178"/>
        <v>0.00006103515625</v>
      </c>
      <c r="J180" s="110">
        <v>0.0</v>
      </c>
      <c r="K180" s="107"/>
      <c r="L180" s="103"/>
      <c r="P180" s="111"/>
      <c r="Q180" s="111"/>
      <c r="R180" s="111"/>
      <c r="S180" s="111"/>
      <c r="T180" s="111"/>
      <c r="U180" s="111"/>
      <c r="V180" s="111"/>
      <c r="W180" s="111"/>
      <c r="X180" s="111"/>
      <c r="Y180" s="111"/>
      <c r="Z180" s="111"/>
      <c r="AA180" s="111"/>
      <c r="AB180" s="111"/>
      <c r="AC180" s="103"/>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c r="BY180" s="111"/>
      <c r="BZ180" s="111"/>
    </row>
    <row r="181">
      <c r="A181" s="107" t="s">
        <v>3051</v>
      </c>
      <c r="B181" s="108">
        <v>2.0</v>
      </c>
      <c r="C181" s="108">
        <v>0.0</v>
      </c>
      <c r="D181" s="108">
        <v>0.0</v>
      </c>
      <c r="E181" s="108">
        <v>0.0</v>
      </c>
      <c r="F181" s="108">
        <v>36.0</v>
      </c>
      <c r="G181" s="108">
        <v>65536.0</v>
      </c>
      <c r="H181" s="109">
        <f t="shared" ref="H181:I181" si="179">F181/1024/1024/1024</f>
        <v>0.00000003352761269</v>
      </c>
      <c r="I181" s="109">
        <f t="shared" si="179"/>
        <v>0.00006103515625</v>
      </c>
      <c r="J181" s="110">
        <v>0.0</v>
      </c>
      <c r="K181" s="107"/>
      <c r="L181" s="103"/>
      <c r="P181" s="111"/>
      <c r="Q181" s="111"/>
      <c r="R181" s="111"/>
      <c r="S181" s="111"/>
      <c r="T181" s="111"/>
      <c r="U181" s="111"/>
      <c r="V181" s="111"/>
      <c r="W181" s="111"/>
      <c r="X181" s="111"/>
      <c r="Y181" s="111"/>
      <c r="Z181" s="111"/>
      <c r="AA181" s="111"/>
      <c r="AB181" s="111"/>
      <c r="AC181" s="103"/>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c r="BY181" s="111"/>
      <c r="BZ181" s="111"/>
    </row>
    <row r="182">
      <c r="A182" s="107" t="s">
        <v>3052</v>
      </c>
      <c r="B182" s="108">
        <v>2.0</v>
      </c>
      <c r="C182" s="108">
        <v>0.0</v>
      </c>
      <c r="D182" s="108">
        <v>0.0</v>
      </c>
      <c r="E182" s="108">
        <v>0.0</v>
      </c>
      <c r="F182" s="108">
        <v>36.0</v>
      </c>
      <c r="G182" s="108">
        <v>65536.0</v>
      </c>
      <c r="H182" s="109">
        <f t="shared" ref="H182:I182" si="180">F182/1024/1024/1024</f>
        <v>0.00000003352761269</v>
      </c>
      <c r="I182" s="109">
        <f t="shared" si="180"/>
        <v>0.00006103515625</v>
      </c>
      <c r="J182" s="110">
        <v>0.0</v>
      </c>
      <c r="K182" s="107"/>
      <c r="L182" s="103"/>
      <c r="P182" s="111"/>
      <c r="Q182" s="111"/>
      <c r="R182" s="111"/>
      <c r="S182" s="111"/>
      <c r="T182" s="111"/>
      <c r="U182" s="111"/>
      <c r="V182" s="111"/>
      <c r="W182" s="111"/>
      <c r="X182" s="111"/>
      <c r="Y182" s="111"/>
      <c r="Z182" s="111"/>
      <c r="AA182" s="111"/>
      <c r="AB182" s="111"/>
      <c r="AC182" s="103"/>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c r="BY182" s="111"/>
      <c r="BZ182" s="111"/>
    </row>
    <row r="183">
      <c r="A183" s="107" t="s">
        <v>3053</v>
      </c>
      <c r="B183" s="108">
        <v>1.0</v>
      </c>
      <c r="C183" s="108">
        <v>0.0</v>
      </c>
      <c r="D183" s="108">
        <v>0.0</v>
      </c>
      <c r="E183" s="108">
        <v>0.0</v>
      </c>
      <c r="F183" s="108">
        <v>0.0</v>
      </c>
      <c r="G183" s="108">
        <v>32768.0</v>
      </c>
      <c r="H183" s="109">
        <f t="shared" ref="H183:I183" si="181">F183/1024/1024/1024</f>
        <v>0</v>
      </c>
      <c r="I183" s="109">
        <f t="shared" si="181"/>
        <v>0.00003051757813</v>
      </c>
      <c r="J183" s="110">
        <v>0.0</v>
      </c>
      <c r="K183" s="107"/>
      <c r="L183" s="103"/>
      <c r="P183" s="111"/>
      <c r="Q183" s="111"/>
      <c r="R183" s="111"/>
      <c r="S183" s="111"/>
      <c r="T183" s="111"/>
      <c r="U183" s="111"/>
      <c r="V183" s="111"/>
      <c r="W183" s="111"/>
      <c r="X183" s="111"/>
      <c r="Y183" s="111"/>
      <c r="Z183" s="111"/>
      <c r="AA183" s="111"/>
      <c r="AB183" s="111"/>
      <c r="AC183" s="103"/>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c r="BY183" s="111"/>
      <c r="BZ183" s="111"/>
    </row>
    <row r="184">
      <c r="A184" s="107" t="s">
        <v>3054</v>
      </c>
      <c r="B184" s="108">
        <v>53.0</v>
      </c>
      <c r="C184" s="108">
        <v>0.0</v>
      </c>
      <c r="D184" s="108">
        <v>0.0</v>
      </c>
      <c r="E184" s="108">
        <v>0.0</v>
      </c>
      <c r="F184" s="108">
        <v>1852.0</v>
      </c>
      <c r="G184" s="108">
        <v>1736704.0</v>
      </c>
      <c r="H184" s="109">
        <f t="shared" ref="H184:I184" si="182">F184/1024/1024/1024</f>
        <v>0.000001724809408</v>
      </c>
      <c r="I184" s="109">
        <f t="shared" si="182"/>
        <v>0.001617431641</v>
      </c>
      <c r="J184" s="110">
        <v>0.0</v>
      </c>
      <c r="K184" s="107"/>
      <c r="L184" s="103"/>
      <c r="P184" s="111"/>
      <c r="Q184" s="111"/>
      <c r="R184" s="111"/>
      <c r="S184" s="111"/>
      <c r="T184" s="111"/>
      <c r="U184" s="111"/>
      <c r="V184" s="111"/>
      <c r="W184" s="111"/>
      <c r="X184" s="111"/>
      <c r="Y184" s="111"/>
      <c r="Z184" s="111"/>
      <c r="AA184" s="111"/>
      <c r="AB184" s="111"/>
      <c r="AC184" s="103"/>
      <c r="AJ184" s="111"/>
      <c r="AK184" s="111"/>
      <c r="AL184" s="111"/>
      <c r="AM184" s="111"/>
      <c r="AN184" s="111"/>
      <c r="AO184" s="111"/>
      <c r="AP184" s="111"/>
      <c r="AQ184" s="111"/>
      <c r="AR184" s="111"/>
      <c r="AS184" s="111"/>
      <c r="AT184" s="111"/>
      <c r="AU184" s="111"/>
      <c r="AV184" s="111"/>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c r="BY184" s="111"/>
      <c r="BZ184" s="111"/>
    </row>
    <row r="185">
      <c r="A185" s="107" t="s">
        <v>3055</v>
      </c>
      <c r="B185" s="108">
        <v>11.0</v>
      </c>
      <c r="C185" s="108">
        <v>0.0</v>
      </c>
      <c r="D185" s="108">
        <v>0.0</v>
      </c>
      <c r="E185" s="108">
        <v>0.0</v>
      </c>
      <c r="F185" s="108">
        <v>313.0</v>
      </c>
      <c r="G185" s="108">
        <v>360448.0</v>
      </c>
      <c r="H185" s="109">
        <f t="shared" ref="H185:I185" si="183">F185/1024/1024/1024</f>
        <v>0.0000002915039659</v>
      </c>
      <c r="I185" s="109">
        <f t="shared" si="183"/>
        <v>0.0003356933594</v>
      </c>
      <c r="J185" s="110">
        <v>0.0</v>
      </c>
      <c r="K185" s="107"/>
      <c r="L185" s="103"/>
      <c r="P185" s="111"/>
      <c r="Q185" s="111"/>
      <c r="R185" s="111"/>
      <c r="S185" s="111"/>
      <c r="T185" s="111"/>
      <c r="U185" s="111"/>
      <c r="V185" s="111"/>
      <c r="W185" s="111"/>
      <c r="X185" s="111"/>
      <c r="Y185" s="111"/>
      <c r="Z185" s="111"/>
      <c r="AA185" s="111"/>
      <c r="AB185" s="111"/>
      <c r="AC185" s="103"/>
      <c r="AJ185" s="111"/>
      <c r="AK185" s="111"/>
      <c r="AL185" s="111"/>
      <c r="AM185" s="111"/>
      <c r="AN185" s="111"/>
      <c r="AO185" s="111"/>
      <c r="AP185" s="111"/>
      <c r="AQ185" s="111"/>
      <c r="AR185" s="111"/>
      <c r="AS185" s="111"/>
      <c r="AT185" s="111"/>
      <c r="AU185" s="111"/>
      <c r="AV185" s="111"/>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c r="BY185" s="111"/>
      <c r="BZ185" s="111"/>
    </row>
    <row r="186">
      <c r="A186" s="107" t="s">
        <v>3056</v>
      </c>
      <c r="B186" s="108">
        <v>6.0</v>
      </c>
      <c r="C186" s="108">
        <v>0.0</v>
      </c>
      <c r="D186" s="108">
        <v>0.0</v>
      </c>
      <c r="E186" s="108">
        <v>0.0</v>
      </c>
      <c r="F186" s="108">
        <v>158.0</v>
      </c>
      <c r="G186" s="108">
        <v>196608.0</v>
      </c>
      <c r="H186" s="109">
        <f t="shared" ref="H186:I186" si="184">F186/1024/1024/1024</f>
        <v>0.0000001471489668</v>
      </c>
      <c r="I186" s="109">
        <f t="shared" si="184"/>
        <v>0.0001831054688</v>
      </c>
      <c r="J186" s="110">
        <v>0.0</v>
      </c>
      <c r="K186" s="107"/>
      <c r="L186" s="103"/>
      <c r="P186" s="111"/>
      <c r="Q186" s="111"/>
      <c r="R186" s="111"/>
      <c r="S186" s="111"/>
      <c r="T186" s="111"/>
      <c r="U186" s="111"/>
      <c r="V186" s="111"/>
      <c r="W186" s="111"/>
      <c r="X186" s="111"/>
      <c r="Y186" s="111"/>
      <c r="Z186" s="111"/>
      <c r="AA186" s="111"/>
      <c r="AB186" s="111"/>
      <c r="AC186" s="103"/>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c r="BY186" s="111"/>
      <c r="BZ186" s="111"/>
    </row>
    <row r="187">
      <c r="A187" s="107" t="s">
        <v>3057</v>
      </c>
      <c r="B187" s="108">
        <v>11.0</v>
      </c>
      <c r="C187" s="108">
        <v>0.0</v>
      </c>
      <c r="D187" s="108">
        <v>0.0</v>
      </c>
      <c r="E187" s="108">
        <v>0.0</v>
      </c>
      <c r="F187" s="108">
        <v>353.0</v>
      </c>
      <c r="G187" s="108">
        <v>360448.0</v>
      </c>
      <c r="H187" s="109">
        <f t="shared" ref="H187:I187" si="185">F187/1024/1024/1024</f>
        <v>0.0000003287568688</v>
      </c>
      <c r="I187" s="109">
        <f t="shared" si="185"/>
        <v>0.0003356933594</v>
      </c>
      <c r="J187" s="110">
        <v>0.0</v>
      </c>
      <c r="K187" s="107"/>
      <c r="L187" s="103"/>
      <c r="P187" s="111"/>
      <c r="Q187" s="111"/>
      <c r="R187" s="111"/>
      <c r="S187" s="111"/>
      <c r="T187" s="111"/>
      <c r="U187" s="111"/>
      <c r="V187" s="111"/>
      <c r="W187" s="111"/>
      <c r="X187" s="111"/>
      <c r="Y187" s="111"/>
      <c r="Z187" s="111"/>
      <c r="AA187" s="111"/>
      <c r="AB187" s="111"/>
      <c r="AC187" s="103"/>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c r="BY187" s="111"/>
      <c r="BZ187" s="111"/>
    </row>
    <row r="188">
      <c r="A188" s="107" t="s">
        <v>3058</v>
      </c>
      <c r="B188" s="108">
        <v>54.0</v>
      </c>
      <c r="C188" s="108">
        <v>0.0</v>
      </c>
      <c r="D188" s="108">
        <v>0.0</v>
      </c>
      <c r="E188" s="108">
        <v>0.0</v>
      </c>
      <c r="F188" s="108">
        <v>1730.0</v>
      </c>
      <c r="G188" s="108">
        <v>1769472.0</v>
      </c>
      <c r="H188" s="109">
        <f t="shared" ref="H188:I188" si="186">F188/1024/1024/1024</f>
        <v>0.000001611188054</v>
      </c>
      <c r="I188" s="109">
        <f t="shared" si="186"/>
        <v>0.001647949219</v>
      </c>
      <c r="J188" s="110">
        <v>0.0</v>
      </c>
      <c r="K188" s="107"/>
      <c r="L188" s="103"/>
      <c r="P188" s="111"/>
      <c r="Q188" s="111"/>
      <c r="R188" s="111"/>
      <c r="S188" s="111"/>
      <c r="T188" s="111"/>
      <c r="U188" s="111"/>
      <c r="V188" s="111"/>
      <c r="W188" s="111"/>
      <c r="X188" s="111"/>
      <c r="Y188" s="111"/>
      <c r="Z188" s="111"/>
      <c r="AA188" s="111"/>
      <c r="AB188" s="111"/>
      <c r="AC188" s="103"/>
      <c r="AJ188" s="111"/>
      <c r="AK188" s="111"/>
      <c r="AL188" s="111"/>
      <c r="AM188" s="111"/>
      <c r="AN188" s="111"/>
      <c r="AO188" s="111"/>
      <c r="AP188" s="111"/>
      <c r="AQ188" s="111"/>
      <c r="AR188" s="111"/>
      <c r="AS188" s="111"/>
      <c r="AT188" s="111"/>
      <c r="AU188" s="111"/>
      <c r="AV188" s="111"/>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c r="BY188" s="111"/>
      <c r="BZ188" s="111"/>
    </row>
    <row r="189">
      <c r="A189" s="107" t="s">
        <v>3059</v>
      </c>
      <c r="B189" s="108">
        <v>23.0</v>
      </c>
      <c r="C189" s="108">
        <v>0.0</v>
      </c>
      <c r="D189" s="108">
        <v>0.0</v>
      </c>
      <c r="E189" s="108">
        <v>0.0</v>
      </c>
      <c r="F189" s="108">
        <v>684.0</v>
      </c>
      <c r="G189" s="108">
        <v>753664.0</v>
      </c>
      <c r="H189" s="109">
        <f t="shared" ref="H189:I189" si="187">F189/1024/1024/1024</f>
        <v>0.000000637024641</v>
      </c>
      <c r="I189" s="109">
        <f t="shared" si="187"/>
        <v>0.0007019042969</v>
      </c>
      <c r="J189" s="110">
        <v>0.0</v>
      </c>
      <c r="K189" s="107"/>
      <c r="L189" s="103"/>
      <c r="P189" s="111"/>
      <c r="Q189" s="111"/>
      <c r="R189" s="111"/>
      <c r="S189" s="111"/>
      <c r="T189" s="111"/>
      <c r="U189" s="111"/>
      <c r="V189" s="111"/>
      <c r="W189" s="111"/>
      <c r="X189" s="111"/>
      <c r="Y189" s="111"/>
      <c r="Z189" s="111"/>
      <c r="AA189" s="111"/>
      <c r="AB189" s="111"/>
      <c r="AC189" s="103"/>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c r="BY189" s="111"/>
      <c r="BZ189" s="111"/>
    </row>
    <row r="190">
      <c r="A190" s="107" t="s">
        <v>3060</v>
      </c>
      <c r="B190" s="108">
        <v>4.0</v>
      </c>
      <c r="C190" s="108">
        <v>0.0</v>
      </c>
      <c r="D190" s="108">
        <v>0.0</v>
      </c>
      <c r="E190" s="108">
        <v>0.0</v>
      </c>
      <c r="F190" s="108">
        <v>94.0</v>
      </c>
      <c r="G190" s="108">
        <v>131072.0</v>
      </c>
      <c r="H190" s="109">
        <f t="shared" ref="H190:I190" si="188">F190/1024/1024/1024</f>
        <v>0.00000008754432201</v>
      </c>
      <c r="I190" s="109">
        <f t="shared" si="188"/>
        <v>0.0001220703125</v>
      </c>
      <c r="J190" s="110">
        <v>0.0</v>
      </c>
      <c r="K190" s="107"/>
      <c r="L190" s="103"/>
      <c r="P190" s="111"/>
      <c r="Q190" s="111"/>
      <c r="R190" s="111"/>
      <c r="S190" s="111"/>
      <c r="T190" s="111"/>
      <c r="U190" s="111"/>
      <c r="V190" s="111"/>
      <c r="W190" s="111"/>
      <c r="X190" s="111"/>
      <c r="Y190" s="111"/>
      <c r="Z190" s="111"/>
      <c r="AA190" s="111"/>
      <c r="AB190" s="111"/>
      <c r="AC190" s="103"/>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c r="BY190" s="111"/>
      <c r="BZ190" s="111"/>
    </row>
    <row r="191">
      <c r="A191" s="107" t="s">
        <v>3061</v>
      </c>
      <c r="B191" s="108">
        <v>2.0</v>
      </c>
      <c r="C191" s="108">
        <v>0.0</v>
      </c>
      <c r="D191" s="108">
        <v>0.0</v>
      </c>
      <c r="E191" s="108">
        <v>0.0</v>
      </c>
      <c r="F191" s="108">
        <v>27.0</v>
      </c>
      <c r="G191" s="108">
        <v>65536.0</v>
      </c>
      <c r="H191" s="109">
        <f t="shared" ref="H191:I191" si="189">F191/1024/1024/1024</f>
        <v>0.00000002514570951</v>
      </c>
      <c r="I191" s="109">
        <f t="shared" si="189"/>
        <v>0.00006103515625</v>
      </c>
      <c r="J191" s="110">
        <v>0.0</v>
      </c>
      <c r="K191" s="107"/>
      <c r="L191" s="103"/>
      <c r="P191" s="111"/>
      <c r="Q191" s="111"/>
      <c r="R191" s="111"/>
      <c r="S191" s="111"/>
      <c r="T191" s="111"/>
      <c r="U191" s="111"/>
      <c r="V191" s="111"/>
      <c r="W191" s="111"/>
      <c r="X191" s="111"/>
      <c r="Y191" s="111"/>
      <c r="Z191" s="111"/>
      <c r="AA191" s="111"/>
      <c r="AB191" s="111"/>
      <c r="AC191" s="103"/>
      <c r="AJ191" s="111"/>
      <c r="AK191" s="111"/>
      <c r="AL191" s="111"/>
      <c r="AM191" s="111"/>
      <c r="AN191" s="111"/>
      <c r="AO191" s="111"/>
      <c r="AP191" s="111"/>
      <c r="AQ191" s="111"/>
      <c r="AR191" s="111"/>
      <c r="AS191" s="111"/>
      <c r="AT191" s="111"/>
      <c r="AU191" s="111"/>
      <c r="AV191" s="111"/>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c r="BY191" s="111"/>
      <c r="BZ191" s="111"/>
    </row>
    <row r="192">
      <c r="A192" s="107" t="s">
        <v>3062</v>
      </c>
      <c r="B192" s="108">
        <v>8.0</v>
      </c>
      <c r="C192" s="108">
        <v>0.0</v>
      </c>
      <c r="D192" s="108">
        <v>0.0</v>
      </c>
      <c r="E192" s="108">
        <v>0.0</v>
      </c>
      <c r="F192" s="108">
        <v>222.0</v>
      </c>
      <c r="G192" s="108">
        <v>262144.0</v>
      </c>
      <c r="H192" s="109">
        <f t="shared" ref="H192:I192" si="190">F192/1024/1024/1024</f>
        <v>0.0000002067536116</v>
      </c>
      <c r="I192" s="109">
        <f t="shared" si="190"/>
        <v>0.000244140625</v>
      </c>
      <c r="J192" s="110">
        <v>0.0</v>
      </c>
      <c r="K192" s="107"/>
      <c r="L192" s="103"/>
      <c r="Q192" s="111"/>
      <c r="R192" s="111"/>
      <c r="S192" s="111"/>
      <c r="T192" s="111"/>
      <c r="U192" s="111"/>
      <c r="V192" s="111"/>
      <c r="W192" s="111"/>
      <c r="X192" s="111"/>
      <c r="Y192" s="111"/>
      <c r="Z192" s="111"/>
      <c r="AA192" s="111"/>
      <c r="AB192" s="111"/>
      <c r="AC192" s="111"/>
      <c r="AD192" s="103"/>
      <c r="AK192" s="111"/>
      <c r="AL192" s="111"/>
      <c r="AM192" s="111"/>
      <c r="AN192" s="111"/>
      <c r="AO192" s="111"/>
      <c r="AP192" s="111"/>
      <c r="AQ192" s="111"/>
      <c r="AR192" s="111"/>
      <c r="AS192" s="111"/>
      <c r="AT192" s="111"/>
      <c r="AU192" s="111"/>
      <c r="AV192" s="111"/>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c r="BY192" s="111"/>
      <c r="BZ192" s="111"/>
    </row>
    <row r="193">
      <c r="A193" s="107" t="s">
        <v>3063</v>
      </c>
      <c r="B193" s="108">
        <v>1.0</v>
      </c>
      <c r="C193" s="108">
        <v>0.0</v>
      </c>
      <c r="D193" s="108">
        <v>0.0</v>
      </c>
      <c r="E193" s="108">
        <v>0.0</v>
      </c>
      <c r="F193" s="108">
        <v>0.0</v>
      </c>
      <c r="G193" s="108">
        <v>32768.0</v>
      </c>
      <c r="H193" s="109">
        <f t="shared" ref="H193:I193" si="191">F193/1024/1024/1024</f>
        <v>0</v>
      </c>
      <c r="I193" s="109">
        <f t="shared" si="191"/>
        <v>0.00003051757813</v>
      </c>
      <c r="J193" s="110">
        <v>0.0</v>
      </c>
      <c r="K193" s="107"/>
      <c r="L193" s="103"/>
      <c r="O193" s="111"/>
      <c r="P193" s="111"/>
      <c r="Q193" s="111"/>
      <c r="R193" s="111"/>
      <c r="S193" s="111"/>
      <c r="T193" s="111"/>
      <c r="U193" s="111"/>
      <c r="V193" s="111"/>
      <c r="W193" s="111"/>
      <c r="X193" s="111"/>
      <c r="Y193" s="111"/>
      <c r="Z193" s="111"/>
      <c r="AA193" s="111"/>
      <c r="AB193" s="111"/>
      <c r="AC193" s="111"/>
      <c r="AD193" s="111"/>
      <c r="AE193" s="103"/>
      <c r="AJ193" s="111"/>
      <c r="AK193" s="111"/>
      <c r="AL193" s="111"/>
      <c r="AM193" s="111"/>
      <c r="AN193" s="111"/>
      <c r="AO193" s="111"/>
      <c r="AP193" s="111"/>
      <c r="AQ193" s="111"/>
      <c r="AR193" s="111"/>
      <c r="AS193" s="111"/>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c r="BY193" s="111"/>
      <c r="BZ193" s="111"/>
    </row>
    <row r="194">
      <c r="A194" s="107" t="s">
        <v>3064</v>
      </c>
      <c r="B194" s="108">
        <v>2.0</v>
      </c>
      <c r="C194" s="108">
        <v>0.0</v>
      </c>
      <c r="D194" s="108">
        <v>0.0</v>
      </c>
      <c r="E194" s="108">
        <v>0.0</v>
      </c>
      <c r="F194" s="108">
        <v>36.0</v>
      </c>
      <c r="G194" s="108">
        <v>65536.0</v>
      </c>
      <c r="H194" s="109">
        <f t="shared" ref="H194:I194" si="192">F194/1024/1024/1024</f>
        <v>0.00000003352761269</v>
      </c>
      <c r="I194" s="109">
        <f t="shared" si="192"/>
        <v>0.00006103515625</v>
      </c>
      <c r="J194" s="110">
        <v>0.0</v>
      </c>
      <c r="K194" s="107"/>
      <c r="L194" s="103"/>
      <c r="O194" s="111"/>
      <c r="P194" s="111"/>
      <c r="Q194" s="111"/>
      <c r="R194" s="111"/>
      <c r="S194" s="111"/>
      <c r="T194" s="111"/>
      <c r="U194" s="111"/>
      <c r="V194" s="111"/>
      <c r="W194" s="111"/>
      <c r="X194" s="111"/>
      <c r="Y194" s="111"/>
      <c r="Z194" s="111"/>
      <c r="AA194" s="111"/>
      <c r="AB194" s="111"/>
      <c r="AC194" s="111"/>
      <c r="AD194" s="111"/>
      <c r="AE194" s="103"/>
      <c r="AK194" s="111"/>
      <c r="AL194" s="111"/>
      <c r="AM194" s="111"/>
      <c r="AN194" s="111"/>
      <c r="AO194" s="111"/>
      <c r="AP194" s="111"/>
      <c r="AQ194" s="111"/>
      <c r="AR194" s="11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c r="BY194" s="111"/>
      <c r="BZ194" s="111"/>
    </row>
    <row r="195">
      <c r="A195" s="107" t="s">
        <v>3065</v>
      </c>
      <c r="B195" s="108">
        <v>3.0</v>
      </c>
      <c r="C195" s="108">
        <v>0.0</v>
      </c>
      <c r="D195" s="108">
        <v>0.0</v>
      </c>
      <c r="E195" s="108">
        <v>0.0</v>
      </c>
      <c r="F195" s="108">
        <v>82.0</v>
      </c>
      <c r="G195" s="108">
        <v>98304.0</v>
      </c>
      <c r="H195" s="109">
        <f t="shared" ref="H195:I195" si="193">F195/1024/1024/1024</f>
        <v>0.00000007636845112</v>
      </c>
      <c r="I195" s="109">
        <f t="shared" si="193"/>
        <v>0.00009155273438</v>
      </c>
      <c r="J195" s="110">
        <v>0.0</v>
      </c>
      <c r="K195" s="107"/>
      <c r="L195" s="103"/>
      <c r="O195" s="111"/>
      <c r="P195" s="111"/>
      <c r="Q195" s="111"/>
      <c r="R195" s="111"/>
      <c r="S195" s="111"/>
      <c r="T195" s="111"/>
      <c r="U195" s="111"/>
      <c r="V195" s="111"/>
      <c r="W195" s="111"/>
      <c r="X195" s="111"/>
      <c r="Y195" s="111"/>
      <c r="Z195" s="111"/>
      <c r="AA195" s="111"/>
      <c r="AB195" s="111"/>
      <c r="AC195" s="111"/>
      <c r="AD195" s="111"/>
      <c r="AE195" s="103"/>
      <c r="AJ195" s="111"/>
      <c r="AK195" s="111"/>
      <c r="AL195" s="111"/>
      <c r="AM195" s="111"/>
      <c r="AN195" s="111"/>
      <c r="AO195" s="111"/>
      <c r="AP195" s="111"/>
      <c r="AQ195" s="111"/>
      <c r="AR195" s="11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c r="BY195" s="111"/>
      <c r="BZ195" s="111"/>
    </row>
    <row r="196">
      <c r="A196" s="107" t="s">
        <v>3066</v>
      </c>
      <c r="B196" s="108">
        <v>3.0</v>
      </c>
      <c r="C196" s="108">
        <v>0.0</v>
      </c>
      <c r="D196" s="108">
        <v>0.0</v>
      </c>
      <c r="E196" s="108">
        <v>0.0</v>
      </c>
      <c r="F196" s="108">
        <v>79.0</v>
      </c>
      <c r="G196" s="108">
        <v>98304.0</v>
      </c>
      <c r="H196" s="109">
        <f t="shared" ref="H196:I196" si="194">F196/1024/1024/1024</f>
        <v>0.00000007357448339</v>
      </c>
      <c r="I196" s="109">
        <f t="shared" si="194"/>
        <v>0.00009155273438</v>
      </c>
      <c r="J196" s="110">
        <v>0.0</v>
      </c>
      <c r="K196" s="107"/>
      <c r="L196" s="103"/>
      <c r="O196" s="111"/>
      <c r="P196" s="111"/>
      <c r="Q196" s="111"/>
      <c r="R196" s="111"/>
      <c r="S196" s="111"/>
      <c r="T196" s="111"/>
      <c r="U196" s="111"/>
      <c r="V196" s="111"/>
      <c r="W196" s="111"/>
      <c r="X196" s="111"/>
      <c r="Y196" s="111"/>
      <c r="Z196" s="111"/>
      <c r="AA196" s="111"/>
      <c r="AB196" s="111"/>
      <c r="AC196" s="111"/>
      <c r="AD196" s="111"/>
      <c r="AE196" s="103"/>
      <c r="AK196" s="111"/>
      <c r="AL196" s="111"/>
      <c r="AM196" s="111"/>
      <c r="AN196" s="111"/>
      <c r="AO196" s="111"/>
      <c r="AP196" s="111"/>
      <c r="AQ196" s="111"/>
      <c r="AR196" s="111"/>
      <c r="AS196" s="111"/>
      <c r="AT196" s="111"/>
      <c r="AU196" s="111"/>
      <c r="AV196" s="111"/>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c r="BY196" s="111"/>
      <c r="BZ196" s="111"/>
    </row>
    <row r="197">
      <c r="A197" s="107" t="s">
        <v>3067</v>
      </c>
      <c r="B197" s="108">
        <v>2.0</v>
      </c>
      <c r="C197" s="108">
        <v>0.0</v>
      </c>
      <c r="D197" s="108">
        <v>0.0</v>
      </c>
      <c r="E197" s="108">
        <v>0.0</v>
      </c>
      <c r="F197" s="108">
        <v>36.0</v>
      </c>
      <c r="G197" s="108">
        <v>65536.0</v>
      </c>
      <c r="H197" s="109">
        <f t="shared" ref="H197:I197" si="195">F197/1024/1024/1024</f>
        <v>0.00000003352761269</v>
      </c>
      <c r="I197" s="109">
        <f t="shared" si="195"/>
        <v>0.00006103515625</v>
      </c>
      <c r="J197" s="110">
        <v>0.0</v>
      </c>
      <c r="K197" s="107"/>
      <c r="L197" s="103"/>
      <c r="M197" s="111"/>
      <c r="N197" s="111"/>
      <c r="O197" s="111"/>
      <c r="P197" s="111"/>
      <c r="Q197" s="111"/>
      <c r="R197" s="111"/>
      <c r="S197" s="111"/>
      <c r="T197" s="111"/>
      <c r="U197" s="111"/>
      <c r="V197" s="111"/>
      <c r="W197" s="111"/>
      <c r="X197" s="111"/>
      <c r="Y197" s="111"/>
      <c r="Z197" s="111"/>
      <c r="AA197" s="111"/>
      <c r="AB197" s="111"/>
      <c r="AC197" s="111"/>
      <c r="AD197" s="111"/>
      <c r="AE197" s="111"/>
      <c r="AF197" s="103"/>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c r="BY197" s="111"/>
      <c r="BZ197" s="111"/>
    </row>
    <row r="198">
      <c r="A198" s="107" t="s">
        <v>3068</v>
      </c>
      <c r="B198" s="108">
        <v>2.0</v>
      </c>
      <c r="C198" s="108">
        <v>0.0</v>
      </c>
      <c r="D198" s="108">
        <v>0.0</v>
      </c>
      <c r="E198" s="108">
        <v>0.0</v>
      </c>
      <c r="F198" s="108">
        <v>36.0</v>
      </c>
      <c r="G198" s="108">
        <v>65536.0</v>
      </c>
      <c r="H198" s="109">
        <f t="shared" ref="H198:I198" si="196">F198/1024/1024/1024</f>
        <v>0.00000003352761269</v>
      </c>
      <c r="I198" s="109">
        <f t="shared" si="196"/>
        <v>0.00006103515625</v>
      </c>
      <c r="J198" s="110">
        <v>0.0</v>
      </c>
      <c r="K198" s="107"/>
      <c r="L198" s="103"/>
      <c r="O198" s="111"/>
      <c r="P198" s="111"/>
      <c r="Q198" s="111"/>
      <c r="R198" s="111"/>
      <c r="S198" s="111"/>
      <c r="T198" s="111"/>
      <c r="U198" s="111"/>
      <c r="V198" s="111"/>
      <c r="W198" s="111"/>
      <c r="X198" s="111"/>
      <c r="Y198" s="111"/>
      <c r="Z198" s="111"/>
      <c r="AA198" s="111"/>
      <c r="AB198" s="111"/>
      <c r="AC198" s="111"/>
      <c r="AD198" s="111"/>
      <c r="AE198" s="111"/>
      <c r="AF198" s="111"/>
      <c r="AG198" s="103"/>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c r="BY198" s="111"/>
      <c r="BZ198" s="111"/>
    </row>
    <row r="199">
      <c r="A199" s="107" t="s">
        <v>3069</v>
      </c>
      <c r="B199" s="108">
        <v>2.0</v>
      </c>
      <c r="C199" s="108">
        <v>0.0</v>
      </c>
      <c r="D199" s="108">
        <v>0.0</v>
      </c>
      <c r="E199" s="108">
        <v>0.0</v>
      </c>
      <c r="F199" s="108">
        <v>36.0</v>
      </c>
      <c r="G199" s="108">
        <v>65536.0</v>
      </c>
      <c r="H199" s="109">
        <f t="shared" ref="H199:I199" si="197">F199/1024/1024/1024</f>
        <v>0.00000003352761269</v>
      </c>
      <c r="I199" s="109">
        <f t="shared" si="197"/>
        <v>0.00006103515625</v>
      </c>
      <c r="J199" s="110">
        <v>0.0</v>
      </c>
      <c r="K199" s="107"/>
      <c r="L199" s="103"/>
      <c r="O199" s="111"/>
      <c r="P199" s="111"/>
      <c r="Q199" s="111"/>
      <c r="R199" s="111"/>
      <c r="S199" s="111"/>
      <c r="T199" s="111"/>
      <c r="U199" s="111"/>
      <c r="V199" s="111"/>
      <c r="W199" s="111"/>
      <c r="X199" s="111"/>
      <c r="Y199" s="111"/>
      <c r="Z199" s="111"/>
      <c r="AA199" s="111"/>
      <c r="AB199" s="111"/>
      <c r="AC199" s="111"/>
      <c r="AD199" s="111"/>
      <c r="AE199" s="111"/>
      <c r="AF199" s="111"/>
      <c r="AG199" s="103"/>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c r="BY199" s="111"/>
      <c r="BZ199" s="111"/>
    </row>
    <row r="200">
      <c r="A200" s="107" t="s">
        <v>3070</v>
      </c>
      <c r="B200" s="108">
        <v>2.0</v>
      </c>
      <c r="C200" s="108">
        <v>0.0</v>
      </c>
      <c r="D200" s="108">
        <v>0.0</v>
      </c>
      <c r="E200" s="108">
        <v>0.0</v>
      </c>
      <c r="F200" s="108">
        <v>36.0</v>
      </c>
      <c r="G200" s="108">
        <v>65536.0</v>
      </c>
      <c r="H200" s="109">
        <f t="shared" ref="H200:I200" si="198">F200/1024/1024/1024</f>
        <v>0.00000003352761269</v>
      </c>
      <c r="I200" s="109">
        <f t="shared" si="198"/>
        <v>0.00006103515625</v>
      </c>
      <c r="J200" s="110">
        <v>0.0</v>
      </c>
      <c r="K200" s="107"/>
      <c r="L200" s="103"/>
      <c r="O200" s="111"/>
      <c r="P200" s="111"/>
      <c r="Q200" s="111"/>
      <c r="R200" s="111"/>
      <c r="S200" s="111"/>
      <c r="T200" s="111"/>
      <c r="U200" s="111"/>
      <c r="V200" s="111"/>
      <c r="W200" s="111"/>
      <c r="X200" s="111"/>
      <c r="Y200" s="111"/>
      <c r="Z200" s="111"/>
      <c r="AA200" s="111"/>
      <c r="AB200" s="111"/>
      <c r="AC200" s="111"/>
      <c r="AD200" s="111"/>
      <c r="AE200" s="111"/>
      <c r="AF200" s="111"/>
      <c r="AG200" s="103"/>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c r="BY200" s="111"/>
      <c r="BZ200" s="111"/>
    </row>
    <row r="201">
      <c r="A201" s="107" t="s">
        <v>3071</v>
      </c>
      <c r="B201" s="108">
        <v>2.0</v>
      </c>
      <c r="C201" s="108">
        <v>0.0</v>
      </c>
      <c r="D201" s="108">
        <v>0.0</v>
      </c>
      <c r="E201" s="108">
        <v>0.0</v>
      </c>
      <c r="F201" s="108">
        <v>36.0</v>
      </c>
      <c r="G201" s="108">
        <v>65536.0</v>
      </c>
      <c r="H201" s="109">
        <f t="shared" ref="H201:I201" si="199">F201/1024/1024/1024</f>
        <v>0.00000003352761269</v>
      </c>
      <c r="I201" s="109">
        <f t="shared" si="199"/>
        <v>0.00006103515625</v>
      </c>
      <c r="J201" s="110">
        <v>0.0</v>
      </c>
      <c r="K201" s="107"/>
      <c r="L201" s="103"/>
      <c r="O201" s="111"/>
      <c r="P201" s="111"/>
      <c r="Q201" s="111"/>
      <c r="R201" s="111"/>
      <c r="S201" s="111"/>
      <c r="T201" s="111"/>
      <c r="U201" s="111"/>
      <c r="V201" s="111"/>
      <c r="W201" s="111"/>
      <c r="X201" s="111"/>
      <c r="Y201" s="111"/>
      <c r="Z201" s="111"/>
      <c r="AA201" s="111"/>
      <c r="AB201" s="111"/>
      <c r="AC201" s="111"/>
      <c r="AD201" s="111"/>
      <c r="AE201" s="111"/>
      <c r="AF201" s="111"/>
      <c r="AG201" s="103"/>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c r="BY201" s="111"/>
      <c r="BZ201" s="111"/>
    </row>
    <row r="202">
      <c r="A202" s="107" t="s">
        <v>3072</v>
      </c>
      <c r="B202" s="108">
        <v>1.0</v>
      </c>
      <c r="C202" s="108">
        <v>0.0</v>
      </c>
      <c r="D202" s="108">
        <v>0.0</v>
      </c>
      <c r="E202" s="108">
        <v>0.0</v>
      </c>
      <c r="F202" s="108">
        <v>0.0</v>
      </c>
      <c r="G202" s="108">
        <v>32768.0</v>
      </c>
      <c r="H202" s="109">
        <f t="shared" ref="H202:I202" si="200">F202/1024/1024/1024</f>
        <v>0</v>
      </c>
      <c r="I202" s="109">
        <f t="shared" si="200"/>
        <v>0.00003051757813</v>
      </c>
      <c r="J202" s="110">
        <v>0.0</v>
      </c>
      <c r="K202" s="107"/>
      <c r="L202" s="103"/>
      <c r="N202" s="111"/>
      <c r="O202" s="111"/>
      <c r="P202" s="111"/>
      <c r="Q202" s="111"/>
      <c r="R202" s="111"/>
      <c r="S202" s="111"/>
      <c r="T202" s="111"/>
      <c r="U202" s="111"/>
      <c r="V202" s="111"/>
      <c r="W202" s="111"/>
      <c r="X202" s="111"/>
      <c r="Y202" s="111"/>
      <c r="Z202" s="111"/>
      <c r="AA202" s="111"/>
      <c r="AB202" s="111"/>
      <c r="AC202" s="111"/>
      <c r="AD202" s="111"/>
      <c r="AE202" s="111"/>
      <c r="AF202" s="111"/>
      <c r="AG202" s="111"/>
      <c r="AH202" s="103"/>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c r="BY202" s="111"/>
      <c r="BZ202" s="111"/>
    </row>
    <row r="203">
      <c r="A203" s="107" t="s">
        <v>3073</v>
      </c>
      <c r="B203" s="108">
        <v>366.0</v>
      </c>
      <c r="C203" s="108">
        <v>624.0</v>
      </c>
      <c r="D203" s="108">
        <v>0.0</v>
      </c>
      <c r="E203" s="108">
        <v>0.0</v>
      </c>
      <c r="F203" s="108">
        <v>6.1600086E7</v>
      </c>
      <c r="G203" s="108">
        <v>1.43958016E8</v>
      </c>
      <c r="H203" s="109">
        <f t="shared" ref="H203:I203" si="201">F203/1024/1024/1024</f>
        <v>0.05736955069</v>
      </c>
      <c r="I203" s="109">
        <f t="shared" si="201"/>
        <v>0.1340713501</v>
      </c>
      <c r="J203" s="110">
        <v>0.0</v>
      </c>
      <c r="K203" s="107"/>
      <c r="L203" s="103"/>
      <c r="N203" s="111"/>
      <c r="O203" s="111"/>
      <c r="P203" s="111"/>
      <c r="Q203" s="111"/>
      <c r="R203" s="111"/>
      <c r="S203" s="111"/>
      <c r="T203" s="111"/>
      <c r="U203" s="111"/>
      <c r="V203" s="111"/>
      <c r="W203" s="111"/>
      <c r="X203" s="111"/>
      <c r="Y203" s="111"/>
      <c r="Z203" s="111"/>
      <c r="AA203" s="111"/>
      <c r="AB203" s="111"/>
      <c r="AC203" s="111"/>
      <c r="AD203" s="111"/>
      <c r="AE203" s="111"/>
      <c r="AF203" s="111"/>
      <c r="AG203" s="111"/>
      <c r="AH203" s="103"/>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c r="BY203" s="111"/>
      <c r="BZ203" s="111"/>
    </row>
    <row r="204">
      <c r="A204" s="107" t="s">
        <v>3074</v>
      </c>
      <c r="B204" s="108">
        <v>46.0</v>
      </c>
      <c r="C204" s="108">
        <v>7.0</v>
      </c>
      <c r="D204" s="108">
        <v>0.0</v>
      </c>
      <c r="E204" s="108">
        <v>0.0</v>
      </c>
      <c r="F204" s="108">
        <v>1.00298335E8</v>
      </c>
      <c r="G204" s="108">
        <v>1.22650624E8</v>
      </c>
      <c r="H204" s="109">
        <f t="shared" ref="H204:I204" si="202">F204/1024/1024/1024</f>
        <v>0.09341010358</v>
      </c>
      <c r="I204" s="109">
        <f t="shared" si="202"/>
        <v>0.1142272949</v>
      </c>
      <c r="J204" s="110">
        <v>0.0</v>
      </c>
      <c r="K204" s="107"/>
      <c r="L204" s="103"/>
      <c r="O204" s="111"/>
      <c r="P204" s="111"/>
      <c r="Q204" s="111"/>
      <c r="R204" s="111"/>
      <c r="S204" s="111"/>
      <c r="T204" s="111"/>
      <c r="U204" s="111"/>
      <c r="V204" s="111"/>
      <c r="W204" s="111"/>
      <c r="X204" s="111"/>
      <c r="Y204" s="111"/>
      <c r="Z204" s="111"/>
      <c r="AA204" s="111"/>
      <c r="AB204" s="111"/>
      <c r="AC204" s="111"/>
      <c r="AD204" s="111"/>
      <c r="AE204" s="111"/>
      <c r="AF204" s="111"/>
      <c r="AG204" s="111"/>
      <c r="AH204" s="111"/>
      <c r="AI204" s="103"/>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c r="BY204" s="111"/>
      <c r="BZ204" s="111"/>
    </row>
    <row r="205">
      <c r="A205" s="107" t="s">
        <v>3075</v>
      </c>
      <c r="B205" s="108">
        <v>43.0</v>
      </c>
      <c r="C205" s="108">
        <v>45.0</v>
      </c>
      <c r="D205" s="108">
        <v>0.0</v>
      </c>
      <c r="E205" s="108">
        <v>0.0</v>
      </c>
      <c r="F205" s="108">
        <v>7831486.0</v>
      </c>
      <c r="G205" s="108">
        <v>2.0176896E7</v>
      </c>
      <c r="H205" s="109">
        <f t="shared" ref="H205:I205" si="203">F205/1024/1024/1024</f>
        <v>0.007293639705</v>
      </c>
      <c r="I205" s="109">
        <f t="shared" si="203"/>
        <v>0.01879119873</v>
      </c>
      <c r="J205" s="110">
        <v>0.0</v>
      </c>
      <c r="K205" s="107"/>
      <c r="L205" s="103"/>
      <c r="O205" s="111"/>
      <c r="P205" s="111"/>
      <c r="Q205" s="111"/>
      <c r="R205" s="111"/>
      <c r="S205" s="111"/>
      <c r="T205" s="111"/>
      <c r="U205" s="111"/>
      <c r="V205" s="111"/>
      <c r="W205" s="111"/>
      <c r="X205" s="111"/>
      <c r="Y205" s="111"/>
      <c r="Z205" s="111"/>
      <c r="AA205" s="111"/>
      <c r="AB205" s="111"/>
      <c r="AC205" s="111"/>
      <c r="AD205" s="111"/>
      <c r="AE205" s="111"/>
      <c r="AF205" s="111"/>
      <c r="AG205" s="111"/>
      <c r="AH205" s="111"/>
      <c r="AI205" s="103"/>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111"/>
      <c r="BK205" s="111"/>
      <c r="BL205" s="111"/>
      <c r="BM205" s="111"/>
      <c r="BN205" s="111"/>
      <c r="BO205" s="111"/>
      <c r="BP205" s="111"/>
      <c r="BQ205" s="111"/>
      <c r="BR205" s="111"/>
      <c r="BS205" s="111"/>
      <c r="BT205" s="111"/>
      <c r="BU205" s="111"/>
      <c r="BV205" s="111"/>
      <c r="BW205" s="111"/>
      <c r="BX205" s="111"/>
      <c r="BY205" s="111"/>
      <c r="BZ205" s="111"/>
    </row>
    <row r="206">
      <c r="A206" s="107" t="s">
        <v>3076</v>
      </c>
      <c r="B206" s="108">
        <v>919.0</v>
      </c>
      <c r="C206" s="108">
        <v>10232.0</v>
      </c>
      <c r="D206" s="108">
        <v>0.0</v>
      </c>
      <c r="E206" s="108">
        <v>0.0</v>
      </c>
      <c r="F206" s="108">
        <v>1.7525002339E11</v>
      </c>
      <c r="G206" s="108">
        <v>2.1168545792E11</v>
      </c>
      <c r="H206" s="109">
        <f t="shared" ref="H206:I206" si="204">F206/1024/1024/1024</f>
        <v>163.214303</v>
      </c>
      <c r="I206" s="109">
        <f t="shared" si="204"/>
        <v>197.1474457</v>
      </c>
      <c r="J206" s="110">
        <v>0.0</v>
      </c>
      <c r="K206" s="107"/>
      <c r="L206" s="103"/>
      <c r="O206" s="111"/>
      <c r="P206" s="111"/>
      <c r="Q206" s="111"/>
      <c r="R206" s="111"/>
      <c r="S206" s="111"/>
      <c r="T206" s="111"/>
      <c r="U206" s="111"/>
      <c r="V206" s="111"/>
      <c r="W206" s="111"/>
      <c r="X206" s="111"/>
      <c r="Y206" s="111"/>
      <c r="Z206" s="111"/>
      <c r="AA206" s="111"/>
      <c r="AB206" s="111"/>
      <c r="AC206" s="111"/>
      <c r="AD206" s="111"/>
      <c r="AE206" s="111"/>
      <c r="AF206" s="111"/>
      <c r="AG206" s="111"/>
      <c r="AH206" s="111"/>
      <c r="AI206" s="103"/>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c r="BY206" s="111"/>
      <c r="BZ206" s="111"/>
    </row>
    <row r="207">
      <c r="A207" s="107" t="s">
        <v>3077</v>
      </c>
      <c r="B207" s="108">
        <v>8.0</v>
      </c>
      <c r="C207" s="108">
        <v>0.0</v>
      </c>
      <c r="D207" s="108">
        <v>0.0</v>
      </c>
      <c r="E207" s="108">
        <v>0.0</v>
      </c>
      <c r="F207" s="108">
        <v>321.0</v>
      </c>
      <c r="G207" s="108">
        <v>262144.0</v>
      </c>
      <c r="H207" s="109">
        <f t="shared" ref="H207:I207" si="205">F207/1024/1024/1024</f>
        <v>0.0000002989545465</v>
      </c>
      <c r="I207" s="109">
        <f t="shared" si="205"/>
        <v>0.000244140625</v>
      </c>
      <c r="J207" s="110">
        <v>0.0</v>
      </c>
      <c r="K207" s="107"/>
      <c r="L207" s="103"/>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03"/>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c r="BY207" s="111"/>
      <c r="BZ207" s="111"/>
    </row>
    <row r="208">
      <c r="A208" s="107" t="s">
        <v>3078</v>
      </c>
      <c r="B208" s="108">
        <v>137.0</v>
      </c>
      <c r="C208" s="108">
        <v>1031.0</v>
      </c>
      <c r="D208" s="108">
        <v>0.0</v>
      </c>
      <c r="E208" s="108">
        <v>0.0</v>
      </c>
      <c r="F208" s="108">
        <v>1.711188174E9</v>
      </c>
      <c r="G208" s="108">
        <v>2.212683776E9</v>
      </c>
      <c r="H208" s="109">
        <f t="shared" ref="H208:I208" si="206">F208/1024/1024/1024</f>
        <v>1.593668176</v>
      </c>
      <c r="I208" s="109">
        <f t="shared" si="206"/>
        <v>2.060722351</v>
      </c>
      <c r="J208" s="110">
        <v>0.0</v>
      </c>
      <c r="K208" s="107"/>
      <c r="L208" s="103"/>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03"/>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c r="BY208" s="111"/>
      <c r="BZ208" s="111"/>
    </row>
    <row r="209">
      <c r="A209" s="107" t="s">
        <v>3079</v>
      </c>
      <c r="B209" s="108">
        <v>29.0</v>
      </c>
      <c r="C209" s="108">
        <v>8.0</v>
      </c>
      <c r="D209" s="108">
        <v>0.0</v>
      </c>
      <c r="E209" s="108">
        <v>0.0</v>
      </c>
      <c r="F209" s="108">
        <v>3066092.0</v>
      </c>
      <c r="G209" s="108">
        <v>5734400.0</v>
      </c>
      <c r="H209" s="109">
        <f t="shared" ref="H209:I209" si="207">F209/1024/1024/1024</f>
        <v>0.002855520695</v>
      </c>
      <c r="I209" s="109">
        <f t="shared" si="207"/>
        <v>0.005340576172</v>
      </c>
      <c r="J209" s="110">
        <v>0.0</v>
      </c>
      <c r="K209" s="107"/>
      <c r="L209" s="103"/>
      <c r="O209" s="111"/>
      <c r="P209" s="111"/>
      <c r="Q209" s="111"/>
      <c r="R209" s="111"/>
      <c r="S209" s="111"/>
      <c r="T209" s="111"/>
      <c r="U209" s="111"/>
      <c r="V209" s="111"/>
      <c r="W209" s="111"/>
      <c r="X209" s="111"/>
      <c r="Y209" s="111"/>
      <c r="Z209" s="111"/>
      <c r="AA209" s="111"/>
      <c r="AB209" s="111"/>
      <c r="AC209" s="111"/>
      <c r="AD209" s="111"/>
      <c r="AE209" s="111"/>
      <c r="AF209" s="111"/>
      <c r="AG209" s="111"/>
      <c r="AH209" s="111"/>
      <c r="AI209" s="111"/>
      <c r="AJ209" s="103"/>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c r="BY209" s="111"/>
      <c r="BZ209" s="111"/>
    </row>
    <row r="210">
      <c r="A210" s="107" t="s">
        <v>3080</v>
      </c>
      <c r="B210" s="108">
        <v>43.0</v>
      </c>
      <c r="C210" s="108">
        <v>2.0</v>
      </c>
      <c r="D210" s="108">
        <v>0.0</v>
      </c>
      <c r="E210" s="108">
        <v>0.0</v>
      </c>
      <c r="F210" s="108">
        <v>14057.0</v>
      </c>
      <c r="G210" s="108">
        <v>1458176.0</v>
      </c>
      <c r="H210" s="109">
        <f t="shared" ref="H210:I210" si="208">F210/1024/1024/1024</f>
        <v>0.00001309160143</v>
      </c>
      <c r="I210" s="109">
        <f t="shared" si="208"/>
        <v>0.001358032227</v>
      </c>
      <c r="J210" s="110">
        <v>0.0</v>
      </c>
      <c r="K210" s="107"/>
      <c r="L210" s="103"/>
      <c r="P210" s="111"/>
      <c r="Q210" s="111"/>
      <c r="R210" s="111"/>
      <c r="S210" s="111"/>
      <c r="T210" s="111"/>
      <c r="U210" s="111"/>
      <c r="V210" s="111"/>
      <c r="W210" s="111"/>
      <c r="X210" s="111"/>
      <c r="Y210" s="111"/>
      <c r="Z210" s="111"/>
      <c r="AA210" s="111"/>
      <c r="AB210" s="111"/>
      <c r="AC210" s="111"/>
      <c r="AD210" s="111"/>
      <c r="AE210" s="111"/>
      <c r="AF210" s="111"/>
      <c r="AG210" s="111"/>
      <c r="AH210" s="111"/>
      <c r="AI210" s="111"/>
      <c r="AJ210" s="111"/>
      <c r="AK210" s="103"/>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c r="BY210" s="111"/>
      <c r="BZ210" s="111"/>
    </row>
    <row r="211">
      <c r="A211" s="107" t="s">
        <v>3081</v>
      </c>
      <c r="B211" s="108">
        <v>10.0</v>
      </c>
      <c r="C211" s="108">
        <v>0.0</v>
      </c>
      <c r="D211" s="108">
        <v>0.0</v>
      </c>
      <c r="E211" s="108">
        <v>0.0</v>
      </c>
      <c r="F211" s="108">
        <v>363.0</v>
      </c>
      <c r="G211" s="108">
        <v>327680.0</v>
      </c>
      <c r="H211" s="109">
        <f t="shared" ref="H211:I211" si="209">F211/1024/1024/1024</f>
        <v>0.0000003380700946</v>
      </c>
      <c r="I211" s="109">
        <f t="shared" si="209"/>
        <v>0.0003051757813</v>
      </c>
      <c r="J211" s="110">
        <v>0.0</v>
      </c>
      <c r="K211" s="107"/>
      <c r="L211" s="103"/>
      <c r="P211" s="111"/>
      <c r="Q211" s="111"/>
      <c r="R211" s="111"/>
      <c r="S211" s="111"/>
      <c r="T211" s="111"/>
      <c r="U211" s="111"/>
      <c r="V211" s="111"/>
      <c r="W211" s="111"/>
      <c r="X211" s="111"/>
      <c r="Y211" s="111"/>
      <c r="Z211" s="111"/>
      <c r="AA211" s="111"/>
      <c r="AB211" s="111"/>
      <c r="AC211" s="111"/>
      <c r="AD211" s="111"/>
      <c r="AE211" s="111"/>
      <c r="AF211" s="111"/>
      <c r="AG211" s="111"/>
      <c r="AH211" s="111"/>
      <c r="AI211" s="111"/>
      <c r="AJ211" s="111"/>
      <c r="AK211" s="103"/>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c r="BY211" s="111"/>
      <c r="BZ211" s="111"/>
    </row>
    <row r="212">
      <c r="A212" s="107" t="s">
        <v>3082</v>
      </c>
      <c r="B212" s="108">
        <v>1044.0</v>
      </c>
      <c r="C212" s="108">
        <v>245586.0</v>
      </c>
      <c r="D212" s="108">
        <v>0.0</v>
      </c>
      <c r="E212" s="108">
        <v>0.0</v>
      </c>
      <c r="F212" s="108">
        <v>1.664273273449E12</v>
      </c>
      <c r="G212" s="108">
        <v>2.041210437632E12</v>
      </c>
      <c r="H212" s="109">
        <f t="shared" ref="H212:I212" si="210">F212/1024/1024/1024</f>
        <v>1549.97527</v>
      </c>
      <c r="I212" s="109">
        <f t="shared" si="210"/>
        <v>1901.02536</v>
      </c>
      <c r="J212" s="110">
        <v>0.0</v>
      </c>
      <c r="K212" s="107"/>
      <c r="L212" s="103"/>
      <c r="P212" s="111"/>
      <c r="Q212" s="111"/>
      <c r="R212" s="111"/>
      <c r="S212" s="111"/>
      <c r="T212" s="111"/>
      <c r="U212" s="111"/>
      <c r="V212" s="111"/>
      <c r="W212" s="111"/>
      <c r="X212" s="111"/>
      <c r="Y212" s="111"/>
      <c r="Z212" s="111"/>
      <c r="AA212" s="111"/>
      <c r="AB212" s="111"/>
      <c r="AC212" s="111"/>
      <c r="AD212" s="111"/>
      <c r="AE212" s="111"/>
      <c r="AF212" s="111"/>
      <c r="AG212" s="111"/>
      <c r="AH212" s="111"/>
      <c r="AI212" s="111"/>
      <c r="AJ212" s="111"/>
      <c r="AK212" s="103"/>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c r="BY212" s="111"/>
      <c r="BZ212" s="111"/>
    </row>
    <row r="213">
      <c r="A213" s="107" t="s">
        <v>3083</v>
      </c>
      <c r="B213" s="108">
        <v>52.0</v>
      </c>
      <c r="C213" s="108">
        <v>0.0</v>
      </c>
      <c r="D213" s="108">
        <v>0.0</v>
      </c>
      <c r="E213" s="108">
        <v>0.0</v>
      </c>
      <c r="F213" s="108">
        <v>2016.0</v>
      </c>
      <c r="G213" s="108">
        <v>1703936.0</v>
      </c>
      <c r="H213" s="109">
        <f t="shared" ref="H213:I213" si="211">F213/1024/1024/1024</f>
        <v>0.00000187754631</v>
      </c>
      <c r="I213" s="109">
        <f t="shared" si="211"/>
        <v>0.001586914063</v>
      </c>
      <c r="J213" s="110">
        <v>0.0</v>
      </c>
      <c r="K213" s="107"/>
      <c r="L213" s="103"/>
      <c r="P213" s="111"/>
      <c r="Q213" s="111"/>
      <c r="R213" s="111"/>
      <c r="S213" s="111"/>
      <c r="T213" s="111"/>
      <c r="U213" s="111"/>
      <c r="V213" s="111"/>
      <c r="W213" s="111"/>
      <c r="X213" s="111"/>
      <c r="Y213" s="111"/>
      <c r="Z213" s="111"/>
      <c r="AA213" s="111"/>
      <c r="AB213" s="111"/>
      <c r="AC213" s="111"/>
      <c r="AD213" s="111"/>
      <c r="AE213" s="111"/>
      <c r="AF213" s="111"/>
      <c r="AG213" s="111"/>
      <c r="AH213" s="111"/>
      <c r="AI213" s="111"/>
      <c r="AJ213" s="111"/>
      <c r="AK213" s="103"/>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c r="BY213" s="111"/>
      <c r="BZ213" s="111"/>
    </row>
    <row r="214">
      <c r="A214" s="107" t="s">
        <v>3084</v>
      </c>
      <c r="B214" s="108">
        <v>23.0</v>
      </c>
      <c r="C214" s="108">
        <v>244.0</v>
      </c>
      <c r="D214" s="108">
        <v>0.0</v>
      </c>
      <c r="E214" s="108">
        <v>0.0</v>
      </c>
      <c r="F214" s="108">
        <v>3.4671635317E10</v>
      </c>
      <c r="G214" s="108">
        <v>4.1716015104E10</v>
      </c>
      <c r="H214" s="109">
        <f t="shared" ref="H214:I214" si="212">F214/1024/1024/1024</f>
        <v>32.29047667</v>
      </c>
      <c r="I214" s="109">
        <f t="shared" si="212"/>
        <v>38.85106659</v>
      </c>
      <c r="J214" s="110">
        <v>0.0</v>
      </c>
      <c r="K214" s="107"/>
      <c r="L214" s="103"/>
      <c r="P214" s="111"/>
      <c r="Q214" s="111"/>
      <c r="R214" s="111"/>
      <c r="S214" s="111"/>
      <c r="T214" s="111"/>
      <c r="U214" s="111"/>
      <c r="V214" s="111"/>
      <c r="W214" s="111"/>
      <c r="X214" s="111"/>
      <c r="Y214" s="111"/>
      <c r="Z214" s="111"/>
      <c r="AA214" s="111"/>
      <c r="AB214" s="111"/>
      <c r="AC214" s="111"/>
      <c r="AD214" s="111"/>
      <c r="AE214" s="111"/>
      <c r="AF214" s="111"/>
      <c r="AG214" s="111"/>
      <c r="AH214" s="111"/>
      <c r="AI214" s="111"/>
      <c r="AJ214" s="111"/>
      <c r="AK214" s="103"/>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c r="BY214" s="111"/>
      <c r="BZ214" s="111"/>
    </row>
    <row r="215">
      <c r="A215" s="107" t="s">
        <v>3085</v>
      </c>
      <c r="B215" s="108">
        <v>34.0</v>
      </c>
      <c r="C215" s="108">
        <v>0.0</v>
      </c>
      <c r="D215" s="108">
        <v>0.0</v>
      </c>
      <c r="E215" s="108">
        <v>0.0</v>
      </c>
      <c r="F215" s="108">
        <v>1262.0</v>
      </c>
      <c r="G215" s="108">
        <v>1114112.0</v>
      </c>
      <c r="H215" s="109">
        <f t="shared" ref="H215:I215" si="213">F215/1024/1024/1024</f>
        <v>0.000001175329089</v>
      </c>
      <c r="I215" s="109">
        <f t="shared" si="213"/>
        <v>0.001037597656</v>
      </c>
      <c r="J215" s="110">
        <v>0.0</v>
      </c>
      <c r="K215" s="107"/>
      <c r="L215" s="103"/>
      <c r="P215" s="111"/>
      <c r="Q215" s="111"/>
      <c r="R215" s="111"/>
      <c r="S215" s="111"/>
      <c r="T215" s="111"/>
      <c r="U215" s="111"/>
      <c r="V215" s="111"/>
      <c r="W215" s="111"/>
      <c r="X215" s="111"/>
      <c r="Y215" s="111"/>
      <c r="Z215" s="111"/>
      <c r="AA215" s="111"/>
      <c r="AB215" s="111"/>
      <c r="AC215" s="111"/>
      <c r="AD215" s="111"/>
      <c r="AE215" s="111"/>
      <c r="AF215" s="111"/>
      <c r="AG215" s="111"/>
      <c r="AH215" s="111"/>
      <c r="AI215" s="111"/>
      <c r="AJ215" s="111"/>
      <c r="AK215" s="111"/>
      <c r="AL215" s="103"/>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c r="BY215" s="111"/>
      <c r="BZ215" s="111"/>
    </row>
    <row r="216">
      <c r="A216" s="107" t="s">
        <v>3086</v>
      </c>
      <c r="B216" s="108">
        <v>70.0</v>
      </c>
      <c r="C216" s="108">
        <v>0.0</v>
      </c>
      <c r="D216" s="108">
        <v>0.0</v>
      </c>
      <c r="E216" s="108">
        <v>0.0</v>
      </c>
      <c r="F216" s="108">
        <v>2492.0</v>
      </c>
      <c r="G216" s="108">
        <v>2293760.0</v>
      </c>
      <c r="H216" s="109">
        <f t="shared" ref="H216:I216" si="214">F216/1024/1024/1024</f>
        <v>0.000002320855856</v>
      </c>
      <c r="I216" s="109">
        <f t="shared" si="214"/>
        <v>0.002136230469</v>
      </c>
      <c r="J216" s="110">
        <v>0.0</v>
      </c>
      <c r="K216" s="107"/>
      <c r="L216" s="103"/>
      <c r="P216" s="111"/>
      <c r="Q216" s="111"/>
      <c r="R216" s="111"/>
      <c r="S216" s="111"/>
      <c r="T216" s="111"/>
      <c r="U216" s="111"/>
      <c r="V216" s="111"/>
      <c r="W216" s="111"/>
      <c r="X216" s="111"/>
      <c r="Y216" s="111"/>
      <c r="Z216" s="111"/>
      <c r="AA216" s="111"/>
      <c r="AB216" s="111"/>
      <c r="AC216" s="111"/>
      <c r="AD216" s="111"/>
      <c r="AE216" s="111"/>
      <c r="AF216" s="111"/>
      <c r="AG216" s="111"/>
      <c r="AH216" s="111"/>
      <c r="AI216" s="111"/>
      <c r="AJ216" s="111"/>
      <c r="AK216" s="111"/>
      <c r="AL216" s="103"/>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c r="BY216" s="111"/>
      <c r="BZ216" s="111"/>
    </row>
    <row r="217">
      <c r="A217" s="107" t="s">
        <v>3087</v>
      </c>
      <c r="B217" s="108">
        <v>24.0</v>
      </c>
      <c r="C217" s="108">
        <v>0.0</v>
      </c>
      <c r="D217" s="108">
        <v>0.0</v>
      </c>
      <c r="E217" s="108">
        <v>0.0</v>
      </c>
      <c r="F217" s="108">
        <v>791.0</v>
      </c>
      <c r="G217" s="108">
        <v>786432.0</v>
      </c>
      <c r="H217" s="109">
        <f t="shared" ref="H217:I217" si="215">F217/1024/1024/1024</f>
        <v>0.0000007366761565</v>
      </c>
      <c r="I217" s="109">
        <f t="shared" si="215"/>
        <v>0.000732421875</v>
      </c>
      <c r="J217" s="110">
        <v>0.0</v>
      </c>
      <c r="K217" s="107"/>
      <c r="L217" s="103"/>
      <c r="P217" s="111"/>
      <c r="Q217" s="111"/>
      <c r="R217" s="111"/>
      <c r="S217" s="111"/>
      <c r="T217" s="111"/>
      <c r="U217" s="111"/>
      <c r="V217" s="111"/>
      <c r="W217" s="111"/>
      <c r="X217" s="111"/>
      <c r="Y217" s="111"/>
      <c r="Z217" s="111"/>
      <c r="AA217" s="111"/>
      <c r="AB217" s="111"/>
      <c r="AC217" s="111"/>
      <c r="AD217" s="111"/>
      <c r="AE217" s="111"/>
      <c r="AF217" s="111"/>
      <c r="AG217" s="111"/>
      <c r="AH217" s="111"/>
      <c r="AI217" s="111"/>
      <c r="AJ217" s="111"/>
      <c r="AK217" s="111"/>
      <c r="AL217" s="103"/>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c r="BY217" s="111"/>
      <c r="BZ217" s="111"/>
    </row>
    <row r="218">
      <c r="A218" s="107" t="s">
        <v>3088</v>
      </c>
      <c r="B218" s="108">
        <v>29.0</v>
      </c>
      <c r="C218" s="108">
        <v>0.0</v>
      </c>
      <c r="D218" s="108">
        <v>0.0</v>
      </c>
      <c r="E218" s="108">
        <v>0.0</v>
      </c>
      <c r="F218" s="108">
        <v>999.0</v>
      </c>
      <c r="G218" s="108">
        <v>950272.0</v>
      </c>
      <c r="H218" s="109">
        <f t="shared" ref="H218:I218" si="216">F218/1024/1024/1024</f>
        <v>0.000000930391252</v>
      </c>
      <c r="I218" s="109">
        <f t="shared" si="216"/>
        <v>0.0008850097656</v>
      </c>
      <c r="J218" s="110">
        <v>0.0</v>
      </c>
      <c r="K218" s="107"/>
      <c r="L218" s="103"/>
      <c r="N218" s="111"/>
      <c r="O218" s="111"/>
      <c r="P218" s="111"/>
      <c r="Q218" s="111"/>
      <c r="R218" s="111"/>
      <c r="S218" s="111"/>
      <c r="T218" s="111"/>
      <c r="U218" s="111"/>
      <c r="V218" s="111"/>
      <c r="W218" s="111"/>
      <c r="X218" s="111"/>
      <c r="Y218" s="111"/>
      <c r="Z218" s="111"/>
      <c r="AA218" s="111"/>
      <c r="AB218" s="111"/>
      <c r="AC218" s="111"/>
      <c r="AD218" s="111"/>
      <c r="AE218" s="111"/>
      <c r="AF218" s="111"/>
      <c r="AG218" s="111"/>
      <c r="AH218" s="111"/>
      <c r="AI218" s="111"/>
      <c r="AJ218" s="111"/>
      <c r="AK218" s="111"/>
      <c r="AL218" s="111"/>
      <c r="AM218" s="103"/>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c r="BY218" s="111"/>
      <c r="BZ218" s="111"/>
    </row>
    <row r="219">
      <c r="A219" s="107" t="s">
        <v>3089</v>
      </c>
      <c r="B219" s="108">
        <v>43.0</v>
      </c>
      <c r="C219" s="108">
        <v>0.0</v>
      </c>
      <c r="D219" s="108">
        <v>0.0</v>
      </c>
      <c r="E219" s="108">
        <v>0.0</v>
      </c>
      <c r="F219" s="108">
        <v>1397.0</v>
      </c>
      <c r="G219" s="108">
        <v>1409024.0</v>
      </c>
      <c r="H219" s="109">
        <f t="shared" ref="H219:I219" si="217">F219/1024/1024/1024</f>
        <v>0.000001301057637</v>
      </c>
      <c r="I219" s="109">
        <f t="shared" si="217"/>
        <v>0.001312255859</v>
      </c>
      <c r="J219" s="110">
        <v>0.0</v>
      </c>
      <c r="K219" s="107"/>
      <c r="L219" s="103"/>
      <c r="N219" s="111"/>
      <c r="O219" s="111"/>
      <c r="P219" s="111"/>
      <c r="Q219" s="111"/>
      <c r="R219" s="111"/>
      <c r="S219" s="111"/>
      <c r="T219" s="111"/>
      <c r="U219" s="111"/>
      <c r="V219" s="111"/>
      <c r="W219" s="111"/>
      <c r="X219" s="111"/>
      <c r="Y219" s="111"/>
      <c r="Z219" s="111"/>
      <c r="AA219" s="111"/>
      <c r="AB219" s="111"/>
      <c r="AC219" s="111"/>
      <c r="AD219" s="111"/>
      <c r="AE219" s="111"/>
      <c r="AF219" s="111"/>
      <c r="AG219" s="111"/>
      <c r="AH219" s="111"/>
      <c r="AI219" s="111"/>
      <c r="AJ219" s="111"/>
      <c r="AK219" s="111"/>
      <c r="AL219" s="111"/>
      <c r="AM219" s="103"/>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c r="BY219" s="111"/>
      <c r="BZ219" s="111"/>
    </row>
    <row r="220">
      <c r="A220" s="107" t="s">
        <v>3090</v>
      </c>
      <c r="B220" s="108">
        <v>44.0</v>
      </c>
      <c r="C220" s="108">
        <v>0.0</v>
      </c>
      <c r="D220" s="108">
        <v>0.0</v>
      </c>
      <c r="E220" s="108">
        <v>0.0</v>
      </c>
      <c r="F220" s="108">
        <v>1374.0</v>
      </c>
      <c r="G220" s="108">
        <v>1441792.0</v>
      </c>
      <c r="H220" s="109">
        <f t="shared" ref="H220:I220" si="218">F220/1024/1024/1024</f>
        <v>0.000001279637218</v>
      </c>
      <c r="I220" s="109">
        <f t="shared" si="218"/>
        <v>0.001342773438</v>
      </c>
      <c r="J220" s="110">
        <v>0.0</v>
      </c>
      <c r="K220" s="107"/>
      <c r="L220" s="103"/>
      <c r="N220" s="111"/>
      <c r="O220" s="111"/>
      <c r="P220" s="111"/>
      <c r="Q220" s="111"/>
      <c r="R220" s="111"/>
      <c r="S220" s="111"/>
      <c r="T220" s="111"/>
      <c r="U220" s="111"/>
      <c r="V220" s="111"/>
      <c r="W220" s="111"/>
      <c r="X220" s="111"/>
      <c r="Y220" s="111"/>
      <c r="Z220" s="111"/>
      <c r="AA220" s="111"/>
      <c r="AB220" s="111"/>
      <c r="AC220" s="111"/>
      <c r="AD220" s="111"/>
      <c r="AE220" s="111"/>
      <c r="AF220" s="111"/>
      <c r="AG220" s="111"/>
      <c r="AH220" s="111"/>
      <c r="AI220" s="111"/>
      <c r="AJ220" s="111"/>
      <c r="AK220" s="111"/>
      <c r="AL220" s="111"/>
      <c r="AM220" s="103"/>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c r="BY220" s="111"/>
      <c r="BZ220" s="111"/>
    </row>
    <row r="221">
      <c r="A221" s="107" t="s">
        <v>3091</v>
      </c>
      <c r="B221" s="108">
        <v>41.0</v>
      </c>
      <c r="C221" s="108">
        <v>0.0</v>
      </c>
      <c r="D221" s="108">
        <v>0.0</v>
      </c>
      <c r="E221" s="108">
        <v>0.0</v>
      </c>
      <c r="F221" s="108">
        <v>1363.0</v>
      </c>
      <c r="G221" s="108">
        <v>1343488.0</v>
      </c>
      <c r="H221" s="109">
        <f t="shared" ref="H221:I221" si="219">F221/1024/1024/1024</f>
        <v>0.000001269392669</v>
      </c>
      <c r="I221" s="109">
        <f t="shared" si="219"/>
        <v>0.001251220703</v>
      </c>
      <c r="J221" s="110">
        <v>0.0</v>
      </c>
      <c r="K221" s="107"/>
      <c r="L221" s="103"/>
      <c r="N221" s="111"/>
      <c r="O221" s="111"/>
      <c r="P221" s="111"/>
      <c r="Q221" s="111"/>
      <c r="R221" s="111"/>
      <c r="S221" s="111"/>
      <c r="T221" s="111"/>
      <c r="U221" s="111"/>
      <c r="V221" s="111"/>
      <c r="W221" s="111"/>
      <c r="X221" s="111"/>
      <c r="Y221" s="111"/>
      <c r="Z221" s="111"/>
      <c r="AA221" s="111"/>
      <c r="AB221" s="111"/>
      <c r="AC221" s="111"/>
      <c r="AD221" s="111"/>
      <c r="AE221" s="111"/>
      <c r="AF221" s="111"/>
      <c r="AG221" s="111"/>
      <c r="AH221" s="111"/>
      <c r="AI221" s="111"/>
      <c r="AJ221" s="111"/>
      <c r="AK221" s="111"/>
      <c r="AL221" s="111"/>
      <c r="AM221" s="103"/>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c r="BY221" s="111"/>
      <c r="BZ221" s="111"/>
    </row>
    <row r="222">
      <c r="A222" s="107" t="s">
        <v>3092</v>
      </c>
      <c r="B222" s="108">
        <v>29.0</v>
      </c>
      <c r="C222" s="108">
        <v>0.0</v>
      </c>
      <c r="D222" s="108">
        <v>0.0</v>
      </c>
      <c r="E222" s="108">
        <v>0.0</v>
      </c>
      <c r="F222" s="108">
        <v>901.0</v>
      </c>
      <c r="G222" s="108">
        <v>950272.0</v>
      </c>
      <c r="H222" s="109">
        <f t="shared" ref="H222:I222" si="220">F222/1024/1024/1024</f>
        <v>0.0000008391216397</v>
      </c>
      <c r="I222" s="109">
        <f t="shared" si="220"/>
        <v>0.0008850097656</v>
      </c>
      <c r="J222" s="110">
        <v>0.0</v>
      </c>
      <c r="K222" s="107"/>
      <c r="L222" s="103"/>
      <c r="N222" s="111"/>
      <c r="O222" s="111"/>
      <c r="P222" s="111"/>
      <c r="Q222" s="111"/>
      <c r="R222" s="111"/>
      <c r="S222" s="111"/>
      <c r="T222" s="111"/>
      <c r="U222" s="111"/>
      <c r="V222" s="111"/>
      <c r="W222" s="111"/>
      <c r="X222" s="111"/>
      <c r="Y222" s="111"/>
      <c r="Z222" s="111"/>
      <c r="AA222" s="111"/>
      <c r="AB222" s="111"/>
      <c r="AC222" s="111"/>
      <c r="AD222" s="111"/>
      <c r="AE222" s="111"/>
      <c r="AF222" s="111"/>
      <c r="AG222" s="111"/>
      <c r="AH222" s="111"/>
      <c r="AI222" s="111"/>
      <c r="AJ222" s="111"/>
      <c r="AK222" s="111"/>
      <c r="AL222" s="111"/>
      <c r="AM222" s="111"/>
      <c r="AN222" s="103"/>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c r="BY222" s="111"/>
      <c r="BZ222" s="111"/>
    </row>
    <row r="223">
      <c r="A223" s="107" t="s">
        <v>3093</v>
      </c>
      <c r="B223" s="108">
        <v>28.0</v>
      </c>
      <c r="C223" s="108">
        <v>0.0</v>
      </c>
      <c r="D223" s="108">
        <v>0.0</v>
      </c>
      <c r="E223" s="108">
        <v>0.0</v>
      </c>
      <c r="F223" s="108">
        <v>977.0</v>
      </c>
      <c r="G223" s="108">
        <v>917504.0</v>
      </c>
      <c r="H223" s="109">
        <f t="shared" ref="H223:I223" si="221">F223/1024/1024/1024</f>
        <v>0.0000009099021554</v>
      </c>
      <c r="I223" s="109">
        <f t="shared" si="221"/>
        <v>0.0008544921875</v>
      </c>
      <c r="J223" s="110">
        <v>0.0</v>
      </c>
      <c r="K223" s="107"/>
      <c r="L223" s="103"/>
      <c r="N223" s="111"/>
      <c r="O223" s="111"/>
      <c r="P223" s="111"/>
      <c r="Q223" s="111"/>
      <c r="R223" s="111"/>
      <c r="S223" s="111"/>
      <c r="T223" s="111"/>
      <c r="U223" s="111"/>
      <c r="V223" s="111"/>
      <c r="W223" s="111"/>
      <c r="X223" s="111"/>
      <c r="Y223" s="111"/>
      <c r="Z223" s="111"/>
      <c r="AA223" s="111"/>
      <c r="AB223" s="111"/>
      <c r="AC223" s="111"/>
      <c r="AD223" s="111"/>
      <c r="AE223" s="111"/>
      <c r="AF223" s="111"/>
      <c r="AG223" s="111"/>
      <c r="AH223" s="111"/>
      <c r="AI223" s="111"/>
      <c r="AJ223" s="111"/>
      <c r="AK223" s="111"/>
      <c r="AL223" s="111"/>
      <c r="AM223" s="111"/>
      <c r="AN223" s="103"/>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c r="BY223" s="111"/>
      <c r="BZ223" s="111"/>
    </row>
    <row r="224">
      <c r="A224" s="107" t="s">
        <v>3094</v>
      </c>
      <c r="B224" s="108">
        <v>1.0</v>
      </c>
      <c r="C224" s="108">
        <v>0.0</v>
      </c>
      <c r="D224" s="108">
        <v>0.0</v>
      </c>
      <c r="E224" s="108">
        <v>0.0</v>
      </c>
      <c r="F224" s="108">
        <v>0.0</v>
      </c>
      <c r="G224" s="108">
        <v>32768.0</v>
      </c>
      <c r="H224" s="109">
        <f t="shared" ref="H224:I224" si="222">F224/1024/1024/1024</f>
        <v>0</v>
      </c>
      <c r="I224" s="109">
        <f t="shared" si="222"/>
        <v>0.00003051757813</v>
      </c>
      <c r="J224" s="110">
        <v>0.0</v>
      </c>
      <c r="K224" s="107"/>
      <c r="L224" s="103"/>
      <c r="N224" s="111"/>
      <c r="O224" s="111"/>
      <c r="P224" s="111"/>
      <c r="Q224" s="111"/>
      <c r="R224" s="111"/>
      <c r="S224" s="111"/>
      <c r="T224" s="111"/>
      <c r="U224" s="111"/>
      <c r="V224" s="111"/>
      <c r="W224" s="111"/>
      <c r="X224" s="111"/>
      <c r="Y224" s="111"/>
      <c r="Z224" s="111"/>
      <c r="AA224" s="111"/>
      <c r="AB224" s="111"/>
      <c r="AC224" s="111"/>
      <c r="AD224" s="111"/>
      <c r="AE224" s="111"/>
      <c r="AF224" s="111"/>
      <c r="AG224" s="111"/>
      <c r="AH224" s="111"/>
      <c r="AI224" s="111"/>
      <c r="AJ224" s="111"/>
      <c r="AK224" s="111"/>
      <c r="AL224" s="111"/>
      <c r="AM224" s="111"/>
      <c r="AN224" s="103"/>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c r="BY224" s="111"/>
      <c r="BZ224" s="111"/>
    </row>
    <row r="225">
      <c r="A225" s="107" t="s">
        <v>3095</v>
      </c>
      <c r="B225" s="108">
        <v>28.0</v>
      </c>
      <c r="C225" s="108">
        <v>0.0</v>
      </c>
      <c r="D225" s="108">
        <v>0.0</v>
      </c>
      <c r="E225" s="108">
        <v>0.0</v>
      </c>
      <c r="F225" s="108">
        <v>999.0</v>
      </c>
      <c r="G225" s="108">
        <v>917504.0</v>
      </c>
      <c r="H225" s="109">
        <f t="shared" ref="H225:I225" si="223">F225/1024/1024/1024</f>
        <v>0.000000930391252</v>
      </c>
      <c r="I225" s="109">
        <f t="shared" si="223"/>
        <v>0.0008544921875</v>
      </c>
      <c r="J225" s="110">
        <v>0.0</v>
      </c>
      <c r="K225" s="107"/>
      <c r="L225" s="103"/>
      <c r="N225" s="111"/>
      <c r="O225" s="111"/>
      <c r="P225" s="111"/>
      <c r="Q225" s="111"/>
      <c r="R225" s="111"/>
      <c r="S225" s="111"/>
      <c r="T225" s="111"/>
      <c r="U225" s="111"/>
      <c r="V225" s="111"/>
      <c r="W225" s="111"/>
      <c r="X225" s="111"/>
      <c r="Y225" s="111"/>
      <c r="Z225" s="111"/>
      <c r="AA225" s="111"/>
      <c r="AB225" s="111"/>
      <c r="AC225" s="111"/>
      <c r="AD225" s="111"/>
      <c r="AE225" s="111"/>
      <c r="AF225" s="111"/>
      <c r="AG225" s="111"/>
      <c r="AH225" s="111"/>
      <c r="AI225" s="111"/>
      <c r="AJ225" s="111"/>
      <c r="AK225" s="111"/>
      <c r="AL225" s="111"/>
      <c r="AM225" s="111"/>
      <c r="AN225" s="103"/>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c r="BY225" s="111"/>
      <c r="BZ225" s="111"/>
    </row>
    <row r="226">
      <c r="A226" s="107" t="s">
        <v>3096</v>
      </c>
      <c r="B226" s="108">
        <v>4.0</v>
      </c>
      <c r="C226" s="108">
        <v>0.0</v>
      </c>
      <c r="D226" s="108">
        <v>0.0</v>
      </c>
      <c r="E226" s="108">
        <v>0.0</v>
      </c>
      <c r="F226" s="108">
        <v>94.0</v>
      </c>
      <c r="G226" s="108">
        <v>131072.0</v>
      </c>
      <c r="H226" s="109">
        <f t="shared" ref="H226:I226" si="224">F226/1024/1024/1024</f>
        <v>0.00000008754432201</v>
      </c>
      <c r="I226" s="109">
        <f t="shared" si="224"/>
        <v>0.0001220703125</v>
      </c>
      <c r="J226" s="110">
        <v>0.0</v>
      </c>
      <c r="K226" s="107"/>
      <c r="L226" s="103"/>
      <c r="N226" s="111"/>
      <c r="O226" s="111"/>
      <c r="P226" s="111"/>
      <c r="Q226" s="111"/>
      <c r="R226" s="111"/>
      <c r="S226" s="111"/>
      <c r="T226" s="111"/>
      <c r="U226" s="111"/>
      <c r="V226" s="111"/>
      <c r="W226" s="111"/>
      <c r="X226" s="111"/>
      <c r="Y226" s="111"/>
      <c r="Z226" s="111"/>
      <c r="AA226" s="111"/>
      <c r="AB226" s="111"/>
      <c r="AC226" s="111"/>
      <c r="AD226" s="111"/>
      <c r="AE226" s="111"/>
      <c r="AF226" s="111"/>
      <c r="AG226" s="111"/>
      <c r="AH226" s="111"/>
      <c r="AI226" s="111"/>
      <c r="AJ226" s="111"/>
      <c r="AK226" s="111"/>
      <c r="AL226" s="111"/>
      <c r="AM226" s="111"/>
      <c r="AN226" s="103"/>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c r="BY226" s="111"/>
      <c r="BZ226" s="111"/>
    </row>
    <row r="227">
      <c r="A227" s="107" t="s">
        <v>3097</v>
      </c>
      <c r="B227" s="108">
        <v>20.0</v>
      </c>
      <c r="C227" s="108">
        <v>0.0</v>
      </c>
      <c r="D227" s="108">
        <v>0.0</v>
      </c>
      <c r="E227" s="108">
        <v>0.0</v>
      </c>
      <c r="F227" s="108">
        <v>586.0</v>
      </c>
      <c r="G227" s="108">
        <v>655360.0</v>
      </c>
      <c r="H227" s="109">
        <f t="shared" ref="H227:I227" si="225">F227/1024/1024/1024</f>
        <v>0.0000005457550287</v>
      </c>
      <c r="I227" s="109">
        <f t="shared" si="225"/>
        <v>0.0006103515625</v>
      </c>
      <c r="J227" s="110">
        <v>0.0</v>
      </c>
      <c r="K227" s="107"/>
      <c r="L227" s="103"/>
      <c r="N227" s="111"/>
      <c r="O227" s="111"/>
      <c r="P227" s="111"/>
      <c r="Q227" s="111"/>
      <c r="R227" s="111"/>
      <c r="S227" s="111"/>
      <c r="T227" s="111"/>
      <c r="U227" s="111"/>
      <c r="V227" s="111"/>
      <c r="W227" s="111"/>
      <c r="X227" s="111"/>
      <c r="Y227" s="111"/>
      <c r="Z227" s="111"/>
      <c r="AA227" s="111"/>
      <c r="AB227" s="111"/>
      <c r="AC227" s="111"/>
      <c r="AD227" s="111"/>
      <c r="AE227" s="111"/>
      <c r="AF227" s="111"/>
      <c r="AG227" s="111"/>
      <c r="AH227" s="111"/>
      <c r="AI227" s="111"/>
      <c r="AJ227" s="111"/>
      <c r="AK227" s="111"/>
      <c r="AL227" s="111"/>
      <c r="AM227" s="111"/>
      <c r="AN227" s="103"/>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c r="BY227" s="111"/>
      <c r="BZ227" s="111"/>
    </row>
    <row r="228">
      <c r="A228" s="107" t="s">
        <v>3098</v>
      </c>
      <c r="B228" s="108">
        <v>1.0</v>
      </c>
      <c r="C228" s="108">
        <v>0.0</v>
      </c>
      <c r="D228" s="108">
        <v>0.0</v>
      </c>
      <c r="E228" s="108">
        <v>0.0</v>
      </c>
      <c r="F228" s="108">
        <v>0.0</v>
      </c>
      <c r="G228" s="108">
        <v>32768.0</v>
      </c>
      <c r="H228" s="109">
        <f t="shared" ref="H228:I228" si="226">F228/1024/1024/1024</f>
        <v>0</v>
      </c>
      <c r="I228" s="109">
        <f t="shared" si="226"/>
        <v>0.00003051757813</v>
      </c>
      <c r="J228" s="110">
        <v>0.0</v>
      </c>
      <c r="K228" s="107"/>
      <c r="L228" s="103"/>
      <c r="O228" s="111"/>
      <c r="P228" s="111"/>
      <c r="Q228" s="111"/>
      <c r="R228" s="111"/>
      <c r="S228" s="111"/>
      <c r="T228" s="111"/>
      <c r="U228" s="111"/>
      <c r="V228" s="111"/>
      <c r="W228" s="111"/>
      <c r="X228" s="111"/>
      <c r="Y228" s="111"/>
      <c r="Z228" s="111"/>
      <c r="AA228" s="111"/>
      <c r="AB228" s="111"/>
      <c r="AC228" s="111"/>
      <c r="AD228" s="111"/>
      <c r="AE228" s="111"/>
      <c r="AF228" s="111"/>
      <c r="AG228" s="111"/>
      <c r="AH228" s="111"/>
      <c r="AI228" s="111"/>
      <c r="AJ228" s="111"/>
      <c r="AK228" s="111"/>
      <c r="AL228" s="111"/>
      <c r="AM228" s="111"/>
      <c r="AN228" s="111"/>
      <c r="AO228" s="103"/>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c r="BY228" s="111"/>
      <c r="BZ228" s="111"/>
    </row>
    <row r="229">
      <c r="A229" s="107" t="s">
        <v>3099</v>
      </c>
      <c r="B229" s="108">
        <v>14.0</v>
      </c>
      <c r="C229" s="108">
        <v>0.0</v>
      </c>
      <c r="D229" s="108">
        <v>0.0</v>
      </c>
      <c r="E229" s="108">
        <v>0.0</v>
      </c>
      <c r="F229" s="108">
        <v>435.0</v>
      </c>
      <c r="G229" s="108">
        <v>458752.0</v>
      </c>
      <c r="H229" s="109">
        <f t="shared" ref="H229:I229" si="227">F229/1024/1024/1024</f>
        <v>0.00000040512532</v>
      </c>
      <c r="I229" s="109">
        <f t="shared" si="227"/>
        <v>0.0004272460938</v>
      </c>
      <c r="J229" s="110">
        <v>0.0</v>
      </c>
      <c r="K229" s="107"/>
      <c r="L229" s="103"/>
      <c r="O229" s="111"/>
      <c r="P229" s="111"/>
      <c r="Q229" s="111"/>
      <c r="R229" s="111"/>
      <c r="S229" s="111"/>
      <c r="T229" s="111"/>
      <c r="U229" s="111"/>
      <c r="V229" s="111"/>
      <c r="W229" s="111"/>
      <c r="X229" s="111"/>
      <c r="Y229" s="111"/>
      <c r="Z229" s="111"/>
      <c r="AA229" s="111"/>
      <c r="AB229" s="111"/>
      <c r="AC229" s="111"/>
      <c r="AD229" s="111"/>
      <c r="AE229" s="111"/>
      <c r="AF229" s="111"/>
      <c r="AG229" s="111"/>
      <c r="AH229" s="111"/>
      <c r="AI229" s="111"/>
      <c r="AJ229" s="111"/>
      <c r="AK229" s="111"/>
      <c r="AL229" s="111"/>
      <c r="AM229" s="111"/>
      <c r="AN229" s="111"/>
      <c r="AO229" s="103"/>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c r="BY229" s="111"/>
      <c r="BZ229" s="111"/>
    </row>
    <row r="230">
      <c r="A230" s="107" t="s">
        <v>3100</v>
      </c>
      <c r="B230" s="108">
        <v>2.0</v>
      </c>
      <c r="C230" s="108">
        <v>0.0</v>
      </c>
      <c r="D230" s="108">
        <v>0.0</v>
      </c>
      <c r="E230" s="108">
        <v>0.0</v>
      </c>
      <c r="F230" s="108">
        <v>27.0</v>
      </c>
      <c r="G230" s="108">
        <v>65536.0</v>
      </c>
      <c r="H230" s="109">
        <f t="shared" ref="H230:I230" si="228">F230/1024/1024/1024</f>
        <v>0.00000002514570951</v>
      </c>
      <c r="I230" s="109">
        <f t="shared" si="228"/>
        <v>0.00006103515625</v>
      </c>
      <c r="J230" s="110">
        <v>0.0</v>
      </c>
      <c r="K230" s="107"/>
      <c r="L230" s="103"/>
      <c r="O230" s="111"/>
      <c r="P230" s="111"/>
      <c r="Q230" s="111"/>
      <c r="R230" s="111"/>
      <c r="S230" s="111"/>
      <c r="T230" s="111"/>
      <c r="U230" s="111"/>
      <c r="V230" s="111"/>
      <c r="W230" s="111"/>
      <c r="X230" s="111"/>
      <c r="Y230" s="111"/>
      <c r="Z230" s="111"/>
      <c r="AA230" s="111"/>
      <c r="AB230" s="111"/>
      <c r="AC230" s="111"/>
      <c r="AD230" s="111"/>
      <c r="AE230" s="111"/>
      <c r="AF230" s="111"/>
      <c r="AG230" s="111"/>
      <c r="AH230" s="111"/>
      <c r="AI230" s="111"/>
      <c r="AJ230" s="111"/>
      <c r="AK230" s="111"/>
      <c r="AL230" s="111"/>
      <c r="AM230" s="111"/>
      <c r="AN230" s="111"/>
      <c r="AO230" s="103"/>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c r="BY230" s="111"/>
      <c r="BZ230" s="111"/>
    </row>
    <row r="231">
      <c r="A231" s="107" t="s">
        <v>3101</v>
      </c>
      <c r="B231" s="108">
        <v>246.0</v>
      </c>
      <c r="C231" s="108">
        <v>1896.0</v>
      </c>
      <c r="D231" s="108">
        <v>0.0</v>
      </c>
      <c r="E231" s="108">
        <v>0.0</v>
      </c>
      <c r="F231" s="108">
        <v>7.433837931E9</v>
      </c>
      <c r="G231" s="108">
        <v>9.219751936E9</v>
      </c>
      <c r="H231" s="109">
        <f t="shared" ref="H231:I231" si="229">F231/1024/1024/1024</f>
        <v>6.923301081</v>
      </c>
      <c r="I231" s="109">
        <f t="shared" si="229"/>
        <v>8.58656311</v>
      </c>
      <c r="J231" s="110">
        <v>0.0</v>
      </c>
      <c r="K231" s="107"/>
      <c r="L231" s="103"/>
      <c r="O231" s="111"/>
      <c r="P231" s="111"/>
      <c r="Q231" s="111"/>
      <c r="R231" s="111"/>
      <c r="S231" s="111"/>
      <c r="T231" s="111"/>
      <c r="U231" s="111"/>
      <c r="V231" s="111"/>
      <c r="W231" s="111"/>
      <c r="X231" s="111"/>
      <c r="Y231" s="111"/>
      <c r="Z231" s="111"/>
      <c r="AA231" s="111"/>
      <c r="AB231" s="111"/>
      <c r="AC231" s="111"/>
      <c r="AD231" s="111"/>
      <c r="AE231" s="111"/>
      <c r="AF231" s="111"/>
      <c r="AG231" s="111"/>
      <c r="AH231" s="111"/>
      <c r="AI231" s="111"/>
      <c r="AJ231" s="111"/>
      <c r="AK231" s="111"/>
      <c r="AL231" s="111"/>
      <c r="AM231" s="111"/>
      <c r="AN231" s="111"/>
      <c r="AO231" s="103"/>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c r="BY231" s="111"/>
      <c r="BZ231" s="111"/>
    </row>
    <row r="232">
      <c r="A232" s="107" t="s">
        <v>3102</v>
      </c>
      <c r="B232" s="108">
        <v>11.0</v>
      </c>
      <c r="C232" s="108">
        <v>0.0</v>
      </c>
      <c r="D232" s="108">
        <v>0.0</v>
      </c>
      <c r="E232" s="108">
        <v>0.0</v>
      </c>
      <c r="F232" s="108">
        <v>359.0</v>
      </c>
      <c r="G232" s="108">
        <v>360448.0</v>
      </c>
      <c r="H232" s="109">
        <f t="shared" ref="H232:I232" si="230">F232/1024/1024/1024</f>
        <v>0.0000003343448043</v>
      </c>
      <c r="I232" s="109">
        <f t="shared" si="230"/>
        <v>0.0003356933594</v>
      </c>
      <c r="J232" s="110">
        <v>0.0</v>
      </c>
      <c r="K232" s="107"/>
      <c r="L232" s="103"/>
      <c r="O232" s="111"/>
      <c r="P232" s="111"/>
      <c r="Q232" s="111"/>
      <c r="R232" s="111"/>
      <c r="S232" s="111"/>
      <c r="T232" s="111"/>
      <c r="U232" s="111"/>
      <c r="V232" s="111"/>
      <c r="W232" s="111"/>
      <c r="X232" s="111"/>
      <c r="Y232" s="111"/>
      <c r="Z232" s="111"/>
      <c r="AA232" s="111"/>
      <c r="AB232" s="111"/>
      <c r="AC232" s="111"/>
      <c r="AD232" s="111"/>
      <c r="AE232" s="111"/>
      <c r="AF232" s="111"/>
      <c r="AG232" s="111"/>
      <c r="AH232" s="111"/>
      <c r="AI232" s="111"/>
      <c r="AJ232" s="111"/>
      <c r="AK232" s="111"/>
      <c r="AL232" s="111"/>
      <c r="AM232" s="111"/>
      <c r="AN232" s="111"/>
      <c r="AO232" s="103"/>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c r="BY232" s="111"/>
      <c r="BZ232" s="111"/>
    </row>
    <row r="233">
      <c r="A233" s="107" t="s">
        <v>3103</v>
      </c>
      <c r="B233" s="108">
        <v>42.0</v>
      </c>
      <c r="C233" s="108">
        <v>73.0</v>
      </c>
      <c r="D233" s="108">
        <v>0.0</v>
      </c>
      <c r="E233" s="108">
        <v>0.0</v>
      </c>
      <c r="F233" s="108">
        <v>4556309.0</v>
      </c>
      <c r="G233" s="108">
        <v>1.6146432E7</v>
      </c>
      <c r="H233" s="109">
        <f t="shared" ref="H233:I233" si="231">F233/1024/1024/1024</f>
        <v>0.004243393429</v>
      </c>
      <c r="I233" s="109">
        <f t="shared" si="231"/>
        <v>0.01503753662</v>
      </c>
      <c r="J233" s="110">
        <v>0.0</v>
      </c>
      <c r="K233" s="107"/>
      <c r="L233" s="103"/>
      <c r="O233" s="111"/>
      <c r="P233" s="111"/>
      <c r="Q233" s="111"/>
      <c r="R233" s="111"/>
      <c r="S233" s="111"/>
      <c r="T233" s="111"/>
      <c r="U233" s="111"/>
      <c r="V233" s="111"/>
      <c r="W233" s="111"/>
      <c r="X233" s="111"/>
      <c r="Y233" s="111"/>
      <c r="Z233" s="111"/>
      <c r="AA233" s="111"/>
      <c r="AB233" s="111"/>
      <c r="AC233" s="111"/>
      <c r="AD233" s="111"/>
      <c r="AE233" s="111"/>
      <c r="AF233" s="111"/>
      <c r="AG233" s="111"/>
      <c r="AH233" s="111"/>
      <c r="AI233" s="111"/>
      <c r="AJ233" s="111"/>
      <c r="AK233" s="111"/>
      <c r="AL233" s="111"/>
      <c r="AM233" s="111"/>
      <c r="AN233" s="111"/>
      <c r="AO233" s="103"/>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c r="BY233" s="111"/>
      <c r="BZ233" s="111"/>
    </row>
    <row r="234">
      <c r="A234" s="107" t="s">
        <v>3104</v>
      </c>
      <c r="B234" s="108">
        <v>9963.0</v>
      </c>
      <c r="C234" s="108">
        <v>30679.0</v>
      </c>
      <c r="D234" s="108">
        <v>0.0</v>
      </c>
      <c r="E234" s="108">
        <v>0.0</v>
      </c>
      <c r="F234" s="108">
        <v>4.19686090494E11</v>
      </c>
      <c r="G234" s="108">
        <v>5.09126950912E11</v>
      </c>
      <c r="H234" s="109">
        <f t="shared" ref="H234:I234" si="232">F234/1024/1024/1024</f>
        <v>390.8631303</v>
      </c>
      <c r="I234" s="109">
        <f t="shared" si="232"/>
        <v>474.1614227</v>
      </c>
      <c r="J234" s="110">
        <v>0.0</v>
      </c>
      <c r="K234" s="107"/>
      <c r="L234" s="103"/>
      <c r="O234" s="111"/>
      <c r="P234" s="111"/>
      <c r="Q234" s="111"/>
      <c r="R234" s="111"/>
      <c r="S234" s="111"/>
      <c r="T234" s="111"/>
      <c r="U234" s="111"/>
      <c r="V234" s="111"/>
      <c r="W234" s="111"/>
      <c r="X234" s="111"/>
      <c r="Y234" s="111"/>
      <c r="Z234" s="111"/>
      <c r="AA234" s="111"/>
      <c r="AB234" s="111"/>
      <c r="AC234" s="111"/>
      <c r="AD234" s="111"/>
      <c r="AE234" s="111"/>
      <c r="AF234" s="111"/>
      <c r="AG234" s="111"/>
      <c r="AH234" s="111"/>
      <c r="AI234" s="111"/>
      <c r="AJ234" s="111"/>
      <c r="AK234" s="111"/>
      <c r="AL234" s="111"/>
      <c r="AM234" s="111"/>
      <c r="AN234" s="111"/>
      <c r="AO234" s="103"/>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c r="BY234" s="111"/>
      <c r="BZ234" s="111"/>
    </row>
    <row r="235">
      <c r="A235" s="107" t="s">
        <v>3105</v>
      </c>
      <c r="B235" s="108">
        <v>98.0</v>
      </c>
      <c r="C235" s="108">
        <v>7.0</v>
      </c>
      <c r="D235" s="108">
        <v>0.0</v>
      </c>
      <c r="E235" s="108">
        <v>0.0</v>
      </c>
      <c r="F235" s="108">
        <v>517262.0</v>
      </c>
      <c r="G235" s="108">
        <v>4964352.0</v>
      </c>
      <c r="H235" s="109">
        <f t="shared" ref="H235:I235" si="233">F235/1024/1024/1024</f>
        <v>0.0004817377776</v>
      </c>
      <c r="I235" s="109">
        <f t="shared" si="233"/>
        <v>0.004623413086</v>
      </c>
      <c r="J235" s="110">
        <v>0.0</v>
      </c>
      <c r="K235" s="107"/>
      <c r="L235" s="103"/>
      <c r="N235" s="111"/>
      <c r="O235" s="111"/>
      <c r="P235" s="111"/>
      <c r="Q235" s="111"/>
      <c r="R235" s="111"/>
      <c r="S235" s="111"/>
      <c r="T235" s="111"/>
      <c r="U235" s="111"/>
      <c r="V235" s="111"/>
      <c r="W235" s="111"/>
      <c r="X235" s="111"/>
      <c r="Y235" s="111"/>
      <c r="Z235" s="111"/>
      <c r="AA235" s="111"/>
      <c r="AB235" s="111"/>
      <c r="AC235" s="111"/>
      <c r="AD235" s="111"/>
      <c r="AE235" s="111"/>
      <c r="AF235" s="111"/>
      <c r="AG235" s="111"/>
      <c r="AH235" s="111"/>
      <c r="AI235" s="111"/>
      <c r="AJ235" s="111"/>
      <c r="AK235" s="111"/>
      <c r="AL235" s="111"/>
      <c r="AM235" s="111"/>
      <c r="AN235" s="111"/>
      <c r="AO235" s="111"/>
      <c r="AP235" s="103"/>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c r="BY235" s="111"/>
      <c r="BZ235" s="111"/>
    </row>
    <row r="236">
      <c r="A236" s="107" t="s">
        <v>3106</v>
      </c>
      <c r="B236" s="108">
        <v>53.0</v>
      </c>
      <c r="C236" s="108">
        <v>0.0</v>
      </c>
      <c r="D236" s="108">
        <v>0.0</v>
      </c>
      <c r="E236" s="108">
        <v>0.0</v>
      </c>
      <c r="F236" s="108">
        <v>1653.0</v>
      </c>
      <c r="G236" s="108">
        <v>1736704.0</v>
      </c>
      <c r="H236" s="109">
        <f t="shared" ref="H236:I236" si="234">F236/1024/1024/1024</f>
        <v>0.000001539476216</v>
      </c>
      <c r="I236" s="109">
        <f t="shared" si="234"/>
        <v>0.001617431641</v>
      </c>
      <c r="J236" s="110">
        <v>0.0</v>
      </c>
      <c r="K236" s="107"/>
      <c r="L236" s="103"/>
      <c r="O236" s="111"/>
      <c r="P236" s="111"/>
      <c r="Q236" s="111"/>
      <c r="R236" s="111"/>
      <c r="S236" s="111"/>
      <c r="T236" s="111"/>
      <c r="U236" s="111"/>
      <c r="V236" s="111"/>
      <c r="W236" s="111"/>
      <c r="X236" s="111"/>
      <c r="Y236" s="111"/>
      <c r="Z236" s="111"/>
      <c r="AA236" s="111"/>
      <c r="AB236" s="111"/>
      <c r="AC236" s="111"/>
      <c r="AD236" s="111"/>
      <c r="AE236" s="111"/>
      <c r="AF236" s="111"/>
      <c r="AG236" s="111"/>
      <c r="AH236" s="111"/>
      <c r="AI236" s="111"/>
      <c r="AJ236" s="111"/>
      <c r="AK236" s="111"/>
      <c r="AL236" s="111"/>
      <c r="AM236" s="111"/>
      <c r="AN236" s="111"/>
      <c r="AO236" s="111"/>
      <c r="AP236" s="111"/>
      <c r="AQ236" s="103"/>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c r="BY236" s="111"/>
      <c r="BZ236" s="111"/>
    </row>
    <row r="237">
      <c r="A237" s="107" t="s">
        <v>3107</v>
      </c>
      <c r="B237" s="108">
        <v>137343.0</v>
      </c>
      <c r="C237" s="108">
        <v>532575.0</v>
      </c>
      <c r="D237" s="108">
        <v>0.0</v>
      </c>
      <c r="E237" s="108">
        <v>0.0</v>
      </c>
      <c r="F237" s="108">
        <v>2.89885939417E11</v>
      </c>
      <c r="G237" s="108">
        <v>3.89485207552E11</v>
      </c>
      <c r="H237" s="109">
        <f t="shared" ref="H237:I237" si="235">F237/1024/1024/1024</f>
        <v>269.9773194</v>
      </c>
      <c r="I237" s="109">
        <f t="shared" si="235"/>
        <v>362.7363663</v>
      </c>
      <c r="J237" s="110">
        <v>0.0</v>
      </c>
      <c r="K237" s="107"/>
      <c r="L237" s="103"/>
      <c r="O237" s="111"/>
      <c r="P237" s="111"/>
      <c r="Q237" s="111"/>
      <c r="R237" s="111"/>
      <c r="S237" s="111"/>
      <c r="T237" s="111"/>
      <c r="U237" s="111"/>
      <c r="V237" s="111"/>
      <c r="W237" s="111"/>
      <c r="X237" s="111"/>
      <c r="Y237" s="111"/>
      <c r="Z237" s="111"/>
      <c r="AA237" s="111"/>
      <c r="AB237" s="111"/>
      <c r="AC237" s="111"/>
      <c r="AD237" s="111"/>
      <c r="AE237" s="111"/>
      <c r="AF237" s="111"/>
      <c r="AG237" s="111"/>
      <c r="AH237" s="111"/>
      <c r="AI237" s="111"/>
      <c r="AJ237" s="111"/>
      <c r="AK237" s="111"/>
      <c r="AL237" s="111"/>
      <c r="AM237" s="111"/>
      <c r="AN237" s="111"/>
      <c r="AO237" s="111"/>
      <c r="AP237" s="111"/>
      <c r="AQ237" s="103"/>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c r="BY237" s="111"/>
      <c r="BZ237" s="111"/>
    </row>
    <row r="238">
      <c r="A238" s="107" t="s">
        <v>3108</v>
      </c>
      <c r="B238" s="108">
        <v>37.0</v>
      </c>
      <c r="C238" s="108">
        <v>0.0</v>
      </c>
      <c r="D238" s="108">
        <v>0.0</v>
      </c>
      <c r="E238" s="108">
        <v>0.0</v>
      </c>
      <c r="F238" s="108">
        <v>1255.0</v>
      </c>
      <c r="G238" s="108">
        <v>1212416.0</v>
      </c>
      <c r="H238" s="109">
        <f t="shared" ref="H238:I238" si="236">F238/1024/1024/1024</f>
        <v>0.000001168809831</v>
      </c>
      <c r="I238" s="109">
        <f t="shared" si="236"/>
        <v>0.001129150391</v>
      </c>
      <c r="J238" s="110">
        <v>0.0</v>
      </c>
      <c r="K238" s="107"/>
      <c r="L238" s="103"/>
      <c r="O238" s="111"/>
      <c r="P238" s="111"/>
      <c r="Q238" s="111"/>
      <c r="R238" s="111"/>
      <c r="S238" s="111"/>
      <c r="T238" s="111"/>
      <c r="U238" s="111"/>
      <c r="V238" s="111"/>
      <c r="W238" s="111"/>
      <c r="X238" s="111"/>
      <c r="Y238" s="111"/>
      <c r="Z238" s="111"/>
      <c r="AA238" s="111"/>
      <c r="AB238" s="111"/>
      <c r="AC238" s="111"/>
      <c r="AD238" s="111"/>
      <c r="AE238" s="111"/>
      <c r="AF238" s="111"/>
      <c r="AG238" s="111"/>
      <c r="AH238" s="111"/>
      <c r="AI238" s="111"/>
      <c r="AJ238" s="111"/>
      <c r="AK238" s="111"/>
      <c r="AL238" s="111"/>
      <c r="AM238" s="111"/>
      <c r="AN238" s="111"/>
      <c r="AO238" s="111"/>
      <c r="AP238" s="111"/>
      <c r="AQ238" s="103"/>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c r="BY238" s="111"/>
      <c r="BZ238" s="111"/>
    </row>
    <row r="239">
      <c r="A239" s="107" t="s">
        <v>3109</v>
      </c>
      <c r="B239" s="108">
        <v>10.0</v>
      </c>
      <c r="C239" s="108">
        <v>0.0</v>
      </c>
      <c r="D239" s="108">
        <v>0.0</v>
      </c>
      <c r="E239" s="108">
        <v>0.0</v>
      </c>
      <c r="F239" s="108">
        <v>290.0</v>
      </c>
      <c r="G239" s="108">
        <v>327680.0</v>
      </c>
      <c r="H239" s="109">
        <f t="shared" ref="H239:I239" si="237">F239/1024/1024/1024</f>
        <v>0.0000002700835466</v>
      </c>
      <c r="I239" s="109">
        <f t="shared" si="237"/>
        <v>0.0003051757813</v>
      </c>
      <c r="J239" s="110">
        <v>0.0</v>
      </c>
      <c r="K239" s="107"/>
      <c r="L239" s="103"/>
      <c r="O239" s="111"/>
      <c r="P239" s="111"/>
      <c r="Q239" s="111"/>
      <c r="R239" s="111"/>
      <c r="S239" s="111"/>
      <c r="T239" s="111"/>
      <c r="U239" s="111"/>
      <c r="V239" s="111"/>
      <c r="W239" s="111"/>
      <c r="X239" s="111"/>
      <c r="Y239" s="111"/>
      <c r="Z239" s="111"/>
      <c r="AA239" s="111"/>
      <c r="AB239" s="111"/>
      <c r="AC239" s="111"/>
      <c r="AD239" s="111"/>
      <c r="AE239" s="111"/>
      <c r="AF239" s="111"/>
      <c r="AG239" s="111"/>
      <c r="AH239" s="111"/>
      <c r="AI239" s="111"/>
      <c r="AJ239" s="111"/>
      <c r="AK239" s="111"/>
      <c r="AL239" s="111"/>
      <c r="AM239" s="111"/>
      <c r="AN239" s="111"/>
      <c r="AO239" s="111"/>
      <c r="AP239" s="111"/>
      <c r="AQ239" s="103"/>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c r="BY239" s="111"/>
      <c r="BZ239" s="111"/>
    </row>
    <row r="240">
      <c r="A240" s="107" t="s">
        <v>3110</v>
      </c>
      <c r="B240" s="108">
        <v>4.0</v>
      </c>
      <c r="C240" s="108">
        <v>0.0</v>
      </c>
      <c r="D240" s="108">
        <v>0.0</v>
      </c>
      <c r="E240" s="108">
        <v>0.0</v>
      </c>
      <c r="F240" s="108">
        <v>100.0</v>
      </c>
      <c r="G240" s="108">
        <v>131072.0</v>
      </c>
      <c r="H240" s="109">
        <f t="shared" ref="H240:I240" si="238">F240/1024/1024/1024</f>
        <v>0.00000009313225746</v>
      </c>
      <c r="I240" s="109">
        <f t="shared" si="238"/>
        <v>0.0001220703125</v>
      </c>
      <c r="J240" s="110">
        <v>0.0</v>
      </c>
      <c r="K240" s="107"/>
      <c r="L240" s="103"/>
      <c r="O240" s="111"/>
      <c r="P240" s="111"/>
      <c r="Q240" s="111"/>
      <c r="R240" s="111"/>
      <c r="S240" s="111"/>
      <c r="T240" s="111"/>
      <c r="U240" s="111"/>
      <c r="V240" s="111"/>
      <c r="W240" s="111"/>
      <c r="X240" s="111"/>
      <c r="Y240" s="111"/>
      <c r="Z240" s="111"/>
      <c r="AA240" s="111"/>
      <c r="AB240" s="111"/>
      <c r="AC240" s="111"/>
      <c r="AD240" s="111"/>
      <c r="AE240" s="111"/>
      <c r="AF240" s="111"/>
      <c r="AG240" s="111"/>
      <c r="AH240" s="111"/>
      <c r="AI240" s="111"/>
      <c r="AJ240" s="111"/>
      <c r="AK240" s="111"/>
      <c r="AL240" s="111"/>
      <c r="AM240" s="111"/>
      <c r="AN240" s="111"/>
      <c r="AO240" s="111"/>
      <c r="AP240" s="111"/>
      <c r="AQ240" s="103"/>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c r="BY240" s="111"/>
      <c r="BZ240" s="111"/>
    </row>
    <row r="241">
      <c r="A241" s="107" t="s">
        <v>3111</v>
      </c>
      <c r="B241" s="108">
        <v>46.0</v>
      </c>
      <c r="C241" s="108">
        <v>0.0</v>
      </c>
      <c r="D241" s="108">
        <v>0.0</v>
      </c>
      <c r="E241" s="108">
        <v>0.0</v>
      </c>
      <c r="F241" s="108">
        <v>1413.0</v>
      </c>
      <c r="G241" s="108">
        <v>1507328.0</v>
      </c>
      <c r="H241" s="109">
        <f t="shared" ref="H241:I241" si="239">F241/1024/1024/1024</f>
        <v>0.000001315958798</v>
      </c>
      <c r="I241" s="109">
        <f t="shared" si="239"/>
        <v>0.001403808594</v>
      </c>
      <c r="J241" s="110">
        <v>0.0</v>
      </c>
      <c r="K241" s="107"/>
      <c r="L241" s="103"/>
      <c r="O241" s="111"/>
      <c r="P241" s="111"/>
      <c r="Q241" s="111"/>
      <c r="R241" s="111"/>
      <c r="S241" s="111"/>
      <c r="T241" s="111"/>
      <c r="U241" s="111"/>
      <c r="V241" s="111"/>
      <c r="W241" s="111"/>
      <c r="X241" s="111"/>
      <c r="Y241" s="111"/>
      <c r="Z241" s="111"/>
      <c r="AA241" s="111"/>
      <c r="AB241" s="111"/>
      <c r="AC241" s="111"/>
      <c r="AD241" s="111"/>
      <c r="AE241" s="111"/>
      <c r="AF241" s="111"/>
      <c r="AG241" s="111"/>
      <c r="AH241" s="111"/>
      <c r="AI241" s="111"/>
      <c r="AJ241" s="111"/>
      <c r="AK241" s="111"/>
      <c r="AL241" s="111"/>
      <c r="AM241" s="111"/>
      <c r="AN241" s="111"/>
      <c r="AO241" s="111"/>
      <c r="AP241" s="111"/>
      <c r="AQ241" s="103"/>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c r="BY241" s="111"/>
      <c r="BZ241" s="111"/>
    </row>
    <row r="242">
      <c r="A242" s="107" t="s">
        <v>3112</v>
      </c>
      <c r="B242" s="108">
        <v>16.0</v>
      </c>
      <c r="C242" s="108">
        <v>0.0</v>
      </c>
      <c r="D242" s="108">
        <v>0.0</v>
      </c>
      <c r="E242" s="108">
        <v>0.0</v>
      </c>
      <c r="F242" s="108">
        <v>658.0</v>
      </c>
      <c r="G242" s="108">
        <v>524288.0</v>
      </c>
      <c r="H242" s="109">
        <f t="shared" ref="H242:I242" si="240">F242/1024/1024/1024</f>
        <v>0.0000006128102541</v>
      </c>
      <c r="I242" s="109">
        <f t="shared" si="240"/>
        <v>0.00048828125</v>
      </c>
      <c r="J242" s="110">
        <v>0.0</v>
      </c>
      <c r="K242" s="107"/>
      <c r="L242" s="103"/>
      <c r="O242" s="111"/>
      <c r="P242" s="111"/>
      <c r="Q242" s="111"/>
      <c r="R242" s="111"/>
      <c r="S242" s="111"/>
      <c r="T242" s="111"/>
      <c r="U242" s="111"/>
      <c r="V242" s="111"/>
      <c r="W242" s="111"/>
      <c r="X242" s="111"/>
      <c r="Y242" s="111"/>
      <c r="Z242" s="111"/>
      <c r="AA242" s="111"/>
      <c r="AB242" s="111"/>
      <c r="AC242" s="111"/>
      <c r="AD242" s="111"/>
      <c r="AE242" s="111"/>
      <c r="AF242" s="111"/>
      <c r="AG242" s="111"/>
      <c r="AH242" s="111"/>
      <c r="AI242" s="111"/>
      <c r="AJ242" s="111"/>
      <c r="AK242" s="111"/>
      <c r="AL242" s="111"/>
      <c r="AM242" s="111"/>
      <c r="AN242" s="111"/>
      <c r="AO242" s="111"/>
      <c r="AP242" s="111"/>
      <c r="AQ242" s="103"/>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c r="BY242" s="111"/>
      <c r="BZ242" s="111"/>
    </row>
    <row r="243">
      <c r="A243" s="107" t="s">
        <v>3113</v>
      </c>
      <c r="B243" s="108">
        <v>10.0</v>
      </c>
      <c r="C243" s="108">
        <v>0.0</v>
      </c>
      <c r="D243" s="108">
        <v>0.0</v>
      </c>
      <c r="E243" s="108">
        <v>0.0</v>
      </c>
      <c r="F243" s="108">
        <v>279.0</v>
      </c>
      <c r="G243" s="108">
        <v>327680.0</v>
      </c>
      <c r="H243" s="109">
        <f t="shared" ref="H243:I243" si="241">F243/1024/1024/1024</f>
        <v>0.0000002598389983</v>
      </c>
      <c r="I243" s="109">
        <f t="shared" si="241"/>
        <v>0.0003051757813</v>
      </c>
      <c r="J243" s="110">
        <v>0.0</v>
      </c>
      <c r="K243" s="107"/>
      <c r="L243" s="103"/>
      <c r="O243" s="111"/>
      <c r="P243" s="111"/>
      <c r="Q243" s="111"/>
      <c r="R243" s="111"/>
      <c r="S243" s="111"/>
      <c r="T243" s="111"/>
      <c r="U243" s="111"/>
      <c r="V243" s="111"/>
      <c r="W243" s="111"/>
      <c r="X243" s="111"/>
      <c r="Y243" s="111"/>
      <c r="Z243" s="111"/>
      <c r="AA243" s="111"/>
      <c r="AB243" s="111"/>
      <c r="AC243" s="111"/>
      <c r="AD243" s="111"/>
      <c r="AE243" s="111"/>
      <c r="AF243" s="111"/>
      <c r="AG243" s="111"/>
      <c r="AH243" s="111"/>
      <c r="AI243" s="111"/>
      <c r="AJ243" s="111"/>
      <c r="AK243" s="111"/>
      <c r="AL243" s="111"/>
      <c r="AM243" s="111"/>
      <c r="AN243" s="111"/>
      <c r="AO243" s="111"/>
      <c r="AP243" s="111"/>
      <c r="AQ243" s="103"/>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c r="BY243" s="111"/>
      <c r="BZ243" s="111"/>
    </row>
    <row r="244">
      <c r="A244" s="107" t="s">
        <v>3114</v>
      </c>
      <c r="B244" s="108">
        <v>34.0</v>
      </c>
      <c r="C244" s="108">
        <v>0.0</v>
      </c>
      <c r="D244" s="108">
        <v>0.0</v>
      </c>
      <c r="E244" s="108">
        <v>0.0</v>
      </c>
      <c r="F244" s="108">
        <v>1164.0</v>
      </c>
      <c r="G244" s="108">
        <v>1114112.0</v>
      </c>
      <c r="H244" s="109">
        <f t="shared" ref="H244:I244" si="242">F244/1024/1024/1024</f>
        <v>0.000001084059477</v>
      </c>
      <c r="I244" s="109">
        <f t="shared" si="242"/>
        <v>0.001037597656</v>
      </c>
      <c r="J244" s="110">
        <v>0.0</v>
      </c>
      <c r="K244" s="107"/>
      <c r="L244" s="103"/>
      <c r="O244" s="111"/>
      <c r="P244" s="111"/>
      <c r="Q244" s="111"/>
      <c r="R244" s="111"/>
      <c r="S244" s="111"/>
      <c r="T244" s="111"/>
      <c r="U244" s="111"/>
      <c r="V244" s="111"/>
      <c r="W244" s="111"/>
      <c r="X244" s="111"/>
      <c r="Y244" s="111"/>
      <c r="Z244" s="111"/>
      <c r="AA244" s="111"/>
      <c r="AB244" s="111"/>
      <c r="AC244" s="111"/>
      <c r="AD244" s="111"/>
      <c r="AE244" s="111"/>
      <c r="AF244" s="111"/>
      <c r="AG244" s="111"/>
      <c r="AH244" s="111"/>
      <c r="AI244" s="111"/>
      <c r="AJ244" s="111"/>
      <c r="AK244" s="111"/>
      <c r="AL244" s="111"/>
      <c r="AM244" s="111"/>
      <c r="AN244" s="111"/>
      <c r="AO244" s="111"/>
      <c r="AP244" s="111"/>
      <c r="AQ244" s="103"/>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c r="BY244" s="111"/>
      <c r="BZ244" s="111"/>
    </row>
    <row r="245">
      <c r="A245" s="107" t="s">
        <v>3115</v>
      </c>
      <c r="B245" s="108">
        <v>54.0</v>
      </c>
      <c r="C245" s="108">
        <v>0.0</v>
      </c>
      <c r="D245" s="108">
        <v>0.0</v>
      </c>
      <c r="E245" s="108">
        <v>0.0</v>
      </c>
      <c r="F245" s="108">
        <v>1743.0</v>
      </c>
      <c r="G245" s="108">
        <v>1769472.0</v>
      </c>
      <c r="H245" s="109">
        <f t="shared" ref="H245:I245" si="243">F245/1024/1024/1024</f>
        <v>0.000001623295248</v>
      </c>
      <c r="I245" s="109">
        <f t="shared" si="243"/>
        <v>0.001647949219</v>
      </c>
      <c r="J245" s="110">
        <v>0.0</v>
      </c>
      <c r="K245" s="107"/>
      <c r="L245" s="103"/>
      <c r="O245" s="111"/>
      <c r="P245" s="111"/>
      <c r="Q245" s="111"/>
      <c r="R245" s="111"/>
      <c r="S245" s="111"/>
      <c r="T245" s="111"/>
      <c r="U245" s="111"/>
      <c r="V245" s="111"/>
      <c r="W245" s="111"/>
      <c r="X245" s="111"/>
      <c r="Y245" s="111"/>
      <c r="Z245" s="111"/>
      <c r="AA245" s="111"/>
      <c r="AB245" s="111"/>
      <c r="AC245" s="111"/>
      <c r="AD245" s="111"/>
      <c r="AE245" s="111"/>
      <c r="AF245" s="111"/>
      <c r="AG245" s="111"/>
      <c r="AH245" s="111"/>
      <c r="AI245" s="111"/>
      <c r="AJ245" s="111"/>
      <c r="AK245" s="111"/>
      <c r="AL245" s="111"/>
      <c r="AM245" s="111"/>
      <c r="AN245" s="111"/>
      <c r="AO245" s="111"/>
      <c r="AP245" s="111"/>
      <c r="AQ245" s="103"/>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c r="BY245" s="111"/>
      <c r="BZ245" s="111"/>
    </row>
    <row r="246">
      <c r="A246" s="107" t="s">
        <v>3116</v>
      </c>
      <c r="B246" s="108">
        <v>53.0</v>
      </c>
      <c r="C246" s="108">
        <v>0.0</v>
      </c>
      <c r="D246" s="108">
        <v>0.0</v>
      </c>
      <c r="E246" s="108">
        <v>0.0</v>
      </c>
      <c r="F246" s="108">
        <v>1582.0</v>
      </c>
      <c r="G246" s="108">
        <v>1736704.0</v>
      </c>
      <c r="H246" s="109">
        <f t="shared" ref="H246:I246" si="244">F246/1024/1024/1024</f>
        <v>0.000001473352313</v>
      </c>
      <c r="I246" s="109">
        <f t="shared" si="244"/>
        <v>0.001617431641</v>
      </c>
      <c r="J246" s="110">
        <v>0.0</v>
      </c>
      <c r="K246" s="107"/>
      <c r="L246" s="103"/>
      <c r="N246" s="111"/>
      <c r="O246" s="111"/>
      <c r="P246" s="111"/>
      <c r="Q246" s="111"/>
      <c r="R246" s="111"/>
      <c r="S246" s="111"/>
      <c r="T246" s="111"/>
      <c r="U246" s="111"/>
      <c r="V246" s="111"/>
      <c r="W246" s="111"/>
      <c r="X246" s="111"/>
      <c r="Y246" s="111"/>
      <c r="Z246" s="111"/>
      <c r="AA246" s="111"/>
      <c r="AB246" s="111"/>
      <c r="AC246" s="111"/>
      <c r="AD246" s="111"/>
      <c r="AE246" s="111"/>
      <c r="AF246" s="111"/>
      <c r="AG246" s="111"/>
      <c r="AH246" s="111"/>
      <c r="AI246" s="111"/>
      <c r="AJ246" s="111"/>
      <c r="AK246" s="111"/>
      <c r="AL246" s="111"/>
      <c r="AM246" s="111"/>
      <c r="AN246" s="111"/>
      <c r="AO246" s="111"/>
      <c r="AP246" s="111"/>
      <c r="AQ246" s="111"/>
      <c r="AR246" s="103"/>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c r="BY246" s="111"/>
      <c r="BZ246" s="111"/>
    </row>
    <row r="247">
      <c r="A247" s="107" t="s">
        <v>3117</v>
      </c>
      <c r="B247" s="108">
        <v>30.0</v>
      </c>
      <c r="C247" s="108">
        <v>0.0</v>
      </c>
      <c r="D247" s="108">
        <v>0.0</v>
      </c>
      <c r="E247" s="108">
        <v>0.0</v>
      </c>
      <c r="F247" s="108">
        <v>1081.0</v>
      </c>
      <c r="G247" s="108">
        <v>983040.0</v>
      </c>
      <c r="H247" s="109">
        <f t="shared" ref="H247:I247" si="245">F247/1024/1024/1024</f>
        <v>0.000001006759703</v>
      </c>
      <c r="I247" s="109">
        <f t="shared" si="245"/>
        <v>0.0009155273438</v>
      </c>
      <c r="J247" s="110">
        <v>0.0</v>
      </c>
      <c r="K247" s="107"/>
      <c r="L247" s="103"/>
      <c r="N247" s="111"/>
      <c r="O247" s="111"/>
      <c r="P247" s="111"/>
      <c r="Q247" s="111"/>
      <c r="R247" s="111"/>
      <c r="S247" s="111"/>
      <c r="T247" s="111"/>
      <c r="U247" s="111"/>
      <c r="V247" s="111"/>
      <c r="W247" s="111"/>
      <c r="X247" s="111"/>
      <c r="Y247" s="111"/>
      <c r="Z247" s="111"/>
      <c r="AA247" s="111"/>
      <c r="AB247" s="111"/>
      <c r="AC247" s="111"/>
      <c r="AD247" s="111"/>
      <c r="AE247" s="111"/>
      <c r="AF247" s="111"/>
      <c r="AG247" s="111"/>
      <c r="AH247" s="111"/>
      <c r="AI247" s="111"/>
      <c r="AJ247" s="111"/>
      <c r="AK247" s="111"/>
      <c r="AL247" s="111"/>
      <c r="AM247" s="111"/>
      <c r="AN247" s="111"/>
      <c r="AO247" s="111"/>
      <c r="AP247" s="111"/>
      <c r="AQ247" s="111"/>
      <c r="AR247" s="103"/>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c r="BY247" s="111"/>
      <c r="BZ247" s="111"/>
    </row>
    <row r="248">
      <c r="A248" s="107" t="s">
        <v>3118</v>
      </c>
      <c r="B248" s="108">
        <v>21.0</v>
      </c>
      <c r="C248" s="108">
        <v>0.0</v>
      </c>
      <c r="D248" s="108">
        <v>0.0</v>
      </c>
      <c r="E248" s="108">
        <v>0.0</v>
      </c>
      <c r="F248" s="108">
        <v>606.0</v>
      </c>
      <c r="G248" s="108">
        <v>688128.0</v>
      </c>
      <c r="H248" s="109">
        <f t="shared" ref="H248:I248" si="246">F248/1024/1024/1024</f>
        <v>0.0000005643814802</v>
      </c>
      <c r="I248" s="109">
        <f t="shared" si="246"/>
        <v>0.0006408691406</v>
      </c>
      <c r="J248" s="110">
        <v>0.0</v>
      </c>
      <c r="K248" s="107"/>
      <c r="L248" s="103"/>
      <c r="N248" s="111"/>
      <c r="O248" s="111"/>
      <c r="P248" s="111"/>
      <c r="Q248" s="111"/>
      <c r="R248" s="111"/>
      <c r="S248" s="111"/>
      <c r="T248" s="111"/>
      <c r="U248" s="111"/>
      <c r="V248" s="111"/>
      <c r="W248" s="111"/>
      <c r="X248" s="111"/>
      <c r="Y248" s="111"/>
      <c r="Z248" s="111"/>
      <c r="AA248" s="111"/>
      <c r="AB248" s="111"/>
      <c r="AC248" s="111"/>
      <c r="AD248" s="111"/>
      <c r="AE248" s="111"/>
      <c r="AF248" s="111"/>
      <c r="AG248" s="111"/>
      <c r="AH248" s="111"/>
      <c r="AI248" s="111"/>
      <c r="AJ248" s="111"/>
      <c r="AK248" s="111"/>
      <c r="AL248" s="111"/>
      <c r="AM248" s="111"/>
      <c r="AN248" s="111"/>
      <c r="AO248" s="111"/>
      <c r="AP248" s="111"/>
      <c r="AQ248" s="111"/>
      <c r="AR248" s="103"/>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c r="BY248" s="111"/>
      <c r="BZ248" s="111"/>
    </row>
    <row r="249">
      <c r="A249" s="107" t="s">
        <v>3119</v>
      </c>
      <c r="B249" s="108">
        <v>11.0</v>
      </c>
      <c r="C249" s="108">
        <v>0.0</v>
      </c>
      <c r="D249" s="108">
        <v>0.0</v>
      </c>
      <c r="E249" s="108">
        <v>0.0</v>
      </c>
      <c r="F249" s="108">
        <v>304.0</v>
      </c>
      <c r="G249" s="108">
        <v>360448.0</v>
      </c>
      <c r="H249" s="109">
        <f t="shared" ref="H249:I249" si="247">F249/1024/1024/1024</f>
        <v>0.0000002831220627</v>
      </c>
      <c r="I249" s="109">
        <f t="shared" si="247"/>
        <v>0.0003356933594</v>
      </c>
      <c r="J249" s="110">
        <v>0.0</v>
      </c>
      <c r="K249" s="107"/>
      <c r="L249" s="103"/>
      <c r="N249" s="111"/>
      <c r="O249" s="111"/>
      <c r="P249" s="111"/>
      <c r="Q249" s="111"/>
      <c r="R249" s="111"/>
      <c r="S249" s="111"/>
      <c r="T249" s="111"/>
      <c r="U249" s="111"/>
      <c r="V249" s="111"/>
      <c r="W249" s="111"/>
      <c r="X249" s="111"/>
      <c r="Y249" s="111"/>
      <c r="Z249" s="111"/>
      <c r="AA249" s="111"/>
      <c r="AB249" s="111"/>
      <c r="AC249" s="111"/>
      <c r="AD249" s="111"/>
      <c r="AE249" s="111"/>
      <c r="AF249" s="111"/>
      <c r="AG249" s="111"/>
      <c r="AH249" s="111"/>
      <c r="AI249" s="111"/>
      <c r="AJ249" s="111"/>
      <c r="AK249" s="111"/>
      <c r="AL249" s="111"/>
      <c r="AM249" s="111"/>
      <c r="AN249" s="111"/>
      <c r="AO249" s="111"/>
      <c r="AP249" s="111"/>
      <c r="AQ249" s="111"/>
      <c r="AR249" s="103"/>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c r="BY249" s="111"/>
      <c r="BZ249" s="111"/>
    </row>
    <row r="250">
      <c r="A250" s="107" t="s">
        <v>3120</v>
      </c>
      <c r="B250" s="108">
        <v>38.0</v>
      </c>
      <c r="C250" s="108">
        <v>558.0</v>
      </c>
      <c r="D250" s="108">
        <v>0.0</v>
      </c>
      <c r="E250" s="108">
        <v>0.0</v>
      </c>
      <c r="F250" s="108">
        <v>1.4660086525E10</v>
      </c>
      <c r="G250" s="108">
        <v>1.7710006272E10</v>
      </c>
      <c r="H250" s="109">
        <f t="shared" ref="H250:I250" si="248">F250/1024/1024/1024</f>
        <v>13.65326953</v>
      </c>
      <c r="I250" s="109">
        <f t="shared" si="248"/>
        <v>16.49372864</v>
      </c>
      <c r="J250" s="110">
        <v>0.0</v>
      </c>
      <c r="K250" s="107"/>
      <c r="L250" s="103"/>
      <c r="P250" s="111"/>
      <c r="Q250" s="111"/>
      <c r="R250" s="111"/>
      <c r="S250" s="111"/>
      <c r="T250" s="111"/>
      <c r="U250" s="111"/>
      <c r="V250" s="111"/>
      <c r="W250" s="111"/>
      <c r="X250" s="111"/>
      <c r="Y250" s="111"/>
      <c r="Z250" s="111"/>
      <c r="AA250" s="111"/>
      <c r="AB250" s="111"/>
      <c r="AC250" s="111"/>
      <c r="AD250" s="111"/>
      <c r="AE250" s="111"/>
      <c r="AF250" s="111"/>
      <c r="AG250" s="111"/>
      <c r="AH250" s="111"/>
      <c r="AI250" s="111"/>
      <c r="AJ250" s="111"/>
      <c r="AK250" s="111"/>
      <c r="AL250" s="111"/>
      <c r="AM250" s="111"/>
      <c r="AN250" s="111"/>
      <c r="AO250" s="111"/>
      <c r="AP250" s="111"/>
      <c r="AQ250" s="111"/>
      <c r="AR250" s="111"/>
      <c r="AS250" s="103"/>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c r="BY250" s="111"/>
      <c r="BZ250" s="111"/>
    </row>
    <row r="251">
      <c r="A251" s="107" t="s">
        <v>3121</v>
      </c>
      <c r="B251" s="108">
        <v>4.0</v>
      </c>
      <c r="C251" s="108">
        <v>0.0</v>
      </c>
      <c r="D251" s="108">
        <v>0.0</v>
      </c>
      <c r="E251" s="108">
        <v>0.0</v>
      </c>
      <c r="F251" s="108">
        <v>94.0</v>
      </c>
      <c r="G251" s="108">
        <v>131072.0</v>
      </c>
      <c r="H251" s="109">
        <f t="shared" ref="H251:I251" si="249">F251/1024/1024/1024</f>
        <v>0.00000008754432201</v>
      </c>
      <c r="I251" s="109">
        <f t="shared" si="249"/>
        <v>0.0001220703125</v>
      </c>
      <c r="J251" s="110">
        <v>0.0</v>
      </c>
      <c r="K251" s="107"/>
      <c r="L251" s="103"/>
      <c r="P251" s="111"/>
      <c r="Q251" s="111"/>
      <c r="R251" s="111"/>
      <c r="S251" s="111"/>
      <c r="T251" s="111"/>
      <c r="U251" s="111"/>
      <c r="V251" s="111"/>
      <c r="W251" s="111"/>
      <c r="X251" s="111"/>
      <c r="Y251" s="111"/>
      <c r="Z251" s="111"/>
      <c r="AA251" s="111"/>
      <c r="AB251" s="111"/>
      <c r="AC251" s="111"/>
      <c r="AD251" s="111"/>
      <c r="AE251" s="111"/>
      <c r="AF251" s="111"/>
      <c r="AG251" s="111"/>
      <c r="AH251" s="111"/>
      <c r="AI251" s="111"/>
      <c r="AJ251" s="111"/>
      <c r="AK251" s="111"/>
      <c r="AL251" s="111"/>
      <c r="AM251" s="111"/>
      <c r="AN251" s="111"/>
      <c r="AO251" s="111"/>
      <c r="AP251" s="111"/>
      <c r="AQ251" s="111"/>
      <c r="AR251" s="111"/>
      <c r="AS251" s="103"/>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c r="BY251" s="111"/>
      <c r="BZ251" s="111"/>
    </row>
    <row r="252">
      <c r="A252" s="107" t="s">
        <v>3122</v>
      </c>
      <c r="B252" s="108">
        <v>241.0</v>
      </c>
      <c r="C252" s="108">
        <v>670.0</v>
      </c>
      <c r="D252" s="108">
        <v>0.0</v>
      </c>
      <c r="E252" s="108">
        <v>0.0</v>
      </c>
      <c r="F252" s="108">
        <v>9.3060467E7</v>
      </c>
      <c r="G252" s="108">
        <v>2.01097216E8</v>
      </c>
      <c r="H252" s="109">
        <f t="shared" ref="H252:I252" si="250">F252/1024/1024/1024</f>
        <v>0.08666931372</v>
      </c>
      <c r="I252" s="109">
        <f t="shared" si="250"/>
        <v>0.187286377</v>
      </c>
      <c r="J252" s="110">
        <v>0.0</v>
      </c>
      <c r="K252" s="107"/>
      <c r="L252" s="103"/>
      <c r="P252" s="111"/>
      <c r="Q252" s="111"/>
      <c r="R252" s="111"/>
      <c r="S252" s="111"/>
      <c r="T252" s="111"/>
      <c r="U252" s="111"/>
      <c r="V252" s="111"/>
      <c r="W252" s="111"/>
      <c r="X252" s="111"/>
      <c r="Y252" s="111"/>
      <c r="Z252" s="111"/>
      <c r="AA252" s="111"/>
      <c r="AB252" s="111"/>
      <c r="AC252" s="111"/>
      <c r="AD252" s="111"/>
      <c r="AE252" s="111"/>
      <c r="AF252" s="111"/>
      <c r="AG252" s="111"/>
      <c r="AH252" s="111"/>
      <c r="AI252" s="111"/>
      <c r="AJ252" s="111"/>
      <c r="AK252" s="111"/>
      <c r="AL252" s="111"/>
      <c r="AM252" s="111"/>
      <c r="AN252" s="111"/>
      <c r="AO252" s="111"/>
      <c r="AP252" s="111"/>
      <c r="AQ252" s="111"/>
      <c r="AR252" s="111"/>
      <c r="AS252" s="103"/>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c r="BY252" s="111"/>
      <c r="BZ252" s="111"/>
    </row>
    <row r="253">
      <c r="A253" s="107" t="s">
        <v>3123</v>
      </c>
      <c r="B253" s="108">
        <v>30.0</v>
      </c>
      <c r="C253" s="108">
        <v>0.0</v>
      </c>
      <c r="D253" s="108">
        <v>0.0</v>
      </c>
      <c r="E253" s="108">
        <v>0.0</v>
      </c>
      <c r="F253" s="108">
        <v>983.0</v>
      </c>
      <c r="G253" s="108">
        <v>983040.0</v>
      </c>
      <c r="H253" s="109">
        <f t="shared" ref="H253:I253" si="251">F253/1024/1024/1024</f>
        <v>0.0000009154900908</v>
      </c>
      <c r="I253" s="109">
        <f t="shared" si="251"/>
        <v>0.0009155273438</v>
      </c>
      <c r="J253" s="110">
        <v>0.0</v>
      </c>
      <c r="K253" s="107"/>
      <c r="L253" s="103"/>
      <c r="P253" s="111"/>
      <c r="Q253" s="111"/>
      <c r="R253" s="111"/>
      <c r="S253" s="111"/>
      <c r="T253" s="111"/>
      <c r="U253" s="111"/>
      <c r="V253" s="111"/>
      <c r="W253" s="111"/>
      <c r="X253" s="111"/>
      <c r="Y253" s="111"/>
      <c r="Z253" s="111"/>
      <c r="AA253" s="111"/>
      <c r="AB253" s="111"/>
      <c r="AC253" s="111"/>
      <c r="AD253" s="111"/>
      <c r="AE253" s="111"/>
      <c r="AF253" s="111"/>
      <c r="AG253" s="111"/>
      <c r="AH253" s="111"/>
      <c r="AI253" s="111"/>
      <c r="AJ253" s="111"/>
      <c r="AK253" s="111"/>
      <c r="AL253" s="111"/>
      <c r="AM253" s="111"/>
      <c r="AN253" s="111"/>
      <c r="AO253" s="111"/>
      <c r="AP253" s="111"/>
      <c r="AQ253" s="111"/>
      <c r="AR253" s="111"/>
      <c r="AS253" s="103"/>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c r="BY253" s="111"/>
      <c r="BZ253" s="111"/>
    </row>
    <row r="254">
      <c r="A254" s="107" t="s">
        <v>3124</v>
      </c>
      <c r="B254" s="108">
        <v>2.0</v>
      </c>
      <c r="C254" s="108">
        <v>0.0</v>
      </c>
      <c r="D254" s="108">
        <v>0.0</v>
      </c>
      <c r="E254" s="108">
        <v>0.0</v>
      </c>
      <c r="F254" s="108">
        <v>27.0</v>
      </c>
      <c r="G254" s="108">
        <v>65536.0</v>
      </c>
      <c r="H254" s="109">
        <f t="shared" ref="H254:I254" si="252">F254/1024/1024/1024</f>
        <v>0.00000002514570951</v>
      </c>
      <c r="I254" s="109">
        <f t="shared" si="252"/>
        <v>0.00006103515625</v>
      </c>
      <c r="J254" s="110">
        <v>0.0</v>
      </c>
      <c r="K254" s="107"/>
      <c r="L254" s="103"/>
      <c r="P254" s="111"/>
      <c r="Q254" s="111"/>
      <c r="R254" s="111"/>
      <c r="S254" s="111"/>
      <c r="T254" s="111"/>
      <c r="U254" s="111"/>
      <c r="V254" s="111"/>
      <c r="W254" s="111"/>
      <c r="X254" s="111"/>
      <c r="Y254" s="111"/>
      <c r="Z254" s="111"/>
      <c r="AA254" s="111"/>
      <c r="AB254" s="111"/>
      <c r="AC254" s="111"/>
      <c r="AD254" s="111"/>
      <c r="AE254" s="111"/>
      <c r="AF254" s="111"/>
      <c r="AG254" s="111"/>
      <c r="AH254" s="111"/>
      <c r="AI254" s="111"/>
      <c r="AJ254" s="111"/>
      <c r="AK254" s="111"/>
      <c r="AL254" s="111"/>
      <c r="AM254" s="111"/>
      <c r="AN254" s="111"/>
      <c r="AO254" s="111"/>
      <c r="AP254" s="111"/>
      <c r="AQ254" s="111"/>
      <c r="AR254" s="111"/>
      <c r="AS254" s="103"/>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c r="BY254" s="111"/>
      <c r="BZ254" s="111"/>
    </row>
    <row r="255">
      <c r="A255" s="107" t="s">
        <v>3125</v>
      </c>
      <c r="B255" s="108">
        <v>379.0</v>
      </c>
      <c r="C255" s="108">
        <v>405.0</v>
      </c>
      <c r="D255" s="108">
        <v>0.0</v>
      </c>
      <c r="E255" s="108">
        <v>0.0</v>
      </c>
      <c r="F255" s="108">
        <v>3.403034893E9</v>
      </c>
      <c r="G255" s="108">
        <v>4.150730752E9</v>
      </c>
      <c r="H255" s="109">
        <f t="shared" ref="H255:I255" si="253">F255/1024/1024/1024</f>
        <v>3.169323218</v>
      </c>
      <c r="I255" s="109">
        <f t="shared" si="253"/>
        <v>3.86566925</v>
      </c>
      <c r="J255" s="110">
        <v>0.0</v>
      </c>
      <c r="K255" s="107"/>
      <c r="L255" s="103"/>
      <c r="P255" s="111"/>
      <c r="Q255" s="111"/>
      <c r="R255" s="111"/>
      <c r="S255" s="111"/>
      <c r="T255" s="111"/>
      <c r="U255" s="111"/>
      <c r="V255" s="111"/>
      <c r="W255" s="111"/>
      <c r="X255" s="111"/>
      <c r="Y255" s="111"/>
      <c r="Z255" s="111"/>
      <c r="AA255" s="111"/>
      <c r="AB255" s="111"/>
      <c r="AC255" s="111"/>
      <c r="AD255" s="111"/>
      <c r="AE255" s="111"/>
      <c r="AF255" s="111"/>
      <c r="AG255" s="111"/>
      <c r="AH255" s="111"/>
      <c r="AI255" s="111"/>
      <c r="AJ255" s="111"/>
      <c r="AK255" s="111"/>
      <c r="AL255" s="111"/>
      <c r="AM255" s="111"/>
      <c r="AN255" s="111"/>
      <c r="AO255" s="111"/>
      <c r="AP255" s="111"/>
      <c r="AQ255" s="111"/>
      <c r="AR255" s="111"/>
      <c r="AS255" s="103"/>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c r="BY255" s="111"/>
      <c r="BZ255" s="111"/>
    </row>
    <row r="256">
      <c r="A256" s="107" t="s">
        <v>3126</v>
      </c>
      <c r="B256" s="108">
        <v>16182.0</v>
      </c>
      <c r="C256" s="108">
        <v>185216.0</v>
      </c>
      <c r="D256" s="108">
        <v>0.0</v>
      </c>
      <c r="E256" s="108">
        <v>0.0</v>
      </c>
      <c r="F256" s="108">
        <v>7.89906948602E11</v>
      </c>
      <c r="G256" s="108">
        <v>9.76903053312E11</v>
      </c>
      <c r="H256" s="109">
        <f t="shared" ref="H256:I256" si="254">F256/1024/1024/1024</f>
        <v>735.6581731</v>
      </c>
      <c r="I256" s="109">
        <f t="shared" si="254"/>
        <v>909.8118668</v>
      </c>
      <c r="J256" s="110">
        <v>0.0</v>
      </c>
      <c r="K256" s="107"/>
      <c r="L256" s="103"/>
      <c r="P256" s="111"/>
      <c r="Q256" s="111"/>
      <c r="R256" s="111"/>
      <c r="S256" s="111"/>
      <c r="T256" s="111"/>
      <c r="U256" s="111"/>
      <c r="V256" s="111"/>
      <c r="W256" s="111"/>
      <c r="X256" s="111"/>
      <c r="Y256" s="111"/>
      <c r="Z256" s="111"/>
      <c r="AA256" s="111"/>
      <c r="AB256" s="111"/>
      <c r="AC256" s="111"/>
      <c r="AD256" s="111"/>
      <c r="AE256" s="111"/>
      <c r="AF256" s="111"/>
      <c r="AG256" s="111"/>
      <c r="AH256" s="111"/>
      <c r="AI256" s="111"/>
      <c r="AJ256" s="111"/>
      <c r="AK256" s="111"/>
      <c r="AL256" s="111"/>
      <c r="AM256" s="111"/>
      <c r="AN256" s="111"/>
      <c r="AO256" s="111"/>
      <c r="AP256" s="111"/>
      <c r="AQ256" s="111"/>
      <c r="AR256" s="111"/>
      <c r="AS256" s="103"/>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c r="BY256" s="111"/>
      <c r="BZ256" s="111"/>
    </row>
    <row r="257">
      <c r="A257" s="107" t="s">
        <v>3127</v>
      </c>
      <c r="B257" s="108">
        <v>20.0</v>
      </c>
      <c r="C257" s="108">
        <v>55046.0</v>
      </c>
      <c r="D257" s="108">
        <v>0.0</v>
      </c>
      <c r="E257" s="108">
        <v>0.0</v>
      </c>
      <c r="F257" s="108">
        <v>3.441009843323E12</v>
      </c>
      <c r="G257" s="108">
        <v>3.665475526656E12</v>
      </c>
      <c r="H257" s="109">
        <f t="shared" ref="H257:I257" si="255">F257/1024/1024/1024</f>
        <v>3204.690147</v>
      </c>
      <c r="I257" s="109">
        <f t="shared" si="255"/>
        <v>3413.740105</v>
      </c>
      <c r="J257" s="110">
        <v>0.0</v>
      </c>
      <c r="K257" s="107"/>
      <c r="L257" s="103"/>
      <c r="P257" s="111"/>
      <c r="Q257" s="111"/>
      <c r="R257" s="111"/>
      <c r="S257" s="111"/>
      <c r="T257" s="111"/>
      <c r="U257" s="111"/>
      <c r="V257" s="111"/>
      <c r="W257" s="111"/>
      <c r="X257" s="111"/>
      <c r="Y257" s="111"/>
      <c r="Z257" s="111"/>
      <c r="AA257" s="111"/>
      <c r="AB257" s="111"/>
      <c r="AC257" s="111"/>
      <c r="AD257" s="111"/>
      <c r="AE257" s="111"/>
      <c r="AF257" s="111"/>
      <c r="AG257" s="111"/>
      <c r="AH257" s="111"/>
      <c r="AI257" s="111"/>
      <c r="AJ257" s="111"/>
      <c r="AK257" s="111"/>
      <c r="AL257" s="111"/>
      <c r="AM257" s="111"/>
      <c r="AN257" s="111"/>
      <c r="AO257" s="111"/>
      <c r="AP257" s="111"/>
      <c r="AQ257" s="111"/>
      <c r="AR257" s="111"/>
      <c r="AS257" s="103"/>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c r="BY257" s="111"/>
      <c r="BZ257" s="111"/>
    </row>
    <row r="258">
      <c r="A258" s="107" t="s">
        <v>3128</v>
      </c>
      <c r="B258" s="108">
        <v>17.0</v>
      </c>
      <c r="C258" s="108">
        <v>2.0</v>
      </c>
      <c r="D258" s="108">
        <v>0.0</v>
      </c>
      <c r="E258" s="108">
        <v>0.0</v>
      </c>
      <c r="F258" s="108">
        <v>1.018626113E9</v>
      </c>
      <c r="G258" s="108">
        <v>1.225367552E9</v>
      </c>
      <c r="H258" s="109">
        <f t="shared" ref="H258:I258" si="256">F258/1024/1024/1024</f>
        <v>0.9486694941</v>
      </c>
      <c r="I258" s="109">
        <f t="shared" si="256"/>
        <v>1.141212463</v>
      </c>
      <c r="J258" s="110">
        <v>0.0</v>
      </c>
      <c r="K258" s="107"/>
      <c r="L258" s="103"/>
      <c r="P258" s="111"/>
      <c r="Q258" s="111"/>
      <c r="R258" s="111"/>
      <c r="S258" s="111"/>
      <c r="T258" s="111"/>
      <c r="U258" s="111"/>
      <c r="V258" s="111"/>
      <c r="W258" s="111"/>
      <c r="X258" s="111"/>
      <c r="Y258" s="111"/>
      <c r="Z258" s="111"/>
      <c r="AA258" s="111"/>
      <c r="AB258" s="111"/>
      <c r="AC258" s="111"/>
      <c r="AD258" s="111"/>
      <c r="AE258" s="111"/>
      <c r="AF258" s="111"/>
      <c r="AG258" s="111"/>
      <c r="AH258" s="111"/>
      <c r="AI258" s="111"/>
      <c r="AJ258" s="111"/>
      <c r="AK258" s="111"/>
      <c r="AL258" s="111"/>
      <c r="AM258" s="111"/>
      <c r="AN258" s="111"/>
      <c r="AO258" s="111"/>
      <c r="AP258" s="111"/>
      <c r="AQ258" s="111"/>
      <c r="AR258" s="111"/>
      <c r="AS258" s="103"/>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c r="BY258" s="111"/>
      <c r="BZ258" s="111"/>
    </row>
    <row r="259">
      <c r="A259" s="107" t="s">
        <v>3129</v>
      </c>
      <c r="B259" s="108">
        <v>13.0</v>
      </c>
      <c r="C259" s="108">
        <v>2.0</v>
      </c>
      <c r="D259" s="108">
        <v>0.0</v>
      </c>
      <c r="E259" s="108">
        <v>0.0</v>
      </c>
      <c r="F259" s="108">
        <v>28144.0</v>
      </c>
      <c r="G259" s="108">
        <v>548864.0</v>
      </c>
      <c r="H259" s="109">
        <f t="shared" ref="H259:I259" si="257">F259/1024/1024/1024</f>
        <v>0.00002621114254</v>
      </c>
      <c r="I259" s="109">
        <f t="shared" si="257"/>
        <v>0.0005111694336</v>
      </c>
      <c r="J259" s="110">
        <v>0.0</v>
      </c>
      <c r="K259" s="107"/>
      <c r="L259" s="103"/>
      <c r="P259" s="111"/>
      <c r="Q259" s="111"/>
      <c r="R259" s="111"/>
      <c r="S259" s="111"/>
      <c r="T259" s="111"/>
      <c r="U259" s="111"/>
      <c r="V259" s="111"/>
      <c r="W259" s="111"/>
      <c r="X259" s="111"/>
      <c r="Y259" s="111"/>
      <c r="Z259" s="111"/>
      <c r="AA259" s="111"/>
      <c r="AB259" s="111"/>
      <c r="AC259" s="111"/>
      <c r="AD259" s="111"/>
      <c r="AE259" s="111"/>
      <c r="AF259" s="111"/>
      <c r="AG259" s="111"/>
      <c r="AH259" s="111"/>
      <c r="AI259" s="111"/>
      <c r="AJ259" s="111"/>
      <c r="AK259" s="111"/>
      <c r="AL259" s="111"/>
      <c r="AM259" s="111"/>
      <c r="AN259" s="111"/>
      <c r="AO259" s="111"/>
      <c r="AP259" s="111"/>
      <c r="AQ259" s="111"/>
      <c r="AR259" s="111"/>
      <c r="AS259" s="103"/>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c r="BY259" s="111"/>
      <c r="BZ259" s="111"/>
    </row>
    <row r="260">
      <c r="A260" s="107" t="s">
        <v>3130</v>
      </c>
      <c r="B260" s="108">
        <v>877.0</v>
      </c>
      <c r="C260" s="108">
        <v>10440.0</v>
      </c>
      <c r="D260" s="108">
        <v>0.0</v>
      </c>
      <c r="E260" s="108">
        <v>0.0</v>
      </c>
      <c r="F260" s="108">
        <v>4.8735939446E10</v>
      </c>
      <c r="G260" s="108">
        <v>6.0552388608E10</v>
      </c>
      <c r="H260" s="109">
        <f t="shared" ref="H260:I260" si="258">F260/1024/1024/1024</f>
        <v>45.3888806</v>
      </c>
      <c r="I260" s="109">
        <f t="shared" si="258"/>
        <v>56.39380646</v>
      </c>
      <c r="J260" s="110">
        <v>0.0</v>
      </c>
      <c r="K260" s="107"/>
      <c r="L260" s="103"/>
      <c r="O260" s="111"/>
      <c r="P260" s="111"/>
      <c r="Q260" s="111"/>
      <c r="R260" s="111"/>
      <c r="S260" s="111"/>
      <c r="T260" s="111"/>
      <c r="U260" s="111"/>
      <c r="V260" s="111"/>
      <c r="W260" s="111"/>
      <c r="X260" s="111"/>
      <c r="Y260" s="111"/>
      <c r="Z260" s="111"/>
      <c r="AA260" s="111"/>
      <c r="AB260" s="111"/>
      <c r="AC260" s="111"/>
      <c r="AD260" s="111"/>
      <c r="AE260" s="111"/>
      <c r="AF260" s="111"/>
      <c r="AG260" s="111"/>
      <c r="AH260" s="111"/>
      <c r="AI260" s="111"/>
      <c r="AJ260" s="111"/>
      <c r="AK260" s="111"/>
      <c r="AL260" s="111"/>
      <c r="AM260" s="111"/>
      <c r="AN260" s="111"/>
      <c r="AO260" s="111"/>
      <c r="AP260" s="111"/>
      <c r="AQ260" s="111"/>
      <c r="AR260" s="111"/>
      <c r="AS260" s="111"/>
      <c r="AT260" s="103"/>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c r="BY260" s="111"/>
      <c r="BZ260" s="111"/>
    </row>
    <row r="261">
      <c r="A261" s="107" t="s">
        <v>3131</v>
      </c>
      <c r="B261" s="108">
        <v>32.0</v>
      </c>
      <c r="C261" s="108">
        <v>18.0</v>
      </c>
      <c r="D261" s="108">
        <v>0.0</v>
      </c>
      <c r="E261" s="108">
        <v>0.0</v>
      </c>
      <c r="F261" s="108">
        <v>2501413.0</v>
      </c>
      <c r="G261" s="108">
        <v>5218304.0</v>
      </c>
      <c r="H261" s="109">
        <f t="shared" ref="H261:I261" si="259">F261/1024/1024/1024</f>
        <v>0.002329622395</v>
      </c>
      <c r="I261" s="109">
        <f t="shared" si="259"/>
        <v>0.004859924316</v>
      </c>
      <c r="J261" s="110">
        <v>0.0</v>
      </c>
      <c r="K261" s="107"/>
      <c r="L261" s="103"/>
      <c r="O261" s="111"/>
      <c r="P261" s="111"/>
      <c r="Q261" s="111"/>
      <c r="R261" s="111"/>
      <c r="S261" s="111"/>
      <c r="T261" s="111"/>
      <c r="U261" s="111"/>
      <c r="V261" s="111"/>
      <c r="W261" s="111"/>
      <c r="X261" s="111"/>
      <c r="Y261" s="111"/>
      <c r="Z261" s="111"/>
      <c r="AA261" s="111"/>
      <c r="AB261" s="111"/>
      <c r="AC261" s="111"/>
      <c r="AD261" s="111"/>
      <c r="AE261" s="111"/>
      <c r="AF261" s="111"/>
      <c r="AG261" s="111"/>
      <c r="AH261" s="111"/>
      <c r="AI261" s="111"/>
      <c r="AJ261" s="111"/>
      <c r="AK261" s="111"/>
      <c r="AL261" s="111"/>
      <c r="AM261" s="111"/>
      <c r="AN261" s="111"/>
      <c r="AO261" s="111"/>
      <c r="AP261" s="111"/>
      <c r="AQ261" s="111"/>
      <c r="AR261" s="111"/>
      <c r="AS261" s="111"/>
      <c r="AT261" s="103"/>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c r="BY261" s="111"/>
      <c r="BZ261" s="111"/>
    </row>
    <row r="262">
      <c r="A262" s="107" t="s">
        <v>3132</v>
      </c>
      <c r="B262" s="108">
        <v>40275.0</v>
      </c>
      <c r="C262" s="108">
        <v>347392.0</v>
      </c>
      <c r="D262" s="108">
        <v>0.0</v>
      </c>
      <c r="E262" s="108">
        <v>0.0</v>
      </c>
      <c r="F262" s="108">
        <v>4.43457132408E11</v>
      </c>
      <c r="G262" s="108">
        <v>5.8934075392E11</v>
      </c>
      <c r="H262" s="109">
        <f t="shared" ref="H262:I262" si="260">F262/1024/1024/1024</f>
        <v>413.0016383</v>
      </c>
      <c r="I262" s="109">
        <f t="shared" si="260"/>
        <v>548.8663483</v>
      </c>
      <c r="J262" s="110">
        <v>0.0</v>
      </c>
      <c r="K262" s="107"/>
      <c r="L262" s="103"/>
      <c r="O262" s="111"/>
      <c r="P262" s="111"/>
      <c r="Q262" s="111"/>
      <c r="R262" s="111"/>
      <c r="S262" s="111"/>
      <c r="T262" s="111"/>
      <c r="U262" s="111"/>
      <c r="V262" s="111"/>
      <c r="W262" s="111"/>
      <c r="X262" s="111"/>
      <c r="Y262" s="111"/>
      <c r="Z262" s="111"/>
      <c r="AA262" s="111"/>
      <c r="AB262" s="111"/>
      <c r="AC262" s="111"/>
      <c r="AD262" s="111"/>
      <c r="AE262" s="111"/>
      <c r="AF262" s="111"/>
      <c r="AG262" s="111"/>
      <c r="AH262" s="111"/>
      <c r="AI262" s="111"/>
      <c r="AJ262" s="111"/>
      <c r="AK262" s="111"/>
      <c r="AL262" s="111"/>
      <c r="AM262" s="111"/>
      <c r="AN262" s="111"/>
      <c r="AO262" s="111"/>
      <c r="AP262" s="111"/>
      <c r="AQ262" s="111"/>
      <c r="AR262" s="111"/>
      <c r="AS262" s="111"/>
      <c r="AT262" s="103"/>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c r="BY262" s="111"/>
      <c r="BZ262" s="111"/>
    </row>
    <row r="263">
      <c r="A263" s="107" t="s">
        <v>3133</v>
      </c>
      <c r="B263" s="108">
        <v>5.0</v>
      </c>
      <c r="C263" s="108">
        <v>0.0</v>
      </c>
      <c r="D263" s="108">
        <v>0.0</v>
      </c>
      <c r="E263" s="108">
        <v>0.0</v>
      </c>
      <c r="F263" s="108">
        <v>111.0</v>
      </c>
      <c r="G263" s="108">
        <v>163840.0</v>
      </c>
      <c r="H263" s="109">
        <f t="shared" ref="H263:I263" si="261">F263/1024/1024/1024</f>
        <v>0.0000001033768058</v>
      </c>
      <c r="I263" s="109">
        <f t="shared" si="261"/>
        <v>0.0001525878906</v>
      </c>
      <c r="J263" s="110">
        <v>0.0</v>
      </c>
      <c r="K263" s="107"/>
      <c r="L263" s="103"/>
      <c r="O263" s="111"/>
      <c r="P263" s="111"/>
      <c r="Q263" s="111"/>
      <c r="R263" s="111"/>
      <c r="S263" s="111"/>
      <c r="T263" s="111"/>
      <c r="U263" s="111"/>
      <c r="V263" s="111"/>
      <c r="W263" s="111"/>
      <c r="X263" s="111"/>
      <c r="Y263" s="111"/>
      <c r="Z263" s="111"/>
      <c r="AA263" s="111"/>
      <c r="AB263" s="111"/>
      <c r="AC263" s="111"/>
      <c r="AD263" s="111"/>
      <c r="AE263" s="111"/>
      <c r="AF263" s="111"/>
      <c r="AG263" s="111"/>
      <c r="AH263" s="111"/>
      <c r="AI263" s="111"/>
      <c r="AJ263" s="111"/>
      <c r="AK263" s="111"/>
      <c r="AL263" s="111"/>
      <c r="AM263" s="111"/>
      <c r="AN263" s="111"/>
      <c r="AO263" s="111"/>
      <c r="AP263" s="111"/>
      <c r="AQ263" s="111"/>
      <c r="AR263" s="111"/>
      <c r="AS263" s="111"/>
      <c r="AT263" s="103"/>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c r="BY263" s="111"/>
      <c r="BZ263" s="111"/>
    </row>
    <row r="264">
      <c r="A264" s="107" t="s">
        <v>3134</v>
      </c>
      <c r="B264" s="108">
        <v>14.0</v>
      </c>
      <c r="C264" s="108">
        <v>0.0</v>
      </c>
      <c r="D264" s="108">
        <v>0.0</v>
      </c>
      <c r="E264" s="108">
        <v>0.0</v>
      </c>
      <c r="F264" s="108">
        <v>509.0</v>
      </c>
      <c r="G264" s="108">
        <v>458752.0</v>
      </c>
      <c r="H264" s="109">
        <f t="shared" ref="H264:I264" si="262">F264/1024/1024/1024</f>
        <v>0.0000004740431905</v>
      </c>
      <c r="I264" s="109">
        <f t="shared" si="262"/>
        <v>0.0004272460938</v>
      </c>
      <c r="J264" s="110">
        <v>0.0</v>
      </c>
      <c r="K264" s="107"/>
      <c r="L264" s="103"/>
      <c r="O264" s="111"/>
      <c r="P264" s="111"/>
      <c r="Q264" s="111"/>
      <c r="R264" s="111"/>
      <c r="S264" s="111"/>
      <c r="T264" s="111"/>
      <c r="U264" s="111"/>
      <c r="V264" s="111"/>
      <c r="W264" s="111"/>
      <c r="X264" s="111"/>
      <c r="Y264" s="111"/>
      <c r="Z264" s="111"/>
      <c r="AA264" s="111"/>
      <c r="AB264" s="111"/>
      <c r="AC264" s="111"/>
      <c r="AD264" s="111"/>
      <c r="AE264" s="111"/>
      <c r="AF264" s="111"/>
      <c r="AG264" s="111"/>
      <c r="AH264" s="111"/>
      <c r="AI264" s="111"/>
      <c r="AJ264" s="111"/>
      <c r="AK264" s="111"/>
      <c r="AL264" s="111"/>
      <c r="AM264" s="111"/>
      <c r="AN264" s="111"/>
      <c r="AO264" s="111"/>
      <c r="AP264" s="111"/>
      <c r="AQ264" s="111"/>
      <c r="AR264" s="111"/>
      <c r="AS264" s="111"/>
      <c r="AT264" s="103"/>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c r="BY264" s="111"/>
      <c r="BZ264" s="111"/>
    </row>
    <row r="265">
      <c r="A265" s="107" t="s">
        <v>3135</v>
      </c>
      <c r="B265" s="108">
        <v>6.0</v>
      </c>
      <c r="C265" s="108">
        <v>0.0</v>
      </c>
      <c r="D265" s="108">
        <v>0.0</v>
      </c>
      <c r="E265" s="108">
        <v>0.0</v>
      </c>
      <c r="F265" s="108">
        <v>185.0</v>
      </c>
      <c r="G265" s="108">
        <v>196608.0</v>
      </c>
      <c r="H265" s="109">
        <f t="shared" ref="H265:I265" si="263">F265/1024/1024/1024</f>
        <v>0.0000001722946763</v>
      </c>
      <c r="I265" s="109">
        <f t="shared" si="263"/>
        <v>0.0001831054688</v>
      </c>
      <c r="J265" s="110">
        <v>0.0</v>
      </c>
      <c r="K265" s="107"/>
      <c r="L265" s="103"/>
      <c r="O265" s="111"/>
      <c r="P265" s="111"/>
      <c r="Q265" s="111"/>
      <c r="R265" s="111"/>
      <c r="S265" s="111"/>
      <c r="T265" s="111"/>
      <c r="U265" s="111"/>
      <c r="V265" s="111"/>
      <c r="W265" s="111"/>
      <c r="X265" s="111"/>
      <c r="Y265" s="111"/>
      <c r="Z265" s="111"/>
      <c r="AA265" s="111"/>
      <c r="AB265" s="111"/>
      <c r="AC265" s="111"/>
      <c r="AD265" s="111"/>
      <c r="AE265" s="111"/>
      <c r="AF265" s="111"/>
      <c r="AG265" s="111"/>
      <c r="AH265" s="111"/>
      <c r="AI265" s="111"/>
      <c r="AJ265" s="111"/>
      <c r="AK265" s="111"/>
      <c r="AL265" s="111"/>
      <c r="AM265" s="111"/>
      <c r="AN265" s="111"/>
      <c r="AO265" s="111"/>
      <c r="AP265" s="111"/>
      <c r="AQ265" s="111"/>
      <c r="AR265" s="111"/>
      <c r="AS265" s="111"/>
      <c r="AT265" s="103"/>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c r="BY265" s="111"/>
      <c r="BZ265" s="111"/>
    </row>
    <row r="266">
      <c r="A266" s="107" t="s">
        <v>3136</v>
      </c>
      <c r="B266" s="108">
        <v>16.0</v>
      </c>
      <c r="C266" s="108">
        <v>0.0</v>
      </c>
      <c r="D266" s="108">
        <v>0.0</v>
      </c>
      <c r="E266" s="108">
        <v>0.0</v>
      </c>
      <c r="F266" s="108">
        <v>673.0</v>
      </c>
      <c r="G266" s="108">
        <v>524288.0</v>
      </c>
      <c r="H266" s="109">
        <f t="shared" ref="H266:I266" si="264">F266/1024/1024/1024</f>
        <v>0.0000006267800927</v>
      </c>
      <c r="I266" s="109">
        <f t="shared" si="264"/>
        <v>0.00048828125</v>
      </c>
      <c r="J266" s="110">
        <v>0.0</v>
      </c>
      <c r="K266" s="107"/>
      <c r="L266" s="103"/>
      <c r="O266" s="111"/>
      <c r="P266" s="111"/>
      <c r="Q266" s="111"/>
      <c r="R266" s="111"/>
      <c r="S266" s="111"/>
      <c r="T266" s="111"/>
      <c r="U266" s="111"/>
      <c r="V266" s="111"/>
      <c r="W266" s="111"/>
      <c r="X266" s="111"/>
      <c r="Y266" s="111"/>
      <c r="Z266" s="111"/>
      <c r="AA266" s="111"/>
      <c r="AB266" s="111"/>
      <c r="AC266" s="111"/>
      <c r="AD266" s="111"/>
      <c r="AE266" s="111"/>
      <c r="AF266" s="111"/>
      <c r="AG266" s="111"/>
      <c r="AH266" s="111"/>
      <c r="AI266" s="111"/>
      <c r="AJ266" s="111"/>
      <c r="AK266" s="111"/>
      <c r="AL266" s="111"/>
      <c r="AM266" s="111"/>
      <c r="AN266" s="111"/>
      <c r="AO266" s="111"/>
      <c r="AP266" s="111"/>
      <c r="AQ266" s="111"/>
      <c r="AR266" s="111"/>
      <c r="AS266" s="111"/>
      <c r="AT266" s="103"/>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c r="BY266" s="111"/>
      <c r="BZ266" s="111"/>
    </row>
    <row r="267">
      <c r="A267" s="107" t="s">
        <v>3137</v>
      </c>
      <c r="B267" s="108">
        <v>2792.0</v>
      </c>
      <c r="C267" s="108">
        <v>13760.0</v>
      </c>
      <c r="D267" s="108">
        <v>0.0</v>
      </c>
      <c r="E267" s="108">
        <v>0.0</v>
      </c>
      <c r="F267" s="108">
        <v>7.5978213898E10</v>
      </c>
      <c r="G267" s="108">
        <v>9.3401726976E10</v>
      </c>
      <c r="H267" s="109">
        <f t="shared" ref="H267:I267" si="265">F267/1024/1024/1024</f>
        <v>70.76022578</v>
      </c>
      <c r="I267" s="109">
        <f t="shared" si="265"/>
        <v>86.98713684</v>
      </c>
      <c r="J267" s="110">
        <v>0.0</v>
      </c>
      <c r="K267" s="107"/>
      <c r="L267" s="103"/>
      <c r="O267" s="111"/>
      <c r="P267" s="111"/>
      <c r="Q267" s="111"/>
      <c r="R267" s="111"/>
      <c r="S267" s="111"/>
      <c r="T267" s="111"/>
      <c r="U267" s="111"/>
      <c r="V267" s="111"/>
      <c r="W267" s="111"/>
      <c r="X267" s="111"/>
      <c r="Y267" s="111"/>
      <c r="Z267" s="111"/>
      <c r="AA267" s="111"/>
      <c r="AB267" s="111"/>
      <c r="AC267" s="111"/>
      <c r="AD267" s="111"/>
      <c r="AE267" s="111"/>
      <c r="AF267" s="111"/>
      <c r="AG267" s="111"/>
      <c r="AH267" s="111"/>
      <c r="AI267" s="111"/>
      <c r="AJ267" s="111"/>
      <c r="AK267" s="111"/>
      <c r="AL267" s="111"/>
      <c r="AM267" s="111"/>
      <c r="AN267" s="111"/>
      <c r="AO267" s="111"/>
      <c r="AP267" s="111"/>
      <c r="AQ267" s="111"/>
      <c r="AR267" s="111"/>
      <c r="AS267" s="111"/>
      <c r="AT267" s="103"/>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c r="BY267" s="111"/>
      <c r="BZ267" s="111"/>
    </row>
    <row r="268">
      <c r="A268" s="107" t="s">
        <v>3138</v>
      </c>
      <c r="B268" s="108">
        <v>1.0</v>
      </c>
      <c r="C268" s="108">
        <v>0.0</v>
      </c>
      <c r="D268" s="108">
        <v>0.0</v>
      </c>
      <c r="E268" s="108">
        <v>0.0</v>
      </c>
      <c r="F268" s="108">
        <v>0.0</v>
      </c>
      <c r="G268" s="108">
        <v>32768.0</v>
      </c>
      <c r="H268" s="109">
        <f t="shared" ref="H268:I268" si="266">F268/1024/1024/1024</f>
        <v>0</v>
      </c>
      <c r="I268" s="109">
        <f t="shared" si="266"/>
        <v>0.00003051757813</v>
      </c>
      <c r="J268" s="110">
        <v>0.0</v>
      </c>
      <c r="K268" s="107"/>
      <c r="L268" s="103"/>
      <c r="O268" s="111"/>
      <c r="P268" s="111"/>
      <c r="Q268" s="111"/>
      <c r="R268" s="111"/>
      <c r="S268" s="111"/>
      <c r="T268" s="111"/>
      <c r="U268" s="111"/>
      <c r="V268" s="111"/>
      <c r="W268" s="111"/>
      <c r="X268" s="111"/>
      <c r="Y268" s="111"/>
      <c r="Z268" s="111"/>
      <c r="AA268" s="111"/>
      <c r="AB268" s="111"/>
      <c r="AC268" s="111"/>
      <c r="AD268" s="111"/>
      <c r="AE268" s="111"/>
      <c r="AF268" s="111"/>
      <c r="AG268" s="111"/>
      <c r="AH268" s="111"/>
      <c r="AI268" s="111"/>
      <c r="AJ268" s="111"/>
      <c r="AK268" s="111"/>
      <c r="AL268" s="111"/>
      <c r="AM268" s="111"/>
      <c r="AN268" s="111"/>
      <c r="AO268" s="111"/>
      <c r="AP268" s="111"/>
      <c r="AQ268" s="111"/>
      <c r="AR268" s="111"/>
      <c r="AS268" s="111"/>
      <c r="AT268" s="103"/>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c r="BY268" s="111"/>
      <c r="BZ268" s="111"/>
    </row>
    <row r="269">
      <c r="A269" s="107" t="s">
        <v>3139</v>
      </c>
      <c r="B269" s="108">
        <v>33922.0</v>
      </c>
      <c r="C269" s="108">
        <v>150423.0</v>
      </c>
      <c r="D269" s="108">
        <v>0.0</v>
      </c>
      <c r="E269" s="108">
        <v>0.0</v>
      </c>
      <c r="F269" s="108">
        <v>1.00225655076E11</v>
      </c>
      <c r="G269" s="108">
        <v>1.30784919552E11</v>
      </c>
      <c r="H269" s="109">
        <f t="shared" ref="H269:I269" si="267">F269/1024/1024/1024</f>
        <v>93.34241513</v>
      </c>
      <c r="I269" s="109">
        <f t="shared" si="267"/>
        <v>121.802948</v>
      </c>
      <c r="J269" s="110">
        <v>0.0</v>
      </c>
      <c r="K269" s="107"/>
      <c r="L269" s="103"/>
      <c r="N269" s="111"/>
      <c r="O269" s="111"/>
      <c r="P269" s="111"/>
      <c r="Q269" s="111"/>
      <c r="R269" s="111"/>
      <c r="S269" s="111"/>
      <c r="T269" s="111"/>
      <c r="U269" s="111"/>
      <c r="V269" s="111"/>
      <c r="W269" s="111"/>
      <c r="X269" s="111"/>
      <c r="Y269" s="111"/>
      <c r="Z269" s="111"/>
      <c r="AA269" s="111"/>
      <c r="AB269" s="111"/>
      <c r="AC269" s="111"/>
      <c r="AD269" s="111"/>
      <c r="AE269" s="111"/>
      <c r="AF269" s="111"/>
      <c r="AG269" s="111"/>
      <c r="AH269" s="111"/>
      <c r="AI269" s="111"/>
      <c r="AJ269" s="111"/>
      <c r="AK269" s="111"/>
      <c r="AL269" s="111"/>
      <c r="AM269" s="111"/>
      <c r="AN269" s="111"/>
      <c r="AO269" s="111"/>
      <c r="AP269" s="111"/>
      <c r="AQ269" s="111"/>
      <c r="AR269" s="111"/>
      <c r="AS269" s="111"/>
      <c r="AT269" s="111"/>
      <c r="AU269" s="103"/>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c r="BY269" s="111"/>
      <c r="BZ269" s="111"/>
    </row>
    <row r="270">
      <c r="A270" s="107" t="s">
        <v>3140</v>
      </c>
      <c r="B270" s="108">
        <v>343.0</v>
      </c>
      <c r="C270" s="108">
        <v>1725.0</v>
      </c>
      <c r="D270" s="108">
        <v>0.0</v>
      </c>
      <c r="E270" s="108">
        <v>0.0</v>
      </c>
      <c r="F270" s="108">
        <v>6.75677232E8</v>
      </c>
      <c r="G270" s="108">
        <v>1.08326912E9</v>
      </c>
      <c r="H270" s="109">
        <f t="shared" ref="H270:I270" si="268">F270/1024/1024/1024</f>
        <v>0.6292734593</v>
      </c>
      <c r="I270" s="109">
        <f t="shared" si="268"/>
        <v>1.008872986</v>
      </c>
      <c r="J270" s="110">
        <v>0.0</v>
      </c>
      <c r="K270" s="107"/>
      <c r="L270" s="103"/>
      <c r="N270" s="111"/>
      <c r="O270" s="111"/>
      <c r="P270" s="111"/>
      <c r="Q270" s="111"/>
      <c r="R270" s="111"/>
      <c r="S270" s="111"/>
      <c r="T270" s="111"/>
      <c r="U270" s="111"/>
      <c r="V270" s="111"/>
      <c r="W270" s="111"/>
      <c r="X270" s="111"/>
      <c r="Y270" s="111"/>
      <c r="Z270" s="111"/>
      <c r="AA270" s="111"/>
      <c r="AB270" s="111"/>
      <c r="AC270" s="111"/>
      <c r="AD270" s="111"/>
      <c r="AE270" s="111"/>
      <c r="AF270" s="111"/>
      <c r="AG270" s="111"/>
      <c r="AH270" s="111"/>
      <c r="AI270" s="111"/>
      <c r="AJ270" s="111"/>
      <c r="AK270" s="111"/>
      <c r="AL270" s="111"/>
      <c r="AM270" s="111"/>
      <c r="AN270" s="111"/>
      <c r="AO270" s="111"/>
      <c r="AP270" s="111"/>
      <c r="AQ270" s="111"/>
      <c r="AR270" s="111"/>
      <c r="AS270" s="111"/>
      <c r="AT270" s="111"/>
      <c r="AU270" s="103"/>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c r="BY270" s="111"/>
      <c r="BZ270" s="111"/>
    </row>
    <row r="271">
      <c r="A271" s="107" t="s">
        <v>3141</v>
      </c>
      <c r="B271" s="108">
        <v>2.0</v>
      </c>
      <c r="C271" s="108">
        <v>1.0</v>
      </c>
      <c r="D271" s="108">
        <v>0.0</v>
      </c>
      <c r="E271" s="108">
        <v>0.0</v>
      </c>
      <c r="F271" s="108">
        <v>6202.0</v>
      </c>
      <c r="G271" s="108">
        <v>90112.0</v>
      </c>
      <c r="H271" s="109">
        <f t="shared" ref="H271:I271" si="269">F271/1024/1024/1024</f>
        <v>0.000005776062608</v>
      </c>
      <c r="I271" s="109">
        <f t="shared" si="269"/>
        <v>0.00008392333984</v>
      </c>
      <c r="J271" s="110">
        <v>0.0</v>
      </c>
      <c r="K271" s="107"/>
      <c r="L271" s="103"/>
      <c r="N271" s="111"/>
      <c r="O271" s="111"/>
      <c r="P271" s="111"/>
      <c r="Q271" s="111"/>
      <c r="R271" s="111"/>
      <c r="S271" s="111"/>
      <c r="T271" s="111"/>
      <c r="U271" s="111"/>
      <c r="V271" s="111"/>
      <c r="W271" s="111"/>
      <c r="X271" s="111"/>
      <c r="Y271" s="111"/>
      <c r="Z271" s="111"/>
      <c r="AA271" s="111"/>
      <c r="AB271" s="111"/>
      <c r="AC271" s="111"/>
      <c r="AD271" s="111"/>
      <c r="AE271" s="111"/>
      <c r="AF271" s="111"/>
      <c r="AG271" s="111"/>
      <c r="AH271" s="111"/>
      <c r="AI271" s="111"/>
      <c r="AJ271" s="111"/>
      <c r="AK271" s="111"/>
      <c r="AL271" s="111"/>
      <c r="AM271" s="111"/>
      <c r="AN271" s="111"/>
      <c r="AO271" s="111"/>
      <c r="AP271" s="111"/>
      <c r="AQ271" s="111"/>
      <c r="AR271" s="111"/>
      <c r="AS271" s="111"/>
      <c r="AT271" s="111"/>
      <c r="AU271" s="103"/>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c r="BY271" s="111"/>
      <c r="BZ271" s="111"/>
    </row>
    <row r="272">
      <c r="A272" s="107" t="s">
        <v>3142</v>
      </c>
      <c r="B272" s="108">
        <v>43735.0</v>
      </c>
      <c r="C272" s="108">
        <v>414981.0</v>
      </c>
      <c r="D272" s="108">
        <v>0.0</v>
      </c>
      <c r="E272" s="108">
        <v>0.0</v>
      </c>
      <c r="F272" s="108">
        <v>3.07376255069E11</v>
      </c>
      <c r="G272" s="108">
        <v>4.09160638464E11</v>
      </c>
      <c r="H272" s="109">
        <f t="shared" ref="H272:I272" si="270">F272/1024/1024/1024</f>
        <v>286.2664452</v>
      </c>
      <c r="I272" s="109">
        <f t="shared" si="270"/>
        <v>381.0605392</v>
      </c>
      <c r="J272" s="110">
        <v>0.0</v>
      </c>
      <c r="K272" s="107"/>
      <c r="L272" s="103"/>
      <c r="N272" s="111"/>
      <c r="O272" s="111"/>
      <c r="P272" s="111"/>
      <c r="Q272" s="111"/>
      <c r="R272" s="111"/>
      <c r="S272" s="111"/>
      <c r="T272" s="111"/>
      <c r="U272" s="111"/>
      <c r="V272" s="111"/>
      <c r="W272" s="111"/>
      <c r="X272" s="111"/>
      <c r="Y272" s="111"/>
      <c r="Z272" s="111"/>
      <c r="AA272" s="111"/>
      <c r="AB272" s="111"/>
      <c r="AC272" s="111"/>
      <c r="AD272" s="111"/>
      <c r="AE272" s="111"/>
      <c r="AF272" s="111"/>
      <c r="AG272" s="111"/>
      <c r="AH272" s="111"/>
      <c r="AI272" s="111"/>
      <c r="AJ272" s="111"/>
      <c r="AK272" s="111"/>
      <c r="AL272" s="111"/>
      <c r="AM272" s="111"/>
      <c r="AN272" s="111"/>
      <c r="AO272" s="111"/>
      <c r="AP272" s="111"/>
      <c r="AQ272" s="111"/>
      <c r="AR272" s="111"/>
      <c r="AS272" s="111"/>
      <c r="AT272" s="111"/>
      <c r="AU272" s="103"/>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c r="BY272" s="111"/>
      <c r="BZ272" s="111"/>
    </row>
    <row r="273">
      <c r="A273" s="107" t="s">
        <v>3143</v>
      </c>
      <c r="B273" s="108">
        <v>3.0</v>
      </c>
      <c r="C273" s="108">
        <v>0.0</v>
      </c>
      <c r="D273" s="108">
        <v>0.0</v>
      </c>
      <c r="E273" s="108">
        <v>0.0</v>
      </c>
      <c r="F273" s="108">
        <v>50.0</v>
      </c>
      <c r="G273" s="108">
        <v>98304.0</v>
      </c>
      <c r="H273" s="109">
        <f t="shared" ref="H273:I273" si="271">F273/1024/1024/1024</f>
        <v>0.00000004656612873</v>
      </c>
      <c r="I273" s="109">
        <f t="shared" si="271"/>
        <v>0.00009155273438</v>
      </c>
      <c r="J273" s="110">
        <v>0.0</v>
      </c>
      <c r="K273" s="107"/>
      <c r="L273" s="103"/>
      <c r="N273" s="111"/>
      <c r="O273" s="111"/>
      <c r="P273" s="111"/>
      <c r="Q273" s="111"/>
      <c r="R273" s="111"/>
      <c r="S273" s="111"/>
      <c r="T273" s="111"/>
      <c r="U273" s="111"/>
      <c r="V273" s="111"/>
      <c r="W273" s="111"/>
      <c r="X273" s="111"/>
      <c r="Y273" s="111"/>
      <c r="Z273" s="111"/>
      <c r="AA273" s="111"/>
      <c r="AB273" s="111"/>
      <c r="AC273" s="111"/>
      <c r="AD273" s="111"/>
      <c r="AE273" s="111"/>
      <c r="AF273" s="111"/>
      <c r="AG273" s="111"/>
      <c r="AH273" s="111"/>
      <c r="AI273" s="111"/>
      <c r="AJ273" s="111"/>
      <c r="AK273" s="111"/>
      <c r="AL273" s="111"/>
      <c r="AM273" s="111"/>
      <c r="AN273" s="111"/>
      <c r="AO273" s="111"/>
      <c r="AP273" s="111"/>
      <c r="AQ273" s="111"/>
      <c r="AR273" s="111"/>
      <c r="AS273" s="111"/>
      <c r="AT273" s="111"/>
      <c r="AU273" s="103"/>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c r="BY273" s="111"/>
      <c r="BZ273" s="111"/>
    </row>
    <row r="274">
      <c r="A274" s="107" t="s">
        <v>3144</v>
      </c>
      <c r="B274" s="108">
        <v>8.0</v>
      </c>
      <c r="C274" s="108">
        <v>0.0</v>
      </c>
      <c r="D274" s="108">
        <v>0.0</v>
      </c>
      <c r="E274" s="108">
        <v>0.0</v>
      </c>
      <c r="F274" s="108">
        <v>216.0</v>
      </c>
      <c r="G274" s="108">
        <v>262144.0</v>
      </c>
      <c r="H274" s="109">
        <f t="shared" ref="H274:I274" si="272">F274/1024/1024/1024</f>
        <v>0.0000002011656761</v>
      </c>
      <c r="I274" s="109">
        <f t="shared" si="272"/>
        <v>0.000244140625</v>
      </c>
      <c r="J274" s="110">
        <v>0.0</v>
      </c>
      <c r="K274" s="107"/>
      <c r="L274" s="103"/>
      <c r="N274" s="111"/>
      <c r="O274" s="111"/>
      <c r="P274" s="111"/>
      <c r="Q274" s="111"/>
      <c r="R274" s="111"/>
      <c r="S274" s="111"/>
      <c r="T274" s="111"/>
      <c r="U274" s="111"/>
      <c r="V274" s="111"/>
      <c r="W274" s="111"/>
      <c r="X274" s="111"/>
      <c r="Y274" s="111"/>
      <c r="Z274" s="111"/>
      <c r="AA274" s="111"/>
      <c r="AB274" s="111"/>
      <c r="AC274" s="111"/>
      <c r="AD274" s="111"/>
      <c r="AE274" s="111"/>
      <c r="AF274" s="111"/>
      <c r="AG274" s="111"/>
      <c r="AH274" s="111"/>
      <c r="AI274" s="111"/>
      <c r="AJ274" s="111"/>
      <c r="AK274" s="111"/>
      <c r="AL274" s="111"/>
      <c r="AM274" s="111"/>
      <c r="AN274" s="111"/>
      <c r="AO274" s="111"/>
      <c r="AP274" s="111"/>
      <c r="AQ274" s="111"/>
      <c r="AR274" s="111"/>
      <c r="AS274" s="111"/>
      <c r="AT274" s="111"/>
      <c r="AU274" s="103"/>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c r="BY274" s="111"/>
      <c r="BZ274" s="111"/>
    </row>
    <row r="275">
      <c r="A275" s="107" t="s">
        <v>3145</v>
      </c>
      <c r="B275" s="108">
        <v>28.0</v>
      </c>
      <c r="C275" s="108">
        <v>0.0</v>
      </c>
      <c r="D275" s="108">
        <v>0.0</v>
      </c>
      <c r="E275" s="108">
        <v>0.0</v>
      </c>
      <c r="F275" s="108">
        <v>997.0</v>
      </c>
      <c r="G275" s="108">
        <v>917504.0</v>
      </c>
      <c r="H275" s="109">
        <f t="shared" ref="H275:I275" si="273">F275/1024/1024/1024</f>
        <v>0.0000009285286069</v>
      </c>
      <c r="I275" s="109">
        <f t="shared" si="273"/>
        <v>0.0008544921875</v>
      </c>
      <c r="J275" s="110">
        <v>0.0</v>
      </c>
      <c r="K275" s="107"/>
      <c r="L275" s="103"/>
      <c r="N275" s="111"/>
      <c r="O275" s="111"/>
      <c r="P275" s="111"/>
      <c r="Q275" s="111"/>
      <c r="R275" s="111"/>
      <c r="S275" s="111"/>
      <c r="T275" s="111"/>
      <c r="U275" s="111"/>
      <c r="V275" s="111"/>
      <c r="W275" s="111"/>
      <c r="X275" s="111"/>
      <c r="Y275" s="111"/>
      <c r="Z275" s="111"/>
      <c r="AA275" s="111"/>
      <c r="AB275" s="111"/>
      <c r="AC275" s="111"/>
      <c r="AD275" s="111"/>
      <c r="AE275" s="111"/>
      <c r="AF275" s="111"/>
      <c r="AG275" s="111"/>
      <c r="AH275" s="111"/>
      <c r="AI275" s="111"/>
      <c r="AJ275" s="111"/>
      <c r="AK275" s="111"/>
      <c r="AL275" s="111"/>
      <c r="AM275" s="111"/>
      <c r="AN275" s="111"/>
      <c r="AO275" s="111"/>
      <c r="AP275" s="111"/>
      <c r="AQ275" s="111"/>
      <c r="AR275" s="111"/>
      <c r="AS275" s="111"/>
      <c r="AT275" s="111"/>
      <c r="AU275" s="103"/>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c r="BY275" s="111"/>
      <c r="BZ275" s="111"/>
    </row>
    <row r="276">
      <c r="A276" s="107" t="s">
        <v>3146</v>
      </c>
      <c r="B276" s="108">
        <v>9.0</v>
      </c>
      <c r="C276" s="108">
        <v>0.0</v>
      </c>
      <c r="D276" s="108">
        <v>0.0</v>
      </c>
      <c r="E276" s="108">
        <v>0.0</v>
      </c>
      <c r="F276" s="108">
        <v>368.0</v>
      </c>
      <c r="G276" s="108">
        <v>294912.0</v>
      </c>
      <c r="H276" s="109">
        <f t="shared" ref="H276:I276" si="274">F276/1024/1024/1024</f>
        <v>0.0000003427267075</v>
      </c>
      <c r="I276" s="109">
        <f t="shared" si="274"/>
        <v>0.0002746582031</v>
      </c>
      <c r="J276" s="110">
        <v>0.0</v>
      </c>
      <c r="K276" s="107"/>
      <c r="L276" s="103"/>
      <c r="N276" s="111"/>
      <c r="O276" s="111"/>
      <c r="P276" s="111"/>
      <c r="Q276" s="111"/>
      <c r="R276" s="111"/>
      <c r="S276" s="111"/>
      <c r="T276" s="111"/>
      <c r="U276" s="111"/>
      <c r="V276" s="111"/>
      <c r="W276" s="111"/>
      <c r="X276" s="111"/>
      <c r="Y276" s="111"/>
      <c r="Z276" s="111"/>
      <c r="AA276" s="111"/>
      <c r="AB276" s="111"/>
      <c r="AC276" s="111"/>
      <c r="AD276" s="111"/>
      <c r="AE276" s="111"/>
      <c r="AF276" s="111"/>
      <c r="AG276" s="111"/>
      <c r="AH276" s="111"/>
      <c r="AI276" s="111"/>
      <c r="AJ276" s="111"/>
      <c r="AK276" s="111"/>
      <c r="AL276" s="111"/>
      <c r="AM276" s="111"/>
      <c r="AN276" s="111"/>
      <c r="AO276" s="111"/>
      <c r="AP276" s="111"/>
      <c r="AQ276" s="111"/>
      <c r="AR276" s="111"/>
      <c r="AS276" s="111"/>
      <c r="AT276" s="111"/>
      <c r="AU276" s="103"/>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c r="BY276" s="111"/>
      <c r="BZ276" s="111"/>
    </row>
    <row r="277">
      <c r="A277" s="107" t="s">
        <v>3147</v>
      </c>
      <c r="B277" s="108">
        <v>20.0</v>
      </c>
      <c r="C277" s="108">
        <v>0.0</v>
      </c>
      <c r="D277" s="108">
        <v>0.0</v>
      </c>
      <c r="E277" s="108">
        <v>0.0</v>
      </c>
      <c r="F277" s="108">
        <v>640.0</v>
      </c>
      <c r="G277" s="108">
        <v>655360.0</v>
      </c>
      <c r="H277" s="109">
        <f t="shared" ref="H277:I277" si="275">F277/1024/1024/1024</f>
        <v>0.0000005960464478</v>
      </c>
      <c r="I277" s="109">
        <f t="shared" si="275"/>
        <v>0.0006103515625</v>
      </c>
      <c r="J277" s="110">
        <v>0.0</v>
      </c>
      <c r="K277" s="107"/>
      <c r="L277" s="103"/>
      <c r="N277" s="111"/>
      <c r="O277" s="111"/>
      <c r="P277" s="111"/>
      <c r="Q277" s="111"/>
      <c r="R277" s="111"/>
      <c r="S277" s="111"/>
      <c r="T277" s="111"/>
      <c r="U277" s="111"/>
      <c r="V277" s="111"/>
      <c r="W277" s="111"/>
      <c r="X277" s="111"/>
      <c r="Y277" s="111"/>
      <c r="Z277" s="111"/>
      <c r="AA277" s="111"/>
      <c r="AB277" s="111"/>
      <c r="AC277" s="111"/>
      <c r="AD277" s="111"/>
      <c r="AE277" s="111"/>
      <c r="AF277" s="111"/>
      <c r="AG277" s="111"/>
      <c r="AH277" s="111"/>
      <c r="AI277" s="111"/>
      <c r="AJ277" s="111"/>
      <c r="AK277" s="111"/>
      <c r="AL277" s="111"/>
      <c r="AM277" s="111"/>
      <c r="AN277" s="111"/>
      <c r="AO277" s="111"/>
      <c r="AP277" s="111"/>
      <c r="AQ277" s="111"/>
      <c r="AR277" s="111"/>
      <c r="AS277" s="111"/>
      <c r="AT277" s="111"/>
      <c r="AU277" s="103"/>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c r="BY277" s="111"/>
      <c r="BZ277" s="111"/>
    </row>
    <row r="278">
      <c r="A278" s="107" t="s">
        <v>3148</v>
      </c>
      <c r="B278" s="108">
        <v>1.0</v>
      </c>
      <c r="C278" s="108">
        <v>0.0</v>
      </c>
      <c r="D278" s="108">
        <v>0.0</v>
      </c>
      <c r="E278" s="108">
        <v>0.0</v>
      </c>
      <c r="F278" s="108">
        <v>0.0</v>
      </c>
      <c r="G278" s="108">
        <v>32768.0</v>
      </c>
      <c r="H278" s="109">
        <f t="shared" ref="H278:I278" si="276">F278/1024/1024/1024</f>
        <v>0</v>
      </c>
      <c r="I278" s="109">
        <f t="shared" si="276"/>
        <v>0.00003051757813</v>
      </c>
      <c r="J278" s="110">
        <v>0.0</v>
      </c>
      <c r="K278" s="107"/>
      <c r="L278" s="103"/>
      <c r="N278" s="111"/>
      <c r="O278" s="111"/>
      <c r="P278" s="111"/>
      <c r="Q278" s="111"/>
      <c r="R278" s="111"/>
      <c r="S278" s="111"/>
      <c r="T278" s="111"/>
      <c r="U278" s="111"/>
      <c r="V278" s="111"/>
      <c r="W278" s="111"/>
      <c r="X278" s="111"/>
      <c r="Y278" s="111"/>
      <c r="Z278" s="111"/>
      <c r="AA278" s="111"/>
      <c r="AB278" s="111"/>
      <c r="AC278" s="111"/>
      <c r="AD278" s="111"/>
      <c r="AE278" s="111"/>
      <c r="AF278" s="111"/>
      <c r="AG278" s="111"/>
      <c r="AH278" s="111"/>
      <c r="AI278" s="111"/>
      <c r="AJ278" s="111"/>
      <c r="AK278" s="111"/>
      <c r="AL278" s="111"/>
      <c r="AM278" s="111"/>
      <c r="AN278" s="111"/>
      <c r="AO278" s="111"/>
      <c r="AP278" s="111"/>
      <c r="AQ278" s="111"/>
      <c r="AR278" s="111"/>
      <c r="AS278" s="111"/>
      <c r="AT278" s="111"/>
      <c r="AU278" s="103"/>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c r="BY278" s="111"/>
      <c r="BZ278" s="111"/>
    </row>
    <row r="279">
      <c r="A279" s="107" t="s">
        <v>3149</v>
      </c>
      <c r="B279" s="108">
        <v>27769.0</v>
      </c>
      <c r="C279" s="108">
        <v>112263.0</v>
      </c>
      <c r="D279" s="108">
        <v>0.0</v>
      </c>
      <c r="E279" s="108">
        <v>0.0</v>
      </c>
      <c r="F279" s="108">
        <v>1.27547774289E11</v>
      </c>
      <c r="G279" s="108">
        <v>1.69070600192E11</v>
      </c>
      <c r="H279" s="109">
        <f t="shared" ref="H279:I279" si="277">F279/1024/1024/1024</f>
        <v>118.7881215</v>
      </c>
      <c r="I279" s="109">
        <f t="shared" si="277"/>
        <v>157.4592667</v>
      </c>
      <c r="J279" s="110">
        <v>0.0</v>
      </c>
      <c r="K279" s="107"/>
      <c r="L279" s="103"/>
      <c r="N279" s="111"/>
      <c r="O279" s="111"/>
      <c r="P279" s="111"/>
      <c r="Q279" s="111"/>
      <c r="R279" s="111"/>
      <c r="S279" s="111"/>
      <c r="T279" s="111"/>
      <c r="U279" s="111"/>
      <c r="V279" s="111"/>
      <c r="W279" s="111"/>
      <c r="X279" s="111"/>
      <c r="Y279" s="111"/>
      <c r="Z279" s="111"/>
      <c r="AA279" s="111"/>
      <c r="AB279" s="111"/>
      <c r="AC279" s="111"/>
      <c r="AD279" s="111"/>
      <c r="AE279" s="111"/>
      <c r="AF279" s="111"/>
      <c r="AG279" s="111"/>
      <c r="AH279" s="111"/>
      <c r="AI279" s="111"/>
      <c r="AJ279" s="111"/>
      <c r="AK279" s="111"/>
      <c r="AL279" s="111"/>
      <c r="AM279" s="111"/>
      <c r="AN279" s="111"/>
      <c r="AO279" s="111"/>
      <c r="AP279" s="111"/>
      <c r="AQ279" s="111"/>
      <c r="AR279" s="111"/>
      <c r="AS279" s="111"/>
      <c r="AT279" s="111"/>
      <c r="AU279" s="103"/>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c r="BY279" s="111"/>
      <c r="BZ279" s="111"/>
    </row>
    <row r="280">
      <c r="A280" s="107" t="s">
        <v>3150</v>
      </c>
      <c r="B280" s="108">
        <v>475.0</v>
      </c>
      <c r="C280" s="108">
        <v>2781.0</v>
      </c>
      <c r="D280" s="108">
        <v>0.0</v>
      </c>
      <c r="E280" s="108">
        <v>0.0</v>
      </c>
      <c r="F280" s="108">
        <v>2.05004656E9</v>
      </c>
      <c r="G280" s="108">
        <v>2.750808064E9</v>
      </c>
      <c r="H280" s="109">
        <f t="shared" ref="H280:I280" si="278">F280/1024/1024/1024</f>
        <v>1.90925464</v>
      </c>
      <c r="I280" s="109">
        <f t="shared" si="278"/>
        <v>2.561889648</v>
      </c>
      <c r="J280" s="110">
        <v>0.0</v>
      </c>
      <c r="K280" s="107"/>
      <c r="L280" s="103"/>
      <c r="N280" s="111"/>
      <c r="O280" s="111"/>
      <c r="P280" s="111"/>
      <c r="Q280" s="111"/>
      <c r="R280" s="111"/>
      <c r="S280" s="111"/>
      <c r="T280" s="111"/>
      <c r="U280" s="111"/>
      <c r="V280" s="111"/>
      <c r="W280" s="111"/>
      <c r="X280" s="111"/>
      <c r="Y280" s="111"/>
      <c r="Z280" s="111"/>
      <c r="AA280" s="111"/>
      <c r="AB280" s="111"/>
      <c r="AC280" s="111"/>
      <c r="AD280" s="111"/>
      <c r="AE280" s="111"/>
      <c r="AF280" s="111"/>
      <c r="AG280" s="111"/>
      <c r="AH280" s="111"/>
      <c r="AI280" s="111"/>
      <c r="AJ280" s="111"/>
      <c r="AK280" s="111"/>
      <c r="AL280" s="111"/>
      <c r="AM280" s="111"/>
      <c r="AN280" s="111"/>
      <c r="AO280" s="111"/>
      <c r="AP280" s="111"/>
      <c r="AQ280" s="111"/>
      <c r="AR280" s="111"/>
      <c r="AS280" s="111"/>
      <c r="AT280" s="111"/>
      <c r="AU280" s="103"/>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c r="BY280" s="111"/>
      <c r="BZ280" s="111"/>
    </row>
    <row r="281">
      <c r="A281" s="107" t="s">
        <v>3151</v>
      </c>
      <c r="B281" s="108">
        <v>515.0</v>
      </c>
      <c r="C281" s="108">
        <v>23340.0</v>
      </c>
      <c r="D281" s="108">
        <v>0.0</v>
      </c>
      <c r="E281" s="108">
        <v>0.0</v>
      </c>
      <c r="F281" s="108">
        <v>2.281165448E9</v>
      </c>
      <c r="G281" s="108">
        <v>6.49416704E9</v>
      </c>
      <c r="H281" s="109">
        <f t="shared" ref="H281:I281" si="279">F281/1024/1024/1024</f>
        <v>2.124500878</v>
      </c>
      <c r="I281" s="109">
        <f t="shared" si="279"/>
        <v>6.048164368</v>
      </c>
      <c r="J281" s="110">
        <v>0.0</v>
      </c>
      <c r="K281" s="107"/>
      <c r="L281" s="103"/>
      <c r="R281" s="111"/>
      <c r="S281" s="111"/>
      <c r="T281" s="111"/>
      <c r="U281" s="111"/>
      <c r="V281" s="111"/>
      <c r="W281" s="111"/>
      <c r="X281" s="111"/>
      <c r="Y281" s="111"/>
      <c r="Z281" s="111"/>
      <c r="AA281" s="111"/>
      <c r="AB281" s="111"/>
      <c r="AC281" s="111"/>
      <c r="AD281" s="111"/>
      <c r="AE281" s="111"/>
      <c r="AF281" s="111"/>
      <c r="AG281" s="111"/>
      <c r="AH281" s="111"/>
      <c r="AI281" s="111"/>
      <c r="AJ281" s="111"/>
      <c r="AK281" s="111"/>
      <c r="AL281" s="111"/>
      <c r="AM281" s="111"/>
      <c r="AN281" s="111"/>
      <c r="AO281" s="111"/>
      <c r="AP281" s="111"/>
      <c r="AQ281" s="111"/>
      <c r="AR281" s="111"/>
      <c r="AS281" s="111"/>
      <c r="AT281" s="111"/>
      <c r="AU281" s="111"/>
      <c r="AV281" s="103"/>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c r="BY281" s="111"/>
      <c r="BZ281" s="111"/>
    </row>
    <row r="282">
      <c r="A282" s="107" t="s">
        <v>3152</v>
      </c>
      <c r="B282" s="108">
        <v>24.0</v>
      </c>
      <c r="C282" s="108">
        <v>129.0</v>
      </c>
      <c r="D282" s="108">
        <v>0.0</v>
      </c>
      <c r="E282" s="108">
        <v>0.0</v>
      </c>
      <c r="F282" s="108">
        <v>2.52504219E8</v>
      </c>
      <c r="G282" s="108">
        <v>3.25763072E8</v>
      </c>
      <c r="H282" s="109">
        <f t="shared" ref="H282:I282" si="280">F282/1024/1024/1024</f>
        <v>0.2351628793</v>
      </c>
      <c r="I282" s="109">
        <f t="shared" si="280"/>
        <v>0.3033905029</v>
      </c>
      <c r="J282" s="110">
        <v>0.0</v>
      </c>
      <c r="K282" s="107"/>
      <c r="L282" s="103"/>
      <c r="R282" s="111"/>
      <c r="S282" s="111"/>
      <c r="T282" s="111"/>
      <c r="U282" s="111"/>
      <c r="V282" s="111"/>
      <c r="W282" s="111"/>
      <c r="X282" s="111"/>
      <c r="Y282" s="111"/>
      <c r="Z282" s="111"/>
      <c r="AA282" s="111"/>
      <c r="AB282" s="111"/>
      <c r="AC282" s="111"/>
      <c r="AD282" s="111"/>
      <c r="AE282" s="111"/>
      <c r="AF282" s="111"/>
      <c r="AG282" s="111"/>
      <c r="AH282" s="111"/>
      <c r="AI282" s="111"/>
      <c r="AJ282" s="111"/>
      <c r="AK282" s="111"/>
      <c r="AL282" s="111"/>
      <c r="AM282" s="111"/>
      <c r="AN282" s="111"/>
      <c r="AO282" s="111"/>
      <c r="AP282" s="111"/>
      <c r="AQ282" s="111"/>
      <c r="AR282" s="111"/>
      <c r="AS282" s="111"/>
      <c r="AT282" s="111"/>
      <c r="AU282" s="111"/>
      <c r="AV282" s="103"/>
      <c r="BF282" s="111"/>
      <c r="BG282" s="111"/>
      <c r="BH282" s="111"/>
      <c r="BI282" s="111"/>
      <c r="BJ282" s="111"/>
      <c r="BK282" s="111"/>
      <c r="BL282" s="111"/>
      <c r="BM282" s="111"/>
      <c r="BN282" s="111"/>
      <c r="BO282" s="111"/>
      <c r="BP282" s="111"/>
      <c r="BQ282" s="111"/>
      <c r="BR282" s="111"/>
      <c r="BS282" s="111"/>
      <c r="BT282" s="111"/>
      <c r="BU282" s="111"/>
      <c r="BV282" s="111"/>
      <c r="BW282" s="111"/>
      <c r="BX282" s="111"/>
      <c r="BY282" s="111"/>
      <c r="BZ282" s="111"/>
    </row>
    <row r="283">
      <c r="A283" s="107" t="s">
        <v>3153</v>
      </c>
      <c r="B283" s="108">
        <v>87.0</v>
      </c>
      <c r="C283" s="108">
        <v>416.0</v>
      </c>
      <c r="D283" s="108">
        <v>0.0</v>
      </c>
      <c r="E283" s="108">
        <v>0.0</v>
      </c>
      <c r="F283" s="108">
        <v>4.67199669E8</v>
      </c>
      <c r="G283" s="108">
        <v>6.23239168E8</v>
      </c>
      <c r="H283" s="109">
        <f t="shared" ref="H283:I283" si="281">F283/1024/1024/1024</f>
        <v>0.4351135986</v>
      </c>
      <c r="I283" s="109">
        <f t="shared" si="281"/>
        <v>0.5804367065</v>
      </c>
      <c r="J283" s="110">
        <v>0.0</v>
      </c>
      <c r="K283" s="107"/>
      <c r="L283" s="103"/>
      <c r="R283" s="111"/>
      <c r="S283" s="111"/>
      <c r="T283" s="111"/>
      <c r="U283" s="111"/>
      <c r="V283" s="111"/>
      <c r="W283" s="111"/>
      <c r="X283" s="111"/>
      <c r="Y283" s="111"/>
      <c r="Z283" s="111"/>
      <c r="AA283" s="111"/>
      <c r="AB283" s="111"/>
      <c r="AC283" s="111"/>
      <c r="AD283" s="111"/>
      <c r="AE283" s="111"/>
      <c r="AF283" s="111"/>
      <c r="AG283" s="111"/>
      <c r="AH283" s="111"/>
      <c r="AI283" s="111"/>
      <c r="AJ283" s="111"/>
      <c r="AK283" s="111"/>
      <c r="AL283" s="111"/>
      <c r="AM283" s="111"/>
      <c r="AN283" s="111"/>
      <c r="AO283" s="111"/>
      <c r="AP283" s="111"/>
      <c r="AQ283" s="111"/>
      <c r="AR283" s="111"/>
      <c r="AS283" s="111"/>
      <c r="AT283" s="111"/>
      <c r="AU283" s="111"/>
      <c r="AV283" s="103"/>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c r="BY283" s="111"/>
      <c r="BZ283" s="111"/>
    </row>
    <row r="284">
      <c r="A284" s="107" t="s">
        <v>3154</v>
      </c>
      <c r="B284" s="108">
        <v>19360.0</v>
      </c>
      <c r="C284" s="108">
        <v>201896.0</v>
      </c>
      <c r="D284" s="108">
        <v>0.0</v>
      </c>
      <c r="E284" s="108">
        <v>0.0</v>
      </c>
      <c r="F284" s="108">
        <v>9.02787947414E11</v>
      </c>
      <c r="G284" s="108">
        <v>1.113652805632E12</v>
      </c>
      <c r="H284" s="109">
        <f t="shared" ref="H284:I284" si="282">F284/1024/1024/1024</f>
        <v>840.7867955</v>
      </c>
      <c r="I284" s="109">
        <f t="shared" si="282"/>
        <v>1037.169998</v>
      </c>
      <c r="J284" s="110">
        <v>0.0</v>
      </c>
      <c r="K284" s="107"/>
      <c r="L284" s="103"/>
      <c r="R284" s="111"/>
      <c r="S284" s="111"/>
      <c r="T284" s="111"/>
      <c r="U284" s="111"/>
      <c r="V284" s="111"/>
      <c r="W284" s="111"/>
      <c r="X284" s="111"/>
      <c r="Y284" s="111"/>
      <c r="Z284" s="111"/>
      <c r="AA284" s="111"/>
      <c r="AB284" s="111"/>
      <c r="AC284" s="111"/>
      <c r="AD284" s="111"/>
      <c r="AE284" s="111"/>
      <c r="AF284" s="111"/>
      <c r="AG284" s="111"/>
      <c r="AH284" s="111"/>
      <c r="AI284" s="111"/>
      <c r="AJ284" s="111"/>
      <c r="AK284" s="111"/>
      <c r="AL284" s="111"/>
      <c r="AM284" s="111"/>
      <c r="AN284" s="111"/>
      <c r="AO284" s="111"/>
      <c r="AP284" s="111"/>
      <c r="AQ284" s="111"/>
      <c r="AR284" s="111"/>
      <c r="AS284" s="111"/>
      <c r="AT284" s="111"/>
      <c r="AU284" s="111"/>
      <c r="AV284" s="103"/>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c r="BY284" s="111"/>
      <c r="BZ284" s="111"/>
    </row>
    <row r="285">
      <c r="A285" s="107" t="s">
        <v>3155</v>
      </c>
      <c r="B285" s="108">
        <v>11.0</v>
      </c>
      <c r="C285" s="108">
        <v>2.0</v>
      </c>
      <c r="D285" s="108">
        <v>0.0</v>
      </c>
      <c r="E285" s="108">
        <v>0.0</v>
      </c>
      <c r="F285" s="108">
        <v>12688.0</v>
      </c>
      <c r="G285" s="108">
        <v>409600.0</v>
      </c>
      <c r="H285" s="109">
        <f t="shared" ref="H285:I285" si="283">F285/1024/1024/1024</f>
        <v>0.00001181662083</v>
      </c>
      <c r="I285" s="109">
        <f t="shared" si="283"/>
        <v>0.0003814697266</v>
      </c>
      <c r="J285" s="110">
        <v>0.0</v>
      </c>
      <c r="K285" s="107"/>
      <c r="L285" s="103"/>
      <c r="R285" s="111"/>
      <c r="S285" s="111"/>
      <c r="T285" s="111"/>
      <c r="U285" s="111"/>
      <c r="V285" s="111"/>
      <c r="W285" s="111"/>
      <c r="X285" s="111"/>
      <c r="Y285" s="111"/>
      <c r="Z285" s="111"/>
      <c r="AA285" s="111"/>
      <c r="AB285" s="111"/>
      <c r="AC285" s="111"/>
      <c r="AD285" s="111"/>
      <c r="AE285" s="111"/>
      <c r="AF285" s="111"/>
      <c r="AG285" s="111"/>
      <c r="AH285" s="111"/>
      <c r="AI285" s="111"/>
      <c r="AJ285" s="111"/>
      <c r="AK285" s="111"/>
      <c r="AL285" s="111"/>
      <c r="AM285" s="111"/>
      <c r="AN285" s="111"/>
      <c r="AO285" s="111"/>
      <c r="AP285" s="111"/>
      <c r="AQ285" s="111"/>
      <c r="AR285" s="111"/>
      <c r="AS285" s="111"/>
      <c r="AT285" s="111"/>
      <c r="AU285" s="111"/>
      <c r="AV285" s="103"/>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c r="BY285" s="111"/>
      <c r="BZ285" s="111"/>
    </row>
    <row r="286">
      <c r="A286" s="107" t="s">
        <v>3156</v>
      </c>
      <c r="B286" s="108">
        <v>339.0</v>
      </c>
      <c r="C286" s="108">
        <v>1079.0</v>
      </c>
      <c r="D286" s="108">
        <v>0.0</v>
      </c>
      <c r="E286" s="108">
        <v>0.0</v>
      </c>
      <c r="F286" s="108">
        <v>2.22667223E8</v>
      </c>
      <c r="G286" s="108">
        <v>4.06503424E8</v>
      </c>
      <c r="H286" s="109">
        <f t="shared" ref="H286:I286" si="284">F286/1024/1024/1024</f>
        <v>0.2073750114</v>
      </c>
      <c r="I286" s="109">
        <f t="shared" si="284"/>
        <v>0.3785858154</v>
      </c>
      <c r="J286" s="110">
        <v>0.0</v>
      </c>
      <c r="K286" s="107"/>
      <c r="L286" s="103"/>
      <c r="R286" s="111"/>
      <c r="S286" s="111"/>
      <c r="T286" s="111"/>
      <c r="U286" s="111"/>
      <c r="V286" s="111"/>
      <c r="W286" s="111"/>
      <c r="X286" s="111"/>
      <c r="Y286" s="111"/>
      <c r="Z286" s="111"/>
      <c r="AA286" s="111"/>
      <c r="AB286" s="111"/>
      <c r="AC286" s="111"/>
      <c r="AD286" s="111"/>
      <c r="AE286" s="111"/>
      <c r="AF286" s="111"/>
      <c r="AG286" s="111"/>
      <c r="AH286" s="111"/>
      <c r="AI286" s="111"/>
      <c r="AJ286" s="111"/>
      <c r="AK286" s="111"/>
      <c r="AL286" s="111"/>
      <c r="AM286" s="111"/>
      <c r="AN286" s="111"/>
      <c r="AO286" s="111"/>
      <c r="AP286" s="111"/>
      <c r="AQ286" s="111"/>
      <c r="AR286" s="111"/>
      <c r="AS286" s="111"/>
      <c r="AT286" s="111"/>
      <c r="AU286" s="111"/>
      <c r="AV286" s="103"/>
      <c r="BF286" s="111"/>
      <c r="BG286" s="111"/>
      <c r="BH286" s="111"/>
      <c r="BI286" s="111"/>
      <c r="BJ286" s="111"/>
      <c r="BK286" s="111"/>
      <c r="BL286" s="111"/>
      <c r="BM286" s="111"/>
      <c r="BN286" s="111"/>
      <c r="BO286" s="111"/>
      <c r="BP286" s="111"/>
      <c r="BQ286" s="111"/>
      <c r="BR286" s="111"/>
      <c r="BS286" s="111"/>
      <c r="BT286" s="111"/>
      <c r="BU286" s="111"/>
      <c r="BV286" s="111"/>
      <c r="BW286" s="111"/>
      <c r="BX286" s="111"/>
      <c r="BY286" s="111"/>
      <c r="BZ286" s="111"/>
    </row>
    <row r="287">
      <c r="A287" s="107" t="s">
        <v>3157</v>
      </c>
      <c r="B287" s="108">
        <v>32.0</v>
      </c>
      <c r="C287" s="108">
        <v>17.0</v>
      </c>
      <c r="D287" s="108">
        <v>0.0</v>
      </c>
      <c r="E287" s="108">
        <v>0.0</v>
      </c>
      <c r="F287" s="108">
        <v>2.0187862E7</v>
      </c>
      <c r="G287" s="108">
        <v>2.6624E7</v>
      </c>
      <c r="H287" s="109">
        <f t="shared" ref="H287:I287" si="285">F287/1024/1024/1024</f>
        <v>0.01880141161</v>
      </c>
      <c r="I287" s="109">
        <f t="shared" si="285"/>
        <v>0.02479553223</v>
      </c>
      <c r="J287" s="110">
        <v>0.0</v>
      </c>
      <c r="K287" s="107"/>
      <c r="L287" s="103"/>
      <c r="R287" s="111"/>
      <c r="S287" s="111"/>
      <c r="T287" s="111"/>
      <c r="U287" s="111"/>
      <c r="V287" s="111"/>
      <c r="W287" s="111"/>
      <c r="X287" s="111"/>
      <c r="Y287" s="111"/>
      <c r="Z287" s="111"/>
      <c r="AA287" s="111"/>
      <c r="AB287" s="111"/>
      <c r="AC287" s="111"/>
      <c r="AD287" s="111"/>
      <c r="AE287" s="111"/>
      <c r="AF287" s="111"/>
      <c r="AG287" s="111"/>
      <c r="AH287" s="111"/>
      <c r="AI287" s="111"/>
      <c r="AJ287" s="111"/>
      <c r="AK287" s="111"/>
      <c r="AL287" s="111"/>
      <c r="AM287" s="111"/>
      <c r="AN287" s="111"/>
      <c r="AO287" s="111"/>
      <c r="AP287" s="111"/>
      <c r="AQ287" s="111"/>
      <c r="AR287" s="111"/>
      <c r="AS287" s="111"/>
      <c r="AT287" s="111"/>
      <c r="AU287" s="111"/>
      <c r="AV287" s="103"/>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c r="BY287" s="111"/>
      <c r="BZ287" s="111"/>
    </row>
    <row r="288">
      <c r="A288" s="107" t="s">
        <v>3158</v>
      </c>
      <c r="B288" s="108">
        <v>29.0</v>
      </c>
      <c r="C288" s="108">
        <v>0.0</v>
      </c>
      <c r="D288" s="108">
        <v>0.0</v>
      </c>
      <c r="E288" s="108">
        <v>0.0</v>
      </c>
      <c r="F288" s="108">
        <v>868.0</v>
      </c>
      <c r="G288" s="108">
        <v>950272.0</v>
      </c>
      <c r="H288" s="109">
        <f t="shared" ref="H288:I288" si="286">F288/1024/1024/1024</f>
        <v>0.0000008083879948</v>
      </c>
      <c r="I288" s="109">
        <f t="shared" si="286"/>
        <v>0.0008850097656</v>
      </c>
      <c r="J288" s="110">
        <v>0.0</v>
      </c>
      <c r="K288" s="107"/>
      <c r="L288" s="103"/>
      <c r="R288" s="111"/>
      <c r="S288" s="111"/>
      <c r="T288" s="111"/>
      <c r="U288" s="111"/>
      <c r="V288" s="111"/>
      <c r="W288" s="111"/>
      <c r="X288" s="111"/>
      <c r="Y288" s="111"/>
      <c r="Z288" s="111"/>
      <c r="AA288" s="111"/>
      <c r="AB288" s="111"/>
      <c r="AC288" s="111"/>
      <c r="AD288" s="111"/>
      <c r="AE288" s="111"/>
      <c r="AF288" s="111"/>
      <c r="AG288" s="111"/>
      <c r="AH288" s="111"/>
      <c r="AI288" s="111"/>
      <c r="AJ288" s="111"/>
      <c r="AK288" s="111"/>
      <c r="AL288" s="111"/>
      <c r="AM288" s="111"/>
      <c r="AN288" s="111"/>
      <c r="AO288" s="111"/>
      <c r="AP288" s="111"/>
      <c r="AQ288" s="111"/>
      <c r="AR288" s="111"/>
      <c r="AS288" s="111"/>
      <c r="AT288" s="111"/>
      <c r="AU288" s="111"/>
      <c r="AV288" s="103"/>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c r="BY288" s="111"/>
      <c r="BZ288" s="111"/>
    </row>
    <row r="289">
      <c r="A289" s="107" t="s">
        <v>3159</v>
      </c>
      <c r="B289" s="108">
        <v>55.0</v>
      </c>
      <c r="C289" s="108">
        <v>53.0</v>
      </c>
      <c r="D289" s="108">
        <v>0.0</v>
      </c>
      <c r="E289" s="108">
        <v>0.0</v>
      </c>
      <c r="F289" s="108">
        <v>9031823.0</v>
      </c>
      <c r="G289" s="108">
        <v>1.675264E7</v>
      </c>
      <c r="H289" s="109">
        <f t="shared" ref="H289:I289" si="287">F289/1024/1024/1024</f>
        <v>0.00841154065</v>
      </c>
      <c r="I289" s="109">
        <f t="shared" si="287"/>
        <v>0.01560211182</v>
      </c>
      <c r="J289" s="110">
        <v>0.0</v>
      </c>
      <c r="K289" s="107"/>
      <c r="L289" s="103"/>
      <c r="R289" s="111"/>
      <c r="S289" s="111"/>
      <c r="T289" s="111"/>
      <c r="U289" s="111"/>
      <c r="V289" s="111"/>
      <c r="W289" s="111"/>
      <c r="X289" s="111"/>
      <c r="Y289" s="111"/>
      <c r="Z289" s="111"/>
      <c r="AA289" s="111"/>
      <c r="AB289" s="111"/>
      <c r="AC289" s="111"/>
      <c r="AD289" s="111"/>
      <c r="AE289" s="111"/>
      <c r="AF289" s="111"/>
      <c r="AG289" s="111"/>
      <c r="AH289" s="111"/>
      <c r="AI289" s="111"/>
      <c r="AJ289" s="111"/>
      <c r="AK289" s="111"/>
      <c r="AL289" s="111"/>
      <c r="AM289" s="111"/>
      <c r="AN289" s="111"/>
      <c r="AO289" s="111"/>
      <c r="AP289" s="111"/>
      <c r="AQ289" s="111"/>
      <c r="AR289" s="111"/>
      <c r="AS289" s="111"/>
      <c r="AT289" s="111"/>
      <c r="AU289" s="111"/>
      <c r="AV289" s="103"/>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c r="BY289" s="111"/>
      <c r="BZ289" s="111"/>
    </row>
    <row r="290">
      <c r="A290" s="107" t="s">
        <v>3160</v>
      </c>
      <c r="B290" s="108">
        <v>19.0</v>
      </c>
      <c r="C290" s="108">
        <v>19.0</v>
      </c>
      <c r="D290" s="108">
        <v>0.0</v>
      </c>
      <c r="E290" s="108">
        <v>0.0</v>
      </c>
      <c r="F290" s="108">
        <v>3.0713972E7</v>
      </c>
      <c r="G290" s="108">
        <v>4.0075264E7</v>
      </c>
      <c r="H290" s="109">
        <f t="shared" ref="H290:I290" si="288">F290/1024/1024/1024</f>
        <v>0.02860461548</v>
      </c>
      <c r="I290" s="109">
        <f t="shared" si="288"/>
        <v>0.03732299805</v>
      </c>
      <c r="J290" s="110">
        <v>0.0</v>
      </c>
      <c r="K290" s="107"/>
      <c r="L290" s="103"/>
      <c r="R290" s="111"/>
      <c r="S290" s="111"/>
      <c r="T290" s="111"/>
      <c r="U290" s="111"/>
      <c r="V290" s="111"/>
      <c r="W290" s="111"/>
      <c r="X290" s="111"/>
      <c r="Y290" s="111"/>
      <c r="Z290" s="111"/>
      <c r="AA290" s="111"/>
      <c r="AB290" s="111"/>
      <c r="AC290" s="111"/>
      <c r="AD290" s="111"/>
      <c r="AE290" s="111"/>
      <c r="AF290" s="111"/>
      <c r="AG290" s="111"/>
      <c r="AH290" s="111"/>
      <c r="AI290" s="111"/>
      <c r="AJ290" s="111"/>
      <c r="AK290" s="111"/>
      <c r="AL290" s="111"/>
      <c r="AM290" s="111"/>
      <c r="AN290" s="111"/>
      <c r="AO290" s="111"/>
      <c r="AP290" s="111"/>
      <c r="AQ290" s="111"/>
      <c r="AR290" s="111"/>
      <c r="AS290" s="111"/>
      <c r="AT290" s="111"/>
      <c r="AU290" s="111"/>
      <c r="AV290" s="103"/>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c r="BY290" s="111"/>
      <c r="BZ290" s="111"/>
    </row>
    <row r="291">
      <c r="A291" s="107" t="s">
        <v>3161</v>
      </c>
      <c r="B291" s="108">
        <v>1345.0</v>
      </c>
      <c r="C291" s="108">
        <v>9883.0</v>
      </c>
      <c r="D291" s="108">
        <v>0.0</v>
      </c>
      <c r="E291" s="108">
        <v>0.0</v>
      </c>
      <c r="F291" s="108">
        <v>8.292247025E9</v>
      </c>
      <c r="G291" s="108">
        <v>1.1239440384E10</v>
      </c>
      <c r="H291" s="109">
        <f t="shared" ref="H291:I291" si="289">F291/1024/1024/1024</f>
        <v>7.722756849</v>
      </c>
      <c r="I291" s="109">
        <f t="shared" si="289"/>
        <v>10.46754456</v>
      </c>
      <c r="J291" s="110">
        <v>0.0</v>
      </c>
      <c r="K291" s="107"/>
      <c r="L291" s="103"/>
      <c r="R291" s="111"/>
      <c r="S291" s="111"/>
      <c r="T291" s="111"/>
      <c r="U291" s="111"/>
      <c r="V291" s="111"/>
      <c r="W291" s="111"/>
      <c r="X291" s="111"/>
      <c r="Y291" s="111"/>
      <c r="Z291" s="111"/>
      <c r="AA291" s="111"/>
      <c r="AB291" s="111"/>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03"/>
      <c r="BG291" s="111"/>
      <c r="BH291" s="111"/>
      <c r="BI291" s="111"/>
      <c r="BJ291" s="111"/>
      <c r="BK291" s="111"/>
      <c r="BL291" s="111"/>
      <c r="BM291" s="111"/>
      <c r="BN291" s="111"/>
      <c r="BO291" s="111"/>
      <c r="BP291" s="111"/>
      <c r="BQ291" s="111"/>
      <c r="BR291" s="111"/>
      <c r="BS291" s="111"/>
      <c r="BT291" s="111"/>
      <c r="BU291" s="111"/>
      <c r="BV291" s="111"/>
      <c r="BW291" s="111"/>
      <c r="BX291" s="111"/>
      <c r="BY291" s="111"/>
      <c r="BZ291" s="111"/>
    </row>
    <row r="292">
      <c r="A292" s="107" t="s">
        <v>3162</v>
      </c>
      <c r="B292" s="108">
        <v>447.0</v>
      </c>
      <c r="C292" s="108">
        <v>4523.0</v>
      </c>
      <c r="D292" s="108">
        <v>0.0</v>
      </c>
      <c r="E292" s="108">
        <v>0.0</v>
      </c>
      <c r="F292" s="108">
        <v>4.24496354E8</v>
      </c>
      <c r="G292" s="108">
        <v>7.41228544E8</v>
      </c>
      <c r="H292" s="109">
        <f t="shared" ref="H292:I292" si="290">F292/1024/1024/1024</f>
        <v>0.3953430373</v>
      </c>
      <c r="I292" s="109">
        <f t="shared" si="290"/>
        <v>0.690322876</v>
      </c>
      <c r="J292" s="110">
        <v>0.0</v>
      </c>
      <c r="K292" s="107"/>
      <c r="L292" s="103"/>
      <c r="R292" s="111"/>
      <c r="S292" s="111"/>
      <c r="T292" s="111"/>
      <c r="U292" s="111"/>
      <c r="V292" s="111"/>
      <c r="W292" s="111"/>
      <c r="X292" s="111"/>
      <c r="Y292" s="111"/>
      <c r="Z292" s="111"/>
      <c r="AA292" s="111"/>
      <c r="AB292" s="111"/>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03"/>
      <c r="BF292" s="111"/>
      <c r="BG292" s="111"/>
      <c r="BH292" s="111"/>
      <c r="BI292" s="111"/>
      <c r="BJ292" s="111"/>
      <c r="BK292" s="111"/>
      <c r="BL292" s="111"/>
      <c r="BM292" s="111"/>
      <c r="BN292" s="111"/>
      <c r="BO292" s="111"/>
      <c r="BP292" s="111"/>
      <c r="BQ292" s="111"/>
      <c r="BR292" s="111"/>
      <c r="BS292" s="111"/>
      <c r="BT292" s="111"/>
      <c r="BU292" s="111"/>
      <c r="BV292" s="111"/>
      <c r="BW292" s="111"/>
      <c r="BX292" s="111"/>
      <c r="BY292" s="111"/>
      <c r="BZ292" s="111"/>
    </row>
    <row r="293">
      <c r="A293" s="107" t="s">
        <v>3163</v>
      </c>
      <c r="B293" s="108">
        <v>275.0</v>
      </c>
      <c r="C293" s="108">
        <v>909.0</v>
      </c>
      <c r="D293" s="108">
        <v>0.0</v>
      </c>
      <c r="E293" s="108">
        <v>0.0</v>
      </c>
      <c r="F293" s="108">
        <v>2.2388063517E10</v>
      </c>
      <c r="G293" s="108">
        <v>2.7048902656E10</v>
      </c>
      <c r="H293" s="109">
        <f t="shared" ref="H293:I293" si="291">F293/1024/1024/1024</f>
        <v>20.85050896</v>
      </c>
      <c r="I293" s="109">
        <f t="shared" si="291"/>
        <v>25.19125366</v>
      </c>
      <c r="J293" s="110">
        <v>0.0</v>
      </c>
      <c r="K293" s="107"/>
      <c r="L293" s="103"/>
      <c r="R293" s="111"/>
      <c r="S293" s="111"/>
      <c r="T293" s="111"/>
      <c r="U293" s="111"/>
      <c r="V293" s="111"/>
      <c r="W293" s="111"/>
      <c r="X293" s="111"/>
      <c r="Y293" s="111"/>
      <c r="Z293" s="111"/>
      <c r="AA293" s="111"/>
      <c r="AB293" s="111"/>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03"/>
      <c r="BF293" s="111"/>
      <c r="BG293" s="111"/>
      <c r="BH293" s="111"/>
      <c r="BI293" s="111"/>
      <c r="BJ293" s="111"/>
      <c r="BK293" s="111"/>
      <c r="BL293" s="111"/>
      <c r="BM293" s="111"/>
      <c r="BN293" s="111"/>
      <c r="BO293" s="111"/>
      <c r="BP293" s="111"/>
      <c r="BQ293" s="111"/>
      <c r="BR293" s="111"/>
      <c r="BS293" s="111"/>
      <c r="BT293" s="111"/>
      <c r="BU293" s="111"/>
      <c r="BV293" s="111"/>
      <c r="BW293" s="111"/>
      <c r="BX293" s="111"/>
      <c r="BY293" s="111"/>
      <c r="BZ293" s="111"/>
    </row>
    <row r="294">
      <c r="A294" s="107" t="s">
        <v>3164</v>
      </c>
      <c r="B294" s="108">
        <v>59696.0</v>
      </c>
      <c r="C294" s="108">
        <v>263909.0</v>
      </c>
      <c r="D294" s="108">
        <v>0.0</v>
      </c>
      <c r="E294" s="108">
        <v>0.0</v>
      </c>
      <c r="F294" s="108">
        <v>1.588790581917E12</v>
      </c>
      <c r="G294" s="108">
        <v>1.938447343616E12</v>
      </c>
      <c r="H294" s="109">
        <f t="shared" ref="H294:I294" si="292">F294/1024/1024/1024</f>
        <v>1479.676535</v>
      </c>
      <c r="I294" s="109">
        <f t="shared" si="292"/>
        <v>1805.319771</v>
      </c>
      <c r="J294" s="110">
        <v>0.0</v>
      </c>
      <c r="K294" s="107"/>
      <c r="L294" s="103"/>
      <c r="R294" s="111"/>
      <c r="S294" s="111"/>
      <c r="T294" s="111"/>
      <c r="U294" s="111"/>
      <c r="V294" s="111"/>
      <c r="W294" s="111"/>
      <c r="X294" s="111"/>
      <c r="Y294" s="111"/>
      <c r="Z294" s="111"/>
      <c r="AA294" s="111"/>
      <c r="AB294" s="111"/>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03"/>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c r="BY294" s="111"/>
      <c r="BZ294" s="111"/>
    </row>
    <row r="295">
      <c r="A295" s="107" t="s">
        <v>3165</v>
      </c>
      <c r="B295" s="108">
        <v>1626.0</v>
      </c>
      <c r="C295" s="108">
        <v>10752.0</v>
      </c>
      <c r="D295" s="108">
        <v>0.0</v>
      </c>
      <c r="E295" s="108">
        <v>0.0</v>
      </c>
      <c r="F295" s="108">
        <v>1.26807511325E11</v>
      </c>
      <c r="G295" s="108">
        <v>1.54154139648E11</v>
      </c>
      <c r="H295" s="109">
        <f t="shared" ref="H295:I295" si="293">F295/1024/1024/1024</f>
        <v>118.0986979</v>
      </c>
      <c r="I295" s="109">
        <f t="shared" si="293"/>
        <v>143.5672302</v>
      </c>
      <c r="J295" s="110">
        <v>0.0</v>
      </c>
      <c r="K295" s="107"/>
      <c r="L295" s="103"/>
      <c r="Q295" s="111"/>
      <c r="R295" s="111"/>
      <c r="S295" s="111"/>
      <c r="T295" s="111"/>
      <c r="U295" s="111"/>
      <c r="V295" s="111"/>
      <c r="W295" s="111"/>
      <c r="X295" s="111"/>
      <c r="Y295" s="111"/>
      <c r="Z295" s="111"/>
      <c r="AA295" s="111"/>
      <c r="AB295" s="111"/>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03"/>
      <c r="BF295" s="111"/>
      <c r="BG295" s="111"/>
      <c r="BH295" s="111"/>
      <c r="BI295" s="111"/>
      <c r="BJ295" s="111"/>
      <c r="BK295" s="111"/>
      <c r="BL295" s="111"/>
      <c r="BM295" s="111"/>
      <c r="BN295" s="111"/>
      <c r="BO295" s="111"/>
      <c r="BP295" s="111"/>
      <c r="BQ295" s="111"/>
      <c r="BR295" s="111"/>
      <c r="BS295" s="111"/>
      <c r="BT295" s="111"/>
      <c r="BU295" s="111"/>
      <c r="BV295" s="111"/>
      <c r="BW295" s="111"/>
      <c r="BX295" s="111"/>
      <c r="BY295" s="111"/>
      <c r="BZ295" s="111"/>
    </row>
    <row r="296">
      <c r="A296" s="107" t="s">
        <v>3166</v>
      </c>
      <c r="B296" s="108">
        <v>3844.0</v>
      </c>
      <c r="C296" s="108">
        <v>91526.0</v>
      </c>
      <c r="D296" s="108">
        <v>0.0</v>
      </c>
      <c r="E296" s="108">
        <v>0.0</v>
      </c>
      <c r="F296" s="108">
        <v>3.84466757543E11</v>
      </c>
      <c r="G296" s="108">
        <v>4.728225792E11</v>
      </c>
      <c r="H296" s="109">
        <f t="shared" ref="H296:I296" si="294">F296/1024/1024/1024</f>
        <v>358.0625705</v>
      </c>
      <c r="I296" s="109">
        <f t="shared" si="294"/>
        <v>440.3503418</v>
      </c>
      <c r="J296" s="110">
        <v>0.0</v>
      </c>
      <c r="K296" s="107"/>
      <c r="L296" s="103"/>
      <c r="Q296" s="111"/>
      <c r="R296" s="111"/>
      <c r="S296" s="111"/>
      <c r="T296" s="111"/>
      <c r="U296" s="111"/>
      <c r="V296" s="111"/>
      <c r="W296" s="111"/>
      <c r="X296" s="111"/>
      <c r="Y296" s="111"/>
      <c r="Z296" s="111"/>
      <c r="AA296" s="111"/>
      <c r="AB296" s="111"/>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03"/>
      <c r="BF296" s="111"/>
      <c r="BG296" s="111"/>
      <c r="BH296" s="111"/>
      <c r="BI296" s="111"/>
      <c r="BJ296" s="111"/>
      <c r="BK296" s="111"/>
      <c r="BL296" s="111"/>
      <c r="BM296" s="111"/>
      <c r="BN296" s="111"/>
      <c r="BO296" s="111"/>
      <c r="BP296" s="111"/>
      <c r="BQ296" s="111"/>
      <c r="BR296" s="111"/>
      <c r="BS296" s="111"/>
      <c r="BT296" s="111"/>
      <c r="BU296" s="111"/>
      <c r="BV296" s="111"/>
      <c r="BW296" s="111"/>
      <c r="BX296" s="111"/>
      <c r="BY296" s="111"/>
      <c r="BZ296" s="111"/>
    </row>
    <row r="297">
      <c r="A297" s="107" t="s">
        <v>3167</v>
      </c>
      <c r="B297" s="108">
        <v>6.0</v>
      </c>
      <c r="C297" s="108">
        <v>0.0</v>
      </c>
      <c r="D297" s="108">
        <v>0.0</v>
      </c>
      <c r="E297" s="108">
        <v>0.0</v>
      </c>
      <c r="F297" s="108">
        <v>170.0</v>
      </c>
      <c r="G297" s="108">
        <v>196608.0</v>
      </c>
      <c r="H297" s="109">
        <f t="shared" ref="H297:I297" si="295">F297/1024/1024/1024</f>
        <v>0.0000001583248377</v>
      </c>
      <c r="I297" s="109">
        <f t="shared" si="295"/>
        <v>0.0001831054688</v>
      </c>
      <c r="J297" s="110">
        <v>0.0</v>
      </c>
      <c r="K297" s="107"/>
      <c r="L297" s="103"/>
      <c r="Q297" s="111"/>
      <c r="R297" s="111"/>
      <c r="S297" s="111"/>
      <c r="T297" s="111"/>
      <c r="U297" s="111"/>
      <c r="V297" s="111"/>
      <c r="W297" s="111"/>
      <c r="X297" s="111"/>
      <c r="Y297" s="111"/>
      <c r="Z297" s="111"/>
      <c r="AA297" s="111"/>
      <c r="AB297" s="111"/>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03"/>
      <c r="BF297" s="111"/>
      <c r="BG297" s="111"/>
      <c r="BH297" s="111"/>
      <c r="BI297" s="111"/>
      <c r="BJ297" s="111"/>
      <c r="BK297" s="111"/>
      <c r="BL297" s="111"/>
      <c r="BM297" s="111"/>
      <c r="BN297" s="111"/>
      <c r="BO297" s="111"/>
      <c r="BP297" s="111"/>
      <c r="BQ297" s="111"/>
      <c r="BR297" s="111"/>
      <c r="BS297" s="111"/>
      <c r="BT297" s="111"/>
      <c r="BU297" s="111"/>
      <c r="BV297" s="111"/>
      <c r="BW297" s="111"/>
      <c r="BX297" s="111"/>
      <c r="BY297" s="111"/>
      <c r="BZ297" s="111"/>
    </row>
    <row r="298">
      <c r="A298" s="107" t="s">
        <v>3168</v>
      </c>
      <c r="B298" s="108">
        <v>58.0</v>
      </c>
      <c r="C298" s="108">
        <v>103.0</v>
      </c>
      <c r="D298" s="108">
        <v>0.0</v>
      </c>
      <c r="E298" s="108">
        <v>0.0</v>
      </c>
      <c r="F298" s="108">
        <v>9.6324248E7</v>
      </c>
      <c r="G298" s="108">
        <v>1.3201408E8</v>
      </c>
      <c r="H298" s="109">
        <f t="shared" ref="H298:I298" si="296">F298/1024/1024/1024</f>
        <v>0.08970894665</v>
      </c>
      <c r="I298" s="109">
        <f t="shared" si="296"/>
        <v>0.1229476929</v>
      </c>
      <c r="J298" s="110">
        <v>0.0</v>
      </c>
      <c r="K298" s="107"/>
      <c r="L298" s="103"/>
      <c r="Q298" s="111"/>
      <c r="R298" s="111"/>
      <c r="S298" s="111"/>
      <c r="T298" s="111"/>
      <c r="U298" s="111"/>
      <c r="V298" s="111"/>
      <c r="W298" s="111"/>
      <c r="X298" s="111"/>
      <c r="Y298" s="111"/>
      <c r="Z298" s="111"/>
      <c r="AA298" s="111"/>
      <c r="AB298" s="111"/>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03"/>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c r="BY298" s="111"/>
      <c r="BZ298" s="111"/>
    </row>
    <row r="299">
      <c r="A299" s="107" t="s">
        <v>3169</v>
      </c>
      <c r="B299" s="108">
        <v>3062.0</v>
      </c>
      <c r="C299" s="108">
        <v>143503.0</v>
      </c>
      <c r="D299" s="108">
        <v>0.0</v>
      </c>
      <c r="E299" s="108">
        <v>0.0</v>
      </c>
      <c r="F299" s="108">
        <v>5.36016589842E11</v>
      </c>
      <c r="G299" s="108">
        <v>6.65458671616E11</v>
      </c>
      <c r="H299" s="109">
        <f t="shared" ref="H299:I299" si="297">F299/1024/1024/1024</f>
        <v>499.2043505</v>
      </c>
      <c r="I299" s="109">
        <f t="shared" si="297"/>
        <v>619.7566833</v>
      </c>
      <c r="J299" s="110">
        <v>0.0</v>
      </c>
      <c r="K299" s="107"/>
      <c r="L299" s="103"/>
      <c r="Q299" s="111"/>
      <c r="R299" s="111"/>
      <c r="S299" s="111"/>
      <c r="T299" s="111"/>
      <c r="U299" s="111"/>
      <c r="V299" s="111"/>
      <c r="W299" s="111"/>
      <c r="X299" s="111"/>
      <c r="Y299" s="111"/>
      <c r="Z299" s="111"/>
      <c r="AA299" s="111"/>
      <c r="AB299" s="111"/>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03"/>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c r="BY299" s="111"/>
      <c r="BZ299" s="111"/>
    </row>
    <row r="300">
      <c r="A300" s="107" t="s">
        <v>3170</v>
      </c>
      <c r="B300" s="108">
        <v>4.0</v>
      </c>
      <c r="C300" s="108">
        <v>0.0</v>
      </c>
      <c r="D300" s="108">
        <v>0.0</v>
      </c>
      <c r="E300" s="108">
        <v>0.0</v>
      </c>
      <c r="F300" s="108">
        <v>106.0</v>
      </c>
      <c r="G300" s="108">
        <v>131072.0</v>
      </c>
      <c r="H300" s="109">
        <f t="shared" ref="H300:I300" si="298">F300/1024/1024/1024</f>
        <v>0.00000009872019291</v>
      </c>
      <c r="I300" s="109">
        <f t="shared" si="298"/>
        <v>0.0001220703125</v>
      </c>
      <c r="J300" s="110">
        <v>0.0</v>
      </c>
      <c r="K300" s="107"/>
      <c r="L300" s="103"/>
      <c r="Q300" s="111"/>
      <c r="R300" s="111"/>
      <c r="S300" s="111"/>
      <c r="T300" s="111"/>
      <c r="U300" s="111"/>
      <c r="V300" s="111"/>
      <c r="W300" s="111"/>
      <c r="X300" s="111"/>
      <c r="Y300" s="111"/>
      <c r="Z300" s="111"/>
      <c r="AA300" s="111"/>
      <c r="AB300" s="111"/>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03"/>
      <c r="BF300" s="111"/>
      <c r="BG300" s="111"/>
      <c r="BH300" s="111"/>
      <c r="BI300" s="111"/>
      <c r="BJ300" s="111"/>
      <c r="BK300" s="111"/>
      <c r="BL300" s="111"/>
      <c r="BM300" s="111"/>
      <c r="BN300" s="111"/>
      <c r="BO300" s="111"/>
      <c r="BP300" s="111"/>
      <c r="BQ300" s="111"/>
      <c r="BR300" s="111"/>
      <c r="BS300" s="111"/>
      <c r="BT300" s="111"/>
      <c r="BU300" s="111"/>
      <c r="BV300" s="111"/>
      <c r="BW300" s="111"/>
      <c r="BX300" s="111"/>
      <c r="BY300" s="111"/>
      <c r="BZ300" s="111"/>
    </row>
    <row r="301">
      <c r="A301" s="107" t="s">
        <v>3171</v>
      </c>
      <c r="B301" s="108">
        <v>5825.0</v>
      </c>
      <c r="C301" s="108">
        <v>89729.0</v>
      </c>
      <c r="D301" s="108">
        <v>0.0</v>
      </c>
      <c r="E301" s="108">
        <v>0.0</v>
      </c>
      <c r="F301" s="108">
        <v>5.4918465645E10</v>
      </c>
      <c r="G301" s="108">
        <v>7.4405388288E10</v>
      </c>
      <c r="H301" s="109">
        <f t="shared" ref="H301:I301" si="299">F301/1024/1024/1024</f>
        <v>51.14680682</v>
      </c>
      <c r="I301" s="109">
        <f t="shared" si="299"/>
        <v>69.29541779</v>
      </c>
      <c r="J301" s="110">
        <v>0.0</v>
      </c>
      <c r="K301" s="107"/>
      <c r="L301" s="103"/>
      <c r="Q301" s="111"/>
      <c r="R301" s="111"/>
      <c r="S301" s="111"/>
      <c r="T301" s="111"/>
      <c r="U301" s="111"/>
      <c r="V301" s="111"/>
      <c r="W301" s="111"/>
      <c r="X301" s="111"/>
      <c r="Y301" s="111"/>
      <c r="Z301" s="111"/>
      <c r="AA301" s="111"/>
      <c r="AB301" s="111"/>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03"/>
      <c r="BF301" s="111"/>
      <c r="BG301" s="111"/>
      <c r="BH301" s="111"/>
      <c r="BI301" s="111"/>
      <c r="BJ301" s="111"/>
      <c r="BK301" s="111"/>
      <c r="BL301" s="111"/>
      <c r="BM301" s="111"/>
      <c r="BN301" s="111"/>
      <c r="BO301" s="111"/>
      <c r="BP301" s="111"/>
      <c r="BQ301" s="111"/>
      <c r="BR301" s="111"/>
      <c r="BS301" s="111"/>
      <c r="BT301" s="111"/>
      <c r="BU301" s="111"/>
      <c r="BV301" s="111"/>
      <c r="BW301" s="111"/>
      <c r="BX301" s="111"/>
      <c r="BY301" s="111"/>
      <c r="BZ301" s="111"/>
    </row>
    <row r="302">
      <c r="A302" s="107" t="s">
        <v>3172</v>
      </c>
      <c r="B302" s="108">
        <v>2378.0</v>
      </c>
      <c r="C302" s="108">
        <v>12680.0</v>
      </c>
      <c r="D302" s="108">
        <v>0.0</v>
      </c>
      <c r="E302" s="108">
        <v>0.0</v>
      </c>
      <c r="F302" s="108">
        <v>6.8123086579E10</v>
      </c>
      <c r="G302" s="108">
        <v>8.3413499904E10</v>
      </c>
      <c r="H302" s="109">
        <f t="shared" ref="H302:I302" si="300">F302/1024/1024/1024</f>
        <v>63.44456838</v>
      </c>
      <c r="I302" s="109">
        <f t="shared" si="300"/>
        <v>77.68487549</v>
      </c>
      <c r="J302" s="110">
        <v>0.0</v>
      </c>
      <c r="K302" s="107"/>
      <c r="L302" s="103"/>
      <c r="Q302" s="111"/>
      <c r="R302" s="111"/>
      <c r="S302" s="111"/>
      <c r="T302" s="111"/>
      <c r="U302" s="111"/>
      <c r="V302" s="111"/>
      <c r="W302" s="111"/>
      <c r="X302" s="111"/>
      <c r="Y302" s="111"/>
      <c r="Z302" s="111"/>
      <c r="AA302" s="111"/>
      <c r="AB302" s="111"/>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03"/>
      <c r="BG302" s="111"/>
      <c r="BH302" s="111"/>
      <c r="BI302" s="111"/>
      <c r="BJ302" s="111"/>
      <c r="BK302" s="111"/>
      <c r="BL302" s="111"/>
      <c r="BM302" s="111"/>
      <c r="BN302" s="111"/>
      <c r="BO302" s="111"/>
      <c r="BP302" s="111"/>
      <c r="BQ302" s="111"/>
      <c r="BR302" s="111"/>
      <c r="BS302" s="111"/>
      <c r="BT302" s="111"/>
      <c r="BU302" s="111"/>
      <c r="BV302" s="111"/>
      <c r="BW302" s="111"/>
      <c r="BX302" s="111"/>
      <c r="BY302" s="111"/>
      <c r="BZ302" s="111"/>
    </row>
    <row r="303">
      <c r="A303" s="107" t="s">
        <v>3173</v>
      </c>
      <c r="B303" s="108">
        <v>41.0</v>
      </c>
      <c r="C303" s="108">
        <v>0.0</v>
      </c>
      <c r="D303" s="108">
        <v>0.0</v>
      </c>
      <c r="E303" s="108">
        <v>0.0</v>
      </c>
      <c r="F303" s="108">
        <v>1394.0</v>
      </c>
      <c r="G303" s="108">
        <v>1343488.0</v>
      </c>
      <c r="H303" s="109">
        <f t="shared" ref="H303:I303" si="301">F303/1024/1024/1024</f>
        <v>0.000001298263669</v>
      </c>
      <c r="I303" s="109">
        <f t="shared" si="301"/>
        <v>0.001251220703</v>
      </c>
      <c r="J303" s="110">
        <v>0.0</v>
      </c>
      <c r="K303" s="107"/>
      <c r="L303" s="103"/>
      <c r="Q303" s="111"/>
      <c r="R303" s="111"/>
      <c r="S303" s="111"/>
      <c r="T303" s="111"/>
      <c r="U303" s="111"/>
      <c r="V303" s="111"/>
      <c r="W303" s="111"/>
      <c r="X303" s="111"/>
      <c r="Y303" s="111"/>
      <c r="Z303" s="111"/>
      <c r="AA303" s="111"/>
      <c r="AB303" s="111"/>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03"/>
      <c r="BG303" s="111"/>
      <c r="BH303" s="111"/>
      <c r="BI303" s="111"/>
      <c r="BJ303" s="111"/>
      <c r="BK303" s="111"/>
      <c r="BL303" s="111"/>
      <c r="BM303" s="111"/>
      <c r="BN303" s="111"/>
      <c r="BO303" s="111"/>
      <c r="BP303" s="111"/>
      <c r="BQ303" s="111"/>
      <c r="BR303" s="111"/>
      <c r="BS303" s="111"/>
      <c r="BT303" s="111"/>
      <c r="BU303" s="111"/>
      <c r="BV303" s="111"/>
      <c r="BW303" s="111"/>
      <c r="BX303" s="111"/>
      <c r="BY303" s="111"/>
      <c r="BZ303" s="111"/>
    </row>
    <row r="304">
      <c r="A304" s="107" t="s">
        <v>3174</v>
      </c>
      <c r="B304" s="108">
        <v>7.0</v>
      </c>
      <c r="C304" s="108">
        <v>0.0</v>
      </c>
      <c r="D304" s="108">
        <v>0.0</v>
      </c>
      <c r="E304" s="108">
        <v>0.0</v>
      </c>
      <c r="F304" s="108">
        <v>207.0</v>
      </c>
      <c r="G304" s="108">
        <v>229376.0</v>
      </c>
      <c r="H304" s="109">
        <f t="shared" ref="H304:I304" si="302">F304/1024/1024/1024</f>
        <v>0.0000001927837729</v>
      </c>
      <c r="I304" s="109">
        <f t="shared" si="302"/>
        <v>0.0002136230469</v>
      </c>
      <c r="J304" s="110">
        <v>0.0</v>
      </c>
      <c r="K304" s="107"/>
      <c r="L304" s="103"/>
      <c r="Q304" s="111"/>
      <c r="R304" s="111"/>
      <c r="S304" s="111"/>
      <c r="T304" s="111"/>
      <c r="U304" s="111"/>
      <c r="V304" s="111"/>
      <c r="W304" s="111"/>
      <c r="X304" s="111"/>
      <c r="Y304" s="111"/>
      <c r="Z304" s="111"/>
      <c r="AA304" s="111"/>
      <c r="AB304" s="111"/>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03"/>
      <c r="BF304" s="111"/>
      <c r="BG304" s="111"/>
      <c r="BH304" s="111"/>
      <c r="BI304" s="111"/>
      <c r="BJ304" s="111"/>
      <c r="BK304" s="111"/>
      <c r="BL304" s="111"/>
      <c r="BM304" s="111"/>
      <c r="BN304" s="111"/>
      <c r="BO304" s="111"/>
      <c r="BP304" s="111"/>
      <c r="BQ304" s="111"/>
      <c r="BR304" s="111"/>
      <c r="BS304" s="111"/>
      <c r="BT304" s="111"/>
      <c r="BU304" s="111"/>
      <c r="BV304" s="111"/>
      <c r="BW304" s="111"/>
      <c r="BX304" s="111"/>
      <c r="BY304" s="111"/>
      <c r="BZ304" s="111"/>
    </row>
    <row r="305">
      <c r="A305" s="107" t="s">
        <v>3175</v>
      </c>
      <c r="B305" s="108">
        <v>4245.0</v>
      </c>
      <c r="C305" s="108">
        <v>169814.0</v>
      </c>
      <c r="D305" s="108">
        <v>0.0</v>
      </c>
      <c r="E305" s="108">
        <v>0.0</v>
      </c>
      <c r="F305" s="108">
        <v>1.267723125291E12</v>
      </c>
      <c r="G305" s="108">
        <v>1.5527880704E12</v>
      </c>
      <c r="H305" s="109">
        <f t="shared" ref="H305:I305" si="303">F305/1024/1024/1024</f>
        <v>1180.659165</v>
      </c>
      <c r="I305" s="109">
        <f t="shared" si="303"/>
        <v>1446.146584</v>
      </c>
      <c r="J305" s="110">
        <v>0.0</v>
      </c>
      <c r="K305" s="107"/>
      <c r="L305" s="103"/>
      <c r="Q305" s="111"/>
      <c r="R305" s="111"/>
      <c r="S305" s="111"/>
      <c r="T305" s="111"/>
      <c r="U305" s="111"/>
      <c r="V305" s="111"/>
      <c r="W305" s="111"/>
      <c r="X305" s="111"/>
      <c r="Y305" s="111"/>
      <c r="Z305" s="111"/>
      <c r="AA305" s="111"/>
      <c r="AB305" s="111"/>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03"/>
      <c r="BG305" s="111"/>
      <c r="BH305" s="111"/>
      <c r="BI305" s="111"/>
      <c r="BJ305" s="111"/>
      <c r="BK305" s="111"/>
      <c r="BL305" s="111"/>
      <c r="BM305" s="111"/>
      <c r="BN305" s="111"/>
      <c r="BO305" s="111"/>
      <c r="BP305" s="111"/>
      <c r="BQ305" s="111"/>
      <c r="BR305" s="111"/>
      <c r="BS305" s="111"/>
      <c r="BT305" s="111"/>
      <c r="BU305" s="111"/>
      <c r="BV305" s="111"/>
      <c r="BW305" s="111"/>
      <c r="BX305" s="111"/>
      <c r="BY305" s="111"/>
      <c r="BZ305" s="111"/>
    </row>
    <row r="306">
      <c r="A306" s="107" t="s">
        <v>3176</v>
      </c>
      <c r="B306" s="108">
        <v>23.0</v>
      </c>
      <c r="C306" s="108">
        <v>5.0</v>
      </c>
      <c r="D306" s="108">
        <v>0.0</v>
      </c>
      <c r="E306" s="108">
        <v>0.0</v>
      </c>
      <c r="F306" s="108">
        <v>731323.0</v>
      </c>
      <c r="G306" s="108">
        <v>2121728.0</v>
      </c>
      <c r="H306" s="109">
        <f t="shared" ref="H306:I306" si="304">F306/1024/1024/1024</f>
        <v>0.0006810976192</v>
      </c>
      <c r="I306" s="109">
        <f t="shared" si="304"/>
        <v>0.001976013184</v>
      </c>
      <c r="J306" s="110">
        <v>0.0</v>
      </c>
      <c r="K306" s="107"/>
      <c r="L306" s="103"/>
      <c r="Q306" s="111"/>
      <c r="R306" s="111"/>
      <c r="S306" s="111"/>
      <c r="T306" s="111"/>
      <c r="U306" s="111"/>
      <c r="V306" s="111"/>
      <c r="W306" s="111"/>
      <c r="X306" s="111"/>
      <c r="Y306" s="111"/>
      <c r="Z306" s="111"/>
      <c r="AA306" s="111"/>
      <c r="AB306" s="111"/>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03"/>
      <c r="BG306" s="111"/>
      <c r="BH306" s="111"/>
      <c r="BI306" s="111"/>
      <c r="BJ306" s="111"/>
      <c r="BK306" s="111"/>
      <c r="BL306" s="111"/>
      <c r="BM306" s="111"/>
      <c r="BN306" s="111"/>
      <c r="BO306" s="111"/>
      <c r="BP306" s="111"/>
      <c r="BQ306" s="111"/>
      <c r="BR306" s="111"/>
      <c r="BS306" s="111"/>
      <c r="BT306" s="111"/>
      <c r="BU306" s="111"/>
      <c r="BV306" s="111"/>
      <c r="BW306" s="111"/>
      <c r="BX306" s="111"/>
      <c r="BY306" s="111"/>
      <c r="BZ306" s="111"/>
    </row>
    <row r="307">
      <c r="A307" s="107" t="s">
        <v>3177</v>
      </c>
      <c r="B307" s="108">
        <v>46.0</v>
      </c>
      <c r="C307" s="108">
        <v>2.0</v>
      </c>
      <c r="D307" s="108">
        <v>0.0</v>
      </c>
      <c r="E307" s="108">
        <v>0.0</v>
      </c>
      <c r="F307" s="108">
        <v>14102.0</v>
      </c>
      <c r="G307" s="108">
        <v>1556480.0</v>
      </c>
      <c r="H307" s="109">
        <f t="shared" ref="H307:I307" si="305">F307/1024/1024/1024</f>
        <v>0.00001313351095</v>
      </c>
      <c r="I307" s="109">
        <f t="shared" si="305"/>
        <v>0.001449584961</v>
      </c>
      <c r="J307" s="110">
        <v>0.0</v>
      </c>
      <c r="K307" s="107"/>
      <c r="L307" s="103"/>
      <c r="Q307" s="111"/>
      <c r="R307" s="111"/>
      <c r="S307" s="111"/>
      <c r="T307" s="111"/>
      <c r="U307" s="111"/>
      <c r="V307" s="111"/>
      <c r="W307" s="111"/>
      <c r="X307" s="111"/>
      <c r="Y307" s="111"/>
      <c r="Z307" s="111"/>
      <c r="AA307" s="111"/>
      <c r="AB307" s="111"/>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03"/>
      <c r="BG307" s="111"/>
      <c r="BH307" s="111"/>
      <c r="BI307" s="111"/>
      <c r="BJ307" s="111"/>
      <c r="BK307" s="111"/>
      <c r="BL307" s="111"/>
      <c r="BM307" s="111"/>
      <c r="BN307" s="111"/>
      <c r="BO307" s="111"/>
      <c r="BP307" s="111"/>
      <c r="BQ307" s="111"/>
      <c r="BR307" s="111"/>
      <c r="BS307" s="111"/>
      <c r="BT307" s="111"/>
      <c r="BU307" s="111"/>
      <c r="BV307" s="111"/>
      <c r="BW307" s="111"/>
      <c r="BX307" s="111"/>
      <c r="BY307" s="111"/>
      <c r="BZ307" s="111"/>
    </row>
    <row r="308">
      <c r="A308" s="107" t="s">
        <v>3178</v>
      </c>
      <c r="B308" s="108">
        <v>6092.0</v>
      </c>
      <c r="C308" s="108">
        <v>90641.0</v>
      </c>
      <c r="D308" s="108">
        <v>0.0</v>
      </c>
      <c r="E308" s="108">
        <v>0.0</v>
      </c>
      <c r="F308" s="108">
        <v>5.55725967172E11</v>
      </c>
      <c r="G308" s="108">
        <v>6.82392887296E11</v>
      </c>
      <c r="H308" s="109">
        <f t="shared" ref="H308:I308" si="306">F308/1024/1024/1024</f>
        <v>517.5601385</v>
      </c>
      <c r="I308" s="109">
        <f t="shared" si="306"/>
        <v>635.5279007</v>
      </c>
      <c r="J308" s="110">
        <v>0.0</v>
      </c>
      <c r="K308" s="107"/>
      <c r="L308" s="103"/>
      <c r="Q308" s="111"/>
      <c r="R308" s="111"/>
      <c r="S308" s="111"/>
      <c r="T308" s="111"/>
      <c r="U308" s="111"/>
      <c r="V308" s="111"/>
      <c r="W308" s="111"/>
      <c r="X308" s="111"/>
      <c r="Y308" s="111"/>
      <c r="Z308" s="111"/>
      <c r="AA308" s="111"/>
      <c r="AB308" s="111"/>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03"/>
      <c r="BG308" s="111"/>
      <c r="BH308" s="111"/>
      <c r="BI308" s="111"/>
      <c r="BJ308" s="111"/>
      <c r="BK308" s="111"/>
      <c r="BL308" s="111"/>
      <c r="BM308" s="111"/>
      <c r="BN308" s="111"/>
      <c r="BO308" s="111"/>
      <c r="BP308" s="111"/>
      <c r="BQ308" s="111"/>
      <c r="BR308" s="111"/>
      <c r="BS308" s="111"/>
      <c r="BT308" s="111"/>
      <c r="BU308" s="111"/>
      <c r="BV308" s="111"/>
      <c r="BW308" s="111"/>
      <c r="BX308" s="111"/>
      <c r="BY308" s="111"/>
      <c r="BZ308" s="111"/>
    </row>
    <row r="309">
      <c r="A309" s="107" t="s">
        <v>3179</v>
      </c>
      <c r="B309" s="108">
        <v>34.0</v>
      </c>
      <c r="C309" s="108">
        <v>0.0</v>
      </c>
      <c r="D309" s="108">
        <v>0.0</v>
      </c>
      <c r="E309" s="108">
        <v>0.0</v>
      </c>
      <c r="F309" s="108">
        <v>1209.0</v>
      </c>
      <c r="G309" s="108">
        <v>1114112.0</v>
      </c>
      <c r="H309" s="109">
        <f t="shared" ref="H309:I309" si="307">F309/1024/1024/1024</f>
        <v>0.000001125968993</v>
      </c>
      <c r="I309" s="109">
        <f t="shared" si="307"/>
        <v>0.001037597656</v>
      </c>
      <c r="J309" s="110">
        <v>0.0</v>
      </c>
      <c r="K309" s="107"/>
      <c r="L309" s="103"/>
      <c r="Q309" s="111"/>
      <c r="R309" s="111"/>
      <c r="S309" s="111"/>
      <c r="T309" s="111"/>
      <c r="U309" s="111"/>
      <c r="V309" s="111"/>
      <c r="W309" s="111"/>
      <c r="X309" s="111"/>
      <c r="Y309" s="111"/>
      <c r="Z309" s="111"/>
      <c r="AA309" s="111"/>
      <c r="AB309" s="111"/>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03"/>
      <c r="BG309" s="111"/>
      <c r="BH309" s="111"/>
      <c r="BI309" s="111"/>
      <c r="BJ309" s="111"/>
      <c r="BK309" s="111"/>
      <c r="BL309" s="111"/>
      <c r="BM309" s="111"/>
      <c r="BN309" s="111"/>
      <c r="BO309" s="111"/>
      <c r="BP309" s="111"/>
      <c r="BQ309" s="111"/>
      <c r="BR309" s="111"/>
      <c r="BS309" s="111"/>
      <c r="BT309" s="111"/>
      <c r="BU309" s="111"/>
      <c r="BV309" s="111"/>
      <c r="BW309" s="111"/>
      <c r="BX309" s="111"/>
      <c r="BY309" s="111"/>
      <c r="BZ309" s="111"/>
    </row>
    <row r="310">
      <c r="A310" s="107" t="s">
        <v>3180</v>
      </c>
      <c r="B310" s="108">
        <v>18.0</v>
      </c>
      <c r="C310" s="108">
        <v>0.0</v>
      </c>
      <c r="D310" s="108">
        <v>0.0</v>
      </c>
      <c r="E310" s="108">
        <v>0.0</v>
      </c>
      <c r="F310" s="108">
        <v>603.0</v>
      </c>
      <c r="G310" s="108">
        <v>589824.0</v>
      </c>
      <c r="H310" s="109">
        <f t="shared" ref="H310:I310" si="308">F310/1024/1024/1024</f>
        <v>0.0000005615875125</v>
      </c>
      <c r="I310" s="109">
        <f t="shared" si="308"/>
        <v>0.0005493164063</v>
      </c>
      <c r="J310" s="110">
        <v>0.0</v>
      </c>
      <c r="K310" s="107"/>
      <c r="L310" s="103"/>
      <c r="Q310" s="111"/>
      <c r="R310" s="111"/>
      <c r="S310" s="111"/>
      <c r="T310" s="111"/>
      <c r="U310" s="111"/>
      <c r="V310" s="111"/>
      <c r="W310" s="111"/>
      <c r="X310" s="111"/>
      <c r="Y310" s="111"/>
      <c r="Z310" s="111"/>
      <c r="AA310" s="111"/>
      <c r="AB310" s="111"/>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03"/>
      <c r="BF310" s="111"/>
      <c r="BG310" s="111"/>
      <c r="BH310" s="111"/>
      <c r="BI310" s="111"/>
      <c r="BJ310" s="111"/>
      <c r="BK310" s="111"/>
      <c r="BL310" s="111"/>
      <c r="BM310" s="111"/>
      <c r="BN310" s="111"/>
      <c r="BO310" s="111"/>
      <c r="BP310" s="111"/>
      <c r="BQ310" s="111"/>
      <c r="BR310" s="111"/>
      <c r="BS310" s="111"/>
      <c r="BT310" s="111"/>
      <c r="BU310" s="111"/>
      <c r="BV310" s="111"/>
      <c r="BW310" s="111"/>
      <c r="BX310" s="111"/>
      <c r="BY310" s="111"/>
      <c r="BZ310" s="111"/>
    </row>
    <row r="311">
      <c r="A311" s="107" t="s">
        <v>3181</v>
      </c>
      <c r="B311" s="108">
        <v>33.0</v>
      </c>
      <c r="C311" s="108">
        <v>2.0</v>
      </c>
      <c r="D311" s="108">
        <v>0.0</v>
      </c>
      <c r="E311" s="108">
        <v>0.0</v>
      </c>
      <c r="F311" s="108">
        <v>14708.0</v>
      </c>
      <c r="G311" s="108">
        <v>1130496.0</v>
      </c>
      <c r="H311" s="109">
        <f t="shared" ref="H311:I311" si="309">F311/1024/1024/1024</f>
        <v>0.00001369789243</v>
      </c>
      <c r="I311" s="109">
        <f t="shared" si="309"/>
        <v>0.001052856445</v>
      </c>
      <c r="J311" s="110">
        <v>0.0</v>
      </c>
      <c r="K311" s="107"/>
      <c r="L311" s="103"/>
      <c r="Q311" s="111"/>
      <c r="R311" s="111"/>
      <c r="S311" s="111"/>
      <c r="T311" s="111"/>
      <c r="U311" s="111"/>
      <c r="V311" s="111"/>
      <c r="W311" s="111"/>
      <c r="X311" s="111"/>
      <c r="Y311" s="111"/>
      <c r="Z311" s="111"/>
      <c r="AA311" s="111"/>
      <c r="AB311" s="111"/>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03"/>
      <c r="BF311" s="111"/>
      <c r="BG311" s="111"/>
      <c r="BH311" s="111"/>
      <c r="BI311" s="111"/>
      <c r="BJ311" s="111"/>
      <c r="BK311" s="111"/>
      <c r="BL311" s="111"/>
      <c r="BM311" s="111"/>
      <c r="BN311" s="111"/>
      <c r="BO311" s="111"/>
      <c r="BP311" s="111"/>
      <c r="BQ311" s="111"/>
      <c r="BR311" s="111"/>
      <c r="BS311" s="111"/>
      <c r="BT311" s="111"/>
      <c r="BU311" s="111"/>
      <c r="BV311" s="111"/>
      <c r="BW311" s="111"/>
      <c r="BX311" s="111"/>
      <c r="BY311" s="111"/>
      <c r="BZ311" s="111"/>
    </row>
    <row r="312">
      <c r="A312" s="107" t="s">
        <v>3182</v>
      </c>
      <c r="B312" s="108">
        <v>536.0</v>
      </c>
      <c r="C312" s="108">
        <v>2627.0</v>
      </c>
      <c r="D312" s="108">
        <v>0.0</v>
      </c>
      <c r="E312" s="108">
        <v>0.0</v>
      </c>
      <c r="F312" s="108">
        <v>1.654645783E9</v>
      </c>
      <c r="G312" s="108">
        <v>2.434023424E9</v>
      </c>
      <c r="H312" s="109">
        <f t="shared" ref="H312:I312" si="310">F312/1024/1024/1024</f>
        <v>1.541008971</v>
      </c>
      <c r="I312" s="109">
        <f t="shared" si="310"/>
        <v>2.266860962</v>
      </c>
      <c r="J312" s="110">
        <v>0.0</v>
      </c>
      <c r="K312" s="107"/>
      <c r="L312" s="103"/>
      <c r="Q312" s="111"/>
      <c r="R312" s="111"/>
      <c r="S312" s="111"/>
      <c r="T312" s="111"/>
      <c r="U312" s="111"/>
      <c r="V312" s="111"/>
      <c r="W312" s="111"/>
      <c r="X312" s="111"/>
      <c r="Y312" s="111"/>
      <c r="Z312" s="111"/>
      <c r="AA312" s="111"/>
      <c r="AB312" s="111"/>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03"/>
      <c r="BF312" s="111"/>
      <c r="BG312" s="111"/>
      <c r="BH312" s="111"/>
      <c r="BI312" s="111"/>
      <c r="BJ312" s="111"/>
      <c r="BK312" s="111"/>
      <c r="BL312" s="111"/>
      <c r="BM312" s="111"/>
      <c r="BN312" s="111"/>
      <c r="BO312" s="111"/>
      <c r="BP312" s="111"/>
      <c r="BQ312" s="111"/>
      <c r="BR312" s="111"/>
      <c r="BS312" s="111"/>
      <c r="BT312" s="111"/>
      <c r="BU312" s="111"/>
      <c r="BV312" s="111"/>
      <c r="BW312" s="111"/>
      <c r="BX312" s="111"/>
      <c r="BY312" s="111"/>
      <c r="BZ312" s="111"/>
    </row>
    <row r="313">
      <c r="A313" s="107" t="s">
        <v>3183</v>
      </c>
      <c r="B313" s="108">
        <v>9.0</v>
      </c>
      <c r="C313" s="108">
        <v>0.0</v>
      </c>
      <c r="D313" s="108">
        <v>0.0</v>
      </c>
      <c r="E313" s="108">
        <v>0.0</v>
      </c>
      <c r="F313" s="108">
        <v>248.0</v>
      </c>
      <c r="G313" s="108">
        <v>294912.0</v>
      </c>
      <c r="H313" s="109">
        <f t="shared" ref="H313:I313" si="311">F313/1024/1024/1024</f>
        <v>0.0000002309679985</v>
      </c>
      <c r="I313" s="109">
        <f t="shared" si="311"/>
        <v>0.0002746582031</v>
      </c>
      <c r="J313" s="110">
        <v>0.0</v>
      </c>
      <c r="K313" s="107"/>
      <c r="L313" s="103"/>
      <c r="Q313" s="111"/>
      <c r="R313" s="111"/>
      <c r="S313" s="111"/>
      <c r="T313" s="111"/>
      <c r="U313" s="111"/>
      <c r="V313" s="111"/>
      <c r="W313" s="111"/>
      <c r="X313" s="111"/>
      <c r="Y313" s="111"/>
      <c r="Z313" s="111"/>
      <c r="AA313" s="111"/>
      <c r="AB313" s="111"/>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03"/>
      <c r="BF313" s="111"/>
      <c r="BG313" s="111"/>
      <c r="BH313" s="111"/>
      <c r="BI313" s="111"/>
      <c r="BJ313" s="111"/>
      <c r="BK313" s="111"/>
      <c r="BL313" s="111"/>
      <c r="BM313" s="111"/>
      <c r="BN313" s="111"/>
      <c r="BO313" s="111"/>
      <c r="BP313" s="111"/>
      <c r="BQ313" s="111"/>
      <c r="BR313" s="111"/>
      <c r="BS313" s="111"/>
      <c r="BT313" s="111"/>
      <c r="BU313" s="111"/>
      <c r="BV313" s="111"/>
      <c r="BW313" s="111"/>
      <c r="BX313" s="111"/>
      <c r="BY313" s="111"/>
      <c r="BZ313" s="111"/>
    </row>
    <row r="314">
      <c r="A314" s="107" t="s">
        <v>3184</v>
      </c>
      <c r="B314" s="108">
        <v>35.0</v>
      </c>
      <c r="C314" s="108">
        <v>0.0</v>
      </c>
      <c r="D314" s="108">
        <v>0.0</v>
      </c>
      <c r="E314" s="108">
        <v>0.0</v>
      </c>
      <c r="F314" s="108">
        <v>1159.0</v>
      </c>
      <c r="G314" s="108">
        <v>1146880.0</v>
      </c>
      <c r="H314" s="109">
        <f t="shared" ref="H314:I314" si="312">F314/1024/1024/1024</f>
        <v>0.000001079402864</v>
      </c>
      <c r="I314" s="109">
        <f t="shared" si="312"/>
        <v>0.001068115234</v>
      </c>
      <c r="J314" s="110">
        <v>0.0</v>
      </c>
      <c r="K314" s="107"/>
      <c r="L314" s="103"/>
      <c r="Q314" s="111"/>
      <c r="R314" s="111"/>
      <c r="S314" s="111"/>
      <c r="T314" s="111"/>
      <c r="U314" s="111"/>
      <c r="V314" s="111"/>
      <c r="W314" s="111"/>
      <c r="X314" s="111"/>
      <c r="Y314" s="111"/>
      <c r="Z314" s="111"/>
      <c r="AA314" s="111"/>
      <c r="AB314" s="111"/>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03"/>
      <c r="BF314" s="111"/>
      <c r="BG314" s="111"/>
      <c r="BH314" s="111"/>
      <c r="BI314" s="111"/>
      <c r="BJ314" s="111"/>
      <c r="BK314" s="111"/>
      <c r="BL314" s="111"/>
      <c r="BM314" s="111"/>
      <c r="BN314" s="111"/>
      <c r="BO314" s="111"/>
      <c r="BP314" s="111"/>
      <c r="BQ314" s="111"/>
      <c r="BR314" s="111"/>
      <c r="BS314" s="111"/>
      <c r="BT314" s="111"/>
      <c r="BU314" s="111"/>
      <c r="BV314" s="111"/>
      <c r="BW314" s="111"/>
      <c r="BX314" s="111"/>
      <c r="BY314" s="111"/>
      <c r="BZ314" s="111"/>
    </row>
    <row r="315">
      <c r="A315" s="107" t="s">
        <v>3185</v>
      </c>
      <c r="B315" s="108">
        <v>55.0</v>
      </c>
      <c r="C315" s="108">
        <v>0.0</v>
      </c>
      <c r="D315" s="108">
        <v>0.0</v>
      </c>
      <c r="E315" s="108">
        <v>0.0</v>
      </c>
      <c r="F315" s="108">
        <v>1625.0</v>
      </c>
      <c r="G315" s="108">
        <v>1802240.0</v>
      </c>
      <c r="H315" s="109">
        <f t="shared" ref="H315:I315" si="313">F315/1024/1024/1024</f>
        <v>0.000001513399184</v>
      </c>
      <c r="I315" s="109">
        <f t="shared" si="313"/>
        <v>0.001678466797</v>
      </c>
      <c r="J315" s="110">
        <v>0.0</v>
      </c>
      <c r="K315" s="107"/>
      <c r="L315" s="103"/>
      <c r="Q315" s="111"/>
      <c r="R315" s="111"/>
      <c r="S315" s="111"/>
      <c r="T315" s="111"/>
      <c r="U315" s="111"/>
      <c r="V315" s="111"/>
      <c r="W315" s="111"/>
      <c r="X315" s="111"/>
      <c r="Y315" s="111"/>
      <c r="Z315" s="111"/>
      <c r="AA315" s="111"/>
      <c r="AB315" s="111"/>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03"/>
      <c r="BF315" s="111"/>
      <c r="BG315" s="111"/>
      <c r="BH315" s="111"/>
      <c r="BI315" s="111"/>
      <c r="BJ315" s="111"/>
      <c r="BK315" s="111"/>
      <c r="BL315" s="111"/>
      <c r="BM315" s="111"/>
      <c r="BN315" s="111"/>
      <c r="BO315" s="111"/>
      <c r="BP315" s="111"/>
      <c r="BQ315" s="111"/>
      <c r="BR315" s="111"/>
      <c r="BS315" s="111"/>
      <c r="BT315" s="111"/>
      <c r="BU315" s="111"/>
      <c r="BV315" s="111"/>
      <c r="BW315" s="111"/>
      <c r="BX315" s="111"/>
      <c r="BY315" s="111"/>
      <c r="BZ315" s="111"/>
    </row>
    <row r="316">
      <c r="A316" s="107" t="s">
        <v>3186</v>
      </c>
      <c r="B316" s="108">
        <v>17.0</v>
      </c>
      <c r="C316" s="108">
        <v>8.0</v>
      </c>
      <c r="D316" s="108">
        <v>0.0</v>
      </c>
      <c r="E316" s="108">
        <v>0.0</v>
      </c>
      <c r="F316" s="108">
        <v>6.1470118E7</v>
      </c>
      <c r="G316" s="108">
        <v>7.5112448E7</v>
      </c>
      <c r="H316" s="109">
        <f t="shared" ref="H316:I316" si="314">F316/1024/1024/1024</f>
        <v>0.05724850856</v>
      </c>
      <c r="I316" s="109">
        <f t="shared" si="314"/>
        <v>0.06995391846</v>
      </c>
      <c r="J316" s="110">
        <v>0.0</v>
      </c>
      <c r="K316" s="107"/>
      <c r="L316" s="103"/>
      <c r="Q316" s="111"/>
      <c r="R316" s="111"/>
      <c r="S316" s="111"/>
      <c r="T316" s="111"/>
      <c r="U316" s="111"/>
      <c r="V316" s="111"/>
      <c r="W316" s="111"/>
      <c r="X316" s="111"/>
      <c r="Y316" s="111"/>
      <c r="Z316" s="111"/>
      <c r="AA316" s="111"/>
      <c r="AB316" s="111"/>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03"/>
      <c r="BG316" s="111"/>
      <c r="BH316" s="111"/>
      <c r="BI316" s="111"/>
      <c r="BJ316" s="111"/>
      <c r="BK316" s="111"/>
      <c r="BL316" s="111"/>
      <c r="BM316" s="111"/>
      <c r="BN316" s="111"/>
      <c r="BO316" s="111"/>
      <c r="BP316" s="111"/>
      <c r="BQ316" s="111"/>
      <c r="BR316" s="111"/>
      <c r="BS316" s="111"/>
      <c r="BT316" s="111"/>
      <c r="BU316" s="111"/>
      <c r="BV316" s="111"/>
      <c r="BW316" s="111"/>
      <c r="BX316" s="111"/>
      <c r="BY316" s="111"/>
      <c r="BZ316" s="111"/>
    </row>
    <row r="317">
      <c r="A317" s="107" t="s">
        <v>3187</v>
      </c>
      <c r="B317" s="108">
        <v>145.0</v>
      </c>
      <c r="C317" s="108">
        <v>686.0</v>
      </c>
      <c r="D317" s="108">
        <v>0.0</v>
      </c>
      <c r="E317" s="108">
        <v>0.0</v>
      </c>
      <c r="F317" s="108">
        <v>2.72998727E8</v>
      </c>
      <c r="G317" s="108">
        <v>4.2131456E8</v>
      </c>
      <c r="H317" s="109">
        <f t="shared" ref="H317:I317" si="315">F317/1024/1024/1024</f>
        <v>0.2542498773</v>
      </c>
      <c r="I317" s="109">
        <f t="shared" si="315"/>
        <v>0.3923797607</v>
      </c>
      <c r="J317" s="110">
        <v>0.0</v>
      </c>
      <c r="K317" s="107"/>
      <c r="L317" s="103"/>
      <c r="Q317" s="111"/>
      <c r="R317" s="111"/>
      <c r="S317" s="111"/>
      <c r="T317" s="111"/>
      <c r="U317" s="111"/>
      <c r="V317" s="111"/>
      <c r="W317" s="111"/>
      <c r="X317" s="111"/>
      <c r="Y317" s="111"/>
      <c r="Z317" s="111"/>
      <c r="AA317" s="111"/>
      <c r="AB317" s="111"/>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03"/>
      <c r="BG317" s="111"/>
      <c r="BH317" s="111"/>
      <c r="BI317" s="111"/>
      <c r="BJ317" s="111"/>
      <c r="BK317" s="111"/>
      <c r="BL317" s="111"/>
      <c r="BM317" s="111"/>
      <c r="BN317" s="111"/>
      <c r="BO317" s="111"/>
      <c r="BP317" s="111"/>
      <c r="BQ317" s="111"/>
      <c r="BR317" s="111"/>
      <c r="BS317" s="111"/>
      <c r="BT317" s="111"/>
      <c r="BU317" s="111"/>
      <c r="BV317" s="111"/>
      <c r="BW317" s="111"/>
      <c r="BX317" s="111"/>
      <c r="BY317" s="111"/>
      <c r="BZ317" s="111"/>
    </row>
    <row r="318">
      <c r="A318" s="107" t="s">
        <v>3188</v>
      </c>
      <c r="B318" s="108">
        <v>31.0</v>
      </c>
      <c r="C318" s="108">
        <v>44.0</v>
      </c>
      <c r="D318" s="108">
        <v>0.0</v>
      </c>
      <c r="E318" s="108">
        <v>0.0</v>
      </c>
      <c r="F318" s="108">
        <v>2.5259433E7</v>
      </c>
      <c r="G318" s="108">
        <v>3.6184064E7</v>
      </c>
      <c r="H318" s="109">
        <f t="shared" ref="H318:I318" si="316">F318/1024/1024/1024</f>
        <v>0.02352468017</v>
      </c>
      <c r="I318" s="109">
        <f t="shared" si="316"/>
        <v>0.03369903564</v>
      </c>
      <c r="J318" s="110">
        <v>0.0</v>
      </c>
      <c r="K318" s="107"/>
      <c r="L318" s="103"/>
      <c r="Q318" s="111"/>
      <c r="R318" s="111"/>
      <c r="S318" s="111"/>
      <c r="T318" s="111"/>
      <c r="U318" s="111"/>
      <c r="V318" s="111"/>
      <c r="W318" s="111"/>
      <c r="X318" s="111"/>
      <c r="Y318" s="111"/>
      <c r="Z318" s="111"/>
      <c r="AA318" s="111"/>
      <c r="AB318" s="111"/>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03"/>
      <c r="BF318" s="111"/>
      <c r="BG318" s="111"/>
      <c r="BH318" s="111"/>
      <c r="BI318" s="111"/>
      <c r="BJ318" s="111"/>
      <c r="BK318" s="111"/>
      <c r="BL318" s="111"/>
      <c r="BM318" s="111"/>
      <c r="BN318" s="111"/>
      <c r="BO318" s="111"/>
      <c r="BP318" s="111"/>
      <c r="BQ318" s="111"/>
      <c r="BR318" s="111"/>
      <c r="BS318" s="111"/>
      <c r="BT318" s="111"/>
      <c r="BU318" s="111"/>
      <c r="BV318" s="111"/>
      <c r="BW318" s="111"/>
      <c r="BX318" s="111"/>
      <c r="BY318" s="111"/>
      <c r="BZ318" s="111"/>
    </row>
    <row r="319">
      <c r="A319" s="107" t="s">
        <v>3189</v>
      </c>
      <c r="B319" s="108">
        <v>17180.0</v>
      </c>
      <c r="C319" s="108">
        <v>90849.0</v>
      </c>
      <c r="D319" s="108">
        <v>0.0</v>
      </c>
      <c r="E319" s="108">
        <v>0.0</v>
      </c>
      <c r="F319" s="108">
        <v>3.9510095072E10</v>
      </c>
      <c r="G319" s="108">
        <v>5.4061907968E10</v>
      </c>
      <c r="H319" s="109">
        <f t="shared" ref="H319:I319" si="317">F319/1024/1024/1024</f>
        <v>36.79664347</v>
      </c>
      <c r="I319" s="109">
        <f t="shared" si="317"/>
        <v>50.34907532</v>
      </c>
      <c r="J319" s="110">
        <v>0.0</v>
      </c>
      <c r="K319" s="107"/>
      <c r="L319" s="103"/>
      <c r="Q319" s="111"/>
      <c r="R319" s="111"/>
      <c r="S319" s="111"/>
      <c r="T319" s="111"/>
      <c r="U319" s="111"/>
      <c r="V319" s="111"/>
      <c r="W319" s="111"/>
      <c r="X319" s="111"/>
      <c r="Y319" s="111"/>
      <c r="Z319" s="111"/>
      <c r="AA319" s="111"/>
      <c r="AB319" s="111"/>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03"/>
      <c r="BF319" s="111"/>
      <c r="BG319" s="111"/>
      <c r="BH319" s="111"/>
      <c r="BI319" s="111"/>
      <c r="BJ319" s="111"/>
      <c r="BK319" s="111"/>
      <c r="BL319" s="111"/>
      <c r="BM319" s="111"/>
      <c r="BN319" s="111"/>
      <c r="BO319" s="111"/>
      <c r="BP319" s="111"/>
      <c r="BQ319" s="111"/>
      <c r="BR319" s="111"/>
      <c r="BS319" s="111"/>
      <c r="BT319" s="111"/>
      <c r="BU319" s="111"/>
      <c r="BV319" s="111"/>
      <c r="BW319" s="111"/>
      <c r="BX319" s="111"/>
      <c r="BY319" s="111"/>
      <c r="BZ319" s="111"/>
    </row>
    <row r="320">
      <c r="A320" s="107" t="s">
        <v>3190</v>
      </c>
      <c r="B320" s="108">
        <v>13.0</v>
      </c>
      <c r="C320" s="108">
        <v>115.0</v>
      </c>
      <c r="D320" s="108">
        <v>0.0</v>
      </c>
      <c r="E320" s="108">
        <v>0.0</v>
      </c>
      <c r="F320" s="108">
        <v>2.87174223E8</v>
      </c>
      <c r="G320" s="108">
        <v>3.61046016E8</v>
      </c>
      <c r="H320" s="109">
        <f t="shared" ref="H320:I320" si="318">F320/1024/1024/1024</f>
        <v>0.2674518367</v>
      </c>
      <c r="I320" s="109">
        <f t="shared" si="318"/>
        <v>0.3362503052</v>
      </c>
      <c r="J320" s="110">
        <v>0.0</v>
      </c>
      <c r="K320" s="107"/>
      <c r="L320" s="103"/>
      <c r="Q320" s="111"/>
      <c r="R320" s="111"/>
      <c r="S320" s="111"/>
      <c r="T320" s="111"/>
      <c r="U320" s="111"/>
      <c r="V320" s="111"/>
      <c r="W320" s="111"/>
      <c r="X320" s="111"/>
      <c r="Y320" s="111"/>
      <c r="Z320" s="111"/>
      <c r="AA320" s="111"/>
      <c r="AB320" s="111"/>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03"/>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c r="BY320" s="111"/>
      <c r="BZ320" s="111"/>
    </row>
    <row r="321">
      <c r="A321" s="107" t="s">
        <v>3191</v>
      </c>
      <c r="B321" s="108">
        <v>34.0</v>
      </c>
      <c r="C321" s="108">
        <v>30.0</v>
      </c>
      <c r="D321" s="108">
        <v>0.0</v>
      </c>
      <c r="E321" s="108">
        <v>0.0</v>
      </c>
      <c r="F321" s="108">
        <v>8.6797729E7</v>
      </c>
      <c r="G321" s="108">
        <v>1.08888064E8</v>
      </c>
      <c r="H321" s="109">
        <f t="shared" ref="H321:I321" si="319">F321/1024/1024/1024</f>
        <v>0.08083668444</v>
      </c>
      <c r="I321" s="109">
        <f t="shared" si="319"/>
        <v>0.1014099121</v>
      </c>
      <c r="J321" s="110">
        <v>0.0</v>
      </c>
      <c r="K321" s="107"/>
      <c r="L321" s="103"/>
      <c r="Q321" s="111"/>
      <c r="R321" s="111"/>
      <c r="S321" s="111"/>
      <c r="T321" s="111"/>
      <c r="U321" s="111"/>
      <c r="V321" s="111"/>
      <c r="W321" s="111"/>
      <c r="X321" s="111"/>
      <c r="Y321" s="111"/>
      <c r="Z321" s="111"/>
      <c r="AA321" s="111"/>
      <c r="AB321" s="111"/>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03"/>
      <c r="BF321" s="111"/>
      <c r="BG321" s="111"/>
      <c r="BH321" s="111"/>
      <c r="BI321" s="111"/>
      <c r="BJ321" s="111"/>
      <c r="BK321" s="111"/>
      <c r="BL321" s="111"/>
      <c r="BM321" s="111"/>
      <c r="BN321" s="111"/>
      <c r="BO321" s="111"/>
      <c r="BP321" s="111"/>
      <c r="BQ321" s="111"/>
      <c r="BR321" s="111"/>
      <c r="BS321" s="111"/>
      <c r="BT321" s="111"/>
      <c r="BU321" s="111"/>
      <c r="BV321" s="111"/>
      <c r="BW321" s="111"/>
      <c r="BX321" s="111"/>
      <c r="BY321" s="111"/>
      <c r="BZ321" s="111"/>
    </row>
    <row r="322">
      <c r="A322" s="107" t="s">
        <v>3192</v>
      </c>
      <c r="B322" s="108">
        <v>28.0</v>
      </c>
      <c r="C322" s="108">
        <v>0.0</v>
      </c>
      <c r="D322" s="108">
        <v>0.0</v>
      </c>
      <c r="E322" s="108">
        <v>0.0</v>
      </c>
      <c r="F322" s="108">
        <v>899.0</v>
      </c>
      <c r="G322" s="108">
        <v>917504.0</v>
      </c>
      <c r="H322" s="109">
        <f t="shared" ref="H322:I322" si="320">F322/1024/1024/1024</f>
        <v>0.0000008372589946</v>
      </c>
      <c r="I322" s="109">
        <f t="shared" si="320"/>
        <v>0.0008544921875</v>
      </c>
      <c r="J322" s="110">
        <v>0.0</v>
      </c>
      <c r="K322" s="107"/>
      <c r="L322" s="103"/>
      <c r="N322" s="111"/>
      <c r="O322" s="111"/>
      <c r="P322" s="111"/>
      <c r="Q322" s="111"/>
      <c r="R322" s="111"/>
      <c r="S322" s="111"/>
      <c r="T322" s="111"/>
      <c r="U322" s="111"/>
      <c r="V322" s="111"/>
      <c r="W322" s="111"/>
      <c r="X322" s="111"/>
      <c r="Y322" s="111"/>
      <c r="Z322" s="111"/>
      <c r="AA322" s="111"/>
      <c r="AB322" s="111"/>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03"/>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c r="BY322" s="111"/>
      <c r="BZ322" s="111"/>
    </row>
    <row r="323">
      <c r="A323" s="107" t="s">
        <v>3193</v>
      </c>
      <c r="B323" s="108">
        <v>26.0</v>
      </c>
      <c r="C323" s="108">
        <v>0.0</v>
      </c>
      <c r="D323" s="108">
        <v>0.0</v>
      </c>
      <c r="E323" s="108">
        <v>0.0</v>
      </c>
      <c r="F323" s="108">
        <v>941.0</v>
      </c>
      <c r="G323" s="108">
        <v>851968.0</v>
      </c>
      <c r="H323" s="109">
        <f t="shared" ref="H323:I323" si="321">F323/1024/1024/1024</f>
        <v>0.0000008763745427</v>
      </c>
      <c r="I323" s="109">
        <f t="shared" si="321"/>
        <v>0.0007934570313</v>
      </c>
      <c r="J323" s="110">
        <v>0.0</v>
      </c>
      <c r="K323" s="107"/>
      <c r="L323" s="103"/>
      <c r="O323" s="111"/>
      <c r="P323" s="111"/>
      <c r="Q323" s="111"/>
      <c r="R323" s="111"/>
      <c r="S323" s="111"/>
      <c r="T323" s="111"/>
      <c r="U323" s="111"/>
      <c r="V323" s="111"/>
      <c r="W323" s="111"/>
      <c r="X323" s="111"/>
      <c r="Y323" s="111"/>
      <c r="Z323" s="111"/>
      <c r="AA323" s="111"/>
      <c r="AB323" s="111"/>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03"/>
      <c r="BG323" s="111"/>
      <c r="BH323" s="111"/>
      <c r="BI323" s="111"/>
      <c r="BJ323" s="111"/>
      <c r="BK323" s="111"/>
      <c r="BL323" s="111"/>
      <c r="BM323" s="111"/>
      <c r="BN323" s="111"/>
      <c r="BO323" s="111"/>
      <c r="BP323" s="111"/>
      <c r="BQ323" s="111"/>
      <c r="BR323" s="111"/>
      <c r="BS323" s="111"/>
      <c r="BT323" s="111"/>
      <c r="BU323" s="111"/>
      <c r="BV323" s="111"/>
      <c r="BW323" s="111"/>
      <c r="BX323" s="111"/>
      <c r="BY323" s="111"/>
      <c r="BZ323" s="111"/>
    </row>
    <row r="324">
      <c r="A324" s="107" t="s">
        <v>3194</v>
      </c>
      <c r="B324" s="108">
        <v>27.0</v>
      </c>
      <c r="C324" s="108">
        <v>0.0</v>
      </c>
      <c r="D324" s="108">
        <v>0.0</v>
      </c>
      <c r="E324" s="108">
        <v>0.0</v>
      </c>
      <c r="F324" s="108">
        <v>904.0</v>
      </c>
      <c r="G324" s="108">
        <v>884736.0</v>
      </c>
      <c r="H324" s="109">
        <f t="shared" ref="H324:I324" si="322">F324/1024/1024/1024</f>
        <v>0.0000008419156075</v>
      </c>
      <c r="I324" s="109">
        <f t="shared" si="322"/>
        <v>0.0008239746094</v>
      </c>
      <c r="J324" s="110">
        <v>0.0</v>
      </c>
      <c r="K324" s="107"/>
      <c r="L324" s="103"/>
      <c r="O324" s="111"/>
      <c r="P324" s="111"/>
      <c r="Q324" s="111"/>
      <c r="R324" s="111"/>
      <c r="S324" s="111"/>
      <c r="T324" s="111"/>
      <c r="U324" s="111"/>
      <c r="V324" s="111"/>
      <c r="W324" s="111"/>
      <c r="X324" s="111"/>
      <c r="Y324" s="111"/>
      <c r="Z324" s="111"/>
      <c r="AA324" s="111"/>
      <c r="AB324" s="111"/>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03"/>
      <c r="BG324" s="111"/>
      <c r="BH324" s="111"/>
      <c r="BI324" s="111"/>
      <c r="BJ324" s="111"/>
      <c r="BK324" s="111"/>
      <c r="BL324" s="111"/>
      <c r="BM324" s="111"/>
      <c r="BN324" s="111"/>
      <c r="BO324" s="111"/>
      <c r="BP324" s="111"/>
      <c r="BQ324" s="111"/>
      <c r="BR324" s="111"/>
      <c r="BS324" s="111"/>
      <c r="BT324" s="111"/>
      <c r="BU324" s="111"/>
      <c r="BV324" s="111"/>
      <c r="BW324" s="111"/>
      <c r="BX324" s="111"/>
      <c r="BY324" s="111"/>
      <c r="BZ324" s="111"/>
    </row>
    <row r="325">
      <c r="A325" s="107" t="s">
        <v>3195</v>
      </c>
      <c r="B325" s="108">
        <v>10.0</v>
      </c>
      <c r="C325" s="108">
        <v>0.0</v>
      </c>
      <c r="D325" s="108">
        <v>0.0</v>
      </c>
      <c r="E325" s="108">
        <v>0.0</v>
      </c>
      <c r="F325" s="108">
        <v>254.0</v>
      </c>
      <c r="G325" s="108">
        <v>327680.0</v>
      </c>
      <c r="H325" s="109">
        <f t="shared" ref="H325:I325" si="323">F325/1024/1024/1024</f>
        <v>0.000000236555934</v>
      </c>
      <c r="I325" s="109">
        <f t="shared" si="323"/>
        <v>0.0003051757813</v>
      </c>
      <c r="J325" s="110">
        <v>0.0</v>
      </c>
      <c r="K325" s="107"/>
      <c r="L325" s="103"/>
      <c r="O325" s="111"/>
      <c r="P325" s="111"/>
      <c r="Q325" s="111"/>
      <c r="R325" s="111"/>
      <c r="S325" s="111"/>
      <c r="T325" s="111"/>
      <c r="U325" s="111"/>
      <c r="V325" s="111"/>
      <c r="W325" s="111"/>
      <c r="X325" s="111"/>
      <c r="Y325" s="111"/>
      <c r="Z325" s="111"/>
      <c r="AA325" s="111"/>
      <c r="AB325" s="111"/>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03"/>
      <c r="BG325" s="111"/>
      <c r="BH325" s="111"/>
      <c r="BI325" s="111"/>
      <c r="BJ325" s="111"/>
      <c r="BK325" s="111"/>
      <c r="BL325" s="111"/>
      <c r="BM325" s="111"/>
      <c r="BN325" s="111"/>
      <c r="BO325" s="111"/>
      <c r="BP325" s="111"/>
      <c r="BQ325" s="111"/>
      <c r="BR325" s="111"/>
      <c r="BS325" s="111"/>
      <c r="BT325" s="111"/>
      <c r="BU325" s="111"/>
      <c r="BV325" s="111"/>
      <c r="BW325" s="111"/>
      <c r="BX325" s="111"/>
      <c r="BY325" s="111"/>
      <c r="BZ325" s="111"/>
    </row>
    <row r="326">
      <c r="A326" s="107" t="s">
        <v>3196</v>
      </c>
      <c r="B326" s="108">
        <v>7.0</v>
      </c>
      <c r="C326" s="108">
        <v>0.0</v>
      </c>
      <c r="D326" s="108">
        <v>0.0</v>
      </c>
      <c r="E326" s="108">
        <v>0.0</v>
      </c>
      <c r="F326" s="108">
        <v>201.0</v>
      </c>
      <c r="G326" s="108">
        <v>229376.0</v>
      </c>
      <c r="H326" s="109">
        <f t="shared" ref="H326:I326" si="324">F326/1024/1024/1024</f>
        <v>0.0000001871958375</v>
      </c>
      <c r="I326" s="109">
        <f t="shared" si="324"/>
        <v>0.0002136230469</v>
      </c>
      <c r="J326" s="110">
        <v>0.0</v>
      </c>
      <c r="K326" s="107"/>
      <c r="L326" s="103"/>
      <c r="O326" s="111"/>
      <c r="P326" s="111"/>
      <c r="Q326" s="111"/>
      <c r="R326" s="111"/>
      <c r="S326" s="111"/>
      <c r="T326" s="111"/>
      <c r="U326" s="111"/>
      <c r="V326" s="111"/>
      <c r="W326" s="111"/>
      <c r="X326" s="111"/>
      <c r="Y326" s="111"/>
      <c r="Z326" s="111"/>
      <c r="AA326" s="111"/>
      <c r="AB326" s="111"/>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03"/>
      <c r="BF326" s="111"/>
      <c r="BG326" s="111"/>
      <c r="BH326" s="111"/>
      <c r="BI326" s="111"/>
      <c r="BJ326" s="111"/>
      <c r="BK326" s="111"/>
      <c r="BL326" s="111"/>
      <c r="BM326" s="111"/>
      <c r="BN326" s="111"/>
      <c r="BO326" s="111"/>
      <c r="BP326" s="111"/>
      <c r="BQ326" s="111"/>
      <c r="BR326" s="111"/>
      <c r="BS326" s="111"/>
      <c r="BT326" s="111"/>
      <c r="BU326" s="111"/>
      <c r="BV326" s="111"/>
      <c r="BW326" s="111"/>
      <c r="BX326" s="111"/>
      <c r="BY326" s="111"/>
      <c r="BZ326" s="111"/>
    </row>
    <row r="327">
      <c r="A327" s="107" t="s">
        <v>3197</v>
      </c>
      <c r="B327" s="108">
        <v>14.0</v>
      </c>
      <c r="C327" s="108">
        <v>0.0</v>
      </c>
      <c r="D327" s="108">
        <v>0.0</v>
      </c>
      <c r="E327" s="108">
        <v>0.0</v>
      </c>
      <c r="F327" s="108">
        <v>469.0</v>
      </c>
      <c r="G327" s="108">
        <v>458752.0</v>
      </c>
      <c r="H327" s="109">
        <f t="shared" ref="H327:I327" si="325">F327/1024/1024/1024</f>
        <v>0.0000004367902875</v>
      </c>
      <c r="I327" s="109">
        <f t="shared" si="325"/>
        <v>0.0004272460938</v>
      </c>
      <c r="J327" s="110">
        <v>0.0</v>
      </c>
      <c r="K327" s="107"/>
      <c r="L327" s="103"/>
      <c r="O327" s="111"/>
      <c r="P327" s="111"/>
      <c r="Q327" s="111"/>
      <c r="R327" s="111"/>
      <c r="S327" s="111"/>
      <c r="T327" s="111"/>
      <c r="U327" s="111"/>
      <c r="V327" s="111"/>
      <c r="W327" s="111"/>
      <c r="X327" s="111"/>
      <c r="Y327" s="111"/>
      <c r="Z327" s="111"/>
      <c r="AA327" s="111"/>
      <c r="AB327" s="111"/>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03"/>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c r="BY327" s="111"/>
      <c r="BZ327" s="111"/>
    </row>
    <row r="328">
      <c r="A328" s="107" t="s">
        <v>3198</v>
      </c>
      <c r="B328" s="108">
        <v>8.0</v>
      </c>
      <c r="C328" s="108">
        <v>0.0</v>
      </c>
      <c r="D328" s="108">
        <v>0.0</v>
      </c>
      <c r="E328" s="108">
        <v>0.0</v>
      </c>
      <c r="F328" s="108">
        <v>231.0</v>
      </c>
      <c r="G328" s="108">
        <v>262144.0</v>
      </c>
      <c r="H328" s="109">
        <f t="shared" ref="H328:I328" si="326">F328/1024/1024/1024</f>
        <v>0.0000002151355147</v>
      </c>
      <c r="I328" s="109">
        <f t="shared" si="326"/>
        <v>0.000244140625</v>
      </c>
      <c r="J328" s="110">
        <v>0.0</v>
      </c>
      <c r="K328" s="107"/>
      <c r="L328" s="103"/>
      <c r="O328" s="111"/>
      <c r="P328" s="111"/>
      <c r="Q328" s="111"/>
      <c r="R328" s="111"/>
      <c r="S328" s="111"/>
      <c r="T328" s="111"/>
      <c r="U328" s="111"/>
      <c r="V328" s="111"/>
      <c r="W328" s="111"/>
      <c r="X328" s="111"/>
      <c r="Y328" s="111"/>
      <c r="Z328" s="111"/>
      <c r="AA328" s="111"/>
      <c r="AB328" s="111"/>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03"/>
      <c r="BF328" s="111"/>
      <c r="BG328" s="111"/>
      <c r="BH328" s="111"/>
      <c r="BI328" s="111"/>
      <c r="BJ328" s="111"/>
      <c r="BK328" s="111"/>
      <c r="BL328" s="111"/>
      <c r="BM328" s="111"/>
      <c r="BN328" s="111"/>
      <c r="BO328" s="111"/>
      <c r="BP328" s="111"/>
      <c r="BQ328" s="111"/>
      <c r="BR328" s="111"/>
      <c r="BS328" s="111"/>
      <c r="BT328" s="111"/>
      <c r="BU328" s="111"/>
      <c r="BV328" s="111"/>
      <c r="BW328" s="111"/>
      <c r="BX328" s="111"/>
      <c r="BY328" s="111"/>
      <c r="BZ328" s="111"/>
    </row>
    <row r="329">
      <c r="A329" s="107" t="s">
        <v>3199</v>
      </c>
      <c r="B329" s="108">
        <v>18.0</v>
      </c>
      <c r="C329" s="108">
        <v>0.0</v>
      </c>
      <c r="D329" s="108">
        <v>0.0</v>
      </c>
      <c r="E329" s="108">
        <v>0.0</v>
      </c>
      <c r="F329" s="108">
        <v>680.0</v>
      </c>
      <c r="G329" s="108">
        <v>589824.0</v>
      </c>
      <c r="H329" s="109">
        <f t="shared" ref="H329:I329" si="327">F329/1024/1024/1024</f>
        <v>0.0000006332993507</v>
      </c>
      <c r="I329" s="109">
        <f t="shared" si="327"/>
        <v>0.0005493164063</v>
      </c>
      <c r="J329" s="110">
        <v>0.0</v>
      </c>
      <c r="K329" s="107"/>
      <c r="L329" s="103"/>
      <c r="O329" s="111"/>
      <c r="P329" s="111"/>
      <c r="Q329" s="111"/>
      <c r="R329" s="111"/>
      <c r="S329" s="111"/>
      <c r="T329" s="111"/>
      <c r="U329" s="111"/>
      <c r="V329" s="111"/>
      <c r="W329" s="111"/>
      <c r="X329" s="111"/>
      <c r="Y329" s="111"/>
      <c r="Z329" s="111"/>
      <c r="AA329" s="111"/>
      <c r="AB329" s="111"/>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03"/>
      <c r="BG329" s="111"/>
      <c r="BH329" s="111"/>
      <c r="BI329" s="111"/>
      <c r="BJ329" s="111"/>
      <c r="BK329" s="111"/>
      <c r="BL329" s="111"/>
      <c r="BM329" s="111"/>
      <c r="BN329" s="111"/>
      <c r="BO329" s="111"/>
      <c r="BP329" s="111"/>
      <c r="BQ329" s="111"/>
      <c r="BR329" s="111"/>
      <c r="BS329" s="111"/>
      <c r="BT329" s="111"/>
      <c r="BU329" s="111"/>
      <c r="BV329" s="111"/>
      <c r="BW329" s="111"/>
      <c r="BX329" s="111"/>
      <c r="BY329" s="111"/>
      <c r="BZ329" s="111"/>
    </row>
    <row r="330">
      <c r="A330" s="107" t="s">
        <v>3200</v>
      </c>
      <c r="B330" s="108">
        <v>19.0</v>
      </c>
      <c r="C330" s="108">
        <v>0.0</v>
      </c>
      <c r="D330" s="108">
        <v>0.0</v>
      </c>
      <c r="E330" s="108">
        <v>0.0</v>
      </c>
      <c r="F330" s="108">
        <v>588.0</v>
      </c>
      <c r="G330" s="108">
        <v>622592.0</v>
      </c>
      <c r="H330" s="109">
        <f t="shared" ref="H330:I330" si="328">F330/1024/1024/1024</f>
        <v>0.0000005476176739</v>
      </c>
      <c r="I330" s="109">
        <f t="shared" si="328"/>
        <v>0.0005798339844</v>
      </c>
      <c r="J330" s="110">
        <v>0.0</v>
      </c>
      <c r="K330" s="107"/>
      <c r="L330" s="103"/>
      <c r="P330" s="111"/>
      <c r="Q330" s="111"/>
      <c r="R330" s="111"/>
      <c r="S330" s="111"/>
      <c r="T330" s="111"/>
      <c r="U330" s="111"/>
      <c r="V330" s="111"/>
      <c r="W330" s="111"/>
      <c r="X330" s="111"/>
      <c r="Y330" s="111"/>
      <c r="Z330" s="111"/>
      <c r="AA330" s="111"/>
      <c r="AB330" s="111"/>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03"/>
      <c r="BH330" s="111"/>
      <c r="BI330" s="111"/>
      <c r="BJ330" s="111"/>
      <c r="BK330" s="111"/>
      <c r="BL330" s="111"/>
      <c r="BM330" s="111"/>
      <c r="BN330" s="111"/>
      <c r="BO330" s="111"/>
      <c r="BP330" s="111"/>
      <c r="BQ330" s="111"/>
      <c r="BR330" s="111"/>
      <c r="BS330" s="111"/>
      <c r="BT330" s="111"/>
      <c r="BU330" s="111"/>
      <c r="BV330" s="111"/>
      <c r="BW330" s="111"/>
      <c r="BX330" s="111"/>
      <c r="BY330" s="111"/>
      <c r="BZ330" s="111"/>
    </row>
    <row r="331">
      <c r="A331" s="107" t="s">
        <v>3201</v>
      </c>
      <c r="B331" s="108">
        <v>18.0</v>
      </c>
      <c r="C331" s="108">
        <v>0.0</v>
      </c>
      <c r="D331" s="108">
        <v>0.0</v>
      </c>
      <c r="E331" s="108">
        <v>0.0</v>
      </c>
      <c r="F331" s="108">
        <v>627.0</v>
      </c>
      <c r="G331" s="108">
        <v>589824.0</v>
      </c>
      <c r="H331" s="109">
        <f t="shared" ref="H331:I331" si="329">F331/1024/1024/1024</f>
        <v>0.0000005839392543</v>
      </c>
      <c r="I331" s="109">
        <f t="shared" si="329"/>
        <v>0.0005493164063</v>
      </c>
      <c r="J331" s="110">
        <v>0.0</v>
      </c>
      <c r="K331" s="107"/>
      <c r="L331" s="103"/>
      <c r="P331" s="111"/>
      <c r="Q331" s="111"/>
      <c r="R331" s="111"/>
      <c r="S331" s="111"/>
      <c r="T331" s="111"/>
      <c r="U331" s="111"/>
      <c r="V331" s="111"/>
      <c r="W331" s="111"/>
      <c r="X331" s="111"/>
      <c r="Y331" s="111"/>
      <c r="Z331" s="111"/>
      <c r="AA331" s="111"/>
      <c r="AB331" s="111"/>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03"/>
      <c r="BI331" s="111"/>
      <c r="BJ331" s="111"/>
      <c r="BK331" s="111"/>
      <c r="BL331" s="111"/>
      <c r="BM331" s="111"/>
      <c r="BN331" s="111"/>
      <c r="BO331" s="111"/>
      <c r="BP331" s="111"/>
      <c r="BQ331" s="111"/>
      <c r="BR331" s="111"/>
      <c r="BS331" s="111"/>
      <c r="BT331" s="111"/>
      <c r="BU331" s="111"/>
      <c r="BV331" s="111"/>
      <c r="BW331" s="111"/>
      <c r="BX331" s="111"/>
      <c r="BY331" s="111"/>
      <c r="BZ331" s="111"/>
    </row>
    <row r="332">
      <c r="A332" s="107" t="s">
        <v>3202</v>
      </c>
      <c r="B332" s="108">
        <v>2307.0</v>
      </c>
      <c r="C332" s="108">
        <v>14044.0</v>
      </c>
      <c r="D332" s="108">
        <v>0.0</v>
      </c>
      <c r="E332" s="108">
        <v>0.0</v>
      </c>
      <c r="F332" s="108">
        <v>6.0149120748E10</v>
      </c>
      <c r="G332" s="108">
        <v>7.4525433856E10</v>
      </c>
      <c r="H332" s="109">
        <f t="shared" ref="H332:I332" si="330">F332/1024/1024/1024</f>
        <v>56.018234</v>
      </c>
      <c r="I332" s="109">
        <f t="shared" si="330"/>
        <v>69.40721893</v>
      </c>
      <c r="J332" s="110">
        <v>0.0</v>
      </c>
      <c r="K332" s="107"/>
      <c r="L332" s="103"/>
      <c r="P332" s="111"/>
      <c r="Q332" s="111"/>
      <c r="R332" s="111"/>
      <c r="S332" s="111"/>
      <c r="T332" s="111"/>
      <c r="U332" s="111"/>
      <c r="V332" s="111"/>
      <c r="W332" s="111"/>
      <c r="X332" s="111"/>
      <c r="Y332" s="111"/>
      <c r="Z332" s="111"/>
      <c r="AA332" s="111"/>
      <c r="AB332" s="111"/>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03"/>
      <c r="BI332" s="111"/>
      <c r="BJ332" s="111"/>
      <c r="BK332" s="111"/>
      <c r="BL332" s="111"/>
      <c r="BM332" s="111"/>
      <c r="BN332" s="111"/>
      <c r="BO332" s="111"/>
      <c r="BP332" s="111"/>
      <c r="BQ332" s="111"/>
      <c r="BR332" s="111"/>
      <c r="BS332" s="111"/>
      <c r="BT332" s="111"/>
      <c r="BU332" s="111"/>
      <c r="BV332" s="111"/>
      <c r="BW332" s="111"/>
      <c r="BX332" s="111"/>
      <c r="BY332" s="111"/>
      <c r="BZ332" s="111"/>
    </row>
    <row r="333">
      <c r="A333" s="107" t="s">
        <v>3203</v>
      </c>
      <c r="B333" s="108">
        <v>7.0</v>
      </c>
      <c r="C333" s="108">
        <v>0.0</v>
      </c>
      <c r="D333" s="108">
        <v>0.0</v>
      </c>
      <c r="E333" s="108">
        <v>0.0</v>
      </c>
      <c r="F333" s="108">
        <v>214.0</v>
      </c>
      <c r="G333" s="108">
        <v>229376.0</v>
      </c>
      <c r="H333" s="109">
        <f t="shared" ref="H333:I333" si="331">F333/1024/1024/1024</f>
        <v>0.000000199303031</v>
      </c>
      <c r="I333" s="109">
        <f t="shared" si="331"/>
        <v>0.0002136230469</v>
      </c>
      <c r="J333" s="110">
        <v>0.0</v>
      </c>
      <c r="K333" s="107"/>
      <c r="L333" s="103"/>
      <c r="P333" s="111"/>
      <c r="Q333" s="111"/>
      <c r="R333" s="111"/>
      <c r="S333" s="111"/>
      <c r="T333" s="111"/>
      <c r="U333" s="111"/>
      <c r="V333" s="111"/>
      <c r="W333" s="111"/>
      <c r="X333" s="111"/>
      <c r="Y333" s="111"/>
      <c r="Z333" s="111"/>
      <c r="AA333" s="111"/>
      <c r="AB333" s="111"/>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03"/>
      <c r="BI333" s="111"/>
      <c r="BJ333" s="111"/>
      <c r="BK333" s="111"/>
      <c r="BL333" s="111"/>
      <c r="BM333" s="111"/>
      <c r="BN333" s="111"/>
      <c r="BO333" s="111"/>
      <c r="BP333" s="111"/>
      <c r="BQ333" s="111"/>
      <c r="BR333" s="111"/>
      <c r="BS333" s="111"/>
      <c r="BT333" s="111"/>
      <c r="BU333" s="111"/>
      <c r="BV333" s="111"/>
      <c r="BW333" s="111"/>
      <c r="BX333" s="111"/>
      <c r="BY333" s="111"/>
      <c r="BZ333" s="111"/>
    </row>
    <row r="334">
      <c r="A334" s="107" t="s">
        <v>3204</v>
      </c>
      <c r="B334" s="108">
        <v>40.0</v>
      </c>
      <c r="C334" s="108">
        <v>8.0</v>
      </c>
      <c r="D334" s="108">
        <v>0.0</v>
      </c>
      <c r="E334" s="108">
        <v>0.0</v>
      </c>
      <c r="F334" s="108">
        <v>94256.0</v>
      </c>
      <c r="G334" s="108">
        <v>1802240.0</v>
      </c>
      <c r="H334" s="109">
        <f t="shared" ref="H334:I334" si="332">F334/1024/1024/1024</f>
        <v>0.00008778274059</v>
      </c>
      <c r="I334" s="109">
        <f t="shared" si="332"/>
        <v>0.001678466797</v>
      </c>
      <c r="J334" s="110">
        <v>0.0</v>
      </c>
      <c r="K334" s="107"/>
      <c r="L334" s="103"/>
      <c r="P334" s="111"/>
      <c r="Q334" s="111"/>
      <c r="R334" s="111"/>
      <c r="S334" s="111"/>
      <c r="T334" s="111"/>
      <c r="U334" s="111"/>
      <c r="V334" s="111"/>
      <c r="W334" s="111"/>
      <c r="X334" s="111"/>
      <c r="Y334" s="111"/>
      <c r="Z334" s="111"/>
      <c r="AA334" s="111"/>
      <c r="AB334" s="111"/>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c r="BC334" s="103"/>
      <c r="BJ334" s="111"/>
      <c r="BK334" s="111"/>
      <c r="BL334" s="111"/>
      <c r="BM334" s="111"/>
      <c r="BN334" s="111"/>
      <c r="BO334" s="111"/>
      <c r="BP334" s="111"/>
      <c r="BQ334" s="111"/>
      <c r="BR334" s="111"/>
      <c r="BS334" s="111"/>
      <c r="BT334" s="111"/>
      <c r="BU334" s="111"/>
      <c r="BV334" s="111"/>
      <c r="BW334" s="111"/>
      <c r="BX334" s="111"/>
      <c r="BY334" s="111"/>
      <c r="BZ334" s="111"/>
    </row>
    <row r="335">
      <c r="A335" s="107" t="s">
        <v>3205</v>
      </c>
      <c r="B335" s="108">
        <v>44.0</v>
      </c>
      <c r="C335" s="108">
        <v>0.0</v>
      </c>
      <c r="D335" s="108">
        <v>0.0</v>
      </c>
      <c r="E335" s="108">
        <v>0.0</v>
      </c>
      <c r="F335" s="108">
        <v>1587.0</v>
      </c>
      <c r="G335" s="108">
        <v>1441792.0</v>
      </c>
      <c r="H335" s="109">
        <f t="shared" ref="H335:I335" si="333">F335/1024/1024/1024</f>
        <v>0.000001478008926</v>
      </c>
      <c r="I335" s="109">
        <f t="shared" si="333"/>
        <v>0.001342773438</v>
      </c>
      <c r="J335" s="110">
        <v>0.0</v>
      </c>
      <c r="K335" s="107"/>
      <c r="L335" s="103"/>
      <c r="P335" s="111"/>
      <c r="Q335" s="111"/>
      <c r="R335" s="111"/>
      <c r="S335" s="111"/>
      <c r="T335" s="111"/>
      <c r="U335" s="111"/>
      <c r="V335" s="111"/>
      <c r="W335" s="111"/>
      <c r="X335" s="111"/>
      <c r="Y335" s="111"/>
      <c r="Z335" s="111"/>
      <c r="AA335" s="111"/>
      <c r="AB335" s="111"/>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c r="BC335" s="103"/>
      <c r="BJ335" s="111"/>
      <c r="BK335" s="111"/>
      <c r="BL335" s="111"/>
      <c r="BM335" s="111"/>
      <c r="BN335" s="111"/>
      <c r="BO335" s="111"/>
      <c r="BP335" s="111"/>
      <c r="BQ335" s="111"/>
      <c r="BR335" s="111"/>
      <c r="BS335" s="111"/>
      <c r="BT335" s="111"/>
      <c r="BU335" s="111"/>
      <c r="BV335" s="111"/>
      <c r="BW335" s="111"/>
      <c r="BX335" s="111"/>
      <c r="BY335" s="111"/>
      <c r="BZ335" s="111"/>
    </row>
    <row r="336">
      <c r="A336" s="107" t="s">
        <v>3206</v>
      </c>
      <c r="B336" s="108">
        <v>14.0</v>
      </c>
      <c r="C336" s="108">
        <v>0.0</v>
      </c>
      <c r="D336" s="108">
        <v>0.0</v>
      </c>
      <c r="E336" s="108">
        <v>0.0</v>
      </c>
      <c r="F336" s="108">
        <v>461.0</v>
      </c>
      <c r="G336" s="108">
        <v>458752.0</v>
      </c>
      <c r="H336" s="109">
        <f t="shared" ref="H336:I336" si="334">F336/1024/1024/1024</f>
        <v>0.0000004293397069</v>
      </c>
      <c r="I336" s="109">
        <f t="shared" si="334"/>
        <v>0.0004272460938</v>
      </c>
      <c r="J336" s="110">
        <v>0.0</v>
      </c>
      <c r="K336" s="107"/>
      <c r="L336" s="103"/>
      <c r="P336" s="111"/>
      <c r="Q336" s="111"/>
      <c r="R336" s="111"/>
      <c r="S336" s="111"/>
      <c r="T336" s="111"/>
      <c r="U336" s="111"/>
      <c r="V336" s="111"/>
      <c r="W336" s="111"/>
      <c r="X336" s="111"/>
      <c r="Y336" s="111"/>
      <c r="Z336" s="111"/>
      <c r="AA336" s="111"/>
      <c r="AB336" s="111"/>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c r="BC336" s="103"/>
      <c r="BK336" s="111"/>
      <c r="BL336" s="111"/>
      <c r="BM336" s="111"/>
      <c r="BN336" s="111"/>
      <c r="BO336" s="111"/>
      <c r="BP336" s="111"/>
      <c r="BQ336" s="111"/>
      <c r="BR336" s="111"/>
      <c r="BS336" s="111"/>
      <c r="BT336" s="111"/>
      <c r="BU336" s="111"/>
      <c r="BV336" s="111"/>
      <c r="BW336" s="111"/>
      <c r="BX336" s="111"/>
      <c r="BY336" s="111"/>
      <c r="BZ336" s="111"/>
    </row>
    <row r="337">
      <c r="A337" s="107" t="s">
        <v>3207</v>
      </c>
      <c r="B337" s="108">
        <v>31.0</v>
      </c>
      <c r="C337" s="108">
        <v>0.0</v>
      </c>
      <c r="D337" s="108">
        <v>0.0</v>
      </c>
      <c r="E337" s="108">
        <v>0.0</v>
      </c>
      <c r="F337" s="108">
        <v>1026.0</v>
      </c>
      <c r="G337" s="108">
        <v>1015808.0</v>
      </c>
      <c r="H337" s="109">
        <f t="shared" ref="H337:I337" si="335">F337/1024/1024/1024</f>
        <v>0.0000009555369616</v>
      </c>
      <c r="I337" s="109">
        <f t="shared" si="335"/>
        <v>0.0009460449219</v>
      </c>
      <c r="J337" s="110">
        <v>0.0</v>
      </c>
      <c r="K337" s="107"/>
      <c r="L337" s="103"/>
      <c r="P337" s="111"/>
      <c r="Q337" s="111"/>
      <c r="R337" s="111"/>
      <c r="S337" s="111"/>
      <c r="T337" s="111"/>
      <c r="U337" s="111"/>
      <c r="V337" s="111"/>
      <c r="W337" s="111"/>
      <c r="X337" s="111"/>
      <c r="Y337" s="111"/>
      <c r="Z337" s="111"/>
      <c r="AA337" s="111"/>
      <c r="AB337" s="111"/>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c r="BC337" s="103"/>
      <c r="BJ337" s="111"/>
      <c r="BK337" s="111"/>
      <c r="BL337" s="111"/>
      <c r="BM337" s="111"/>
      <c r="BN337" s="111"/>
      <c r="BO337" s="111"/>
      <c r="BP337" s="111"/>
      <c r="BQ337" s="111"/>
      <c r="BR337" s="111"/>
      <c r="BS337" s="111"/>
      <c r="BT337" s="111"/>
      <c r="BU337" s="111"/>
      <c r="BV337" s="111"/>
      <c r="BW337" s="111"/>
      <c r="BX337" s="111"/>
      <c r="BY337" s="111"/>
      <c r="BZ337" s="111"/>
    </row>
    <row r="338">
      <c r="A338" s="107" t="s">
        <v>3208</v>
      </c>
      <c r="B338" s="108">
        <v>35.0</v>
      </c>
      <c r="C338" s="108">
        <v>5.0</v>
      </c>
      <c r="D338" s="108">
        <v>0.0</v>
      </c>
      <c r="E338" s="108">
        <v>0.0</v>
      </c>
      <c r="F338" s="108">
        <v>50645.0</v>
      </c>
      <c r="G338" s="108">
        <v>1441792.0</v>
      </c>
      <c r="H338" s="109">
        <f t="shared" ref="H338:I338" si="336">F338/1024/1024/1024</f>
        <v>0.00004716683179</v>
      </c>
      <c r="I338" s="109">
        <f t="shared" si="336"/>
        <v>0.001342773438</v>
      </c>
      <c r="J338" s="110">
        <v>0.0</v>
      </c>
      <c r="K338" s="107"/>
      <c r="L338" s="103"/>
      <c r="P338" s="111"/>
      <c r="Q338" s="111"/>
      <c r="R338" s="111"/>
      <c r="S338" s="111"/>
      <c r="T338" s="111"/>
      <c r="U338" s="111"/>
      <c r="V338" s="111"/>
      <c r="W338" s="111"/>
      <c r="X338" s="111"/>
      <c r="Y338" s="111"/>
      <c r="Z338" s="111"/>
      <c r="AA338" s="111"/>
      <c r="AB338" s="111"/>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c r="BC338" s="103"/>
      <c r="BJ338" s="111"/>
      <c r="BK338" s="111"/>
      <c r="BL338" s="111"/>
      <c r="BM338" s="111"/>
      <c r="BN338" s="111"/>
      <c r="BO338" s="111"/>
      <c r="BP338" s="111"/>
      <c r="BQ338" s="111"/>
      <c r="BR338" s="111"/>
      <c r="BS338" s="111"/>
      <c r="BT338" s="111"/>
      <c r="BU338" s="111"/>
      <c r="BV338" s="111"/>
      <c r="BW338" s="111"/>
      <c r="BX338" s="111"/>
      <c r="BY338" s="111"/>
      <c r="BZ338" s="111"/>
    </row>
    <row r="339">
      <c r="A339" s="107" t="s">
        <v>3209</v>
      </c>
      <c r="B339" s="108">
        <v>5.0</v>
      </c>
      <c r="C339" s="108">
        <v>1.0</v>
      </c>
      <c r="D339" s="108">
        <v>0.0</v>
      </c>
      <c r="E339" s="108">
        <v>0.0</v>
      </c>
      <c r="F339" s="108">
        <v>3.8535435877E10</v>
      </c>
      <c r="G339" s="108">
        <v>4.6327414784E10</v>
      </c>
      <c r="H339" s="109">
        <f t="shared" ref="H339:I339" si="337">F339/1024/1024/1024</f>
        <v>35.88892135</v>
      </c>
      <c r="I339" s="109">
        <f t="shared" si="337"/>
        <v>43.14576721</v>
      </c>
      <c r="J339" s="110">
        <v>0.0</v>
      </c>
      <c r="K339" s="107"/>
      <c r="L339" s="103"/>
      <c r="P339" s="111"/>
      <c r="Q339" s="111"/>
      <c r="R339" s="111"/>
      <c r="S339" s="111"/>
      <c r="T339" s="111"/>
      <c r="U339" s="111"/>
      <c r="V339" s="111"/>
      <c r="W339" s="111"/>
      <c r="X339" s="111"/>
      <c r="Y339" s="111"/>
      <c r="Z339" s="111"/>
      <c r="AA339" s="111"/>
      <c r="AB339" s="111"/>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c r="BC339" s="103"/>
      <c r="BJ339" s="111"/>
      <c r="BK339" s="111"/>
      <c r="BL339" s="111"/>
      <c r="BM339" s="111"/>
      <c r="BN339" s="111"/>
      <c r="BO339" s="111"/>
      <c r="BP339" s="111"/>
      <c r="BQ339" s="111"/>
      <c r="BR339" s="111"/>
      <c r="BS339" s="111"/>
      <c r="BT339" s="111"/>
      <c r="BU339" s="111"/>
      <c r="BV339" s="111"/>
      <c r="BW339" s="111"/>
      <c r="BX339" s="111"/>
      <c r="BY339" s="111"/>
      <c r="BZ339" s="111"/>
    </row>
    <row r="340">
      <c r="A340" s="107" t="s">
        <v>3210</v>
      </c>
      <c r="B340" s="108">
        <v>2.0</v>
      </c>
      <c r="C340" s="108">
        <v>0.0</v>
      </c>
      <c r="D340" s="108">
        <v>0.0</v>
      </c>
      <c r="E340" s="108">
        <v>0.0</v>
      </c>
      <c r="F340" s="108">
        <v>36.0</v>
      </c>
      <c r="G340" s="108">
        <v>65536.0</v>
      </c>
      <c r="H340" s="109">
        <f t="shared" ref="H340:I340" si="338">F340/1024/1024/1024</f>
        <v>0.00000003352761269</v>
      </c>
      <c r="I340" s="109">
        <f t="shared" si="338"/>
        <v>0.00006103515625</v>
      </c>
      <c r="J340" s="110">
        <v>0.0</v>
      </c>
      <c r="K340" s="107"/>
      <c r="L340" s="103"/>
      <c r="P340" s="111"/>
      <c r="Q340" s="111"/>
      <c r="R340" s="111"/>
      <c r="S340" s="111"/>
      <c r="T340" s="111"/>
      <c r="U340" s="111"/>
      <c r="V340" s="111"/>
      <c r="W340" s="111"/>
      <c r="X340" s="111"/>
      <c r="Y340" s="111"/>
      <c r="Z340" s="111"/>
      <c r="AA340" s="111"/>
      <c r="AB340" s="111"/>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c r="BC340" s="103"/>
      <c r="BI340" s="111"/>
      <c r="BJ340" s="111"/>
      <c r="BK340" s="111"/>
      <c r="BL340" s="111"/>
      <c r="BM340" s="111"/>
      <c r="BN340" s="111"/>
      <c r="BO340" s="111"/>
      <c r="BP340" s="111"/>
      <c r="BQ340" s="111"/>
      <c r="BR340" s="111"/>
      <c r="BS340" s="111"/>
      <c r="BT340" s="111"/>
      <c r="BU340" s="111"/>
      <c r="BV340" s="111"/>
      <c r="BW340" s="111"/>
      <c r="BX340" s="111"/>
      <c r="BY340" s="111"/>
      <c r="BZ340" s="111"/>
    </row>
    <row r="341">
      <c r="A341" s="107" t="s">
        <v>3211</v>
      </c>
      <c r="B341" s="108">
        <v>4.0</v>
      </c>
      <c r="C341" s="108">
        <v>48.0</v>
      </c>
      <c r="D341" s="108">
        <v>0.0</v>
      </c>
      <c r="E341" s="108">
        <v>0.0</v>
      </c>
      <c r="F341" s="108">
        <v>9.3426302E7</v>
      </c>
      <c r="G341" s="108">
        <v>1.19595008E8</v>
      </c>
      <c r="H341" s="109">
        <f t="shared" ref="H341:I341" si="339">F341/1024/1024/1024</f>
        <v>0.08701002412</v>
      </c>
      <c r="I341" s="109">
        <f t="shared" si="339"/>
        <v>0.1113815308</v>
      </c>
      <c r="J341" s="110">
        <v>0.0</v>
      </c>
      <c r="K341" s="107"/>
      <c r="L341" s="103"/>
      <c r="P341" s="111"/>
      <c r="Q341" s="111"/>
      <c r="R341" s="111"/>
      <c r="S341" s="111"/>
      <c r="T341" s="111"/>
      <c r="U341" s="111"/>
      <c r="V341" s="111"/>
      <c r="W341" s="111"/>
      <c r="X341" s="111"/>
      <c r="Y341" s="111"/>
      <c r="Z341" s="111"/>
      <c r="AA341" s="111"/>
      <c r="AB341" s="111"/>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c r="BC341" s="103"/>
      <c r="BJ341" s="111"/>
      <c r="BK341" s="111"/>
      <c r="BL341" s="111"/>
      <c r="BM341" s="111"/>
      <c r="BN341" s="111"/>
      <c r="BO341" s="111"/>
      <c r="BP341" s="111"/>
      <c r="BQ341" s="111"/>
      <c r="BR341" s="111"/>
      <c r="BS341" s="111"/>
      <c r="BT341" s="111"/>
      <c r="BU341" s="111"/>
      <c r="BV341" s="111"/>
      <c r="BW341" s="111"/>
      <c r="BX341" s="111"/>
      <c r="BY341" s="111"/>
      <c r="BZ341" s="111"/>
    </row>
    <row r="342">
      <c r="A342" s="107" t="s">
        <v>3212</v>
      </c>
      <c r="B342" s="108">
        <v>4.0</v>
      </c>
      <c r="C342" s="108">
        <v>0.0</v>
      </c>
      <c r="D342" s="108">
        <v>0.0</v>
      </c>
      <c r="E342" s="108">
        <v>0.0</v>
      </c>
      <c r="F342" s="108">
        <v>116.0</v>
      </c>
      <c r="G342" s="108">
        <v>131072.0</v>
      </c>
      <c r="H342" s="109">
        <f t="shared" ref="H342:I342" si="340">F342/1024/1024/1024</f>
        <v>0.0000001080334187</v>
      </c>
      <c r="I342" s="109">
        <f t="shared" si="340"/>
        <v>0.0001220703125</v>
      </c>
      <c r="J342" s="110">
        <v>0.0</v>
      </c>
      <c r="K342" s="107"/>
      <c r="L342" s="103"/>
      <c r="O342" s="111"/>
      <c r="P342" s="111"/>
      <c r="Q342" s="111"/>
      <c r="R342" s="111"/>
      <c r="S342" s="111"/>
      <c r="T342" s="111"/>
      <c r="U342" s="111"/>
      <c r="V342" s="111"/>
      <c r="W342" s="111"/>
      <c r="X342" s="111"/>
      <c r="Y342" s="111"/>
      <c r="Z342" s="111"/>
      <c r="AA342" s="111"/>
      <c r="AB342" s="111"/>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c r="BC342" s="111"/>
      <c r="BD342" s="103"/>
      <c r="BI342" s="111"/>
      <c r="BJ342" s="111"/>
      <c r="BK342" s="111"/>
      <c r="BL342" s="111"/>
      <c r="BM342" s="111"/>
      <c r="BN342" s="111"/>
      <c r="BO342" s="111"/>
      <c r="BP342" s="111"/>
      <c r="BQ342" s="111"/>
      <c r="BR342" s="111"/>
      <c r="BS342" s="111"/>
      <c r="BT342" s="111"/>
      <c r="BU342" s="111"/>
      <c r="BV342" s="111"/>
      <c r="BW342" s="111"/>
      <c r="BX342" s="111"/>
      <c r="BY342" s="111"/>
      <c r="BZ342" s="111"/>
    </row>
    <row r="343">
      <c r="A343" s="107" t="s">
        <v>3213</v>
      </c>
      <c r="B343" s="108">
        <v>13.0</v>
      </c>
      <c r="C343" s="108">
        <v>54.0</v>
      </c>
      <c r="D343" s="108">
        <v>0.0</v>
      </c>
      <c r="E343" s="108">
        <v>0.0</v>
      </c>
      <c r="F343" s="108">
        <v>4.1019853E7</v>
      </c>
      <c r="G343" s="108">
        <v>5.7966592E7</v>
      </c>
      <c r="H343" s="109">
        <f t="shared" ref="H343:I343" si="341">F343/1024/1024/1024</f>
        <v>0.03820271511</v>
      </c>
      <c r="I343" s="109">
        <f t="shared" si="341"/>
        <v>0.0539855957</v>
      </c>
      <c r="J343" s="110">
        <v>0.0</v>
      </c>
      <c r="K343" s="107"/>
      <c r="L343" s="103"/>
      <c r="O343" s="111"/>
      <c r="P343" s="111"/>
      <c r="Q343" s="111"/>
      <c r="R343" s="111"/>
      <c r="S343" s="111"/>
      <c r="T343" s="111"/>
      <c r="U343" s="111"/>
      <c r="V343" s="111"/>
      <c r="W343" s="111"/>
      <c r="X343" s="111"/>
      <c r="Y343" s="111"/>
      <c r="Z343" s="111"/>
      <c r="AA343" s="111"/>
      <c r="AB343" s="111"/>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c r="BC343" s="111"/>
      <c r="BD343" s="103"/>
      <c r="BJ343" s="111"/>
      <c r="BK343" s="111"/>
      <c r="BL343" s="111"/>
      <c r="BM343" s="111"/>
      <c r="BN343" s="111"/>
      <c r="BO343" s="111"/>
      <c r="BP343" s="111"/>
      <c r="BQ343" s="111"/>
      <c r="BR343" s="111"/>
      <c r="BS343" s="111"/>
      <c r="BT343" s="111"/>
      <c r="BU343" s="111"/>
      <c r="BV343" s="111"/>
      <c r="BW343" s="111"/>
      <c r="BX343" s="111"/>
      <c r="BY343" s="111"/>
      <c r="BZ343" s="111"/>
    </row>
    <row r="344">
      <c r="A344" s="107" t="s">
        <v>3214</v>
      </c>
      <c r="B344" s="108">
        <v>1.0</v>
      </c>
      <c r="C344" s="108">
        <v>0.0</v>
      </c>
      <c r="D344" s="108">
        <v>0.0</v>
      </c>
      <c r="E344" s="108">
        <v>0.0</v>
      </c>
      <c r="F344" s="108">
        <v>0.0</v>
      </c>
      <c r="G344" s="108">
        <v>32768.0</v>
      </c>
      <c r="H344" s="109">
        <f t="shared" ref="H344:I344" si="342">F344/1024/1024/1024</f>
        <v>0</v>
      </c>
      <c r="I344" s="109">
        <f t="shared" si="342"/>
        <v>0.00003051757813</v>
      </c>
      <c r="J344" s="110">
        <v>0.0</v>
      </c>
      <c r="K344" s="107"/>
      <c r="L344" s="103"/>
      <c r="O344" s="111"/>
      <c r="P344" s="111"/>
      <c r="Q344" s="111"/>
      <c r="R344" s="111"/>
      <c r="S344" s="111"/>
      <c r="T344" s="111"/>
      <c r="U344" s="111"/>
      <c r="V344" s="111"/>
      <c r="W344" s="111"/>
      <c r="X344" s="111"/>
      <c r="Y344" s="111"/>
      <c r="Z344" s="111"/>
      <c r="AA344" s="111"/>
      <c r="AB344" s="111"/>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c r="BC344" s="111"/>
      <c r="BD344" s="103"/>
      <c r="BJ344" s="111"/>
      <c r="BK344" s="111"/>
      <c r="BL344" s="111"/>
      <c r="BM344" s="111"/>
      <c r="BN344" s="111"/>
      <c r="BO344" s="111"/>
      <c r="BP344" s="111"/>
      <c r="BQ344" s="111"/>
      <c r="BR344" s="111"/>
      <c r="BS344" s="111"/>
      <c r="BT344" s="111"/>
      <c r="BU344" s="111"/>
      <c r="BV344" s="111"/>
      <c r="BW344" s="111"/>
      <c r="BX344" s="111"/>
      <c r="BY344" s="111"/>
      <c r="BZ344" s="111"/>
    </row>
    <row r="345">
      <c r="A345" s="107" t="s">
        <v>3215</v>
      </c>
      <c r="B345" s="108">
        <v>44.0</v>
      </c>
      <c r="C345" s="108">
        <v>2.0</v>
      </c>
      <c r="D345" s="108">
        <v>0.0</v>
      </c>
      <c r="E345" s="108">
        <v>0.0</v>
      </c>
      <c r="F345" s="108">
        <v>13729.0</v>
      </c>
      <c r="G345" s="108">
        <v>1490944.0</v>
      </c>
      <c r="H345" s="109">
        <f t="shared" ref="H345:I345" si="343">F345/1024/1024/1024</f>
        <v>0.00001278612763</v>
      </c>
      <c r="I345" s="109">
        <f t="shared" si="343"/>
        <v>0.001388549805</v>
      </c>
      <c r="J345" s="110">
        <v>0.0</v>
      </c>
      <c r="K345" s="107"/>
      <c r="L345" s="103"/>
      <c r="O345" s="111"/>
      <c r="P345" s="111"/>
      <c r="Q345" s="111"/>
      <c r="R345" s="111"/>
      <c r="S345" s="111"/>
      <c r="T345" s="111"/>
      <c r="U345" s="111"/>
      <c r="V345" s="111"/>
      <c r="W345" s="111"/>
      <c r="X345" s="111"/>
      <c r="Y345" s="111"/>
      <c r="Z345" s="111"/>
      <c r="AA345" s="111"/>
      <c r="AB345" s="111"/>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c r="BC345" s="111"/>
      <c r="BD345" s="103"/>
      <c r="BJ345" s="111"/>
      <c r="BK345" s="111"/>
      <c r="BL345" s="111"/>
      <c r="BM345" s="111"/>
      <c r="BN345" s="111"/>
      <c r="BO345" s="111"/>
      <c r="BP345" s="111"/>
      <c r="BQ345" s="111"/>
      <c r="BR345" s="111"/>
      <c r="BS345" s="111"/>
      <c r="BT345" s="111"/>
      <c r="BU345" s="111"/>
      <c r="BV345" s="111"/>
      <c r="BW345" s="111"/>
      <c r="BX345" s="111"/>
      <c r="BY345" s="111"/>
      <c r="BZ345" s="111"/>
    </row>
    <row r="346">
      <c r="A346" s="107" t="s">
        <v>3216</v>
      </c>
      <c r="B346" s="108">
        <v>28.0</v>
      </c>
      <c r="C346" s="108">
        <v>0.0</v>
      </c>
      <c r="D346" s="108">
        <v>0.0</v>
      </c>
      <c r="E346" s="108">
        <v>0.0</v>
      </c>
      <c r="F346" s="108">
        <v>835.0</v>
      </c>
      <c r="G346" s="108">
        <v>917504.0</v>
      </c>
      <c r="H346" s="109">
        <f t="shared" ref="H346:I346" si="344">F346/1024/1024/1024</f>
        <v>0.0000007776543498</v>
      </c>
      <c r="I346" s="109">
        <f t="shared" si="344"/>
        <v>0.0008544921875</v>
      </c>
      <c r="J346" s="110">
        <v>0.0</v>
      </c>
      <c r="K346" s="107"/>
      <c r="L346" s="103"/>
      <c r="O346" s="111"/>
      <c r="P346" s="111"/>
      <c r="Q346" s="111"/>
      <c r="R346" s="111"/>
      <c r="S346" s="111"/>
      <c r="T346" s="111"/>
      <c r="U346" s="111"/>
      <c r="V346" s="111"/>
      <c r="W346" s="111"/>
      <c r="X346" s="111"/>
      <c r="Y346" s="111"/>
      <c r="Z346" s="111"/>
      <c r="AA346" s="111"/>
      <c r="AB346" s="111"/>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c r="BC346" s="111"/>
      <c r="BD346" s="103"/>
      <c r="BJ346" s="111"/>
      <c r="BK346" s="111"/>
      <c r="BL346" s="111"/>
      <c r="BM346" s="111"/>
      <c r="BN346" s="111"/>
      <c r="BO346" s="111"/>
      <c r="BP346" s="111"/>
      <c r="BQ346" s="111"/>
      <c r="BR346" s="111"/>
      <c r="BS346" s="111"/>
      <c r="BT346" s="111"/>
      <c r="BU346" s="111"/>
      <c r="BV346" s="111"/>
      <c r="BW346" s="111"/>
      <c r="BX346" s="111"/>
      <c r="BY346" s="111"/>
      <c r="BZ346" s="111"/>
    </row>
    <row r="347">
      <c r="A347" s="107" t="s">
        <v>3217</v>
      </c>
      <c r="B347" s="108">
        <v>10.0</v>
      </c>
      <c r="C347" s="108">
        <v>0.0</v>
      </c>
      <c r="D347" s="108">
        <v>0.0</v>
      </c>
      <c r="E347" s="108">
        <v>0.0</v>
      </c>
      <c r="F347" s="108">
        <v>304.0</v>
      </c>
      <c r="G347" s="108">
        <v>327680.0</v>
      </c>
      <c r="H347" s="109">
        <f t="shared" ref="H347:I347" si="345">F347/1024/1024/1024</f>
        <v>0.0000002831220627</v>
      </c>
      <c r="I347" s="109">
        <f t="shared" si="345"/>
        <v>0.0003051757813</v>
      </c>
      <c r="J347" s="110">
        <v>0.0</v>
      </c>
      <c r="K347" s="107"/>
      <c r="L347" s="103"/>
      <c r="O347" s="111"/>
      <c r="P347" s="111"/>
      <c r="Q347" s="111"/>
      <c r="R347" s="111"/>
      <c r="S347" s="111"/>
      <c r="T347" s="111"/>
      <c r="U347" s="111"/>
      <c r="V347" s="111"/>
      <c r="W347" s="111"/>
      <c r="X347" s="111"/>
      <c r="Y347" s="111"/>
      <c r="Z347" s="111"/>
      <c r="AA347" s="111"/>
      <c r="AB347" s="111"/>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c r="BC347" s="111"/>
      <c r="BD347" s="111"/>
      <c r="BE347" s="103"/>
      <c r="BK347" s="111"/>
      <c r="BL347" s="111"/>
      <c r="BM347" s="111"/>
      <c r="BN347" s="111"/>
      <c r="BO347" s="111"/>
      <c r="BP347" s="111"/>
      <c r="BQ347" s="111"/>
      <c r="BR347" s="111"/>
      <c r="BS347" s="111"/>
      <c r="BT347" s="111"/>
      <c r="BU347" s="111"/>
      <c r="BV347" s="111"/>
      <c r="BW347" s="111"/>
      <c r="BX347" s="111"/>
      <c r="BY347" s="111"/>
      <c r="BZ347" s="111"/>
    </row>
    <row r="348">
      <c r="A348" s="107" t="s">
        <v>3218</v>
      </c>
      <c r="B348" s="108">
        <v>8.0</v>
      </c>
      <c r="C348" s="108">
        <v>0.0</v>
      </c>
      <c r="D348" s="108">
        <v>0.0</v>
      </c>
      <c r="E348" s="108">
        <v>0.0</v>
      </c>
      <c r="F348" s="108">
        <v>240.0</v>
      </c>
      <c r="G348" s="108">
        <v>262144.0</v>
      </c>
      <c r="H348" s="109">
        <f t="shared" ref="H348:I348" si="346">F348/1024/1024/1024</f>
        <v>0.0000002235174179</v>
      </c>
      <c r="I348" s="109">
        <f t="shared" si="346"/>
        <v>0.000244140625</v>
      </c>
      <c r="J348" s="110">
        <v>0.0</v>
      </c>
      <c r="K348" s="107"/>
      <c r="L348" s="103"/>
      <c r="O348" s="111"/>
      <c r="P348" s="111"/>
      <c r="Q348" s="111"/>
      <c r="R348" s="111"/>
      <c r="S348" s="111"/>
      <c r="T348" s="111"/>
      <c r="U348" s="111"/>
      <c r="V348" s="111"/>
      <c r="W348" s="111"/>
      <c r="X348" s="111"/>
      <c r="Y348" s="111"/>
      <c r="Z348" s="111"/>
      <c r="AA348" s="111"/>
      <c r="AB348" s="111"/>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c r="BC348" s="111"/>
      <c r="BD348" s="111"/>
      <c r="BE348" s="103"/>
      <c r="BJ348" s="111"/>
      <c r="BK348" s="111"/>
      <c r="BL348" s="111"/>
      <c r="BM348" s="111"/>
      <c r="BN348" s="111"/>
      <c r="BO348" s="111"/>
      <c r="BP348" s="111"/>
      <c r="BQ348" s="111"/>
      <c r="BR348" s="111"/>
      <c r="BS348" s="111"/>
      <c r="BT348" s="111"/>
      <c r="BU348" s="111"/>
      <c r="BV348" s="111"/>
      <c r="BW348" s="111"/>
      <c r="BX348" s="111"/>
      <c r="BY348" s="111"/>
      <c r="BZ348" s="111"/>
    </row>
    <row r="349">
      <c r="A349" s="107" t="s">
        <v>3219</v>
      </c>
      <c r="B349" s="108">
        <v>2.0</v>
      </c>
      <c r="C349" s="108">
        <v>0.0</v>
      </c>
      <c r="D349" s="108">
        <v>0.0</v>
      </c>
      <c r="E349" s="108">
        <v>0.0</v>
      </c>
      <c r="F349" s="108">
        <v>27.0</v>
      </c>
      <c r="G349" s="108">
        <v>65536.0</v>
      </c>
      <c r="H349" s="109">
        <f t="shared" ref="H349:I349" si="347">F349/1024/1024/1024</f>
        <v>0.00000002514570951</v>
      </c>
      <c r="I349" s="109">
        <f t="shared" si="347"/>
        <v>0.00006103515625</v>
      </c>
      <c r="J349" s="110">
        <v>0.0</v>
      </c>
      <c r="K349" s="107"/>
      <c r="L349" s="103"/>
      <c r="O349" s="111"/>
      <c r="P349" s="111"/>
      <c r="Q349" s="111"/>
      <c r="R349" s="111"/>
      <c r="S349" s="111"/>
      <c r="T349" s="111"/>
      <c r="U349" s="111"/>
      <c r="V349" s="111"/>
      <c r="W349" s="111"/>
      <c r="X349" s="111"/>
      <c r="Y349" s="111"/>
      <c r="Z349" s="111"/>
      <c r="AA349" s="111"/>
      <c r="AB349" s="111"/>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c r="BC349" s="111"/>
      <c r="BD349" s="111"/>
      <c r="BE349" s="103"/>
      <c r="BK349" s="111"/>
      <c r="BL349" s="111"/>
      <c r="BM349" s="111"/>
      <c r="BN349" s="111"/>
      <c r="BO349" s="111"/>
      <c r="BP349" s="111"/>
      <c r="BQ349" s="111"/>
      <c r="BR349" s="111"/>
      <c r="BS349" s="111"/>
      <c r="BT349" s="111"/>
      <c r="BU349" s="111"/>
      <c r="BV349" s="111"/>
      <c r="BW349" s="111"/>
      <c r="BX349" s="111"/>
      <c r="BY349" s="111"/>
      <c r="BZ349" s="111"/>
    </row>
    <row r="350">
      <c r="A350" s="107" t="s">
        <v>3220</v>
      </c>
      <c r="B350" s="108">
        <v>32.0</v>
      </c>
      <c r="C350" s="108">
        <v>0.0</v>
      </c>
      <c r="D350" s="108">
        <v>0.0</v>
      </c>
      <c r="E350" s="108">
        <v>0.0</v>
      </c>
      <c r="F350" s="108">
        <v>996.0</v>
      </c>
      <c r="G350" s="108">
        <v>1048576.0</v>
      </c>
      <c r="H350" s="109">
        <f t="shared" ref="H350:I350" si="348">F350/1024/1024/1024</f>
        <v>0.0000009275972843</v>
      </c>
      <c r="I350" s="109">
        <f t="shared" si="348"/>
        <v>0.0009765625</v>
      </c>
      <c r="J350" s="110">
        <v>0.0</v>
      </c>
      <c r="K350" s="107"/>
      <c r="L350" s="103"/>
      <c r="O350" s="111"/>
      <c r="P350" s="111"/>
      <c r="Q350" s="111"/>
      <c r="R350" s="111"/>
      <c r="S350" s="111"/>
      <c r="T350" s="111"/>
      <c r="U350" s="111"/>
      <c r="V350" s="111"/>
      <c r="W350" s="111"/>
      <c r="X350" s="111"/>
      <c r="Y350" s="111"/>
      <c r="Z350" s="111"/>
      <c r="AA350" s="111"/>
      <c r="AB350" s="111"/>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c r="BC350" s="111"/>
      <c r="BD350" s="111"/>
      <c r="BE350" s="103"/>
      <c r="BK350" s="111"/>
      <c r="BL350" s="111"/>
      <c r="BM350" s="111"/>
      <c r="BN350" s="111"/>
      <c r="BO350" s="111"/>
      <c r="BP350" s="111"/>
      <c r="BQ350" s="111"/>
      <c r="BR350" s="111"/>
      <c r="BS350" s="111"/>
      <c r="BT350" s="111"/>
      <c r="BU350" s="111"/>
      <c r="BV350" s="111"/>
      <c r="BW350" s="111"/>
      <c r="BX350" s="111"/>
      <c r="BY350" s="111"/>
      <c r="BZ350" s="111"/>
    </row>
    <row r="351">
      <c r="A351" s="107" t="s">
        <v>3221</v>
      </c>
      <c r="B351" s="108">
        <v>1.0</v>
      </c>
      <c r="C351" s="108">
        <v>0.0</v>
      </c>
      <c r="D351" s="108">
        <v>0.0</v>
      </c>
      <c r="E351" s="108">
        <v>0.0</v>
      </c>
      <c r="F351" s="108">
        <v>0.0</v>
      </c>
      <c r="G351" s="108">
        <v>32768.0</v>
      </c>
      <c r="H351" s="109">
        <f t="shared" ref="H351:I351" si="349">F351/1024/1024/1024</f>
        <v>0</v>
      </c>
      <c r="I351" s="109">
        <f t="shared" si="349"/>
        <v>0.00003051757813</v>
      </c>
      <c r="J351" s="110">
        <v>0.0</v>
      </c>
      <c r="K351" s="107"/>
      <c r="L351" s="103"/>
      <c r="O351" s="111"/>
      <c r="P351" s="111"/>
      <c r="Q351" s="111"/>
      <c r="R351" s="111"/>
      <c r="S351" s="111"/>
      <c r="T351" s="111"/>
      <c r="U351" s="111"/>
      <c r="V351" s="111"/>
      <c r="W351" s="111"/>
      <c r="X351" s="111"/>
      <c r="Y351" s="111"/>
      <c r="Z351" s="111"/>
      <c r="AA351" s="111"/>
      <c r="AB351" s="111"/>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c r="BC351" s="111"/>
      <c r="BD351" s="111"/>
      <c r="BE351" s="103"/>
      <c r="BK351" s="111"/>
      <c r="BL351" s="111"/>
      <c r="BM351" s="111"/>
      <c r="BN351" s="111"/>
      <c r="BO351" s="111"/>
      <c r="BP351" s="111"/>
      <c r="BQ351" s="111"/>
      <c r="BR351" s="111"/>
      <c r="BS351" s="111"/>
      <c r="BT351" s="111"/>
      <c r="BU351" s="111"/>
      <c r="BV351" s="111"/>
      <c r="BW351" s="111"/>
      <c r="BX351" s="111"/>
      <c r="BY351" s="111"/>
      <c r="BZ351" s="111"/>
    </row>
    <row r="352">
      <c r="A352" s="107" t="s">
        <v>3222</v>
      </c>
      <c r="B352" s="108">
        <v>55.0</v>
      </c>
      <c r="C352" s="108">
        <v>196.0</v>
      </c>
      <c r="D352" s="108">
        <v>0.0</v>
      </c>
      <c r="E352" s="108">
        <v>0.0</v>
      </c>
      <c r="F352" s="108">
        <v>9.10112436E8</v>
      </c>
      <c r="G352" s="108">
        <v>1.118486528E9</v>
      </c>
      <c r="H352" s="109">
        <f t="shared" ref="H352:I352" si="350">F352/1024/1024/1024</f>
        <v>0.8476082571</v>
      </c>
      <c r="I352" s="109">
        <f t="shared" si="350"/>
        <v>1.041671753</v>
      </c>
      <c r="J352" s="110">
        <v>0.0</v>
      </c>
      <c r="K352" s="107"/>
      <c r="L352" s="103"/>
      <c r="O352" s="111"/>
      <c r="P352" s="111"/>
      <c r="Q352" s="111"/>
      <c r="R352" s="111"/>
      <c r="S352" s="111"/>
      <c r="T352" s="111"/>
      <c r="U352" s="111"/>
      <c r="V352" s="111"/>
      <c r="W352" s="111"/>
      <c r="X352" s="111"/>
      <c r="Y352" s="111"/>
      <c r="Z352" s="111"/>
      <c r="AA352" s="111"/>
      <c r="AB352" s="111"/>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c r="BC352" s="111"/>
      <c r="BD352" s="111"/>
      <c r="BE352" s="103"/>
      <c r="BK352" s="111"/>
      <c r="BL352" s="111"/>
      <c r="BM352" s="111"/>
      <c r="BN352" s="111"/>
      <c r="BO352" s="111"/>
      <c r="BP352" s="111"/>
      <c r="BQ352" s="111"/>
      <c r="BR352" s="111"/>
      <c r="BS352" s="111"/>
      <c r="BT352" s="111"/>
      <c r="BU352" s="111"/>
      <c r="BV352" s="111"/>
      <c r="BW352" s="111"/>
      <c r="BX352" s="111"/>
      <c r="BY352" s="111"/>
      <c r="BZ352" s="111"/>
    </row>
    <row r="353">
      <c r="A353" s="107" t="s">
        <v>3223</v>
      </c>
      <c r="B353" s="108">
        <v>228.0</v>
      </c>
      <c r="C353" s="108">
        <v>1811.0</v>
      </c>
      <c r="D353" s="108">
        <v>0.0</v>
      </c>
      <c r="E353" s="108">
        <v>0.0</v>
      </c>
      <c r="F353" s="108">
        <v>1.547967293E9</v>
      </c>
      <c r="G353" s="108">
        <v>2.13590016E9</v>
      </c>
      <c r="H353" s="109">
        <f t="shared" ref="H353:I353" si="351">F353/1024/1024/1024</f>
        <v>1.441656885</v>
      </c>
      <c r="I353" s="109">
        <f t="shared" si="351"/>
        <v>1.989212036</v>
      </c>
      <c r="J353" s="110">
        <v>0.0</v>
      </c>
      <c r="K353" s="107"/>
      <c r="L353" s="103"/>
      <c r="O353" s="111"/>
      <c r="P353" s="111"/>
      <c r="Q353" s="111"/>
      <c r="R353" s="111"/>
      <c r="S353" s="111"/>
      <c r="T353" s="111"/>
      <c r="U353" s="111"/>
      <c r="V353" s="111"/>
      <c r="W353" s="111"/>
      <c r="X353" s="111"/>
      <c r="Y353" s="111"/>
      <c r="Z353" s="111"/>
      <c r="AA353" s="111"/>
      <c r="AB353" s="111"/>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c r="BC353" s="111"/>
      <c r="BD353" s="111"/>
      <c r="BE353" s="103"/>
      <c r="BK353" s="111"/>
      <c r="BL353" s="111"/>
      <c r="BM353" s="111"/>
      <c r="BN353" s="111"/>
      <c r="BO353" s="111"/>
      <c r="BP353" s="111"/>
      <c r="BQ353" s="111"/>
      <c r="BR353" s="111"/>
      <c r="BS353" s="111"/>
      <c r="BT353" s="111"/>
      <c r="BU353" s="111"/>
      <c r="BV353" s="111"/>
      <c r="BW353" s="111"/>
      <c r="BX353" s="111"/>
      <c r="BY353" s="111"/>
      <c r="BZ353" s="111"/>
    </row>
    <row r="354">
      <c r="A354" s="107" t="s">
        <v>3224</v>
      </c>
      <c r="B354" s="108">
        <v>4.0</v>
      </c>
      <c r="C354" s="108">
        <v>0.0</v>
      </c>
      <c r="D354" s="108">
        <v>0.0</v>
      </c>
      <c r="E354" s="108">
        <v>0.0</v>
      </c>
      <c r="F354" s="108">
        <v>84.0</v>
      </c>
      <c r="G354" s="108">
        <v>131072.0</v>
      </c>
      <c r="H354" s="109">
        <f t="shared" ref="H354:I354" si="352">F354/1024/1024/1024</f>
        <v>0.00000007823109627</v>
      </c>
      <c r="I354" s="109">
        <f t="shared" si="352"/>
        <v>0.0001220703125</v>
      </c>
      <c r="J354" s="110">
        <v>0.0</v>
      </c>
      <c r="K354" s="107"/>
      <c r="L354" s="103"/>
      <c r="O354" s="111"/>
      <c r="P354" s="111"/>
      <c r="Q354" s="111"/>
      <c r="R354" s="111"/>
      <c r="S354" s="111"/>
      <c r="T354" s="111"/>
      <c r="U354" s="111"/>
      <c r="V354" s="111"/>
      <c r="W354" s="111"/>
      <c r="X354" s="111"/>
      <c r="Y354" s="111"/>
      <c r="Z354" s="111"/>
      <c r="AA354" s="111"/>
      <c r="AB354" s="111"/>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c r="BC354" s="111"/>
      <c r="BD354" s="111"/>
      <c r="BE354" s="103"/>
      <c r="BK354" s="111"/>
      <c r="BL354" s="111"/>
      <c r="BM354" s="111"/>
      <c r="BN354" s="111"/>
      <c r="BO354" s="111"/>
      <c r="BP354" s="111"/>
      <c r="BQ354" s="111"/>
      <c r="BR354" s="111"/>
      <c r="BS354" s="111"/>
      <c r="BT354" s="111"/>
      <c r="BU354" s="111"/>
      <c r="BV354" s="111"/>
      <c r="BW354" s="111"/>
      <c r="BX354" s="111"/>
      <c r="BY354" s="111"/>
      <c r="BZ354" s="111"/>
    </row>
    <row r="355">
      <c r="A355" s="107" t="s">
        <v>3225</v>
      </c>
      <c r="B355" s="108">
        <v>12.0</v>
      </c>
      <c r="C355" s="108">
        <v>0.0</v>
      </c>
      <c r="D355" s="108">
        <v>0.0</v>
      </c>
      <c r="E355" s="108">
        <v>0.0</v>
      </c>
      <c r="F355" s="108">
        <v>385.0</v>
      </c>
      <c r="G355" s="108">
        <v>393216.0</v>
      </c>
      <c r="H355" s="109">
        <f t="shared" ref="H355:I355" si="353">F355/1024/1024/1024</f>
        <v>0.0000003585591912</v>
      </c>
      <c r="I355" s="109">
        <f t="shared" si="353"/>
        <v>0.0003662109375</v>
      </c>
      <c r="J355" s="110">
        <v>0.0</v>
      </c>
      <c r="K355" s="107"/>
      <c r="L355" s="103"/>
      <c r="O355" s="111"/>
      <c r="P355" s="111"/>
      <c r="Q355" s="111"/>
      <c r="R355" s="111"/>
      <c r="S355" s="111"/>
      <c r="T355" s="111"/>
      <c r="U355" s="111"/>
      <c r="V355" s="111"/>
      <c r="W355" s="111"/>
      <c r="X355" s="111"/>
      <c r="Y355" s="111"/>
      <c r="Z355" s="111"/>
      <c r="AA355" s="111"/>
      <c r="AB355" s="111"/>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c r="BC355" s="111"/>
      <c r="BD355" s="111"/>
      <c r="BE355" s="111"/>
      <c r="BF355" s="103"/>
      <c r="BL355" s="111"/>
      <c r="BM355" s="111"/>
      <c r="BN355" s="111"/>
      <c r="BO355" s="111"/>
      <c r="BP355" s="111"/>
      <c r="BQ355" s="111"/>
      <c r="BR355" s="111"/>
      <c r="BS355" s="111"/>
      <c r="BT355" s="111"/>
      <c r="BU355" s="111"/>
      <c r="BV355" s="111"/>
      <c r="BW355" s="111"/>
      <c r="BX355" s="111"/>
      <c r="BY355" s="111"/>
      <c r="BZ355" s="111"/>
    </row>
    <row r="356">
      <c r="A356" s="107" t="s">
        <v>3226</v>
      </c>
      <c r="B356" s="108">
        <v>10.0</v>
      </c>
      <c r="C356" s="108">
        <v>0.0</v>
      </c>
      <c r="D356" s="108">
        <v>0.0</v>
      </c>
      <c r="E356" s="108">
        <v>0.0</v>
      </c>
      <c r="F356" s="108">
        <v>290.0</v>
      </c>
      <c r="G356" s="108">
        <v>327680.0</v>
      </c>
      <c r="H356" s="109">
        <f t="shared" ref="H356:I356" si="354">F356/1024/1024/1024</f>
        <v>0.0000002700835466</v>
      </c>
      <c r="I356" s="109">
        <f t="shared" si="354"/>
        <v>0.0003051757813</v>
      </c>
      <c r="J356" s="110">
        <v>0.0</v>
      </c>
      <c r="K356" s="107"/>
      <c r="L356" s="103"/>
      <c r="O356" s="111"/>
      <c r="P356" s="111"/>
      <c r="Q356" s="111"/>
      <c r="R356" s="111"/>
      <c r="S356" s="111"/>
      <c r="T356" s="111"/>
      <c r="U356" s="111"/>
      <c r="V356" s="111"/>
      <c r="W356" s="111"/>
      <c r="X356" s="111"/>
      <c r="Y356" s="111"/>
      <c r="Z356" s="111"/>
      <c r="AA356" s="111"/>
      <c r="AB356" s="111"/>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c r="BC356" s="111"/>
      <c r="BD356" s="111"/>
      <c r="BE356" s="111"/>
      <c r="BF356" s="103"/>
      <c r="BL356" s="111"/>
      <c r="BM356" s="111"/>
      <c r="BN356" s="111"/>
      <c r="BO356" s="111"/>
      <c r="BP356" s="111"/>
      <c r="BQ356" s="111"/>
      <c r="BR356" s="111"/>
      <c r="BS356" s="111"/>
      <c r="BT356" s="111"/>
      <c r="BU356" s="111"/>
      <c r="BV356" s="111"/>
      <c r="BW356" s="111"/>
      <c r="BX356" s="111"/>
      <c r="BY356" s="111"/>
      <c r="BZ356" s="111"/>
    </row>
    <row r="357">
      <c r="A357" s="107" t="s">
        <v>3227</v>
      </c>
      <c r="B357" s="108">
        <v>4.0</v>
      </c>
      <c r="C357" s="108">
        <v>0.0</v>
      </c>
      <c r="D357" s="108">
        <v>0.0</v>
      </c>
      <c r="E357" s="108">
        <v>0.0</v>
      </c>
      <c r="F357" s="108">
        <v>97.0</v>
      </c>
      <c r="G357" s="108">
        <v>131072.0</v>
      </c>
      <c r="H357" s="109">
        <f t="shared" ref="H357:I357" si="355">F357/1024/1024/1024</f>
        <v>0.00000009033828974</v>
      </c>
      <c r="I357" s="109">
        <f t="shared" si="355"/>
        <v>0.0001220703125</v>
      </c>
      <c r="J357" s="110">
        <v>0.0</v>
      </c>
      <c r="K357" s="107"/>
      <c r="L357" s="103"/>
      <c r="O357" s="111"/>
      <c r="P357" s="111"/>
      <c r="Q357" s="111"/>
      <c r="R357" s="111"/>
      <c r="S357" s="111"/>
      <c r="T357" s="111"/>
      <c r="U357" s="111"/>
      <c r="V357" s="111"/>
      <c r="W357" s="111"/>
      <c r="X357" s="111"/>
      <c r="Y357" s="111"/>
      <c r="Z357" s="111"/>
      <c r="AA357" s="111"/>
      <c r="AB357" s="111"/>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c r="BC357" s="111"/>
      <c r="BD357" s="111"/>
      <c r="BE357" s="111"/>
      <c r="BF357" s="103"/>
      <c r="BL357" s="111"/>
      <c r="BM357" s="111"/>
      <c r="BN357" s="111"/>
      <c r="BO357" s="111"/>
      <c r="BP357" s="111"/>
      <c r="BQ357" s="111"/>
      <c r="BR357" s="111"/>
      <c r="BS357" s="111"/>
      <c r="BT357" s="111"/>
      <c r="BU357" s="111"/>
      <c r="BV357" s="111"/>
      <c r="BW357" s="111"/>
      <c r="BX357" s="111"/>
      <c r="BY357" s="111"/>
      <c r="BZ357" s="111"/>
    </row>
    <row r="358">
      <c r="A358" s="107" t="s">
        <v>3228</v>
      </c>
      <c r="B358" s="108">
        <v>6.0</v>
      </c>
      <c r="C358" s="108">
        <v>0.0</v>
      </c>
      <c r="D358" s="108">
        <v>0.0</v>
      </c>
      <c r="E358" s="108">
        <v>0.0</v>
      </c>
      <c r="F358" s="108">
        <v>151.0</v>
      </c>
      <c r="G358" s="108">
        <v>196608.0</v>
      </c>
      <c r="H358" s="109">
        <f t="shared" ref="H358:I358" si="356">F358/1024/1024/1024</f>
        <v>0.0000001406297088</v>
      </c>
      <c r="I358" s="109">
        <f t="shared" si="356"/>
        <v>0.0001831054688</v>
      </c>
      <c r="J358" s="110">
        <v>0.0</v>
      </c>
      <c r="K358" s="107"/>
      <c r="L358" s="103"/>
      <c r="O358" s="111"/>
      <c r="P358" s="111"/>
      <c r="Q358" s="111"/>
      <c r="R358" s="111"/>
      <c r="S358" s="111"/>
      <c r="T358" s="111"/>
      <c r="U358" s="111"/>
      <c r="V358" s="111"/>
      <c r="W358" s="111"/>
      <c r="X358" s="111"/>
      <c r="Y358" s="111"/>
      <c r="Z358" s="111"/>
      <c r="AA358" s="111"/>
      <c r="AB358" s="111"/>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c r="BC358" s="111"/>
      <c r="BD358" s="111"/>
      <c r="BE358" s="111"/>
      <c r="BF358" s="103"/>
      <c r="BM358" s="111"/>
      <c r="BN358" s="111"/>
      <c r="BO358" s="111"/>
      <c r="BP358" s="111"/>
      <c r="BQ358" s="111"/>
      <c r="BR358" s="111"/>
      <c r="BS358" s="111"/>
      <c r="BT358" s="111"/>
      <c r="BU358" s="111"/>
      <c r="BV358" s="111"/>
      <c r="BW358" s="111"/>
      <c r="BX358" s="111"/>
      <c r="BY358" s="111"/>
      <c r="BZ358" s="111"/>
    </row>
    <row r="359">
      <c r="A359" s="107" t="s">
        <v>3229</v>
      </c>
      <c r="B359" s="108">
        <v>10.0</v>
      </c>
      <c r="C359" s="108">
        <v>1.0</v>
      </c>
      <c r="D359" s="108">
        <v>0.0</v>
      </c>
      <c r="E359" s="108">
        <v>0.0</v>
      </c>
      <c r="F359" s="108">
        <v>87378.0</v>
      </c>
      <c r="G359" s="108">
        <v>622592.0</v>
      </c>
      <c r="H359" s="109">
        <f t="shared" ref="H359:I359" si="357">F359/1024/1024/1024</f>
        <v>0.00008137710392</v>
      </c>
      <c r="I359" s="109">
        <f t="shared" si="357"/>
        <v>0.0005798339844</v>
      </c>
      <c r="J359" s="110">
        <v>0.0</v>
      </c>
      <c r="K359" s="107"/>
      <c r="L359" s="103"/>
      <c r="O359" s="111"/>
      <c r="P359" s="111"/>
      <c r="Q359" s="111"/>
      <c r="R359" s="111"/>
      <c r="S359" s="111"/>
      <c r="T359" s="111"/>
      <c r="U359" s="111"/>
      <c r="V359" s="111"/>
      <c r="W359" s="111"/>
      <c r="X359" s="111"/>
      <c r="Y359" s="111"/>
      <c r="Z359" s="111"/>
      <c r="AA359" s="111"/>
      <c r="AB359" s="111"/>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c r="BC359" s="111"/>
      <c r="BD359" s="111"/>
      <c r="BE359" s="111"/>
      <c r="BF359" s="103"/>
      <c r="BK359" s="111"/>
      <c r="BL359" s="111"/>
      <c r="BM359" s="111"/>
      <c r="BN359" s="111"/>
      <c r="BO359" s="111"/>
      <c r="BP359" s="111"/>
      <c r="BQ359" s="111"/>
      <c r="BR359" s="111"/>
      <c r="BS359" s="111"/>
      <c r="BT359" s="111"/>
      <c r="BU359" s="111"/>
      <c r="BV359" s="111"/>
      <c r="BW359" s="111"/>
      <c r="BX359" s="111"/>
      <c r="BY359" s="111"/>
      <c r="BZ359" s="111"/>
    </row>
    <row r="360">
      <c r="A360" s="107" t="s">
        <v>3230</v>
      </c>
      <c r="B360" s="108">
        <v>610.0</v>
      </c>
      <c r="C360" s="108">
        <v>2554.0</v>
      </c>
      <c r="D360" s="108">
        <v>0.0</v>
      </c>
      <c r="E360" s="108">
        <v>0.0</v>
      </c>
      <c r="F360" s="108">
        <v>2.702376517E9</v>
      </c>
      <c r="G360" s="108">
        <v>3.629785088E9</v>
      </c>
      <c r="H360" s="109">
        <f t="shared" ref="H360:I360" si="358">F360/1024/1024/1024</f>
        <v>2.516784255</v>
      </c>
      <c r="I360" s="109">
        <f t="shared" si="358"/>
        <v>3.380500793</v>
      </c>
      <c r="J360" s="110">
        <v>0.0</v>
      </c>
      <c r="K360" s="107"/>
      <c r="L360" s="103"/>
      <c r="O360" s="111"/>
      <c r="P360" s="111"/>
      <c r="Q360" s="111"/>
      <c r="R360" s="111"/>
      <c r="S360" s="111"/>
      <c r="T360" s="111"/>
      <c r="U360" s="111"/>
      <c r="V360" s="111"/>
      <c r="W360" s="111"/>
      <c r="X360" s="111"/>
      <c r="Y360" s="111"/>
      <c r="Z360" s="111"/>
      <c r="AA360" s="111"/>
      <c r="AB360" s="111"/>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c r="BC360" s="111"/>
      <c r="BD360" s="111"/>
      <c r="BE360" s="111"/>
      <c r="BF360" s="103"/>
      <c r="BK360" s="111"/>
      <c r="BL360" s="111"/>
      <c r="BM360" s="111"/>
      <c r="BN360" s="111"/>
      <c r="BO360" s="111"/>
      <c r="BP360" s="111"/>
      <c r="BQ360" s="111"/>
      <c r="BR360" s="111"/>
      <c r="BS360" s="111"/>
      <c r="BT360" s="111"/>
      <c r="BU360" s="111"/>
      <c r="BV360" s="111"/>
      <c r="BW360" s="111"/>
      <c r="BX360" s="111"/>
      <c r="BY360" s="111"/>
      <c r="BZ360" s="111"/>
    </row>
    <row r="361">
      <c r="A361" s="107" t="s">
        <v>3231</v>
      </c>
      <c r="B361" s="108">
        <v>10.0</v>
      </c>
      <c r="C361" s="108">
        <v>0.0</v>
      </c>
      <c r="D361" s="108">
        <v>0.0</v>
      </c>
      <c r="E361" s="108">
        <v>0.0</v>
      </c>
      <c r="F361" s="108">
        <v>264.0</v>
      </c>
      <c r="G361" s="108">
        <v>327680.0</v>
      </c>
      <c r="H361" s="109">
        <f t="shared" ref="H361:I361" si="359">F361/1024/1024/1024</f>
        <v>0.0000002458691597</v>
      </c>
      <c r="I361" s="109">
        <f t="shared" si="359"/>
        <v>0.0003051757813</v>
      </c>
      <c r="J361" s="110">
        <v>0.0</v>
      </c>
      <c r="K361" s="107"/>
      <c r="L361" s="103"/>
      <c r="O361" s="111"/>
      <c r="P361" s="111"/>
      <c r="Q361" s="111"/>
      <c r="R361" s="111"/>
      <c r="S361" s="111"/>
      <c r="T361" s="111"/>
      <c r="U361" s="111"/>
      <c r="V361" s="111"/>
      <c r="W361" s="111"/>
      <c r="X361" s="111"/>
      <c r="Y361" s="111"/>
      <c r="Z361" s="111"/>
      <c r="AA361" s="111"/>
      <c r="AB361" s="111"/>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c r="BC361" s="111"/>
      <c r="BD361" s="111"/>
      <c r="BE361" s="111"/>
      <c r="BF361" s="103"/>
      <c r="BM361" s="111"/>
      <c r="BN361" s="111"/>
      <c r="BO361" s="111"/>
      <c r="BP361" s="111"/>
      <c r="BQ361" s="111"/>
      <c r="BR361" s="111"/>
      <c r="BS361" s="111"/>
      <c r="BT361" s="111"/>
      <c r="BU361" s="111"/>
      <c r="BV361" s="111"/>
      <c r="BW361" s="111"/>
      <c r="BX361" s="111"/>
      <c r="BY361" s="111"/>
      <c r="BZ361" s="111"/>
    </row>
    <row r="362">
      <c r="A362" s="107" t="s">
        <v>3232</v>
      </c>
      <c r="B362" s="108">
        <v>420.0</v>
      </c>
      <c r="C362" s="108">
        <v>2222.0</v>
      </c>
      <c r="D362" s="108">
        <v>0.0</v>
      </c>
      <c r="E362" s="108">
        <v>0.0</v>
      </c>
      <c r="F362" s="108">
        <v>2.89576845E9</v>
      </c>
      <c r="G362" s="108">
        <v>3.803799552E9</v>
      </c>
      <c r="H362" s="109">
        <f t="shared" ref="H362:I362" si="360">F362/1024/1024/1024</f>
        <v>2.696894528</v>
      </c>
      <c r="I362" s="109">
        <f t="shared" si="360"/>
        <v>3.542564392</v>
      </c>
      <c r="J362" s="110">
        <v>0.0</v>
      </c>
      <c r="K362" s="107"/>
      <c r="L362" s="103"/>
      <c r="O362" s="111"/>
      <c r="P362" s="111"/>
      <c r="Q362" s="111"/>
      <c r="R362" s="111"/>
      <c r="S362" s="111"/>
      <c r="T362" s="111"/>
      <c r="U362" s="111"/>
      <c r="V362" s="111"/>
      <c r="W362" s="111"/>
      <c r="X362" s="111"/>
      <c r="Y362" s="111"/>
      <c r="Z362" s="111"/>
      <c r="AA362" s="111"/>
      <c r="AB362" s="111"/>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c r="BC362" s="111"/>
      <c r="BD362" s="111"/>
      <c r="BE362" s="111"/>
      <c r="BF362" s="103"/>
      <c r="BM362" s="111"/>
      <c r="BN362" s="111"/>
      <c r="BO362" s="111"/>
      <c r="BP362" s="111"/>
      <c r="BQ362" s="111"/>
      <c r="BR362" s="111"/>
      <c r="BS362" s="111"/>
      <c r="BT362" s="111"/>
      <c r="BU362" s="111"/>
      <c r="BV362" s="111"/>
      <c r="BW362" s="111"/>
      <c r="BX362" s="111"/>
      <c r="BY362" s="111"/>
      <c r="BZ362" s="111"/>
    </row>
    <row r="363">
      <c r="A363" s="107" t="s">
        <v>3233</v>
      </c>
      <c r="B363" s="108">
        <v>11.0</v>
      </c>
      <c r="C363" s="108">
        <v>0.0</v>
      </c>
      <c r="D363" s="108">
        <v>0.0</v>
      </c>
      <c r="E363" s="108">
        <v>0.0</v>
      </c>
      <c r="F363" s="108">
        <v>307.0</v>
      </c>
      <c r="G363" s="108">
        <v>360448.0</v>
      </c>
      <c r="H363" s="109">
        <f t="shared" ref="H363:I363" si="361">F363/1024/1024/1024</f>
        <v>0.0000002859160304</v>
      </c>
      <c r="I363" s="109">
        <f t="shared" si="361"/>
        <v>0.0003356933594</v>
      </c>
      <c r="J363" s="110">
        <v>0.0</v>
      </c>
      <c r="K363" s="107"/>
      <c r="L363" s="103"/>
      <c r="O363" s="111"/>
      <c r="P363" s="111"/>
      <c r="Q363" s="111"/>
      <c r="R363" s="111"/>
      <c r="S363" s="111"/>
      <c r="T363" s="111"/>
      <c r="U363" s="111"/>
      <c r="V363" s="111"/>
      <c r="W363" s="111"/>
      <c r="X363" s="111"/>
      <c r="Y363" s="111"/>
      <c r="Z363" s="111"/>
      <c r="AA363" s="111"/>
      <c r="AB363" s="111"/>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c r="BC363" s="111"/>
      <c r="BD363" s="111"/>
      <c r="BE363" s="111"/>
      <c r="BF363" s="103"/>
      <c r="BN363" s="111"/>
      <c r="BO363" s="111"/>
      <c r="BP363" s="111"/>
      <c r="BQ363" s="111"/>
      <c r="BR363" s="111"/>
      <c r="BS363" s="111"/>
      <c r="BT363" s="111"/>
      <c r="BU363" s="111"/>
      <c r="BV363" s="111"/>
      <c r="BW363" s="111"/>
      <c r="BX363" s="111"/>
      <c r="BY363" s="111"/>
      <c r="BZ363" s="111"/>
    </row>
    <row r="364">
      <c r="A364" s="107" t="s">
        <v>3234</v>
      </c>
      <c r="B364" s="108">
        <v>3.0</v>
      </c>
      <c r="C364" s="108">
        <v>2.0</v>
      </c>
      <c r="D364" s="108">
        <v>0.0</v>
      </c>
      <c r="E364" s="108">
        <v>0.0</v>
      </c>
      <c r="F364" s="108">
        <v>1.9377003E7</v>
      </c>
      <c r="G364" s="108">
        <v>2.3502848E7</v>
      </c>
      <c r="H364" s="109">
        <f t="shared" ref="H364:I364" si="362">F364/1024/1024/1024</f>
        <v>0.01804624032</v>
      </c>
      <c r="I364" s="109">
        <f t="shared" si="362"/>
        <v>0.02188873291</v>
      </c>
      <c r="J364" s="110">
        <v>0.0</v>
      </c>
      <c r="K364" s="107"/>
      <c r="L364" s="103"/>
      <c r="O364" s="111"/>
      <c r="P364" s="111"/>
      <c r="Q364" s="111"/>
      <c r="R364" s="111"/>
      <c r="S364" s="111"/>
      <c r="T364" s="111"/>
      <c r="U364" s="111"/>
      <c r="V364" s="111"/>
      <c r="W364" s="111"/>
      <c r="X364" s="111"/>
      <c r="Y364" s="111"/>
      <c r="Z364" s="111"/>
      <c r="AA364" s="111"/>
      <c r="AB364" s="111"/>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c r="BC364" s="111"/>
      <c r="BD364" s="111"/>
      <c r="BE364" s="111"/>
      <c r="BF364" s="103"/>
      <c r="BL364" s="111"/>
      <c r="BM364" s="111"/>
      <c r="BN364" s="111"/>
      <c r="BO364" s="111"/>
      <c r="BP364" s="111"/>
      <c r="BQ364" s="111"/>
      <c r="BR364" s="111"/>
      <c r="BS364" s="111"/>
      <c r="BT364" s="111"/>
      <c r="BU364" s="111"/>
      <c r="BV364" s="111"/>
      <c r="BW364" s="111"/>
      <c r="BX364" s="111"/>
      <c r="BY364" s="111"/>
      <c r="BZ364" s="111"/>
    </row>
    <row r="365">
      <c r="A365" s="107" t="s">
        <v>3235</v>
      </c>
      <c r="B365" s="108">
        <v>1623.0</v>
      </c>
      <c r="C365" s="108">
        <v>24865.0</v>
      </c>
      <c r="D365" s="108">
        <v>0.0</v>
      </c>
      <c r="E365" s="108">
        <v>0.0</v>
      </c>
      <c r="F365" s="108">
        <v>5.808642726E9</v>
      </c>
      <c r="G365" s="108">
        <v>8.61130752E9</v>
      </c>
      <c r="H365" s="109">
        <f t="shared" ref="H365:I365" si="363">F365/1024/1024/1024</f>
        <v>5.409720099</v>
      </c>
      <c r="I365" s="109">
        <f t="shared" si="363"/>
        <v>8.01990509</v>
      </c>
      <c r="J365" s="110">
        <v>0.0</v>
      </c>
      <c r="K365" s="107"/>
      <c r="L365" s="103"/>
      <c r="O365" s="111"/>
      <c r="P365" s="111"/>
      <c r="Q365" s="111"/>
      <c r="R365" s="111"/>
      <c r="S365" s="111"/>
      <c r="T365" s="111"/>
      <c r="U365" s="111"/>
      <c r="V365" s="111"/>
      <c r="W365" s="111"/>
      <c r="X365" s="111"/>
      <c r="Y365" s="111"/>
      <c r="Z365" s="111"/>
      <c r="AA365" s="111"/>
      <c r="AB365" s="111"/>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c r="BC365" s="111"/>
      <c r="BD365" s="111"/>
      <c r="BE365" s="111"/>
      <c r="BF365" s="103"/>
      <c r="BM365" s="111"/>
      <c r="BN365" s="111"/>
      <c r="BO365" s="111"/>
      <c r="BP365" s="111"/>
      <c r="BQ365" s="111"/>
      <c r="BR365" s="111"/>
      <c r="BS365" s="111"/>
      <c r="BT365" s="111"/>
      <c r="BU365" s="111"/>
      <c r="BV365" s="111"/>
      <c r="BW365" s="111"/>
      <c r="BX365" s="111"/>
      <c r="BY365" s="111"/>
      <c r="BZ365" s="111"/>
    </row>
    <row r="366">
      <c r="A366" s="107" t="s">
        <v>3236</v>
      </c>
      <c r="B366" s="108">
        <v>1439.0</v>
      </c>
      <c r="C366" s="108">
        <v>16150.0</v>
      </c>
      <c r="D366" s="108">
        <v>0.0</v>
      </c>
      <c r="E366" s="108">
        <v>0.0</v>
      </c>
      <c r="F366" s="108">
        <v>8.98566681E9</v>
      </c>
      <c r="G366" s="108">
        <v>1.2168617984E10</v>
      </c>
      <c r="H366" s="109">
        <f t="shared" ref="H366:I366" si="364">F366/1024/1024/1024</f>
        <v>8.368554348</v>
      </c>
      <c r="I366" s="109">
        <f t="shared" si="364"/>
        <v>11.33290863</v>
      </c>
      <c r="J366" s="110">
        <v>0.0</v>
      </c>
      <c r="K366" s="107"/>
      <c r="L366" s="103"/>
      <c r="O366" s="111"/>
      <c r="P366" s="111"/>
      <c r="Q366" s="111"/>
      <c r="R366" s="111"/>
      <c r="S366" s="111"/>
      <c r="T366" s="111"/>
      <c r="U366" s="111"/>
      <c r="V366" s="111"/>
      <c r="W366" s="111"/>
      <c r="X366" s="111"/>
      <c r="Y366" s="111"/>
      <c r="Z366" s="111"/>
      <c r="AA366" s="111"/>
      <c r="AB366" s="111"/>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c r="BC366" s="111"/>
      <c r="BD366" s="111"/>
      <c r="BE366" s="111"/>
      <c r="BF366" s="103"/>
      <c r="BM366" s="111"/>
      <c r="BN366" s="111"/>
      <c r="BO366" s="111"/>
      <c r="BP366" s="111"/>
      <c r="BQ366" s="111"/>
      <c r="BR366" s="111"/>
      <c r="BS366" s="111"/>
      <c r="BT366" s="111"/>
      <c r="BU366" s="111"/>
      <c r="BV366" s="111"/>
      <c r="BW366" s="111"/>
      <c r="BX366" s="111"/>
      <c r="BY366" s="111"/>
      <c r="BZ366" s="111"/>
    </row>
    <row r="367">
      <c r="A367" s="107" t="s">
        <v>3237</v>
      </c>
      <c r="B367" s="108">
        <v>9.0</v>
      </c>
      <c r="C367" s="108">
        <v>0.0</v>
      </c>
      <c r="D367" s="108">
        <v>0.0</v>
      </c>
      <c r="E367" s="108">
        <v>0.0</v>
      </c>
      <c r="F367" s="108">
        <v>325.0</v>
      </c>
      <c r="G367" s="108">
        <v>294912.0</v>
      </c>
      <c r="H367" s="109">
        <f t="shared" ref="H367:I367" si="365">F367/1024/1024/1024</f>
        <v>0.0000003026798368</v>
      </c>
      <c r="I367" s="109">
        <f t="shared" si="365"/>
        <v>0.0002746582031</v>
      </c>
      <c r="J367" s="110">
        <v>0.0</v>
      </c>
      <c r="K367" s="107"/>
      <c r="L367" s="103"/>
      <c r="O367" s="111"/>
      <c r="P367" s="111"/>
      <c r="Q367" s="111"/>
      <c r="R367" s="111"/>
      <c r="S367" s="111"/>
      <c r="T367" s="111"/>
      <c r="U367" s="111"/>
      <c r="V367" s="111"/>
      <c r="W367" s="111"/>
      <c r="X367" s="111"/>
      <c r="Y367" s="111"/>
      <c r="Z367" s="111"/>
      <c r="AA367" s="111"/>
      <c r="AB367" s="111"/>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03"/>
      <c r="BL367" s="111"/>
      <c r="BM367" s="111"/>
      <c r="BN367" s="111"/>
      <c r="BO367" s="111"/>
      <c r="BP367" s="111"/>
      <c r="BQ367" s="111"/>
      <c r="BR367" s="111"/>
      <c r="BS367" s="111"/>
      <c r="BT367" s="111"/>
      <c r="BU367" s="111"/>
      <c r="BV367" s="111"/>
      <c r="BW367" s="111"/>
      <c r="BX367" s="111"/>
      <c r="BY367" s="111"/>
      <c r="BZ367" s="111"/>
    </row>
    <row r="368">
      <c r="A368" s="107" t="s">
        <v>3238</v>
      </c>
      <c r="B368" s="108">
        <v>12.0</v>
      </c>
      <c r="C368" s="108">
        <v>0.0</v>
      </c>
      <c r="D368" s="108">
        <v>0.0</v>
      </c>
      <c r="E368" s="108">
        <v>0.0</v>
      </c>
      <c r="F368" s="108">
        <v>326.0</v>
      </c>
      <c r="G368" s="108">
        <v>393216.0</v>
      </c>
      <c r="H368" s="109">
        <f t="shared" ref="H368:I368" si="366">F368/1024/1024/1024</f>
        <v>0.0000003036111593</v>
      </c>
      <c r="I368" s="109">
        <f t="shared" si="366"/>
        <v>0.0003662109375</v>
      </c>
      <c r="J368" s="110">
        <v>0.0</v>
      </c>
      <c r="K368" s="107"/>
      <c r="L368" s="103"/>
      <c r="O368" s="111"/>
      <c r="P368" s="111"/>
      <c r="Q368" s="111"/>
      <c r="R368" s="111"/>
      <c r="S368" s="111"/>
      <c r="T368" s="111"/>
      <c r="U368" s="111"/>
      <c r="V368" s="111"/>
      <c r="W368" s="111"/>
      <c r="X368" s="111"/>
      <c r="Y368" s="111"/>
      <c r="Z368" s="111"/>
      <c r="AA368" s="111"/>
      <c r="AB368" s="111"/>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c r="BC368" s="111"/>
      <c r="BD368" s="111"/>
      <c r="BE368" s="111"/>
      <c r="BF368" s="103"/>
      <c r="BN368" s="111"/>
      <c r="BO368" s="111"/>
      <c r="BP368" s="111"/>
      <c r="BQ368" s="111"/>
      <c r="BR368" s="111"/>
      <c r="BS368" s="111"/>
      <c r="BT368" s="111"/>
      <c r="BU368" s="111"/>
      <c r="BV368" s="111"/>
      <c r="BW368" s="111"/>
      <c r="BX368" s="111"/>
      <c r="BY368" s="111"/>
      <c r="BZ368" s="111"/>
    </row>
    <row r="369">
      <c r="A369" s="107" t="s">
        <v>3239</v>
      </c>
      <c r="B369" s="108">
        <v>11.0</v>
      </c>
      <c r="C369" s="108">
        <v>0.0</v>
      </c>
      <c r="D369" s="108">
        <v>0.0</v>
      </c>
      <c r="E369" s="108">
        <v>0.0</v>
      </c>
      <c r="F369" s="108">
        <v>334.0</v>
      </c>
      <c r="G369" s="108">
        <v>360448.0</v>
      </c>
      <c r="H369" s="109">
        <f t="shared" ref="H369:I369" si="367">F369/1024/1024/1024</f>
        <v>0.0000003110617399</v>
      </c>
      <c r="I369" s="109">
        <f t="shared" si="367"/>
        <v>0.0003356933594</v>
      </c>
      <c r="J369" s="110">
        <v>0.0</v>
      </c>
      <c r="K369" s="107"/>
      <c r="L369" s="103"/>
      <c r="O369" s="111"/>
      <c r="P369" s="111"/>
      <c r="Q369" s="111"/>
      <c r="R369" s="111"/>
      <c r="S369" s="111"/>
      <c r="T369" s="111"/>
      <c r="U369" s="111"/>
      <c r="V369" s="111"/>
      <c r="W369" s="111"/>
      <c r="X369" s="111"/>
      <c r="Y369" s="111"/>
      <c r="Z369" s="111"/>
      <c r="AA369" s="111"/>
      <c r="AB369" s="111"/>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c r="BC369" s="111"/>
      <c r="BD369" s="111"/>
      <c r="BE369" s="111"/>
      <c r="BF369" s="103"/>
      <c r="BL369" s="111"/>
      <c r="BM369" s="111"/>
      <c r="BN369" s="111"/>
      <c r="BO369" s="111"/>
      <c r="BP369" s="111"/>
      <c r="BQ369" s="111"/>
      <c r="BR369" s="111"/>
      <c r="BS369" s="111"/>
      <c r="BT369" s="111"/>
      <c r="BU369" s="111"/>
      <c r="BV369" s="111"/>
      <c r="BW369" s="111"/>
      <c r="BX369" s="111"/>
      <c r="BY369" s="111"/>
      <c r="BZ369" s="111"/>
    </row>
    <row r="370">
      <c r="A370" s="107" t="s">
        <v>3240</v>
      </c>
      <c r="B370" s="108">
        <v>14.0</v>
      </c>
      <c r="C370" s="108">
        <v>0.0</v>
      </c>
      <c r="D370" s="108">
        <v>0.0</v>
      </c>
      <c r="E370" s="108">
        <v>0.0</v>
      </c>
      <c r="F370" s="108">
        <v>423.0</v>
      </c>
      <c r="G370" s="108">
        <v>458752.0</v>
      </c>
      <c r="H370" s="109">
        <f t="shared" ref="H370:I370" si="368">F370/1024/1024/1024</f>
        <v>0.0000003939494491</v>
      </c>
      <c r="I370" s="109">
        <f t="shared" si="368"/>
        <v>0.0004272460938</v>
      </c>
      <c r="J370" s="110">
        <v>0.0</v>
      </c>
      <c r="K370" s="107"/>
      <c r="L370" s="103"/>
      <c r="O370" s="111"/>
      <c r="P370" s="111"/>
      <c r="Q370" s="111"/>
      <c r="R370" s="111"/>
      <c r="S370" s="111"/>
      <c r="T370" s="111"/>
      <c r="U370" s="111"/>
      <c r="V370" s="111"/>
      <c r="W370" s="111"/>
      <c r="X370" s="111"/>
      <c r="Y370" s="111"/>
      <c r="Z370" s="111"/>
      <c r="AA370" s="111"/>
      <c r="AB370" s="111"/>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c r="BC370" s="111"/>
      <c r="BD370" s="111"/>
      <c r="BE370" s="111"/>
      <c r="BF370" s="103"/>
      <c r="BM370" s="111"/>
      <c r="BN370" s="111"/>
      <c r="BO370" s="111"/>
      <c r="BP370" s="111"/>
      <c r="BQ370" s="111"/>
      <c r="BR370" s="111"/>
      <c r="BS370" s="111"/>
      <c r="BT370" s="111"/>
      <c r="BU370" s="111"/>
      <c r="BV370" s="111"/>
      <c r="BW370" s="111"/>
      <c r="BX370" s="111"/>
      <c r="BY370" s="111"/>
      <c r="BZ370" s="111"/>
    </row>
    <row r="371">
      <c r="A371" s="107" t="s">
        <v>3241</v>
      </c>
      <c r="B371" s="108">
        <v>12.0</v>
      </c>
      <c r="C371" s="108">
        <v>3.0</v>
      </c>
      <c r="D371" s="108">
        <v>0.0</v>
      </c>
      <c r="E371" s="108">
        <v>0.0</v>
      </c>
      <c r="F371" s="108">
        <v>206827.0</v>
      </c>
      <c r="G371" s="108">
        <v>925696.0</v>
      </c>
      <c r="H371" s="109">
        <f t="shared" ref="H371:I371" si="369">F371/1024/1024/1024</f>
        <v>0.0001926226541</v>
      </c>
      <c r="I371" s="109">
        <f t="shared" si="369"/>
        <v>0.000862121582</v>
      </c>
      <c r="J371" s="110">
        <v>0.0</v>
      </c>
      <c r="K371" s="107"/>
      <c r="L371" s="103"/>
      <c r="O371" s="111"/>
      <c r="P371" s="111"/>
      <c r="Q371" s="111"/>
      <c r="R371" s="111"/>
      <c r="S371" s="111"/>
      <c r="T371" s="111"/>
      <c r="U371" s="111"/>
      <c r="V371" s="111"/>
      <c r="W371" s="111"/>
      <c r="X371" s="111"/>
      <c r="Y371" s="111"/>
      <c r="Z371" s="111"/>
      <c r="AA371" s="111"/>
      <c r="AB371" s="111"/>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c r="BC371" s="111"/>
      <c r="BD371" s="111"/>
      <c r="BE371" s="111"/>
      <c r="BF371" s="103"/>
      <c r="BK371" s="111"/>
      <c r="BL371" s="111"/>
      <c r="BM371" s="111"/>
      <c r="BN371" s="111"/>
      <c r="BO371" s="111"/>
      <c r="BP371" s="111"/>
      <c r="BQ371" s="111"/>
      <c r="BR371" s="111"/>
      <c r="BS371" s="111"/>
      <c r="BT371" s="111"/>
      <c r="BU371" s="111"/>
      <c r="BV371" s="111"/>
      <c r="BW371" s="111"/>
      <c r="BX371" s="111"/>
      <c r="BY371" s="111"/>
      <c r="BZ371" s="111"/>
    </row>
    <row r="372">
      <c r="A372" s="107" t="s">
        <v>3242</v>
      </c>
      <c r="B372" s="108">
        <v>16.0</v>
      </c>
      <c r="C372" s="108">
        <v>12.0</v>
      </c>
      <c r="D372" s="108">
        <v>0.0</v>
      </c>
      <c r="E372" s="108">
        <v>0.0</v>
      </c>
      <c r="F372" s="108">
        <v>1.081022E7</v>
      </c>
      <c r="G372" s="108">
        <v>1.4352384E7</v>
      </c>
      <c r="H372" s="109">
        <f t="shared" ref="H372:I372" si="370">F372/1024/1024/1024</f>
        <v>0.01006780192</v>
      </c>
      <c r="I372" s="109">
        <f t="shared" si="370"/>
        <v>0.01336669922</v>
      </c>
      <c r="J372" s="110">
        <v>0.0</v>
      </c>
      <c r="K372" s="107"/>
      <c r="L372" s="103"/>
      <c r="O372" s="111"/>
      <c r="P372" s="111"/>
      <c r="Q372" s="111"/>
      <c r="R372" s="111"/>
      <c r="S372" s="111"/>
      <c r="T372" s="111"/>
      <c r="U372" s="111"/>
      <c r="V372" s="111"/>
      <c r="W372" s="111"/>
      <c r="X372" s="111"/>
      <c r="Y372" s="111"/>
      <c r="Z372" s="111"/>
      <c r="AA372" s="111"/>
      <c r="AB372" s="111"/>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c r="BC372" s="111"/>
      <c r="BD372" s="111"/>
      <c r="BE372" s="111"/>
      <c r="BF372" s="111"/>
      <c r="BG372" s="103"/>
      <c r="BM372" s="111"/>
      <c r="BN372" s="111"/>
      <c r="BO372" s="111"/>
      <c r="BP372" s="111"/>
      <c r="BQ372" s="111"/>
      <c r="BR372" s="111"/>
      <c r="BS372" s="111"/>
      <c r="BT372" s="111"/>
      <c r="BU372" s="111"/>
      <c r="BV372" s="111"/>
      <c r="BW372" s="111"/>
      <c r="BX372" s="111"/>
      <c r="BY372" s="111"/>
      <c r="BZ372" s="111"/>
    </row>
    <row r="373">
      <c r="A373" s="107" t="s">
        <v>3243</v>
      </c>
      <c r="B373" s="108">
        <v>11.0</v>
      </c>
      <c r="C373" s="108">
        <v>0.0</v>
      </c>
      <c r="D373" s="108">
        <v>0.0</v>
      </c>
      <c r="E373" s="108">
        <v>0.0</v>
      </c>
      <c r="F373" s="108">
        <v>341.0</v>
      </c>
      <c r="G373" s="108">
        <v>360448.0</v>
      </c>
      <c r="H373" s="109">
        <f t="shared" ref="H373:I373" si="371">F373/1024/1024/1024</f>
        <v>0.0000003175809979</v>
      </c>
      <c r="I373" s="109">
        <f t="shared" si="371"/>
        <v>0.0003356933594</v>
      </c>
      <c r="J373" s="110">
        <v>0.0</v>
      </c>
      <c r="K373" s="107"/>
      <c r="L373" s="103"/>
      <c r="O373" s="111"/>
      <c r="P373" s="111"/>
      <c r="Q373" s="111"/>
      <c r="R373" s="111"/>
      <c r="S373" s="111"/>
      <c r="T373" s="111"/>
      <c r="U373" s="111"/>
      <c r="V373" s="111"/>
      <c r="W373" s="111"/>
      <c r="X373" s="111"/>
      <c r="Y373" s="111"/>
      <c r="Z373" s="111"/>
      <c r="AA373" s="111"/>
      <c r="AB373" s="111"/>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c r="BC373" s="111"/>
      <c r="BD373" s="111"/>
      <c r="BE373" s="111"/>
      <c r="BF373" s="111"/>
      <c r="BG373" s="103"/>
      <c r="BM373" s="111"/>
      <c r="BN373" s="111"/>
      <c r="BO373" s="111"/>
      <c r="BP373" s="111"/>
      <c r="BQ373" s="111"/>
      <c r="BR373" s="111"/>
      <c r="BS373" s="111"/>
      <c r="BT373" s="111"/>
      <c r="BU373" s="111"/>
      <c r="BV373" s="111"/>
      <c r="BW373" s="111"/>
      <c r="BX373" s="111"/>
      <c r="BY373" s="111"/>
      <c r="BZ373" s="111"/>
    </row>
    <row r="374">
      <c r="A374" s="107" t="s">
        <v>3244</v>
      </c>
      <c r="B374" s="108">
        <v>151.0</v>
      </c>
      <c r="C374" s="108">
        <v>1323.0</v>
      </c>
      <c r="D374" s="108">
        <v>0.0</v>
      </c>
      <c r="E374" s="108">
        <v>0.0</v>
      </c>
      <c r="F374" s="108">
        <v>9.40951334E8</v>
      </c>
      <c r="G374" s="108">
        <v>1.340628992E9</v>
      </c>
      <c r="H374" s="109">
        <f t="shared" ref="H374:I374" si="372">F374/1024/1024/1024</f>
        <v>0.876329219</v>
      </c>
      <c r="I374" s="109">
        <f t="shared" si="372"/>
        <v>1.248558044</v>
      </c>
      <c r="J374" s="110">
        <v>0.0</v>
      </c>
      <c r="K374" s="107"/>
      <c r="L374" s="103"/>
      <c r="O374" s="111"/>
      <c r="P374" s="111"/>
      <c r="Q374" s="111"/>
      <c r="R374" s="111"/>
      <c r="S374" s="111"/>
      <c r="T374" s="111"/>
      <c r="U374" s="111"/>
      <c r="V374" s="111"/>
      <c r="W374" s="111"/>
      <c r="X374" s="111"/>
      <c r="Y374" s="111"/>
      <c r="Z374" s="111"/>
      <c r="AA374" s="111"/>
      <c r="AB374" s="111"/>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c r="BC374" s="111"/>
      <c r="BD374" s="111"/>
      <c r="BE374" s="111"/>
      <c r="BF374" s="111"/>
      <c r="BG374" s="103"/>
      <c r="BM374" s="111"/>
      <c r="BN374" s="111"/>
      <c r="BO374" s="111"/>
      <c r="BP374" s="111"/>
      <c r="BQ374" s="111"/>
      <c r="BR374" s="111"/>
      <c r="BS374" s="111"/>
      <c r="BT374" s="111"/>
      <c r="BU374" s="111"/>
      <c r="BV374" s="111"/>
      <c r="BW374" s="111"/>
      <c r="BX374" s="111"/>
      <c r="BY374" s="111"/>
      <c r="BZ374" s="111"/>
    </row>
    <row r="375">
      <c r="A375" s="107" t="s">
        <v>3245</v>
      </c>
      <c r="B375" s="108">
        <v>10.0</v>
      </c>
      <c r="C375" s="108">
        <v>0.0</v>
      </c>
      <c r="D375" s="108">
        <v>0.0</v>
      </c>
      <c r="E375" s="108">
        <v>0.0</v>
      </c>
      <c r="F375" s="108">
        <v>274.0</v>
      </c>
      <c r="G375" s="108">
        <v>327680.0</v>
      </c>
      <c r="H375" s="109">
        <f t="shared" ref="H375:I375" si="373">F375/1024/1024/1024</f>
        <v>0.0000002551823854</v>
      </c>
      <c r="I375" s="109">
        <f t="shared" si="373"/>
        <v>0.0003051757813</v>
      </c>
      <c r="J375" s="110">
        <v>0.0</v>
      </c>
      <c r="K375" s="107"/>
      <c r="L375" s="103"/>
      <c r="O375" s="111"/>
      <c r="P375" s="111"/>
      <c r="Q375" s="111"/>
      <c r="R375" s="111"/>
      <c r="S375" s="111"/>
      <c r="T375" s="111"/>
      <c r="U375" s="111"/>
      <c r="V375" s="111"/>
      <c r="W375" s="111"/>
      <c r="X375" s="111"/>
      <c r="Y375" s="111"/>
      <c r="Z375" s="111"/>
      <c r="AA375" s="111"/>
      <c r="AB375" s="111"/>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c r="BC375" s="111"/>
      <c r="BD375" s="111"/>
      <c r="BE375" s="111"/>
      <c r="BF375" s="111"/>
      <c r="BG375" s="103"/>
      <c r="BN375" s="111"/>
      <c r="BO375" s="111"/>
      <c r="BP375" s="111"/>
      <c r="BQ375" s="111"/>
      <c r="BR375" s="111"/>
      <c r="BS375" s="111"/>
      <c r="BT375" s="111"/>
      <c r="BU375" s="111"/>
      <c r="BV375" s="111"/>
      <c r="BW375" s="111"/>
      <c r="BX375" s="111"/>
      <c r="BY375" s="111"/>
      <c r="BZ375" s="111"/>
    </row>
    <row r="376">
      <c r="A376" s="107" t="s">
        <v>3246</v>
      </c>
      <c r="B376" s="108">
        <v>8007.0</v>
      </c>
      <c r="C376" s="108">
        <v>38713.0</v>
      </c>
      <c r="D376" s="108">
        <v>0.0</v>
      </c>
      <c r="E376" s="108">
        <v>0.0</v>
      </c>
      <c r="F376" s="108">
        <v>4.4770723772E10</v>
      </c>
      <c r="G376" s="108">
        <v>5.9779997696E10</v>
      </c>
      <c r="H376" s="109">
        <f t="shared" ref="H376:I376" si="374">F376/1024/1024/1024</f>
        <v>41.69598573</v>
      </c>
      <c r="I376" s="109">
        <f t="shared" si="374"/>
        <v>55.67446136</v>
      </c>
      <c r="J376" s="110">
        <v>0.0</v>
      </c>
      <c r="K376" s="107"/>
      <c r="L376" s="103"/>
      <c r="P376" s="111"/>
      <c r="Q376" s="111"/>
      <c r="R376" s="111"/>
      <c r="S376" s="111"/>
      <c r="T376" s="111"/>
      <c r="U376" s="111"/>
      <c r="V376" s="111"/>
      <c r="W376" s="111"/>
      <c r="X376" s="111"/>
      <c r="Y376" s="111"/>
      <c r="Z376" s="111"/>
      <c r="AA376" s="111"/>
      <c r="AB376" s="111"/>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c r="BC376" s="111"/>
      <c r="BD376" s="111"/>
      <c r="BE376" s="111"/>
      <c r="BF376" s="111"/>
      <c r="BG376" s="111"/>
      <c r="BH376" s="103"/>
      <c r="BP376" s="111"/>
      <c r="BQ376" s="111"/>
      <c r="BR376" s="111"/>
      <c r="BS376" s="111"/>
      <c r="BT376" s="111"/>
      <c r="BU376" s="111"/>
      <c r="BV376" s="111"/>
      <c r="BW376" s="111"/>
      <c r="BX376" s="111"/>
      <c r="BY376" s="111"/>
      <c r="BZ376" s="111"/>
    </row>
    <row r="377">
      <c r="A377" s="107" t="s">
        <v>3247</v>
      </c>
      <c r="B377" s="108">
        <v>20191.0</v>
      </c>
      <c r="C377" s="108">
        <v>145455.0</v>
      </c>
      <c r="D377" s="108">
        <v>0.0</v>
      </c>
      <c r="E377" s="108">
        <v>0.0</v>
      </c>
      <c r="F377" s="108">
        <v>5.79509514849E11</v>
      </c>
      <c r="G377" s="108">
        <v>7.17993951232E11</v>
      </c>
      <c r="H377" s="109">
        <f t="shared" ref="H377:I377" si="375">F377/1024/1024/1024</f>
        <v>539.7102934</v>
      </c>
      <c r="I377" s="109">
        <f t="shared" si="375"/>
        <v>668.6839752</v>
      </c>
      <c r="J377" s="110">
        <v>0.0</v>
      </c>
      <c r="K377" s="107"/>
      <c r="L377" s="103"/>
      <c r="P377" s="111"/>
      <c r="Q377" s="111"/>
      <c r="R377" s="111"/>
      <c r="S377" s="111"/>
      <c r="T377" s="111"/>
      <c r="U377" s="111"/>
      <c r="V377" s="111"/>
      <c r="W377" s="111"/>
      <c r="X377" s="111"/>
      <c r="Y377" s="111"/>
      <c r="Z377" s="111"/>
      <c r="AA377" s="111"/>
      <c r="AB377" s="111"/>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c r="BC377" s="111"/>
      <c r="BD377" s="111"/>
      <c r="BE377" s="111"/>
      <c r="BF377" s="111"/>
      <c r="BG377" s="111"/>
      <c r="BH377" s="103"/>
      <c r="BO377" s="111"/>
      <c r="BP377" s="111"/>
      <c r="BQ377" s="111"/>
      <c r="BR377" s="111"/>
      <c r="BS377" s="111"/>
      <c r="BT377" s="111"/>
      <c r="BU377" s="111"/>
      <c r="BV377" s="111"/>
      <c r="BW377" s="111"/>
      <c r="BX377" s="111"/>
      <c r="BY377" s="111"/>
      <c r="BZ377" s="111"/>
    </row>
    <row r="378">
      <c r="A378" s="107" t="s">
        <v>3248</v>
      </c>
      <c r="B378" s="108">
        <v>39.0</v>
      </c>
      <c r="C378" s="108">
        <v>20.0</v>
      </c>
      <c r="D378" s="108">
        <v>0.0</v>
      </c>
      <c r="E378" s="108">
        <v>0.0</v>
      </c>
      <c r="F378" s="108">
        <v>2.1434211E7</v>
      </c>
      <c r="G378" s="108">
        <v>3.0736384E7</v>
      </c>
      <c r="H378" s="109">
        <f t="shared" ref="H378:I378" si="376">F378/1024/1024/1024</f>
        <v>0.01996216457</v>
      </c>
      <c r="I378" s="109">
        <f t="shared" si="376"/>
        <v>0.02862548828</v>
      </c>
      <c r="J378" s="110">
        <v>0.0</v>
      </c>
      <c r="K378" s="107"/>
      <c r="L378" s="103"/>
      <c r="P378" s="111"/>
      <c r="Q378" s="111"/>
      <c r="R378" s="111"/>
      <c r="S378" s="111"/>
      <c r="T378" s="111"/>
      <c r="U378" s="111"/>
      <c r="V378" s="111"/>
      <c r="W378" s="111"/>
      <c r="X378" s="111"/>
      <c r="Y378" s="111"/>
      <c r="Z378" s="111"/>
      <c r="AA378" s="111"/>
      <c r="AB378" s="111"/>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c r="BC378" s="111"/>
      <c r="BD378" s="111"/>
      <c r="BE378" s="111"/>
      <c r="BF378" s="111"/>
      <c r="BG378" s="111"/>
      <c r="BH378" s="103"/>
      <c r="BO378" s="111"/>
      <c r="BP378" s="111"/>
      <c r="BQ378" s="111"/>
      <c r="BR378" s="111"/>
      <c r="BS378" s="111"/>
      <c r="BT378" s="111"/>
      <c r="BU378" s="111"/>
      <c r="BV378" s="111"/>
      <c r="BW378" s="111"/>
      <c r="BX378" s="111"/>
      <c r="BY378" s="111"/>
      <c r="BZ378" s="111"/>
    </row>
    <row r="379">
      <c r="A379" s="107" t="s">
        <v>3249</v>
      </c>
      <c r="B379" s="108">
        <v>546.0</v>
      </c>
      <c r="C379" s="108">
        <v>3554.0</v>
      </c>
      <c r="D379" s="108">
        <v>0.0</v>
      </c>
      <c r="E379" s="108">
        <v>0.0</v>
      </c>
      <c r="F379" s="108">
        <v>1.302802312E9</v>
      </c>
      <c r="G379" s="108">
        <v>2.210971648E9</v>
      </c>
      <c r="H379" s="109">
        <f t="shared" ref="H379:I379" si="377">F379/1024/1024/1024</f>
        <v>1.213329203</v>
      </c>
      <c r="I379" s="109">
        <f t="shared" si="377"/>
        <v>2.059127808</v>
      </c>
      <c r="J379" s="110">
        <v>0.0</v>
      </c>
      <c r="K379" s="107"/>
      <c r="L379" s="103"/>
      <c r="P379" s="111"/>
      <c r="Q379" s="111"/>
      <c r="R379" s="111"/>
      <c r="S379" s="111"/>
      <c r="T379" s="111"/>
      <c r="U379" s="111"/>
      <c r="V379" s="111"/>
      <c r="W379" s="111"/>
      <c r="X379" s="111"/>
      <c r="Y379" s="111"/>
      <c r="Z379" s="111"/>
      <c r="AA379" s="111"/>
      <c r="AB379" s="111"/>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c r="BC379" s="111"/>
      <c r="BD379" s="111"/>
      <c r="BE379" s="111"/>
      <c r="BF379" s="111"/>
      <c r="BG379" s="111"/>
      <c r="BH379" s="103"/>
      <c r="BQ379" s="111"/>
      <c r="BR379" s="111"/>
      <c r="BS379" s="111"/>
      <c r="BT379" s="111"/>
      <c r="BU379" s="111"/>
      <c r="BV379" s="111"/>
      <c r="BW379" s="111"/>
      <c r="BX379" s="111"/>
      <c r="BY379" s="111"/>
      <c r="BZ379" s="111"/>
    </row>
    <row r="380">
      <c r="A380" s="107" t="s">
        <v>3250</v>
      </c>
      <c r="B380" s="108">
        <v>21.0</v>
      </c>
      <c r="C380" s="108">
        <v>0.0</v>
      </c>
      <c r="D380" s="108">
        <v>0.0</v>
      </c>
      <c r="E380" s="108">
        <v>0.0</v>
      </c>
      <c r="F380" s="108">
        <v>648.0</v>
      </c>
      <c r="G380" s="108">
        <v>688128.0</v>
      </c>
      <c r="H380" s="109">
        <f t="shared" ref="H380:I380" si="378">F380/1024/1024/1024</f>
        <v>0.0000006034970284</v>
      </c>
      <c r="I380" s="109">
        <f t="shared" si="378"/>
        <v>0.0006408691406</v>
      </c>
      <c r="J380" s="110">
        <v>0.0</v>
      </c>
      <c r="K380" s="107"/>
      <c r="L380" s="103"/>
      <c r="P380" s="111"/>
      <c r="Q380" s="111"/>
      <c r="R380" s="111"/>
      <c r="S380" s="111"/>
      <c r="T380" s="111"/>
      <c r="U380" s="111"/>
      <c r="V380" s="111"/>
      <c r="W380" s="111"/>
      <c r="X380" s="111"/>
      <c r="Y380" s="111"/>
      <c r="Z380" s="111"/>
      <c r="AA380" s="111"/>
      <c r="AB380" s="111"/>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c r="BC380" s="111"/>
      <c r="BD380" s="111"/>
      <c r="BE380" s="111"/>
      <c r="BF380" s="111"/>
      <c r="BG380" s="111"/>
      <c r="BH380" s="103"/>
      <c r="BO380" s="111"/>
      <c r="BP380" s="111"/>
      <c r="BQ380" s="111"/>
      <c r="BR380" s="111"/>
      <c r="BS380" s="111"/>
      <c r="BT380" s="111"/>
      <c r="BU380" s="111"/>
      <c r="BV380" s="111"/>
      <c r="BW380" s="111"/>
      <c r="BX380" s="111"/>
      <c r="BY380" s="111"/>
      <c r="BZ380" s="111"/>
    </row>
    <row r="381">
      <c r="A381" s="107" t="s">
        <v>3251</v>
      </c>
      <c r="B381" s="108">
        <v>5402.0</v>
      </c>
      <c r="C381" s="108">
        <v>39155.0</v>
      </c>
      <c r="D381" s="108">
        <v>0.0</v>
      </c>
      <c r="E381" s="108">
        <v>0.0</v>
      </c>
      <c r="F381" s="108">
        <v>1.20703528625E11</v>
      </c>
      <c r="G381" s="108">
        <v>1.50787178496E11</v>
      </c>
      <c r="H381" s="109">
        <f t="shared" ref="H381:I381" si="379">F381/1024/1024/1024</f>
        <v>112.413921</v>
      </c>
      <c r="I381" s="109">
        <f t="shared" si="379"/>
        <v>140.4315033</v>
      </c>
      <c r="J381" s="110">
        <v>0.0</v>
      </c>
      <c r="K381" s="107"/>
      <c r="L381" s="103"/>
      <c r="P381" s="111"/>
      <c r="Q381" s="111"/>
      <c r="R381" s="111"/>
      <c r="S381" s="111"/>
      <c r="T381" s="111"/>
      <c r="U381" s="111"/>
      <c r="V381" s="111"/>
      <c r="W381" s="111"/>
      <c r="X381" s="111"/>
      <c r="Y381" s="111"/>
      <c r="Z381" s="111"/>
      <c r="AA381" s="111"/>
      <c r="AB381" s="111"/>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c r="BC381" s="111"/>
      <c r="BD381" s="111"/>
      <c r="BE381" s="111"/>
      <c r="BF381" s="111"/>
      <c r="BG381" s="111"/>
      <c r="BH381" s="103"/>
      <c r="BO381" s="111"/>
      <c r="BP381" s="111"/>
      <c r="BQ381" s="111"/>
      <c r="BR381" s="111"/>
      <c r="BS381" s="111"/>
      <c r="BT381" s="111"/>
      <c r="BU381" s="111"/>
      <c r="BV381" s="111"/>
      <c r="BW381" s="111"/>
      <c r="BX381" s="111"/>
      <c r="BY381" s="111"/>
      <c r="BZ381" s="111"/>
    </row>
    <row r="382">
      <c r="A382" s="107" t="s">
        <v>3252</v>
      </c>
      <c r="B382" s="108">
        <v>18935.0</v>
      </c>
      <c r="C382" s="108">
        <v>140386.0</v>
      </c>
      <c r="D382" s="108">
        <v>0.0</v>
      </c>
      <c r="E382" s="108">
        <v>0.0</v>
      </c>
      <c r="F382" s="108">
        <v>5.72038027621E11</v>
      </c>
      <c r="G382" s="108">
        <v>7.08266336256E11</v>
      </c>
      <c r="H382" s="109">
        <f t="shared" ref="H382:I382" si="380">F382/1024/1024/1024</f>
        <v>532.7519287</v>
      </c>
      <c r="I382" s="109">
        <f t="shared" si="380"/>
        <v>659.6244278</v>
      </c>
      <c r="J382" s="110">
        <v>0.0</v>
      </c>
      <c r="K382" s="107"/>
      <c r="L382" s="103"/>
      <c r="P382" s="111"/>
      <c r="Q382" s="111"/>
      <c r="R382" s="111"/>
      <c r="S382" s="111"/>
      <c r="T382" s="111"/>
      <c r="U382" s="111"/>
      <c r="V382" s="111"/>
      <c r="W382" s="111"/>
      <c r="X382" s="111"/>
      <c r="Y382" s="111"/>
      <c r="Z382" s="111"/>
      <c r="AA382" s="111"/>
      <c r="AB382" s="111"/>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c r="BC382" s="111"/>
      <c r="BD382" s="111"/>
      <c r="BE382" s="111"/>
      <c r="BF382" s="111"/>
      <c r="BG382" s="111"/>
      <c r="BH382" s="103"/>
      <c r="BO382" s="111"/>
      <c r="BP382" s="111"/>
      <c r="BQ382" s="111"/>
      <c r="BR382" s="111"/>
      <c r="BS382" s="111"/>
      <c r="BT382" s="111"/>
      <c r="BU382" s="111"/>
      <c r="BV382" s="111"/>
      <c r="BW382" s="111"/>
      <c r="BX382" s="111"/>
      <c r="BY382" s="111"/>
      <c r="BZ382" s="111"/>
    </row>
    <row r="383">
      <c r="A383" s="107" t="s">
        <v>3253</v>
      </c>
      <c r="B383" s="108">
        <v>51.0</v>
      </c>
      <c r="C383" s="108">
        <v>128.0</v>
      </c>
      <c r="D383" s="108">
        <v>0.0</v>
      </c>
      <c r="E383" s="108">
        <v>0.0</v>
      </c>
      <c r="F383" s="108">
        <v>3.2681787E7</v>
      </c>
      <c r="G383" s="108">
        <v>5.2666368E7</v>
      </c>
      <c r="H383" s="109">
        <f t="shared" ref="H383:I383" si="381">F383/1024/1024/1024</f>
        <v>0.03043728601</v>
      </c>
      <c r="I383" s="109">
        <f t="shared" si="381"/>
        <v>0.04904937744</v>
      </c>
      <c r="J383" s="110">
        <v>0.0</v>
      </c>
      <c r="K383" s="107"/>
      <c r="L383" s="103"/>
      <c r="P383" s="111"/>
      <c r="Q383" s="111"/>
      <c r="R383" s="111"/>
      <c r="S383" s="111"/>
      <c r="T383" s="111"/>
      <c r="U383" s="111"/>
      <c r="V383" s="111"/>
      <c r="W383" s="111"/>
      <c r="X383" s="111"/>
      <c r="Y383" s="111"/>
      <c r="Z383" s="111"/>
      <c r="AA383" s="111"/>
      <c r="AB383" s="111"/>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c r="BC383" s="111"/>
      <c r="BD383" s="111"/>
      <c r="BE383" s="111"/>
      <c r="BF383" s="111"/>
      <c r="BG383" s="111"/>
      <c r="BH383" s="103"/>
      <c r="BO383" s="111"/>
      <c r="BP383" s="111"/>
      <c r="BQ383" s="111"/>
      <c r="BR383" s="111"/>
      <c r="BS383" s="111"/>
      <c r="BT383" s="111"/>
      <c r="BU383" s="111"/>
      <c r="BV383" s="111"/>
      <c r="BW383" s="111"/>
      <c r="BX383" s="111"/>
      <c r="BY383" s="111"/>
      <c r="BZ383" s="111"/>
    </row>
    <row r="384">
      <c r="A384" s="107" t="s">
        <v>3254</v>
      </c>
      <c r="B384" s="108">
        <v>12.0</v>
      </c>
      <c r="C384" s="108">
        <v>6.0</v>
      </c>
      <c r="D384" s="108">
        <v>0.0</v>
      </c>
      <c r="E384" s="108">
        <v>0.0</v>
      </c>
      <c r="F384" s="108">
        <v>1.3270088E7</v>
      </c>
      <c r="G384" s="108">
        <v>1.7465344E7</v>
      </c>
      <c r="H384" s="109">
        <f t="shared" ref="H384:I384" si="382">F384/1024/1024/1024</f>
        <v>0.01235873252</v>
      </c>
      <c r="I384" s="109">
        <f t="shared" si="382"/>
        <v>0.01626586914</v>
      </c>
      <c r="J384" s="110">
        <v>0.0</v>
      </c>
      <c r="K384" s="107"/>
      <c r="L384" s="103"/>
      <c r="P384" s="111"/>
      <c r="Q384" s="111"/>
      <c r="R384" s="111"/>
      <c r="S384" s="111"/>
      <c r="T384" s="111"/>
      <c r="U384" s="111"/>
      <c r="V384" s="111"/>
      <c r="W384" s="111"/>
      <c r="X384" s="111"/>
      <c r="Y384" s="111"/>
      <c r="Z384" s="111"/>
      <c r="AA384" s="111"/>
      <c r="AB384" s="111"/>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c r="BC384" s="111"/>
      <c r="BD384" s="111"/>
      <c r="BE384" s="111"/>
      <c r="BF384" s="111"/>
      <c r="BG384" s="111"/>
      <c r="BH384" s="103"/>
      <c r="BO384" s="111"/>
      <c r="BP384" s="111"/>
      <c r="BQ384" s="111"/>
      <c r="BR384" s="111"/>
      <c r="BS384" s="111"/>
      <c r="BT384" s="111"/>
      <c r="BU384" s="111"/>
      <c r="BV384" s="111"/>
      <c r="BW384" s="111"/>
      <c r="BX384" s="111"/>
      <c r="BY384" s="111"/>
      <c r="BZ384" s="111"/>
    </row>
    <row r="385">
      <c r="A385" s="107" t="s">
        <v>3255</v>
      </c>
      <c r="B385" s="108">
        <v>4871.0</v>
      </c>
      <c r="C385" s="108">
        <v>31362.0</v>
      </c>
      <c r="D385" s="108">
        <v>0.0</v>
      </c>
      <c r="E385" s="108">
        <v>0.0</v>
      </c>
      <c r="F385" s="108">
        <v>1.73520660788E11</v>
      </c>
      <c r="G385" s="108">
        <v>2.12653809664E11</v>
      </c>
      <c r="H385" s="109">
        <f t="shared" ref="H385:I385" si="383">F385/1024/1024/1024</f>
        <v>161.6037086</v>
      </c>
      <c r="I385" s="109">
        <f t="shared" si="383"/>
        <v>198.0492935</v>
      </c>
      <c r="J385" s="110">
        <v>0.0</v>
      </c>
      <c r="K385" s="107"/>
      <c r="L385" s="103"/>
      <c r="P385" s="111"/>
      <c r="Q385" s="111"/>
      <c r="R385" s="111"/>
      <c r="S385" s="111"/>
      <c r="T385" s="111"/>
      <c r="U385" s="111"/>
      <c r="V385" s="111"/>
      <c r="W385" s="111"/>
      <c r="X385" s="111"/>
      <c r="Y385" s="111"/>
      <c r="Z385" s="111"/>
      <c r="AA385" s="111"/>
      <c r="AB385" s="111"/>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c r="BC385" s="111"/>
      <c r="BD385" s="111"/>
      <c r="BE385" s="111"/>
      <c r="BF385" s="111"/>
      <c r="BG385" s="111"/>
      <c r="BH385" s="103"/>
      <c r="BO385" s="111"/>
      <c r="BP385" s="111"/>
      <c r="BQ385" s="111"/>
      <c r="BR385" s="111"/>
      <c r="BS385" s="111"/>
      <c r="BT385" s="111"/>
      <c r="BU385" s="111"/>
      <c r="BV385" s="111"/>
      <c r="BW385" s="111"/>
      <c r="BX385" s="111"/>
      <c r="BY385" s="111"/>
      <c r="BZ385" s="111"/>
    </row>
    <row r="386">
      <c r="A386" s="107" t="s">
        <v>3256</v>
      </c>
      <c r="B386" s="108">
        <v>19018.0</v>
      </c>
      <c r="C386" s="108">
        <v>149219.0</v>
      </c>
      <c r="D386" s="108">
        <v>0.0</v>
      </c>
      <c r="E386" s="108">
        <v>0.0</v>
      </c>
      <c r="F386" s="108">
        <v>4.15104973928E11</v>
      </c>
      <c r="G386" s="108">
        <v>5.19040704512E11</v>
      </c>
      <c r="H386" s="109">
        <f t="shared" ref="H386:I386" si="384">F386/1024/1024/1024</f>
        <v>386.5966331</v>
      </c>
      <c r="I386" s="109">
        <f t="shared" si="384"/>
        <v>483.3943253</v>
      </c>
      <c r="J386" s="110">
        <v>0.0</v>
      </c>
      <c r="K386" s="107"/>
      <c r="L386" s="103"/>
      <c r="P386" s="111"/>
      <c r="Q386" s="111"/>
      <c r="R386" s="111"/>
      <c r="S386" s="111"/>
      <c r="T386" s="111"/>
      <c r="U386" s="111"/>
      <c r="V386" s="111"/>
      <c r="W386" s="111"/>
      <c r="X386" s="111"/>
      <c r="Y386" s="111"/>
      <c r="Z386" s="111"/>
      <c r="AA386" s="111"/>
      <c r="AB386" s="111"/>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c r="BC386" s="111"/>
      <c r="BD386" s="111"/>
      <c r="BE386" s="111"/>
      <c r="BF386" s="111"/>
      <c r="BG386" s="111"/>
      <c r="BH386" s="103"/>
      <c r="BP386" s="111"/>
      <c r="BQ386" s="111"/>
      <c r="BR386" s="111"/>
      <c r="BS386" s="111"/>
      <c r="BT386" s="111"/>
      <c r="BU386" s="111"/>
      <c r="BV386" s="111"/>
      <c r="BW386" s="111"/>
      <c r="BX386" s="111"/>
      <c r="BY386" s="111"/>
      <c r="BZ386" s="111"/>
    </row>
    <row r="387">
      <c r="A387" s="107" t="s">
        <v>3257</v>
      </c>
      <c r="B387" s="108">
        <v>1.0</v>
      </c>
      <c r="C387" s="108">
        <v>0.0</v>
      </c>
      <c r="D387" s="108">
        <v>0.0</v>
      </c>
      <c r="E387" s="108">
        <v>0.0</v>
      </c>
      <c r="F387" s="108">
        <v>0.0</v>
      </c>
      <c r="G387" s="108">
        <v>32768.0</v>
      </c>
      <c r="H387" s="109">
        <f t="shared" ref="H387:I387" si="385">F387/1024/1024/1024</f>
        <v>0</v>
      </c>
      <c r="I387" s="109">
        <f t="shared" si="385"/>
        <v>0.00003051757813</v>
      </c>
      <c r="J387" s="110">
        <v>0.0</v>
      </c>
      <c r="K387" s="107"/>
      <c r="L387" s="103"/>
      <c r="P387" s="111"/>
      <c r="Q387" s="111"/>
      <c r="R387" s="111"/>
      <c r="S387" s="111"/>
      <c r="T387" s="111"/>
      <c r="U387" s="111"/>
      <c r="V387" s="111"/>
      <c r="W387" s="111"/>
      <c r="X387" s="111"/>
      <c r="Y387" s="111"/>
      <c r="Z387" s="111"/>
      <c r="AA387" s="111"/>
      <c r="AB387" s="111"/>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c r="BC387" s="111"/>
      <c r="BD387" s="111"/>
      <c r="BE387" s="111"/>
      <c r="BF387" s="111"/>
      <c r="BG387" s="111"/>
      <c r="BH387" s="103"/>
      <c r="BP387" s="111"/>
      <c r="BQ387" s="111"/>
      <c r="BR387" s="111"/>
      <c r="BS387" s="111"/>
      <c r="BT387" s="111"/>
      <c r="BU387" s="111"/>
      <c r="BV387" s="111"/>
      <c r="BW387" s="111"/>
      <c r="BX387" s="111"/>
      <c r="BY387" s="111"/>
      <c r="BZ387" s="111"/>
    </row>
    <row r="388">
      <c r="A388" s="107" t="s">
        <v>3258</v>
      </c>
      <c r="B388" s="108">
        <v>12765.0</v>
      </c>
      <c r="C388" s="108">
        <v>54670.0</v>
      </c>
      <c r="D388" s="108">
        <v>0.0</v>
      </c>
      <c r="E388" s="108">
        <v>0.0</v>
      </c>
      <c r="F388" s="108">
        <v>2.4638661453E10</v>
      </c>
      <c r="G388" s="108">
        <v>3.8548078592E10</v>
      </c>
      <c r="H388" s="109">
        <f t="shared" ref="H388:I388" si="386">F388/1024/1024/1024</f>
        <v>22.94654162</v>
      </c>
      <c r="I388" s="109">
        <f t="shared" si="386"/>
        <v>35.9006958</v>
      </c>
      <c r="J388" s="110">
        <v>0.0</v>
      </c>
      <c r="K388" s="107"/>
      <c r="L388" s="103"/>
      <c r="P388" s="111"/>
      <c r="Q388" s="111"/>
      <c r="R388" s="111"/>
      <c r="S388" s="111"/>
      <c r="T388" s="111"/>
      <c r="U388" s="111"/>
      <c r="V388" s="111"/>
      <c r="W388" s="111"/>
      <c r="X388" s="111"/>
      <c r="Y388" s="111"/>
      <c r="Z388" s="111"/>
      <c r="AA388" s="111"/>
      <c r="AB388" s="111"/>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c r="BC388" s="111"/>
      <c r="BD388" s="111"/>
      <c r="BE388" s="111"/>
      <c r="BF388" s="111"/>
      <c r="BG388" s="111"/>
      <c r="BH388" s="103"/>
      <c r="BQ388" s="111"/>
      <c r="BR388" s="111"/>
      <c r="BS388" s="111"/>
      <c r="BT388" s="111"/>
      <c r="BU388" s="111"/>
      <c r="BV388" s="111"/>
      <c r="BW388" s="111"/>
      <c r="BX388" s="111"/>
      <c r="BY388" s="111"/>
      <c r="BZ388" s="111"/>
    </row>
    <row r="389">
      <c r="A389" s="107" t="s">
        <v>3259</v>
      </c>
      <c r="B389" s="108">
        <v>13.0</v>
      </c>
      <c r="C389" s="108">
        <v>0.0</v>
      </c>
      <c r="D389" s="108">
        <v>0.0</v>
      </c>
      <c r="E389" s="108">
        <v>0.0</v>
      </c>
      <c r="F389" s="108">
        <v>372.0</v>
      </c>
      <c r="G389" s="108">
        <v>425984.0</v>
      </c>
      <c r="H389" s="109">
        <f t="shared" ref="H389:I389" si="387">F389/1024/1024/1024</f>
        <v>0.0000003464519978</v>
      </c>
      <c r="I389" s="109">
        <f t="shared" si="387"/>
        <v>0.0003967285156</v>
      </c>
      <c r="J389" s="110">
        <v>0.0</v>
      </c>
      <c r="K389" s="107"/>
      <c r="L389" s="103"/>
      <c r="P389" s="111"/>
      <c r="Q389" s="111"/>
      <c r="R389" s="111"/>
      <c r="S389" s="111"/>
      <c r="T389" s="111"/>
      <c r="U389" s="111"/>
      <c r="V389" s="111"/>
      <c r="W389" s="111"/>
      <c r="X389" s="111"/>
      <c r="Y389" s="111"/>
      <c r="Z389" s="111"/>
      <c r="AA389" s="111"/>
      <c r="AB389" s="111"/>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c r="BC389" s="111"/>
      <c r="BD389" s="111"/>
      <c r="BE389" s="111"/>
      <c r="BF389" s="111"/>
      <c r="BG389" s="111"/>
      <c r="BH389" s="103"/>
      <c r="BO389" s="111"/>
      <c r="BP389" s="111"/>
      <c r="BQ389" s="111"/>
      <c r="BR389" s="111"/>
      <c r="BS389" s="111"/>
      <c r="BT389" s="111"/>
      <c r="BU389" s="111"/>
      <c r="BV389" s="111"/>
      <c r="BW389" s="111"/>
      <c r="BX389" s="111"/>
      <c r="BY389" s="111"/>
      <c r="BZ389" s="111"/>
    </row>
    <row r="390">
      <c r="A390" s="107" t="s">
        <v>3260</v>
      </c>
      <c r="B390" s="108">
        <v>2.0</v>
      </c>
      <c r="C390" s="108">
        <v>0.0</v>
      </c>
      <c r="D390" s="108">
        <v>0.0</v>
      </c>
      <c r="E390" s="108">
        <v>0.0</v>
      </c>
      <c r="F390" s="108">
        <v>27.0</v>
      </c>
      <c r="G390" s="108">
        <v>65536.0</v>
      </c>
      <c r="H390" s="109">
        <f t="shared" ref="H390:I390" si="388">F390/1024/1024/1024</f>
        <v>0.00000002514570951</v>
      </c>
      <c r="I390" s="109">
        <f t="shared" si="388"/>
        <v>0.00006103515625</v>
      </c>
      <c r="J390" s="110">
        <v>0.0</v>
      </c>
      <c r="K390" s="107"/>
      <c r="L390" s="103"/>
      <c r="P390" s="111"/>
      <c r="Q390" s="111"/>
      <c r="R390" s="111"/>
      <c r="S390" s="111"/>
      <c r="T390" s="111"/>
      <c r="U390" s="111"/>
      <c r="V390" s="111"/>
      <c r="W390" s="111"/>
      <c r="X390" s="111"/>
      <c r="Y390" s="111"/>
      <c r="Z390" s="111"/>
      <c r="AA390" s="111"/>
      <c r="AB390" s="111"/>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c r="BC390" s="111"/>
      <c r="BD390" s="111"/>
      <c r="BE390" s="111"/>
      <c r="BF390" s="111"/>
      <c r="BG390" s="111"/>
      <c r="BH390" s="103"/>
      <c r="BO390" s="111"/>
      <c r="BP390" s="111"/>
      <c r="BQ390" s="111"/>
      <c r="BR390" s="111"/>
      <c r="BS390" s="111"/>
      <c r="BT390" s="111"/>
      <c r="BU390" s="111"/>
      <c r="BV390" s="111"/>
      <c r="BW390" s="111"/>
      <c r="BX390" s="111"/>
      <c r="BY390" s="111"/>
      <c r="BZ390" s="111"/>
    </row>
    <row r="391">
      <c r="A391" s="107" t="s">
        <v>3261</v>
      </c>
      <c r="B391" s="108">
        <v>1115.0</v>
      </c>
      <c r="C391" s="108">
        <v>6611.0</v>
      </c>
      <c r="D391" s="108">
        <v>0.0</v>
      </c>
      <c r="E391" s="108">
        <v>0.0</v>
      </c>
      <c r="F391" s="108">
        <v>1.6160164391E10</v>
      </c>
      <c r="G391" s="108">
        <v>2.0409991168E10</v>
      </c>
      <c r="H391" s="109">
        <f t="shared" ref="H391:I391" si="389">F391/1024/1024/1024</f>
        <v>15.05032591</v>
      </c>
      <c r="I391" s="109">
        <f t="shared" si="389"/>
        <v>19.00828552</v>
      </c>
      <c r="J391" s="110">
        <v>0.0</v>
      </c>
      <c r="K391" s="107"/>
      <c r="L391" s="103"/>
      <c r="P391" s="111"/>
      <c r="Q391" s="111"/>
      <c r="R391" s="111"/>
      <c r="S391" s="111"/>
      <c r="T391" s="111"/>
      <c r="U391" s="111"/>
      <c r="V391" s="111"/>
      <c r="W391" s="111"/>
      <c r="X391" s="111"/>
      <c r="Y391" s="111"/>
      <c r="Z391" s="111"/>
      <c r="AA391" s="111"/>
      <c r="AB391" s="111"/>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c r="BC391" s="111"/>
      <c r="BD391" s="111"/>
      <c r="BE391" s="111"/>
      <c r="BF391" s="111"/>
      <c r="BG391" s="111"/>
      <c r="BH391" s="103"/>
      <c r="BP391" s="111"/>
      <c r="BQ391" s="111"/>
      <c r="BR391" s="111"/>
      <c r="BS391" s="111"/>
      <c r="BT391" s="111"/>
      <c r="BU391" s="111"/>
      <c r="BV391" s="111"/>
      <c r="BW391" s="111"/>
      <c r="BX391" s="111"/>
      <c r="BY391" s="111"/>
      <c r="BZ391" s="111"/>
    </row>
    <row r="392">
      <c r="A392" s="107" t="s">
        <v>3262</v>
      </c>
      <c r="B392" s="108">
        <v>31.0</v>
      </c>
      <c r="C392" s="108">
        <v>5.0</v>
      </c>
      <c r="D392" s="108">
        <v>0.0</v>
      </c>
      <c r="E392" s="108">
        <v>0.0</v>
      </c>
      <c r="F392" s="108">
        <v>336719.0</v>
      </c>
      <c r="G392" s="108">
        <v>2179072.0</v>
      </c>
      <c r="H392" s="109">
        <f t="shared" ref="H392:I392" si="390">F392/1024/1024/1024</f>
        <v>0.000313594006</v>
      </c>
      <c r="I392" s="109">
        <f t="shared" si="390"/>
        <v>0.002029418945</v>
      </c>
      <c r="J392" s="110">
        <v>0.0</v>
      </c>
      <c r="K392" s="107"/>
      <c r="L392" s="103"/>
      <c r="P392" s="111"/>
      <c r="Q392" s="111"/>
      <c r="R392" s="111"/>
      <c r="S392" s="111"/>
      <c r="T392" s="111"/>
      <c r="U392" s="111"/>
      <c r="V392" s="111"/>
      <c r="W392" s="111"/>
      <c r="X392" s="111"/>
      <c r="Y392" s="111"/>
      <c r="Z392" s="111"/>
      <c r="AA392" s="111"/>
      <c r="AB392" s="111"/>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c r="BC392" s="111"/>
      <c r="BD392" s="111"/>
      <c r="BE392" s="111"/>
      <c r="BF392" s="111"/>
      <c r="BG392" s="111"/>
      <c r="BH392" s="103"/>
      <c r="BP392" s="111"/>
      <c r="BQ392" s="111"/>
      <c r="BR392" s="111"/>
      <c r="BS392" s="111"/>
      <c r="BT392" s="111"/>
      <c r="BU392" s="111"/>
      <c r="BV392" s="111"/>
      <c r="BW392" s="111"/>
      <c r="BX392" s="111"/>
      <c r="BY392" s="111"/>
      <c r="BZ392" s="111"/>
    </row>
    <row r="393">
      <c r="A393" s="107" t="s">
        <v>3263</v>
      </c>
      <c r="B393" s="108">
        <v>516.0</v>
      </c>
      <c r="C393" s="108">
        <v>2450.0</v>
      </c>
      <c r="D393" s="108">
        <v>0.0</v>
      </c>
      <c r="E393" s="108">
        <v>0.0</v>
      </c>
      <c r="F393" s="108">
        <v>5.619088808E9</v>
      </c>
      <c r="G393" s="108">
        <v>7.0854656E9</v>
      </c>
      <c r="H393" s="109">
        <f t="shared" ref="H393:I393" si="391">F393/1024/1024/1024</f>
        <v>5.233184256</v>
      </c>
      <c r="I393" s="109">
        <f t="shared" si="391"/>
        <v>6.598854065</v>
      </c>
      <c r="J393" s="110">
        <v>0.0</v>
      </c>
      <c r="K393" s="107"/>
      <c r="L393" s="103"/>
      <c r="P393" s="111"/>
      <c r="Q393" s="111"/>
      <c r="R393" s="111"/>
      <c r="S393" s="111"/>
      <c r="T393" s="111"/>
      <c r="U393" s="111"/>
      <c r="V393" s="111"/>
      <c r="W393" s="111"/>
      <c r="X393" s="111"/>
      <c r="Y393" s="111"/>
      <c r="Z393" s="111"/>
      <c r="AA393" s="111"/>
      <c r="AB393" s="111"/>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c r="BC393" s="111"/>
      <c r="BD393" s="111"/>
      <c r="BE393" s="111"/>
      <c r="BF393" s="111"/>
      <c r="BG393" s="111"/>
      <c r="BH393" s="103"/>
      <c r="BP393" s="111"/>
      <c r="BQ393" s="111"/>
      <c r="BR393" s="111"/>
      <c r="BS393" s="111"/>
      <c r="BT393" s="111"/>
      <c r="BU393" s="111"/>
      <c r="BV393" s="111"/>
      <c r="BW393" s="111"/>
      <c r="BX393" s="111"/>
      <c r="BY393" s="111"/>
      <c r="BZ393" s="111"/>
    </row>
    <row r="394">
      <c r="A394" s="107" t="s">
        <v>3264</v>
      </c>
      <c r="B394" s="108">
        <v>1.0</v>
      </c>
      <c r="C394" s="108">
        <v>0.0</v>
      </c>
      <c r="D394" s="108">
        <v>0.0</v>
      </c>
      <c r="E394" s="108">
        <v>0.0</v>
      </c>
      <c r="F394" s="108">
        <v>0.0</v>
      </c>
      <c r="G394" s="108">
        <v>32768.0</v>
      </c>
      <c r="H394" s="109">
        <f t="shared" ref="H394:I394" si="392">F394/1024/1024/1024</f>
        <v>0</v>
      </c>
      <c r="I394" s="109">
        <f t="shared" si="392"/>
        <v>0.00003051757813</v>
      </c>
      <c r="J394" s="110">
        <v>0.0</v>
      </c>
      <c r="K394" s="107"/>
      <c r="L394" s="103"/>
      <c r="P394" s="111"/>
      <c r="Q394" s="111"/>
      <c r="R394" s="111"/>
      <c r="S394" s="111"/>
      <c r="T394" s="111"/>
      <c r="U394" s="111"/>
      <c r="V394" s="111"/>
      <c r="W394" s="111"/>
      <c r="X394" s="111"/>
      <c r="Y394" s="111"/>
      <c r="Z394" s="111"/>
      <c r="AA394" s="111"/>
      <c r="AB394" s="111"/>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c r="BC394" s="111"/>
      <c r="BD394" s="111"/>
      <c r="BE394" s="111"/>
      <c r="BF394" s="111"/>
      <c r="BG394" s="111"/>
      <c r="BH394" s="103"/>
      <c r="BP394" s="111"/>
      <c r="BQ394" s="111"/>
      <c r="BR394" s="111"/>
      <c r="BS394" s="111"/>
      <c r="BT394" s="111"/>
      <c r="BU394" s="111"/>
      <c r="BV394" s="111"/>
      <c r="BW394" s="111"/>
      <c r="BX394" s="111"/>
      <c r="BY394" s="111"/>
      <c r="BZ394" s="111"/>
    </row>
    <row r="395">
      <c r="A395" s="107" t="s">
        <v>3265</v>
      </c>
      <c r="B395" s="108">
        <v>5.0</v>
      </c>
      <c r="C395" s="108">
        <v>0.0</v>
      </c>
      <c r="D395" s="108">
        <v>0.0</v>
      </c>
      <c r="E395" s="108">
        <v>0.0</v>
      </c>
      <c r="F395" s="108">
        <v>129.0</v>
      </c>
      <c r="G395" s="108">
        <v>163840.0</v>
      </c>
      <c r="H395" s="109">
        <f t="shared" ref="H395:I395" si="393">F395/1024/1024/1024</f>
        <v>0.0000001201406121</v>
      </c>
      <c r="I395" s="109">
        <f t="shared" si="393"/>
        <v>0.0001525878906</v>
      </c>
      <c r="J395" s="110">
        <v>0.0</v>
      </c>
      <c r="K395" s="107"/>
      <c r="L395" s="103"/>
      <c r="O395" s="111"/>
      <c r="P395" s="111"/>
      <c r="Q395" s="111"/>
      <c r="R395" s="111"/>
      <c r="S395" s="111"/>
      <c r="T395" s="111"/>
      <c r="U395" s="111"/>
      <c r="V395" s="111"/>
      <c r="W395" s="111"/>
      <c r="X395" s="111"/>
      <c r="Y395" s="111"/>
      <c r="Z395" s="111"/>
      <c r="AA395" s="111"/>
      <c r="AB395" s="111"/>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c r="BC395" s="111"/>
      <c r="BD395" s="111"/>
      <c r="BE395" s="111"/>
      <c r="BF395" s="111"/>
      <c r="BG395" s="111"/>
      <c r="BH395" s="111"/>
      <c r="BI395" s="103"/>
      <c r="BO395" s="111"/>
      <c r="BP395" s="111"/>
      <c r="BQ395" s="111"/>
      <c r="BR395" s="111"/>
      <c r="BS395" s="111"/>
      <c r="BT395" s="111"/>
      <c r="BU395" s="111"/>
      <c r="BV395" s="111"/>
      <c r="BW395" s="111"/>
      <c r="BX395" s="111"/>
      <c r="BY395" s="111"/>
      <c r="BZ395" s="111"/>
    </row>
    <row r="396">
      <c r="A396" s="107" t="s">
        <v>3266</v>
      </c>
      <c r="B396" s="108">
        <v>12.0</v>
      </c>
      <c r="C396" s="108">
        <v>0.0</v>
      </c>
      <c r="D396" s="108">
        <v>0.0</v>
      </c>
      <c r="E396" s="108">
        <v>0.0</v>
      </c>
      <c r="F396" s="108">
        <v>377.0</v>
      </c>
      <c r="G396" s="108">
        <v>393216.0</v>
      </c>
      <c r="H396" s="109">
        <f t="shared" ref="H396:I396" si="394">F396/1024/1024/1024</f>
        <v>0.0000003511086106</v>
      </c>
      <c r="I396" s="109">
        <f t="shared" si="394"/>
        <v>0.0003662109375</v>
      </c>
      <c r="J396" s="110">
        <v>0.0</v>
      </c>
      <c r="K396" s="107"/>
      <c r="L396" s="103"/>
      <c r="O396" s="111"/>
      <c r="P396" s="111"/>
      <c r="Q396" s="111"/>
      <c r="R396" s="111"/>
      <c r="S396" s="111"/>
      <c r="T396" s="111"/>
      <c r="U396" s="111"/>
      <c r="V396" s="111"/>
      <c r="W396" s="111"/>
      <c r="X396" s="111"/>
      <c r="Y396" s="111"/>
      <c r="Z396" s="111"/>
      <c r="AA396" s="111"/>
      <c r="AB396" s="111"/>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c r="BC396" s="111"/>
      <c r="BD396" s="111"/>
      <c r="BE396" s="111"/>
      <c r="BF396" s="111"/>
      <c r="BG396" s="111"/>
      <c r="BH396" s="111"/>
      <c r="BI396" s="103"/>
      <c r="BO396" s="111"/>
      <c r="BP396" s="111"/>
      <c r="BQ396" s="111"/>
      <c r="BR396" s="111"/>
      <c r="BS396" s="111"/>
      <c r="BT396" s="111"/>
      <c r="BU396" s="111"/>
      <c r="BV396" s="111"/>
      <c r="BW396" s="111"/>
      <c r="BX396" s="111"/>
      <c r="BY396" s="111"/>
      <c r="BZ396" s="111"/>
    </row>
    <row r="397">
      <c r="A397" s="107" t="s">
        <v>3267</v>
      </c>
      <c r="B397" s="108">
        <v>1.0</v>
      </c>
      <c r="C397" s="108">
        <v>0.0</v>
      </c>
      <c r="D397" s="108">
        <v>0.0</v>
      </c>
      <c r="E397" s="108">
        <v>0.0</v>
      </c>
      <c r="F397" s="108">
        <v>0.0</v>
      </c>
      <c r="G397" s="108">
        <v>32768.0</v>
      </c>
      <c r="H397" s="109">
        <f t="shared" ref="H397:I397" si="395">F397/1024/1024/1024</f>
        <v>0</v>
      </c>
      <c r="I397" s="109">
        <f t="shared" si="395"/>
        <v>0.00003051757813</v>
      </c>
      <c r="J397" s="110">
        <v>0.0</v>
      </c>
      <c r="K397" s="107"/>
      <c r="L397" s="103"/>
      <c r="O397" s="111"/>
      <c r="P397" s="111"/>
      <c r="Q397" s="111"/>
      <c r="R397" s="111"/>
      <c r="S397" s="111"/>
      <c r="T397" s="111"/>
      <c r="U397" s="111"/>
      <c r="V397" s="111"/>
      <c r="W397" s="111"/>
      <c r="X397" s="111"/>
      <c r="Y397" s="111"/>
      <c r="Z397" s="111"/>
      <c r="AA397" s="111"/>
      <c r="AB397" s="111"/>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c r="BC397" s="111"/>
      <c r="BD397" s="111"/>
      <c r="BE397" s="111"/>
      <c r="BF397" s="111"/>
      <c r="BG397" s="111"/>
      <c r="BH397" s="111"/>
      <c r="BI397" s="103"/>
      <c r="BO397" s="111"/>
      <c r="BP397" s="111"/>
      <c r="BQ397" s="111"/>
      <c r="BR397" s="111"/>
      <c r="BS397" s="111"/>
      <c r="BT397" s="111"/>
      <c r="BU397" s="111"/>
      <c r="BV397" s="111"/>
      <c r="BW397" s="111"/>
      <c r="BX397" s="111"/>
      <c r="BY397" s="111"/>
      <c r="BZ397" s="111"/>
    </row>
    <row r="398">
      <c r="A398" s="107" t="s">
        <v>3268</v>
      </c>
      <c r="B398" s="108">
        <v>10.0</v>
      </c>
      <c r="C398" s="108">
        <v>0.0</v>
      </c>
      <c r="D398" s="108">
        <v>0.0</v>
      </c>
      <c r="E398" s="108">
        <v>0.0</v>
      </c>
      <c r="F398" s="108">
        <v>288.0</v>
      </c>
      <c r="G398" s="108">
        <v>327680.0</v>
      </c>
      <c r="H398" s="109">
        <f t="shared" ref="H398:I398" si="396">F398/1024/1024/1024</f>
        <v>0.0000002682209015</v>
      </c>
      <c r="I398" s="109">
        <f t="shared" si="396"/>
        <v>0.0003051757813</v>
      </c>
      <c r="J398" s="110">
        <v>0.0</v>
      </c>
      <c r="K398" s="107"/>
      <c r="L398" s="103"/>
      <c r="O398" s="111"/>
      <c r="P398" s="111"/>
      <c r="Q398" s="111"/>
      <c r="R398" s="111"/>
      <c r="S398" s="111"/>
      <c r="T398" s="111"/>
      <c r="U398" s="111"/>
      <c r="V398" s="111"/>
      <c r="W398" s="111"/>
      <c r="X398" s="111"/>
      <c r="Y398" s="111"/>
      <c r="Z398" s="111"/>
      <c r="AA398" s="111"/>
      <c r="AB398" s="111"/>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c r="BC398" s="111"/>
      <c r="BD398" s="111"/>
      <c r="BE398" s="111"/>
      <c r="BF398" s="111"/>
      <c r="BG398" s="111"/>
      <c r="BH398" s="111"/>
      <c r="BI398" s="103"/>
      <c r="BO398" s="111"/>
      <c r="BP398" s="111"/>
      <c r="BQ398" s="111"/>
      <c r="BR398" s="111"/>
      <c r="BS398" s="111"/>
      <c r="BT398" s="111"/>
      <c r="BU398" s="111"/>
      <c r="BV398" s="111"/>
      <c r="BW398" s="111"/>
      <c r="BX398" s="111"/>
      <c r="BY398" s="111"/>
      <c r="BZ398" s="111"/>
    </row>
    <row r="399">
      <c r="A399" s="107" t="s">
        <v>3269</v>
      </c>
      <c r="B399" s="108">
        <v>19.0</v>
      </c>
      <c r="C399" s="108">
        <v>0.0</v>
      </c>
      <c r="D399" s="108">
        <v>0.0</v>
      </c>
      <c r="E399" s="108">
        <v>0.0</v>
      </c>
      <c r="F399" s="108">
        <v>704.0</v>
      </c>
      <c r="G399" s="108">
        <v>622592.0</v>
      </c>
      <c r="H399" s="109">
        <f t="shared" ref="H399:I399" si="397">F399/1024/1024/1024</f>
        <v>0.0000006556510925</v>
      </c>
      <c r="I399" s="109">
        <f t="shared" si="397"/>
        <v>0.0005798339844</v>
      </c>
      <c r="J399" s="110">
        <v>0.0</v>
      </c>
      <c r="K399" s="107"/>
      <c r="L399" s="103"/>
      <c r="O399" s="111"/>
      <c r="P399" s="111"/>
      <c r="Q399" s="111"/>
      <c r="R399" s="111"/>
      <c r="S399" s="111"/>
      <c r="T399" s="111"/>
      <c r="U399" s="111"/>
      <c r="V399" s="111"/>
      <c r="W399" s="111"/>
      <c r="X399" s="111"/>
      <c r="Y399" s="111"/>
      <c r="Z399" s="111"/>
      <c r="AA399" s="111"/>
      <c r="AB399" s="111"/>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c r="BC399" s="111"/>
      <c r="BD399" s="111"/>
      <c r="BE399" s="111"/>
      <c r="BF399" s="111"/>
      <c r="BG399" s="111"/>
      <c r="BH399" s="111"/>
      <c r="BI399" s="103"/>
      <c r="BO399" s="111"/>
      <c r="BP399" s="111"/>
      <c r="BQ399" s="111"/>
      <c r="BR399" s="111"/>
      <c r="BS399" s="111"/>
      <c r="BT399" s="111"/>
      <c r="BU399" s="111"/>
      <c r="BV399" s="111"/>
      <c r="BW399" s="111"/>
      <c r="BX399" s="111"/>
      <c r="BY399" s="111"/>
      <c r="BZ399" s="111"/>
    </row>
    <row r="400">
      <c r="A400" s="107" t="s">
        <v>3270</v>
      </c>
      <c r="B400" s="108">
        <v>26.0</v>
      </c>
      <c r="C400" s="108">
        <v>0.0</v>
      </c>
      <c r="D400" s="108">
        <v>0.0</v>
      </c>
      <c r="E400" s="108">
        <v>0.0</v>
      </c>
      <c r="F400" s="108">
        <v>813.0</v>
      </c>
      <c r="G400" s="108">
        <v>851968.0</v>
      </c>
      <c r="H400" s="109">
        <f t="shared" ref="H400:I400" si="398">F400/1024/1024/1024</f>
        <v>0.0000007571652532</v>
      </c>
      <c r="I400" s="109">
        <f t="shared" si="398"/>
        <v>0.0007934570313</v>
      </c>
      <c r="J400" s="110">
        <v>0.0</v>
      </c>
      <c r="K400" s="107"/>
      <c r="L400" s="103"/>
      <c r="O400" s="111"/>
      <c r="P400" s="111"/>
      <c r="Q400" s="111"/>
      <c r="R400" s="111"/>
      <c r="S400" s="111"/>
      <c r="T400" s="111"/>
      <c r="U400" s="111"/>
      <c r="V400" s="111"/>
      <c r="W400" s="111"/>
      <c r="X400" s="111"/>
      <c r="Y400" s="111"/>
      <c r="Z400" s="111"/>
      <c r="AA400" s="111"/>
      <c r="AB400" s="111"/>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c r="BC400" s="111"/>
      <c r="BD400" s="111"/>
      <c r="BE400" s="111"/>
      <c r="BF400" s="111"/>
      <c r="BG400" s="111"/>
      <c r="BH400" s="111"/>
      <c r="BI400" s="103"/>
      <c r="BO400" s="111"/>
      <c r="BP400" s="111"/>
      <c r="BQ400" s="111"/>
      <c r="BR400" s="111"/>
      <c r="BS400" s="111"/>
      <c r="BT400" s="111"/>
      <c r="BU400" s="111"/>
      <c r="BV400" s="111"/>
      <c r="BW400" s="111"/>
      <c r="BX400" s="111"/>
      <c r="BY400" s="111"/>
      <c r="BZ400" s="111"/>
    </row>
    <row r="401">
      <c r="A401" s="107" t="s">
        <v>3271</v>
      </c>
      <c r="B401" s="108">
        <v>15.0</v>
      </c>
      <c r="C401" s="108">
        <v>0.0</v>
      </c>
      <c r="D401" s="108">
        <v>0.0</v>
      </c>
      <c r="E401" s="108">
        <v>0.0</v>
      </c>
      <c r="F401" s="108">
        <v>444.0</v>
      </c>
      <c r="G401" s="108">
        <v>491520.0</v>
      </c>
      <c r="H401" s="109">
        <f t="shared" ref="H401:I401" si="399">F401/1024/1024/1024</f>
        <v>0.0000004135072231</v>
      </c>
      <c r="I401" s="109">
        <f t="shared" si="399"/>
        <v>0.0004577636719</v>
      </c>
      <c r="J401" s="110">
        <v>0.0</v>
      </c>
      <c r="K401" s="107"/>
      <c r="L401" s="103"/>
      <c r="O401" s="111"/>
      <c r="P401" s="111"/>
      <c r="Q401" s="111"/>
      <c r="R401" s="111"/>
      <c r="S401" s="111"/>
      <c r="T401" s="111"/>
      <c r="U401" s="111"/>
      <c r="V401" s="111"/>
      <c r="W401" s="111"/>
      <c r="X401" s="111"/>
      <c r="Y401" s="111"/>
      <c r="Z401" s="111"/>
      <c r="AA401" s="111"/>
      <c r="AB401" s="111"/>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c r="BC401" s="111"/>
      <c r="BD401" s="111"/>
      <c r="BE401" s="111"/>
      <c r="BF401" s="111"/>
      <c r="BG401" s="111"/>
      <c r="BH401" s="111"/>
      <c r="BI401" s="103"/>
      <c r="BO401" s="111"/>
      <c r="BP401" s="111"/>
      <c r="BQ401" s="111"/>
      <c r="BR401" s="111"/>
      <c r="BS401" s="111"/>
      <c r="BT401" s="111"/>
      <c r="BU401" s="111"/>
      <c r="BV401" s="111"/>
      <c r="BW401" s="111"/>
      <c r="BX401" s="111"/>
      <c r="BY401" s="111"/>
      <c r="BZ401" s="111"/>
    </row>
    <row r="402">
      <c r="A402" s="107" t="s">
        <v>3272</v>
      </c>
      <c r="B402" s="108">
        <v>9.0</v>
      </c>
      <c r="C402" s="108">
        <v>0.0</v>
      </c>
      <c r="D402" s="108">
        <v>0.0</v>
      </c>
      <c r="E402" s="108">
        <v>0.0</v>
      </c>
      <c r="F402" s="108">
        <v>289.0</v>
      </c>
      <c r="G402" s="108">
        <v>294912.0</v>
      </c>
      <c r="H402" s="109">
        <f t="shared" ref="H402:I402" si="400">F402/1024/1024/1024</f>
        <v>0.0000002691522241</v>
      </c>
      <c r="I402" s="109">
        <f t="shared" si="400"/>
        <v>0.0002746582031</v>
      </c>
      <c r="J402" s="110">
        <v>0.0</v>
      </c>
      <c r="K402" s="107"/>
      <c r="L402" s="103"/>
      <c r="O402" s="111"/>
      <c r="P402" s="111"/>
      <c r="Q402" s="111"/>
      <c r="R402" s="111"/>
      <c r="S402" s="111"/>
      <c r="T402" s="111"/>
      <c r="U402" s="111"/>
      <c r="V402" s="111"/>
      <c r="W402" s="111"/>
      <c r="X402" s="111"/>
      <c r="Y402" s="111"/>
      <c r="Z402" s="111"/>
      <c r="AA402" s="111"/>
      <c r="AB402" s="111"/>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c r="BC402" s="111"/>
      <c r="BD402" s="111"/>
      <c r="BE402" s="111"/>
      <c r="BF402" s="111"/>
      <c r="BG402" s="111"/>
      <c r="BH402" s="111"/>
      <c r="BI402" s="103"/>
      <c r="BQ402" s="111"/>
      <c r="BR402" s="111"/>
      <c r="BS402" s="111"/>
      <c r="BT402" s="111"/>
      <c r="BU402" s="111"/>
      <c r="BV402" s="111"/>
      <c r="BW402" s="111"/>
      <c r="BX402" s="111"/>
      <c r="BY402" s="111"/>
      <c r="BZ402" s="111"/>
    </row>
    <row r="403">
      <c r="A403" s="107" t="s">
        <v>3273</v>
      </c>
      <c r="B403" s="108">
        <v>32.0</v>
      </c>
      <c r="C403" s="108">
        <v>0.0</v>
      </c>
      <c r="D403" s="108">
        <v>0.0</v>
      </c>
      <c r="E403" s="108">
        <v>0.0</v>
      </c>
      <c r="F403" s="108">
        <v>1125.0</v>
      </c>
      <c r="G403" s="108">
        <v>1048576.0</v>
      </c>
      <c r="H403" s="109">
        <f t="shared" ref="H403:I403" si="401">F403/1024/1024/1024</f>
        <v>0.000001047737896</v>
      </c>
      <c r="I403" s="109">
        <f t="shared" si="401"/>
        <v>0.0009765625</v>
      </c>
      <c r="J403" s="110">
        <v>0.0</v>
      </c>
      <c r="K403" s="107"/>
      <c r="L403" s="103"/>
      <c r="O403" s="111"/>
      <c r="P403" s="111"/>
      <c r="Q403" s="111"/>
      <c r="R403" s="111"/>
      <c r="S403" s="111"/>
      <c r="T403" s="111"/>
      <c r="U403" s="111"/>
      <c r="V403" s="111"/>
      <c r="W403" s="111"/>
      <c r="X403" s="111"/>
      <c r="Y403" s="111"/>
      <c r="Z403" s="111"/>
      <c r="AA403" s="111"/>
      <c r="AB403" s="111"/>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c r="BC403" s="111"/>
      <c r="BD403" s="111"/>
      <c r="BE403" s="111"/>
      <c r="BF403" s="111"/>
      <c r="BG403" s="111"/>
      <c r="BH403" s="111"/>
      <c r="BI403" s="103"/>
      <c r="BO403" s="111"/>
      <c r="BP403" s="111"/>
      <c r="BQ403" s="111"/>
      <c r="BR403" s="111"/>
      <c r="BS403" s="111"/>
      <c r="BT403" s="111"/>
      <c r="BU403" s="111"/>
      <c r="BV403" s="111"/>
      <c r="BW403" s="111"/>
      <c r="BX403" s="111"/>
      <c r="BY403" s="111"/>
      <c r="BZ403" s="111"/>
    </row>
    <row r="404">
      <c r="A404" s="107" t="s">
        <v>3274</v>
      </c>
      <c r="B404" s="108">
        <v>19.0</v>
      </c>
      <c r="C404" s="108">
        <v>0.0</v>
      </c>
      <c r="D404" s="108">
        <v>0.0</v>
      </c>
      <c r="E404" s="108">
        <v>0.0</v>
      </c>
      <c r="F404" s="108">
        <v>513.0</v>
      </c>
      <c r="G404" s="108">
        <v>622592.0</v>
      </c>
      <c r="H404" s="109">
        <f t="shared" ref="H404:I404" si="402">F404/1024/1024/1024</f>
        <v>0.0000004777684808</v>
      </c>
      <c r="I404" s="109">
        <f t="shared" si="402"/>
        <v>0.0005798339844</v>
      </c>
      <c r="J404" s="110">
        <v>0.0</v>
      </c>
      <c r="K404" s="107"/>
      <c r="L404" s="103"/>
      <c r="O404" s="111"/>
      <c r="P404" s="111"/>
      <c r="Q404" s="111"/>
      <c r="R404" s="111"/>
      <c r="S404" s="111"/>
      <c r="T404" s="111"/>
      <c r="U404" s="111"/>
      <c r="V404" s="111"/>
      <c r="W404" s="111"/>
      <c r="X404" s="111"/>
      <c r="Y404" s="111"/>
      <c r="Z404" s="111"/>
      <c r="AA404" s="111"/>
      <c r="AB404" s="111"/>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c r="BC404" s="111"/>
      <c r="BD404" s="111"/>
      <c r="BE404" s="111"/>
      <c r="BF404" s="111"/>
      <c r="BG404" s="111"/>
      <c r="BH404" s="111"/>
      <c r="BI404" s="103"/>
      <c r="BO404" s="111"/>
      <c r="BP404" s="111"/>
      <c r="BQ404" s="111"/>
      <c r="BR404" s="111"/>
      <c r="BS404" s="111"/>
      <c r="BT404" s="111"/>
      <c r="BU404" s="111"/>
      <c r="BV404" s="111"/>
      <c r="BW404" s="111"/>
      <c r="BX404" s="111"/>
      <c r="BY404" s="111"/>
      <c r="BZ404" s="111"/>
    </row>
    <row r="405">
      <c r="A405" s="107" t="s">
        <v>3275</v>
      </c>
      <c r="B405" s="108">
        <v>5.0</v>
      </c>
      <c r="C405" s="108">
        <v>0.0</v>
      </c>
      <c r="D405" s="108">
        <v>0.0</v>
      </c>
      <c r="E405" s="108">
        <v>0.0</v>
      </c>
      <c r="F405" s="108">
        <v>137.0</v>
      </c>
      <c r="G405" s="108">
        <v>163840.0</v>
      </c>
      <c r="H405" s="109">
        <f t="shared" ref="H405:I405" si="403">F405/1024/1024/1024</f>
        <v>0.0000001275911927</v>
      </c>
      <c r="I405" s="109">
        <f t="shared" si="403"/>
        <v>0.0001525878906</v>
      </c>
      <c r="J405" s="110">
        <v>0.0</v>
      </c>
      <c r="K405" s="107"/>
      <c r="L405" s="103"/>
      <c r="O405" s="111"/>
      <c r="P405" s="111"/>
      <c r="Q405" s="111"/>
      <c r="R405" s="111"/>
      <c r="S405" s="111"/>
      <c r="T405" s="111"/>
      <c r="U405" s="111"/>
      <c r="V405" s="111"/>
      <c r="W405" s="111"/>
      <c r="X405" s="111"/>
      <c r="Y405" s="111"/>
      <c r="Z405" s="111"/>
      <c r="AA405" s="111"/>
      <c r="AB405" s="111"/>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c r="BC405" s="111"/>
      <c r="BD405" s="111"/>
      <c r="BE405" s="111"/>
      <c r="BF405" s="111"/>
      <c r="BG405" s="111"/>
      <c r="BH405" s="111"/>
      <c r="BI405" s="103"/>
      <c r="BO405" s="111"/>
      <c r="BP405" s="111"/>
      <c r="BQ405" s="111"/>
      <c r="BR405" s="111"/>
      <c r="BS405" s="111"/>
      <c r="BT405" s="111"/>
      <c r="BU405" s="111"/>
      <c r="BV405" s="111"/>
      <c r="BW405" s="111"/>
      <c r="BX405" s="111"/>
      <c r="BY405" s="111"/>
      <c r="BZ405" s="111"/>
    </row>
    <row r="406">
      <c r="A406" s="107" t="s">
        <v>3276</v>
      </c>
      <c r="B406" s="108">
        <v>22.0</v>
      </c>
      <c r="C406" s="108">
        <v>0.0</v>
      </c>
      <c r="D406" s="108">
        <v>0.0</v>
      </c>
      <c r="E406" s="108">
        <v>0.0</v>
      </c>
      <c r="F406" s="108">
        <v>830.0</v>
      </c>
      <c r="G406" s="108">
        <v>720896.0</v>
      </c>
      <c r="H406" s="109">
        <f t="shared" ref="H406:I406" si="404">F406/1024/1024/1024</f>
        <v>0.0000007729977369</v>
      </c>
      <c r="I406" s="109">
        <f t="shared" si="404"/>
        <v>0.0006713867188</v>
      </c>
      <c r="J406" s="110">
        <v>0.0</v>
      </c>
      <c r="K406" s="107"/>
      <c r="L406" s="103"/>
      <c r="O406" s="111"/>
      <c r="P406" s="111"/>
      <c r="Q406" s="111"/>
      <c r="R406" s="111"/>
      <c r="S406" s="111"/>
      <c r="T406" s="111"/>
      <c r="U406" s="111"/>
      <c r="V406" s="111"/>
      <c r="W406" s="111"/>
      <c r="X406" s="111"/>
      <c r="Y406" s="111"/>
      <c r="Z406" s="111"/>
      <c r="AA406" s="111"/>
      <c r="AB406" s="111"/>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c r="BC406" s="111"/>
      <c r="BD406" s="111"/>
      <c r="BE406" s="111"/>
      <c r="BF406" s="111"/>
      <c r="BG406" s="111"/>
      <c r="BH406" s="111"/>
      <c r="BI406" s="103"/>
      <c r="BO406" s="111"/>
      <c r="BP406" s="111"/>
      <c r="BQ406" s="111"/>
      <c r="BR406" s="111"/>
      <c r="BS406" s="111"/>
      <c r="BT406" s="111"/>
      <c r="BU406" s="111"/>
      <c r="BV406" s="111"/>
      <c r="BW406" s="111"/>
      <c r="BX406" s="111"/>
      <c r="BY406" s="111"/>
      <c r="BZ406" s="111"/>
    </row>
    <row r="407">
      <c r="A407" s="107" t="s">
        <v>3277</v>
      </c>
      <c r="B407" s="108">
        <v>28.0</v>
      </c>
      <c r="C407" s="108">
        <v>0.0</v>
      </c>
      <c r="D407" s="108">
        <v>0.0</v>
      </c>
      <c r="E407" s="108">
        <v>0.0</v>
      </c>
      <c r="F407" s="108">
        <v>1078.0</v>
      </c>
      <c r="G407" s="108">
        <v>917504.0</v>
      </c>
      <c r="H407" s="109">
        <f t="shared" ref="H407:I407" si="405">F407/1024/1024/1024</f>
        <v>0.000001003965735</v>
      </c>
      <c r="I407" s="109">
        <f t="shared" si="405"/>
        <v>0.0008544921875</v>
      </c>
      <c r="J407" s="110">
        <v>0.0</v>
      </c>
      <c r="K407" s="107"/>
      <c r="L407" s="103"/>
      <c r="O407" s="111"/>
      <c r="P407" s="111"/>
      <c r="Q407" s="111"/>
      <c r="R407" s="111"/>
      <c r="S407" s="111"/>
      <c r="T407" s="111"/>
      <c r="U407" s="111"/>
      <c r="V407" s="111"/>
      <c r="W407" s="111"/>
      <c r="X407" s="111"/>
      <c r="Y407" s="111"/>
      <c r="Z407" s="111"/>
      <c r="AA407" s="111"/>
      <c r="AB407" s="111"/>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c r="BC407" s="111"/>
      <c r="BD407" s="111"/>
      <c r="BE407" s="111"/>
      <c r="BF407" s="111"/>
      <c r="BG407" s="111"/>
      <c r="BH407" s="111"/>
      <c r="BI407" s="103"/>
      <c r="BP407" s="111"/>
      <c r="BQ407" s="111"/>
      <c r="BR407" s="111"/>
      <c r="BS407" s="111"/>
      <c r="BT407" s="111"/>
      <c r="BU407" s="111"/>
      <c r="BV407" s="111"/>
      <c r="BW407" s="111"/>
      <c r="BX407" s="111"/>
      <c r="BY407" s="111"/>
      <c r="BZ407" s="111"/>
    </row>
    <row r="408">
      <c r="A408" s="107" t="s">
        <v>3278</v>
      </c>
      <c r="B408" s="108">
        <v>4.0</v>
      </c>
      <c r="C408" s="108">
        <v>0.0</v>
      </c>
      <c r="D408" s="108">
        <v>0.0</v>
      </c>
      <c r="E408" s="108">
        <v>0.0</v>
      </c>
      <c r="F408" s="108">
        <v>103.0</v>
      </c>
      <c r="G408" s="108">
        <v>131072.0</v>
      </c>
      <c r="H408" s="109">
        <f t="shared" ref="H408:I408" si="406">F408/1024/1024/1024</f>
        <v>0.00000009592622519</v>
      </c>
      <c r="I408" s="109">
        <f t="shared" si="406"/>
        <v>0.0001220703125</v>
      </c>
      <c r="J408" s="110">
        <v>0.0</v>
      </c>
      <c r="K408" s="107"/>
      <c r="L408" s="103"/>
      <c r="O408" s="111"/>
      <c r="P408" s="111"/>
      <c r="Q408" s="111"/>
      <c r="R408" s="111"/>
      <c r="S408" s="111"/>
      <c r="T408" s="111"/>
      <c r="U408" s="111"/>
      <c r="V408" s="111"/>
      <c r="W408" s="111"/>
      <c r="X408" s="111"/>
      <c r="Y408" s="111"/>
      <c r="Z408" s="111"/>
      <c r="AA408" s="111"/>
      <c r="AB408" s="111"/>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c r="BC408" s="111"/>
      <c r="BD408" s="111"/>
      <c r="BE408" s="111"/>
      <c r="BF408" s="111"/>
      <c r="BG408" s="111"/>
      <c r="BH408" s="111"/>
      <c r="BI408" s="111"/>
      <c r="BJ408" s="103"/>
      <c r="BP408" s="111"/>
      <c r="BQ408" s="111"/>
      <c r="BR408" s="111"/>
      <c r="BS408" s="111"/>
      <c r="BT408" s="111"/>
      <c r="BU408" s="111"/>
      <c r="BV408" s="111"/>
      <c r="BW408" s="111"/>
      <c r="BX408" s="111"/>
      <c r="BY408" s="111"/>
      <c r="BZ408" s="111"/>
    </row>
    <row r="409">
      <c r="A409" s="107" t="s">
        <v>3279</v>
      </c>
      <c r="B409" s="108">
        <v>64.0</v>
      </c>
      <c r="C409" s="108">
        <v>124.0</v>
      </c>
      <c r="D409" s="108">
        <v>0.0</v>
      </c>
      <c r="E409" s="108">
        <v>0.0</v>
      </c>
      <c r="F409" s="108">
        <v>2.04187114778E11</v>
      </c>
      <c r="G409" s="108">
        <v>2.45478834176E11</v>
      </c>
      <c r="H409" s="109">
        <f t="shared" ref="H409:I409" si="407">F409/1024/1024/1024</f>
        <v>190.1640694</v>
      </c>
      <c r="I409" s="109">
        <f t="shared" si="407"/>
        <v>228.6199799</v>
      </c>
      <c r="J409" s="110">
        <v>0.0</v>
      </c>
      <c r="K409" s="107"/>
      <c r="L409" s="103"/>
      <c r="O409" s="111"/>
      <c r="P409" s="111"/>
      <c r="Q409" s="111"/>
      <c r="R409" s="111"/>
      <c r="S409" s="111"/>
      <c r="T409" s="111"/>
      <c r="U409" s="111"/>
      <c r="V409" s="111"/>
      <c r="W409" s="111"/>
      <c r="X409" s="111"/>
      <c r="Y409" s="111"/>
      <c r="Z409" s="111"/>
      <c r="AA409" s="111"/>
      <c r="AB409" s="111"/>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c r="BC409" s="111"/>
      <c r="BD409" s="111"/>
      <c r="BE409" s="111"/>
      <c r="BF409" s="111"/>
      <c r="BG409" s="111"/>
      <c r="BH409" s="111"/>
      <c r="BI409" s="111"/>
      <c r="BJ409" s="103"/>
      <c r="BO409" s="111"/>
      <c r="BP409" s="111"/>
      <c r="BQ409" s="111"/>
      <c r="BR409" s="111"/>
      <c r="BS409" s="111"/>
      <c r="BT409" s="111"/>
      <c r="BU409" s="111"/>
      <c r="BV409" s="111"/>
      <c r="BW409" s="111"/>
      <c r="BX409" s="111"/>
      <c r="BY409" s="111"/>
      <c r="BZ409" s="111"/>
    </row>
    <row r="410">
      <c r="A410" s="107" t="s">
        <v>3280</v>
      </c>
      <c r="B410" s="108">
        <v>24.0</v>
      </c>
      <c r="C410" s="108">
        <v>0.0</v>
      </c>
      <c r="D410" s="108">
        <v>0.0</v>
      </c>
      <c r="E410" s="108">
        <v>0.0</v>
      </c>
      <c r="F410" s="108">
        <v>765.0</v>
      </c>
      <c r="G410" s="108">
        <v>786432.0</v>
      </c>
      <c r="H410" s="109">
        <f t="shared" ref="H410:I410" si="408">F410/1024/1024/1024</f>
        <v>0.0000007124617696</v>
      </c>
      <c r="I410" s="109">
        <f t="shared" si="408"/>
        <v>0.000732421875</v>
      </c>
      <c r="J410" s="110">
        <v>0.0</v>
      </c>
      <c r="K410" s="107"/>
      <c r="L410" s="103"/>
      <c r="N410" s="111"/>
      <c r="O410" s="111"/>
      <c r="P410" s="111"/>
      <c r="Q410" s="111"/>
      <c r="R410" s="111"/>
      <c r="S410" s="111"/>
      <c r="T410" s="111"/>
      <c r="U410" s="111"/>
      <c r="V410" s="111"/>
      <c r="W410" s="111"/>
      <c r="X410" s="111"/>
      <c r="Y410" s="111"/>
      <c r="Z410" s="111"/>
      <c r="AA410" s="111"/>
      <c r="AB410" s="111"/>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03"/>
      <c r="BP410" s="111"/>
      <c r="BQ410" s="111"/>
      <c r="BR410" s="111"/>
      <c r="BS410" s="111"/>
      <c r="BT410" s="111"/>
      <c r="BU410" s="111"/>
      <c r="BV410" s="111"/>
      <c r="BW410" s="111"/>
      <c r="BX410" s="111"/>
      <c r="BY410" s="111"/>
      <c r="BZ410" s="111"/>
    </row>
    <row r="411">
      <c r="A411" s="107" t="s">
        <v>3281</v>
      </c>
      <c r="B411" s="108">
        <v>46.0</v>
      </c>
      <c r="C411" s="108">
        <v>20.0</v>
      </c>
      <c r="D411" s="108">
        <v>0.0</v>
      </c>
      <c r="E411" s="108">
        <v>0.0</v>
      </c>
      <c r="F411" s="108">
        <v>1784674.0</v>
      </c>
      <c r="G411" s="108">
        <v>6135808.0</v>
      </c>
      <c r="H411" s="109">
        <f t="shared" ref="H411:I411" si="409">F411/1024/1024/1024</f>
        <v>0.001662107185</v>
      </c>
      <c r="I411" s="109">
        <f t="shared" si="409"/>
        <v>0.005714416504</v>
      </c>
      <c r="J411" s="110">
        <v>0.0</v>
      </c>
      <c r="K411" s="107"/>
      <c r="L411" s="103"/>
      <c r="N411" s="111"/>
      <c r="O411" s="111"/>
      <c r="P411" s="111"/>
      <c r="Q411" s="111"/>
      <c r="R411" s="111"/>
      <c r="S411" s="111"/>
      <c r="T411" s="111"/>
      <c r="U411" s="111"/>
      <c r="V411" s="111"/>
      <c r="W411" s="111"/>
      <c r="X411" s="111"/>
      <c r="Y411" s="111"/>
      <c r="Z411" s="111"/>
      <c r="AA411" s="111"/>
      <c r="AB411" s="111"/>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c r="BC411" s="111"/>
      <c r="BD411" s="111"/>
      <c r="BE411" s="111"/>
      <c r="BF411" s="111"/>
      <c r="BG411" s="111"/>
      <c r="BH411" s="111"/>
      <c r="BI411" s="111"/>
      <c r="BJ411" s="111"/>
      <c r="BK411" s="103"/>
      <c r="BP411" s="111"/>
      <c r="BQ411" s="111"/>
      <c r="BR411" s="111"/>
      <c r="BS411" s="111"/>
      <c r="BT411" s="111"/>
      <c r="BU411" s="111"/>
      <c r="BV411" s="111"/>
      <c r="BW411" s="111"/>
      <c r="BX411" s="111"/>
      <c r="BY411" s="111"/>
      <c r="BZ411" s="111"/>
    </row>
    <row r="412">
      <c r="A412" s="107" t="s">
        <v>3282</v>
      </c>
      <c r="B412" s="108">
        <v>9.0</v>
      </c>
      <c r="C412" s="108">
        <v>0.0</v>
      </c>
      <c r="D412" s="108">
        <v>0.0</v>
      </c>
      <c r="E412" s="108">
        <v>0.0</v>
      </c>
      <c r="F412" s="108">
        <v>259.0</v>
      </c>
      <c r="G412" s="108">
        <v>294912.0</v>
      </c>
      <c r="H412" s="109">
        <f t="shared" ref="H412:I412" si="410">F412/1024/1024/1024</f>
        <v>0.0000002412125468</v>
      </c>
      <c r="I412" s="109">
        <f t="shared" si="410"/>
        <v>0.0002746582031</v>
      </c>
      <c r="J412" s="110">
        <v>0.0</v>
      </c>
      <c r="K412" s="107"/>
      <c r="L412" s="103"/>
      <c r="N412" s="111"/>
      <c r="O412" s="111"/>
      <c r="P412" s="111"/>
      <c r="Q412" s="111"/>
      <c r="R412" s="111"/>
      <c r="S412" s="111"/>
      <c r="T412" s="111"/>
      <c r="U412" s="111"/>
      <c r="V412" s="111"/>
      <c r="W412" s="111"/>
      <c r="X412" s="111"/>
      <c r="Y412" s="111"/>
      <c r="Z412" s="111"/>
      <c r="AA412" s="111"/>
      <c r="AB412" s="111"/>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c r="BC412" s="111"/>
      <c r="BD412" s="111"/>
      <c r="BE412" s="111"/>
      <c r="BF412" s="111"/>
      <c r="BG412" s="111"/>
      <c r="BH412" s="111"/>
      <c r="BI412" s="111"/>
      <c r="BJ412" s="111"/>
      <c r="BK412" s="103"/>
      <c r="BP412" s="111"/>
      <c r="BQ412" s="111"/>
      <c r="BR412" s="111"/>
      <c r="BS412" s="111"/>
      <c r="BT412" s="111"/>
      <c r="BU412" s="111"/>
      <c r="BV412" s="111"/>
      <c r="BW412" s="111"/>
      <c r="BX412" s="111"/>
      <c r="BY412" s="111"/>
      <c r="BZ412" s="111"/>
    </row>
    <row r="413">
      <c r="A413" s="107" t="s">
        <v>3283</v>
      </c>
      <c r="B413" s="108">
        <v>4.0</v>
      </c>
      <c r="C413" s="108">
        <v>0.0</v>
      </c>
      <c r="D413" s="108">
        <v>0.0</v>
      </c>
      <c r="E413" s="108">
        <v>0.0</v>
      </c>
      <c r="F413" s="108">
        <v>88.0</v>
      </c>
      <c r="G413" s="108">
        <v>131072.0</v>
      </c>
      <c r="H413" s="109">
        <f t="shared" ref="H413:I413" si="411">F413/1024/1024/1024</f>
        <v>0.00000008195638657</v>
      </c>
      <c r="I413" s="109">
        <f t="shared" si="411"/>
        <v>0.0001220703125</v>
      </c>
      <c r="J413" s="110">
        <v>0.0</v>
      </c>
      <c r="K413" s="107"/>
      <c r="L413" s="103"/>
      <c r="N413" s="111"/>
      <c r="O413" s="111"/>
      <c r="P413" s="111"/>
      <c r="Q413" s="111"/>
      <c r="R413" s="111"/>
      <c r="S413" s="111"/>
      <c r="T413" s="111"/>
      <c r="U413" s="111"/>
      <c r="V413" s="111"/>
      <c r="W413" s="111"/>
      <c r="X413" s="111"/>
      <c r="Y413" s="111"/>
      <c r="Z413" s="111"/>
      <c r="AA413" s="111"/>
      <c r="AB413" s="111"/>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c r="BC413" s="111"/>
      <c r="BD413" s="111"/>
      <c r="BE413" s="111"/>
      <c r="BF413" s="111"/>
      <c r="BG413" s="111"/>
      <c r="BH413" s="111"/>
      <c r="BI413" s="111"/>
      <c r="BJ413" s="111"/>
      <c r="BK413" s="111"/>
      <c r="BL413" s="103"/>
      <c r="BP413" s="111"/>
      <c r="BQ413" s="111"/>
      <c r="BR413" s="111"/>
      <c r="BS413" s="111"/>
      <c r="BT413" s="111"/>
      <c r="BU413" s="111"/>
      <c r="BV413" s="111"/>
      <c r="BW413" s="111"/>
      <c r="BX413" s="111"/>
      <c r="BY413" s="111"/>
      <c r="BZ413" s="111"/>
    </row>
    <row r="414">
      <c r="A414" s="107" t="s">
        <v>3284</v>
      </c>
      <c r="B414" s="108">
        <v>123.0</v>
      </c>
      <c r="C414" s="108">
        <v>702.0</v>
      </c>
      <c r="D414" s="108">
        <v>0.0</v>
      </c>
      <c r="E414" s="108">
        <v>0.0</v>
      </c>
      <c r="F414" s="108">
        <v>1.511877704E9</v>
      </c>
      <c r="G414" s="108">
        <v>1.90603264E9</v>
      </c>
      <c r="H414" s="109">
        <f t="shared" ref="H414:I414" si="412">F414/1024/1024/1024</f>
        <v>1.408045836</v>
      </c>
      <c r="I414" s="109">
        <f t="shared" si="412"/>
        <v>1.775131226</v>
      </c>
      <c r="J414" s="110">
        <v>0.0</v>
      </c>
      <c r="K414" s="107"/>
      <c r="L414" s="103"/>
      <c r="N414" s="111"/>
      <c r="O414" s="111"/>
      <c r="P414" s="111"/>
      <c r="Q414" s="111"/>
      <c r="R414" s="111"/>
      <c r="S414" s="111"/>
      <c r="T414" s="111"/>
      <c r="U414" s="111"/>
      <c r="V414" s="111"/>
      <c r="W414" s="111"/>
      <c r="X414" s="111"/>
      <c r="Y414" s="111"/>
      <c r="Z414" s="111"/>
      <c r="AA414" s="111"/>
      <c r="AB414" s="111"/>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c r="BC414" s="111"/>
      <c r="BD414" s="111"/>
      <c r="BE414" s="111"/>
      <c r="BF414" s="111"/>
      <c r="BG414" s="111"/>
      <c r="BH414" s="111"/>
      <c r="BI414" s="111"/>
      <c r="BJ414" s="111"/>
      <c r="BK414" s="111"/>
      <c r="BL414" s="103"/>
      <c r="BQ414" s="111"/>
      <c r="BR414" s="111"/>
      <c r="BS414" s="111"/>
      <c r="BT414" s="111"/>
      <c r="BU414" s="111"/>
      <c r="BV414" s="111"/>
      <c r="BW414" s="111"/>
      <c r="BX414" s="111"/>
      <c r="BY414" s="111"/>
      <c r="BZ414" s="111"/>
    </row>
    <row r="415">
      <c r="A415" s="107" t="s">
        <v>3285</v>
      </c>
      <c r="B415" s="108">
        <v>6.0</v>
      </c>
      <c r="C415" s="108">
        <v>0.0</v>
      </c>
      <c r="D415" s="108">
        <v>0.0</v>
      </c>
      <c r="E415" s="108">
        <v>0.0</v>
      </c>
      <c r="F415" s="108">
        <v>149.0</v>
      </c>
      <c r="G415" s="108">
        <v>196608.0</v>
      </c>
      <c r="H415" s="109">
        <f t="shared" ref="H415:I415" si="413">F415/1024/1024/1024</f>
        <v>0.0000001387670636</v>
      </c>
      <c r="I415" s="109">
        <f t="shared" si="413"/>
        <v>0.0001831054688</v>
      </c>
      <c r="J415" s="110">
        <v>0.0</v>
      </c>
      <c r="K415" s="107"/>
      <c r="L415" s="103"/>
      <c r="N415" s="111"/>
      <c r="O415" s="111"/>
      <c r="P415" s="111"/>
      <c r="Q415" s="111"/>
      <c r="R415" s="111"/>
      <c r="S415" s="111"/>
      <c r="T415" s="111"/>
      <c r="U415" s="111"/>
      <c r="V415" s="111"/>
      <c r="W415" s="111"/>
      <c r="X415" s="111"/>
      <c r="Y415" s="111"/>
      <c r="Z415" s="111"/>
      <c r="AA415" s="111"/>
      <c r="AB415" s="111"/>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c r="BC415" s="111"/>
      <c r="BD415" s="111"/>
      <c r="BE415" s="111"/>
      <c r="BF415" s="111"/>
      <c r="BG415" s="111"/>
      <c r="BH415" s="111"/>
      <c r="BI415" s="111"/>
      <c r="BJ415" s="111"/>
      <c r="BK415" s="111"/>
      <c r="BL415" s="103"/>
      <c r="BQ415" s="111"/>
      <c r="BR415" s="111"/>
      <c r="BS415" s="111"/>
      <c r="BT415" s="111"/>
      <c r="BU415" s="111"/>
      <c r="BV415" s="111"/>
      <c r="BW415" s="111"/>
      <c r="BX415" s="111"/>
      <c r="BY415" s="111"/>
      <c r="BZ415" s="111"/>
    </row>
    <row r="416">
      <c r="A416" s="107" t="s">
        <v>3286</v>
      </c>
      <c r="B416" s="108">
        <v>11.0</v>
      </c>
      <c r="C416" s="108">
        <v>0.0</v>
      </c>
      <c r="D416" s="108">
        <v>0.0</v>
      </c>
      <c r="E416" s="108">
        <v>0.0</v>
      </c>
      <c r="F416" s="108">
        <v>339.0</v>
      </c>
      <c r="G416" s="108">
        <v>360448.0</v>
      </c>
      <c r="H416" s="109">
        <f t="shared" ref="H416:I416" si="414">F416/1024/1024/1024</f>
        <v>0.0000003157183528</v>
      </c>
      <c r="I416" s="109">
        <f t="shared" si="414"/>
        <v>0.0003356933594</v>
      </c>
      <c r="J416" s="110">
        <v>0.0</v>
      </c>
      <c r="K416" s="107"/>
      <c r="L416" s="103"/>
      <c r="N416" s="111"/>
      <c r="O416" s="111"/>
      <c r="P416" s="111"/>
      <c r="Q416" s="111"/>
      <c r="R416" s="111"/>
      <c r="S416" s="111"/>
      <c r="T416" s="111"/>
      <c r="U416" s="111"/>
      <c r="V416" s="111"/>
      <c r="W416" s="111"/>
      <c r="X416" s="111"/>
      <c r="Y416" s="111"/>
      <c r="Z416" s="111"/>
      <c r="AA416" s="111"/>
      <c r="AB416" s="111"/>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03"/>
      <c r="BQ416" s="111"/>
      <c r="BR416" s="111"/>
      <c r="BS416" s="111"/>
      <c r="BT416" s="111"/>
      <c r="BU416" s="111"/>
      <c r="BV416" s="111"/>
      <c r="BW416" s="111"/>
      <c r="BX416" s="111"/>
      <c r="BY416" s="111"/>
      <c r="BZ416" s="111"/>
    </row>
    <row r="417">
      <c r="A417" s="107" t="s">
        <v>3287</v>
      </c>
      <c r="B417" s="108">
        <v>1.0</v>
      </c>
      <c r="C417" s="108">
        <v>0.0</v>
      </c>
      <c r="D417" s="108">
        <v>0.0</v>
      </c>
      <c r="E417" s="108">
        <v>0.0</v>
      </c>
      <c r="F417" s="108">
        <v>0.0</v>
      </c>
      <c r="G417" s="108">
        <v>32768.0</v>
      </c>
      <c r="H417" s="109">
        <f t="shared" ref="H417:I417" si="415">F417/1024/1024/1024</f>
        <v>0</v>
      </c>
      <c r="I417" s="109">
        <f t="shared" si="415"/>
        <v>0.00003051757813</v>
      </c>
      <c r="J417" s="110">
        <v>0.0</v>
      </c>
      <c r="K417" s="107"/>
      <c r="L417" s="103"/>
      <c r="N417" s="111"/>
      <c r="O417" s="111"/>
      <c r="P417" s="111"/>
      <c r="Q417" s="111"/>
      <c r="R417" s="111"/>
      <c r="S417" s="111"/>
      <c r="T417" s="111"/>
      <c r="U417" s="111"/>
      <c r="V417" s="111"/>
      <c r="W417" s="111"/>
      <c r="X417" s="111"/>
      <c r="Y417" s="111"/>
      <c r="Z417" s="111"/>
      <c r="AA417" s="111"/>
      <c r="AB417" s="111"/>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03"/>
      <c r="BQ417" s="111"/>
      <c r="BR417" s="111"/>
      <c r="BS417" s="111"/>
      <c r="BT417" s="111"/>
      <c r="BU417" s="111"/>
      <c r="BV417" s="111"/>
      <c r="BW417" s="111"/>
      <c r="BX417" s="111"/>
      <c r="BY417" s="111"/>
      <c r="BZ417" s="111"/>
    </row>
    <row r="418">
      <c r="A418" s="107" t="s">
        <v>3288</v>
      </c>
      <c r="B418" s="108">
        <v>6.0</v>
      </c>
      <c r="C418" s="108">
        <v>0.0</v>
      </c>
      <c r="D418" s="108">
        <v>0.0</v>
      </c>
      <c r="E418" s="108">
        <v>0.0</v>
      </c>
      <c r="F418" s="108">
        <v>164.0</v>
      </c>
      <c r="G418" s="108">
        <v>196608.0</v>
      </c>
      <c r="H418" s="109">
        <f t="shared" ref="H418:I418" si="416">F418/1024/1024/1024</f>
        <v>0.0000001527369022</v>
      </c>
      <c r="I418" s="109">
        <f t="shared" si="416"/>
        <v>0.0001831054688</v>
      </c>
      <c r="J418" s="110">
        <v>0.0</v>
      </c>
      <c r="K418" s="107"/>
      <c r="L418" s="103"/>
      <c r="N418" s="111"/>
      <c r="O418" s="111"/>
      <c r="P418" s="111"/>
      <c r="Q418" s="111"/>
      <c r="R418" s="111"/>
      <c r="S418" s="111"/>
      <c r="T418" s="111"/>
      <c r="U418" s="111"/>
      <c r="V418" s="111"/>
      <c r="W418" s="111"/>
      <c r="X418" s="111"/>
      <c r="Y418" s="111"/>
      <c r="Z418" s="111"/>
      <c r="AA418" s="111"/>
      <c r="AB418" s="111"/>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03"/>
      <c r="BQ418" s="111"/>
      <c r="BR418" s="111"/>
      <c r="BS418" s="111"/>
      <c r="BT418" s="111"/>
      <c r="BU418" s="111"/>
      <c r="BV418" s="111"/>
      <c r="BW418" s="111"/>
      <c r="BX418" s="111"/>
      <c r="BY418" s="111"/>
      <c r="BZ418" s="111"/>
    </row>
    <row r="419">
      <c r="A419" s="107" t="s">
        <v>3289</v>
      </c>
      <c r="B419" s="108">
        <v>9.0</v>
      </c>
      <c r="C419" s="108">
        <v>0.0</v>
      </c>
      <c r="D419" s="108">
        <v>0.0</v>
      </c>
      <c r="E419" s="108">
        <v>0.0</v>
      </c>
      <c r="F419" s="108">
        <v>247.0</v>
      </c>
      <c r="G419" s="108">
        <v>294912.0</v>
      </c>
      <c r="H419" s="109">
        <f t="shared" ref="H419:I419" si="417">F419/1024/1024/1024</f>
        <v>0.0000002300366759</v>
      </c>
      <c r="I419" s="109">
        <f t="shared" si="417"/>
        <v>0.0002746582031</v>
      </c>
      <c r="J419" s="110">
        <v>0.0</v>
      </c>
      <c r="K419" s="107"/>
      <c r="L419" s="103"/>
      <c r="N419" s="111"/>
      <c r="O419" s="111"/>
      <c r="P419" s="111"/>
      <c r="Q419" s="111"/>
      <c r="R419" s="111"/>
      <c r="S419" s="111"/>
      <c r="T419" s="111"/>
      <c r="U419" s="111"/>
      <c r="V419" s="111"/>
      <c r="W419" s="111"/>
      <c r="X419" s="111"/>
      <c r="Y419" s="111"/>
      <c r="Z419" s="111"/>
      <c r="AA419" s="111"/>
      <c r="AB419" s="111"/>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03"/>
      <c r="BQ419" s="111"/>
      <c r="BR419" s="111"/>
      <c r="BS419" s="111"/>
      <c r="BT419" s="111"/>
      <c r="BU419" s="111"/>
      <c r="BV419" s="111"/>
      <c r="BW419" s="111"/>
      <c r="BX419" s="111"/>
      <c r="BY419" s="111"/>
      <c r="BZ419" s="111"/>
    </row>
    <row r="420">
      <c r="A420" s="107" t="s">
        <v>3290</v>
      </c>
      <c r="B420" s="108">
        <v>2.0</v>
      </c>
      <c r="C420" s="108">
        <v>0.0</v>
      </c>
      <c r="D420" s="108">
        <v>0.0</v>
      </c>
      <c r="E420" s="108">
        <v>0.0</v>
      </c>
      <c r="F420" s="108">
        <v>27.0</v>
      </c>
      <c r="G420" s="108">
        <v>65536.0</v>
      </c>
      <c r="H420" s="109">
        <f t="shared" ref="H420:I420" si="418">F420/1024/1024/1024</f>
        <v>0.00000002514570951</v>
      </c>
      <c r="I420" s="109">
        <f t="shared" si="418"/>
        <v>0.00006103515625</v>
      </c>
      <c r="J420" s="110">
        <v>0.0</v>
      </c>
      <c r="K420" s="107"/>
      <c r="L420" s="103"/>
      <c r="N420" s="111"/>
      <c r="O420" s="111"/>
      <c r="P420" s="111"/>
      <c r="Q420" s="111"/>
      <c r="R420" s="111"/>
      <c r="S420" s="111"/>
      <c r="T420" s="111"/>
      <c r="U420" s="111"/>
      <c r="V420" s="111"/>
      <c r="W420" s="111"/>
      <c r="X420" s="111"/>
      <c r="Y420" s="111"/>
      <c r="Z420" s="111"/>
      <c r="AA420" s="111"/>
      <c r="AB420" s="111"/>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03"/>
      <c r="BP420" s="111"/>
      <c r="BQ420" s="111"/>
      <c r="BR420" s="111"/>
      <c r="BS420" s="111"/>
      <c r="BT420" s="111"/>
      <c r="BU420" s="111"/>
      <c r="BV420" s="111"/>
      <c r="BW420" s="111"/>
      <c r="BX420" s="111"/>
      <c r="BY420" s="111"/>
      <c r="BZ420" s="111"/>
    </row>
    <row r="421">
      <c r="A421" s="107" t="s">
        <v>3291</v>
      </c>
      <c r="B421" s="108">
        <v>149.0</v>
      </c>
      <c r="C421" s="108">
        <v>868.0</v>
      </c>
      <c r="D421" s="108">
        <v>0.0</v>
      </c>
      <c r="E421" s="108">
        <v>0.0</v>
      </c>
      <c r="F421" s="108">
        <v>1.384305855E9</v>
      </c>
      <c r="G421" s="108">
        <v>1.8200576E9</v>
      </c>
      <c r="H421" s="109">
        <f t="shared" ref="H421:I421" si="419">F421/1024/1024/1024</f>
        <v>1.289235293</v>
      </c>
      <c r="I421" s="109">
        <f t="shared" si="419"/>
        <v>1.69506073</v>
      </c>
      <c r="J421" s="110">
        <v>0.0</v>
      </c>
      <c r="K421" s="107"/>
      <c r="L421" s="103"/>
      <c r="N421" s="111"/>
      <c r="O421" s="111"/>
      <c r="P421" s="111"/>
      <c r="Q421" s="111"/>
      <c r="R421" s="111"/>
      <c r="S421" s="111"/>
      <c r="T421" s="111"/>
      <c r="U421" s="111"/>
      <c r="V421" s="111"/>
      <c r="W421" s="111"/>
      <c r="X421" s="111"/>
      <c r="Y421" s="111"/>
      <c r="Z421" s="111"/>
      <c r="AA421" s="111"/>
      <c r="AB421" s="111"/>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03"/>
      <c r="BR421" s="111"/>
      <c r="BS421" s="111"/>
      <c r="BT421" s="111"/>
      <c r="BU421" s="111"/>
      <c r="BV421" s="111"/>
      <c r="BW421" s="111"/>
      <c r="BX421" s="111"/>
      <c r="BY421" s="111"/>
      <c r="BZ421" s="111"/>
    </row>
    <row r="422">
      <c r="A422" s="107" t="s">
        <v>3292</v>
      </c>
      <c r="B422" s="108">
        <v>583.0</v>
      </c>
      <c r="C422" s="108">
        <v>10814.0</v>
      </c>
      <c r="D422" s="108">
        <v>0.0</v>
      </c>
      <c r="E422" s="108">
        <v>0.0</v>
      </c>
      <c r="F422" s="108">
        <v>4.091242405974E12</v>
      </c>
      <c r="G422" s="108">
        <v>4.919555661824E12</v>
      </c>
      <c r="H422" s="109">
        <f t="shared" ref="H422:I422" si="420">F422/1024/1024/1024</f>
        <v>3810.266411</v>
      </c>
      <c r="I422" s="109">
        <f t="shared" si="420"/>
        <v>4581.693245</v>
      </c>
      <c r="J422" s="110">
        <v>0.0</v>
      </c>
      <c r="K422" s="107"/>
      <c r="L422" s="103"/>
      <c r="N422" s="111"/>
      <c r="O422" s="111"/>
      <c r="P422" s="111"/>
      <c r="Q422" s="111"/>
      <c r="R422" s="111"/>
      <c r="S422" s="111"/>
      <c r="T422" s="111"/>
      <c r="U422" s="111"/>
      <c r="V422" s="111"/>
      <c r="W422" s="111"/>
      <c r="X422" s="111"/>
      <c r="Y422" s="111"/>
      <c r="Z422" s="111"/>
      <c r="AA422" s="111"/>
      <c r="AB422" s="111"/>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c r="BC422" s="111"/>
      <c r="BD422" s="111"/>
      <c r="BE422" s="111"/>
      <c r="BF422" s="111"/>
      <c r="BG422" s="111"/>
      <c r="BH422" s="111"/>
      <c r="BI422" s="111"/>
      <c r="BJ422" s="111"/>
      <c r="BK422" s="111"/>
      <c r="BL422" s="103"/>
      <c r="BR422" s="111"/>
      <c r="BS422" s="111"/>
      <c r="BT422" s="111"/>
      <c r="BU422" s="111"/>
      <c r="BV422" s="111"/>
      <c r="BW422" s="111"/>
      <c r="BX422" s="111"/>
      <c r="BY422" s="111"/>
      <c r="BZ422" s="111"/>
    </row>
    <row r="423">
      <c r="A423" s="107" t="s">
        <v>3293</v>
      </c>
      <c r="B423" s="108">
        <v>307.0</v>
      </c>
      <c r="C423" s="108">
        <v>15810.0</v>
      </c>
      <c r="D423" s="108">
        <v>0.0</v>
      </c>
      <c r="E423" s="108">
        <v>0.0</v>
      </c>
      <c r="F423" s="108">
        <v>5.9017445228E10</v>
      </c>
      <c r="G423" s="108">
        <v>7.3254592512E10</v>
      </c>
      <c r="H423" s="109">
        <f t="shared" ref="H423:I423" si="421">F423/1024/1024/1024</f>
        <v>54.96427904</v>
      </c>
      <c r="I423" s="109">
        <f t="shared" si="421"/>
        <v>68.2236557</v>
      </c>
      <c r="J423" s="110">
        <v>0.0</v>
      </c>
      <c r="K423" s="107"/>
      <c r="L423" s="103"/>
      <c r="N423" s="111"/>
      <c r="O423" s="111"/>
      <c r="P423" s="111"/>
      <c r="Q423" s="111"/>
      <c r="R423" s="111"/>
      <c r="S423" s="111"/>
      <c r="T423" s="111"/>
      <c r="U423" s="111"/>
      <c r="V423" s="111"/>
      <c r="W423" s="111"/>
      <c r="X423" s="111"/>
      <c r="Y423" s="111"/>
      <c r="Z423" s="111"/>
      <c r="AA423" s="111"/>
      <c r="AB423" s="111"/>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c r="BC423" s="111"/>
      <c r="BD423" s="111"/>
      <c r="BE423" s="111"/>
      <c r="BF423" s="111"/>
      <c r="BG423" s="111"/>
      <c r="BH423" s="111"/>
      <c r="BI423" s="111"/>
      <c r="BJ423" s="111"/>
      <c r="BK423" s="111"/>
      <c r="BL423" s="103"/>
      <c r="BQ423" s="111"/>
      <c r="BR423" s="111"/>
      <c r="BS423" s="111"/>
      <c r="BT423" s="111"/>
      <c r="BU423" s="111"/>
      <c r="BV423" s="111"/>
      <c r="BW423" s="111"/>
      <c r="BX423" s="111"/>
      <c r="BY423" s="111"/>
      <c r="BZ423" s="111"/>
    </row>
    <row r="424">
      <c r="A424" s="107" t="s">
        <v>3294</v>
      </c>
      <c r="B424" s="108">
        <v>26.0</v>
      </c>
      <c r="C424" s="108">
        <v>0.0</v>
      </c>
      <c r="D424" s="108">
        <v>0.0</v>
      </c>
      <c r="E424" s="108">
        <v>0.0</v>
      </c>
      <c r="F424" s="108">
        <v>880.0</v>
      </c>
      <c r="G424" s="108">
        <v>851968.0</v>
      </c>
      <c r="H424" s="109">
        <f t="shared" ref="H424:I424" si="422">F424/1024/1024/1024</f>
        <v>0.0000008195638657</v>
      </c>
      <c r="I424" s="109">
        <f t="shared" si="422"/>
        <v>0.0007934570313</v>
      </c>
      <c r="J424" s="110">
        <v>0.0</v>
      </c>
      <c r="K424" s="107"/>
      <c r="L424" s="103"/>
      <c r="N424" s="111"/>
      <c r="O424" s="111"/>
      <c r="P424" s="111"/>
      <c r="Q424" s="111"/>
      <c r="R424" s="111"/>
      <c r="S424" s="111"/>
      <c r="T424" s="111"/>
      <c r="U424" s="111"/>
      <c r="V424" s="111"/>
      <c r="W424" s="111"/>
      <c r="X424" s="111"/>
      <c r="Y424" s="111"/>
      <c r="Z424" s="111"/>
      <c r="AA424" s="111"/>
      <c r="AB424" s="111"/>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c r="BC424" s="111"/>
      <c r="BD424" s="111"/>
      <c r="BE424" s="111"/>
      <c r="BF424" s="111"/>
      <c r="BG424" s="111"/>
      <c r="BH424" s="111"/>
      <c r="BI424" s="111"/>
      <c r="BJ424" s="111"/>
      <c r="BK424" s="111"/>
      <c r="BL424" s="103"/>
      <c r="BP424" s="111"/>
      <c r="BQ424" s="111"/>
      <c r="BR424" s="111"/>
      <c r="BS424" s="111"/>
      <c r="BT424" s="111"/>
      <c r="BU424" s="111"/>
      <c r="BV424" s="111"/>
      <c r="BW424" s="111"/>
      <c r="BX424" s="111"/>
      <c r="BY424" s="111"/>
      <c r="BZ424" s="111"/>
    </row>
    <row r="425">
      <c r="A425" s="107" t="s">
        <v>3295</v>
      </c>
      <c r="B425" s="108">
        <v>11.0</v>
      </c>
      <c r="C425" s="108">
        <v>0.0</v>
      </c>
      <c r="D425" s="108">
        <v>0.0</v>
      </c>
      <c r="E425" s="108">
        <v>0.0</v>
      </c>
      <c r="F425" s="108">
        <v>356.0</v>
      </c>
      <c r="G425" s="108">
        <v>360448.0</v>
      </c>
      <c r="H425" s="109">
        <f t="shared" ref="H425:I425" si="423">F425/1024/1024/1024</f>
        <v>0.0000003315508366</v>
      </c>
      <c r="I425" s="109">
        <f t="shared" si="423"/>
        <v>0.0003356933594</v>
      </c>
      <c r="J425" s="110">
        <v>0.0</v>
      </c>
      <c r="K425" s="107"/>
      <c r="L425" s="103"/>
      <c r="N425" s="111"/>
      <c r="O425" s="111"/>
      <c r="P425" s="111"/>
      <c r="Q425" s="111"/>
      <c r="R425" s="111"/>
      <c r="S425" s="111"/>
      <c r="T425" s="111"/>
      <c r="U425" s="111"/>
      <c r="V425" s="111"/>
      <c r="W425" s="111"/>
      <c r="X425" s="111"/>
      <c r="Y425" s="111"/>
      <c r="Z425" s="111"/>
      <c r="AA425" s="111"/>
      <c r="AB425" s="111"/>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c r="BC425" s="111"/>
      <c r="BD425" s="111"/>
      <c r="BE425" s="111"/>
      <c r="BF425" s="111"/>
      <c r="BG425" s="111"/>
      <c r="BH425" s="111"/>
      <c r="BI425" s="111"/>
      <c r="BJ425" s="111"/>
      <c r="BK425" s="111"/>
      <c r="BL425" s="103"/>
      <c r="BQ425" s="111"/>
      <c r="BR425" s="111"/>
      <c r="BS425" s="111"/>
      <c r="BT425" s="111"/>
      <c r="BU425" s="111"/>
      <c r="BV425" s="111"/>
      <c r="BW425" s="111"/>
      <c r="BX425" s="111"/>
      <c r="BY425" s="111"/>
      <c r="BZ425" s="111"/>
    </row>
    <row r="426">
      <c r="A426" s="107" t="s">
        <v>3296</v>
      </c>
      <c r="B426" s="108">
        <v>10.0</v>
      </c>
      <c r="C426" s="108">
        <v>0.0</v>
      </c>
      <c r="D426" s="108">
        <v>0.0</v>
      </c>
      <c r="E426" s="108">
        <v>0.0</v>
      </c>
      <c r="F426" s="108">
        <v>296.0</v>
      </c>
      <c r="G426" s="108">
        <v>327680.0</v>
      </c>
      <c r="H426" s="109">
        <f t="shared" ref="H426:I426" si="424">F426/1024/1024/1024</f>
        <v>0.0000002756714821</v>
      </c>
      <c r="I426" s="109">
        <f t="shared" si="424"/>
        <v>0.0003051757813</v>
      </c>
      <c r="J426" s="110">
        <v>0.0</v>
      </c>
      <c r="K426" s="107"/>
      <c r="L426" s="103"/>
      <c r="N426" s="111"/>
      <c r="O426" s="111"/>
      <c r="P426" s="111"/>
      <c r="Q426" s="111"/>
      <c r="R426" s="111"/>
      <c r="S426" s="111"/>
      <c r="T426" s="111"/>
      <c r="U426" s="111"/>
      <c r="V426" s="111"/>
      <c r="W426" s="111"/>
      <c r="X426" s="111"/>
      <c r="Y426" s="111"/>
      <c r="Z426" s="111"/>
      <c r="AA426" s="111"/>
      <c r="AB426" s="111"/>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c r="BC426" s="111"/>
      <c r="BD426" s="111"/>
      <c r="BE426" s="111"/>
      <c r="BF426" s="111"/>
      <c r="BG426" s="111"/>
      <c r="BH426" s="111"/>
      <c r="BI426" s="111"/>
      <c r="BJ426" s="111"/>
      <c r="BK426" s="111"/>
      <c r="BL426" s="103"/>
      <c r="BQ426" s="111"/>
      <c r="BR426" s="111"/>
      <c r="BS426" s="111"/>
      <c r="BT426" s="111"/>
      <c r="BU426" s="111"/>
      <c r="BV426" s="111"/>
      <c r="BW426" s="111"/>
      <c r="BX426" s="111"/>
      <c r="BY426" s="111"/>
      <c r="BZ426" s="111"/>
    </row>
    <row r="427">
      <c r="A427" s="107" t="s">
        <v>3297</v>
      </c>
      <c r="B427" s="108">
        <v>5.0</v>
      </c>
      <c r="C427" s="108">
        <v>0.0</v>
      </c>
      <c r="D427" s="108">
        <v>0.0</v>
      </c>
      <c r="E427" s="108">
        <v>0.0</v>
      </c>
      <c r="F427" s="108">
        <v>137.0</v>
      </c>
      <c r="G427" s="108">
        <v>163840.0</v>
      </c>
      <c r="H427" s="109">
        <f t="shared" ref="H427:I427" si="425">F427/1024/1024/1024</f>
        <v>0.0000001275911927</v>
      </c>
      <c r="I427" s="109">
        <f t="shared" si="425"/>
        <v>0.0001525878906</v>
      </c>
      <c r="J427" s="110">
        <v>0.0</v>
      </c>
      <c r="K427" s="107"/>
      <c r="L427" s="103"/>
      <c r="N427" s="111"/>
      <c r="O427" s="111"/>
      <c r="P427" s="111"/>
      <c r="Q427" s="111"/>
      <c r="R427" s="111"/>
      <c r="S427" s="111"/>
      <c r="T427" s="111"/>
      <c r="U427" s="111"/>
      <c r="V427" s="111"/>
      <c r="W427" s="111"/>
      <c r="X427" s="111"/>
      <c r="Y427" s="111"/>
      <c r="Z427" s="111"/>
      <c r="AA427" s="111"/>
      <c r="AB427" s="111"/>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c r="BC427" s="111"/>
      <c r="BD427" s="111"/>
      <c r="BE427" s="111"/>
      <c r="BF427" s="111"/>
      <c r="BG427" s="111"/>
      <c r="BH427" s="111"/>
      <c r="BI427" s="111"/>
      <c r="BJ427" s="111"/>
      <c r="BK427" s="111"/>
      <c r="BL427" s="103"/>
      <c r="BQ427" s="111"/>
      <c r="BR427" s="111"/>
      <c r="BS427" s="111"/>
      <c r="BT427" s="111"/>
      <c r="BU427" s="111"/>
      <c r="BV427" s="111"/>
      <c r="BW427" s="111"/>
      <c r="BX427" s="111"/>
      <c r="BY427" s="111"/>
      <c r="BZ427" s="111"/>
    </row>
    <row r="428">
      <c r="A428" s="107" t="s">
        <v>3298</v>
      </c>
      <c r="B428" s="108">
        <v>4.0</v>
      </c>
      <c r="C428" s="108">
        <v>0.0</v>
      </c>
      <c r="D428" s="108">
        <v>0.0</v>
      </c>
      <c r="E428" s="108">
        <v>0.0</v>
      </c>
      <c r="F428" s="108">
        <v>100.0</v>
      </c>
      <c r="G428" s="108">
        <v>131072.0</v>
      </c>
      <c r="H428" s="109">
        <f t="shared" ref="H428:I428" si="426">F428/1024/1024/1024</f>
        <v>0.00000009313225746</v>
      </c>
      <c r="I428" s="109">
        <f t="shared" si="426"/>
        <v>0.0001220703125</v>
      </c>
      <c r="J428" s="110">
        <v>0.0</v>
      </c>
      <c r="K428" s="107"/>
      <c r="L428" s="103"/>
      <c r="N428" s="111"/>
      <c r="O428" s="111"/>
      <c r="P428" s="111"/>
      <c r="Q428" s="111"/>
      <c r="R428" s="111"/>
      <c r="S428" s="111"/>
      <c r="T428" s="111"/>
      <c r="U428" s="111"/>
      <c r="V428" s="111"/>
      <c r="W428" s="111"/>
      <c r="X428" s="111"/>
      <c r="Y428" s="111"/>
      <c r="Z428" s="111"/>
      <c r="AA428" s="111"/>
      <c r="AB428" s="111"/>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c r="BC428" s="111"/>
      <c r="BD428" s="111"/>
      <c r="BE428" s="111"/>
      <c r="BF428" s="111"/>
      <c r="BG428" s="111"/>
      <c r="BH428" s="111"/>
      <c r="BI428" s="111"/>
      <c r="BJ428" s="111"/>
      <c r="BK428" s="111"/>
      <c r="BL428" s="103"/>
      <c r="BQ428" s="111"/>
      <c r="BR428" s="111"/>
      <c r="BS428" s="111"/>
      <c r="BT428" s="111"/>
      <c r="BU428" s="111"/>
      <c r="BV428" s="111"/>
      <c r="BW428" s="111"/>
      <c r="BX428" s="111"/>
      <c r="BY428" s="111"/>
      <c r="BZ428" s="111"/>
    </row>
    <row r="429">
      <c r="A429" s="107" t="s">
        <v>3299</v>
      </c>
      <c r="B429" s="108">
        <v>18.0</v>
      </c>
      <c r="C429" s="108">
        <v>0.0</v>
      </c>
      <c r="D429" s="108">
        <v>0.0</v>
      </c>
      <c r="E429" s="108">
        <v>0.0</v>
      </c>
      <c r="F429" s="108">
        <v>606.0</v>
      </c>
      <c r="G429" s="108">
        <v>589824.0</v>
      </c>
      <c r="H429" s="109">
        <f t="shared" ref="H429:I429" si="427">F429/1024/1024/1024</f>
        <v>0.0000005643814802</v>
      </c>
      <c r="I429" s="109">
        <f t="shared" si="427"/>
        <v>0.0005493164063</v>
      </c>
      <c r="J429" s="110">
        <v>0.0</v>
      </c>
      <c r="K429" s="107"/>
      <c r="L429" s="103"/>
      <c r="N429" s="111"/>
      <c r="O429" s="111"/>
      <c r="P429" s="111"/>
      <c r="Q429" s="111"/>
      <c r="R429" s="111"/>
      <c r="S429" s="111"/>
      <c r="T429" s="111"/>
      <c r="U429" s="111"/>
      <c r="V429" s="111"/>
      <c r="W429" s="111"/>
      <c r="X429" s="111"/>
      <c r="Y429" s="111"/>
      <c r="Z429" s="111"/>
      <c r="AA429" s="111"/>
      <c r="AB429" s="111"/>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c r="BC429" s="111"/>
      <c r="BD429" s="111"/>
      <c r="BE429" s="111"/>
      <c r="BF429" s="111"/>
      <c r="BG429" s="111"/>
      <c r="BH429" s="111"/>
      <c r="BI429" s="111"/>
      <c r="BJ429" s="111"/>
      <c r="BK429" s="111"/>
      <c r="BL429" s="103"/>
      <c r="BQ429" s="111"/>
      <c r="BR429" s="111"/>
      <c r="BS429" s="111"/>
      <c r="BT429" s="111"/>
      <c r="BU429" s="111"/>
      <c r="BV429" s="111"/>
      <c r="BW429" s="111"/>
      <c r="BX429" s="111"/>
      <c r="BY429" s="111"/>
      <c r="BZ429" s="111"/>
    </row>
    <row r="430">
      <c r="A430" s="107" t="s">
        <v>3300</v>
      </c>
      <c r="B430" s="108">
        <v>19.0</v>
      </c>
      <c r="C430" s="108">
        <v>0.0</v>
      </c>
      <c r="D430" s="108">
        <v>0.0</v>
      </c>
      <c r="E430" s="108">
        <v>0.0</v>
      </c>
      <c r="F430" s="108">
        <v>625.0</v>
      </c>
      <c r="G430" s="108">
        <v>622592.0</v>
      </c>
      <c r="H430" s="109">
        <f t="shared" ref="H430:I430" si="428">F430/1024/1024/1024</f>
        <v>0.0000005820766091</v>
      </c>
      <c r="I430" s="109">
        <f t="shared" si="428"/>
        <v>0.0005798339844</v>
      </c>
      <c r="J430" s="110">
        <v>0.0</v>
      </c>
      <c r="K430" s="107"/>
      <c r="L430" s="103"/>
      <c r="N430" s="111"/>
      <c r="O430" s="111"/>
      <c r="P430" s="111"/>
      <c r="Q430" s="111"/>
      <c r="R430" s="111"/>
      <c r="S430" s="111"/>
      <c r="T430" s="111"/>
      <c r="U430" s="111"/>
      <c r="V430" s="111"/>
      <c r="W430" s="111"/>
      <c r="X430" s="111"/>
      <c r="Y430" s="111"/>
      <c r="Z430" s="111"/>
      <c r="AA430" s="111"/>
      <c r="AB430" s="111"/>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c r="BC430" s="111"/>
      <c r="BD430" s="111"/>
      <c r="BE430" s="111"/>
      <c r="BF430" s="111"/>
      <c r="BG430" s="111"/>
      <c r="BH430" s="111"/>
      <c r="BI430" s="111"/>
      <c r="BJ430" s="111"/>
      <c r="BK430" s="111"/>
      <c r="BL430" s="111"/>
      <c r="BM430" s="103"/>
      <c r="BQ430" s="111"/>
      <c r="BR430" s="111"/>
      <c r="BS430" s="111"/>
      <c r="BT430" s="111"/>
      <c r="BU430" s="111"/>
      <c r="BV430" s="111"/>
      <c r="BW430" s="111"/>
      <c r="BX430" s="111"/>
      <c r="BY430" s="111"/>
      <c r="BZ430" s="111"/>
    </row>
    <row r="431">
      <c r="A431" s="107" t="s">
        <v>3301</v>
      </c>
      <c r="B431" s="108">
        <v>2.0</v>
      </c>
      <c r="C431" s="108">
        <v>0.0</v>
      </c>
      <c r="D431" s="108">
        <v>0.0</v>
      </c>
      <c r="E431" s="108">
        <v>0.0</v>
      </c>
      <c r="F431" s="108">
        <v>27.0</v>
      </c>
      <c r="G431" s="108">
        <v>65536.0</v>
      </c>
      <c r="H431" s="109">
        <f t="shared" ref="H431:I431" si="429">F431/1024/1024/1024</f>
        <v>0.00000002514570951</v>
      </c>
      <c r="I431" s="109">
        <f t="shared" si="429"/>
        <v>0.00006103515625</v>
      </c>
      <c r="J431" s="110">
        <v>0.0</v>
      </c>
      <c r="K431" s="107"/>
      <c r="L431" s="103"/>
      <c r="N431" s="111"/>
      <c r="O431" s="111"/>
      <c r="P431" s="111"/>
      <c r="Q431" s="111"/>
      <c r="R431" s="111"/>
      <c r="S431" s="111"/>
      <c r="T431" s="111"/>
      <c r="U431" s="111"/>
      <c r="V431" s="111"/>
      <c r="W431" s="111"/>
      <c r="X431" s="111"/>
      <c r="Y431" s="111"/>
      <c r="Z431" s="111"/>
      <c r="AA431" s="111"/>
      <c r="AB431" s="111"/>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c r="BC431" s="111"/>
      <c r="BD431" s="111"/>
      <c r="BE431" s="111"/>
      <c r="BF431" s="111"/>
      <c r="BG431" s="111"/>
      <c r="BH431" s="111"/>
      <c r="BI431" s="111"/>
      <c r="BJ431" s="111"/>
      <c r="BK431" s="111"/>
      <c r="BL431" s="111"/>
      <c r="BM431" s="103"/>
      <c r="BQ431" s="111"/>
      <c r="BR431" s="111"/>
      <c r="BS431" s="111"/>
      <c r="BT431" s="111"/>
      <c r="BU431" s="111"/>
      <c r="BV431" s="111"/>
      <c r="BW431" s="111"/>
      <c r="BX431" s="111"/>
      <c r="BY431" s="111"/>
      <c r="BZ431" s="111"/>
    </row>
    <row r="432">
      <c r="A432" s="107" t="s">
        <v>3302</v>
      </c>
      <c r="B432" s="108">
        <v>19.0</v>
      </c>
      <c r="C432" s="108">
        <v>0.0</v>
      </c>
      <c r="D432" s="108">
        <v>0.0</v>
      </c>
      <c r="E432" s="108">
        <v>0.0</v>
      </c>
      <c r="F432" s="108">
        <v>632.0</v>
      </c>
      <c r="G432" s="108">
        <v>622592.0</v>
      </c>
      <c r="H432" s="109">
        <f t="shared" ref="H432:I432" si="430">F432/1024/1024/1024</f>
        <v>0.0000005885958672</v>
      </c>
      <c r="I432" s="109">
        <f t="shared" si="430"/>
        <v>0.0005798339844</v>
      </c>
      <c r="J432" s="110">
        <v>0.0</v>
      </c>
      <c r="K432" s="107"/>
      <c r="L432" s="103"/>
      <c r="N432" s="111"/>
      <c r="O432" s="111"/>
      <c r="P432" s="111"/>
      <c r="Q432" s="111"/>
      <c r="R432" s="111"/>
      <c r="S432" s="111"/>
      <c r="T432" s="111"/>
      <c r="U432" s="111"/>
      <c r="V432" s="111"/>
      <c r="W432" s="111"/>
      <c r="X432" s="111"/>
      <c r="Y432" s="111"/>
      <c r="Z432" s="111"/>
      <c r="AA432" s="111"/>
      <c r="AB432" s="111"/>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c r="BC432" s="111"/>
      <c r="BD432" s="111"/>
      <c r="BE432" s="111"/>
      <c r="BF432" s="111"/>
      <c r="BG432" s="111"/>
      <c r="BH432" s="111"/>
      <c r="BI432" s="111"/>
      <c r="BJ432" s="111"/>
      <c r="BK432" s="111"/>
      <c r="BL432" s="111"/>
      <c r="BM432" s="103"/>
      <c r="BR432" s="111"/>
      <c r="BS432" s="111"/>
      <c r="BT432" s="111"/>
      <c r="BU432" s="111"/>
      <c r="BV432" s="111"/>
      <c r="BW432" s="111"/>
      <c r="BX432" s="111"/>
      <c r="BY432" s="111"/>
      <c r="BZ432" s="111"/>
    </row>
    <row r="433">
      <c r="A433" s="107" t="s">
        <v>3303</v>
      </c>
      <c r="B433" s="108">
        <v>1.0</v>
      </c>
      <c r="C433" s="108">
        <v>0.0</v>
      </c>
      <c r="D433" s="108">
        <v>0.0</v>
      </c>
      <c r="E433" s="108">
        <v>0.0</v>
      </c>
      <c r="F433" s="108">
        <v>0.0</v>
      </c>
      <c r="G433" s="108">
        <v>32768.0</v>
      </c>
      <c r="H433" s="109">
        <f t="shared" ref="H433:I433" si="431">F433/1024/1024/1024</f>
        <v>0</v>
      </c>
      <c r="I433" s="109">
        <f t="shared" si="431"/>
        <v>0.00003051757813</v>
      </c>
      <c r="J433" s="110">
        <v>0.0</v>
      </c>
      <c r="K433" s="107"/>
      <c r="L433" s="103"/>
      <c r="N433" s="111"/>
      <c r="O433" s="111"/>
      <c r="P433" s="111"/>
      <c r="Q433" s="111"/>
      <c r="R433" s="111"/>
      <c r="S433" s="111"/>
      <c r="T433" s="111"/>
      <c r="U433" s="111"/>
      <c r="V433" s="111"/>
      <c r="W433" s="111"/>
      <c r="X433" s="111"/>
      <c r="Y433" s="111"/>
      <c r="Z433" s="111"/>
      <c r="AA433" s="111"/>
      <c r="AB433" s="111"/>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c r="BC433" s="111"/>
      <c r="BD433" s="111"/>
      <c r="BE433" s="111"/>
      <c r="BF433" s="111"/>
      <c r="BG433" s="111"/>
      <c r="BH433" s="111"/>
      <c r="BI433" s="111"/>
      <c r="BJ433" s="111"/>
      <c r="BK433" s="111"/>
      <c r="BL433" s="111"/>
      <c r="BM433" s="103"/>
      <c r="BQ433" s="111"/>
      <c r="BR433" s="111"/>
      <c r="BS433" s="111"/>
      <c r="BT433" s="111"/>
      <c r="BU433" s="111"/>
      <c r="BV433" s="111"/>
      <c r="BW433" s="111"/>
      <c r="BX433" s="111"/>
      <c r="BY433" s="111"/>
      <c r="BZ433" s="111"/>
    </row>
    <row r="434">
      <c r="A434" s="107" t="s">
        <v>3304</v>
      </c>
      <c r="B434" s="108">
        <v>2.0</v>
      </c>
      <c r="C434" s="108">
        <v>0.0</v>
      </c>
      <c r="D434" s="108">
        <v>0.0</v>
      </c>
      <c r="E434" s="108">
        <v>0.0</v>
      </c>
      <c r="F434" s="108">
        <v>36.0</v>
      </c>
      <c r="G434" s="108">
        <v>65536.0</v>
      </c>
      <c r="H434" s="109">
        <f t="shared" ref="H434:I434" si="432">F434/1024/1024/1024</f>
        <v>0.00000003352761269</v>
      </c>
      <c r="I434" s="109">
        <f t="shared" si="432"/>
        <v>0.00006103515625</v>
      </c>
      <c r="J434" s="110">
        <v>0.0</v>
      </c>
      <c r="K434" s="107"/>
      <c r="L434" s="103"/>
      <c r="N434" s="111"/>
      <c r="O434" s="111"/>
      <c r="P434" s="111"/>
      <c r="Q434" s="111"/>
      <c r="R434" s="111"/>
      <c r="S434" s="111"/>
      <c r="T434" s="111"/>
      <c r="U434" s="111"/>
      <c r="V434" s="111"/>
      <c r="W434" s="111"/>
      <c r="X434" s="111"/>
      <c r="Y434" s="111"/>
      <c r="Z434" s="111"/>
      <c r="AA434" s="111"/>
      <c r="AB434" s="111"/>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c r="BC434" s="111"/>
      <c r="BD434" s="111"/>
      <c r="BE434" s="111"/>
      <c r="BF434" s="111"/>
      <c r="BG434" s="111"/>
      <c r="BH434" s="111"/>
      <c r="BI434" s="111"/>
      <c r="BJ434" s="111"/>
      <c r="BK434" s="111"/>
      <c r="BL434" s="111"/>
      <c r="BM434" s="103"/>
      <c r="BQ434" s="111"/>
      <c r="BR434" s="111"/>
      <c r="BS434" s="111"/>
      <c r="BT434" s="111"/>
      <c r="BU434" s="111"/>
      <c r="BV434" s="111"/>
      <c r="BW434" s="111"/>
      <c r="BX434" s="111"/>
      <c r="BY434" s="111"/>
      <c r="BZ434" s="111"/>
    </row>
    <row r="435">
      <c r="A435" s="107" t="s">
        <v>3305</v>
      </c>
      <c r="B435" s="108">
        <v>2.0</v>
      </c>
      <c r="C435" s="108">
        <v>0.0</v>
      </c>
      <c r="D435" s="108">
        <v>0.0</v>
      </c>
      <c r="E435" s="108">
        <v>0.0</v>
      </c>
      <c r="F435" s="108">
        <v>36.0</v>
      </c>
      <c r="G435" s="108">
        <v>65536.0</v>
      </c>
      <c r="H435" s="109">
        <f t="shared" ref="H435:I435" si="433">F435/1024/1024/1024</f>
        <v>0.00000003352761269</v>
      </c>
      <c r="I435" s="109">
        <f t="shared" si="433"/>
        <v>0.00006103515625</v>
      </c>
      <c r="J435" s="110">
        <v>0.0</v>
      </c>
      <c r="K435" s="107"/>
      <c r="L435" s="103"/>
      <c r="N435" s="111"/>
      <c r="O435" s="111"/>
      <c r="P435" s="111"/>
      <c r="Q435" s="111"/>
      <c r="R435" s="111"/>
      <c r="S435" s="111"/>
      <c r="T435" s="111"/>
      <c r="U435" s="111"/>
      <c r="V435" s="111"/>
      <c r="W435" s="111"/>
      <c r="X435" s="111"/>
      <c r="Y435" s="111"/>
      <c r="Z435" s="111"/>
      <c r="AA435" s="111"/>
      <c r="AB435" s="111"/>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c r="BC435" s="111"/>
      <c r="BD435" s="111"/>
      <c r="BE435" s="111"/>
      <c r="BF435" s="111"/>
      <c r="BG435" s="111"/>
      <c r="BH435" s="111"/>
      <c r="BI435" s="111"/>
      <c r="BJ435" s="111"/>
      <c r="BK435" s="111"/>
      <c r="BL435" s="111"/>
      <c r="BM435" s="103"/>
      <c r="BQ435" s="111"/>
      <c r="BR435" s="111"/>
      <c r="BS435" s="111"/>
      <c r="BT435" s="111"/>
      <c r="BU435" s="111"/>
      <c r="BV435" s="111"/>
      <c r="BW435" s="111"/>
      <c r="BX435" s="111"/>
      <c r="BY435" s="111"/>
      <c r="BZ435" s="111"/>
    </row>
    <row r="436">
      <c r="A436" s="107" t="s">
        <v>3306</v>
      </c>
      <c r="B436" s="108">
        <v>1.0</v>
      </c>
      <c r="C436" s="108">
        <v>0.0</v>
      </c>
      <c r="D436" s="108">
        <v>0.0</v>
      </c>
      <c r="E436" s="108">
        <v>0.0</v>
      </c>
      <c r="F436" s="108">
        <v>0.0</v>
      </c>
      <c r="G436" s="108">
        <v>32768.0</v>
      </c>
      <c r="H436" s="109">
        <f t="shared" ref="H436:I436" si="434">F436/1024/1024/1024</f>
        <v>0</v>
      </c>
      <c r="I436" s="109">
        <f t="shared" si="434"/>
        <v>0.00003051757813</v>
      </c>
      <c r="J436" s="110">
        <v>0.0</v>
      </c>
      <c r="K436" s="107"/>
      <c r="L436" s="103"/>
      <c r="N436" s="111"/>
      <c r="O436" s="111"/>
      <c r="P436" s="111"/>
      <c r="Q436" s="111"/>
      <c r="R436" s="111"/>
      <c r="S436" s="111"/>
      <c r="T436" s="111"/>
      <c r="U436" s="111"/>
      <c r="V436" s="111"/>
      <c r="W436" s="111"/>
      <c r="X436" s="111"/>
      <c r="Y436" s="111"/>
      <c r="Z436" s="111"/>
      <c r="AA436" s="111"/>
      <c r="AB436" s="111"/>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c r="BC436" s="111"/>
      <c r="BD436" s="111"/>
      <c r="BE436" s="111"/>
      <c r="BF436" s="111"/>
      <c r="BG436" s="111"/>
      <c r="BH436" s="111"/>
      <c r="BI436" s="111"/>
      <c r="BJ436" s="111"/>
      <c r="BK436" s="111"/>
      <c r="BL436" s="111"/>
      <c r="BM436" s="103"/>
      <c r="BR436" s="111"/>
      <c r="BS436" s="111"/>
      <c r="BT436" s="111"/>
      <c r="BU436" s="111"/>
      <c r="BV436" s="111"/>
      <c r="BW436" s="111"/>
      <c r="BX436" s="111"/>
      <c r="BY436" s="111"/>
      <c r="BZ436" s="111"/>
    </row>
    <row r="437">
      <c r="A437" s="107" t="s">
        <v>3307</v>
      </c>
      <c r="B437" s="108">
        <v>12.0</v>
      </c>
      <c r="C437" s="108">
        <v>7.0</v>
      </c>
      <c r="D437" s="108">
        <v>0.0</v>
      </c>
      <c r="E437" s="108">
        <v>0.0</v>
      </c>
      <c r="F437" s="108">
        <v>429216.0</v>
      </c>
      <c r="G437" s="108">
        <v>1376256.0</v>
      </c>
      <c r="H437" s="109">
        <f t="shared" ref="H437:I437" si="435">F437/1024/1024/1024</f>
        <v>0.0003997385502</v>
      </c>
      <c r="I437" s="109">
        <f t="shared" si="435"/>
        <v>0.001281738281</v>
      </c>
      <c r="J437" s="110">
        <v>0.0</v>
      </c>
      <c r="K437" s="107"/>
      <c r="L437" s="103"/>
      <c r="N437" s="111"/>
      <c r="O437" s="111"/>
      <c r="P437" s="111"/>
      <c r="Q437" s="111"/>
      <c r="R437" s="111"/>
      <c r="S437" s="111"/>
      <c r="T437" s="111"/>
      <c r="U437" s="111"/>
      <c r="V437" s="111"/>
      <c r="W437" s="111"/>
      <c r="X437" s="111"/>
      <c r="Y437" s="111"/>
      <c r="Z437" s="111"/>
      <c r="AA437" s="111"/>
      <c r="AB437" s="111"/>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c r="BC437" s="111"/>
      <c r="BD437" s="111"/>
      <c r="BE437" s="111"/>
      <c r="BF437" s="111"/>
      <c r="BG437" s="111"/>
      <c r="BH437" s="111"/>
      <c r="BI437" s="111"/>
      <c r="BJ437" s="111"/>
      <c r="BK437" s="111"/>
      <c r="BL437" s="111"/>
      <c r="BM437" s="103"/>
      <c r="BQ437" s="111"/>
      <c r="BR437" s="111"/>
      <c r="BS437" s="111"/>
      <c r="BT437" s="111"/>
      <c r="BU437" s="111"/>
      <c r="BV437" s="111"/>
      <c r="BW437" s="111"/>
      <c r="BX437" s="111"/>
      <c r="BY437" s="111"/>
      <c r="BZ437" s="111"/>
    </row>
    <row r="438">
      <c r="A438" s="107" t="s">
        <v>3308</v>
      </c>
      <c r="B438" s="108">
        <v>6.0</v>
      </c>
      <c r="C438" s="108">
        <v>0.0</v>
      </c>
      <c r="D438" s="108">
        <v>0.0</v>
      </c>
      <c r="E438" s="108">
        <v>0.0</v>
      </c>
      <c r="F438" s="108">
        <v>168.0</v>
      </c>
      <c r="G438" s="108">
        <v>196608.0</v>
      </c>
      <c r="H438" s="109">
        <f t="shared" ref="H438:I438" si="436">F438/1024/1024/1024</f>
        <v>0.0000001564621925</v>
      </c>
      <c r="I438" s="109">
        <f t="shared" si="436"/>
        <v>0.0001831054688</v>
      </c>
      <c r="J438" s="110">
        <v>0.0</v>
      </c>
      <c r="K438" s="107"/>
      <c r="L438" s="103"/>
      <c r="N438" s="111"/>
      <c r="O438" s="111"/>
      <c r="P438" s="111"/>
      <c r="Q438" s="111"/>
      <c r="R438" s="111"/>
      <c r="S438" s="111"/>
      <c r="T438" s="111"/>
      <c r="U438" s="111"/>
      <c r="V438" s="111"/>
      <c r="W438" s="111"/>
      <c r="X438" s="111"/>
      <c r="Y438" s="111"/>
      <c r="Z438" s="111"/>
      <c r="AA438" s="111"/>
      <c r="AB438" s="111"/>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c r="BC438" s="111"/>
      <c r="BD438" s="111"/>
      <c r="BE438" s="111"/>
      <c r="BF438" s="111"/>
      <c r="BG438" s="111"/>
      <c r="BH438" s="111"/>
      <c r="BI438" s="111"/>
      <c r="BJ438" s="111"/>
      <c r="BK438" s="111"/>
      <c r="BL438" s="111"/>
      <c r="BM438" s="103"/>
      <c r="BR438" s="111"/>
      <c r="BS438" s="111"/>
      <c r="BT438" s="111"/>
      <c r="BU438" s="111"/>
      <c r="BV438" s="111"/>
      <c r="BW438" s="111"/>
      <c r="BX438" s="111"/>
      <c r="BY438" s="111"/>
      <c r="BZ438" s="111"/>
    </row>
    <row r="439">
      <c r="A439" s="107" t="s">
        <v>3309</v>
      </c>
      <c r="B439" s="108">
        <v>4936.0</v>
      </c>
      <c r="C439" s="108">
        <v>27063.0</v>
      </c>
      <c r="D439" s="108">
        <v>0.0</v>
      </c>
      <c r="E439" s="108">
        <v>0.0</v>
      </c>
      <c r="F439" s="108">
        <v>3.0533495092E10</v>
      </c>
      <c r="G439" s="108">
        <v>4.0344264704E10</v>
      </c>
      <c r="H439" s="109">
        <f t="shared" ref="H439:I439" si="437">F439/1024/1024/1024</f>
        <v>28.43653326</v>
      </c>
      <c r="I439" s="109">
        <f t="shared" si="437"/>
        <v>37.57352448</v>
      </c>
      <c r="J439" s="110">
        <v>0.0</v>
      </c>
      <c r="K439" s="107"/>
      <c r="L439" s="103"/>
      <c r="N439" s="111"/>
      <c r="O439" s="111"/>
      <c r="P439" s="111"/>
      <c r="Q439" s="111"/>
      <c r="R439" s="111"/>
      <c r="S439" s="111"/>
      <c r="T439" s="111"/>
      <c r="U439" s="111"/>
      <c r="V439" s="111"/>
      <c r="W439" s="111"/>
      <c r="X439" s="111"/>
      <c r="Y439" s="111"/>
      <c r="Z439" s="111"/>
      <c r="AA439" s="111"/>
      <c r="AB439" s="111"/>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c r="BC439" s="111"/>
      <c r="BD439" s="111"/>
      <c r="BE439" s="111"/>
      <c r="BF439" s="111"/>
      <c r="BG439" s="111"/>
      <c r="BH439" s="111"/>
      <c r="BI439" s="111"/>
      <c r="BJ439" s="111"/>
      <c r="BK439" s="111"/>
      <c r="BL439" s="111"/>
      <c r="BM439" s="111"/>
      <c r="BN439" s="103"/>
      <c r="BT439" s="111"/>
      <c r="BU439" s="111"/>
      <c r="BV439" s="111"/>
      <c r="BW439" s="111"/>
      <c r="BX439" s="111"/>
      <c r="BY439" s="111"/>
      <c r="BZ439" s="111"/>
    </row>
    <row r="440">
      <c r="A440" s="107" t="s">
        <v>3310</v>
      </c>
      <c r="B440" s="108">
        <v>6021.0</v>
      </c>
      <c r="C440" s="108">
        <v>45116.0</v>
      </c>
      <c r="D440" s="108">
        <v>0.0</v>
      </c>
      <c r="E440" s="108">
        <v>0.0</v>
      </c>
      <c r="F440" s="108">
        <v>6.1319601356E10</v>
      </c>
      <c r="G440" s="108">
        <v>7.979270144E10</v>
      </c>
      <c r="H440" s="109">
        <f t="shared" ref="H440:I440" si="438">F440/1024/1024/1024</f>
        <v>57.10832901</v>
      </c>
      <c r="I440" s="109">
        <f t="shared" si="438"/>
        <v>74.31274414</v>
      </c>
      <c r="J440" s="110">
        <v>0.0</v>
      </c>
      <c r="K440" s="107"/>
      <c r="L440" s="103"/>
      <c r="N440" s="111"/>
      <c r="O440" s="111"/>
      <c r="P440" s="111"/>
      <c r="Q440" s="111"/>
      <c r="R440" s="111"/>
      <c r="S440" s="111"/>
      <c r="T440" s="111"/>
      <c r="U440" s="111"/>
      <c r="V440" s="111"/>
      <c r="W440" s="111"/>
      <c r="X440" s="111"/>
      <c r="Y440" s="111"/>
      <c r="Z440" s="111"/>
      <c r="AA440" s="111"/>
      <c r="AB440" s="111"/>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c r="BC440" s="111"/>
      <c r="BD440" s="111"/>
      <c r="BE440" s="111"/>
      <c r="BF440" s="111"/>
      <c r="BG440" s="111"/>
      <c r="BH440" s="111"/>
      <c r="BI440" s="111"/>
      <c r="BJ440" s="111"/>
      <c r="BK440" s="111"/>
      <c r="BL440" s="111"/>
      <c r="BM440" s="111"/>
      <c r="BN440" s="111"/>
      <c r="BO440" s="103"/>
      <c r="BS440" s="111"/>
      <c r="BT440" s="111"/>
      <c r="BU440" s="111"/>
      <c r="BV440" s="111"/>
      <c r="BW440" s="111"/>
      <c r="BX440" s="111"/>
      <c r="BY440" s="111"/>
      <c r="BZ440" s="111"/>
    </row>
    <row r="441">
      <c r="A441" s="107" t="s">
        <v>3311</v>
      </c>
      <c r="B441" s="108">
        <v>9066.0</v>
      </c>
      <c r="C441" s="108">
        <v>67691.0</v>
      </c>
      <c r="D441" s="108">
        <v>0.0</v>
      </c>
      <c r="E441" s="108">
        <v>0.0</v>
      </c>
      <c r="F441" s="108">
        <v>8.062205768E10</v>
      </c>
      <c r="G441" s="108">
        <v>1.05901449216E11</v>
      </c>
      <c r="H441" s="109">
        <f t="shared" ref="H441:I441" si="439">F441/1024/1024/1024</f>
        <v>75.08514233</v>
      </c>
      <c r="I441" s="109">
        <f t="shared" si="439"/>
        <v>98.62841034</v>
      </c>
      <c r="J441" s="110">
        <v>0.0</v>
      </c>
      <c r="K441" s="107"/>
      <c r="L441" s="103"/>
      <c r="N441" s="111"/>
      <c r="O441" s="111"/>
      <c r="P441" s="111"/>
      <c r="Q441" s="111"/>
      <c r="R441" s="111"/>
      <c r="S441" s="111"/>
      <c r="T441" s="111"/>
      <c r="U441" s="111"/>
      <c r="V441" s="111"/>
      <c r="W441" s="111"/>
      <c r="X441" s="111"/>
      <c r="Y441" s="111"/>
      <c r="Z441" s="111"/>
      <c r="AA441" s="111"/>
      <c r="AB441" s="111"/>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c r="BC441" s="111"/>
      <c r="BD441" s="111"/>
      <c r="BE441" s="111"/>
      <c r="BF441" s="111"/>
      <c r="BG441" s="111"/>
      <c r="BH441" s="111"/>
      <c r="BI441" s="111"/>
      <c r="BJ441" s="111"/>
      <c r="BK441" s="111"/>
      <c r="BL441" s="111"/>
      <c r="BM441" s="111"/>
      <c r="BN441" s="111"/>
      <c r="BO441" s="103"/>
      <c r="BS441" s="111"/>
      <c r="BT441" s="111"/>
      <c r="BU441" s="111"/>
      <c r="BV441" s="111"/>
      <c r="BW441" s="111"/>
      <c r="BX441" s="111"/>
      <c r="BY441" s="111"/>
      <c r="BZ441" s="111"/>
    </row>
    <row r="442">
      <c r="A442" s="107" t="s">
        <v>3312</v>
      </c>
      <c r="B442" s="108">
        <v>3.0</v>
      </c>
      <c r="C442" s="108">
        <v>1.0</v>
      </c>
      <c r="D442" s="108">
        <v>0.0</v>
      </c>
      <c r="E442" s="108">
        <v>0.0</v>
      </c>
      <c r="F442" s="108">
        <v>10338.0</v>
      </c>
      <c r="G442" s="108">
        <v>172032.0</v>
      </c>
      <c r="H442" s="109">
        <f t="shared" ref="H442:I442" si="440">F442/1024/1024/1024</f>
        <v>0.000009628012776</v>
      </c>
      <c r="I442" s="109">
        <f t="shared" si="440"/>
        <v>0.0001602172852</v>
      </c>
      <c r="J442" s="110">
        <v>0.0</v>
      </c>
      <c r="K442" s="107"/>
      <c r="L442" s="103"/>
      <c r="N442" s="111"/>
      <c r="O442" s="111"/>
      <c r="P442" s="111"/>
      <c r="Q442" s="111"/>
      <c r="R442" s="111"/>
      <c r="S442" s="111"/>
      <c r="T442" s="111"/>
      <c r="U442" s="111"/>
      <c r="V442" s="111"/>
      <c r="W442" s="111"/>
      <c r="X442" s="111"/>
      <c r="Y442" s="111"/>
      <c r="Z442" s="111"/>
      <c r="AA442" s="111"/>
      <c r="AB442" s="111"/>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1"/>
      <c r="BK442" s="111"/>
      <c r="BL442" s="111"/>
      <c r="BM442" s="111"/>
      <c r="BN442" s="111"/>
      <c r="BO442" s="103"/>
      <c r="BS442" s="111"/>
      <c r="BT442" s="111"/>
      <c r="BU442" s="111"/>
      <c r="BV442" s="111"/>
      <c r="BW442" s="111"/>
      <c r="BX442" s="111"/>
      <c r="BY442" s="111"/>
      <c r="BZ442" s="111"/>
    </row>
    <row r="443">
      <c r="A443" s="107" t="s">
        <v>3313</v>
      </c>
      <c r="B443" s="108">
        <v>53.0</v>
      </c>
      <c r="C443" s="108">
        <v>29.0</v>
      </c>
      <c r="D443" s="108">
        <v>0.0</v>
      </c>
      <c r="E443" s="108">
        <v>0.0</v>
      </c>
      <c r="F443" s="108">
        <v>2838340.0</v>
      </c>
      <c r="G443" s="108">
        <v>8708096.0</v>
      </c>
      <c r="H443" s="109">
        <f t="shared" ref="H443:I443" si="441">F443/1024/1024/1024</f>
        <v>0.002643410116</v>
      </c>
      <c r="I443" s="109">
        <f t="shared" si="441"/>
        <v>0.008110046387</v>
      </c>
      <c r="J443" s="110">
        <v>0.0</v>
      </c>
      <c r="K443" s="107"/>
      <c r="L443" s="103"/>
      <c r="N443" s="111"/>
      <c r="O443" s="111"/>
      <c r="P443" s="111"/>
      <c r="Q443" s="111"/>
      <c r="R443" s="111"/>
      <c r="S443" s="111"/>
      <c r="T443" s="111"/>
      <c r="U443" s="111"/>
      <c r="V443" s="111"/>
      <c r="W443" s="111"/>
      <c r="X443" s="111"/>
      <c r="Y443" s="111"/>
      <c r="Z443" s="111"/>
      <c r="AA443" s="111"/>
      <c r="AB443" s="111"/>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1"/>
      <c r="BK443" s="111"/>
      <c r="BL443" s="111"/>
      <c r="BM443" s="111"/>
      <c r="BN443" s="111"/>
      <c r="BO443" s="103"/>
      <c r="BT443" s="111"/>
      <c r="BU443" s="111"/>
      <c r="BV443" s="111"/>
      <c r="BW443" s="111"/>
      <c r="BX443" s="111"/>
      <c r="BY443" s="111"/>
      <c r="BZ443" s="111"/>
    </row>
    <row r="444">
      <c r="A444" s="107" t="s">
        <v>3314</v>
      </c>
      <c r="B444" s="108">
        <v>4979.0</v>
      </c>
      <c r="C444" s="108">
        <v>52650.0</v>
      </c>
      <c r="D444" s="108">
        <v>0.0</v>
      </c>
      <c r="E444" s="108">
        <v>0.0</v>
      </c>
      <c r="F444" s="108">
        <v>3.11778680739E11</v>
      </c>
      <c r="G444" s="108">
        <v>3.8211149824E11</v>
      </c>
      <c r="H444" s="109">
        <f t="shared" ref="H444:I444" si="442">F444/1024/1024/1024</f>
        <v>290.3665237</v>
      </c>
      <c r="I444" s="109">
        <f t="shared" si="442"/>
        <v>355.8690643</v>
      </c>
      <c r="J444" s="110">
        <v>0.0</v>
      </c>
      <c r="K444" s="107"/>
      <c r="L444" s="103"/>
      <c r="N444" s="111"/>
      <c r="O444" s="111"/>
      <c r="P444" s="111"/>
      <c r="Q444" s="111"/>
      <c r="R444" s="111"/>
      <c r="S444" s="111"/>
      <c r="T444" s="111"/>
      <c r="U444" s="111"/>
      <c r="V444" s="111"/>
      <c r="W444" s="111"/>
      <c r="X444" s="111"/>
      <c r="Y444" s="111"/>
      <c r="Z444" s="111"/>
      <c r="AA444" s="111"/>
      <c r="AB444" s="111"/>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03"/>
      <c r="BS444" s="111"/>
      <c r="BT444" s="111"/>
      <c r="BU444" s="111"/>
      <c r="BV444" s="111"/>
      <c r="BW444" s="111"/>
      <c r="BX444" s="111"/>
      <c r="BY444" s="111"/>
      <c r="BZ444" s="111"/>
    </row>
    <row r="445">
      <c r="A445" s="107" t="s">
        <v>3315</v>
      </c>
      <c r="B445" s="108">
        <v>679.0</v>
      </c>
      <c r="C445" s="108">
        <v>6839.0</v>
      </c>
      <c r="D445" s="108">
        <v>0.0</v>
      </c>
      <c r="E445" s="108">
        <v>0.0</v>
      </c>
      <c r="F445" s="108">
        <v>9.933554788E9</v>
      </c>
      <c r="G445" s="108">
        <v>1.274658816E10</v>
      </c>
      <c r="H445" s="109">
        <f t="shared" ref="H445:I445" si="443">F445/1024/1024/1024</f>
        <v>9.25134382</v>
      </c>
      <c r="I445" s="109">
        <f t="shared" si="443"/>
        <v>11.8711853</v>
      </c>
      <c r="J445" s="110">
        <v>0.0</v>
      </c>
      <c r="K445" s="107"/>
      <c r="L445" s="103"/>
      <c r="N445" s="111"/>
      <c r="O445" s="111"/>
      <c r="P445" s="111"/>
      <c r="Q445" s="111"/>
      <c r="R445" s="111"/>
      <c r="S445" s="111"/>
      <c r="T445" s="111"/>
      <c r="U445" s="111"/>
      <c r="V445" s="111"/>
      <c r="W445" s="111"/>
      <c r="X445" s="111"/>
      <c r="Y445" s="111"/>
      <c r="Z445" s="111"/>
      <c r="AA445" s="111"/>
      <c r="AB445" s="111"/>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c r="BC445" s="111"/>
      <c r="BD445" s="111"/>
      <c r="BE445" s="111"/>
      <c r="BF445" s="111"/>
      <c r="BG445" s="111"/>
      <c r="BH445" s="111"/>
      <c r="BI445" s="111"/>
      <c r="BJ445" s="111"/>
      <c r="BK445" s="111"/>
      <c r="BL445" s="111"/>
      <c r="BM445" s="111"/>
      <c r="BN445" s="111"/>
      <c r="BO445" s="111"/>
      <c r="BP445" s="103"/>
      <c r="BU445" s="111"/>
      <c r="BV445" s="111"/>
      <c r="BW445" s="111"/>
      <c r="BX445" s="111"/>
      <c r="BY445" s="111"/>
      <c r="BZ445" s="111"/>
    </row>
    <row r="446">
      <c r="A446" s="107" t="s">
        <v>3316</v>
      </c>
      <c r="B446" s="108">
        <v>1.0</v>
      </c>
      <c r="C446" s="108">
        <v>0.0</v>
      </c>
      <c r="D446" s="108">
        <v>0.0</v>
      </c>
      <c r="E446" s="108">
        <v>0.0</v>
      </c>
      <c r="F446" s="108">
        <v>0.0</v>
      </c>
      <c r="G446" s="108">
        <v>32768.0</v>
      </c>
      <c r="H446" s="109">
        <f t="shared" ref="H446:I446" si="444">F446/1024/1024/1024</f>
        <v>0</v>
      </c>
      <c r="I446" s="109">
        <f t="shared" si="444"/>
        <v>0.00003051757813</v>
      </c>
      <c r="J446" s="110">
        <v>0.0</v>
      </c>
      <c r="K446" s="107"/>
      <c r="L446" s="103"/>
      <c r="N446" s="111"/>
      <c r="O446" s="111"/>
      <c r="P446" s="111"/>
      <c r="Q446" s="111"/>
      <c r="R446" s="111"/>
      <c r="S446" s="111"/>
      <c r="T446" s="111"/>
      <c r="U446" s="111"/>
      <c r="V446" s="111"/>
      <c r="W446" s="111"/>
      <c r="X446" s="111"/>
      <c r="Y446" s="111"/>
      <c r="Z446" s="111"/>
      <c r="AA446" s="111"/>
      <c r="AB446" s="111"/>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1"/>
      <c r="BK446" s="111"/>
      <c r="BL446" s="111"/>
      <c r="BM446" s="111"/>
      <c r="BN446" s="111"/>
      <c r="BO446" s="111"/>
      <c r="BP446" s="103"/>
      <c r="BV446" s="111"/>
      <c r="BW446" s="111"/>
      <c r="BX446" s="111"/>
      <c r="BY446" s="111"/>
      <c r="BZ446" s="111"/>
    </row>
    <row r="447">
      <c r="A447" s="107" t="s">
        <v>3317</v>
      </c>
      <c r="B447" s="108">
        <v>4.0</v>
      </c>
      <c r="C447" s="108">
        <v>0.0</v>
      </c>
      <c r="D447" s="108">
        <v>0.0</v>
      </c>
      <c r="E447" s="108">
        <v>0.0</v>
      </c>
      <c r="F447" s="108">
        <v>91.0</v>
      </c>
      <c r="G447" s="108">
        <v>131072.0</v>
      </c>
      <c r="H447" s="109">
        <f t="shared" ref="H447:I447" si="445">F447/1024/1024/1024</f>
        <v>0.00000008475035429</v>
      </c>
      <c r="I447" s="109">
        <f t="shared" si="445"/>
        <v>0.0001220703125</v>
      </c>
      <c r="J447" s="110">
        <v>0.0</v>
      </c>
      <c r="K447" s="107"/>
      <c r="L447" s="103"/>
      <c r="N447" s="111"/>
      <c r="O447" s="111"/>
      <c r="P447" s="111"/>
      <c r="Q447" s="111"/>
      <c r="R447" s="111"/>
      <c r="S447" s="111"/>
      <c r="T447" s="111"/>
      <c r="U447" s="111"/>
      <c r="V447" s="111"/>
      <c r="W447" s="111"/>
      <c r="X447" s="111"/>
      <c r="Y447" s="111"/>
      <c r="Z447" s="111"/>
      <c r="AA447" s="111"/>
      <c r="AB447" s="111"/>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c r="BC447" s="111"/>
      <c r="BD447" s="111"/>
      <c r="BE447" s="111"/>
      <c r="BF447" s="111"/>
      <c r="BG447" s="111"/>
      <c r="BH447" s="111"/>
      <c r="BI447" s="111"/>
      <c r="BJ447" s="111"/>
      <c r="BK447" s="111"/>
      <c r="BL447" s="111"/>
      <c r="BM447" s="111"/>
      <c r="BN447" s="111"/>
      <c r="BO447" s="111"/>
      <c r="BP447" s="103"/>
      <c r="BU447" s="111"/>
      <c r="BV447" s="111"/>
      <c r="BW447" s="111"/>
      <c r="BX447" s="111"/>
      <c r="BY447" s="111"/>
      <c r="BZ447" s="111"/>
    </row>
    <row r="448">
      <c r="A448" s="107" t="s">
        <v>3318</v>
      </c>
      <c r="B448" s="108">
        <v>11.0</v>
      </c>
      <c r="C448" s="108">
        <v>0.0</v>
      </c>
      <c r="D448" s="108">
        <v>0.0</v>
      </c>
      <c r="E448" s="108">
        <v>0.0</v>
      </c>
      <c r="F448" s="108">
        <v>338.0</v>
      </c>
      <c r="G448" s="108">
        <v>360448.0</v>
      </c>
      <c r="H448" s="109">
        <f t="shared" ref="H448:I448" si="446">F448/1024/1024/1024</f>
        <v>0.0000003147870302</v>
      </c>
      <c r="I448" s="109">
        <f t="shared" si="446"/>
        <v>0.0003356933594</v>
      </c>
      <c r="J448" s="110">
        <v>0.0</v>
      </c>
      <c r="K448" s="107"/>
      <c r="L448" s="103"/>
      <c r="N448" s="111"/>
      <c r="O448" s="111"/>
      <c r="P448" s="111"/>
      <c r="Q448" s="111"/>
      <c r="R448" s="111"/>
      <c r="S448" s="111"/>
      <c r="T448" s="111"/>
      <c r="U448" s="111"/>
      <c r="V448" s="111"/>
      <c r="W448" s="111"/>
      <c r="X448" s="111"/>
      <c r="Y448" s="111"/>
      <c r="Z448" s="111"/>
      <c r="AA448" s="111"/>
      <c r="AB448" s="111"/>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c r="BC448" s="111"/>
      <c r="BD448" s="111"/>
      <c r="BE448" s="111"/>
      <c r="BF448" s="111"/>
      <c r="BG448" s="111"/>
      <c r="BH448" s="111"/>
      <c r="BI448" s="111"/>
      <c r="BJ448" s="111"/>
      <c r="BK448" s="111"/>
      <c r="BL448" s="111"/>
      <c r="BM448" s="111"/>
      <c r="BN448" s="111"/>
      <c r="BO448" s="111"/>
      <c r="BP448" s="103"/>
      <c r="BU448" s="111"/>
      <c r="BV448" s="111"/>
      <c r="BW448" s="111"/>
      <c r="BX448" s="111"/>
      <c r="BY448" s="111"/>
      <c r="BZ448" s="111"/>
    </row>
    <row r="449">
      <c r="A449" s="107" t="s">
        <v>3319</v>
      </c>
      <c r="B449" s="108">
        <v>7.0</v>
      </c>
      <c r="C449" s="108">
        <v>0.0</v>
      </c>
      <c r="D449" s="108">
        <v>0.0</v>
      </c>
      <c r="E449" s="108">
        <v>0.0</v>
      </c>
      <c r="F449" s="108">
        <v>201.0</v>
      </c>
      <c r="G449" s="108">
        <v>229376.0</v>
      </c>
      <c r="H449" s="109">
        <f t="shared" ref="H449:I449" si="447">F449/1024/1024/1024</f>
        <v>0.0000001871958375</v>
      </c>
      <c r="I449" s="109">
        <f t="shared" si="447"/>
        <v>0.0002136230469</v>
      </c>
      <c r="J449" s="110">
        <v>0.0</v>
      </c>
      <c r="K449" s="107"/>
      <c r="L449" s="103"/>
      <c r="N449" s="111"/>
      <c r="O449" s="111"/>
      <c r="P449" s="111"/>
      <c r="Q449" s="111"/>
      <c r="R449" s="111"/>
      <c r="S449" s="111"/>
      <c r="T449" s="111"/>
      <c r="U449" s="111"/>
      <c r="V449" s="111"/>
      <c r="W449" s="111"/>
      <c r="X449" s="111"/>
      <c r="Y449" s="111"/>
      <c r="Z449" s="111"/>
      <c r="AA449" s="111"/>
      <c r="AB449" s="111"/>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c r="BC449" s="111"/>
      <c r="BD449" s="111"/>
      <c r="BE449" s="111"/>
      <c r="BF449" s="111"/>
      <c r="BG449" s="111"/>
      <c r="BH449" s="111"/>
      <c r="BI449" s="111"/>
      <c r="BJ449" s="111"/>
      <c r="BK449" s="111"/>
      <c r="BL449" s="111"/>
      <c r="BM449" s="111"/>
      <c r="BN449" s="111"/>
      <c r="BO449" s="111"/>
      <c r="BP449" s="103"/>
      <c r="BU449" s="111"/>
      <c r="BV449" s="111"/>
      <c r="BW449" s="111"/>
      <c r="BX449" s="111"/>
      <c r="BY449" s="111"/>
      <c r="BZ449" s="111"/>
    </row>
    <row r="450">
      <c r="A450" s="107" t="s">
        <v>3320</v>
      </c>
      <c r="B450" s="108">
        <v>894.0</v>
      </c>
      <c r="C450" s="108">
        <v>5215.0</v>
      </c>
      <c r="D450" s="108">
        <v>0.0</v>
      </c>
      <c r="E450" s="108">
        <v>0.0</v>
      </c>
      <c r="F450" s="108">
        <v>7.707206199E9</v>
      </c>
      <c r="G450" s="108">
        <v>1.0204995584E10</v>
      </c>
      <c r="H450" s="109">
        <f t="shared" ref="H450:I450" si="448">F450/1024/1024/1024</f>
        <v>7.17789512</v>
      </c>
      <c r="I450" s="109">
        <f t="shared" si="448"/>
        <v>9.504142761</v>
      </c>
      <c r="J450" s="110">
        <v>0.0</v>
      </c>
      <c r="K450" s="107"/>
      <c r="L450" s="103"/>
      <c r="N450" s="111"/>
      <c r="O450" s="111"/>
      <c r="P450" s="111"/>
      <c r="Q450" s="111"/>
      <c r="R450" s="111"/>
      <c r="S450" s="111"/>
      <c r="T450" s="111"/>
      <c r="U450" s="111"/>
      <c r="V450" s="111"/>
      <c r="W450" s="111"/>
      <c r="X450" s="111"/>
      <c r="Y450" s="111"/>
      <c r="Z450" s="111"/>
      <c r="AA450" s="111"/>
      <c r="AB450" s="111"/>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c r="BC450" s="111"/>
      <c r="BD450" s="111"/>
      <c r="BE450" s="111"/>
      <c r="BF450" s="111"/>
      <c r="BG450" s="111"/>
      <c r="BH450" s="111"/>
      <c r="BI450" s="111"/>
      <c r="BJ450" s="111"/>
      <c r="BK450" s="111"/>
      <c r="BL450" s="111"/>
      <c r="BM450" s="111"/>
      <c r="BN450" s="111"/>
      <c r="BO450" s="111"/>
      <c r="BP450" s="103"/>
      <c r="BU450" s="111"/>
      <c r="BV450" s="111"/>
      <c r="BW450" s="111"/>
      <c r="BX450" s="111"/>
      <c r="BY450" s="111"/>
      <c r="BZ450" s="111"/>
    </row>
    <row r="451">
      <c r="A451" s="107" t="s">
        <v>3321</v>
      </c>
      <c r="B451" s="108">
        <v>2.0</v>
      </c>
      <c r="C451" s="108">
        <v>0.0</v>
      </c>
      <c r="D451" s="108">
        <v>0.0</v>
      </c>
      <c r="E451" s="108">
        <v>0.0</v>
      </c>
      <c r="F451" s="108">
        <v>27.0</v>
      </c>
      <c r="G451" s="108">
        <v>65536.0</v>
      </c>
      <c r="H451" s="109">
        <f t="shared" ref="H451:I451" si="449">F451/1024/1024/1024</f>
        <v>0.00000002514570951</v>
      </c>
      <c r="I451" s="109">
        <f t="shared" si="449"/>
        <v>0.00006103515625</v>
      </c>
      <c r="J451" s="110">
        <v>0.0</v>
      </c>
      <c r="K451" s="107"/>
      <c r="L451" s="103"/>
      <c r="N451" s="111"/>
      <c r="O451" s="111"/>
      <c r="P451" s="111"/>
      <c r="Q451" s="111"/>
      <c r="R451" s="111"/>
      <c r="S451" s="111"/>
      <c r="T451" s="111"/>
      <c r="U451" s="111"/>
      <c r="V451" s="111"/>
      <c r="W451" s="111"/>
      <c r="X451" s="111"/>
      <c r="Y451" s="111"/>
      <c r="Z451" s="111"/>
      <c r="AA451" s="111"/>
      <c r="AB451" s="111"/>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c r="BC451" s="111"/>
      <c r="BD451" s="111"/>
      <c r="BE451" s="111"/>
      <c r="BF451" s="111"/>
      <c r="BG451" s="111"/>
      <c r="BH451" s="111"/>
      <c r="BI451" s="111"/>
      <c r="BJ451" s="111"/>
      <c r="BK451" s="111"/>
      <c r="BL451" s="111"/>
      <c r="BM451" s="111"/>
      <c r="BN451" s="111"/>
      <c r="BO451" s="111"/>
      <c r="BP451" s="103"/>
      <c r="BV451" s="111"/>
      <c r="BW451" s="111"/>
      <c r="BX451" s="111"/>
      <c r="BY451" s="111"/>
      <c r="BZ451" s="111"/>
    </row>
    <row r="452">
      <c r="A452" s="107" t="s">
        <v>3322</v>
      </c>
      <c r="B452" s="108">
        <v>26.0</v>
      </c>
      <c r="C452" s="108">
        <v>30.0</v>
      </c>
      <c r="D452" s="108">
        <v>0.0</v>
      </c>
      <c r="E452" s="108">
        <v>0.0</v>
      </c>
      <c r="F452" s="108">
        <v>5224912.0</v>
      </c>
      <c r="G452" s="108">
        <v>1.3246464E7</v>
      </c>
      <c r="H452" s="109">
        <f t="shared" ref="H452:I452" si="450">F452/1024/1024/1024</f>
        <v>0.004866078496</v>
      </c>
      <c r="I452" s="109">
        <f t="shared" si="450"/>
        <v>0.01233673096</v>
      </c>
      <c r="J452" s="110">
        <v>0.0</v>
      </c>
      <c r="K452" s="107"/>
      <c r="L452" s="103"/>
      <c r="N452" s="111"/>
      <c r="O452" s="111"/>
      <c r="P452" s="111"/>
      <c r="Q452" s="111"/>
      <c r="R452" s="111"/>
      <c r="S452" s="111"/>
      <c r="T452" s="111"/>
      <c r="U452" s="111"/>
      <c r="V452" s="111"/>
      <c r="W452" s="111"/>
      <c r="X452" s="111"/>
      <c r="Y452" s="111"/>
      <c r="Z452" s="111"/>
      <c r="AA452" s="111"/>
      <c r="AB452" s="111"/>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c r="BC452" s="111"/>
      <c r="BD452" s="111"/>
      <c r="BE452" s="111"/>
      <c r="BF452" s="111"/>
      <c r="BG452" s="111"/>
      <c r="BH452" s="111"/>
      <c r="BI452" s="111"/>
      <c r="BJ452" s="111"/>
      <c r="BK452" s="111"/>
      <c r="BL452" s="111"/>
      <c r="BM452" s="111"/>
      <c r="BN452" s="111"/>
      <c r="BO452" s="111"/>
      <c r="BP452" s="103"/>
      <c r="BT452" s="111"/>
      <c r="BU452" s="111"/>
      <c r="BV452" s="111"/>
      <c r="BW452" s="111"/>
      <c r="BX452" s="111"/>
      <c r="BY452" s="111"/>
      <c r="BZ452" s="111"/>
    </row>
    <row r="453">
      <c r="A453" s="107" t="s">
        <v>3323</v>
      </c>
      <c r="B453" s="108">
        <v>2.0</v>
      </c>
      <c r="C453" s="108">
        <v>0.0</v>
      </c>
      <c r="D453" s="108">
        <v>0.0</v>
      </c>
      <c r="E453" s="108">
        <v>0.0</v>
      </c>
      <c r="F453" s="108">
        <v>27.0</v>
      </c>
      <c r="G453" s="108">
        <v>65536.0</v>
      </c>
      <c r="H453" s="109">
        <f t="shared" ref="H453:I453" si="451">F453/1024/1024/1024</f>
        <v>0.00000002514570951</v>
      </c>
      <c r="I453" s="109">
        <f t="shared" si="451"/>
        <v>0.00006103515625</v>
      </c>
      <c r="J453" s="110">
        <v>0.0</v>
      </c>
      <c r="K453" s="107"/>
      <c r="L453" s="103"/>
      <c r="N453" s="111"/>
      <c r="O453" s="111"/>
      <c r="P453" s="111"/>
      <c r="Q453" s="111"/>
      <c r="R453" s="111"/>
      <c r="S453" s="111"/>
      <c r="T453" s="111"/>
      <c r="U453" s="111"/>
      <c r="V453" s="111"/>
      <c r="W453" s="111"/>
      <c r="X453" s="111"/>
      <c r="Y453" s="111"/>
      <c r="Z453" s="111"/>
      <c r="AA453" s="111"/>
      <c r="AB453" s="111"/>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03"/>
      <c r="BV453" s="111"/>
      <c r="BW453" s="111"/>
      <c r="BX453" s="111"/>
      <c r="BY453" s="111"/>
      <c r="BZ453" s="111"/>
    </row>
    <row r="454">
      <c r="A454" s="107" t="s">
        <v>3324</v>
      </c>
      <c r="B454" s="108">
        <v>19.0</v>
      </c>
      <c r="C454" s="108">
        <v>26.0</v>
      </c>
      <c r="D454" s="108">
        <v>0.0</v>
      </c>
      <c r="E454" s="108">
        <v>0.0</v>
      </c>
      <c r="F454" s="108">
        <v>2489393.0</v>
      </c>
      <c r="G454" s="108">
        <v>9027584.0</v>
      </c>
      <c r="H454" s="109">
        <f t="shared" ref="H454:I454" si="452">F454/1024/1024/1024</f>
        <v>0.002318427898</v>
      </c>
      <c r="I454" s="109">
        <f t="shared" si="452"/>
        <v>0.008407592773</v>
      </c>
      <c r="J454" s="110">
        <v>0.0</v>
      </c>
      <c r="K454" s="107"/>
      <c r="L454" s="103"/>
      <c r="N454" s="111"/>
      <c r="O454" s="111"/>
      <c r="P454" s="111"/>
      <c r="Q454" s="111"/>
      <c r="R454" s="111"/>
      <c r="S454" s="111"/>
      <c r="T454" s="111"/>
      <c r="U454" s="111"/>
      <c r="V454" s="111"/>
      <c r="W454" s="111"/>
      <c r="X454" s="111"/>
      <c r="Y454" s="111"/>
      <c r="Z454" s="111"/>
      <c r="AA454" s="111"/>
      <c r="AB454" s="111"/>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03"/>
      <c r="BU454" s="111"/>
      <c r="BV454" s="111"/>
      <c r="BW454" s="111"/>
      <c r="BX454" s="111"/>
      <c r="BY454" s="111"/>
      <c r="BZ454" s="111"/>
    </row>
    <row r="455">
      <c r="A455" s="107" t="s">
        <v>3325</v>
      </c>
      <c r="B455" s="108">
        <v>2.0</v>
      </c>
      <c r="C455" s="108">
        <v>0.0</v>
      </c>
      <c r="D455" s="108">
        <v>0.0</v>
      </c>
      <c r="E455" s="108">
        <v>0.0</v>
      </c>
      <c r="F455" s="108">
        <v>27.0</v>
      </c>
      <c r="G455" s="108">
        <v>65536.0</v>
      </c>
      <c r="H455" s="109">
        <f t="shared" ref="H455:I455" si="453">F455/1024/1024/1024</f>
        <v>0.00000002514570951</v>
      </c>
      <c r="I455" s="109">
        <f t="shared" si="453"/>
        <v>0.00006103515625</v>
      </c>
      <c r="J455" s="110">
        <v>0.0</v>
      </c>
      <c r="K455" s="107"/>
      <c r="L455" s="103"/>
      <c r="N455" s="111"/>
      <c r="O455" s="111"/>
      <c r="P455" s="111"/>
      <c r="Q455" s="111"/>
      <c r="R455" s="111"/>
      <c r="S455" s="111"/>
      <c r="T455" s="111"/>
      <c r="U455" s="111"/>
      <c r="V455" s="111"/>
      <c r="W455" s="111"/>
      <c r="X455" s="111"/>
      <c r="Y455" s="111"/>
      <c r="Z455" s="111"/>
      <c r="AA455" s="111"/>
      <c r="AB455" s="111"/>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c r="BC455" s="111"/>
      <c r="BD455" s="111"/>
      <c r="BE455" s="111"/>
      <c r="BF455" s="111"/>
      <c r="BG455" s="111"/>
      <c r="BH455" s="111"/>
      <c r="BI455" s="111"/>
      <c r="BJ455" s="111"/>
      <c r="BK455" s="111"/>
      <c r="BL455" s="111"/>
      <c r="BM455" s="111"/>
      <c r="BN455" s="111"/>
      <c r="BO455" s="111"/>
      <c r="BP455" s="103"/>
      <c r="BU455" s="111"/>
      <c r="BV455" s="111"/>
      <c r="BW455" s="111"/>
      <c r="BX455" s="111"/>
      <c r="BY455" s="111"/>
      <c r="BZ455" s="111"/>
    </row>
    <row r="456">
      <c r="A456" s="107" t="s">
        <v>3326</v>
      </c>
      <c r="B456" s="108">
        <v>6.0</v>
      </c>
      <c r="C456" s="108">
        <v>0.0</v>
      </c>
      <c r="D456" s="108">
        <v>0.0</v>
      </c>
      <c r="E456" s="108">
        <v>0.0</v>
      </c>
      <c r="F456" s="108">
        <v>153.0</v>
      </c>
      <c r="G456" s="108">
        <v>196608.0</v>
      </c>
      <c r="H456" s="109">
        <f t="shared" ref="H456:I456" si="454">F456/1024/1024/1024</f>
        <v>0.0000001424923539</v>
      </c>
      <c r="I456" s="109">
        <f t="shared" si="454"/>
        <v>0.0001831054688</v>
      </c>
      <c r="J456" s="110">
        <v>0.0</v>
      </c>
      <c r="K456" s="107"/>
      <c r="L456" s="103"/>
      <c r="N456" s="111"/>
      <c r="O456" s="111"/>
      <c r="P456" s="111"/>
      <c r="Q456" s="111"/>
      <c r="R456" s="111"/>
      <c r="S456" s="111"/>
      <c r="T456" s="111"/>
      <c r="U456" s="111"/>
      <c r="V456" s="111"/>
      <c r="W456" s="111"/>
      <c r="X456" s="111"/>
      <c r="Y456" s="111"/>
      <c r="Z456" s="111"/>
      <c r="AA456" s="111"/>
      <c r="AB456" s="111"/>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c r="BC456" s="111"/>
      <c r="BD456" s="111"/>
      <c r="BE456" s="111"/>
      <c r="BF456" s="111"/>
      <c r="BG456" s="111"/>
      <c r="BH456" s="111"/>
      <c r="BI456" s="111"/>
      <c r="BJ456" s="111"/>
      <c r="BK456" s="111"/>
      <c r="BL456" s="111"/>
      <c r="BM456" s="111"/>
      <c r="BN456" s="111"/>
      <c r="BO456" s="111"/>
      <c r="BP456" s="103"/>
      <c r="BU456" s="111"/>
      <c r="BV456" s="111"/>
      <c r="BW456" s="111"/>
      <c r="BX456" s="111"/>
      <c r="BY456" s="111"/>
      <c r="BZ456" s="111"/>
    </row>
    <row r="457">
      <c r="A457" s="107" t="s">
        <v>3327</v>
      </c>
      <c r="B457" s="108">
        <v>3705.0</v>
      </c>
      <c r="C457" s="108">
        <v>6381.0</v>
      </c>
      <c r="D457" s="108">
        <v>0.0</v>
      </c>
      <c r="E457" s="108">
        <v>0.0</v>
      </c>
      <c r="F457" s="108">
        <v>1.3788549986E10</v>
      </c>
      <c r="G457" s="108">
        <v>1.7738653696E10</v>
      </c>
      <c r="H457" s="109">
        <f t="shared" ref="H457:I457" si="455">F457/1024/1024/1024</f>
        <v>12.84158787</v>
      </c>
      <c r="I457" s="109">
        <f t="shared" si="455"/>
        <v>16.52040863</v>
      </c>
      <c r="J457" s="110">
        <v>0.0</v>
      </c>
      <c r="K457" s="107"/>
      <c r="L457" s="103"/>
      <c r="N457" s="111"/>
      <c r="O457" s="111"/>
      <c r="P457" s="111"/>
      <c r="Q457" s="111"/>
      <c r="R457" s="111"/>
      <c r="S457" s="111"/>
      <c r="T457" s="111"/>
      <c r="U457" s="111"/>
      <c r="V457" s="111"/>
      <c r="W457" s="111"/>
      <c r="X457" s="111"/>
      <c r="Y457" s="111"/>
      <c r="Z457" s="111"/>
      <c r="AA457" s="111"/>
      <c r="AB457" s="111"/>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c r="BC457" s="111"/>
      <c r="BD457" s="111"/>
      <c r="BE457" s="111"/>
      <c r="BF457" s="111"/>
      <c r="BG457" s="111"/>
      <c r="BH457" s="111"/>
      <c r="BI457" s="111"/>
      <c r="BJ457" s="111"/>
      <c r="BK457" s="111"/>
      <c r="BL457" s="111"/>
      <c r="BM457" s="111"/>
      <c r="BN457" s="111"/>
      <c r="BO457" s="111"/>
      <c r="BP457" s="103"/>
      <c r="BV457" s="111"/>
      <c r="BW457" s="111"/>
      <c r="BX457" s="111"/>
      <c r="BY457" s="111"/>
      <c r="BZ457" s="111"/>
    </row>
    <row r="458">
      <c r="A458" s="107" t="s">
        <v>3328</v>
      </c>
      <c r="B458" s="108">
        <v>2.0</v>
      </c>
      <c r="C458" s="108">
        <v>0.0</v>
      </c>
      <c r="D458" s="108">
        <v>0.0</v>
      </c>
      <c r="E458" s="108">
        <v>0.0</v>
      </c>
      <c r="F458" s="108">
        <v>27.0</v>
      </c>
      <c r="G458" s="108">
        <v>65536.0</v>
      </c>
      <c r="H458" s="109">
        <f t="shared" ref="H458:I458" si="456">F458/1024/1024/1024</f>
        <v>0.00000002514570951</v>
      </c>
      <c r="I458" s="109">
        <f t="shared" si="456"/>
        <v>0.00006103515625</v>
      </c>
      <c r="J458" s="110">
        <v>0.0</v>
      </c>
      <c r="K458" s="107"/>
      <c r="L458" s="103"/>
      <c r="O458" s="111"/>
      <c r="P458" s="111"/>
      <c r="Q458" s="111"/>
      <c r="R458" s="111"/>
      <c r="S458" s="111"/>
      <c r="T458" s="111"/>
      <c r="U458" s="111"/>
      <c r="V458" s="111"/>
      <c r="W458" s="111"/>
      <c r="X458" s="111"/>
      <c r="Y458" s="111"/>
      <c r="Z458" s="111"/>
      <c r="AA458" s="111"/>
      <c r="AB458" s="111"/>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03"/>
      <c r="BW458" s="111"/>
      <c r="BX458" s="111"/>
      <c r="BY458" s="111"/>
      <c r="BZ458" s="111"/>
    </row>
    <row r="459">
      <c r="A459" s="107" t="s">
        <v>3329</v>
      </c>
      <c r="B459" s="108">
        <v>2477.0</v>
      </c>
      <c r="C459" s="108">
        <v>15890.0</v>
      </c>
      <c r="D459" s="108">
        <v>0.0</v>
      </c>
      <c r="E459" s="108">
        <v>0.0</v>
      </c>
      <c r="F459" s="108">
        <v>2.1550002676E10</v>
      </c>
      <c r="G459" s="108">
        <v>2.7825340416E10</v>
      </c>
      <c r="H459" s="109">
        <f t="shared" ref="H459:I459" si="457">F459/1024/1024/1024</f>
        <v>20.07000398</v>
      </c>
      <c r="I459" s="109">
        <f t="shared" si="457"/>
        <v>25.91436768</v>
      </c>
      <c r="J459" s="110">
        <v>0.0</v>
      </c>
      <c r="K459" s="107"/>
      <c r="L459" s="103"/>
      <c r="O459" s="111"/>
      <c r="P459" s="111"/>
      <c r="Q459" s="111"/>
      <c r="R459" s="111"/>
      <c r="S459" s="111"/>
      <c r="T459" s="111"/>
      <c r="U459" s="111"/>
      <c r="V459" s="111"/>
      <c r="W459" s="111"/>
      <c r="X459" s="111"/>
      <c r="Y459" s="111"/>
      <c r="Z459" s="111"/>
      <c r="AA459" s="111"/>
      <c r="AB459" s="111"/>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03"/>
      <c r="BW459" s="111"/>
      <c r="BX459" s="111"/>
      <c r="BY459" s="111"/>
      <c r="BZ459" s="111"/>
    </row>
    <row r="460">
      <c r="A460" s="107" t="s">
        <v>3330</v>
      </c>
      <c r="B460" s="108">
        <v>2.0</v>
      </c>
      <c r="C460" s="108">
        <v>0.0</v>
      </c>
      <c r="D460" s="108">
        <v>0.0</v>
      </c>
      <c r="E460" s="108">
        <v>0.0</v>
      </c>
      <c r="F460" s="108">
        <v>27.0</v>
      </c>
      <c r="G460" s="108">
        <v>65536.0</v>
      </c>
      <c r="H460" s="109">
        <f t="shared" ref="H460:I460" si="458">F460/1024/1024/1024</f>
        <v>0.00000002514570951</v>
      </c>
      <c r="I460" s="109">
        <f t="shared" si="458"/>
        <v>0.00006103515625</v>
      </c>
      <c r="J460" s="110">
        <v>0.0</v>
      </c>
      <c r="K460" s="107"/>
      <c r="L460" s="103"/>
      <c r="O460" s="111"/>
      <c r="P460" s="111"/>
      <c r="Q460" s="111"/>
      <c r="R460" s="111"/>
      <c r="S460" s="111"/>
      <c r="T460" s="111"/>
      <c r="U460" s="111"/>
      <c r="V460" s="111"/>
      <c r="W460" s="111"/>
      <c r="X460" s="111"/>
      <c r="Y460" s="111"/>
      <c r="Z460" s="111"/>
      <c r="AA460" s="111"/>
      <c r="AB460" s="111"/>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03"/>
      <c r="BW460" s="111"/>
      <c r="BX460" s="111"/>
      <c r="BY460" s="111"/>
      <c r="BZ460" s="111"/>
    </row>
    <row r="461">
      <c r="A461" s="107" t="s">
        <v>3331</v>
      </c>
      <c r="B461" s="108">
        <v>3512.0</v>
      </c>
      <c r="C461" s="108">
        <v>10523.0</v>
      </c>
      <c r="D461" s="108">
        <v>0.0</v>
      </c>
      <c r="E461" s="108">
        <v>0.0</v>
      </c>
      <c r="F461" s="108">
        <v>1.786720781E9</v>
      </c>
      <c r="G461" s="108">
        <v>4.391657472E9</v>
      </c>
      <c r="H461" s="109">
        <f t="shared" ref="H461:I461" si="459">F461/1024/1024/1024</f>
        <v>1.664013398</v>
      </c>
      <c r="I461" s="109">
        <f t="shared" si="459"/>
        <v>4.090049744</v>
      </c>
      <c r="J461" s="110">
        <v>0.0</v>
      </c>
      <c r="K461" s="107"/>
      <c r="L461" s="103"/>
      <c r="O461" s="111"/>
      <c r="P461" s="111"/>
      <c r="Q461" s="111"/>
      <c r="R461" s="111"/>
      <c r="S461" s="111"/>
      <c r="T461" s="111"/>
      <c r="U461" s="111"/>
      <c r="V461" s="111"/>
      <c r="W461" s="111"/>
      <c r="X461" s="111"/>
      <c r="Y461" s="111"/>
      <c r="Z461" s="111"/>
      <c r="AA461" s="111"/>
      <c r="AB461" s="111"/>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03"/>
      <c r="BW461" s="111"/>
      <c r="BX461" s="111"/>
      <c r="BY461" s="111"/>
      <c r="BZ461" s="111"/>
    </row>
    <row r="462">
      <c r="A462" s="107" t="s">
        <v>3332</v>
      </c>
      <c r="B462" s="108">
        <v>220.0</v>
      </c>
      <c r="C462" s="108">
        <v>1083.0</v>
      </c>
      <c r="D462" s="108">
        <v>0.0</v>
      </c>
      <c r="E462" s="108">
        <v>0.0</v>
      </c>
      <c r="F462" s="108">
        <v>5.02629172E8</v>
      </c>
      <c r="G462" s="108">
        <v>7.93935872E8</v>
      </c>
      <c r="H462" s="109">
        <f t="shared" ref="H462:I462" si="460">F462/1024/1024/1024</f>
        <v>0.4681098945</v>
      </c>
      <c r="I462" s="109">
        <f t="shared" si="460"/>
        <v>0.7394104004</v>
      </c>
      <c r="J462" s="110">
        <v>0.0</v>
      </c>
      <c r="K462" s="107"/>
      <c r="L462" s="103"/>
      <c r="O462" s="111"/>
      <c r="P462" s="111"/>
      <c r="Q462" s="111"/>
      <c r="R462" s="111"/>
      <c r="S462" s="111"/>
      <c r="T462" s="111"/>
      <c r="U462" s="111"/>
      <c r="V462" s="111"/>
      <c r="W462" s="111"/>
      <c r="X462" s="111"/>
      <c r="Y462" s="111"/>
      <c r="Z462" s="111"/>
      <c r="AA462" s="111"/>
      <c r="AB462" s="111"/>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03"/>
      <c r="BW462" s="111"/>
      <c r="BX462" s="111"/>
      <c r="BY462" s="111"/>
      <c r="BZ462" s="111"/>
    </row>
    <row r="463">
      <c r="A463" s="107" t="s">
        <v>3333</v>
      </c>
      <c r="B463" s="108">
        <v>47.0</v>
      </c>
      <c r="C463" s="108">
        <v>1.0</v>
      </c>
      <c r="D463" s="108">
        <v>0.0</v>
      </c>
      <c r="E463" s="108">
        <v>0.0</v>
      </c>
      <c r="F463" s="108">
        <v>7719.0</v>
      </c>
      <c r="G463" s="108">
        <v>1564672.0</v>
      </c>
      <c r="H463" s="109">
        <f t="shared" ref="H463:I463" si="461">F463/1024/1024/1024</f>
        <v>0.000007188878953</v>
      </c>
      <c r="I463" s="109">
        <f t="shared" si="461"/>
        <v>0.001457214355</v>
      </c>
      <c r="J463" s="110">
        <v>0.0</v>
      </c>
      <c r="K463" s="107"/>
      <c r="L463" s="103"/>
      <c r="O463" s="111"/>
      <c r="P463" s="111"/>
      <c r="Q463" s="111"/>
      <c r="R463" s="111"/>
      <c r="S463" s="111"/>
      <c r="T463" s="111"/>
      <c r="U463" s="111"/>
      <c r="V463" s="111"/>
      <c r="W463" s="111"/>
      <c r="X463" s="111"/>
      <c r="Y463" s="111"/>
      <c r="Z463" s="111"/>
      <c r="AA463" s="111"/>
      <c r="AB463" s="111"/>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03"/>
      <c r="BW463" s="111"/>
      <c r="BX463" s="111"/>
      <c r="BY463" s="111"/>
      <c r="BZ463" s="111"/>
    </row>
    <row r="464">
      <c r="A464" s="107" t="s">
        <v>3334</v>
      </c>
      <c r="B464" s="108">
        <v>2.0</v>
      </c>
      <c r="C464" s="108">
        <v>0.0</v>
      </c>
      <c r="D464" s="108">
        <v>0.0</v>
      </c>
      <c r="E464" s="108">
        <v>0.0</v>
      </c>
      <c r="F464" s="108">
        <v>27.0</v>
      </c>
      <c r="G464" s="108">
        <v>65536.0</v>
      </c>
      <c r="H464" s="109">
        <f t="shared" ref="H464:I464" si="462">F464/1024/1024/1024</f>
        <v>0.00000002514570951</v>
      </c>
      <c r="I464" s="109">
        <f t="shared" si="462"/>
        <v>0.00006103515625</v>
      </c>
      <c r="J464" s="110">
        <v>0.0</v>
      </c>
      <c r="K464" s="107"/>
      <c r="L464" s="103"/>
      <c r="O464" s="111"/>
      <c r="P464" s="111"/>
      <c r="Q464" s="111"/>
      <c r="R464" s="111"/>
      <c r="S464" s="111"/>
      <c r="T464" s="111"/>
      <c r="U464" s="111"/>
      <c r="V464" s="111"/>
      <c r="W464" s="111"/>
      <c r="X464" s="111"/>
      <c r="Y464" s="111"/>
      <c r="Z464" s="111"/>
      <c r="AA464" s="111"/>
      <c r="AB464" s="111"/>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03"/>
      <c r="BV464" s="111"/>
      <c r="BW464" s="111"/>
      <c r="BX464" s="111"/>
      <c r="BY464" s="111"/>
      <c r="BZ464" s="111"/>
    </row>
    <row r="465">
      <c r="A465" s="107" t="s">
        <v>3335</v>
      </c>
      <c r="B465" s="108">
        <v>21.0</v>
      </c>
      <c r="C465" s="108">
        <v>0.0</v>
      </c>
      <c r="D465" s="108">
        <v>0.0</v>
      </c>
      <c r="E465" s="108">
        <v>0.0</v>
      </c>
      <c r="F465" s="108">
        <v>669.0</v>
      </c>
      <c r="G465" s="108">
        <v>688128.0</v>
      </c>
      <c r="H465" s="109">
        <f t="shared" ref="H465:I465" si="463">F465/1024/1024/1024</f>
        <v>0.0000006230548024</v>
      </c>
      <c r="I465" s="109">
        <f t="shared" si="463"/>
        <v>0.0006408691406</v>
      </c>
      <c r="J465" s="110">
        <v>0.0</v>
      </c>
      <c r="K465" s="107"/>
      <c r="L465" s="103"/>
      <c r="P465" s="111"/>
      <c r="Q465" s="111"/>
      <c r="R465" s="111"/>
      <c r="S465" s="111"/>
      <c r="T465" s="111"/>
      <c r="U465" s="111"/>
      <c r="V465" s="111"/>
      <c r="W465" s="111"/>
      <c r="X465" s="111"/>
      <c r="Y465" s="111"/>
      <c r="Z465" s="111"/>
      <c r="AA465" s="111"/>
      <c r="AB465" s="111"/>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03"/>
    </row>
    <row r="466">
      <c r="A466" s="107" t="s">
        <v>3336</v>
      </c>
      <c r="B466" s="108">
        <v>28.0</v>
      </c>
      <c r="C466" s="108">
        <v>0.0</v>
      </c>
      <c r="D466" s="108">
        <v>0.0</v>
      </c>
      <c r="E466" s="108">
        <v>0.0</v>
      </c>
      <c r="F466" s="108">
        <v>942.0</v>
      </c>
      <c r="G466" s="108">
        <v>917504.0</v>
      </c>
      <c r="H466" s="109">
        <f t="shared" ref="H466:I466" si="464">F466/1024/1024/1024</f>
        <v>0.0000008773058653</v>
      </c>
      <c r="I466" s="109">
        <f t="shared" si="464"/>
        <v>0.0008544921875</v>
      </c>
      <c r="J466" s="110">
        <v>0.0</v>
      </c>
      <c r="K466" s="107"/>
      <c r="L466" s="103"/>
      <c r="P466" s="111"/>
      <c r="Q466" s="111"/>
      <c r="R466" s="111"/>
      <c r="S466" s="111"/>
      <c r="T466" s="111"/>
      <c r="U466" s="111"/>
      <c r="V466" s="111"/>
      <c r="W466" s="111"/>
      <c r="X466" s="111"/>
      <c r="Y466" s="111"/>
      <c r="Z466" s="111"/>
      <c r="AA466" s="111"/>
      <c r="AB466" s="111"/>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03"/>
    </row>
    <row r="467">
      <c r="A467" s="107" t="s">
        <v>3337</v>
      </c>
      <c r="B467" s="108">
        <v>67.0</v>
      </c>
      <c r="C467" s="108">
        <v>0.0</v>
      </c>
      <c r="D467" s="108">
        <v>0.0</v>
      </c>
      <c r="E467" s="108">
        <v>0.0</v>
      </c>
      <c r="F467" s="108">
        <v>2327.0</v>
      </c>
      <c r="G467" s="108">
        <v>2195456.0</v>
      </c>
      <c r="H467" s="109">
        <f t="shared" ref="H467:I467" si="465">F467/1024/1024/1024</f>
        <v>0.000002167187631</v>
      </c>
      <c r="I467" s="109">
        <f t="shared" si="465"/>
        <v>0.002044677734</v>
      </c>
      <c r="J467" s="110">
        <v>0.0</v>
      </c>
      <c r="K467" s="107"/>
      <c r="L467" s="103"/>
      <c r="P467" s="111"/>
      <c r="Q467" s="111"/>
      <c r="R467" s="111"/>
      <c r="S467" s="111"/>
      <c r="T467" s="111"/>
      <c r="U467" s="111"/>
      <c r="V467" s="111"/>
      <c r="W467" s="111"/>
      <c r="X467" s="111"/>
      <c r="Y467" s="111"/>
      <c r="Z467" s="111"/>
      <c r="AA467" s="111"/>
      <c r="AB467" s="111"/>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03"/>
    </row>
    <row r="468">
      <c r="A468" s="107" t="s">
        <v>3338</v>
      </c>
      <c r="B468" s="108">
        <v>24.0</v>
      </c>
      <c r="C468" s="108">
        <v>0.0</v>
      </c>
      <c r="D468" s="108">
        <v>0.0</v>
      </c>
      <c r="E468" s="108">
        <v>0.0</v>
      </c>
      <c r="F468" s="108">
        <v>704.0</v>
      </c>
      <c r="G468" s="108">
        <v>786432.0</v>
      </c>
      <c r="H468" s="109">
        <f t="shared" ref="H468:I468" si="466">F468/1024/1024/1024</f>
        <v>0.0000006556510925</v>
      </c>
      <c r="I468" s="109">
        <f t="shared" si="466"/>
        <v>0.000732421875</v>
      </c>
      <c r="J468" s="110">
        <v>0.0</v>
      </c>
      <c r="K468" s="107"/>
      <c r="L468" s="103"/>
      <c r="P468" s="111"/>
      <c r="Q468" s="111"/>
      <c r="R468" s="111"/>
      <c r="S468" s="111"/>
      <c r="T468" s="111"/>
      <c r="U468" s="111"/>
      <c r="V468" s="111"/>
      <c r="W468" s="111"/>
      <c r="X468" s="111"/>
      <c r="Y468" s="111"/>
      <c r="Z468" s="111"/>
      <c r="AA468" s="111"/>
      <c r="AB468" s="111"/>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03"/>
      <c r="BZ468" s="111"/>
    </row>
    <row r="469">
      <c r="A469" s="107" t="s">
        <v>3339</v>
      </c>
      <c r="B469" s="108">
        <v>52.0</v>
      </c>
      <c r="C469" s="108">
        <v>0.0</v>
      </c>
      <c r="D469" s="108">
        <v>0.0</v>
      </c>
      <c r="E469" s="108">
        <v>0.0</v>
      </c>
      <c r="F469" s="108">
        <v>1628.0</v>
      </c>
      <c r="G469" s="108">
        <v>1703936.0</v>
      </c>
      <c r="H469" s="109">
        <f t="shared" ref="H469:I469" si="467">F469/1024/1024/1024</f>
        <v>0.000001516193151</v>
      </c>
      <c r="I469" s="109">
        <f t="shared" si="467"/>
        <v>0.001586914063</v>
      </c>
      <c r="J469" s="110">
        <v>0.0</v>
      </c>
      <c r="K469" s="107"/>
      <c r="L469" s="103"/>
      <c r="P469" s="111"/>
      <c r="Q469" s="111"/>
      <c r="R469" s="111"/>
      <c r="S469" s="111"/>
      <c r="T469" s="111"/>
      <c r="U469" s="111"/>
      <c r="V469" s="111"/>
      <c r="W469" s="111"/>
      <c r="X469" s="111"/>
      <c r="Y469" s="111"/>
      <c r="Z469" s="111"/>
      <c r="AA469" s="111"/>
      <c r="AB469" s="111"/>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03"/>
      <c r="BZ469" s="111"/>
    </row>
    <row r="470">
      <c r="A470" s="107" t="s">
        <v>3340</v>
      </c>
      <c r="B470" s="108">
        <v>1.0</v>
      </c>
      <c r="C470" s="108">
        <v>0.0</v>
      </c>
      <c r="D470" s="108">
        <v>0.0</v>
      </c>
      <c r="E470" s="108">
        <v>0.0</v>
      </c>
      <c r="F470" s="108">
        <v>0.0</v>
      </c>
      <c r="G470" s="108">
        <v>32768.0</v>
      </c>
      <c r="H470" s="109">
        <f t="shared" ref="H470:I470" si="468">F470/1024/1024/1024</f>
        <v>0</v>
      </c>
      <c r="I470" s="109">
        <f t="shared" si="468"/>
        <v>0.00003051757813</v>
      </c>
      <c r="J470" s="110">
        <v>0.0</v>
      </c>
      <c r="K470" s="107"/>
      <c r="L470" s="103"/>
      <c r="P470" s="111"/>
      <c r="Q470" s="111"/>
      <c r="R470" s="111"/>
      <c r="S470" s="111"/>
      <c r="T470" s="111"/>
      <c r="U470" s="111"/>
      <c r="V470" s="111"/>
      <c r="W470" s="111"/>
      <c r="X470" s="111"/>
      <c r="Y470" s="111"/>
      <c r="Z470" s="111"/>
      <c r="AA470" s="111"/>
      <c r="AB470" s="111"/>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03"/>
      <c r="BZ470" s="111"/>
    </row>
    <row r="471">
      <c r="A471" s="107" t="s">
        <v>3341</v>
      </c>
      <c r="B471" s="108">
        <v>907.0</v>
      </c>
      <c r="C471" s="108">
        <v>4213.0</v>
      </c>
      <c r="D471" s="108">
        <v>0.0</v>
      </c>
      <c r="E471" s="108">
        <v>0.0</v>
      </c>
      <c r="F471" s="108">
        <v>3.222852216E9</v>
      </c>
      <c r="G471" s="108">
        <v>4.547018752E9</v>
      </c>
      <c r="H471" s="109">
        <f t="shared" ref="H471:I471" si="469">F471/1024/1024/1024</f>
        <v>3.001515023</v>
      </c>
      <c r="I471" s="109">
        <f t="shared" si="469"/>
        <v>4.234741211</v>
      </c>
      <c r="J471" s="110">
        <v>0.0</v>
      </c>
      <c r="K471" s="107"/>
      <c r="L471" s="103"/>
      <c r="P471" s="111"/>
      <c r="Q471" s="111"/>
      <c r="R471" s="111"/>
      <c r="S471" s="111"/>
      <c r="T471" s="111"/>
      <c r="U471" s="111"/>
      <c r="V471" s="111"/>
      <c r="W471" s="111"/>
      <c r="X471" s="111"/>
      <c r="Y471" s="111"/>
      <c r="Z471" s="111"/>
      <c r="AA471" s="111"/>
      <c r="AB471" s="111"/>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03"/>
      <c r="BZ471" s="111"/>
    </row>
    <row r="472">
      <c r="A472" s="107" t="s">
        <v>3342</v>
      </c>
      <c r="B472" s="108">
        <v>10.0</v>
      </c>
      <c r="C472" s="108">
        <v>0.0</v>
      </c>
      <c r="D472" s="108">
        <v>0.0</v>
      </c>
      <c r="E472" s="108">
        <v>0.0</v>
      </c>
      <c r="F472" s="108">
        <v>322.0</v>
      </c>
      <c r="G472" s="108">
        <v>327680.0</v>
      </c>
      <c r="H472" s="109">
        <f t="shared" ref="H472:I472" si="470">F472/1024/1024/1024</f>
        <v>0.000000299885869</v>
      </c>
      <c r="I472" s="109">
        <f t="shared" si="470"/>
        <v>0.0003051757813</v>
      </c>
      <c r="J472" s="110">
        <v>0.0</v>
      </c>
      <c r="K472" s="107"/>
      <c r="L472" s="103"/>
      <c r="P472" s="111"/>
      <c r="Q472" s="111"/>
      <c r="R472" s="111"/>
      <c r="S472" s="111"/>
      <c r="T472" s="111"/>
      <c r="U472" s="111"/>
      <c r="V472" s="111"/>
      <c r="W472" s="111"/>
      <c r="X472" s="111"/>
      <c r="Y472" s="111"/>
      <c r="Z472" s="111"/>
      <c r="AA472" s="111"/>
      <c r="AB472" s="111"/>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03"/>
    </row>
    <row r="473">
      <c r="A473" s="107" t="s">
        <v>3343</v>
      </c>
      <c r="B473" s="108">
        <v>10.0</v>
      </c>
      <c r="C473" s="108">
        <v>0.0</v>
      </c>
      <c r="D473" s="108">
        <v>0.0</v>
      </c>
      <c r="E473" s="108">
        <v>0.0</v>
      </c>
      <c r="F473" s="108">
        <v>295.0</v>
      </c>
      <c r="G473" s="108">
        <v>327680.0</v>
      </c>
      <c r="H473" s="109">
        <f t="shared" ref="H473:I473" si="471">F473/1024/1024/1024</f>
        <v>0.0000002747401595</v>
      </c>
      <c r="I473" s="109">
        <f t="shared" si="471"/>
        <v>0.0003051757813</v>
      </c>
      <c r="J473" s="110">
        <v>0.0</v>
      </c>
      <c r="K473" s="107"/>
      <c r="L473" s="103"/>
      <c r="P473" s="111"/>
      <c r="Q473" s="111"/>
      <c r="R473" s="111"/>
      <c r="S473" s="111"/>
      <c r="T473" s="111"/>
      <c r="U473" s="111"/>
      <c r="V473" s="111"/>
      <c r="W473" s="111"/>
      <c r="X473" s="111"/>
      <c r="Y473" s="111"/>
      <c r="Z473" s="111"/>
      <c r="AA473" s="111"/>
      <c r="AB473" s="111"/>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03"/>
      <c r="BZ473" s="111"/>
    </row>
    <row r="474">
      <c r="A474" s="107" t="s">
        <v>3344</v>
      </c>
      <c r="B474" s="108">
        <v>3315.0</v>
      </c>
      <c r="C474" s="108">
        <v>23560.0</v>
      </c>
      <c r="D474" s="108">
        <v>0.0</v>
      </c>
      <c r="E474" s="108">
        <v>0.0</v>
      </c>
      <c r="F474" s="108">
        <v>1.31748933342E11</v>
      </c>
      <c r="G474" s="108">
        <v>1.6199000064E11</v>
      </c>
      <c r="H474" s="109">
        <f t="shared" ref="H474:I474" si="472">F474/1024/1024/1024</f>
        <v>122.7007558</v>
      </c>
      <c r="I474" s="109">
        <f t="shared" si="472"/>
        <v>150.8649445</v>
      </c>
      <c r="J474" s="110">
        <v>0.0</v>
      </c>
      <c r="K474" s="107"/>
      <c r="L474" s="103"/>
      <c r="P474" s="111"/>
      <c r="Q474" s="111"/>
      <c r="R474" s="111"/>
      <c r="S474" s="111"/>
      <c r="T474" s="111"/>
      <c r="U474" s="111"/>
      <c r="V474" s="111"/>
      <c r="W474" s="111"/>
      <c r="X474" s="111"/>
      <c r="Y474" s="111"/>
      <c r="Z474" s="111"/>
      <c r="AA474" s="111"/>
      <c r="AB474" s="111"/>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03"/>
    </row>
    <row r="475">
      <c r="A475" s="107" t="s">
        <v>3345</v>
      </c>
      <c r="B475" s="108">
        <v>15096.0</v>
      </c>
      <c r="C475" s="108">
        <v>51869.0</v>
      </c>
      <c r="D475" s="108">
        <v>0.0</v>
      </c>
      <c r="E475" s="108">
        <v>0.0</v>
      </c>
      <c r="F475" s="108">
        <v>2.5108487764E10</v>
      </c>
      <c r="G475" s="108">
        <v>3.84923648E10</v>
      </c>
      <c r="H475" s="109">
        <f t="shared" ref="H475:I475" si="473">F475/1024/1024/1024</f>
        <v>23.38410147</v>
      </c>
      <c r="I475" s="109">
        <f t="shared" si="473"/>
        <v>35.84880829</v>
      </c>
      <c r="J475" s="110">
        <v>0.0</v>
      </c>
      <c r="K475" s="107"/>
      <c r="L475" s="103"/>
      <c r="P475" s="111"/>
      <c r="Q475" s="111"/>
      <c r="R475" s="111"/>
      <c r="S475" s="111"/>
      <c r="T475" s="111"/>
      <c r="U475" s="111"/>
      <c r="V475" s="111"/>
      <c r="W475" s="111"/>
      <c r="X475" s="111"/>
      <c r="Y475" s="111"/>
      <c r="Z475" s="111"/>
      <c r="AA475" s="111"/>
      <c r="AB475" s="111"/>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03"/>
      <c r="BZ475" s="111"/>
    </row>
    <row r="476">
      <c r="A476" s="107" t="s">
        <v>3346</v>
      </c>
      <c r="B476" s="108">
        <v>1.0</v>
      </c>
      <c r="C476" s="108">
        <v>0.0</v>
      </c>
      <c r="D476" s="108">
        <v>0.0</v>
      </c>
      <c r="E476" s="108">
        <v>0.0</v>
      </c>
      <c r="F476" s="108">
        <v>0.0</v>
      </c>
      <c r="G476" s="108">
        <v>32768.0</v>
      </c>
      <c r="H476" s="109">
        <f t="shared" ref="H476:I476" si="474">F476/1024/1024/1024</f>
        <v>0</v>
      </c>
      <c r="I476" s="109">
        <f t="shared" si="474"/>
        <v>0.00003051757813</v>
      </c>
      <c r="J476" s="110">
        <v>0.0</v>
      </c>
      <c r="K476" s="107"/>
      <c r="L476" s="103"/>
      <c r="P476" s="111"/>
      <c r="Q476" s="111"/>
      <c r="R476" s="111"/>
      <c r="S476" s="111"/>
      <c r="T476" s="111"/>
      <c r="U476" s="111"/>
      <c r="V476" s="111"/>
      <c r="W476" s="111"/>
      <c r="X476" s="111"/>
      <c r="Y476" s="111"/>
      <c r="Z476" s="111"/>
      <c r="AA476" s="111"/>
      <c r="AB476" s="111"/>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03"/>
      <c r="BY476" s="111"/>
      <c r="BZ476" s="111"/>
    </row>
    <row r="477">
      <c r="A477" s="107" t="s">
        <v>3347</v>
      </c>
      <c r="B477" s="108">
        <v>194.0</v>
      </c>
      <c r="C477" s="108">
        <v>1019.0</v>
      </c>
      <c r="D477" s="108">
        <v>0.0</v>
      </c>
      <c r="E477" s="108">
        <v>0.0</v>
      </c>
      <c r="F477" s="108">
        <v>1.12529821E10</v>
      </c>
      <c r="G477" s="108">
        <v>1.3667098624E10</v>
      </c>
      <c r="H477" s="109">
        <f t="shared" ref="H477:I477" si="475">F477/1024/1024/1024</f>
        <v>10.48015626</v>
      </c>
      <c r="I477" s="109">
        <f t="shared" si="475"/>
        <v>12.72847748</v>
      </c>
      <c r="J477" s="110">
        <v>0.0</v>
      </c>
      <c r="K477" s="107"/>
      <c r="L477" s="103"/>
      <c r="P477" s="111"/>
      <c r="Q477" s="111"/>
      <c r="R477" s="111"/>
      <c r="S477" s="111"/>
      <c r="T477" s="111"/>
      <c r="U477" s="111"/>
      <c r="V477" s="111"/>
      <c r="W477" s="111"/>
      <c r="X477" s="111"/>
      <c r="Y477" s="111"/>
      <c r="Z477" s="111"/>
      <c r="AA477" s="111"/>
      <c r="AB477" s="111"/>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03"/>
      <c r="BZ477" s="111"/>
    </row>
    <row r="478">
      <c r="A478" s="107" t="s">
        <v>3348</v>
      </c>
      <c r="B478" s="108">
        <v>4064.0</v>
      </c>
      <c r="C478" s="108">
        <v>13606.0</v>
      </c>
      <c r="D478" s="108">
        <v>0.0</v>
      </c>
      <c r="E478" s="108">
        <v>0.0</v>
      </c>
      <c r="F478" s="108">
        <v>2.5170036821E10</v>
      </c>
      <c r="G478" s="108">
        <v>3.2441483264E10</v>
      </c>
      <c r="H478" s="109">
        <f t="shared" ref="H478:I478" si="476">F478/1024/1024/1024</f>
        <v>23.4414235</v>
      </c>
      <c r="I478" s="109">
        <f t="shared" si="476"/>
        <v>30.21348572</v>
      </c>
      <c r="J478" s="110">
        <v>0.0</v>
      </c>
      <c r="K478" s="107"/>
      <c r="L478" s="103"/>
      <c r="P478" s="111"/>
      <c r="Q478" s="111"/>
      <c r="R478" s="111"/>
      <c r="S478" s="111"/>
      <c r="T478" s="111"/>
      <c r="U478" s="111"/>
      <c r="V478" s="111"/>
      <c r="W478" s="111"/>
      <c r="X478" s="111"/>
      <c r="Y478" s="111"/>
      <c r="Z478" s="111"/>
      <c r="AA478" s="111"/>
      <c r="AB478" s="111"/>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03"/>
      <c r="BZ478" s="111"/>
    </row>
    <row r="479">
      <c r="A479" s="107" t="s">
        <v>3349</v>
      </c>
      <c r="B479" s="108">
        <v>1964.0</v>
      </c>
      <c r="C479" s="108">
        <v>7273.0</v>
      </c>
      <c r="D479" s="108">
        <v>0.0</v>
      </c>
      <c r="E479" s="108">
        <v>0.0</v>
      </c>
      <c r="F479" s="108">
        <v>5.257773243E9</v>
      </c>
      <c r="G479" s="108">
        <v>7.596515328E9</v>
      </c>
      <c r="H479" s="109">
        <f t="shared" ref="H479:I479" si="477">F479/1024/1024/1024</f>
        <v>4.896682913</v>
      </c>
      <c r="I479" s="109">
        <f t="shared" si="477"/>
        <v>7.074806213</v>
      </c>
      <c r="J479" s="110">
        <v>0.0</v>
      </c>
      <c r="K479" s="107"/>
      <c r="L479" s="103"/>
      <c r="P479" s="111"/>
      <c r="Q479" s="111"/>
      <c r="R479" s="111"/>
      <c r="S479" s="111"/>
      <c r="T479" s="111"/>
      <c r="U479" s="111"/>
      <c r="V479" s="111"/>
      <c r="W479" s="111"/>
      <c r="X479" s="111"/>
      <c r="Y479" s="111"/>
      <c r="Z479" s="111"/>
      <c r="AA479" s="111"/>
      <c r="AB479" s="111"/>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03"/>
      <c r="BY479" s="111"/>
      <c r="BZ479" s="111"/>
    </row>
    <row r="480">
      <c r="A480" s="107" t="s">
        <v>3350</v>
      </c>
      <c r="B480" s="108">
        <v>1591.0</v>
      </c>
      <c r="C480" s="108">
        <v>4218.0</v>
      </c>
      <c r="D480" s="108">
        <v>0.0</v>
      </c>
      <c r="E480" s="108">
        <v>0.0</v>
      </c>
      <c r="F480" s="108">
        <v>5.653971868E9</v>
      </c>
      <c r="G480" s="108">
        <v>7.568375808E9</v>
      </c>
      <c r="H480" s="109">
        <f t="shared" ref="H480:I480" si="478">F480/1024/1024/1024</f>
        <v>5.265671637</v>
      </c>
      <c r="I480" s="109">
        <f t="shared" si="478"/>
        <v>7.048599243</v>
      </c>
      <c r="J480" s="110">
        <v>0.0</v>
      </c>
      <c r="K480" s="107"/>
      <c r="L480" s="103"/>
      <c r="P480" s="111"/>
      <c r="Q480" s="111"/>
      <c r="R480" s="111"/>
      <c r="S480" s="111"/>
      <c r="T480" s="111"/>
      <c r="U480" s="111"/>
      <c r="V480" s="111"/>
      <c r="W480" s="111"/>
      <c r="X480" s="111"/>
      <c r="Y480" s="111"/>
      <c r="Z480" s="111"/>
      <c r="AA480" s="111"/>
      <c r="AB480" s="111"/>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03"/>
      <c r="BY480" s="111"/>
      <c r="BZ480" s="111"/>
    </row>
    <row r="481">
      <c r="A481" s="107" t="s">
        <v>3351</v>
      </c>
      <c r="B481" s="108">
        <v>1.0</v>
      </c>
      <c r="C481" s="108">
        <v>2.0</v>
      </c>
      <c r="D481" s="108">
        <v>0.0</v>
      </c>
      <c r="E481" s="108">
        <v>0.0</v>
      </c>
      <c r="F481" s="108">
        <v>831358.0</v>
      </c>
      <c r="G481" s="108">
        <v>1236992.0</v>
      </c>
      <c r="H481" s="109">
        <f t="shared" ref="H481:I481" si="479">F481/1024/1024/1024</f>
        <v>0.000774262473</v>
      </c>
      <c r="I481" s="109">
        <f t="shared" si="479"/>
        <v>0.001152038574</v>
      </c>
      <c r="J481" s="110">
        <v>0.0</v>
      </c>
      <c r="K481" s="107"/>
      <c r="L481" s="103"/>
      <c r="P481" s="111"/>
      <c r="Q481" s="111"/>
      <c r="R481" s="111"/>
      <c r="S481" s="111"/>
      <c r="T481" s="111"/>
      <c r="U481" s="111"/>
      <c r="V481" s="111"/>
      <c r="W481" s="111"/>
      <c r="X481" s="111"/>
      <c r="Y481" s="111"/>
      <c r="Z481" s="111"/>
      <c r="AA481" s="111"/>
      <c r="AB481" s="111"/>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03"/>
      <c r="BZ481" s="111"/>
    </row>
    <row r="482">
      <c r="A482" s="107" t="s">
        <v>3352</v>
      </c>
      <c r="B482" s="108">
        <v>109.0</v>
      </c>
      <c r="C482" s="108">
        <v>790.0</v>
      </c>
      <c r="D482" s="108">
        <v>0.0</v>
      </c>
      <c r="E482" s="108">
        <v>0.0</v>
      </c>
      <c r="F482" s="108">
        <v>4.59326467E8</v>
      </c>
      <c r="G482" s="108">
        <v>6.63986176E8</v>
      </c>
      <c r="H482" s="109">
        <f t="shared" ref="H482:I482" si="480">F482/1024/1024/1024</f>
        <v>0.4277811078</v>
      </c>
      <c r="I482" s="109">
        <f t="shared" si="480"/>
        <v>0.6183853149</v>
      </c>
      <c r="J482" s="110">
        <v>0.0</v>
      </c>
      <c r="K482" s="107"/>
      <c r="L482" s="103"/>
      <c r="P482" s="111"/>
      <c r="Q482" s="111"/>
      <c r="R482" s="111"/>
      <c r="S482" s="111"/>
      <c r="T482" s="111"/>
      <c r="U482" s="111"/>
      <c r="V482" s="111"/>
      <c r="W482" s="111"/>
      <c r="X482" s="111"/>
      <c r="Y482" s="111"/>
      <c r="Z482" s="111"/>
      <c r="AA482" s="111"/>
      <c r="AB482" s="111"/>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03"/>
      <c r="BZ482" s="111"/>
    </row>
    <row r="483">
      <c r="A483" s="107" t="s">
        <v>3353</v>
      </c>
      <c r="B483" s="108">
        <v>44.0</v>
      </c>
      <c r="C483" s="108">
        <v>706.0</v>
      </c>
      <c r="D483" s="108">
        <v>0.0</v>
      </c>
      <c r="E483" s="108">
        <v>0.0</v>
      </c>
      <c r="F483" s="108">
        <v>9.1879483E7</v>
      </c>
      <c r="G483" s="108">
        <v>1.82534144E8</v>
      </c>
      <c r="H483" s="109">
        <f t="shared" ref="H483:I483" si="481">F483/1024/1024/1024</f>
        <v>0.08556943666</v>
      </c>
      <c r="I483" s="109">
        <f t="shared" si="481"/>
        <v>0.1699981689</v>
      </c>
      <c r="J483" s="110">
        <v>0.0</v>
      </c>
      <c r="K483" s="107"/>
      <c r="L483" s="103"/>
      <c r="P483" s="111"/>
      <c r="Q483" s="111"/>
      <c r="R483" s="111"/>
      <c r="S483" s="111"/>
      <c r="T483" s="111"/>
      <c r="U483" s="111"/>
      <c r="V483" s="111"/>
      <c r="W483" s="111"/>
      <c r="X483" s="111"/>
      <c r="Y483" s="111"/>
      <c r="Z483" s="111"/>
      <c r="AA483" s="111"/>
      <c r="AB483" s="111"/>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03"/>
      <c r="BY483" s="111"/>
      <c r="BZ483" s="111"/>
    </row>
    <row r="484">
      <c r="A484" s="107" t="s">
        <v>3354</v>
      </c>
      <c r="B484" s="108">
        <v>172.0</v>
      </c>
      <c r="C484" s="108">
        <v>1022.0</v>
      </c>
      <c r="D484" s="108">
        <v>0.0</v>
      </c>
      <c r="E484" s="108">
        <v>0.0</v>
      </c>
      <c r="F484" s="108">
        <v>1.7087476E8</v>
      </c>
      <c r="G484" s="108">
        <v>3.29039872E8</v>
      </c>
      <c r="H484" s="109">
        <f t="shared" ref="H484:I484" si="482">F484/1024/1024/1024</f>
        <v>0.1591395214</v>
      </c>
      <c r="I484" s="109">
        <f t="shared" si="482"/>
        <v>0.3064422607</v>
      </c>
      <c r="J484" s="110">
        <v>0.0</v>
      </c>
      <c r="K484" s="107"/>
      <c r="L484" s="103"/>
      <c r="P484" s="111"/>
      <c r="Q484" s="111"/>
      <c r="R484" s="111"/>
      <c r="S484" s="111"/>
      <c r="T484" s="111"/>
      <c r="U484" s="111"/>
      <c r="V484" s="111"/>
      <c r="W484" s="111"/>
      <c r="X484" s="111"/>
      <c r="Y484" s="111"/>
      <c r="Z484" s="111"/>
      <c r="AA484" s="111"/>
      <c r="AB484" s="111"/>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03"/>
      <c r="BY484" s="111"/>
      <c r="BZ484" s="111"/>
    </row>
    <row r="485">
      <c r="A485" s="107" t="s">
        <v>3355</v>
      </c>
      <c r="B485" s="108">
        <v>2.0</v>
      </c>
      <c r="C485" s="108">
        <v>0.0</v>
      </c>
      <c r="D485" s="108">
        <v>0.0</v>
      </c>
      <c r="E485" s="108">
        <v>0.0</v>
      </c>
      <c r="F485" s="108">
        <v>36.0</v>
      </c>
      <c r="G485" s="108">
        <v>65536.0</v>
      </c>
      <c r="H485" s="109">
        <f t="shared" ref="H485:I485" si="483">F485/1024/1024/1024</f>
        <v>0.00000003352761269</v>
      </c>
      <c r="I485" s="109">
        <f t="shared" si="483"/>
        <v>0.00006103515625</v>
      </c>
      <c r="J485" s="110">
        <v>0.0</v>
      </c>
      <c r="K485" s="107"/>
      <c r="L485" s="103"/>
      <c r="N485" s="111"/>
      <c r="O485" s="111"/>
      <c r="P485" s="111"/>
      <c r="Q485" s="111"/>
      <c r="R485" s="111"/>
      <c r="S485" s="111"/>
      <c r="T485" s="111"/>
      <c r="U485" s="111"/>
      <c r="V485" s="111"/>
      <c r="W485" s="111"/>
      <c r="X485" s="111"/>
      <c r="Y485" s="111"/>
      <c r="Z485" s="111"/>
      <c r="AA485" s="111"/>
      <c r="AB485" s="111"/>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03"/>
      <c r="BW485" s="111"/>
      <c r="BX485" s="111"/>
      <c r="BY485" s="111"/>
      <c r="BZ485" s="111"/>
    </row>
    <row r="486">
      <c r="A486" s="107" t="s">
        <v>3356</v>
      </c>
      <c r="B486" s="108">
        <v>2.0</v>
      </c>
      <c r="C486" s="108">
        <v>0.0</v>
      </c>
      <c r="D486" s="108">
        <v>0.0</v>
      </c>
      <c r="E486" s="108">
        <v>0.0</v>
      </c>
      <c r="F486" s="108">
        <v>36.0</v>
      </c>
      <c r="G486" s="108">
        <v>65536.0</v>
      </c>
      <c r="H486" s="109">
        <f t="shared" ref="H486:I486" si="484">F486/1024/1024/1024</f>
        <v>0.00000003352761269</v>
      </c>
      <c r="I486" s="109">
        <f t="shared" si="484"/>
        <v>0.00006103515625</v>
      </c>
      <c r="J486" s="110">
        <v>0.0</v>
      </c>
      <c r="K486" s="107"/>
      <c r="L486" s="103"/>
      <c r="N486" s="111"/>
      <c r="O486" s="111"/>
      <c r="P486" s="111"/>
      <c r="Q486" s="111"/>
      <c r="R486" s="111"/>
      <c r="S486" s="111"/>
      <c r="T486" s="111"/>
      <c r="U486" s="111"/>
      <c r="V486" s="111"/>
      <c r="W486" s="111"/>
      <c r="X486" s="111"/>
      <c r="Y486" s="111"/>
      <c r="Z486" s="111"/>
      <c r="AA486" s="111"/>
      <c r="AB486" s="111"/>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03"/>
      <c r="BY486" s="111"/>
      <c r="BZ486" s="111"/>
    </row>
    <row r="487">
      <c r="A487" s="107" t="s">
        <v>3357</v>
      </c>
      <c r="B487" s="108">
        <v>6.0</v>
      </c>
      <c r="C487" s="108">
        <v>3.0</v>
      </c>
      <c r="D487" s="108">
        <v>0.0</v>
      </c>
      <c r="E487" s="108">
        <v>0.0</v>
      </c>
      <c r="F487" s="108">
        <v>260393.0</v>
      </c>
      <c r="G487" s="108">
        <v>1007616.0</v>
      </c>
      <c r="H487" s="109">
        <f t="shared" ref="H487:I487" si="485">F487/1024/1024/1024</f>
        <v>0.0002425098792</v>
      </c>
      <c r="I487" s="109">
        <f t="shared" si="485"/>
        <v>0.0009384155273</v>
      </c>
      <c r="J487" s="110">
        <v>0.0</v>
      </c>
      <c r="K487" s="107"/>
      <c r="L487" s="103"/>
      <c r="N487" s="111"/>
      <c r="O487" s="111"/>
      <c r="P487" s="111"/>
      <c r="Q487" s="111"/>
      <c r="R487" s="111"/>
      <c r="S487" s="111"/>
      <c r="T487" s="111"/>
      <c r="U487" s="111"/>
      <c r="V487" s="111"/>
      <c r="W487" s="111"/>
      <c r="X487" s="111"/>
      <c r="Y487" s="111"/>
      <c r="Z487" s="111"/>
      <c r="AA487" s="111"/>
      <c r="AB487" s="111"/>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03"/>
      <c r="BW487" s="111"/>
      <c r="BX487" s="111"/>
      <c r="BY487" s="111"/>
      <c r="BZ487" s="111"/>
    </row>
    <row r="488">
      <c r="A488" s="107" t="s">
        <v>3358</v>
      </c>
      <c r="B488" s="108">
        <v>10.0</v>
      </c>
      <c r="C488" s="108">
        <v>173.0</v>
      </c>
      <c r="D488" s="108">
        <v>0.0</v>
      </c>
      <c r="E488" s="108">
        <v>0.0</v>
      </c>
      <c r="F488" s="108">
        <v>6.7942588E7</v>
      </c>
      <c r="G488" s="108">
        <v>9.3077504E7</v>
      </c>
      <c r="H488" s="109">
        <f t="shared" ref="H488:I488" si="486">F488/1024/1024/1024</f>
        <v>0.06327646598</v>
      </c>
      <c r="I488" s="109">
        <f t="shared" si="486"/>
        <v>0.08668518066</v>
      </c>
      <c r="J488" s="110">
        <v>0.0</v>
      </c>
      <c r="K488" s="107"/>
      <c r="L488" s="103"/>
      <c r="N488" s="111"/>
      <c r="O488" s="111"/>
      <c r="P488" s="111"/>
      <c r="Q488" s="111"/>
      <c r="R488" s="111"/>
      <c r="S488" s="111"/>
      <c r="T488" s="111"/>
      <c r="U488" s="111"/>
      <c r="V488" s="111"/>
      <c r="W488" s="111"/>
      <c r="X488" s="111"/>
      <c r="Y488" s="111"/>
      <c r="Z488" s="111"/>
      <c r="AA488" s="111"/>
      <c r="AB488" s="111"/>
      <c r="AC488" s="111"/>
      <c r="AD488" s="111"/>
      <c r="AE488" s="111"/>
      <c r="AF488" s="111"/>
      <c r="AG488" s="111"/>
      <c r="AH488" s="111"/>
      <c r="AI488" s="111"/>
      <c r="AJ488" s="111"/>
      <c r="AK488" s="111"/>
      <c r="AL488" s="111"/>
      <c r="AM488" s="111"/>
      <c r="AN488" s="111"/>
      <c r="AO488" s="111"/>
      <c r="AP488" s="111"/>
      <c r="AQ488" s="111"/>
      <c r="AR488" s="111"/>
      <c r="AS488" s="111"/>
      <c r="AT488" s="111"/>
      <c r="AU488" s="111"/>
      <c r="AV488" s="111"/>
      <c r="AW488" s="111"/>
      <c r="AX488" s="111"/>
      <c r="AY488" s="111"/>
      <c r="AZ488" s="111"/>
      <c r="BA488" s="111"/>
      <c r="BB488" s="111"/>
      <c r="BC488" s="111"/>
      <c r="BD488" s="111"/>
      <c r="BE488" s="111"/>
      <c r="BF488" s="111"/>
      <c r="BG488" s="111"/>
      <c r="BH488" s="111"/>
      <c r="BI488" s="111"/>
      <c r="BJ488" s="111"/>
      <c r="BK488" s="111"/>
      <c r="BL488" s="111"/>
      <c r="BM488" s="111"/>
      <c r="BN488" s="111"/>
      <c r="BO488" s="111"/>
      <c r="BP488" s="111"/>
      <c r="BQ488" s="111"/>
      <c r="BR488" s="111"/>
      <c r="BS488" s="111"/>
      <c r="BT488" s="103"/>
      <c r="BX488" s="111"/>
      <c r="BY488" s="111"/>
      <c r="BZ488" s="111"/>
    </row>
    <row r="489">
      <c r="A489" s="107" t="s">
        <v>3359</v>
      </c>
      <c r="B489" s="108">
        <v>3.0</v>
      </c>
      <c r="C489" s="108">
        <v>0.0</v>
      </c>
      <c r="D489" s="108">
        <v>0.0</v>
      </c>
      <c r="E489" s="108">
        <v>0.0</v>
      </c>
      <c r="F489" s="108">
        <v>67.0</v>
      </c>
      <c r="G489" s="108">
        <v>98304.0</v>
      </c>
      <c r="H489" s="109">
        <f t="shared" ref="H489:I489" si="487">F489/1024/1024/1024</f>
        <v>0.0000000623986125</v>
      </c>
      <c r="I489" s="109">
        <f t="shared" si="487"/>
        <v>0.00009155273438</v>
      </c>
      <c r="J489" s="110">
        <v>0.0</v>
      </c>
      <c r="K489" s="107"/>
      <c r="L489" s="103"/>
      <c r="N489" s="111"/>
      <c r="O489" s="111"/>
      <c r="P489" s="111"/>
      <c r="Q489" s="111"/>
      <c r="R489" s="111"/>
      <c r="S489" s="111"/>
      <c r="T489" s="111"/>
      <c r="U489" s="111"/>
      <c r="V489" s="111"/>
      <c r="W489" s="111"/>
      <c r="X489" s="111"/>
      <c r="Y489" s="111"/>
      <c r="Z489" s="111"/>
      <c r="AA489" s="111"/>
      <c r="AB489" s="111"/>
      <c r="AC489" s="111"/>
      <c r="AD489" s="111"/>
      <c r="AE489" s="111"/>
      <c r="AF489" s="111"/>
      <c r="AG489" s="111"/>
      <c r="AH489" s="111"/>
      <c r="AI489" s="111"/>
      <c r="AJ489" s="111"/>
      <c r="AK489" s="111"/>
      <c r="AL489" s="111"/>
      <c r="AM489" s="111"/>
      <c r="AN489" s="111"/>
      <c r="AO489" s="111"/>
      <c r="AP489" s="111"/>
      <c r="AQ489" s="111"/>
      <c r="AR489" s="111"/>
      <c r="AS489" s="111"/>
      <c r="AT489" s="111"/>
      <c r="AU489" s="111"/>
      <c r="AV489" s="111"/>
      <c r="AW489" s="111"/>
      <c r="AX489" s="111"/>
      <c r="AY489" s="111"/>
      <c r="AZ489" s="111"/>
      <c r="BA489" s="111"/>
      <c r="BB489" s="111"/>
      <c r="BC489" s="111"/>
      <c r="BD489" s="111"/>
      <c r="BE489" s="111"/>
      <c r="BF489" s="111"/>
      <c r="BG489" s="111"/>
      <c r="BH489" s="111"/>
      <c r="BI489" s="111"/>
      <c r="BJ489" s="111"/>
      <c r="BK489" s="111"/>
      <c r="BL489" s="111"/>
      <c r="BM489" s="111"/>
      <c r="BN489" s="111"/>
      <c r="BO489" s="111"/>
      <c r="BP489" s="111"/>
      <c r="BQ489" s="111"/>
      <c r="BR489" s="111"/>
      <c r="BS489" s="111"/>
      <c r="BT489" s="111"/>
      <c r="BU489" s="103"/>
    </row>
    <row r="490">
      <c r="A490" s="103"/>
      <c r="B490" s="103"/>
      <c r="C490" s="103"/>
      <c r="D490" s="103"/>
      <c r="E490" s="103"/>
      <c r="F490" s="103"/>
      <c r="G490" s="103"/>
      <c r="H490" s="112"/>
      <c r="I490" s="112"/>
      <c r="J490" s="103"/>
      <c r="K490" s="103"/>
      <c r="L490" s="103"/>
      <c r="N490" s="111"/>
      <c r="O490" s="111"/>
      <c r="P490" s="111"/>
      <c r="Q490" s="111"/>
      <c r="R490" s="111"/>
      <c r="S490" s="111"/>
      <c r="T490" s="111"/>
      <c r="U490" s="111"/>
      <c r="V490" s="111"/>
      <c r="W490" s="111"/>
      <c r="X490" s="111"/>
      <c r="Y490" s="111"/>
      <c r="Z490" s="111"/>
      <c r="AA490" s="111"/>
      <c r="AB490" s="111"/>
      <c r="AC490" s="111"/>
      <c r="AD490" s="111"/>
      <c r="AE490" s="111"/>
      <c r="AF490" s="111"/>
      <c r="AG490" s="111"/>
      <c r="AH490" s="111"/>
      <c r="AI490" s="111"/>
      <c r="AJ490" s="111"/>
      <c r="AK490" s="111"/>
      <c r="AL490" s="111"/>
      <c r="AM490" s="111"/>
      <c r="AN490" s="111"/>
      <c r="AO490" s="111"/>
      <c r="AP490" s="111"/>
      <c r="AQ490" s="111"/>
      <c r="AR490" s="111"/>
      <c r="AS490" s="111"/>
      <c r="AT490" s="111"/>
      <c r="AU490" s="111"/>
      <c r="AV490" s="111"/>
      <c r="AW490" s="111"/>
      <c r="AX490" s="111"/>
      <c r="AY490" s="111"/>
      <c r="AZ490" s="111"/>
      <c r="BA490" s="111"/>
      <c r="BB490" s="111"/>
      <c r="BC490" s="111"/>
      <c r="BD490" s="111"/>
      <c r="BE490" s="111"/>
      <c r="BF490" s="111"/>
      <c r="BG490" s="111"/>
      <c r="BH490" s="111"/>
      <c r="BI490" s="111"/>
      <c r="BJ490" s="111"/>
      <c r="BK490" s="111"/>
      <c r="BL490" s="111"/>
      <c r="BM490" s="111"/>
      <c r="BN490" s="111"/>
      <c r="BO490" s="111"/>
      <c r="BP490" s="111"/>
      <c r="BQ490" s="111"/>
      <c r="BR490" s="111"/>
      <c r="BS490" s="111"/>
      <c r="BT490" s="111"/>
      <c r="BU490" s="103"/>
    </row>
    <row r="491">
      <c r="A491" s="103"/>
      <c r="B491" s="103"/>
      <c r="C491" s="103"/>
      <c r="D491" s="103"/>
      <c r="E491" s="103"/>
      <c r="F491" s="103"/>
      <c r="G491" s="103"/>
      <c r="H491" s="112"/>
      <c r="I491" s="112"/>
      <c r="J491" s="103"/>
      <c r="K491" s="103"/>
      <c r="L491" s="103"/>
      <c r="N491" s="111"/>
      <c r="O491" s="111"/>
      <c r="P491" s="111"/>
      <c r="Q491" s="111"/>
      <c r="R491" s="111"/>
      <c r="S491" s="111"/>
      <c r="T491" s="111"/>
      <c r="U491" s="111"/>
      <c r="V491" s="111"/>
      <c r="W491" s="111"/>
      <c r="X491" s="111"/>
      <c r="Y491" s="111"/>
      <c r="Z491" s="111"/>
      <c r="AA491" s="111"/>
      <c r="AB491" s="111"/>
      <c r="AC491" s="111"/>
      <c r="AD491" s="111"/>
      <c r="AE491" s="111"/>
      <c r="AF491" s="111"/>
      <c r="AG491" s="111"/>
      <c r="AH491" s="111"/>
      <c r="AI491" s="111"/>
      <c r="AJ491" s="111"/>
      <c r="AK491" s="111"/>
      <c r="AL491" s="111"/>
      <c r="AM491" s="111"/>
      <c r="AN491" s="111"/>
      <c r="AO491" s="111"/>
      <c r="AP491" s="111"/>
      <c r="AQ491" s="111"/>
      <c r="AR491" s="111"/>
      <c r="AS491" s="111"/>
      <c r="AT491" s="111"/>
      <c r="AU491" s="111"/>
      <c r="AV491" s="111"/>
      <c r="AW491" s="111"/>
      <c r="AX491" s="111"/>
      <c r="AY491" s="111"/>
      <c r="AZ491" s="111"/>
      <c r="BA491" s="111"/>
      <c r="BB491" s="111"/>
      <c r="BC491" s="111"/>
      <c r="BD491" s="111"/>
      <c r="BE491" s="111"/>
      <c r="BF491" s="111"/>
      <c r="BG491" s="111"/>
      <c r="BH491" s="111"/>
      <c r="BI491" s="111"/>
      <c r="BJ491" s="111"/>
      <c r="BK491" s="111"/>
      <c r="BL491" s="111"/>
      <c r="BM491" s="111"/>
      <c r="BN491" s="111"/>
      <c r="BO491" s="111"/>
      <c r="BP491" s="111"/>
      <c r="BQ491" s="111"/>
      <c r="BR491" s="111"/>
      <c r="BS491" s="111"/>
      <c r="BT491" s="111"/>
      <c r="BU491" s="103"/>
    </row>
    <row r="492">
      <c r="A492" s="103"/>
      <c r="B492" s="103"/>
      <c r="C492" s="103"/>
      <c r="D492" s="103"/>
      <c r="E492" s="103"/>
      <c r="F492" s="103"/>
      <c r="G492" s="103"/>
      <c r="H492" s="112"/>
      <c r="I492" s="112"/>
      <c r="J492" s="103"/>
      <c r="K492" s="103"/>
      <c r="L492" s="103"/>
      <c r="N492" s="111"/>
      <c r="O492" s="111"/>
      <c r="P492" s="111"/>
      <c r="Q492" s="111"/>
      <c r="R492" s="111"/>
      <c r="S492" s="111"/>
      <c r="T492" s="111"/>
      <c r="U492" s="111"/>
      <c r="V492" s="111"/>
      <c r="W492" s="111"/>
      <c r="X492" s="111"/>
      <c r="Y492" s="111"/>
      <c r="Z492" s="111"/>
      <c r="AA492" s="111"/>
      <c r="AB492" s="111"/>
      <c r="AC492" s="111"/>
      <c r="AD492" s="111"/>
      <c r="AE492" s="111"/>
      <c r="AF492" s="111"/>
      <c r="AG492" s="111"/>
      <c r="AH492" s="111"/>
      <c r="AI492" s="111"/>
      <c r="AJ492" s="111"/>
      <c r="AK492" s="111"/>
      <c r="AL492" s="111"/>
      <c r="AM492" s="111"/>
      <c r="AN492" s="111"/>
      <c r="AO492" s="111"/>
      <c r="AP492" s="111"/>
      <c r="AQ492" s="111"/>
      <c r="AR492" s="111"/>
      <c r="AS492" s="111"/>
      <c r="AT492" s="111"/>
      <c r="AU492" s="111"/>
      <c r="AV492" s="111"/>
      <c r="AW492" s="111"/>
      <c r="AX492" s="111"/>
      <c r="AY492" s="111"/>
      <c r="AZ492" s="111"/>
      <c r="BA492" s="111"/>
      <c r="BB492" s="111"/>
      <c r="BC492" s="111"/>
      <c r="BD492" s="111"/>
      <c r="BE492" s="111"/>
      <c r="BF492" s="111"/>
      <c r="BG492" s="111"/>
      <c r="BH492" s="111"/>
      <c r="BI492" s="111"/>
      <c r="BJ492" s="111"/>
      <c r="BK492" s="111"/>
      <c r="BL492" s="111"/>
      <c r="BM492" s="111"/>
      <c r="BN492" s="111"/>
      <c r="BO492" s="111"/>
      <c r="BP492" s="111"/>
      <c r="BQ492" s="111"/>
      <c r="BR492" s="111"/>
      <c r="BS492" s="111"/>
      <c r="BT492" s="111"/>
      <c r="BU492" s="103"/>
    </row>
    <row r="493">
      <c r="A493" s="103"/>
      <c r="B493" s="103"/>
      <c r="C493" s="103"/>
      <c r="D493" s="103"/>
      <c r="E493" s="103"/>
      <c r="F493" s="103"/>
      <c r="G493" s="103"/>
      <c r="H493" s="112"/>
      <c r="I493" s="112"/>
      <c r="J493" s="103"/>
      <c r="K493" s="103"/>
      <c r="L493" s="103"/>
      <c r="N493" s="111"/>
      <c r="O493" s="111"/>
      <c r="P493" s="111"/>
      <c r="Q493" s="111"/>
      <c r="R493" s="111"/>
      <c r="S493" s="111"/>
      <c r="T493" s="111"/>
      <c r="U493" s="111"/>
      <c r="V493" s="111"/>
      <c r="W493" s="111"/>
      <c r="X493" s="111"/>
      <c r="Y493" s="111"/>
      <c r="Z493" s="111"/>
      <c r="AA493" s="111"/>
      <c r="AB493" s="111"/>
      <c r="AC493" s="111"/>
      <c r="AD493" s="111"/>
      <c r="AE493" s="111"/>
      <c r="AF493" s="111"/>
      <c r="AG493" s="111"/>
      <c r="AH493" s="111"/>
      <c r="AI493" s="111"/>
      <c r="AJ493" s="111"/>
      <c r="AK493" s="111"/>
      <c r="AL493" s="111"/>
      <c r="AM493" s="111"/>
      <c r="AN493" s="111"/>
      <c r="AO493" s="111"/>
      <c r="AP493" s="111"/>
      <c r="AQ493" s="111"/>
      <c r="AR493" s="111"/>
      <c r="AS493" s="111"/>
      <c r="AT493" s="111"/>
      <c r="AU493" s="111"/>
      <c r="AV493" s="111"/>
      <c r="AW493" s="111"/>
      <c r="AX493" s="111"/>
      <c r="AY493" s="111"/>
      <c r="AZ493" s="111"/>
      <c r="BA493" s="111"/>
      <c r="BB493" s="111"/>
      <c r="BC493" s="111"/>
      <c r="BD493" s="111"/>
      <c r="BE493" s="111"/>
      <c r="BF493" s="111"/>
      <c r="BG493" s="111"/>
      <c r="BH493" s="111"/>
      <c r="BI493" s="111"/>
      <c r="BJ493" s="111"/>
      <c r="BK493" s="111"/>
      <c r="BL493" s="111"/>
      <c r="BM493" s="111"/>
      <c r="BN493" s="111"/>
      <c r="BO493" s="111"/>
      <c r="BP493" s="111"/>
      <c r="BQ493" s="111"/>
      <c r="BR493" s="111"/>
      <c r="BS493" s="111"/>
      <c r="BT493" s="111"/>
      <c r="BU493" s="103"/>
      <c r="BY493" s="111"/>
      <c r="BZ493" s="111"/>
    </row>
    <row r="494">
      <c r="A494" s="103"/>
      <c r="B494" s="103"/>
      <c r="C494" s="103"/>
      <c r="D494" s="103"/>
      <c r="E494" s="103"/>
      <c r="F494" s="103"/>
      <c r="G494" s="103"/>
      <c r="H494" s="112"/>
      <c r="I494" s="112"/>
      <c r="J494" s="103"/>
      <c r="K494" s="103"/>
      <c r="L494" s="103"/>
      <c r="N494" s="111"/>
      <c r="O494" s="111"/>
      <c r="P494" s="111"/>
      <c r="Q494" s="111"/>
      <c r="R494" s="111"/>
      <c r="S494" s="111"/>
      <c r="T494" s="111"/>
      <c r="U494" s="111"/>
      <c r="V494" s="111"/>
      <c r="W494" s="111"/>
      <c r="X494" s="111"/>
      <c r="Y494" s="111"/>
      <c r="Z494" s="111"/>
      <c r="AA494" s="111"/>
      <c r="AB494" s="111"/>
      <c r="AC494" s="111"/>
      <c r="AD494" s="111"/>
      <c r="AE494" s="111"/>
      <c r="AF494" s="111"/>
      <c r="AG494" s="111"/>
      <c r="AH494" s="111"/>
      <c r="AI494" s="111"/>
      <c r="AJ494" s="111"/>
      <c r="AK494" s="111"/>
      <c r="AL494" s="111"/>
      <c r="AM494" s="111"/>
      <c r="AN494" s="111"/>
      <c r="AO494" s="111"/>
      <c r="AP494" s="111"/>
      <c r="AQ494" s="111"/>
      <c r="AR494" s="111"/>
      <c r="AS494" s="111"/>
      <c r="AT494" s="111"/>
      <c r="AU494" s="111"/>
      <c r="AV494" s="111"/>
      <c r="AW494" s="111"/>
      <c r="AX494" s="111"/>
      <c r="AY494" s="111"/>
      <c r="AZ494" s="111"/>
      <c r="BA494" s="111"/>
      <c r="BB494" s="111"/>
      <c r="BC494" s="111"/>
      <c r="BD494" s="111"/>
      <c r="BE494" s="111"/>
      <c r="BF494" s="111"/>
      <c r="BG494" s="111"/>
      <c r="BH494" s="111"/>
      <c r="BI494" s="111"/>
      <c r="BJ494" s="111"/>
      <c r="BK494" s="111"/>
      <c r="BL494" s="111"/>
      <c r="BM494" s="111"/>
      <c r="BN494" s="111"/>
      <c r="BO494" s="111"/>
      <c r="BP494" s="111"/>
      <c r="BQ494" s="111"/>
      <c r="BR494" s="111"/>
      <c r="BS494" s="111"/>
      <c r="BT494" s="111"/>
      <c r="BU494" s="103"/>
    </row>
    <row r="495">
      <c r="A495" s="103"/>
      <c r="B495" s="103"/>
      <c r="C495" s="103"/>
      <c r="D495" s="103"/>
      <c r="E495" s="103"/>
      <c r="F495" s="103"/>
      <c r="G495" s="103"/>
      <c r="H495" s="112"/>
      <c r="I495" s="112"/>
      <c r="J495" s="103"/>
      <c r="K495" s="103"/>
      <c r="L495" s="103"/>
      <c r="N495" s="111"/>
      <c r="O495" s="111"/>
      <c r="P495" s="111"/>
      <c r="Q495" s="111"/>
      <c r="R495" s="111"/>
      <c r="S495" s="111"/>
      <c r="T495" s="111"/>
      <c r="U495" s="111"/>
      <c r="V495" s="111"/>
      <c r="W495" s="111"/>
      <c r="X495" s="111"/>
      <c r="Y495" s="111"/>
      <c r="Z495" s="111"/>
      <c r="AA495" s="111"/>
      <c r="AB495" s="111"/>
      <c r="AC495" s="111"/>
      <c r="AD495" s="111"/>
      <c r="AE495" s="111"/>
      <c r="AF495" s="111"/>
      <c r="AG495" s="111"/>
      <c r="AH495" s="111"/>
      <c r="AI495" s="111"/>
      <c r="AJ495" s="111"/>
      <c r="AK495" s="111"/>
      <c r="AL495" s="111"/>
      <c r="AM495" s="111"/>
      <c r="AN495" s="111"/>
      <c r="AO495" s="111"/>
      <c r="AP495" s="111"/>
      <c r="AQ495" s="111"/>
      <c r="AR495" s="111"/>
      <c r="AS495" s="111"/>
      <c r="AT495" s="111"/>
      <c r="AU495" s="111"/>
      <c r="AV495" s="111"/>
      <c r="AW495" s="111"/>
      <c r="AX495" s="111"/>
      <c r="AY495" s="111"/>
      <c r="AZ495" s="111"/>
      <c r="BA495" s="111"/>
      <c r="BB495" s="111"/>
      <c r="BC495" s="111"/>
      <c r="BD495" s="111"/>
      <c r="BE495" s="111"/>
      <c r="BF495" s="111"/>
      <c r="BG495" s="111"/>
      <c r="BH495" s="111"/>
      <c r="BI495" s="111"/>
      <c r="BJ495" s="111"/>
      <c r="BK495" s="111"/>
      <c r="BL495" s="111"/>
      <c r="BM495" s="111"/>
      <c r="BN495" s="111"/>
      <c r="BO495" s="111"/>
      <c r="BP495" s="111"/>
      <c r="BQ495" s="111"/>
      <c r="BR495" s="111"/>
      <c r="BS495" s="111"/>
      <c r="BT495" s="111"/>
      <c r="BU495" s="103"/>
      <c r="BZ495" s="111"/>
    </row>
    <row r="496">
      <c r="A496" s="103"/>
      <c r="B496" s="103"/>
      <c r="C496" s="103"/>
      <c r="D496" s="103"/>
      <c r="E496" s="103"/>
      <c r="F496" s="103"/>
      <c r="G496" s="103"/>
      <c r="H496" s="112"/>
      <c r="I496" s="112"/>
      <c r="J496" s="103"/>
      <c r="K496" s="103"/>
      <c r="L496" s="103"/>
      <c r="N496" s="111"/>
      <c r="O496" s="111"/>
      <c r="P496" s="111"/>
      <c r="Q496" s="111"/>
      <c r="R496" s="111"/>
      <c r="S496" s="111"/>
      <c r="T496" s="111"/>
      <c r="U496" s="111"/>
      <c r="V496" s="111"/>
      <c r="W496" s="111"/>
      <c r="X496" s="111"/>
      <c r="Y496" s="111"/>
      <c r="Z496" s="111"/>
      <c r="AA496" s="111"/>
      <c r="AB496" s="111"/>
      <c r="AC496" s="111"/>
      <c r="AD496" s="111"/>
      <c r="AE496" s="111"/>
      <c r="AF496" s="111"/>
      <c r="AG496" s="111"/>
      <c r="AH496" s="111"/>
      <c r="AI496" s="111"/>
      <c r="AJ496" s="111"/>
      <c r="AK496" s="111"/>
      <c r="AL496" s="111"/>
      <c r="AM496" s="111"/>
      <c r="AN496" s="111"/>
      <c r="AO496" s="111"/>
      <c r="AP496" s="111"/>
      <c r="AQ496" s="111"/>
      <c r="AR496" s="111"/>
      <c r="AS496" s="111"/>
      <c r="AT496" s="111"/>
      <c r="AU496" s="111"/>
      <c r="AV496" s="111"/>
      <c r="AW496" s="111"/>
      <c r="AX496" s="111"/>
      <c r="AY496" s="111"/>
      <c r="AZ496" s="111"/>
      <c r="BA496" s="111"/>
      <c r="BB496" s="111"/>
      <c r="BC496" s="111"/>
      <c r="BD496" s="111"/>
      <c r="BE496" s="111"/>
      <c r="BF496" s="111"/>
      <c r="BG496" s="111"/>
      <c r="BH496" s="111"/>
      <c r="BI496" s="111"/>
      <c r="BJ496" s="111"/>
      <c r="BK496" s="111"/>
      <c r="BL496" s="111"/>
      <c r="BM496" s="111"/>
      <c r="BN496" s="111"/>
      <c r="BO496" s="111"/>
      <c r="BP496" s="111"/>
      <c r="BQ496" s="111"/>
      <c r="BR496" s="111"/>
      <c r="BS496" s="111"/>
      <c r="BT496" s="111"/>
      <c r="BU496" s="103"/>
      <c r="BZ496" s="111"/>
    </row>
    <row r="497">
      <c r="A497" s="103"/>
      <c r="B497" s="103"/>
      <c r="C497" s="103"/>
      <c r="D497" s="103"/>
      <c r="E497" s="103"/>
      <c r="F497" s="103"/>
      <c r="G497" s="103"/>
      <c r="H497" s="112"/>
      <c r="I497" s="112"/>
      <c r="J497" s="103"/>
      <c r="K497" s="103"/>
      <c r="L497" s="103"/>
      <c r="N497" s="111"/>
      <c r="O497" s="111"/>
      <c r="P497" s="111"/>
      <c r="Q497" s="111"/>
      <c r="R497" s="111"/>
      <c r="S497" s="111"/>
      <c r="T497" s="111"/>
      <c r="U497" s="111"/>
      <c r="V497" s="111"/>
      <c r="W497" s="111"/>
      <c r="X497" s="111"/>
      <c r="Y497" s="111"/>
      <c r="Z497" s="111"/>
      <c r="AA497" s="111"/>
      <c r="AB497" s="111"/>
      <c r="AC497" s="111"/>
      <c r="AD497" s="111"/>
      <c r="AE497" s="111"/>
      <c r="AF497" s="111"/>
      <c r="AG497" s="111"/>
      <c r="AH497" s="111"/>
      <c r="AI497" s="111"/>
      <c r="AJ497" s="111"/>
      <c r="AK497" s="111"/>
      <c r="AL497" s="111"/>
      <c r="AM497" s="111"/>
      <c r="AN497" s="111"/>
      <c r="AO497" s="111"/>
      <c r="AP497" s="111"/>
      <c r="AQ497" s="111"/>
      <c r="AR497" s="111"/>
      <c r="AS497" s="111"/>
      <c r="AT497" s="111"/>
      <c r="AU497" s="111"/>
      <c r="AV497" s="111"/>
      <c r="AW497" s="111"/>
      <c r="AX497" s="111"/>
      <c r="AY497" s="111"/>
      <c r="AZ497" s="111"/>
      <c r="BA497" s="111"/>
      <c r="BB497" s="111"/>
      <c r="BC497" s="111"/>
      <c r="BD497" s="111"/>
      <c r="BE497" s="111"/>
      <c r="BF497" s="111"/>
      <c r="BG497" s="111"/>
      <c r="BH497" s="111"/>
      <c r="BI497" s="111"/>
      <c r="BJ497" s="111"/>
      <c r="BK497" s="111"/>
      <c r="BL497" s="111"/>
      <c r="BM497" s="111"/>
      <c r="BN497" s="111"/>
      <c r="BO497" s="111"/>
      <c r="BP497" s="111"/>
      <c r="BQ497" s="111"/>
      <c r="BR497" s="111"/>
      <c r="BS497" s="111"/>
      <c r="BT497" s="111"/>
      <c r="BU497" s="103"/>
    </row>
    <row r="498">
      <c r="A498" s="103"/>
      <c r="B498" s="103"/>
      <c r="C498" s="103"/>
      <c r="D498" s="103"/>
      <c r="E498" s="103"/>
      <c r="F498" s="103"/>
      <c r="G498" s="103"/>
      <c r="H498" s="112"/>
      <c r="I498" s="112"/>
      <c r="J498" s="103"/>
      <c r="K498" s="103"/>
      <c r="L498" s="103"/>
      <c r="N498" s="111"/>
      <c r="O498" s="111"/>
      <c r="P498" s="111"/>
      <c r="Q498" s="111"/>
      <c r="R498" s="111"/>
      <c r="S498" s="111"/>
      <c r="T498" s="111"/>
      <c r="U498" s="111"/>
      <c r="V498" s="111"/>
      <c r="W498" s="111"/>
      <c r="X498" s="111"/>
      <c r="Y498" s="111"/>
      <c r="Z498" s="111"/>
      <c r="AA498" s="111"/>
      <c r="AB498" s="111"/>
      <c r="AC498" s="111"/>
      <c r="AD498" s="111"/>
      <c r="AE498" s="111"/>
      <c r="AF498" s="111"/>
      <c r="AG498" s="111"/>
      <c r="AH498" s="111"/>
      <c r="AI498" s="111"/>
      <c r="AJ498" s="111"/>
      <c r="AK498" s="111"/>
      <c r="AL498" s="111"/>
      <c r="AM498" s="111"/>
      <c r="AN498" s="111"/>
      <c r="AO498" s="111"/>
      <c r="AP498" s="111"/>
      <c r="AQ498" s="111"/>
      <c r="AR498" s="111"/>
      <c r="AS498" s="111"/>
      <c r="AT498" s="111"/>
      <c r="AU498" s="111"/>
      <c r="AV498" s="111"/>
      <c r="AW498" s="111"/>
      <c r="AX498" s="111"/>
      <c r="AY498" s="111"/>
      <c r="AZ498" s="111"/>
      <c r="BA498" s="111"/>
      <c r="BB498" s="111"/>
      <c r="BC498" s="111"/>
      <c r="BD498" s="111"/>
      <c r="BE498" s="111"/>
      <c r="BF498" s="111"/>
      <c r="BG498" s="111"/>
      <c r="BH498" s="111"/>
      <c r="BI498" s="111"/>
      <c r="BJ498" s="111"/>
      <c r="BK498" s="111"/>
      <c r="BL498" s="111"/>
      <c r="BM498" s="111"/>
      <c r="BN498" s="111"/>
      <c r="BO498" s="111"/>
      <c r="BP498" s="111"/>
      <c r="BQ498" s="111"/>
      <c r="BR498" s="111"/>
      <c r="BS498" s="111"/>
      <c r="BT498" s="111"/>
      <c r="BU498" s="103"/>
      <c r="BY498" s="111"/>
      <c r="BZ498" s="111"/>
    </row>
    <row r="499">
      <c r="A499" s="103"/>
      <c r="B499" s="103"/>
      <c r="C499" s="103"/>
      <c r="D499" s="103"/>
      <c r="E499" s="103"/>
      <c r="F499" s="103"/>
      <c r="G499" s="103"/>
      <c r="H499" s="112"/>
      <c r="I499" s="112"/>
      <c r="J499" s="103"/>
      <c r="K499" s="103"/>
      <c r="L499" s="103"/>
      <c r="N499" s="111"/>
      <c r="O499" s="111"/>
      <c r="P499" s="111"/>
      <c r="Q499" s="111"/>
      <c r="R499" s="111"/>
      <c r="S499" s="111"/>
      <c r="T499" s="111"/>
      <c r="U499" s="111"/>
      <c r="V499" s="111"/>
      <c r="W499" s="111"/>
      <c r="X499" s="111"/>
      <c r="Y499" s="111"/>
      <c r="Z499" s="111"/>
      <c r="AA499" s="111"/>
      <c r="AB499" s="111"/>
      <c r="AC499" s="111"/>
      <c r="AD499" s="111"/>
      <c r="AE499" s="111"/>
      <c r="AF499" s="111"/>
      <c r="AG499" s="111"/>
      <c r="AH499" s="111"/>
      <c r="AI499" s="111"/>
      <c r="AJ499" s="111"/>
      <c r="AK499" s="111"/>
      <c r="AL499" s="111"/>
      <c r="AM499" s="111"/>
      <c r="AN499" s="111"/>
      <c r="AO499" s="111"/>
      <c r="AP499" s="111"/>
      <c r="AQ499" s="111"/>
      <c r="AR499" s="111"/>
      <c r="AS499" s="111"/>
      <c r="AT499" s="111"/>
      <c r="AU499" s="111"/>
      <c r="AV499" s="111"/>
      <c r="AW499" s="111"/>
      <c r="AX499" s="111"/>
      <c r="AY499" s="111"/>
      <c r="AZ499" s="111"/>
      <c r="BA499" s="111"/>
      <c r="BB499" s="111"/>
      <c r="BC499" s="111"/>
      <c r="BD499" s="111"/>
      <c r="BE499" s="111"/>
      <c r="BF499" s="111"/>
      <c r="BG499" s="111"/>
      <c r="BH499" s="111"/>
      <c r="BI499" s="111"/>
      <c r="BJ499" s="111"/>
      <c r="BK499" s="111"/>
      <c r="BL499" s="111"/>
      <c r="BM499" s="111"/>
      <c r="BN499" s="111"/>
      <c r="BO499" s="111"/>
      <c r="BP499" s="111"/>
      <c r="BQ499" s="111"/>
      <c r="BR499" s="111"/>
      <c r="BS499" s="111"/>
      <c r="BT499" s="111"/>
      <c r="BU499" s="103"/>
    </row>
    <row r="500">
      <c r="A500" s="103"/>
      <c r="B500" s="103"/>
      <c r="C500" s="103"/>
      <c r="D500" s="103"/>
      <c r="E500" s="103"/>
      <c r="F500" s="103"/>
      <c r="G500" s="103"/>
      <c r="H500" s="112"/>
      <c r="I500" s="112"/>
      <c r="J500" s="103"/>
      <c r="K500" s="103"/>
      <c r="L500" s="103"/>
      <c r="N500" s="111"/>
      <c r="O500" s="111"/>
      <c r="P500" s="111"/>
      <c r="Q500" s="111"/>
      <c r="R500" s="111"/>
      <c r="S500" s="111"/>
      <c r="T500" s="111"/>
      <c r="U500" s="111"/>
      <c r="V500" s="111"/>
      <c r="W500" s="111"/>
      <c r="X500" s="111"/>
      <c r="Y500" s="111"/>
      <c r="Z500" s="111"/>
      <c r="AA500" s="111"/>
      <c r="AB500" s="111"/>
      <c r="AC500" s="111"/>
      <c r="AD500" s="111"/>
      <c r="AE500" s="111"/>
      <c r="AF500" s="111"/>
      <c r="AG500" s="111"/>
      <c r="AH500" s="111"/>
      <c r="AI500" s="111"/>
      <c r="AJ500" s="111"/>
      <c r="AK500" s="111"/>
      <c r="AL500" s="111"/>
      <c r="AM500" s="111"/>
      <c r="AN500" s="111"/>
      <c r="AO500" s="111"/>
      <c r="AP500" s="111"/>
      <c r="AQ500" s="111"/>
      <c r="AR500" s="111"/>
      <c r="AS500" s="111"/>
      <c r="AT500" s="111"/>
      <c r="AU500" s="111"/>
      <c r="AV500" s="111"/>
      <c r="AW500" s="111"/>
      <c r="AX500" s="111"/>
      <c r="AY500" s="111"/>
      <c r="AZ500" s="111"/>
      <c r="BA500" s="111"/>
      <c r="BB500" s="111"/>
      <c r="BC500" s="111"/>
      <c r="BD500" s="111"/>
      <c r="BE500" s="111"/>
      <c r="BF500" s="111"/>
      <c r="BG500" s="111"/>
      <c r="BH500" s="111"/>
      <c r="BI500" s="111"/>
      <c r="BJ500" s="111"/>
      <c r="BK500" s="111"/>
      <c r="BL500" s="111"/>
      <c r="BM500" s="111"/>
      <c r="BN500" s="111"/>
      <c r="BO500" s="111"/>
      <c r="BP500" s="111"/>
      <c r="BQ500" s="111"/>
      <c r="BR500" s="111"/>
      <c r="BS500" s="111"/>
      <c r="BT500" s="111"/>
      <c r="BU500" s="103"/>
      <c r="BZ500" s="111"/>
    </row>
    <row r="501">
      <c r="A501" s="103"/>
      <c r="B501" s="103"/>
      <c r="C501" s="103"/>
      <c r="D501" s="103"/>
      <c r="E501" s="103"/>
      <c r="F501" s="103"/>
      <c r="G501" s="103"/>
      <c r="H501" s="112"/>
      <c r="I501" s="112"/>
      <c r="J501" s="103"/>
      <c r="K501" s="103"/>
      <c r="L501" s="103"/>
      <c r="N501" s="111"/>
      <c r="O501" s="111"/>
      <c r="P501" s="111"/>
      <c r="Q501" s="111"/>
      <c r="R501" s="111"/>
      <c r="S501" s="111"/>
      <c r="T501" s="111"/>
      <c r="U501" s="111"/>
      <c r="V501" s="111"/>
      <c r="W501" s="111"/>
      <c r="X501" s="111"/>
      <c r="Y501" s="111"/>
      <c r="Z501" s="111"/>
      <c r="AA501" s="111"/>
      <c r="AB501" s="111"/>
      <c r="AC501" s="111"/>
      <c r="AD501" s="111"/>
      <c r="AE501" s="111"/>
      <c r="AF501" s="111"/>
      <c r="AG501" s="111"/>
      <c r="AH501" s="111"/>
      <c r="AI501" s="111"/>
      <c r="AJ501" s="111"/>
      <c r="AK501" s="111"/>
      <c r="AL501" s="111"/>
      <c r="AM501" s="111"/>
      <c r="AN501" s="111"/>
      <c r="AO501" s="111"/>
      <c r="AP501" s="111"/>
      <c r="AQ501" s="111"/>
      <c r="AR501" s="111"/>
      <c r="AS501" s="111"/>
      <c r="AT501" s="111"/>
      <c r="AU501" s="111"/>
      <c r="AV501" s="111"/>
      <c r="AW501" s="111"/>
      <c r="AX501" s="111"/>
      <c r="AY501" s="111"/>
      <c r="AZ501" s="111"/>
      <c r="BA501" s="111"/>
      <c r="BB501" s="111"/>
      <c r="BC501" s="111"/>
      <c r="BD501" s="111"/>
      <c r="BE501" s="111"/>
      <c r="BF501" s="111"/>
      <c r="BG501" s="111"/>
      <c r="BH501" s="111"/>
      <c r="BI501" s="111"/>
      <c r="BJ501" s="111"/>
      <c r="BK501" s="111"/>
      <c r="BL501" s="111"/>
      <c r="BM501" s="111"/>
      <c r="BN501" s="111"/>
      <c r="BO501" s="111"/>
      <c r="BP501" s="111"/>
      <c r="BQ501" s="111"/>
      <c r="BR501" s="111"/>
      <c r="BS501" s="111"/>
      <c r="BT501" s="111"/>
      <c r="BU501" s="103"/>
    </row>
    <row r="502">
      <c r="A502" s="103"/>
      <c r="B502" s="103"/>
      <c r="C502" s="103"/>
      <c r="D502" s="103"/>
      <c r="E502" s="103"/>
      <c r="F502" s="103"/>
      <c r="G502" s="103"/>
      <c r="H502" s="112"/>
      <c r="I502" s="112"/>
      <c r="J502" s="103"/>
      <c r="K502" s="103"/>
      <c r="L502" s="103"/>
      <c r="N502" s="111"/>
      <c r="O502" s="111"/>
      <c r="P502" s="111"/>
      <c r="Q502" s="111"/>
      <c r="R502" s="111"/>
      <c r="S502" s="111"/>
      <c r="T502" s="111"/>
      <c r="U502" s="111"/>
      <c r="V502" s="111"/>
      <c r="W502" s="111"/>
      <c r="X502" s="111"/>
      <c r="Y502" s="111"/>
      <c r="Z502" s="111"/>
      <c r="AA502" s="111"/>
      <c r="AB502" s="111"/>
      <c r="AC502" s="111"/>
      <c r="AD502" s="111"/>
      <c r="AE502" s="111"/>
      <c r="AF502" s="111"/>
      <c r="AG502" s="111"/>
      <c r="AH502" s="111"/>
      <c r="AI502" s="111"/>
      <c r="AJ502" s="111"/>
      <c r="AK502" s="111"/>
      <c r="AL502" s="111"/>
      <c r="AM502" s="111"/>
      <c r="AN502" s="111"/>
      <c r="AO502" s="111"/>
      <c r="AP502" s="111"/>
      <c r="AQ502" s="111"/>
      <c r="AR502" s="111"/>
      <c r="AS502" s="111"/>
      <c r="AT502" s="111"/>
      <c r="AU502" s="111"/>
      <c r="AV502" s="111"/>
      <c r="AW502" s="111"/>
      <c r="AX502" s="111"/>
      <c r="AY502" s="111"/>
      <c r="AZ502" s="111"/>
      <c r="BA502" s="111"/>
      <c r="BB502" s="111"/>
      <c r="BC502" s="111"/>
      <c r="BD502" s="111"/>
      <c r="BE502" s="111"/>
      <c r="BF502" s="111"/>
      <c r="BG502" s="111"/>
      <c r="BH502" s="111"/>
      <c r="BI502" s="111"/>
      <c r="BJ502" s="111"/>
      <c r="BK502" s="111"/>
      <c r="BL502" s="111"/>
      <c r="BM502" s="111"/>
      <c r="BN502" s="111"/>
      <c r="BO502" s="111"/>
      <c r="BP502" s="111"/>
      <c r="BQ502" s="111"/>
      <c r="BR502" s="111"/>
      <c r="BS502" s="111"/>
      <c r="BT502" s="111"/>
      <c r="BU502" s="103"/>
      <c r="BZ502" s="111"/>
    </row>
    <row r="503">
      <c r="A503" s="103"/>
      <c r="B503" s="103"/>
      <c r="C503" s="103"/>
      <c r="D503" s="103"/>
      <c r="E503" s="103"/>
      <c r="F503" s="103"/>
      <c r="G503" s="103"/>
      <c r="H503" s="112"/>
      <c r="I503" s="112"/>
      <c r="J503" s="103"/>
      <c r="K503" s="103"/>
      <c r="L503" s="103"/>
      <c r="N503" s="111"/>
      <c r="O503" s="111"/>
      <c r="P503" s="111"/>
      <c r="Q503" s="111"/>
      <c r="R503" s="111"/>
      <c r="S503" s="111"/>
      <c r="T503" s="111"/>
      <c r="U503" s="111"/>
      <c r="V503" s="111"/>
      <c r="W503" s="111"/>
      <c r="X503" s="111"/>
      <c r="Y503" s="111"/>
      <c r="Z503" s="111"/>
      <c r="AA503" s="111"/>
      <c r="AB503" s="111"/>
      <c r="AC503" s="111"/>
      <c r="AD503" s="111"/>
      <c r="AE503" s="111"/>
      <c r="AF503" s="111"/>
      <c r="AG503" s="111"/>
      <c r="AH503" s="111"/>
      <c r="AI503" s="111"/>
      <c r="AJ503" s="111"/>
      <c r="AK503" s="111"/>
      <c r="AL503" s="111"/>
      <c r="AM503" s="111"/>
      <c r="AN503" s="111"/>
      <c r="AO503" s="111"/>
      <c r="AP503" s="111"/>
      <c r="AQ503" s="111"/>
      <c r="AR503" s="111"/>
      <c r="AS503" s="111"/>
      <c r="AT503" s="111"/>
      <c r="AU503" s="111"/>
      <c r="AV503" s="111"/>
      <c r="AW503" s="111"/>
      <c r="AX503" s="111"/>
      <c r="AY503" s="111"/>
      <c r="AZ503" s="111"/>
      <c r="BA503" s="111"/>
      <c r="BB503" s="111"/>
      <c r="BC503" s="111"/>
      <c r="BD503" s="111"/>
      <c r="BE503" s="111"/>
      <c r="BF503" s="111"/>
      <c r="BG503" s="111"/>
      <c r="BH503" s="111"/>
      <c r="BI503" s="111"/>
      <c r="BJ503" s="111"/>
      <c r="BK503" s="111"/>
      <c r="BL503" s="111"/>
      <c r="BM503" s="111"/>
      <c r="BN503" s="111"/>
      <c r="BO503" s="111"/>
      <c r="BP503" s="111"/>
      <c r="BQ503" s="111"/>
      <c r="BR503" s="111"/>
      <c r="BS503" s="111"/>
      <c r="BT503" s="111"/>
      <c r="BU503" s="103"/>
    </row>
    <row r="504">
      <c r="A504" s="103"/>
      <c r="B504" s="103"/>
      <c r="C504" s="103"/>
      <c r="D504" s="103"/>
      <c r="E504" s="103"/>
      <c r="F504" s="103"/>
      <c r="G504" s="103"/>
      <c r="H504" s="112"/>
      <c r="I504" s="112"/>
      <c r="J504" s="103"/>
      <c r="K504" s="103"/>
      <c r="L504" s="103"/>
      <c r="N504" s="111"/>
      <c r="O504" s="111"/>
      <c r="P504" s="111"/>
      <c r="Q504" s="111"/>
      <c r="R504" s="111"/>
      <c r="S504" s="111"/>
      <c r="T504" s="111"/>
      <c r="U504" s="111"/>
      <c r="V504" s="111"/>
      <c r="W504" s="111"/>
      <c r="X504" s="111"/>
      <c r="Y504" s="111"/>
      <c r="Z504" s="111"/>
      <c r="AA504" s="111"/>
      <c r="AB504" s="111"/>
      <c r="AC504" s="111"/>
      <c r="AD504" s="111"/>
      <c r="AE504" s="111"/>
      <c r="AF504" s="111"/>
      <c r="AG504" s="111"/>
      <c r="AH504" s="111"/>
      <c r="AI504" s="111"/>
      <c r="AJ504" s="111"/>
      <c r="AK504" s="111"/>
      <c r="AL504" s="111"/>
      <c r="AM504" s="111"/>
      <c r="AN504" s="111"/>
      <c r="AO504" s="111"/>
      <c r="AP504" s="111"/>
      <c r="AQ504" s="111"/>
      <c r="AR504" s="111"/>
      <c r="AS504" s="111"/>
      <c r="AT504" s="111"/>
      <c r="AU504" s="111"/>
      <c r="AV504" s="111"/>
      <c r="AW504" s="111"/>
      <c r="AX504" s="111"/>
      <c r="AY504" s="111"/>
      <c r="AZ504" s="111"/>
      <c r="BA504" s="111"/>
      <c r="BB504" s="111"/>
      <c r="BC504" s="111"/>
      <c r="BD504" s="111"/>
      <c r="BE504" s="111"/>
      <c r="BF504" s="111"/>
      <c r="BG504" s="111"/>
      <c r="BH504" s="111"/>
      <c r="BI504" s="111"/>
      <c r="BJ504" s="111"/>
      <c r="BK504" s="111"/>
      <c r="BL504" s="111"/>
      <c r="BM504" s="111"/>
      <c r="BN504" s="111"/>
      <c r="BO504" s="111"/>
      <c r="BP504" s="111"/>
      <c r="BQ504" s="111"/>
      <c r="BR504" s="111"/>
      <c r="BS504" s="111"/>
      <c r="BT504" s="111"/>
      <c r="BU504" s="103"/>
      <c r="BZ504" s="111"/>
    </row>
    <row r="505">
      <c r="A505" s="103"/>
      <c r="B505" s="103"/>
      <c r="C505" s="103"/>
      <c r="D505" s="103"/>
      <c r="E505" s="103"/>
      <c r="F505" s="103"/>
      <c r="G505" s="103"/>
      <c r="H505" s="112"/>
      <c r="I505" s="112"/>
      <c r="J505" s="103"/>
      <c r="K505" s="103"/>
      <c r="L505" s="103"/>
      <c r="N505" s="111"/>
      <c r="O505" s="111"/>
      <c r="P505" s="111"/>
      <c r="Q505" s="111"/>
      <c r="R505" s="111"/>
      <c r="S505" s="111"/>
      <c r="T505" s="111"/>
      <c r="U505" s="111"/>
      <c r="V505" s="111"/>
      <c r="W505" s="111"/>
      <c r="X505" s="111"/>
      <c r="Y505" s="111"/>
      <c r="Z505" s="111"/>
      <c r="AA505" s="111"/>
      <c r="AB505" s="111"/>
      <c r="AC505" s="111"/>
      <c r="AD505" s="111"/>
      <c r="AE505" s="111"/>
      <c r="AF505" s="111"/>
      <c r="AG505" s="111"/>
      <c r="AH505" s="111"/>
      <c r="AI505" s="111"/>
      <c r="AJ505" s="111"/>
      <c r="AK505" s="111"/>
      <c r="AL505" s="111"/>
      <c r="AM505" s="111"/>
      <c r="AN505" s="111"/>
      <c r="AO505" s="111"/>
      <c r="AP505" s="111"/>
      <c r="AQ505" s="111"/>
      <c r="AR505" s="111"/>
      <c r="AS505" s="111"/>
      <c r="AT505" s="111"/>
      <c r="AU505" s="111"/>
      <c r="AV505" s="111"/>
      <c r="AW505" s="111"/>
      <c r="AX505" s="111"/>
      <c r="AY505" s="111"/>
      <c r="AZ505" s="111"/>
      <c r="BA505" s="111"/>
      <c r="BB505" s="111"/>
      <c r="BC505" s="111"/>
      <c r="BD505" s="111"/>
      <c r="BE505" s="111"/>
      <c r="BF505" s="111"/>
      <c r="BG505" s="111"/>
      <c r="BH505" s="111"/>
      <c r="BI505" s="111"/>
      <c r="BJ505" s="111"/>
      <c r="BK505" s="111"/>
      <c r="BL505" s="111"/>
      <c r="BM505" s="111"/>
      <c r="BN505" s="111"/>
      <c r="BO505" s="111"/>
      <c r="BP505" s="111"/>
      <c r="BQ505" s="111"/>
      <c r="BR505" s="111"/>
      <c r="BS505" s="111"/>
      <c r="BT505" s="111"/>
      <c r="BU505" s="111"/>
      <c r="BV505" s="103"/>
    </row>
    <row r="506">
      <c r="A506" s="103"/>
      <c r="B506" s="103"/>
      <c r="C506" s="103"/>
      <c r="D506" s="103"/>
      <c r="E506" s="103"/>
      <c r="F506" s="103"/>
      <c r="G506" s="103"/>
      <c r="H506" s="112"/>
      <c r="I506" s="112"/>
      <c r="J506" s="103"/>
      <c r="K506" s="103"/>
      <c r="L506" s="103"/>
      <c r="N506" s="111"/>
      <c r="O506" s="111"/>
      <c r="P506" s="111"/>
      <c r="Q506" s="111"/>
      <c r="R506" s="111"/>
      <c r="S506" s="111"/>
      <c r="T506" s="111"/>
      <c r="U506" s="111"/>
      <c r="V506" s="111"/>
      <c r="W506" s="111"/>
      <c r="X506" s="111"/>
      <c r="Y506" s="111"/>
      <c r="Z506" s="111"/>
      <c r="AA506" s="111"/>
      <c r="AB506" s="111"/>
      <c r="AC506" s="111"/>
      <c r="AD506" s="111"/>
      <c r="AE506" s="111"/>
      <c r="AF506" s="111"/>
      <c r="AG506" s="111"/>
      <c r="AH506" s="111"/>
      <c r="AI506" s="111"/>
      <c r="AJ506" s="111"/>
      <c r="AK506" s="111"/>
      <c r="AL506" s="111"/>
      <c r="AM506" s="111"/>
      <c r="AN506" s="111"/>
      <c r="AO506" s="111"/>
      <c r="AP506" s="111"/>
      <c r="AQ506" s="111"/>
      <c r="AR506" s="111"/>
      <c r="AS506" s="111"/>
      <c r="AT506" s="111"/>
      <c r="AU506" s="111"/>
      <c r="AV506" s="111"/>
      <c r="AW506" s="111"/>
      <c r="AX506" s="111"/>
      <c r="AY506" s="111"/>
      <c r="AZ506" s="111"/>
      <c r="BA506" s="111"/>
      <c r="BB506" s="111"/>
      <c r="BC506" s="111"/>
      <c r="BD506" s="111"/>
      <c r="BE506" s="111"/>
      <c r="BF506" s="111"/>
      <c r="BG506" s="111"/>
      <c r="BH506" s="111"/>
      <c r="BI506" s="111"/>
      <c r="BJ506" s="111"/>
      <c r="BK506" s="111"/>
      <c r="BL506" s="111"/>
      <c r="BM506" s="111"/>
      <c r="BN506" s="111"/>
      <c r="BO506" s="111"/>
      <c r="BP506" s="111"/>
      <c r="BQ506" s="111"/>
      <c r="BR506" s="111"/>
      <c r="BS506" s="111"/>
      <c r="BT506" s="111"/>
      <c r="BU506" s="111"/>
      <c r="BV506" s="111"/>
      <c r="BW506" s="103"/>
    </row>
    <row r="507">
      <c r="A507" s="103"/>
      <c r="B507" s="103"/>
      <c r="C507" s="103"/>
      <c r="D507" s="103"/>
      <c r="E507" s="103"/>
      <c r="F507" s="103"/>
      <c r="G507" s="103"/>
      <c r="H507" s="112"/>
      <c r="I507" s="112"/>
      <c r="J507" s="103"/>
      <c r="K507" s="103"/>
      <c r="L507" s="103"/>
      <c r="N507" s="111"/>
      <c r="O507" s="111"/>
      <c r="P507" s="111"/>
      <c r="Q507" s="111"/>
      <c r="R507" s="111"/>
      <c r="S507" s="111"/>
      <c r="T507" s="111"/>
      <c r="U507" s="111"/>
      <c r="V507" s="111"/>
      <c r="W507" s="111"/>
      <c r="X507" s="111"/>
      <c r="Y507" s="111"/>
      <c r="Z507" s="111"/>
      <c r="AA507" s="111"/>
      <c r="AB507" s="111"/>
      <c r="AC507" s="111"/>
      <c r="AD507" s="111"/>
      <c r="AE507" s="111"/>
      <c r="AF507" s="111"/>
      <c r="AG507" s="111"/>
      <c r="AH507" s="111"/>
      <c r="AI507" s="111"/>
      <c r="AJ507" s="111"/>
      <c r="AK507" s="111"/>
      <c r="AL507" s="111"/>
      <c r="AM507" s="111"/>
      <c r="AN507" s="111"/>
      <c r="AO507" s="111"/>
      <c r="AP507" s="111"/>
      <c r="AQ507" s="111"/>
      <c r="AR507" s="111"/>
      <c r="AS507" s="111"/>
      <c r="AT507" s="111"/>
      <c r="AU507" s="111"/>
      <c r="AV507" s="111"/>
      <c r="AW507" s="111"/>
      <c r="AX507" s="111"/>
      <c r="AY507" s="111"/>
      <c r="AZ507" s="111"/>
      <c r="BA507" s="111"/>
      <c r="BB507" s="111"/>
      <c r="BC507" s="111"/>
      <c r="BD507" s="111"/>
      <c r="BE507" s="111"/>
      <c r="BF507" s="111"/>
      <c r="BG507" s="111"/>
      <c r="BH507" s="111"/>
      <c r="BI507" s="111"/>
      <c r="BJ507" s="111"/>
      <c r="BK507" s="111"/>
      <c r="BL507" s="111"/>
      <c r="BM507" s="111"/>
      <c r="BN507" s="111"/>
      <c r="BO507" s="111"/>
      <c r="BP507" s="111"/>
      <c r="BQ507" s="111"/>
      <c r="BR507" s="111"/>
      <c r="BS507" s="111"/>
      <c r="BT507" s="111"/>
      <c r="BU507" s="111"/>
      <c r="BV507" s="111"/>
      <c r="BW507" s="103"/>
    </row>
    <row r="508">
      <c r="A508" s="103"/>
      <c r="B508" s="103"/>
      <c r="C508" s="103"/>
      <c r="D508" s="103"/>
      <c r="E508" s="103"/>
      <c r="F508" s="103"/>
      <c r="G508" s="103"/>
      <c r="H508" s="112"/>
      <c r="I508" s="112"/>
      <c r="J508" s="103"/>
      <c r="K508" s="103"/>
      <c r="L508" s="103"/>
      <c r="N508" s="111"/>
      <c r="O508" s="111"/>
      <c r="P508" s="111"/>
      <c r="Q508" s="111"/>
      <c r="R508" s="111"/>
      <c r="S508" s="111"/>
      <c r="T508" s="111"/>
      <c r="U508" s="111"/>
      <c r="V508" s="111"/>
      <c r="W508" s="111"/>
      <c r="X508" s="111"/>
      <c r="Y508" s="111"/>
      <c r="Z508" s="111"/>
      <c r="AA508" s="111"/>
      <c r="AB508" s="111"/>
      <c r="AC508" s="111"/>
      <c r="AD508" s="111"/>
      <c r="AE508" s="111"/>
      <c r="AF508" s="111"/>
      <c r="AG508" s="111"/>
      <c r="AH508" s="111"/>
      <c r="AI508" s="111"/>
      <c r="AJ508" s="111"/>
      <c r="AK508" s="111"/>
      <c r="AL508" s="111"/>
      <c r="AM508" s="111"/>
      <c r="AN508" s="111"/>
      <c r="AO508" s="111"/>
      <c r="AP508" s="111"/>
      <c r="AQ508" s="111"/>
      <c r="AR508" s="111"/>
      <c r="AS508" s="111"/>
      <c r="AT508" s="111"/>
      <c r="AU508" s="111"/>
      <c r="AV508" s="111"/>
      <c r="AW508" s="111"/>
      <c r="AX508" s="111"/>
      <c r="AY508" s="111"/>
      <c r="AZ508" s="111"/>
      <c r="BA508" s="111"/>
      <c r="BB508" s="111"/>
      <c r="BC508" s="111"/>
      <c r="BD508" s="111"/>
      <c r="BE508" s="111"/>
      <c r="BF508" s="111"/>
      <c r="BG508" s="111"/>
      <c r="BH508" s="111"/>
      <c r="BI508" s="111"/>
      <c r="BJ508" s="111"/>
      <c r="BK508" s="111"/>
      <c r="BL508" s="111"/>
      <c r="BM508" s="111"/>
      <c r="BN508" s="111"/>
      <c r="BO508" s="111"/>
      <c r="BP508" s="111"/>
      <c r="BQ508" s="111"/>
      <c r="BR508" s="111"/>
      <c r="BS508" s="111"/>
      <c r="BT508" s="111"/>
      <c r="BU508" s="111"/>
      <c r="BV508" s="111"/>
      <c r="BW508" s="103"/>
    </row>
    <row r="509">
      <c r="A509" s="103"/>
      <c r="B509" s="103"/>
      <c r="C509" s="103"/>
      <c r="D509" s="103"/>
      <c r="E509" s="103"/>
      <c r="F509" s="103"/>
      <c r="G509" s="103"/>
      <c r="H509" s="112"/>
      <c r="I509" s="112"/>
      <c r="J509" s="103"/>
      <c r="K509" s="103"/>
      <c r="L509" s="103"/>
      <c r="N509" s="111"/>
      <c r="O509" s="111"/>
      <c r="P509" s="111"/>
      <c r="Q509" s="111"/>
      <c r="R509" s="111"/>
      <c r="S509" s="111"/>
      <c r="T509" s="111"/>
      <c r="U509" s="111"/>
      <c r="V509" s="111"/>
      <c r="W509" s="111"/>
      <c r="X509" s="111"/>
      <c r="Y509" s="111"/>
      <c r="Z509" s="111"/>
      <c r="AA509" s="111"/>
      <c r="AB509" s="111"/>
      <c r="AC509" s="111"/>
      <c r="AD509" s="111"/>
      <c r="AE509" s="111"/>
      <c r="AF509" s="111"/>
      <c r="AG509" s="111"/>
      <c r="AH509" s="111"/>
      <c r="AI509" s="111"/>
      <c r="AJ509" s="111"/>
      <c r="AK509" s="111"/>
      <c r="AL509" s="111"/>
      <c r="AM509" s="111"/>
      <c r="AN509" s="111"/>
      <c r="AO509" s="111"/>
      <c r="AP509" s="111"/>
      <c r="AQ509" s="111"/>
      <c r="AR509" s="111"/>
      <c r="AS509" s="111"/>
      <c r="AT509" s="111"/>
      <c r="AU509" s="111"/>
      <c r="AV509" s="111"/>
      <c r="AW509" s="111"/>
      <c r="AX509" s="111"/>
      <c r="AY509" s="111"/>
      <c r="AZ509" s="111"/>
      <c r="BA509" s="111"/>
      <c r="BB509" s="111"/>
      <c r="BC509" s="111"/>
      <c r="BD509" s="111"/>
      <c r="BE509" s="111"/>
      <c r="BF509" s="111"/>
      <c r="BG509" s="111"/>
      <c r="BH509" s="111"/>
      <c r="BI509" s="111"/>
      <c r="BJ509" s="111"/>
      <c r="BK509" s="111"/>
      <c r="BL509" s="111"/>
      <c r="BM509" s="111"/>
      <c r="BN509" s="111"/>
      <c r="BO509" s="111"/>
      <c r="BP509" s="111"/>
      <c r="BQ509" s="111"/>
      <c r="BR509" s="111"/>
      <c r="BS509" s="111"/>
      <c r="BT509" s="111"/>
      <c r="BU509" s="111"/>
      <c r="BV509" s="111"/>
      <c r="BW509" s="103"/>
    </row>
    <row r="510">
      <c r="A510" s="103"/>
      <c r="B510" s="103"/>
      <c r="C510" s="103"/>
      <c r="D510" s="103"/>
      <c r="E510" s="103"/>
      <c r="F510" s="103"/>
      <c r="G510" s="103"/>
      <c r="H510" s="112"/>
      <c r="I510" s="112"/>
      <c r="J510" s="103"/>
      <c r="K510" s="103"/>
      <c r="L510" s="103"/>
      <c r="N510" s="111"/>
      <c r="O510" s="111"/>
      <c r="P510" s="111"/>
      <c r="Q510" s="111"/>
      <c r="R510" s="111"/>
      <c r="S510" s="111"/>
      <c r="T510" s="111"/>
      <c r="U510" s="111"/>
      <c r="V510" s="111"/>
      <c r="W510" s="111"/>
      <c r="X510" s="111"/>
      <c r="Y510" s="111"/>
      <c r="Z510" s="111"/>
      <c r="AA510" s="111"/>
      <c r="AB510" s="111"/>
      <c r="AC510" s="111"/>
      <c r="AD510" s="111"/>
      <c r="AE510" s="111"/>
      <c r="AF510" s="111"/>
      <c r="AG510" s="111"/>
      <c r="AH510" s="111"/>
      <c r="AI510" s="111"/>
      <c r="AJ510" s="111"/>
      <c r="AK510" s="111"/>
      <c r="AL510" s="111"/>
      <c r="AM510" s="111"/>
      <c r="AN510" s="111"/>
      <c r="AO510" s="111"/>
      <c r="AP510" s="111"/>
      <c r="AQ510" s="111"/>
      <c r="AR510" s="111"/>
      <c r="AS510" s="111"/>
      <c r="AT510" s="111"/>
      <c r="AU510" s="111"/>
      <c r="AV510" s="111"/>
      <c r="AW510" s="111"/>
      <c r="AX510" s="111"/>
      <c r="AY510" s="111"/>
      <c r="AZ510" s="111"/>
      <c r="BA510" s="111"/>
      <c r="BB510" s="111"/>
      <c r="BC510" s="111"/>
      <c r="BD510" s="111"/>
      <c r="BE510" s="111"/>
      <c r="BF510" s="111"/>
      <c r="BG510" s="111"/>
      <c r="BH510" s="111"/>
      <c r="BI510" s="111"/>
      <c r="BJ510" s="111"/>
      <c r="BK510" s="111"/>
      <c r="BL510" s="111"/>
      <c r="BM510" s="111"/>
      <c r="BN510" s="111"/>
      <c r="BO510" s="111"/>
      <c r="BP510" s="111"/>
      <c r="BQ510" s="111"/>
      <c r="BR510" s="111"/>
      <c r="BS510" s="111"/>
      <c r="BT510" s="111"/>
      <c r="BU510" s="111"/>
      <c r="BV510" s="111"/>
      <c r="BW510" s="103"/>
    </row>
    <row r="511">
      <c r="A511" s="103"/>
      <c r="B511" s="103"/>
      <c r="C511" s="103"/>
      <c r="D511" s="103"/>
      <c r="E511" s="103"/>
      <c r="F511" s="103"/>
      <c r="G511" s="103"/>
      <c r="H511" s="112"/>
      <c r="I511" s="112"/>
      <c r="J511" s="103"/>
      <c r="K511" s="103"/>
      <c r="L511" s="103"/>
      <c r="N511" s="111"/>
      <c r="O511" s="111"/>
      <c r="P511" s="111"/>
      <c r="Q511" s="111"/>
      <c r="R511" s="111"/>
      <c r="S511" s="111"/>
      <c r="T511" s="111"/>
      <c r="U511" s="111"/>
      <c r="V511" s="111"/>
      <c r="W511" s="111"/>
      <c r="X511" s="111"/>
      <c r="Y511" s="111"/>
      <c r="Z511" s="111"/>
      <c r="AA511" s="111"/>
      <c r="AB511" s="111"/>
      <c r="AC511" s="111"/>
      <c r="AD511" s="111"/>
      <c r="AE511" s="111"/>
      <c r="AF511" s="111"/>
      <c r="AG511" s="111"/>
      <c r="AH511" s="111"/>
      <c r="AI511" s="111"/>
      <c r="AJ511" s="111"/>
      <c r="AK511" s="111"/>
      <c r="AL511" s="111"/>
      <c r="AM511" s="111"/>
      <c r="AN511" s="111"/>
      <c r="AO511" s="111"/>
      <c r="AP511" s="111"/>
      <c r="AQ511" s="111"/>
      <c r="AR511" s="111"/>
      <c r="AS511" s="111"/>
      <c r="AT511" s="111"/>
      <c r="AU511" s="111"/>
      <c r="AV511" s="111"/>
      <c r="AW511" s="111"/>
      <c r="AX511" s="111"/>
      <c r="AY511" s="111"/>
      <c r="AZ511" s="111"/>
      <c r="BA511" s="111"/>
      <c r="BB511" s="111"/>
      <c r="BC511" s="111"/>
      <c r="BD511" s="111"/>
      <c r="BE511" s="111"/>
      <c r="BF511" s="111"/>
      <c r="BG511" s="111"/>
      <c r="BH511" s="111"/>
      <c r="BI511" s="111"/>
      <c r="BJ511" s="111"/>
      <c r="BK511" s="111"/>
      <c r="BL511" s="111"/>
      <c r="BM511" s="111"/>
      <c r="BN511" s="111"/>
      <c r="BO511" s="111"/>
      <c r="BP511" s="111"/>
      <c r="BQ511" s="111"/>
      <c r="BR511" s="111"/>
      <c r="BS511" s="111"/>
      <c r="BT511" s="111"/>
      <c r="BU511" s="111"/>
      <c r="BV511" s="111"/>
      <c r="BW511" s="103"/>
    </row>
    <row r="512">
      <c r="A512" s="103"/>
      <c r="B512" s="103"/>
      <c r="C512" s="103"/>
      <c r="D512" s="103"/>
      <c r="E512" s="103"/>
      <c r="F512" s="103"/>
      <c r="G512" s="103"/>
      <c r="H512" s="112"/>
      <c r="I512" s="112"/>
      <c r="J512" s="103"/>
      <c r="K512" s="103"/>
      <c r="L512" s="103"/>
      <c r="N512" s="111"/>
      <c r="O512" s="111"/>
      <c r="P512" s="111"/>
      <c r="Q512" s="111"/>
      <c r="R512" s="111"/>
      <c r="S512" s="111"/>
      <c r="T512" s="111"/>
      <c r="U512" s="111"/>
      <c r="V512" s="111"/>
      <c r="W512" s="111"/>
      <c r="X512" s="111"/>
      <c r="Y512" s="111"/>
      <c r="Z512" s="111"/>
      <c r="AA512" s="111"/>
      <c r="AB512" s="111"/>
      <c r="AC512" s="111"/>
      <c r="AD512" s="111"/>
      <c r="AE512" s="111"/>
      <c r="AF512" s="111"/>
      <c r="AG512" s="111"/>
      <c r="AH512" s="111"/>
      <c r="AI512" s="111"/>
      <c r="AJ512" s="111"/>
      <c r="AK512" s="111"/>
      <c r="AL512" s="111"/>
      <c r="AM512" s="111"/>
      <c r="AN512" s="111"/>
      <c r="AO512" s="111"/>
      <c r="AP512" s="111"/>
      <c r="AQ512" s="111"/>
      <c r="AR512" s="111"/>
      <c r="AS512" s="111"/>
      <c r="AT512" s="111"/>
      <c r="AU512" s="111"/>
      <c r="AV512" s="111"/>
      <c r="AW512" s="111"/>
      <c r="AX512" s="111"/>
      <c r="AY512" s="111"/>
      <c r="AZ512" s="111"/>
      <c r="BA512" s="111"/>
      <c r="BB512" s="111"/>
      <c r="BC512" s="111"/>
      <c r="BD512" s="111"/>
      <c r="BE512" s="111"/>
      <c r="BF512" s="111"/>
      <c r="BG512" s="111"/>
      <c r="BH512" s="111"/>
      <c r="BI512" s="111"/>
      <c r="BJ512" s="111"/>
      <c r="BK512" s="111"/>
      <c r="BL512" s="111"/>
      <c r="BM512" s="111"/>
      <c r="BN512" s="111"/>
      <c r="BO512" s="111"/>
      <c r="BP512" s="111"/>
      <c r="BQ512" s="111"/>
      <c r="BR512" s="111"/>
      <c r="BS512" s="111"/>
      <c r="BT512" s="111"/>
      <c r="BU512" s="111"/>
      <c r="BV512" s="111"/>
      <c r="BW512" s="103"/>
    </row>
    <row r="513">
      <c r="A513" s="103"/>
      <c r="B513" s="103"/>
      <c r="C513" s="103"/>
      <c r="D513" s="103"/>
      <c r="E513" s="103"/>
      <c r="F513" s="103"/>
      <c r="G513" s="103"/>
      <c r="H513" s="112"/>
      <c r="I513" s="112"/>
      <c r="J513" s="103"/>
      <c r="K513" s="103"/>
      <c r="L513" s="103"/>
      <c r="N513" s="111"/>
      <c r="O513" s="111"/>
      <c r="P513" s="111"/>
      <c r="Q513" s="111"/>
      <c r="R513" s="111"/>
      <c r="S513" s="111"/>
      <c r="T513" s="111"/>
      <c r="U513" s="111"/>
      <c r="V513" s="111"/>
      <c r="W513" s="111"/>
      <c r="X513" s="111"/>
      <c r="Y513" s="111"/>
      <c r="Z513" s="111"/>
      <c r="AA513" s="111"/>
      <c r="AB513" s="111"/>
      <c r="AC513" s="111"/>
      <c r="AD513" s="111"/>
      <c r="AE513" s="111"/>
      <c r="AF513" s="111"/>
      <c r="AG513" s="111"/>
      <c r="AH513" s="111"/>
      <c r="AI513" s="111"/>
      <c r="AJ513" s="111"/>
      <c r="AK513" s="111"/>
      <c r="AL513" s="111"/>
      <c r="AM513" s="111"/>
      <c r="AN513" s="111"/>
      <c r="AO513" s="111"/>
      <c r="AP513" s="111"/>
      <c r="AQ513" s="111"/>
      <c r="AR513" s="111"/>
      <c r="AS513" s="111"/>
      <c r="AT513" s="111"/>
      <c r="AU513" s="111"/>
      <c r="AV513" s="111"/>
      <c r="AW513" s="111"/>
      <c r="AX513" s="111"/>
      <c r="AY513" s="111"/>
      <c r="AZ513" s="111"/>
      <c r="BA513" s="111"/>
      <c r="BB513" s="111"/>
      <c r="BC513" s="111"/>
      <c r="BD513" s="111"/>
      <c r="BE513" s="111"/>
      <c r="BF513" s="111"/>
      <c r="BG513" s="111"/>
      <c r="BH513" s="111"/>
      <c r="BI513" s="111"/>
      <c r="BJ513" s="111"/>
      <c r="BK513" s="111"/>
      <c r="BL513" s="111"/>
      <c r="BM513" s="111"/>
      <c r="BN513" s="111"/>
      <c r="BO513" s="111"/>
      <c r="BP513" s="111"/>
      <c r="BQ513" s="111"/>
      <c r="BR513" s="111"/>
      <c r="BS513" s="111"/>
      <c r="BT513" s="111"/>
      <c r="BU513" s="111"/>
      <c r="BV513" s="111"/>
      <c r="BW513" s="103"/>
    </row>
    <row r="514">
      <c r="A514" s="103"/>
      <c r="B514" s="103"/>
      <c r="C514" s="103"/>
      <c r="D514" s="103"/>
      <c r="E514" s="103"/>
      <c r="F514" s="103"/>
      <c r="G514" s="103"/>
      <c r="H514" s="112"/>
      <c r="I514" s="112"/>
      <c r="J514" s="103"/>
      <c r="K514" s="103"/>
      <c r="L514" s="103"/>
      <c r="N514" s="111"/>
      <c r="O514" s="111"/>
      <c r="P514" s="111"/>
      <c r="Q514" s="111"/>
      <c r="R514" s="111"/>
      <c r="S514" s="111"/>
      <c r="T514" s="111"/>
      <c r="U514" s="111"/>
      <c r="V514" s="111"/>
      <c r="W514" s="111"/>
      <c r="X514" s="111"/>
      <c r="Y514" s="111"/>
      <c r="Z514" s="111"/>
      <c r="AA514" s="111"/>
      <c r="AB514" s="111"/>
      <c r="AC514" s="111"/>
      <c r="AD514" s="111"/>
      <c r="AE514" s="111"/>
      <c r="AF514" s="111"/>
      <c r="AG514" s="111"/>
      <c r="AH514" s="111"/>
      <c r="AI514" s="111"/>
      <c r="AJ514" s="111"/>
      <c r="AK514" s="111"/>
      <c r="AL514" s="111"/>
      <c r="AM514" s="111"/>
      <c r="AN514" s="111"/>
      <c r="AO514" s="111"/>
      <c r="AP514" s="111"/>
      <c r="AQ514" s="111"/>
      <c r="AR514" s="111"/>
      <c r="AS514" s="111"/>
      <c r="AT514" s="111"/>
      <c r="AU514" s="111"/>
      <c r="AV514" s="111"/>
      <c r="AW514" s="111"/>
      <c r="AX514" s="111"/>
      <c r="AY514" s="111"/>
      <c r="AZ514" s="111"/>
      <c r="BA514" s="111"/>
      <c r="BB514" s="111"/>
      <c r="BC514" s="111"/>
      <c r="BD514" s="111"/>
      <c r="BE514" s="111"/>
      <c r="BF514" s="111"/>
      <c r="BG514" s="111"/>
      <c r="BH514" s="111"/>
      <c r="BI514" s="111"/>
      <c r="BJ514" s="111"/>
      <c r="BK514" s="111"/>
      <c r="BL514" s="111"/>
      <c r="BM514" s="111"/>
      <c r="BN514" s="111"/>
      <c r="BO514" s="111"/>
      <c r="BP514" s="111"/>
      <c r="BQ514" s="111"/>
      <c r="BR514" s="111"/>
      <c r="BS514" s="111"/>
      <c r="BT514" s="111"/>
      <c r="BU514" s="111"/>
      <c r="BV514" s="111"/>
      <c r="BW514" s="103"/>
    </row>
    <row r="515">
      <c r="A515" s="103"/>
      <c r="B515" s="103"/>
      <c r="C515" s="103"/>
      <c r="D515" s="103"/>
      <c r="E515" s="103"/>
      <c r="F515" s="103"/>
      <c r="G515" s="103"/>
      <c r="H515" s="112"/>
      <c r="I515" s="112"/>
      <c r="J515" s="103"/>
      <c r="K515" s="103"/>
      <c r="L515" s="103"/>
      <c r="N515" s="111"/>
      <c r="O515" s="111"/>
      <c r="P515" s="111"/>
      <c r="Q515" s="111"/>
      <c r="R515" s="111"/>
      <c r="S515" s="111"/>
      <c r="T515" s="111"/>
      <c r="U515" s="111"/>
      <c r="V515" s="111"/>
      <c r="W515" s="111"/>
      <c r="X515" s="111"/>
      <c r="Y515" s="111"/>
      <c r="Z515" s="111"/>
      <c r="AA515" s="111"/>
      <c r="AB515" s="111"/>
      <c r="AC515" s="111"/>
      <c r="AD515" s="111"/>
      <c r="AE515" s="111"/>
      <c r="AF515" s="111"/>
      <c r="AG515" s="111"/>
      <c r="AH515" s="111"/>
      <c r="AI515" s="111"/>
      <c r="AJ515" s="111"/>
      <c r="AK515" s="111"/>
      <c r="AL515" s="111"/>
      <c r="AM515" s="111"/>
      <c r="AN515" s="111"/>
      <c r="AO515" s="111"/>
      <c r="AP515" s="111"/>
      <c r="AQ515" s="111"/>
      <c r="AR515" s="111"/>
      <c r="AS515" s="111"/>
      <c r="AT515" s="111"/>
      <c r="AU515" s="111"/>
      <c r="AV515" s="111"/>
      <c r="AW515" s="111"/>
      <c r="AX515" s="111"/>
      <c r="AY515" s="111"/>
      <c r="AZ515" s="111"/>
      <c r="BA515" s="111"/>
      <c r="BB515" s="111"/>
      <c r="BC515" s="111"/>
      <c r="BD515" s="111"/>
      <c r="BE515" s="111"/>
      <c r="BF515" s="111"/>
      <c r="BG515" s="111"/>
      <c r="BH515" s="111"/>
      <c r="BI515" s="111"/>
      <c r="BJ515" s="111"/>
      <c r="BK515" s="111"/>
      <c r="BL515" s="111"/>
      <c r="BM515" s="111"/>
      <c r="BN515" s="111"/>
      <c r="BO515" s="111"/>
      <c r="BP515" s="111"/>
      <c r="BQ515" s="111"/>
      <c r="BR515" s="111"/>
      <c r="BS515" s="111"/>
      <c r="BT515" s="111"/>
      <c r="BU515" s="111"/>
      <c r="BV515" s="111"/>
      <c r="BW515" s="103"/>
    </row>
    <row r="516">
      <c r="A516" s="103"/>
      <c r="B516" s="103"/>
      <c r="C516" s="103"/>
      <c r="D516" s="103"/>
      <c r="E516" s="103"/>
      <c r="F516" s="103"/>
      <c r="G516" s="103"/>
      <c r="H516" s="112"/>
      <c r="I516" s="112"/>
      <c r="J516" s="103"/>
      <c r="K516" s="103"/>
      <c r="L516" s="103"/>
      <c r="N516" s="111"/>
      <c r="O516" s="111"/>
      <c r="P516" s="111"/>
      <c r="Q516" s="111"/>
      <c r="R516" s="111"/>
      <c r="S516" s="111"/>
      <c r="T516" s="111"/>
      <c r="U516" s="111"/>
      <c r="V516" s="111"/>
      <c r="W516" s="111"/>
      <c r="X516" s="111"/>
      <c r="Y516" s="111"/>
      <c r="Z516" s="111"/>
      <c r="AA516" s="111"/>
      <c r="AB516" s="111"/>
      <c r="AC516" s="111"/>
      <c r="AD516" s="111"/>
      <c r="AE516" s="111"/>
      <c r="AF516" s="111"/>
      <c r="AG516" s="111"/>
      <c r="AH516" s="111"/>
      <c r="AI516" s="111"/>
      <c r="AJ516" s="111"/>
      <c r="AK516" s="111"/>
      <c r="AL516" s="111"/>
      <c r="AM516" s="111"/>
      <c r="AN516" s="111"/>
      <c r="AO516" s="111"/>
      <c r="AP516" s="111"/>
      <c r="AQ516" s="111"/>
      <c r="AR516" s="111"/>
      <c r="AS516" s="111"/>
      <c r="AT516" s="111"/>
      <c r="AU516" s="111"/>
      <c r="AV516" s="111"/>
      <c r="AW516" s="111"/>
      <c r="AX516" s="111"/>
      <c r="AY516" s="111"/>
      <c r="AZ516" s="111"/>
      <c r="BA516" s="111"/>
      <c r="BB516" s="111"/>
      <c r="BC516" s="111"/>
      <c r="BD516" s="111"/>
      <c r="BE516" s="111"/>
      <c r="BF516" s="111"/>
      <c r="BG516" s="111"/>
      <c r="BH516" s="111"/>
      <c r="BI516" s="111"/>
      <c r="BJ516" s="111"/>
      <c r="BK516" s="111"/>
      <c r="BL516" s="111"/>
      <c r="BM516" s="111"/>
      <c r="BN516" s="111"/>
      <c r="BO516" s="111"/>
      <c r="BP516" s="111"/>
      <c r="BQ516" s="111"/>
      <c r="BR516" s="111"/>
      <c r="BS516" s="111"/>
      <c r="BT516" s="111"/>
      <c r="BU516" s="111"/>
      <c r="BV516" s="111"/>
      <c r="BW516" s="103"/>
    </row>
    <row r="517">
      <c r="A517" s="103"/>
      <c r="B517" s="103"/>
      <c r="C517" s="103"/>
      <c r="D517" s="103"/>
      <c r="E517" s="103"/>
      <c r="F517" s="103"/>
      <c r="G517" s="103"/>
      <c r="H517" s="112"/>
      <c r="I517" s="112"/>
      <c r="J517" s="103"/>
      <c r="K517" s="103"/>
      <c r="L517" s="103"/>
      <c r="N517" s="111"/>
      <c r="O517" s="111"/>
      <c r="P517" s="111"/>
      <c r="Q517" s="111"/>
      <c r="R517" s="111"/>
      <c r="S517" s="111"/>
      <c r="T517" s="111"/>
      <c r="U517" s="111"/>
      <c r="V517" s="111"/>
      <c r="W517" s="111"/>
      <c r="X517" s="111"/>
      <c r="Y517" s="111"/>
      <c r="Z517" s="111"/>
      <c r="AA517" s="111"/>
      <c r="AB517" s="111"/>
      <c r="AC517" s="111"/>
      <c r="AD517" s="111"/>
      <c r="AE517" s="111"/>
      <c r="AF517" s="111"/>
      <c r="AG517" s="111"/>
      <c r="AH517" s="111"/>
      <c r="AI517" s="111"/>
      <c r="AJ517" s="111"/>
      <c r="AK517" s="111"/>
      <c r="AL517" s="111"/>
      <c r="AM517" s="111"/>
      <c r="AN517" s="111"/>
      <c r="AO517" s="111"/>
      <c r="AP517" s="111"/>
      <c r="AQ517" s="111"/>
      <c r="AR517" s="111"/>
      <c r="AS517" s="111"/>
      <c r="AT517" s="111"/>
      <c r="AU517" s="111"/>
      <c r="AV517" s="111"/>
      <c r="AW517" s="111"/>
      <c r="AX517" s="111"/>
      <c r="AY517" s="111"/>
      <c r="AZ517" s="111"/>
      <c r="BA517" s="111"/>
      <c r="BB517" s="111"/>
      <c r="BC517" s="111"/>
      <c r="BD517" s="111"/>
      <c r="BE517" s="111"/>
      <c r="BF517" s="111"/>
      <c r="BG517" s="111"/>
      <c r="BH517" s="111"/>
      <c r="BI517" s="111"/>
      <c r="BJ517" s="111"/>
      <c r="BK517" s="111"/>
      <c r="BL517" s="111"/>
      <c r="BM517" s="111"/>
      <c r="BN517" s="111"/>
      <c r="BO517" s="111"/>
      <c r="BP517" s="111"/>
      <c r="BQ517" s="111"/>
      <c r="BR517" s="111"/>
      <c r="BS517" s="111"/>
      <c r="BT517" s="111"/>
      <c r="BU517" s="111"/>
      <c r="BV517" s="111"/>
      <c r="BW517" s="111"/>
      <c r="BX517" s="103"/>
    </row>
    <row r="518">
      <c r="A518" s="103"/>
      <c r="B518" s="103"/>
      <c r="C518" s="103"/>
      <c r="D518" s="103"/>
      <c r="E518" s="103"/>
      <c r="F518" s="103"/>
      <c r="G518" s="103"/>
      <c r="H518" s="112"/>
      <c r="I518" s="112"/>
      <c r="J518" s="103"/>
      <c r="K518" s="103"/>
      <c r="L518" s="103"/>
      <c r="N518" s="111"/>
      <c r="O518" s="111"/>
      <c r="P518" s="111"/>
      <c r="Q518" s="111"/>
      <c r="R518" s="111"/>
      <c r="S518" s="111"/>
      <c r="T518" s="111"/>
      <c r="U518" s="111"/>
      <c r="V518" s="111"/>
      <c r="W518" s="111"/>
      <c r="X518" s="111"/>
      <c r="Y518" s="111"/>
      <c r="Z518" s="111"/>
      <c r="AA518" s="111"/>
      <c r="AB518" s="111"/>
      <c r="AC518" s="111"/>
      <c r="AD518" s="111"/>
      <c r="AE518" s="111"/>
      <c r="AF518" s="111"/>
      <c r="AG518" s="111"/>
      <c r="AH518" s="111"/>
      <c r="AI518" s="111"/>
      <c r="AJ518" s="111"/>
      <c r="AK518" s="111"/>
      <c r="AL518" s="111"/>
      <c r="AM518" s="111"/>
      <c r="AN518" s="111"/>
      <c r="AO518" s="111"/>
      <c r="AP518" s="111"/>
      <c r="AQ518" s="111"/>
      <c r="AR518" s="111"/>
      <c r="AS518" s="111"/>
      <c r="AT518" s="111"/>
      <c r="AU518" s="111"/>
      <c r="AV518" s="111"/>
      <c r="AW518" s="111"/>
      <c r="AX518" s="111"/>
      <c r="AY518" s="111"/>
      <c r="AZ518" s="111"/>
      <c r="BA518" s="111"/>
      <c r="BB518" s="111"/>
      <c r="BC518" s="111"/>
      <c r="BD518" s="111"/>
      <c r="BE518" s="111"/>
      <c r="BF518" s="111"/>
      <c r="BG518" s="111"/>
      <c r="BH518" s="111"/>
      <c r="BI518" s="111"/>
      <c r="BJ518" s="111"/>
      <c r="BK518" s="111"/>
      <c r="BL518" s="111"/>
      <c r="BM518" s="111"/>
      <c r="BN518" s="111"/>
      <c r="BO518" s="111"/>
      <c r="BP518" s="111"/>
      <c r="BQ518" s="111"/>
      <c r="BR518" s="111"/>
      <c r="BS518" s="111"/>
      <c r="BT518" s="111"/>
      <c r="BU518" s="111"/>
      <c r="BV518" s="111"/>
      <c r="BW518" s="111"/>
      <c r="BX518" s="103"/>
    </row>
    <row r="519">
      <c r="A519" s="103"/>
      <c r="B519" s="103"/>
      <c r="C519" s="103"/>
      <c r="D519" s="103"/>
      <c r="E519" s="103"/>
      <c r="F519" s="103"/>
      <c r="G519" s="103"/>
      <c r="H519" s="112"/>
      <c r="I519" s="112"/>
      <c r="J519" s="103"/>
      <c r="K519" s="103"/>
      <c r="L519" s="103"/>
      <c r="N519" s="111"/>
      <c r="O519" s="111"/>
      <c r="P519" s="111"/>
      <c r="Q519" s="111"/>
      <c r="R519" s="111"/>
      <c r="S519" s="111"/>
      <c r="T519" s="111"/>
      <c r="U519" s="111"/>
      <c r="V519" s="111"/>
      <c r="W519" s="111"/>
      <c r="X519" s="111"/>
      <c r="Y519" s="111"/>
      <c r="Z519" s="111"/>
      <c r="AA519" s="111"/>
      <c r="AB519" s="111"/>
      <c r="AC519" s="111"/>
      <c r="AD519" s="111"/>
      <c r="AE519" s="111"/>
      <c r="AF519" s="111"/>
      <c r="AG519" s="111"/>
      <c r="AH519" s="111"/>
      <c r="AI519" s="111"/>
      <c r="AJ519" s="111"/>
      <c r="AK519" s="111"/>
      <c r="AL519" s="111"/>
      <c r="AM519" s="111"/>
      <c r="AN519" s="111"/>
      <c r="AO519" s="111"/>
      <c r="AP519" s="111"/>
      <c r="AQ519" s="111"/>
      <c r="AR519" s="111"/>
      <c r="AS519" s="111"/>
      <c r="AT519" s="111"/>
      <c r="AU519" s="111"/>
      <c r="AV519" s="111"/>
      <c r="AW519" s="111"/>
      <c r="AX519" s="111"/>
      <c r="AY519" s="111"/>
      <c r="AZ519" s="111"/>
      <c r="BA519" s="111"/>
      <c r="BB519" s="111"/>
      <c r="BC519" s="111"/>
      <c r="BD519" s="111"/>
      <c r="BE519" s="111"/>
      <c r="BF519" s="111"/>
      <c r="BG519" s="111"/>
      <c r="BH519" s="111"/>
      <c r="BI519" s="111"/>
      <c r="BJ519" s="111"/>
      <c r="BK519" s="111"/>
      <c r="BL519" s="111"/>
      <c r="BM519" s="111"/>
      <c r="BN519" s="111"/>
      <c r="BO519" s="111"/>
      <c r="BP519" s="111"/>
      <c r="BQ519" s="111"/>
      <c r="BR519" s="111"/>
      <c r="BS519" s="111"/>
      <c r="BT519" s="111"/>
      <c r="BU519" s="111"/>
      <c r="BV519" s="111"/>
      <c r="BW519" s="111"/>
      <c r="BX519" s="103"/>
    </row>
    <row r="520">
      <c r="A520" s="103"/>
      <c r="B520" s="103"/>
      <c r="C520" s="103"/>
      <c r="D520" s="103"/>
      <c r="E520" s="103"/>
      <c r="F520" s="103"/>
      <c r="G520" s="103"/>
      <c r="H520" s="112"/>
      <c r="I520" s="112"/>
      <c r="J520" s="103"/>
      <c r="K520" s="103"/>
      <c r="L520" s="103"/>
      <c r="N520" s="111"/>
      <c r="O520" s="111"/>
      <c r="P520" s="111"/>
      <c r="Q520" s="111"/>
      <c r="R520" s="111"/>
      <c r="S520" s="111"/>
      <c r="T520" s="111"/>
      <c r="U520" s="111"/>
      <c r="V520" s="111"/>
      <c r="W520" s="111"/>
      <c r="X520" s="111"/>
      <c r="Y520" s="111"/>
      <c r="Z520" s="111"/>
      <c r="AA520" s="111"/>
      <c r="AB520" s="111"/>
      <c r="AC520" s="111"/>
      <c r="AD520" s="111"/>
      <c r="AE520" s="111"/>
      <c r="AF520" s="111"/>
      <c r="AG520" s="111"/>
      <c r="AH520" s="111"/>
      <c r="AI520" s="111"/>
      <c r="AJ520" s="111"/>
      <c r="AK520" s="111"/>
      <c r="AL520" s="111"/>
      <c r="AM520" s="111"/>
      <c r="AN520" s="111"/>
      <c r="AO520" s="111"/>
      <c r="AP520" s="111"/>
      <c r="AQ520" s="111"/>
      <c r="AR520" s="111"/>
      <c r="AS520" s="111"/>
      <c r="AT520" s="111"/>
      <c r="AU520" s="111"/>
      <c r="AV520" s="111"/>
      <c r="AW520" s="111"/>
      <c r="AX520" s="111"/>
      <c r="AY520" s="111"/>
      <c r="AZ520" s="111"/>
      <c r="BA520" s="111"/>
      <c r="BB520" s="111"/>
      <c r="BC520" s="111"/>
      <c r="BD520" s="111"/>
      <c r="BE520" s="111"/>
      <c r="BF520" s="111"/>
      <c r="BG520" s="111"/>
      <c r="BH520" s="111"/>
      <c r="BI520" s="111"/>
      <c r="BJ520" s="111"/>
      <c r="BK520" s="111"/>
      <c r="BL520" s="111"/>
      <c r="BM520" s="111"/>
      <c r="BN520" s="111"/>
      <c r="BO520" s="111"/>
      <c r="BP520" s="111"/>
      <c r="BQ520" s="111"/>
      <c r="BR520" s="111"/>
      <c r="BS520" s="111"/>
      <c r="BT520" s="111"/>
      <c r="BU520" s="111"/>
      <c r="BV520" s="111"/>
      <c r="BW520" s="111"/>
      <c r="BX520" s="103"/>
    </row>
    <row r="521">
      <c r="A521" s="103"/>
      <c r="B521" s="103"/>
      <c r="C521" s="103"/>
      <c r="D521" s="103"/>
      <c r="E521" s="103"/>
      <c r="F521" s="103"/>
      <c r="G521" s="103"/>
      <c r="H521" s="112"/>
      <c r="I521" s="112"/>
      <c r="J521" s="103"/>
      <c r="K521" s="103"/>
      <c r="L521" s="103"/>
      <c r="N521" s="111"/>
      <c r="O521" s="111"/>
      <c r="P521" s="111"/>
      <c r="Q521" s="111"/>
      <c r="R521" s="111"/>
      <c r="S521" s="111"/>
      <c r="T521" s="111"/>
      <c r="U521" s="111"/>
      <c r="V521" s="111"/>
      <c r="W521" s="111"/>
      <c r="X521" s="111"/>
      <c r="Y521" s="111"/>
      <c r="Z521" s="111"/>
      <c r="AA521" s="111"/>
      <c r="AB521" s="111"/>
      <c r="AC521" s="111"/>
      <c r="AD521" s="111"/>
      <c r="AE521" s="111"/>
      <c r="AF521" s="111"/>
      <c r="AG521" s="111"/>
      <c r="AH521" s="111"/>
      <c r="AI521" s="111"/>
      <c r="AJ521" s="111"/>
      <c r="AK521" s="111"/>
      <c r="AL521" s="111"/>
      <c r="AM521" s="111"/>
      <c r="AN521" s="111"/>
      <c r="AO521" s="111"/>
      <c r="AP521" s="111"/>
      <c r="AQ521" s="111"/>
      <c r="AR521" s="111"/>
      <c r="AS521" s="111"/>
      <c r="AT521" s="111"/>
      <c r="AU521" s="111"/>
      <c r="AV521" s="111"/>
      <c r="AW521" s="111"/>
      <c r="AX521" s="111"/>
      <c r="AY521" s="111"/>
      <c r="AZ521" s="111"/>
      <c r="BA521" s="111"/>
      <c r="BB521" s="111"/>
      <c r="BC521" s="111"/>
      <c r="BD521" s="111"/>
      <c r="BE521" s="111"/>
      <c r="BF521" s="111"/>
      <c r="BG521" s="111"/>
      <c r="BH521" s="111"/>
      <c r="BI521" s="111"/>
      <c r="BJ521" s="111"/>
      <c r="BK521" s="111"/>
      <c r="BL521" s="111"/>
      <c r="BM521" s="111"/>
      <c r="BN521" s="111"/>
      <c r="BO521" s="111"/>
      <c r="BP521" s="111"/>
      <c r="BQ521" s="111"/>
      <c r="BR521" s="111"/>
      <c r="BS521" s="111"/>
      <c r="BT521" s="111"/>
      <c r="BU521" s="111"/>
      <c r="BV521" s="111"/>
      <c r="BW521" s="111"/>
      <c r="BX521" s="103"/>
    </row>
    <row r="522">
      <c r="A522" s="103"/>
      <c r="B522" s="103"/>
      <c r="C522" s="103"/>
      <c r="D522" s="103"/>
      <c r="E522" s="103"/>
      <c r="F522" s="103"/>
      <c r="G522" s="103"/>
      <c r="H522" s="112"/>
      <c r="I522" s="112"/>
      <c r="J522" s="103"/>
      <c r="K522" s="103"/>
      <c r="L522" s="103"/>
      <c r="N522" s="111"/>
      <c r="O522" s="111"/>
      <c r="P522" s="111"/>
      <c r="Q522" s="111"/>
      <c r="R522" s="111"/>
      <c r="S522" s="111"/>
      <c r="T522" s="111"/>
      <c r="U522" s="111"/>
      <c r="V522" s="111"/>
      <c r="W522" s="111"/>
      <c r="X522" s="111"/>
      <c r="Y522" s="111"/>
      <c r="Z522" s="111"/>
      <c r="AA522" s="111"/>
      <c r="AB522" s="111"/>
      <c r="AC522" s="111"/>
      <c r="AD522" s="111"/>
      <c r="AE522" s="111"/>
      <c r="AF522" s="111"/>
      <c r="AG522" s="111"/>
      <c r="AH522" s="111"/>
      <c r="AI522" s="111"/>
      <c r="AJ522" s="111"/>
      <c r="AK522" s="111"/>
      <c r="AL522" s="111"/>
      <c r="AM522" s="111"/>
      <c r="AN522" s="111"/>
      <c r="AO522" s="111"/>
      <c r="AP522" s="111"/>
      <c r="AQ522" s="111"/>
      <c r="AR522" s="111"/>
      <c r="AS522" s="111"/>
      <c r="AT522" s="111"/>
      <c r="AU522" s="111"/>
      <c r="AV522" s="111"/>
      <c r="AW522" s="111"/>
      <c r="AX522" s="111"/>
      <c r="AY522" s="111"/>
      <c r="AZ522" s="111"/>
      <c r="BA522" s="111"/>
      <c r="BB522" s="111"/>
      <c r="BC522" s="111"/>
      <c r="BD522" s="111"/>
      <c r="BE522" s="111"/>
      <c r="BF522" s="111"/>
      <c r="BG522" s="111"/>
      <c r="BH522" s="111"/>
      <c r="BI522" s="111"/>
      <c r="BJ522" s="111"/>
      <c r="BK522" s="111"/>
      <c r="BL522" s="111"/>
      <c r="BM522" s="111"/>
      <c r="BN522" s="111"/>
      <c r="BO522" s="111"/>
      <c r="BP522" s="111"/>
      <c r="BQ522" s="111"/>
      <c r="BR522" s="111"/>
      <c r="BS522" s="111"/>
      <c r="BT522" s="111"/>
      <c r="BU522" s="111"/>
      <c r="BV522" s="111"/>
      <c r="BW522" s="111"/>
      <c r="BX522" s="103"/>
    </row>
    <row r="523">
      <c r="A523" s="103"/>
      <c r="B523" s="103"/>
      <c r="C523" s="103"/>
      <c r="D523" s="103"/>
      <c r="E523" s="103"/>
      <c r="F523" s="103"/>
      <c r="G523" s="103"/>
      <c r="H523" s="112"/>
      <c r="I523" s="112"/>
      <c r="J523" s="103"/>
      <c r="K523" s="103"/>
      <c r="L523" s="103"/>
      <c r="N523" s="111"/>
      <c r="O523" s="111"/>
      <c r="P523" s="111"/>
      <c r="Q523" s="111"/>
      <c r="R523" s="111"/>
      <c r="S523" s="111"/>
      <c r="T523" s="111"/>
      <c r="U523" s="111"/>
      <c r="V523" s="111"/>
      <c r="W523" s="111"/>
      <c r="X523" s="111"/>
      <c r="Y523" s="111"/>
      <c r="Z523" s="111"/>
      <c r="AA523" s="111"/>
      <c r="AB523" s="111"/>
      <c r="AC523" s="111"/>
      <c r="AD523" s="111"/>
      <c r="AE523" s="111"/>
      <c r="AF523" s="111"/>
      <c r="AG523" s="111"/>
      <c r="AH523" s="111"/>
      <c r="AI523" s="111"/>
      <c r="AJ523" s="111"/>
      <c r="AK523" s="111"/>
      <c r="AL523" s="111"/>
      <c r="AM523" s="111"/>
      <c r="AN523" s="111"/>
      <c r="AO523" s="111"/>
      <c r="AP523" s="111"/>
      <c r="AQ523" s="111"/>
      <c r="AR523" s="111"/>
      <c r="AS523" s="111"/>
      <c r="AT523" s="111"/>
      <c r="AU523" s="111"/>
      <c r="AV523" s="111"/>
      <c r="AW523" s="111"/>
      <c r="AX523" s="111"/>
      <c r="AY523" s="111"/>
      <c r="AZ523" s="111"/>
      <c r="BA523" s="111"/>
      <c r="BB523" s="111"/>
      <c r="BC523" s="111"/>
      <c r="BD523" s="111"/>
      <c r="BE523" s="111"/>
      <c r="BF523" s="111"/>
      <c r="BG523" s="111"/>
      <c r="BH523" s="111"/>
      <c r="BI523" s="111"/>
      <c r="BJ523" s="111"/>
      <c r="BK523" s="111"/>
      <c r="BL523" s="111"/>
      <c r="BM523" s="111"/>
      <c r="BN523" s="111"/>
      <c r="BO523" s="111"/>
      <c r="BP523" s="111"/>
      <c r="BQ523" s="111"/>
      <c r="BR523" s="111"/>
      <c r="BS523" s="111"/>
      <c r="BT523" s="111"/>
      <c r="BU523" s="111"/>
      <c r="BV523" s="111"/>
      <c r="BW523" s="111"/>
      <c r="BX523" s="103"/>
    </row>
    <row r="524">
      <c r="A524" s="103"/>
      <c r="B524" s="103"/>
      <c r="C524" s="103"/>
      <c r="D524" s="103"/>
      <c r="E524" s="103"/>
      <c r="F524" s="103"/>
      <c r="G524" s="103"/>
      <c r="H524" s="112"/>
      <c r="I524" s="112"/>
      <c r="J524" s="103"/>
      <c r="K524" s="103"/>
      <c r="L524" s="103"/>
      <c r="N524" s="111"/>
      <c r="O524" s="111"/>
      <c r="P524" s="111"/>
      <c r="Q524" s="111"/>
      <c r="R524" s="111"/>
      <c r="S524" s="111"/>
      <c r="T524" s="111"/>
      <c r="U524" s="111"/>
      <c r="V524" s="111"/>
      <c r="W524" s="111"/>
      <c r="X524" s="111"/>
      <c r="Y524" s="111"/>
      <c r="Z524" s="111"/>
      <c r="AA524" s="111"/>
      <c r="AB524" s="111"/>
      <c r="AC524" s="111"/>
      <c r="AD524" s="111"/>
      <c r="AE524" s="111"/>
      <c r="AF524" s="111"/>
      <c r="AG524" s="111"/>
      <c r="AH524" s="111"/>
      <c r="AI524" s="111"/>
      <c r="AJ524" s="111"/>
      <c r="AK524" s="111"/>
      <c r="AL524" s="111"/>
      <c r="AM524" s="111"/>
      <c r="AN524" s="111"/>
      <c r="AO524" s="111"/>
      <c r="AP524" s="111"/>
      <c r="AQ524" s="111"/>
      <c r="AR524" s="111"/>
      <c r="AS524" s="111"/>
      <c r="AT524" s="111"/>
      <c r="AU524" s="111"/>
      <c r="AV524" s="111"/>
      <c r="AW524" s="111"/>
      <c r="AX524" s="111"/>
      <c r="AY524" s="111"/>
      <c r="AZ524" s="111"/>
      <c r="BA524" s="111"/>
      <c r="BB524" s="111"/>
      <c r="BC524" s="111"/>
      <c r="BD524" s="111"/>
      <c r="BE524" s="111"/>
      <c r="BF524" s="111"/>
      <c r="BG524" s="111"/>
      <c r="BH524" s="111"/>
      <c r="BI524" s="111"/>
      <c r="BJ524" s="111"/>
      <c r="BK524" s="111"/>
      <c r="BL524" s="111"/>
      <c r="BM524" s="111"/>
      <c r="BN524" s="111"/>
      <c r="BO524" s="111"/>
      <c r="BP524" s="111"/>
      <c r="BQ524" s="111"/>
      <c r="BR524" s="111"/>
      <c r="BS524" s="111"/>
      <c r="BT524" s="111"/>
      <c r="BU524" s="111"/>
      <c r="BV524" s="111"/>
      <c r="BW524" s="111"/>
      <c r="BX524" s="103"/>
    </row>
    <row r="525">
      <c r="A525" s="103"/>
      <c r="B525" s="103"/>
      <c r="C525" s="103"/>
      <c r="D525" s="103"/>
      <c r="E525" s="103"/>
      <c r="F525" s="103"/>
      <c r="G525" s="103"/>
      <c r="H525" s="112"/>
      <c r="I525" s="112"/>
      <c r="J525" s="103"/>
      <c r="K525" s="103"/>
      <c r="L525" s="103"/>
      <c r="N525" s="111"/>
      <c r="O525" s="111"/>
      <c r="P525" s="111"/>
      <c r="Q525" s="111"/>
      <c r="R525" s="111"/>
      <c r="S525" s="111"/>
      <c r="T525" s="111"/>
      <c r="U525" s="111"/>
      <c r="V525" s="111"/>
      <c r="W525" s="111"/>
      <c r="X525" s="111"/>
      <c r="Y525" s="111"/>
      <c r="Z525" s="111"/>
      <c r="AA525" s="111"/>
      <c r="AB525" s="111"/>
      <c r="AC525" s="111"/>
      <c r="AD525" s="111"/>
      <c r="AE525" s="111"/>
      <c r="AF525" s="111"/>
      <c r="AG525" s="111"/>
      <c r="AH525" s="111"/>
      <c r="AI525" s="111"/>
      <c r="AJ525" s="111"/>
      <c r="AK525" s="111"/>
      <c r="AL525" s="111"/>
      <c r="AM525" s="111"/>
      <c r="AN525" s="111"/>
      <c r="AO525" s="111"/>
      <c r="AP525" s="111"/>
      <c r="AQ525" s="111"/>
      <c r="AR525" s="111"/>
      <c r="AS525" s="111"/>
      <c r="AT525" s="111"/>
      <c r="AU525" s="111"/>
      <c r="AV525" s="111"/>
      <c r="AW525" s="111"/>
      <c r="AX525" s="111"/>
      <c r="AY525" s="111"/>
      <c r="AZ525" s="111"/>
      <c r="BA525" s="111"/>
      <c r="BB525" s="111"/>
      <c r="BC525" s="111"/>
      <c r="BD525" s="111"/>
      <c r="BE525" s="111"/>
      <c r="BF525" s="111"/>
      <c r="BG525" s="111"/>
      <c r="BH525" s="111"/>
      <c r="BI525" s="111"/>
      <c r="BJ525" s="111"/>
      <c r="BK525" s="111"/>
      <c r="BL525" s="111"/>
      <c r="BM525" s="111"/>
      <c r="BN525" s="111"/>
      <c r="BO525" s="111"/>
      <c r="BP525" s="111"/>
      <c r="BQ525" s="111"/>
      <c r="BR525" s="111"/>
      <c r="BS525" s="111"/>
      <c r="BT525" s="111"/>
      <c r="BU525" s="111"/>
      <c r="BV525" s="111"/>
      <c r="BW525" s="111"/>
      <c r="BX525" s="103"/>
    </row>
    <row r="526">
      <c r="A526" s="103"/>
      <c r="B526" s="103"/>
      <c r="C526" s="103"/>
      <c r="D526" s="103"/>
      <c r="E526" s="103"/>
      <c r="F526" s="103"/>
      <c r="G526" s="103"/>
      <c r="H526" s="112"/>
      <c r="I526" s="112"/>
      <c r="J526" s="103"/>
      <c r="K526" s="103"/>
      <c r="L526" s="103"/>
      <c r="N526" s="111"/>
      <c r="O526" s="111"/>
      <c r="P526" s="111"/>
      <c r="Q526" s="111"/>
      <c r="R526" s="111"/>
      <c r="S526" s="111"/>
      <c r="T526" s="111"/>
      <c r="U526" s="111"/>
      <c r="V526" s="111"/>
      <c r="W526" s="111"/>
      <c r="X526" s="111"/>
      <c r="Y526" s="111"/>
      <c r="Z526" s="111"/>
      <c r="AA526" s="111"/>
      <c r="AB526" s="111"/>
      <c r="AC526" s="111"/>
      <c r="AD526" s="111"/>
      <c r="AE526" s="111"/>
      <c r="AF526" s="111"/>
      <c r="AG526" s="111"/>
      <c r="AH526" s="111"/>
      <c r="AI526" s="111"/>
      <c r="AJ526" s="111"/>
      <c r="AK526" s="111"/>
      <c r="AL526" s="111"/>
      <c r="AM526" s="111"/>
      <c r="AN526" s="111"/>
      <c r="AO526" s="111"/>
      <c r="AP526" s="111"/>
      <c r="AQ526" s="111"/>
      <c r="AR526" s="111"/>
      <c r="AS526" s="111"/>
      <c r="AT526" s="111"/>
      <c r="AU526" s="111"/>
      <c r="AV526" s="111"/>
      <c r="AW526" s="111"/>
      <c r="AX526" s="111"/>
      <c r="AY526" s="111"/>
      <c r="AZ526" s="111"/>
      <c r="BA526" s="111"/>
      <c r="BB526" s="111"/>
      <c r="BC526" s="111"/>
      <c r="BD526" s="111"/>
      <c r="BE526" s="111"/>
      <c r="BF526" s="111"/>
      <c r="BG526" s="111"/>
      <c r="BH526" s="111"/>
      <c r="BI526" s="111"/>
      <c r="BJ526" s="111"/>
      <c r="BK526" s="111"/>
      <c r="BL526" s="111"/>
      <c r="BM526" s="111"/>
      <c r="BN526" s="111"/>
      <c r="BO526" s="111"/>
      <c r="BP526" s="111"/>
      <c r="BQ526" s="111"/>
      <c r="BR526" s="111"/>
      <c r="BS526" s="111"/>
      <c r="BT526" s="111"/>
      <c r="BU526" s="111"/>
      <c r="BV526" s="111"/>
      <c r="BW526" s="111"/>
      <c r="BX526" s="103"/>
    </row>
    <row r="527">
      <c r="A527" s="103"/>
      <c r="B527" s="103"/>
      <c r="C527" s="103"/>
      <c r="D527" s="103"/>
      <c r="E527" s="103"/>
      <c r="F527" s="103"/>
      <c r="G527" s="103"/>
      <c r="H527" s="112"/>
      <c r="I527" s="112"/>
      <c r="J527" s="103"/>
      <c r="K527" s="103"/>
      <c r="L527" s="103"/>
      <c r="N527" s="111"/>
      <c r="O527" s="111"/>
      <c r="P527" s="111"/>
      <c r="Q527" s="111"/>
      <c r="R527" s="111"/>
      <c r="S527" s="111"/>
      <c r="T527" s="111"/>
      <c r="U527" s="111"/>
      <c r="V527" s="111"/>
      <c r="W527" s="111"/>
      <c r="X527" s="111"/>
      <c r="Y527" s="111"/>
      <c r="Z527" s="111"/>
      <c r="AA527" s="111"/>
      <c r="AB527" s="111"/>
      <c r="AC527" s="111"/>
      <c r="AD527" s="111"/>
      <c r="AE527" s="111"/>
      <c r="AF527" s="111"/>
      <c r="AG527" s="111"/>
      <c r="AH527" s="111"/>
      <c r="AI527" s="111"/>
      <c r="AJ527" s="111"/>
      <c r="AK527" s="111"/>
      <c r="AL527" s="111"/>
      <c r="AM527" s="111"/>
      <c r="AN527" s="111"/>
      <c r="AO527" s="111"/>
      <c r="AP527" s="111"/>
      <c r="AQ527" s="111"/>
      <c r="AR527" s="111"/>
      <c r="AS527" s="111"/>
      <c r="AT527" s="111"/>
      <c r="AU527" s="111"/>
      <c r="AV527" s="111"/>
      <c r="AW527" s="111"/>
      <c r="AX527" s="111"/>
      <c r="AY527" s="111"/>
      <c r="AZ527" s="111"/>
      <c r="BA527" s="111"/>
      <c r="BB527" s="111"/>
      <c r="BC527" s="111"/>
      <c r="BD527" s="111"/>
      <c r="BE527" s="111"/>
      <c r="BF527" s="111"/>
      <c r="BG527" s="111"/>
      <c r="BH527" s="111"/>
      <c r="BI527" s="111"/>
      <c r="BJ527" s="111"/>
      <c r="BK527" s="111"/>
      <c r="BL527" s="111"/>
      <c r="BM527" s="111"/>
      <c r="BN527" s="111"/>
      <c r="BO527" s="111"/>
      <c r="BP527" s="111"/>
      <c r="BQ527" s="111"/>
      <c r="BR527" s="111"/>
      <c r="BS527" s="111"/>
      <c r="BT527" s="111"/>
      <c r="BU527" s="111"/>
      <c r="BV527" s="111"/>
      <c r="BW527" s="111"/>
      <c r="BX527" s="103"/>
    </row>
    <row r="528">
      <c r="A528" s="103"/>
      <c r="B528" s="103"/>
      <c r="C528" s="103"/>
      <c r="D528" s="103"/>
      <c r="E528" s="103"/>
      <c r="F528" s="103"/>
      <c r="G528" s="103"/>
      <c r="H528" s="112"/>
      <c r="I528" s="112"/>
      <c r="J528" s="103"/>
      <c r="K528" s="103"/>
      <c r="L528" s="103"/>
      <c r="N528" s="111"/>
      <c r="O528" s="111"/>
      <c r="P528" s="111"/>
      <c r="Q528" s="111"/>
      <c r="R528" s="111"/>
      <c r="S528" s="111"/>
      <c r="T528" s="111"/>
      <c r="U528" s="111"/>
      <c r="V528" s="111"/>
      <c r="W528" s="111"/>
      <c r="X528" s="111"/>
      <c r="Y528" s="111"/>
      <c r="Z528" s="111"/>
      <c r="AA528" s="111"/>
      <c r="AB528" s="111"/>
      <c r="AC528" s="111"/>
      <c r="AD528" s="111"/>
      <c r="AE528" s="111"/>
      <c r="AF528" s="111"/>
      <c r="AG528" s="111"/>
      <c r="AH528" s="111"/>
      <c r="AI528" s="111"/>
      <c r="AJ528" s="111"/>
      <c r="AK528" s="111"/>
      <c r="AL528" s="111"/>
      <c r="AM528" s="111"/>
      <c r="AN528" s="111"/>
      <c r="AO528" s="111"/>
      <c r="AP528" s="111"/>
      <c r="AQ528" s="111"/>
      <c r="AR528" s="111"/>
      <c r="AS528" s="111"/>
      <c r="AT528" s="111"/>
      <c r="AU528" s="111"/>
      <c r="AV528" s="111"/>
      <c r="AW528" s="111"/>
      <c r="AX528" s="111"/>
      <c r="AY528" s="111"/>
      <c r="AZ528" s="111"/>
      <c r="BA528" s="111"/>
      <c r="BB528" s="111"/>
      <c r="BC528" s="111"/>
      <c r="BD528" s="111"/>
      <c r="BE528" s="111"/>
      <c r="BF528" s="111"/>
      <c r="BG528" s="111"/>
      <c r="BH528" s="111"/>
      <c r="BI528" s="111"/>
      <c r="BJ528" s="111"/>
      <c r="BK528" s="111"/>
      <c r="BL528" s="111"/>
      <c r="BM528" s="111"/>
      <c r="BN528" s="111"/>
      <c r="BO528" s="111"/>
      <c r="BP528" s="111"/>
      <c r="BQ528" s="111"/>
      <c r="BR528" s="111"/>
      <c r="BS528" s="111"/>
      <c r="BT528" s="111"/>
      <c r="BU528" s="111"/>
      <c r="BV528" s="111"/>
      <c r="BW528" s="111"/>
      <c r="BX528" s="103"/>
    </row>
    <row r="529">
      <c r="A529" s="103"/>
      <c r="B529" s="103"/>
      <c r="C529" s="103"/>
      <c r="D529" s="103"/>
      <c r="E529" s="103"/>
      <c r="F529" s="103"/>
      <c r="G529" s="103"/>
      <c r="H529" s="112"/>
      <c r="I529" s="112"/>
      <c r="J529" s="103"/>
      <c r="K529" s="103"/>
      <c r="L529" s="103"/>
      <c r="N529" s="111"/>
      <c r="O529" s="111"/>
      <c r="P529" s="111"/>
      <c r="Q529" s="111"/>
      <c r="R529" s="111"/>
      <c r="S529" s="111"/>
      <c r="T529" s="111"/>
      <c r="U529" s="111"/>
      <c r="V529" s="111"/>
      <c r="W529" s="111"/>
      <c r="X529" s="111"/>
      <c r="Y529" s="111"/>
      <c r="Z529" s="111"/>
      <c r="AA529" s="111"/>
      <c r="AB529" s="111"/>
      <c r="AC529" s="111"/>
      <c r="AD529" s="111"/>
      <c r="AE529" s="111"/>
      <c r="AF529" s="111"/>
      <c r="AG529" s="111"/>
      <c r="AH529" s="111"/>
      <c r="AI529" s="111"/>
      <c r="AJ529" s="111"/>
      <c r="AK529" s="111"/>
      <c r="AL529" s="111"/>
      <c r="AM529" s="111"/>
      <c r="AN529" s="111"/>
      <c r="AO529" s="111"/>
      <c r="AP529" s="111"/>
      <c r="AQ529" s="111"/>
      <c r="AR529" s="111"/>
      <c r="AS529" s="111"/>
      <c r="AT529" s="111"/>
      <c r="AU529" s="111"/>
      <c r="AV529" s="111"/>
      <c r="AW529" s="111"/>
      <c r="AX529" s="111"/>
      <c r="AY529" s="111"/>
      <c r="AZ529" s="111"/>
      <c r="BA529" s="111"/>
      <c r="BB529" s="111"/>
      <c r="BC529" s="111"/>
      <c r="BD529" s="111"/>
      <c r="BE529" s="111"/>
      <c r="BF529" s="111"/>
      <c r="BG529" s="111"/>
      <c r="BH529" s="111"/>
      <c r="BI529" s="111"/>
      <c r="BJ529" s="111"/>
      <c r="BK529" s="111"/>
      <c r="BL529" s="111"/>
      <c r="BM529" s="111"/>
      <c r="BN529" s="111"/>
      <c r="BO529" s="111"/>
      <c r="BP529" s="111"/>
      <c r="BQ529" s="111"/>
      <c r="BR529" s="111"/>
      <c r="BS529" s="111"/>
      <c r="BT529" s="111"/>
      <c r="BU529" s="111"/>
      <c r="BV529" s="111"/>
      <c r="BW529" s="111"/>
      <c r="BX529" s="103"/>
    </row>
    <row r="530">
      <c r="A530" s="103"/>
      <c r="B530" s="103"/>
      <c r="C530" s="103"/>
      <c r="D530" s="103"/>
      <c r="E530" s="103"/>
      <c r="F530" s="103"/>
      <c r="G530" s="103"/>
      <c r="H530" s="112"/>
      <c r="I530" s="112"/>
      <c r="J530" s="103"/>
      <c r="K530" s="103"/>
      <c r="L530" s="103"/>
      <c r="N530" s="111"/>
      <c r="O530" s="111"/>
      <c r="P530" s="111"/>
      <c r="Q530" s="111"/>
      <c r="R530" s="111"/>
      <c r="S530" s="111"/>
      <c r="T530" s="111"/>
      <c r="U530" s="111"/>
      <c r="V530" s="111"/>
      <c r="W530" s="111"/>
      <c r="X530" s="111"/>
      <c r="Y530" s="111"/>
      <c r="Z530" s="111"/>
      <c r="AA530" s="111"/>
      <c r="AB530" s="111"/>
      <c r="AC530" s="111"/>
      <c r="AD530" s="111"/>
      <c r="AE530" s="111"/>
      <c r="AF530" s="111"/>
      <c r="AG530" s="111"/>
      <c r="AH530" s="111"/>
      <c r="AI530" s="111"/>
      <c r="AJ530" s="111"/>
      <c r="AK530" s="111"/>
      <c r="AL530" s="111"/>
      <c r="AM530" s="111"/>
      <c r="AN530" s="111"/>
      <c r="AO530" s="111"/>
      <c r="AP530" s="111"/>
      <c r="AQ530" s="111"/>
      <c r="AR530" s="111"/>
      <c r="AS530" s="111"/>
      <c r="AT530" s="111"/>
      <c r="AU530" s="111"/>
      <c r="AV530" s="111"/>
      <c r="AW530" s="111"/>
      <c r="AX530" s="111"/>
      <c r="AY530" s="111"/>
      <c r="AZ530" s="111"/>
      <c r="BA530" s="111"/>
      <c r="BB530" s="111"/>
      <c r="BC530" s="111"/>
      <c r="BD530" s="111"/>
      <c r="BE530" s="111"/>
      <c r="BF530" s="111"/>
      <c r="BG530" s="111"/>
      <c r="BH530" s="111"/>
      <c r="BI530" s="111"/>
      <c r="BJ530" s="111"/>
      <c r="BK530" s="111"/>
      <c r="BL530" s="111"/>
      <c r="BM530" s="111"/>
      <c r="BN530" s="111"/>
      <c r="BO530" s="111"/>
      <c r="BP530" s="111"/>
      <c r="BQ530" s="111"/>
      <c r="BR530" s="111"/>
      <c r="BS530" s="111"/>
      <c r="BT530" s="111"/>
      <c r="BU530" s="111"/>
      <c r="BV530" s="111"/>
      <c r="BW530" s="111"/>
      <c r="BX530" s="103"/>
    </row>
    <row r="531">
      <c r="A531" s="103"/>
      <c r="B531" s="103"/>
      <c r="C531" s="103"/>
      <c r="D531" s="103"/>
      <c r="E531" s="103"/>
      <c r="F531" s="103"/>
      <c r="G531" s="103"/>
      <c r="H531" s="112"/>
      <c r="I531" s="112"/>
      <c r="J531" s="103"/>
      <c r="K531" s="103"/>
      <c r="L531" s="103"/>
      <c r="N531" s="111"/>
      <c r="O531" s="111"/>
      <c r="P531" s="111"/>
      <c r="Q531" s="111"/>
      <c r="R531" s="111"/>
      <c r="S531" s="111"/>
      <c r="T531" s="111"/>
      <c r="U531" s="111"/>
      <c r="V531" s="111"/>
      <c r="W531" s="111"/>
      <c r="X531" s="111"/>
      <c r="Y531" s="111"/>
      <c r="Z531" s="111"/>
      <c r="AA531" s="111"/>
      <c r="AB531" s="111"/>
      <c r="AC531" s="111"/>
      <c r="AD531" s="111"/>
      <c r="AE531" s="111"/>
      <c r="AF531" s="111"/>
      <c r="AG531" s="111"/>
      <c r="AH531" s="111"/>
      <c r="AI531" s="111"/>
      <c r="AJ531" s="111"/>
      <c r="AK531" s="111"/>
      <c r="AL531" s="111"/>
      <c r="AM531" s="111"/>
      <c r="AN531" s="111"/>
      <c r="AO531" s="111"/>
      <c r="AP531" s="111"/>
      <c r="AQ531" s="111"/>
      <c r="AR531" s="111"/>
      <c r="AS531" s="111"/>
      <c r="AT531" s="111"/>
      <c r="AU531" s="111"/>
      <c r="AV531" s="111"/>
      <c r="AW531" s="111"/>
      <c r="AX531" s="111"/>
      <c r="AY531" s="111"/>
      <c r="AZ531" s="111"/>
      <c r="BA531" s="111"/>
      <c r="BB531" s="111"/>
      <c r="BC531" s="111"/>
      <c r="BD531" s="111"/>
      <c r="BE531" s="111"/>
      <c r="BF531" s="111"/>
      <c r="BG531" s="111"/>
      <c r="BH531" s="111"/>
      <c r="BI531" s="111"/>
      <c r="BJ531" s="111"/>
      <c r="BK531" s="111"/>
      <c r="BL531" s="111"/>
      <c r="BM531" s="111"/>
      <c r="BN531" s="111"/>
      <c r="BO531" s="111"/>
      <c r="BP531" s="111"/>
      <c r="BQ531" s="111"/>
      <c r="BR531" s="111"/>
      <c r="BS531" s="111"/>
      <c r="BT531" s="111"/>
      <c r="BU531" s="111"/>
      <c r="BV531" s="111"/>
      <c r="BW531" s="111"/>
      <c r="BX531" s="103"/>
    </row>
    <row r="532">
      <c r="A532" s="103"/>
      <c r="B532" s="103"/>
      <c r="C532" s="103"/>
      <c r="D532" s="103"/>
      <c r="E532" s="103"/>
      <c r="F532" s="103"/>
      <c r="G532" s="103"/>
      <c r="H532" s="112"/>
      <c r="I532" s="112"/>
      <c r="J532" s="103"/>
      <c r="K532" s="103"/>
      <c r="L532" s="103"/>
      <c r="N532" s="111"/>
      <c r="O532" s="111"/>
      <c r="P532" s="111"/>
      <c r="Q532" s="111"/>
      <c r="R532" s="111"/>
      <c r="S532" s="111"/>
      <c r="T532" s="111"/>
      <c r="U532" s="111"/>
      <c r="V532" s="111"/>
      <c r="W532" s="111"/>
      <c r="X532" s="111"/>
      <c r="Y532" s="111"/>
      <c r="Z532" s="111"/>
      <c r="AA532" s="111"/>
      <c r="AB532" s="111"/>
      <c r="AC532" s="111"/>
      <c r="AD532" s="111"/>
      <c r="AE532" s="111"/>
      <c r="AF532" s="111"/>
      <c r="AG532" s="111"/>
      <c r="AH532" s="111"/>
      <c r="AI532" s="111"/>
      <c r="AJ532" s="111"/>
      <c r="AK532" s="111"/>
      <c r="AL532" s="111"/>
      <c r="AM532" s="111"/>
      <c r="AN532" s="111"/>
      <c r="AO532" s="111"/>
      <c r="AP532" s="111"/>
      <c r="AQ532" s="111"/>
      <c r="AR532" s="111"/>
      <c r="AS532" s="111"/>
      <c r="AT532" s="111"/>
      <c r="AU532" s="111"/>
      <c r="AV532" s="111"/>
      <c r="AW532" s="111"/>
      <c r="AX532" s="111"/>
      <c r="AY532" s="111"/>
      <c r="AZ532" s="111"/>
      <c r="BA532" s="111"/>
      <c r="BB532" s="111"/>
      <c r="BC532" s="111"/>
      <c r="BD532" s="111"/>
      <c r="BE532" s="111"/>
      <c r="BF532" s="111"/>
      <c r="BG532" s="111"/>
      <c r="BH532" s="111"/>
      <c r="BI532" s="111"/>
      <c r="BJ532" s="111"/>
      <c r="BK532" s="111"/>
      <c r="BL532" s="111"/>
      <c r="BM532" s="111"/>
      <c r="BN532" s="111"/>
      <c r="BO532" s="111"/>
      <c r="BP532" s="111"/>
      <c r="BQ532" s="111"/>
      <c r="BR532" s="111"/>
      <c r="BS532" s="111"/>
      <c r="BT532" s="111"/>
      <c r="BU532" s="111"/>
      <c r="BV532" s="111"/>
      <c r="BW532" s="111"/>
      <c r="BX532" s="103"/>
    </row>
    <row r="533">
      <c r="A533" s="103"/>
      <c r="B533" s="103"/>
      <c r="C533" s="103"/>
      <c r="D533" s="103"/>
      <c r="E533" s="103"/>
      <c r="F533" s="103"/>
      <c r="G533" s="103"/>
      <c r="H533" s="112"/>
      <c r="I533" s="112"/>
      <c r="J533" s="103"/>
      <c r="K533" s="103"/>
      <c r="L533" s="103"/>
      <c r="N533" s="111"/>
      <c r="O533" s="111"/>
      <c r="P533" s="111"/>
      <c r="Q533" s="111"/>
      <c r="R533" s="111"/>
      <c r="S533" s="111"/>
      <c r="T533" s="111"/>
      <c r="U533" s="111"/>
      <c r="V533" s="111"/>
      <c r="W533" s="111"/>
      <c r="X533" s="111"/>
      <c r="Y533" s="111"/>
      <c r="Z533" s="111"/>
      <c r="AA533" s="111"/>
      <c r="AB533" s="111"/>
      <c r="AC533" s="111"/>
      <c r="AD533" s="111"/>
      <c r="AE533" s="111"/>
      <c r="AF533" s="111"/>
      <c r="AG533" s="111"/>
      <c r="AH533" s="111"/>
      <c r="AI533" s="111"/>
      <c r="AJ533" s="111"/>
      <c r="AK533" s="111"/>
      <c r="AL533" s="111"/>
      <c r="AM533" s="111"/>
      <c r="AN533" s="111"/>
      <c r="AO533" s="111"/>
      <c r="AP533" s="111"/>
      <c r="AQ533" s="111"/>
      <c r="AR533" s="111"/>
      <c r="AS533" s="111"/>
      <c r="AT533" s="111"/>
      <c r="AU533" s="111"/>
      <c r="AV533" s="111"/>
      <c r="AW533" s="111"/>
      <c r="AX533" s="111"/>
      <c r="AY533" s="111"/>
      <c r="AZ533" s="111"/>
      <c r="BA533" s="111"/>
      <c r="BB533" s="111"/>
      <c r="BC533" s="111"/>
      <c r="BD533" s="111"/>
      <c r="BE533" s="111"/>
      <c r="BF533" s="111"/>
      <c r="BG533" s="111"/>
      <c r="BH533" s="111"/>
      <c r="BI533" s="111"/>
      <c r="BJ533" s="111"/>
      <c r="BK533" s="111"/>
      <c r="BL533" s="111"/>
      <c r="BM533" s="111"/>
      <c r="BN533" s="111"/>
      <c r="BO533" s="111"/>
      <c r="BP533" s="111"/>
      <c r="BQ533" s="111"/>
      <c r="BR533" s="111"/>
      <c r="BS533" s="111"/>
      <c r="BT533" s="111"/>
      <c r="BU533" s="111"/>
      <c r="BV533" s="111"/>
      <c r="BW533" s="111"/>
      <c r="BX533" s="103"/>
    </row>
    <row r="534">
      <c r="A534" s="103"/>
      <c r="B534" s="103"/>
      <c r="C534" s="103"/>
      <c r="D534" s="103"/>
      <c r="E534" s="103"/>
      <c r="F534" s="103"/>
      <c r="G534" s="103"/>
      <c r="H534" s="112"/>
      <c r="I534" s="112"/>
      <c r="J534" s="103"/>
      <c r="K534" s="103"/>
      <c r="L534" s="103"/>
      <c r="N534" s="111"/>
      <c r="O534" s="111"/>
      <c r="P534" s="111"/>
      <c r="Q534" s="111"/>
      <c r="R534" s="111"/>
      <c r="S534" s="111"/>
      <c r="T534" s="111"/>
      <c r="U534" s="111"/>
      <c r="V534" s="111"/>
      <c r="W534" s="111"/>
      <c r="X534" s="111"/>
      <c r="Y534" s="111"/>
      <c r="Z534" s="111"/>
      <c r="AA534" s="111"/>
      <c r="AB534" s="111"/>
      <c r="AC534" s="111"/>
      <c r="AD534" s="111"/>
      <c r="AE534" s="111"/>
      <c r="AF534" s="111"/>
      <c r="AG534" s="111"/>
      <c r="AH534" s="111"/>
      <c r="AI534" s="111"/>
      <c r="AJ534" s="111"/>
      <c r="AK534" s="111"/>
      <c r="AL534" s="111"/>
      <c r="AM534" s="111"/>
      <c r="AN534" s="111"/>
      <c r="AO534" s="111"/>
      <c r="AP534" s="111"/>
      <c r="AQ534" s="111"/>
      <c r="AR534" s="111"/>
      <c r="AS534" s="111"/>
      <c r="AT534" s="111"/>
      <c r="AU534" s="111"/>
      <c r="AV534" s="111"/>
      <c r="AW534" s="111"/>
      <c r="AX534" s="111"/>
      <c r="AY534" s="111"/>
      <c r="AZ534" s="111"/>
      <c r="BA534" s="111"/>
      <c r="BB534" s="111"/>
      <c r="BC534" s="111"/>
      <c r="BD534" s="111"/>
      <c r="BE534" s="111"/>
      <c r="BF534" s="111"/>
      <c r="BG534" s="111"/>
      <c r="BH534" s="111"/>
      <c r="BI534" s="111"/>
      <c r="BJ534" s="111"/>
      <c r="BK534" s="111"/>
      <c r="BL534" s="111"/>
      <c r="BM534" s="111"/>
      <c r="BN534" s="111"/>
      <c r="BO534" s="111"/>
      <c r="BP534" s="111"/>
      <c r="BQ534" s="111"/>
      <c r="BR534" s="111"/>
      <c r="BS534" s="111"/>
      <c r="BT534" s="111"/>
      <c r="BU534" s="111"/>
      <c r="BV534" s="111"/>
      <c r="BW534" s="111"/>
      <c r="BX534" s="103"/>
    </row>
    <row r="535">
      <c r="A535" s="103"/>
      <c r="B535" s="103"/>
      <c r="C535" s="103"/>
      <c r="D535" s="103"/>
      <c r="E535" s="103"/>
      <c r="F535" s="103"/>
      <c r="G535" s="103"/>
      <c r="H535" s="112"/>
      <c r="I535" s="112"/>
      <c r="J535" s="103"/>
      <c r="K535" s="103"/>
      <c r="L535" s="103"/>
      <c r="N535" s="111"/>
      <c r="O535" s="111"/>
      <c r="P535" s="111"/>
      <c r="Q535" s="111"/>
      <c r="R535" s="111"/>
      <c r="S535" s="111"/>
      <c r="T535" s="111"/>
      <c r="U535" s="111"/>
      <c r="V535" s="111"/>
      <c r="W535" s="111"/>
      <c r="X535" s="111"/>
      <c r="Y535" s="111"/>
      <c r="Z535" s="111"/>
      <c r="AA535" s="111"/>
      <c r="AB535" s="111"/>
      <c r="AC535" s="111"/>
      <c r="AD535" s="111"/>
      <c r="AE535" s="111"/>
      <c r="AF535" s="111"/>
      <c r="AG535" s="111"/>
      <c r="AH535" s="111"/>
      <c r="AI535" s="111"/>
      <c r="AJ535" s="111"/>
      <c r="AK535" s="111"/>
      <c r="AL535" s="111"/>
      <c r="AM535" s="111"/>
      <c r="AN535" s="111"/>
      <c r="AO535" s="111"/>
      <c r="AP535" s="111"/>
      <c r="AQ535" s="111"/>
      <c r="AR535" s="111"/>
      <c r="AS535" s="111"/>
      <c r="AT535" s="111"/>
      <c r="AU535" s="111"/>
      <c r="AV535" s="111"/>
      <c r="AW535" s="111"/>
      <c r="AX535" s="111"/>
      <c r="AY535" s="111"/>
      <c r="AZ535" s="111"/>
      <c r="BA535" s="111"/>
      <c r="BB535" s="111"/>
      <c r="BC535" s="111"/>
      <c r="BD535" s="111"/>
      <c r="BE535" s="111"/>
      <c r="BF535" s="111"/>
      <c r="BG535" s="111"/>
      <c r="BH535" s="111"/>
      <c r="BI535" s="111"/>
      <c r="BJ535" s="111"/>
      <c r="BK535" s="111"/>
      <c r="BL535" s="111"/>
      <c r="BM535" s="111"/>
      <c r="BN535" s="111"/>
      <c r="BO535" s="111"/>
      <c r="BP535" s="111"/>
      <c r="BQ535" s="111"/>
      <c r="BR535" s="111"/>
      <c r="BS535" s="111"/>
      <c r="BT535" s="111"/>
      <c r="BU535" s="111"/>
      <c r="BV535" s="111"/>
      <c r="BW535" s="111"/>
      <c r="BX535" s="103"/>
    </row>
    <row r="536">
      <c r="A536" s="103"/>
      <c r="B536" s="103"/>
      <c r="C536" s="103"/>
      <c r="D536" s="103"/>
      <c r="E536" s="103"/>
      <c r="F536" s="103"/>
      <c r="G536" s="103"/>
      <c r="H536" s="112"/>
      <c r="I536" s="112"/>
      <c r="J536" s="103"/>
      <c r="K536" s="103"/>
      <c r="L536" s="103"/>
      <c r="N536" s="111"/>
      <c r="O536" s="111"/>
      <c r="P536" s="111"/>
      <c r="Q536" s="111"/>
      <c r="R536" s="111"/>
      <c r="S536" s="111"/>
      <c r="T536" s="111"/>
      <c r="U536" s="111"/>
      <c r="V536" s="111"/>
      <c r="W536" s="111"/>
      <c r="X536" s="111"/>
      <c r="Y536" s="111"/>
      <c r="Z536" s="111"/>
      <c r="AA536" s="111"/>
      <c r="AB536" s="111"/>
      <c r="AC536" s="111"/>
      <c r="AD536" s="111"/>
      <c r="AE536" s="111"/>
      <c r="AF536" s="111"/>
      <c r="AG536" s="111"/>
      <c r="AH536" s="111"/>
      <c r="AI536" s="111"/>
      <c r="AJ536" s="111"/>
      <c r="AK536" s="111"/>
      <c r="AL536" s="111"/>
      <c r="AM536" s="111"/>
      <c r="AN536" s="111"/>
      <c r="AO536" s="111"/>
      <c r="AP536" s="111"/>
      <c r="AQ536" s="111"/>
      <c r="AR536" s="111"/>
      <c r="AS536" s="111"/>
      <c r="AT536" s="111"/>
      <c r="AU536" s="111"/>
      <c r="AV536" s="111"/>
      <c r="AW536" s="111"/>
      <c r="AX536" s="111"/>
      <c r="AY536" s="111"/>
      <c r="AZ536" s="111"/>
      <c r="BA536" s="111"/>
      <c r="BB536" s="111"/>
      <c r="BC536" s="111"/>
      <c r="BD536" s="111"/>
      <c r="BE536" s="111"/>
      <c r="BF536" s="111"/>
      <c r="BG536" s="111"/>
      <c r="BH536" s="111"/>
      <c r="BI536" s="111"/>
      <c r="BJ536" s="111"/>
      <c r="BK536" s="111"/>
      <c r="BL536" s="111"/>
      <c r="BM536" s="111"/>
      <c r="BN536" s="111"/>
      <c r="BO536" s="111"/>
      <c r="BP536" s="111"/>
      <c r="BQ536" s="111"/>
      <c r="BR536" s="111"/>
      <c r="BS536" s="111"/>
      <c r="BT536" s="111"/>
      <c r="BU536" s="111"/>
      <c r="BV536" s="111"/>
      <c r="BW536" s="111"/>
      <c r="BX536" s="103"/>
    </row>
    <row r="537">
      <c r="A537" s="103"/>
      <c r="B537" s="103"/>
      <c r="C537" s="103"/>
      <c r="D537" s="103"/>
      <c r="E537" s="103"/>
      <c r="F537" s="103"/>
      <c r="G537" s="103"/>
      <c r="H537" s="112"/>
      <c r="I537" s="112"/>
      <c r="J537" s="103"/>
      <c r="K537" s="103"/>
      <c r="L537" s="103"/>
      <c r="N537" s="111"/>
      <c r="O537" s="111"/>
      <c r="P537" s="111"/>
      <c r="Q537" s="111"/>
      <c r="R537" s="111"/>
      <c r="S537" s="111"/>
      <c r="T537" s="111"/>
      <c r="U537" s="111"/>
      <c r="V537" s="111"/>
      <c r="W537" s="111"/>
      <c r="X537" s="111"/>
      <c r="Y537" s="111"/>
      <c r="Z537" s="111"/>
      <c r="AA537" s="111"/>
      <c r="AB537" s="111"/>
      <c r="AC537" s="111"/>
      <c r="AD537" s="111"/>
      <c r="AE537" s="111"/>
      <c r="AF537" s="111"/>
      <c r="AG537" s="111"/>
      <c r="AH537" s="111"/>
      <c r="AI537" s="111"/>
      <c r="AJ537" s="111"/>
      <c r="AK537" s="111"/>
      <c r="AL537" s="111"/>
      <c r="AM537" s="111"/>
      <c r="AN537" s="111"/>
      <c r="AO537" s="111"/>
      <c r="AP537" s="111"/>
      <c r="AQ537" s="111"/>
      <c r="AR537" s="111"/>
      <c r="AS537" s="111"/>
      <c r="AT537" s="111"/>
      <c r="AU537" s="111"/>
      <c r="AV537" s="111"/>
      <c r="AW537" s="111"/>
      <c r="AX537" s="111"/>
      <c r="AY537" s="111"/>
      <c r="AZ537" s="111"/>
      <c r="BA537" s="111"/>
      <c r="BB537" s="111"/>
      <c r="BC537" s="111"/>
      <c r="BD537" s="111"/>
      <c r="BE537" s="111"/>
      <c r="BF537" s="111"/>
      <c r="BG537" s="111"/>
      <c r="BH537" s="111"/>
      <c r="BI537" s="111"/>
      <c r="BJ537" s="111"/>
      <c r="BK537" s="111"/>
      <c r="BL537" s="111"/>
      <c r="BM537" s="111"/>
      <c r="BN537" s="111"/>
      <c r="BO537" s="111"/>
      <c r="BP537" s="111"/>
      <c r="BQ537" s="111"/>
      <c r="BR537" s="111"/>
      <c r="BS537" s="111"/>
      <c r="BT537" s="111"/>
      <c r="BU537" s="111"/>
      <c r="BV537" s="111"/>
      <c r="BW537" s="111"/>
      <c r="BX537" s="103"/>
    </row>
    <row r="538">
      <c r="A538" s="103"/>
      <c r="B538" s="103"/>
      <c r="C538" s="103"/>
      <c r="D538" s="103"/>
      <c r="E538" s="103"/>
      <c r="F538" s="103"/>
      <c r="G538" s="103"/>
      <c r="H538" s="112"/>
      <c r="I538" s="112"/>
      <c r="J538" s="103"/>
      <c r="K538" s="103"/>
      <c r="L538" s="103"/>
      <c r="N538" s="111"/>
      <c r="O538" s="111"/>
      <c r="P538" s="111"/>
      <c r="Q538" s="111"/>
      <c r="R538" s="111"/>
      <c r="S538" s="111"/>
      <c r="T538" s="111"/>
      <c r="U538" s="111"/>
      <c r="V538" s="111"/>
      <c r="W538" s="111"/>
      <c r="X538" s="111"/>
      <c r="Y538" s="111"/>
      <c r="Z538" s="111"/>
      <c r="AA538" s="111"/>
      <c r="AB538" s="111"/>
      <c r="AC538" s="111"/>
      <c r="AD538" s="111"/>
      <c r="AE538" s="111"/>
      <c r="AF538" s="111"/>
      <c r="AG538" s="111"/>
      <c r="AH538" s="111"/>
      <c r="AI538" s="111"/>
      <c r="AJ538" s="111"/>
      <c r="AK538" s="111"/>
      <c r="AL538" s="111"/>
      <c r="AM538" s="111"/>
      <c r="AN538" s="111"/>
      <c r="AO538" s="111"/>
      <c r="AP538" s="111"/>
      <c r="AQ538" s="111"/>
      <c r="AR538" s="111"/>
      <c r="AS538" s="111"/>
      <c r="AT538" s="111"/>
      <c r="AU538" s="111"/>
      <c r="AV538" s="111"/>
      <c r="AW538" s="111"/>
      <c r="AX538" s="111"/>
      <c r="AY538" s="111"/>
      <c r="AZ538" s="111"/>
      <c r="BA538" s="111"/>
      <c r="BB538" s="111"/>
      <c r="BC538" s="111"/>
      <c r="BD538" s="111"/>
      <c r="BE538" s="111"/>
      <c r="BF538" s="111"/>
      <c r="BG538" s="111"/>
      <c r="BH538" s="111"/>
      <c r="BI538" s="111"/>
      <c r="BJ538" s="111"/>
      <c r="BK538" s="111"/>
      <c r="BL538" s="111"/>
      <c r="BM538" s="111"/>
      <c r="BN538" s="111"/>
      <c r="BO538" s="111"/>
      <c r="BP538" s="111"/>
      <c r="BQ538" s="111"/>
      <c r="BR538" s="111"/>
      <c r="BS538" s="111"/>
      <c r="BT538" s="111"/>
      <c r="BU538" s="111"/>
      <c r="BV538" s="111"/>
      <c r="BW538" s="111"/>
      <c r="BX538" s="103"/>
    </row>
    <row r="539">
      <c r="A539" s="103"/>
      <c r="B539" s="103"/>
      <c r="C539" s="103"/>
      <c r="D539" s="103"/>
      <c r="E539" s="103"/>
      <c r="F539" s="103"/>
      <c r="G539" s="103"/>
      <c r="H539" s="112"/>
      <c r="I539" s="112"/>
      <c r="J539" s="103"/>
      <c r="K539" s="103"/>
      <c r="L539" s="103"/>
      <c r="N539" s="111"/>
      <c r="O539" s="111"/>
      <c r="P539" s="111"/>
      <c r="Q539" s="111"/>
      <c r="R539" s="111"/>
      <c r="S539" s="111"/>
      <c r="T539" s="111"/>
      <c r="U539" s="111"/>
      <c r="V539" s="111"/>
      <c r="W539" s="111"/>
      <c r="X539" s="111"/>
      <c r="Y539" s="111"/>
      <c r="Z539" s="111"/>
      <c r="AA539" s="111"/>
      <c r="AB539" s="111"/>
      <c r="AC539" s="111"/>
      <c r="AD539" s="111"/>
      <c r="AE539" s="111"/>
      <c r="AF539" s="111"/>
      <c r="AG539" s="111"/>
      <c r="AH539" s="111"/>
      <c r="AI539" s="111"/>
      <c r="AJ539" s="111"/>
      <c r="AK539" s="111"/>
      <c r="AL539" s="111"/>
      <c r="AM539" s="111"/>
      <c r="AN539" s="111"/>
      <c r="AO539" s="111"/>
      <c r="AP539" s="111"/>
      <c r="AQ539" s="111"/>
      <c r="AR539" s="111"/>
      <c r="AS539" s="111"/>
      <c r="AT539" s="111"/>
      <c r="AU539" s="111"/>
      <c r="AV539" s="111"/>
      <c r="AW539" s="111"/>
      <c r="AX539" s="111"/>
      <c r="AY539" s="111"/>
      <c r="AZ539" s="111"/>
      <c r="BA539" s="111"/>
      <c r="BB539" s="111"/>
      <c r="BC539" s="111"/>
      <c r="BD539" s="111"/>
      <c r="BE539" s="111"/>
      <c r="BF539" s="111"/>
      <c r="BG539" s="111"/>
      <c r="BH539" s="111"/>
      <c r="BI539" s="111"/>
      <c r="BJ539" s="111"/>
      <c r="BK539" s="111"/>
      <c r="BL539" s="111"/>
      <c r="BM539" s="111"/>
      <c r="BN539" s="111"/>
      <c r="BO539" s="111"/>
      <c r="BP539" s="111"/>
      <c r="BQ539" s="111"/>
      <c r="BR539" s="111"/>
      <c r="BS539" s="111"/>
      <c r="BT539" s="111"/>
      <c r="BU539" s="111"/>
      <c r="BV539" s="111"/>
      <c r="BW539" s="111"/>
      <c r="BX539" s="103"/>
    </row>
    <row r="540">
      <c r="A540" s="103"/>
      <c r="B540" s="103"/>
      <c r="C540" s="103"/>
      <c r="D540" s="103"/>
      <c r="E540" s="103"/>
      <c r="F540" s="103"/>
      <c r="G540" s="103"/>
      <c r="H540" s="112"/>
      <c r="I540" s="112"/>
      <c r="J540" s="103"/>
      <c r="K540" s="103"/>
      <c r="L540" s="103"/>
      <c r="N540" s="111"/>
      <c r="O540" s="111"/>
      <c r="P540" s="111"/>
      <c r="Q540" s="111"/>
      <c r="R540" s="111"/>
      <c r="S540" s="111"/>
      <c r="T540" s="111"/>
      <c r="U540" s="111"/>
      <c r="V540" s="111"/>
      <c r="W540" s="111"/>
      <c r="X540" s="111"/>
      <c r="Y540" s="111"/>
      <c r="Z540" s="111"/>
      <c r="AA540" s="111"/>
      <c r="AB540" s="111"/>
      <c r="AC540" s="111"/>
      <c r="AD540" s="111"/>
      <c r="AE540" s="111"/>
      <c r="AF540" s="111"/>
      <c r="AG540" s="111"/>
      <c r="AH540" s="111"/>
      <c r="AI540" s="111"/>
      <c r="AJ540" s="111"/>
      <c r="AK540" s="111"/>
      <c r="AL540" s="111"/>
      <c r="AM540" s="111"/>
      <c r="AN540" s="111"/>
      <c r="AO540" s="111"/>
      <c r="AP540" s="111"/>
      <c r="AQ540" s="111"/>
      <c r="AR540" s="111"/>
      <c r="AS540" s="111"/>
      <c r="AT540" s="111"/>
      <c r="AU540" s="111"/>
      <c r="AV540" s="111"/>
      <c r="AW540" s="111"/>
      <c r="AX540" s="111"/>
      <c r="AY540" s="111"/>
      <c r="AZ540" s="111"/>
      <c r="BA540" s="111"/>
      <c r="BB540" s="111"/>
      <c r="BC540" s="111"/>
      <c r="BD540" s="111"/>
      <c r="BE540" s="111"/>
      <c r="BF540" s="111"/>
      <c r="BG540" s="111"/>
      <c r="BH540" s="111"/>
      <c r="BI540" s="111"/>
      <c r="BJ540" s="111"/>
      <c r="BK540" s="111"/>
      <c r="BL540" s="111"/>
      <c r="BM540" s="111"/>
      <c r="BN540" s="111"/>
      <c r="BO540" s="111"/>
      <c r="BP540" s="111"/>
      <c r="BQ540" s="111"/>
      <c r="BR540" s="111"/>
      <c r="BS540" s="111"/>
      <c r="BT540" s="111"/>
      <c r="BU540" s="111"/>
      <c r="BV540" s="111"/>
      <c r="BW540" s="111"/>
      <c r="BX540" s="103"/>
    </row>
    <row r="541">
      <c r="A541" s="103"/>
      <c r="B541" s="103"/>
      <c r="C541" s="103"/>
      <c r="D541" s="103"/>
      <c r="E541" s="103"/>
      <c r="F541" s="103"/>
      <c r="G541" s="103"/>
      <c r="H541" s="112"/>
      <c r="I541" s="112"/>
      <c r="J541" s="103"/>
      <c r="K541" s="103"/>
      <c r="L541" s="103"/>
      <c r="N541" s="111"/>
      <c r="O541" s="111"/>
      <c r="P541" s="111"/>
      <c r="Q541" s="111"/>
      <c r="R541" s="111"/>
      <c r="S541" s="111"/>
      <c r="T541" s="111"/>
      <c r="U541" s="111"/>
      <c r="V541" s="111"/>
      <c r="W541" s="111"/>
      <c r="X541" s="111"/>
      <c r="Y541" s="111"/>
      <c r="Z541" s="111"/>
      <c r="AA541" s="111"/>
      <c r="AB541" s="111"/>
      <c r="AC541" s="111"/>
      <c r="AD541" s="111"/>
      <c r="AE541" s="111"/>
      <c r="AF541" s="111"/>
      <c r="AG541" s="111"/>
      <c r="AH541" s="111"/>
      <c r="AI541" s="111"/>
      <c r="AJ541" s="111"/>
      <c r="AK541" s="111"/>
      <c r="AL541" s="111"/>
      <c r="AM541" s="111"/>
      <c r="AN541" s="111"/>
      <c r="AO541" s="111"/>
      <c r="AP541" s="111"/>
      <c r="AQ541" s="111"/>
      <c r="AR541" s="111"/>
      <c r="AS541" s="111"/>
      <c r="AT541" s="111"/>
      <c r="AU541" s="111"/>
      <c r="AV541" s="111"/>
      <c r="AW541" s="111"/>
      <c r="AX541" s="111"/>
      <c r="AY541" s="111"/>
      <c r="AZ541" s="111"/>
      <c r="BA541" s="111"/>
      <c r="BB541" s="111"/>
      <c r="BC541" s="111"/>
      <c r="BD541" s="111"/>
      <c r="BE541" s="111"/>
      <c r="BF541" s="111"/>
      <c r="BG541" s="111"/>
      <c r="BH541" s="111"/>
      <c r="BI541" s="111"/>
      <c r="BJ541" s="111"/>
      <c r="BK541" s="111"/>
      <c r="BL541" s="111"/>
      <c r="BM541" s="111"/>
      <c r="BN541" s="111"/>
      <c r="BO541" s="111"/>
      <c r="BP541" s="111"/>
      <c r="BQ541" s="111"/>
      <c r="BR541" s="111"/>
      <c r="BS541" s="111"/>
      <c r="BT541" s="111"/>
      <c r="BU541" s="111"/>
      <c r="BV541" s="111"/>
      <c r="BW541" s="111"/>
      <c r="BX541" s="103"/>
    </row>
    <row r="542">
      <c r="A542" s="103"/>
      <c r="B542" s="103"/>
      <c r="C542" s="103"/>
      <c r="D542" s="103"/>
      <c r="E542" s="103"/>
      <c r="F542" s="103"/>
      <c r="G542" s="103"/>
      <c r="H542" s="112"/>
      <c r="I542" s="112"/>
      <c r="J542" s="103"/>
      <c r="K542" s="103"/>
      <c r="L542" s="103"/>
      <c r="N542" s="111"/>
      <c r="O542" s="111"/>
      <c r="P542" s="111"/>
      <c r="Q542" s="111"/>
      <c r="R542" s="111"/>
      <c r="S542" s="111"/>
      <c r="T542" s="111"/>
      <c r="U542" s="111"/>
      <c r="V542" s="111"/>
      <c r="W542" s="111"/>
      <c r="X542" s="111"/>
      <c r="Y542" s="111"/>
      <c r="Z542" s="111"/>
      <c r="AA542" s="111"/>
      <c r="AB542" s="111"/>
      <c r="AC542" s="111"/>
      <c r="AD542" s="111"/>
      <c r="AE542" s="111"/>
      <c r="AF542" s="111"/>
      <c r="AG542" s="111"/>
      <c r="AH542" s="111"/>
      <c r="AI542" s="111"/>
      <c r="AJ542" s="111"/>
      <c r="AK542" s="111"/>
      <c r="AL542" s="111"/>
      <c r="AM542" s="111"/>
      <c r="AN542" s="111"/>
      <c r="AO542" s="111"/>
      <c r="AP542" s="111"/>
      <c r="AQ542" s="111"/>
      <c r="AR542" s="111"/>
      <c r="AS542" s="111"/>
      <c r="AT542" s="111"/>
      <c r="AU542" s="111"/>
      <c r="AV542" s="111"/>
      <c r="AW542" s="111"/>
      <c r="AX542" s="111"/>
      <c r="AY542" s="111"/>
      <c r="AZ542" s="111"/>
      <c r="BA542" s="111"/>
      <c r="BB542" s="111"/>
      <c r="BC542" s="111"/>
      <c r="BD542" s="111"/>
      <c r="BE542" s="111"/>
      <c r="BF542" s="111"/>
      <c r="BG542" s="111"/>
      <c r="BH542" s="111"/>
      <c r="BI542" s="111"/>
      <c r="BJ542" s="111"/>
      <c r="BK542" s="111"/>
      <c r="BL542" s="111"/>
      <c r="BM542" s="111"/>
      <c r="BN542" s="111"/>
      <c r="BO542" s="111"/>
      <c r="BP542" s="111"/>
      <c r="BQ542" s="111"/>
      <c r="BR542" s="111"/>
      <c r="BS542" s="111"/>
      <c r="BT542" s="111"/>
      <c r="BU542" s="111"/>
      <c r="BV542" s="111"/>
      <c r="BW542" s="111"/>
      <c r="BX542" s="103"/>
    </row>
    <row r="543">
      <c r="A543" s="103"/>
      <c r="B543" s="103"/>
      <c r="C543" s="103"/>
      <c r="D543" s="103"/>
      <c r="E543" s="103"/>
      <c r="F543" s="103"/>
      <c r="G543" s="103"/>
      <c r="H543" s="112"/>
      <c r="I543" s="112"/>
      <c r="J543" s="103"/>
      <c r="K543" s="103"/>
      <c r="L543" s="103"/>
      <c r="N543" s="111"/>
      <c r="O543" s="111"/>
      <c r="P543" s="111"/>
      <c r="Q543" s="111"/>
      <c r="R543" s="111"/>
      <c r="S543" s="111"/>
      <c r="T543" s="111"/>
      <c r="U543" s="111"/>
      <c r="V543" s="111"/>
      <c r="W543" s="111"/>
      <c r="X543" s="111"/>
      <c r="Y543" s="111"/>
      <c r="Z543" s="111"/>
      <c r="AA543" s="111"/>
      <c r="AB543" s="111"/>
      <c r="AC543" s="111"/>
      <c r="AD543" s="111"/>
      <c r="AE543" s="111"/>
      <c r="AF543" s="111"/>
      <c r="AG543" s="111"/>
      <c r="AH543" s="111"/>
      <c r="AI543" s="111"/>
      <c r="AJ543" s="111"/>
      <c r="AK543" s="111"/>
      <c r="AL543" s="111"/>
      <c r="AM543" s="111"/>
      <c r="AN543" s="111"/>
      <c r="AO543" s="111"/>
      <c r="AP543" s="111"/>
      <c r="AQ543" s="111"/>
      <c r="AR543" s="111"/>
      <c r="AS543" s="111"/>
      <c r="AT543" s="111"/>
      <c r="AU543" s="111"/>
      <c r="AV543" s="111"/>
      <c r="AW543" s="111"/>
      <c r="AX543" s="111"/>
      <c r="AY543" s="111"/>
      <c r="AZ543" s="111"/>
      <c r="BA543" s="111"/>
      <c r="BB543" s="111"/>
      <c r="BC543" s="111"/>
      <c r="BD543" s="111"/>
      <c r="BE543" s="111"/>
      <c r="BF543" s="111"/>
      <c r="BG543" s="111"/>
      <c r="BH543" s="111"/>
      <c r="BI543" s="111"/>
      <c r="BJ543" s="111"/>
      <c r="BK543" s="111"/>
      <c r="BL543" s="111"/>
      <c r="BM543" s="111"/>
      <c r="BN543" s="111"/>
      <c r="BO543" s="111"/>
      <c r="BP543" s="111"/>
      <c r="BQ543" s="111"/>
      <c r="BR543" s="111"/>
      <c r="BS543" s="111"/>
      <c r="BT543" s="111"/>
      <c r="BU543" s="111"/>
      <c r="BV543" s="111"/>
      <c r="BW543" s="111"/>
      <c r="BX543" s="103"/>
    </row>
    <row r="544">
      <c r="A544" s="103"/>
      <c r="B544" s="103"/>
      <c r="C544" s="103"/>
      <c r="D544" s="103"/>
      <c r="E544" s="103"/>
      <c r="F544" s="103"/>
      <c r="G544" s="103"/>
      <c r="H544" s="112"/>
      <c r="I544" s="112"/>
      <c r="J544" s="103"/>
      <c r="K544" s="103"/>
      <c r="L544" s="103"/>
      <c r="N544" s="111"/>
      <c r="O544" s="111"/>
      <c r="P544" s="111"/>
      <c r="Q544" s="111"/>
      <c r="R544" s="111"/>
      <c r="S544" s="111"/>
      <c r="T544" s="111"/>
      <c r="U544" s="111"/>
      <c r="V544" s="111"/>
      <c r="W544" s="111"/>
      <c r="X544" s="111"/>
      <c r="Y544" s="111"/>
      <c r="Z544" s="111"/>
      <c r="AA544" s="111"/>
      <c r="AB544" s="111"/>
      <c r="AC544" s="111"/>
      <c r="AD544" s="111"/>
      <c r="AE544" s="111"/>
      <c r="AF544" s="111"/>
      <c r="AG544" s="111"/>
      <c r="AH544" s="111"/>
      <c r="AI544" s="111"/>
      <c r="AJ544" s="111"/>
      <c r="AK544" s="111"/>
      <c r="AL544" s="111"/>
      <c r="AM544" s="111"/>
      <c r="AN544" s="111"/>
      <c r="AO544" s="111"/>
      <c r="AP544" s="111"/>
      <c r="AQ544" s="111"/>
      <c r="AR544" s="111"/>
      <c r="AS544" s="111"/>
      <c r="AT544" s="111"/>
      <c r="AU544" s="111"/>
      <c r="AV544" s="111"/>
      <c r="AW544" s="111"/>
      <c r="AX544" s="111"/>
      <c r="AY544" s="111"/>
      <c r="AZ544" s="111"/>
      <c r="BA544" s="111"/>
      <c r="BB544" s="111"/>
      <c r="BC544" s="111"/>
      <c r="BD544" s="111"/>
      <c r="BE544" s="111"/>
      <c r="BF544" s="111"/>
      <c r="BG544" s="111"/>
      <c r="BH544" s="111"/>
      <c r="BI544" s="111"/>
      <c r="BJ544" s="111"/>
      <c r="BK544" s="111"/>
      <c r="BL544" s="111"/>
      <c r="BM544" s="111"/>
      <c r="BN544" s="111"/>
      <c r="BO544" s="111"/>
      <c r="BP544" s="111"/>
      <c r="BQ544" s="111"/>
      <c r="BR544" s="111"/>
      <c r="BS544" s="111"/>
      <c r="BT544" s="111"/>
      <c r="BU544" s="111"/>
      <c r="BV544" s="111"/>
      <c r="BW544" s="111"/>
      <c r="BX544" s="103"/>
    </row>
    <row r="545">
      <c r="A545" s="103"/>
      <c r="B545" s="103"/>
      <c r="C545" s="103"/>
      <c r="D545" s="103"/>
      <c r="E545" s="103"/>
      <c r="F545" s="103"/>
      <c r="G545" s="103"/>
      <c r="H545" s="112"/>
      <c r="I545" s="112"/>
      <c r="J545" s="103"/>
      <c r="K545" s="103"/>
      <c r="L545" s="103"/>
      <c r="N545" s="111"/>
      <c r="O545" s="111"/>
      <c r="P545" s="111"/>
      <c r="Q545" s="111"/>
      <c r="R545" s="111"/>
      <c r="S545" s="111"/>
      <c r="T545" s="111"/>
      <c r="U545" s="111"/>
      <c r="V545" s="111"/>
      <c r="W545" s="111"/>
      <c r="X545" s="111"/>
      <c r="Y545" s="111"/>
      <c r="Z545" s="111"/>
      <c r="AA545" s="111"/>
      <c r="AB545" s="111"/>
      <c r="AC545" s="111"/>
      <c r="AD545" s="111"/>
      <c r="AE545" s="111"/>
      <c r="AF545" s="111"/>
      <c r="AG545" s="111"/>
      <c r="AH545" s="111"/>
      <c r="AI545" s="111"/>
      <c r="AJ545" s="111"/>
      <c r="AK545" s="111"/>
      <c r="AL545" s="111"/>
      <c r="AM545" s="111"/>
      <c r="AN545" s="111"/>
      <c r="AO545" s="111"/>
      <c r="AP545" s="111"/>
      <c r="AQ545" s="111"/>
      <c r="AR545" s="111"/>
      <c r="AS545" s="111"/>
      <c r="AT545" s="111"/>
      <c r="AU545" s="111"/>
      <c r="AV545" s="111"/>
      <c r="AW545" s="111"/>
      <c r="AX545" s="111"/>
      <c r="AY545" s="111"/>
      <c r="AZ545" s="111"/>
      <c r="BA545" s="111"/>
      <c r="BB545" s="111"/>
      <c r="BC545" s="111"/>
      <c r="BD545" s="111"/>
      <c r="BE545" s="111"/>
      <c r="BF545" s="111"/>
      <c r="BG545" s="111"/>
      <c r="BH545" s="111"/>
      <c r="BI545" s="111"/>
      <c r="BJ545" s="111"/>
      <c r="BK545" s="111"/>
      <c r="BL545" s="111"/>
      <c r="BM545" s="111"/>
      <c r="BN545" s="111"/>
      <c r="BO545" s="111"/>
      <c r="BP545" s="111"/>
      <c r="BQ545" s="111"/>
      <c r="BR545" s="111"/>
      <c r="BS545" s="111"/>
      <c r="BT545" s="111"/>
      <c r="BU545" s="111"/>
      <c r="BV545" s="111"/>
      <c r="BW545" s="111"/>
      <c r="BX545" s="111"/>
      <c r="BY545" s="103"/>
    </row>
    <row r="546">
      <c r="A546" s="103"/>
      <c r="B546" s="103"/>
      <c r="C546" s="103"/>
      <c r="D546" s="103"/>
      <c r="E546" s="103"/>
      <c r="F546" s="103"/>
      <c r="G546" s="103"/>
      <c r="H546" s="112"/>
      <c r="I546" s="112"/>
      <c r="J546" s="103"/>
      <c r="K546" s="103"/>
      <c r="L546" s="103"/>
      <c r="N546" s="111"/>
      <c r="O546" s="111"/>
      <c r="P546" s="111"/>
      <c r="Q546" s="111"/>
      <c r="R546" s="111"/>
      <c r="S546" s="111"/>
      <c r="T546" s="111"/>
      <c r="U546" s="111"/>
      <c r="V546" s="111"/>
      <c r="W546" s="111"/>
      <c r="X546" s="111"/>
      <c r="Y546" s="111"/>
      <c r="Z546" s="111"/>
      <c r="AA546" s="111"/>
      <c r="AB546" s="111"/>
      <c r="AC546" s="111"/>
      <c r="AD546" s="111"/>
      <c r="AE546" s="111"/>
      <c r="AF546" s="111"/>
      <c r="AG546" s="111"/>
      <c r="AH546" s="111"/>
      <c r="AI546" s="111"/>
      <c r="AJ546" s="111"/>
      <c r="AK546" s="111"/>
      <c r="AL546" s="111"/>
      <c r="AM546" s="111"/>
      <c r="AN546" s="111"/>
      <c r="AO546" s="111"/>
      <c r="AP546" s="111"/>
      <c r="AQ546" s="111"/>
      <c r="AR546" s="111"/>
      <c r="AS546" s="111"/>
      <c r="AT546" s="111"/>
      <c r="AU546" s="111"/>
      <c r="AV546" s="111"/>
      <c r="AW546" s="111"/>
      <c r="AX546" s="111"/>
      <c r="AY546" s="111"/>
      <c r="AZ546" s="111"/>
      <c r="BA546" s="111"/>
      <c r="BB546" s="111"/>
      <c r="BC546" s="111"/>
      <c r="BD546" s="111"/>
      <c r="BE546" s="111"/>
      <c r="BF546" s="111"/>
      <c r="BG546" s="111"/>
      <c r="BH546" s="111"/>
      <c r="BI546" s="111"/>
      <c r="BJ546" s="111"/>
      <c r="BK546" s="111"/>
      <c r="BL546" s="111"/>
      <c r="BM546" s="111"/>
      <c r="BN546" s="111"/>
      <c r="BO546" s="111"/>
      <c r="BP546" s="111"/>
      <c r="BQ546" s="111"/>
      <c r="BR546" s="111"/>
      <c r="BS546" s="111"/>
      <c r="BT546" s="111"/>
      <c r="BU546" s="111"/>
      <c r="BV546" s="111"/>
      <c r="BW546" s="111"/>
      <c r="BX546" s="111"/>
      <c r="BY546" s="103"/>
    </row>
    <row r="547">
      <c r="A547" s="103"/>
      <c r="B547" s="103"/>
      <c r="C547" s="103"/>
      <c r="D547" s="103"/>
      <c r="E547" s="103"/>
      <c r="F547" s="103"/>
      <c r="G547" s="103"/>
      <c r="H547" s="112"/>
      <c r="I547" s="112"/>
      <c r="J547" s="103"/>
      <c r="K547" s="103"/>
      <c r="L547" s="103"/>
      <c r="N547" s="111"/>
      <c r="O547" s="111"/>
      <c r="P547" s="111"/>
      <c r="Q547" s="111"/>
      <c r="R547" s="111"/>
      <c r="S547" s="111"/>
      <c r="T547" s="111"/>
      <c r="U547" s="111"/>
      <c r="V547" s="111"/>
      <c r="W547" s="111"/>
      <c r="X547" s="111"/>
      <c r="Y547" s="111"/>
      <c r="Z547" s="111"/>
      <c r="AA547" s="111"/>
      <c r="AB547" s="111"/>
      <c r="AC547" s="111"/>
      <c r="AD547" s="111"/>
      <c r="AE547" s="111"/>
      <c r="AF547" s="111"/>
      <c r="AG547" s="111"/>
      <c r="AH547" s="111"/>
      <c r="AI547" s="111"/>
      <c r="AJ547" s="111"/>
      <c r="AK547" s="111"/>
      <c r="AL547" s="111"/>
      <c r="AM547" s="111"/>
      <c r="AN547" s="111"/>
      <c r="AO547" s="111"/>
      <c r="AP547" s="111"/>
      <c r="AQ547" s="111"/>
      <c r="AR547" s="111"/>
      <c r="AS547" s="111"/>
      <c r="AT547" s="111"/>
      <c r="AU547" s="111"/>
      <c r="AV547" s="111"/>
      <c r="AW547" s="111"/>
      <c r="AX547" s="111"/>
      <c r="AY547" s="111"/>
      <c r="AZ547" s="111"/>
      <c r="BA547" s="111"/>
      <c r="BB547" s="111"/>
      <c r="BC547" s="111"/>
      <c r="BD547" s="111"/>
      <c r="BE547" s="111"/>
      <c r="BF547" s="111"/>
      <c r="BG547" s="111"/>
      <c r="BH547" s="111"/>
      <c r="BI547" s="111"/>
      <c r="BJ547" s="111"/>
      <c r="BK547" s="111"/>
      <c r="BL547" s="111"/>
      <c r="BM547" s="111"/>
      <c r="BN547" s="111"/>
      <c r="BO547" s="111"/>
      <c r="BP547" s="111"/>
      <c r="BQ547" s="111"/>
      <c r="BR547" s="111"/>
      <c r="BS547" s="111"/>
      <c r="BT547" s="111"/>
      <c r="BU547" s="111"/>
      <c r="BV547" s="111"/>
      <c r="BW547" s="111"/>
      <c r="BX547" s="111"/>
      <c r="BY547" s="103"/>
    </row>
    <row r="548">
      <c r="A548" s="103"/>
      <c r="B548" s="103"/>
      <c r="C548" s="103"/>
      <c r="D548" s="103"/>
      <c r="E548" s="103"/>
      <c r="F548" s="103"/>
      <c r="G548" s="103"/>
      <c r="H548" s="112"/>
      <c r="I548" s="112"/>
      <c r="J548" s="103"/>
      <c r="K548" s="103"/>
      <c r="L548" s="103"/>
      <c r="N548" s="111"/>
      <c r="O548" s="111"/>
      <c r="P548" s="111"/>
      <c r="Q548" s="111"/>
      <c r="R548" s="111"/>
      <c r="S548" s="111"/>
      <c r="T548" s="111"/>
      <c r="U548" s="111"/>
      <c r="V548" s="111"/>
      <c r="W548" s="111"/>
      <c r="X548" s="111"/>
      <c r="Y548" s="111"/>
      <c r="Z548" s="111"/>
      <c r="AA548" s="111"/>
      <c r="AB548" s="111"/>
      <c r="AC548" s="111"/>
      <c r="AD548" s="111"/>
      <c r="AE548" s="111"/>
      <c r="AF548" s="111"/>
      <c r="AG548" s="111"/>
      <c r="AH548" s="111"/>
      <c r="AI548" s="111"/>
      <c r="AJ548" s="111"/>
      <c r="AK548" s="111"/>
      <c r="AL548" s="111"/>
      <c r="AM548" s="111"/>
      <c r="AN548" s="111"/>
      <c r="AO548" s="111"/>
      <c r="AP548" s="111"/>
      <c r="AQ548" s="111"/>
      <c r="AR548" s="111"/>
      <c r="AS548" s="111"/>
      <c r="AT548" s="111"/>
      <c r="AU548" s="111"/>
      <c r="AV548" s="111"/>
      <c r="AW548" s="111"/>
      <c r="AX548" s="111"/>
      <c r="AY548" s="111"/>
      <c r="AZ548" s="111"/>
      <c r="BA548" s="111"/>
      <c r="BB548" s="111"/>
      <c r="BC548" s="111"/>
      <c r="BD548" s="111"/>
      <c r="BE548" s="111"/>
      <c r="BF548" s="111"/>
      <c r="BG548" s="111"/>
      <c r="BH548" s="111"/>
      <c r="BI548" s="111"/>
      <c r="BJ548" s="111"/>
      <c r="BK548" s="111"/>
      <c r="BL548" s="111"/>
      <c r="BM548" s="111"/>
      <c r="BN548" s="111"/>
      <c r="BO548" s="111"/>
      <c r="BP548" s="111"/>
      <c r="BQ548" s="111"/>
      <c r="BR548" s="111"/>
      <c r="BS548" s="111"/>
      <c r="BT548" s="111"/>
      <c r="BU548" s="111"/>
      <c r="BV548" s="111"/>
      <c r="BW548" s="111"/>
      <c r="BX548" s="111"/>
      <c r="BY548" s="103"/>
    </row>
    <row r="549">
      <c r="A549" s="103"/>
      <c r="B549" s="103"/>
      <c r="C549" s="103"/>
      <c r="D549" s="103"/>
      <c r="E549" s="103"/>
      <c r="F549" s="103"/>
      <c r="G549" s="103"/>
      <c r="H549" s="112"/>
      <c r="I549" s="112"/>
      <c r="J549" s="103"/>
      <c r="K549" s="103"/>
      <c r="L549" s="103"/>
      <c r="N549" s="111"/>
      <c r="O549" s="111"/>
      <c r="P549" s="111"/>
      <c r="Q549" s="111"/>
      <c r="R549" s="111"/>
      <c r="S549" s="111"/>
      <c r="T549" s="111"/>
      <c r="U549" s="111"/>
      <c r="V549" s="111"/>
      <c r="W549" s="111"/>
      <c r="X549" s="111"/>
      <c r="Y549" s="111"/>
      <c r="Z549" s="111"/>
      <c r="AA549" s="111"/>
      <c r="AB549" s="111"/>
      <c r="AC549" s="111"/>
      <c r="AD549" s="111"/>
      <c r="AE549" s="111"/>
      <c r="AF549" s="111"/>
      <c r="AG549" s="111"/>
      <c r="AH549" s="111"/>
      <c r="AI549" s="111"/>
      <c r="AJ549" s="111"/>
      <c r="AK549" s="111"/>
      <c r="AL549" s="111"/>
      <c r="AM549" s="111"/>
      <c r="AN549" s="111"/>
      <c r="AO549" s="111"/>
      <c r="AP549" s="111"/>
      <c r="AQ549" s="111"/>
      <c r="AR549" s="111"/>
      <c r="AS549" s="111"/>
      <c r="AT549" s="111"/>
      <c r="AU549" s="111"/>
      <c r="AV549" s="111"/>
      <c r="AW549" s="111"/>
      <c r="AX549" s="111"/>
      <c r="AY549" s="111"/>
      <c r="AZ549" s="111"/>
      <c r="BA549" s="111"/>
      <c r="BB549" s="111"/>
      <c r="BC549" s="111"/>
      <c r="BD549" s="111"/>
      <c r="BE549" s="111"/>
      <c r="BF549" s="111"/>
      <c r="BG549" s="111"/>
      <c r="BH549" s="111"/>
      <c r="BI549" s="111"/>
      <c r="BJ549" s="111"/>
      <c r="BK549" s="111"/>
      <c r="BL549" s="111"/>
      <c r="BM549" s="111"/>
      <c r="BN549" s="111"/>
      <c r="BO549" s="111"/>
      <c r="BP549" s="111"/>
      <c r="BQ549" s="111"/>
      <c r="BR549" s="111"/>
      <c r="BS549" s="111"/>
      <c r="BT549" s="111"/>
      <c r="BU549" s="111"/>
      <c r="BV549" s="111"/>
      <c r="BW549" s="111"/>
      <c r="BX549" s="111"/>
      <c r="BY549" s="103"/>
    </row>
    <row r="550">
      <c r="A550" s="103"/>
      <c r="B550" s="103"/>
      <c r="C550" s="103"/>
      <c r="D550" s="103"/>
      <c r="E550" s="103"/>
      <c r="F550" s="103"/>
      <c r="G550" s="103"/>
      <c r="H550" s="112"/>
      <c r="I550" s="112"/>
      <c r="J550" s="103"/>
      <c r="K550" s="103"/>
      <c r="L550" s="103"/>
      <c r="N550" s="111"/>
      <c r="O550" s="111"/>
      <c r="P550" s="111"/>
      <c r="Q550" s="111"/>
      <c r="R550" s="111"/>
      <c r="S550" s="111"/>
      <c r="T550" s="111"/>
      <c r="U550" s="111"/>
      <c r="V550" s="111"/>
      <c r="W550" s="111"/>
      <c r="X550" s="111"/>
      <c r="Y550" s="111"/>
      <c r="Z550" s="111"/>
      <c r="AA550" s="111"/>
      <c r="AB550" s="111"/>
      <c r="AC550" s="111"/>
      <c r="AD550" s="111"/>
      <c r="AE550" s="111"/>
      <c r="AF550" s="111"/>
      <c r="AG550" s="111"/>
      <c r="AH550" s="111"/>
      <c r="AI550" s="111"/>
      <c r="AJ550" s="111"/>
      <c r="AK550" s="111"/>
      <c r="AL550" s="111"/>
      <c r="AM550" s="111"/>
      <c r="AN550" s="111"/>
      <c r="AO550" s="111"/>
      <c r="AP550" s="111"/>
      <c r="AQ550" s="111"/>
      <c r="AR550" s="111"/>
      <c r="AS550" s="111"/>
      <c r="AT550" s="111"/>
      <c r="AU550" s="111"/>
      <c r="AV550" s="111"/>
      <c r="AW550" s="111"/>
      <c r="AX550" s="111"/>
      <c r="AY550" s="111"/>
      <c r="AZ550" s="111"/>
      <c r="BA550" s="111"/>
      <c r="BB550" s="111"/>
      <c r="BC550" s="111"/>
      <c r="BD550" s="111"/>
      <c r="BE550" s="111"/>
      <c r="BF550" s="111"/>
      <c r="BG550" s="111"/>
      <c r="BH550" s="111"/>
      <c r="BI550" s="111"/>
      <c r="BJ550" s="111"/>
      <c r="BK550" s="111"/>
      <c r="BL550" s="111"/>
      <c r="BM550" s="111"/>
      <c r="BN550" s="111"/>
      <c r="BO550" s="111"/>
      <c r="BP550" s="111"/>
      <c r="BQ550" s="111"/>
      <c r="BR550" s="111"/>
      <c r="BS550" s="111"/>
      <c r="BT550" s="111"/>
      <c r="BU550" s="111"/>
      <c r="BV550" s="111"/>
      <c r="BW550" s="111"/>
      <c r="BX550" s="111"/>
      <c r="BY550" s="103"/>
    </row>
    <row r="551">
      <c r="A551" s="103"/>
      <c r="B551" s="103"/>
      <c r="C551" s="103"/>
      <c r="D551" s="103"/>
      <c r="E551" s="103"/>
      <c r="F551" s="103"/>
      <c r="G551" s="103"/>
      <c r="H551" s="112"/>
      <c r="I551" s="112"/>
      <c r="J551" s="103"/>
      <c r="K551" s="103"/>
      <c r="L551" s="103"/>
      <c r="N551" s="111"/>
      <c r="O551" s="111"/>
      <c r="P551" s="111"/>
      <c r="Q551" s="111"/>
      <c r="R551" s="111"/>
      <c r="S551" s="111"/>
      <c r="T551" s="111"/>
      <c r="U551" s="111"/>
      <c r="V551" s="111"/>
      <c r="W551" s="111"/>
      <c r="X551" s="111"/>
      <c r="Y551" s="111"/>
      <c r="Z551" s="111"/>
      <c r="AA551" s="111"/>
      <c r="AB551" s="111"/>
      <c r="AC551" s="111"/>
      <c r="AD551" s="111"/>
      <c r="AE551" s="111"/>
      <c r="AF551" s="111"/>
      <c r="AG551" s="111"/>
      <c r="AH551" s="111"/>
      <c r="AI551" s="111"/>
      <c r="AJ551" s="111"/>
      <c r="AK551" s="111"/>
      <c r="AL551" s="111"/>
      <c r="AM551" s="111"/>
      <c r="AN551" s="111"/>
      <c r="AO551" s="111"/>
      <c r="AP551" s="111"/>
      <c r="AQ551" s="111"/>
      <c r="AR551" s="111"/>
      <c r="AS551" s="111"/>
      <c r="AT551" s="111"/>
      <c r="AU551" s="111"/>
      <c r="AV551" s="111"/>
      <c r="AW551" s="111"/>
      <c r="AX551" s="111"/>
      <c r="AY551" s="111"/>
      <c r="AZ551" s="111"/>
      <c r="BA551" s="111"/>
      <c r="BB551" s="111"/>
      <c r="BC551" s="111"/>
      <c r="BD551" s="111"/>
      <c r="BE551" s="111"/>
      <c r="BF551" s="111"/>
      <c r="BG551" s="111"/>
      <c r="BH551" s="111"/>
      <c r="BI551" s="111"/>
      <c r="BJ551" s="111"/>
      <c r="BK551" s="111"/>
      <c r="BL551" s="111"/>
      <c r="BM551" s="111"/>
      <c r="BN551" s="111"/>
      <c r="BO551" s="111"/>
      <c r="BP551" s="111"/>
      <c r="BQ551" s="111"/>
      <c r="BR551" s="111"/>
      <c r="BS551" s="111"/>
      <c r="BT551" s="111"/>
      <c r="BU551" s="111"/>
      <c r="BV551" s="111"/>
      <c r="BW551" s="111"/>
      <c r="BX551" s="111"/>
      <c r="BY551" s="111"/>
      <c r="BZ551" s="103"/>
    </row>
    <row r="552">
      <c r="A552" s="103"/>
      <c r="B552" s="103"/>
      <c r="C552" s="103"/>
      <c r="D552" s="103"/>
      <c r="E552" s="103"/>
      <c r="F552" s="103"/>
      <c r="G552" s="103"/>
      <c r="H552" s="112"/>
      <c r="I552" s="112"/>
      <c r="J552" s="103"/>
      <c r="K552" s="103"/>
      <c r="L552" s="103"/>
      <c r="N552" s="111"/>
      <c r="O552" s="111"/>
      <c r="P552" s="111"/>
      <c r="Q552" s="111"/>
      <c r="R552" s="111"/>
      <c r="S552" s="111"/>
      <c r="T552" s="111"/>
      <c r="U552" s="111"/>
      <c r="V552" s="111"/>
      <c r="W552" s="111"/>
      <c r="X552" s="111"/>
      <c r="Y552" s="111"/>
      <c r="Z552" s="111"/>
      <c r="AA552" s="111"/>
      <c r="AB552" s="111"/>
      <c r="AC552" s="111"/>
      <c r="AD552" s="111"/>
      <c r="AE552" s="111"/>
      <c r="AF552" s="111"/>
      <c r="AG552" s="111"/>
      <c r="AH552" s="111"/>
      <c r="AI552" s="111"/>
      <c r="AJ552" s="111"/>
      <c r="AK552" s="111"/>
      <c r="AL552" s="111"/>
      <c r="AM552" s="111"/>
      <c r="AN552" s="111"/>
      <c r="AO552" s="111"/>
      <c r="AP552" s="111"/>
      <c r="AQ552" s="111"/>
      <c r="AR552" s="111"/>
      <c r="AS552" s="111"/>
      <c r="AT552" s="111"/>
      <c r="AU552" s="111"/>
      <c r="AV552" s="111"/>
      <c r="AW552" s="111"/>
      <c r="AX552" s="111"/>
      <c r="AY552" s="111"/>
      <c r="AZ552" s="111"/>
      <c r="BA552" s="111"/>
      <c r="BB552" s="111"/>
      <c r="BC552" s="111"/>
      <c r="BD552" s="111"/>
      <c r="BE552" s="111"/>
      <c r="BF552" s="111"/>
      <c r="BG552" s="111"/>
      <c r="BH552" s="111"/>
      <c r="BI552" s="111"/>
      <c r="BJ552" s="111"/>
      <c r="BK552" s="111"/>
      <c r="BL552" s="111"/>
      <c r="BM552" s="111"/>
      <c r="BN552" s="111"/>
      <c r="BO552" s="111"/>
      <c r="BP552" s="111"/>
      <c r="BQ552" s="111"/>
      <c r="BR552" s="111"/>
      <c r="BS552" s="111"/>
      <c r="BT552" s="111"/>
      <c r="BU552" s="111"/>
      <c r="BV552" s="111"/>
      <c r="BW552" s="111"/>
      <c r="BX552" s="111"/>
      <c r="BY552" s="111"/>
      <c r="BZ552" s="103"/>
    </row>
    <row r="553">
      <c r="A553" s="103"/>
      <c r="B553" s="103"/>
      <c r="C553" s="103"/>
      <c r="D553" s="103"/>
      <c r="E553" s="103"/>
      <c r="F553" s="103"/>
      <c r="G553" s="103"/>
      <c r="H553" s="112"/>
      <c r="I553" s="112"/>
      <c r="J553" s="103"/>
      <c r="K553" s="103"/>
      <c r="L553" s="103"/>
      <c r="N553" s="111"/>
      <c r="O553" s="111"/>
      <c r="P553" s="111"/>
      <c r="Q553" s="111"/>
      <c r="R553" s="111"/>
      <c r="S553" s="111"/>
      <c r="T553" s="111"/>
      <c r="U553" s="111"/>
      <c r="V553" s="111"/>
      <c r="W553" s="111"/>
      <c r="X553" s="111"/>
      <c r="Y553" s="111"/>
      <c r="Z553" s="111"/>
      <c r="AA553" s="111"/>
      <c r="AB553" s="111"/>
      <c r="AC553" s="111"/>
      <c r="AD553" s="111"/>
      <c r="AE553" s="111"/>
      <c r="AF553" s="111"/>
      <c r="AG553" s="111"/>
      <c r="AH553" s="111"/>
      <c r="AI553" s="111"/>
      <c r="AJ553" s="111"/>
      <c r="AK553" s="111"/>
      <c r="AL553" s="111"/>
      <c r="AM553" s="111"/>
      <c r="AN553" s="111"/>
      <c r="AO553" s="111"/>
      <c r="AP553" s="111"/>
      <c r="AQ553" s="111"/>
      <c r="AR553" s="111"/>
      <c r="AS553" s="111"/>
      <c r="AT553" s="111"/>
      <c r="AU553" s="111"/>
      <c r="AV553" s="111"/>
      <c r="AW553" s="111"/>
      <c r="AX553" s="111"/>
      <c r="AY553" s="111"/>
      <c r="AZ553" s="111"/>
      <c r="BA553" s="111"/>
      <c r="BB553" s="111"/>
      <c r="BC553" s="111"/>
      <c r="BD553" s="111"/>
      <c r="BE553" s="111"/>
      <c r="BF553" s="111"/>
      <c r="BG553" s="111"/>
      <c r="BH553" s="111"/>
      <c r="BI553" s="111"/>
      <c r="BJ553" s="111"/>
      <c r="BK553" s="111"/>
      <c r="BL553" s="111"/>
      <c r="BM553" s="111"/>
      <c r="BN553" s="111"/>
      <c r="BO553" s="111"/>
      <c r="BP553" s="111"/>
      <c r="BQ553" s="111"/>
      <c r="BR553" s="111"/>
      <c r="BS553" s="111"/>
      <c r="BT553" s="111"/>
      <c r="BU553" s="111"/>
      <c r="BV553" s="111"/>
      <c r="BW553" s="111"/>
      <c r="BX553" s="111"/>
      <c r="BY553" s="111"/>
      <c r="BZ553" s="103"/>
    </row>
    <row r="554">
      <c r="A554" s="103"/>
      <c r="B554" s="103"/>
      <c r="C554" s="103"/>
      <c r="D554" s="103"/>
      <c r="E554" s="103"/>
      <c r="F554" s="103"/>
      <c r="G554" s="103"/>
      <c r="H554" s="112"/>
      <c r="I554" s="112"/>
      <c r="J554" s="103"/>
      <c r="K554" s="103"/>
      <c r="L554" s="103"/>
      <c r="N554" s="111"/>
      <c r="O554" s="111"/>
      <c r="P554" s="111"/>
      <c r="Q554" s="111"/>
      <c r="R554" s="111"/>
      <c r="S554" s="111"/>
      <c r="T554" s="111"/>
      <c r="U554" s="111"/>
      <c r="V554" s="111"/>
      <c r="W554" s="111"/>
      <c r="X554" s="111"/>
      <c r="Y554" s="111"/>
      <c r="Z554" s="111"/>
      <c r="AA554" s="111"/>
      <c r="AB554" s="111"/>
      <c r="AC554" s="111"/>
      <c r="AD554" s="111"/>
      <c r="AE554" s="111"/>
      <c r="AF554" s="111"/>
      <c r="AG554" s="111"/>
      <c r="AH554" s="111"/>
      <c r="AI554" s="111"/>
      <c r="AJ554" s="111"/>
      <c r="AK554" s="111"/>
      <c r="AL554" s="111"/>
      <c r="AM554" s="111"/>
      <c r="AN554" s="111"/>
      <c r="AO554" s="111"/>
      <c r="AP554" s="111"/>
      <c r="AQ554" s="111"/>
      <c r="AR554" s="111"/>
      <c r="AS554" s="111"/>
      <c r="AT554" s="111"/>
      <c r="AU554" s="111"/>
      <c r="AV554" s="111"/>
      <c r="AW554" s="111"/>
      <c r="AX554" s="111"/>
      <c r="AY554" s="111"/>
      <c r="AZ554" s="111"/>
      <c r="BA554" s="111"/>
      <c r="BB554" s="111"/>
      <c r="BC554" s="111"/>
      <c r="BD554" s="111"/>
      <c r="BE554" s="111"/>
      <c r="BF554" s="111"/>
      <c r="BG554" s="111"/>
      <c r="BH554" s="111"/>
      <c r="BI554" s="111"/>
      <c r="BJ554" s="111"/>
      <c r="BK554" s="111"/>
      <c r="BL554" s="111"/>
      <c r="BM554" s="111"/>
      <c r="BN554" s="111"/>
      <c r="BO554" s="111"/>
      <c r="BP554" s="111"/>
      <c r="BQ554" s="111"/>
      <c r="BR554" s="111"/>
      <c r="BS554" s="111"/>
      <c r="BT554" s="111"/>
      <c r="BU554" s="111"/>
      <c r="BV554" s="111"/>
      <c r="BW554" s="111"/>
      <c r="BX554" s="111"/>
      <c r="BY554" s="111"/>
      <c r="BZ554" s="103"/>
    </row>
    <row r="555">
      <c r="A555" s="103"/>
      <c r="B555" s="103"/>
      <c r="C555" s="103"/>
      <c r="D555" s="103"/>
      <c r="E555" s="103"/>
      <c r="F555" s="103"/>
      <c r="G555" s="103"/>
      <c r="H555" s="112"/>
      <c r="I555" s="112"/>
      <c r="J555" s="103"/>
      <c r="K555" s="103"/>
      <c r="L555" s="103"/>
      <c r="N555" s="111"/>
      <c r="O555" s="111"/>
      <c r="P555" s="111"/>
      <c r="Q555" s="111"/>
      <c r="R555" s="111"/>
      <c r="S555" s="111"/>
      <c r="T555" s="111"/>
      <c r="U555" s="111"/>
      <c r="V555" s="111"/>
      <c r="W555" s="111"/>
      <c r="X555" s="111"/>
      <c r="Y555" s="111"/>
      <c r="Z555" s="111"/>
      <c r="AA555" s="111"/>
      <c r="AB555" s="111"/>
      <c r="AC555" s="111"/>
      <c r="AD555" s="111"/>
      <c r="AE555" s="111"/>
      <c r="AF555" s="111"/>
      <c r="AG555" s="111"/>
      <c r="AH555" s="111"/>
      <c r="AI555" s="111"/>
      <c r="AJ555" s="111"/>
      <c r="AK555" s="111"/>
      <c r="AL555" s="111"/>
      <c r="AM555" s="111"/>
      <c r="AN555" s="111"/>
      <c r="AO555" s="111"/>
      <c r="AP555" s="111"/>
      <c r="AQ555" s="111"/>
      <c r="AR555" s="111"/>
      <c r="AS555" s="111"/>
      <c r="AT555" s="111"/>
      <c r="AU555" s="111"/>
      <c r="AV555" s="111"/>
      <c r="AW555" s="111"/>
      <c r="AX555" s="111"/>
      <c r="AY555" s="111"/>
      <c r="AZ555" s="111"/>
      <c r="BA555" s="111"/>
      <c r="BB555" s="111"/>
      <c r="BC555" s="111"/>
      <c r="BD555" s="111"/>
      <c r="BE555" s="111"/>
      <c r="BF555" s="111"/>
      <c r="BG555" s="111"/>
      <c r="BH555" s="111"/>
      <c r="BI555" s="111"/>
      <c r="BJ555" s="111"/>
      <c r="BK555" s="111"/>
      <c r="BL555" s="111"/>
      <c r="BM555" s="111"/>
      <c r="BN555" s="111"/>
      <c r="BO555" s="111"/>
      <c r="BP555" s="111"/>
      <c r="BQ555" s="111"/>
      <c r="BR555" s="111"/>
      <c r="BS555" s="111"/>
      <c r="BT555" s="111"/>
      <c r="BU555" s="111"/>
      <c r="BV555" s="111"/>
      <c r="BW555" s="111"/>
      <c r="BX555" s="111"/>
      <c r="BY555" s="111"/>
      <c r="BZ555" s="103"/>
    </row>
    <row r="556">
      <c r="A556" s="103"/>
      <c r="B556" s="103"/>
      <c r="C556" s="103"/>
      <c r="D556" s="103"/>
      <c r="E556" s="103"/>
      <c r="F556" s="103"/>
      <c r="G556" s="103"/>
      <c r="H556" s="112"/>
      <c r="I556" s="112"/>
      <c r="J556" s="103"/>
      <c r="K556" s="103"/>
      <c r="L556" s="103"/>
      <c r="N556" s="111"/>
      <c r="O556" s="111"/>
      <c r="P556" s="111"/>
      <c r="Q556" s="111"/>
      <c r="R556" s="111"/>
      <c r="S556" s="111"/>
      <c r="T556" s="111"/>
      <c r="U556" s="111"/>
      <c r="V556" s="111"/>
      <c r="W556" s="111"/>
      <c r="X556" s="111"/>
      <c r="Y556" s="111"/>
      <c r="Z556" s="111"/>
      <c r="AA556" s="111"/>
      <c r="AB556" s="111"/>
      <c r="AC556" s="111"/>
      <c r="AD556" s="111"/>
      <c r="AE556" s="111"/>
      <c r="AF556" s="111"/>
      <c r="AG556" s="111"/>
      <c r="AH556" s="111"/>
      <c r="AI556" s="111"/>
      <c r="AJ556" s="111"/>
      <c r="AK556" s="111"/>
      <c r="AL556" s="111"/>
      <c r="AM556" s="111"/>
      <c r="AN556" s="111"/>
      <c r="AO556" s="111"/>
      <c r="AP556" s="111"/>
      <c r="AQ556" s="111"/>
      <c r="AR556" s="111"/>
      <c r="AS556" s="111"/>
      <c r="AT556" s="111"/>
      <c r="AU556" s="111"/>
      <c r="AV556" s="111"/>
      <c r="AW556" s="111"/>
      <c r="AX556" s="111"/>
      <c r="AY556" s="111"/>
      <c r="AZ556" s="111"/>
      <c r="BA556" s="111"/>
      <c r="BB556" s="111"/>
      <c r="BC556" s="111"/>
      <c r="BD556" s="111"/>
      <c r="BE556" s="111"/>
      <c r="BF556" s="111"/>
      <c r="BG556" s="111"/>
      <c r="BH556" s="111"/>
      <c r="BI556" s="111"/>
      <c r="BJ556" s="111"/>
      <c r="BK556" s="111"/>
      <c r="BL556" s="111"/>
      <c r="BM556" s="111"/>
      <c r="BN556" s="111"/>
      <c r="BO556" s="111"/>
      <c r="BP556" s="111"/>
      <c r="BQ556" s="111"/>
      <c r="BR556" s="111"/>
      <c r="BS556" s="111"/>
      <c r="BT556" s="111"/>
      <c r="BU556" s="111"/>
      <c r="BV556" s="111"/>
      <c r="BW556" s="111"/>
      <c r="BX556" s="111"/>
      <c r="BY556" s="111"/>
      <c r="BZ556" s="103"/>
    </row>
    <row r="557">
      <c r="A557" s="103"/>
      <c r="B557" s="103"/>
      <c r="C557" s="103"/>
      <c r="D557" s="103"/>
      <c r="E557" s="103"/>
      <c r="F557" s="103"/>
      <c r="G557" s="103"/>
      <c r="H557" s="112"/>
      <c r="I557" s="112"/>
      <c r="J557" s="103"/>
      <c r="K557" s="103"/>
      <c r="L557" s="103"/>
      <c r="N557" s="111"/>
      <c r="O557" s="111"/>
      <c r="P557" s="111"/>
      <c r="Q557" s="111"/>
      <c r="R557" s="111"/>
      <c r="S557" s="111"/>
      <c r="T557" s="111"/>
      <c r="U557" s="111"/>
      <c r="V557" s="111"/>
      <c r="W557" s="111"/>
      <c r="X557" s="111"/>
      <c r="Y557" s="111"/>
      <c r="Z557" s="111"/>
      <c r="AA557" s="111"/>
      <c r="AB557" s="111"/>
      <c r="AC557" s="111"/>
      <c r="AD557" s="111"/>
      <c r="AE557" s="111"/>
      <c r="AF557" s="111"/>
      <c r="AG557" s="111"/>
      <c r="AH557" s="111"/>
      <c r="AI557" s="111"/>
      <c r="AJ557" s="111"/>
      <c r="AK557" s="111"/>
      <c r="AL557" s="111"/>
      <c r="AM557" s="111"/>
      <c r="AN557" s="111"/>
      <c r="AO557" s="111"/>
      <c r="AP557" s="111"/>
      <c r="AQ557" s="111"/>
      <c r="AR557" s="111"/>
      <c r="AS557" s="111"/>
      <c r="AT557" s="111"/>
      <c r="AU557" s="111"/>
      <c r="AV557" s="111"/>
      <c r="AW557" s="111"/>
      <c r="AX557" s="111"/>
      <c r="AY557" s="111"/>
      <c r="AZ557" s="111"/>
      <c r="BA557" s="111"/>
      <c r="BB557" s="111"/>
      <c r="BC557" s="111"/>
      <c r="BD557" s="111"/>
      <c r="BE557" s="111"/>
      <c r="BF557" s="111"/>
      <c r="BG557" s="111"/>
      <c r="BH557" s="111"/>
      <c r="BI557" s="111"/>
      <c r="BJ557" s="111"/>
      <c r="BK557" s="111"/>
      <c r="BL557" s="111"/>
      <c r="BM557" s="111"/>
      <c r="BN557" s="111"/>
      <c r="BO557" s="111"/>
      <c r="BP557" s="111"/>
      <c r="BQ557" s="111"/>
      <c r="BR557" s="111"/>
      <c r="BS557" s="111"/>
      <c r="BT557" s="111"/>
      <c r="BU557" s="111"/>
      <c r="BV557" s="111"/>
      <c r="BW557" s="111"/>
      <c r="BX557" s="111"/>
      <c r="BY557" s="111"/>
      <c r="BZ557" s="103"/>
    </row>
    <row r="558">
      <c r="H558" s="113"/>
      <c r="I558" s="113"/>
      <c r="K558" s="7"/>
    </row>
    <row r="559">
      <c r="H559" s="113"/>
      <c r="I559" s="113"/>
      <c r="K559" s="7"/>
    </row>
    <row r="560">
      <c r="H560" s="113"/>
      <c r="I560" s="113"/>
    </row>
    <row r="561">
      <c r="H561" s="113"/>
      <c r="I561" s="113"/>
    </row>
    <row r="562">
      <c r="H562" s="113"/>
      <c r="I562" s="113"/>
    </row>
    <row r="563">
      <c r="H563" s="113"/>
      <c r="I563" s="113"/>
    </row>
    <row r="564">
      <c r="H564" s="113"/>
      <c r="I564" s="113"/>
    </row>
    <row r="565">
      <c r="H565" s="113"/>
      <c r="I565" s="113"/>
    </row>
    <row r="566">
      <c r="H566" s="113"/>
      <c r="I566" s="113"/>
    </row>
    <row r="567">
      <c r="H567" s="113"/>
      <c r="I567" s="113"/>
    </row>
    <row r="568">
      <c r="H568" s="113"/>
      <c r="I568" s="113"/>
    </row>
    <row r="569">
      <c r="H569" s="113"/>
      <c r="I569" s="113"/>
    </row>
    <row r="570">
      <c r="H570" s="113"/>
      <c r="I570" s="113"/>
    </row>
    <row r="571">
      <c r="H571" s="113"/>
      <c r="I571" s="113"/>
    </row>
    <row r="572">
      <c r="H572" s="113"/>
      <c r="I572" s="113"/>
    </row>
    <row r="573">
      <c r="H573" s="113"/>
      <c r="I573" s="113"/>
    </row>
    <row r="574">
      <c r="H574" s="113"/>
      <c r="I574" s="113"/>
    </row>
    <row r="575">
      <c r="H575" s="113"/>
      <c r="I575" s="113"/>
    </row>
    <row r="576">
      <c r="H576" s="113"/>
      <c r="I576" s="113"/>
    </row>
    <row r="577">
      <c r="H577" s="113"/>
      <c r="I577" s="113"/>
    </row>
    <row r="578">
      <c r="H578" s="113"/>
      <c r="I578" s="113"/>
    </row>
    <row r="579">
      <c r="H579" s="113"/>
      <c r="I579" s="113"/>
    </row>
    <row r="580">
      <c r="H580" s="113"/>
      <c r="I580" s="113"/>
    </row>
    <row r="581">
      <c r="H581" s="113"/>
      <c r="I581" s="113"/>
    </row>
    <row r="582">
      <c r="H582" s="113"/>
      <c r="I582" s="113"/>
    </row>
    <row r="583">
      <c r="H583" s="113"/>
      <c r="I583" s="113"/>
    </row>
    <row r="584">
      <c r="H584" s="113"/>
      <c r="I584" s="113"/>
    </row>
    <row r="585">
      <c r="H585" s="113"/>
      <c r="I585" s="113"/>
    </row>
    <row r="586">
      <c r="H586" s="113"/>
      <c r="I586" s="113"/>
    </row>
    <row r="587">
      <c r="H587" s="113"/>
      <c r="I587" s="113"/>
    </row>
    <row r="588">
      <c r="H588" s="113"/>
      <c r="I588" s="113"/>
    </row>
    <row r="589">
      <c r="H589" s="113"/>
      <c r="I589" s="113"/>
    </row>
    <row r="590">
      <c r="H590" s="113"/>
      <c r="I590" s="113"/>
    </row>
    <row r="591">
      <c r="H591" s="113"/>
      <c r="I591" s="113"/>
    </row>
    <row r="592">
      <c r="H592" s="113"/>
      <c r="I592" s="113"/>
    </row>
    <row r="593">
      <c r="H593" s="113"/>
      <c r="I593" s="113"/>
    </row>
    <row r="594">
      <c r="H594" s="113"/>
      <c r="I594" s="113"/>
    </row>
    <row r="595">
      <c r="H595" s="113"/>
      <c r="I595" s="113"/>
    </row>
    <row r="596">
      <c r="H596" s="113"/>
      <c r="I596" s="113"/>
    </row>
    <row r="597">
      <c r="H597" s="113"/>
      <c r="I597" s="113"/>
    </row>
    <row r="598">
      <c r="H598" s="113"/>
      <c r="I598" s="113"/>
    </row>
    <row r="599">
      <c r="H599" s="113"/>
      <c r="I599" s="113"/>
    </row>
    <row r="600">
      <c r="H600" s="113"/>
      <c r="I600" s="113"/>
    </row>
    <row r="601">
      <c r="H601" s="113"/>
      <c r="I601" s="113"/>
    </row>
    <row r="602">
      <c r="H602" s="113"/>
      <c r="I602" s="113"/>
    </row>
    <row r="603">
      <c r="H603" s="113"/>
      <c r="I603" s="113"/>
    </row>
    <row r="604">
      <c r="H604" s="113"/>
      <c r="I604" s="113"/>
    </row>
    <row r="605">
      <c r="H605" s="113"/>
      <c r="I605" s="113"/>
    </row>
    <row r="606">
      <c r="H606" s="113"/>
      <c r="I606" s="113"/>
    </row>
    <row r="607">
      <c r="H607" s="113"/>
      <c r="I607" s="113"/>
    </row>
    <row r="608">
      <c r="H608" s="113"/>
      <c r="I608" s="113"/>
    </row>
    <row r="609">
      <c r="H609" s="113"/>
      <c r="I609" s="113"/>
    </row>
    <row r="610">
      <c r="H610" s="113"/>
      <c r="I610" s="113"/>
    </row>
    <row r="611">
      <c r="H611" s="113"/>
      <c r="I611" s="113"/>
    </row>
    <row r="612">
      <c r="H612" s="113"/>
      <c r="I612" s="113"/>
    </row>
    <row r="613">
      <c r="H613" s="113"/>
      <c r="I613" s="113"/>
    </row>
    <row r="614">
      <c r="H614" s="113"/>
      <c r="I614" s="113"/>
    </row>
    <row r="615">
      <c r="H615" s="113"/>
      <c r="I615" s="113"/>
    </row>
    <row r="616">
      <c r="H616" s="113"/>
      <c r="I616" s="113"/>
    </row>
    <row r="617">
      <c r="H617" s="113"/>
      <c r="I617" s="113"/>
    </row>
    <row r="618">
      <c r="H618" s="113"/>
      <c r="I618" s="113"/>
    </row>
    <row r="619">
      <c r="H619" s="113"/>
      <c r="I619" s="113"/>
    </row>
    <row r="620">
      <c r="H620" s="113"/>
      <c r="I620" s="113"/>
    </row>
    <row r="621">
      <c r="H621" s="113"/>
      <c r="I621" s="113"/>
    </row>
    <row r="622">
      <c r="H622" s="113"/>
      <c r="I622" s="113"/>
    </row>
    <row r="623">
      <c r="H623" s="113"/>
      <c r="I623" s="113"/>
    </row>
    <row r="624">
      <c r="H624" s="113"/>
      <c r="I624" s="113"/>
    </row>
    <row r="625">
      <c r="H625" s="113"/>
      <c r="I625" s="113"/>
    </row>
    <row r="626">
      <c r="H626" s="113"/>
      <c r="I626" s="113"/>
    </row>
    <row r="627">
      <c r="H627" s="113"/>
      <c r="I627" s="113"/>
    </row>
    <row r="628">
      <c r="H628" s="113"/>
      <c r="I628" s="113"/>
    </row>
    <row r="629">
      <c r="H629" s="113"/>
      <c r="I629" s="113"/>
    </row>
    <row r="630">
      <c r="H630" s="113"/>
      <c r="I630" s="113"/>
    </row>
    <row r="631">
      <c r="H631" s="113"/>
      <c r="I631" s="113"/>
    </row>
    <row r="632">
      <c r="H632" s="113"/>
      <c r="I632" s="113"/>
    </row>
    <row r="633">
      <c r="H633" s="113"/>
      <c r="I633" s="113"/>
    </row>
    <row r="634">
      <c r="H634" s="113"/>
      <c r="I634" s="113"/>
    </row>
    <row r="635">
      <c r="H635" s="113"/>
      <c r="I635" s="113"/>
    </row>
    <row r="636">
      <c r="H636" s="113"/>
      <c r="I636" s="113"/>
    </row>
    <row r="637">
      <c r="H637" s="113"/>
      <c r="I637" s="113"/>
    </row>
    <row r="638">
      <c r="H638" s="113"/>
      <c r="I638" s="113"/>
    </row>
    <row r="639">
      <c r="H639" s="113"/>
      <c r="I639" s="113"/>
    </row>
    <row r="640">
      <c r="H640" s="113"/>
      <c r="I640" s="113"/>
    </row>
    <row r="641">
      <c r="H641" s="113"/>
      <c r="I641" s="113"/>
    </row>
    <row r="642">
      <c r="H642" s="113"/>
      <c r="I642" s="113"/>
    </row>
    <row r="643">
      <c r="H643" s="113"/>
      <c r="I643" s="113"/>
    </row>
    <row r="644">
      <c r="H644" s="113"/>
      <c r="I644" s="113"/>
    </row>
    <row r="645">
      <c r="H645" s="113"/>
      <c r="I645" s="113"/>
    </row>
    <row r="646">
      <c r="H646" s="113"/>
      <c r="I646" s="113"/>
    </row>
    <row r="647">
      <c r="H647" s="113"/>
      <c r="I647" s="113"/>
    </row>
    <row r="648">
      <c r="H648" s="113"/>
      <c r="I648" s="113"/>
    </row>
    <row r="649">
      <c r="H649" s="113"/>
      <c r="I649" s="113"/>
    </row>
    <row r="650">
      <c r="H650" s="113"/>
      <c r="I650" s="113"/>
    </row>
    <row r="651">
      <c r="H651" s="113"/>
      <c r="I651" s="113"/>
    </row>
    <row r="652">
      <c r="H652" s="113"/>
      <c r="I652" s="113"/>
    </row>
    <row r="653">
      <c r="H653" s="113"/>
      <c r="I653" s="113"/>
    </row>
    <row r="654">
      <c r="H654" s="113"/>
      <c r="I654" s="113"/>
    </row>
    <row r="655">
      <c r="H655" s="113"/>
      <c r="I655" s="113"/>
    </row>
    <row r="656">
      <c r="H656" s="113"/>
      <c r="I656" s="113"/>
    </row>
    <row r="657">
      <c r="H657" s="113"/>
      <c r="I657" s="113"/>
    </row>
    <row r="658">
      <c r="H658" s="113"/>
      <c r="I658" s="113"/>
    </row>
    <row r="659">
      <c r="H659" s="113"/>
      <c r="I659" s="113"/>
    </row>
    <row r="660">
      <c r="H660" s="113"/>
      <c r="I660" s="113"/>
    </row>
    <row r="661">
      <c r="H661" s="113"/>
      <c r="I661" s="113"/>
    </row>
    <row r="662">
      <c r="H662" s="113"/>
      <c r="I662" s="113"/>
    </row>
    <row r="663">
      <c r="H663" s="113"/>
      <c r="I663" s="113"/>
    </row>
    <row r="664">
      <c r="H664" s="113"/>
      <c r="I664" s="113"/>
    </row>
    <row r="665">
      <c r="H665" s="113"/>
      <c r="I665" s="113"/>
    </row>
    <row r="666">
      <c r="H666" s="113"/>
      <c r="I666" s="113"/>
    </row>
    <row r="667">
      <c r="H667" s="113"/>
      <c r="I667" s="113"/>
    </row>
    <row r="668">
      <c r="H668" s="113"/>
      <c r="I668" s="113"/>
    </row>
    <row r="669">
      <c r="H669" s="113"/>
      <c r="I669" s="113"/>
    </row>
    <row r="670">
      <c r="H670" s="113"/>
      <c r="I670" s="113"/>
    </row>
    <row r="671">
      <c r="H671" s="113"/>
      <c r="I671" s="113"/>
    </row>
    <row r="672">
      <c r="H672" s="113"/>
      <c r="I672" s="113"/>
    </row>
    <row r="673">
      <c r="H673" s="113"/>
      <c r="I673" s="113"/>
    </row>
    <row r="674">
      <c r="H674" s="113"/>
      <c r="I674" s="113"/>
    </row>
    <row r="675">
      <c r="H675" s="113"/>
      <c r="I675" s="113"/>
    </row>
    <row r="676">
      <c r="H676" s="113"/>
      <c r="I676" s="113"/>
    </row>
    <row r="677">
      <c r="H677" s="113"/>
      <c r="I677" s="113"/>
    </row>
    <row r="678">
      <c r="H678" s="113"/>
      <c r="I678" s="113"/>
    </row>
    <row r="679">
      <c r="H679" s="113"/>
      <c r="I679" s="113"/>
    </row>
    <row r="680">
      <c r="H680" s="113"/>
      <c r="I680" s="113"/>
    </row>
    <row r="681">
      <c r="H681" s="113"/>
      <c r="I681" s="113"/>
    </row>
    <row r="682">
      <c r="H682" s="113"/>
      <c r="I682" s="113"/>
    </row>
    <row r="683">
      <c r="H683" s="113"/>
      <c r="I683" s="113"/>
    </row>
    <row r="684">
      <c r="H684" s="113"/>
      <c r="I684" s="113"/>
    </row>
    <row r="685">
      <c r="H685" s="113"/>
      <c r="I685" s="113"/>
    </row>
    <row r="686">
      <c r="H686" s="113"/>
      <c r="I686" s="113"/>
    </row>
    <row r="687">
      <c r="H687" s="113"/>
      <c r="I687" s="113"/>
    </row>
    <row r="688">
      <c r="H688" s="113"/>
      <c r="I688" s="113"/>
    </row>
    <row r="689">
      <c r="H689" s="113"/>
      <c r="I689" s="113"/>
    </row>
    <row r="690">
      <c r="H690" s="113"/>
      <c r="I690" s="113"/>
    </row>
    <row r="691">
      <c r="H691" s="113"/>
      <c r="I691" s="113"/>
    </row>
    <row r="692">
      <c r="H692" s="113"/>
      <c r="I692" s="113"/>
    </row>
    <row r="693">
      <c r="H693" s="113"/>
      <c r="I693" s="113"/>
    </row>
    <row r="694">
      <c r="H694" s="113"/>
      <c r="I694" s="113"/>
    </row>
    <row r="695">
      <c r="H695" s="113"/>
      <c r="I695" s="113"/>
    </row>
    <row r="696">
      <c r="H696" s="113"/>
      <c r="I696" s="113"/>
    </row>
    <row r="697">
      <c r="H697" s="113"/>
      <c r="I697" s="113"/>
    </row>
    <row r="698">
      <c r="H698" s="113"/>
      <c r="I698" s="113"/>
    </row>
    <row r="699">
      <c r="H699" s="113"/>
      <c r="I699" s="113"/>
    </row>
    <row r="700">
      <c r="H700" s="113"/>
      <c r="I700" s="113"/>
    </row>
    <row r="701">
      <c r="H701" s="113"/>
      <c r="I701" s="113"/>
    </row>
    <row r="702">
      <c r="H702" s="113"/>
      <c r="I702" s="113"/>
    </row>
    <row r="703">
      <c r="H703" s="113"/>
      <c r="I703" s="113"/>
    </row>
    <row r="704">
      <c r="H704" s="113"/>
      <c r="I704" s="113"/>
    </row>
    <row r="705">
      <c r="H705" s="113"/>
      <c r="I705" s="113"/>
    </row>
    <row r="706">
      <c r="H706" s="113"/>
      <c r="I706" s="113"/>
    </row>
    <row r="707">
      <c r="H707" s="113"/>
      <c r="I707" s="113"/>
    </row>
    <row r="708">
      <c r="H708" s="113"/>
      <c r="I708" s="113"/>
    </row>
    <row r="709">
      <c r="H709" s="113"/>
      <c r="I709" s="113"/>
    </row>
    <row r="710">
      <c r="H710" s="113"/>
      <c r="I710" s="113"/>
    </row>
    <row r="711">
      <c r="H711" s="113"/>
      <c r="I711" s="113"/>
    </row>
    <row r="712">
      <c r="H712" s="113"/>
      <c r="I712" s="113"/>
    </row>
    <row r="713">
      <c r="H713" s="113"/>
      <c r="I713" s="113"/>
    </row>
    <row r="714">
      <c r="H714" s="113"/>
      <c r="I714" s="113"/>
    </row>
    <row r="715">
      <c r="H715" s="113"/>
      <c r="I715" s="113"/>
    </row>
    <row r="716">
      <c r="H716" s="113"/>
      <c r="I716" s="113"/>
    </row>
    <row r="717">
      <c r="H717" s="113"/>
      <c r="I717" s="113"/>
    </row>
    <row r="718">
      <c r="H718" s="113"/>
      <c r="I718" s="113"/>
    </row>
    <row r="719">
      <c r="H719" s="113"/>
      <c r="I719" s="113"/>
    </row>
    <row r="720">
      <c r="H720" s="113"/>
      <c r="I720" s="113"/>
    </row>
    <row r="721">
      <c r="H721" s="113"/>
      <c r="I721" s="113"/>
    </row>
    <row r="722">
      <c r="H722" s="113"/>
      <c r="I722" s="113"/>
    </row>
    <row r="723">
      <c r="H723" s="113"/>
      <c r="I723" s="113"/>
    </row>
    <row r="724">
      <c r="H724" s="113"/>
      <c r="I724" s="113"/>
    </row>
    <row r="725">
      <c r="H725" s="113"/>
      <c r="I725" s="113"/>
    </row>
    <row r="726">
      <c r="H726" s="113"/>
      <c r="I726" s="113"/>
    </row>
    <row r="727">
      <c r="H727" s="113"/>
      <c r="I727" s="113"/>
    </row>
    <row r="728">
      <c r="H728" s="113"/>
      <c r="I728" s="113"/>
    </row>
    <row r="729">
      <c r="H729" s="113"/>
      <c r="I729" s="113"/>
    </row>
    <row r="730">
      <c r="H730" s="113"/>
      <c r="I730" s="113"/>
    </row>
    <row r="731">
      <c r="H731" s="113"/>
      <c r="I731" s="113"/>
    </row>
    <row r="732">
      <c r="H732" s="113"/>
      <c r="I732" s="113"/>
    </row>
    <row r="733">
      <c r="H733" s="113"/>
      <c r="I733" s="113"/>
    </row>
    <row r="734">
      <c r="H734" s="113"/>
      <c r="I734" s="113"/>
    </row>
    <row r="735">
      <c r="H735" s="113"/>
      <c r="I735" s="113"/>
    </row>
    <row r="736">
      <c r="H736" s="113"/>
      <c r="I736" s="113"/>
    </row>
    <row r="737">
      <c r="H737" s="113"/>
      <c r="I737" s="113"/>
    </row>
    <row r="738">
      <c r="H738" s="113"/>
      <c r="I738" s="113"/>
    </row>
    <row r="739">
      <c r="H739" s="113"/>
      <c r="I739" s="113"/>
    </row>
    <row r="740">
      <c r="H740" s="113"/>
      <c r="I740" s="113"/>
    </row>
    <row r="741">
      <c r="H741" s="113"/>
      <c r="I741" s="113"/>
    </row>
    <row r="742">
      <c r="H742" s="113"/>
      <c r="I742" s="113"/>
    </row>
    <row r="743">
      <c r="H743" s="113"/>
      <c r="I743" s="113"/>
    </row>
    <row r="744">
      <c r="H744" s="113"/>
      <c r="I744" s="113"/>
    </row>
    <row r="745">
      <c r="H745" s="113"/>
      <c r="I745" s="113"/>
    </row>
    <row r="746">
      <c r="H746" s="113"/>
      <c r="I746" s="113"/>
    </row>
    <row r="747">
      <c r="H747" s="113"/>
      <c r="I747" s="113"/>
    </row>
    <row r="748">
      <c r="H748" s="113"/>
      <c r="I748" s="113"/>
    </row>
    <row r="749">
      <c r="H749" s="113"/>
      <c r="I749" s="113"/>
    </row>
    <row r="750">
      <c r="H750" s="113"/>
      <c r="I750" s="113"/>
    </row>
    <row r="751">
      <c r="H751" s="113"/>
      <c r="I751" s="113"/>
    </row>
    <row r="752">
      <c r="H752" s="113"/>
      <c r="I752" s="113"/>
    </row>
    <row r="753">
      <c r="H753" s="113"/>
      <c r="I753" s="113"/>
    </row>
    <row r="754">
      <c r="H754" s="113"/>
      <c r="I754" s="113"/>
    </row>
    <row r="755">
      <c r="H755" s="113"/>
      <c r="I755" s="113"/>
    </row>
    <row r="756">
      <c r="H756" s="113"/>
      <c r="I756" s="113"/>
    </row>
    <row r="757">
      <c r="H757" s="113"/>
      <c r="I757" s="113"/>
    </row>
    <row r="758">
      <c r="H758" s="113"/>
      <c r="I758" s="113"/>
    </row>
    <row r="759">
      <c r="H759" s="113"/>
      <c r="I759" s="113"/>
    </row>
    <row r="760">
      <c r="H760" s="113"/>
      <c r="I760" s="113"/>
    </row>
    <row r="761">
      <c r="H761" s="113"/>
      <c r="I761" s="113"/>
    </row>
    <row r="762">
      <c r="H762" s="113"/>
      <c r="I762" s="113"/>
    </row>
    <row r="763">
      <c r="H763" s="113"/>
      <c r="I763" s="113"/>
    </row>
    <row r="764">
      <c r="H764" s="113"/>
      <c r="I764" s="113"/>
    </row>
    <row r="765">
      <c r="H765" s="113"/>
      <c r="I765" s="113"/>
    </row>
    <row r="766">
      <c r="H766" s="113"/>
      <c r="I766" s="113"/>
    </row>
    <row r="767">
      <c r="H767" s="113"/>
      <c r="I767" s="113"/>
    </row>
    <row r="768">
      <c r="H768" s="113"/>
      <c r="I768" s="113"/>
    </row>
    <row r="769">
      <c r="H769" s="113"/>
      <c r="I769" s="113"/>
    </row>
    <row r="770">
      <c r="H770" s="113"/>
      <c r="I770" s="113"/>
    </row>
    <row r="771">
      <c r="H771" s="113"/>
      <c r="I771" s="113"/>
    </row>
    <row r="772">
      <c r="H772" s="113"/>
      <c r="I772" s="113"/>
    </row>
    <row r="773">
      <c r="H773" s="113"/>
      <c r="I773" s="113"/>
    </row>
    <row r="774">
      <c r="H774" s="113"/>
      <c r="I774" s="113"/>
    </row>
    <row r="775">
      <c r="H775" s="113"/>
      <c r="I775" s="113"/>
    </row>
    <row r="776">
      <c r="H776" s="113"/>
      <c r="I776" s="113"/>
    </row>
    <row r="777">
      <c r="H777" s="113"/>
      <c r="I777" s="113"/>
    </row>
    <row r="778">
      <c r="H778" s="113"/>
      <c r="I778" s="113"/>
    </row>
    <row r="779">
      <c r="H779" s="113"/>
      <c r="I779" s="113"/>
    </row>
    <row r="780">
      <c r="H780" s="113"/>
      <c r="I780" s="113"/>
    </row>
    <row r="781">
      <c r="H781" s="113"/>
      <c r="I781" s="113"/>
    </row>
    <row r="782">
      <c r="H782" s="113"/>
      <c r="I782" s="113"/>
    </row>
    <row r="783">
      <c r="H783" s="113"/>
      <c r="I783" s="113"/>
    </row>
    <row r="784">
      <c r="H784" s="113"/>
      <c r="I784" s="113"/>
    </row>
    <row r="785">
      <c r="H785" s="113"/>
      <c r="I785" s="113"/>
    </row>
    <row r="786">
      <c r="H786" s="113"/>
      <c r="I786" s="113"/>
    </row>
    <row r="787">
      <c r="H787" s="113"/>
      <c r="I787" s="113"/>
    </row>
    <row r="788">
      <c r="H788" s="113"/>
      <c r="I788" s="113"/>
    </row>
    <row r="789">
      <c r="H789" s="113"/>
      <c r="I789" s="113"/>
    </row>
    <row r="790">
      <c r="H790" s="113"/>
      <c r="I790" s="113"/>
    </row>
    <row r="791">
      <c r="H791" s="113"/>
      <c r="I791" s="113"/>
    </row>
    <row r="792">
      <c r="H792" s="113"/>
      <c r="I792" s="113"/>
    </row>
    <row r="793">
      <c r="H793" s="113"/>
      <c r="I793" s="113"/>
    </row>
    <row r="794">
      <c r="H794" s="113"/>
      <c r="I794" s="113"/>
    </row>
    <row r="795">
      <c r="H795" s="113"/>
      <c r="I795" s="113"/>
    </row>
    <row r="796">
      <c r="H796" s="113"/>
      <c r="I796" s="113"/>
    </row>
    <row r="797">
      <c r="H797" s="113"/>
      <c r="I797" s="113"/>
    </row>
    <row r="798">
      <c r="H798" s="113"/>
      <c r="I798" s="113"/>
    </row>
    <row r="799">
      <c r="H799" s="113"/>
      <c r="I799" s="113"/>
    </row>
    <row r="800">
      <c r="H800" s="113"/>
      <c r="I800" s="113"/>
    </row>
    <row r="801">
      <c r="H801" s="113"/>
      <c r="I801" s="113"/>
    </row>
    <row r="802">
      <c r="H802" s="113"/>
      <c r="I802" s="113"/>
    </row>
    <row r="803">
      <c r="H803" s="113"/>
      <c r="I803" s="113"/>
    </row>
    <row r="804">
      <c r="H804" s="113"/>
      <c r="I804" s="113"/>
    </row>
    <row r="805">
      <c r="H805" s="113"/>
      <c r="I805" s="113"/>
    </row>
    <row r="806">
      <c r="H806" s="113"/>
      <c r="I806" s="113"/>
    </row>
    <row r="807">
      <c r="H807" s="113"/>
      <c r="I807" s="113"/>
    </row>
    <row r="808">
      <c r="H808" s="113"/>
      <c r="I808" s="113"/>
    </row>
    <row r="809">
      <c r="H809" s="113"/>
      <c r="I809" s="113"/>
    </row>
    <row r="810">
      <c r="H810" s="113"/>
      <c r="I810" s="113"/>
    </row>
    <row r="811">
      <c r="H811" s="113"/>
      <c r="I811" s="113"/>
    </row>
    <row r="812">
      <c r="H812" s="113"/>
      <c r="I812" s="113"/>
    </row>
    <row r="813">
      <c r="H813" s="113"/>
      <c r="I813" s="113"/>
    </row>
    <row r="814">
      <c r="H814" s="113"/>
      <c r="I814" s="113"/>
    </row>
    <row r="815">
      <c r="H815" s="113"/>
      <c r="I815" s="113"/>
    </row>
    <row r="816">
      <c r="H816" s="113"/>
      <c r="I816" s="113"/>
    </row>
    <row r="817">
      <c r="H817" s="113"/>
      <c r="I817" s="113"/>
    </row>
    <row r="818">
      <c r="H818" s="113"/>
      <c r="I818" s="113"/>
    </row>
    <row r="819">
      <c r="H819" s="113"/>
      <c r="I819" s="113"/>
    </row>
    <row r="820">
      <c r="H820" s="113"/>
      <c r="I820" s="113"/>
    </row>
    <row r="821">
      <c r="H821" s="113"/>
      <c r="I821" s="113"/>
    </row>
    <row r="822">
      <c r="H822" s="113"/>
      <c r="I822" s="113"/>
    </row>
    <row r="823">
      <c r="H823" s="113"/>
      <c r="I823" s="113"/>
    </row>
    <row r="824">
      <c r="H824" s="113"/>
      <c r="I824" s="113"/>
    </row>
    <row r="825">
      <c r="H825" s="113"/>
      <c r="I825" s="113"/>
    </row>
    <row r="826">
      <c r="H826" s="113"/>
      <c r="I826" s="113"/>
    </row>
    <row r="827">
      <c r="H827" s="113"/>
      <c r="I827" s="113"/>
    </row>
    <row r="828">
      <c r="H828" s="113"/>
      <c r="I828" s="113"/>
    </row>
    <row r="829">
      <c r="H829" s="113"/>
      <c r="I829" s="113"/>
    </row>
    <row r="830">
      <c r="H830" s="113"/>
      <c r="I830" s="113"/>
    </row>
    <row r="831">
      <c r="H831" s="113"/>
      <c r="I831" s="113"/>
    </row>
    <row r="832">
      <c r="H832" s="113"/>
      <c r="I832" s="113"/>
    </row>
    <row r="833">
      <c r="H833" s="113"/>
      <c r="I833" s="113"/>
    </row>
    <row r="834">
      <c r="H834" s="113"/>
      <c r="I834" s="113"/>
    </row>
    <row r="835">
      <c r="H835" s="113"/>
      <c r="I835" s="113"/>
    </row>
    <row r="836">
      <c r="H836" s="113"/>
      <c r="I836" s="113"/>
    </row>
    <row r="837">
      <c r="H837" s="113"/>
      <c r="I837" s="113"/>
    </row>
    <row r="838">
      <c r="H838" s="113"/>
      <c r="I838" s="113"/>
    </row>
    <row r="839">
      <c r="H839" s="113"/>
      <c r="I839" s="113"/>
    </row>
    <row r="840">
      <c r="H840" s="113"/>
      <c r="I840" s="113"/>
    </row>
    <row r="841">
      <c r="H841" s="113"/>
      <c r="I841" s="113"/>
    </row>
    <row r="842">
      <c r="H842" s="113"/>
      <c r="I842" s="113"/>
    </row>
    <row r="843">
      <c r="H843" s="113"/>
      <c r="I843" s="113"/>
    </row>
    <row r="844">
      <c r="H844" s="113"/>
      <c r="I844" s="113"/>
    </row>
    <row r="845">
      <c r="H845" s="113"/>
      <c r="I845" s="113"/>
    </row>
    <row r="846">
      <c r="H846" s="113"/>
      <c r="I846" s="113"/>
    </row>
    <row r="847">
      <c r="H847" s="113"/>
      <c r="I847" s="113"/>
    </row>
    <row r="848">
      <c r="H848" s="113"/>
      <c r="I848" s="113"/>
    </row>
    <row r="849">
      <c r="H849" s="113"/>
      <c r="I849" s="113"/>
    </row>
    <row r="850">
      <c r="H850" s="113"/>
      <c r="I850" s="113"/>
    </row>
    <row r="851">
      <c r="H851" s="113"/>
      <c r="I851" s="113"/>
    </row>
    <row r="852">
      <c r="H852" s="113"/>
      <c r="I852" s="113"/>
    </row>
    <row r="853">
      <c r="H853" s="113"/>
      <c r="I853" s="113"/>
    </row>
    <row r="854">
      <c r="H854" s="113"/>
      <c r="I854" s="113"/>
    </row>
    <row r="855">
      <c r="H855" s="113"/>
      <c r="I855" s="113"/>
    </row>
    <row r="856">
      <c r="H856" s="113"/>
      <c r="I856" s="113"/>
    </row>
    <row r="857">
      <c r="H857" s="113"/>
      <c r="I857" s="113"/>
    </row>
    <row r="858">
      <c r="H858" s="113"/>
      <c r="I858" s="113"/>
    </row>
    <row r="859">
      <c r="H859" s="113"/>
      <c r="I859" s="113"/>
    </row>
    <row r="860">
      <c r="H860" s="113"/>
      <c r="I860" s="113"/>
    </row>
    <row r="861">
      <c r="H861" s="113"/>
      <c r="I861" s="113"/>
    </row>
    <row r="862">
      <c r="H862" s="113"/>
      <c r="I862" s="113"/>
    </row>
    <row r="863">
      <c r="H863" s="113"/>
      <c r="I863" s="113"/>
    </row>
    <row r="864">
      <c r="H864" s="113"/>
      <c r="I864" s="113"/>
    </row>
    <row r="865">
      <c r="H865" s="113"/>
      <c r="I865" s="113"/>
    </row>
    <row r="866">
      <c r="H866" s="113"/>
      <c r="I866" s="113"/>
    </row>
    <row r="867">
      <c r="H867" s="113"/>
      <c r="I867" s="113"/>
    </row>
    <row r="868">
      <c r="H868" s="113"/>
      <c r="I868" s="113"/>
    </row>
    <row r="869">
      <c r="H869" s="113"/>
      <c r="I869" s="113"/>
    </row>
    <row r="870">
      <c r="H870" s="113"/>
      <c r="I870" s="113"/>
    </row>
    <row r="871">
      <c r="H871" s="113"/>
      <c r="I871" s="113"/>
    </row>
    <row r="872">
      <c r="H872" s="113"/>
      <c r="I872" s="113"/>
    </row>
    <row r="873">
      <c r="H873" s="113"/>
      <c r="I873" s="113"/>
    </row>
    <row r="874">
      <c r="H874" s="113"/>
      <c r="I874" s="113"/>
    </row>
    <row r="875">
      <c r="H875" s="113"/>
      <c r="I875" s="113"/>
    </row>
    <row r="876">
      <c r="H876" s="113"/>
      <c r="I876" s="113"/>
    </row>
    <row r="877">
      <c r="H877" s="113"/>
      <c r="I877" s="113"/>
    </row>
    <row r="878">
      <c r="H878" s="113"/>
      <c r="I878" s="113"/>
    </row>
    <row r="879">
      <c r="H879" s="113"/>
      <c r="I879" s="113"/>
    </row>
    <row r="880">
      <c r="H880" s="113"/>
      <c r="I880" s="113"/>
    </row>
    <row r="881">
      <c r="H881" s="113"/>
      <c r="I881" s="113"/>
    </row>
    <row r="882">
      <c r="H882" s="113"/>
      <c r="I882" s="113"/>
    </row>
    <row r="883">
      <c r="H883" s="113"/>
      <c r="I883" s="113"/>
    </row>
    <row r="884">
      <c r="H884" s="113"/>
      <c r="I884" s="113"/>
    </row>
    <row r="885">
      <c r="H885" s="113"/>
      <c r="I885" s="113"/>
    </row>
    <row r="886">
      <c r="H886" s="113"/>
      <c r="I886" s="113"/>
    </row>
    <row r="887">
      <c r="H887" s="113"/>
      <c r="I887" s="113"/>
    </row>
    <row r="888">
      <c r="H888" s="113"/>
      <c r="I888" s="113"/>
    </row>
    <row r="889">
      <c r="H889" s="113"/>
      <c r="I889" s="113"/>
    </row>
    <row r="890">
      <c r="H890" s="113"/>
      <c r="I890" s="113"/>
    </row>
    <row r="891">
      <c r="H891" s="113"/>
      <c r="I891" s="113"/>
    </row>
    <row r="892">
      <c r="H892" s="113"/>
      <c r="I892" s="113"/>
    </row>
    <row r="893">
      <c r="H893" s="113"/>
      <c r="I893" s="113"/>
    </row>
    <row r="894">
      <c r="H894" s="113"/>
      <c r="I894" s="113"/>
    </row>
    <row r="895">
      <c r="H895" s="113"/>
      <c r="I895" s="113"/>
    </row>
    <row r="896">
      <c r="H896" s="113"/>
      <c r="I896" s="113"/>
    </row>
    <row r="897">
      <c r="H897" s="113"/>
      <c r="I897" s="113"/>
    </row>
    <row r="898">
      <c r="H898" s="113"/>
      <c r="I898" s="113"/>
    </row>
    <row r="899">
      <c r="H899" s="113"/>
      <c r="I899" s="113"/>
    </row>
    <row r="900">
      <c r="H900" s="113"/>
      <c r="I900" s="113"/>
    </row>
    <row r="901">
      <c r="H901" s="113"/>
      <c r="I901" s="113"/>
    </row>
    <row r="902">
      <c r="H902" s="113"/>
      <c r="I902" s="113"/>
    </row>
    <row r="903">
      <c r="H903" s="113"/>
      <c r="I903" s="113"/>
    </row>
    <row r="904">
      <c r="H904" s="113"/>
      <c r="I904" s="113"/>
    </row>
    <row r="905">
      <c r="H905" s="113"/>
      <c r="I905" s="113"/>
    </row>
    <row r="906">
      <c r="H906" s="113"/>
      <c r="I906" s="113"/>
    </row>
    <row r="907">
      <c r="H907" s="113"/>
      <c r="I907" s="113"/>
    </row>
    <row r="908">
      <c r="H908" s="113"/>
      <c r="I908" s="113"/>
    </row>
    <row r="909">
      <c r="H909" s="113"/>
      <c r="I909" s="113"/>
    </row>
    <row r="910">
      <c r="H910" s="113"/>
      <c r="I910" s="113"/>
    </row>
    <row r="911">
      <c r="H911" s="113"/>
      <c r="I911" s="113"/>
    </row>
    <row r="912">
      <c r="H912" s="113"/>
      <c r="I912" s="113"/>
    </row>
    <row r="913">
      <c r="H913" s="113"/>
      <c r="I913" s="113"/>
    </row>
    <row r="914">
      <c r="H914" s="113"/>
      <c r="I914" s="113"/>
    </row>
    <row r="915">
      <c r="H915" s="113"/>
      <c r="I915" s="113"/>
    </row>
    <row r="916">
      <c r="H916" s="113"/>
      <c r="I916" s="113"/>
    </row>
    <row r="917">
      <c r="H917" s="113"/>
      <c r="I917" s="113"/>
    </row>
    <row r="918">
      <c r="H918" s="113"/>
      <c r="I918" s="113"/>
    </row>
    <row r="919">
      <c r="H919" s="113"/>
      <c r="I919" s="113"/>
    </row>
    <row r="920">
      <c r="H920" s="113"/>
      <c r="I920" s="113"/>
    </row>
    <row r="921">
      <c r="H921" s="113"/>
      <c r="I921" s="113"/>
    </row>
    <row r="922">
      <c r="H922" s="113"/>
      <c r="I922" s="113"/>
    </row>
    <row r="923">
      <c r="H923" s="113"/>
      <c r="I923" s="113"/>
    </row>
    <row r="924">
      <c r="H924" s="113"/>
      <c r="I924" s="113"/>
    </row>
    <row r="925">
      <c r="H925" s="113"/>
      <c r="I925" s="113"/>
    </row>
    <row r="926">
      <c r="H926" s="113"/>
      <c r="I926" s="113"/>
    </row>
    <row r="927">
      <c r="H927" s="113"/>
      <c r="I927" s="113"/>
    </row>
    <row r="928">
      <c r="H928" s="113"/>
      <c r="I928" s="113"/>
    </row>
    <row r="929">
      <c r="H929" s="113"/>
      <c r="I929" s="113"/>
    </row>
    <row r="930">
      <c r="H930" s="113"/>
      <c r="I930" s="113"/>
    </row>
    <row r="931">
      <c r="H931" s="113"/>
      <c r="I931" s="113"/>
    </row>
    <row r="932">
      <c r="H932" s="113"/>
      <c r="I932" s="113"/>
    </row>
    <row r="933">
      <c r="H933" s="113"/>
      <c r="I933" s="113"/>
    </row>
    <row r="934">
      <c r="H934" s="113"/>
      <c r="I934" s="113"/>
    </row>
    <row r="935">
      <c r="H935" s="113"/>
      <c r="I935" s="113"/>
    </row>
    <row r="936">
      <c r="H936" s="113"/>
      <c r="I936" s="113"/>
    </row>
    <row r="937">
      <c r="H937" s="113"/>
      <c r="I937" s="113"/>
    </row>
    <row r="938">
      <c r="H938" s="113"/>
      <c r="I938" s="113"/>
    </row>
    <row r="939">
      <c r="H939" s="113"/>
      <c r="I939" s="113"/>
    </row>
    <row r="940">
      <c r="H940" s="113"/>
      <c r="I940" s="113"/>
    </row>
    <row r="941">
      <c r="H941" s="113"/>
      <c r="I941" s="113"/>
    </row>
    <row r="942">
      <c r="H942" s="113"/>
      <c r="I942" s="113"/>
    </row>
    <row r="943">
      <c r="H943" s="113"/>
      <c r="I943" s="113"/>
    </row>
    <row r="944">
      <c r="H944" s="113"/>
      <c r="I944" s="113"/>
    </row>
    <row r="945">
      <c r="H945" s="113"/>
      <c r="I945" s="113"/>
    </row>
    <row r="946">
      <c r="H946" s="113"/>
      <c r="I946" s="113"/>
    </row>
    <row r="947">
      <c r="H947" s="113"/>
      <c r="I947" s="113"/>
    </row>
    <row r="948">
      <c r="H948" s="113"/>
      <c r="I948" s="113"/>
    </row>
    <row r="949">
      <c r="H949" s="113"/>
      <c r="I949" s="113"/>
    </row>
    <row r="950">
      <c r="H950" s="113"/>
      <c r="I950" s="113"/>
    </row>
    <row r="951">
      <c r="H951" s="113"/>
      <c r="I951" s="113"/>
    </row>
    <row r="952">
      <c r="H952" s="113"/>
      <c r="I952" s="113"/>
    </row>
    <row r="953">
      <c r="H953" s="113"/>
      <c r="I953" s="113"/>
    </row>
    <row r="954">
      <c r="H954" s="113"/>
      <c r="I954" s="113"/>
    </row>
    <row r="955">
      <c r="H955" s="113"/>
      <c r="I955" s="113"/>
    </row>
    <row r="956">
      <c r="H956" s="113"/>
      <c r="I956" s="113"/>
    </row>
    <row r="957">
      <c r="H957" s="113"/>
      <c r="I957" s="113"/>
    </row>
    <row r="958">
      <c r="H958" s="113"/>
      <c r="I958" s="113"/>
    </row>
    <row r="959">
      <c r="H959" s="113"/>
      <c r="I959" s="113"/>
    </row>
    <row r="960">
      <c r="H960" s="113"/>
      <c r="I960" s="113"/>
    </row>
    <row r="961">
      <c r="H961" s="113"/>
      <c r="I961" s="113"/>
    </row>
    <row r="962">
      <c r="H962" s="113"/>
      <c r="I962" s="113"/>
    </row>
    <row r="963">
      <c r="H963" s="113"/>
      <c r="I963" s="113"/>
    </row>
    <row r="964">
      <c r="H964" s="113"/>
      <c r="I964" s="113"/>
    </row>
    <row r="965">
      <c r="H965" s="113"/>
      <c r="I965" s="113"/>
    </row>
    <row r="966">
      <c r="H966" s="113"/>
      <c r="I966" s="113"/>
    </row>
    <row r="967">
      <c r="H967" s="113"/>
      <c r="I967" s="113"/>
    </row>
    <row r="968">
      <c r="H968" s="113"/>
      <c r="I968" s="113"/>
    </row>
    <row r="969">
      <c r="H969" s="113"/>
      <c r="I969" s="113"/>
    </row>
    <row r="970">
      <c r="H970" s="113"/>
      <c r="I970" s="113"/>
    </row>
    <row r="971">
      <c r="H971" s="113"/>
      <c r="I971" s="113"/>
    </row>
    <row r="972">
      <c r="H972" s="113"/>
      <c r="I972" s="113"/>
    </row>
    <row r="973">
      <c r="H973" s="113"/>
      <c r="I973" s="113"/>
    </row>
    <row r="974">
      <c r="H974" s="113"/>
      <c r="I974" s="113"/>
    </row>
    <row r="975">
      <c r="H975" s="113"/>
      <c r="I975" s="113"/>
    </row>
    <row r="976">
      <c r="H976" s="113"/>
      <c r="I976" s="113"/>
    </row>
    <row r="977">
      <c r="H977" s="113"/>
      <c r="I977" s="113"/>
    </row>
    <row r="978">
      <c r="H978" s="113"/>
      <c r="I978" s="113"/>
    </row>
    <row r="979">
      <c r="H979" s="113"/>
      <c r="I979" s="113"/>
    </row>
    <row r="980">
      <c r="H980" s="113"/>
      <c r="I980" s="113"/>
    </row>
    <row r="981">
      <c r="H981" s="113"/>
      <c r="I981" s="113"/>
    </row>
    <row r="982">
      <c r="H982" s="113"/>
      <c r="I982" s="113"/>
    </row>
    <row r="983">
      <c r="H983" s="113"/>
      <c r="I983" s="113"/>
    </row>
    <row r="984">
      <c r="H984" s="113"/>
      <c r="I984" s="113"/>
    </row>
    <row r="985">
      <c r="H985" s="113"/>
      <c r="I985" s="113"/>
    </row>
    <row r="986">
      <c r="H986" s="113"/>
      <c r="I986" s="113"/>
    </row>
    <row r="987">
      <c r="H987" s="113"/>
      <c r="I987" s="113"/>
    </row>
    <row r="988">
      <c r="H988" s="113"/>
      <c r="I988" s="113"/>
    </row>
    <row r="989">
      <c r="H989" s="113"/>
      <c r="I989" s="113"/>
    </row>
    <row r="990">
      <c r="H990" s="113"/>
      <c r="I990" s="113"/>
    </row>
    <row r="991">
      <c r="H991" s="113"/>
      <c r="I991" s="113"/>
    </row>
    <row r="992">
      <c r="H992" s="113"/>
      <c r="I992" s="113"/>
    </row>
    <row r="993">
      <c r="H993" s="113"/>
      <c r="I993" s="113"/>
    </row>
    <row r="994">
      <c r="H994" s="113"/>
      <c r="I994" s="113"/>
    </row>
    <row r="995">
      <c r="H995" s="113"/>
      <c r="I995" s="113"/>
    </row>
    <row r="996">
      <c r="H996" s="113"/>
      <c r="I996" s="113"/>
    </row>
    <row r="997">
      <c r="H997" s="113"/>
      <c r="I997" s="113"/>
    </row>
    <row r="998">
      <c r="H998" s="113"/>
      <c r="I998" s="113"/>
    </row>
    <row r="999">
      <c r="H999" s="113"/>
      <c r="I999" s="113"/>
    </row>
    <row r="1000">
      <c r="H1000" s="113"/>
      <c r="I1000" s="113"/>
    </row>
  </sheetData>
  <autoFilter ref="$A$2:$BZ$489"/>
  <mergeCells count="1029">
    <mergeCell ref="L156:N156"/>
    <mergeCell ref="L157:N157"/>
    <mergeCell ref="L158:N158"/>
    <mergeCell ref="L159:N159"/>
    <mergeCell ref="L160:N160"/>
    <mergeCell ref="L161:N161"/>
    <mergeCell ref="L162:N162"/>
    <mergeCell ref="L163:N163"/>
    <mergeCell ref="L164:N164"/>
    <mergeCell ref="L165:N165"/>
    <mergeCell ref="L166:N166"/>
    <mergeCell ref="L167:N167"/>
    <mergeCell ref="L168:N168"/>
    <mergeCell ref="L169:N169"/>
    <mergeCell ref="L170:O170"/>
    <mergeCell ref="L171:O171"/>
    <mergeCell ref="L172:O172"/>
    <mergeCell ref="L173:O173"/>
    <mergeCell ref="L174:O174"/>
    <mergeCell ref="L175:O175"/>
    <mergeCell ref="L176:O176"/>
    <mergeCell ref="L177:O177"/>
    <mergeCell ref="L178:O178"/>
    <mergeCell ref="L179:O179"/>
    <mergeCell ref="L180:O180"/>
    <mergeCell ref="L181:O181"/>
    <mergeCell ref="L182:O182"/>
    <mergeCell ref="L183:O183"/>
    <mergeCell ref="L184:O184"/>
    <mergeCell ref="L185:O185"/>
    <mergeCell ref="L186:O186"/>
    <mergeCell ref="L187:O187"/>
    <mergeCell ref="L188:O188"/>
    <mergeCell ref="L189:O189"/>
    <mergeCell ref="L190:O190"/>
    <mergeCell ref="L191:O191"/>
    <mergeCell ref="L192:P192"/>
    <mergeCell ref="L193:N193"/>
    <mergeCell ref="L194:N194"/>
    <mergeCell ref="L195:N195"/>
    <mergeCell ref="L196:N196"/>
    <mergeCell ref="L198:N198"/>
    <mergeCell ref="L199:N199"/>
    <mergeCell ref="L200:N200"/>
    <mergeCell ref="L201:N201"/>
    <mergeCell ref="L202:M202"/>
    <mergeCell ref="L203:M203"/>
    <mergeCell ref="L204:N204"/>
    <mergeCell ref="L205:N205"/>
    <mergeCell ref="L248:M248"/>
    <mergeCell ref="L249:M249"/>
    <mergeCell ref="L250:O250"/>
    <mergeCell ref="L251:O251"/>
    <mergeCell ref="L252:O252"/>
    <mergeCell ref="L253:O253"/>
    <mergeCell ref="L254:O254"/>
    <mergeCell ref="L255:O255"/>
    <mergeCell ref="L256:O256"/>
    <mergeCell ref="L257:O257"/>
    <mergeCell ref="L258:O258"/>
    <mergeCell ref="L259:O259"/>
    <mergeCell ref="L260:N260"/>
    <mergeCell ref="L261:N261"/>
    <mergeCell ref="L276:M276"/>
    <mergeCell ref="L277:M277"/>
    <mergeCell ref="L278:M278"/>
    <mergeCell ref="L279:M279"/>
    <mergeCell ref="L280:M280"/>
    <mergeCell ref="L269:M269"/>
    <mergeCell ref="L270:M270"/>
    <mergeCell ref="L271:M271"/>
    <mergeCell ref="L272:M272"/>
    <mergeCell ref="L273:M273"/>
    <mergeCell ref="L274:M274"/>
    <mergeCell ref="L275:M275"/>
    <mergeCell ref="L206:N206"/>
    <mergeCell ref="L207:N207"/>
    <mergeCell ref="L208:N208"/>
    <mergeCell ref="L209:N209"/>
    <mergeCell ref="L210:O210"/>
    <mergeCell ref="L211:O211"/>
    <mergeCell ref="L212:O212"/>
    <mergeCell ref="L213:O213"/>
    <mergeCell ref="L214:O214"/>
    <mergeCell ref="L215:O215"/>
    <mergeCell ref="L216:O216"/>
    <mergeCell ref="L217:O217"/>
    <mergeCell ref="L218:M218"/>
    <mergeCell ref="L219:M219"/>
    <mergeCell ref="L220:M220"/>
    <mergeCell ref="L221:M221"/>
    <mergeCell ref="L222:M222"/>
    <mergeCell ref="L223:M223"/>
    <mergeCell ref="L224:M224"/>
    <mergeCell ref="L225:M225"/>
    <mergeCell ref="L226:M226"/>
    <mergeCell ref="L227:M227"/>
    <mergeCell ref="L228:N228"/>
    <mergeCell ref="L229:N229"/>
    <mergeCell ref="L230:N230"/>
    <mergeCell ref="L231:N231"/>
    <mergeCell ref="L232:N232"/>
    <mergeCell ref="L233:N233"/>
    <mergeCell ref="L234:N234"/>
    <mergeCell ref="L235:M235"/>
    <mergeCell ref="L236:N236"/>
    <mergeCell ref="L237:N237"/>
    <mergeCell ref="L238:N238"/>
    <mergeCell ref="L239:N239"/>
    <mergeCell ref="L240:N240"/>
    <mergeCell ref="L241:N241"/>
    <mergeCell ref="L242:N242"/>
    <mergeCell ref="L243:N243"/>
    <mergeCell ref="L244:N244"/>
    <mergeCell ref="L245:N245"/>
    <mergeCell ref="L246:M246"/>
    <mergeCell ref="L247:M247"/>
    <mergeCell ref="L262:N262"/>
    <mergeCell ref="L263:N263"/>
    <mergeCell ref="L264:N264"/>
    <mergeCell ref="L265:N265"/>
    <mergeCell ref="L266:N266"/>
    <mergeCell ref="L267:N267"/>
    <mergeCell ref="L268:N268"/>
    <mergeCell ref="AO231:AU231"/>
    <mergeCell ref="AO232:AU232"/>
    <mergeCell ref="AO233:AT233"/>
    <mergeCell ref="AO234:AS234"/>
    <mergeCell ref="AP235:AT235"/>
    <mergeCell ref="AQ236:AU236"/>
    <mergeCell ref="AQ237:AV237"/>
    <mergeCell ref="AQ238:AV238"/>
    <mergeCell ref="AQ239:AW239"/>
    <mergeCell ref="AQ240:AV240"/>
    <mergeCell ref="AQ241:AU241"/>
    <mergeCell ref="AQ242:AV242"/>
    <mergeCell ref="AQ243:AV243"/>
    <mergeCell ref="AQ244:AW244"/>
    <mergeCell ref="AQ245:AV245"/>
    <mergeCell ref="AR246:AW246"/>
    <mergeCell ref="AR247:AW247"/>
    <mergeCell ref="AR248:AX248"/>
    <mergeCell ref="AR249:AV249"/>
    <mergeCell ref="AS250:AY250"/>
    <mergeCell ref="AS251:AZ251"/>
    <mergeCell ref="AS252:AY252"/>
    <mergeCell ref="AS253:AY253"/>
    <mergeCell ref="AS254:AZ254"/>
    <mergeCell ref="AS255:AY255"/>
    <mergeCell ref="AS256:AZ256"/>
    <mergeCell ref="AS257:AY257"/>
    <mergeCell ref="AS258:AZ258"/>
    <mergeCell ref="AS259:AY259"/>
    <mergeCell ref="AT260:AZ260"/>
    <mergeCell ref="AT261:AZ261"/>
    <mergeCell ref="AT262:BA262"/>
    <mergeCell ref="AT263:AZ263"/>
    <mergeCell ref="AT264:AY264"/>
    <mergeCell ref="AT265:AY265"/>
    <mergeCell ref="AT266:AY266"/>
    <mergeCell ref="AT267:AY267"/>
    <mergeCell ref="AT268:AY268"/>
    <mergeCell ref="AU269:AY269"/>
    <mergeCell ref="AU270:AZ270"/>
    <mergeCell ref="AU271:AY271"/>
    <mergeCell ref="AU272:AY272"/>
    <mergeCell ref="AU273:AZ273"/>
    <mergeCell ref="AU274:AZ274"/>
    <mergeCell ref="AU275:AZ275"/>
    <mergeCell ref="AU276:AZ276"/>
    <mergeCell ref="AU277:AZ277"/>
    <mergeCell ref="AU278:AZ278"/>
    <mergeCell ref="AU279:AZ279"/>
    <mergeCell ref="AU280:AY280"/>
    <mergeCell ref="AV281:BD281"/>
    <mergeCell ref="AV282:BE282"/>
    <mergeCell ref="AV283:BD283"/>
    <mergeCell ref="AV284:BD284"/>
    <mergeCell ref="AV285:BD285"/>
    <mergeCell ref="AV286:BE286"/>
    <mergeCell ref="AV287:BC287"/>
    <mergeCell ref="AV288:BD288"/>
    <mergeCell ref="AV289:BD289"/>
    <mergeCell ref="AV290:BD290"/>
    <mergeCell ref="AW291:BF291"/>
    <mergeCell ref="AW292:BE292"/>
    <mergeCell ref="AW293:BE293"/>
    <mergeCell ref="AW294:BD294"/>
    <mergeCell ref="AX295:BE295"/>
    <mergeCell ref="AX296:BE296"/>
    <mergeCell ref="AX297:BE297"/>
    <mergeCell ref="AX298:BD298"/>
    <mergeCell ref="AX299:BD299"/>
    <mergeCell ref="AX300:BE300"/>
    <mergeCell ref="AX301:BE301"/>
    <mergeCell ref="AX302:BF302"/>
    <mergeCell ref="AX303:BF303"/>
    <mergeCell ref="AX304:BE304"/>
    <mergeCell ref="AX305:BF305"/>
    <mergeCell ref="AX306:BF306"/>
    <mergeCell ref="AX307:BF307"/>
    <mergeCell ref="AX308:BF308"/>
    <mergeCell ref="AX309:BF309"/>
    <mergeCell ref="AX310:BE310"/>
    <mergeCell ref="AX311:BE311"/>
    <mergeCell ref="AX312:BE312"/>
    <mergeCell ref="AX313:BE313"/>
    <mergeCell ref="AX314:BE314"/>
    <mergeCell ref="AX315:BE315"/>
    <mergeCell ref="AX316:BF316"/>
    <mergeCell ref="AX317:BF317"/>
    <mergeCell ref="AX318:BE318"/>
    <mergeCell ref="AX319:BE319"/>
    <mergeCell ref="AX320:BD320"/>
    <mergeCell ref="AX321:BE321"/>
    <mergeCell ref="AY322:BB322"/>
    <mergeCell ref="AZ323:BF323"/>
    <mergeCell ref="AZ324:BF324"/>
    <mergeCell ref="AZ325:BF325"/>
    <mergeCell ref="AZ326:BE326"/>
    <mergeCell ref="AZ327:BD327"/>
    <mergeCell ref="AZ328:BE328"/>
    <mergeCell ref="BA329:BF329"/>
    <mergeCell ref="BB330:BG330"/>
    <mergeCell ref="BB331:BH331"/>
    <mergeCell ref="BB332:BH332"/>
    <mergeCell ref="BB333:BH333"/>
    <mergeCell ref="BC334:BI334"/>
    <mergeCell ref="BC335:BI335"/>
    <mergeCell ref="BC336:BJ336"/>
    <mergeCell ref="BC337:BI337"/>
    <mergeCell ref="BC338:BI338"/>
    <mergeCell ref="BC339:BI339"/>
    <mergeCell ref="BC340:BH340"/>
    <mergeCell ref="BC341:BI341"/>
    <mergeCell ref="BD342:BH342"/>
    <mergeCell ref="BD343:BI343"/>
    <mergeCell ref="BD344:BI344"/>
    <mergeCell ref="BD345:BI345"/>
    <mergeCell ref="BD346:BI346"/>
    <mergeCell ref="BE347:BJ347"/>
    <mergeCell ref="BE348:BI348"/>
    <mergeCell ref="BE349:BJ349"/>
    <mergeCell ref="BE350:BJ350"/>
    <mergeCell ref="BE351:BJ351"/>
    <mergeCell ref="BE352:BJ352"/>
    <mergeCell ref="BE353:BJ353"/>
    <mergeCell ref="BE354:BJ354"/>
    <mergeCell ref="BF355:BK355"/>
    <mergeCell ref="BF356:BK356"/>
    <mergeCell ref="BF357:BK357"/>
    <mergeCell ref="BF358:BL358"/>
    <mergeCell ref="BF359:BJ359"/>
    <mergeCell ref="BF360:BJ360"/>
    <mergeCell ref="BF361:BL361"/>
    <mergeCell ref="BF362:BL362"/>
    <mergeCell ref="BF363:BM363"/>
    <mergeCell ref="BF364:BK364"/>
    <mergeCell ref="BF365:BL365"/>
    <mergeCell ref="BF366:BL366"/>
    <mergeCell ref="BF367:BK367"/>
    <mergeCell ref="BF368:BM368"/>
    <mergeCell ref="BF369:BK369"/>
    <mergeCell ref="BF370:BL370"/>
    <mergeCell ref="BF371:BJ371"/>
    <mergeCell ref="BG372:BL372"/>
    <mergeCell ref="BG373:BL373"/>
    <mergeCell ref="BG374:BL374"/>
    <mergeCell ref="BG375:BM375"/>
    <mergeCell ref="BH376:BO376"/>
    <mergeCell ref="BH377:BN377"/>
    <mergeCell ref="BH378:BN378"/>
    <mergeCell ref="BH379:BP379"/>
    <mergeCell ref="BH380:BN380"/>
    <mergeCell ref="BH381:BN381"/>
    <mergeCell ref="BH382:BN382"/>
    <mergeCell ref="BH383:BN383"/>
    <mergeCell ref="BH384:BN384"/>
    <mergeCell ref="BH385:BN385"/>
    <mergeCell ref="BH386:BO386"/>
    <mergeCell ref="BH387:BO387"/>
    <mergeCell ref="BH388:BP388"/>
    <mergeCell ref="BH389:BN389"/>
    <mergeCell ref="BH390:BN390"/>
    <mergeCell ref="BH391:BO391"/>
    <mergeCell ref="BH392:BO392"/>
    <mergeCell ref="BH393:BO393"/>
    <mergeCell ref="BH394:BO394"/>
    <mergeCell ref="BI395:BN395"/>
    <mergeCell ref="BI396:BN396"/>
    <mergeCell ref="BI397:BN397"/>
    <mergeCell ref="BI398:BN398"/>
    <mergeCell ref="BI399:BN399"/>
    <mergeCell ref="BI400:BN400"/>
    <mergeCell ref="BI401:BN401"/>
    <mergeCell ref="BI402:BP402"/>
    <mergeCell ref="BI403:BN403"/>
    <mergeCell ref="BI404:BN404"/>
    <mergeCell ref="BI405:BN405"/>
    <mergeCell ref="BI406:BN406"/>
    <mergeCell ref="BI407:BO407"/>
    <mergeCell ref="BJ408:BO408"/>
    <mergeCell ref="BJ409:BN409"/>
    <mergeCell ref="BK410:BO410"/>
    <mergeCell ref="BK411:BO411"/>
    <mergeCell ref="BK412:BO412"/>
    <mergeCell ref="BL413:BO413"/>
    <mergeCell ref="BL414:BP414"/>
    <mergeCell ref="BL415:BP415"/>
    <mergeCell ref="BL416:BP416"/>
    <mergeCell ref="BL417:BP417"/>
    <mergeCell ref="BL418:BP418"/>
    <mergeCell ref="BL419:BP419"/>
    <mergeCell ref="BM434:BP434"/>
    <mergeCell ref="BM435:BP435"/>
    <mergeCell ref="BL420:BO420"/>
    <mergeCell ref="BL421:BQ421"/>
    <mergeCell ref="BL422:BQ422"/>
    <mergeCell ref="BL423:BP423"/>
    <mergeCell ref="BL424:BO424"/>
    <mergeCell ref="BL425:BP425"/>
    <mergeCell ref="BL426:BP426"/>
    <mergeCell ref="BL427:BP427"/>
    <mergeCell ref="BL428:BP428"/>
    <mergeCell ref="BL429:BP429"/>
    <mergeCell ref="BM430:BP430"/>
    <mergeCell ref="BM431:BP431"/>
    <mergeCell ref="BM432:BQ432"/>
    <mergeCell ref="BM433:BP433"/>
    <mergeCell ref="BM436:BQ436"/>
    <mergeCell ref="BM437:BP437"/>
    <mergeCell ref="BM438:BQ438"/>
    <mergeCell ref="BN439:BS439"/>
    <mergeCell ref="BO440:BR440"/>
    <mergeCell ref="BO441:BR441"/>
    <mergeCell ref="BO442:BR442"/>
    <mergeCell ref="BO443:BS443"/>
    <mergeCell ref="BO444:BR444"/>
    <mergeCell ref="BP445:BT445"/>
    <mergeCell ref="BP446:BU446"/>
    <mergeCell ref="BP447:BT447"/>
    <mergeCell ref="BP448:BT448"/>
    <mergeCell ref="BP449:BT449"/>
    <mergeCell ref="BP450:BT450"/>
    <mergeCell ref="BP451:BU451"/>
    <mergeCell ref="BP452:BS452"/>
    <mergeCell ref="BP453:BU453"/>
    <mergeCell ref="BP454:BT454"/>
    <mergeCell ref="BP455:BT455"/>
    <mergeCell ref="BP456:BT456"/>
    <mergeCell ref="BP457:BU457"/>
    <mergeCell ref="BQ458:BV458"/>
    <mergeCell ref="BQ459:BV459"/>
    <mergeCell ref="BQ460:BV460"/>
    <mergeCell ref="BQ461:BV461"/>
    <mergeCell ref="BQ462:BV462"/>
    <mergeCell ref="BQ463:BV463"/>
    <mergeCell ref="BQ464:BU464"/>
    <mergeCell ref="BR465:BZ465"/>
    <mergeCell ref="BR466:BZ466"/>
    <mergeCell ref="BR467:BZ467"/>
    <mergeCell ref="BR468:BY468"/>
    <mergeCell ref="BR469:BY469"/>
    <mergeCell ref="BR470:BY470"/>
    <mergeCell ref="BX520:BZ520"/>
    <mergeCell ref="BX521:BZ521"/>
    <mergeCell ref="BX522:BZ522"/>
    <mergeCell ref="BX523:BZ523"/>
    <mergeCell ref="BX524:BZ524"/>
    <mergeCell ref="BX525:BZ525"/>
    <mergeCell ref="BX526:BZ526"/>
    <mergeCell ref="BX527:BZ527"/>
    <mergeCell ref="BX528:BZ528"/>
    <mergeCell ref="BX529:BZ529"/>
    <mergeCell ref="BX530:BZ530"/>
    <mergeCell ref="BX531:BZ531"/>
    <mergeCell ref="BX532:BZ532"/>
    <mergeCell ref="BX533:BZ533"/>
    <mergeCell ref="BX534:BZ534"/>
    <mergeCell ref="BX535:BZ535"/>
    <mergeCell ref="BX536:BZ536"/>
    <mergeCell ref="BX537:BZ537"/>
    <mergeCell ref="BX538:BZ538"/>
    <mergeCell ref="BX539:BZ539"/>
    <mergeCell ref="BX540:BZ540"/>
    <mergeCell ref="BY548:BZ548"/>
    <mergeCell ref="BY549:BZ549"/>
    <mergeCell ref="BY550:BZ550"/>
    <mergeCell ref="BX541:BZ541"/>
    <mergeCell ref="BX542:BZ542"/>
    <mergeCell ref="BX543:BZ543"/>
    <mergeCell ref="BX544:BZ544"/>
    <mergeCell ref="BY545:BZ545"/>
    <mergeCell ref="BY546:BZ546"/>
    <mergeCell ref="BY547:BZ547"/>
    <mergeCell ref="BR471:BY471"/>
    <mergeCell ref="BR472:BZ472"/>
    <mergeCell ref="BR473:BY473"/>
    <mergeCell ref="BR474:BZ474"/>
    <mergeCell ref="BR475:BY475"/>
    <mergeCell ref="BR476:BX476"/>
    <mergeCell ref="BR477:BY477"/>
    <mergeCell ref="BR478:BY478"/>
    <mergeCell ref="BR479:BX479"/>
    <mergeCell ref="BR480:BX480"/>
    <mergeCell ref="BR481:BY481"/>
    <mergeCell ref="BR482:BY482"/>
    <mergeCell ref="BR483:BX483"/>
    <mergeCell ref="BR484:BX484"/>
    <mergeCell ref="BS485:BV485"/>
    <mergeCell ref="BS486:BX486"/>
    <mergeCell ref="BS487:BV487"/>
    <mergeCell ref="BT488:BW488"/>
    <mergeCell ref="BU489:BZ489"/>
    <mergeCell ref="BU490:BZ490"/>
    <mergeCell ref="BU491:BZ491"/>
    <mergeCell ref="BU492:BZ492"/>
    <mergeCell ref="BU493:BX493"/>
    <mergeCell ref="BU494:BZ494"/>
    <mergeCell ref="BU495:BY495"/>
    <mergeCell ref="BU496:BY496"/>
    <mergeCell ref="BU497:BZ497"/>
    <mergeCell ref="BU498:BX498"/>
    <mergeCell ref="BU499:BZ499"/>
    <mergeCell ref="BU500:BY500"/>
    <mergeCell ref="BU501:BZ501"/>
    <mergeCell ref="BU502:BY502"/>
    <mergeCell ref="BU503:BZ503"/>
    <mergeCell ref="BU504:BY504"/>
    <mergeCell ref="BV505:BZ505"/>
    <mergeCell ref="BW506:BZ506"/>
    <mergeCell ref="BW507:BZ507"/>
    <mergeCell ref="BW508:BZ508"/>
    <mergeCell ref="BW509:BZ509"/>
    <mergeCell ref="BW510:BZ510"/>
    <mergeCell ref="BW511:BZ511"/>
    <mergeCell ref="BW512:BZ512"/>
    <mergeCell ref="BW513:BZ513"/>
    <mergeCell ref="BW514:BZ514"/>
    <mergeCell ref="BW515:BZ515"/>
    <mergeCell ref="BW516:BZ516"/>
    <mergeCell ref="BX517:BZ517"/>
    <mergeCell ref="BX518:BZ518"/>
    <mergeCell ref="BX519:BZ519"/>
    <mergeCell ref="L309:P309"/>
    <mergeCell ref="L310:P310"/>
    <mergeCell ref="L311:P311"/>
    <mergeCell ref="L312:P312"/>
    <mergeCell ref="L313:P313"/>
    <mergeCell ref="L314:P314"/>
    <mergeCell ref="L315:P315"/>
    <mergeCell ref="L316:P316"/>
    <mergeCell ref="L317:P317"/>
    <mergeCell ref="L318:P318"/>
    <mergeCell ref="L319:P319"/>
    <mergeCell ref="L320:P320"/>
    <mergeCell ref="L321:P321"/>
    <mergeCell ref="L322:M322"/>
    <mergeCell ref="L135:M135"/>
    <mergeCell ref="L136:M136"/>
    <mergeCell ref="L137:M137"/>
    <mergeCell ref="L138:N138"/>
    <mergeCell ref="L139:N139"/>
    <mergeCell ref="L140:N140"/>
    <mergeCell ref="L141:N141"/>
    <mergeCell ref="L142:N142"/>
    <mergeCell ref="L143:N143"/>
    <mergeCell ref="L144:M144"/>
    <mergeCell ref="L145:M145"/>
    <mergeCell ref="L146:M146"/>
    <mergeCell ref="L147:M147"/>
    <mergeCell ref="L148:M148"/>
    <mergeCell ref="L281:Q281"/>
    <mergeCell ref="L282:Q282"/>
    <mergeCell ref="L283:Q283"/>
    <mergeCell ref="L284:Q284"/>
    <mergeCell ref="L285:Q285"/>
    <mergeCell ref="L286:Q286"/>
    <mergeCell ref="L287:Q287"/>
    <mergeCell ref="L288:Q288"/>
    <mergeCell ref="L289:Q289"/>
    <mergeCell ref="L290:Q290"/>
    <mergeCell ref="L291:Q291"/>
    <mergeCell ref="L292:Q292"/>
    <mergeCell ref="L293:Q293"/>
    <mergeCell ref="L294:Q294"/>
    <mergeCell ref="L295:P295"/>
    <mergeCell ref="L296:P296"/>
    <mergeCell ref="L297:P297"/>
    <mergeCell ref="L298:P298"/>
    <mergeCell ref="L299:P299"/>
    <mergeCell ref="L300:P300"/>
    <mergeCell ref="L301:P301"/>
    <mergeCell ref="L302:P302"/>
    <mergeCell ref="L303:P303"/>
    <mergeCell ref="L304:P304"/>
    <mergeCell ref="L305:P305"/>
    <mergeCell ref="L306:P306"/>
    <mergeCell ref="L307:P307"/>
    <mergeCell ref="L308:P308"/>
    <mergeCell ref="L323:N323"/>
    <mergeCell ref="L324:N324"/>
    <mergeCell ref="L325:N325"/>
    <mergeCell ref="L326:N326"/>
    <mergeCell ref="L327:N327"/>
    <mergeCell ref="L328:N328"/>
    <mergeCell ref="L329:N329"/>
    <mergeCell ref="L330:O330"/>
    <mergeCell ref="L331:O331"/>
    <mergeCell ref="L332:O332"/>
    <mergeCell ref="L333:O333"/>
    <mergeCell ref="L334:O334"/>
    <mergeCell ref="L335:O335"/>
    <mergeCell ref="L336:O336"/>
    <mergeCell ref="L337:O337"/>
    <mergeCell ref="L338:O338"/>
    <mergeCell ref="L339:O339"/>
    <mergeCell ref="L340:O340"/>
    <mergeCell ref="L341:O341"/>
    <mergeCell ref="L342:N342"/>
    <mergeCell ref="L343:N343"/>
    <mergeCell ref="L344:N344"/>
    <mergeCell ref="L345:N345"/>
    <mergeCell ref="L346:N346"/>
    <mergeCell ref="L347:N347"/>
    <mergeCell ref="L348:N348"/>
    <mergeCell ref="L349:N349"/>
    <mergeCell ref="L350:N350"/>
    <mergeCell ref="L351:N351"/>
    <mergeCell ref="L352:N352"/>
    <mergeCell ref="L353:N353"/>
    <mergeCell ref="L354:N354"/>
    <mergeCell ref="L355:N355"/>
    <mergeCell ref="L356:N356"/>
    <mergeCell ref="L357:N357"/>
    <mergeCell ref="L358:N358"/>
    <mergeCell ref="L359:N359"/>
    <mergeCell ref="L360:N360"/>
    <mergeCell ref="L361:N361"/>
    <mergeCell ref="L362:N362"/>
    <mergeCell ref="L363:N363"/>
    <mergeCell ref="L364:N364"/>
    <mergeCell ref="L365:N365"/>
    <mergeCell ref="L366:N366"/>
    <mergeCell ref="L367:N367"/>
    <mergeCell ref="L368:N368"/>
    <mergeCell ref="L369:N369"/>
    <mergeCell ref="L370:N370"/>
    <mergeCell ref="L371:N371"/>
    <mergeCell ref="L372:N372"/>
    <mergeCell ref="L373:N373"/>
    <mergeCell ref="L374:N374"/>
    <mergeCell ref="L375:N375"/>
    <mergeCell ref="L376:O376"/>
    <mergeCell ref="L377:O377"/>
    <mergeCell ref="L378:O378"/>
    <mergeCell ref="L379:O379"/>
    <mergeCell ref="L380:O380"/>
    <mergeCell ref="L381:O381"/>
    <mergeCell ref="L382:O382"/>
    <mergeCell ref="L383:O383"/>
    <mergeCell ref="L384:O384"/>
    <mergeCell ref="L385:O385"/>
    <mergeCell ref="L386:O386"/>
    <mergeCell ref="L387:O387"/>
    <mergeCell ref="L388:O388"/>
    <mergeCell ref="L389:O389"/>
    <mergeCell ref="L390:O390"/>
    <mergeCell ref="L391:O391"/>
    <mergeCell ref="L392:O392"/>
    <mergeCell ref="L393:O393"/>
    <mergeCell ref="L394:O394"/>
    <mergeCell ref="L395:N395"/>
    <mergeCell ref="L396:N396"/>
    <mergeCell ref="L397:N397"/>
    <mergeCell ref="L398:N398"/>
    <mergeCell ref="L399:N399"/>
    <mergeCell ref="L400:N400"/>
    <mergeCell ref="L401:N401"/>
    <mergeCell ref="L402:N402"/>
    <mergeCell ref="L403:N403"/>
    <mergeCell ref="L404:N404"/>
    <mergeCell ref="L405:N405"/>
    <mergeCell ref="L406:N406"/>
    <mergeCell ref="L407:N407"/>
    <mergeCell ref="L408:N408"/>
    <mergeCell ref="L409:N409"/>
    <mergeCell ref="L410:M410"/>
    <mergeCell ref="L411:M411"/>
    <mergeCell ref="L412:M412"/>
    <mergeCell ref="L413:M413"/>
    <mergeCell ref="L414:M414"/>
    <mergeCell ref="L415:M415"/>
    <mergeCell ref="L416:M416"/>
    <mergeCell ref="L417:M417"/>
    <mergeCell ref="L418:M418"/>
    <mergeCell ref="L419:M419"/>
    <mergeCell ref="L420:M420"/>
    <mergeCell ref="L421:M421"/>
    <mergeCell ref="L422:M422"/>
    <mergeCell ref="L423:M423"/>
    <mergeCell ref="L424:M424"/>
    <mergeCell ref="L425:M425"/>
    <mergeCell ref="L426:M426"/>
    <mergeCell ref="L427:M427"/>
    <mergeCell ref="L428:M428"/>
    <mergeCell ref="L429:M429"/>
    <mergeCell ref="L430:M430"/>
    <mergeCell ref="L431:M431"/>
    <mergeCell ref="L432:M432"/>
    <mergeCell ref="L433:M433"/>
    <mergeCell ref="L434:M434"/>
    <mergeCell ref="L435:M435"/>
    <mergeCell ref="L436:M436"/>
    <mergeCell ref="L437:M437"/>
    <mergeCell ref="L438:M438"/>
    <mergeCell ref="L439:M439"/>
    <mergeCell ref="L440:M440"/>
    <mergeCell ref="L441:M441"/>
    <mergeCell ref="L442:M442"/>
    <mergeCell ref="L443:M443"/>
    <mergeCell ref="L444:M444"/>
    <mergeCell ref="L445:M445"/>
    <mergeCell ref="L446:M446"/>
    <mergeCell ref="L447:M447"/>
    <mergeCell ref="L448:M448"/>
    <mergeCell ref="L449:M449"/>
    <mergeCell ref="L450:M450"/>
    <mergeCell ref="L451:M451"/>
    <mergeCell ref="L452:M452"/>
    <mergeCell ref="L453:M453"/>
    <mergeCell ref="L454:M454"/>
    <mergeCell ref="L455:M455"/>
    <mergeCell ref="L456:M456"/>
    <mergeCell ref="L457:M457"/>
    <mergeCell ref="L458:N458"/>
    <mergeCell ref="L459:N459"/>
    <mergeCell ref="L460:N460"/>
    <mergeCell ref="L461:N461"/>
    <mergeCell ref="L462:N462"/>
    <mergeCell ref="L463:N463"/>
    <mergeCell ref="L464:N464"/>
    <mergeCell ref="L465:O465"/>
    <mergeCell ref="L466:O466"/>
    <mergeCell ref="L467:O467"/>
    <mergeCell ref="L468:O468"/>
    <mergeCell ref="L469:O469"/>
    <mergeCell ref="L470:O470"/>
    <mergeCell ref="L471:O471"/>
    <mergeCell ref="L472:O472"/>
    <mergeCell ref="L473:O473"/>
    <mergeCell ref="L474:O474"/>
    <mergeCell ref="L475:O475"/>
    <mergeCell ref="L476:O476"/>
    <mergeCell ref="L477:O477"/>
    <mergeCell ref="L478:O478"/>
    <mergeCell ref="L479:O479"/>
    <mergeCell ref="L480:O480"/>
    <mergeCell ref="L481:O481"/>
    <mergeCell ref="L482:O482"/>
    <mergeCell ref="L483:O483"/>
    <mergeCell ref="L484:O484"/>
    <mergeCell ref="L485:M485"/>
    <mergeCell ref="L486:M486"/>
    <mergeCell ref="L487:M487"/>
    <mergeCell ref="L488:M488"/>
    <mergeCell ref="L489:M489"/>
    <mergeCell ref="L490:M490"/>
    <mergeCell ref="L491:M491"/>
    <mergeCell ref="L492:M492"/>
    <mergeCell ref="L493:M493"/>
    <mergeCell ref="L494:M494"/>
    <mergeCell ref="L495:M495"/>
    <mergeCell ref="L496:M496"/>
    <mergeCell ref="L497:M497"/>
    <mergeCell ref="L498:M498"/>
    <mergeCell ref="L499:M499"/>
    <mergeCell ref="L500:M500"/>
    <mergeCell ref="L501:M501"/>
    <mergeCell ref="L502:M502"/>
    <mergeCell ref="L503:M503"/>
    <mergeCell ref="L504:M504"/>
    <mergeCell ref="L505:M505"/>
    <mergeCell ref="L506:M506"/>
    <mergeCell ref="L507:M507"/>
    <mergeCell ref="L508:M508"/>
    <mergeCell ref="L509:M509"/>
    <mergeCell ref="L510:M510"/>
    <mergeCell ref="L511:M511"/>
    <mergeCell ref="L512:M512"/>
    <mergeCell ref="L513:M513"/>
    <mergeCell ref="L514:M514"/>
    <mergeCell ref="L515:M515"/>
    <mergeCell ref="L516:M516"/>
    <mergeCell ref="L517:M517"/>
    <mergeCell ref="L518:M518"/>
    <mergeCell ref="L519:M519"/>
    <mergeCell ref="L520:M520"/>
    <mergeCell ref="L521:M521"/>
    <mergeCell ref="L522:M522"/>
    <mergeCell ref="L523:M523"/>
    <mergeCell ref="L524:M524"/>
    <mergeCell ref="L525:M525"/>
    <mergeCell ref="L3:M3"/>
    <mergeCell ref="L4:M4"/>
    <mergeCell ref="L5:M5"/>
    <mergeCell ref="L6:M6"/>
    <mergeCell ref="L7:M7"/>
    <mergeCell ref="L8:M8"/>
    <mergeCell ref="L9:M9"/>
    <mergeCell ref="L10:M10"/>
    <mergeCell ref="L11:M11"/>
    <mergeCell ref="L12:M12"/>
    <mergeCell ref="L13:M13"/>
    <mergeCell ref="L14:M14"/>
    <mergeCell ref="L15:M15"/>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M71:P71"/>
    <mergeCell ref="M72:R72"/>
    <mergeCell ref="M73:Q73"/>
    <mergeCell ref="M74:P74"/>
    <mergeCell ref="M75:P75"/>
    <mergeCell ref="L76:M76"/>
    <mergeCell ref="N76:Q76"/>
    <mergeCell ref="L77:M77"/>
    <mergeCell ref="N77:Q77"/>
    <mergeCell ref="L78:M78"/>
    <mergeCell ref="N78:Q78"/>
    <mergeCell ref="L79:M79"/>
    <mergeCell ref="N79:Q79"/>
    <mergeCell ref="L80:M80"/>
    <mergeCell ref="O80:S80"/>
    <mergeCell ref="O81:S81"/>
    <mergeCell ref="L81:M81"/>
    <mergeCell ref="L82:M82"/>
    <mergeCell ref="L83:M83"/>
    <mergeCell ref="L84:M84"/>
    <mergeCell ref="L85:M85"/>
    <mergeCell ref="L86:M86"/>
    <mergeCell ref="L87:M87"/>
    <mergeCell ref="L88:M88"/>
    <mergeCell ref="L89:M89"/>
    <mergeCell ref="L90:M90"/>
    <mergeCell ref="L91:M91"/>
    <mergeCell ref="L92:M92"/>
    <mergeCell ref="O92:S92"/>
    <mergeCell ref="O93:S93"/>
    <mergeCell ref="O82:T82"/>
    <mergeCell ref="O83:T83"/>
    <mergeCell ref="O84:U84"/>
    <mergeCell ref="O85:S85"/>
    <mergeCell ref="O86:T86"/>
    <mergeCell ref="O87:T87"/>
    <mergeCell ref="O88:T88"/>
    <mergeCell ref="O89:T89"/>
    <mergeCell ref="O90:T90"/>
    <mergeCell ref="O91:T91"/>
    <mergeCell ref="O94:T94"/>
    <mergeCell ref="O95:T95"/>
    <mergeCell ref="P96:T96"/>
    <mergeCell ref="Q97:T97"/>
    <mergeCell ref="Q98:T98"/>
    <mergeCell ref="Q99:U99"/>
    <mergeCell ref="Q100:U100"/>
    <mergeCell ref="R101:V101"/>
    <mergeCell ref="R102:W102"/>
    <mergeCell ref="R103:X103"/>
    <mergeCell ref="R104:W104"/>
    <mergeCell ref="R105:V105"/>
    <mergeCell ref="R106:Y106"/>
    <mergeCell ref="R107:W107"/>
    <mergeCell ref="R108:X108"/>
    <mergeCell ref="R109:W109"/>
    <mergeCell ref="R110:W110"/>
    <mergeCell ref="R111:X111"/>
    <mergeCell ref="R112:X112"/>
    <mergeCell ref="R113:W113"/>
    <mergeCell ref="R114:V114"/>
    <mergeCell ref="R115:V115"/>
    <mergeCell ref="S116:X116"/>
    <mergeCell ref="S117:X117"/>
    <mergeCell ref="S118:W118"/>
    <mergeCell ref="T119:AA119"/>
    <mergeCell ref="T120:Z120"/>
    <mergeCell ref="T121:Z121"/>
    <mergeCell ref="T122:Y122"/>
    <mergeCell ref="U123:Y123"/>
    <mergeCell ref="U124:Z124"/>
    <mergeCell ref="U125:Z125"/>
    <mergeCell ref="U126:Z126"/>
    <mergeCell ref="U127:Z127"/>
    <mergeCell ref="U128:Z128"/>
    <mergeCell ref="U129:Z129"/>
    <mergeCell ref="U130:AA130"/>
    <mergeCell ref="U131:Z131"/>
    <mergeCell ref="U132:Z132"/>
    <mergeCell ref="L93:M93"/>
    <mergeCell ref="L94:M94"/>
    <mergeCell ref="L95:M95"/>
    <mergeCell ref="L96:M96"/>
    <mergeCell ref="L97:M97"/>
    <mergeCell ref="L98:M98"/>
    <mergeCell ref="L99:M99"/>
    <mergeCell ref="L100:M100"/>
    <mergeCell ref="L101:N101"/>
    <mergeCell ref="L102:N102"/>
    <mergeCell ref="L103:N103"/>
    <mergeCell ref="L104:N104"/>
    <mergeCell ref="L105:N105"/>
    <mergeCell ref="L106:N106"/>
    <mergeCell ref="L107:N107"/>
    <mergeCell ref="L108:N108"/>
    <mergeCell ref="L109:N109"/>
    <mergeCell ref="L110:N110"/>
    <mergeCell ref="L111:N111"/>
    <mergeCell ref="L112:N112"/>
    <mergeCell ref="L113:N113"/>
    <mergeCell ref="L114:N114"/>
    <mergeCell ref="L115:N115"/>
    <mergeCell ref="L116:M116"/>
    <mergeCell ref="L117:M117"/>
    <mergeCell ref="L118:M118"/>
    <mergeCell ref="L119:N119"/>
    <mergeCell ref="L120:N120"/>
    <mergeCell ref="L121:N121"/>
    <mergeCell ref="L122:N122"/>
    <mergeCell ref="L123:M123"/>
    <mergeCell ref="L124:M124"/>
    <mergeCell ref="L125:M125"/>
    <mergeCell ref="L126:M126"/>
    <mergeCell ref="L127:M127"/>
    <mergeCell ref="L128:M128"/>
    <mergeCell ref="L129:M129"/>
    <mergeCell ref="L130:M130"/>
    <mergeCell ref="L131:M131"/>
    <mergeCell ref="L132:M132"/>
    <mergeCell ref="L133:M133"/>
    <mergeCell ref="L134:M134"/>
    <mergeCell ref="L149:O149"/>
    <mergeCell ref="L150:N150"/>
    <mergeCell ref="L151:N151"/>
    <mergeCell ref="L152:N152"/>
    <mergeCell ref="L153:N153"/>
    <mergeCell ref="L154:N154"/>
    <mergeCell ref="L155:N155"/>
    <mergeCell ref="U133:Y133"/>
    <mergeCell ref="U134:Y134"/>
    <mergeCell ref="U135:AB135"/>
    <mergeCell ref="V136:AA136"/>
    <mergeCell ref="V137:Z137"/>
    <mergeCell ref="W138:AC138"/>
    <mergeCell ref="W139:AB139"/>
    <mergeCell ref="W140:AC140"/>
    <mergeCell ref="W141:AD141"/>
    <mergeCell ref="W142:AB142"/>
    <mergeCell ref="W143:AB143"/>
    <mergeCell ref="X144:AD144"/>
    <mergeCell ref="X145:AC145"/>
    <mergeCell ref="X146:AD146"/>
    <mergeCell ref="X147:AD147"/>
    <mergeCell ref="X148:AB148"/>
    <mergeCell ref="Y149:AE149"/>
    <mergeCell ref="Z150:AD150"/>
    <mergeCell ref="Z151:AD151"/>
    <mergeCell ref="Z152:AD152"/>
    <mergeCell ref="Z153:AD153"/>
    <mergeCell ref="AA154:AF154"/>
    <mergeCell ref="AA155:AF155"/>
    <mergeCell ref="AA156:AG156"/>
    <mergeCell ref="AA157:AF157"/>
    <mergeCell ref="AA158:AG158"/>
    <mergeCell ref="AA159:AG159"/>
    <mergeCell ref="AA160:AG160"/>
    <mergeCell ref="AA161:AF161"/>
    <mergeCell ref="AA162:AF162"/>
    <mergeCell ref="AB163:AH163"/>
    <mergeCell ref="AB164:AG164"/>
    <mergeCell ref="AB165:AG165"/>
    <mergeCell ref="AB166:AG166"/>
    <mergeCell ref="AB167:AG167"/>
    <mergeCell ref="AB168:AG168"/>
    <mergeCell ref="AB169:AG169"/>
    <mergeCell ref="AC170:AI170"/>
    <mergeCell ref="AC171:AJ171"/>
    <mergeCell ref="AC172:AJ172"/>
    <mergeCell ref="AC173:AI173"/>
    <mergeCell ref="AC174:AI174"/>
    <mergeCell ref="AC175:AI175"/>
    <mergeCell ref="AC176:AI176"/>
    <mergeCell ref="AC177:AI177"/>
    <mergeCell ref="AC178:AH178"/>
    <mergeCell ref="AC179:AI179"/>
    <mergeCell ref="AC180:AI180"/>
    <mergeCell ref="AC181:AI181"/>
    <mergeCell ref="AC182:AI182"/>
    <mergeCell ref="AC183:AI183"/>
    <mergeCell ref="AC184:AI184"/>
    <mergeCell ref="AC185:AI185"/>
    <mergeCell ref="AC186:AI186"/>
    <mergeCell ref="AC187:AK187"/>
    <mergeCell ref="AC188:AI188"/>
    <mergeCell ref="AC189:AI189"/>
    <mergeCell ref="AC190:AH190"/>
    <mergeCell ref="AC191:AI191"/>
    <mergeCell ref="AD192:AJ192"/>
    <mergeCell ref="AE193:AI193"/>
    <mergeCell ref="AE194:AJ194"/>
    <mergeCell ref="AE195:AI195"/>
    <mergeCell ref="AE196:AJ196"/>
    <mergeCell ref="AF197:AI197"/>
    <mergeCell ref="AG198:AN198"/>
    <mergeCell ref="AG199:AM199"/>
    <mergeCell ref="AG200:AL200"/>
    <mergeCell ref="AG201:AL201"/>
    <mergeCell ref="AH202:AM202"/>
    <mergeCell ref="AH203:AL203"/>
    <mergeCell ref="AI204:AN204"/>
    <mergeCell ref="AI205:AN205"/>
    <mergeCell ref="AI206:AN206"/>
    <mergeCell ref="AJ207:AP207"/>
    <mergeCell ref="AJ208:AP208"/>
    <mergeCell ref="AJ209:AO209"/>
    <mergeCell ref="AK210:AQ210"/>
    <mergeCell ref="AK211:AR211"/>
    <mergeCell ref="AK212:AQ212"/>
    <mergeCell ref="AK213:AS213"/>
    <mergeCell ref="AK214:AQ214"/>
    <mergeCell ref="AL215:AR215"/>
    <mergeCell ref="AL216:AR216"/>
    <mergeCell ref="AL217:AR217"/>
    <mergeCell ref="AM218:AQ218"/>
    <mergeCell ref="AM219:AQ219"/>
    <mergeCell ref="AM220:AQ220"/>
    <mergeCell ref="AM221:AQ221"/>
    <mergeCell ref="AN222:AT222"/>
    <mergeCell ref="AN223:AS223"/>
    <mergeCell ref="AN224:AR224"/>
    <mergeCell ref="AN225:AR225"/>
    <mergeCell ref="AN226:AS226"/>
    <mergeCell ref="AN227:AR227"/>
    <mergeCell ref="AO228:AT228"/>
    <mergeCell ref="AO229:AT229"/>
    <mergeCell ref="AO230:AU230"/>
    <mergeCell ref="L526:M526"/>
    <mergeCell ref="L527:M527"/>
    <mergeCell ref="L528:M528"/>
    <mergeCell ref="L529:M529"/>
    <mergeCell ref="L530:M530"/>
    <mergeCell ref="L531:M531"/>
    <mergeCell ref="L532:M532"/>
    <mergeCell ref="L533:M533"/>
    <mergeCell ref="L534:M534"/>
    <mergeCell ref="L535:M535"/>
    <mergeCell ref="L536:M536"/>
    <mergeCell ref="L537:M537"/>
    <mergeCell ref="L538:M538"/>
    <mergeCell ref="L539:M539"/>
    <mergeCell ref="L540:M540"/>
    <mergeCell ref="L541:M541"/>
    <mergeCell ref="L542:M542"/>
    <mergeCell ref="L543:M543"/>
    <mergeCell ref="L544:M544"/>
    <mergeCell ref="L545:M545"/>
    <mergeCell ref="L546:M546"/>
    <mergeCell ref="L554:M554"/>
    <mergeCell ref="L555:M555"/>
    <mergeCell ref="L556:M556"/>
    <mergeCell ref="L557:M557"/>
    <mergeCell ref="L547:M547"/>
    <mergeCell ref="L548:M548"/>
    <mergeCell ref="L549:M549"/>
    <mergeCell ref="L550:M550"/>
    <mergeCell ref="L551:M551"/>
    <mergeCell ref="L552:M552"/>
    <mergeCell ref="L553:M553"/>
  </mergeCells>
  <conditionalFormatting sqref="A3:K489">
    <cfRule type="expression" dxfId="6" priority="1" stopIfTrue="1">
      <formula>$C3=0</formula>
    </cfRule>
  </conditionalFormatting>
  <hyperlinks>
    <hyperlink r:id="rId1" location="gid=385666246" ref="A1"/>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1.0"/>
    <col customWidth="1" min="2" max="2" width="31.0"/>
    <col customWidth="1" min="3" max="4" width="18.13"/>
  </cols>
  <sheetData>
    <row r="1">
      <c r="A1" s="35" t="s">
        <v>1046</v>
      </c>
      <c r="B1" s="36"/>
      <c r="C1" s="7" t="s">
        <v>3360</v>
      </c>
      <c r="D1" s="7" t="s">
        <v>3361</v>
      </c>
      <c r="E1" s="7" t="s">
        <v>2383</v>
      </c>
      <c r="F1" s="7" t="s">
        <v>2382</v>
      </c>
      <c r="G1" s="7" t="s">
        <v>2166</v>
      </c>
    </row>
    <row r="2">
      <c r="A2" s="8" t="s">
        <v>1100</v>
      </c>
      <c r="B2" s="8" t="s">
        <v>1101</v>
      </c>
      <c r="C2" s="114" t="str">
        <f t="shared" ref="C2:C498" si="1">A2&amp;"/"&amp;B2</f>
        <v>アドテクスタジオ/アドテクG</v>
      </c>
      <c r="D2" s="114" t="str">
        <f t="shared" ref="D2:D498" si="2">A2&amp;"\"&amp;B2</f>
        <v>アドテクスタジオ\アドテクG</v>
      </c>
      <c r="E2" s="37" t="str">
        <f t="array" ref="E2">XLOOKUP(C2,'0file'!C:C,'0file'!C:C,"×")</f>
        <v>アドテクスタジオ/アドテクG</v>
      </c>
      <c r="F2" s="37" t="str">
        <f t="array" ref="F2">XLOOKUP(C2,'部署遍歴'!F:F,'部署遍歴'!D:D,"×")</f>
        <v>×</v>
      </c>
      <c r="G2" s="37" t="str">
        <f t="array" ref="G2">XLOOKUP(D2,'source isilon_divまとめ'!A:A,'source isilon_divまとめ'!D:D,"×")</f>
        <v>×</v>
      </c>
    </row>
    <row r="3">
      <c r="A3" s="8" t="s">
        <v>1100</v>
      </c>
      <c r="B3" s="8" t="s">
        <v>444</v>
      </c>
      <c r="C3" s="114" t="str">
        <f t="shared" si="1"/>
        <v>アドテクスタジオ/企画G</v>
      </c>
      <c r="D3" s="114" t="str">
        <f t="shared" si="2"/>
        <v>アドテクスタジオ\企画G</v>
      </c>
      <c r="E3" s="37" t="str">
        <f t="array" ref="E3">XLOOKUP(C3,'0file'!C:C,'0file'!C:C,"×")</f>
        <v>アドテクスタジオ/企画G</v>
      </c>
      <c r="F3" s="37" t="str">
        <f t="array" ref="F3">XLOOKUP(C3,'部署遍歴'!F:F,'部署遍歴'!D:D,"×")</f>
        <v>×</v>
      </c>
      <c r="G3" s="37" t="str">
        <f t="array" ref="G3">XLOOKUP(D3,'source isilon_divまとめ'!A:A,'source isilon_divまとめ'!D:D,"×")</f>
        <v>×</v>
      </c>
    </row>
    <row r="4">
      <c r="A4" s="8" t="s">
        <v>1100</v>
      </c>
      <c r="B4" s="8" t="s">
        <v>56</v>
      </c>
      <c r="C4" s="114" t="str">
        <f t="shared" si="1"/>
        <v>アドテクスタジオ/開発G</v>
      </c>
      <c r="D4" s="114" t="str">
        <f t="shared" si="2"/>
        <v>アドテクスタジオ\開発G</v>
      </c>
      <c r="E4" s="37" t="str">
        <f t="array" ref="E4">XLOOKUP(C4,'0file'!C:C,'0file'!C:C,"×")</f>
        <v>アドテクスタジオ/開発G</v>
      </c>
      <c r="F4" s="37" t="str">
        <f t="array" ref="F4">XLOOKUP(C4,'部署遍歴'!F:F,'部署遍歴'!D:D,"×")</f>
        <v>×</v>
      </c>
      <c r="G4" s="37" t="str">
        <f t="array" ref="G4">XLOOKUP(D4,'source isilon_divまとめ'!A:A,'source isilon_divまとめ'!D:D,"×")</f>
        <v>×</v>
      </c>
    </row>
    <row r="5">
      <c r="A5" s="8" t="s">
        <v>1100</v>
      </c>
      <c r="B5" s="8" t="s">
        <v>1104</v>
      </c>
      <c r="C5" s="114" t="str">
        <f t="shared" si="1"/>
        <v>アドテクスタジオ/室共有</v>
      </c>
      <c r="D5" s="114" t="str">
        <f t="shared" si="2"/>
        <v>アドテクスタジオ\室共有</v>
      </c>
      <c r="E5" s="37" t="str">
        <f t="array" ref="E5">XLOOKUP(C5,'0file'!C:C,'0file'!C:C,"×")</f>
        <v>アドテクスタジオ/室共有</v>
      </c>
      <c r="F5" s="37" t="str">
        <f t="array" ref="F5">XLOOKUP(C5,'部署遍歴'!F:F,'部署遍歴'!D:D,"×")</f>
        <v>×</v>
      </c>
      <c r="G5" s="37" t="str">
        <f t="array" ref="G5">XLOOKUP(D5,'source isilon_divまとめ'!A:A,'source isilon_divまとめ'!D:D,"×")</f>
        <v>×</v>
      </c>
    </row>
    <row r="6">
      <c r="A6" s="8" t="s">
        <v>1106</v>
      </c>
      <c r="B6" s="8" t="s">
        <v>1107</v>
      </c>
      <c r="C6" s="114" t="str">
        <f t="shared" si="1"/>
        <v>メディア事業本部/mixiゲーム部</v>
      </c>
      <c r="D6" s="114" t="str">
        <f t="shared" si="2"/>
        <v>メディア事業本部\mixiゲーム部</v>
      </c>
      <c r="E6" s="37" t="str">
        <f t="array" ref="E6">XLOOKUP(C6,'0file'!C:C,'0file'!C:C,"×")</f>
        <v>×</v>
      </c>
      <c r="F6" s="37" t="str">
        <f t="array" ref="F6">XLOOKUP(C6,'部署遍歴'!F:F,'部署遍歴'!D:D,"×")</f>
        <v>×</v>
      </c>
      <c r="G6" s="37" t="str">
        <f t="array" ref="G6">XLOOKUP(D6,'source isilon_divまとめ'!A:A,'source isilon_divまとめ'!D:D,"×")</f>
        <v>×</v>
      </c>
    </row>
    <row r="7">
      <c r="A7" s="8" t="s">
        <v>1106</v>
      </c>
      <c r="B7" s="8" t="s">
        <v>1109</v>
      </c>
      <c r="C7" s="114" t="str">
        <f t="shared" si="1"/>
        <v>メディア事業本部/mixiサービス部</v>
      </c>
      <c r="D7" s="114" t="str">
        <f t="shared" si="2"/>
        <v>メディア事業本部\mixiサービス部</v>
      </c>
      <c r="E7" s="37" t="str">
        <f t="array" ref="E7">XLOOKUP(C7,'0file'!C:C,'0file'!C:C,"×")</f>
        <v>×</v>
      </c>
      <c r="F7" s="37" t="str">
        <f t="array" ref="F7">XLOOKUP(C7,'部署遍歴'!F:F,'部署遍歴'!D:D,"×")</f>
        <v>×</v>
      </c>
      <c r="G7" s="37" t="str">
        <f t="array" ref="G7">XLOOKUP(D7,'source isilon_divまとめ'!A:A,'source isilon_divまとめ'!D:D,"×")</f>
        <v>×</v>
      </c>
    </row>
    <row r="8">
      <c r="A8" s="8" t="s">
        <v>1106</v>
      </c>
      <c r="B8" s="8" t="s">
        <v>1111</v>
      </c>
      <c r="C8" s="114" t="str">
        <f t="shared" si="1"/>
        <v>メディア事業本部/本部共有</v>
      </c>
      <c r="D8" s="114" t="str">
        <f t="shared" si="2"/>
        <v>メディア事業本部\本部共有</v>
      </c>
      <c r="E8" s="37" t="str">
        <f t="array" ref="E8">XLOOKUP(C8,'0file'!C:C,'0file'!C:C,"×")</f>
        <v>×</v>
      </c>
      <c r="F8" s="37" t="str">
        <f t="array" ref="F8">XLOOKUP(C8,'部署遍歴'!F:F,'部署遍歴'!D:D,"×")</f>
        <v>×</v>
      </c>
      <c r="G8" s="37" t="str">
        <f t="array" ref="G8">XLOOKUP(D8,'source isilon_divまとめ'!A:A,'source isilon_divまとめ'!D:D,"×")</f>
        <v>×</v>
      </c>
    </row>
    <row r="9">
      <c r="A9" s="8" t="s">
        <v>1106</v>
      </c>
      <c r="B9" s="8" t="s">
        <v>1112</v>
      </c>
      <c r="C9" s="114" t="str">
        <f t="shared" si="1"/>
        <v>メディア事業本部/mixiコンテンツ部</v>
      </c>
      <c r="D9" s="114" t="str">
        <f t="shared" si="2"/>
        <v>メディア事業本部\mixiコンテンツ部</v>
      </c>
      <c r="E9" s="37" t="str">
        <f t="array" ref="E9">XLOOKUP(C9,'0file'!C:C,'0file'!C:C,"×")</f>
        <v>メディア事業本部/mixiコンテンツ部</v>
      </c>
      <c r="F9" s="37" t="str">
        <f t="array" ref="F9">XLOOKUP(C9,'部署遍歴'!F:F,'部署遍歴'!D:D,"×")</f>
        <v>×</v>
      </c>
      <c r="G9" s="37" t="str">
        <f t="array" ref="G9">XLOOKUP(D9,'source isilon_divまとめ'!A:A,'source isilon_divまとめ'!D:D,"×")</f>
        <v>×</v>
      </c>
    </row>
    <row r="10">
      <c r="A10" s="8" t="s">
        <v>1106</v>
      </c>
      <c r="B10" s="8" t="s">
        <v>1113</v>
      </c>
      <c r="C10" s="114" t="str">
        <f t="shared" si="1"/>
        <v>メディア事業本部/mixiシステム部</v>
      </c>
      <c r="D10" s="114" t="str">
        <f t="shared" si="2"/>
        <v>メディア事業本部\mixiシステム部</v>
      </c>
      <c r="E10" s="37" t="str">
        <f t="array" ref="E10">XLOOKUP(C10,'0file'!C:C,'0file'!C:C,"×")</f>
        <v>×</v>
      </c>
      <c r="F10" s="37" t="str">
        <f t="array" ref="F10">XLOOKUP(C10,'部署遍歴'!F:F,'部署遍歴'!D:D,"×")</f>
        <v>×</v>
      </c>
      <c r="G10" s="37" t="str">
        <f t="array" ref="G10">XLOOKUP(D10,'source isilon_divまとめ'!A:A,'source isilon_divまとめ'!D:D,"×")</f>
        <v>×</v>
      </c>
    </row>
    <row r="11">
      <c r="A11" s="8" t="s">
        <v>1114</v>
      </c>
      <c r="B11" s="8" t="s">
        <v>1115</v>
      </c>
      <c r="C11" s="114" t="str">
        <f t="shared" si="1"/>
        <v>Diverseスタジオ/インドマーケット部</v>
      </c>
      <c r="D11" s="114" t="str">
        <f t="shared" si="2"/>
        <v>Diverseスタジオ\インドマーケット部</v>
      </c>
      <c r="E11" s="37" t="str">
        <f t="array" ref="E11">XLOOKUP(C11,'0file'!C:C,'0file'!C:C,"×")</f>
        <v>Diverseスタジオ/インドマーケット部</v>
      </c>
      <c r="F11" s="37" t="str">
        <f t="array" ref="F11">XLOOKUP(C11,'部署遍歴'!F:F,'部署遍歴'!D:D,"×")</f>
        <v>×</v>
      </c>
      <c r="G11" s="37" t="str">
        <f t="array" ref="G11">XLOOKUP(D11,'source isilon_divまとめ'!A:A,'source isilon_divまとめ'!D:D,"×")</f>
        <v>×</v>
      </c>
    </row>
    <row r="12">
      <c r="A12" s="8" t="s">
        <v>1114</v>
      </c>
      <c r="B12" s="8" t="s">
        <v>1118</v>
      </c>
      <c r="C12" s="114" t="str">
        <f t="shared" si="1"/>
        <v>Diverseスタジオ/かいはつ室</v>
      </c>
      <c r="D12" s="114" t="str">
        <f t="shared" si="2"/>
        <v>Diverseスタジオ\かいはつ室</v>
      </c>
      <c r="E12" s="37" t="str">
        <f t="array" ref="E12">XLOOKUP(C12,'0file'!C:C,'0file'!C:C,"×")</f>
        <v>Diverseスタジオ/かいはつ室</v>
      </c>
      <c r="F12" s="37" t="str">
        <f t="array" ref="F12">XLOOKUP(C12,'部署遍歴'!F:F,'部署遍歴'!D:D,"×")</f>
        <v>×</v>
      </c>
      <c r="G12" s="37" t="str">
        <f t="array" ref="G12">XLOOKUP(D12,'source isilon_divまとめ'!A:A,'source isilon_divまとめ'!D:D,"×")</f>
        <v>×</v>
      </c>
    </row>
    <row r="13">
      <c r="A13" s="8" t="s">
        <v>1114</v>
      </c>
      <c r="B13" s="8" t="s">
        <v>1119</v>
      </c>
      <c r="C13" s="114" t="str">
        <f t="shared" si="1"/>
        <v>Diverseスタジオ/ビジネス推進室</v>
      </c>
      <c r="D13" s="114" t="str">
        <f t="shared" si="2"/>
        <v>Diverseスタジオ\ビジネス推進室</v>
      </c>
      <c r="E13" s="37" t="str">
        <f t="array" ref="E13">XLOOKUP(C13,'0file'!C:C,'0file'!C:C,"×")</f>
        <v>Diverseスタジオ/ビジネス推進室</v>
      </c>
      <c r="F13" s="37" t="str">
        <f t="array" ref="F13">XLOOKUP(C13,'部署遍歴'!F:F,'部署遍歴'!D:D,"×")</f>
        <v>×</v>
      </c>
      <c r="G13" s="37" t="str">
        <f t="array" ref="G13">XLOOKUP(D13,'source isilon_divまとめ'!A:A,'source isilon_divまとめ'!D:D,"×")</f>
        <v>×</v>
      </c>
    </row>
    <row r="14">
      <c r="A14" s="8" t="s">
        <v>1114</v>
      </c>
      <c r="B14" s="8" t="s">
        <v>1120</v>
      </c>
      <c r="C14" s="114" t="str">
        <f t="shared" si="1"/>
        <v>Diverseスタジオ/マーケティング室</v>
      </c>
      <c r="D14" s="114" t="str">
        <f t="shared" si="2"/>
        <v>Diverseスタジオ\マーケティング室</v>
      </c>
      <c r="E14" s="37" t="str">
        <f t="array" ref="E14">XLOOKUP(C14,'0file'!C:C,'0file'!C:C,"×")</f>
        <v>Diverseスタジオ/マーケティング室</v>
      </c>
      <c r="F14" s="37" t="str">
        <f t="array" ref="F14">XLOOKUP(C14,'部署遍歴'!F:F,'部署遍歴'!D:D,"×")</f>
        <v>×</v>
      </c>
      <c r="G14" s="37" t="str">
        <f t="array" ref="G14">XLOOKUP(D14,'source isilon_divまとめ'!A:A,'source isilon_divまとめ'!D:D,"×")</f>
        <v>×</v>
      </c>
    </row>
    <row r="15">
      <c r="A15" s="8" t="s">
        <v>1114</v>
      </c>
      <c r="B15" s="8" t="s">
        <v>1121</v>
      </c>
      <c r="C15" s="114" t="str">
        <f t="shared" si="1"/>
        <v>Diverseスタジオ/Poiboy事業部</v>
      </c>
      <c r="D15" s="114" t="str">
        <f t="shared" si="2"/>
        <v>Diverseスタジオ\Poiboy事業部</v>
      </c>
      <c r="E15" s="37" t="str">
        <f t="array" ref="E15">XLOOKUP(C15,'0file'!C:C,'0file'!C:C,"×")</f>
        <v>Diverseスタジオ/Poiboy事業部</v>
      </c>
      <c r="F15" s="37" t="str">
        <f t="array" ref="F15">XLOOKUP(C15,'部署遍歴'!F:F,'部署遍歴'!D:D,"×")</f>
        <v>×</v>
      </c>
      <c r="G15" s="37" t="str">
        <f t="array" ref="G15">XLOOKUP(D15,'source isilon_divまとめ'!A:A,'source isilon_divまとめ'!D:D,"×")</f>
        <v>×</v>
      </c>
    </row>
    <row r="16">
      <c r="A16" s="8" t="s">
        <v>1114</v>
      </c>
      <c r="B16" s="8" t="s">
        <v>430</v>
      </c>
      <c r="C16" s="114" t="str">
        <f t="shared" si="1"/>
        <v>Diverseスタジオ/経営管理部</v>
      </c>
      <c r="D16" s="114" t="str">
        <f t="shared" si="2"/>
        <v>Diverseスタジオ\経営管理部</v>
      </c>
      <c r="E16" s="37" t="str">
        <f t="array" ref="E16">XLOOKUP(C16,'0file'!C:C,'0file'!C:C,"×")</f>
        <v>×</v>
      </c>
      <c r="F16" s="37" t="str">
        <f t="array" ref="F16">XLOOKUP(C16,'部署遍歴'!F:F,'部署遍歴'!D:D,"×")</f>
        <v>×</v>
      </c>
      <c r="G16" s="37" t="str">
        <f t="array" ref="G16">XLOOKUP(D16,'source isilon_divまとめ'!A:A,'source isilon_divまとめ'!D:D,"×")</f>
        <v>×</v>
      </c>
    </row>
    <row r="17">
      <c r="A17" s="8" t="s">
        <v>1114</v>
      </c>
      <c r="B17" s="8" t="s">
        <v>1122</v>
      </c>
      <c r="C17" s="114" t="str">
        <f t="shared" si="1"/>
        <v>Diverseスタジオ/結婚支援事業部</v>
      </c>
      <c r="D17" s="114" t="str">
        <f t="shared" si="2"/>
        <v>Diverseスタジオ\結婚支援事業部</v>
      </c>
      <c r="E17" s="37" t="str">
        <f t="array" ref="E17">XLOOKUP(C17,'0file'!C:C,'0file'!C:C,"×")</f>
        <v>Diverseスタジオ/結婚支援事業部</v>
      </c>
      <c r="F17" s="37" t="str">
        <f t="array" ref="F17">XLOOKUP(C17,'部署遍歴'!F:F,'部署遍歴'!D:D,"×")</f>
        <v>×</v>
      </c>
      <c r="G17" s="37" t="str">
        <f t="array" ref="G17">XLOOKUP(D17,'source isilon_divまとめ'!A:A,'source isilon_divまとめ'!D:D,"×")</f>
        <v>×</v>
      </c>
    </row>
    <row r="18">
      <c r="A18" s="8" t="s">
        <v>1114</v>
      </c>
      <c r="B18" s="8" t="s">
        <v>1123</v>
      </c>
      <c r="C18" s="114" t="str">
        <f t="shared" si="1"/>
        <v>Diverseスタジオ/新規サービス事業部</v>
      </c>
      <c r="D18" s="114" t="str">
        <f t="shared" si="2"/>
        <v>Diverseスタジオ\新規サービス事業部</v>
      </c>
      <c r="E18" s="37" t="str">
        <f t="array" ref="E18">XLOOKUP(C18,'0file'!C:C,'0file'!C:C,"×")</f>
        <v>Diverseスタジオ/新規サービス事業部</v>
      </c>
      <c r="F18" s="37" t="str">
        <f t="array" ref="F18">XLOOKUP(C18,'部署遍歴'!F:F,'部署遍歴'!D:D,"×")</f>
        <v>×</v>
      </c>
      <c r="G18" s="37" t="str">
        <f t="array" ref="G18">XLOOKUP(D18,'source isilon_divまとめ'!A:A,'source isilon_divまとめ'!D:D,"×")</f>
        <v>×</v>
      </c>
    </row>
    <row r="19">
      <c r="A19" s="8" t="s">
        <v>1114</v>
      </c>
      <c r="B19" s="8" t="s">
        <v>1124</v>
      </c>
      <c r="C19" s="114" t="str">
        <f t="shared" si="1"/>
        <v>Diverseスタジオ/youbride事業部</v>
      </c>
      <c r="D19" s="114" t="str">
        <f t="shared" si="2"/>
        <v>Diverseスタジオ\youbride事業部</v>
      </c>
      <c r="E19" s="37" t="str">
        <f t="array" ref="E19">XLOOKUP(C19,'0file'!C:C,'0file'!C:C,"×")</f>
        <v>Diverseスタジオ/youbride事業部</v>
      </c>
      <c r="F19" s="37" t="str">
        <f t="array" ref="F19">XLOOKUP(C19,'部署遍歴'!F:F,'部署遍歴'!D:D,"×")</f>
        <v>×</v>
      </c>
      <c r="G19" s="37" t="str">
        <f t="array" ref="G19">XLOOKUP(D19,'source isilon_divまとめ'!A:A,'source isilon_divまとめ'!D:D,"×")</f>
        <v>×</v>
      </c>
    </row>
    <row r="20">
      <c r="A20" s="8" t="s">
        <v>1114</v>
      </c>
      <c r="B20" s="8" t="s">
        <v>1125</v>
      </c>
      <c r="C20" s="114" t="str">
        <f t="shared" si="1"/>
        <v>Diverseスタジオ/健全化推進室</v>
      </c>
      <c r="D20" s="114" t="str">
        <f t="shared" si="2"/>
        <v>Diverseスタジオ\健全化推進室</v>
      </c>
      <c r="E20" s="37" t="str">
        <f t="array" ref="E20">XLOOKUP(C20,'0file'!C:C,'0file'!C:C,"×")</f>
        <v>Diverseスタジオ/健全化推進室</v>
      </c>
      <c r="F20" s="37" t="str">
        <f t="array" ref="F20">XLOOKUP(C20,'部署遍歴'!F:F,'部署遍歴'!D:D,"×")</f>
        <v>×</v>
      </c>
      <c r="G20" s="37" t="str">
        <f t="array" ref="G20">XLOOKUP(D20,'source isilon_divまとめ'!A:A,'source isilon_divまとめ'!D:D,"×")</f>
        <v>×</v>
      </c>
    </row>
    <row r="21">
      <c r="A21" s="8" t="s">
        <v>1114</v>
      </c>
      <c r="B21" s="8" t="s">
        <v>1126</v>
      </c>
      <c r="C21" s="114" t="str">
        <f t="shared" si="1"/>
        <v>Diverseスタジオ/技術研究所</v>
      </c>
      <c r="D21" s="114" t="str">
        <f t="shared" si="2"/>
        <v>Diverseスタジオ\技術研究所</v>
      </c>
      <c r="E21" s="37" t="str">
        <f t="array" ref="E21">XLOOKUP(C21,'0file'!C:C,'0file'!C:C,"×")</f>
        <v>Diverseスタジオ/技術研究所</v>
      </c>
      <c r="F21" s="37" t="str">
        <f t="array" ref="F21">XLOOKUP(C21,'部署遍歴'!F:F,'部署遍歴'!D:D,"×")</f>
        <v>×</v>
      </c>
      <c r="G21" s="37" t="str">
        <f t="array" ref="G21">XLOOKUP(D21,'source isilon_divまとめ'!A:A,'source isilon_divまとめ'!D:D,"×")</f>
        <v>×</v>
      </c>
    </row>
    <row r="22">
      <c r="A22" s="8" t="s">
        <v>1114</v>
      </c>
      <c r="B22" s="8" t="s">
        <v>1127</v>
      </c>
      <c r="C22" s="114" t="str">
        <f t="shared" si="1"/>
        <v>Diverseスタジオ/VEAT事業部</v>
      </c>
      <c r="D22" s="114" t="str">
        <f t="shared" si="2"/>
        <v>Diverseスタジオ\VEAT事業部</v>
      </c>
      <c r="E22" s="37" t="str">
        <f t="array" ref="E22">XLOOKUP(C22,'0file'!C:C,'0file'!C:C,"×")</f>
        <v>Diverseスタジオ/VEAT事業部</v>
      </c>
      <c r="F22" s="37" t="str">
        <f t="array" ref="F22">XLOOKUP(C22,'部署遍歴'!F:F,'部署遍歴'!D:D,"×")</f>
        <v>×</v>
      </c>
      <c r="G22" s="37" t="str">
        <f t="array" ref="G22">XLOOKUP(D22,'source isilon_divまとめ'!A:A,'source isilon_divまとめ'!D:D,"×")</f>
        <v>×</v>
      </c>
    </row>
    <row r="23">
      <c r="A23" s="8" t="s">
        <v>1114</v>
      </c>
      <c r="B23" s="8" t="s">
        <v>1128</v>
      </c>
      <c r="C23" s="114" t="str">
        <f t="shared" si="1"/>
        <v>Diverseスタジオ/メディア事業部</v>
      </c>
      <c r="D23" s="114" t="str">
        <f t="shared" si="2"/>
        <v>Diverseスタジオ\メディア事業部</v>
      </c>
      <c r="E23" s="37" t="str">
        <f t="array" ref="E23">XLOOKUP(C23,'0file'!C:C,'0file'!C:C,"×")</f>
        <v>Diverseスタジオ/メディア事業部</v>
      </c>
      <c r="F23" s="37" t="str">
        <f t="array" ref="F23">XLOOKUP(C23,'部署遍歴'!F:F,'部署遍歴'!D:D,"×")</f>
        <v>×</v>
      </c>
      <c r="G23" s="37" t="str">
        <f t="array" ref="G23">XLOOKUP(D23,'source isilon_divまとめ'!A:A,'source isilon_divまとめ'!D:D,"×")</f>
        <v>×</v>
      </c>
    </row>
    <row r="24">
      <c r="A24" s="8" t="s">
        <v>1114</v>
      </c>
      <c r="B24" s="8" t="s">
        <v>1129</v>
      </c>
      <c r="C24" s="114" t="str">
        <f t="shared" si="1"/>
        <v>Diverseスタジオ/YYC事業部</v>
      </c>
      <c r="D24" s="114" t="str">
        <f t="shared" si="2"/>
        <v>Diverseスタジオ\YYC事業部</v>
      </c>
      <c r="E24" s="37" t="str">
        <f t="array" ref="E24">XLOOKUP(C24,'0file'!C:C,'0file'!C:C,"×")</f>
        <v>Diverseスタジオ/YYC事業部</v>
      </c>
      <c r="F24" s="37" t="str">
        <f t="array" ref="F24">XLOOKUP(C24,'部署遍歴'!F:F,'部署遍歴'!D:D,"×")</f>
        <v>×</v>
      </c>
      <c r="G24" s="37" t="str">
        <f t="array" ref="G24">XLOOKUP(D24,'source isilon_divまとめ'!A:A,'source isilon_divまとめ'!D:D,"×")</f>
        <v>×</v>
      </c>
    </row>
    <row r="25">
      <c r="A25" s="8" t="s">
        <v>1114</v>
      </c>
      <c r="B25" s="8" t="s">
        <v>1111</v>
      </c>
      <c r="C25" s="114" t="str">
        <f t="shared" si="1"/>
        <v>Diverseスタジオ/本部共有</v>
      </c>
      <c r="D25" s="114" t="str">
        <f t="shared" si="2"/>
        <v>Diverseスタジオ\本部共有</v>
      </c>
      <c r="E25" s="37" t="str">
        <f t="array" ref="E25">XLOOKUP(C25,'0file'!C:C,'0file'!C:C,"×")</f>
        <v>×</v>
      </c>
      <c r="F25" s="37" t="str">
        <f t="array" ref="F25">XLOOKUP(C25,'部署遍歴'!F:F,'部署遍歴'!D:D,"×")</f>
        <v>×</v>
      </c>
      <c r="G25" s="37" t="str">
        <f t="array" ref="G25">XLOOKUP(D25,'source isilon_divまとめ'!A:A,'source isilon_divまとめ'!D:D,"×")</f>
        <v>×</v>
      </c>
    </row>
    <row r="26">
      <c r="A26" s="8" t="s">
        <v>1114</v>
      </c>
      <c r="B26" s="8" t="s">
        <v>1130</v>
      </c>
      <c r="C26" s="114" t="str">
        <f t="shared" si="1"/>
        <v>Diverseスタジオ/マッチングサービス事業部</v>
      </c>
      <c r="D26" s="114" t="str">
        <f t="shared" si="2"/>
        <v>Diverseスタジオ\マッチングサービス事業部</v>
      </c>
      <c r="E26" s="37" t="str">
        <f t="array" ref="E26">XLOOKUP(C26,'0file'!C:C,'0file'!C:C,"×")</f>
        <v>Diverseスタジオ/マッチングサービス事業部</v>
      </c>
      <c r="F26" s="37" t="str">
        <f t="array" ref="F26">XLOOKUP(C26,'部署遍歴'!F:F,'部署遍歴'!D:D,"×")</f>
        <v>×</v>
      </c>
      <c r="G26" s="37" t="str">
        <f t="array" ref="G26">XLOOKUP(D26,'source isilon_divまとめ'!A:A,'source isilon_divまとめ'!D:D,"×")</f>
        <v>×</v>
      </c>
    </row>
    <row r="27">
      <c r="A27" s="8" t="s">
        <v>1131</v>
      </c>
      <c r="B27" s="8" t="s">
        <v>1132</v>
      </c>
      <c r="C27" s="114" t="str">
        <f t="shared" si="1"/>
        <v>モンストスタジオ/マーケティングG</v>
      </c>
      <c r="D27" s="114" t="str">
        <f t="shared" si="2"/>
        <v>モンストスタジオ\マーケティングG</v>
      </c>
      <c r="E27" s="37" t="str">
        <f t="array" ref="E27">XLOOKUP(C27,'0file'!C:C,'0file'!C:C,"×")</f>
        <v>×</v>
      </c>
      <c r="F27" s="37" t="str">
        <f t="array" ref="F27">XLOOKUP(C27,'部署遍歴'!F:F,'部署遍歴'!D:D,"×")</f>
        <v>×</v>
      </c>
      <c r="G27" s="37" t="str">
        <f t="array" ref="G27">XLOOKUP(D27,'source isilon_divまとめ'!A:A,'source isilon_divまとめ'!D:D,"×")</f>
        <v>×</v>
      </c>
    </row>
    <row r="28">
      <c r="A28" s="8" t="s">
        <v>1131</v>
      </c>
      <c r="B28" s="8" t="s">
        <v>1133</v>
      </c>
      <c r="C28" s="114" t="str">
        <f t="shared" si="1"/>
        <v>モンストスタジオ/企画・運用部</v>
      </c>
      <c r="D28" s="114" t="str">
        <f t="shared" si="2"/>
        <v>モンストスタジオ\企画・運用部</v>
      </c>
      <c r="E28" s="37" t="str">
        <f t="array" ref="E28">XLOOKUP(C28,'0file'!C:C,'0file'!C:C,"×")</f>
        <v>×</v>
      </c>
      <c r="F28" s="37" t="str">
        <f t="array" ref="F28">XLOOKUP(C28,'部署遍歴'!F:F,'部署遍歴'!D:D,"×")</f>
        <v>×</v>
      </c>
      <c r="G28" s="37" t="str">
        <f t="array" ref="G28">XLOOKUP(D28,'source isilon_divまとめ'!A:A,'source isilon_divまとめ'!D:D,"×")</f>
        <v>×</v>
      </c>
    </row>
    <row r="29">
      <c r="A29" s="8" t="s">
        <v>1131</v>
      </c>
      <c r="B29" s="8" t="s">
        <v>1134</v>
      </c>
      <c r="C29" s="114" t="str">
        <f t="shared" si="1"/>
        <v>モンストスタジオ/新規事業推進室</v>
      </c>
      <c r="D29" s="114" t="str">
        <f t="shared" si="2"/>
        <v>モンストスタジオ\新規事業推進室</v>
      </c>
      <c r="E29" s="37" t="str">
        <f t="array" ref="E29">XLOOKUP(C29,'0file'!C:C,'0file'!C:C,"×")</f>
        <v>×</v>
      </c>
      <c r="F29" s="37" t="str">
        <f t="array" ref="F29">XLOOKUP(C29,'部署遍歴'!F:F,'部署遍歴'!D:D,"×")</f>
        <v>×</v>
      </c>
      <c r="G29" s="37" t="str">
        <f t="array" ref="G29">XLOOKUP(D29,'source isilon_divまとめ'!A:A,'source isilon_divまとめ'!D:D,"×")</f>
        <v>×</v>
      </c>
    </row>
    <row r="30">
      <c r="A30" s="8" t="s">
        <v>1131</v>
      </c>
      <c r="B30" s="8" t="s">
        <v>1135</v>
      </c>
      <c r="C30" s="114" t="str">
        <f t="shared" si="1"/>
        <v>モンストスタジオ/システム開発部</v>
      </c>
      <c r="D30" s="114" t="str">
        <f t="shared" si="2"/>
        <v>モンストスタジオ\システム開発部</v>
      </c>
      <c r="E30" s="37" t="str">
        <f t="array" ref="E30">XLOOKUP(C30,'0file'!C:C,'0file'!C:C,"×")</f>
        <v>×</v>
      </c>
      <c r="F30" s="37" t="str">
        <f t="array" ref="F30">XLOOKUP(C30,'部署遍歴'!F:F,'部署遍歴'!D:D,"×")</f>
        <v>×</v>
      </c>
      <c r="G30" s="37" t="str">
        <f t="array" ref="G30">XLOOKUP(D30,'source isilon_divまとめ'!A:A,'source isilon_divまとめ'!D:D,"×")</f>
        <v>×</v>
      </c>
    </row>
    <row r="31">
      <c r="A31" s="8" t="s">
        <v>1131</v>
      </c>
      <c r="B31" s="8" t="s">
        <v>1136</v>
      </c>
      <c r="C31" s="114" t="str">
        <f t="shared" si="1"/>
        <v>モンストスタジオ/メディアミックス部</v>
      </c>
      <c r="D31" s="114" t="str">
        <f t="shared" si="2"/>
        <v>モンストスタジオ\メディアミックス部</v>
      </c>
      <c r="E31" s="37" t="str">
        <f t="array" ref="E31">XLOOKUP(C31,'0file'!C:C,'0file'!C:C,"×")</f>
        <v>×</v>
      </c>
      <c r="F31" s="37" t="str">
        <f t="array" ref="F31">XLOOKUP(C31,'部署遍歴'!F:F,'部署遍歴'!D:D,"×")</f>
        <v>×</v>
      </c>
      <c r="G31" s="37" t="str">
        <f t="array" ref="G31">XLOOKUP(D31,'source isilon_divまとめ'!A:A,'source isilon_divまとめ'!D:D,"×")</f>
        <v>×</v>
      </c>
    </row>
    <row r="32">
      <c r="A32" s="8" t="s">
        <v>1131</v>
      </c>
      <c r="B32" s="8" t="s">
        <v>1137</v>
      </c>
      <c r="C32" s="114" t="str">
        <f t="shared" si="1"/>
        <v>モンストスタジオ/マーケティング部</v>
      </c>
      <c r="D32" s="114" t="str">
        <f t="shared" si="2"/>
        <v>モンストスタジオ\マーケティング部</v>
      </c>
      <c r="E32" s="37" t="str">
        <f t="array" ref="E32">XLOOKUP(C32,'0file'!C:C,'0file'!C:C,"×")</f>
        <v>×</v>
      </c>
      <c r="F32" s="37" t="str">
        <f t="array" ref="F32">XLOOKUP(C32,'部署遍歴'!F:F,'部署遍歴'!D:D,"×")</f>
        <v>×</v>
      </c>
      <c r="G32" s="37" t="str">
        <f t="array" ref="G32">XLOOKUP(D32,'source isilon_divまとめ'!A:A,'source isilon_divまとめ'!D:D,"×")</f>
        <v>×</v>
      </c>
    </row>
    <row r="33">
      <c r="A33" s="8" t="s">
        <v>1131</v>
      </c>
      <c r="B33" s="8" t="s">
        <v>286</v>
      </c>
      <c r="C33" s="114" t="str">
        <f t="shared" si="1"/>
        <v>モンストスタジオ/事業戦略室</v>
      </c>
      <c r="D33" s="114" t="str">
        <f t="shared" si="2"/>
        <v>モンストスタジオ\事業戦略室</v>
      </c>
      <c r="E33" s="37" t="str">
        <f t="array" ref="E33">XLOOKUP(C33,'0file'!C:C,'0file'!C:C,"×")</f>
        <v>モンストスタジオ/事業戦略室</v>
      </c>
      <c r="F33" s="37" t="str">
        <f t="array" ref="F33">XLOOKUP(C33,'部署遍歴'!F:F,'部署遍歴'!D:D,"×")</f>
        <v>×</v>
      </c>
      <c r="G33" s="37" t="str">
        <f t="array" ref="G33">XLOOKUP(D33,'source isilon_divまとめ'!A:A,'source isilon_divまとめ'!D:D,"×")</f>
        <v>×</v>
      </c>
    </row>
    <row r="34">
      <c r="A34" s="8" t="s">
        <v>1131</v>
      </c>
      <c r="B34" s="8" t="s">
        <v>1111</v>
      </c>
      <c r="C34" s="114" t="str">
        <f t="shared" si="1"/>
        <v>モンストスタジオ/本部共有</v>
      </c>
      <c r="D34" s="114" t="str">
        <f t="shared" si="2"/>
        <v>モンストスタジオ\本部共有</v>
      </c>
      <c r="E34" s="37" t="str">
        <f t="array" ref="E34">XLOOKUP(C34,'0file'!C:C,'0file'!C:C,"×")</f>
        <v>×</v>
      </c>
      <c r="F34" s="37" t="str">
        <f t="array" ref="F34">XLOOKUP(C34,'部署遍歴'!F:F,'部署遍歴'!D:D,"×")</f>
        <v>×</v>
      </c>
      <c r="G34" s="37" t="str">
        <f t="array" ref="G34">XLOOKUP(D34,'source isilon_divまとめ'!A:A,'source isilon_divまとめ'!D:D,"×")</f>
        <v>×</v>
      </c>
    </row>
    <row r="35">
      <c r="A35" s="8" t="s">
        <v>1138</v>
      </c>
      <c r="B35" s="8" t="s">
        <v>1139</v>
      </c>
      <c r="C35" s="114" t="str">
        <f t="shared" si="1"/>
        <v>ノハナ/全社共有</v>
      </c>
      <c r="D35" s="114" t="str">
        <f t="shared" si="2"/>
        <v>ノハナ\全社共有</v>
      </c>
      <c r="E35" s="37" t="str">
        <f t="array" ref="E35">XLOOKUP(C35,'0file'!C:C,'0file'!C:C,"×")</f>
        <v>×</v>
      </c>
      <c r="F35" s="37" t="str">
        <f t="array" ref="F35">XLOOKUP(C35,'部署遍歴'!F:F,'部署遍歴'!D:D,"×")</f>
        <v>×</v>
      </c>
      <c r="G35" s="37" t="str">
        <f t="array" ref="G35">XLOOKUP(D35,'source isilon_divまとめ'!A:A,'source isilon_divまとめ'!D:D,"×")</f>
        <v>×</v>
      </c>
    </row>
    <row r="36">
      <c r="A36" s="8" t="s">
        <v>478</v>
      </c>
      <c r="B36" s="8" t="s">
        <v>484</v>
      </c>
      <c r="C36" s="114" t="str">
        <f t="shared" si="1"/>
        <v>人事本部/労務部</v>
      </c>
      <c r="D36" s="114" t="str">
        <f t="shared" si="2"/>
        <v>人事本部\労務部</v>
      </c>
      <c r="E36" s="37" t="str">
        <f t="array" ref="E36">XLOOKUP(C36,'0file'!C:C,'0file'!C:C,"×")</f>
        <v>×</v>
      </c>
      <c r="F36" s="37" t="str">
        <f t="array" ref="F36">XLOOKUP(C36,'部署遍歴'!F:F,'部署遍歴'!D:D,"×")</f>
        <v>×</v>
      </c>
      <c r="G36" s="37" t="str">
        <f t="array" ref="G36">XLOOKUP(D36,'source isilon_divまとめ'!A:A,'source isilon_divまとめ'!D:D,"×")</f>
        <v>×</v>
      </c>
    </row>
    <row r="37">
      <c r="A37" s="8" t="s">
        <v>478</v>
      </c>
      <c r="B37" s="8" t="s">
        <v>508</v>
      </c>
      <c r="C37" s="114" t="str">
        <f t="shared" si="1"/>
        <v>人事本部/人材開発部付</v>
      </c>
      <c r="D37" s="114" t="str">
        <f t="shared" si="2"/>
        <v>人事本部\人材開発部付</v>
      </c>
      <c r="E37" s="37" t="str">
        <f t="array" ref="E37">XLOOKUP(C37,'0file'!C:C,'0file'!C:C,"×")</f>
        <v>人事本部/人材開発部付</v>
      </c>
      <c r="F37" s="37" t="str">
        <f t="array" ref="F37">XLOOKUP(C37,'部署遍歴'!F:F,'部署遍歴'!D:D,"×")</f>
        <v>×</v>
      </c>
      <c r="G37" s="37" t="str">
        <f t="array" ref="G37">XLOOKUP(D37,'source isilon_divまとめ'!A:A,'source isilon_divまとめ'!D:D,"×")</f>
        <v>×</v>
      </c>
    </row>
    <row r="38">
      <c r="A38" s="8" t="s">
        <v>478</v>
      </c>
      <c r="B38" s="8" t="s">
        <v>1142</v>
      </c>
      <c r="C38" s="114" t="str">
        <f t="shared" si="1"/>
        <v>人事本部/人事戦略部付</v>
      </c>
      <c r="D38" s="114" t="str">
        <f t="shared" si="2"/>
        <v>人事本部\人事戦略部付</v>
      </c>
      <c r="E38" s="37" t="str">
        <f t="array" ref="E38">XLOOKUP(C38,'0file'!C:C,'0file'!C:C,"×")</f>
        <v>人事本部/人事戦略部付</v>
      </c>
      <c r="F38" s="37" t="str">
        <f t="array" ref="F38">XLOOKUP(C38,'部署遍歴'!F:F,'部署遍歴'!D:D,"×")</f>
        <v>×</v>
      </c>
      <c r="G38" s="37" t="str">
        <f t="array" ref="G38">XLOOKUP(D38,'source isilon_divまとめ'!A:A,'source isilon_divまとめ'!D:D,"×")</f>
        <v>×</v>
      </c>
    </row>
    <row r="39">
      <c r="A39" s="8" t="s">
        <v>478</v>
      </c>
      <c r="B39" s="8" t="s">
        <v>1143</v>
      </c>
      <c r="C39" s="114" t="str">
        <f t="shared" si="1"/>
        <v>人事本部/人事企画部</v>
      </c>
      <c r="D39" s="114" t="str">
        <f t="shared" si="2"/>
        <v>人事本部\人事企画部</v>
      </c>
      <c r="E39" s="37" t="str">
        <f t="array" ref="E39">XLOOKUP(C39,'0file'!C:C,'0file'!C:C,"×")</f>
        <v>×</v>
      </c>
      <c r="F39" s="37" t="str">
        <f t="array" ref="F39">XLOOKUP(C39,'部署遍歴'!F:F,'部署遍歴'!D:D,"×")</f>
        <v>×</v>
      </c>
      <c r="G39" s="37" t="str">
        <f t="array" ref="G39">XLOOKUP(D39,'source isilon_divまとめ'!A:A,'source isilon_divまとめ'!D:D,"×")</f>
        <v>×</v>
      </c>
    </row>
    <row r="40">
      <c r="A40" s="8" t="s">
        <v>478</v>
      </c>
      <c r="B40" s="8" t="s">
        <v>487</v>
      </c>
      <c r="C40" s="114" t="str">
        <f t="shared" si="1"/>
        <v>人事本部/人材開発部</v>
      </c>
      <c r="D40" s="114" t="str">
        <f t="shared" si="2"/>
        <v>人事本部\人材開発部</v>
      </c>
      <c r="E40" s="37" t="str">
        <f t="array" ref="E40">XLOOKUP(C40,'0file'!C:C,'0file'!C:C,"×")</f>
        <v>×</v>
      </c>
      <c r="F40" s="37" t="str">
        <f t="array" ref="F40">XLOOKUP(C40,'部署遍歴'!F:F,'部署遍歴'!D:D,"×")</f>
        <v>×</v>
      </c>
      <c r="G40" s="37" t="str">
        <f t="array" ref="G40">XLOOKUP(D40,'source isilon_divまとめ'!A:A,'source isilon_divまとめ'!D:D,"×")</f>
        <v>×</v>
      </c>
    </row>
    <row r="41">
      <c r="A41" s="8" t="s">
        <v>478</v>
      </c>
      <c r="B41" s="8" t="s">
        <v>1144</v>
      </c>
      <c r="C41" s="114" t="str">
        <f t="shared" si="1"/>
        <v>人事本部/人事戦略室</v>
      </c>
      <c r="D41" s="114" t="str">
        <f t="shared" si="2"/>
        <v>人事本部\人事戦略室</v>
      </c>
      <c r="E41" s="37" t="str">
        <f t="array" ref="E41">XLOOKUP(C41,'0file'!C:C,'0file'!C:C,"×")</f>
        <v>人事本部/人事戦略室</v>
      </c>
      <c r="F41" s="37" t="str">
        <f t="array" ref="F41">XLOOKUP(C41,'部署遍歴'!F:F,'部署遍歴'!D:D,"×")</f>
        <v>×</v>
      </c>
      <c r="G41" s="37" t="str">
        <f t="array" ref="G41">XLOOKUP(D41,'source isilon_divまとめ'!A:A,'source isilon_divまとめ'!D:D,"×")</f>
        <v>×</v>
      </c>
    </row>
    <row r="42">
      <c r="A42" s="8" t="s">
        <v>478</v>
      </c>
      <c r="B42" s="8" t="s">
        <v>1145</v>
      </c>
      <c r="C42" s="114" t="str">
        <f t="shared" si="1"/>
        <v>人事本部/人事企画部付</v>
      </c>
      <c r="D42" s="114" t="str">
        <f t="shared" si="2"/>
        <v>人事本部\人事企画部付</v>
      </c>
      <c r="E42" s="37" t="str">
        <f t="array" ref="E42">XLOOKUP(C42,'0file'!C:C,'0file'!C:C,"×")</f>
        <v>人事本部/人事企画部付</v>
      </c>
      <c r="F42" s="37" t="str">
        <f t="array" ref="F42">XLOOKUP(C42,'部署遍歴'!F:F,'部署遍歴'!D:D,"×")</f>
        <v>×</v>
      </c>
      <c r="G42" s="37" t="str">
        <f t="array" ref="G42">XLOOKUP(D42,'source isilon_divまとめ'!A:A,'source isilon_divまとめ'!D:D,"×")</f>
        <v>×</v>
      </c>
    </row>
    <row r="43">
      <c r="A43" s="8" t="s">
        <v>478</v>
      </c>
      <c r="B43" s="8" t="s">
        <v>958</v>
      </c>
      <c r="C43" s="114" t="str">
        <f t="shared" si="1"/>
        <v>人事本部/グループ会社サポート部</v>
      </c>
      <c r="D43" s="114" t="str">
        <f t="shared" si="2"/>
        <v>人事本部\グループ会社サポート部</v>
      </c>
      <c r="E43" s="37" t="str">
        <f t="array" ref="E43">XLOOKUP(C43,'0file'!C:C,'0file'!C:C,"×")</f>
        <v>人事本部/グループ会社サポート部</v>
      </c>
      <c r="F43" s="37" t="str">
        <f t="array" ref="F43">XLOOKUP(C43,'部署遍歴'!F:F,'部署遍歴'!D:D,"×")</f>
        <v>×</v>
      </c>
      <c r="G43" s="37" t="str">
        <f t="array" ref="G43">XLOOKUP(D43,'source isilon_divまとめ'!A:A,'source isilon_divまとめ'!D:D,"×")</f>
        <v>×</v>
      </c>
    </row>
    <row r="44">
      <c r="A44" s="8" t="s">
        <v>478</v>
      </c>
      <c r="B44" s="8" t="s">
        <v>1146</v>
      </c>
      <c r="C44" s="114" t="str">
        <f t="shared" si="1"/>
        <v>人事本部/人材採用部</v>
      </c>
      <c r="D44" s="114" t="str">
        <f t="shared" si="2"/>
        <v>人事本部\人材採用部</v>
      </c>
      <c r="E44" s="37" t="str">
        <f t="array" ref="E44">XLOOKUP(C44,'0file'!C:C,'0file'!C:C,"×")</f>
        <v>×</v>
      </c>
      <c r="F44" s="37" t="str">
        <f t="array" ref="F44">XLOOKUP(C44,'部署遍歴'!F:F,'部署遍歴'!D:D,"×")</f>
        <v>人材開発部</v>
      </c>
      <c r="G44" s="37" t="str">
        <f t="array" ref="G44">XLOOKUP(D44,'source isilon_divまとめ'!A:A,'source isilon_divまとめ'!D:D,"×")</f>
        <v>×</v>
      </c>
    </row>
    <row r="45">
      <c r="A45" s="8" t="s">
        <v>478</v>
      </c>
      <c r="B45" s="8" t="s">
        <v>1147</v>
      </c>
      <c r="C45" s="114" t="str">
        <f t="shared" si="1"/>
        <v>人事本部/人材採用部付</v>
      </c>
      <c r="D45" s="114" t="str">
        <f t="shared" si="2"/>
        <v>人事本部\人材採用部付</v>
      </c>
      <c r="E45" s="37" t="str">
        <f t="array" ref="E45">XLOOKUP(C45,'0file'!C:C,'0file'!C:C,"×")</f>
        <v>人事本部/人材採用部付</v>
      </c>
      <c r="F45" s="37" t="str">
        <f t="array" ref="F45">XLOOKUP(C45,'部署遍歴'!F:F,'部署遍歴'!D:D,"×")</f>
        <v>×</v>
      </c>
      <c r="G45" s="37" t="str">
        <f t="array" ref="G45">XLOOKUP(D45,'source isilon_divまとめ'!A:A,'source isilon_divまとめ'!D:D,"×")</f>
        <v>×</v>
      </c>
    </row>
    <row r="46">
      <c r="A46" s="8" t="s">
        <v>478</v>
      </c>
      <c r="B46" s="8" t="s">
        <v>482</v>
      </c>
      <c r="C46" s="114" t="str">
        <f t="shared" si="1"/>
        <v>人事本部/人事戦略部</v>
      </c>
      <c r="D46" s="114" t="str">
        <f t="shared" si="2"/>
        <v>人事本部\人事戦略部</v>
      </c>
      <c r="E46" s="37" t="str">
        <f t="array" ref="E46">XLOOKUP(C46,'0file'!C:C,'0file'!C:C,"×")</f>
        <v>×</v>
      </c>
      <c r="F46" s="37" t="str">
        <f t="array" ref="F46">XLOOKUP(C46,'部署遍歴'!F:F,'部署遍歴'!D:D,"×")</f>
        <v>×</v>
      </c>
      <c r="G46" s="37" t="str">
        <f t="array" ref="G46">XLOOKUP(D46,'source isilon_divまとめ'!A:A,'source isilon_divまとめ'!D:D,"×")</f>
        <v>×</v>
      </c>
    </row>
    <row r="47">
      <c r="A47" s="8" t="s">
        <v>478</v>
      </c>
      <c r="B47" s="8" t="s">
        <v>491</v>
      </c>
      <c r="C47" s="114" t="str">
        <f t="shared" si="1"/>
        <v>人事本部/組織戦略部</v>
      </c>
      <c r="D47" s="114" t="str">
        <f t="shared" si="2"/>
        <v>人事本部\組織戦略部</v>
      </c>
      <c r="E47" s="37" t="str">
        <f t="array" ref="E47">XLOOKUP(C47,'0file'!C:C,'0file'!C:C,"×")</f>
        <v>×</v>
      </c>
      <c r="F47" s="37" t="str">
        <f t="array" ref="F47">XLOOKUP(C47,'部署遍歴'!F:F,'部署遍歴'!D:D,"×")</f>
        <v>×</v>
      </c>
      <c r="G47" s="37" t="str">
        <f t="array" ref="G47">XLOOKUP(D47,'source isilon_divまとめ'!A:A,'source isilon_divまとめ'!D:D,"×")</f>
        <v>×</v>
      </c>
    </row>
    <row r="48">
      <c r="A48" s="8" t="s">
        <v>478</v>
      </c>
      <c r="B48" s="8" t="s">
        <v>953</v>
      </c>
      <c r="C48" s="114" t="str">
        <f t="shared" si="1"/>
        <v>人事本部/エンパワーメント推進室</v>
      </c>
      <c r="D48" s="114" t="str">
        <f t="shared" si="2"/>
        <v>人事本部\エンパワーメント推進室</v>
      </c>
      <c r="E48" s="37" t="str">
        <f t="array" ref="E48">XLOOKUP(C48,'0file'!C:C,'0file'!C:C,"×")</f>
        <v>人事本部/エンパワーメント推進室</v>
      </c>
      <c r="F48" s="37" t="str">
        <f t="array" ref="F48">XLOOKUP(C48,'部署遍歴'!F:F,'部署遍歴'!D:D,"×")</f>
        <v>×</v>
      </c>
      <c r="G48" s="37" t="str">
        <f t="array" ref="G48">XLOOKUP(D48,'source isilon_divまとめ'!A:A,'source isilon_divまとめ'!D:D,"×")</f>
        <v>×</v>
      </c>
    </row>
    <row r="49">
      <c r="A49" s="8" t="s">
        <v>478</v>
      </c>
      <c r="B49" s="8" t="s">
        <v>1111</v>
      </c>
      <c r="C49" s="114" t="str">
        <f t="shared" si="1"/>
        <v>人事本部/本部共有</v>
      </c>
      <c r="D49" s="114" t="str">
        <f t="shared" si="2"/>
        <v>人事本部\本部共有</v>
      </c>
      <c r="E49" s="37" t="str">
        <f t="array" ref="E49">XLOOKUP(C49,'0file'!C:C,'0file'!C:C,"×")</f>
        <v>×</v>
      </c>
      <c r="F49" s="37" t="str">
        <f t="array" ref="F49">XLOOKUP(C49,'部署遍歴'!F:F,'部署遍歴'!D:D,"×")</f>
        <v>×</v>
      </c>
      <c r="G49" s="37" t="str">
        <f t="array" ref="G49">XLOOKUP(D49,'source isilon_divまとめ'!A:A,'source isilon_divまとめ'!D:D,"×")</f>
        <v>×</v>
      </c>
    </row>
    <row r="50">
      <c r="A50" s="8" t="s">
        <v>478</v>
      </c>
      <c r="B50" s="8" t="s">
        <v>1065</v>
      </c>
      <c r="C50" s="114" t="str">
        <f t="shared" si="1"/>
        <v>人事本部/人事部</v>
      </c>
      <c r="D50" s="114" t="str">
        <f t="shared" si="2"/>
        <v>人事本部\人事部</v>
      </c>
      <c r="E50" s="37" t="str">
        <f t="array" ref="E50">XLOOKUP(C50,'0file'!C:C,'0file'!C:C,"×")</f>
        <v>×</v>
      </c>
      <c r="F50" s="37" t="str">
        <f t="array" ref="F50">XLOOKUP(C50,'部署遍歴'!F:F,'部署遍歴'!D:D,"×")</f>
        <v>×</v>
      </c>
      <c r="G50" s="37" t="str">
        <f t="array" ref="G50">XLOOKUP(D50,'source isilon_divまとめ'!A:A,'source isilon_divまとめ'!D:D,"×")</f>
        <v>×</v>
      </c>
    </row>
    <row r="51">
      <c r="A51" s="8" t="s">
        <v>478</v>
      </c>
      <c r="B51" s="8" t="s">
        <v>1072</v>
      </c>
      <c r="C51" s="114" t="str">
        <f t="shared" si="1"/>
        <v>人事本部/人事部付</v>
      </c>
      <c r="D51" s="114" t="str">
        <f t="shared" si="2"/>
        <v>人事本部\人事部付</v>
      </c>
      <c r="E51" s="37" t="str">
        <f t="array" ref="E51">XLOOKUP(C51,'0file'!C:C,'0file'!C:C,"×")</f>
        <v>人事本部/人事部付</v>
      </c>
      <c r="F51" s="37" t="str">
        <f t="array" ref="F51">XLOOKUP(C51,'部署遍歴'!F:F,'部署遍歴'!D:D,"×")</f>
        <v>×</v>
      </c>
      <c r="G51" s="37" t="str">
        <f t="array" ref="G51">XLOOKUP(D51,'source isilon_divまとめ'!A:A,'source isilon_divまとめ'!D:D,"×")</f>
        <v>×</v>
      </c>
    </row>
    <row r="52">
      <c r="A52" s="8" t="s">
        <v>478</v>
      </c>
      <c r="B52" s="8" t="s">
        <v>479</v>
      </c>
      <c r="C52" s="114" t="str">
        <f t="shared" si="1"/>
        <v>人事本部/MCS室</v>
      </c>
      <c r="D52" s="114" t="str">
        <f t="shared" si="2"/>
        <v>人事本部\MCS室</v>
      </c>
      <c r="E52" s="37" t="str">
        <f t="array" ref="E52">XLOOKUP(C52,'0file'!C:C,'0file'!C:C,"×")</f>
        <v>人事本部/MCS室</v>
      </c>
      <c r="F52" s="37" t="str">
        <f t="array" ref="F52">XLOOKUP(C52,'部署遍歴'!F:F,'部署遍歴'!D:D,"×")</f>
        <v>×</v>
      </c>
      <c r="G52" s="37" t="str">
        <f t="array" ref="G52">XLOOKUP(D52,'source isilon_divまとめ'!A:A,'source isilon_divまとめ'!D:D,"×")</f>
        <v>×</v>
      </c>
    </row>
    <row r="53">
      <c r="A53" s="8" t="s">
        <v>603</v>
      </c>
      <c r="B53" s="8" t="s">
        <v>97</v>
      </c>
      <c r="C53" s="114" t="str">
        <f t="shared" si="1"/>
        <v>コーポレートファイナンス本部/財務企画部</v>
      </c>
      <c r="D53" s="114" t="str">
        <f t="shared" si="2"/>
        <v>コーポレートファイナンス本部\財務企画部</v>
      </c>
      <c r="E53" s="37" t="str">
        <f t="array" ref="E53">XLOOKUP(C53,'0file'!C:C,'0file'!C:C,"×")</f>
        <v>×</v>
      </c>
      <c r="F53" s="37" t="str">
        <f t="array" ref="F53">XLOOKUP(C53,'部署遍歴'!F:F,'部署遍歴'!D:D,"×")</f>
        <v>×</v>
      </c>
      <c r="G53" s="37" t="str">
        <f t="array" ref="G53">XLOOKUP(D53,'source isilon_divまとめ'!A:A,'source isilon_divまとめ'!D:D,"×")</f>
        <v>×</v>
      </c>
    </row>
    <row r="54">
      <c r="A54" s="8" t="s">
        <v>603</v>
      </c>
      <c r="B54" s="8" t="s">
        <v>1111</v>
      </c>
      <c r="C54" s="114" t="str">
        <f t="shared" si="1"/>
        <v>コーポレートファイナンス本部/本部共有</v>
      </c>
      <c r="D54" s="114" t="str">
        <f t="shared" si="2"/>
        <v>コーポレートファイナンス本部\本部共有</v>
      </c>
      <c r="E54" s="37" t="str">
        <f t="array" ref="E54">XLOOKUP(C54,'0file'!C:C,'0file'!C:C,"×")</f>
        <v>コーポレートファイナンス本部/本部共有</v>
      </c>
      <c r="F54" s="37" t="str">
        <f t="array" ref="F54">XLOOKUP(C54,'部署遍歴'!F:F,'部署遍歴'!D:D,"×")</f>
        <v>×</v>
      </c>
      <c r="G54" s="37" t="str">
        <f t="array" ref="G54">XLOOKUP(D54,'source isilon_divまとめ'!A:A,'source isilon_divまとめ'!D:D,"×")</f>
        <v>×</v>
      </c>
    </row>
    <row r="55">
      <c r="A55" s="8" t="s">
        <v>603</v>
      </c>
      <c r="B55" s="8" t="s">
        <v>90</v>
      </c>
      <c r="C55" s="114" t="str">
        <f t="shared" si="1"/>
        <v>コーポレートファイナンス本部/経理税務部</v>
      </c>
      <c r="D55" s="114" t="str">
        <f t="shared" si="2"/>
        <v>コーポレートファイナンス本部\経理税務部</v>
      </c>
      <c r="E55" s="37" t="str">
        <f t="array" ref="E55">XLOOKUP(C55,'0file'!C:C,'0file'!C:C,"×")</f>
        <v>コーポレートファイナンス本部/経理税務部</v>
      </c>
      <c r="F55" s="37" t="str">
        <f t="array" ref="F55">XLOOKUP(C55,'部署遍歴'!F:F,'部署遍歴'!D:D,"×")</f>
        <v>×</v>
      </c>
      <c r="G55" s="37" t="str">
        <f t="array" ref="G55">XLOOKUP(D55,'source isilon_divまとめ'!A:A,'source isilon_divまとめ'!D:D,"×")</f>
        <v>×</v>
      </c>
    </row>
    <row r="56">
      <c r="A56" s="8" t="s">
        <v>587</v>
      </c>
      <c r="B56" s="8" t="s">
        <v>81</v>
      </c>
      <c r="C56" s="114" t="str">
        <f t="shared" si="1"/>
        <v>コーポレートデベロップメント本部/Integration Management部</v>
      </c>
      <c r="D56" s="114" t="str">
        <f t="shared" si="2"/>
        <v>コーポレートデベロップメント本部\Integration Management部</v>
      </c>
      <c r="E56" s="37" t="str">
        <f t="array" ref="E56">XLOOKUP(C56,'0file'!C:C,'0file'!C:C,"×")</f>
        <v>コーポレートデベロップメント本部/Integration Management部</v>
      </c>
      <c r="F56" s="37" t="str">
        <f t="array" ref="F56">XLOOKUP(C56,'部署遍歴'!F:F,'部署遍歴'!D:D,"×")</f>
        <v>×</v>
      </c>
      <c r="G56" s="37" t="str">
        <f t="array" ref="G56">XLOOKUP(D56,'source isilon_divまとめ'!A:A,'source isilon_divまとめ'!D:D,"×")</f>
        <v>×</v>
      </c>
    </row>
    <row r="57">
      <c r="A57" s="8" t="s">
        <v>587</v>
      </c>
      <c r="B57" s="8" t="s">
        <v>1148</v>
      </c>
      <c r="C57" s="114" t="str">
        <f t="shared" si="1"/>
        <v>コーポレートデベロップメント本部/事業開発部</v>
      </c>
      <c r="D57" s="114" t="str">
        <f t="shared" si="2"/>
        <v>コーポレートデベロップメント本部\事業開発部</v>
      </c>
      <c r="E57" s="37" t="str">
        <f t="array" ref="E57">XLOOKUP(C57,'0file'!C:C,'0file'!C:C,"×")</f>
        <v>コーポレートデベロップメント本部/事業開発部</v>
      </c>
      <c r="F57" s="37" t="str">
        <f t="array" ref="F57">XLOOKUP(C57,'部署遍歴'!F:F,'部署遍歴'!D:D,"×")</f>
        <v>×</v>
      </c>
      <c r="G57" s="37" t="str">
        <f t="array" ref="G57">XLOOKUP(D57,'source isilon_divまとめ'!A:A,'source isilon_divまとめ'!D:D,"×")</f>
        <v>×</v>
      </c>
    </row>
    <row r="58">
      <c r="A58" s="8" t="s">
        <v>587</v>
      </c>
      <c r="B58" s="8" t="s">
        <v>1111</v>
      </c>
      <c r="C58" s="114" t="str">
        <f t="shared" si="1"/>
        <v>コーポレートデベロップメント本部/本部共有</v>
      </c>
      <c r="D58" s="114" t="str">
        <f t="shared" si="2"/>
        <v>コーポレートデベロップメント本部\本部共有</v>
      </c>
      <c r="E58" s="37" t="str">
        <f t="array" ref="E58">XLOOKUP(C58,'0file'!C:C,'0file'!C:C,"×")</f>
        <v>コーポレートデベロップメント本部/本部共有</v>
      </c>
      <c r="F58" s="37" t="str">
        <f t="array" ref="F58">XLOOKUP(C58,'部署遍歴'!F:F,'部署遍歴'!D:D,"×")</f>
        <v>×</v>
      </c>
      <c r="G58" s="37" t="str">
        <f t="array" ref="G58">XLOOKUP(D58,'source isilon_divまとめ'!A:A,'source isilon_divまとめ'!D:D,"×")</f>
        <v>×</v>
      </c>
    </row>
    <row r="59">
      <c r="A59" s="8" t="s">
        <v>587</v>
      </c>
      <c r="B59" s="8" t="s">
        <v>74</v>
      </c>
      <c r="C59" s="114" t="str">
        <f t="shared" si="1"/>
        <v>コーポレートデベロップメント本部/投資事業部</v>
      </c>
      <c r="D59" s="114" t="str">
        <f t="shared" si="2"/>
        <v>コーポレートデベロップメント本部\投資事業部</v>
      </c>
      <c r="E59" s="37" t="str">
        <f t="array" ref="E59">XLOOKUP(C59,'0file'!C:C,'0file'!C:C,"×")</f>
        <v>コーポレートデベロップメント本部/投資事業部</v>
      </c>
      <c r="F59" s="37" t="str">
        <f t="array" ref="F59">XLOOKUP(C59,'部署遍歴'!F:F,'部署遍歴'!D:D,"×")</f>
        <v>×</v>
      </c>
      <c r="G59" s="37" t="str">
        <f t="array" ref="G59">XLOOKUP(D59,'source isilon_divまとめ'!A:A,'source isilon_divまとめ'!D:D,"×")</f>
        <v>×</v>
      </c>
    </row>
    <row r="60">
      <c r="A60" s="8" t="s">
        <v>587</v>
      </c>
      <c r="B60" s="8" t="s">
        <v>72</v>
      </c>
      <c r="C60" s="114" t="str">
        <f t="shared" si="1"/>
        <v>コーポレートデベロップメント本部/事業企画推進部</v>
      </c>
      <c r="D60" s="114" t="str">
        <f t="shared" si="2"/>
        <v>コーポレートデベロップメント本部\事業企画推進部</v>
      </c>
      <c r="E60" s="37" t="str">
        <f t="array" ref="E60">XLOOKUP(C60,'0file'!C:C,'0file'!C:C,"×")</f>
        <v>コーポレートデベロップメント本部/事業企画推進部</v>
      </c>
      <c r="F60" s="37" t="str">
        <f t="array" ref="F60">XLOOKUP(C60,'部署遍歴'!F:F,'部署遍歴'!D:D,"×")</f>
        <v>×</v>
      </c>
      <c r="G60" s="37" t="str">
        <f t="array" ref="G60">XLOOKUP(D60,'source isilon_divまとめ'!A:A,'source isilon_divまとめ'!D:D,"×")</f>
        <v>×</v>
      </c>
    </row>
    <row r="61">
      <c r="A61" s="8" t="s">
        <v>432</v>
      </c>
      <c r="B61" s="8" t="s">
        <v>1104</v>
      </c>
      <c r="C61" s="114" t="str">
        <f t="shared" si="1"/>
        <v>経営企画室/室共有</v>
      </c>
      <c r="D61" s="114" t="str">
        <f t="shared" si="2"/>
        <v>経営企画室\室共有</v>
      </c>
      <c r="E61" s="37" t="str">
        <f t="array" ref="E61">XLOOKUP(C61,'0file'!C:C,'0file'!C:C,"×")</f>
        <v>×</v>
      </c>
      <c r="F61" s="37" t="str">
        <f t="array" ref="F61">XLOOKUP(C61,'部署遍歴'!F:F,'部署遍歴'!D:D,"×")</f>
        <v>×</v>
      </c>
      <c r="G61" s="37" t="str">
        <f t="array" ref="G61">XLOOKUP(D61,'source isilon_divまとめ'!A:A,'source isilon_divまとめ'!D:D,"×")</f>
        <v>×</v>
      </c>
    </row>
    <row r="62">
      <c r="A62" s="8" t="s">
        <v>1149</v>
      </c>
      <c r="B62" s="8" t="s">
        <v>1150</v>
      </c>
      <c r="C62" s="114" t="str">
        <f t="shared" si="1"/>
        <v>マーケティング本部/デジタルマーケティング室</v>
      </c>
      <c r="D62" s="114" t="str">
        <f t="shared" si="2"/>
        <v>マーケティング本部\デジタルマーケティング室</v>
      </c>
      <c r="E62" s="37" t="str">
        <f t="array" ref="E62">XLOOKUP(C62,'0file'!C:C,'0file'!C:C,"×")</f>
        <v>マーケティング本部/デジタルマーケティング室</v>
      </c>
      <c r="F62" s="37" t="str">
        <f t="array" ref="F62">XLOOKUP(C62,'部署遍歴'!F:F,'部署遍歴'!D:D,"×")</f>
        <v>×</v>
      </c>
      <c r="G62" s="37" t="str">
        <f t="array" ref="G62">XLOOKUP(D62,'source isilon_divまとめ'!A:A,'source isilon_divまとめ'!D:D,"×")</f>
        <v>×</v>
      </c>
    </row>
    <row r="63">
      <c r="A63" s="8" t="s">
        <v>1149</v>
      </c>
      <c r="B63" s="8" t="s">
        <v>1151</v>
      </c>
      <c r="C63" s="114" t="str">
        <f t="shared" si="1"/>
        <v>マーケティング本部/ブランド戦略室</v>
      </c>
      <c r="D63" s="114" t="str">
        <f t="shared" si="2"/>
        <v>マーケティング本部\ブランド戦略室</v>
      </c>
      <c r="E63" s="37" t="str">
        <f t="array" ref="E63">XLOOKUP(C63,'0file'!C:C,'0file'!C:C,"×")</f>
        <v>マーケティング本部/ブランド戦略室</v>
      </c>
      <c r="F63" s="37" t="str">
        <f t="array" ref="F63">XLOOKUP(C63,'部署遍歴'!F:F,'部署遍歴'!D:D,"×")</f>
        <v>×</v>
      </c>
      <c r="G63" s="37" t="str">
        <f t="array" ref="G63">XLOOKUP(D63,'source isilon_divまとめ'!A:A,'source isilon_divまとめ'!D:D,"×")</f>
        <v>×</v>
      </c>
    </row>
    <row r="64">
      <c r="A64" s="8" t="s">
        <v>1149</v>
      </c>
      <c r="B64" s="8" t="s">
        <v>1152</v>
      </c>
      <c r="C64" s="114" t="str">
        <f t="shared" si="1"/>
        <v>マーケティング本部/マーケティング推進室</v>
      </c>
      <c r="D64" s="114" t="str">
        <f t="shared" si="2"/>
        <v>マーケティング本部\マーケティング推進室</v>
      </c>
      <c r="E64" s="37" t="str">
        <f t="array" ref="E64">XLOOKUP(C64,'0file'!C:C,'0file'!C:C,"×")</f>
        <v>マーケティング本部/マーケティング推進室</v>
      </c>
      <c r="F64" s="37" t="str">
        <f t="array" ref="F64">XLOOKUP(C64,'部署遍歴'!F:F,'部署遍歴'!D:D,"×")</f>
        <v>×</v>
      </c>
      <c r="G64" s="37" t="str">
        <f t="array" ref="G64">XLOOKUP(D64,'source isilon_divまとめ'!A:A,'source isilon_divまとめ'!D:D,"×")</f>
        <v>×</v>
      </c>
    </row>
    <row r="65">
      <c r="A65" s="8" t="s">
        <v>1149</v>
      </c>
      <c r="B65" s="8" t="s">
        <v>1153</v>
      </c>
      <c r="C65" s="114" t="str">
        <f t="shared" si="1"/>
        <v>マーケティング本部/PR室</v>
      </c>
      <c r="D65" s="114" t="str">
        <f t="shared" si="2"/>
        <v>マーケティング本部\PR室</v>
      </c>
      <c r="E65" s="37" t="str">
        <f t="array" ref="E65">XLOOKUP(C65,'0file'!C:C,'0file'!C:C,"×")</f>
        <v>マーケティング本部/PR室</v>
      </c>
      <c r="F65" s="37" t="str">
        <f t="array" ref="F65">XLOOKUP(C65,'部署遍歴'!F:F,'部署遍歴'!D:D,"×")</f>
        <v>×</v>
      </c>
      <c r="G65" s="37" t="str">
        <f t="array" ref="G65">XLOOKUP(D65,'source isilon_divまとめ'!A:A,'source isilon_divまとめ'!D:D,"×")</f>
        <v>×</v>
      </c>
    </row>
    <row r="66">
      <c r="A66" s="8" t="s">
        <v>1149</v>
      </c>
      <c r="B66" s="8" t="s">
        <v>1111</v>
      </c>
      <c r="C66" s="114" t="str">
        <f t="shared" si="1"/>
        <v>マーケティング本部/本部共有</v>
      </c>
      <c r="D66" s="114" t="str">
        <f t="shared" si="2"/>
        <v>マーケティング本部\本部共有</v>
      </c>
      <c r="E66" s="37" t="str">
        <f t="array" ref="E66">XLOOKUP(C66,'0file'!C:C,'0file'!C:C,"×")</f>
        <v>マーケティング本部/本部共有</v>
      </c>
      <c r="F66" s="37" t="str">
        <f t="array" ref="F66">XLOOKUP(C66,'部署遍歴'!F:F,'部署遍歴'!D:D,"×")</f>
        <v>×</v>
      </c>
      <c r="G66" s="37" t="str">
        <f t="array" ref="G66">XLOOKUP(D66,'source isilon_divまとめ'!A:A,'source isilon_divまとめ'!D:D,"×")</f>
        <v>×</v>
      </c>
    </row>
    <row r="67">
      <c r="A67" s="8" t="s">
        <v>1149</v>
      </c>
      <c r="B67" s="8" t="s">
        <v>1154</v>
      </c>
      <c r="C67" s="114" t="str">
        <f t="shared" si="1"/>
        <v>マーケティング本部/マーケティング戦略室</v>
      </c>
      <c r="D67" s="114" t="str">
        <f t="shared" si="2"/>
        <v>マーケティング本部\マーケティング戦略室</v>
      </c>
      <c r="E67" s="37" t="str">
        <f t="array" ref="E67">XLOOKUP(C67,'0file'!C:C,'0file'!C:C,"×")</f>
        <v>×</v>
      </c>
      <c r="F67" s="37" t="str">
        <f t="array" ref="F67">XLOOKUP(C67,'部署遍歴'!F:F,'部署遍歴'!D:D,"×")</f>
        <v>×</v>
      </c>
      <c r="G67" s="37" t="str">
        <f t="array" ref="G67">XLOOKUP(D67,'source isilon_divまとめ'!A:A,'source isilon_divまとめ'!D:D,"×")</f>
        <v>×</v>
      </c>
    </row>
    <row r="68">
      <c r="A68" s="8" t="s">
        <v>693</v>
      </c>
      <c r="B68" s="8" t="s">
        <v>1155</v>
      </c>
      <c r="C68" s="114" t="str">
        <f t="shared" si="1"/>
        <v>デザイン本部/クリエイティブ室</v>
      </c>
      <c r="D68" s="114" t="str">
        <f t="shared" si="2"/>
        <v>デザイン本部\クリエイティブ室</v>
      </c>
      <c r="E68" s="37" t="str">
        <f t="array" ref="E68">XLOOKUP(C68,'0file'!C:C,'0file'!C:C,"×")</f>
        <v>×</v>
      </c>
      <c r="F68" s="37" t="str">
        <f t="array" ref="F68">XLOOKUP(C68,'部署遍歴'!F:F,'部署遍歴'!D:D,"×")</f>
        <v>×</v>
      </c>
      <c r="G68" s="37" t="str">
        <f t="array" ref="G68">XLOOKUP(D68,'source isilon_divまとめ'!A:A,'source isilon_divまとめ'!D:D,"×")</f>
        <v>×</v>
      </c>
    </row>
    <row r="69">
      <c r="A69" s="8" t="s">
        <v>693</v>
      </c>
      <c r="B69" s="8" t="s">
        <v>1156</v>
      </c>
      <c r="C69" s="114" t="str">
        <f t="shared" si="1"/>
        <v>デザイン本部/制作室</v>
      </c>
      <c r="D69" s="114" t="str">
        <f t="shared" si="2"/>
        <v>デザイン本部\制作室</v>
      </c>
      <c r="E69" s="37" t="str">
        <f t="array" ref="E69">XLOOKUP(C69,'0file'!C:C,'0file'!C:C,"×")</f>
        <v>×</v>
      </c>
      <c r="F69" s="7" t="s">
        <v>1052</v>
      </c>
      <c r="G69" s="37" t="str">
        <f t="array" ref="G69">XLOOKUP(D69,'source isilon_divまとめ'!A:A,'source isilon_divまとめ'!D:D,"×")</f>
        <v>×</v>
      </c>
    </row>
    <row r="70">
      <c r="A70" s="8" t="s">
        <v>693</v>
      </c>
      <c r="B70" s="8" t="s">
        <v>703</v>
      </c>
      <c r="C70" s="114" t="str">
        <f t="shared" si="1"/>
        <v>デザイン本部/テクニカルデザイン室</v>
      </c>
      <c r="D70" s="114" t="str">
        <f t="shared" si="2"/>
        <v>デザイン本部\テクニカルデザイン室</v>
      </c>
      <c r="E70" s="37" t="str">
        <f t="array" ref="E70">XLOOKUP(C70,'0file'!C:C,'0file'!C:C,"×")</f>
        <v>×</v>
      </c>
      <c r="F70" s="37" t="str">
        <f t="array" ref="F70">XLOOKUP(C70,'部署遍歴'!F:F,'部署遍歴'!D:D,"×")</f>
        <v>×</v>
      </c>
      <c r="G70" s="37" t="str">
        <f t="array" ref="G70">XLOOKUP(D70,'source isilon_divまとめ'!A:A,'source isilon_divまとめ'!D:D,"×")</f>
        <v>×</v>
      </c>
    </row>
    <row r="71">
      <c r="A71" s="8" t="s">
        <v>693</v>
      </c>
      <c r="B71" s="8" t="s">
        <v>696</v>
      </c>
      <c r="C71" s="114" t="str">
        <f t="shared" si="1"/>
        <v>デザイン本部/プロダクトデザイン室</v>
      </c>
      <c r="D71" s="114" t="str">
        <f t="shared" si="2"/>
        <v>デザイン本部\プロダクトデザイン室</v>
      </c>
      <c r="E71" s="37" t="str">
        <f t="array" ref="E71">XLOOKUP(C71,'0file'!C:C,'0file'!C:C,"×")</f>
        <v>×</v>
      </c>
      <c r="F71" s="37" t="str">
        <f t="array" ref="F71">XLOOKUP(C71,'部署遍歴'!F:F,'部署遍歴'!D:D,"×")</f>
        <v>×</v>
      </c>
      <c r="G71" s="37" t="str">
        <f t="array" ref="G71">XLOOKUP(D71,'source isilon_divまとめ'!A:A,'source isilon_divまとめ'!D:D,"×")</f>
        <v>×</v>
      </c>
    </row>
    <row r="72">
      <c r="A72" s="8" t="s">
        <v>693</v>
      </c>
      <c r="B72" s="8" t="s">
        <v>701</v>
      </c>
      <c r="C72" s="114" t="str">
        <f t="shared" si="1"/>
        <v>デザイン本部/ブランドデザイン室</v>
      </c>
      <c r="D72" s="114" t="str">
        <f t="shared" si="2"/>
        <v>デザイン本部\ブランドデザイン室</v>
      </c>
      <c r="E72" s="37" t="str">
        <f t="array" ref="E72">XLOOKUP(C72,'0file'!C:C,'0file'!C:C,"×")</f>
        <v>×</v>
      </c>
      <c r="F72" s="37" t="str">
        <f t="array" ref="F72">XLOOKUP(C72,'部署遍歴'!F:F,'部署遍歴'!D:D,"×")</f>
        <v>×</v>
      </c>
      <c r="G72" s="37" t="str">
        <f t="array" ref="G72">XLOOKUP(D72,'source isilon_divまとめ'!A:A,'source isilon_divまとめ'!D:D,"×")</f>
        <v>×</v>
      </c>
    </row>
    <row r="73">
      <c r="A73" s="8" t="s">
        <v>693</v>
      </c>
      <c r="B73" s="8" t="s">
        <v>1157</v>
      </c>
      <c r="C73" s="114" t="str">
        <f t="shared" si="1"/>
        <v>デザイン本部/デザイン戦略室</v>
      </c>
      <c r="D73" s="114" t="str">
        <f t="shared" si="2"/>
        <v>デザイン本部\デザイン戦略室</v>
      </c>
      <c r="E73" s="37" t="str">
        <f t="array" ref="E73">XLOOKUP(C73,'0file'!C:C,'0file'!C:C,"×")</f>
        <v>×</v>
      </c>
      <c r="F73" s="37" t="str">
        <f t="array" ref="F73">XLOOKUP(C73,'部署遍歴'!F:F,'部署遍歴'!D:D,"×")</f>
        <v>クリエイティブ室</v>
      </c>
      <c r="G73" s="37" t="str">
        <f t="array" ref="G73">XLOOKUP(D73,'source isilon_divまとめ'!A:A,'source isilon_divまとめ'!D:D,"×")</f>
        <v>×</v>
      </c>
    </row>
    <row r="74">
      <c r="A74" s="8" t="s">
        <v>693</v>
      </c>
      <c r="B74" s="8" t="s">
        <v>1158</v>
      </c>
      <c r="C74" s="114" t="str">
        <f t="shared" si="1"/>
        <v>デザイン本部/デザイン推進室</v>
      </c>
      <c r="D74" s="114" t="str">
        <f t="shared" si="2"/>
        <v>デザイン本部\デザイン推進室</v>
      </c>
      <c r="E74" s="37" t="str">
        <f t="array" ref="E74">XLOOKUP(C74,'0file'!C:C,'0file'!C:C,"×")</f>
        <v>デザイン本部/デザイン推進室</v>
      </c>
      <c r="F74" s="7" t="s">
        <v>1052</v>
      </c>
      <c r="G74" s="37" t="str">
        <f t="array" ref="G74">XLOOKUP(D74,'source isilon_divまとめ'!A:A,'source isilon_divまとめ'!D:D,"×")</f>
        <v>×</v>
      </c>
    </row>
    <row r="75">
      <c r="A75" s="8" t="s">
        <v>693</v>
      </c>
      <c r="B75" s="8" t="s">
        <v>1159</v>
      </c>
      <c r="C75" s="114" t="str">
        <f t="shared" si="1"/>
        <v>デザイン本部/モンストデザイン室</v>
      </c>
      <c r="D75" s="114" t="str">
        <f t="shared" si="2"/>
        <v>デザイン本部\モンストデザイン室</v>
      </c>
      <c r="E75" s="37" t="str">
        <f t="array" ref="E75">XLOOKUP(C75,'0file'!C:C,'0file'!C:C,"×")</f>
        <v>デザイン本部/モンストデザイン室</v>
      </c>
      <c r="F75" s="37" t="str">
        <f t="array" ref="F75">XLOOKUP(C75,'部署遍歴'!F:F,'部署遍歴'!D:D,"×")</f>
        <v>×</v>
      </c>
      <c r="G75" s="37" t="str">
        <f t="array" ref="G75">XLOOKUP(D75,'source isilon_divまとめ'!A:A,'source isilon_divまとめ'!D:D,"×")</f>
        <v>×</v>
      </c>
    </row>
    <row r="76">
      <c r="A76" s="8" t="s">
        <v>693</v>
      </c>
      <c r="B76" s="8" t="s">
        <v>1111</v>
      </c>
      <c r="C76" s="114" t="str">
        <f t="shared" si="1"/>
        <v>デザイン本部/本部共有</v>
      </c>
      <c r="D76" s="114" t="str">
        <f t="shared" si="2"/>
        <v>デザイン本部\本部共有</v>
      </c>
      <c r="E76" s="37" t="str">
        <f t="array" ref="E76">XLOOKUP(C76,'0file'!C:C,'0file'!C:C,"×")</f>
        <v>×</v>
      </c>
      <c r="F76" s="37" t="str">
        <f t="array" ref="F76">XLOOKUP(C76,'部署遍歴'!F:F,'部署遍歴'!D:D,"×")</f>
        <v>×</v>
      </c>
      <c r="G76" s="37" t="str">
        <f t="array" ref="G76">XLOOKUP(D76,'source isilon_divまとめ'!A:A,'source isilon_divまとめ'!D:D,"×")</f>
        <v>×</v>
      </c>
    </row>
    <row r="77">
      <c r="A77" s="8" t="s">
        <v>693</v>
      </c>
      <c r="B77" s="8" t="s">
        <v>1160</v>
      </c>
      <c r="C77" s="114" t="str">
        <f t="shared" si="1"/>
        <v>デザイン本部/XFLAGデザイン室</v>
      </c>
      <c r="D77" s="114" t="str">
        <f t="shared" si="2"/>
        <v>デザイン本部\XFLAGデザイン室</v>
      </c>
      <c r="E77" s="37" t="str">
        <f t="array" ref="E77">XLOOKUP(C77,'0file'!C:C,'0file'!C:C,"×")</f>
        <v>×</v>
      </c>
      <c r="F77" s="37" t="str">
        <f t="array" ref="F77">XLOOKUP(C77,'部署遍歴'!F:F,'部署遍歴'!D:D,"×")</f>
        <v>×</v>
      </c>
      <c r="G77" s="37" t="str">
        <f t="array" ref="G77">XLOOKUP(D77,'source isilon_divまとめ'!A:A,'source isilon_divまとめ'!D:D,"×")</f>
        <v>×</v>
      </c>
    </row>
    <row r="78">
      <c r="A78" s="8" t="s">
        <v>693</v>
      </c>
      <c r="B78" s="8" t="s">
        <v>698</v>
      </c>
      <c r="C78" s="114" t="str">
        <f t="shared" si="1"/>
        <v>デザイン本部/動画クリエイティブ室</v>
      </c>
      <c r="D78" s="114" t="str">
        <f t="shared" si="2"/>
        <v>デザイン本部\動画クリエイティブ室</v>
      </c>
      <c r="E78" s="37" t="str">
        <f t="array" ref="E78">XLOOKUP(C78,'0file'!C:C,'0file'!C:C,"×")</f>
        <v>デザイン本部/動画クリエイティブ室</v>
      </c>
      <c r="F78" s="37" t="str">
        <f t="array" ref="F78">XLOOKUP(C78,'部署遍歴'!F:F,'部署遍歴'!D:D,"×")</f>
        <v>×</v>
      </c>
      <c r="G78" s="37" t="str">
        <f t="array" ref="G78">XLOOKUP(D78,'source isilon_divまとめ'!A:A,'source isilon_divまとめ'!D:D,"×")</f>
        <v>×</v>
      </c>
    </row>
    <row r="79">
      <c r="A79" s="8" t="s">
        <v>693</v>
      </c>
      <c r="B79" s="8" t="s">
        <v>1161</v>
      </c>
      <c r="C79" s="114" t="str">
        <f t="shared" si="1"/>
        <v>デザイン本部/XFLAG PICTURES</v>
      </c>
      <c r="D79" s="114" t="str">
        <f t="shared" si="2"/>
        <v>デザイン本部\XFLAG PICTURES</v>
      </c>
      <c r="E79" s="37" t="str">
        <f t="array" ref="E79">XLOOKUP(C79,'0file'!C:C,'0file'!C:C,"×")</f>
        <v>×</v>
      </c>
      <c r="F79" s="7" t="s">
        <v>1052</v>
      </c>
      <c r="G79" s="37" t="str">
        <f t="array" ref="G79">XLOOKUP(D79,'source isilon_divまとめ'!A:A,'source isilon_divまとめ'!D:D,"×")</f>
        <v>×</v>
      </c>
    </row>
    <row r="80">
      <c r="A80" s="8" t="s">
        <v>717</v>
      </c>
      <c r="B80" s="8" t="s">
        <v>738</v>
      </c>
      <c r="C80" s="114" t="str">
        <f t="shared" si="1"/>
        <v>デジタルエンターテインメントオペレーションズ本部/コトダマン運営部</v>
      </c>
      <c r="D80" s="114" t="str">
        <f t="shared" si="2"/>
        <v>デジタルエンターテインメントオペレーションズ本部\コトダマン運営部</v>
      </c>
      <c r="E80" s="37" t="str">
        <f t="array" ref="E80">XLOOKUP(C80,'0file'!C:C,'0file'!C:C,"×")</f>
        <v>デジタルエンターテインメントオペレーションズ本部/コトダマン運営部</v>
      </c>
      <c r="F80" s="37" t="str">
        <f t="array" ref="F80">XLOOKUP(C80,'部署遍歴'!F:F,'部署遍歴'!D:D,"×")</f>
        <v>×</v>
      </c>
      <c r="G80" s="37" t="str">
        <f t="array" ref="G80">XLOOKUP(D80,'source isilon_divまとめ'!A:A,'source isilon_divまとめ'!D:D,"×")</f>
        <v>×</v>
      </c>
    </row>
    <row r="81">
      <c r="A81" s="8" t="s">
        <v>717</v>
      </c>
      <c r="B81" s="8" t="s">
        <v>251</v>
      </c>
      <c r="C81" s="114" t="str">
        <f t="shared" si="1"/>
        <v>デジタルエンターテインメントオペレーションズ本部/宣伝部</v>
      </c>
      <c r="D81" s="114" t="str">
        <f t="shared" si="2"/>
        <v>デジタルエンターテインメントオペレーションズ本部\宣伝部</v>
      </c>
      <c r="E81" s="37" t="str">
        <f t="array" ref="E81">XLOOKUP(C81,'0file'!C:C,'0file'!C:C,"×")</f>
        <v>デジタルエンターテインメントオペレーションズ本部/宣伝部</v>
      </c>
      <c r="F81" s="37" t="str">
        <f t="array" ref="F81">XLOOKUP(C81,'部署遍歴'!F:F,'部署遍歴'!D:D,"×")</f>
        <v>×</v>
      </c>
      <c r="G81" s="37" t="str">
        <f t="array" ref="G81">XLOOKUP(D81,'source isilon_divまとめ'!A:A,'source isilon_divまとめ'!D:D,"×")</f>
        <v>×</v>
      </c>
    </row>
    <row r="82">
      <c r="A82" s="8" t="s">
        <v>717</v>
      </c>
      <c r="B82" s="8" t="s">
        <v>223</v>
      </c>
      <c r="C82" s="114" t="str">
        <f t="shared" si="1"/>
        <v>デジタルエンターテインメントオペレーションズ本部/事業戦略部</v>
      </c>
      <c r="D82" s="114" t="str">
        <f t="shared" si="2"/>
        <v>デジタルエンターテインメントオペレーションズ本部\事業戦略部</v>
      </c>
      <c r="E82" s="37" t="str">
        <f t="array" ref="E82">XLOOKUP(C82,'0file'!C:C,'0file'!C:C,"×")</f>
        <v>デジタルエンターテインメントオペレーションズ本部/事業戦略部</v>
      </c>
      <c r="F82" s="37" t="str">
        <f t="array" ref="F82">XLOOKUP(C82,'部署遍歴'!F:F,'部署遍歴'!D:D,"×")</f>
        <v>×</v>
      </c>
      <c r="G82" s="37" t="str">
        <f t="array" ref="G82">XLOOKUP(D82,'source isilon_divまとめ'!A:A,'source isilon_divまとめ'!D:D,"×")</f>
        <v>×</v>
      </c>
    </row>
    <row r="83">
      <c r="A83" s="8" t="s">
        <v>717</v>
      </c>
      <c r="B83" s="8" t="s">
        <v>722</v>
      </c>
      <c r="C83" s="114" t="str">
        <f t="shared" si="1"/>
        <v>デジタルエンターテインメントオペレーションズ本部/コトダマン制作部</v>
      </c>
      <c r="D83" s="114" t="str">
        <f t="shared" si="2"/>
        <v>デジタルエンターテインメントオペレーションズ本部\コトダマン制作部</v>
      </c>
      <c r="E83" s="37" t="str">
        <f t="array" ref="E83">XLOOKUP(C83,'0file'!C:C,'0file'!C:C,"×")</f>
        <v>デジタルエンターテインメントオペレーションズ本部/コトダマン制作部</v>
      </c>
      <c r="F83" s="37" t="str">
        <f t="array" ref="F83">XLOOKUP(C83,'部署遍歴'!F:F,'部署遍歴'!D:D,"×")</f>
        <v>×</v>
      </c>
      <c r="G83" s="37" t="str">
        <f t="array" ref="G83">XLOOKUP(D83,'source isilon_divまとめ'!A:A,'source isilon_divまとめ'!D:D,"×")</f>
        <v>×</v>
      </c>
    </row>
    <row r="84">
      <c r="A84" s="8" t="s">
        <v>717</v>
      </c>
      <c r="B84" s="8" t="s">
        <v>725</v>
      </c>
      <c r="C84" s="114" t="str">
        <f t="shared" si="1"/>
        <v>デジタルエンターテインメントオペレーションズ本部/モンスト開発部</v>
      </c>
      <c r="D84" s="114" t="str">
        <f t="shared" si="2"/>
        <v>デジタルエンターテインメントオペレーションズ本部\モンスト開発部</v>
      </c>
      <c r="E84" s="37" t="str">
        <f t="array" ref="E84">XLOOKUP(C84,'0file'!C:C,'0file'!C:C,"×")</f>
        <v>デジタルエンターテインメントオペレーションズ本部/モンスト開発部</v>
      </c>
      <c r="F84" s="37" t="str">
        <f t="array" ref="F84">XLOOKUP(C84,'部署遍歴'!F:F,'部署遍歴'!D:D,"×")</f>
        <v>×</v>
      </c>
      <c r="G84" s="37" t="str">
        <f t="array" ref="G84">XLOOKUP(D84,'source isilon_divまとめ'!A:A,'source isilon_divまとめ'!D:D,"×")</f>
        <v>×</v>
      </c>
    </row>
    <row r="85">
      <c r="A85" s="8" t="s">
        <v>717</v>
      </c>
      <c r="B85" s="8" t="s">
        <v>1111</v>
      </c>
      <c r="C85" s="114" t="str">
        <f t="shared" si="1"/>
        <v>デジタルエンターテインメントオペレーションズ本部/本部共有</v>
      </c>
      <c r="D85" s="114" t="str">
        <f t="shared" si="2"/>
        <v>デジタルエンターテインメントオペレーションズ本部\本部共有</v>
      </c>
      <c r="E85" s="37" t="str">
        <f t="array" ref="E85">XLOOKUP(C85,'0file'!C:C,'0file'!C:C,"×")</f>
        <v>デジタルエンターテインメントオペレーションズ本部/本部共有</v>
      </c>
      <c r="F85" s="37" t="str">
        <f t="array" ref="F85">XLOOKUP(C85,'部署遍歴'!F:F,'部署遍歴'!D:D,"×")</f>
        <v>×</v>
      </c>
      <c r="G85" s="37" t="str">
        <f t="array" ref="G85">XLOOKUP(D85,'source isilon_divまとめ'!A:A,'source isilon_divまとめ'!D:D,"×")</f>
        <v>×</v>
      </c>
    </row>
    <row r="86">
      <c r="A86" s="8" t="s">
        <v>717</v>
      </c>
      <c r="B86" s="8" t="s">
        <v>730</v>
      </c>
      <c r="C86" s="114" t="str">
        <f t="shared" si="1"/>
        <v>デジタルエンターテインメントオペレーションズ本部/ファンマーケティング部</v>
      </c>
      <c r="D86" s="114" t="str">
        <f t="shared" si="2"/>
        <v>デジタルエンターテインメントオペレーションズ本部\ファンマーケティング部</v>
      </c>
      <c r="E86" s="37" t="str">
        <f t="array" ref="E86">XLOOKUP(C86,'0file'!C:C,'0file'!C:C,"×")</f>
        <v>デジタルエンターテインメントオペレーションズ本部/ファンマーケティング部</v>
      </c>
      <c r="F86" s="37" t="str">
        <f t="array" ref="F86">XLOOKUP(C86,'部署遍歴'!F:F,'部署遍歴'!D:D,"×")</f>
        <v>×</v>
      </c>
      <c r="G86" s="37" t="str">
        <f t="array" ref="G86">XLOOKUP(D86,'source isilon_divまとめ'!A:A,'source isilon_divまとめ'!D:D,"×")</f>
        <v>×</v>
      </c>
    </row>
    <row r="87">
      <c r="A87" s="8" t="s">
        <v>717</v>
      </c>
      <c r="B87" s="8" t="s">
        <v>720</v>
      </c>
      <c r="C87" s="114" t="str">
        <f t="shared" si="1"/>
        <v>デジタルエンターテインメントオペレーションズ本部/モンスト運営部</v>
      </c>
      <c r="D87" s="114" t="str">
        <f t="shared" si="2"/>
        <v>デジタルエンターテインメントオペレーションズ本部\モンスト運営部</v>
      </c>
      <c r="E87" s="37" t="str">
        <f t="array" ref="E87">XLOOKUP(C87,'0file'!C:C,'0file'!C:C,"×")</f>
        <v>デジタルエンターテインメントオペレーションズ本部/モンスト運営部</v>
      </c>
      <c r="F87" s="37" t="str">
        <f t="array" ref="F87">XLOOKUP(C87,'部署遍歴'!F:F,'部署遍歴'!D:D,"×")</f>
        <v>×</v>
      </c>
      <c r="G87" s="37" t="str">
        <f t="array" ref="G87">XLOOKUP(D87,'source isilon_divまとめ'!A:A,'source isilon_divまとめ'!D:D,"×")</f>
        <v>×</v>
      </c>
    </row>
    <row r="88">
      <c r="A88" s="8" t="s">
        <v>717</v>
      </c>
      <c r="B88" s="8" t="s">
        <v>1162</v>
      </c>
      <c r="C88" s="114" t="str">
        <f t="shared" si="1"/>
        <v>デジタルエンターテインメントオペレーションズ本部/コトダマン事業部</v>
      </c>
      <c r="D88" s="114" t="str">
        <f t="shared" si="2"/>
        <v>デジタルエンターテインメントオペレーションズ本部\コトダマン事業部</v>
      </c>
      <c r="E88" s="37" t="str">
        <f t="array" ref="E88">XLOOKUP(C88,'0file'!C:C,'0file'!C:C,"×")</f>
        <v>デジタルエンターテインメントオペレーションズ本部/コトダマン事業部</v>
      </c>
      <c r="F88" s="37" t="str">
        <f t="array" ref="F88">XLOOKUP(C88,'部署遍歴'!F:F,'部署遍歴'!D:D,"×")</f>
        <v>コトダマン運営部</v>
      </c>
      <c r="G88" s="37" t="str">
        <f t="array" ref="G88">XLOOKUP(D88,'source isilon_divまとめ'!A:A,'source isilon_divまとめ'!D:D,"×")</f>
        <v>×</v>
      </c>
    </row>
    <row r="89">
      <c r="A89" s="8" t="s">
        <v>717</v>
      </c>
      <c r="B89" s="8" t="s">
        <v>1163</v>
      </c>
      <c r="C89" s="114" t="str">
        <f t="shared" si="1"/>
        <v>デジタルエンターテインメントオペレーションズ本部/モンストIPクリエイション部</v>
      </c>
      <c r="D89" s="114" t="str">
        <f t="shared" si="2"/>
        <v>デジタルエンターテインメントオペレーションズ本部\モンストIPクリエイション部</v>
      </c>
      <c r="E89" s="37" t="str">
        <f t="array" ref="E89">XLOOKUP(C89,'0file'!C:C,'0file'!C:C,"×")</f>
        <v>デジタルエンターテインメントオペレーションズ本部/モンストIPクリエイション部</v>
      </c>
      <c r="F89" s="37" t="str">
        <f t="array" ref="F89">XLOOKUP(C89,'部署遍歴'!F:F,'部署遍歴'!D:D,"×")</f>
        <v>×</v>
      </c>
      <c r="G89" s="37" t="str">
        <f t="array" ref="G89">XLOOKUP(D89,'source isilon_divまとめ'!A:A,'source isilon_divまとめ'!D:D,"×")</f>
        <v>×</v>
      </c>
    </row>
    <row r="90">
      <c r="A90" s="8" t="s">
        <v>1164</v>
      </c>
      <c r="B90" s="8" t="s">
        <v>1139</v>
      </c>
      <c r="C90" s="114" t="str">
        <f t="shared" si="1"/>
        <v>アイ・マーキュリーキャピタル/全社共有</v>
      </c>
      <c r="D90" s="114" t="str">
        <f t="shared" si="2"/>
        <v>アイ・マーキュリーキャピタル\全社共有</v>
      </c>
      <c r="E90" s="37" t="str">
        <f t="array" ref="E90">XLOOKUP(C90,'0file'!C:C,'0file'!C:C,"×")</f>
        <v>アイ・マーキュリーキャピタル/全社共有</v>
      </c>
      <c r="F90" s="37" t="str">
        <f t="array" ref="F90">XLOOKUP(C90,'部署遍歴'!F:F,'部署遍歴'!D:D,"×")</f>
        <v>×</v>
      </c>
      <c r="G90" s="37" t="str">
        <f t="array" ref="G90">XLOOKUP(D90,'source isilon_divまとめ'!A:A,'source isilon_divまとめ'!D:D,"×")</f>
        <v>×</v>
      </c>
    </row>
    <row r="91">
      <c r="A91" s="8" t="s">
        <v>1166</v>
      </c>
      <c r="B91" s="8" t="s">
        <v>1167</v>
      </c>
      <c r="C91" s="114" t="str">
        <f t="shared" si="1"/>
        <v>エックスフラッグスタジオ本部/アドテク部</v>
      </c>
      <c r="D91" s="114" t="str">
        <f t="shared" si="2"/>
        <v>エックスフラッグスタジオ本部\アドテク部</v>
      </c>
      <c r="E91" s="37" t="str">
        <f t="array" ref="E91">XLOOKUP(C91,'0file'!C:C,'0file'!C:C,"×")</f>
        <v>×</v>
      </c>
      <c r="F91" s="37" t="str">
        <f t="array" ref="F91">XLOOKUP(C91,'部署遍歴'!F:F,'部署遍歴'!D:D,"×")</f>
        <v>×</v>
      </c>
      <c r="G91" s="37" t="str">
        <f t="array" ref="G91">XLOOKUP(D91,'source isilon_divまとめ'!A:A,'source isilon_divまとめ'!D:D,"×")</f>
        <v>×</v>
      </c>
    </row>
    <row r="92">
      <c r="A92" s="8" t="s">
        <v>1166</v>
      </c>
      <c r="B92" s="8" t="s">
        <v>1133</v>
      </c>
      <c r="C92" s="114" t="str">
        <f t="shared" si="1"/>
        <v>エックスフラッグスタジオ本部/企画・運用部</v>
      </c>
      <c r="D92" s="114" t="str">
        <f t="shared" si="2"/>
        <v>エックスフラッグスタジオ本部\企画・運用部</v>
      </c>
      <c r="E92" s="37" t="str">
        <f t="array" ref="E92">XLOOKUP(C92,'0file'!C:C,'0file'!C:C,"×")</f>
        <v>×</v>
      </c>
      <c r="F92" s="37" t="str">
        <f t="array" ref="F92">XLOOKUP(C92,'部署遍歴'!F:F,'部署遍歴'!D:D,"×")</f>
        <v>×</v>
      </c>
      <c r="G92" s="37" t="str">
        <f t="array" ref="G92">XLOOKUP(D92,'source isilon_divまとめ'!A:A,'source isilon_divまとめ'!D:D,"×")</f>
        <v>×</v>
      </c>
    </row>
    <row r="93">
      <c r="A93" s="8" t="s">
        <v>1166</v>
      </c>
      <c r="B93" s="8" t="s">
        <v>1168</v>
      </c>
      <c r="C93" s="114" t="str">
        <f t="shared" si="1"/>
        <v>エックスフラッグスタジオ本部/海外運用部</v>
      </c>
      <c r="D93" s="114" t="str">
        <f t="shared" si="2"/>
        <v>エックスフラッグスタジオ本部\海外運用部</v>
      </c>
      <c r="E93" s="37" t="str">
        <f t="array" ref="E93">XLOOKUP(C93,'0file'!C:C,'0file'!C:C,"×")</f>
        <v>×</v>
      </c>
      <c r="F93" s="37" t="str">
        <f t="array" ref="F93">XLOOKUP(C93,'部署遍歴'!F:F,'部署遍歴'!D:D,"×")</f>
        <v>×</v>
      </c>
      <c r="G93" s="37" t="str">
        <f t="array" ref="G93">XLOOKUP(D93,'source isilon_divまとめ'!A:A,'source isilon_divまとめ'!D:D,"×")</f>
        <v>×</v>
      </c>
    </row>
    <row r="94">
      <c r="A94" s="8" t="s">
        <v>1166</v>
      </c>
      <c r="B94" s="8" t="s">
        <v>1169</v>
      </c>
      <c r="C94" s="114" t="str">
        <f t="shared" si="1"/>
        <v>エックスフラッグスタジオ本部/XFLAG</v>
      </c>
      <c r="D94" s="114" t="str">
        <f t="shared" si="2"/>
        <v>エックスフラッグスタジオ本部\XFLAG</v>
      </c>
      <c r="E94" s="37" t="str">
        <f t="array" ref="E94">XLOOKUP(C94,'0file'!C:C,'0file'!C:C,"×")</f>
        <v>エックスフラッグスタジオ本部/XFLAG</v>
      </c>
      <c r="F94" s="37" t="str">
        <f t="array" ref="F94">XLOOKUP(C94,'部署遍歴'!F:F,'部署遍歴'!D:D,"×")</f>
        <v>×</v>
      </c>
      <c r="G94" s="37" t="str">
        <f t="array" ref="G94">XLOOKUP(D94,'source isilon_divまとめ'!A:A,'source isilon_divまとめ'!D:D,"×")</f>
        <v>×</v>
      </c>
    </row>
    <row r="95">
      <c r="A95" s="8" t="s">
        <v>1166</v>
      </c>
      <c r="B95" s="8" t="s">
        <v>1170</v>
      </c>
      <c r="C95" s="114" t="str">
        <f t="shared" si="1"/>
        <v>エックスフラッグスタジオ本部/XFLAG MOBILE</v>
      </c>
      <c r="D95" s="114" t="str">
        <f t="shared" si="2"/>
        <v>エックスフラッグスタジオ本部\XFLAG MOBILE</v>
      </c>
      <c r="E95" s="37" t="str">
        <f t="array" ref="E95">XLOOKUP(C95,'0file'!C:C,'0file'!C:C,"×")</f>
        <v>×</v>
      </c>
      <c r="F95" s="37" t="str">
        <f t="array" ref="F95">XLOOKUP(C95,'部署遍歴'!F:F,'部署遍歴'!D:D,"×")</f>
        <v>×</v>
      </c>
      <c r="G95" s="37" t="str">
        <f t="array" ref="G95">XLOOKUP(D95,'source isilon_divまとめ'!A:A,'source isilon_divまとめ'!D:D,"×")</f>
        <v>×</v>
      </c>
    </row>
    <row r="96">
      <c r="A96" s="8" t="s">
        <v>1166</v>
      </c>
      <c r="B96" s="8" t="s">
        <v>1144</v>
      </c>
      <c r="C96" s="114" t="str">
        <f t="shared" si="1"/>
        <v>エックスフラッグスタジオ本部/人事戦略室</v>
      </c>
      <c r="D96" s="114" t="str">
        <f t="shared" si="2"/>
        <v>エックスフラッグスタジオ本部\人事戦略室</v>
      </c>
      <c r="E96" s="37" t="str">
        <f t="array" ref="E96">XLOOKUP(C96,'0file'!C:C,'0file'!C:C,"×")</f>
        <v>エックスフラッグスタジオ本部/人事戦略室</v>
      </c>
      <c r="F96" s="37" t="str">
        <f t="array" ref="F96">XLOOKUP(C96,'部署遍歴'!F:F,'部署遍歴'!D:D,"×")</f>
        <v>×</v>
      </c>
      <c r="G96" s="37" t="str">
        <f t="array" ref="G96">XLOOKUP(D96,'source isilon_divまとめ'!A:A,'source isilon_divまとめ'!D:D,"×")</f>
        <v>×</v>
      </c>
    </row>
    <row r="97">
      <c r="A97" s="8" t="s">
        <v>1166</v>
      </c>
      <c r="B97" s="8" t="s">
        <v>1134</v>
      </c>
      <c r="C97" s="114" t="str">
        <f t="shared" si="1"/>
        <v>エックスフラッグスタジオ本部/新規事業推進室</v>
      </c>
      <c r="D97" s="114" t="str">
        <f t="shared" si="2"/>
        <v>エックスフラッグスタジオ本部\新規事業推進室</v>
      </c>
      <c r="E97" s="37" t="str">
        <f t="array" ref="E97">XLOOKUP(C97,'0file'!C:C,'0file'!C:C,"×")</f>
        <v>×</v>
      </c>
      <c r="F97" s="37" t="str">
        <f t="array" ref="F97">XLOOKUP(C97,'部署遍歴'!F:F,'部署遍歴'!D:D,"×")</f>
        <v>×</v>
      </c>
      <c r="G97" s="37" t="str">
        <f t="array" ref="G97">XLOOKUP(D97,'source isilon_divまとめ'!A:A,'source isilon_divまとめ'!D:D,"×")</f>
        <v>×</v>
      </c>
    </row>
    <row r="98">
      <c r="A98" s="8" t="s">
        <v>1166</v>
      </c>
      <c r="B98" s="8" t="s">
        <v>1171</v>
      </c>
      <c r="C98" s="114" t="str">
        <f t="shared" si="1"/>
        <v>エックスフラッグスタジオ本部/XFLAG GAMES</v>
      </c>
      <c r="D98" s="114" t="str">
        <f t="shared" si="2"/>
        <v>エックスフラッグスタジオ本部\XFLAG GAMES</v>
      </c>
      <c r="E98" s="37" t="str">
        <f t="array" ref="E98">XLOOKUP(C98,'0file'!C:C,'0file'!C:C,"×")</f>
        <v>×</v>
      </c>
      <c r="F98" s="37" t="str">
        <f t="array" ref="F98">XLOOKUP(C98,'部署遍歴'!F:F,'部署遍歴'!D:D,"×")</f>
        <v>×</v>
      </c>
      <c r="G98" s="37" t="str">
        <f t="array" ref="G98">XLOOKUP(D98,'source isilon_divまとめ'!A:A,'source isilon_divまとめ'!D:D,"×")</f>
        <v>×</v>
      </c>
    </row>
    <row r="99">
      <c r="A99" s="8" t="s">
        <v>1166</v>
      </c>
      <c r="B99" s="8" t="s">
        <v>1135</v>
      </c>
      <c r="C99" s="114" t="str">
        <f t="shared" si="1"/>
        <v>エックスフラッグスタジオ本部/システム開発部</v>
      </c>
      <c r="D99" s="114" t="str">
        <f t="shared" si="2"/>
        <v>エックスフラッグスタジオ本部\システム開発部</v>
      </c>
      <c r="E99" s="37" t="str">
        <f t="array" ref="E99">XLOOKUP(C99,'0file'!C:C,'0file'!C:C,"×")</f>
        <v>×</v>
      </c>
      <c r="F99" s="37" t="str">
        <f t="array" ref="F99">XLOOKUP(C99,'部署遍歴'!F:F,'部署遍歴'!D:D,"×")</f>
        <v>×</v>
      </c>
      <c r="G99" s="37" t="str">
        <f t="array" ref="G99">XLOOKUP(D99,'source isilon_divまとめ'!A:A,'source isilon_divまとめ'!D:D,"×")</f>
        <v>×</v>
      </c>
    </row>
    <row r="100">
      <c r="A100" s="8" t="s">
        <v>1166</v>
      </c>
      <c r="B100" s="8" t="s">
        <v>1172</v>
      </c>
      <c r="C100" s="114" t="str">
        <f t="shared" si="1"/>
        <v>エックスフラッグスタジオ本部/秘書室</v>
      </c>
      <c r="D100" s="114" t="str">
        <f t="shared" si="2"/>
        <v>エックスフラッグスタジオ本部\秘書室</v>
      </c>
      <c r="E100" s="37" t="str">
        <f t="array" ref="E100">XLOOKUP(C100,'0file'!C:C,'0file'!C:C,"×")</f>
        <v>×</v>
      </c>
      <c r="F100" s="37" t="str">
        <f t="array" ref="F100">XLOOKUP(C100,'部署遍歴'!F:F,'部署遍歴'!D:D,"×")</f>
        <v>×</v>
      </c>
      <c r="G100" s="37" t="str">
        <f t="array" ref="G100">XLOOKUP(D100,'source isilon_divまとめ'!A:A,'source isilon_divまとめ'!D:D,"×")</f>
        <v>×</v>
      </c>
    </row>
    <row r="101">
      <c r="A101" s="8" t="s">
        <v>1166</v>
      </c>
      <c r="B101" s="8" t="s">
        <v>1136</v>
      </c>
      <c r="C101" s="114" t="str">
        <f t="shared" si="1"/>
        <v>エックスフラッグスタジオ本部/メディアミックス部</v>
      </c>
      <c r="D101" s="114" t="str">
        <f t="shared" si="2"/>
        <v>エックスフラッグスタジオ本部\メディアミックス部</v>
      </c>
      <c r="E101" s="37" t="str">
        <f t="array" ref="E101">XLOOKUP(C101,'0file'!C:C,'0file'!C:C,"×")</f>
        <v>×</v>
      </c>
      <c r="F101" s="37" t="str">
        <f t="array" ref="F101">XLOOKUP(C101,'部署遍歴'!F:F,'部署遍歴'!D:D,"×")</f>
        <v>×</v>
      </c>
      <c r="G101" s="37" t="str">
        <f t="array" ref="G101">XLOOKUP(D101,'source isilon_divまとめ'!A:A,'source isilon_divまとめ'!D:D,"×")</f>
        <v>×</v>
      </c>
    </row>
    <row r="102">
      <c r="A102" s="8" t="s">
        <v>1166</v>
      </c>
      <c r="B102" s="8" t="s">
        <v>1173</v>
      </c>
      <c r="C102" s="114" t="str">
        <f t="shared" si="1"/>
        <v>エックスフラッグスタジオ本部/エックスフラッグ</v>
      </c>
      <c r="D102" s="114" t="str">
        <f t="shared" si="2"/>
        <v>エックスフラッグスタジオ本部\エックスフラッグ</v>
      </c>
      <c r="E102" s="37" t="str">
        <f t="array" ref="E102">XLOOKUP(C102,'0file'!C:C,'0file'!C:C,"×")</f>
        <v>エックスフラッグスタジオ本部/エックスフラッグ</v>
      </c>
      <c r="F102" s="37" t="str">
        <f t="array" ref="F102">XLOOKUP(C102,'部署遍歴'!F:F,'部署遍歴'!D:D,"×")</f>
        <v>×</v>
      </c>
      <c r="G102" s="37" t="str">
        <f t="array" ref="G102">XLOOKUP(D102,'source isilon_divまとめ'!A:A,'source isilon_divまとめ'!D:D,"×")</f>
        <v>×</v>
      </c>
    </row>
    <row r="103">
      <c r="A103" s="8" t="s">
        <v>1166</v>
      </c>
      <c r="B103" s="8" t="s">
        <v>1137</v>
      </c>
      <c r="C103" s="114" t="str">
        <f t="shared" si="1"/>
        <v>エックスフラッグスタジオ本部/マーケティング部</v>
      </c>
      <c r="D103" s="114" t="str">
        <f t="shared" si="2"/>
        <v>エックスフラッグスタジオ本部\マーケティング部</v>
      </c>
      <c r="E103" s="37" t="str">
        <f t="array" ref="E103">XLOOKUP(C103,'0file'!C:C,'0file'!C:C,"×")</f>
        <v>×</v>
      </c>
      <c r="F103" s="37" t="str">
        <f t="array" ref="F103">XLOOKUP(C103,'部署遍歴'!F:F,'部署遍歴'!D:D,"×")</f>
        <v>×</v>
      </c>
      <c r="G103" s="37" t="str">
        <f t="array" ref="G103">XLOOKUP(D103,'source isilon_divまとめ'!A:A,'source isilon_divまとめ'!D:D,"×")</f>
        <v>×</v>
      </c>
    </row>
    <row r="104">
      <c r="A104" s="8" t="s">
        <v>1166</v>
      </c>
      <c r="B104" s="8" t="s">
        <v>1174</v>
      </c>
      <c r="C104" s="114" t="str">
        <f t="shared" si="1"/>
        <v>エックスフラッグスタジオ本部/デザイン室</v>
      </c>
      <c r="D104" s="114" t="str">
        <f t="shared" si="2"/>
        <v>エックスフラッグスタジオ本部\デザイン室</v>
      </c>
      <c r="E104" s="37" t="str">
        <f t="array" ref="E104">XLOOKUP(C104,'0file'!C:C,'0file'!C:C,"×")</f>
        <v>エックスフラッグスタジオ本部/デザイン室</v>
      </c>
      <c r="F104" s="37" t="str">
        <f t="array" ref="F104">XLOOKUP(C104,'部署遍歴'!F:F,'部署遍歴'!D:D,"×")</f>
        <v>×</v>
      </c>
      <c r="G104" s="37" t="str">
        <f t="array" ref="G104">XLOOKUP(D104,'source isilon_divまとめ'!A:A,'source isilon_divまとめ'!D:D,"×")</f>
        <v>×</v>
      </c>
    </row>
    <row r="105">
      <c r="A105" s="8" t="s">
        <v>1166</v>
      </c>
      <c r="B105" s="8" t="s">
        <v>1175</v>
      </c>
      <c r="C105" s="114" t="str">
        <f t="shared" si="1"/>
        <v>エックスフラッグスタジオ本部/ゲーム開発室</v>
      </c>
      <c r="D105" s="114" t="str">
        <f t="shared" si="2"/>
        <v>エックスフラッグスタジオ本部\ゲーム開発室</v>
      </c>
      <c r="E105" s="37" t="str">
        <f t="array" ref="E105">XLOOKUP(C105,'0file'!C:C,'0file'!C:C,"×")</f>
        <v>×</v>
      </c>
      <c r="F105" s="37" t="str">
        <f t="array" ref="F105">XLOOKUP(C105,'部署遍歴'!F:F,'部署遍歴'!D:D,"×")</f>
        <v>×</v>
      </c>
      <c r="G105" s="37" t="str">
        <f t="array" ref="G105">XLOOKUP(D105,'source isilon_divまとめ'!A:A,'source isilon_divまとめ'!D:D,"×")</f>
        <v>×</v>
      </c>
    </row>
    <row r="106">
      <c r="A106" s="8" t="s">
        <v>1166</v>
      </c>
      <c r="B106" s="8" t="s">
        <v>286</v>
      </c>
      <c r="C106" s="114" t="str">
        <f t="shared" si="1"/>
        <v>エックスフラッグスタジオ本部/事業戦略室</v>
      </c>
      <c r="D106" s="114" t="str">
        <f t="shared" si="2"/>
        <v>エックスフラッグスタジオ本部\事業戦略室</v>
      </c>
      <c r="E106" s="37" t="str">
        <f t="array" ref="E106">XLOOKUP(C106,'0file'!C:C,'0file'!C:C,"×")</f>
        <v>×</v>
      </c>
      <c r="F106" s="37" t="str">
        <f t="array" ref="F106">XLOOKUP(C106,'部署遍歴'!F:F,'部署遍歴'!D:D,"×")</f>
        <v>×</v>
      </c>
      <c r="G106" s="37" t="str">
        <f t="array" ref="G106">XLOOKUP(D106,'source isilon_divまとめ'!A:A,'source isilon_divまとめ'!D:D,"×")</f>
        <v>×</v>
      </c>
    </row>
    <row r="107">
      <c r="A107" s="8" t="s">
        <v>1166</v>
      </c>
      <c r="B107" s="8" t="s">
        <v>1111</v>
      </c>
      <c r="C107" s="114" t="str">
        <f t="shared" si="1"/>
        <v>エックスフラッグスタジオ本部/本部共有</v>
      </c>
      <c r="D107" s="114" t="str">
        <f t="shared" si="2"/>
        <v>エックスフラッグスタジオ本部\本部共有</v>
      </c>
      <c r="E107" s="37" t="str">
        <f t="array" ref="E107">XLOOKUP(C107,'0file'!C:C,'0file'!C:C,"×")</f>
        <v>×</v>
      </c>
      <c r="F107" s="37" t="str">
        <f t="array" ref="F107">XLOOKUP(C107,'部署遍歴'!F:F,'部署遍歴'!D:D,"×")</f>
        <v>×</v>
      </c>
      <c r="G107" s="37" t="str">
        <f t="array" ref="G107">XLOOKUP(D107,'source isilon_divまとめ'!A:A,'source isilon_divまとめ'!D:D,"×")</f>
        <v>×</v>
      </c>
    </row>
    <row r="108">
      <c r="A108" s="8" t="s">
        <v>1166</v>
      </c>
      <c r="B108" s="8" t="s">
        <v>1068</v>
      </c>
      <c r="C108" s="114" t="str">
        <f t="shared" si="1"/>
        <v>エックスフラッグスタジオ本部/XFLAG ENTERTAINMENT</v>
      </c>
      <c r="D108" s="114" t="str">
        <f t="shared" si="2"/>
        <v>エックスフラッグスタジオ本部\XFLAG ENTERTAINMENT</v>
      </c>
      <c r="E108" s="37" t="str">
        <f t="array" ref="E108">XLOOKUP(C108,'0file'!C:C,'0file'!C:C,"×")</f>
        <v>×</v>
      </c>
      <c r="F108" s="37" t="str">
        <f t="array" ref="F108">XLOOKUP(C108,'部署遍歴'!F:F,'部署遍歴'!D:D,"×")</f>
        <v>×</v>
      </c>
      <c r="G108" s="37" t="str">
        <f t="array" ref="G108">XLOOKUP(D108,'source isilon_divまとめ'!A:A,'source isilon_divまとめ'!D:D,"×")</f>
        <v>×</v>
      </c>
    </row>
    <row r="109">
      <c r="A109" s="8" t="s">
        <v>1166</v>
      </c>
      <c r="B109" s="8" t="s">
        <v>1177</v>
      </c>
      <c r="C109" s="114" t="str">
        <f t="shared" si="1"/>
        <v>エックスフラッグスタジオ本部/エックスフラッグ ピクチャーズ</v>
      </c>
      <c r="D109" s="114" t="str">
        <f t="shared" si="2"/>
        <v>エックスフラッグスタジオ本部\エックスフラッグ ピクチャーズ</v>
      </c>
      <c r="E109" s="37" t="str">
        <f t="array" ref="E109">XLOOKUP(C109,'0file'!C:C,'0file'!C:C,"×")</f>
        <v>エックスフラッグスタジオ本部/エックスフラッグ ピクチャーズ</v>
      </c>
      <c r="F109" s="37" t="str">
        <f t="array" ref="F109">XLOOKUP(C109,'部署遍歴'!F:F,'部署遍歴'!D:D,"×")</f>
        <v>×</v>
      </c>
      <c r="G109" s="37" t="str">
        <f t="array" ref="G109">XLOOKUP(D109,'source isilon_divまとめ'!A:A,'source isilon_divまとめ'!D:D,"×")</f>
        <v>×</v>
      </c>
    </row>
    <row r="110">
      <c r="A110" s="8" t="s">
        <v>1166</v>
      </c>
      <c r="B110" s="8" t="s">
        <v>1178</v>
      </c>
      <c r="C110" s="114" t="str">
        <f t="shared" si="1"/>
        <v>エックスフラッグスタジオ本部/MTP推進室</v>
      </c>
      <c r="D110" s="114" t="str">
        <f t="shared" si="2"/>
        <v>エックスフラッグスタジオ本部\MTP推進室</v>
      </c>
      <c r="E110" s="37" t="str">
        <f t="array" ref="E110">XLOOKUP(C110,'0file'!C:C,'0file'!C:C,"×")</f>
        <v>×</v>
      </c>
      <c r="F110" s="37" t="str">
        <f t="array" ref="F110">XLOOKUP(C110,'部署遍歴'!F:F,'部署遍歴'!D:D,"×")</f>
        <v>×</v>
      </c>
      <c r="G110" s="37" t="str">
        <f t="array" ref="G110">XLOOKUP(D110,'source isilon_divまとめ'!A:A,'source isilon_divまとめ'!D:D,"×")</f>
        <v>×</v>
      </c>
    </row>
    <row r="111">
      <c r="A111" s="8" t="s">
        <v>1166</v>
      </c>
      <c r="B111" s="8" t="s">
        <v>1081</v>
      </c>
      <c r="C111" s="114" t="str">
        <f t="shared" si="1"/>
        <v>エックスフラッグスタジオ本部/XFLAG ARTS</v>
      </c>
      <c r="D111" s="114" t="str">
        <f t="shared" si="2"/>
        <v>エックスフラッグスタジオ本部\XFLAG ARTS</v>
      </c>
      <c r="E111" s="37" t="str">
        <f t="array" ref="E111">XLOOKUP(C111,'0file'!C:C,'0file'!C:C,"×")</f>
        <v>×</v>
      </c>
      <c r="F111" s="37" t="str">
        <f t="array" ref="F111">XLOOKUP(C111,'部署遍歴'!F:F,'部署遍歴'!D:D,"×")</f>
        <v>×</v>
      </c>
      <c r="G111" s="37" t="str">
        <f t="array" ref="G111">XLOOKUP(D111,'source isilon_divまとめ'!A:A,'source isilon_divまとめ'!D:D,"×")</f>
        <v>×</v>
      </c>
    </row>
    <row r="112">
      <c r="A112" s="8" t="s">
        <v>1166</v>
      </c>
      <c r="B112" s="8" t="s">
        <v>1161</v>
      </c>
      <c r="C112" s="114" t="str">
        <f t="shared" si="1"/>
        <v>エックスフラッグスタジオ本部/XFLAG PICTURES</v>
      </c>
      <c r="D112" s="114" t="str">
        <f t="shared" si="2"/>
        <v>エックスフラッグスタジオ本部\XFLAG PICTURES</v>
      </c>
      <c r="E112" s="37" t="str">
        <f t="array" ref="E112">XLOOKUP(C112,'0file'!C:C,'0file'!C:C,"×")</f>
        <v>×</v>
      </c>
      <c r="F112" s="37" t="str">
        <f t="array" ref="F112">XLOOKUP(C112,'部署遍歴'!F:F,'部署遍歴'!D:D,"×")</f>
        <v>×</v>
      </c>
      <c r="G112" s="37" t="str">
        <f t="array" ref="G112">XLOOKUP(D112,'source isilon_divまとめ'!A:A,'source isilon_divまとめ'!D:D,"×")</f>
        <v>×</v>
      </c>
    </row>
    <row r="113">
      <c r="A113" s="8" t="s">
        <v>1179</v>
      </c>
      <c r="B113" s="8" t="s">
        <v>1180</v>
      </c>
      <c r="C113" s="114" t="str">
        <f t="shared" si="1"/>
        <v>社長本部/スポーツ事業推進室</v>
      </c>
      <c r="D113" s="114" t="str">
        <f t="shared" si="2"/>
        <v>社長本部\スポーツ事業推進室</v>
      </c>
      <c r="E113" s="37" t="str">
        <f t="array" ref="E113">XLOOKUP(C113,'0file'!C:C,'0file'!C:C,"×")</f>
        <v>社長本部/スポーツ事業推進室</v>
      </c>
      <c r="F113" s="37" t="str">
        <f t="array" ref="F113">XLOOKUP(C113,'部署遍歴'!F:F,'部署遍歴'!D:D,"×")</f>
        <v>×</v>
      </c>
      <c r="G113" s="37" t="str">
        <f t="array" ref="G113">XLOOKUP(D113,'source isilon_divまとめ'!A:A,'source isilon_divまとめ'!D:D,"×")</f>
        <v>×</v>
      </c>
    </row>
    <row r="114">
      <c r="A114" s="8" t="s">
        <v>1179</v>
      </c>
      <c r="B114" s="8" t="s">
        <v>1170</v>
      </c>
      <c r="C114" s="114" t="str">
        <f t="shared" si="1"/>
        <v>社長本部/XFLAG MOBILE</v>
      </c>
      <c r="D114" s="114" t="str">
        <f t="shared" si="2"/>
        <v>社長本部\XFLAG MOBILE</v>
      </c>
      <c r="E114" s="37" t="str">
        <f t="array" ref="E114">XLOOKUP(C114,'0file'!C:C,'0file'!C:C,"×")</f>
        <v>社長本部/XFLAG MOBILE</v>
      </c>
      <c r="F114" s="37" t="str">
        <f t="array" ref="F114">XLOOKUP(C114,'部署遍歴'!F:F,'部署遍歴'!D:D,"×")</f>
        <v>×</v>
      </c>
      <c r="G114" s="37" t="str">
        <f t="array" ref="G114">XLOOKUP(D114,'source isilon_divまとめ'!A:A,'source isilon_divまとめ'!D:D,"×")</f>
        <v>×</v>
      </c>
    </row>
    <row r="115">
      <c r="A115" s="8" t="s">
        <v>1179</v>
      </c>
      <c r="B115" s="8" t="s">
        <v>859</v>
      </c>
      <c r="C115" s="114" t="str">
        <f t="shared" si="1"/>
        <v>社長本部/フットボール事業部</v>
      </c>
      <c r="D115" s="114" t="str">
        <f t="shared" si="2"/>
        <v>社長本部\フットボール事業部</v>
      </c>
      <c r="E115" s="37" t="str">
        <f t="array" ref="E115">XLOOKUP(C115,'0file'!C:C,'0file'!C:C,"×")</f>
        <v>社長本部/フットボール事業部</v>
      </c>
      <c r="F115" s="37" t="str">
        <f t="array" ref="F115">XLOOKUP(C115,'部署遍歴'!F:F,'部署遍歴'!D:D,"×")</f>
        <v>×</v>
      </c>
      <c r="G115" s="37" t="str">
        <f t="array" ref="G115">XLOOKUP(D115,'source isilon_divまとめ'!A:A,'source isilon_divまとめ'!D:D,"×")</f>
        <v>×</v>
      </c>
    </row>
    <row r="116">
      <c r="A116" s="8" t="s">
        <v>1179</v>
      </c>
      <c r="B116" s="8" t="s">
        <v>1183</v>
      </c>
      <c r="C116" s="114" t="str">
        <f t="shared" si="1"/>
        <v>社長本部/スポーツギフティング部</v>
      </c>
      <c r="D116" s="114" t="str">
        <f t="shared" si="2"/>
        <v>社長本部\スポーツギフティング部</v>
      </c>
      <c r="E116" s="37" t="str">
        <f t="array" ref="E116">XLOOKUP(C116,'0file'!C:C,'0file'!C:C,"×")</f>
        <v>×</v>
      </c>
      <c r="F116" s="37" t="str">
        <f t="array" ref="F116">XLOOKUP(C116,'部署遍歴'!F:F,'部署遍歴'!D:D,"×")</f>
        <v>×</v>
      </c>
      <c r="G116" s="37" t="str">
        <f t="array" ref="G116">XLOOKUP(D116,'source isilon_divまとめ'!A:A,'source isilon_divまとめ'!D:D,"×")</f>
        <v>×</v>
      </c>
    </row>
    <row r="117">
      <c r="A117" s="8" t="s">
        <v>1179</v>
      </c>
      <c r="B117" s="8" t="s">
        <v>188</v>
      </c>
      <c r="C117" s="114" t="str">
        <f t="shared" si="1"/>
        <v>社長本部/社長室</v>
      </c>
      <c r="D117" s="114" t="str">
        <f t="shared" si="2"/>
        <v>社長本部\社長室</v>
      </c>
      <c r="E117" s="37" t="str">
        <f t="array" ref="E117">XLOOKUP(C117,'0file'!C:C,'0file'!C:C,"×")</f>
        <v>社長本部/社長室</v>
      </c>
      <c r="F117" s="37" t="str">
        <f t="array" ref="F117">XLOOKUP(C117,'部署遍歴'!F:F,'部署遍歴'!D:D,"×")</f>
        <v>×</v>
      </c>
      <c r="G117" s="37" t="str">
        <f t="array" ref="G117">XLOOKUP(D117,'source isilon_divまとめ'!A:A,'source isilon_divまとめ'!D:D,"×")</f>
        <v>×</v>
      </c>
    </row>
    <row r="118">
      <c r="A118" s="8" t="s">
        <v>1179</v>
      </c>
      <c r="B118" s="8" t="s">
        <v>1182</v>
      </c>
      <c r="C118" s="114" t="str">
        <f t="shared" si="1"/>
        <v>社長本部/スポーツ事業部</v>
      </c>
      <c r="D118" s="114" t="str">
        <f t="shared" si="2"/>
        <v>社長本部\スポーツ事業部</v>
      </c>
      <c r="E118" s="37" t="str">
        <f t="array" ref="E118">XLOOKUP(C118,'0file'!C:C,'0file'!C:C,"×")</f>
        <v>社長本部/スポーツ事業部</v>
      </c>
      <c r="F118" s="37" t="str">
        <f t="array" ref="F118">XLOOKUP(C118,'部署遍歴'!F:F,'部署遍歴'!D:D,"×")</f>
        <v>×</v>
      </c>
      <c r="G118" s="37" t="str">
        <f t="array" ref="G118">XLOOKUP(D118,'source isilon_divまとめ'!A:A,'source isilon_divまとめ'!D:D,"×")</f>
        <v>×</v>
      </c>
    </row>
    <row r="119">
      <c r="A119" s="8" t="s">
        <v>1179</v>
      </c>
      <c r="B119" s="8" t="s">
        <v>1151</v>
      </c>
      <c r="C119" s="114" t="str">
        <f t="shared" si="1"/>
        <v>社長本部/ブランド戦略室</v>
      </c>
      <c r="D119" s="114" t="str">
        <f t="shared" si="2"/>
        <v>社長本部\ブランド戦略室</v>
      </c>
      <c r="E119" s="37" t="str">
        <f t="array" ref="E119">XLOOKUP(C119,'0file'!C:C,'0file'!C:C,"×")</f>
        <v>社長本部/ブランド戦略室</v>
      </c>
      <c r="F119" s="37" t="str">
        <f t="array" ref="F119">XLOOKUP(C119,'部署遍歴'!F:F,'部署遍歴'!D:D,"×")</f>
        <v>×</v>
      </c>
      <c r="G119" s="37" t="str">
        <f t="array" ref="G119">XLOOKUP(D119,'source isilon_divまとめ'!A:A,'source isilon_divまとめ'!D:D,"×")</f>
        <v>×</v>
      </c>
    </row>
    <row r="120">
      <c r="A120" s="8" t="s">
        <v>1179</v>
      </c>
      <c r="B120" s="8" t="s">
        <v>1184</v>
      </c>
      <c r="C120" s="114" t="str">
        <f t="shared" si="1"/>
        <v>社長本部/コーポレートコミュニケーション部</v>
      </c>
      <c r="D120" s="114" t="str">
        <f t="shared" si="2"/>
        <v>社長本部\コーポレートコミュニケーション部</v>
      </c>
      <c r="E120" s="37" t="str">
        <f t="array" ref="E120">XLOOKUP(C120,'0file'!C:C,'0file'!C:C,"×")</f>
        <v>×</v>
      </c>
      <c r="F120" s="7" t="s">
        <v>1052</v>
      </c>
      <c r="G120" s="37" t="str">
        <f t="array" ref="G120">XLOOKUP(D120,'source isilon_divまとめ'!A:A,'source isilon_divまとめ'!D:D,"×")</f>
        <v>×</v>
      </c>
    </row>
    <row r="121">
      <c r="A121" s="8" t="s">
        <v>1179</v>
      </c>
      <c r="B121" s="8" t="s">
        <v>1153</v>
      </c>
      <c r="C121" s="114" t="str">
        <f t="shared" si="1"/>
        <v>社長本部/PR室</v>
      </c>
      <c r="D121" s="114" t="str">
        <f t="shared" si="2"/>
        <v>社長本部\PR室</v>
      </c>
      <c r="E121" s="37" t="str">
        <f t="array" ref="E121">XLOOKUP(C121,'0file'!C:C,'0file'!C:C,"×")</f>
        <v>社長本部/PR室</v>
      </c>
      <c r="F121" s="37" t="str">
        <f t="array" ref="F121">XLOOKUP(C121,'部署遍歴'!F:F,'部署遍歴'!D:D,"×")</f>
        <v>×</v>
      </c>
      <c r="G121" s="37" t="str">
        <f t="array" ref="G121">XLOOKUP(D121,'source isilon_divまとめ'!A:A,'source isilon_divまとめ'!D:D,"×")</f>
        <v>×</v>
      </c>
    </row>
    <row r="122">
      <c r="A122" s="8" t="s">
        <v>1179</v>
      </c>
      <c r="B122" s="8" t="s">
        <v>1185</v>
      </c>
      <c r="C122" s="114" t="str">
        <f t="shared" si="1"/>
        <v>社長本部/ID・ペイメント事業部</v>
      </c>
      <c r="D122" s="114" t="str">
        <f t="shared" si="2"/>
        <v>社長本部\ID・ペイメント事業部</v>
      </c>
      <c r="E122" s="37" t="str">
        <f t="array" ref="E122">XLOOKUP(C122,'0file'!C:C,'0file'!C:C,"×")</f>
        <v>社長本部/ID・ペイメント事業部</v>
      </c>
      <c r="F122" s="37" t="str">
        <f t="array" ref="F122">XLOOKUP(C122,'部署遍歴'!F:F,'部署遍歴'!D:D,"×")</f>
        <v>×</v>
      </c>
      <c r="G122" s="37" t="str">
        <f t="array" ref="G122">XLOOKUP(D122,'source isilon_divまとめ'!A:A,'source isilon_divまとめ'!D:D,"×")</f>
        <v>×</v>
      </c>
    </row>
    <row r="123">
      <c r="A123" s="8" t="s">
        <v>1179</v>
      </c>
      <c r="B123" s="8" t="s">
        <v>1186</v>
      </c>
      <c r="C123" s="114" t="str">
        <f t="shared" si="1"/>
        <v>社長本部/スポーツマーケティング室</v>
      </c>
      <c r="D123" s="114" t="str">
        <f t="shared" si="2"/>
        <v>社長本部\スポーツマーケティング室</v>
      </c>
      <c r="E123" s="37" t="str">
        <f t="array" ref="E123">XLOOKUP(C123,'0file'!C:C,'0file'!C:C,"×")</f>
        <v>×</v>
      </c>
      <c r="F123" s="37" t="str">
        <f t="array" ref="F123">XLOOKUP(C123,'部署遍歴'!F:F,'部署遍歴'!D:D,"×")</f>
        <v>×</v>
      </c>
      <c r="G123" s="37" t="str">
        <f t="array" ref="G123">XLOOKUP(D123,'source isilon_divまとめ'!A:A,'source isilon_divまとめ'!D:D,"×")</f>
        <v>×</v>
      </c>
    </row>
    <row r="124">
      <c r="A124" s="8" t="s">
        <v>1179</v>
      </c>
      <c r="B124" s="8" t="s">
        <v>857</v>
      </c>
      <c r="C124" s="114" t="str">
        <f t="shared" si="1"/>
        <v>社長本部/バスケットボール事業部</v>
      </c>
      <c r="D124" s="114" t="str">
        <f t="shared" si="2"/>
        <v>社長本部\バスケットボール事業部</v>
      </c>
      <c r="E124" s="37" t="str">
        <f t="array" ref="E124">XLOOKUP(C124,'0file'!C:C,'0file'!C:C,"×")</f>
        <v>社長本部/バスケットボール事業部</v>
      </c>
      <c r="F124" s="37" t="str">
        <f t="array" ref="F124">XLOOKUP(C124,'部署遍歴'!F:F,'部署遍歴'!D:D,"×")</f>
        <v>×</v>
      </c>
      <c r="G124" s="37" t="str">
        <f t="array" ref="G124">XLOOKUP(D124,'source isilon_divまとめ'!A:A,'source isilon_divまとめ'!D:D,"×")</f>
        <v>×</v>
      </c>
    </row>
    <row r="125">
      <c r="A125" s="8" t="s">
        <v>1179</v>
      </c>
      <c r="B125" s="8" t="s">
        <v>1111</v>
      </c>
      <c r="C125" s="114" t="str">
        <f t="shared" si="1"/>
        <v>社長本部/本部共有</v>
      </c>
      <c r="D125" s="114" t="str">
        <f t="shared" si="2"/>
        <v>社長本部\本部共有</v>
      </c>
      <c r="E125" s="37" t="str">
        <f t="array" ref="E125">XLOOKUP(C125,'0file'!C:C,'0file'!C:C,"×")</f>
        <v>社長本部/本部共有</v>
      </c>
      <c r="F125" s="37" t="str">
        <f t="array" ref="F125">XLOOKUP(C125,'部署遍歴'!F:F,'部署遍歴'!D:D,"×")</f>
        <v>×</v>
      </c>
      <c r="G125" s="37" t="str">
        <f t="array" ref="G125">XLOOKUP(D125,'source isilon_divまとめ'!A:A,'source isilon_divまとめ'!D:D,"×")</f>
        <v>×</v>
      </c>
    </row>
    <row r="126">
      <c r="A126" s="8" t="s">
        <v>1179</v>
      </c>
      <c r="B126" s="8" t="s">
        <v>1187</v>
      </c>
      <c r="C126" s="114" t="str">
        <f t="shared" si="1"/>
        <v>社長本部/ビジネス開発室</v>
      </c>
      <c r="D126" s="114" t="str">
        <f t="shared" si="2"/>
        <v>社長本部\ビジネス開発室</v>
      </c>
      <c r="E126" s="37" t="str">
        <f t="array" ref="E126">XLOOKUP(C126,'0file'!C:C,'0file'!C:C,"×")</f>
        <v>社長本部/ビジネス開発室</v>
      </c>
      <c r="F126" s="37" t="str">
        <f t="array" ref="F126">XLOOKUP(C126,'部署遍歴'!F:F,'部署遍歴'!D:D,"×")</f>
        <v>×</v>
      </c>
      <c r="G126" s="37" t="str">
        <f t="array" ref="G126">XLOOKUP(D126,'source isilon_divまとめ'!A:A,'source isilon_divまとめ'!D:D,"×")</f>
        <v>×</v>
      </c>
    </row>
    <row r="127">
      <c r="A127" s="8" t="s">
        <v>1179</v>
      </c>
      <c r="B127" s="8" t="s">
        <v>1189</v>
      </c>
      <c r="C127" s="114" t="str">
        <f t="shared" si="1"/>
        <v>社長本部/次世代エンターテインメント室</v>
      </c>
      <c r="D127" s="114" t="str">
        <f t="shared" si="2"/>
        <v>社長本部\次世代エンターテインメント室</v>
      </c>
      <c r="E127" s="37" t="str">
        <f t="array" ref="E127">XLOOKUP(C127,'0file'!C:C,'0file'!C:C,"×")</f>
        <v>社長本部/次世代エンターテインメント室</v>
      </c>
      <c r="F127" s="37" t="str">
        <f t="array" ref="F127">XLOOKUP(C127,'部署遍歴'!F:F,'部署遍歴'!D:D,"×")</f>
        <v>×</v>
      </c>
      <c r="G127" s="37" t="str">
        <f t="array" ref="G127">XLOOKUP(D127,'source isilon_divまとめ'!A:A,'source isilon_divまとめ'!D:D,"×")</f>
        <v>×</v>
      </c>
    </row>
    <row r="128">
      <c r="A128" s="8" t="s">
        <v>1179</v>
      </c>
      <c r="B128" s="8" t="s">
        <v>1191</v>
      </c>
      <c r="C128" s="114" t="str">
        <f t="shared" si="1"/>
        <v>社長本部/ライブ動画プラットフォーム事業部</v>
      </c>
      <c r="D128" s="114" t="str">
        <f t="shared" si="2"/>
        <v>社長本部\ライブ動画プラットフォーム事業部</v>
      </c>
      <c r="E128" s="37" t="str">
        <f t="array" ref="E128">XLOOKUP(C128,'0file'!C:C,'0file'!C:C,"×")</f>
        <v>社長本部/ライブ動画プラットフォーム事業部</v>
      </c>
      <c r="F128" s="37" t="str">
        <f t="array" ref="F128">XLOOKUP(C128,'部署遍歴'!F:F,'部署遍歴'!D:D,"×")</f>
        <v>×</v>
      </c>
      <c r="G128" s="37" t="str">
        <f t="array" ref="G128">XLOOKUP(D128,'source isilon_divまとめ'!A:A,'source isilon_divまとめ'!D:D,"×")</f>
        <v>×</v>
      </c>
    </row>
    <row r="129">
      <c r="A129" s="8" t="s">
        <v>391</v>
      </c>
      <c r="B129" s="8" t="s">
        <v>890</v>
      </c>
      <c r="C129" s="114" t="str">
        <f t="shared" si="1"/>
        <v>開発本部/インフラ室</v>
      </c>
      <c r="D129" s="114" t="str">
        <f t="shared" si="2"/>
        <v>開発本部\インフラ室</v>
      </c>
      <c r="E129" s="37" t="str">
        <f t="array" ref="E129">XLOOKUP(C129,'0file'!C:C,'0file'!C:C,"×")</f>
        <v>開発本部/インフラ室</v>
      </c>
      <c r="F129" s="37" t="str">
        <f t="array" ref="F129">XLOOKUP(C129,'部署遍歴'!F:F,'部署遍歴'!D:D,"×")</f>
        <v>×</v>
      </c>
      <c r="G129" s="37" t="str">
        <f t="array" ref="G129">XLOOKUP(D129,'source isilon_divまとめ'!A:A,'source isilon_divまとめ'!D:D,"×")</f>
        <v>×</v>
      </c>
    </row>
    <row r="130">
      <c r="A130" s="8" t="s">
        <v>391</v>
      </c>
      <c r="B130" s="8" t="s">
        <v>399</v>
      </c>
      <c r="C130" s="114" t="str">
        <f t="shared" si="1"/>
        <v>開発本部/CTO室</v>
      </c>
      <c r="D130" s="114" t="str">
        <f t="shared" si="2"/>
        <v>開発本部\CTO室</v>
      </c>
      <c r="E130" s="37" t="str">
        <f t="array" ref="E130">XLOOKUP(C130,'0file'!C:C,'0file'!C:C,"×")</f>
        <v>×</v>
      </c>
      <c r="F130" s="37" t="str">
        <f t="array" ref="F130">XLOOKUP(C130,'部署遍歴'!F:F,'部署遍歴'!D:D,"×")</f>
        <v>×</v>
      </c>
      <c r="G130" s="37" t="str">
        <f t="array" ref="G130">XLOOKUP(D130,'source isilon_divまとめ'!A:A,'source isilon_divまとめ'!D:D,"×")</f>
        <v>×</v>
      </c>
    </row>
    <row r="131">
      <c r="A131" s="8" t="s">
        <v>391</v>
      </c>
      <c r="B131" s="8" t="s">
        <v>395</v>
      </c>
      <c r="C131" s="114" t="str">
        <f t="shared" si="1"/>
        <v>開発本部/MIXI M 事業部</v>
      </c>
      <c r="D131" s="114" t="str">
        <f t="shared" si="2"/>
        <v>開発本部\MIXI M 事業部</v>
      </c>
      <c r="E131" s="37" t="str">
        <f t="array" ref="E131">XLOOKUP(C131,'0file'!C:C,'0file'!C:C,"×")</f>
        <v>開発本部/MIXI M 事業部</v>
      </c>
      <c r="F131" s="37" t="str">
        <f t="array" ref="F131">XLOOKUP(C131,'部署遍歴'!F:F,'部署遍歴'!D:D,"×")</f>
        <v>×</v>
      </c>
      <c r="G131" s="37" t="str">
        <f t="array" ref="G131">XLOOKUP(D131,'source isilon_divまとめ'!A:A,'source isilon_divまとめ'!D:D,"×")</f>
        <v>×</v>
      </c>
    </row>
    <row r="132">
      <c r="A132" s="8" t="s">
        <v>391</v>
      </c>
      <c r="B132" s="8" t="s">
        <v>644</v>
      </c>
      <c r="C132" s="114" t="str">
        <f t="shared" si="1"/>
        <v>開発本部/セキュリティ室</v>
      </c>
      <c r="D132" s="114" t="str">
        <f t="shared" si="2"/>
        <v>開発本部\セキュリティ室</v>
      </c>
      <c r="E132" s="37" t="str">
        <f t="array" ref="E132">XLOOKUP(C132,'0file'!C:C,'0file'!C:C,"×")</f>
        <v>開発本部/セキュリティ室</v>
      </c>
      <c r="F132" s="37" t="str">
        <f t="array" ref="F132">XLOOKUP(C132,'部署遍歴'!F:F,'部署遍歴'!D:D,"×")</f>
        <v>×</v>
      </c>
      <c r="G132" s="37" t="str">
        <f t="array" ref="G132">XLOOKUP(D132,'source isilon_divまとめ'!A:A,'source isilon_divまとめ'!D:D,"×")</f>
        <v>×</v>
      </c>
    </row>
    <row r="133">
      <c r="A133" s="8" t="s">
        <v>391</v>
      </c>
      <c r="B133" s="8" t="s">
        <v>1193</v>
      </c>
      <c r="C133" s="114" t="str">
        <f t="shared" si="1"/>
        <v>開発本部/XFLAG事業推進室</v>
      </c>
      <c r="D133" s="114" t="str">
        <f t="shared" si="2"/>
        <v>開発本部\XFLAG事業推進室</v>
      </c>
      <c r="E133" s="37" t="str">
        <f t="array" ref="E133">XLOOKUP(C133,'0file'!C:C,'0file'!C:C,"×")</f>
        <v>開発本部/XFLAG事業推進室</v>
      </c>
      <c r="F133" s="37" t="str">
        <f t="array" ref="F133">XLOOKUP(C133,'部署遍歴'!F:F,'部署遍歴'!D:D,"×")</f>
        <v>×</v>
      </c>
      <c r="G133" s="37" t="str">
        <f t="array" ref="G133">XLOOKUP(D133,'source isilon_divまとめ'!A:A,'source isilon_divまとめ'!D:D,"×")</f>
        <v>×</v>
      </c>
    </row>
    <row r="134">
      <c r="A134" s="8" t="s">
        <v>391</v>
      </c>
      <c r="B134" s="8" t="s">
        <v>392</v>
      </c>
      <c r="C134" s="114" t="str">
        <f t="shared" si="1"/>
        <v>開発本部/たんぽぽ室</v>
      </c>
      <c r="D134" s="114" t="str">
        <f t="shared" si="2"/>
        <v>開発本部\たんぽぽ室</v>
      </c>
      <c r="E134" s="37" t="str">
        <f t="array" ref="E134">XLOOKUP(C134,'0file'!C:C,'0file'!C:C,"×")</f>
        <v>開発本部/たんぽぽ室</v>
      </c>
      <c r="F134" s="37" t="str">
        <f t="array" ref="F134">XLOOKUP(C134,'部署遍歴'!F:F,'部署遍歴'!D:D,"×")</f>
        <v>×</v>
      </c>
      <c r="G134" s="37" t="str">
        <f t="array" ref="G134">XLOOKUP(D134,'source isilon_divまとめ'!A:A,'source isilon_divまとめ'!D:D,"×")</f>
        <v>×</v>
      </c>
    </row>
    <row r="135">
      <c r="A135" s="8" t="s">
        <v>391</v>
      </c>
      <c r="B135" s="8" t="s">
        <v>1111</v>
      </c>
      <c r="C135" s="114" t="str">
        <f t="shared" si="1"/>
        <v>開発本部/本部共有</v>
      </c>
      <c r="D135" s="114" t="str">
        <f t="shared" si="2"/>
        <v>開発本部\本部共有</v>
      </c>
      <c r="E135" s="37" t="str">
        <f t="array" ref="E135">XLOOKUP(C135,'0file'!C:C,'0file'!C:C,"×")</f>
        <v>開発本部/本部共有</v>
      </c>
      <c r="F135" s="37" t="str">
        <f t="array" ref="F135">XLOOKUP(C135,'部署遍歴'!F:F,'部署遍歴'!D:D,"×")</f>
        <v>×</v>
      </c>
      <c r="G135" s="37" t="str">
        <f t="array" ref="G135">XLOOKUP(D135,'source isilon_divまとめ'!A:A,'source isilon_divまとめ'!D:D,"×")</f>
        <v>×</v>
      </c>
    </row>
    <row r="136">
      <c r="A136" s="8" t="s">
        <v>1194</v>
      </c>
      <c r="B136" s="8" t="s">
        <v>1139</v>
      </c>
      <c r="C136" s="114" t="str">
        <f t="shared" si="1"/>
        <v>クト/全社共有</v>
      </c>
      <c r="D136" s="114" t="str">
        <f t="shared" si="2"/>
        <v>クト\全社共有</v>
      </c>
      <c r="E136" s="37" t="str">
        <f t="array" ref="E136">XLOOKUP(C136,'0file'!C:C,'0file'!C:C,"×")</f>
        <v>クト/全社共有</v>
      </c>
      <c r="F136" s="37" t="str">
        <f t="array" ref="F136">XLOOKUP(C136,'部署遍歴'!F:F,'部署遍歴'!D:D,"×")</f>
        <v>×</v>
      </c>
      <c r="G136" s="37" t="str">
        <f t="array" ref="G136">XLOOKUP(D136,'source isilon_divまとめ'!A:A,'source isilon_divまとめ'!D:D,"×")</f>
        <v>×</v>
      </c>
    </row>
    <row r="137">
      <c r="A137" s="8" t="s">
        <v>1195</v>
      </c>
      <c r="B137" s="8" t="s">
        <v>1196</v>
      </c>
      <c r="C137" s="114" t="str">
        <f t="shared" si="1"/>
        <v>FindJob事業部/移管用</v>
      </c>
      <c r="D137" s="114" t="str">
        <f t="shared" si="2"/>
        <v>FindJob事業部\移管用</v>
      </c>
      <c r="E137" s="37" t="str">
        <f t="array" ref="E137">XLOOKUP(C137,'0file'!C:C,'0file'!C:C,"×")</f>
        <v>×</v>
      </c>
      <c r="F137" s="37" t="str">
        <f t="array" ref="F137">XLOOKUP(C137,'部署遍歴'!F:F,'部署遍歴'!D:D,"×")</f>
        <v>×</v>
      </c>
      <c r="G137" s="37" t="str">
        <f t="array" ref="G137">XLOOKUP(D137,'source isilon_divまとめ'!A:A,'source isilon_divまとめ'!D:D,"×")</f>
        <v>×</v>
      </c>
    </row>
    <row r="138">
      <c r="A138" s="8" t="s">
        <v>427</v>
      </c>
      <c r="B138" s="8" t="s">
        <v>1104</v>
      </c>
      <c r="C138" s="114" t="str">
        <f t="shared" si="1"/>
        <v>監査役室/室共有</v>
      </c>
      <c r="D138" s="114" t="str">
        <f t="shared" si="2"/>
        <v>監査役室\室共有</v>
      </c>
      <c r="E138" s="37" t="str">
        <f t="array" ref="E138">XLOOKUP(C138,'0file'!C:C,'0file'!C:C,"×")</f>
        <v>×</v>
      </c>
      <c r="F138" s="37" t="str">
        <f t="array" ref="F138">XLOOKUP(C138,'部署遍歴'!F:F,'部署遍歴'!D:D,"×")</f>
        <v>×</v>
      </c>
      <c r="G138" s="37" t="str">
        <f t="array" ref="G138">XLOOKUP(D138,'source isilon_divまとめ'!A:A,'source isilon_divまとめ'!D:D,"×")</f>
        <v>×</v>
      </c>
    </row>
    <row r="139">
      <c r="A139" s="8" t="s">
        <v>1198</v>
      </c>
      <c r="B139" s="8" t="s">
        <v>1199</v>
      </c>
      <c r="C139" s="114" t="str">
        <f t="shared" si="1"/>
        <v>スマートヘルス事業部/SalesG</v>
      </c>
      <c r="D139" s="114" t="str">
        <f t="shared" si="2"/>
        <v>スマートヘルス事業部\SalesG</v>
      </c>
      <c r="E139" s="37" t="str">
        <f t="array" ref="E139">XLOOKUP(C139,'0file'!C:C,'0file'!C:C,"×")</f>
        <v>スマートヘルス事業部/SalesG</v>
      </c>
      <c r="F139" s="37" t="str">
        <f t="array" ref="F139">XLOOKUP(C139,'部署遍歴'!F:F,'部署遍歴'!D:D,"×")</f>
        <v>×</v>
      </c>
      <c r="G139" s="37" t="str">
        <f t="array" ref="G139">XLOOKUP(D139,'source isilon_divまとめ'!A:A,'source isilon_divまとめ'!D:D,"×")</f>
        <v>×</v>
      </c>
    </row>
    <row r="140">
      <c r="A140" s="8" t="s">
        <v>1198</v>
      </c>
      <c r="B140" s="8" t="s">
        <v>46</v>
      </c>
      <c r="C140" s="114" t="str">
        <f t="shared" si="1"/>
        <v>スマートヘルス事業部/事業推進G</v>
      </c>
      <c r="D140" s="114" t="str">
        <f t="shared" si="2"/>
        <v>スマートヘルス事業部\事業推進G</v>
      </c>
      <c r="E140" s="37" t="str">
        <f t="array" ref="E140">XLOOKUP(C140,'0file'!C:C,'0file'!C:C,"×")</f>
        <v>スマートヘルス事業部/事業推進G</v>
      </c>
      <c r="F140" s="37" t="str">
        <f t="array" ref="F140">XLOOKUP(C140,'部署遍歴'!F:F,'部署遍歴'!D:D,"×")</f>
        <v>×</v>
      </c>
      <c r="G140" s="37" t="str">
        <f t="array" ref="G140">XLOOKUP(D140,'source isilon_divまとめ'!A:A,'source isilon_divまとめ'!D:D,"×")</f>
        <v>×</v>
      </c>
    </row>
    <row r="141">
      <c r="A141" s="8" t="s">
        <v>1198</v>
      </c>
      <c r="B141" s="8" t="s">
        <v>59</v>
      </c>
      <c r="C141" s="114" t="str">
        <f t="shared" si="1"/>
        <v>スマートヘルス事業部/BizDevG</v>
      </c>
      <c r="D141" s="114" t="str">
        <f t="shared" si="2"/>
        <v>スマートヘルス事業部\BizDevG</v>
      </c>
      <c r="E141" s="37" t="str">
        <f t="array" ref="E141">XLOOKUP(C141,'0file'!C:C,'0file'!C:C,"×")</f>
        <v>スマートヘルス事業部/BizDevG</v>
      </c>
      <c r="F141" s="37" t="str">
        <f t="array" ref="F141">XLOOKUP(C141,'部署遍歴'!F:F,'部署遍歴'!D:D,"×")</f>
        <v>×</v>
      </c>
      <c r="G141" s="37" t="str">
        <f t="array" ref="G141">XLOOKUP(D141,'source isilon_divまとめ'!A:A,'source isilon_divまとめ'!D:D,"×")</f>
        <v>×</v>
      </c>
    </row>
    <row r="142">
      <c r="A142" s="8" t="s">
        <v>1198</v>
      </c>
      <c r="B142" s="8" t="s">
        <v>1200</v>
      </c>
      <c r="C142" s="114" t="str">
        <f t="shared" si="1"/>
        <v>スマートヘルス事業部/技術G</v>
      </c>
      <c r="D142" s="114" t="str">
        <f t="shared" si="2"/>
        <v>スマートヘルス事業部\技術G</v>
      </c>
      <c r="E142" s="37" t="str">
        <f t="array" ref="E142">XLOOKUP(C142,'0file'!C:C,'0file'!C:C,"×")</f>
        <v>×</v>
      </c>
      <c r="F142" s="37" t="str">
        <f t="array" ref="F142">XLOOKUP(C142,'部署遍歴'!F:F,'部署遍歴'!D:D,"×")</f>
        <v>×</v>
      </c>
      <c r="G142" s="37" t="str">
        <f t="array" ref="G142">XLOOKUP(D142,'source isilon_divまとめ'!A:A,'source isilon_divまとめ'!D:D,"×")</f>
        <v>×</v>
      </c>
    </row>
    <row r="143">
      <c r="A143" s="8" t="s">
        <v>1198</v>
      </c>
      <c r="B143" s="8" t="s">
        <v>1201</v>
      </c>
      <c r="C143" s="114" t="str">
        <f t="shared" si="1"/>
        <v>スマートヘルス事業部/ウェルネスデザインG</v>
      </c>
      <c r="D143" s="114" t="str">
        <f t="shared" si="2"/>
        <v>スマートヘルス事業部\ウェルネスデザインG</v>
      </c>
      <c r="E143" s="37" t="str">
        <f t="array" ref="E143">XLOOKUP(C143,'0file'!C:C,'0file'!C:C,"×")</f>
        <v>スマートヘルス事業部/ウェルネスデザインG</v>
      </c>
      <c r="F143" s="37" t="str">
        <f t="array" ref="F143">XLOOKUP(C143,'部署遍歴'!F:F,'部署遍歴'!D:D,"×")</f>
        <v>×</v>
      </c>
      <c r="G143" s="37" t="str">
        <f t="array" ref="G143">XLOOKUP(D143,'source isilon_divまとめ'!A:A,'source isilon_divまとめ'!D:D,"×")</f>
        <v>×</v>
      </c>
    </row>
    <row r="144">
      <c r="A144" s="8" t="s">
        <v>1198</v>
      </c>
      <c r="B144" s="8" t="s">
        <v>1202</v>
      </c>
      <c r="C144" s="114" t="str">
        <f t="shared" si="1"/>
        <v>スマートヘルス事業部/事業開発G</v>
      </c>
      <c r="D144" s="114" t="str">
        <f t="shared" si="2"/>
        <v>スマートヘルス事業部\事業開発G</v>
      </c>
      <c r="E144" s="37" t="str">
        <f t="array" ref="E144">XLOOKUP(C144,'0file'!C:C,'0file'!C:C,"×")</f>
        <v>スマートヘルス事業部/事業開発G</v>
      </c>
      <c r="F144" s="37" t="str">
        <f t="array" ref="F144">XLOOKUP(C144,'部署遍歴'!F:F,'部署遍歴'!D:D,"×")</f>
        <v>×</v>
      </c>
      <c r="G144" s="37" t="str">
        <f t="array" ref="G144">XLOOKUP(D144,'source isilon_divまとめ'!A:A,'source isilon_divまとめ'!D:D,"×")</f>
        <v>×</v>
      </c>
    </row>
    <row r="145">
      <c r="A145" s="8" t="s">
        <v>1198</v>
      </c>
      <c r="B145" s="8" t="s">
        <v>56</v>
      </c>
      <c r="C145" s="114" t="str">
        <f t="shared" si="1"/>
        <v>スマートヘルス事業部/開発G</v>
      </c>
      <c r="D145" s="114" t="str">
        <f t="shared" si="2"/>
        <v>スマートヘルス事業部\開発G</v>
      </c>
      <c r="E145" s="37" t="str">
        <f t="array" ref="E145">XLOOKUP(C145,'0file'!C:C,'0file'!C:C,"×")</f>
        <v>スマートヘルス事業部/開発G</v>
      </c>
      <c r="F145" s="37" t="str">
        <f t="array" ref="F145">XLOOKUP(C145,'部署遍歴'!F:F,'部署遍歴'!D:D,"×")</f>
        <v>×</v>
      </c>
      <c r="G145" s="37" t="str">
        <f t="array" ref="G145">XLOOKUP(D145,'source isilon_divまとめ'!A:A,'source isilon_divまとめ'!D:D,"×")</f>
        <v>×</v>
      </c>
    </row>
    <row r="146">
      <c r="A146" s="8" t="s">
        <v>1198</v>
      </c>
      <c r="B146" s="8" t="s">
        <v>292</v>
      </c>
      <c r="C146" s="114" t="str">
        <f t="shared" si="1"/>
        <v>スマートヘルス事業部/事業戦略G</v>
      </c>
      <c r="D146" s="114" t="str">
        <f t="shared" si="2"/>
        <v>スマートヘルス事業部\事業戦略G</v>
      </c>
      <c r="E146" s="37" t="str">
        <f t="array" ref="E146">XLOOKUP(C146,'0file'!C:C,'0file'!C:C,"×")</f>
        <v>スマートヘルス事業部/事業戦略G</v>
      </c>
      <c r="F146" s="37" t="str">
        <f t="array" ref="F146">XLOOKUP(C146,'部署遍歴'!F:F,'部署遍歴'!D:D,"×")</f>
        <v>×</v>
      </c>
      <c r="G146" s="37" t="str">
        <f t="array" ref="G146">XLOOKUP(D146,'source isilon_divまとめ'!A:A,'source isilon_divまとめ'!D:D,"×")</f>
        <v>×</v>
      </c>
    </row>
    <row r="147">
      <c r="A147" s="8" t="s">
        <v>1198</v>
      </c>
      <c r="B147" s="8" t="s">
        <v>1203</v>
      </c>
      <c r="C147" s="114" t="str">
        <f t="shared" si="1"/>
        <v>スマートヘルス事業部/サービスデザインG</v>
      </c>
      <c r="D147" s="114" t="str">
        <f t="shared" si="2"/>
        <v>スマートヘルス事業部\サービスデザインG</v>
      </c>
      <c r="E147" s="37" t="str">
        <f t="array" ref="E147">XLOOKUP(C147,'0file'!C:C,'0file'!C:C,"×")</f>
        <v>スマートヘルス事業部/サービスデザインG</v>
      </c>
      <c r="F147" s="37" t="str">
        <f t="array" ref="F147">XLOOKUP(C147,'部署遍歴'!F:F,'部署遍歴'!D:D,"×")</f>
        <v>×</v>
      </c>
      <c r="G147" s="37" t="str">
        <f t="array" ref="G147">XLOOKUP(D147,'source isilon_divまとめ'!A:A,'source isilon_divまとめ'!D:D,"×")</f>
        <v>×</v>
      </c>
    </row>
    <row r="148">
      <c r="A148" s="8" t="s">
        <v>1198</v>
      </c>
      <c r="B148" s="8" t="s">
        <v>1204</v>
      </c>
      <c r="C148" s="114" t="str">
        <f t="shared" si="1"/>
        <v>スマートヘルス事業部/部共有</v>
      </c>
      <c r="D148" s="114" t="str">
        <f t="shared" si="2"/>
        <v>スマートヘルス事業部\部共有</v>
      </c>
      <c r="E148" s="37" t="str">
        <f t="array" ref="E148">XLOOKUP(C148,'0file'!C:C,'0file'!C:C,"×")</f>
        <v>スマートヘルス事業部/部共有</v>
      </c>
      <c r="F148" s="37" t="str">
        <f t="array" ref="F148">XLOOKUP(C148,'部署遍歴'!F:F,'部署遍歴'!D:D,"×")</f>
        <v>×</v>
      </c>
      <c r="G148" s="37" t="str">
        <f t="array" ref="G148">XLOOKUP(D148,'source isilon_divまとめ'!A:A,'source isilon_divまとめ'!D:D,"×")</f>
        <v>×</v>
      </c>
    </row>
    <row r="149">
      <c r="A149" s="8" t="s">
        <v>1205</v>
      </c>
      <c r="B149" s="8" t="s">
        <v>1206</v>
      </c>
      <c r="C149" s="114" t="str">
        <f t="shared" si="1"/>
        <v>システム本部/運用部</v>
      </c>
      <c r="D149" s="114" t="str">
        <f t="shared" si="2"/>
        <v>システム本部\運用部</v>
      </c>
      <c r="E149" s="37" t="str">
        <f t="array" ref="E149">XLOOKUP(C149,'0file'!C:C,'0file'!C:C,"×")</f>
        <v>×</v>
      </c>
      <c r="F149" s="37" t="str">
        <f t="array" ref="F149">XLOOKUP(C149,'部署遍歴'!F:F,'部署遍歴'!D:D,"×")</f>
        <v>×</v>
      </c>
      <c r="G149" s="37" t="str">
        <f t="array" ref="G149">XLOOKUP(D149,'source isilon_divまとめ'!A:A,'source isilon_divまとめ'!D:D,"×")</f>
        <v>×</v>
      </c>
    </row>
    <row r="150">
      <c r="A150" s="8" t="s">
        <v>1205</v>
      </c>
      <c r="B150" s="8" t="s">
        <v>1207</v>
      </c>
      <c r="C150" s="114" t="str">
        <f t="shared" si="1"/>
        <v>システム本部/技術部</v>
      </c>
      <c r="D150" s="114" t="str">
        <f t="shared" si="2"/>
        <v>システム本部\技術部</v>
      </c>
      <c r="E150" s="37" t="str">
        <f t="array" ref="E150">XLOOKUP(C150,'0file'!C:C,'0file'!C:C,"×")</f>
        <v>×</v>
      </c>
      <c r="F150" s="37" t="str">
        <f t="array" ref="F150">XLOOKUP(C150,'部署遍歴'!F:F,'部署遍歴'!D:D,"×")</f>
        <v>×</v>
      </c>
      <c r="G150" s="37" t="str">
        <f t="array" ref="G150">XLOOKUP(D150,'source isilon_divまとめ'!A:A,'source isilon_divまとめ'!D:D,"×")</f>
        <v>×</v>
      </c>
    </row>
    <row r="151">
      <c r="A151" s="8" t="s">
        <v>1205</v>
      </c>
      <c r="B151" s="8" t="s">
        <v>1111</v>
      </c>
      <c r="C151" s="114" t="str">
        <f t="shared" si="1"/>
        <v>システム本部/本部共有</v>
      </c>
      <c r="D151" s="114" t="str">
        <f t="shared" si="2"/>
        <v>システム本部\本部共有</v>
      </c>
      <c r="E151" s="37" t="str">
        <f t="array" ref="E151">XLOOKUP(C151,'0file'!C:C,'0file'!C:C,"×")</f>
        <v>×</v>
      </c>
      <c r="F151" s="37" t="str">
        <f t="array" ref="F151">XLOOKUP(C151,'部署遍歴'!F:F,'部署遍歴'!D:D,"×")</f>
        <v>×</v>
      </c>
      <c r="G151" s="37" t="str">
        <f t="array" ref="G151">XLOOKUP(D151,'source isilon_divまとめ'!A:A,'source isilon_divまとめ'!D:D,"×")</f>
        <v>×</v>
      </c>
    </row>
    <row r="152">
      <c r="A152" s="8" t="s">
        <v>1205</v>
      </c>
      <c r="B152" s="8" t="s">
        <v>1065</v>
      </c>
      <c r="C152" s="114" t="str">
        <f t="shared" si="1"/>
        <v>システム本部/人事部</v>
      </c>
      <c r="D152" s="114" t="str">
        <f t="shared" si="2"/>
        <v>システム本部\人事部</v>
      </c>
      <c r="E152" s="37" t="str">
        <f t="array" ref="E152">XLOOKUP(C152,'0file'!C:C,'0file'!C:C,"×")</f>
        <v>×</v>
      </c>
      <c r="F152" s="37" t="str">
        <f t="array" ref="F152">XLOOKUP(C152,'部署遍歴'!F:F,'部署遍歴'!D:D,"×")</f>
        <v>×</v>
      </c>
      <c r="G152" s="37" t="str">
        <f t="array" ref="G152">XLOOKUP(D152,'source isilon_divまとめ'!A:A,'source isilon_divまとめ'!D:D,"×")</f>
        <v>×</v>
      </c>
    </row>
    <row r="153">
      <c r="A153" s="8" t="s">
        <v>3</v>
      </c>
      <c r="B153" s="8" t="s">
        <v>9</v>
      </c>
      <c r="C153" s="114" t="str">
        <f t="shared" si="1"/>
        <v>CS本部/CX部</v>
      </c>
      <c r="D153" s="114" t="str">
        <f t="shared" si="2"/>
        <v>CS本部\CX部</v>
      </c>
      <c r="E153" s="37" t="str">
        <f t="array" ref="E153">XLOOKUP(C153,'0file'!C:C,'0file'!C:C,"×")</f>
        <v>×</v>
      </c>
      <c r="F153" s="37" t="str">
        <f t="array" ref="F153">XLOOKUP(C153,'部署遍歴'!F:F,'部署遍歴'!D:D,"×")</f>
        <v>×</v>
      </c>
      <c r="G153" s="37" t="str">
        <f t="array" ref="G153">XLOOKUP(D153,'source isilon_divまとめ'!A:A,'source isilon_divまとめ'!D:D,"×")</f>
        <v>×</v>
      </c>
    </row>
    <row r="154">
      <c r="A154" s="8" t="s">
        <v>3</v>
      </c>
      <c r="B154" s="8" t="s">
        <v>4</v>
      </c>
      <c r="C154" s="114" t="str">
        <f t="shared" si="1"/>
        <v>CS本部/CS部</v>
      </c>
      <c r="D154" s="114" t="str">
        <f t="shared" si="2"/>
        <v>CS本部\CS部</v>
      </c>
      <c r="E154" s="37" t="str">
        <f t="array" ref="E154">XLOOKUP(C154,'0file'!C:C,'0file'!C:C,"×")</f>
        <v>×</v>
      </c>
      <c r="F154" s="37" t="str">
        <f t="array" ref="F154">XLOOKUP(C154,'部署遍歴'!F:F,'部署遍歴'!D:D,"×")</f>
        <v>×</v>
      </c>
      <c r="G154" s="37" t="str">
        <f t="array" ref="G154">XLOOKUP(D154,'source isilon_divまとめ'!A:A,'source isilon_divまとめ'!D:D,"×")</f>
        <v>×</v>
      </c>
    </row>
    <row r="155">
      <c r="A155" s="8" t="s">
        <v>3</v>
      </c>
      <c r="B155" s="8" t="s">
        <v>1207</v>
      </c>
      <c r="C155" s="114" t="str">
        <f t="shared" si="1"/>
        <v>CS本部/技術部</v>
      </c>
      <c r="D155" s="114" t="str">
        <f t="shared" si="2"/>
        <v>CS本部\技術部</v>
      </c>
      <c r="E155" s="37" t="str">
        <f t="array" ref="E155">XLOOKUP(C155,'0file'!C:C,'0file'!C:C,"×")</f>
        <v>CS本部/技術部</v>
      </c>
      <c r="F155" s="7" t="s">
        <v>1052</v>
      </c>
      <c r="G155" s="37" t="str">
        <f t="array" ref="G155">XLOOKUP(D155,'source isilon_divまとめ'!A:A,'source isilon_divまとめ'!D:D,"×")</f>
        <v>×</v>
      </c>
    </row>
    <row r="156">
      <c r="A156" s="8" t="s">
        <v>3</v>
      </c>
      <c r="B156" s="8" t="s">
        <v>1111</v>
      </c>
      <c r="C156" s="114" t="str">
        <f t="shared" si="1"/>
        <v>CS本部/本部共有</v>
      </c>
      <c r="D156" s="114" t="str">
        <f t="shared" si="2"/>
        <v>CS本部\本部共有</v>
      </c>
      <c r="E156" s="37" t="str">
        <f t="array" ref="E156">XLOOKUP(C156,'0file'!C:C,'0file'!C:C,"×")</f>
        <v>×</v>
      </c>
      <c r="F156" s="37" t="str">
        <f t="array" ref="F156">XLOOKUP(C156,'部署遍歴'!F:F,'部署遍歴'!D:D,"×")</f>
        <v>×</v>
      </c>
      <c r="G156" s="37" t="str">
        <f t="array" ref="G156">XLOOKUP(D156,'source isilon_divまとめ'!A:A,'source isilon_divまとめ'!D:D,"×")</f>
        <v>×</v>
      </c>
    </row>
    <row r="157">
      <c r="A157" s="8" t="s">
        <v>1208</v>
      </c>
      <c r="B157" s="8" t="s">
        <v>1209</v>
      </c>
      <c r="C157" s="114" t="str">
        <f t="shared" si="1"/>
        <v>投資事業推進本部/投資事業推進部</v>
      </c>
      <c r="D157" s="114" t="str">
        <f t="shared" si="2"/>
        <v>投資事業推進本部\投資事業推進部</v>
      </c>
      <c r="E157" s="37" t="str">
        <f t="array" ref="E157">XLOOKUP(C157,'0file'!C:C,'0file'!C:C,"×")</f>
        <v>投資事業推進本部/投資事業推進部</v>
      </c>
      <c r="F157" s="37" t="str">
        <f t="array" ref="F157">XLOOKUP(C157,'部署遍歴'!F:F,'部署遍歴'!D:D,"×")</f>
        <v>×</v>
      </c>
      <c r="G157" s="37" t="str">
        <f t="array" ref="G157">XLOOKUP(D157,'source isilon_divまとめ'!A:A,'source isilon_divまとめ'!D:D,"×")</f>
        <v>×</v>
      </c>
    </row>
    <row r="158">
      <c r="A158" s="8" t="s">
        <v>1208</v>
      </c>
      <c r="B158" s="8" t="s">
        <v>1148</v>
      </c>
      <c r="C158" s="114" t="str">
        <f t="shared" si="1"/>
        <v>投資事業推進本部/事業開発部</v>
      </c>
      <c r="D158" s="114" t="str">
        <f t="shared" si="2"/>
        <v>投資事業推進本部\事業開発部</v>
      </c>
      <c r="E158" s="37" t="str">
        <f t="array" ref="E158">XLOOKUP(C158,'0file'!C:C,'0file'!C:C,"×")</f>
        <v>投資事業推進本部/事業開発部</v>
      </c>
      <c r="F158" s="37" t="str">
        <f t="array" ref="F158">XLOOKUP(C158,'部署遍歴'!F:F,'部署遍歴'!D:D,"×")</f>
        <v>×</v>
      </c>
      <c r="G158" s="37" t="str">
        <f t="array" ref="G158">XLOOKUP(D158,'source isilon_divまとめ'!A:A,'source isilon_divまとめ'!D:D,"×")</f>
        <v>×</v>
      </c>
    </row>
    <row r="159">
      <c r="A159" s="8" t="s">
        <v>1208</v>
      </c>
      <c r="B159" s="8" t="s">
        <v>1210</v>
      </c>
      <c r="C159" s="114" t="str">
        <f t="shared" si="1"/>
        <v>投資事業推進本部/アライアンス室</v>
      </c>
      <c r="D159" s="114" t="str">
        <f t="shared" si="2"/>
        <v>投資事業推進本部\アライアンス室</v>
      </c>
      <c r="E159" s="37" t="str">
        <f t="array" ref="E159">XLOOKUP(C159,'0file'!C:C,'0file'!C:C,"×")</f>
        <v>投資事業推進本部/アライアンス室</v>
      </c>
      <c r="F159" s="7" t="s">
        <v>1052</v>
      </c>
      <c r="G159" s="37" t="str">
        <f t="array" ref="G159">XLOOKUP(D159,'source isilon_divまとめ'!A:A,'source isilon_divまとめ'!D:D,"×")</f>
        <v>×</v>
      </c>
    </row>
    <row r="160">
      <c r="A160" s="8" t="s">
        <v>1208</v>
      </c>
      <c r="B160" s="8" t="s">
        <v>651</v>
      </c>
      <c r="C160" s="114" t="str">
        <f t="shared" si="1"/>
        <v>投資事業推進本部/チャリ・ロト事業部</v>
      </c>
      <c r="D160" s="114" t="str">
        <f t="shared" si="2"/>
        <v>投資事業推進本部\チャリ・ロト事業部</v>
      </c>
      <c r="E160" s="37" t="str">
        <f t="array" ref="E160">XLOOKUP(C160,'0file'!C:C,'0file'!C:C,"×")</f>
        <v>投資事業推進本部/チャリ・ロト事業部</v>
      </c>
      <c r="F160" s="37" t="str">
        <f t="array" ref="F160">XLOOKUP(C160,'部署遍歴'!F:F,'部署遍歴'!D:D,"×")</f>
        <v>×</v>
      </c>
      <c r="G160" s="37" t="str">
        <f t="array" ref="G160">XLOOKUP(D160,'source isilon_divまとめ'!A:A,'source isilon_divまとめ'!D:D,"×")</f>
        <v>×</v>
      </c>
    </row>
    <row r="161">
      <c r="A161" s="8" t="s">
        <v>1208</v>
      </c>
      <c r="B161" s="8" t="s">
        <v>1188</v>
      </c>
      <c r="C161" s="114" t="str">
        <f t="shared" si="1"/>
        <v>投資事業推進本部/事業推進部</v>
      </c>
      <c r="D161" s="114" t="str">
        <f t="shared" si="2"/>
        <v>投資事業推進本部\事業推進部</v>
      </c>
      <c r="E161" s="37" t="str">
        <f t="array" ref="E161">XLOOKUP(C161,'0file'!C:C,'0file'!C:C,"×")</f>
        <v>投資事業推進本部/事業推進部</v>
      </c>
      <c r="F161" s="7" t="s">
        <v>1052</v>
      </c>
      <c r="G161" s="37" t="str">
        <f t="array" ref="G161">XLOOKUP(D161,'source isilon_divまとめ'!A:A,'source isilon_divまとめ'!D:D,"×")</f>
        <v>×</v>
      </c>
    </row>
    <row r="162">
      <c r="A162" s="8" t="s">
        <v>1208</v>
      </c>
      <c r="B162" s="8" t="s">
        <v>1111</v>
      </c>
      <c r="C162" s="114" t="str">
        <f t="shared" si="1"/>
        <v>投資事業推進本部/本部共有</v>
      </c>
      <c r="D162" s="114" t="str">
        <f t="shared" si="2"/>
        <v>投資事業推進本部\本部共有</v>
      </c>
      <c r="E162" s="37" t="str">
        <f t="array" ref="E162">XLOOKUP(C162,'0file'!C:C,'0file'!C:C,"×")</f>
        <v>投資事業推進本部/本部共有</v>
      </c>
      <c r="F162" s="37" t="str">
        <f t="array" ref="F162">XLOOKUP(C162,'部署遍歴'!F:F,'部署遍歴'!D:D,"×")</f>
        <v>×</v>
      </c>
      <c r="G162" s="37" t="str">
        <f t="array" ref="G162">XLOOKUP(D162,'source isilon_divまとめ'!A:A,'source isilon_divまとめ'!D:D,"×")</f>
        <v>×</v>
      </c>
    </row>
    <row r="163">
      <c r="A163" s="8" t="s">
        <v>1208</v>
      </c>
      <c r="B163" s="8" t="s">
        <v>74</v>
      </c>
      <c r="C163" s="114" t="str">
        <f t="shared" si="1"/>
        <v>投資事業推進本部/投資事業部</v>
      </c>
      <c r="D163" s="114" t="str">
        <f t="shared" si="2"/>
        <v>投資事業推進本部\投資事業部</v>
      </c>
      <c r="E163" s="37" t="str">
        <f t="array" ref="E163">XLOOKUP(C163,'0file'!C:C,'0file'!C:C,"×")</f>
        <v>投資事業推進本部/投資事業部</v>
      </c>
      <c r="F163" s="37" t="str">
        <f t="array" ref="F163">XLOOKUP(C163,'部署遍歴'!F:F,'部署遍歴'!D:D,"×")</f>
        <v>×</v>
      </c>
      <c r="G163" s="37" t="str">
        <f t="array" ref="G163">XLOOKUP(D163,'source isilon_divまとめ'!A:A,'source isilon_divまとめ'!D:D,"×")</f>
        <v>×</v>
      </c>
    </row>
    <row r="164">
      <c r="A164" s="8" t="s">
        <v>1211</v>
      </c>
      <c r="B164" s="8" t="s">
        <v>1212</v>
      </c>
      <c r="C164" s="114" t="str">
        <f t="shared" si="1"/>
        <v>クロスファンクション本部/システム統括室</v>
      </c>
      <c r="D164" s="114" t="str">
        <f t="shared" si="2"/>
        <v>クロスファンクション本部\システム統括室</v>
      </c>
      <c r="E164" s="37" t="str">
        <f t="array" ref="E164">XLOOKUP(C164,'0file'!C:C,'0file'!C:C,"×")</f>
        <v>×</v>
      </c>
      <c r="F164" s="37" t="str">
        <f t="array" ref="F164">XLOOKUP(C164,'部署遍歴'!F:F,'部署遍歴'!D:D,"×")</f>
        <v>×</v>
      </c>
      <c r="G164" s="37" t="str">
        <f t="array" ref="G164">XLOOKUP(D164,'source isilon_divまとめ'!A:A,'source isilon_divまとめ'!D:D,"×")</f>
        <v>×</v>
      </c>
    </row>
    <row r="165">
      <c r="A165" s="8" t="s">
        <v>1211</v>
      </c>
      <c r="B165" s="8" t="s">
        <v>1213</v>
      </c>
      <c r="C165" s="114" t="str">
        <f t="shared" si="1"/>
        <v>クロスファンクション本部/CS推進室</v>
      </c>
      <c r="D165" s="114" t="str">
        <f t="shared" si="2"/>
        <v>クロスファンクション本部\CS推進室</v>
      </c>
      <c r="E165" s="37" t="str">
        <f t="array" ref="E165">XLOOKUP(C165,'0file'!C:C,'0file'!C:C,"×")</f>
        <v>×</v>
      </c>
      <c r="F165" s="37" t="str">
        <f t="array" ref="F165">XLOOKUP(C165,'部署遍歴'!F:F,'部署遍歴'!D:D,"×")</f>
        <v>×</v>
      </c>
      <c r="G165" s="37" t="str">
        <f t="array" ref="G165">XLOOKUP(D165,'source isilon_divまとめ'!A:A,'source isilon_divまとめ'!D:D,"×")</f>
        <v>×</v>
      </c>
    </row>
    <row r="166">
      <c r="A166" s="8" t="s">
        <v>1211</v>
      </c>
      <c r="B166" s="8" t="s">
        <v>1214</v>
      </c>
      <c r="C166" s="114" t="str">
        <f t="shared" si="1"/>
        <v>クロスファンクション本部/イノベーションセンター</v>
      </c>
      <c r="D166" s="114" t="str">
        <f t="shared" si="2"/>
        <v>クロスファンクション本部\イノベーションセンター</v>
      </c>
      <c r="E166" s="37" t="str">
        <f t="array" ref="E166">XLOOKUP(C166,'0file'!C:C,'0file'!C:C,"×")</f>
        <v>×</v>
      </c>
      <c r="F166" s="37" t="str">
        <f t="array" ref="F166">XLOOKUP(C166,'部署遍歴'!F:F,'部署遍歴'!D:D,"×")</f>
        <v>×</v>
      </c>
      <c r="G166" s="37" t="str">
        <f t="array" ref="G166">XLOOKUP(D166,'source isilon_divまとめ'!A:A,'source isilon_divまとめ'!D:D,"×")</f>
        <v>×</v>
      </c>
    </row>
    <row r="167">
      <c r="A167" s="8" t="s">
        <v>1211</v>
      </c>
      <c r="B167" s="8" t="s">
        <v>1111</v>
      </c>
      <c r="C167" s="114" t="str">
        <f t="shared" si="1"/>
        <v>クロスファンクション本部/本部共有</v>
      </c>
      <c r="D167" s="114" t="str">
        <f t="shared" si="2"/>
        <v>クロスファンクション本部\本部共有</v>
      </c>
      <c r="E167" s="37" t="str">
        <f t="array" ref="E167">XLOOKUP(C167,'0file'!C:C,'0file'!C:C,"×")</f>
        <v>クロスファンクション本部/本部共有</v>
      </c>
      <c r="F167" s="37" t="str">
        <f t="array" ref="F167">XLOOKUP(C167,'部署遍歴'!F:F,'部署遍歴'!D:D,"×")</f>
        <v>×</v>
      </c>
      <c r="G167" s="37" t="str">
        <f t="array" ref="G167">XLOOKUP(D167,'source isilon_divまとめ'!A:A,'source isilon_divまとめ'!D:D,"×")</f>
        <v>×</v>
      </c>
    </row>
    <row r="168">
      <c r="A168" s="8" t="s">
        <v>1216</v>
      </c>
      <c r="B168" s="8" t="s">
        <v>1217</v>
      </c>
      <c r="C168" s="114" t="str">
        <f t="shared" si="1"/>
        <v>MS本部/企画開発部</v>
      </c>
      <c r="D168" s="114" t="str">
        <f t="shared" si="2"/>
        <v>MS本部\企画開発部</v>
      </c>
      <c r="E168" s="37" t="str">
        <f t="array" ref="E168">XLOOKUP(C168,'0file'!C:C,'0file'!C:C,"×")</f>
        <v>×</v>
      </c>
      <c r="F168" s="37" t="str">
        <f t="array" ref="F168">XLOOKUP(C168,'部署遍歴'!F:F,'部署遍歴'!D:D,"×")</f>
        <v>×</v>
      </c>
      <c r="G168" s="37" t="str">
        <f t="array" ref="G168">XLOOKUP(D168,'source isilon_divまとめ'!A:A,'source isilon_divまとめ'!D:D,"×")</f>
        <v>×</v>
      </c>
    </row>
    <row r="169">
      <c r="A169" s="8" t="s">
        <v>1216</v>
      </c>
      <c r="B169" s="8" t="s">
        <v>644</v>
      </c>
      <c r="C169" s="114" t="str">
        <f t="shared" si="1"/>
        <v>MS本部/セキュリティ室</v>
      </c>
      <c r="D169" s="114" t="str">
        <f t="shared" si="2"/>
        <v>MS本部\セキュリティ室</v>
      </c>
      <c r="E169" s="37" t="str">
        <f t="array" ref="E169">XLOOKUP(C169,'0file'!C:C,'0file'!C:C,"×")</f>
        <v>×</v>
      </c>
      <c r="F169" s="37" t="str">
        <f t="array" ref="F169">XLOOKUP(C169,'部署遍歴'!F:F,'部署遍歴'!D:D,"×")</f>
        <v>×</v>
      </c>
      <c r="G169" s="37" t="str">
        <f t="array" ref="G169">XLOOKUP(D169,'source isilon_divまとめ'!A:A,'source isilon_divまとめ'!D:D,"×")</f>
        <v>×</v>
      </c>
    </row>
    <row r="170">
      <c r="A170" s="8" t="s">
        <v>1216</v>
      </c>
      <c r="B170" s="8" t="s">
        <v>1111</v>
      </c>
      <c r="C170" s="114" t="str">
        <f t="shared" si="1"/>
        <v>MS本部/本部共有</v>
      </c>
      <c r="D170" s="114" t="str">
        <f t="shared" si="2"/>
        <v>MS本部\本部共有</v>
      </c>
      <c r="E170" s="37" t="str">
        <f t="array" ref="E170">XLOOKUP(C170,'0file'!C:C,'0file'!C:C,"×")</f>
        <v>×</v>
      </c>
      <c r="F170" s="37" t="str">
        <f t="array" ref="F170">XLOOKUP(C170,'部署遍歴'!F:F,'部署遍歴'!D:D,"×")</f>
        <v>×</v>
      </c>
      <c r="G170" s="37" t="str">
        <f t="array" ref="G170">XLOOKUP(D170,'source isilon_divまとめ'!A:A,'source isilon_divまとめ'!D:D,"×")</f>
        <v>×</v>
      </c>
    </row>
    <row r="171">
      <c r="A171" s="8" t="s">
        <v>1216</v>
      </c>
      <c r="B171" s="8" t="s">
        <v>1218</v>
      </c>
      <c r="C171" s="114" t="str">
        <f t="shared" si="1"/>
        <v>MS本部/CS推進部</v>
      </c>
      <c r="D171" s="114" t="str">
        <f t="shared" si="2"/>
        <v>MS本部\CS推進部</v>
      </c>
      <c r="E171" s="37" t="str">
        <f t="array" ref="E171">XLOOKUP(C171,'0file'!C:C,'0file'!C:C,"×")</f>
        <v>×</v>
      </c>
      <c r="F171" s="37" t="str">
        <f t="array" ref="F171">XLOOKUP(C171,'部署遍歴'!F:F,'部署遍歴'!D:D,"×")</f>
        <v>×</v>
      </c>
      <c r="G171" s="37" t="str">
        <f t="array" ref="G171">XLOOKUP(D171,'source isilon_divまとめ'!A:A,'source isilon_divまとめ'!D:D,"×")</f>
        <v>×</v>
      </c>
    </row>
    <row r="172">
      <c r="A172" s="8" t="s">
        <v>1219</v>
      </c>
      <c r="B172" s="8" t="s">
        <v>1220</v>
      </c>
      <c r="C172" s="114" t="str">
        <f t="shared" si="1"/>
        <v>ミクシィ・リクルートメント/人材紹介事業部</v>
      </c>
      <c r="D172" s="114" t="str">
        <f t="shared" si="2"/>
        <v>ミクシィ・リクルートメント\人材紹介事業部</v>
      </c>
      <c r="E172" s="37" t="str">
        <f t="array" ref="E172">XLOOKUP(C172,'0file'!C:C,'0file'!C:C,"×")</f>
        <v>×</v>
      </c>
      <c r="F172" s="37" t="str">
        <f t="array" ref="F172">XLOOKUP(C172,'部署遍歴'!F:F,'部署遍歴'!D:D,"×")</f>
        <v>×</v>
      </c>
      <c r="G172" s="37" t="str">
        <f t="array" ref="G172">XLOOKUP(D172,'source isilon_divまとめ'!A:A,'source isilon_divまとめ'!D:D,"×")</f>
        <v>×</v>
      </c>
    </row>
    <row r="173">
      <c r="A173" s="8" t="s">
        <v>1219</v>
      </c>
      <c r="B173" s="8" t="s">
        <v>432</v>
      </c>
      <c r="C173" s="114" t="str">
        <f t="shared" si="1"/>
        <v>ミクシィ・リクルートメント/経営企画室</v>
      </c>
      <c r="D173" s="114" t="str">
        <f t="shared" si="2"/>
        <v>ミクシィ・リクルートメント\経営企画室</v>
      </c>
      <c r="E173" s="37" t="str">
        <f t="array" ref="E173">XLOOKUP(C173,'0file'!C:C,'0file'!C:C,"×")</f>
        <v>×</v>
      </c>
      <c r="F173" s="37" t="str">
        <f t="array" ref="F173">XLOOKUP(C173,'部署遍歴'!F:F,'部署遍歴'!D:D,"×")</f>
        <v>×</v>
      </c>
      <c r="G173" s="37" t="str">
        <f t="array" ref="G173">XLOOKUP(D173,'source isilon_divまとめ'!A:A,'source isilon_divまとめ'!D:D,"×")</f>
        <v>×</v>
      </c>
    </row>
    <row r="174">
      <c r="A174" s="8" t="s">
        <v>1219</v>
      </c>
      <c r="B174" s="8" t="s">
        <v>1139</v>
      </c>
      <c r="C174" s="114" t="str">
        <f t="shared" si="1"/>
        <v>ミクシィ・リクルートメント/全社共有</v>
      </c>
      <c r="D174" s="114" t="str">
        <f t="shared" si="2"/>
        <v>ミクシィ・リクルートメント\全社共有</v>
      </c>
      <c r="E174" s="37" t="str">
        <f t="array" ref="E174">XLOOKUP(C174,'0file'!C:C,'0file'!C:C,"×")</f>
        <v>×</v>
      </c>
      <c r="F174" s="37" t="str">
        <f t="array" ref="F174">XLOOKUP(C174,'部署遍歴'!F:F,'部署遍歴'!D:D,"×")</f>
        <v>×</v>
      </c>
      <c r="G174" s="37" t="str">
        <f t="array" ref="G174">XLOOKUP(D174,'source isilon_divまとめ'!A:A,'source isilon_divまとめ'!D:D,"×")</f>
        <v>×</v>
      </c>
    </row>
    <row r="175">
      <c r="A175" s="8" t="s">
        <v>1219</v>
      </c>
      <c r="B175" s="8" t="s">
        <v>1221</v>
      </c>
      <c r="C175" s="114" t="str">
        <f t="shared" si="1"/>
        <v>ミクシィ・リクルートメント/求人広告事業部</v>
      </c>
      <c r="D175" s="114" t="str">
        <f t="shared" si="2"/>
        <v>ミクシィ・リクルートメント\求人広告事業部</v>
      </c>
      <c r="E175" s="37" t="str">
        <f t="array" ref="E175">XLOOKUP(C175,'0file'!C:C,'0file'!C:C,"×")</f>
        <v>×</v>
      </c>
      <c r="F175" s="37" t="str">
        <f t="array" ref="F175">XLOOKUP(C175,'部署遍歴'!F:F,'部署遍歴'!D:D,"×")</f>
        <v>×</v>
      </c>
      <c r="G175" s="37" t="str">
        <f t="array" ref="G175">XLOOKUP(D175,'source isilon_divまとめ'!A:A,'source isilon_divまとめ'!D:D,"×")</f>
        <v>×</v>
      </c>
    </row>
    <row r="176">
      <c r="A176" s="8" t="s">
        <v>854</v>
      </c>
      <c r="B176" s="8" t="s">
        <v>1222</v>
      </c>
      <c r="C176" s="114" t="str">
        <f t="shared" si="1"/>
        <v>ライブエクスペリエンス事業本部/ライセンス事業部</v>
      </c>
      <c r="D176" s="114" t="str">
        <f t="shared" si="2"/>
        <v>ライブエクスペリエンス事業本部\ライセンス事業部</v>
      </c>
      <c r="E176" s="37" t="str">
        <f t="array" ref="E176">XLOOKUP(C176,'0file'!C:C,'0file'!C:C,"×")</f>
        <v>ライブエクスペリエンス事業本部/ライセンス事業部</v>
      </c>
      <c r="F176" s="7" t="s">
        <v>1052</v>
      </c>
      <c r="G176" s="37" t="str">
        <f t="array" ref="G176">XLOOKUP(D176,'source isilon_divまとめ'!A:A,'source isilon_divまとめ'!D:D,"×")</f>
        <v>×</v>
      </c>
    </row>
    <row r="177">
      <c r="A177" s="8" t="s">
        <v>854</v>
      </c>
      <c r="B177" s="8" t="s">
        <v>1223</v>
      </c>
      <c r="C177" s="114" t="str">
        <f t="shared" si="1"/>
        <v>ライブエクスペリエンス事業本部/LX開発室</v>
      </c>
      <c r="D177" s="114" t="str">
        <f t="shared" si="2"/>
        <v>ライブエクスペリエンス事業本部\LX開発室</v>
      </c>
      <c r="E177" s="37" t="str">
        <f t="array" ref="E177">XLOOKUP(C177,'0file'!C:C,'0file'!C:C,"×")</f>
        <v>×</v>
      </c>
      <c r="F177" s="37" t="str">
        <f t="array" ref="F177">XLOOKUP(C177,'部署遍歴'!F:F,'部署遍歴'!D:D,"×")</f>
        <v>×</v>
      </c>
      <c r="G177" s="37" t="str">
        <f t="array" ref="G177">XLOOKUP(D177,'source isilon_divまとめ'!A:A,'source isilon_divまとめ'!D:D,"×")</f>
        <v>×</v>
      </c>
    </row>
    <row r="178">
      <c r="A178" s="8" t="s">
        <v>854</v>
      </c>
      <c r="B178" s="8" t="s">
        <v>1224</v>
      </c>
      <c r="C178" s="114" t="str">
        <f t="shared" si="1"/>
        <v>ライブエクスペリエンス事業本部/ライブエンターテインメント事業部</v>
      </c>
      <c r="D178" s="114" t="str">
        <f t="shared" si="2"/>
        <v>ライブエクスペリエンス事業本部\ライブエンターテインメント事業部</v>
      </c>
      <c r="E178" s="37" t="str">
        <f t="array" ref="E178">XLOOKUP(C178,'0file'!C:C,'0file'!C:C,"×")</f>
        <v>×</v>
      </c>
      <c r="F178" s="37" t="str">
        <f t="array" ref="F178">XLOOKUP(C178,'部署遍歴'!F:F,'部署遍歴'!D:D,"×")</f>
        <v>×</v>
      </c>
      <c r="G178" s="37" t="str">
        <f t="array" ref="G178">XLOOKUP(D178,'source isilon_divまとめ'!A:A,'source isilon_divまとめ'!D:D,"×")</f>
        <v>×</v>
      </c>
    </row>
    <row r="179">
      <c r="A179" s="8" t="s">
        <v>854</v>
      </c>
      <c r="B179" s="8" t="s">
        <v>861</v>
      </c>
      <c r="C179" s="114" t="str">
        <f t="shared" si="1"/>
        <v>ライブエクスペリエンス事業本部/ファンコミュニケーション部</v>
      </c>
      <c r="D179" s="114" t="str">
        <f t="shared" si="2"/>
        <v>ライブエクスペリエンス事業本部\ファンコミュニケーション部</v>
      </c>
      <c r="E179" s="37" t="str">
        <f t="array" ref="E179">XLOOKUP(C179,'0file'!C:C,'0file'!C:C,"×")</f>
        <v>ライブエクスペリエンス事業本部/ファンコミュニケーション部</v>
      </c>
      <c r="F179" s="37" t="str">
        <f t="array" ref="F179">XLOOKUP(C179,'部署遍歴'!F:F,'部署遍歴'!D:D,"×")</f>
        <v>×</v>
      </c>
      <c r="G179" s="37" t="str">
        <f t="array" ref="G179">XLOOKUP(D179,'source isilon_divまとめ'!A:A,'source isilon_divまとめ'!D:D,"×")</f>
        <v>×</v>
      </c>
    </row>
    <row r="180">
      <c r="A180" s="8" t="s">
        <v>854</v>
      </c>
      <c r="B180" s="8" t="s">
        <v>1225</v>
      </c>
      <c r="C180" s="114" t="str">
        <f t="shared" si="1"/>
        <v>ライブエクスペリエンス事業本部/ビバレッジ事業推進室</v>
      </c>
      <c r="D180" s="114" t="str">
        <f t="shared" si="2"/>
        <v>ライブエクスペリエンス事業本部\ビバレッジ事業推進室</v>
      </c>
      <c r="E180" s="37" t="str">
        <f t="array" ref="E180">XLOOKUP(C180,'0file'!C:C,'0file'!C:C,"×")</f>
        <v>ライブエクスペリエンス事業本部/ビバレッジ事業推進室</v>
      </c>
      <c r="F180" s="37" t="str">
        <f t="array" ref="F180">XLOOKUP(C180,'部署遍歴'!F:F,'部署遍歴'!D:D,"×")</f>
        <v>×</v>
      </c>
      <c r="G180" s="37" t="str">
        <f t="array" ref="G180">XLOOKUP(D180,'source isilon_divまとめ'!A:A,'source isilon_divまとめ'!D:D,"×")</f>
        <v>×</v>
      </c>
    </row>
    <row r="181">
      <c r="A181" s="8" t="s">
        <v>854</v>
      </c>
      <c r="B181" s="8" t="s">
        <v>1226</v>
      </c>
      <c r="C181" s="114" t="str">
        <f t="shared" si="1"/>
        <v>ライブエクスペリエンス事業本部/システム部</v>
      </c>
      <c r="D181" s="114" t="str">
        <f t="shared" si="2"/>
        <v>ライブエクスペリエンス事業本部\システム部</v>
      </c>
      <c r="E181" s="37" t="str">
        <f t="array" ref="E181">XLOOKUP(C181,'0file'!C:C,'0file'!C:C,"×")</f>
        <v>ライブエクスペリエンス事業本部/システム部</v>
      </c>
      <c r="F181" s="7" t="s">
        <v>1052</v>
      </c>
      <c r="G181" s="37" t="str">
        <f t="array" ref="G181">XLOOKUP(D181,'source isilon_divまとめ'!A:A,'source isilon_divまとめ'!D:D,"×")</f>
        <v>×</v>
      </c>
    </row>
    <row r="182">
      <c r="A182" s="8" t="s">
        <v>854</v>
      </c>
      <c r="B182" s="8" t="s">
        <v>859</v>
      </c>
      <c r="C182" s="114" t="str">
        <f t="shared" si="1"/>
        <v>ライブエクスペリエンス事業本部/フットボール事業部</v>
      </c>
      <c r="D182" s="114" t="str">
        <f t="shared" si="2"/>
        <v>ライブエクスペリエンス事業本部\フットボール事業部</v>
      </c>
      <c r="E182" s="37" t="str">
        <f t="array" ref="E182">XLOOKUP(C182,'0file'!C:C,'0file'!C:C,"×")</f>
        <v>ライブエクスペリエンス事業本部/フットボール事業部</v>
      </c>
      <c r="F182" s="37" t="str">
        <f t="array" ref="F182">XLOOKUP(C182,'部署遍歴'!F:F,'部署遍歴'!D:D,"×")</f>
        <v>×</v>
      </c>
      <c r="G182" s="37" t="str">
        <f t="array" ref="G182">XLOOKUP(D182,'source isilon_divまとめ'!A:A,'source isilon_divまとめ'!D:D,"×")</f>
        <v>×</v>
      </c>
    </row>
    <row r="183">
      <c r="A183" s="8" t="s">
        <v>854</v>
      </c>
      <c r="B183" s="8" t="s">
        <v>173</v>
      </c>
      <c r="C183" s="114" t="str">
        <f t="shared" si="1"/>
        <v>ライブエクスペリエンス事業本部/企画推進部</v>
      </c>
      <c r="D183" s="114" t="str">
        <f t="shared" si="2"/>
        <v>ライブエクスペリエンス事業本部\企画推進部</v>
      </c>
      <c r="E183" s="37" t="str">
        <f t="array" ref="E183">XLOOKUP(C183,'0file'!C:C,'0file'!C:C,"×")</f>
        <v>ライブエクスペリエンス事業本部/企画推進部</v>
      </c>
      <c r="F183" s="37" t="str">
        <f t="array" ref="F183">XLOOKUP(C183,'部署遍歴'!F:F,'部署遍歴'!D:D,"×")</f>
        <v>×</v>
      </c>
      <c r="G183" s="37" t="str">
        <f t="array" ref="G183">XLOOKUP(D183,'source isilon_divまとめ'!A:A,'source isilon_divまとめ'!D:D,"×")</f>
        <v>×</v>
      </c>
    </row>
    <row r="184">
      <c r="A184" s="8" t="s">
        <v>854</v>
      </c>
      <c r="B184" s="8" t="s">
        <v>1183</v>
      </c>
      <c r="C184" s="114" t="str">
        <f t="shared" si="1"/>
        <v>ライブエクスペリエンス事業本部/スポーツギフティング部</v>
      </c>
      <c r="D184" s="114" t="str">
        <f t="shared" si="2"/>
        <v>ライブエクスペリエンス事業本部\スポーツギフティング部</v>
      </c>
      <c r="E184" s="37" t="str">
        <f t="array" ref="E184">XLOOKUP(C184,'0file'!C:C,'0file'!C:C,"×")</f>
        <v>ライブエクスペリエンス事業本部/スポーツギフティング部</v>
      </c>
      <c r="F184" s="7" t="s">
        <v>1052</v>
      </c>
      <c r="G184" s="37" t="str">
        <f t="array" ref="G184">XLOOKUP(D184,'source isilon_divまとめ'!A:A,'source isilon_divまとめ'!D:D,"×")</f>
        <v>×</v>
      </c>
    </row>
    <row r="185">
      <c r="A185" s="8" t="s">
        <v>854</v>
      </c>
      <c r="B185" s="8" t="s">
        <v>1227</v>
      </c>
      <c r="C185" s="114" t="str">
        <f t="shared" si="1"/>
        <v>ライブエクスペリエンス事業本部/マーチャンダイジング部</v>
      </c>
      <c r="D185" s="114" t="str">
        <f t="shared" si="2"/>
        <v>ライブエクスペリエンス事業本部\マーチャンダイジング部</v>
      </c>
      <c r="E185" s="37" t="str">
        <f t="array" ref="E185">XLOOKUP(C185,'0file'!C:C,'0file'!C:C,"×")</f>
        <v>×</v>
      </c>
      <c r="F185" s="37" t="str">
        <f t="array" ref="F185">XLOOKUP(C185,'部署遍歴'!F:F,'部署遍歴'!D:D,"×")</f>
        <v>×</v>
      </c>
      <c r="G185" s="37" t="str">
        <f t="array" ref="G185">XLOOKUP(D185,'source isilon_divまとめ'!A:A,'source isilon_divまとめ'!D:D,"×")</f>
        <v>×</v>
      </c>
    </row>
    <row r="186">
      <c r="A186" s="8" t="s">
        <v>854</v>
      </c>
      <c r="B186" s="8" t="s">
        <v>1182</v>
      </c>
      <c r="C186" s="114" t="str">
        <f t="shared" si="1"/>
        <v>ライブエクスペリエンス事業本部/スポーツ事業部</v>
      </c>
      <c r="D186" s="114" t="str">
        <f t="shared" si="2"/>
        <v>ライブエクスペリエンス事業本部\スポーツ事業部</v>
      </c>
      <c r="E186" s="37" t="str">
        <f t="array" ref="E186">XLOOKUP(C186,'0file'!C:C,'0file'!C:C,"×")</f>
        <v>ライブエクスペリエンス事業本部/スポーツ事業部</v>
      </c>
      <c r="F186" s="37" t="str">
        <f t="array" ref="F186">XLOOKUP(C186,'部署遍歴'!F:F,'部署遍歴'!D:D,"×")</f>
        <v>事業管理部</v>
      </c>
      <c r="G186" s="37" t="str">
        <f t="array" ref="G186">XLOOKUP(D186,'source isilon_divまとめ'!A:A,'source isilon_divまとめ'!D:D,"×")</f>
        <v>×</v>
      </c>
    </row>
    <row r="187">
      <c r="A187" s="8" t="s">
        <v>854</v>
      </c>
      <c r="B187" s="8" t="s">
        <v>1186</v>
      </c>
      <c r="C187" s="114" t="str">
        <f t="shared" si="1"/>
        <v>ライブエクスペリエンス事業本部/スポーツマーケティング室</v>
      </c>
      <c r="D187" s="114" t="str">
        <f t="shared" si="2"/>
        <v>ライブエクスペリエンス事業本部\スポーツマーケティング室</v>
      </c>
      <c r="E187" s="37" t="str">
        <f t="array" ref="E187">XLOOKUP(C187,'0file'!C:C,'0file'!C:C,"×")</f>
        <v>ライブエクスペリエンス事業本部/スポーツマーケティング室</v>
      </c>
      <c r="F187" s="37" t="str">
        <f t="array" ref="F187">XLOOKUP(C187,'部署遍歴'!F:F,'部署遍歴'!D:D,"×")</f>
        <v>×</v>
      </c>
      <c r="G187" s="37" t="str">
        <f t="array" ref="G187">XLOOKUP(D187,'source isilon_divまとめ'!A:A,'source isilon_divまとめ'!D:D,"×")</f>
        <v>×</v>
      </c>
    </row>
    <row r="188">
      <c r="A188" s="8" t="s">
        <v>854</v>
      </c>
      <c r="B188" s="8" t="s">
        <v>1228</v>
      </c>
      <c r="C188" s="114" t="str">
        <f t="shared" si="1"/>
        <v>ライブエクスペリエンス事業本部/事業管理部</v>
      </c>
      <c r="D188" s="114" t="str">
        <f t="shared" si="2"/>
        <v>ライブエクスペリエンス事業本部\事業管理部</v>
      </c>
      <c r="E188" s="37" t="str">
        <f t="array" ref="E188">XLOOKUP(C188,'0file'!C:C,'0file'!C:C,"×")</f>
        <v>ライブエクスペリエンス事業本部/事業管理部</v>
      </c>
      <c r="F188" s="37" t="str">
        <f t="array" ref="F188">XLOOKUP(C188,'部署遍歴'!F:F,'部署遍歴'!D:D,"×")</f>
        <v>企画推進部</v>
      </c>
      <c r="G188" s="37" t="str">
        <f t="array" ref="G188">XLOOKUP(D188,'source isilon_divまとめ'!A:A,'source isilon_divまとめ'!D:D,"×")</f>
        <v>×</v>
      </c>
    </row>
    <row r="189">
      <c r="A189" s="8" t="s">
        <v>854</v>
      </c>
      <c r="B189" s="8" t="s">
        <v>857</v>
      </c>
      <c r="C189" s="114" t="str">
        <f t="shared" si="1"/>
        <v>ライブエクスペリエンス事業本部/バスケットボール事業部</v>
      </c>
      <c r="D189" s="114" t="str">
        <f t="shared" si="2"/>
        <v>ライブエクスペリエンス事業本部\バスケットボール事業部</v>
      </c>
      <c r="E189" s="37" t="str">
        <f t="array" ref="E189">XLOOKUP(C189,'0file'!C:C,'0file'!C:C,"×")</f>
        <v>ライブエクスペリエンス事業本部/バスケットボール事業部</v>
      </c>
      <c r="F189" s="37" t="str">
        <f t="array" ref="F189">XLOOKUP(C189,'部署遍歴'!F:F,'部署遍歴'!D:D,"×")</f>
        <v>×</v>
      </c>
      <c r="G189" s="37" t="str">
        <f t="array" ref="G189">XLOOKUP(D189,'source isilon_divまとめ'!A:A,'source isilon_divまとめ'!D:D,"×")</f>
        <v>×</v>
      </c>
    </row>
    <row r="190">
      <c r="A190" s="8" t="s">
        <v>854</v>
      </c>
      <c r="B190" s="8" t="s">
        <v>286</v>
      </c>
      <c r="C190" s="114" t="str">
        <f t="shared" si="1"/>
        <v>ライブエクスペリエンス事業本部/事業戦略室</v>
      </c>
      <c r="D190" s="114" t="str">
        <f t="shared" si="2"/>
        <v>ライブエクスペリエンス事業本部\事業戦略室</v>
      </c>
      <c r="E190" s="37" t="str">
        <f t="array" ref="E190">XLOOKUP(C190,'0file'!C:C,'0file'!C:C,"×")</f>
        <v>ライブエクスペリエンス事業本部/事業戦略室</v>
      </c>
      <c r="F190" s="7" t="s">
        <v>1052</v>
      </c>
      <c r="G190" s="37" t="str">
        <f t="array" ref="G190">XLOOKUP(D190,'source isilon_divまとめ'!A:A,'source isilon_divまとめ'!D:D,"×")</f>
        <v>×</v>
      </c>
    </row>
    <row r="191">
      <c r="A191" s="8" t="s">
        <v>854</v>
      </c>
      <c r="B191" s="8" t="s">
        <v>1111</v>
      </c>
      <c r="C191" s="114" t="str">
        <f t="shared" si="1"/>
        <v>ライブエクスペリエンス事業本部/本部共有</v>
      </c>
      <c r="D191" s="114" t="str">
        <f t="shared" si="2"/>
        <v>ライブエクスペリエンス事業本部\本部共有</v>
      </c>
      <c r="E191" s="37" t="str">
        <f t="array" ref="E191">XLOOKUP(C191,'0file'!C:C,'0file'!C:C,"×")</f>
        <v>×</v>
      </c>
      <c r="F191" s="37" t="str">
        <f t="array" ref="F191">XLOOKUP(C191,'部署遍歴'!F:F,'部署遍歴'!D:D,"×")</f>
        <v>×</v>
      </c>
      <c r="G191" s="37" t="str">
        <f t="array" ref="G191">XLOOKUP(D191,'source isilon_divまとめ'!A:A,'source isilon_divまとめ'!D:D,"×")</f>
        <v>×</v>
      </c>
    </row>
    <row r="192">
      <c r="A192" s="8" t="s">
        <v>854</v>
      </c>
      <c r="B192" s="8" t="s">
        <v>1229</v>
      </c>
      <c r="C192" s="114" t="str">
        <f t="shared" si="1"/>
        <v>ライブエクスペリエンス事業本部/新規事業開発部</v>
      </c>
      <c r="D192" s="114" t="str">
        <f t="shared" si="2"/>
        <v>ライブエクスペリエンス事業本部\新規事業開発部</v>
      </c>
      <c r="E192" s="37" t="str">
        <f t="array" ref="E192">XLOOKUP(C192,'0file'!C:C,'0file'!C:C,"×")</f>
        <v>×</v>
      </c>
      <c r="F192" s="37" t="str">
        <f t="array" ref="F192">XLOOKUP(C192,'部署遍歴'!F:F,'部署遍歴'!D:D,"×")</f>
        <v>×</v>
      </c>
      <c r="G192" s="37" t="str">
        <f t="array" ref="G192">XLOOKUP(D192,'source isilon_divまとめ'!A:A,'source isilon_divまとめ'!D:D,"×")</f>
        <v>×</v>
      </c>
    </row>
    <row r="193">
      <c r="A193" s="8" t="s">
        <v>854</v>
      </c>
      <c r="B193" s="8" t="s">
        <v>51</v>
      </c>
      <c r="C193" s="114" t="str">
        <f t="shared" si="1"/>
        <v>ライブエクスペリエンス事業本部/minimo事業部</v>
      </c>
      <c r="D193" s="114" t="str">
        <f t="shared" si="2"/>
        <v>ライブエクスペリエンス事業本部\minimo事業部</v>
      </c>
      <c r="E193" s="37" t="str">
        <f t="array" ref="E193">XLOOKUP(C193,'0file'!C:C,'0file'!C:C,"×")</f>
        <v>ライブエクスペリエンス事業本部/minimo事業部</v>
      </c>
      <c r="F193" s="37" t="str">
        <f t="array" ref="F193">XLOOKUP(C193,'部署遍歴'!F:F,'部署遍歴'!D:D,"×")</f>
        <v>×</v>
      </c>
      <c r="G193" s="37" t="str">
        <f t="array" ref="G193">XLOOKUP(D193,'source isilon_divまとめ'!A:A,'source isilon_divまとめ'!D:D,"×")</f>
        <v>×</v>
      </c>
    </row>
    <row r="194">
      <c r="A194" s="8" t="s">
        <v>854</v>
      </c>
      <c r="B194" s="8" t="s">
        <v>864</v>
      </c>
      <c r="C194" s="114" t="str">
        <f t="shared" si="1"/>
        <v>ライブエクスペリエンス事業本部/アリーナ事業部</v>
      </c>
      <c r="D194" s="114" t="str">
        <f t="shared" si="2"/>
        <v>ライブエクスペリエンス事業本部\アリーナ事業部</v>
      </c>
      <c r="E194" s="37" t="str">
        <f t="array" ref="E194">XLOOKUP(C194,'0file'!C:C,'0file'!C:C,"×")</f>
        <v>ライブエクスペリエンス事業本部/アリーナ事業部</v>
      </c>
      <c r="F194" s="37" t="str">
        <f t="array" ref="F194">XLOOKUP(C194,'部署遍歴'!F:F,'部署遍歴'!D:D,"×")</f>
        <v>×</v>
      </c>
      <c r="G194" s="37" t="str">
        <f t="array" ref="G194">XLOOKUP(D194,'source isilon_divまとめ'!A:A,'source isilon_divまとめ'!D:D,"×")</f>
        <v>×</v>
      </c>
    </row>
    <row r="195">
      <c r="A195" s="8" t="s">
        <v>440</v>
      </c>
      <c r="B195" s="8" t="s">
        <v>97</v>
      </c>
      <c r="C195" s="114" t="str">
        <f t="shared" si="1"/>
        <v>経営推進本部/財務企画部</v>
      </c>
      <c r="D195" s="114" t="str">
        <f t="shared" si="2"/>
        <v>経営推進本部\財務企画部</v>
      </c>
      <c r="E195" s="37" t="str">
        <f t="array" ref="E195">XLOOKUP(C195,'0file'!C:C,'0file'!C:C,"×")</f>
        <v>×</v>
      </c>
      <c r="F195" s="37" t="str">
        <f t="array" ref="F195">XLOOKUP(C195,'部署遍歴'!F:F,'部署遍歴'!D:D,"×")</f>
        <v>×</v>
      </c>
      <c r="G195" s="37" t="str">
        <f t="array" ref="G195">XLOOKUP(D195,'source isilon_divまとめ'!A:A,'source isilon_divまとめ'!D:D,"×")</f>
        <v>×</v>
      </c>
    </row>
    <row r="196">
      <c r="A196" s="8" t="s">
        <v>440</v>
      </c>
      <c r="B196" s="8" t="s">
        <v>432</v>
      </c>
      <c r="C196" s="114" t="str">
        <f t="shared" si="1"/>
        <v>経営推進本部/経営企画室</v>
      </c>
      <c r="D196" s="114" t="str">
        <f t="shared" si="2"/>
        <v>経営推進本部\経営企画室</v>
      </c>
      <c r="E196" s="37" t="str">
        <f t="array" ref="E196">XLOOKUP(C196,'0file'!C:C,'0file'!C:C,"×")</f>
        <v>×</v>
      </c>
      <c r="F196" s="37" t="str">
        <f t="array" ref="F196">XLOOKUP(C196,'部署遍歴'!F:F,'部署遍歴'!D:D,"×")</f>
        <v>×</v>
      </c>
      <c r="G196" s="37" t="str">
        <f t="array" ref="G196">XLOOKUP(D196,'source isilon_divまとめ'!A:A,'source isilon_divまとめ'!D:D,"×")</f>
        <v>×</v>
      </c>
    </row>
    <row r="197">
      <c r="A197" s="8" t="s">
        <v>440</v>
      </c>
      <c r="B197" s="8" t="s">
        <v>430</v>
      </c>
      <c r="C197" s="114" t="str">
        <f t="shared" si="1"/>
        <v>経営推進本部/経営管理部</v>
      </c>
      <c r="D197" s="114" t="str">
        <f t="shared" si="2"/>
        <v>経営推進本部\経営管理部</v>
      </c>
      <c r="E197" s="37" t="str">
        <f t="array" ref="E197">XLOOKUP(C197,'0file'!C:C,'0file'!C:C,"×")</f>
        <v>経営推進本部/経営管理部</v>
      </c>
      <c r="F197" s="7" t="s">
        <v>1052</v>
      </c>
      <c r="G197" s="37" t="str">
        <f t="array" ref="G197">XLOOKUP(D197,'source isilon_divまとめ'!A:A,'source isilon_divまとめ'!D:D,"×")</f>
        <v>×</v>
      </c>
    </row>
    <row r="198">
      <c r="A198" s="8" t="s">
        <v>440</v>
      </c>
      <c r="B198" s="8" t="s">
        <v>1198</v>
      </c>
      <c r="C198" s="114" t="str">
        <f t="shared" si="1"/>
        <v>経営推進本部/スマートヘルス事業部</v>
      </c>
      <c r="D198" s="114" t="str">
        <f t="shared" si="2"/>
        <v>経営推進本部\スマートヘルス事業部</v>
      </c>
      <c r="E198" s="37" t="str">
        <f t="array" ref="E198">XLOOKUP(C198,'0file'!C:C,'0file'!C:C,"×")</f>
        <v>×</v>
      </c>
      <c r="F198" s="37" t="str">
        <f t="array" ref="F198">XLOOKUP(C198,'部署遍歴'!F:F,'部署遍歴'!D:D,"×")</f>
        <v>×</v>
      </c>
      <c r="G198" s="37" t="str">
        <f t="array" ref="G198">XLOOKUP(D198,'source isilon_divまとめ'!A:A,'source isilon_divまとめ'!D:D,"×")</f>
        <v>×</v>
      </c>
    </row>
    <row r="199">
      <c r="A199" s="8" t="s">
        <v>440</v>
      </c>
      <c r="B199" s="8" t="s">
        <v>1230</v>
      </c>
      <c r="C199" s="114" t="str">
        <f t="shared" si="1"/>
        <v>経営推進本部/人事部付け</v>
      </c>
      <c r="D199" s="114" t="str">
        <f t="shared" si="2"/>
        <v>経営推進本部\人事部付け</v>
      </c>
      <c r="E199" s="37" t="str">
        <f t="array" ref="E199">XLOOKUP(C199,'0file'!C:C,'0file'!C:C,"×")</f>
        <v>経営推進本部/人事部付け</v>
      </c>
      <c r="F199" s="37" t="str">
        <f t="array" ref="F199">XLOOKUP(C199,'部署遍歴'!F:F,'部署遍歴'!D:D,"×")</f>
        <v>×</v>
      </c>
      <c r="G199" s="37" t="str">
        <f t="array" ref="G199">XLOOKUP(D199,'source isilon_divまとめ'!A:A,'source isilon_divまとめ'!D:D,"×")</f>
        <v>×</v>
      </c>
    </row>
    <row r="200">
      <c r="A200" s="8" t="s">
        <v>440</v>
      </c>
      <c r="B200" s="8" t="s">
        <v>1231</v>
      </c>
      <c r="C200" s="114" t="str">
        <f t="shared" si="1"/>
        <v>経営推進本部/情報セキュリティ室</v>
      </c>
      <c r="D200" s="114" t="str">
        <f t="shared" si="2"/>
        <v>経営推進本部\情報セキュリティ室</v>
      </c>
      <c r="E200" s="37" t="str">
        <f t="array" ref="E200">XLOOKUP(C200,'0file'!C:C,'0file'!C:C,"×")</f>
        <v>×</v>
      </c>
      <c r="F200" s="37" t="str">
        <f t="array" ref="F200">XLOOKUP(C200,'部署遍歴'!F:F,'部署遍歴'!D:D,"×")</f>
        <v>×</v>
      </c>
      <c r="G200" s="37" t="str">
        <f t="array" ref="G200">XLOOKUP(D200,'source isilon_divまとめ'!A:A,'source isilon_divまとめ'!D:D,"×")</f>
        <v>×</v>
      </c>
    </row>
    <row r="201">
      <c r="A201" s="8" t="s">
        <v>440</v>
      </c>
      <c r="B201" s="8" t="s">
        <v>1232</v>
      </c>
      <c r="C201" s="114" t="str">
        <f t="shared" si="1"/>
        <v>経営推進本部/投資・事業推進部</v>
      </c>
      <c r="D201" s="114" t="str">
        <f t="shared" si="2"/>
        <v>経営推進本部\投資・事業推進部</v>
      </c>
      <c r="E201" s="37" t="str">
        <f t="array" ref="E201">XLOOKUP(C201,'0file'!C:C,'0file'!C:C,"×")</f>
        <v>経営推進本部/投資・事業推進部</v>
      </c>
      <c r="F201" s="37" t="str">
        <f t="array" ref="F201">XLOOKUP(C201,'部署遍歴'!F:F,'部署遍歴'!D:D,"×")</f>
        <v>×</v>
      </c>
      <c r="G201" s="37" t="str">
        <f t="array" ref="G201">XLOOKUP(D201,'source isilon_divまとめ'!A:A,'source isilon_divまとめ'!D:D,"×")</f>
        <v>×</v>
      </c>
    </row>
    <row r="202">
      <c r="A202" s="8" t="s">
        <v>440</v>
      </c>
      <c r="B202" s="8" t="s">
        <v>188</v>
      </c>
      <c r="C202" s="114" t="str">
        <f t="shared" si="1"/>
        <v>経営推進本部/社長室</v>
      </c>
      <c r="D202" s="114" t="str">
        <f t="shared" si="2"/>
        <v>経営推進本部\社長室</v>
      </c>
      <c r="E202" s="37" t="str">
        <f t="array" ref="E202">XLOOKUP(C202,'0file'!C:C,'0file'!C:C,"×")</f>
        <v>×</v>
      </c>
      <c r="F202" s="37" t="str">
        <f t="array" ref="F202">XLOOKUP(C202,'部署遍歴'!F:F,'部署遍歴'!D:D,"×")</f>
        <v>×</v>
      </c>
      <c r="G202" s="37" t="str">
        <f t="array" ref="G202">XLOOKUP(D202,'source isilon_divまとめ'!A:A,'source isilon_divまとめ'!D:D,"×")</f>
        <v>×</v>
      </c>
    </row>
    <row r="203">
      <c r="A203" s="8" t="s">
        <v>440</v>
      </c>
      <c r="B203" s="8" t="s">
        <v>1213</v>
      </c>
      <c r="C203" s="114" t="str">
        <f t="shared" si="1"/>
        <v>経営推進本部/CS推進室</v>
      </c>
      <c r="D203" s="114" t="str">
        <f t="shared" si="2"/>
        <v>経営推進本部\CS推進室</v>
      </c>
      <c r="E203" s="37" t="str">
        <f t="array" ref="E203">XLOOKUP(C203,'0file'!C:C,'0file'!C:C,"×")</f>
        <v>×</v>
      </c>
      <c r="F203" s="37" t="str">
        <f t="array" ref="F203">XLOOKUP(C203,'部署遍歴'!F:F,'部署遍歴'!D:D,"×")</f>
        <v>×</v>
      </c>
      <c r="G203" s="37" t="str">
        <f t="array" ref="G203">XLOOKUP(D203,'source isilon_divまとめ'!A:A,'source isilon_divまとめ'!D:D,"×")</f>
        <v>×</v>
      </c>
    </row>
    <row r="204">
      <c r="A204" s="8" t="s">
        <v>440</v>
      </c>
      <c r="B204" s="8" t="s">
        <v>1233</v>
      </c>
      <c r="C204" s="114" t="str">
        <f t="shared" si="1"/>
        <v>経営推進本部/グループ統括室</v>
      </c>
      <c r="D204" s="114" t="str">
        <f t="shared" si="2"/>
        <v>経営推進本部\グループ統括室</v>
      </c>
      <c r="E204" s="37" t="str">
        <f t="array" ref="E204">XLOOKUP(C204,'0file'!C:C,'0file'!C:C,"×")</f>
        <v>経営推進本部/グループ統括室</v>
      </c>
      <c r="F204" s="37" t="str">
        <f t="array" ref="F204">XLOOKUP(C204,'部署遍歴'!F:F,'部署遍歴'!D:D,"×")</f>
        <v>×</v>
      </c>
      <c r="G204" s="37" t="str">
        <f t="array" ref="G204">XLOOKUP(D204,'source isilon_divまとめ'!A:A,'source isilon_divまとめ'!D:D,"×")</f>
        <v>×</v>
      </c>
    </row>
    <row r="205">
      <c r="A205" s="8" t="s">
        <v>440</v>
      </c>
      <c r="B205" s="8" t="s">
        <v>924</v>
      </c>
      <c r="C205" s="114" t="str">
        <f t="shared" si="1"/>
        <v>経営推進本部/グループ会社統括支援部</v>
      </c>
      <c r="D205" s="114" t="str">
        <f t="shared" si="2"/>
        <v>経営推進本部\グループ会社統括支援部</v>
      </c>
      <c r="E205" s="37" t="str">
        <f t="array" ref="E205">XLOOKUP(C205,'0file'!C:C,'0file'!C:C,"×")</f>
        <v>経営推進本部/グループ会社統括支援部</v>
      </c>
      <c r="F205" s="37" t="str">
        <f t="array" ref="F205">XLOOKUP(C205,'部署遍歴'!F:F,'部署遍歴'!D:D,"×")</f>
        <v>×</v>
      </c>
      <c r="G205" s="37" t="str">
        <f t="array" ref="G205">XLOOKUP(D205,'source isilon_divまとめ'!A:A,'source isilon_divまとめ'!D:D,"×")</f>
        <v>×</v>
      </c>
    </row>
    <row r="206">
      <c r="A206" s="8" t="s">
        <v>440</v>
      </c>
      <c r="B206" s="8" t="s">
        <v>1234</v>
      </c>
      <c r="C206" s="114" t="str">
        <f t="shared" si="1"/>
        <v>経営推進本部/FP＆Aインテリジェンス部</v>
      </c>
      <c r="D206" s="114" t="str">
        <f t="shared" si="2"/>
        <v>経営推進本部\FP＆Aインテリジェンス部</v>
      </c>
      <c r="E206" s="37" t="str">
        <f t="array" ref="E206">XLOOKUP(C206,'0file'!C:C,'0file'!C:C,"×")</f>
        <v>経営推進本部/FP＆Aインテリジェンス部</v>
      </c>
      <c r="F206" s="37" t="str">
        <f t="array" ref="F206">XLOOKUP(C206,'部署遍歴'!F:F,'部署遍歴'!D:D,"×")</f>
        <v>×</v>
      </c>
      <c r="G206" s="37" t="str">
        <f t="array" ref="G206">XLOOKUP(D206,'source isilon_divまとめ'!A:A,'source isilon_divまとめ'!D:D,"×")</f>
        <v>×</v>
      </c>
    </row>
    <row r="207">
      <c r="A207" s="8" t="s">
        <v>440</v>
      </c>
      <c r="B207" s="8" t="s">
        <v>443</v>
      </c>
      <c r="C207" s="114" t="str">
        <f t="shared" si="1"/>
        <v>経営推進本部/経営企画部</v>
      </c>
      <c r="D207" s="114" t="str">
        <f t="shared" si="2"/>
        <v>経営推進本部\経営企画部</v>
      </c>
      <c r="E207" s="37" t="str">
        <f t="array" ref="E207">XLOOKUP(C207,'0file'!C:C,'0file'!C:C,"×")</f>
        <v>×</v>
      </c>
      <c r="F207" s="37" t="str">
        <f t="array" ref="F207">XLOOKUP(C207,'部署遍歴'!F:F,'部署遍歴'!D:D,"×")</f>
        <v>×</v>
      </c>
      <c r="G207" s="37" t="str">
        <f t="array" ref="G207">XLOOKUP(D207,'source isilon_divまとめ'!A:A,'source isilon_divまとめ'!D:D,"×")</f>
        <v>×</v>
      </c>
    </row>
    <row r="208">
      <c r="A208" s="8" t="s">
        <v>440</v>
      </c>
      <c r="B208" s="8" t="s">
        <v>104</v>
      </c>
      <c r="C208" s="114" t="str">
        <f t="shared" si="1"/>
        <v>経営推進本部/法務部</v>
      </c>
      <c r="D208" s="114" t="str">
        <f t="shared" si="2"/>
        <v>経営推進本部\法務部</v>
      </c>
      <c r="E208" s="37" t="str">
        <f t="array" ref="E208">XLOOKUP(C208,'0file'!C:C,'0file'!C:C,"×")</f>
        <v>×</v>
      </c>
      <c r="F208" s="37" t="str">
        <f t="array" ref="F208">XLOOKUP(C208,'部署遍歴'!F:F,'部署遍歴'!D:D,"×")</f>
        <v>×</v>
      </c>
      <c r="G208" s="37" t="str">
        <f t="array" ref="G208">XLOOKUP(D208,'source isilon_divまとめ'!A:A,'source isilon_divまとめ'!D:D,"×")</f>
        <v>×</v>
      </c>
    </row>
    <row r="209">
      <c r="A209" s="8" t="s">
        <v>440</v>
      </c>
      <c r="B209" s="8" t="s">
        <v>802</v>
      </c>
      <c r="C209" s="114" t="str">
        <f t="shared" si="1"/>
        <v>経営推進本部/ビジネスサポート室</v>
      </c>
      <c r="D209" s="114" t="str">
        <f t="shared" si="2"/>
        <v>経営推進本部\ビジネスサポート室</v>
      </c>
      <c r="E209" s="37" t="str">
        <f t="array" ref="E209">XLOOKUP(C209,'0file'!C:C,'0file'!C:C,"×")</f>
        <v>経営推進本部/ビジネスサポート室</v>
      </c>
      <c r="F209" s="37" t="str">
        <f t="array" ref="F209">XLOOKUP(C209,'部署遍歴'!F:F,'部署遍歴'!D:D,"×")</f>
        <v>×</v>
      </c>
      <c r="G209" s="37" t="str">
        <f t="array" ref="G209">XLOOKUP(D209,'source isilon_divまとめ'!A:A,'source isilon_divまとめ'!D:D,"×")</f>
        <v>×</v>
      </c>
    </row>
    <row r="210">
      <c r="A210" s="8" t="s">
        <v>440</v>
      </c>
      <c r="B210" s="8" t="s">
        <v>1235</v>
      </c>
      <c r="C210" s="114" t="str">
        <f t="shared" si="1"/>
        <v>経営推進本部/総務部</v>
      </c>
      <c r="D210" s="114" t="str">
        <f t="shared" si="2"/>
        <v>経営推進本部\総務部</v>
      </c>
      <c r="E210" s="37" t="str">
        <f t="array" ref="E210">XLOOKUP(C210,'0file'!C:C,'0file'!C:C,"×")</f>
        <v>×</v>
      </c>
      <c r="F210" s="37" t="str">
        <f t="array" ref="F210">XLOOKUP(C210,'部署遍歴'!F:F,'部署遍歴'!D:D,"×")</f>
        <v>×</v>
      </c>
      <c r="G210" s="37" t="str">
        <f t="array" ref="G210">XLOOKUP(D210,'source isilon_divまとめ'!A:A,'source isilon_divまとめ'!D:D,"×")</f>
        <v>×</v>
      </c>
    </row>
    <row r="211">
      <c r="A211" s="8" t="s">
        <v>440</v>
      </c>
      <c r="B211" s="8" t="s">
        <v>1236</v>
      </c>
      <c r="C211" s="114" t="str">
        <f t="shared" si="1"/>
        <v>経営推進本部/経理財務部</v>
      </c>
      <c r="D211" s="114" t="str">
        <f t="shared" si="2"/>
        <v>経営推進本部\経理財務部</v>
      </c>
      <c r="E211" s="37" t="str">
        <f t="array" ref="E211">XLOOKUP(C211,'0file'!C:C,'0file'!C:C,"×")</f>
        <v>×</v>
      </c>
      <c r="F211" s="37" t="str">
        <f t="array" ref="F211">XLOOKUP(C211,'部署遍歴'!F:F,'部署遍歴'!D:D,"×")</f>
        <v>経理税務部</v>
      </c>
      <c r="G211" s="37" t="str">
        <f t="array" ref="G211">XLOOKUP(D211,'source isilon_divまとめ'!A:A,'source isilon_divまとめ'!D:D,"×")</f>
        <v>×</v>
      </c>
    </row>
    <row r="212">
      <c r="A212" s="8" t="s">
        <v>440</v>
      </c>
      <c r="B212" s="8" t="s">
        <v>441</v>
      </c>
      <c r="C212" s="114" t="str">
        <f t="shared" si="1"/>
        <v>経営推進本部/広報部</v>
      </c>
      <c r="D212" s="114" t="str">
        <f t="shared" si="2"/>
        <v>経営推進本部\広報部</v>
      </c>
      <c r="E212" s="37" t="str">
        <f t="array" ref="E212">XLOOKUP(C212,'0file'!C:C,'0file'!C:C,"×")</f>
        <v>×</v>
      </c>
      <c r="F212" s="37" t="str">
        <f t="array" ref="F212">XLOOKUP(C212,'部署遍歴'!F:F,'部署遍歴'!D:D,"×")</f>
        <v>×</v>
      </c>
      <c r="G212" s="37" t="str">
        <f t="array" ref="G212">XLOOKUP(D212,'source isilon_divまとめ'!A:A,'source isilon_divまとめ'!D:D,"×")</f>
        <v>×</v>
      </c>
    </row>
    <row r="213">
      <c r="A213" s="8" t="s">
        <v>440</v>
      </c>
      <c r="B213" s="8" t="s">
        <v>1111</v>
      </c>
      <c r="C213" s="114" t="str">
        <f t="shared" si="1"/>
        <v>経営推進本部/本部共有</v>
      </c>
      <c r="D213" s="114" t="str">
        <f t="shared" si="2"/>
        <v>経営推進本部\本部共有</v>
      </c>
      <c r="E213" s="37" t="str">
        <f t="array" ref="E213">XLOOKUP(C213,'0file'!C:C,'0file'!C:C,"×")</f>
        <v>×</v>
      </c>
      <c r="F213" s="37" t="str">
        <f t="array" ref="F213">XLOOKUP(C213,'部署遍歴'!F:F,'部署遍歴'!D:D,"×")</f>
        <v>×</v>
      </c>
      <c r="G213" s="37" t="str">
        <f t="array" ref="G213">XLOOKUP(D213,'source isilon_divまとめ'!A:A,'source isilon_divまとめ'!D:D,"×")</f>
        <v>×</v>
      </c>
    </row>
    <row r="214">
      <c r="A214" s="8" t="s">
        <v>440</v>
      </c>
      <c r="B214" s="8" t="s">
        <v>1187</v>
      </c>
      <c r="C214" s="114" t="str">
        <f t="shared" si="1"/>
        <v>経営推進本部/ビジネス開発室</v>
      </c>
      <c r="D214" s="114" t="str">
        <f t="shared" si="2"/>
        <v>経営推進本部\ビジネス開発室</v>
      </c>
      <c r="E214" s="37" t="str">
        <f t="array" ref="E214">XLOOKUP(C214,'0file'!C:C,'0file'!C:C,"×")</f>
        <v>×</v>
      </c>
      <c r="F214" s="37" t="str">
        <f t="array" ref="F214">XLOOKUP(C214,'部署遍歴'!F:F,'部署遍歴'!D:D,"×")</f>
        <v>×</v>
      </c>
      <c r="G214" s="37" t="str">
        <f t="array" ref="G214">XLOOKUP(D214,'source isilon_divまとめ'!A:A,'source isilon_divまとめ'!D:D,"×")</f>
        <v>×</v>
      </c>
    </row>
    <row r="215">
      <c r="A215" s="8" t="s">
        <v>440</v>
      </c>
      <c r="B215" s="8" t="s">
        <v>1065</v>
      </c>
      <c r="C215" s="114" t="str">
        <f t="shared" si="1"/>
        <v>経営推進本部/人事部</v>
      </c>
      <c r="D215" s="114" t="str">
        <f t="shared" si="2"/>
        <v>経営推進本部\人事部</v>
      </c>
      <c r="E215" s="37" t="str">
        <f t="array" ref="E215">XLOOKUP(C215,'0file'!C:C,'0file'!C:C,"×")</f>
        <v>×</v>
      </c>
      <c r="F215" s="37" t="str">
        <f t="array" ref="F215">XLOOKUP(C215,'部署遍歴'!F:F,'部署遍歴'!D:D,"×")</f>
        <v>×</v>
      </c>
      <c r="G215" s="37" t="str">
        <f t="array" ref="G215">XLOOKUP(D215,'source isilon_divまとめ'!A:A,'source isilon_divまとめ'!D:D,"×")</f>
        <v>×</v>
      </c>
    </row>
    <row r="216">
      <c r="A216" s="8" t="s">
        <v>440</v>
      </c>
      <c r="B216" s="8" t="s">
        <v>1237</v>
      </c>
      <c r="C216" s="114" t="str">
        <f t="shared" si="1"/>
        <v>経営推進本部/はたらく環境室</v>
      </c>
      <c r="D216" s="114" t="str">
        <f t="shared" si="2"/>
        <v>経営推進本部\はたらく環境室</v>
      </c>
      <c r="E216" s="37" t="str">
        <f t="array" ref="E216">XLOOKUP(C216,'0file'!C:C,'0file'!C:C,"×")</f>
        <v>×</v>
      </c>
      <c r="F216" s="37" t="str">
        <f t="array" ref="F216">XLOOKUP(C216,'部署遍歴'!F:F,'部署遍歴'!D:D,"×")</f>
        <v>×</v>
      </c>
      <c r="G216" s="37" t="str">
        <f t="array" ref="G216">XLOOKUP(D216,'source isilon_divまとめ'!A:A,'source isilon_divまとめ'!D:D,"×")</f>
        <v>×</v>
      </c>
    </row>
    <row r="217">
      <c r="A217" s="8" t="s">
        <v>440</v>
      </c>
      <c r="B217" s="8" t="s">
        <v>1238</v>
      </c>
      <c r="C217" s="114" t="str">
        <f t="shared" si="1"/>
        <v>経営推進本部/グループ会社主計部</v>
      </c>
      <c r="D217" s="114" t="str">
        <f t="shared" si="2"/>
        <v>経営推進本部\グループ会社主計部</v>
      </c>
      <c r="E217" s="37" t="str">
        <f t="array" ref="E217">XLOOKUP(C217,'0file'!C:C,'0file'!C:C,"×")</f>
        <v>経営推進本部/グループ会社主計部</v>
      </c>
      <c r="F217" s="37" t="str">
        <f t="array" ref="F217">XLOOKUP(C217,'部署遍歴'!F:F,'部署遍歴'!D:D,"×")</f>
        <v>グループ会社統括支援部</v>
      </c>
      <c r="G217" s="37" t="str">
        <f t="array" ref="G217">XLOOKUP(D217,'source isilon_divまとめ'!A:A,'source isilon_divまとめ'!D:D,"×")</f>
        <v>×</v>
      </c>
    </row>
    <row r="218">
      <c r="A218" s="8" t="s">
        <v>440</v>
      </c>
      <c r="B218" s="8" t="s">
        <v>1239</v>
      </c>
      <c r="C218" s="114" t="str">
        <f t="shared" si="1"/>
        <v>経営推進本部/投資事業推進室</v>
      </c>
      <c r="D218" s="114" t="str">
        <f t="shared" si="2"/>
        <v>経営推進本部\投資事業推進室</v>
      </c>
      <c r="E218" s="37" t="str">
        <f t="array" ref="E218">XLOOKUP(C218,'0file'!C:C,'0file'!C:C,"×")</f>
        <v>経営推進本部/投資事業推進室</v>
      </c>
      <c r="F218" s="37" t="str">
        <f t="array" ref="F218">XLOOKUP(C218,'部署遍歴'!F:F,'部署遍歴'!D:D,"×")</f>
        <v>×</v>
      </c>
      <c r="G218" s="37" t="str">
        <f t="array" ref="G218">XLOOKUP(D218,'source isilon_divまとめ'!A:A,'source isilon_divまとめ'!D:D,"×")</f>
        <v>×</v>
      </c>
    </row>
    <row r="219">
      <c r="A219" s="8" t="s">
        <v>440</v>
      </c>
      <c r="B219" s="8" t="s">
        <v>1218</v>
      </c>
      <c r="C219" s="114" t="str">
        <f t="shared" si="1"/>
        <v>経営推進本部/CS推進部</v>
      </c>
      <c r="D219" s="114" t="str">
        <f t="shared" si="2"/>
        <v>経営推進本部\CS推進部</v>
      </c>
      <c r="E219" s="37" t="str">
        <f t="array" ref="E219">XLOOKUP(C219,'0file'!C:C,'0file'!C:C,"×")</f>
        <v>×</v>
      </c>
      <c r="F219" s="37" t="str">
        <f t="array" ref="F219">XLOOKUP(C219,'部署遍歴'!F:F,'部署遍歴'!D:D,"×")</f>
        <v>×</v>
      </c>
      <c r="G219" s="37" t="str">
        <f t="array" ref="G219">XLOOKUP(D219,'source isilon_divまとめ'!A:A,'source isilon_divまとめ'!D:D,"×")</f>
        <v>×</v>
      </c>
    </row>
    <row r="220">
      <c r="A220" s="8" t="s">
        <v>440</v>
      </c>
      <c r="B220" s="8" t="s">
        <v>90</v>
      </c>
      <c r="C220" s="114" t="str">
        <f t="shared" si="1"/>
        <v>経営推進本部/経理税務部</v>
      </c>
      <c r="D220" s="114" t="str">
        <f t="shared" si="2"/>
        <v>経営推進本部\経理税務部</v>
      </c>
      <c r="E220" s="37" t="str">
        <f t="array" ref="E220">XLOOKUP(C220,'0file'!C:C,'0file'!C:C,"×")</f>
        <v>経営推進本部/経理税務部</v>
      </c>
      <c r="F220" s="37" t="str">
        <f t="array" ref="F220">XLOOKUP(C220,'部署遍歴'!F:F,'部署遍歴'!D:D,"×")</f>
        <v>×</v>
      </c>
      <c r="G220" s="37" t="str">
        <f t="array" ref="G220">XLOOKUP(D220,'source isilon_divまとめ'!A:A,'source isilon_divまとめ'!D:D,"×")</f>
        <v>×</v>
      </c>
    </row>
    <row r="221">
      <c r="A221" s="8" t="s">
        <v>440</v>
      </c>
      <c r="B221" s="8" t="s">
        <v>1240</v>
      </c>
      <c r="C221" s="114" t="str">
        <f t="shared" si="1"/>
        <v>経営推進本部/経営推進室</v>
      </c>
      <c r="D221" s="114" t="str">
        <f t="shared" si="2"/>
        <v>経営推進本部\経営推進室</v>
      </c>
      <c r="E221" s="37" t="str">
        <f t="array" ref="E221">XLOOKUP(C221,'0file'!C:C,'0file'!C:C,"×")</f>
        <v>×</v>
      </c>
      <c r="F221" s="37" t="str">
        <f t="array" ref="F221">XLOOKUP(C221,'部署遍歴'!F:F,'部署遍歴'!D:D,"×")</f>
        <v>×</v>
      </c>
      <c r="G221" s="37" t="str">
        <f t="array" ref="G221">XLOOKUP(D221,'source isilon_divまとめ'!A:A,'source isilon_divまとめ'!D:D,"×")</f>
        <v>×</v>
      </c>
    </row>
    <row r="222">
      <c r="A222" s="8" t="s">
        <v>440</v>
      </c>
      <c r="B222" s="8" t="s">
        <v>1241</v>
      </c>
      <c r="C222" s="114" t="str">
        <f t="shared" si="1"/>
        <v>経営推進本部/広報IR室</v>
      </c>
      <c r="D222" s="114" t="str">
        <f t="shared" si="2"/>
        <v>経営推進本部\広報IR室</v>
      </c>
      <c r="E222" s="37" t="str">
        <f t="array" ref="E222">XLOOKUP(C222,'0file'!C:C,'0file'!C:C,"×")</f>
        <v>×</v>
      </c>
      <c r="F222" s="37" t="str">
        <f t="array" ref="F222">XLOOKUP(C222,'部署遍歴'!F:F,'部署遍歴'!D:D,"×")</f>
        <v>×</v>
      </c>
      <c r="G222" s="37" t="str">
        <f t="array" ref="G222">XLOOKUP(D222,'source isilon_divまとめ'!A:A,'source isilon_divまとめ'!D:D,"×")</f>
        <v>×</v>
      </c>
    </row>
    <row r="223">
      <c r="A223" s="8" t="s">
        <v>1242</v>
      </c>
      <c r="B223" s="8" t="s">
        <v>819</v>
      </c>
      <c r="C223" s="114" t="str">
        <f t="shared" si="1"/>
        <v>Vantageスタジオ/みてねマーケティング部</v>
      </c>
      <c r="D223" s="114" t="str">
        <f t="shared" si="2"/>
        <v>Vantageスタジオ\みてねマーケティング部</v>
      </c>
      <c r="E223" s="37" t="str">
        <f t="array" ref="E223">XLOOKUP(C223,'0file'!C:C,'0file'!C:C,"×")</f>
        <v>Vantageスタジオ/みてねマーケティング部</v>
      </c>
      <c r="F223" s="37" t="str">
        <f t="array" ref="F223">XLOOKUP(C223,'部署遍歴'!F:F,'部署遍歴'!D:D,"×")</f>
        <v>×</v>
      </c>
      <c r="G223" s="37" t="str">
        <f t="array" ref="G223">XLOOKUP(D223,'source isilon_divまとめ'!A:A,'source isilon_divまとめ'!D:D,"×")</f>
        <v>×</v>
      </c>
    </row>
    <row r="224">
      <c r="A224" s="8" t="s">
        <v>1242</v>
      </c>
      <c r="B224" s="8" t="s">
        <v>1243</v>
      </c>
      <c r="C224" s="114" t="str">
        <f t="shared" si="1"/>
        <v>Vantageスタジオ/ミクシィ・リクルートメント事業部</v>
      </c>
      <c r="D224" s="114" t="str">
        <f t="shared" si="2"/>
        <v>Vantageスタジオ\ミクシィ・リクルートメント事業部</v>
      </c>
      <c r="E224" s="37" t="str">
        <f t="array" ref="E224">XLOOKUP(C224,'0file'!C:C,'0file'!C:C,"×")</f>
        <v>×</v>
      </c>
      <c r="F224" s="7" t="s">
        <v>1052</v>
      </c>
      <c r="G224" s="37" t="str">
        <f t="array" ref="G224">XLOOKUP(D224,'source isilon_divまとめ'!A:A,'source isilon_divまとめ'!D:D,"×")</f>
        <v>×</v>
      </c>
    </row>
    <row r="225">
      <c r="A225" s="8" t="s">
        <v>1242</v>
      </c>
      <c r="B225" s="8" t="s">
        <v>1226</v>
      </c>
      <c r="C225" s="114" t="str">
        <f t="shared" si="1"/>
        <v>Vantageスタジオ/システム部</v>
      </c>
      <c r="D225" s="114" t="str">
        <f t="shared" si="2"/>
        <v>Vantageスタジオ\システム部</v>
      </c>
      <c r="E225" s="37" t="str">
        <f t="array" ref="E225">XLOOKUP(C225,'0file'!C:C,'0file'!C:C,"×")</f>
        <v>Vantageスタジオ/システム部</v>
      </c>
      <c r="F225" s="37" t="str">
        <f t="array" ref="F225">XLOOKUP(C225,'部署遍歴'!F:F,'部署遍歴'!D:D,"×")</f>
        <v>×</v>
      </c>
      <c r="G225" s="37" t="str">
        <f t="array" ref="G225">XLOOKUP(D225,'source isilon_divまとめ'!A:A,'source isilon_divまとめ'!D:D,"×")</f>
        <v>×</v>
      </c>
    </row>
    <row r="226">
      <c r="A226" s="8" t="s">
        <v>1242</v>
      </c>
      <c r="B226" s="8" t="s">
        <v>1244</v>
      </c>
      <c r="C226" s="114" t="str">
        <f t="shared" si="1"/>
        <v>Vantageスタジオ/AI・ロボット事業部</v>
      </c>
      <c r="D226" s="114" t="str">
        <f t="shared" si="2"/>
        <v>Vantageスタジオ\AI・ロボット事業部</v>
      </c>
      <c r="E226" s="37" t="str">
        <f t="array" ref="E226">XLOOKUP(C226,'0file'!C:C,'0file'!C:C,"×")</f>
        <v>Vantageスタジオ/AI・ロボット事業部</v>
      </c>
      <c r="F226" s="37" t="str">
        <f t="array" ref="F226">XLOOKUP(C226,'部署遍歴'!F:F,'部署遍歴'!D:D,"×")</f>
        <v>×</v>
      </c>
      <c r="G226" s="37" t="str">
        <f t="array" ref="G226">XLOOKUP(D226,'source isilon_divまとめ'!A:A,'source isilon_divまとめ'!D:D,"×")</f>
        <v>×</v>
      </c>
    </row>
    <row r="227">
      <c r="A227" s="8" t="s">
        <v>1242</v>
      </c>
      <c r="B227" s="8" t="s">
        <v>1245</v>
      </c>
      <c r="C227" s="114" t="str">
        <f t="shared" si="1"/>
        <v>Vantageスタジオ/新規事業開発室</v>
      </c>
      <c r="D227" s="114" t="str">
        <f t="shared" si="2"/>
        <v>Vantageスタジオ\新規事業開発室</v>
      </c>
      <c r="E227" s="37" t="str">
        <f t="array" ref="E227">XLOOKUP(C227,'0file'!C:C,'0file'!C:C,"×")</f>
        <v>×</v>
      </c>
      <c r="F227" s="7" t="s">
        <v>1052</v>
      </c>
      <c r="G227" s="37" t="str">
        <f t="array" ref="G227">XLOOKUP(D227,'source isilon_divまとめ'!A:A,'source isilon_divまとめ'!D:D,"×")</f>
        <v>×</v>
      </c>
    </row>
    <row r="228">
      <c r="A228" s="8" t="s">
        <v>1242</v>
      </c>
      <c r="B228" s="8" t="s">
        <v>821</v>
      </c>
      <c r="C228" s="114" t="str">
        <f t="shared" si="1"/>
        <v>Vantageスタジオ/みてねプラットフォーム部</v>
      </c>
      <c r="D228" s="114" t="str">
        <f t="shared" si="2"/>
        <v>Vantageスタジオ\みてねプラットフォーム部</v>
      </c>
      <c r="E228" s="37" t="str">
        <f t="array" ref="E228">XLOOKUP(C228,'0file'!C:C,'0file'!C:C,"×")</f>
        <v>Vantageスタジオ/みてねプラットフォーム部</v>
      </c>
      <c r="F228" s="37" t="str">
        <f t="array" ref="F228">XLOOKUP(C228,'部署遍歴'!F:F,'部署遍歴'!D:D,"×")</f>
        <v>×</v>
      </c>
      <c r="G228" s="37" t="str">
        <f t="array" ref="G228">XLOOKUP(D228,'source isilon_divまとめ'!A:A,'source isilon_divまとめ'!D:D,"×")</f>
        <v>×</v>
      </c>
    </row>
    <row r="229">
      <c r="A229" s="8" t="s">
        <v>1242</v>
      </c>
      <c r="B229" s="8" t="s">
        <v>824</v>
      </c>
      <c r="C229" s="114" t="str">
        <f t="shared" si="1"/>
        <v>Vantageスタジオ/みてねプロダクト開発部</v>
      </c>
      <c r="D229" s="114" t="str">
        <f t="shared" si="2"/>
        <v>Vantageスタジオ\みてねプロダクト開発部</v>
      </c>
      <c r="E229" s="37" t="str">
        <f t="array" ref="E229">XLOOKUP(C229,'0file'!C:C,'0file'!C:C,"×")</f>
        <v>Vantageスタジオ/みてねプロダクト開発部</v>
      </c>
      <c r="F229" s="37" t="str">
        <f t="array" ref="F229">XLOOKUP(C229,'部署遍歴'!F:F,'部署遍歴'!D:D,"×")</f>
        <v>×</v>
      </c>
      <c r="G229" s="37" t="str">
        <f t="array" ref="G229">XLOOKUP(D229,'source isilon_divまとめ'!A:A,'source isilon_divまとめ'!D:D,"×")</f>
        <v>×</v>
      </c>
    </row>
    <row r="230">
      <c r="A230" s="8" t="s">
        <v>1242</v>
      </c>
      <c r="B230" s="8" t="s">
        <v>48</v>
      </c>
      <c r="C230" s="114" t="str">
        <f t="shared" si="1"/>
        <v>Vantageスタジオ/mixi事業部</v>
      </c>
      <c r="D230" s="114" t="str">
        <f t="shared" si="2"/>
        <v>Vantageスタジオ\mixi事業部</v>
      </c>
      <c r="E230" s="37" t="str">
        <f t="array" ref="E230">XLOOKUP(C230,'0file'!C:C,'0file'!C:C,"×")</f>
        <v>×</v>
      </c>
      <c r="F230" s="37" t="str">
        <f t="array" ref="F230">XLOOKUP(C230,'部署遍歴'!F:F,'部署遍歴'!D:D,"×")</f>
        <v>×</v>
      </c>
      <c r="G230" s="37" t="str">
        <f t="array" ref="G230">XLOOKUP(D230,'source isilon_divまとめ'!A:A,'source isilon_divまとめ'!D:D,"×")</f>
        <v>×</v>
      </c>
    </row>
    <row r="231">
      <c r="A231" s="8" t="s">
        <v>1242</v>
      </c>
      <c r="B231" s="8" t="s">
        <v>953</v>
      </c>
      <c r="C231" s="114" t="str">
        <f t="shared" si="1"/>
        <v>Vantageスタジオ/エンパワーメント推進室</v>
      </c>
      <c r="D231" s="114" t="str">
        <f t="shared" si="2"/>
        <v>Vantageスタジオ\エンパワーメント推進室</v>
      </c>
      <c r="E231" s="37" t="str">
        <f t="array" ref="E231">XLOOKUP(C231,'0file'!C:C,'0file'!C:C,"×")</f>
        <v>×</v>
      </c>
      <c r="F231" s="37" t="str">
        <f t="array" ref="F231">XLOOKUP(C231,'部署遍歴'!F:F,'部署遍歴'!D:D,"×")</f>
        <v>×</v>
      </c>
      <c r="G231" s="37" t="str">
        <f t="array" ref="G231">XLOOKUP(D231,'source isilon_divまとめ'!A:A,'source isilon_divまとめ'!D:D,"×")</f>
        <v>×</v>
      </c>
    </row>
    <row r="232">
      <c r="A232" s="8" t="s">
        <v>1242</v>
      </c>
      <c r="B232" s="8" t="s">
        <v>1111</v>
      </c>
      <c r="C232" s="114" t="str">
        <f t="shared" si="1"/>
        <v>Vantageスタジオ/本部共有</v>
      </c>
      <c r="D232" s="114" t="str">
        <f t="shared" si="2"/>
        <v>Vantageスタジオ\本部共有</v>
      </c>
      <c r="E232" s="37" t="str">
        <f t="array" ref="E232">XLOOKUP(C232,'0file'!C:C,'0file'!C:C,"×")</f>
        <v>Vantageスタジオ/本部共有</v>
      </c>
      <c r="F232" s="37" t="str">
        <f t="array" ref="F232">XLOOKUP(C232,'部署遍歴'!F:F,'部署遍歴'!D:D,"×")</f>
        <v>×</v>
      </c>
      <c r="G232" s="37" t="str">
        <f t="array" ref="G232">XLOOKUP(D232,'source isilon_divまとめ'!A:A,'source isilon_divまとめ'!D:D,"×")</f>
        <v>×</v>
      </c>
    </row>
    <row r="233">
      <c r="A233" s="8" t="s">
        <v>1242</v>
      </c>
      <c r="B233" s="8" t="s">
        <v>1246</v>
      </c>
      <c r="C233" s="114" t="str">
        <f t="shared" si="1"/>
        <v>Vantageスタジオ/みてね事業部</v>
      </c>
      <c r="D233" s="114" t="str">
        <f t="shared" si="2"/>
        <v>Vantageスタジオ\みてね事業部</v>
      </c>
      <c r="E233" s="37" t="str">
        <f t="array" ref="E233">XLOOKUP(C233,'0file'!C:C,'0file'!C:C,"×")</f>
        <v>×</v>
      </c>
      <c r="F233" s="37" t="str">
        <f t="array" ref="F233">XLOOKUP(C233,'部署遍歴'!F:F,'部署遍歴'!D:D,"×")</f>
        <v>×</v>
      </c>
      <c r="G233" s="37" t="str">
        <f t="array" ref="G233">XLOOKUP(D233,'source isilon_divまとめ'!A:A,'source isilon_divまとめ'!D:D,"×")</f>
        <v>×</v>
      </c>
    </row>
    <row r="234">
      <c r="A234" s="8" t="s">
        <v>1242</v>
      </c>
      <c r="B234" s="8" t="s">
        <v>39</v>
      </c>
      <c r="C234" s="114" t="str">
        <f t="shared" si="1"/>
        <v>Vantageスタジオ/Romi事業部</v>
      </c>
      <c r="D234" s="114" t="str">
        <f t="shared" si="2"/>
        <v>Vantageスタジオ\Romi事業部</v>
      </c>
      <c r="E234" s="37" t="str">
        <f t="array" ref="E234">XLOOKUP(C234,'0file'!C:C,'0file'!C:C,"×")</f>
        <v>Vantageスタジオ/Romi事業部</v>
      </c>
      <c r="F234" s="37" t="str">
        <f t="array" ref="F234">XLOOKUP(C234,'部署遍歴'!F:F,'部署遍歴'!D:D,"×")</f>
        <v>×</v>
      </c>
      <c r="G234" s="37" t="str">
        <f t="array" ref="G234">XLOOKUP(D234,'source isilon_divまとめ'!A:A,'source isilon_divまとめ'!D:D,"×")</f>
        <v>×</v>
      </c>
    </row>
    <row r="235">
      <c r="A235" s="8" t="s">
        <v>1242</v>
      </c>
      <c r="B235" s="8" t="s">
        <v>51</v>
      </c>
      <c r="C235" s="114" t="str">
        <f t="shared" si="1"/>
        <v>Vantageスタジオ/minimo事業部</v>
      </c>
      <c r="D235" s="114" t="str">
        <f t="shared" si="2"/>
        <v>Vantageスタジオ\minimo事業部</v>
      </c>
      <c r="E235" s="37" t="str">
        <f t="array" ref="E235">XLOOKUP(C235,'0file'!C:C,'0file'!C:C,"×")</f>
        <v>Vantageスタジオ/minimo事業部</v>
      </c>
      <c r="F235" s="37" t="str">
        <f t="array" ref="F235">XLOOKUP(C235,'部署遍歴'!F:F,'部署遍歴'!D:D,"×")</f>
        <v>×</v>
      </c>
      <c r="G235" s="37" t="str">
        <f t="array" ref="G235">XLOOKUP(D235,'source isilon_divまとめ'!A:A,'source isilon_divまとめ'!D:D,"×")</f>
        <v>×</v>
      </c>
    </row>
    <row r="236">
      <c r="A236" s="8" t="s">
        <v>1242</v>
      </c>
      <c r="B236" s="8" t="s">
        <v>324</v>
      </c>
      <c r="C236" s="114" t="str">
        <f t="shared" si="1"/>
        <v>Vantageスタジオ/みてね事業開発部</v>
      </c>
      <c r="D236" s="114" t="str">
        <f t="shared" si="2"/>
        <v>Vantageスタジオ\みてね事業開発部</v>
      </c>
      <c r="E236" s="37" t="str">
        <f t="array" ref="E236">XLOOKUP(C236,'0file'!C:C,'0file'!C:C,"×")</f>
        <v>Vantageスタジオ/みてね事業開発部</v>
      </c>
      <c r="F236" s="37" t="str">
        <f t="array" ref="F236">XLOOKUP(C236,'部署遍歴'!F:F,'部署遍歴'!D:D,"×")</f>
        <v>×</v>
      </c>
      <c r="G236" s="37" t="str">
        <f t="array" ref="G236">XLOOKUP(D236,'source isilon_divまとめ'!A:A,'source isilon_divまとめ'!D:D,"×")</f>
        <v>×</v>
      </c>
    </row>
    <row r="237">
      <c r="A237" s="8" t="s">
        <v>1242</v>
      </c>
      <c r="B237" s="8" t="s">
        <v>43</v>
      </c>
      <c r="C237" s="114" t="str">
        <f t="shared" si="1"/>
        <v>Vantageスタジオ/事業推進室</v>
      </c>
      <c r="D237" s="114" t="str">
        <f t="shared" si="2"/>
        <v>Vantageスタジオ\事業推進室</v>
      </c>
      <c r="E237" s="37" t="str">
        <f t="array" ref="E237">XLOOKUP(C237,'0file'!C:C,'0file'!C:C,"×")</f>
        <v>×</v>
      </c>
      <c r="F237" s="37" t="str">
        <f t="array" ref="F237">XLOOKUP(C237,'部署遍歴'!F:F,'部署遍歴'!D:D,"×")</f>
        <v>×</v>
      </c>
      <c r="G237" s="37" t="str">
        <f t="array" ref="G237">XLOOKUP(D237,'source isilon_divまとめ'!A:A,'source isilon_divまとめ'!D:D,"×")</f>
        <v>×</v>
      </c>
    </row>
    <row r="238">
      <c r="A238" s="8" t="s">
        <v>188</v>
      </c>
      <c r="B238" s="8" t="s">
        <v>114</v>
      </c>
      <c r="C238" s="114" t="str">
        <f t="shared" si="1"/>
        <v>社長室/渉外G</v>
      </c>
      <c r="D238" s="114" t="str">
        <f t="shared" si="2"/>
        <v>社長室\渉外G</v>
      </c>
      <c r="E238" s="37" t="str">
        <f t="array" ref="E238">XLOOKUP(C238,'0file'!C:C,'0file'!C:C,"×")</f>
        <v>×</v>
      </c>
      <c r="F238" s="37" t="str">
        <f t="array" ref="F238">XLOOKUP(C238,'部署遍歴'!F:F,'部署遍歴'!D:D,"×")</f>
        <v>×</v>
      </c>
      <c r="G238" s="37" t="str">
        <f t="array" ref="G238">XLOOKUP(D238,'source isilon_divまとめ'!A:A,'source isilon_divまとめ'!D:D,"×")</f>
        <v>×</v>
      </c>
    </row>
    <row r="239">
      <c r="A239" s="8" t="s">
        <v>188</v>
      </c>
      <c r="B239" s="8" t="s">
        <v>1247</v>
      </c>
      <c r="C239" s="114" t="str">
        <f t="shared" si="1"/>
        <v>社長室/タスクフォースG</v>
      </c>
      <c r="D239" s="114" t="str">
        <f t="shared" si="2"/>
        <v>社長室\タスクフォースG</v>
      </c>
      <c r="E239" s="37" t="str">
        <f t="array" ref="E239">XLOOKUP(C239,'0file'!C:C,'0file'!C:C,"×")</f>
        <v>×</v>
      </c>
      <c r="F239" s="37" t="str">
        <f t="array" ref="F239">XLOOKUP(C239,'部署遍歴'!F:F,'部署遍歴'!D:D,"×")</f>
        <v>×</v>
      </c>
      <c r="G239" s="37" t="str">
        <f t="array" ref="G239">XLOOKUP(D239,'source isilon_divまとめ'!A:A,'source isilon_divまとめ'!D:D,"×")</f>
        <v>×</v>
      </c>
    </row>
    <row r="240">
      <c r="A240" s="8" t="s">
        <v>188</v>
      </c>
      <c r="B240" s="8" t="s">
        <v>46</v>
      </c>
      <c r="C240" s="114" t="str">
        <f t="shared" si="1"/>
        <v>社長室/事業推進G</v>
      </c>
      <c r="D240" s="114" t="str">
        <f t="shared" si="2"/>
        <v>社長室\事業推進G</v>
      </c>
      <c r="E240" s="37" t="str">
        <f t="array" ref="E240">XLOOKUP(C240,'0file'!C:C,'0file'!C:C,"×")</f>
        <v>×</v>
      </c>
      <c r="F240" s="37" t="str">
        <f t="array" ref="F240">XLOOKUP(C240,'部署遍歴'!F:F,'部署遍歴'!D:D,"×")</f>
        <v>×</v>
      </c>
      <c r="G240" s="37" t="str">
        <f t="array" ref="G240">XLOOKUP(D240,'source isilon_divまとめ'!A:A,'source isilon_divまとめ'!D:D,"×")</f>
        <v>×</v>
      </c>
    </row>
    <row r="241">
      <c r="A241" s="8" t="s">
        <v>188</v>
      </c>
      <c r="B241" s="8" t="s">
        <v>471</v>
      </c>
      <c r="C241" s="114" t="str">
        <f t="shared" si="1"/>
        <v>社長室/秘書G</v>
      </c>
      <c r="D241" s="114" t="str">
        <f t="shared" si="2"/>
        <v>社長室\秘書G</v>
      </c>
      <c r="E241" s="37" t="str">
        <f t="array" ref="E241">XLOOKUP(C241,'0file'!C:C,'0file'!C:C,"×")</f>
        <v>×</v>
      </c>
      <c r="F241" s="37" t="str">
        <f t="array" ref="F241">XLOOKUP(C241,'部署遍歴'!F:F,'部署遍歴'!D:D,"×")</f>
        <v>×</v>
      </c>
      <c r="G241" s="37" t="str">
        <f t="array" ref="G241">XLOOKUP(D241,'source isilon_divまとめ'!A:A,'source isilon_divまとめ'!D:D,"×")</f>
        <v>×</v>
      </c>
    </row>
    <row r="242">
      <c r="A242" s="8" t="s">
        <v>188</v>
      </c>
      <c r="B242" s="8" t="s">
        <v>1248</v>
      </c>
      <c r="C242" s="114" t="str">
        <f t="shared" si="1"/>
        <v>社長室/メディア渉外G</v>
      </c>
      <c r="D242" s="114" t="str">
        <f t="shared" si="2"/>
        <v>社長室\メディア渉外G</v>
      </c>
      <c r="E242" s="37" t="str">
        <f t="array" ref="E242">XLOOKUP(C242,'0file'!C:C,'0file'!C:C,"×")</f>
        <v>×</v>
      </c>
      <c r="F242" s="37" t="str">
        <f t="array" ref="F242">XLOOKUP(C242,'部署遍歴'!F:F,'部署遍歴'!D:D,"×")</f>
        <v>×</v>
      </c>
      <c r="G242" s="37" t="str">
        <f t="array" ref="G242">XLOOKUP(D242,'source isilon_divまとめ'!A:A,'source isilon_divまとめ'!D:D,"×")</f>
        <v>×</v>
      </c>
    </row>
    <row r="243">
      <c r="A243" s="8" t="s">
        <v>188</v>
      </c>
      <c r="B243" s="8" t="s">
        <v>1249</v>
      </c>
      <c r="C243" s="114" t="str">
        <f t="shared" si="1"/>
        <v>社長室/アテネG</v>
      </c>
      <c r="D243" s="114" t="str">
        <f t="shared" si="2"/>
        <v>社長室\アテネG</v>
      </c>
      <c r="E243" s="37" t="str">
        <f t="array" ref="E243">XLOOKUP(C243,'0file'!C:C,'0file'!C:C,"×")</f>
        <v>×</v>
      </c>
      <c r="F243" s="37" t="str">
        <f t="array" ref="F243">XLOOKUP(C243,'部署遍歴'!F:F,'部署遍歴'!D:D,"×")</f>
        <v>×</v>
      </c>
      <c r="G243" s="37" t="str">
        <f t="array" ref="G243">XLOOKUP(D243,'source isilon_divまとめ'!A:A,'source isilon_divまとめ'!D:D,"×")</f>
        <v>×</v>
      </c>
    </row>
    <row r="244">
      <c r="A244" s="8" t="s">
        <v>188</v>
      </c>
      <c r="B244" s="8" t="s">
        <v>1250</v>
      </c>
      <c r="C244" s="114" t="str">
        <f t="shared" si="1"/>
        <v>社長室/ミクシィ・リサーチG</v>
      </c>
      <c r="D244" s="114" t="str">
        <f t="shared" si="2"/>
        <v>社長室\ミクシィ・リサーチG</v>
      </c>
      <c r="E244" s="37" t="str">
        <f t="array" ref="E244">XLOOKUP(C244,'0file'!C:C,'0file'!C:C,"×")</f>
        <v>×</v>
      </c>
      <c r="F244" s="37" t="str">
        <f t="array" ref="F244">XLOOKUP(C244,'部署遍歴'!F:F,'部署遍歴'!D:D,"×")</f>
        <v>×</v>
      </c>
      <c r="G244" s="37" t="str">
        <f t="array" ref="G244">XLOOKUP(D244,'source isilon_divまとめ'!A:A,'source isilon_divまとめ'!D:D,"×")</f>
        <v>×</v>
      </c>
    </row>
    <row r="245">
      <c r="A245" s="8" t="s">
        <v>188</v>
      </c>
      <c r="B245" s="8" t="s">
        <v>1251</v>
      </c>
      <c r="C245" s="114" t="str">
        <f t="shared" si="1"/>
        <v>社長室/ID・ペイメントG</v>
      </c>
      <c r="D245" s="114" t="str">
        <f t="shared" si="2"/>
        <v>社長室\ID・ペイメントG</v>
      </c>
      <c r="E245" s="37" t="str">
        <f t="array" ref="E245">XLOOKUP(C245,'0file'!C:C,'0file'!C:C,"×")</f>
        <v>×</v>
      </c>
      <c r="F245" s="37" t="str">
        <f t="array" ref="F245">XLOOKUP(C245,'部署遍歴'!F:F,'部署遍歴'!D:D,"×")</f>
        <v>×</v>
      </c>
      <c r="G245" s="37" t="str">
        <f t="array" ref="G245">XLOOKUP(D245,'source isilon_divまとめ'!A:A,'source isilon_divまとめ'!D:D,"×")</f>
        <v>×</v>
      </c>
    </row>
    <row r="246">
      <c r="A246" s="8" t="s">
        <v>188</v>
      </c>
      <c r="B246" s="8" t="s">
        <v>1104</v>
      </c>
      <c r="C246" s="114" t="str">
        <f t="shared" si="1"/>
        <v>社長室/室共有</v>
      </c>
      <c r="D246" s="114" t="str">
        <f t="shared" si="2"/>
        <v>社長室\室共有</v>
      </c>
      <c r="E246" s="37" t="str">
        <f t="array" ref="E246">XLOOKUP(C246,'0file'!C:C,'0file'!C:C,"×")</f>
        <v>×</v>
      </c>
      <c r="F246" s="37" t="str">
        <f t="array" ref="F246">XLOOKUP(C246,'部署遍歴'!F:F,'部署遍歴'!D:D,"×")</f>
        <v>×</v>
      </c>
      <c r="G246" s="37" t="str">
        <f t="array" ref="G246">XLOOKUP(D246,'source isilon_divまとめ'!A:A,'source isilon_divまとめ'!D:D,"×")</f>
        <v>×</v>
      </c>
    </row>
    <row r="247">
      <c r="A247" s="8" t="s">
        <v>1252</v>
      </c>
      <c r="B247" s="8" t="s">
        <v>1253</v>
      </c>
      <c r="C247" s="114" t="str">
        <f t="shared" si="1"/>
        <v>ユーザーサービス本部/コマース部</v>
      </c>
      <c r="D247" s="114" t="str">
        <f t="shared" si="2"/>
        <v>ユーザーサービス本部\コマース部</v>
      </c>
      <c r="E247" s="37" t="str">
        <f t="array" ref="E247">XLOOKUP(C247,'0file'!C:C,'0file'!C:C,"×")</f>
        <v>×</v>
      </c>
      <c r="F247" s="37" t="str">
        <f t="array" ref="F247">XLOOKUP(C247,'部署遍歴'!F:F,'部署遍歴'!D:D,"×")</f>
        <v>×</v>
      </c>
      <c r="G247" s="37" t="str">
        <f t="array" ref="G247">XLOOKUP(D247,'source isilon_divまとめ'!A:A,'source isilon_divまとめ'!D:D,"×")</f>
        <v>×</v>
      </c>
    </row>
    <row r="248">
      <c r="A248" s="8" t="s">
        <v>1252</v>
      </c>
      <c r="B248" s="8" t="s">
        <v>1254</v>
      </c>
      <c r="C248" s="114" t="str">
        <f t="shared" si="1"/>
        <v>ユーザーサービス本部/プロダクト開発部</v>
      </c>
      <c r="D248" s="114" t="str">
        <f t="shared" si="2"/>
        <v>ユーザーサービス本部\プロダクト開発部</v>
      </c>
      <c r="E248" s="37" t="str">
        <f t="array" ref="E248">XLOOKUP(C248,'0file'!C:C,'0file'!C:C,"×")</f>
        <v>×</v>
      </c>
      <c r="F248" s="37" t="str">
        <f t="array" ref="F248">XLOOKUP(C248,'部署遍歴'!F:F,'部署遍歴'!D:D,"×")</f>
        <v>×</v>
      </c>
      <c r="G248" s="37" t="str">
        <f t="array" ref="G248">XLOOKUP(D248,'source isilon_divまとめ'!A:A,'source isilon_divまとめ'!D:D,"×")</f>
        <v>×</v>
      </c>
    </row>
    <row r="249">
      <c r="A249" s="8" t="s">
        <v>1252</v>
      </c>
      <c r="B249" s="8" t="s">
        <v>1256</v>
      </c>
      <c r="C249" s="114" t="str">
        <f t="shared" si="1"/>
        <v>ユーザーサービス本部/メディア統括部</v>
      </c>
      <c r="D249" s="114" t="str">
        <f t="shared" si="2"/>
        <v>ユーザーサービス本部\メディア統括部</v>
      </c>
      <c r="E249" s="37" t="str">
        <f t="array" ref="E249">XLOOKUP(C249,'0file'!C:C,'0file'!C:C,"×")</f>
        <v>×</v>
      </c>
      <c r="F249" s="37" t="str">
        <f t="array" ref="F249">XLOOKUP(C249,'部署遍歴'!F:F,'部署遍歴'!D:D,"×")</f>
        <v>×</v>
      </c>
      <c r="G249" s="37" t="str">
        <f t="array" ref="G249">XLOOKUP(D249,'source isilon_divまとめ'!A:A,'source isilon_divまとめ'!D:D,"×")</f>
        <v>×</v>
      </c>
    </row>
    <row r="250">
      <c r="A250" s="8" t="s">
        <v>1252</v>
      </c>
      <c r="B250" s="8" t="s">
        <v>1111</v>
      </c>
      <c r="C250" s="114" t="str">
        <f t="shared" si="1"/>
        <v>ユーザーサービス本部/本部共有</v>
      </c>
      <c r="D250" s="114" t="str">
        <f t="shared" si="2"/>
        <v>ユーザーサービス本部\本部共有</v>
      </c>
      <c r="E250" s="37" t="str">
        <f t="array" ref="E250">XLOOKUP(C250,'0file'!C:C,'0file'!C:C,"×")</f>
        <v>×</v>
      </c>
      <c r="F250" s="37" t="str">
        <f t="array" ref="F250">XLOOKUP(C250,'部署遍歴'!F:F,'部署遍歴'!D:D,"×")</f>
        <v>×</v>
      </c>
      <c r="G250" s="37" t="str">
        <f t="array" ref="G250">XLOOKUP(D250,'source isilon_divまとめ'!A:A,'source isilon_divまとめ'!D:D,"×")</f>
        <v>×</v>
      </c>
    </row>
    <row r="251">
      <c r="A251" s="8" t="s">
        <v>1213</v>
      </c>
      <c r="B251" s="8" t="s">
        <v>1257</v>
      </c>
      <c r="C251" s="114" t="str">
        <f t="shared" si="1"/>
        <v>CS推進室/ユーザーサポートG</v>
      </c>
      <c r="D251" s="114" t="str">
        <f t="shared" si="2"/>
        <v>CS推進室\ユーザーサポートG</v>
      </c>
      <c r="E251" s="37" t="str">
        <f t="array" ref="E251">XLOOKUP(C251,'0file'!C:C,'0file'!C:C,"×")</f>
        <v>×</v>
      </c>
      <c r="F251" s="37" t="str">
        <f t="array" ref="F251">XLOOKUP(C251,'部署遍歴'!F:F,'部署遍歴'!D:D,"×")</f>
        <v>×</v>
      </c>
      <c r="G251" s="37" t="str">
        <f t="array" ref="G251">XLOOKUP(D251,'source isilon_divまとめ'!A:A,'source isilon_divまとめ'!D:D,"×")</f>
        <v>×</v>
      </c>
    </row>
    <row r="252">
      <c r="A252" s="8" t="s">
        <v>1213</v>
      </c>
      <c r="B252" s="8" t="s">
        <v>444</v>
      </c>
      <c r="C252" s="114" t="str">
        <f t="shared" si="1"/>
        <v>CS推進室/企画G</v>
      </c>
      <c r="D252" s="114" t="str">
        <f t="shared" si="2"/>
        <v>CS推進室\企画G</v>
      </c>
      <c r="E252" s="37" t="str">
        <f t="array" ref="E252">XLOOKUP(C252,'0file'!C:C,'0file'!C:C,"×")</f>
        <v>×</v>
      </c>
      <c r="F252" s="37" t="str">
        <f t="array" ref="F252">XLOOKUP(C252,'部署遍歴'!F:F,'部署遍歴'!D:D,"×")</f>
        <v>×</v>
      </c>
      <c r="G252" s="37" t="str">
        <f t="array" ref="G252">XLOOKUP(D252,'source isilon_divまとめ'!A:A,'source isilon_divまとめ'!D:D,"×")</f>
        <v>×</v>
      </c>
    </row>
    <row r="253">
      <c r="A253" s="8" t="s">
        <v>1213</v>
      </c>
      <c r="B253" s="8" t="s">
        <v>56</v>
      </c>
      <c r="C253" s="114" t="str">
        <f t="shared" si="1"/>
        <v>CS推進室/開発G</v>
      </c>
      <c r="D253" s="114" t="str">
        <f t="shared" si="2"/>
        <v>CS推進室\開発G</v>
      </c>
      <c r="E253" s="37" t="str">
        <f t="array" ref="E253">XLOOKUP(C253,'0file'!C:C,'0file'!C:C,"×")</f>
        <v>CS推進室/開発G</v>
      </c>
      <c r="F253" s="37" t="str">
        <f t="array" ref="F253">XLOOKUP(C253,'部署遍歴'!F:F,'部署遍歴'!D:D,"×")</f>
        <v>×</v>
      </c>
      <c r="G253" s="37" t="str">
        <f t="array" ref="G253">XLOOKUP(D253,'source isilon_divまとめ'!A:A,'source isilon_divまとめ'!D:D,"×")</f>
        <v>×</v>
      </c>
    </row>
    <row r="254">
      <c r="A254" s="8" t="s">
        <v>1213</v>
      </c>
      <c r="B254" s="8" t="s">
        <v>1260</v>
      </c>
      <c r="C254" s="114" t="str">
        <f t="shared" si="1"/>
        <v>CS推進室/健全化推進G</v>
      </c>
      <c r="D254" s="114" t="str">
        <f t="shared" si="2"/>
        <v>CS推進室\健全化推進G</v>
      </c>
      <c r="E254" s="37" t="str">
        <f t="array" ref="E254">XLOOKUP(C254,'0file'!C:C,'0file'!C:C,"×")</f>
        <v>×</v>
      </c>
      <c r="F254" s="37" t="str">
        <f t="array" ref="F254">XLOOKUP(C254,'部署遍歴'!F:F,'部署遍歴'!D:D,"×")</f>
        <v>×</v>
      </c>
      <c r="G254" s="37" t="str">
        <f t="array" ref="G254">XLOOKUP(D254,'source isilon_divまとめ'!A:A,'source isilon_divまとめ'!D:D,"×")</f>
        <v>×</v>
      </c>
    </row>
    <row r="255">
      <c r="A255" s="8" t="s">
        <v>1213</v>
      </c>
      <c r="B255" s="8" t="s">
        <v>1104</v>
      </c>
      <c r="C255" s="114" t="str">
        <f t="shared" si="1"/>
        <v>CS推進室/室共有</v>
      </c>
      <c r="D255" s="114" t="str">
        <f t="shared" si="2"/>
        <v>CS推進室\室共有</v>
      </c>
      <c r="E255" s="37" t="str">
        <f t="array" ref="E255">XLOOKUP(C255,'0file'!C:C,'0file'!C:C,"×")</f>
        <v>×</v>
      </c>
      <c r="F255" s="37" t="str">
        <f t="array" ref="F255">XLOOKUP(C255,'部署遍歴'!F:F,'部署遍歴'!D:D,"×")</f>
        <v>×</v>
      </c>
      <c r="G255" s="37" t="str">
        <f t="array" ref="G255">XLOOKUP(D255,'source isilon_divまとめ'!A:A,'source isilon_divまとめ'!D:D,"×")</f>
        <v>×</v>
      </c>
    </row>
    <row r="256">
      <c r="A256" s="8" t="s">
        <v>780</v>
      </c>
      <c r="B256" s="8" t="s">
        <v>786</v>
      </c>
      <c r="C256" s="114" t="str">
        <f t="shared" si="1"/>
        <v>デジタルエンターテインメントパブリッシング本部/グローバルモンスト室</v>
      </c>
      <c r="D256" s="114" t="str">
        <f t="shared" si="2"/>
        <v>デジタルエンターテインメントパブリッシング本部\グローバルモンスト室</v>
      </c>
      <c r="E256" s="37" t="str">
        <f t="array" ref="E256">XLOOKUP(C256,'0file'!C:C,'0file'!C:C,"×")</f>
        <v>デジタルエンターテインメントパブリッシング本部/グローバルモンスト室</v>
      </c>
      <c r="F256" s="37" t="str">
        <f t="array" ref="F256">XLOOKUP(C256,'部署遍歴'!F:F,'部署遍歴'!D:D,"×")</f>
        <v>×</v>
      </c>
      <c r="G256" s="37" t="str">
        <f t="array" ref="G256">XLOOKUP(D256,'source isilon_divまとめ'!A:A,'source isilon_divまとめ'!D:D,"×")</f>
        <v>×</v>
      </c>
    </row>
    <row r="257">
      <c r="A257" s="8" t="s">
        <v>780</v>
      </c>
      <c r="B257" s="8" t="s">
        <v>284</v>
      </c>
      <c r="C257" s="114" t="str">
        <f t="shared" si="1"/>
        <v>デジタルエンターテインメントパブリッシング本部/事業探索室</v>
      </c>
      <c r="D257" s="114" t="str">
        <f t="shared" si="2"/>
        <v>デジタルエンターテインメントパブリッシング本部\事業探索室</v>
      </c>
      <c r="E257" s="37" t="str">
        <f t="array" ref="E257">XLOOKUP(C257,'0file'!C:C,'0file'!C:C,"×")</f>
        <v>デジタルエンターテインメントパブリッシング本部/事業探索室</v>
      </c>
      <c r="F257" s="37" t="str">
        <f t="array" ref="F257">XLOOKUP(C257,'部署遍歴'!F:F,'部署遍歴'!D:D,"×")</f>
        <v>×</v>
      </c>
      <c r="G257" s="37" t="str">
        <f t="array" ref="G257">XLOOKUP(D257,'source isilon_divまとめ'!A:A,'source isilon_divまとめ'!D:D,"×")</f>
        <v>×</v>
      </c>
    </row>
    <row r="258">
      <c r="A258" s="8" t="s">
        <v>780</v>
      </c>
      <c r="B258" s="8" t="s">
        <v>286</v>
      </c>
      <c r="C258" s="114" t="str">
        <f t="shared" si="1"/>
        <v>デジタルエンターテインメントパブリッシング本部/事業戦略室</v>
      </c>
      <c r="D258" s="114" t="str">
        <f t="shared" si="2"/>
        <v>デジタルエンターテインメントパブリッシング本部\事業戦略室</v>
      </c>
      <c r="E258" s="37" t="str">
        <f t="array" ref="E258">XLOOKUP(C258,'0file'!C:C,'0file'!C:C,"×")</f>
        <v>デジタルエンターテインメントパブリッシング本部/事業戦略室</v>
      </c>
      <c r="F258" s="37" t="str">
        <f t="array" ref="F258">XLOOKUP(C258,'部署遍歴'!F:F,'部署遍歴'!D:D,"×")</f>
        <v>×</v>
      </c>
      <c r="G258" s="37" t="str">
        <f t="array" ref="G258">XLOOKUP(D258,'source isilon_divまとめ'!A:A,'source isilon_divまとめ'!D:D,"×")</f>
        <v>×</v>
      </c>
    </row>
    <row r="259">
      <c r="A259" s="8" t="s">
        <v>780</v>
      </c>
      <c r="B259" s="8" t="s">
        <v>1111</v>
      </c>
      <c r="C259" s="114" t="str">
        <f t="shared" si="1"/>
        <v>デジタルエンターテインメントパブリッシング本部/本部共有</v>
      </c>
      <c r="D259" s="114" t="str">
        <f t="shared" si="2"/>
        <v>デジタルエンターテインメントパブリッシング本部\本部共有</v>
      </c>
      <c r="E259" s="37" t="str">
        <f t="array" ref="E259">XLOOKUP(C259,'0file'!C:C,'0file'!C:C,"×")</f>
        <v>デジタルエンターテインメントパブリッシング本部/本部共有</v>
      </c>
      <c r="F259" s="37" t="str">
        <f t="array" ref="F259">XLOOKUP(C259,'部署遍歴'!F:F,'部署遍歴'!D:D,"×")</f>
        <v>×</v>
      </c>
      <c r="G259" s="37" t="str">
        <f t="array" ref="G259">XLOOKUP(D259,'source isilon_divまとめ'!A:A,'source isilon_divまとめ'!D:D,"×")</f>
        <v>×</v>
      </c>
    </row>
    <row r="260">
      <c r="A260" s="8" t="s">
        <v>648</v>
      </c>
      <c r="B260" s="8" t="s">
        <v>143</v>
      </c>
      <c r="C260" s="114" t="str">
        <f t="shared" si="1"/>
        <v>ソーシャルベッティング事業本部/TIPSTAR事業部</v>
      </c>
      <c r="D260" s="114" t="str">
        <f t="shared" si="2"/>
        <v>ソーシャルベッティング事業本部\TIPSTAR事業部</v>
      </c>
      <c r="E260" s="37" t="str">
        <f t="array" ref="E260">XLOOKUP(C260,'0file'!C:C,'0file'!C:C,"×")</f>
        <v>ソーシャルベッティング事業本部/TIPSTAR事業部</v>
      </c>
      <c r="F260" s="37" t="str">
        <f t="array" ref="F260">XLOOKUP(C260,'部署遍歴'!F:F,'部署遍歴'!D:D,"×")</f>
        <v>×</v>
      </c>
      <c r="G260" s="37" t="str">
        <f t="array" ref="G260">XLOOKUP(D260,'source isilon_divまとめ'!A:A,'source isilon_divまとめ'!D:D,"×")</f>
        <v>×</v>
      </c>
    </row>
    <row r="261">
      <c r="A261" s="8" t="s">
        <v>648</v>
      </c>
      <c r="B261" s="8" t="s">
        <v>668</v>
      </c>
      <c r="C261" s="114" t="str">
        <f t="shared" si="1"/>
        <v>ソーシャルベッティング事業本部/新規プロダクト開発室</v>
      </c>
      <c r="D261" s="114" t="str">
        <f t="shared" si="2"/>
        <v>ソーシャルベッティング事業本部\新規プロダクト開発室</v>
      </c>
      <c r="E261" s="37" t="str">
        <f t="array" ref="E261">XLOOKUP(C261,'0file'!C:C,'0file'!C:C,"×")</f>
        <v>ソーシャルベッティング事業本部/新規プロダクト開発室</v>
      </c>
      <c r="F261" s="7" t="s">
        <v>1052</v>
      </c>
      <c r="G261" s="37" t="str">
        <f t="array" ref="G261">XLOOKUP(D261,'source isilon_divまとめ'!A:A,'source isilon_divまとめ'!D:D,"×")</f>
        <v>×</v>
      </c>
    </row>
    <row r="262">
      <c r="A262" s="8" t="s">
        <v>648</v>
      </c>
      <c r="B262" s="8" t="s">
        <v>662</v>
      </c>
      <c r="C262" s="114" t="str">
        <f t="shared" si="1"/>
        <v>ソーシャルベッティング事業本部/ネットドリーマーズ事業部</v>
      </c>
      <c r="D262" s="114" t="str">
        <f t="shared" si="2"/>
        <v>ソーシャルベッティング事業本部\ネットドリーマーズ事業部</v>
      </c>
      <c r="E262" s="37" t="str">
        <f t="array" ref="E262">XLOOKUP(C262,'0file'!C:C,'0file'!C:C,"×")</f>
        <v>ソーシャルベッティング事業本部/ネットドリーマーズ事業部</v>
      </c>
      <c r="F262" s="37" t="str">
        <f t="array" ref="F262">XLOOKUP(C262,'部署遍歴'!F:F,'部署遍歴'!D:D,"×")</f>
        <v>×</v>
      </c>
      <c r="G262" s="37" t="str">
        <f t="array" ref="G262">XLOOKUP(D262,'source isilon_divまとめ'!A:A,'source isilon_divまとめ'!D:D,"×")</f>
        <v>×</v>
      </c>
    </row>
    <row r="263">
      <c r="A263" s="8" t="s">
        <v>648</v>
      </c>
      <c r="B263" s="8" t="s">
        <v>155</v>
      </c>
      <c r="C263" s="114" t="str">
        <f t="shared" si="1"/>
        <v>ソーシャルベッティング事業本部/事業財務戦略室</v>
      </c>
      <c r="D263" s="114" t="str">
        <f t="shared" si="2"/>
        <v>ソーシャルベッティング事業本部\事業財務戦略室</v>
      </c>
      <c r="E263" s="37" t="str">
        <f t="array" ref="E263">XLOOKUP(C263,'0file'!C:C,'0file'!C:C,"×")</f>
        <v>ソーシャルベッティング事業本部/事業財務戦略室</v>
      </c>
      <c r="F263" s="37" t="str">
        <f t="array" ref="F263">XLOOKUP(C263,'部署遍歴'!F:F,'部署遍歴'!D:D,"×")</f>
        <v>×</v>
      </c>
      <c r="G263" s="37" t="str">
        <f t="array" ref="G263">XLOOKUP(D263,'source isilon_divまとめ'!A:A,'source isilon_divまとめ'!D:D,"×")</f>
        <v>×</v>
      </c>
    </row>
    <row r="264">
      <c r="A264" s="8" t="s">
        <v>648</v>
      </c>
      <c r="B264" s="8" t="s">
        <v>651</v>
      </c>
      <c r="C264" s="114" t="str">
        <f t="shared" si="1"/>
        <v>ソーシャルベッティング事業本部/チャリ・ロト事業部</v>
      </c>
      <c r="D264" s="114" t="str">
        <f t="shared" si="2"/>
        <v>ソーシャルベッティング事業本部\チャリ・ロト事業部</v>
      </c>
      <c r="E264" s="37" t="str">
        <f t="array" ref="E264">XLOOKUP(C264,'0file'!C:C,'0file'!C:C,"×")</f>
        <v>ソーシャルベッティング事業本部/チャリ・ロト事業部</v>
      </c>
      <c r="F264" s="37" t="str">
        <f t="array" ref="F264">XLOOKUP(C264,'部署遍歴'!F:F,'部署遍歴'!D:D,"×")</f>
        <v>×</v>
      </c>
      <c r="G264" s="37" t="str">
        <f t="array" ref="G264">XLOOKUP(D264,'source isilon_divまとめ'!A:A,'source isilon_divまとめ'!D:D,"×")</f>
        <v>×</v>
      </c>
    </row>
    <row r="265">
      <c r="A265" s="8" t="s">
        <v>648</v>
      </c>
      <c r="B265" s="8" t="s">
        <v>1262</v>
      </c>
      <c r="C265" s="114" t="str">
        <f t="shared" si="1"/>
        <v>ソーシャルベッティング事業本部/戦略室</v>
      </c>
      <c r="D265" s="114" t="str">
        <f t="shared" si="2"/>
        <v>ソーシャルベッティング事業本部\戦略室</v>
      </c>
      <c r="E265" s="37" t="str">
        <f t="array" ref="E265">XLOOKUP(C265,'0file'!C:C,'0file'!C:C,"×")</f>
        <v>ソーシャルベッティング事業本部/戦略室</v>
      </c>
      <c r="F265" s="37" t="str">
        <f t="array" ref="F265">XLOOKUP(C265,'部署遍歴'!F:F,'部署遍歴'!D:D,"×")</f>
        <v>価値創造室</v>
      </c>
      <c r="G265" s="37" t="str">
        <f t="array" ref="G265">XLOOKUP(D265,'source isilon_divまとめ'!A:A,'source isilon_divまとめ'!D:D,"×")</f>
        <v>×</v>
      </c>
    </row>
    <row r="266">
      <c r="A266" s="8" t="s">
        <v>648</v>
      </c>
      <c r="B266" s="8" t="s">
        <v>1263</v>
      </c>
      <c r="C266" s="114" t="str">
        <f t="shared" si="1"/>
        <v>ソーシャルベッティング事業本部/海外ベッティング事業部</v>
      </c>
      <c r="D266" s="114" t="str">
        <f t="shared" si="2"/>
        <v>ソーシャルベッティング事業本部\海外ベッティング事業部</v>
      </c>
      <c r="E266" s="37" t="str">
        <f t="array" ref="E266">XLOOKUP(C266,'0file'!C:C,'0file'!C:C,"×")</f>
        <v>ソーシャルベッティング事業本部/海外ベッティング事業部</v>
      </c>
      <c r="F266" s="37" t="str">
        <f t="array" ref="F266">XLOOKUP(C266,'部署遍歴'!F:F,'部署遍歴'!D:D,"×")</f>
        <v>新規プロダクト開発室</v>
      </c>
      <c r="G266" s="37" t="str">
        <f t="array" ref="G266">XLOOKUP(D266,'source isilon_divまとめ'!A:A,'source isilon_divまとめ'!D:D,"×")</f>
        <v>×</v>
      </c>
    </row>
    <row r="267">
      <c r="A267" s="8" t="s">
        <v>648</v>
      </c>
      <c r="B267" s="8" t="s">
        <v>148</v>
      </c>
      <c r="C267" s="114" t="str">
        <f t="shared" si="1"/>
        <v>ソーシャルベッティング事業本部/開発室</v>
      </c>
      <c r="D267" s="114" t="str">
        <f t="shared" si="2"/>
        <v>ソーシャルベッティング事業本部\開発室</v>
      </c>
      <c r="E267" s="37" t="str">
        <f t="array" ref="E267">XLOOKUP(C267,'0file'!C:C,'0file'!C:C,"×")</f>
        <v>ソーシャルベッティング事業本部/開発室</v>
      </c>
      <c r="F267" s="37" t="str">
        <f t="array" ref="F267">XLOOKUP(C267,'部署遍歴'!F:F,'部署遍歴'!D:D,"×")</f>
        <v>×</v>
      </c>
      <c r="G267" s="37" t="str">
        <f t="array" ref="G267">XLOOKUP(D267,'source isilon_divまとめ'!A:A,'source isilon_divまとめ'!D:D,"×")</f>
        <v>×</v>
      </c>
    </row>
    <row r="268">
      <c r="A268" s="8" t="s">
        <v>648</v>
      </c>
      <c r="B268" s="8" t="s">
        <v>1111</v>
      </c>
      <c r="C268" s="114" t="str">
        <f t="shared" si="1"/>
        <v>ソーシャルベッティング事業本部/本部共有</v>
      </c>
      <c r="D268" s="114" t="str">
        <f t="shared" si="2"/>
        <v>ソーシャルベッティング事業本部\本部共有</v>
      </c>
      <c r="E268" s="37" t="str">
        <f t="array" ref="E268">XLOOKUP(C268,'0file'!C:C,'0file'!C:C,"×")</f>
        <v>ソーシャルベッティング事業本部/本部共有</v>
      </c>
      <c r="F268" s="37" t="str">
        <f t="array" ref="F268">XLOOKUP(C268,'部署遍歴'!F:F,'部署遍歴'!D:D,"×")</f>
        <v>×</v>
      </c>
      <c r="G268" s="37" t="str">
        <f t="array" ref="G268">XLOOKUP(D268,'source isilon_divまとめ'!A:A,'source isilon_divまとめ'!D:D,"×")</f>
        <v>×</v>
      </c>
    </row>
    <row r="269">
      <c r="A269" s="8" t="s">
        <v>648</v>
      </c>
      <c r="B269" s="8" t="s">
        <v>141</v>
      </c>
      <c r="C269" s="114" t="str">
        <f t="shared" si="1"/>
        <v>ソーシャルベッティング事業本部/価値創造室</v>
      </c>
      <c r="D269" s="114" t="str">
        <f t="shared" si="2"/>
        <v>ソーシャルベッティング事業本部\価値創造室</v>
      </c>
      <c r="E269" s="37" t="str">
        <f t="array" ref="E269">XLOOKUP(C269,'0file'!C:C,'0file'!C:C,"×")</f>
        <v>ソーシャルベッティング事業本部/価値創造室</v>
      </c>
      <c r="F269" s="37" t="str">
        <f t="array" ref="F269">XLOOKUP(C269,'部署遍歴'!F:F,'部署遍歴'!D:D,"×")</f>
        <v>×</v>
      </c>
      <c r="G269" s="37" t="str">
        <f t="array" ref="G269">XLOOKUP(D269,'source isilon_divまとめ'!A:A,'source isilon_divまとめ'!D:D,"×")</f>
        <v>×</v>
      </c>
    </row>
    <row r="270">
      <c r="A270" s="8" t="s">
        <v>1264</v>
      </c>
      <c r="B270" s="8" t="s">
        <v>1180</v>
      </c>
      <c r="C270" s="114" t="str">
        <f t="shared" si="1"/>
        <v>XFLAG事業本部/スポーツ事業推進室</v>
      </c>
      <c r="D270" s="114" t="str">
        <f t="shared" si="2"/>
        <v>XFLAG事業本部\スポーツ事業推進室</v>
      </c>
      <c r="E270" s="37" t="str">
        <f t="array" ref="E270">XLOOKUP(C270,'0file'!C:C,'0file'!C:C,"×")</f>
        <v>XFLAG事業本部/スポーツ事業推進室</v>
      </c>
      <c r="F270" s="37" t="str">
        <f t="array" ref="F270">XLOOKUP(C270,'部署遍歴'!F:F,'部署遍歴'!D:D,"×")</f>
        <v>×</v>
      </c>
      <c r="G270" s="37" t="str">
        <f t="array" ref="G270">XLOOKUP(D270,'source isilon_divまとめ'!A:A,'source isilon_divまとめ'!D:D,"×")</f>
        <v>×</v>
      </c>
    </row>
    <row r="271">
      <c r="A271" s="8" t="s">
        <v>1264</v>
      </c>
      <c r="B271" s="8" t="s">
        <v>1170</v>
      </c>
      <c r="C271" s="114" t="str">
        <f t="shared" si="1"/>
        <v>XFLAG事業本部/XFLAG MOBILE</v>
      </c>
      <c r="D271" s="114" t="str">
        <f t="shared" si="2"/>
        <v>XFLAG事業本部\XFLAG MOBILE</v>
      </c>
      <c r="E271" s="37" t="str">
        <f t="array" ref="E271">XLOOKUP(C271,'0file'!C:C,'0file'!C:C,"×")</f>
        <v>×</v>
      </c>
      <c r="F271" s="37" t="str">
        <f t="array" ref="F271">XLOOKUP(C271,'部署遍歴'!F:F,'部署遍歴'!D:D,"×")</f>
        <v>×</v>
      </c>
      <c r="G271" s="37" t="str">
        <f t="array" ref="G271">XLOOKUP(D271,'source isilon_divまとめ'!A:A,'source isilon_divまとめ'!D:D,"×")</f>
        <v>×</v>
      </c>
    </row>
    <row r="272">
      <c r="A272" s="8" t="s">
        <v>1264</v>
      </c>
      <c r="B272" s="8" t="s">
        <v>1144</v>
      </c>
      <c r="C272" s="114" t="str">
        <f t="shared" si="1"/>
        <v>XFLAG事業本部/人事戦略室</v>
      </c>
      <c r="D272" s="114" t="str">
        <f t="shared" si="2"/>
        <v>XFLAG事業本部\人事戦略室</v>
      </c>
      <c r="E272" s="37" t="str">
        <f t="array" ref="E272">XLOOKUP(C272,'0file'!C:C,'0file'!C:C,"×")</f>
        <v>XFLAG事業本部/人事戦略室</v>
      </c>
      <c r="F272" s="37" t="str">
        <f t="array" ref="F272">XLOOKUP(C272,'部署遍歴'!F:F,'部署遍歴'!D:D,"×")</f>
        <v>×</v>
      </c>
      <c r="G272" s="37" t="str">
        <f t="array" ref="G272">XLOOKUP(D272,'source isilon_divまとめ'!A:A,'source isilon_divまとめ'!D:D,"×")</f>
        <v>×</v>
      </c>
    </row>
    <row r="273">
      <c r="A273" s="8" t="s">
        <v>1264</v>
      </c>
      <c r="B273" s="8" t="s">
        <v>1134</v>
      </c>
      <c r="C273" s="114" t="str">
        <f t="shared" si="1"/>
        <v>XFLAG事業本部/新規事業推進室</v>
      </c>
      <c r="D273" s="114" t="str">
        <f t="shared" si="2"/>
        <v>XFLAG事業本部\新規事業推進室</v>
      </c>
      <c r="E273" s="37" t="str">
        <f t="array" ref="E273">XLOOKUP(C273,'0file'!C:C,'0file'!C:C,"×")</f>
        <v>×</v>
      </c>
      <c r="F273" s="37" t="str">
        <f t="array" ref="F273">XLOOKUP(C273,'部署遍歴'!F:F,'部署遍歴'!D:D,"×")</f>
        <v>×</v>
      </c>
      <c r="G273" s="37" t="str">
        <f t="array" ref="G273">XLOOKUP(D273,'source isilon_divまとめ'!A:A,'source isilon_divまとめ'!D:D,"×")</f>
        <v>×</v>
      </c>
    </row>
    <row r="274">
      <c r="A274" s="8" t="s">
        <v>1264</v>
      </c>
      <c r="B274" s="8" t="s">
        <v>1265</v>
      </c>
      <c r="C274" s="114" t="str">
        <f t="shared" si="1"/>
        <v>XFLAG事業本部/フィンテック・エンターテインメント室</v>
      </c>
      <c r="D274" s="114" t="str">
        <f t="shared" si="2"/>
        <v>XFLAG事業本部\フィンテック・エンターテインメント室</v>
      </c>
      <c r="E274" s="37" t="str">
        <f t="array" ref="E274">XLOOKUP(C274,'0file'!C:C,'0file'!C:C,"×")</f>
        <v>XFLAG事業本部/フィンテック・エンターテインメント室</v>
      </c>
      <c r="F274" s="37" t="str">
        <f t="array" ref="F274">XLOOKUP(C274,'部署遍歴'!F:F,'部署遍歴'!D:D,"×")</f>
        <v>×</v>
      </c>
      <c r="G274" s="37" t="str">
        <f t="array" ref="G274">XLOOKUP(D274,'source isilon_divまとめ'!A:A,'source isilon_divまとめ'!D:D,"×")</f>
        <v>×</v>
      </c>
    </row>
    <row r="275">
      <c r="A275" s="8" t="s">
        <v>1264</v>
      </c>
      <c r="B275" s="8" t="s">
        <v>1175</v>
      </c>
      <c r="C275" s="114" t="str">
        <f t="shared" si="1"/>
        <v>XFLAG事業本部/ゲーム開発室</v>
      </c>
      <c r="D275" s="114" t="str">
        <f t="shared" si="2"/>
        <v>XFLAG事業本部\ゲーム開発室</v>
      </c>
      <c r="E275" s="37" t="str">
        <f t="array" ref="E275">XLOOKUP(C275,'0file'!C:C,'0file'!C:C,"×")</f>
        <v>XFLAG事業本部/ゲーム開発室</v>
      </c>
      <c r="F275" s="37" t="str">
        <f t="array" ref="F275">XLOOKUP(C275,'部署遍歴'!F:F,'部署遍歴'!D:D,"×")</f>
        <v>×</v>
      </c>
      <c r="G275" s="37" t="str">
        <f t="array" ref="G275">XLOOKUP(D275,'source isilon_divまとめ'!A:A,'source isilon_divまとめ'!D:D,"×")</f>
        <v>×</v>
      </c>
    </row>
    <row r="276">
      <c r="A276" s="8" t="s">
        <v>1264</v>
      </c>
      <c r="B276" s="8" t="s">
        <v>286</v>
      </c>
      <c r="C276" s="114" t="str">
        <f t="shared" si="1"/>
        <v>XFLAG事業本部/事業戦略室</v>
      </c>
      <c r="D276" s="114" t="str">
        <f t="shared" si="2"/>
        <v>XFLAG事業本部\事業戦略室</v>
      </c>
      <c r="E276" s="37" t="str">
        <f t="array" ref="E276">XLOOKUP(C276,'0file'!C:C,'0file'!C:C,"×")</f>
        <v>XFLAG事業本部/事業戦略室</v>
      </c>
      <c r="F276" s="37" t="str">
        <f t="array" ref="F276">XLOOKUP(C276,'部署遍歴'!F:F,'部署遍歴'!D:D,"×")</f>
        <v>×</v>
      </c>
      <c r="G276" s="37" t="str">
        <f t="array" ref="G276">XLOOKUP(D276,'source isilon_divまとめ'!A:A,'source isilon_divまとめ'!D:D,"×")</f>
        <v>×</v>
      </c>
    </row>
    <row r="277">
      <c r="A277" s="8" t="s">
        <v>1264</v>
      </c>
      <c r="B277" s="8" t="s">
        <v>1187</v>
      </c>
      <c r="C277" s="114" t="str">
        <f t="shared" si="1"/>
        <v>XFLAG事業本部/ビジネス開発室</v>
      </c>
      <c r="D277" s="114" t="str">
        <f t="shared" si="2"/>
        <v>XFLAG事業本部\ビジネス開発室</v>
      </c>
      <c r="E277" s="37" t="str">
        <f t="array" ref="E277">XLOOKUP(C277,'0file'!C:C,'0file'!C:C,"×")</f>
        <v>×</v>
      </c>
      <c r="F277" s="37" t="str">
        <f t="array" ref="F277">XLOOKUP(C277,'部署遍歴'!F:F,'部署遍歴'!D:D,"×")</f>
        <v>×</v>
      </c>
      <c r="G277" s="37" t="str">
        <f t="array" ref="G277">XLOOKUP(D277,'source isilon_divまとめ'!A:A,'source isilon_divまとめ'!D:D,"×")</f>
        <v>×</v>
      </c>
    </row>
    <row r="278">
      <c r="A278" s="8" t="s">
        <v>1264</v>
      </c>
      <c r="B278" s="8" t="s">
        <v>1068</v>
      </c>
      <c r="C278" s="114" t="str">
        <f t="shared" si="1"/>
        <v>XFLAG事業本部/XFLAG ENTERTAINMENT</v>
      </c>
      <c r="D278" s="114" t="str">
        <f t="shared" si="2"/>
        <v>XFLAG事業本部\XFLAG ENTERTAINMENT</v>
      </c>
      <c r="E278" s="37" t="str">
        <f t="array" ref="E278">XLOOKUP(C278,'0file'!C:C,'0file'!C:C,"×")</f>
        <v>XFLAG事業本部/XFLAG ENTERTAINMENT</v>
      </c>
      <c r="F278" s="37" t="str">
        <f t="array" ref="F278">XLOOKUP(C278,'部署遍歴'!F:F,'部署遍歴'!D:D,"×")</f>
        <v>×</v>
      </c>
      <c r="G278" s="37" t="str">
        <f t="array" ref="G278">XLOOKUP(D278,'source isilon_divまとめ'!A:A,'source isilon_divまとめ'!D:D,"×")</f>
        <v>×</v>
      </c>
    </row>
    <row r="279">
      <c r="A279" s="8" t="s">
        <v>1264</v>
      </c>
      <c r="B279" s="8" t="s">
        <v>1081</v>
      </c>
      <c r="C279" s="114" t="str">
        <f t="shared" si="1"/>
        <v>XFLAG事業本部/XFLAG ARTS</v>
      </c>
      <c r="D279" s="114" t="str">
        <f t="shared" si="2"/>
        <v>XFLAG事業本部\XFLAG ARTS</v>
      </c>
      <c r="E279" s="37" t="str">
        <f t="array" ref="E279">XLOOKUP(C279,'0file'!C:C,'0file'!C:C,"×")</f>
        <v>×</v>
      </c>
      <c r="F279" s="37" t="str">
        <f t="array" ref="F279">XLOOKUP(C279,'部署遍歴'!F:F,'部署遍歴'!D:D,"×")</f>
        <v>×</v>
      </c>
      <c r="G279" s="37" t="str">
        <f t="array" ref="G279">XLOOKUP(D279,'source isilon_divまとめ'!A:A,'source isilon_divまとめ'!D:D,"×")</f>
        <v>×</v>
      </c>
    </row>
    <row r="280">
      <c r="A280" s="8" t="s">
        <v>1264</v>
      </c>
      <c r="B280" s="8" t="s">
        <v>1266</v>
      </c>
      <c r="C280" s="114" t="str">
        <f t="shared" si="1"/>
        <v>XFLAG事業本部/ファイトリーグ事業部</v>
      </c>
      <c r="D280" s="114" t="str">
        <f t="shared" si="2"/>
        <v>XFLAG事業本部\ファイトリーグ事業部</v>
      </c>
      <c r="E280" s="37" t="str">
        <f t="array" ref="E280">XLOOKUP(C280,'0file'!C:C,'0file'!C:C,"×")</f>
        <v>×</v>
      </c>
      <c r="F280" s="37" t="str">
        <f t="array" ref="F280">XLOOKUP(C280,'部署遍歴'!F:F,'部署遍歴'!D:D,"×")</f>
        <v>×</v>
      </c>
      <c r="G280" s="37" t="str">
        <f t="array" ref="G280">XLOOKUP(D280,'source isilon_divまとめ'!A:A,'source isilon_divまとめ'!D:D,"×")</f>
        <v>×</v>
      </c>
    </row>
    <row r="281">
      <c r="A281" s="8" t="s">
        <v>1264</v>
      </c>
      <c r="B281" s="8" t="s">
        <v>1267</v>
      </c>
      <c r="C281" s="114" t="str">
        <f t="shared" si="1"/>
        <v>XFLAG事業本部/IP開発室</v>
      </c>
      <c r="D281" s="114" t="str">
        <f t="shared" si="2"/>
        <v>XFLAG事業本部\IP開発室</v>
      </c>
      <c r="E281" s="37" t="str">
        <f t="array" ref="E281">XLOOKUP(C281,'0file'!C:C,'0file'!C:C,"×")</f>
        <v>×</v>
      </c>
      <c r="F281" s="37" t="str">
        <f t="array" ref="F281">XLOOKUP(C281,'部署遍歴'!F:F,'部署遍歴'!D:D,"×")</f>
        <v>×</v>
      </c>
      <c r="G281" s="37" t="str">
        <f t="array" ref="G281">XLOOKUP(D281,'source isilon_divまとめ'!A:A,'source isilon_divまとめ'!D:D,"×")</f>
        <v>×</v>
      </c>
    </row>
    <row r="282">
      <c r="A282" s="8" t="s">
        <v>1264</v>
      </c>
      <c r="B282" s="8" t="s">
        <v>1161</v>
      </c>
      <c r="C282" s="114" t="str">
        <f t="shared" si="1"/>
        <v>XFLAG事業本部/XFLAG PICTURES</v>
      </c>
      <c r="D282" s="114" t="str">
        <f t="shared" si="2"/>
        <v>XFLAG事業本部\XFLAG PICTURES</v>
      </c>
      <c r="E282" s="37" t="str">
        <f t="array" ref="E282">XLOOKUP(C282,'0file'!C:C,'0file'!C:C,"×")</f>
        <v>×</v>
      </c>
      <c r="F282" s="37" t="str">
        <f t="array" ref="F282">XLOOKUP(C282,'部署遍歴'!F:F,'部署遍歴'!D:D,"×")</f>
        <v>×</v>
      </c>
      <c r="G282" s="37" t="str">
        <f t="array" ref="G282">XLOOKUP(D282,'source isilon_divまとめ'!A:A,'source isilon_divまとめ'!D:D,"×")</f>
        <v>×</v>
      </c>
    </row>
    <row r="283">
      <c r="A283" s="8" t="s">
        <v>1268</v>
      </c>
      <c r="B283" s="8" t="s">
        <v>1225</v>
      </c>
      <c r="C283" s="114" t="str">
        <f t="shared" si="1"/>
        <v>アライアンス統括本部/ビバレッジ事業推進室</v>
      </c>
      <c r="D283" s="114" t="str">
        <f t="shared" si="2"/>
        <v>アライアンス統括本部\ビバレッジ事業推進室</v>
      </c>
      <c r="E283" s="37" t="str">
        <f t="array" ref="E283">XLOOKUP(C283,'0file'!C:C,'0file'!C:C,"×")</f>
        <v>アライアンス統括本部/ビバレッジ事業推進室</v>
      </c>
      <c r="F283" s="37" t="str">
        <f t="array" ref="F283">XLOOKUP(C283,'部署遍歴'!F:F,'部署遍歴'!D:D,"×")</f>
        <v>×</v>
      </c>
      <c r="G283" s="37" t="str">
        <f t="array" ref="G283">XLOOKUP(D283,'source isilon_divまとめ'!A:A,'source isilon_divまとめ'!D:D,"×")</f>
        <v>×</v>
      </c>
    </row>
    <row r="284">
      <c r="A284" s="8" t="s">
        <v>1268</v>
      </c>
      <c r="B284" s="8" t="s">
        <v>1226</v>
      </c>
      <c r="C284" s="114" t="str">
        <f t="shared" si="1"/>
        <v>アライアンス統括本部/システム部</v>
      </c>
      <c r="D284" s="114" t="str">
        <f t="shared" si="2"/>
        <v>アライアンス統括本部\システム部</v>
      </c>
      <c r="E284" s="37" t="str">
        <f t="array" ref="E284">XLOOKUP(C284,'0file'!C:C,'0file'!C:C,"×")</f>
        <v>アライアンス統括本部/システム部</v>
      </c>
      <c r="F284" s="37" t="str">
        <f t="array" ref="F284">XLOOKUP(C284,'部署遍歴'!F:F,'部署遍歴'!D:D,"×")</f>
        <v>×</v>
      </c>
      <c r="G284" s="37" t="str">
        <f t="array" ref="G284">XLOOKUP(D284,'source isilon_divまとめ'!A:A,'source isilon_divまとめ'!D:D,"×")</f>
        <v>×</v>
      </c>
    </row>
    <row r="285">
      <c r="A285" s="8" t="s">
        <v>1268</v>
      </c>
      <c r="B285" s="8" t="s">
        <v>859</v>
      </c>
      <c r="C285" s="114" t="str">
        <f t="shared" si="1"/>
        <v>アライアンス統括本部/フットボール事業部</v>
      </c>
      <c r="D285" s="114" t="str">
        <f t="shared" si="2"/>
        <v>アライアンス統括本部\フットボール事業部</v>
      </c>
      <c r="E285" s="37" t="str">
        <f t="array" ref="E285">XLOOKUP(C285,'0file'!C:C,'0file'!C:C,"×")</f>
        <v>アライアンス統括本部/フットボール事業部</v>
      </c>
      <c r="F285" s="37" t="str">
        <f t="array" ref="F285">XLOOKUP(C285,'部署遍歴'!F:F,'部署遍歴'!D:D,"×")</f>
        <v>×</v>
      </c>
      <c r="G285" s="37" t="str">
        <f t="array" ref="G285">XLOOKUP(D285,'source isilon_divまとめ'!A:A,'source isilon_divまとめ'!D:D,"×")</f>
        <v>×</v>
      </c>
    </row>
    <row r="286">
      <c r="A286" s="8" t="s">
        <v>1268</v>
      </c>
      <c r="B286" s="8" t="s">
        <v>1183</v>
      </c>
      <c r="C286" s="114" t="str">
        <f t="shared" si="1"/>
        <v>アライアンス統括本部/スポーツギフティング部</v>
      </c>
      <c r="D286" s="114" t="str">
        <f t="shared" si="2"/>
        <v>アライアンス統括本部\スポーツギフティング部</v>
      </c>
      <c r="E286" s="37" t="str">
        <f t="array" ref="E286">XLOOKUP(C286,'0file'!C:C,'0file'!C:C,"×")</f>
        <v>アライアンス統括本部/スポーツギフティング部</v>
      </c>
      <c r="F286" s="37" t="str">
        <f t="array" ref="F286">XLOOKUP(C286,'部署遍歴'!F:F,'部署遍歴'!D:D,"×")</f>
        <v>×</v>
      </c>
      <c r="G286" s="37" t="str">
        <f t="array" ref="G286">XLOOKUP(D286,'source isilon_divまとめ'!A:A,'source isilon_divまとめ'!D:D,"×")</f>
        <v>×</v>
      </c>
    </row>
    <row r="287">
      <c r="A287" s="8" t="s">
        <v>1268</v>
      </c>
      <c r="B287" s="8" t="s">
        <v>1182</v>
      </c>
      <c r="C287" s="114" t="str">
        <f t="shared" si="1"/>
        <v>アライアンス統括本部/スポーツ事業部</v>
      </c>
      <c r="D287" s="114" t="str">
        <f t="shared" si="2"/>
        <v>アライアンス統括本部\スポーツ事業部</v>
      </c>
      <c r="E287" s="37" t="str">
        <f t="array" ref="E287">XLOOKUP(C287,'0file'!C:C,'0file'!C:C,"×")</f>
        <v>アライアンス統括本部/スポーツ事業部</v>
      </c>
      <c r="F287" s="37" t="str">
        <f t="array" ref="F287">XLOOKUP(C287,'部署遍歴'!F:F,'部署遍歴'!D:D,"×")</f>
        <v>×</v>
      </c>
      <c r="G287" s="37" t="str">
        <f t="array" ref="G287">XLOOKUP(D287,'source isilon_divまとめ'!A:A,'source isilon_divまとめ'!D:D,"×")</f>
        <v>×</v>
      </c>
    </row>
    <row r="288">
      <c r="A288" s="8" t="s">
        <v>1268</v>
      </c>
      <c r="B288" s="8" t="s">
        <v>857</v>
      </c>
      <c r="C288" s="114" t="str">
        <f t="shared" si="1"/>
        <v>アライアンス統括本部/バスケットボール事業部</v>
      </c>
      <c r="D288" s="114" t="str">
        <f t="shared" si="2"/>
        <v>アライアンス統括本部\バスケットボール事業部</v>
      </c>
      <c r="E288" s="37" t="str">
        <f t="array" ref="E288">XLOOKUP(C288,'0file'!C:C,'0file'!C:C,"×")</f>
        <v>アライアンス統括本部/バスケットボール事業部</v>
      </c>
      <c r="F288" s="37" t="str">
        <f t="array" ref="F288">XLOOKUP(C288,'部署遍歴'!F:F,'部署遍歴'!D:D,"×")</f>
        <v>×</v>
      </c>
      <c r="G288" s="37" t="str">
        <f t="array" ref="G288">XLOOKUP(D288,'source isilon_divまとめ'!A:A,'source isilon_divまとめ'!D:D,"×")</f>
        <v>×</v>
      </c>
    </row>
    <row r="289">
      <c r="A289" s="8" t="s">
        <v>1268</v>
      </c>
      <c r="B289" s="8" t="s">
        <v>286</v>
      </c>
      <c r="C289" s="114" t="str">
        <f t="shared" si="1"/>
        <v>アライアンス統括本部/事業戦略室</v>
      </c>
      <c r="D289" s="114" t="str">
        <f t="shared" si="2"/>
        <v>アライアンス統括本部\事業戦略室</v>
      </c>
      <c r="E289" s="37" t="str">
        <f t="array" ref="E289">XLOOKUP(C289,'0file'!C:C,'0file'!C:C,"×")</f>
        <v>アライアンス統括本部/事業戦略室</v>
      </c>
      <c r="F289" s="37" t="str">
        <f t="array" ref="F289">XLOOKUP(C289,'部署遍歴'!F:F,'部署遍歴'!D:D,"×")</f>
        <v>×</v>
      </c>
      <c r="G289" s="37" t="str">
        <f t="array" ref="G289">XLOOKUP(D289,'source isilon_divまとめ'!A:A,'source isilon_divまとめ'!D:D,"×")</f>
        <v>×</v>
      </c>
    </row>
    <row r="290">
      <c r="A290" s="8" t="s">
        <v>1268</v>
      </c>
      <c r="B290" s="8" t="s">
        <v>1111</v>
      </c>
      <c r="C290" s="114" t="str">
        <f t="shared" si="1"/>
        <v>アライアンス統括本部/本部共有</v>
      </c>
      <c r="D290" s="114" t="str">
        <f t="shared" si="2"/>
        <v>アライアンス統括本部\本部共有</v>
      </c>
      <c r="E290" s="37" t="str">
        <f t="array" ref="E290">XLOOKUP(C290,'0file'!C:C,'0file'!C:C,"×")</f>
        <v>アライアンス統括本部/本部共有</v>
      </c>
      <c r="F290" s="37" t="str">
        <f t="array" ref="F290">XLOOKUP(C290,'部署遍歴'!F:F,'部署遍歴'!D:D,"×")</f>
        <v>×</v>
      </c>
      <c r="G290" s="37" t="str">
        <f t="array" ref="G290">XLOOKUP(D290,'source isilon_divまとめ'!A:A,'source isilon_divまとめ'!D:D,"×")</f>
        <v>×</v>
      </c>
    </row>
    <row r="291">
      <c r="A291" s="8" t="s">
        <v>1268</v>
      </c>
      <c r="B291" s="8" t="s">
        <v>864</v>
      </c>
      <c r="C291" s="114" t="str">
        <f t="shared" si="1"/>
        <v>アライアンス統括本部/アリーナ事業部</v>
      </c>
      <c r="D291" s="114" t="str">
        <f t="shared" si="2"/>
        <v>アライアンス統括本部\アリーナ事業部</v>
      </c>
      <c r="E291" s="37" t="str">
        <f t="array" ref="E291">XLOOKUP(C291,'0file'!C:C,'0file'!C:C,"×")</f>
        <v>アライアンス統括本部/アリーナ事業部</v>
      </c>
      <c r="F291" s="37" t="str">
        <f t="array" ref="F291">XLOOKUP(C291,'部署遍歴'!F:F,'部署遍歴'!D:D,"×")</f>
        <v>×</v>
      </c>
      <c r="G291" s="37" t="str">
        <f t="array" ref="G291">XLOOKUP(D291,'source isilon_divまとめ'!A:A,'source isilon_divまとめ'!D:D,"×")</f>
        <v>×</v>
      </c>
    </row>
    <row r="292">
      <c r="A292" s="8" t="s">
        <v>323</v>
      </c>
      <c r="B292" s="8" t="s">
        <v>819</v>
      </c>
      <c r="C292" s="114" t="str">
        <f t="shared" si="1"/>
        <v>みてね事業本部/みてねマーケティング部</v>
      </c>
      <c r="D292" s="114" t="str">
        <f t="shared" si="2"/>
        <v>みてね事業本部\みてねマーケティング部</v>
      </c>
      <c r="E292" s="37" t="str">
        <f t="array" ref="E292">XLOOKUP(C292,'0file'!C:C,'0file'!C:C,"×")</f>
        <v>みてね事業本部/みてねマーケティング部</v>
      </c>
      <c r="F292" s="37" t="str">
        <f t="array" ref="F292">XLOOKUP(C292,'部署遍歴'!F:F,'部署遍歴'!D:D,"×")</f>
        <v>×</v>
      </c>
      <c r="G292" s="37" t="str">
        <f t="array" ref="G292">XLOOKUP(D292,'source isilon_divまとめ'!A:A,'source isilon_divまとめ'!D:D,"×")</f>
        <v>×</v>
      </c>
    </row>
    <row r="293">
      <c r="A293" s="8" t="s">
        <v>323</v>
      </c>
      <c r="B293" s="8" t="s">
        <v>821</v>
      </c>
      <c r="C293" s="114" t="str">
        <f t="shared" si="1"/>
        <v>みてね事業本部/みてねプラットフォーム部</v>
      </c>
      <c r="D293" s="114" t="str">
        <f t="shared" si="2"/>
        <v>みてね事業本部\みてねプラットフォーム部</v>
      </c>
      <c r="E293" s="37" t="str">
        <f t="array" ref="E293">XLOOKUP(C293,'0file'!C:C,'0file'!C:C,"×")</f>
        <v>みてね事業本部/みてねプラットフォーム部</v>
      </c>
      <c r="F293" s="37" t="str">
        <f t="array" ref="F293">XLOOKUP(C293,'部署遍歴'!F:F,'部署遍歴'!D:D,"×")</f>
        <v>×</v>
      </c>
      <c r="G293" s="37" t="str">
        <f t="array" ref="G293">XLOOKUP(D293,'source isilon_divまとめ'!A:A,'source isilon_divまとめ'!D:D,"×")</f>
        <v>×</v>
      </c>
    </row>
    <row r="294">
      <c r="A294" s="8" t="s">
        <v>323</v>
      </c>
      <c r="B294" s="8" t="s">
        <v>824</v>
      </c>
      <c r="C294" s="114" t="str">
        <f t="shared" si="1"/>
        <v>みてね事業本部/みてねプロダクト開発部</v>
      </c>
      <c r="D294" s="114" t="str">
        <f t="shared" si="2"/>
        <v>みてね事業本部\みてねプロダクト開発部</v>
      </c>
      <c r="E294" s="37" t="str">
        <f t="array" ref="E294">XLOOKUP(C294,'0file'!C:C,'0file'!C:C,"×")</f>
        <v>みてね事業本部/みてねプロダクト開発部</v>
      </c>
      <c r="F294" s="37" t="str">
        <f t="array" ref="F294">XLOOKUP(C294,'部署遍歴'!F:F,'部署遍歴'!D:D,"×")</f>
        <v>×</v>
      </c>
      <c r="G294" s="37" t="str">
        <f t="array" ref="G294">XLOOKUP(D294,'source isilon_divまとめ'!A:A,'source isilon_divまとめ'!D:D,"×")</f>
        <v>×</v>
      </c>
    </row>
    <row r="295">
      <c r="A295" s="8" t="s">
        <v>323</v>
      </c>
      <c r="B295" s="8" t="s">
        <v>1111</v>
      </c>
      <c r="C295" s="114" t="str">
        <f t="shared" si="1"/>
        <v>みてね事業本部/本部共有</v>
      </c>
      <c r="D295" s="114" t="str">
        <f t="shared" si="2"/>
        <v>みてね事業本部\本部共有</v>
      </c>
      <c r="E295" s="37" t="str">
        <f t="array" ref="E295">XLOOKUP(C295,'0file'!C:C,'0file'!C:C,"×")</f>
        <v>みてね事業本部/本部共有</v>
      </c>
      <c r="F295" s="37" t="str">
        <f t="array" ref="F295">XLOOKUP(C295,'部署遍歴'!F:F,'部署遍歴'!D:D,"×")</f>
        <v>×</v>
      </c>
      <c r="G295" s="37" t="str">
        <f t="array" ref="G295">XLOOKUP(D295,'source isilon_divまとめ'!A:A,'source isilon_divまとめ'!D:D,"×")</f>
        <v>×</v>
      </c>
    </row>
    <row r="296">
      <c r="A296" s="8" t="s">
        <v>323</v>
      </c>
      <c r="B296" s="8" t="s">
        <v>324</v>
      </c>
      <c r="C296" s="114" t="str">
        <f t="shared" si="1"/>
        <v>みてね事業本部/みてね事業開発部</v>
      </c>
      <c r="D296" s="114" t="str">
        <f t="shared" si="2"/>
        <v>みてね事業本部\みてね事業開発部</v>
      </c>
      <c r="E296" s="37" t="str">
        <f t="array" ref="E296">XLOOKUP(C296,'0file'!C:C,'0file'!C:C,"×")</f>
        <v>みてね事業本部/みてね事業開発部</v>
      </c>
      <c r="F296" s="37" t="str">
        <f t="array" ref="F296">XLOOKUP(C296,'部署遍歴'!F:F,'部署遍歴'!D:D,"×")</f>
        <v>×</v>
      </c>
      <c r="G296" s="37" t="str">
        <f t="array" ref="G296">XLOOKUP(D296,'source isilon_divまとめ'!A:A,'source isilon_divまとめ'!D:D,"×")</f>
        <v>×</v>
      </c>
    </row>
    <row r="297">
      <c r="A297" s="8" t="s">
        <v>644</v>
      </c>
      <c r="B297" s="8" t="s">
        <v>1269</v>
      </c>
      <c r="C297" s="114" t="str">
        <f t="shared" si="1"/>
        <v>セキュリティ室/セキュリティ管理推進G</v>
      </c>
      <c r="D297" s="114" t="str">
        <f t="shared" si="2"/>
        <v>セキュリティ室\セキュリティ管理推進G</v>
      </c>
      <c r="E297" s="37" t="str">
        <f t="array" ref="E297">XLOOKUP(C297,'0file'!C:C,'0file'!C:C,"×")</f>
        <v>セキュリティ室/セキュリティ管理推進G</v>
      </c>
      <c r="F297" s="37" t="str">
        <f t="array" ref="F297">XLOOKUP(C297,'部署遍歴'!F:F,'部署遍歴'!D:D,"×")</f>
        <v>×</v>
      </c>
      <c r="G297" s="37" t="str">
        <f t="array" ref="G297">XLOOKUP(D297,'source isilon_divまとめ'!A:A,'source isilon_divまとめ'!D:D,"×")</f>
        <v>×</v>
      </c>
    </row>
    <row r="298">
      <c r="A298" s="8" t="s">
        <v>644</v>
      </c>
      <c r="B298" s="8" t="s">
        <v>1270</v>
      </c>
      <c r="C298" s="114" t="str">
        <f t="shared" si="1"/>
        <v>セキュリティ室/セキュリティ技術G</v>
      </c>
      <c r="D298" s="114" t="str">
        <f t="shared" si="2"/>
        <v>セキュリティ室\セキュリティ技術G</v>
      </c>
      <c r="E298" s="37" t="str">
        <f t="array" ref="E298">XLOOKUP(C298,'0file'!C:C,'0file'!C:C,"×")</f>
        <v>セキュリティ室/セキュリティ技術G</v>
      </c>
      <c r="F298" s="37" t="str">
        <f t="array" ref="F298">XLOOKUP(C298,'部署遍歴'!F:F,'部署遍歴'!D:D,"×")</f>
        <v>×</v>
      </c>
      <c r="G298" s="37" t="str">
        <f t="array" ref="G298">XLOOKUP(D298,'source isilon_divまとめ'!A:A,'source isilon_divまとめ'!D:D,"×")</f>
        <v>×</v>
      </c>
    </row>
    <row r="299">
      <c r="A299" s="8" t="s">
        <v>644</v>
      </c>
      <c r="B299" s="8" t="s">
        <v>1271</v>
      </c>
      <c r="C299" s="114" t="str">
        <f t="shared" si="1"/>
        <v>セキュリティ室/セキュリティ管理G</v>
      </c>
      <c r="D299" s="114" t="str">
        <f t="shared" si="2"/>
        <v>セキュリティ室\セキュリティ管理G</v>
      </c>
      <c r="E299" s="37" t="str">
        <f t="array" ref="E299">XLOOKUP(C299,'0file'!C:C,'0file'!C:C,"×")</f>
        <v>セキュリティ室/セキュリティ管理G</v>
      </c>
      <c r="F299" s="37" t="str">
        <f t="array" ref="F299">XLOOKUP(C299,'部署遍歴'!F:F,'部署遍歴'!D:D,"×")</f>
        <v>×</v>
      </c>
      <c r="G299" s="37" t="str">
        <f t="array" ref="G299">XLOOKUP(D299,'source isilon_divまとめ'!A:A,'source isilon_divまとめ'!D:D,"×")</f>
        <v>×</v>
      </c>
    </row>
    <row r="300">
      <c r="A300" s="8" t="s">
        <v>644</v>
      </c>
      <c r="B300" s="8" t="s">
        <v>1104</v>
      </c>
      <c r="C300" s="114" t="str">
        <f t="shared" si="1"/>
        <v>セキュリティ室/室共有</v>
      </c>
      <c r="D300" s="114" t="str">
        <f t="shared" si="2"/>
        <v>セキュリティ室\室共有</v>
      </c>
      <c r="E300" s="37" t="str">
        <f t="array" ref="E300">XLOOKUP(C300,'0file'!C:C,'0file'!C:C,"×")</f>
        <v>セキュリティ室/室共有</v>
      </c>
      <c r="F300" s="37" t="str">
        <f t="array" ref="F300">XLOOKUP(C300,'部署遍歴'!F:F,'部署遍歴'!D:D,"×")</f>
        <v>×</v>
      </c>
      <c r="G300" s="37" t="str">
        <f t="array" ref="G300">XLOOKUP(D300,'source isilon_divまとめ'!A:A,'source isilon_divまとめ'!D:D,"×")</f>
        <v>×</v>
      </c>
    </row>
    <row r="301">
      <c r="A301" s="8" t="s">
        <v>1272</v>
      </c>
      <c r="B301" s="8" t="s">
        <v>1225</v>
      </c>
      <c r="C301" s="114" t="str">
        <f t="shared" si="1"/>
        <v>スポーツ事業本部/ビバレッジ事業推進室</v>
      </c>
      <c r="D301" s="114" t="str">
        <f t="shared" si="2"/>
        <v>スポーツ事業本部\ビバレッジ事業推進室</v>
      </c>
      <c r="E301" s="37" t="str">
        <f t="array" ref="E301">XLOOKUP(C301,'0file'!C:C,'0file'!C:C,"×")</f>
        <v>スポーツ事業本部/ビバレッジ事業推進室</v>
      </c>
      <c r="F301" s="37" t="str">
        <f t="array" ref="F301">XLOOKUP(C301,'部署遍歴'!F:F,'部署遍歴'!D:D,"×")</f>
        <v>×</v>
      </c>
      <c r="G301" s="37" t="str">
        <f t="array" ref="G301">XLOOKUP(D301,'source isilon_divまとめ'!A:A,'source isilon_divまとめ'!D:D,"×")</f>
        <v>×</v>
      </c>
    </row>
    <row r="302">
      <c r="A302" s="8" t="s">
        <v>1272</v>
      </c>
      <c r="B302" s="8" t="s">
        <v>1226</v>
      </c>
      <c r="C302" s="114" t="str">
        <f t="shared" si="1"/>
        <v>スポーツ事業本部/システム部</v>
      </c>
      <c r="D302" s="114" t="str">
        <f t="shared" si="2"/>
        <v>スポーツ事業本部\システム部</v>
      </c>
      <c r="E302" s="37" t="str">
        <f t="array" ref="E302">XLOOKUP(C302,'0file'!C:C,'0file'!C:C,"×")</f>
        <v>スポーツ事業本部/システム部</v>
      </c>
      <c r="F302" s="37" t="str">
        <f t="array" ref="F302">XLOOKUP(C302,'部署遍歴'!F:F,'部署遍歴'!D:D,"×")</f>
        <v>×</v>
      </c>
      <c r="G302" s="37" t="str">
        <f t="array" ref="G302">XLOOKUP(D302,'source isilon_divまとめ'!A:A,'source isilon_divまとめ'!D:D,"×")</f>
        <v>×</v>
      </c>
    </row>
    <row r="303">
      <c r="A303" s="8" t="s">
        <v>1272</v>
      </c>
      <c r="B303" s="8" t="s">
        <v>859</v>
      </c>
      <c r="C303" s="114" t="str">
        <f t="shared" si="1"/>
        <v>スポーツ事業本部/フットボール事業部</v>
      </c>
      <c r="D303" s="114" t="str">
        <f t="shared" si="2"/>
        <v>スポーツ事業本部\フットボール事業部</v>
      </c>
      <c r="E303" s="37" t="str">
        <f t="array" ref="E303">XLOOKUP(C303,'0file'!C:C,'0file'!C:C,"×")</f>
        <v>スポーツ事業本部/フットボール事業部</v>
      </c>
      <c r="F303" s="37" t="str">
        <f t="array" ref="F303">XLOOKUP(C303,'部署遍歴'!F:F,'部署遍歴'!D:D,"×")</f>
        <v>×</v>
      </c>
      <c r="G303" s="37" t="str">
        <f t="array" ref="G303">XLOOKUP(D303,'source isilon_divまとめ'!A:A,'source isilon_divまとめ'!D:D,"×")</f>
        <v>×</v>
      </c>
    </row>
    <row r="304">
      <c r="A304" s="8" t="s">
        <v>1272</v>
      </c>
      <c r="B304" s="8" t="s">
        <v>1186</v>
      </c>
      <c r="C304" s="114" t="str">
        <f t="shared" si="1"/>
        <v>スポーツ事業本部/スポーツマーケティング室</v>
      </c>
      <c r="D304" s="114" t="str">
        <f t="shared" si="2"/>
        <v>スポーツ事業本部\スポーツマーケティング室</v>
      </c>
      <c r="E304" s="37" t="str">
        <f t="array" ref="E304">XLOOKUP(C304,'0file'!C:C,'0file'!C:C,"×")</f>
        <v>スポーツ事業本部/スポーツマーケティング室</v>
      </c>
      <c r="F304" s="7" t="s">
        <v>1052</v>
      </c>
      <c r="G304" s="37" t="str">
        <f t="array" ref="G304">XLOOKUP(D304,'source isilon_divまとめ'!A:A,'source isilon_divまとめ'!D:D,"×")</f>
        <v>×</v>
      </c>
    </row>
    <row r="305">
      <c r="A305" s="8" t="s">
        <v>1272</v>
      </c>
      <c r="B305" s="8" t="s">
        <v>857</v>
      </c>
      <c r="C305" s="114" t="str">
        <f t="shared" si="1"/>
        <v>スポーツ事業本部/バスケットボール事業部</v>
      </c>
      <c r="D305" s="114" t="str">
        <f t="shared" si="2"/>
        <v>スポーツ事業本部\バスケットボール事業部</v>
      </c>
      <c r="E305" s="37" t="str">
        <f t="array" ref="E305">XLOOKUP(C305,'0file'!C:C,'0file'!C:C,"×")</f>
        <v>スポーツ事業本部/バスケットボール事業部</v>
      </c>
      <c r="F305" s="37" t="str">
        <f t="array" ref="F305">XLOOKUP(C305,'部署遍歴'!F:F,'部署遍歴'!D:D,"×")</f>
        <v>×</v>
      </c>
      <c r="G305" s="37" t="str">
        <f t="array" ref="G305">XLOOKUP(D305,'source isilon_divまとめ'!A:A,'source isilon_divまとめ'!D:D,"×")</f>
        <v>×</v>
      </c>
    </row>
    <row r="306">
      <c r="A306" s="8" t="s">
        <v>1272</v>
      </c>
      <c r="B306" s="8" t="s">
        <v>286</v>
      </c>
      <c r="C306" s="114" t="str">
        <f t="shared" si="1"/>
        <v>スポーツ事業本部/事業戦略室</v>
      </c>
      <c r="D306" s="114" t="str">
        <f t="shared" si="2"/>
        <v>スポーツ事業本部\事業戦略室</v>
      </c>
      <c r="E306" s="37" t="str">
        <f t="array" ref="E306">XLOOKUP(C306,'0file'!C:C,'0file'!C:C,"×")</f>
        <v>×</v>
      </c>
      <c r="F306" s="37" t="str">
        <f t="array" ref="F306">XLOOKUP(C306,'部署遍歴'!F:F,'部署遍歴'!D:D,"×")</f>
        <v>×</v>
      </c>
      <c r="G306" s="37" t="str">
        <f t="array" ref="G306">XLOOKUP(D306,'source isilon_divまとめ'!A:A,'source isilon_divまとめ'!D:D,"×")</f>
        <v>×</v>
      </c>
    </row>
    <row r="307">
      <c r="A307" s="8" t="s">
        <v>1272</v>
      </c>
      <c r="B307" s="8" t="s">
        <v>1111</v>
      </c>
      <c r="C307" s="114" t="str">
        <f t="shared" si="1"/>
        <v>スポーツ事業本部/本部共有</v>
      </c>
      <c r="D307" s="114" t="str">
        <f t="shared" si="2"/>
        <v>スポーツ事業本部\本部共有</v>
      </c>
      <c r="E307" s="37" t="str">
        <f t="array" ref="E307">XLOOKUP(C307,'0file'!C:C,'0file'!C:C,"×")</f>
        <v>スポーツ事業本部/本部共有</v>
      </c>
      <c r="F307" s="37" t="str">
        <f t="array" ref="F307">XLOOKUP(C307,'部署遍歴'!F:F,'部署遍歴'!D:D,"×")</f>
        <v>×</v>
      </c>
      <c r="G307" s="37" t="str">
        <f t="array" ref="G307">XLOOKUP(D307,'source isilon_divまとめ'!A:A,'source isilon_divまとめ'!D:D,"×")</f>
        <v>×</v>
      </c>
    </row>
    <row r="308">
      <c r="A308" s="8" t="s">
        <v>1273</v>
      </c>
      <c r="B308" s="8" t="s">
        <v>1119</v>
      </c>
      <c r="C308" s="114" t="str">
        <f t="shared" si="1"/>
        <v>次世代エンターテインメント事業本部/ビジネス推進室</v>
      </c>
      <c r="D308" s="114" t="str">
        <f t="shared" si="2"/>
        <v>次世代エンターテインメント事業本部\ビジネス推進室</v>
      </c>
      <c r="E308" s="37" t="str">
        <f t="array" ref="E308">XLOOKUP(C308,'0file'!C:C,'0file'!C:C,"×")</f>
        <v>次世代エンターテインメント事業本部/ビジネス推進室</v>
      </c>
      <c r="F308" s="7" t="s">
        <v>1052</v>
      </c>
      <c r="G308" s="37" t="str">
        <f t="array" ref="G308">XLOOKUP(D308,'source isilon_divまとめ'!A:A,'source isilon_divまとめ'!D:D,"×")</f>
        <v>×</v>
      </c>
    </row>
    <row r="309">
      <c r="A309" s="8" t="s">
        <v>1273</v>
      </c>
      <c r="B309" s="8" t="s">
        <v>1120</v>
      </c>
      <c r="C309" s="114" t="str">
        <f t="shared" si="1"/>
        <v>次世代エンターテインメント事業本部/マーケティング室</v>
      </c>
      <c r="D309" s="114" t="str">
        <f t="shared" si="2"/>
        <v>次世代エンターテインメント事業本部\マーケティング室</v>
      </c>
      <c r="E309" s="37" t="str">
        <f t="array" ref="E309">XLOOKUP(C309,'0file'!C:C,'0file'!C:C,"×")</f>
        <v>次世代エンターテインメント事業本部/マーケティング室</v>
      </c>
      <c r="F309" s="37" t="str">
        <f t="array" ref="F309">XLOOKUP(C309,'部署遍歴'!F:F,'部署遍歴'!D:D,"×")</f>
        <v>×</v>
      </c>
      <c r="G309" s="37" t="str">
        <f t="array" ref="G309">XLOOKUP(D309,'source isilon_divまとめ'!A:A,'source isilon_divまとめ'!D:D,"×")</f>
        <v>×</v>
      </c>
    </row>
    <row r="310">
      <c r="A310" s="8" t="s">
        <v>1273</v>
      </c>
      <c r="B310" s="8" t="s">
        <v>143</v>
      </c>
      <c r="C310" s="114" t="str">
        <f t="shared" si="1"/>
        <v>次世代エンターテインメント事業本部/TIPSTAR事業部</v>
      </c>
      <c r="D310" s="114" t="str">
        <f t="shared" si="2"/>
        <v>次世代エンターテインメント事業本部\TIPSTAR事業部</v>
      </c>
      <c r="E310" s="37" t="str">
        <f t="array" ref="E310">XLOOKUP(C310,'0file'!C:C,'0file'!C:C,"×")</f>
        <v>次世代エンターテインメント事業本部/TIPSTAR事業部</v>
      </c>
      <c r="F310" s="37" t="str">
        <f t="array" ref="F310">XLOOKUP(C310,'部署遍歴'!F:F,'部署遍歴'!D:D,"×")</f>
        <v>×</v>
      </c>
      <c r="G310" s="37" t="str">
        <f t="array" ref="G310">XLOOKUP(D310,'source isilon_divまとめ'!A:A,'source isilon_divまとめ'!D:D,"×")</f>
        <v>×</v>
      </c>
    </row>
    <row r="311">
      <c r="A311" s="8" t="s">
        <v>1273</v>
      </c>
      <c r="B311" s="8" t="s">
        <v>1148</v>
      </c>
      <c r="C311" s="114" t="str">
        <f t="shared" si="1"/>
        <v>次世代エンターテインメント事業本部/事業開発部</v>
      </c>
      <c r="D311" s="114" t="str">
        <f t="shared" si="2"/>
        <v>次世代エンターテインメント事業本部\事業開発部</v>
      </c>
      <c r="E311" s="37" t="str">
        <f t="array" ref="E311">XLOOKUP(C311,'0file'!C:C,'0file'!C:C,"×")</f>
        <v>次世代エンターテインメント事業本部/事業開発部</v>
      </c>
      <c r="F311" s="7" t="s">
        <v>1052</v>
      </c>
      <c r="G311" s="37" t="str">
        <f t="array" ref="G311">XLOOKUP(D311,'source isilon_divまとめ'!A:A,'source isilon_divまとめ'!D:D,"×")</f>
        <v>×</v>
      </c>
    </row>
    <row r="312">
      <c r="A312" s="8" t="s">
        <v>1273</v>
      </c>
      <c r="B312" s="8" t="s">
        <v>1183</v>
      </c>
      <c r="C312" s="114" t="str">
        <f t="shared" si="1"/>
        <v>次世代エンターテインメント事業本部/スポーツギフティング部</v>
      </c>
      <c r="D312" s="114" t="str">
        <f t="shared" si="2"/>
        <v>次世代エンターテインメント事業本部\スポーツギフティング部</v>
      </c>
      <c r="E312" s="37" t="str">
        <f t="array" ref="E312">XLOOKUP(C312,'0file'!C:C,'0file'!C:C,"×")</f>
        <v>次世代エンターテインメント事業本部/スポーツギフティング部</v>
      </c>
      <c r="F312" s="37" t="str">
        <f t="array" ref="F312">XLOOKUP(C312,'部署遍歴'!F:F,'部署遍歴'!D:D,"×")</f>
        <v>×</v>
      </c>
      <c r="G312" s="37" t="str">
        <f t="array" ref="G312">XLOOKUP(D312,'source isilon_divまとめ'!A:A,'source isilon_divまとめ'!D:D,"×")</f>
        <v>×</v>
      </c>
    </row>
    <row r="313">
      <c r="A313" s="8" t="s">
        <v>1273</v>
      </c>
      <c r="B313" s="8" t="s">
        <v>1274</v>
      </c>
      <c r="C313" s="114" t="str">
        <f t="shared" si="1"/>
        <v>次世代エンターテインメント事業本部/TIPSTAR開発部</v>
      </c>
      <c r="D313" s="114" t="str">
        <f t="shared" si="2"/>
        <v>次世代エンターテインメント事業本部\TIPSTAR開発部</v>
      </c>
      <c r="E313" s="37" t="str">
        <f t="array" ref="E313">XLOOKUP(C313,'0file'!C:C,'0file'!C:C,"×")</f>
        <v>次世代エンターテインメント事業本部/TIPSTAR開発部</v>
      </c>
      <c r="F313" s="37" t="str">
        <f t="array" ref="F313">XLOOKUP(C313,'部署遍歴'!F:F,'部署遍歴'!D:D,"×")</f>
        <v>×</v>
      </c>
      <c r="G313" s="37" t="str">
        <f t="array" ref="G313">XLOOKUP(D313,'source isilon_divまとめ'!A:A,'source isilon_divまとめ'!D:D,"×")</f>
        <v>×</v>
      </c>
    </row>
    <row r="314">
      <c r="A314" s="8" t="s">
        <v>1273</v>
      </c>
      <c r="B314" s="8" t="s">
        <v>1276</v>
      </c>
      <c r="C314" s="114" t="str">
        <f t="shared" si="1"/>
        <v>次世代エンターテインメント事業本部/ライブ動画ビジネス推進室</v>
      </c>
      <c r="D314" s="114" t="str">
        <f t="shared" si="2"/>
        <v>次世代エンターテインメント事業本部\ライブ動画ビジネス推進室</v>
      </c>
      <c r="E314" s="37" t="str">
        <f t="array" ref="E314">XLOOKUP(C314,'0file'!C:C,'0file'!C:C,"×")</f>
        <v>×</v>
      </c>
      <c r="F314" s="37" t="str">
        <f t="array" ref="F314">XLOOKUP(C314,'部署遍歴'!F:F,'部署遍歴'!D:D,"×")</f>
        <v>×</v>
      </c>
      <c r="G314" s="37" t="str">
        <f t="array" ref="G314">XLOOKUP(D314,'source isilon_divまとめ'!A:A,'source isilon_divまとめ'!D:D,"×")</f>
        <v>×</v>
      </c>
    </row>
    <row r="315">
      <c r="A315" s="8" t="s">
        <v>1273</v>
      </c>
      <c r="B315" s="8" t="s">
        <v>188</v>
      </c>
      <c r="C315" s="114" t="str">
        <f t="shared" si="1"/>
        <v>次世代エンターテインメント事業本部/社長室</v>
      </c>
      <c r="D315" s="114" t="str">
        <f t="shared" si="2"/>
        <v>次世代エンターテインメント事業本部\社長室</v>
      </c>
      <c r="E315" s="37" t="str">
        <f t="array" ref="E315">XLOOKUP(C315,'0file'!C:C,'0file'!C:C,"×")</f>
        <v>次世代エンターテインメント事業本部/社長室</v>
      </c>
      <c r="F315" s="37" t="str">
        <f t="array" ref="F315">XLOOKUP(C315,'部署遍歴'!F:F,'部署遍歴'!D:D,"×")</f>
        <v>事業企画部</v>
      </c>
      <c r="G315" s="37" t="str">
        <f t="array" ref="G315">XLOOKUP(D315,'source isilon_divまとめ'!A:A,'source isilon_divまとめ'!D:D,"×")</f>
        <v>×</v>
      </c>
    </row>
    <row r="316">
      <c r="A316" s="8" t="s">
        <v>1273</v>
      </c>
      <c r="B316" s="8" t="s">
        <v>1277</v>
      </c>
      <c r="C316" s="114" t="str">
        <f t="shared" si="1"/>
        <v>次世代エンターテインメント事業本部/ライブ動画プロダクト開発室</v>
      </c>
      <c r="D316" s="114" t="str">
        <f t="shared" si="2"/>
        <v>次世代エンターテインメント事業本部\ライブ動画プロダクト開発室</v>
      </c>
      <c r="E316" s="37" t="str">
        <f t="array" ref="E316">XLOOKUP(C316,'0file'!C:C,'0file'!C:C,"×")</f>
        <v>×</v>
      </c>
      <c r="F316" s="37" t="str">
        <f t="array" ref="F316">XLOOKUP(C316,'部署遍歴'!F:F,'部署遍歴'!D:D,"×")</f>
        <v>×</v>
      </c>
      <c r="G316" s="37" t="str">
        <f t="array" ref="G316">XLOOKUP(D316,'source isilon_divまとめ'!A:A,'source isilon_divまとめ'!D:D,"×")</f>
        <v>×</v>
      </c>
    </row>
    <row r="317">
      <c r="A317" s="8" t="s">
        <v>1273</v>
      </c>
      <c r="B317" s="8" t="s">
        <v>1151</v>
      </c>
      <c r="C317" s="114" t="str">
        <f t="shared" si="1"/>
        <v>次世代エンターテインメント事業本部/ブランド戦略室</v>
      </c>
      <c r="D317" s="114" t="str">
        <f t="shared" si="2"/>
        <v>次世代エンターテインメント事業本部\ブランド戦略室</v>
      </c>
      <c r="E317" s="37" t="str">
        <f t="array" ref="E317">XLOOKUP(C317,'0file'!C:C,'0file'!C:C,"×")</f>
        <v>次世代エンターテインメント事業本部/ブランド戦略室</v>
      </c>
      <c r="F317" s="7" t="s">
        <v>1052</v>
      </c>
      <c r="G317" s="37" t="str">
        <f t="array" ref="G317">XLOOKUP(D317,'source isilon_divまとめ'!A:A,'source isilon_divまとめ'!D:D,"×")</f>
        <v>×</v>
      </c>
    </row>
    <row r="318">
      <c r="A318" s="8" t="s">
        <v>1273</v>
      </c>
      <c r="B318" s="8" t="s">
        <v>1185</v>
      </c>
      <c r="C318" s="114" t="str">
        <f t="shared" si="1"/>
        <v>次世代エンターテインメント事業本部/ID・ペイメント事業部</v>
      </c>
      <c r="D318" s="114" t="str">
        <f t="shared" si="2"/>
        <v>次世代エンターテインメント事業本部\ID・ペイメント事業部</v>
      </c>
      <c r="E318" s="37" t="str">
        <f t="array" ref="E318">XLOOKUP(C318,'0file'!C:C,'0file'!C:C,"×")</f>
        <v>次世代エンターテインメント事業本部/ID・ペイメント事業部</v>
      </c>
      <c r="F318" s="37" t="str">
        <f t="array" ref="F318">XLOOKUP(C318,'部署遍歴'!F:F,'部署遍歴'!D:D,"×")</f>
        <v>MIXI M事業部</v>
      </c>
      <c r="G318" s="37" t="str">
        <f t="array" ref="G318">XLOOKUP(D318,'source isilon_divまとめ'!A:A,'source isilon_divまとめ'!D:D,"×")</f>
        <v>×</v>
      </c>
    </row>
    <row r="319">
      <c r="A319" s="8" t="s">
        <v>1273</v>
      </c>
      <c r="B319" s="8" t="s">
        <v>1278</v>
      </c>
      <c r="C319" s="114" t="str">
        <f t="shared" si="1"/>
        <v>次世代エンターテインメント事業本部/事業企画部</v>
      </c>
      <c r="D319" s="114" t="str">
        <f t="shared" si="2"/>
        <v>次世代エンターテインメント事業本部\事業企画部</v>
      </c>
      <c r="E319" s="37" t="str">
        <f t="array" ref="E319">XLOOKUP(C319,'0file'!C:C,'0file'!C:C,"×")</f>
        <v>次世代エンターテインメント事業本部/事業企画部</v>
      </c>
      <c r="F319" s="7" t="s">
        <v>1052</v>
      </c>
      <c r="G319" s="37" t="str">
        <f t="array" ref="G319">XLOOKUP(D319,'source isilon_divまとめ'!A:A,'source isilon_divまとめ'!D:D,"×")</f>
        <v>×</v>
      </c>
    </row>
    <row r="320">
      <c r="A320" s="8" t="s">
        <v>1273</v>
      </c>
      <c r="B320" s="8" t="s">
        <v>1262</v>
      </c>
      <c r="C320" s="114" t="str">
        <f t="shared" si="1"/>
        <v>次世代エンターテインメント事業本部/戦略室</v>
      </c>
      <c r="D320" s="114" t="str">
        <f t="shared" si="2"/>
        <v>次世代エンターテインメント事業本部\戦略室</v>
      </c>
      <c r="E320" s="37" t="str">
        <f t="array" ref="E320">XLOOKUP(C320,'0file'!C:C,'0file'!C:C,"×")</f>
        <v>次世代エンターテインメント事業本部/戦略室</v>
      </c>
      <c r="F320" s="37" t="str">
        <f t="array" ref="F320">XLOOKUP(C320,'部署遍歴'!F:F,'部署遍歴'!D:D,"×")</f>
        <v>×</v>
      </c>
      <c r="G320" s="37" t="str">
        <f t="array" ref="G320">XLOOKUP(D320,'source isilon_divまとめ'!A:A,'source isilon_divまとめ'!D:D,"×")</f>
        <v>×</v>
      </c>
    </row>
    <row r="321">
      <c r="A321" s="8" t="s">
        <v>1273</v>
      </c>
      <c r="B321" s="8" t="s">
        <v>1279</v>
      </c>
      <c r="C321" s="114" t="str">
        <f t="shared" si="1"/>
        <v>次世代エンターテインメント事業本部/PIST6事業部</v>
      </c>
      <c r="D321" s="114" t="str">
        <f t="shared" si="2"/>
        <v>次世代エンターテインメント事業本部\PIST6事業部</v>
      </c>
      <c r="E321" s="37" t="str">
        <f t="array" ref="E321">XLOOKUP(C321,'0file'!C:C,'0file'!C:C,"×")</f>
        <v>次世代エンターテインメント事業本部/PIST6事業部</v>
      </c>
      <c r="F321" s="37" t="str">
        <f t="array" ref="F321">XLOOKUP(C321,'部署遍歴'!F:F,'部署遍歴'!D:D,"×")</f>
        <v>×</v>
      </c>
      <c r="G321" s="37" t="str">
        <f t="array" ref="G321">XLOOKUP(D321,'source isilon_divまとめ'!A:A,'source isilon_divまとめ'!D:D,"×")</f>
        <v>×</v>
      </c>
    </row>
    <row r="322">
      <c r="A322" s="8" t="s">
        <v>1273</v>
      </c>
      <c r="B322" s="8" t="s">
        <v>1280</v>
      </c>
      <c r="C322" s="114" t="str">
        <f t="shared" si="1"/>
        <v>次世代エンターテインメント事業本部/TIPSTAR事業企画部</v>
      </c>
      <c r="D322" s="114" t="str">
        <f t="shared" si="2"/>
        <v>次世代エンターテインメント事業本部\TIPSTAR事業企画部</v>
      </c>
      <c r="E322" s="37" t="str">
        <f t="array" ref="E322">XLOOKUP(C322,'0file'!C:C,'0file'!C:C,"×")</f>
        <v>次世代エンターテインメント事業本部/TIPSTAR事業企画部</v>
      </c>
      <c r="F322" s="37" t="str">
        <f t="array" ref="F322">XLOOKUP(C322,'部署遍歴'!F:F,'部署遍歴'!D:D,"×")</f>
        <v>×</v>
      </c>
      <c r="G322" s="37" t="str">
        <f t="array" ref="G322">XLOOKUP(D322,'source isilon_divまとめ'!A:A,'source isilon_divまとめ'!D:D,"×")</f>
        <v>×</v>
      </c>
    </row>
    <row r="323">
      <c r="A323" s="8" t="s">
        <v>1273</v>
      </c>
      <c r="B323" s="8" t="s">
        <v>1111</v>
      </c>
      <c r="C323" s="114" t="str">
        <f t="shared" si="1"/>
        <v>次世代エンターテインメント事業本部/本部共有</v>
      </c>
      <c r="D323" s="114" t="str">
        <f t="shared" si="2"/>
        <v>次世代エンターテインメント事業本部\本部共有</v>
      </c>
      <c r="E323" s="37" t="str">
        <f t="array" ref="E323">XLOOKUP(C323,'0file'!C:C,'0file'!C:C,"×")</f>
        <v>次世代エンターテインメント事業本部/本部共有</v>
      </c>
      <c r="F323" s="37" t="str">
        <f t="array" ref="F323">XLOOKUP(C323,'部署遍歴'!F:F,'部署遍歴'!D:D,"×")</f>
        <v>×</v>
      </c>
      <c r="G323" s="37" t="str">
        <f t="array" ref="G323">XLOOKUP(D323,'source isilon_divまとめ'!A:A,'source isilon_divまとめ'!D:D,"×")</f>
        <v>×</v>
      </c>
    </row>
    <row r="324">
      <c r="A324" s="8" t="s">
        <v>1273</v>
      </c>
      <c r="B324" s="8" t="s">
        <v>1187</v>
      </c>
      <c r="C324" s="114" t="str">
        <f t="shared" si="1"/>
        <v>次世代エンターテインメント事業本部/ビジネス開発室</v>
      </c>
      <c r="D324" s="114" t="str">
        <f t="shared" si="2"/>
        <v>次世代エンターテインメント事業本部\ビジネス開発室</v>
      </c>
      <c r="E324" s="37" t="str">
        <f t="array" ref="E324">XLOOKUP(C324,'0file'!C:C,'0file'!C:C,"×")</f>
        <v>次世代エンターテインメント事業本部/ビジネス開発室</v>
      </c>
      <c r="F324" s="7" t="s">
        <v>1052</v>
      </c>
      <c r="G324" s="37" t="str">
        <f t="array" ref="G324">XLOOKUP(D324,'source isilon_divまとめ'!A:A,'source isilon_divまとめ'!D:D,"×")</f>
        <v>×</v>
      </c>
    </row>
    <row r="325">
      <c r="A325" s="8" t="s">
        <v>1273</v>
      </c>
      <c r="B325" s="8" t="s">
        <v>1189</v>
      </c>
      <c r="C325" s="114" t="str">
        <f t="shared" si="1"/>
        <v>次世代エンターテインメント事業本部/次世代エンターテインメント室</v>
      </c>
      <c r="D325" s="114" t="str">
        <f t="shared" si="2"/>
        <v>次世代エンターテインメント事業本部\次世代エンターテインメント室</v>
      </c>
      <c r="E325" s="37" t="str">
        <f t="array" ref="E325">XLOOKUP(C325,'0file'!C:C,'0file'!C:C,"×")</f>
        <v>×</v>
      </c>
      <c r="F325" s="37" t="str">
        <f t="array" ref="F325">XLOOKUP(C325,'部署遍歴'!F:F,'部署遍歴'!D:D,"×")</f>
        <v>×</v>
      </c>
      <c r="G325" s="37" t="str">
        <f t="array" ref="G325">XLOOKUP(D325,'source isilon_divまとめ'!A:A,'source isilon_divまとめ'!D:D,"×")</f>
        <v>×</v>
      </c>
    </row>
    <row r="326">
      <c r="A326" s="8" t="s">
        <v>1273</v>
      </c>
      <c r="B326" s="8" t="s">
        <v>1281</v>
      </c>
      <c r="C326" s="114" t="str">
        <f t="shared" si="1"/>
        <v>次世代エンターテインメント事業本部/TIPSTAR企画運営部</v>
      </c>
      <c r="D326" s="114" t="str">
        <f t="shared" si="2"/>
        <v>次世代エンターテインメント事業本部\TIPSTAR企画運営部</v>
      </c>
      <c r="E326" s="37" t="str">
        <f t="array" ref="E326">XLOOKUP(C326,'0file'!C:C,'0file'!C:C,"×")</f>
        <v>次世代エンターテインメント事業本部/TIPSTAR企画運営部</v>
      </c>
      <c r="F326" s="7" t="s">
        <v>1052</v>
      </c>
      <c r="G326" s="37" t="str">
        <f t="array" ref="G326">XLOOKUP(D326,'source isilon_divまとめ'!A:A,'source isilon_divまとめ'!D:D,"×")</f>
        <v>×</v>
      </c>
    </row>
    <row r="327">
      <c r="A327" s="8" t="s">
        <v>1273</v>
      </c>
      <c r="B327" s="8" t="s">
        <v>1191</v>
      </c>
      <c r="C327" s="114" t="str">
        <f t="shared" si="1"/>
        <v>次世代エンターテインメント事業本部/ライブ動画プラットフォーム事業部</v>
      </c>
      <c r="D327" s="114" t="str">
        <f t="shared" si="2"/>
        <v>次世代エンターテインメント事業本部\ライブ動画プラットフォーム事業部</v>
      </c>
      <c r="E327" s="37" t="str">
        <f t="array" ref="E327">XLOOKUP(C327,'0file'!C:C,'0file'!C:C,"×")</f>
        <v>次世代エンターテインメント事業本部/ライブ動画プラットフォーム事業部</v>
      </c>
      <c r="F327" s="37" t="str">
        <f t="array" ref="F327">XLOOKUP(C327,'部署遍歴'!F:F,'部署遍歴'!D:D,"×")</f>
        <v>×</v>
      </c>
      <c r="G327" s="37" t="str">
        <f t="array" ref="G327">XLOOKUP(D327,'source isilon_divまとめ'!A:A,'source isilon_divまとめ'!D:D,"×")</f>
        <v>×</v>
      </c>
    </row>
    <row r="328">
      <c r="A328" s="8" t="s">
        <v>1282</v>
      </c>
      <c r="B328" s="8" t="s">
        <v>1193</v>
      </c>
      <c r="C328" s="114" t="str">
        <f t="shared" si="1"/>
        <v>XFLAG開発本部/XFLAG事業推進室</v>
      </c>
      <c r="D328" s="114" t="str">
        <f t="shared" si="2"/>
        <v>XFLAG開発本部\XFLAG事業推進室</v>
      </c>
      <c r="E328" s="37" t="str">
        <f t="array" ref="E328">XLOOKUP(C328,'0file'!C:C,'0file'!C:C,"×")</f>
        <v>XFLAG開発本部/XFLAG事業推進室</v>
      </c>
      <c r="F328" s="37" t="str">
        <f t="array" ref="F328">XLOOKUP(C328,'部署遍歴'!F:F,'部署遍歴'!D:D,"×")</f>
        <v>×</v>
      </c>
      <c r="G328" s="37" t="str">
        <f t="array" ref="G328">XLOOKUP(D328,'source isilon_divまとめ'!A:A,'source isilon_divまとめ'!D:D,"×")</f>
        <v>×</v>
      </c>
    </row>
    <row r="329">
      <c r="A329" s="8" t="s">
        <v>1282</v>
      </c>
      <c r="B329" s="8" t="s">
        <v>1111</v>
      </c>
      <c r="C329" s="114" t="str">
        <f t="shared" si="1"/>
        <v>XFLAG開発本部/本部共有</v>
      </c>
      <c r="D329" s="114" t="str">
        <f t="shared" si="2"/>
        <v>XFLAG開発本部\本部共有</v>
      </c>
      <c r="E329" s="37" t="str">
        <f t="array" ref="E329">XLOOKUP(C329,'0file'!C:C,'0file'!C:C,"×")</f>
        <v>XFLAG開発本部/本部共有</v>
      </c>
      <c r="F329" s="37" t="str">
        <f t="array" ref="F329">XLOOKUP(C329,'部署遍歴'!F:F,'部署遍歴'!D:D,"×")</f>
        <v>×</v>
      </c>
      <c r="G329" s="37" t="str">
        <f t="array" ref="G329">XLOOKUP(D329,'source isilon_divまとめ'!A:A,'source isilon_divまとめ'!D:D,"×")</f>
        <v>×</v>
      </c>
    </row>
    <row r="330">
      <c r="A330" s="8" t="s">
        <v>298</v>
      </c>
      <c r="B330" s="8" t="s">
        <v>1283</v>
      </c>
      <c r="C330" s="114" t="str">
        <f t="shared" si="1"/>
        <v>はたらく環境推進本部/社内IT室</v>
      </c>
      <c r="D330" s="114" t="str">
        <f t="shared" si="2"/>
        <v>はたらく環境推進本部\社内IT室</v>
      </c>
      <c r="E330" s="37" t="str">
        <f t="array" ref="E330">XLOOKUP(C330,'0file'!C:C,'0file'!C:C,"×")</f>
        <v>×</v>
      </c>
      <c r="F330" s="37" t="str">
        <f t="array" ref="F330">XLOOKUP(C330,'部署遍歴'!F:F,'部署遍歴'!D:D,"×")</f>
        <v>×</v>
      </c>
      <c r="G330" s="37" t="str">
        <f t="array" ref="G330">XLOOKUP(D330,'source isilon_divまとめ'!A:A,'source isilon_divまとめ'!D:D,"×")</f>
        <v>×</v>
      </c>
    </row>
    <row r="331">
      <c r="A331" s="8" t="s">
        <v>298</v>
      </c>
      <c r="B331" s="8" t="s">
        <v>798</v>
      </c>
      <c r="C331" s="114" t="str">
        <f t="shared" si="1"/>
        <v>はたらく環境推進本部/コーポレートエンジニアリング部</v>
      </c>
      <c r="D331" s="114" t="str">
        <f t="shared" si="2"/>
        <v>はたらく環境推進本部\コーポレートエンジニアリング部</v>
      </c>
      <c r="E331" s="37" t="str">
        <f t="array" ref="E331">XLOOKUP(C331,'0file'!C:C,'0file'!C:C,"×")</f>
        <v>×</v>
      </c>
      <c r="F331" s="37" t="str">
        <f t="array" ref="F331">XLOOKUP(C331,'部署遍歴'!F:F,'部署遍歴'!D:D,"×")</f>
        <v>×</v>
      </c>
      <c r="G331" s="37" t="str">
        <f t="array" ref="G331">XLOOKUP(D331,'source isilon_divまとめ'!A:A,'source isilon_divまとめ'!D:D,"×")</f>
        <v>×</v>
      </c>
    </row>
    <row r="332">
      <c r="A332" s="8" t="s">
        <v>298</v>
      </c>
      <c r="B332" s="8" t="s">
        <v>1284</v>
      </c>
      <c r="C332" s="114" t="str">
        <f t="shared" si="1"/>
        <v>はたらく環境推進本部/コーポレートITサービス部</v>
      </c>
      <c r="D332" s="114" t="str">
        <f t="shared" si="2"/>
        <v>はたらく環境推進本部\コーポレートITサービス部</v>
      </c>
      <c r="E332" s="37" t="str">
        <f t="array" ref="E332">XLOOKUP(C332,'0file'!C:C,'0file'!C:C,"×")</f>
        <v>×</v>
      </c>
      <c r="F332" s="37" t="str">
        <f t="array" ref="F332">XLOOKUP(C332,'部署遍歴'!F:F,'部署遍歴'!D:D,"×")</f>
        <v>×</v>
      </c>
      <c r="G332" s="37" t="str">
        <f t="array" ref="G332">XLOOKUP(D332,'source isilon_divまとめ'!A:A,'source isilon_divまとめ'!D:D,"×")</f>
        <v>×</v>
      </c>
    </row>
    <row r="333">
      <c r="A333" s="8" t="s">
        <v>298</v>
      </c>
      <c r="B333" s="8" t="s">
        <v>802</v>
      </c>
      <c r="C333" s="114" t="str">
        <f t="shared" si="1"/>
        <v>はたらく環境推進本部/ビジネスサポート室</v>
      </c>
      <c r="D333" s="114" t="str">
        <f t="shared" si="2"/>
        <v>はたらく環境推進本部\ビジネスサポート室</v>
      </c>
      <c r="E333" s="37" t="str">
        <f t="array" ref="E333">XLOOKUP(C333,'0file'!C:C,'0file'!C:C,"×")</f>
        <v>×</v>
      </c>
      <c r="F333" s="37" t="str">
        <f t="array" ref="F333">XLOOKUP(C333,'部署遍歴'!F:F,'部署遍歴'!D:D,"×")</f>
        <v>×</v>
      </c>
      <c r="G333" s="37" t="str">
        <f t="array" ref="G333">XLOOKUP(D333,'source isilon_divまとめ'!A:A,'source isilon_divまとめ'!D:D,"×")</f>
        <v>×</v>
      </c>
    </row>
    <row r="334">
      <c r="A334" s="8" t="s">
        <v>298</v>
      </c>
      <c r="B334" s="8" t="s">
        <v>1111</v>
      </c>
      <c r="C334" s="114" t="str">
        <f t="shared" si="1"/>
        <v>はたらく環境推進本部/本部共有</v>
      </c>
      <c r="D334" s="114" t="str">
        <f t="shared" si="2"/>
        <v>はたらく環境推進本部\本部共有</v>
      </c>
      <c r="E334" s="37" t="str">
        <f t="array" ref="E334">XLOOKUP(C334,'0file'!C:C,'0file'!C:C,"×")</f>
        <v>×</v>
      </c>
      <c r="F334" s="37" t="str">
        <f t="array" ref="F334">XLOOKUP(C334,'部署遍歴'!F:F,'部署遍歴'!D:D,"×")</f>
        <v>×</v>
      </c>
      <c r="G334" s="37" t="str">
        <f t="array" ref="G334">XLOOKUP(D334,'source isilon_divまとめ'!A:A,'source isilon_divまとめ'!D:D,"×")</f>
        <v>×</v>
      </c>
    </row>
    <row r="335">
      <c r="A335" s="8" t="s">
        <v>298</v>
      </c>
      <c r="B335" s="8" t="s">
        <v>304</v>
      </c>
      <c r="C335" s="114" t="str">
        <f t="shared" si="1"/>
        <v>はたらく環境推進本部/せいかつ環境室</v>
      </c>
      <c r="D335" s="114" t="str">
        <f t="shared" si="2"/>
        <v>はたらく環境推進本部\せいかつ環境室</v>
      </c>
      <c r="E335" s="37" t="str">
        <f t="array" ref="E335">XLOOKUP(C335,'0file'!C:C,'0file'!C:C,"×")</f>
        <v>×</v>
      </c>
      <c r="F335" s="37" t="str">
        <f t="array" ref="F335">XLOOKUP(C335,'部署遍歴'!F:F,'部署遍歴'!D:D,"×")</f>
        <v>×</v>
      </c>
      <c r="G335" s="37" t="str">
        <f t="array" ref="G335">XLOOKUP(D335,'source isilon_divまとめ'!A:A,'source isilon_divまとめ'!D:D,"×")</f>
        <v>×</v>
      </c>
    </row>
    <row r="336">
      <c r="A336" s="8" t="s">
        <v>583</v>
      </c>
      <c r="B336" s="8" t="s">
        <v>1104</v>
      </c>
      <c r="C336" s="114" t="str">
        <f t="shared" si="1"/>
        <v>エンターテインメントクリエイション室/室共有</v>
      </c>
      <c r="D336" s="114" t="str">
        <f t="shared" si="2"/>
        <v>エンターテインメントクリエイション室\室共有</v>
      </c>
      <c r="E336" s="37" t="str">
        <f t="array" ref="E336">XLOOKUP(C336,'0file'!C:C,'0file'!C:C,"×")</f>
        <v>エンターテインメントクリエイション室/室共有</v>
      </c>
      <c r="F336" s="37" t="str">
        <f t="array" ref="F336">XLOOKUP(C336,'部署遍歴'!F:F,'部署遍歴'!D:D,"×")</f>
        <v>×</v>
      </c>
      <c r="G336" s="37" t="str">
        <f t="array" ref="G336">XLOOKUP(D336,'source isilon_divまとめ'!A:A,'source isilon_divまとめ'!D:D,"×")</f>
        <v>×</v>
      </c>
    </row>
    <row r="337">
      <c r="A337" s="8" t="s">
        <v>1285</v>
      </c>
      <c r="B337" s="8" t="s">
        <v>1111</v>
      </c>
      <c r="C337" s="114" t="str">
        <f t="shared" si="1"/>
        <v>事業開発本部/本部共有</v>
      </c>
      <c r="D337" s="114" t="str">
        <f t="shared" si="2"/>
        <v>事業開発本部\本部共有</v>
      </c>
      <c r="E337" s="37" t="str">
        <f t="array" ref="E337">XLOOKUP(C337,'0file'!C:C,'0file'!C:C,"×")</f>
        <v>事業開発本部/本部共有</v>
      </c>
      <c r="F337" s="37" t="str">
        <f t="array" ref="F337">XLOOKUP(C337,'部署遍歴'!F:F,'部署遍歴'!D:D,"×")</f>
        <v>×</v>
      </c>
      <c r="G337" s="37" t="str">
        <f t="array" ref="G337">XLOOKUP(D337,'source isilon_divまとめ'!A:A,'source isilon_divまとめ'!D:D,"×")</f>
        <v>×</v>
      </c>
    </row>
    <row r="338">
      <c r="A338" s="8" t="s">
        <v>1285</v>
      </c>
      <c r="B338" s="8" t="s">
        <v>359</v>
      </c>
      <c r="C338" s="114" t="str">
        <f t="shared" si="1"/>
        <v>事業開発本部/事業開発室</v>
      </c>
      <c r="D338" s="114" t="str">
        <f t="shared" si="2"/>
        <v>事業開発本部\事業開発室</v>
      </c>
      <c r="E338" s="37" t="str">
        <f t="array" ref="E338">XLOOKUP(C338,'0file'!C:C,'0file'!C:C,"×")</f>
        <v>事業開発本部/事業開発室</v>
      </c>
      <c r="F338" s="37" t="str">
        <f t="array" ref="F338">XLOOKUP(C338,'部署遍歴'!F:F,'部署遍歴'!D:D,"×")</f>
        <v>×</v>
      </c>
      <c r="G338" s="37" t="str">
        <f t="array" ref="G338">XLOOKUP(D338,'source isilon_divまとめ'!A:A,'source isilon_divまとめ'!D:D,"×")</f>
        <v>×</v>
      </c>
    </row>
    <row r="339">
      <c r="A339" s="8" t="s">
        <v>1285</v>
      </c>
      <c r="B339" s="8" t="s">
        <v>43</v>
      </c>
      <c r="C339" s="114" t="str">
        <f t="shared" si="1"/>
        <v>事業開発本部/事業推進室</v>
      </c>
      <c r="D339" s="114" t="str">
        <f t="shared" si="2"/>
        <v>事業開発本部\事業推進室</v>
      </c>
      <c r="E339" s="37" t="str">
        <f t="array" ref="E339">XLOOKUP(C339,'0file'!C:C,'0file'!C:C,"×")</f>
        <v>事業開発本部/事業推進室</v>
      </c>
      <c r="F339" s="37" t="str">
        <f t="array" ref="F339">XLOOKUP(C339,'部署遍歴'!F:F,'部署遍歴'!D:D,"×")</f>
        <v>×</v>
      </c>
      <c r="G339" s="37" t="str">
        <f t="array" ref="G339">XLOOKUP(D339,'source isilon_divまとめ'!A:A,'source isilon_divまとめ'!D:D,"×")</f>
        <v>×</v>
      </c>
    </row>
    <row r="340">
      <c r="A340" s="8" t="s">
        <v>1214</v>
      </c>
      <c r="B340" s="8" t="s">
        <v>1286</v>
      </c>
      <c r="C340" s="114" t="str">
        <f t="shared" si="1"/>
        <v>イノベーションセンター/live4uG</v>
      </c>
      <c r="D340" s="114" t="str">
        <f t="shared" si="2"/>
        <v>イノベーションセンター\live4uG</v>
      </c>
      <c r="E340" s="37" t="str">
        <f t="array" ref="E340">XLOOKUP(C340,'0file'!C:C,'0file'!C:C,"×")</f>
        <v>イノベーションセンター/live4uG</v>
      </c>
      <c r="F340" s="37" t="str">
        <f t="array" ref="F340">XLOOKUP(C340,'部署遍歴'!F:F,'部署遍歴'!D:D,"×")</f>
        <v>×</v>
      </c>
      <c r="G340" s="37" t="str">
        <f t="array" ref="G340">XLOOKUP(D340,'source isilon_divまとめ'!A:A,'source isilon_divまとめ'!D:D,"×")</f>
        <v>×</v>
      </c>
    </row>
    <row r="341">
      <c r="A341" s="8" t="s">
        <v>1214</v>
      </c>
      <c r="B341" s="8" t="s">
        <v>1287</v>
      </c>
      <c r="C341" s="114" t="str">
        <f t="shared" si="1"/>
        <v>イノベーションセンター/イノベーションG</v>
      </c>
      <c r="D341" s="114" t="str">
        <f t="shared" si="2"/>
        <v>イノベーションセンター\イノベーションG</v>
      </c>
      <c r="E341" s="37" t="str">
        <f t="array" ref="E341">XLOOKUP(C341,'0file'!C:C,'0file'!C:C,"×")</f>
        <v>×</v>
      </c>
      <c r="F341" s="37" t="str">
        <f t="array" ref="F341">XLOOKUP(C341,'部署遍歴'!F:F,'部署遍歴'!D:D,"×")</f>
        <v>×</v>
      </c>
      <c r="G341" s="37" t="str">
        <f t="array" ref="G341">XLOOKUP(D341,'source isilon_divまとめ'!A:A,'source isilon_divまとめ'!D:D,"×")</f>
        <v>×</v>
      </c>
    </row>
    <row r="342">
      <c r="A342" s="8" t="s">
        <v>1214</v>
      </c>
      <c r="B342" s="8" t="s">
        <v>1288</v>
      </c>
      <c r="C342" s="114" t="str">
        <f t="shared" si="1"/>
        <v>イノベーションセンター/muukG</v>
      </c>
      <c r="D342" s="114" t="str">
        <f t="shared" si="2"/>
        <v>イノベーションセンター\muukG</v>
      </c>
      <c r="E342" s="37" t="str">
        <f t="array" ref="E342">XLOOKUP(C342,'0file'!C:C,'0file'!C:C,"×")</f>
        <v>イノベーションセンター/muukG</v>
      </c>
      <c r="F342" s="37" t="str">
        <f t="array" ref="F342">XLOOKUP(C342,'部署遍歴'!F:F,'部署遍歴'!D:D,"×")</f>
        <v>×</v>
      </c>
      <c r="G342" s="37" t="str">
        <f t="array" ref="G342">XLOOKUP(D342,'source isilon_divまとめ'!A:A,'source isilon_divまとめ'!D:D,"×")</f>
        <v>×</v>
      </c>
    </row>
    <row r="343">
      <c r="A343" s="8" t="s">
        <v>1214</v>
      </c>
      <c r="B343" s="8" t="s">
        <v>1289</v>
      </c>
      <c r="C343" s="114" t="str">
        <f t="shared" si="1"/>
        <v>イノベーションセンター/みてねG</v>
      </c>
      <c r="D343" s="114" t="str">
        <f t="shared" si="2"/>
        <v>イノベーションセンター\みてねG</v>
      </c>
      <c r="E343" s="37" t="str">
        <f t="array" ref="E343">XLOOKUP(C343,'0file'!C:C,'0file'!C:C,"×")</f>
        <v>イノベーションセンター/みてねG</v>
      </c>
      <c r="F343" s="37" t="str">
        <f t="array" ref="F343">XLOOKUP(C343,'部署遍歴'!F:F,'部署遍歴'!D:D,"×")</f>
        <v>×</v>
      </c>
      <c r="G343" s="37" t="str">
        <f t="array" ref="G343">XLOOKUP(D343,'source isilon_divまとめ'!A:A,'source isilon_divまとめ'!D:D,"×")</f>
        <v>×</v>
      </c>
    </row>
    <row r="344">
      <c r="A344" s="8" t="s">
        <v>1214</v>
      </c>
      <c r="B344" s="8" t="s">
        <v>1290</v>
      </c>
      <c r="C344" s="114" t="str">
        <f t="shared" si="1"/>
        <v>イノベーションセンター/minimoG</v>
      </c>
      <c r="D344" s="114" t="str">
        <f t="shared" si="2"/>
        <v>イノベーションセンター\minimoG</v>
      </c>
      <c r="E344" s="37" t="str">
        <f t="array" ref="E344">XLOOKUP(C344,'0file'!C:C,'0file'!C:C,"×")</f>
        <v>イノベーションセンター/minimoG</v>
      </c>
      <c r="F344" s="37" t="str">
        <f t="array" ref="F344">XLOOKUP(C344,'部署遍歴'!F:F,'部署遍歴'!D:D,"×")</f>
        <v>×</v>
      </c>
      <c r="G344" s="37" t="str">
        <f t="array" ref="G344">XLOOKUP(D344,'source isilon_divまとめ'!A:A,'source isilon_divまとめ'!D:D,"×")</f>
        <v>×</v>
      </c>
    </row>
    <row r="345">
      <c r="A345" s="8" t="s">
        <v>1214</v>
      </c>
      <c r="B345" s="8" t="s">
        <v>1292</v>
      </c>
      <c r="C345" s="114" t="str">
        <f t="shared" si="1"/>
        <v>イノベーションセンター/DeployGateG</v>
      </c>
      <c r="D345" s="114" t="str">
        <f t="shared" si="2"/>
        <v>イノベーションセンター\DeployGateG</v>
      </c>
      <c r="E345" s="37" t="str">
        <f t="array" ref="E345">XLOOKUP(C345,'0file'!C:C,'0file'!C:C,"×")</f>
        <v>イノベーションセンター/DeployGateG</v>
      </c>
      <c r="F345" s="37" t="str">
        <f t="array" ref="F345">XLOOKUP(C345,'部署遍歴'!F:F,'部署遍歴'!D:D,"×")</f>
        <v>×</v>
      </c>
      <c r="G345" s="37" t="str">
        <f t="array" ref="G345">XLOOKUP(D345,'source isilon_divまとめ'!A:A,'source isilon_divまとめ'!D:D,"×")</f>
        <v>×</v>
      </c>
    </row>
    <row r="346">
      <c r="A346" s="8" t="s">
        <v>1214</v>
      </c>
      <c r="B346" s="8" t="s">
        <v>1104</v>
      </c>
      <c r="C346" s="114" t="str">
        <f t="shared" si="1"/>
        <v>イノベーションセンター/室共有</v>
      </c>
      <c r="D346" s="114" t="str">
        <f t="shared" si="2"/>
        <v>イノベーションセンター\室共有</v>
      </c>
      <c r="E346" s="37" t="str">
        <f t="array" ref="E346">XLOOKUP(C346,'0file'!C:C,'0file'!C:C,"×")</f>
        <v>×</v>
      </c>
      <c r="F346" s="37" t="str">
        <f t="array" ref="F346">XLOOKUP(C346,'部署遍歴'!F:F,'部署遍歴'!D:D,"×")</f>
        <v>×</v>
      </c>
      <c r="G346" s="37" t="str">
        <f t="array" ref="G346">XLOOKUP(D346,'source isilon_divまとめ'!A:A,'source isilon_divまとめ'!D:D,"×")</f>
        <v>×</v>
      </c>
    </row>
    <row r="347">
      <c r="A347" s="8" t="s">
        <v>1293</v>
      </c>
      <c r="B347" s="8" t="s">
        <v>1294</v>
      </c>
      <c r="C347" s="114" t="str">
        <f t="shared" si="1"/>
        <v>統括管理本部/コーポレート・コミュニケーション室</v>
      </c>
      <c r="D347" s="114" t="str">
        <f t="shared" si="2"/>
        <v>統括管理本部\コーポレート・コミュニケーション室</v>
      </c>
      <c r="E347" s="37" t="str">
        <f t="array" ref="E347">XLOOKUP(C347,'0file'!C:C,'0file'!C:C,"×")</f>
        <v>統括管理本部/コーポレート・コミュニケーション室</v>
      </c>
      <c r="F347" s="37" t="str">
        <f t="array" ref="F347">XLOOKUP(C347,'部署遍歴'!F:F,'部署遍歴'!D:D,"×")</f>
        <v>×</v>
      </c>
      <c r="G347" s="37" t="str">
        <f t="array" ref="G347">XLOOKUP(D347,'source isilon_divまとめ'!A:A,'source isilon_divまとめ'!D:D,"×")</f>
        <v>×</v>
      </c>
    </row>
    <row r="348">
      <c r="A348" s="8" t="s">
        <v>1293</v>
      </c>
      <c r="B348" s="8" t="s">
        <v>4</v>
      </c>
      <c r="C348" s="114" t="str">
        <f t="shared" si="1"/>
        <v>統括管理本部/CS部</v>
      </c>
      <c r="D348" s="114" t="str">
        <f t="shared" si="2"/>
        <v>統括管理本部\CS部</v>
      </c>
      <c r="E348" s="37" t="str">
        <f t="array" ref="E348">XLOOKUP(C348,'0file'!C:C,'0file'!C:C,"×")</f>
        <v>×</v>
      </c>
      <c r="F348" s="37" t="str">
        <f t="array" ref="F348">XLOOKUP(C348,'部署遍歴'!F:F,'部署遍歴'!D:D,"×")</f>
        <v>×</v>
      </c>
      <c r="G348" s="37" t="str">
        <f t="array" ref="G348">XLOOKUP(D348,'source isilon_divまとめ'!A:A,'source isilon_divまとめ'!D:D,"×")</f>
        <v>×</v>
      </c>
    </row>
    <row r="349">
      <c r="A349" s="8" t="s">
        <v>1293</v>
      </c>
      <c r="B349" s="8" t="s">
        <v>104</v>
      </c>
      <c r="C349" s="114" t="str">
        <f t="shared" si="1"/>
        <v>統括管理本部/法務部</v>
      </c>
      <c r="D349" s="114" t="str">
        <f t="shared" si="2"/>
        <v>統括管理本部\法務部</v>
      </c>
      <c r="E349" s="37" t="str">
        <f t="array" ref="E349">XLOOKUP(C349,'0file'!C:C,'0file'!C:C,"×")</f>
        <v>×</v>
      </c>
      <c r="F349" s="37" t="str">
        <f t="array" ref="F349">XLOOKUP(C349,'部署遍歴'!F:F,'部署遍歴'!D:D,"×")</f>
        <v>×</v>
      </c>
      <c r="G349" s="37" t="str">
        <f t="array" ref="G349">XLOOKUP(D349,'source isilon_divまとめ'!A:A,'source isilon_divまとめ'!D:D,"×")</f>
        <v>×</v>
      </c>
    </row>
    <row r="350">
      <c r="A350" s="8" t="s">
        <v>1293</v>
      </c>
      <c r="B350" s="8" t="s">
        <v>441</v>
      </c>
      <c r="C350" s="114" t="str">
        <f t="shared" si="1"/>
        <v>統括管理本部/広報部</v>
      </c>
      <c r="D350" s="114" t="str">
        <f t="shared" si="2"/>
        <v>統括管理本部\広報部</v>
      </c>
      <c r="E350" s="37" t="str">
        <f t="array" ref="E350">XLOOKUP(C350,'0file'!C:C,'0file'!C:C,"×")</f>
        <v>×</v>
      </c>
      <c r="F350" s="37" t="str">
        <f t="array" ref="F350">XLOOKUP(C350,'部署遍歴'!F:F,'部署遍歴'!D:D,"×")</f>
        <v>×</v>
      </c>
      <c r="G350" s="37" t="str">
        <f t="array" ref="G350">XLOOKUP(D350,'source isilon_divまとめ'!A:A,'source isilon_divまとめ'!D:D,"×")</f>
        <v>×</v>
      </c>
    </row>
    <row r="351">
      <c r="A351" s="8" t="s">
        <v>1293</v>
      </c>
      <c r="B351" s="8" t="s">
        <v>953</v>
      </c>
      <c r="C351" s="114" t="str">
        <f t="shared" si="1"/>
        <v>統括管理本部/エンパワーメント推進室</v>
      </c>
      <c r="D351" s="114" t="str">
        <f t="shared" si="2"/>
        <v>統括管理本部\エンパワーメント推進室</v>
      </c>
      <c r="E351" s="37" t="str">
        <f t="array" ref="E351">XLOOKUP(C351,'0file'!C:C,'0file'!C:C,"×")</f>
        <v>統括管理本部/エンパワーメント推進室</v>
      </c>
      <c r="F351" s="37" t="str">
        <f t="array" ref="F351">XLOOKUP(C351,'部署遍歴'!F:F,'部署遍歴'!D:D,"×")</f>
        <v>×</v>
      </c>
      <c r="G351" s="37" t="str">
        <f t="array" ref="G351">XLOOKUP(D351,'source isilon_divまとめ'!A:A,'source isilon_divまとめ'!D:D,"×")</f>
        <v>×</v>
      </c>
    </row>
    <row r="352">
      <c r="A352" s="8" t="s">
        <v>1293</v>
      </c>
      <c r="B352" s="8" t="s">
        <v>1111</v>
      </c>
      <c r="C352" s="114" t="str">
        <f t="shared" si="1"/>
        <v>統括管理本部/本部共有</v>
      </c>
      <c r="D352" s="114" t="str">
        <f t="shared" si="2"/>
        <v>統括管理本部\本部共有</v>
      </c>
      <c r="E352" s="37" t="str">
        <f t="array" ref="E352">XLOOKUP(C352,'0file'!C:C,'0file'!C:C,"×")</f>
        <v>統括管理本部/本部共有</v>
      </c>
      <c r="F352" s="37" t="str">
        <f t="array" ref="F352">XLOOKUP(C352,'部署遍歴'!F:F,'部署遍歴'!D:D,"×")</f>
        <v>×</v>
      </c>
      <c r="G352" s="37" t="str">
        <f t="array" ref="G352">XLOOKUP(D352,'source isilon_divまとめ'!A:A,'source isilon_divまとめ'!D:D,"×")</f>
        <v>×</v>
      </c>
    </row>
    <row r="353">
      <c r="A353" s="8" t="s">
        <v>1295</v>
      </c>
      <c r="B353" s="8" t="s">
        <v>1296</v>
      </c>
      <c r="C353" s="114" t="str">
        <f t="shared" si="1"/>
        <v>_old_data/このフォルダは利用不可</v>
      </c>
      <c r="D353" s="114" t="str">
        <f t="shared" si="2"/>
        <v>_old_data\このフォルダは利用不可</v>
      </c>
      <c r="E353" s="37" t="str">
        <f t="array" ref="E353">XLOOKUP(C353,'0file'!C:C,'0file'!C:C,"×")</f>
        <v>×</v>
      </c>
      <c r="F353" s="37" t="str">
        <f t="array" ref="F353">XLOOKUP(C353,'部署遍歴'!F:F,'部署遍歴'!D:D,"×")</f>
        <v>×</v>
      </c>
      <c r="G353" s="37" t="str">
        <f t="array" ref="G353">XLOOKUP(D353,'source isilon_divまとめ'!A:A,'source isilon_divまとめ'!D:D,"×")</f>
        <v>×</v>
      </c>
    </row>
    <row r="354">
      <c r="A354" s="8" t="s">
        <v>1051</v>
      </c>
      <c r="B354" s="8" t="s">
        <v>432</v>
      </c>
      <c r="C354" s="114" t="str">
        <f t="shared" si="1"/>
        <v>スタジオフンザ/経営企画室</v>
      </c>
      <c r="D354" s="114" t="str">
        <f t="shared" si="2"/>
        <v>スタジオフンザ\経営企画室</v>
      </c>
      <c r="E354" s="37" t="str">
        <f t="array" ref="E354">XLOOKUP(C354,'0file'!C:C,'0file'!C:C,"×")</f>
        <v>スタジオフンザ/経営企画室</v>
      </c>
      <c r="F354" s="37" t="str">
        <f t="array" ref="F354">XLOOKUP(C354,'部署遍歴'!F:F,'部署遍歴'!D:D,"×")</f>
        <v>×</v>
      </c>
      <c r="G354" s="37" t="str">
        <f t="array" ref="G354">XLOOKUP(D354,'source isilon_divまとめ'!A:A,'source isilon_divまとめ'!D:D,"×")</f>
        <v>×</v>
      </c>
    </row>
    <row r="355">
      <c r="A355" s="8" t="s">
        <v>1051</v>
      </c>
      <c r="B355" s="8" t="s">
        <v>1134</v>
      </c>
      <c r="C355" s="114" t="str">
        <f t="shared" si="1"/>
        <v>スタジオフンザ/新規事業推進室</v>
      </c>
      <c r="D355" s="114" t="str">
        <f t="shared" si="2"/>
        <v>スタジオフンザ\新規事業推進室</v>
      </c>
      <c r="E355" s="37" t="str">
        <f t="array" ref="E355">XLOOKUP(C355,'0file'!C:C,'0file'!C:C,"×")</f>
        <v>スタジオフンザ/新規事業推進室</v>
      </c>
      <c r="F355" s="37" t="str">
        <f t="array" ref="F355">XLOOKUP(C355,'部署遍歴'!F:F,'部署遍歴'!D:D,"×")</f>
        <v>×</v>
      </c>
      <c r="G355" s="37" t="str">
        <f t="array" ref="G355">XLOOKUP(D355,'source isilon_divまとめ'!A:A,'source isilon_divまとめ'!D:D,"×")</f>
        <v>×</v>
      </c>
    </row>
    <row r="356">
      <c r="A356" s="8" t="s">
        <v>1051</v>
      </c>
      <c r="B356" s="8" t="s">
        <v>1298</v>
      </c>
      <c r="C356" s="114" t="str">
        <f t="shared" si="1"/>
        <v>スタジオフンザ/研究開発部</v>
      </c>
      <c r="D356" s="114" t="str">
        <f t="shared" si="2"/>
        <v>スタジオフンザ\研究開発部</v>
      </c>
      <c r="E356" s="37" t="str">
        <f t="array" ref="E356">XLOOKUP(C356,'0file'!C:C,'0file'!C:C,"×")</f>
        <v>スタジオフンザ/研究開発部</v>
      </c>
      <c r="F356" s="37" t="str">
        <f t="array" ref="F356">XLOOKUP(C356,'部署遍歴'!F:F,'部署遍歴'!D:D,"×")</f>
        <v>×</v>
      </c>
      <c r="G356" s="37" t="str">
        <f t="array" ref="G356">XLOOKUP(D356,'source isilon_divまとめ'!A:A,'source isilon_divまとめ'!D:D,"×")</f>
        <v>×</v>
      </c>
    </row>
    <row r="357">
      <c r="A357" s="8" t="s">
        <v>1051</v>
      </c>
      <c r="B357" s="8" t="s">
        <v>1111</v>
      </c>
      <c r="C357" s="114" t="str">
        <f t="shared" si="1"/>
        <v>スタジオフンザ/本部共有</v>
      </c>
      <c r="D357" s="114" t="str">
        <f t="shared" si="2"/>
        <v>スタジオフンザ\本部共有</v>
      </c>
      <c r="E357" s="37" t="str">
        <f t="array" ref="E357">XLOOKUP(C357,'0file'!C:C,'0file'!C:C,"×")</f>
        <v>スタジオフンザ/本部共有</v>
      </c>
      <c r="F357" s="37" t="str">
        <f t="array" ref="F357">XLOOKUP(C357,'部署遍歴'!F:F,'部署遍歴'!D:D,"×")</f>
        <v>×</v>
      </c>
      <c r="G357" s="37" t="str">
        <f t="array" ref="G357">XLOOKUP(D357,'source isilon_divまとめ'!A:A,'source isilon_divまとめ'!D:D,"×")</f>
        <v>×</v>
      </c>
    </row>
    <row r="358">
      <c r="A358" s="8" t="s">
        <v>1051</v>
      </c>
      <c r="B358" s="8" t="s">
        <v>1299</v>
      </c>
      <c r="C358" s="114" t="str">
        <f t="shared" si="1"/>
        <v>スタジオフンザ/ユーザー管理部</v>
      </c>
      <c r="D358" s="114" t="str">
        <f t="shared" si="2"/>
        <v>スタジオフンザ\ユーザー管理部</v>
      </c>
      <c r="E358" s="37" t="str">
        <f t="array" ref="E358">XLOOKUP(C358,'0file'!C:C,'0file'!C:C,"×")</f>
        <v>スタジオフンザ/ユーザー管理部</v>
      </c>
      <c r="F358" s="37" t="str">
        <f t="array" ref="F358">XLOOKUP(C358,'部署遍歴'!F:F,'部署遍歴'!D:D,"×")</f>
        <v>×</v>
      </c>
      <c r="G358" s="37" t="str">
        <f t="array" ref="G358">XLOOKUP(D358,'source isilon_divまとめ'!A:A,'source isilon_divまとめ'!D:D,"×")</f>
        <v>×</v>
      </c>
    </row>
    <row r="359">
      <c r="A359" s="8" t="s">
        <v>1051</v>
      </c>
      <c r="B359" s="8" t="s">
        <v>1087</v>
      </c>
      <c r="C359" s="114" t="str">
        <f t="shared" si="1"/>
        <v>スタジオフンザ/チケットキャンプ事業部</v>
      </c>
      <c r="D359" s="114" t="str">
        <f t="shared" si="2"/>
        <v>スタジオフンザ\チケットキャンプ事業部</v>
      </c>
      <c r="E359" s="37" t="str">
        <f t="array" ref="E359">XLOOKUP(C359,'0file'!C:C,'0file'!C:C,"×")</f>
        <v>スタジオフンザ/チケットキャンプ事業部</v>
      </c>
      <c r="F359" s="37" t="str">
        <f t="array" ref="F359">XLOOKUP(C359,'部署遍歴'!F:F,'部署遍歴'!D:D,"×")</f>
        <v>×</v>
      </c>
      <c r="G359" s="37" t="str">
        <f t="array" ref="G359">XLOOKUP(D359,'source isilon_divまとめ'!A:A,'source isilon_divまとめ'!D:D,"×")</f>
        <v>×</v>
      </c>
    </row>
    <row r="360">
      <c r="A360" s="8" t="s">
        <v>1054</v>
      </c>
      <c r="B360" s="8" t="s">
        <v>1300</v>
      </c>
      <c r="C360" s="114" t="str">
        <f t="shared" si="1"/>
        <v>デジタルエンターテインメント事業本部/開発推進部</v>
      </c>
      <c r="D360" s="114" t="str">
        <f t="shared" si="2"/>
        <v>デジタルエンターテインメント事業本部\開発推進部</v>
      </c>
      <c r="E360" s="37" t="str">
        <f t="array" ref="E360">XLOOKUP(C360,'0file'!C:C,'0file'!C:C,"×")</f>
        <v>デジタルエンターテインメント事業本部/開発推進部</v>
      </c>
      <c r="F360" s="37" t="str">
        <f t="array" ref="F360">XLOOKUP(C360,'部署遍歴'!F:F,'部署遍歴'!D:D,"×")</f>
        <v>×</v>
      </c>
      <c r="G360" s="37" t="str">
        <f t="array" ref="G360">XLOOKUP(D360,'source isilon_divまとめ'!A:A,'source isilon_divまとめ'!D:D,"×")</f>
        <v>×</v>
      </c>
    </row>
    <row r="361">
      <c r="A361" s="8" t="s">
        <v>1054</v>
      </c>
      <c r="B361" s="8" t="s">
        <v>1301</v>
      </c>
      <c r="C361" s="114" t="str">
        <f t="shared" si="1"/>
        <v>デジタルエンターテインメント事業本部/横断推進部</v>
      </c>
      <c r="D361" s="114" t="str">
        <f t="shared" si="2"/>
        <v>デジタルエンターテインメント事業本部\横断推進部</v>
      </c>
      <c r="E361" s="37" t="str">
        <f t="array" ref="E361">XLOOKUP(C361,'0file'!C:C,'0file'!C:C,"×")</f>
        <v>デジタルエンターテインメント事業本部/横断推進部</v>
      </c>
      <c r="F361" s="37" t="str">
        <f t="array" ref="F361">XLOOKUP(C361,'部署遍歴'!F:F,'部署遍歴'!D:D,"×")</f>
        <v>×</v>
      </c>
      <c r="G361" s="37" t="str">
        <f t="array" ref="G361">XLOOKUP(D361,'source isilon_divまとめ'!A:A,'source isilon_divまとめ'!D:D,"×")</f>
        <v>×</v>
      </c>
    </row>
    <row r="362">
      <c r="A362" s="8" t="s">
        <v>1054</v>
      </c>
      <c r="B362" s="8" t="s">
        <v>1302</v>
      </c>
      <c r="C362" s="114" t="str">
        <f t="shared" si="1"/>
        <v>デジタルエンターテインメント事業本部/ゲーム開発部</v>
      </c>
      <c r="D362" s="114" t="str">
        <f t="shared" si="2"/>
        <v>デジタルエンターテインメント事業本部\ゲーム開発部</v>
      </c>
      <c r="E362" s="37" t="str">
        <f t="array" ref="E362">XLOOKUP(C362,'0file'!C:C,'0file'!C:C,"×")</f>
        <v>デジタルエンターテインメント事業本部/ゲーム開発部</v>
      </c>
      <c r="F362" s="37" t="str">
        <f t="array" ref="F362">XLOOKUP(C362,'部署遍歴'!F:F,'部署遍歴'!D:D,"×")</f>
        <v>×</v>
      </c>
      <c r="G362" s="37" t="str">
        <f t="array" ref="G362">XLOOKUP(D362,'source isilon_divまとめ'!A:A,'source isilon_divまとめ'!D:D,"×")</f>
        <v>×</v>
      </c>
    </row>
    <row r="363">
      <c r="A363" s="8" t="s">
        <v>1054</v>
      </c>
      <c r="B363" s="8" t="s">
        <v>1303</v>
      </c>
      <c r="C363" s="114" t="str">
        <f t="shared" si="1"/>
        <v>デジタルエンターテインメント事業本部/モンストゲーム運営部</v>
      </c>
      <c r="D363" s="114" t="str">
        <f t="shared" si="2"/>
        <v>デジタルエンターテインメント事業本部\モンストゲーム運営部</v>
      </c>
      <c r="E363" s="37" t="str">
        <f t="array" ref="E363">XLOOKUP(C363,'0file'!C:C,'0file'!C:C,"×")</f>
        <v>デジタルエンターテインメント事業本部/モンストゲーム運営部</v>
      </c>
      <c r="F363" s="37" t="str">
        <f t="array" ref="F363">XLOOKUP(C363,'部署遍歴'!F:F,'部署遍歴'!D:D,"×")</f>
        <v>×</v>
      </c>
      <c r="G363" s="37" t="str">
        <f t="array" ref="G363">XLOOKUP(D363,'source isilon_divまとめ'!A:A,'source isilon_divまとめ'!D:D,"×")</f>
        <v>×</v>
      </c>
    </row>
    <row r="364">
      <c r="A364" s="8" t="s">
        <v>1054</v>
      </c>
      <c r="B364" s="8" t="s">
        <v>1304</v>
      </c>
      <c r="C364" s="114" t="str">
        <f t="shared" si="1"/>
        <v>デジタルエンターテインメント事業本部/Lily事業部</v>
      </c>
      <c r="D364" s="114" t="str">
        <f t="shared" si="2"/>
        <v>デジタルエンターテインメント事業本部\Lily事業部</v>
      </c>
      <c r="E364" s="37" t="str">
        <f t="array" ref="E364">XLOOKUP(C364,'0file'!C:C,'0file'!C:C,"×")</f>
        <v>デジタルエンターテインメント事業本部/Lily事業部</v>
      </c>
      <c r="F364" s="37" t="str">
        <f t="array" ref="F364">XLOOKUP(C364,'部署遍歴'!F:F,'部署遍歴'!D:D,"×")</f>
        <v>×</v>
      </c>
      <c r="G364" s="37" t="str">
        <f t="array" ref="G364">XLOOKUP(D364,'source isilon_divまとめ'!A:A,'source isilon_divまとめ'!D:D,"×")</f>
        <v>×</v>
      </c>
    </row>
    <row r="365">
      <c r="A365" s="8" t="s">
        <v>1054</v>
      </c>
      <c r="B365" s="8" t="s">
        <v>1305</v>
      </c>
      <c r="C365" s="114" t="str">
        <f t="shared" si="1"/>
        <v>デジタルエンターテインメント事業本部/スタースマッシュ事業部</v>
      </c>
      <c r="D365" s="114" t="str">
        <f t="shared" si="2"/>
        <v>デジタルエンターテインメント事業本部\スタースマッシュ事業部</v>
      </c>
      <c r="E365" s="37" t="str">
        <f t="array" ref="E365">XLOOKUP(C365,'0file'!C:C,'0file'!C:C,"×")</f>
        <v>デジタルエンターテインメント事業本部/スタースマッシュ事業部</v>
      </c>
      <c r="F365" s="37" t="str">
        <f t="array" ref="F365">XLOOKUP(C365,'部署遍歴'!F:F,'部署遍歴'!D:D,"×")</f>
        <v>×</v>
      </c>
      <c r="G365" s="37" t="str">
        <f t="array" ref="G365">XLOOKUP(D365,'source isilon_divまとめ'!A:A,'source isilon_divまとめ'!D:D,"×")</f>
        <v>×</v>
      </c>
    </row>
    <row r="366">
      <c r="A366" s="8" t="s">
        <v>1054</v>
      </c>
      <c r="B366" s="8" t="s">
        <v>1306</v>
      </c>
      <c r="C366" s="114" t="str">
        <f t="shared" si="1"/>
        <v>デジタルエンターテインメント事業本部/ネクストゲーム事業部</v>
      </c>
      <c r="D366" s="114" t="str">
        <f t="shared" si="2"/>
        <v>デジタルエンターテインメント事業本部\ネクストゲーム事業部</v>
      </c>
      <c r="E366" s="37" t="str">
        <f t="array" ref="E366">XLOOKUP(C366,'0file'!C:C,'0file'!C:C,"×")</f>
        <v>デジタルエンターテインメント事業本部/ネクストゲーム事業部</v>
      </c>
      <c r="F366" s="37" t="str">
        <f t="array" ref="F366">XLOOKUP(C366,'部署遍歴'!F:F,'部署遍歴'!D:D,"×")</f>
        <v>×</v>
      </c>
      <c r="G366" s="37" t="str">
        <f t="array" ref="G366">XLOOKUP(D366,'source isilon_divまとめ'!A:A,'source isilon_divまとめ'!D:D,"×")</f>
        <v>×</v>
      </c>
    </row>
    <row r="367">
      <c r="A367" s="8" t="s">
        <v>1054</v>
      </c>
      <c r="B367" s="8" t="s">
        <v>1278</v>
      </c>
      <c r="C367" s="114" t="str">
        <f t="shared" si="1"/>
        <v>デジタルエンターテインメント事業本部/事業企画部</v>
      </c>
      <c r="D367" s="114" t="str">
        <f t="shared" si="2"/>
        <v>デジタルエンターテインメント事業本部\事業企画部</v>
      </c>
      <c r="E367" s="37" t="str">
        <f t="array" ref="E367">XLOOKUP(C367,'0file'!C:C,'0file'!C:C,"×")</f>
        <v>×</v>
      </c>
      <c r="F367" s="37" t="str">
        <f t="array" ref="F367">XLOOKUP(C367,'部署遍歴'!F:F,'部署遍歴'!D:D,"×")</f>
        <v>×</v>
      </c>
      <c r="G367" s="37" t="str">
        <f t="array" ref="G367">XLOOKUP(D367,'source isilon_divまとめ'!A:A,'source isilon_divまとめ'!D:D,"×")</f>
        <v>×</v>
      </c>
    </row>
    <row r="368">
      <c r="A368" s="8" t="s">
        <v>1054</v>
      </c>
      <c r="B368" s="8" t="s">
        <v>1307</v>
      </c>
      <c r="C368" s="114" t="str">
        <f t="shared" si="1"/>
        <v>デジタルエンターテインメント事業本部/honey事業部</v>
      </c>
      <c r="D368" s="114" t="str">
        <f t="shared" si="2"/>
        <v>デジタルエンターテインメント事業本部\honey事業部</v>
      </c>
      <c r="E368" s="37" t="str">
        <f t="array" ref="E368">XLOOKUP(C368,'0file'!C:C,'0file'!C:C,"×")</f>
        <v>デジタルエンターテインメント事業本部/honey事業部</v>
      </c>
      <c r="F368" s="37" t="str">
        <f t="array" ref="F368">XLOOKUP(C368,'部署遍歴'!F:F,'部署遍歴'!D:D,"×")</f>
        <v>スタースマッシュ事業部</v>
      </c>
      <c r="G368" s="37" t="str">
        <f t="array" ref="G368">XLOOKUP(D368,'source isilon_divまとめ'!A:A,'source isilon_divまとめ'!D:D,"×")</f>
        <v>×</v>
      </c>
    </row>
    <row r="369">
      <c r="A369" s="8" t="s">
        <v>1054</v>
      </c>
      <c r="B369" s="8" t="s">
        <v>1308</v>
      </c>
      <c r="C369" s="114" t="str">
        <f t="shared" si="1"/>
        <v>デジタルエンターテインメント事業本部/新規開発領域長室</v>
      </c>
      <c r="D369" s="114" t="str">
        <f t="shared" si="2"/>
        <v>デジタルエンターテインメント事業本部\新規開発領域長室</v>
      </c>
      <c r="E369" s="37" t="str">
        <f t="array" ref="E369">XLOOKUP(C369,'0file'!C:C,'0file'!C:C,"×")</f>
        <v>デジタルエンターテインメント事業本部/新規開発領域長室</v>
      </c>
      <c r="F369" s="37" t="str">
        <f t="array" ref="F369">XLOOKUP(C369,'部署遍歴'!F:F,'部署遍歴'!D:D,"×")</f>
        <v>×</v>
      </c>
      <c r="G369" s="37" t="str">
        <f t="array" ref="G369">XLOOKUP(D369,'source isilon_divまとめ'!A:A,'source isilon_divまとめ'!D:D,"×")</f>
        <v>×</v>
      </c>
    </row>
    <row r="370">
      <c r="A370" s="8" t="s">
        <v>1054</v>
      </c>
      <c r="B370" s="8" t="s">
        <v>1309</v>
      </c>
      <c r="C370" s="114" t="str">
        <f t="shared" si="1"/>
        <v>デジタルエンターテインメント事業本部/モンストマーケティング部</v>
      </c>
      <c r="D370" s="114" t="str">
        <f t="shared" si="2"/>
        <v>デジタルエンターテインメント事業本部\モンストマーケティング部</v>
      </c>
      <c r="E370" s="37" t="str">
        <f t="array" ref="E370">XLOOKUP(C370,'0file'!C:C,'0file'!C:C,"×")</f>
        <v>デジタルエンターテインメント事業本部/モンストマーケティング部</v>
      </c>
      <c r="F370" s="37" t="str">
        <f t="array" ref="F370">XLOOKUP(C370,'部署遍歴'!F:F,'部署遍歴'!D:D,"×")</f>
        <v>×</v>
      </c>
      <c r="G370" s="37" t="str">
        <f t="array" ref="G370">XLOOKUP(D370,'source isilon_divまとめ'!A:A,'source isilon_divまとめ'!D:D,"×")</f>
        <v>×</v>
      </c>
    </row>
    <row r="371">
      <c r="A371" s="8" t="s">
        <v>1054</v>
      </c>
      <c r="B371" s="8" t="s">
        <v>1228</v>
      </c>
      <c r="C371" s="114" t="str">
        <f t="shared" si="1"/>
        <v>デジタルエンターテインメント事業本部/事業管理部</v>
      </c>
      <c r="D371" s="114" t="str">
        <f t="shared" si="2"/>
        <v>デジタルエンターテインメント事業本部\事業管理部</v>
      </c>
      <c r="E371" s="37" t="str">
        <f t="array" ref="E371">XLOOKUP(C371,'0file'!C:C,'0file'!C:C,"×")</f>
        <v>デジタルエンターテインメント事業本部/事業管理部</v>
      </c>
      <c r="F371" s="37" t="str">
        <f t="array" ref="F371">XLOOKUP(C371,'部署遍歴'!F:F,'部署遍歴'!D:D,"×")</f>
        <v>×</v>
      </c>
      <c r="G371" s="37" t="str">
        <f t="array" ref="G371">XLOOKUP(D371,'source isilon_divまとめ'!A:A,'source isilon_divまとめ'!D:D,"×")</f>
        <v>×</v>
      </c>
    </row>
    <row r="372">
      <c r="A372" s="8" t="s">
        <v>1054</v>
      </c>
      <c r="B372" s="8" t="s">
        <v>1310</v>
      </c>
      <c r="C372" s="114" t="str">
        <f t="shared" si="1"/>
        <v>デジタルエンターテインメント事業本部/HRBP部</v>
      </c>
      <c r="D372" s="114" t="str">
        <f t="shared" si="2"/>
        <v>デジタルエンターテインメント事業本部\HRBP部</v>
      </c>
      <c r="E372" s="37" t="str">
        <f t="array" ref="E372">XLOOKUP(C372,'0file'!C:C,'0file'!C:C,"×")</f>
        <v>デジタルエンターテインメント事業本部/HRBP部</v>
      </c>
      <c r="F372" s="37" t="str">
        <f t="array" ref="F372">XLOOKUP(C372,'部署遍歴'!F:F,'部署遍歴'!D:D,"×")</f>
        <v>×</v>
      </c>
      <c r="G372" s="37" t="str">
        <f t="array" ref="G372">XLOOKUP(D372,'source isilon_divまとめ'!A:A,'source isilon_divまとめ'!D:D,"×")</f>
        <v>×</v>
      </c>
    </row>
    <row r="373">
      <c r="A373" s="8" t="s">
        <v>1054</v>
      </c>
      <c r="B373" s="8" t="s">
        <v>1137</v>
      </c>
      <c r="C373" s="114" t="str">
        <f t="shared" si="1"/>
        <v>デジタルエンターテインメント事業本部/マーケティング部</v>
      </c>
      <c r="D373" s="114" t="str">
        <f t="shared" si="2"/>
        <v>デジタルエンターテインメント事業本部\マーケティング部</v>
      </c>
      <c r="E373" s="37" t="str">
        <f t="array" ref="E373">XLOOKUP(C373,'0file'!C:C,'0file'!C:C,"×")</f>
        <v>デジタルエンターテインメント事業本部/マーケティング部</v>
      </c>
      <c r="F373" s="37" t="str">
        <f t="array" ref="F373">XLOOKUP(C373,'部署遍歴'!F:F,'部署遍歴'!D:D,"×")</f>
        <v>×</v>
      </c>
      <c r="G373" s="37" t="str">
        <f t="array" ref="G373">XLOOKUP(D373,'source isilon_divまとめ'!A:A,'source isilon_divまとめ'!D:D,"×")</f>
        <v>×</v>
      </c>
    </row>
    <row r="374">
      <c r="A374" s="8" t="s">
        <v>1054</v>
      </c>
      <c r="B374" s="8" t="s">
        <v>1311</v>
      </c>
      <c r="C374" s="114" t="str">
        <f t="shared" si="1"/>
        <v>デジタルエンターテインメント事業本部/インキュベーション事業部</v>
      </c>
      <c r="D374" s="114" t="str">
        <f t="shared" si="2"/>
        <v>デジタルエンターテインメント事業本部\インキュベーション事業部</v>
      </c>
      <c r="E374" s="37" t="str">
        <f t="array" ref="E374">XLOOKUP(C374,'0file'!C:C,'0file'!C:C,"×")</f>
        <v>×</v>
      </c>
      <c r="F374" s="37" t="str">
        <f t="array" ref="F374">XLOOKUP(C374,'部署遍歴'!F:F,'部署遍歴'!D:D,"×")</f>
        <v>×</v>
      </c>
      <c r="G374" s="37" t="str">
        <f t="array" ref="G374">XLOOKUP(D374,'source isilon_divまとめ'!A:A,'source isilon_divまとめ'!D:D,"×")</f>
        <v>×</v>
      </c>
    </row>
    <row r="375">
      <c r="A375" s="8" t="s">
        <v>1054</v>
      </c>
      <c r="B375" s="8" t="s">
        <v>1111</v>
      </c>
      <c r="C375" s="114" t="str">
        <f t="shared" si="1"/>
        <v>デジタルエンターテインメント事業本部/本部共有</v>
      </c>
      <c r="D375" s="114" t="str">
        <f t="shared" si="2"/>
        <v>デジタルエンターテインメント事業本部\本部共有</v>
      </c>
      <c r="E375" s="37" t="str">
        <f t="array" ref="E375">XLOOKUP(C375,'0file'!C:C,'0file'!C:C,"×")</f>
        <v>×</v>
      </c>
      <c r="F375" s="37" t="str">
        <f t="array" ref="F375">XLOOKUP(C375,'部署遍歴'!F:F,'部署遍歴'!D:D,"×")</f>
        <v>×</v>
      </c>
      <c r="G375" s="37" t="str">
        <f t="array" ref="G375">XLOOKUP(D375,'source isilon_divまとめ'!A:A,'source isilon_divまとめ'!D:D,"×")</f>
        <v>×</v>
      </c>
    </row>
    <row r="376">
      <c r="A376" s="8" t="s">
        <v>1054</v>
      </c>
      <c r="B376" s="8" t="s">
        <v>1187</v>
      </c>
      <c r="C376" s="114" t="str">
        <f t="shared" si="1"/>
        <v>デジタルエンターテインメント事業本部/ビジネス開発室</v>
      </c>
      <c r="D376" s="114" t="str">
        <f t="shared" si="2"/>
        <v>デジタルエンターテインメント事業本部\ビジネス開発室</v>
      </c>
      <c r="E376" s="37" t="str">
        <f t="array" ref="E376">XLOOKUP(C376,'0file'!C:C,'0file'!C:C,"×")</f>
        <v>デジタルエンターテインメント事業本部/ビジネス開発室</v>
      </c>
      <c r="F376" s="37" t="str">
        <f t="array" ref="F376">XLOOKUP(C376,'部署遍歴'!F:F,'部署遍歴'!D:D,"×")</f>
        <v>×</v>
      </c>
      <c r="G376" s="37" t="str">
        <f t="array" ref="G376">XLOOKUP(D376,'source isilon_divまとめ'!A:A,'source isilon_divまとめ'!D:D,"×")</f>
        <v>×</v>
      </c>
    </row>
    <row r="377">
      <c r="A377" s="8" t="s">
        <v>1054</v>
      </c>
      <c r="B377" s="8" t="s">
        <v>1312</v>
      </c>
      <c r="C377" s="114" t="str">
        <f t="shared" si="1"/>
        <v>デジタルエンターテインメント事業本部/モンストIPエンハンス部</v>
      </c>
      <c r="D377" s="114" t="str">
        <f t="shared" si="2"/>
        <v>デジタルエンターテインメント事業本部\モンストIPエンハンス部</v>
      </c>
      <c r="E377" s="37" t="str">
        <f t="array" ref="E377">XLOOKUP(C377,'0file'!C:C,'0file'!C:C,"×")</f>
        <v>デジタルエンターテインメント事業本部/モンストIPエンハンス部</v>
      </c>
      <c r="F377" s="37" t="str">
        <f t="array" ref="F377">XLOOKUP(C377,'部署遍歴'!F:F,'部署遍歴'!D:D,"×")</f>
        <v>×</v>
      </c>
      <c r="G377" s="37" t="str">
        <f t="array" ref="G377">XLOOKUP(D377,'source isilon_divまとめ'!A:A,'source isilon_divまとめ'!D:D,"×")</f>
        <v>×</v>
      </c>
    </row>
    <row r="378">
      <c r="A378" s="8" t="s">
        <v>1054</v>
      </c>
      <c r="B378" s="8" t="s">
        <v>1162</v>
      </c>
      <c r="C378" s="114" t="str">
        <f t="shared" si="1"/>
        <v>デジタルエンターテインメント事業本部/コトダマン事業部</v>
      </c>
      <c r="D378" s="114" t="str">
        <f t="shared" si="2"/>
        <v>デジタルエンターテインメント事業本部\コトダマン事業部</v>
      </c>
      <c r="E378" s="37" t="str">
        <f t="array" ref="E378">XLOOKUP(C378,'0file'!C:C,'0file'!C:C,"×")</f>
        <v>×</v>
      </c>
      <c r="F378" s="37" t="str">
        <f t="array" ref="F378">XLOOKUP(C378,'部署遍歴'!F:F,'部署遍歴'!D:D,"×")</f>
        <v>×</v>
      </c>
      <c r="G378" s="37" t="str">
        <f t="array" ref="G378">XLOOKUP(D378,'source isilon_divまとめ'!A:A,'source isilon_divまとめ'!D:D,"×")</f>
        <v>×</v>
      </c>
    </row>
    <row r="379">
      <c r="A379" s="8" t="s">
        <v>1054</v>
      </c>
      <c r="B379" s="8" t="s">
        <v>1314</v>
      </c>
      <c r="C379" s="114" t="str">
        <f t="shared" si="1"/>
        <v>デジタルエンターテインメント事業本部/MKP事業部</v>
      </c>
      <c r="D379" s="114" t="str">
        <f t="shared" si="2"/>
        <v>デジタルエンターテインメント事業本部\MKP事業部</v>
      </c>
      <c r="E379" s="37" t="str">
        <f t="array" ref="E379">XLOOKUP(C379,'0file'!C:C,'0file'!C:C,"×")</f>
        <v>×</v>
      </c>
      <c r="F379" s="37" t="str">
        <f t="array" ref="F379">XLOOKUP(C379,'部署遍歴'!F:F,'部署遍歴'!D:D,"×")</f>
        <v>×</v>
      </c>
      <c r="G379" s="37" t="str">
        <f t="array" ref="G379">XLOOKUP(D379,'source isilon_divまとめ'!A:A,'source isilon_divまとめ'!D:D,"×")</f>
        <v>×</v>
      </c>
    </row>
    <row r="380">
      <c r="A380" s="8" t="s">
        <v>1054</v>
      </c>
      <c r="B380" s="8" t="s">
        <v>359</v>
      </c>
      <c r="C380" s="114" t="str">
        <f t="shared" si="1"/>
        <v>デジタルエンターテインメント事業本部/事業開発室</v>
      </c>
      <c r="D380" s="114" t="str">
        <f t="shared" si="2"/>
        <v>デジタルエンターテインメント事業本部\事業開発室</v>
      </c>
      <c r="E380" s="37" t="str">
        <f t="array" ref="E380">XLOOKUP(C380,'0file'!C:C,'0file'!C:C,"×")</f>
        <v>×</v>
      </c>
      <c r="F380" s="37" t="str">
        <f t="array" ref="F380">XLOOKUP(C380,'部署遍歴'!F:F,'部署遍歴'!D:D,"×")</f>
        <v>×</v>
      </c>
      <c r="G380" s="37" t="str">
        <f t="array" ref="G380">XLOOKUP(D380,'source isilon_divまとめ'!A:A,'source isilon_divまとめ'!D:D,"×")</f>
        <v>×</v>
      </c>
    </row>
    <row r="381">
      <c r="A381" s="8" t="s">
        <v>1054</v>
      </c>
      <c r="B381" s="8" t="s">
        <v>1266</v>
      </c>
      <c r="C381" s="114" t="str">
        <f t="shared" si="1"/>
        <v>デジタルエンターテインメント事業本部/ファイトリーグ事業部</v>
      </c>
      <c r="D381" s="114" t="str">
        <f t="shared" si="2"/>
        <v>デジタルエンターテインメント事業本部\ファイトリーグ事業部</v>
      </c>
      <c r="E381" s="37" t="str">
        <f t="array" ref="E381">XLOOKUP(C381,'0file'!C:C,'0file'!C:C,"×")</f>
        <v>デジタルエンターテインメント事業本部/ファイトリーグ事業部</v>
      </c>
      <c r="F381" s="37" t="str">
        <f t="array" ref="F381">XLOOKUP(C381,'部署遍歴'!F:F,'部署遍歴'!D:D,"×")</f>
        <v>×</v>
      </c>
      <c r="G381" s="37" t="str">
        <f t="array" ref="G381">XLOOKUP(D381,'source isilon_divまとめ'!A:A,'source isilon_divまとめ'!D:D,"×")</f>
        <v>×</v>
      </c>
    </row>
    <row r="382">
      <c r="A382" s="8" t="s">
        <v>1054</v>
      </c>
      <c r="B382" s="8" t="s">
        <v>1163</v>
      </c>
      <c r="C382" s="114" t="str">
        <f t="shared" si="1"/>
        <v>デジタルエンターテインメント事業本部/モンストIPクリエイション部</v>
      </c>
      <c r="D382" s="114" t="str">
        <f t="shared" si="2"/>
        <v>デジタルエンターテインメント事業本部\モンストIPクリエイション部</v>
      </c>
      <c r="E382" s="37" t="str">
        <f t="array" ref="E382">XLOOKUP(C382,'0file'!C:C,'0file'!C:C,"×")</f>
        <v>デジタルエンターテインメント事業本部/モンストIPクリエイション部</v>
      </c>
      <c r="F382" s="37" t="str">
        <f t="array" ref="F382">XLOOKUP(C382,'部署遍歴'!F:F,'部署遍歴'!D:D,"×")</f>
        <v>×</v>
      </c>
      <c r="G382" s="37" t="str">
        <f t="array" ref="G382">XLOOKUP(D382,'source isilon_divまとめ'!A:A,'source isilon_divまとめ'!D:D,"×")</f>
        <v>×</v>
      </c>
    </row>
    <row r="383">
      <c r="A383" s="8" t="s">
        <v>1054</v>
      </c>
      <c r="B383" s="8" t="s">
        <v>1315</v>
      </c>
      <c r="C383" s="114" t="str">
        <f t="shared" si="1"/>
        <v>デジタルエンターテインメント事業本部/モンストシリーズゲーム事業部</v>
      </c>
      <c r="D383" s="114" t="str">
        <f t="shared" si="2"/>
        <v>デジタルエンターテインメント事業本部\モンストシリーズゲーム事業部</v>
      </c>
      <c r="E383" s="37" t="str">
        <f t="array" ref="E383">XLOOKUP(C383,'0file'!C:C,'0file'!C:C,"×")</f>
        <v>デジタルエンターテインメント事業本部/モンストシリーズゲーム事業部</v>
      </c>
      <c r="F383" s="37" t="str">
        <f t="array" ref="F383">XLOOKUP(C383,'部署遍歴'!F:F,'部署遍歴'!D:D,"×")</f>
        <v>×</v>
      </c>
      <c r="G383" s="37" t="str">
        <f t="array" ref="G383">XLOOKUP(D383,'source isilon_divまとめ'!A:A,'source isilon_divまとめ'!D:D,"×")</f>
        <v>×</v>
      </c>
    </row>
    <row r="384">
      <c r="A384" s="8" t="s">
        <v>1054</v>
      </c>
      <c r="B384" s="8" t="s">
        <v>1267</v>
      </c>
      <c r="C384" s="114" t="str">
        <f t="shared" si="1"/>
        <v>デジタルエンターテインメント事業本部/IP開発室</v>
      </c>
      <c r="D384" s="114" t="str">
        <f t="shared" si="2"/>
        <v>デジタルエンターテインメント事業本部\IP開発室</v>
      </c>
      <c r="E384" s="37" t="str">
        <f t="array" ref="E384">XLOOKUP(C384,'0file'!C:C,'0file'!C:C,"×")</f>
        <v>×</v>
      </c>
      <c r="F384" s="37" t="str">
        <f t="array" ref="F384">XLOOKUP(C384,'部署遍歴'!F:F,'部署遍歴'!D:D,"×")</f>
        <v>×</v>
      </c>
      <c r="G384" s="37" t="str">
        <f t="array" ref="G384">XLOOKUP(D384,'source isilon_divまとめ'!A:A,'source isilon_divまとめ'!D:D,"×")</f>
        <v>×</v>
      </c>
    </row>
    <row r="385">
      <c r="A385" s="8" t="s">
        <v>1054</v>
      </c>
      <c r="B385" s="8" t="s">
        <v>43</v>
      </c>
      <c r="C385" s="114" t="str">
        <f t="shared" si="1"/>
        <v>デジタルエンターテインメント事業本部/事業推進室</v>
      </c>
      <c r="D385" s="114" t="str">
        <f t="shared" si="2"/>
        <v>デジタルエンターテインメント事業本部\事業推進室</v>
      </c>
      <c r="E385" s="37" t="str">
        <f t="array" ref="E385">XLOOKUP(C385,'0file'!C:C,'0file'!C:C,"×")</f>
        <v>デジタルエンターテインメント事業本部/事業推進室</v>
      </c>
      <c r="F385" s="37" t="str">
        <f t="array" ref="F385">XLOOKUP(C385,'部署遍歴'!F:F,'部署遍歴'!D:D,"×")</f>
        <v>×</v>
      </c>
      <c r="G385" s="37" t="str">
        <f t="array" ref="G385">XLOOKUP(D385,'source isilon_divまとめ'!A:A,'source isilon_divまとめ'!D:D,"×")</f>
        <v>×</v>
      </c>
    </row>
    <row r="386">
      <c r="A386" s="8" t="s">
        <v>1054</v>
      </c>
      <c r="B386" s="8" t="s">
        <v>1161</v>
      </c>
      <c r="C386" s="114" t="str">
        <f t="shared" si="1"/>
        <v>デジタルエンターテインメント事業本部/XFLAG PICTURES</v>
      </c>
      <c r="D386" s="114" t="str">
        <f t="shared" si="2"/>
        <v>デジタルエンターテインメント事業本部\XFLAG PICTURES</v>
      </c>
      <c r="E386" s="37" t="str">
        <f t="array" ref="E386">XLOOKUP(C386,'0file'!C:C,'0file'!C:C,"×")</f>
        <v>×</v>
      </c>
      <c r="F386" s="37" t="str">
        <f t="array" ref="F386">XLOOKUP(C386,'部署遍歴'!F:F,'部署遍歴'!D:D,"×")</f>
        <v>×</v>
      </c>
      <c r="G386" s="37" t="str">
        <f t="array" ref="G386">XLOOKUP(D386,'source isilon_divまとめ'!A:A,'source isilon_divまとめ'!D:D,"×")</f>
        <v>×</v>
      </c>
    </row>
    <row r="387">
      <c r="A387" s="8" t="s">
        <v>1057</v>
      </c>
      <c r="B387" s="8" t="s">
        <v>1139</v>
      </c>
      <c r="C387" s="114" t="str">
        <f t="shared" si="1"/>
        <v>ミクシィマーケティング/全社共有</v>
      </c>
      <c r="D387" s="114" t="str">
        <f t="shared" si="2"/>
        <v>ミクシィマーケティング\全社共有</v>
      </c>
      <c r="E387" s="37" t="str">
        <f t="array" ref="E387">XLOOKUP(C387,'0file'!C:C,'0file'!C:C,"×")</f>
        <v>ミクシィマーケティング/全社共有</v>
      </c>
      <c r="F387" s="37" t="str">
        <f t="array" ref="F387">XLOOKUP(C387,'部署遍歴'!F:F,'部署遍歴'!D:D,"×")</f>
        <v>×</v>
      </c>
      <c r="G387" s="37" t="str">
        <f t="array" ref="G387">XLOOKUP(D387,'source isilon_divまとめ'!A:A,'source isilon_divまとめ'!D:D,"×")</f>
        <v>×</v>
      </c>
    </row>
    <row r="388">
      <c r="A388" s="8" t="s">
        <v>475</v>
      </c>
      <c r="B388" s="8" t="s">
        <v>114</v>
      </c>
      <c r="C388" s="114" t="str">
        <f t="shared" si="1"/>
        <v>渉外部/渉外G</v>
      </c>
      <c r="D388" s="114" t="str">
        <f t="shared" si="2"/>
        <v>渉外部\渉外G</v>
      </c>
      <c r="E388" s="37" t="str">
        <f t="array" ref="E388">XLOOKUP(C388,'0file'!C:C,'0file'!C:C,"×")</f>
        <v>渉外部/渉外G</v>
      </c>
      <c r="F388" s="37" t="str">
        <f t="array" ref="F388">XLOOKUP(C388,'部署遍歴'!F:F,'部署遍歴'!D:D,"×")</f>
        <v>×</v>
      </c>
      <c r="G388" s="37" t="str">
        <f t="array" ref="G388">XLOOKUP(D388,'source isilon_divまとめ'!A:A,'source isilon_divまとめ'!D:D,"×")</f>
        <v>×</v>
      </c>
    </row>
    <row r="389">
      <c r="A389" s="8" t="s">
        <v>475</v>
      </c>
      <c r="B389" s="8" t="s">
        <v>1316</v>
      </c>
      <c r="C389" s="114" t="str">
        <f t="shared" si="1"/>
        <v>渉外部/グローバルリレーションG</v>
      </c>
      <c r="D389" s="114" t="str">
        <f t="shared" si="2"/>
        <v>渉外部\グローバルリレーションG</v>
      </c>
      <c r="E389" s="37" t="str">
        <f t="array" ref="E389">XLOOKUP(C389,'0file'!C:C,'0file'!C:C,"×")</f>
        <v>渉外部/グローバルリレーションG</v>
      </c>
      <c r="F389" s="37" t="str">
        <f t="array" ref="F389">XLOOKUP(C389,'部署遍歴'!F:F,'部署遍歴'!D:D,"×")</f>
        <v>×</v>
      </c>
      <c r="G389" s="37" t="str">
        <f t="array" ref="G389">XLOOKUP(D389,'source isilon_divまとめ'!A:A,'source isilon_divまとめ'!D:D,"×")</f>
        <v>×</v>
      </c>
    </row>
    <row r="390">
      <c r="A390" s="8" t="s">
        <v>475</v>
      </c>
      <c r="B390" s="8" t="s">
        <v>1204</v>
      </c>
      <c r="C390" s="114" t="str">
        <f t="shared" si="1"/>
        <v>渉外部/部共有</v>
      </c>
      <c r="D390" s="114" t="str">
        <f t="shared" si="2"/>
        <v>渉外部\部共有</v>
      </c>
      <c r="E390" s="37" t="str">
        <f t="array" ref="E390">XLOOKUP(C390,'0file'!C:C,'0file'!C:C,"×")</f>
        <v>渉外部/部共有</v>
      </c>
      <c r="F390" s="37" t="str">
        <f t="array" ref="F390">XLOOKUP(C390,'部署遍歴'!F:F,'部署遍歴'!D:D,"×")</f>
        <v>×</v>
      </c>
      <c r="G390" s="37" t="str">
        <f t="array" ref="G390">XLOOKUP(D390,'source isilon_divまとめ'!A:A,'source isilon_divまとめ'!D:D,"×")</f>
        <v>×</v>
      </c>
    </row>
    <row r="391">
      <c r="A391" s="8" t="s">
        <v>1060</v>
      </c>
      <c r="B391" s="8" t="s">
        <v>1111</v>
      </c>
      <c r="C391" s="114" t="str">
        <f t="shared" si="1"/>
        <v>事業デザイン本部/本部共有</v>
      </c>
      <c r="D391" s="114" t="str">
        <f t="shared" si="2"/>
        <v>事業デザイン本部\本部共有</v>
      </c>
      <c r="E391" s="37" t="str">
        <f t="array" ref="E391">XLOOKUP(C391,'0file'!C:C,'0file'!C:C,"×")</f>
        <v>事業デザイン本部/本部共有</v>
      </c>
      <c r="F391" s="37" t="str">
        <f t="array" ref="F391">XLOOKUP(C391,'部署遍歴'!F:F,'部署遍歴'!D:D,"×")</f>
        <v>×</v>
      </c>
      <c r="G391" s="37" t="str">
        <f t="array" ref="G391">XLOOKUP(D391,'source isilon_divまとめ'!A:A,'source isilon_divまとめ'!D:D,"×")</f>
        <v>×</v>
      </c>
    </row>
    <row r="392">
      <c r="A392" s="8" t="s">
        <v>1060</v>
      </c>
      <c r="B392" s="8" t="s">
        <v>1317</v>
      </c>
      <c r="C392" s="114" t="str">
        <f t="shared" si="1"/>
        <v>事業デザイン本部/事業デザイン部</v>
      </c>
      <c r="D392" s="114" t="str">
        <f t="shared" si="2"/>
        <v>事業デザイン本部\事業デザイン部</v>
      </c>
      <c r="E392" s="37" t="str">
        <f t="array" ref="E392">XLOOKUP(C392,'0file'!C:C,'0file'!C:C,"×")</f>
        <v>×</v>
      </c>
      <c r="F392" s="37" t="str">
        <f t="array" ref="F392">XLOOKUP(C392,'部署遍歴'!F:F,'部署遍歴'!D:D,"×")</f>
        <v>×</v>
      </c>
      <c r="G392" s="37" t="str">
        <f t="array" ref="G392">XLOOKUP(D392,'source isilon_divまとめ'!A:A,'source isilon_divまとめ'!D:D,"×")</f>
        <v>×</v>
      </c>
    </row>
    <row r="393">
      <c r="A393" s="8" t="s">
        <v>1062</v>
      </c>
      <c r="B393" s="8" t="s">
        <v>802</v>
      </c>
      <c r="C393" s="114" t="str">
        <f t="shared" si="1"/>
        <v>コーポレートサポート本部/ビジネスサポート室</v>
      </c>
      <c r="D393" s="114" t="str">
        <f t="shared" si="2"/>
        <v>コーポレートサポート本部\ビジネスサポート室</v>
      </c>
      <c r="E393" s="37" t="str">
        <f t="array" ref="E393">XLOOKUP(C393,'0file'!C:C,'0file'!C:C,"×")</f>
        <v>×</v>
      </c>
      <c r="F393" s="37" t="str">
        <f t="array" ref="F393">XLOOKUP(C393,'部署遍歴'!F:F,'部署遍歴'!D:D,"×")</f>
        <v>×</v>
      </c>
      <c r="G393" s="37" t="str">
        <f t="array" ref="G393">XLOOKUP(D393,'source isilon_divまとめ'!A:A,'source isilon_divまとめ'!D:D,"×")</f>
        <v>×</v>
      </c>
    </row>
    <row r="394">
      <c r="A394" s="8" t="s">
        <v>1062</v>
      </c>
      <c r="B394" s="8" t="s">
        <v>1111</v>
      </c>
      <c r="C394" s="114" t="str">
        <f t="shared" si="1"/>
        <v>コーポレートサポート本部/本部共有</v>
      </c>
      <c r="D394" s="114" t="str">
        <f t="shared" si="2"/>
        <v>コーポレートサポート本部\本部共有</v>
      </c>
      <c r="E394" s="37" t="str">
        <f t="array" ref="E394">XLOOKUP(C394,'0file'!C:C,'0file'!C:C,"×")</f>
        <v>コーポレートサポート本部/本部共有</v>
      </c>
      <c r="F394" s="37" t="str">
        <f t="array" ref="F394">XLOOKUP(C394,'部署遍歴'!F:F,'部署遍歴'!D:D,"×")</f>
        <v>×</v>
      </c>
      <c r="G394" s="37" t="str">
        <f t="array" ref="G394">XLOOKUP(D394,'source isilon_divまとめ'!A:A,'source isilon_divまとめ'!D:D,"×")</f>
        <v>×</v>
      </c>
    </row>
    <row r="395">
      <c r="A395" s="8" t="s">
        <v>1062</v>
      </c>
      <c r="B395" s="8" t="s">
        <v>1237</v>
      </c>
      <c r="C395" s="114" t="str">
        <f t="shared" si="1"/>
        <v>コーポレートサポート本部/はたらく環境室</v>
      </c>
      <c r="D395" s="114" t="str">
        <f t="shared" si="2"/>
        <v>コーポレートサポート本部\はたらく環境室</v>
      </c>
      <c r="E395" s="37" t="str">
        <f t="array" ref="E395">XLOOKUP(C395,'0file'!C:C,'0file'!C:C,"×")</f>
        <v>×</v>
      </c>
      <c r="F395" s="37" t="str">
        <f t="array" ref="F395">XLOOKUP(C395,'部署遍歴'!F:F,'部署遍歴'!D:D,"×")</f>
        <v>×</v>
      </c>
      <c r="G395" s="37" t="str">
        <f t="array" ref="G395">XLOOKUP(D395,'source isilon_divまとめ'!A:A,'source isilon_divまとめ'!D:D,"×")</f>
        <v>×</v>
      </c>
    </row>
    <row r="396">
      <c r="A396" s="8" t="s">
        <v>1065</v>
      </c>
      <c r="B396" s="8" t="s">
        <v>1318</v>
      </c>
      <c r="C396" s="114" t="str">
        <f t="shared" si="1"/>
        <v>人事部/労務G</v>
      </c>
      <c r="D396" s="114" t="str">
        <f t="shared" si="2"/>
        <v>人事部\労務G</v>
      </c>
      <c r="E396" s="37" t="str">
        <f t="array" ref="E396">XLOOKUP(C396,'0file'!C:C,'0file'!C:C,"×")</f>
        <v>×</v>
      </c>
      <c r="F396" s="37" t="str">
        <f t="array" ref="F396">XLOOKUP(C396,'部署遍歴'!F:F,'部署遍歴'!D:D,"×")</f>
        <v>×</v>
      </c>
      <c r="G396" s="37" t="str">
        <f t="array" ref="G396">XLOOKUP(D396,'source isilon_divまとめ'!A:A,'source isilon_divまとめ'!D:D,"×")</f>
        <v>×</v>
      </c>
    </row>
    <row r="397">
      <c r="A397" s="8" t="s">
        <v>1065</v>
      </c>
      <c r="B397" s="8" t="s">
        <v>1319</v>
      </c>
      <c r="C397" s="114" t="str">
        <f t="shared" si="1"/>
        <v>人事部/採用・育成G</v>
      </c>
      <c r="D397" s="114" t="str">
        <f t="shared" si="2"/>
        <v>人事部\採用・育成G</v>
      </c>
      <c r="E397" s="37" t="str">
        <f t="array" ref="E397">XLOOKUP(C397,'0file'!C:C,'0file'!C:C,"×")</f>
        <v>×</v>
      </c>
      <c r="F397" s="37" t="str">
        <f t="array" ref="F397">XLOOKUP(C397,'部署遍歴'!F:F,'部署遍歴'!D:D,"×")</f>
        <v>×</v>
      </c>
      <c r="G397" s="37" t="str">
        <f t="array" ref="G397">XLOOKUP(D397,'source isilon_divまとめ'!A:A,'source isilon_divまとめ'!D:D,"×")</f>
        <v>×</v>
      </c>
    </row>
    <row r="398">
      <c r="A398" s="8" t="s">
        <v>1065</v>
      </c>
      <c r="B398" s="8" t="s">
        <v>1320</v>
      </c>
      <c r="C398" s="114" t="str">
        <f t="shared" si="1"/>
        <v>人事部/はたらく環境G</v>
      </c>
      <c r="D398" s="114" t="str">
        <f t="shared" si="2"/>
        <v>人事部\はたらく環境G</v>
      </c>
      <c r="E398" s="37" t="str">
        <f t="array" ref="E398">XLOOKUP(C398,'0file'!C:C,'0file'!C:C,"×")</f>
        <v>×</v>
      </c>
      <c r="F398" s="37" t="str">
        <f t="array" ref="F398">XLOOKUP(C398,'部署遍歴'!F:F,'部署遍歴'!D:D,"×")</f>
        <v>×</v>
      </c>
      <c r="G398" s="37" t="str">
        <f t="array" ref="G398">XLOOKUP(D398,'source isilon_divまとめ'!A:A,'source isilon_divまとめ'!D:D,"×")</f>
        <v>×</v>
      </c>
    </row>
    <row r="399">
      <c r="A399" s="8" t="s">
        <v>1065</v>
      </c>
      <c r="B399" s="8" t="s">
        <v>1321</v>
      </c>
      <c r="C399" s="114" t="str">
        <f t="shared" si="1"/>
        <v>人事部/全社人事G</v>
      </c>
      <c r="D399" s="114" t="str">
        <f t="shared" si="2"/>
        <v>人事部\全社人事G</v>
      </c>
      <c r="E399" s="37" t="str">
        <f t="array" ref="E399">XLOOKUP(C399,'0file'!C:C,'0file'!C:C,"×")</f>
        <v>×</v>
      </c>
      <c r="F399" s="37" t="str">
        <f t="array" ref="F399">XLOOKUP(C399,'部署遍歴'!F:F,'部署遍歴'!D:D,"×")</f>
        <v>×</v>
      </c>
      <c r="G399" s="37" t="str">
        <f t="array" ref="G399">XLOOKUP(D399,'source isilon_divまとめ'!A:A,'source isilon_divまとめ'!D:D,"×")</f>
        <v>×</v>
      </c>
    </row>
    <row r="400">
      <c r="A400" s="8" t="s">
        <v>1065</v>
      </c>
      <c r="B400" s="8" t="s">
        <v>1322</v>
      </c>
      <c r="C400" s="114" t="str">
        <f t="shared" si="1"/>
        <v>人事部/企画・労務G</v>
      </c>
      <c r="D400" s="114" t="str">
        <f t="shared" si="2"/>
        <v>人事部\企画・労務G</v>
      </c>
      <c r="E400" s="37" t="str">
        <f t="array" ref="E400">XLOOKUP(C400,'0file'!C:C,'0file'!C:C,"×")</f>
        <v>人事部/企画・労務G</v>
      </c>
      <c r="F400" s="37" t="str">
        <f t="array" ref="F400">XLOOKUP(C400,'部署遍歴'!F:F,'部署遍歴'!D:D,"×")</f>
        <v>×</v>
      </c>
      <c r="G400" s="37" t="str">
        <f t="array" ref="G400">XLOOKUP(D400,'source isilon_divまとめ'!A:A,'source isilon_divまとめ'!D:D,"×")</f>
        <v>×</v>
      </c>
    </row>
    <row r="401">
      <c r="A401" s="8" t="s">
        <v>1065</v>
      </c>
      <c r="B401" s="8" t="s">
        <v>444</v>
      </c>
      <c r="C401" s="114" t="str">
        <f t="shared" si="1"/>
        <v>人事部/企画G</v>
      </c>
      <c r="D401" s="114" t="str">
        <f t="shared" si="2"/>
        <v>人事部\企画G</v>
      </c>
      <c r="E401" s="37" t="str">
        <f t="array" ref="E401">XLOOKUP(C401,'0file'!C:C,'0file'!C:C,"×")</f>
        <v>×</v>
      </c>
      <c r="F401" s="37" t="str">
        <f t="array" ref="F401">XLOOKUP(C401,'部署遍歴'!F:F,'部署遍歴'!D:D,"×")</f>
        <v>×</v>
      </c>
      <c r="G401" s="37" t="str">
        <f t="array" ref="G401">XLOOKUP(D401,'source isilon_divまとめ'!A:A,'source isilon_divまとめ'!D:D,"×")</f>
        <v>×</v>
      </c>
    </row>
    <row r="402">
      <c r="A402" s="8" t="s">
        <v>1065</v>
      </c>
      <c r="B402" s="8" t="s">
        <v>1323</v>
      </c>
      <c r="C402" s="114" t="str">
        <f t="shared" si="1"/>
        <v>人事部/人材開発G</v>
      </c>
      <c r="D402" s="114" t="str">
        <f t="shared" si="2"/>
        <v>人事部\人材開発G</v>
      </c>
      <c r="E402" s="37" t="str">
        <f t="array" ref="E402">XLOOKUP(C402,'0file'!C:C,'0file'!C:C,"×")</f>
        <v>×</v>
      </c>
      <c r="F402" s="37" t="str">
        <f t="array" ref="F402">XLOOKUP(C402,'部署遍歴'!F:F,'部署遍歴'!D:D,"×")</f>
        <v>×</v>
      </c>
      <c r="G402" s="37" t="str">
        <f t="array" ref="G402">XLOOKUP(D402,'source isilon_divまとめ'!A:A,'source isilon_divまとめ'!D:D,"×")</f>
        <v>×</v>
      </c>
    </row>
    <row r="403">
      <c r="A403" s="8" t="s">
        <v>1065</v>
      </c>
      <c r="B403" s="8" t="s">
        <v>1324</v>
      </c>
      <c r="C403" s="114" t="str">
        <f t="shared" si="1"/>
        <v>人事部/人材採用G</v>
      </c>
      <c r="D403" s="114" t="str">
        <f t="shared" si="2"/>
        <v>人事部\人材採用G</v>
      </c>
      <c r="E403" s="37" t="str">
        <f t="array" ref="E403">XLOOKUP(C403,'0file'!C:C,'0file'!C:C,"×")</f>
        <v>×</v>
      </c>
      <c r="F403" s="37" t="str">
        <f t="array" ref="F403">XLOOKUP(C403,'部署遍歴'!F:F,'部署遍歴'!D:D,"×")</f>
        <v>×</v>
      </c>
      <c r="G403" s="37" t="str">
        <f t="array" ref="G403">XLOOKUP(D403,'source isilon_divまとめ'!A:A,'source isilon_divまとめ'!D:D,"×")</f>
        <v>×</v>
      </c>
    </row>
    <row r="404">
      <c r="A404" s="8" t="s">
        <v>1065</v>
      </c>
      <c r="B404" s="8" t="s">
        <v>1204</v>
      </c>
      <c r="C404" s="114" t="str">
        <f t="shared" si="1"/>
        <v>人事部/部共有</v>
      </c>
      <c r="D404" s="114" t="str">
        <f t="shared" si="2"/>
        <v>人事部\部共有</v>
      </c>
      <c r="E404" s="37" t="str">
        <f t="array" ref="E404">XLOOKUP(C404,'0file'!C:C,'0file'!C:C,"×")</f>
        <v>×</v>
      </c>
      <c r="F404" s="37" t="str">
        <f t="array" ref="F404">XLOOKUP(C404,'部署遍歴'!F:F,'部署遍歴'!D:D,"×")</f>
        <v>×</v>
      </c>
      <c r="G404" s="37" t="str">
        <f t="array" ref="G404">XLOOKUP(D404,'source isilon_divまとめ'!A:A,'source isilon_divまとめ'!D:D,"×")</f>
        <v>×</v>
      </c>
    </row>
    <row r="405">
      <c r="A405" s="8" t="s">
        <v>1068</v>
      </c>
      <c r="B405" s="8" t="s">
        <v>1225</v>
      </c>
      <c r="C405" s="114" t="str">
        <f t="shared" si="1"/>
        <v>XFLAG ENTERTAINMENT/ビバレッジ事業推進室</v>
      </c>
      <c r="D405" s="114" t="str">
        <f t="shared" si="2"/>
        <v>XFLAG ENTERTAINMENT\ビバレッジ事業推進室</v>
      </c>
      <c r="E405" s="37" t="str">
        <f t="array" ref="E405">XLOOKUP(C405,'0file'!C:C,'0file'!C:C,"×")</f>
        <v>×</v>
      </c>
      <c r="F405" s="37" t="str">
        <f t="array" ref="F405">XLOOKUP(C405,'部署遍歴'!F:F,'部署遍歴'!D:D,"×")</f>
        <v>×</v>
      </c>
      <c r="G405" s="37" t="str">
        <f t="array" ref="G405">XLOOKUP(D405,'source isilon_divまとめ'!A:A,'source isilon_divまとめ'!D:D,"×")</f>
        <v>×</v>
      </c>
    </row>
    <row r="406">
      <c r="A406" s="8" t="s">
        <v>1068</v>
      </c>
      <c r="B406" s="8" t="s">
        <v>1227</v>
      </c>
      <c r="C406" s="114" t="str">
        <f t="shared" si="1"/>
        <v>XFLAG ENTERTAINMENT/マーチャンダイジング部</v>
      </c>
      <c r="D406" s="114" t="str">
        <f t="shared" si="2"/>
        <v>XFLAG ENTERTAINMENT\マーチャンダイジング部</v>
      </c>
      <c r="E406" s="37" t="str">
        <f t="array" ref="E406">XLOOKUP(C406,'0file'!C:C,'0file'!C:C,"×")</f>
        <v>×</v>
      </c>
      <c r="F406" s="37" t="str">
        <f t="array" ref="F406">XLOOKUP(C406,'部署遍歴'!F:F,'部署遍歴'!D:D,"×")</f>
        <v>×</v>
      </c>
      <c r="G406" s="37" t="str">
        <f t="array" ref="G406">XLOOKUP(D406,'source isilon_divまとめ'!A:A,'source isilon_divまとめ'!D:D,"×")</f>
        <v>×</v>
      </c>
    </row>
    <row r="407">
      <c r="A407" s="8" t="s">
        <v>1068</v>
      </c>
      <c r="B407" s="8" t="s">
        <v>1111</v>
      </c>
      <c r="C407" s="114" t="str">
        <f t="shared" si="1"/>
        <v>XFLAG ENTERTAINMENT/本部共有</v>
      </c>
      <c r="D407" s="114" t="str">
        <f t="shared" si="2"/>
        <v>XFLAG ENTERTAINMENT\本部共有</v>
      </c>
      <c r="E407" s="37" t="str">
        <f t="array" ref="E407">XLOOKUP(C407,'0file'!C:C,'0file'!C:C,"×")</f>
        <v>XFLAG ENTERTAINMENT/本部共有</v>
      </c>
      <c r="F407" s="37" t="str">
        <f t="array" ref="F407">XLOOKUP(C407,'部署遍歴'!F:F,'部署遍歴'!D:D,"×")</f>
        <v>×</v>
      </c>
      <c r="G407" s="37" t="str">
        <f t="array" ref="G407">XLOOKUP(D407,'source isilon_divまとめ'!A:A,'source isilon_divまとめ'!D:D,"×")</f>
        <v>×</v>
      </c>
    </row>
    <row r="408">
      <c r="A408" s="8" t="s">
        <v>1068</v>
      </c>
      <c r="B408" s="8" t="s">
        <v>1229</v>
      </c>
      <c r="C408" s="114" t="str">
        <f t="shared" si="1"/>
        <v>XFLAG ENTERTAINMENT/新規事業開発部</v>
      </c>
      <c r="D408" s="114" t="str">
        <f t="shared" si="2"/>
        <v>XFLAG ENTERTAINMENT\新規事業開発部</v>
      </c>
      <c r="E408" s="37" t="str">
        <f t="array" ref="E408">XLOOKUP(C408,'0file'!C:C,'0file'!C:C,"×")</f>
        <v>×</v>
      </c>
      <c r="F408" s="37" t="str">
        <f t="array" ref="F408">XLOOKUP(C408,'部署遍歴'!F:F,'部署遍歴'!D:D,"×")</f>
        <v>×</v>
      </c>
      <c r="G408" s="37" t="str">
        <f t="array" ref="G408">XLOOKUP(D408,'source isilon_divまとめ'!A:A,'source isilon_divまとめ'!D:D,"×")</f>
        <v>×</v>
      </c>
    </row>
    <row r="409">
      <c r="A409" s="8" t="s">
        <v>1071</v>
      </c>
      <c r="B409" s="8" t="s">
        <v>1286</v>
      </c>
      <c r="C409" s="114" t="str">
        <f t="shared" si="1"/>
        <v>会長室/live4uG</v>
      </c>
      <c r="D409" s="114" t="str">
        <f t="shared" si="2"/>
        <v>会長室\live4uG</v>
      </c>
      <c r="E409" s="37" t="str">
        <f t="array" ref="E409">XLOOKUP(C409,'0file'!C:C,'0file'!C:C,"×")</f>
        <v>×</v>
      </c>
      <c r="F409" s="37" t="str">
        <f t="array" ref="F409">XLOOKUP(C409,'部署遍歴'!F:F,'部署遍歴'!D:D,"×")</f>
        <v>×</v>
      </c>
      <c r="G409" s="37" t="str">
        <f t="array" ref="G409">XLOOKUP(D409,'source isilon_divまとめ'!A:A,'source isilon_divまとめ'!D:D,"×")</f>
        <v>×</v>
      </c>
    </row>
    <row r="410">
      <c r="A410" s="8" t="s">
        <v>1071</v>
      </c>
      <c r="B410" s="8" t="s">
        <v>1289</v>
      </c>
      <c r="C410" s="114" t="str">
        <f t="shared" si="1"/>
        <v>会長室/みてねG</v>
      </c>
      <c r="D410" s="114" t="str">
        <f t="shared" si="2"/>
        <v>会長室\みてねG</v>
      </c>
      <c r="E410" s="37" t="str">
        <f t="array" ref="E410">XLOOKUP(C410,'0file'!C:C,'0file'!C:C,"×")</f>
        <v>×</v>
      </c>
      <c r="F410" s="37" t="str">
        <f t="array" ref="F410">XLOOKUP(C410,'部署遍歴'!F:F,'部署遍歴'!D:D,"×")</f>
        <v>×</v>
      </c>
      <c r="G410" s="37" t="str">
        <f t="array" ref="G410">XLOOKUP(D410,'source isilon_divまとめ'!A:A,'source isilon_divまとめ'!D:D,"×")</f>
        <v>×</v>
      </c>
    </row>
    <row r="411">
      <c r="A411" s="8" t="s">
        <v>1071</v>
      </c>
      <c r="B411" s="8" t="s">
        <v>1290</v>
      </c>
      <c r="C411" s="114" t="str">
        <f t="shared" si="1"/>
        <v>会長室/minimoG</v>
      </c>
      <c r="D411" s="114" t="str">
        <f t="shared" si="2"/>
        <v>会長室\minimoG</v>
      </c>
      <c r="E411" s="37" t="str">
        <f t="array" ref="E411">XLOOKUP(C411,'0file'!C:C,'0file'!C:C,"×")</f>
        <v>会長室/minimoG</v>
      </c>
      <c r="F411" s="37" t="str">
        <f t="array" ref="F411">XLOOKUP(C411,'部署遍歴'!F:F,'部署遍歴'!D:D,"×")</f>
        <v>×</v>
      </c>
      <c r="G411" s="37" t="str">
        <f t="array" ref="G411">XLOOKUP(D411,'source isilon_divまとめ'!A:A,'source isilon_divまとめ'!D:D,"×")</f>
        <v>×</v>
      </c>
    </row>
    <row r="412">
      <c r="A412" s="8" t="s">
        <v>1071</v>
      </c>
      <c r="B412" s="8" t="s">
        <v>1292</v>
      </c>
      <c r="C412" s="114" t="str">
        <f t="shared" si="1"/>
        <v>会長室/DeployGateG</v>
      </c>
      <c r="D412" s="114" t="str">
        <f t="shared" si="2"/>
        <v>会長室\DeployGateG</v>
      </c>
      <c r="E412" s="37" t="str">
        <f t="array" ref="E412">XLOOKUP(C412,'0file'!C:C,'0file'!C:C,"×")</f>
        <v>会長室/DeployGateG</v>
      </c>
      <c r="F412" s="37" t="str">
        <f t="array" ref="F412">XLOOKUP(C412,'部署遍歴'!F:F,'部署遍歴'!D:D,"×")</f>
        <v>×</v>
      </c>
      <c r="G412" s="37" t="str">
        <f t="array" ref="G412">XLOOKUP(D412,'source isilon_divまとめ'!A:A,'source isilon_divまとめ'!D:D,"×")</f>
        <v>×</v>
      </c>
    </row>
    <row r="413">
      <c r="A413" s="8" t="s">
        <v>1071</v>
      </c>
      <c r="B413" s="8" t="s">
        <v>1104</v>
      </c>
      <c r="C413" s="114" t="str">
        <f t="shared" si="1"/>
        <v>会長室/室共有</v>
      </c>
      <c r="D413" s="114" t="str">
        <f t="shared" si="2"/>
        <v>会長室\室共有</v>
      </c>
      <c r="E413" s="37" t="str">
        <f t="array" ref="E413">XLOOKUP(C413,'0file'!C:C,'0file'!C:C,"×")</f>
        <v>会長室/室共有</v>
      </c>
      <c r="F413" s="37" t="str">
        <f t="array" ref="F413">XLOOKUP(C413,'部署遍歴'!F:F,'部署遍歴'!D:D,"×")</f>
        <v>×</v>
      </c>
      <c r="G413" s="37" t="str">
        <f t="array" ref="G413">XLOOKUP(D413,'source isilon_divまとめ'!A:A,'source isilon_divまとめ'!D:D,"×")</f>
        <v>×</v>
      </c>
    </row>
    <row r="414">
      <c r="A414" s="8" t="s">
        <v>1072</v>
      </c>
      <c r="B414" s="8" t="s">
        <v>1325</v>
      </c>
      <c r="C414" s="114" t="str">
        <f t="shared" si="1"/>
        <v>人事部付/名称未設定フォルダ</v>
      </c>
      <c r="D414" s="114" t="str">
        <f t="shared" si="2"/>
        <v>人事部付\名称未設定フォルダ</v>
      </c>
      <c r="E414" s="37" t="str">
        <f t="array" ref="E414">XLOOKUP(C414,'0file'!C:C,'0file'!C:C,"×")</f>
        <v>人事部付/名称未設定フォルダ</v>
      </c>
      <c r="F414" s="37" t="str">
        <f t="array" ref="F414">XLOOKUP(C414,'部署遍歴'!F:F,'部署遍歴'!D:D,"×")</f>
        <v>×</v>
      </c>
      <c r="G414" s="37" t="str">
        <f t="array" ref="G414">XLOOKUP(D414,'source isilon_divまとめ'!A:A,'source isilon_divまとめ'!D:D,"×")</f>
        <v>×</v>
      </c>
    </row>
    <row r="415">
      <c r="A415" s="8" t="s">
        <v>1075</v>
      </c>
      <c r="B415" s="8" t="s">
        <v>1131</v>
      </c>
      <c r="C415" s="114" t="str">
        <f t="shared" si="1"/>
        <v>メディアコンテンツ事業本部/モンストスタジオ</v>
      </c>
      <c r="D415" s="114" t="str">
        <f t="shared" si="2"/>
        <v>メディアコンテンツ事業本部\モンストスタジオ</v>
      </c>
      <c r="E415" s="37" t="str">
        <f t="array" ref="E415">XLOOKUP(C415,'0file'!C:C,'0file'!C:C,"×")</f>
        <v>×</v>
      </c>
      <c r="F415" s="37" t="str">
        <f t="array" ref="F415">XLOOKUP(C415,'部署遍歴'!F:F,'部署遍歴'!D:D,"×")</f>
        <v>×</v>
      </c>
      <c r="G415" s="37" t="str">
        <f t="array" ref="G415">XLOOKUP(D415,'source isilon_divまとめ'!A:A,'source isilon_divまとめ'!D:D,"×")</f>
        <v>×</v>
      </c>
    </row>
    <row r="416">
      <c r="A416" s="8" t="s">
        <v>1075</v>
      </c>
      <c r="B416" s="8" t="s">
        <v>1326</v>
      </c>
      <c r="C416" s="114" t="str">
        <f t="shared" si="1"/>
        <v>メディアコンテンツ事業本部/mixiマーケティング部</v>
      </c>
      <c r="D416" s="114" t="str">
        <f t="shared" si="2"/>
        <v>メディアコンテンツ事業本部\mixiマーケティング部</v>
      </c>
      <c r="E416" s="37" t="str">
        <f t="array" ref="E416">XLOOKUP(C416,'0file'!C:C,'0file'!C:C,"×")</f>
        <v>×</v>
      </c>
      <c r="F416" s="37" t="str">
        <f t="array" ref="F416">XLOOKUP(C416,'部署遍歴'!F:F,'部署遍歴'!D:D,"×")</f>
        <v>×</v>
      </c>
      <c r="G416" s="37" t="str">
        <f t="array" ref="G416">XLOOKUP(D416,'source isilon_divまとめ'!A:A,'source isilon_divまとめ'!D:D,"×")</f>
        <v>×</v>
      </c>
    </row>
    <row r="417">
      <c r="A417" s="8" t="s">
        <v>1075</v>
      </c>
      <c r="B417" s="8" t="s">
        <v>1327</v>
      </c>
      <c r="C417" s="114" t="str">
        <f t="shared" si="1"/>
        <v>メディアコンテンツ事業本部/ビジネス推進部</v>
      </c>
      <c r="D417" s="114" t="str">
        <f t="shared" si="2"/>
        <v>メディアコンテンツ事業本部\ビジネス推進部</v>
      </c>
      <c r="E417" s="37" t="str">
        <f t="array" ref="E417">XLOOKUP(C417,'0file'!C:C,'0file'!C:C,"×")</f>
        <v>×</v>
      </c>
      <c r="F417" s="37" t="str">
        <f t="array" ref="F417">XLOOKUP(C417,'部署遍歴'!F:F,'部署遍歴'!D:D,"×")</f>
        <v>×</v>
      </c>
      <c r="G417" s="37" t="str">
        <f t="array" ref="G417">XLOOKUP(D417,'source isilon_divまとめ'!A:A,'source isilon_divまとめ'!D:D,"×")</f>
        <v>×</v>
      </c>
    </row>
    <row r="418">
      <c r="A418" s="8" t="s">
        <v>1075</v>
      </c>
      <c r="B418" s="8" t="s">
        <v>1109</v>
      </c>
      <c r="C418" s="114" t="str">
        <f t="shared" si="1"/>
        <v>メディアコンテンツ事業本部/mixiサービス部</v>
      </c>
      <c r="D418" s="114" t="str">
        <f t="shared" si="2"/>
        <v>メディアコンテンツ事業本部\mixiサービス部</v>
      </c>
      <c r="E418" s="37" t="str">
        <f t="array" ref="E418">XLOOKUP(C418,'0file'!C:C,'0file'!C:C,"×")</f>
        <v>×</v>
      </c>
      <c r="F418" s="37" t="str">
        <f t="array" ref="F418">XLOOKUP(C418,'部署遍歴'!F:F,'部署遍歴'!D:D,"×")</f>
        <v>×</v>
      </c>
      <c r="G418" s="37" t="str">
        <f t="array" ref="G418">XLOOKUP(D418,'source isilon_divまとめ'!A:A,'source isilon_divまとめ'!D:D,"×")</f>
        <v>×</v>
      </c>
    </row>
    <row r="419">
      <c r="A419" s="8" t="s">
        <v>1075</v>
      </c>
      <c r="B419" s="8" t="s">
        <v>1188</v>
      </c>
      <c r="C419" s="114" t="str">
        <f t="shared" si="1"/>
        <v>メディアコンテンツ事業本部/事業推進部</v>
      </c>
      <c r="D419" s="114" t="str">
        <f t="shared" si="2"/>
        <v>メディアコンテンツ事業本部\事業推進部</v>
      </c>
      <c r="E419" s="37" t="str">
        <f t="array" ref="E419">XLOOKUP(C419,'0file'!C:C,'0file'!C:C,"×")</f>
        <v>×</v>
      </c>
      <c r="F419" s="37" t="str">
        <f t="array" ref="F419">XLOOKUP(C419,'部署遍歴'!F:F,'部署遍歴'!D:D,"×")</f>
        <v>×</v>
      </c>
      <c r="G419" s="37" t="str">
        <f t="array" ref="G419">XLOOKUP(D419,'source isilon_divまとめ'!A:A,'source isilon_divまとめ'!D:D,"×")</f>
        <v>×</v>
      </c>
    </row>
    <row r="420">
      <c r="A420" s="8" t="s">
        <v>1075</v>
      </c>
      <c r="B420" s="8" t="s">
        <v>1328</v>
      </c>
      <c r="C420" s="114" t="str">
        <f t="shared" si="1"/>
        <v>メディアコンテンツ事業本部/アドテク推進部</v>
      </c>
      <c r="D420" s="114" t="str">
        <f t="shared" si="2"/>
        <v>メディアコンテンツ事業本部\アドテク推進部</v>
      </c>
      <c r="E420" s="37" t="str">
        <f t="array" ref="E420">XLOOKUP(C420,'0file'!C:C,'0file'!C:C,"×")</f>
        <v>×</v>
      </c>
      <c r="F420" s="37" t="str">
        <f t="array" ref="F420">XLOOKUP(C420,'部署遍歴'!F:F,'部署遍歴'!D:D,"×")</f>
        <v>×</v>
      </c>
      <c r="G420" s="37" t="str">
        <f t="array" ref="G420">XLOOKUP(D420,'source isilon_divまとめ'!A:A,'source isilon_divまとめ'!D:D,"×")</f>
        <v>×</v>
      </c>
    </row>
    <row r="421">
      <c r="A421" s="8" t="s">
        <v>1075</v>
      </c>
      <c r="B421" s="8" t="s">
        <v>1111</v>
      </c>
      <c r="C421" s="114" t="str">
        <f t="shared" si="1"/>
        <v>メディアコンテンツ事業本部/本部共有</v>
      </c>
      <c r="D421" s="114" t="str">
        <f t="shared" si="2"/>
        <v>メディアコンテンツ事業本部\本部共有</v>
      </c>
      <c r="E421" s="37" t="str">
        <f t="array" ref="E421">XLOOKUP(C421,'0file'!C:C,'0file'!C:C,"×")</f>
        <v>×</v>
      </c>
      <c r="F421" s="37" t="str">
        <f t="array" ref="F421">XLOOKUP(C421,'部署遍歴'!F:F,'部署遍歴'!D:D,"×")</f>
        <v>×</v>
      </c>
      <c r="G421" s="37" t="str">
        <f t="array" ref="G421">XLOOKUP(D421,'source isilon_divまとめ'!A:A,'source isilon_divまとめ'!D:D,"×")</f>
        <v>×</v>
      </c>
    </row>
    <row r="422">
      <c r="A422" s="8" t="s">
        <v>1075</v>
      </c>
      <c r="B422" s="8" t="s">
        <v>1112</v>
      </c>
      <c r="C422" s="114" t="str">
        <f t="shared" si="1"/>
        <v>メディアコンテンツ事業本部/mixiコンテンツ部</v>
      </c>
      <c r="D422" s="114" t="str">
        <f t="shared" si="2"/>
        <v>メディアコンテンツ事業本部\mixiコンテンツ部</v>
      </c>
      <c r="E422" s="37" t="str">
        <f t="array" ref="E422">XLOOKUP(C422,'0file'!C:C,'0file'!C:C,"×")</f>
        <v>×</v>
      </c>
      <c r="F422" s="37" t="str">
        <f t="array" ref="F422">XLOOKUP(C422,'部署遍歴'!F:F,'部署遍歴'!D:D,"×")</f>
        <v>×</v>
      </c>
      <c r="G422" s="37" t="str">
        <f t="array" ref="G422">XLOOKUP(D422,'source isilon_divまとめ'!A:A,'source isilon_divまとめ'!D:D,"×")</f>
        <v>×</v>
      </c>
    </row>
    <row r="423">
      <c r="A423" s="8" t="s">
        <v>1078</v>
      </c>
      <c r="B423" s="8" t="s">
        <v>1329</v>
      </c>
      <c r="C423" s="114" t="str">
        <f t="shared" si="1"/>
        <v>経営企画本部/グループ事業推進部</v>
      </c>
      <c r="D423" s="114" t="str">
        <f t="shared" si="2"/>
        <v>経営企画本部\グループ事業推進部</v>
      </c>
      <c r="E423" s="37" t="str">
        <f t="array" ref="E423">XLOOKUP(C423,'0file'!C:C,'0file'!C:C,"×")</f>
        <v>経営企画本部/グループ事業推進部</v>
      </c>
      <c r="F423" s="37" t="str">
        <f t="array" ref="F423">XLOOKUP(C423,'部署遍歴'!F:F,'部署遍歴'!D:D,"×")</f>
        <v>×</v>
      </c>
      <c r="G423" s="37" t="str">
        <f t="array" ref="G423">XLOOKUP(D423,'source isilon_divまとめ'!A:A,'source isilon_divまとめ'!D:D,"×")</f>
        <v>×</v>
      </c>
    </row>
    <row r="424">
      <c r="A424" s="8" t="s">
        <v>1078</v>
      </c>
      <c r="B424" s="8" t="s">
        <v>432</v>
      </c>
      <c r="C424" s="114" t="str">
        <f t="shared" si="1"/>
        <v>経営企画本部/経営企画室</v>
      </c>
      <c r="D424" s="114" t="str">
        <f t="shared" si="2"/>
        <v>経営企画本部\経営企画室</v>
      </c>
      <c r="E424" s="37" t="str">
        <f t="array" ref="E424">XLOOKUP(C424,'0file'!C:C,'0file'!C:C,"×")</f>
        <v>×</v>
      </c>
      <c r="F424" s="37" t="str">
        <f t="array" ref="F424">XLOOKUP(C424,'部署遍歴'!F:F,'部署遍歴'!D:D,"×")</f>
        <v>×</v>
      </c>
      <c r="G424" s="37" t="str">
        <f t="array" ref="G424">XLOOKUP(D424,'source isilon_divまとめ'!A:A,'source isilon_divまとめ'!D:D,"×")</f>
        <v>×</v>
      </c>
    </row>
    <row r="425">
      <c r="A425" s="8" t="s">
        <v>1078</v>
      </c>
      <c r="B425" s="8" t="s">
        <v>430</v>
      </c>
      <c r="C425" s="114" t="str">
        <f t="shared" si="1"/>
        <v>経営企画本部/経営管理部</v>
      </c>
      <c r="D425" s="114" t="str">
        <f t="shared" si="2"/>
        <v>経営企画本部\経営管理部</v>
      </c>
      <c r="E425" s="37" t="str">
        <f t="array" ref="E425">XLOOKUP(C425,'0file'!C:C,'0file'!C:C,"×")</f>
        <v>経営企画本部/経営管理部</v>
      </c>
      <c r="F425" s="37" t="str">
        <f t="array" ref="F425">XLOOKUP(C425,'部署遍歴'!F:F,'部署遍歴'!D:D,"×")</f>
        <v>×</v>
      </c>
      <c r="G425" s="37" t="str">
        <f t="array" ref="G425">XLOOKUP(D425,'source isilon_divまとめ'!A:A,'source isilon_divまとめ'!D:D,"×")</f>
        <v>×</v>
      </c>
    </row>
    <row r="426">
      <c r="A426" s="8" t="s">
        <v>1078</v>
      </c>
      <c r="B426" s="8" t="s">
        <v>1330</v>
      </c>
      <c r="C426" s="114" t="str">
        <f t="shared" si="1"/>
        <v>経営企画本部/IR室</v>
      </c>
      <c r="D426" s="114" t="str">
        <f t="shared" si="2"/>
        <v>経営企画本部\IR室</v>
      </c>
      <c r="E426" s="37" t="str">
        <f t="array" ref="E426">XLOOKUP(C426,'0file'!C:C,'0file'!C:C,"×")</f>
        <v>経営企画本部/IR室</v>
      </c>
      <c r="F426" s="37" t="str">
        <f t="array" ref="F426">XLOOKUP(C426,'部署遍歴'!F:F,'部署遍歴'!D:D,"×")</f>
        <v>経営管理部</v>
      </c>
      <c r="G426" s="37" t="str">
        <f t="array" ref="G426">XLOOKUP(D426,'source isilon_divまとめ'!A:A,'source isilon_divまとめ'!D:D,"×")</f>
        <v>×</v>
      </c>
    </row>
    <row r="427">
      <c r="A427" s="8" t="s">
        <v>1078</v>
      </c>
      <c r="B427" s="8" t="s">
        <v>1332</v>
      </c>
      <c r="C427" s="114" t="str">
        <f t="shared" si="1"/>
        <v>経営企画本部/事業統括室</v>
      </c>
      <c r="D427" s="114" t="str">
        <f t="shared" si="2"/>
        <v>経営企画本部\事業統括室</v>
      </c>
      <c r="E427" s="37" t="str">
        <f t="array" ref="E427">XLOOKUP(C427,'0file'!C:C,'0file'!C:C,"×")</f>
        <v>×</v>
      </c>
      <c r="F427" s="37" t="str">
        <f t="array" ref="F427">XLOOKUP(C427,'部署遍歴'!F:F,'部署遍歴'!D:D,"×")</f>
        <v>×</v>
      </c>
      <c r="G427" s="37" t="str">
        <f t="array" ref="G427">XLOOKUP(D427,'source isilon_divまとめ'!A:A,'source isilon_divまとめ'!D:D,"×")</f>
        <v>×</v>
      </c>
    </row>
    <row r="428">
      <c r="A428" s="8" t="s">
        <v>1078</v>
      </c>
      <c r="B428" s="8" t="s">
        <v>1232</v>
      </c>
      <c r="C428" s="114" t="str">
        <f t="shared" si="1"/>
        <v>経営企画本部/投資・事業推進部</v>
      </c>
      <c r="D428" s="114" t="str">
        <f t="shared" si="2"/>
        <v>経営企画本部\投資・事業推進部</v>
      </c>
      <c r="E428" s="37" t="str">
        <f t="array" ref="E428">XLOOKUP(C428,'0file'!C:C,'0file'!C:C,"×")</f>
        <v>経営企画本部/投資・事業推進部</v>
      </c>
      <c r="F428" s="37" t="str">
        <f t="array" ref="F428">XLOOKUP(C428,'部署遍歴'!F:F,'部署遍歴'!D:D,"×")</f>
        <v>×</v>
      </c>
      <c r="G428" s="37" t="str">
        <f t="array" ref="G428">XLOOKUP(D428,'source isilon_divまとめ'!A:A,'source isilon_divまとめ'!D:D,"×")</f>
        <v>×</v>
      </c>
    </row>
    <row r="429">
      <c r="A429" s="8" t="s">
        <v>1078</v>
      </c>
      <c r="B429" s="8" t="s">
        <v>1233</v>
      </c>
      <c r="C429" s="114" t="str">
        <f t="shared" si="1"/>
        <v>経営企画本部/グループ統括室</v>
      </c>
      <c r="D429" s="114" t="str">
        <f t="shared" si="2"/>
        <v>経営企画本部\グループ統括室</v>
      </c>
      <c r="E429" s="37" t="str">
        <f t="array" ref="E429">XLOOKUP(C429,'0file'!C:C,'0file'!C:C,"×")</f>
        <v>経営企画本部/グループ統括室</v>
      </c>
      <c r="F429" s="37" t="str">
        <f t="array" ref="F429">XLOOKUP(C429,'部署遍歴'!F:F,'部署遍歴'!D:D,"×")</f>
        <v>×</v>
      </c>
      <c r="G429" s="37" t="str">
        <f t="array" ref="G429">XLOOKUP(D429,'source isilon_divまとめ'!A:A,'source isilon_divまとめ'!D:D,"×")</f>
        <v>×</v>
      </c>
    </row>
    <row r="430">
      <c r="A430" s="8" t="s">
        <v>1078</v>
      </c>
      <c r="B430" s="8" t="s">
        <v>443</v>
      </c>
      <c r="C430" s="114" t="str">
        <f t="shared" si="1"/>
        <v>経営企画本部/経営企画部</v>
      </c>
      <c r="D430" s="114" t="str">
        <f t="shared" si="2"/>
        <v>経営企画本部\経営企画部</v>
      </c>
      <c r="E430" s="37" t="str">
        <f t="array" ref="E430">XLOOKUP(C430,'0file'!C:C,'0file'!C:C,"×")</f>
        <v>×</v>
      </c>
      <c r="F430" s="37" t="str">
        <f t="array" ref="F430">XLOOKUP(C430,'部署遍歴'!F:F,'部署遍歴'!D:D,"×")</f>
        <v>×</v>
      </c>
      <c r="G430" s="37" t="str">
        <f t="array" ref="G430">XLOOKUP(D430,'source isilon_divまとめ'!A:A,'source isilon_divまとめ'!D:D,"×")</f>
        <v>×</v>
      </c>
    </row>
    <row r="431">
      <c r="A431" s="8" t="s">
        <v>1078</v>
      </c>
      <c r="B431" s="8" t="s">
        <v>1236</v>
      </c>
      <c r="C431" s="114" t="str">
        <f t="shared" si="1"/>
        <v>経営企画本部/経理財務部</v>
      </c>
      <c r="D431" s="114" t="str">
        <f t="shared" si="2"/>
        <v>経営企画本部\経理財務部</v>
      </c>
      <c r="E431" s="37" t="str">
        <f t="array" ref="E431">XLOOKUP(C431,'0file'!C:C,'0file'!C:C,"×")</f>
        <v>経営企画本部/経理財務部</v>
      </c>
      <c r="F431" s="37" t="str">
        <f t="array" ref="F431">XLOOKUP(C431,'部署遍歴'!F:F,'部署遍歴'!D:D,"×")</f>
        <v>×</v>
      </c>
      <c r="G431" s="37" t="str">
        <f t="array" ref="G431">XLOOKUP(D431,'source isilon_divまとめ'!A:A,'source isilon_divまとめ'!D:D,"×")</f>
        <v>×</v>
      </c>
    </row>
    <row r="432">
      <c r="A432" s="8" t="s">
        <v>1078</v>
      </c>
      <c r="B432" s="8" t="s">
        <v>1111</v>
      </c>
      <c r="C432" s="114" t="str">
        <f t="shared" si="1"/>
        <v>経営企画本部/本部共有</v>
      </c>
      <c r="D432" s="114" t="str">
        <f t="shared" si="2"/>
        <v>経営企画本部\本部共有</v>
      </c>
      <c r="E432" s="37" t="str">
        <f t="array" ref="E432">XLOOKUP(C432,'0file'!C:C,'0file'!C:C,"×")</f>
        <v>×</v>
      </c>
      <c r="F432" s="37" t="str">
        <f t="array" ref="F432">XLOOKUP(C432,'部署遍歴'!F:F,'部署遍歴'!D:D,"×")</f>
        <v>×</v>
      </c>
      <c r="G432" s="37" t="str">
        <f t="array" ref="G432">XLOOKUP(D432,'source isilon_divまとめ'!A:A,'source isilon_divまとめ'!D:D,"×")</f>
        <v>×</v>
      </c>
    </row>
    <row r="433">
      <c r="A433" s="8" t="s">
        <v>1078</v>
      </c>
      <c r="B433" s="8" t="s">
        <v>1333</v>
      </c>
      <c r="C433" s="114" t="str">
        <f t="shared" si="1"/>
        <v>経営企画本部/グループ経営企画室</v>
      </c>
      <c r="D433" s="114" t="str">
        <f t="shared" si="2"/>
        <v>経営企画本部\グループ経営企画室</v>
      </c>
      <c r="E433" s="37" t="str">
        <f t="array" ref="E433">XLOOKUP(C433,'0file'!C:C,'0file'!C:C,"×")</f>
        <v>経営企画本部/グループ経営企画室</v>
      </c>
      <c r="F433" s="37" t="str">
        <f t="array" ref="F433">XLOOKUP(C433,'部署遍歴'!F:F,'部署遍歴'!D:D,"×")</f>
        <v>×</v>
      </c>
      <c r="G433" s="37" t="str">
        <f t="array" ref="G433">XLOOKUP(D433,'source isilon_divまとめ'!A:A,'source isilon_divまとめ'!D:D,"×")</f>
        <v>×</v>
      </c>
    </row>
    <row r="434">
      <c r="A434" s="8" t="s">
        <v>1081</v>
      </c>
      <c r="B434" s="8" t="s">
        <v>1159</v>
      </c>
      <c r="C434" s="114" t="str">
        <f t="shared" si="1"/>
        <v>XFLAG ARTS/モンストデザイン室</v>
      </c>
      <c r="D434" s="114" t="str">
        <f t="shared" si="2"/>
        <v>XFLAG ARTS\モンストデザイン室</v>
      </c>
      <c r="E434" s="37" t="str">
        <f t="array" ref="E434">XLOOKUP(C434,'0file'!C:C,'0file'!C:C,"×")</f>
        <v>XFLAG ARTS/モンストデザイン室</v>
      </c>
      <c r="F434" s="37" t="str">
        <f t="array" ref="F434">XLOOKUP(C434,'部署遍歴'!F:F,'部署遍歴'!D:D,"×")</f>
        <v>×</v>
      </c>
      <c r="G434" s="37" t="str">
        <f t="array" ref="G434">XLOOKUP(D434,'source isilon_divまとめ'!A:A,'source isilon_divまとめ'!D:D,"×")</f>
        <v>×</v>
      </c>
    </row>
    <row r="435">
      <c r="A435" s="8" t="s">
        <v>1081</v>
      </c>
      <c r="B435" s="8" t="s">
        <v>1111</v>
      </c>
      <c r="C435" s="114" t="str">
        <f t="shared" si="1"/>
        <v>XFLAG ARTS/本部共有</v>
      </c>
      <c r="D435" s="114" t="str">
        <f t="shared" si="2"/>
        <v>XFLAG ARTS\本部共有</v>
      </c>
      <c r="E435" s="37" t="str">
        <f t="array" ref="E435">XLOOKUP(C435,'0file'!C:C,'0file'!C:C,"×")</f>
        <v>XFLAG ARTS/本部共有</v>
      </c>
      <c r="F435" s="37" t="str">
        <f t="array" ref="F435">XLOOKUP(C435,'部署遍歴'!F:F,'部署遍歴'!D:D,"×")</f>
        <v>×</v>
      </c>
      <c r="G435" s="37" t="str">
        <f t="array" ref="G435">XLOOKUP(D435,'source isilon_divまとめ'!A:A,'source isilon_divまとめ'!D:D,"×")</f>
        <v>×</v>
      </c>
    </row>
    <row r="436">
      <c r="A436" s="8" t="s">
        <v>1081</v>
      </c>
      <c r="B436" s="8" t="s">
        <v>1160</v>
      </c>
      <c r="C436" s="114" t="str">
        <f t="shared" si="1"/>
        <v>XFLAG ARTS/XFLAGデザイン室</v>
      </c>
      <c r="D436" s="114" t="str">
        <f t="shared" si="2"/>
        <v>XFLAG ARTS\XFLAGデザイン室</v>
      </c>
      <c r="E436" s="37" t="str">
        <f t="array" ref="E436">XLOOKUP(C436,'0file'!C:C,'0file'!C:C,"×")</f>
        <v>×</v>
      </c>
      <c r="F436" s="37" t="str">
        <f t="array" ref="F436">XLOOKUP(C436,'部署遍歴'!F:F,'部署遍歴'!D:D,"×")</f>
        <v>×</v>
      </c>
      <c r="G436" s="37" t="str">
        <f t="array" ref="G436">XLOOKUP(D436,'source isilon_divまとめ'!A:A,'source isilon_divまとめ'!D:D,"×")</f>
        <v>×</v>
      </c>
    </row>
    <row r="437">
      <c r="A437" s="8" t="s">
        <v>1082</v>
      </c>
      <c r="B437" s="8" t="s">
        <v>1139</v>
      </c>
      <c r="C437" s="114" t="str">
        <f t="shared" si="1"/>
        <v>スマートヘルス/全社共有</v>
      </c>
      <c r="D437" s="114" t="str">
        <f t="shared" si="2"/>
        <v>スマートヘルス\全社共有</v>
      </c>
      <c r="E437" s="37" t="str">
        <f t="array" ref="E437">XLOOKUP(C437,'0file'!C:C,'0file'!C:C,"×")</f>
        <v>×</v>
      </c>
      <c r="F437" s="37" t="str">
        <f t="array" ref="F437">XLOOKUP(C437,'部署遍歴'!F:F,'部署遍歴'!D:D,"×")</f>
        <v>×</v>
      </c>
      <c r="G437" s="37" t="str">
        <f t="array" ref="G437">XLOOKUP(D437,'source isilon_divまとめ'!A:A,'source isilon_divまとめ'!D:D,"×")</f>
        <v>×</v>
      </c>
    </row>
    <row r="438">
      <c r="A438" s="8" t="s">
        <v>613</v>
      </c>
      <c r="B438" s="8" t="s">
        <v>104</v>
      </c>
      <c r="C438" s="114" t="str">
        <f t="shared" si="1"/>
        <v>コンプライアンス本部/法務部</v>
      </c>
      <c r="D438" s="114" t="str">
        <f t="shared" si="2"/>
        <v>コンプライアンス本部\法務部</v>
      </c>
      <c r="E438" s="37" t="str">
        <f t="array" ref="E438">XLOOKUP(C438,'0file'!C:C,'0file'!C:C,"×")</f>
        <v>×</v>
      </c>
      <c r="F438" s="37" t="str">
        <f t="array" ref="F438">XLOOKUP(C438,'部署遍歴'!F:F,'部署遍歴'!D:D,"×")</f>
        <v>×</v>
      </c>
      <c r="G438" s="37" t="str">
        <f t="array" ref="G438">XLOOKUP(D438,'source isilon_divまとめ'!A:A,'source isilon_divまとめ'!D:D,"×")</f>
        <v>×</v>
      </c>
    </row>
    <row r="439">
      <c r="A439" s="8" t="s">
        <v>613</v>
      </c>
      <c r="B439" s="8" t="s">
        <v>1111</v>
      </c>
      <c r="C439" s="114" t="str">
        <f t="shared" si="1"/>
        <v>コンプライアンス本部/本部共有</v>
      </c>
      <c r="D439" s="114" t="str">
        <f t="shared" si="2"/>
        <v>コンプライアンス本部\本部共有</v>
      </c>
      <c r="E439" s="37" t="str">
        <f t="array" ref="E439">XLOOKUP(C439,'0file'!C:C,'0file'!C:C,"×")</f>
        <v>×</v>
      </c>
      <c r="F439" s="37" t="str">
        <f t="array" ref="F439">XLOOKUP(C439,'部署遍歴'!F:F,'部署遍歴'!D:D,"×")</f>
        <v>×</v>
      </c>
      <c r="G439" s="37" t="str">
        <f t="array" ref="G439">XLOOKUP(D439,'source isilon_divまとめ'!A:A,'source isilon_divまとめ'!D:D,"×")</f>
        <v>×</v>
      </c>
    </row>
    <row r="440">
      <c r="A440" s="8" t="s">
        <v>613</v>
      </c>
      <c r="B440" s="8" t="s">
        <v>106</v>
      </c>
      <c r="C440" s="114" t="str">
        <f t="shared" si="1"/>
        <v>コンプライアンス本部/知財室</v>
      </c>
      <c r="D440" s="114" t="str">
        <f t="shared" si="2"/>
        <v>コンプライアンス本部\知財室</v>
      </c>
      <c r="E440" s="37" t="str">
        <f t="array" ref="E440">XLOOKUP(C440,'0file'!C:C,'0file'!C:C,"×")</f>
        <v>×</v>
      </c>
      <c r="F440" s="37" t="str">
        <f t="array" ref="F440">XLOOKUP(C440,'部署遍歴'!F:F,'部署遍歴'!D:D,"×")</f>
        <v>×</v>
      </c>
      <c r="G440" s="37" t="str">
        <f t="array" ref="G440">XLOOKUP(D440,'source isilon_divまとめ'!A:A,'source isilon_divまとめ'!D:D,"×")</f>
        <v>×</v>
      </c>
    </row>
    <row r="441">
      <c r="A441" s="8" t="s">
        <v>1085</v>
      </c>
      <c r="B441" s="8" t="s">
        <v>1243</v>
      </c>
      <c r="C441" s="114" t="str">
        <f t="shared" si="1"/>
        <v>ヴァンテージスタジオ/ミクシィ・リクルートメント事業部</v>
      </c>
      <c r="D441" s="114" t="str">
        <f t="shared" si="2"/>
        <v>ヴァンテージスタジオ\ミクシィ・リクルートメント事業部</v>
      </c>
      <c r="E441" s="37" t="str">
        <f t="array" ref="E441">XLOOKUP(C441,'0file'!C:C,'0file'!C:C,"×")</f>
        <v>×</v>
      </c>
      <c r="F441" s="37" t="str">
        <f t="array" ref="F441">XLOOKUP(C441,'部署遍歴'!F:F,'部署遍歴'!D:D,"×")</f>
        <v>×</v>
      </c>
      <c r="G441" s="37" t="str">
        <f t="array" ref="G441">XLOOKUP(D441,'source isilon_divまとめ'!A:A,'source isilon_divまとめ'!D:D,"×")</f>
        <v>×</v>
      </c>
    </row>
    <row r="442">
      <c r="A442" s="8" t="s">
        <v>1085</v>
      </c>
      <c r="B442" s="8" t="s">
        <v>1226</v>
      </c>
      <c r="C442" s="114" t="str">
        <f t="shared" si="1"/>
        <v>ヴァンテージスタジオ/システム部</v>
      </c>
      <c r="D442" s="114" t="str">
        <f t="shared" si="2"/>
        <v>ヴァンテージスタジオ\システム部</v>
      </c>
      <c r="E442" s="37" t="str">
        <f t="array" ref="E442">XLOOKUP(C442,'0file'!C:C,'0file'!C:C,"×")</f>
        <v>ヴァンテージスタジオ/システム部</v>
      </c>
      <c r="F442" s="37" t="str">
        <f t="array" ref="F442">XLOOKUP(C442,'部署遍歴'!F:F,'部署遍歴'!D:D,"×")</f>
        <v>×</v>
      </c>
      <c r="G442" s="37" t="str">
        <f t="array" ref="G442">XLOOKUP(D442,'source isilon_divまとめ'!A:A,'source isilon_divまとめ'!D:D,"×")</f>
        <v>×</v>
      </c>
    </row>
    <row r="443">
      <c r="A443" s="8" t="s">
        <v>1085</v>
      </c>
      <c r="B443" s="8" t="s">
        <v>1334</v>
      </c>
      <c r="C443" s="114" t="str">
        <f t="shared" si="1"/>
        <v>ヴァンテージスタジオ/Find Job ！事業部</v>
      </c>
      <c r="D443" s="114" t="str">
        <f t="shared" si="2"/>
        <v>ヴァンテージスタジオ\Find Job ！事業部</v>
      </c>
      <c r="E443" s="37" t="str">
        <f t="array" ref="E443">XLOOKUP(C443,'0file'!C:C,'0file'!C:C,"×")</f>
        <v>ヴァンテージスタジオ/Find Job ！事業部</v>
      </c>
      <c r="F443" s="37" t="str">
        <f t="array" ref="F443">XLOOKUP(C443,'部署遍歴'!F:F,'部署遍歴'!D:D,"×")</f>
        <v>×</v>
      </c>
      <c r="G443" s="37" t="str">
        <f t="array" ref="G443">XLOOKUP(D443,'source isilon_divまとめ'!A:A,'source isilon_divまとめ'!D:D,"×")</f>
        <v>×</v>
      </c>
    </row>
    <row r="444">
      <c r="A444" s="8" t="s">
        <v>1085</v>
      </c>
      <c r="B444" s="8" t="s">
        <v>1134</v>
      </c>
      <c r="C444" s="114" t="str">
        <f t="shared" si="1"/>
        <v>ヴァンテージスタジオ/新規事業推進室</v>
      </c>
      <c r="D444" s="114" t="str">
        <f t="shared" si="2"/>
        <v>ヴァンテージスタジオ\新規事業推進室</v>
      </c>
      <c r="E444" s="37" t="str">
        <f t="array" ref="E444">XLOOKUP(C444,'0file'!C:C,'0file'!C:C,"×")</f>
        <v>×</v>
      </c>
      <c r="F444" s="37" t="str">
        <f t="array" ref="F444">XLOOKUP(C444,'部署遍歴'!F:F,'部署遍歴'!D:D,"×")</f>
        <v>×</v>
      </c>
      <c r="G444" s="37" t="str">
        <f t="array" ref="G444">XLOOKUP(D444,'source isilon_divまとめ'!A:A,'source isilon_divまとめ'!D:D,"×")</f>
        <v>×</v>
      </c>
    </row>
    <row r="445">
      <c r="A445" s="8" t="s">
        <v>1085</v>
      </c>
      <c r="B445" s="8" t="s">
        <v>1109</v>
      </c>
      <c r="C445" s="114" t="str">
        <f t="shared" si="1"/>
        <v>ヴァンテージスタジオ/mixiサービス部</v>
      </c>
      <c r="D445" s="114" t="str">
        <f t="shared" si="2"/>
        <v>ヴァンテージスタジオ\mixiサービス部</v>
      </c>
      <c r="E445" s="37" t="str">
        <f t="array" ref="E445">XLOOKUP(C445,'0file'!C:C,'0file'!C:C,"×")</f>
        <v>×</v>
      </c>
      <c r="F445" s="37" t="str">
        <f t="array" ref="F445">XLOOKUP(C445,'部署遍歴'!F:F,'部署遍歴'!D:D,"×")</f>
        <v>×</v>
      </c>
      <c r="G445" s="37" t="str">
        <f t="array" ref="G445">XLOOKUP(D445,'source isilon_divまとめ'!A:A,'source isilon_divまとめ'!D:D,"×")</f>
        <v>×</v>
      </c>
    </row>
    <row r="446">
      <c r="A446" s="8" t="s">
        <v>1085</v>
      </c>
      <c r="B446" s="8" t="s">
        <v>1335</v>
      </c>
      <c r="C446" s="114" t="str">
        <f t="shared" si="1"/>
        <v>ヴァンテージスタジオ/スタジオ企画室</v>
      </c>
      <c r="D446" s="114" t="str">
        <f t="shared" si="2"/>
        <v>ヴァンテージスタジオ\スタジオ企画室</v>
      </c>
      <c r="E446" s="37" t="str">
        <f t="array" ref="E446">XLOOKUP(C446,'0file'!C:C,'0file'!C:C,"×")</f>
        <v>×</v>
      </c>
      <c r="F446" s="37" t="str">
        <f t="array" ref="F446">XLOOKUP(C446,'部署遍歴'!F:F,'部署遍歴'!D:D,"×")</f>
        <v>×</v>
      </c>
      <c r="G446" s="37" t="str">
        <f t="array" ref="G446">XLOOKUP(D446,'source isilon_divまとめ'!A:A,'source isilon_divまとめ'!D:D,"×")</f>
        <v>×</v>
      </c>
    </row>
    <row r="447">
      <c r="A447" s="8" t="s">
        <v>1085</v>
      </c>
      <c r="B447" s="8" t="s">
        <v>48</v>
      </c>
      <c r="C447" s="114" t="str">
        <f t="shared" si="1"/>
        <v>ヴァンテージスタジオ/mixi事業部</v>
      </c>
      <c r="D447" s="114" t="str">
        <f t="shared" si="2"/>
        <v>ヴァンテージスタジオ\mixi事業部</v>
      </c>
      <c r="E447" s="37" t="str">
        <f t="array" ref="E447">XLOOKUP(C447,'0file'!C:C,'0file'!C:C,"×")</f>
        <v>×</v>
      </c>
      <c r="F447" s="37" t="str">
        <f t="array" ref="F447">XLOOKUP(C447,'部署遍歴'!F:F,'部署遍歴'!D:D,"×")</f>
        <v>×</v>
      </c>
      <c r="G447" s="37" t="str">
        <f t="array" ref="G447">XLOOKUP(D447,'source isilon_divまとめ'!A:A,'source isilon_divまとめ'!D:D,"×")</f>
        <v>×</v>
      </c>
    </row>
    <row r="448">
      <c r="A448" s="8" t="s">
        <v>1085</v>
      </c>
      <c r="B448" s="8" t="s">
        <v>1111</v>
      </c>
      <c r="C448" s="114" t="str">
        <f t="shared" si="1"/>
        <v>ヴァンテージスタジオ/本部共有</v>
      </c>
      <c r="D448" s="114" t="str">
        <f t="shared" si="2"/>
        <v>ヴァンテージスタジオ\本部共有</v>
      </c>
      <c r="E448" s="37" t="str">
        <f t="array" ref="E448">XLOOKUP(C448,'0file'!C:C,'0file'!C:C,"×")</f>
        <v>×</v>
      </c>
      <c r="F448" s="37" t="str">
        <f t="array" ref="F448">XLOOKUP(C448,'部署遍歴'!F:F,'部署遍歴'!D:D,"×")</f>
        <v>×</v>
      </c>
      <c r="G448" s="37" t="str">
        <f t="array" ref="G448">XLOOKUP(D448,'source isilon_divまとめ'!A:A,'source isilon_divまとめ'!D:D,"×")</f>
        <v>×</v>
      </c>
    </row>
    <row r="449">
      <c r="A449" s="8" t="s">
        <v>1085</v>
      </c>
      <c r="B449" s="8" t="s">
        <v>1246</v>
      </c>
      <c r="C449" s="114" t="str">
        <f t="shared" si="1"/>
        <v>ヴァンテージスタジオ/みてね事業部</v>
      </c>
      <c r="D449" s="114" t="str">
        <f t="shared" si="2"/>
        <v>ヴァンテージスタジオ\みてね事業部</v>
      </c>
      <c r="E449" s="37" t="str">
        <f t="array" ref="E449">XLOOKUP(C449,'0file'!C:C,'0file'!C:C,"×")</f>
        <v>×</v>
      </c>
      <c r="F449" s="37" t="str">
        <f t="array" ref="F449">XLOOKUP(C449,'部署遍歴'!F:F,'部署遍歴'!D:D,"×")</f>
        <v>×</v>
      </c>
      <c r="G449" s="37" t="str">
        <f t="array" ref="G449">XLOOKUP(D449,'source isilon_divまとめ'!A:A,'source isilon_divまとめ'!D:D,"×")</f>
        <v>×</v>
      </c>
    </row>
    <row r="450">
      <c r="A450" s="8" t="s">
        <v>1085</v>
      </c>
      <c r="B450" s="8" t="s">
        <v>51</v>
      </c>
      <c r="C450" s="114" t="str">
        <f t="shared" si="1"/>
        <v>ヴァンテージスタジオ/minimo事業部</v>
      </c>
      <c r="D450" s="114" t="str">
        <f t="shared" si="2"/>
        <v>ヴァンテージスタジオ\minimo事業部</v>
      </c>
      <c r="E450" s="37" t="str">
        <f t="array" ref="E450">XLOOKUP(C450,'0file'!C:C,'0file'!C:C,"×")</f>
        <v>×</v>
      </c>
      <c r="F450" s="37" t="str">
        <f t="array" ref="F450">XLOOKUP(C450,'部署遍歴'!F:F,'部署遍歴'!D:D,"×")</f>
        <v>×</v>
      </c>
      <c r="G450" s="37" t="str">
        <f t="array" ref="G450">XLOOKUP(D450,'source isilon_divまとめ'!A:A,'source isilon_divまとめ'!D:D,"×")</f>
        <v>×</v>
      </c>
    </row>
    <row r="451">
      <c r="A451" s="8" t="s">
        <v>1085</v>
      </c>
      <c r="B451" s="8" t="s">
        <v>1336</v>
      </c>
      <c r="C451" s="114" t="str">
        <f t="shared" si="1"/>
        <v>ヴァンテージスタジオ/ゲーム部</v>
      </c>
      <c r="D451" s="114" t="str">
        <f t="shared" si="2"/>
        <v>ヴァンテージスタジオ\ゲーム部</v>
      </c>
      <c r="E451" s="37" t="str">
        <f t="array" ref="E451">XLOOKUP(C451,'0file'!C:C,'0file'!C:C,"×")</f>
        <v>×</v>
      </c>
      <c r="F451" s="37" t="str">
        <f t="array" ref="F451">XLOOKUP(C451,'部署遍歴'!F:F,'部署遍歴'!D:D,"×")</f>
        <v>×</v>
      </c>
      <c r="G451" s="37" t="str">
        <f t="array" ref="G451">XLOOKUP(D451,'source isilon_divまとめ'!A:A,'source isilon_divまとめ'!D:D,"×")</f>
        <v>×</v>
      </c>
    </row>
    <row r="452">
      <c r="A452" s="8" t="s">
        <v>1085</v>
      </c>
      <c r="B452" s="8" t="s">
        <v>43</v>
      </c>
      <c r="C452" s="114" t="str">
        <f t="shared" si="1"/>
        <v>ヴァンテージスタジオ/事業推進室</v>
      </c>
      <c r="D452" s="114" t="str">
        <f t="shared" si="2"/>
        <v>ヴァンテージスタジオ\事業推進室</v>
      </c>
      <c r="E452" s="37" t="str">
        <f t="array" ref="E452">XLOOKUP(C452,'0file'!C:C,'0file'!C:C,"×")</f>
        <v>×</v>
      </c>
      <c r="F452" s="37" t="str">
        <f t="array" ref="F452">XLOOKUP(C452,'部署遍歴'!F:F,'部署遍歴'!D:D,"×")</f>
        <v>×</v>
      </c>
      <c r="G452" s="37" t="str">
        <f t="array" ref="G452">XLOOKUP(D452,'source isilon_divまとめ'!A:A,'source isilon_divまとめ'!D:D,"×")</f>
        <v>×</v>
      </c>
    </row>
    <row r="453">
      <c r="A453" s="8" t="s">
        <v>1085</v>
      </c>
      <c r="B453" s="8" t="s">
        <v>1113</v>
      </c>
      <c r="C453" s="114" t="str">
        <f t="shared" si="1"/>
        <v>ヴァンテージスタジオ/mixiシステム部</v>
      </c>
      <c r="D453" s="114" t="str">
        <f t="shared" si="2"/>
        <v>ヴァンテージスタジオ\mixiシステム部</v>
      </c>
      <c r="E453" s="37" t="str">
        <f t="array" ref="E453">XLOOKUP(C453,'0file'!C:C,'0file'!C:C,"×")</f>
        <v>ヴァンテージスタジオ/mixiシステム部</v>
      </c>
      <c r="F453" s="37" t="str">
        <f t="array" ref="F453">XLOOKUP(C453,'部署遍歴'!F:F,'部署遍歴'!D:D,"×")</f>
        <v>×</v>
      </c>
      <c r="G453" s="37" t="str">
        <f t="array" ref="G453">XLOOKUP(D453,'source isilon_divまとめ'!A:A,'source isilon_divまとめ'!D:D,"×")</f>
        <v>×</v>
      </c>
    </row>
    <row r="454">
      <c r="A454" s="8" t="s">
        <v>186</v>
      </c>
      <c r="B454" s="8" t="s">
        <v>1337</v>
      </c>
      <c r="C454" s="114" t="str">
        <f t="shared" si="1"/>
        <v>内部監査室/200_テーマ監査</v>
      </c>
      <c r="D454" s="114" t="str">
        <f t="shared" si="2"/>
        <v>内部監査室\200_テーマ監査</v>
      </c>
      <c r="E454" s="37" t="str">
        <f t="array" ref="E454">XLOOKUP(C454,'0file'!C:C,'0file'!C:C,"×")</f>
        <v>×</v>
      </c>
      <c r="F454" s="37" t="str">
        <f t="array" ref="F454">XLOOKUP(C454,'部署遍歴'!F:F,'部署遍歴'!D:D,"×")</f>
        <v>×</v>
      </c>
      <c r="G454" s="37" t="str">
        <f t="array" ref="G454">XLOOKUP(D454,'source isilon_divまとめ'!A:A,'source isilon_divまとめ'!D:D,"×")</f>
        <v>×</v>
      </c>
    </row>
    <row r="455">
      <c r="A455" s="8" t="s">
        <v>186</v>
      </c>
      <c r="B455" s="8" t="s">
        <v>1338</v>
      </c>
      <c r="C455" s="114" t="str">
        <f t="shared" si="1"/>
        <v>内部監査室/関係会社監査G</v>
      </c>
      <c r="D455" s="114" t="str">
        <f t="shared" si="2"/>
        <v>内部監査室\関係会社監査G</v>
      </c>
      <c r="E455" s="37" t="str">
        <f t="array" ref="E455">XLOOKUP(C455,'0file'!C:C,'0file'!C:C,"×")</f>
        <v>×</v>
      </c>
      <c r="F455" s="37" t="str">
        <f t="array" ref="F455">XLOOKUP(C455,'部署遍歴'!F:F,'部署遍歴'!D:D,"×")</f>
        <v>×</v>
      </c>
      <c r="G455" s="37" t="str">
        <f t="array" ref="G455">XLOOKUP(D455,'source isilon_divまとめ'!A:A,'source isilon_divまとめ'!D:D,"×")</f>
        <v>×</v>
      </c>
    </row>
    <row r="456">
      <c r="A456" s="8" t="s">
        <v>186</v>
      </c>
      <c r="B456" s="8" t="s">
        <v>518</v>
      </c>
      <c r="C456" s="114" t="str">
        <f t="shared" si="1"/>
        <v>内部監査室/内部監査G</v>
      </c>
      <c r="D456" s="114" t="str">
        <f t="shared" si="2"/>
        <v>内部監査室\内部監査G</v>
      </c>
      <c r="E456" s="37" t="str">
        <f t="array" ref="E456">XLOOKUP(C456,'0file'!C:C,'0file'!C:C,"×")</f>
        <v>内部監査室/内部監査G</v>
      </c>
      <c r="F456" s="37" t="str">
        <f t="array" ref="F456">XLOOKUP(C456,'部署遍歴'!F:F,'部署遍歴'!D:D,"×")</f>
        <v>×</v>
      </c>
      <c r="G456" s="37" t="str">
        <f t="array" ref="G456">XLOOKUP(D456,'source isilon_divまとめ'!A:A,'source isilon_divまとめ'!D:D,"×")</f>
        <v>×</v>
      </c>
    </row>
    <row r="457">
      <c r="A457" s="8" t="s">
        <v>186</v>
      </c>
      <c r="B457" s="8" t="s">
        <v>1339</v>
      </c>
      <c r="C457" s="114" t="str">
        <f t="shared" si="1"/>
        <v>内部監査室/000_内部監査室全般</v>
      </c>
      <c r="D457" s="114" t="str">
        <f t="shared" si="2"/>
        <v>内部監査室\000_内部監査室全般</v>
      </c>
      <c r="E457" s="37" t="str">
        <f t="array" ref="E457">XLOOKUP(C457,'0file'!C:C,'0file'!C:C,"×")</f>
        <v>×</v>
      </c>
      <c r="F457" s="37" t="str">
        <f t="array" ref="F457">XLOOKUP(C457,'部署遍歴'!F:F,'部署遍歴'!D:D,"×")</f>
        <v>×</v>
      </c>
      <c r="G457" s="37" t="str">
        <f t="array" ref="G457">XLOOKUP(D457,'source isilon_divまとめ'!A:A,'source isilon_divまとめ'!D:D,"×")</f>
        <v>×</v>
      </c>
    </row>
    <row r="458">
      <c r="A458" s="8" t="s">
        <v>186</v>
      </c>
      <c r="B458" s="8" t="s">
        <v>1340</v>
      </c>
      <c r="C458" s="114" t="str">
        <f t="shared" si="1"/>
        <v>内部監査室/チャリ・ロト監査G</v>
      </c>
      <c r="D458" s="114" t="str">
        <f t="shared" si="2"/>
        <v>内部監査室\チャリ・ロト監査G</v>
      </c>
      <c r="E458" s="37" t="str">
        <f t="array" ref="E458">XLOOKUP(C458,'0file'!C:C,'0file'!C:C,"×")</f>
        <v>内部監査室/チャリ・ロト監査G</v>
      </c>
      <c r="F458" s="37" t="str">
        <f t="array" ref="F458">XLOOKUP(C458,'部署遍歴'!F:F,'部署遍歴'!D:D,"×")</f>
        <v>×</v>
      </c>
      <c r="G458" s="37" t="str">
        <f t="array" ref="G458">XLOOKUP(D458,'source isilon_divまとめ'!A:A,'source isilon_divまとめ'!D:D,"×")</f>
        <v>×</v>
      </c>
    </row>
    <row r="459">
      <c r="A459" s="8" t="s">
        <v>186</v>
      </c>
      <c r="B459" s="8" t="s">
        <v>1341</v>
      </c>
      <c r="C459" s="114" t="str">
        <f t="shared" si="1"/>
        <v>内部監査室/800_業務改善</v>
      </c>
      <c r="D459" s="114" t="str">
        <f t="shared" si="2"/>
        <v>内部監査室\800_業務改善</v>
      </c>
      <c r="E459" s="37" t="str">
        <f t="array" ref="E459">XLOOKUP(C459,'0file'!C:C,'0file'!C:C,"×")</f>
        <v>×</v>
      </c>
      <c r="F459" s="37" t="str">
        <f t="array" ref="F459">XLOOKUP(C459,'部署遍歴'!F:F,'部署遍歴'!D:D,"×")</f>
        <v>×</v>
      </c>
      <c r="G459" s="37" t="str">
        <f t="array" ref="G459">XLOOKUP(D459,'source isilon_divまとめ'!A:A,'source isilon_divまとめ'!D:D,"×")</f>
        <v>×</v>
      </c>
    </row>
    <row r="460">
      <c r="A460" s="8" t="s">
        <v>186</v>
      </c>
      <c r="B460" s="8" t="s">
        <v>1342</v>
      </c>
      <c r="C460" s="114" t="str">
        <f t="shared" si="1"/>
        <v>内部監査室/400_監査法人対応</v>
      </c>
      <c r="D460" s="114" t="str">
        <f t="shared" si="2"/>
        <v>内部監査室\400_監査法人対応</v>
      </c>
      <c r="E460" s="37" t="str">
        <f t="array" ref="E460">XLOOKUP(C460,'0file'!C:C,'0file'!C:C,"×")</f>
        <v>×</v>
      </c>
      <c r="F460" s="37" t="str">
        <f t="array" ref="F460">XLOOKUP(C460,'部署遍歴'!F:F,'部署遍歴'!D:D,"×")</f>
        <v>×</v>
      </c>
      <c r="G460" s="37" t="str">
        <f t="array" ref="G460">XLOOKUP(D460,'source isilon_divまとめ'!A:A,'source isilon_divまとめ'!D:D,"×")</f>
        <v>×</v>
      </c>
    </row>
    <row r="461">
      <c r="A461" s="8" t="s">
        <v>186</v>
      </c>
      <c r="B461" s="8" t="s">
        <v>1343</v>
      </c>
      <c r="C461" s="114" t="str">
        <f t="shared" si="1"/>
        <v>内部監査室/100_部門監査</v>
      </c>
      <c r="D461" s="114" t="str">
        <f t="shared" si="2"/>
        <v>内部監査室\100_部門監査</v>
      </c>
      <c r="E461" s="37" t="str">
        <f t="array" ref="E461">XLOOKUP(C461,'0file'!C:C,'0file'!C:C,"×")</f>
        <v>×</v>
      </c>
      <c r="F461" s="37" t="str">
        <f t="array" ref="F461">XLOOKUP(C461,'部署遍歴'!F:F,'部署遍歴'!D:D,"×")</f>
        <v>×</v>
      </c>
      <c r="G461" s="37" t="str">
        <f t="array" ref="G461">XLOOKUP(D461,'source isilon_divまとめ'!A:A,'source isilon_divまとめ'!D:D,"×")</f>
        <v>×</v>
      </c>
    </row>
    <row r="462">
      <c r="A462" s="8" t="s">
        <v>186</v>
      </c>
      <c r="B462" s="8" t="s">
        <v>1344</v>
      </c>
      <c r="C462" s="114" t="str">
        <f t="shared" si="1"/>
        <v>内部監査室/300_子会社監査</v>
      </c>
      <c r="D462" s="114" t="str">
        <f t="shared" si="2"/>
        <v>内部監査室\300_子会社監査</v>
      </c>
      <c r="E462" s="37" t="str">
        <f t="array" ref="E462">XLOOKUP(C462,'0file'!C:C,'0file'!C:C,"×")</f>
        <v>×</v>
      </c>
      <c r="F462" s="37" t="str">
        <f t="array" ref="F462">XLOOKUP(C462,'部署遍歴'!F:F,'部署遍歴'!D:D,"×")</f>
        <v>×</v>
      </c>
      <c r="G462" s="37" t="str">
        <f t="array" ref="G462">XLOOKUP(D462,'source isilon_divまとめ'!A:A,'source isilon_divまとめ'!D:D,"×")</f>
        <v>×</v>
      </c>
    </row>
    <row r="463">
      <c r="A463" s="8" t="s">
        <v>186</v>
      </c>
      <c r="B463" s="8" t="s">
        <v>444</v>
      </c>
      <c r="C463" s="114" t="str">
        <f t="shared" si="1"/>
        <v>内部監査室/企画G</v>
      </c>
      <c r="D463" s="114" t="str">
        <f t="shared" si="2"/>
        <v>内部監査室\企画G</v>
      </c>
      <c r="E463" s="37" t="str">
        <f t="array" ref="E463">XLOOKUP(C463,'0file'!C:C,'0file'!C:C,"×")</f>
        <v>×</v>
      </c>
      <c r="F463" s="37" t="str">
        <f t="array" ref="F463">XLOOKUP(C463,'部署遍歴'!F:F,'部署遍歴'!D:D,"×")</f>
        <v>×</v>
      </c>
      <c r="G463" s="37" t="str">
        <f t="array" ref="G463">XLOOKUP(D463,'source isilon_divまとめ'!A:A,'source isilon_divまとめ'!D:D,"×")</f>
        <v>×</v>
      </c>
    </row>
    <row r="464">
      <c r="A464" s="8" t="s">
        <v>186</v>
      </c>
      <c r="B464" s="8" t="s">
        <v>1345</v>
      </c>
      <c r="C464" s="114" t="str">
        <f t="shared" si="1"/>
        <v>内部監査室/999_その他</v>
      </c>
      <c r="D464" s="114" t="str">
        <f t="shared" si="2"/>
        <v>内部監査室\999_その他</v>
      </c>
      <c r="E464" s="37" t="str">
        <f t="array" ref="E464">XLOOKUP(C464,'0file'!C:C,'0file'!C:C,"×")</f>
        <v>×</v>
      </c>
      <c r="F464" s="37" t="str">
        <f t="array" ref="F464">XLOOKUP(C464,'部署遍歴'!F:F,'部署遍歴'!D:D,"×")</f>
        <v>×</v>
      </c>
      <c r="G464" s="37" t="str">
        <f t="array" ref="G464">XLOOKUP(D464,'source isilon_divまとめ'!A:A,'source isilon_divまとめ'!D:D,"×")</f>
        <v>×</v>
      </c>
    </row>
    <row r="465">
      <c r="A465" s="8" t="s">
        <v>186</v>
      </c>
      <c r="B465" s="8" t="s">
        <v>1346</v>
      </c>
      <c r="C465" s="114" t="str">
        <f t="shared" si="1"/>
        <v>内部監査室/810_過去の監査役監査</v>
      </c>
      <c r="D465" s="114" t="str">
        <f t="shared" si="2"/>
        <v>内部監査室\810_過去の監査役監査</v>
      </c>
      <c r="E465" s="37" t="str">
        <f t="array" ref="E465">XLOOKUP(C465,'0file'!C:C,'0file'!C:C,"×")</f>
        <v>×</v>
      </c>
      <c r="F465" s="37" t="str">
        <f t="array" ref="F465">XLOOKUP(C465,'部署遍歴'!F:F,'部署遍歴'!D:D,"×")</f>
        <v>×</v>
      </c>
      <c r="G465" s="37" t="str">
        <f t="array" ref="G465">XLOOKUP(D465,'source isilon_divまとめ'!A:A,'source isilon_divまとめ'!D:D,"×")</f>
        <v>×</v>
      </c>
    </row>
    <row r="466">
      <c r="A466" s="8" t="s">
        <v>186</v>
      </c>
      <c r="B466" s="8" t="s">
        <v>1347</v>
      </c>
      <c r="C466" s="114" t="str">
        <f t="shared" si="1"/>
        <v>内部監査室/ガバナンス支援G</v>
      </c>
      <c r="D466" s="114" t="str">
        <f t="shared" si="2"/>
        <v>内部監査室\ガバナンス支援G</v>
      </c>
      <c r="E466" s="37" t="str">
        <f t="array" ref="E466">XLOOKUP(C466,'0file'!C:C,'0file'!C:C,"×")</f>
        <v>内部監査室/ガバナンス支援G</v>
      </c>
      <c r="F466" s="37" t="str">
        <f t="array" ref="F466">XLOOKUP(C466,'部署遍歴'!F:F,'部署遍歴'!D:D,"×")</f>
        <v>×</v>
      </c>
      <c r="G466" s="37" t="str">
        <f t="array" ref="G466">XLOOKUP(D466,'source isilon_divまとめ'!A:A,'source isilon_divまとめ'!D:D,"×")</f>
        <v>×</v>
      </c>
    </row>
    <row r="467">
      <c r="A467" s="8" t="s">
        <v>1087</v>
      </c>
      <c r="B467" s="8" t="s">
        <v>1348</v>
      </c>
      <c r="C467" s="114" t="str">
        <f t="shared" si="1"/>
        <v>チケットキャンプ事業部/研究開発G</v>
      </c>
      <c r="D467" s="114" t="str">
        <f t="shared" si="2"/>
        <v>チケットキャンプ事業部\研究開発G</v>
      </c>
      <c r="E467" s="37" t="str">
        <f t="array" ref="E467">XLOOKUP(C467,'0file'!C:C,'0file'!C:C,"×")</f>
        <v>チケットキャンプ事業部/研究開発G</v>
      </c>
      <c r="F467" s="37" t="str">
        <f t="array" ref="F467">XLOOKUP(C467,'部署遍歴'!F:F,'部署遍歴'!D:D,"×")</f>
        <v>×</v>
      </c>
      <c r="G467" s="37" t="str">
        <f t="array" ref="G467">XLOOKUP(D467,'source isilon_divまとめ'!A:A,'source isilon_divまとめ'!D:D,"×")</f>
        <v>×</v>
      </c>
    </row>
    <row r="468">
      <c r="A468" s="8" t="s">
        <v>1087</v>
      </c>
      <c r="B468" s="8" t="s">
        <v>1132</v>
      </c>
      <c r="C468" s="114" t="str">
        <f t="shared" si="1"/>
        <v>チケットキャンプ事業部/マーケティングG</v>
      </c>
      <c r="D468" s="114" t="str">
        <f t="shared" si="2"/>
        <v>チケットキャンプ事業部\マーケティングG</v>
      </c>
      <c r="E468" s="37" t="str">
        <f t="array" ref="E468">XLOOKUP(C468,'0file'!C:C,'0file'!C:C,"×")</f>
        <v>チケットキャンプ事業部/マーケティングG</v>
      </c>
      <c r="F468" s="37" t="str">
        <f t="array" ref="F468">XLOOKUP(C468,'部署遍歴'!F:F,'部署遍歴'!D:D,"×")</f>
        <v>×</v>
      </c>
      <c r="G468" s="37" t="str">
        <f t="array" ref="G468">XLOOKUP(D468,'source isilon_divまとめ'!A:A,'source isilon_divまとめ'!D:D,"×")</f>
        <v>×</v>
      </c>
    </row>
    <row r="469">
      <c r="A469" s="8" t="s">
        <v>1087</v>
      </c>
      <c r="B469" s="8" t="s">
        <v>1349</v>
      </c>
      <c r="C469" s="114" t="str">
        <f t="shared" si="1"/>
        <v>チケットキャンプ事業部/サービスG</v>
      </c>
      <c r="D469" s="114" t="str">
        <f t="shared" si="2"/>
        <v>チケットキャンプ事業部\サービスG</v>
      </c>
      <c r="E469" s="37" t="str">
        <f t="array" ref="E469">XLOOKUP(C469,'0file'!C:C,'0file'!C:C,"×")</f>
        <v>チケットキャンプ事業部/サービスG</v>
      </c>
      <c r="F469" s="37" t="str">
        <f t="array" ref="F469">XLOOKUP(C469,'部署遍歴'!F:F,'部署遍歴'!D:D,"×")</f>
        <v>×</v>
      </c>
      <c r="G469" s="37" t="str">
        <f t="array" ref="G469">XLOOKUP(D469,'source isilon_divまとめ'!A:A,'source isilon_divまとめ'!D:D,"×")</f>
        <v>×</v>
      </c>
    </row>
    <row r="470">
      <c r="A470" s="8" t="s">
        <v>1087</v>
      </c>
      <c r="B470" s="8" t="s">
        <v>1350</v>
      </c>
      <c r="C470" s="114" t="str">
        <f t="shared" si="1"/>
        <v>チケットキャンプ事業部/カスタマーG</v>
      </c>
      <c r="D470" s="114" t="str">
        <f t="shared" si="2"/>
        <v>チケットキャンプ事業部\カスタマーG</v>
      </c>
      <c r="E470" s="37" t="str">
        <f t="array" ref="E470">XLOOKUP(C470,'0file'!C:C,'0file'!C:C,"×")</f>
        <v>チケットキャンプ事業部/カスタマーG</v>
      </c>
      <c r="F470" s="37" t="str">
        <f t="array" ref="F470">XLOOKUP(C470,'部署遍歴'!F:F,'部署遍歴'!D:D,"×")</f>
        <v>×</v>
      </c>
      <c r="G470" s="37" t="str">
        <f t="array" ref="G470">XLOOKUP(D470,'source isilon_divまとめ'!A:A,'source isilon_divまとめ'!D:D,"×")</f>
        <v>×</v>
      </c>
    </row>
    <row r="471">
      <c r="A471" s="8" t="s">
        <v>1087</v>
      </c>
      <c r="B471" s="8" t="s">
        <v>1351</v>
      </c>
      <c r="C471" s="114" t="str">
        <f t="shared" si="1"/>
        <v>チケットキャンプ事業部/コンサルティングG</v>
      </c>
      <c r="D471" s="114" t="str">
        <f t="shared" si="2"/>
        <v>チケットキャンプ事業部\コンサルティングG</v>
      </c>
      <c r="E471" s="37" t="str">
        <f t="array" ref="E471">XLOOKUP(C471,'0file'!C:C,'0file'!C:C,"×")</f>
        <v>チケットキャンプ事業部/コンサルティングG</v>
      </c>
      <c r="F471" s="37" t="str">
        <f t="array" ref="F471">XLOOKUP(C471,'部署遍歴'!F:F,'部署遍歴'!D:D,"×")</f>
        <v>×</v>
      </c>
      <c r="G471" s="37" t="str">
        <f t="array" ref="G471">XLOOKUP(D471,'source isilon_divまとめ'!A:A,'source isilon_divまとめ'!D:D,"×")</f>
        <v>×</v>
      </c>
    </row>
    <row r="472">
      <c r="A472" s="8" t="s">
        <v>1087</v>
      </c>
      <c r="B472" s="8" t="s">
        <v>1352</v>
      </c>
      <c r="C472" s="114" t="str">
        <f t="shared" si="1"/>
        <v>チケットキャンプ事業部/ビジネスデベロップメントG</v>
      </c>
      <c r="D472" s="114" t="str">
        <f t="shared" si="2"/>
        <v>チケットキャンプ事業部\ビジネスデベロップメントG</v>
      </c>
      <c r="E472" s="37" t="str">
        <f t="array" ref="E472">XLOOKUP(C472,'0file'!C:C,'0file'!C:C,"×")</f>
        <v>チケットキャンプ事業部/ビジネスデベロップメントG</v>
      </c>
      <c r="F472" s="37" t="str">
        <f t="array" ref="F472">XLOOKUP(C472,'部署遍歴'!F:F,'部署遍歴'!D:D,"×")</f>
        <v>×</v>
      </c>
      <c r="G472" s="37" t="str">
        <f t="array" ref="G472">XLOOKUP(D472,'source isilon_divまとめ'!A:A,'source isilon_divまとめ'!D:D,"×")</f>
        <v>×</v>
      </c>
    </row>
    <row r="473">
      <c r="A473" s="8" t="s">
        <v>1087</v>
      </c>
      <c r="B473" s="8" t="s">
        <v>1353</v>
      </c>
      <c r="C473" s="114" t="str">
        <f t="shared" si="1"/>
        <v>チケットキャンプ事業部/カスタマーサポートG</v>
      </c>
      <c r="D473" s="114" t="str">
        <f t="shared" si="2"/>
        <v>チケットキャンプ事業部\カスタマーサポートG</v>
      </c>
      <c r="E473" s="37" t="str">
        <f t="array" ref="E473">XLOOKUP(C473,'0file'!C:C,'0file'!C:C,"×")</f>
        <v>チケットキャンプ事業部/カスタマーサポートG</v>
      </c>
      <c r="F473" s="37" t="str">
        <f t="array" ref="F473">XLOOKUP(C473,'部署遍歴'!F:F,'部署遍歴'!D:D,"×")</f>
        <v>×</v>
      </c>
      <c r="G473" s="37" t="str">
        <f t="array" ref="G473">XLOOKUP(D473,'source isilon_divまとめ'!A:A,'source isilon_divまとめ'!D:D,"×")</f>
        <v>×</v>
      </c>
    </row>
    <row r="474">
      <c r="A474" s="8" t="s">
        <v>1087</v>
      </c>
      <c r="B474" s="8" t="s">
        <v>369</v>
      </c>
      <c r="C474" s="114" t="str">
        <f t="shared" si="1"/>
        <v>チケットキャンプ事業部/経営企画G</v>
      </c>
      <c r="D474" s="114" t="str">
        <f t="shared" si="2"/>
        <v>チケットキャンプ事業部\経営企画G</v>
      </c>
      <c r="E474" s="37" t="str">
        <f t="array" ref="E474">XLOOKUP(C474,'0file'!C:C,'0file'!C:C,"×")</f>
        <v>チケットキャンプ事業部/経営企画G</v>
      </c>
      <c r="F474" s="37" t="str">
        <f t="array" ref="F474">XLOOKUP(C474,'部署遍歴'!F:F,'部署遍歴'!D:D,"×")</f>
        <v>×</v>
      </c>
      <c r="G474" s="37" t="str">
        <f t="array" ref="G474">XLOOKUP(D474,'source isilon_divまとめ'!A:A,'source isilon_divまとめ'!D:D,"×")</f>
        <v>×</v>
      </c>
    </row>
    <row r="475">
      <c r="A475" s="8" t="s">
        <v>1087</v>
      </c>
      <c r="B475" s="8" t="s">
        <v>1204</v>
      </c>
      <c r="C475" s="114" t="str">
        <f t="shared" si="1"/>
        <v>チケットキャンプ事業部/部共有</v>
      </c>
      <c r="D475" s="114" t="str">
        <f t="shared" si="2"/>
        <v>チケットキャンプ事業部\部共有</v>
      </c>
      <c r="E475" s="37" t="str">
        <f t="array" ref="E475">XLOOKUP(C475,'0file'!C:C,'0file'!C:C,"×")</f>
        <v>チケットキャンプ事業部/部共有</v>
      </c>
      <c r="F475" s="37" t="str">
        <f t="array" ref="F475">XLOOKUP(C475,'部署遍歴'!F:F,'部署遍歴'!D:D,"×")</f>
        <v>×</v>
      </c>
      <c r="G475" s="37" t="str">
        <f t="array" ref="G475">XLOOKUP(D475,'source isilon_divまとめ'!A:A,'source isilon_divまとめ'!D:D,"×")</f>
        <v>×</v>
      </c>
    </row>
    <row r="476">
      <c r="A476" s="8" t="s">
        <v>1090</v>
      </c>
      <c r="B476" s="8" t="s">
        <v>1109</v>
      </c>
      <c r="C476" s="114" t="str">
        <f t="shared" si="1"/>
        <v>オレンジスタジオ/mixiサービス部</v>
      </c>
      <c r="D476" s="114" t="str">
        <f t="shared" si="2"/>
        <v>オレンジスタジオ\mixiサービス部</v>
      </c>
      <c r="E476" s="37" t="str">
        <f t="array" ref="E476">XLOOKUP(C476,'0file'!C:C,'0file'!C:C,"×")</f>
        <v>×</v>
      </c>
      <c r="F476" s="37" t="str">
        <f t="array" ref="F476">XLOOKUP(C476,'部署遍歴'!F:F,'部署遍歴'!D:D,"×")</f>
        <v>×</v>
      </c>
      <c r="G476" s="37" t="str">
        <f t="array" ref="G476">XLOOKUP(D476,'source isilon_divまとめ'!A:A,'source isilon_divまとめ'!D:D,"×")</f>
        <v>×</v>
      </c>
    </row>
    <row r="477">
      <c r="A477" s="8" t="s">
        <v>1090</v>
      </c>
      <c r="B477" s="8" t="s">
        <v>1111</v>
      </c>
      <c r="C477" s="114" t="str">
        <f t="shared" si="1"/>
        <v>オレンジスタジオ/本部共有</v>
      </c>
      <c r="D477" s="114" t="str">
        <f t="shared" si="2"/>
        <v>オレンジスタジオ\本部共有</v>
      </c>
      <c r="E477" s="37" t="str">
        <f t="array" ref="E477">XLOOKUP(C477,'0file'!C:C,'0file'!C:C,"×")</f>
        <v>×</v>
      </c>
      <c r="F477" s="37" t="str">
        <f t="array" ref="F477">XLOOKUP(C477,'部署遍歴'!F:F,'部署遍歴'!D:D,"×")</f>
        <v>×</v>
      </c>
      <c r="G477" s="37" t="str">
        <f t="array" ref="G477">XLOOKUP(D477,'source isilon_divまとめ'!A:A,'source isilon_divまとめ'!D:D,"×")</f>
        <v>×</v>
      </c>
    </row>
    <row r="478">
      <c r="A478" s="8" t="s">
        <v>1090</v>
      </c>
      <c r="B478" s="8" t="s">
        <v>1336</v>
      </c>
      <c r="C478" s="114" t="str">
        <f t="shared" si="1"/>
        <v>オレンジスタジオ/ゲーム部</v>
      </c>
      <c r="D478" s="114" t="str">
        <f t="shared" si="2"/>
        <v>オレンジスタジオ\ゲーム部</v>
      </c>
      <c r="E478" s="37" t="str">
        <f t="array" ref="E478">XLOOKUP(C478,'0file'!C:C,'0file'!C:C,"×")</f>
        <v>×</v>
      </c>
      <c r="F478" s="37" t="str">
        <f t="array" ref="F478">XLOOKUP(C478,'部署遍歴'!F:F,'部署遍歴'!D:D,"×")</f>
        <v>×</v>
      </c>
      <c r="G478" s="37" t="str">
        <f t="array" ref="G478">XLOOKUP(D478,'source isilon_divまとめ'!A:A,'source isilon_divまとめ'!D:D,"×")</f>
        <v>×</v>
      </c>
    </row>
    <row r="479">
      <c r="A479" s="8" t="s">
        <v>1090</v>
      </c>
      <c r="B479" s="8" t="s">
        <v>1113</v>
      </c>
      <c r="C479" s="114" t="str">
        <f t="shared" si="1"/>
        <v>オレンジスタジオ/mixiシステム部</v>
      </c>
      <c r="D479" s="114" t="str">
        <f t="shared" si="2"/>
        <v>オレンジスタジオ\mixiシステム部</v>
      </c>
      <c r="E479" s="37" t="str">
        <f t="array" ref="E479">XLOOKUP(C479,'0file'!C:C,'0file'!C:C,"×")</f>
        <v>オレンジスタジオ/mixiシステム部</v>
      </c>
      <c r="F479" s="37" t="str">
        <f t="array" ref="F479">XLOOKUP(C479,'部署遍歴'!F:F,'部署遍歴'!D:D,"×")</f>
        <v>×</v>
      </c>
      <c r="G479" s="37" t="str">
        <f t="array" ref="G479">XLOOKUP(D479,'source isilon_divまとめ'!A:A,'source isilon_divまとめ'!D:D,"×")</f>
        <v>×</v>
      </c>
    </row>
    <row r="480">
      <c r="A480" s="8" t="s">
        <v>1093</v>
      </c>
      <c r="B480" s="8" t="s">
        <v>1108</v>
      </c>
      <c r="C480" s="114" t="str">
        <f t="shared" si="1"/>
        <v>ゲーム事業本部/ゲーム事業部</v>
      </c>
      <c r="D480" s="114" t="str">
        <f t="shared" si="2"/>
        <v>ゲーム事業本部\ゲーム事業部</v>
      </c>
      <c r="E480" s="37" t="str">
        <f t="array" ref="E480">XLOOKUP(C480,'0file'!C:C,'0file'!C:C,"×")</f>
        <v>×</v>
      </c>
      <c r="F480" s="37" t="str">
        <f t="array" ref="F480">XLOOKUP(C480,'部署遍歴'!F:F,'部署遍歴'!D:D,"×")</f>
        <v>×</v>
      </c>
      <c r="G480" s="37" t="str">
        <f t="array" ref="G480">XLOOKUP(D480,'source isilon_divまとめ'!A:A,'source isilon_divまとめ'!D:D,"×")</f>
        <v>×</v>
      </c>
    </row>
    <row r="481">
      <c r="A481" s="8" t="s">
        <v>1093</v>
      </c>
      <c r="B481" s="8" t="s">
        <v>1111</v>
      </c>
      <c r="C481" s="114" t="str">
        <f t="shared" si="1"/>
        <v>ゲーム事業本部/本部共有</v>
      </c>
      <c r="D481" s="114" t="str">
        <f t="shared" si="2"/>
        <v>ゲーム事業本部\本部共有</v>
      </c>
      <c r="E481" s="37" t="str">
        <f t="array" ref="E481">XLOOKUP(C481,'0file'!C:C,'0file'!C:C,"×")</f>
        <v>ゲーム事業本部/本部共有</v>
      </c>
      <c r="F481" s="37" t="str">
        <f t="array" ref="F481">XLOOKUP(C481,'部署遍歴'!F:F,'部署遍歴'!D:D,"×")</f>
        <v>×</v>
      </c>
      <c r="G481" s="37" t="str">
        <f t="array" ref="G481">XLOOKUP(D481,'source isilon_divまとめ'!A:A,'source isilon_divまとめ'!D:D,"×")</f>
        <v>×</v>
      </c>
    </row>
    <row r="482">
      <c r="A482" s="8" t="s">
        <v>1096</v>
      </c>
      <c r="B482" s="8" t="s">
        <v>1355</v>
      </c>
      <c r="C482" s="114" t="str">
        <f t="shared" si="1"/>
        <v>モンスト事業本部/データマーケティング室</v>
      </c>
      <c r="D482" s="114" t="str">
        <f t="shared" si="2"/>
        <v>モンスト事業本部\データマーケティング室</v>
      </c>
      <c r="E482" s="37" t="str">
        <f t="array" ref="E482">XLOOKUP(C482,'0file'!C:C,'0file'!C:C,"×")</f>
        <v>モンスト事業本部/データマーケティング室</v>
      </c>
      <c r="F482" s="7" t="s">
        <v>1052</v>
      </c>
      <c r="G482" s="37" t="str">
        <f t="array" ref="G482">XLOOKUP(D482,'source isilon_divまとめ'!A:A,'source isilon_divまとめ'!D:D,"×")</f>
        <v>×</v>
      </c>
    </row>
    <row r="483">
      <c r="A483" s="8" t="s">
        <v>1096</v>
      </c>
      <c r="B483" s="8" t="s">
        <v>1224</v>
      </c>
      <c r="C483" s="114" t="str">
        <f t="shared" si="1"/>
        <v>モンスト事業本部/ライブエンターテインメント事業部</v>
      </c>
      <c r="D483" s="114" t="str">
        <f t="shared" si="2"/>
        <v>モンスト事業本部\ライブエンターテインメント事業部</v>
      </c>
      <c r="E483" s="37" t="str">
        <f t="array" ref="E483">XLOOKUP(C483,'0file'!C:C,'0file'!C:C,"×")</f>
        <v>モンスト事業本部/ライブエンターテインメント事業部</v>
      </c>
      <c r="F483" s="37" t="str">
        <f t="array" ref="F483">XLOOKUP(C483,'部署遍歴'!F:F,'部署遍歴'!D:D,"×")</f>
        <v>×</v>
      </c>
      <c r="G483" s="37" t="str">
        <f t="array" ref="G483">XLOOKUP(D483,'source isilon_divまとめ'!A:A,'source isilon_divまとめ'!D:D,"×")</f>
        <v>×</v>
      </c>
    </row>
    <row r="484">
      <c r="A484" s="8" t="s">
        <v>1096</v>
      </c>
      <c r="B484" s="8" t="s">
        <v>1356</v>
      </c>
      <c r="C484" s="114" t="str">
        <f t="shared" si="1"/>
        <v>モンスト事業本部/MSスピンオフゲーム事業部</v>
      </c>
      <c r="D484" s="114" t="str">
        <f t="shared" si="2"/>
        <v>モンスト事業本部\MSスピンオフゲーム事業部</v>
      </c>
      <c r="E484" s="37" t="str">
        <f t="array" ref="E484">XLOOKUP(C484,'0file'!C:C,'0file'!C:C,"×")</f>
        <v>×</v>
      </c>
      <c r="F484" s="37" t="str">
        <f t="array" ref="F484">XLOOKUP(C484,'部署遍歴'!F:F,'部署遍歴'!D:D,"×")</f>
        <v>新規事業開発部</v>
      </c>
      <c r="G484" s="37" t="str">
        <f t="array" ref="G484">XLOOKUP(D484,'source isilon_divまとめ'!A:A,'source isilon_divまとめ'!D:D,"×")</f>
        <v>×</v>
      </c>
    </row>
    <row r="485">
      <c r="A485" s="8" t="s">
        <v>1096</v>
      </c>
      <c r="B485" s="8" t="s">
        <v>1357</v>
      </c>
      <c r="C485" s="114" t="str">
        <f t="shared" si="1"/>
        <v>モンスト事業本部/ブランドコミュニケーション室</v>
      </c>
      <c r="D485" s="114" t="str">
        <f t="shared" si="2"/>
        <v>モンスト事業本部\ブランドコミュニケーション室</v>
      </c>
      <c r="E485" s="37" t="str">
        <f t="array" ref="E485">XLOOKUP(C485,'0file'!C:C,'0file'!C:C,"×")</f>
        <v>×</v>
      </c>
      <c r="F485" s="7" t="s">
        <v>1052</v>
      </c>
      <c r="G485" s="37" t="str">
        <f t="array" ref="G485">XLOOKUP(D485,'source isilon_divまとめ'!A:A,'source isilon_divまとめ'!D:D,"×")</f>
        <v>×</v>
      </c>
    </row>
    <row r="486">
      <c r="A486" s="8" t="s">
        <v>1096</v>
      </c>
      <c r="B486" s="8" t="s">
        <v>1227</v>
      </c>
      <c r="C486" s="114" t="str">
        <f t="shared" si="1"/>
        <v>モンスト事業本部/マーチャンダイジング部</v>
      </c>
      <c r="D486" s="114" t="str">
        <f t="shared" si="2"/>
        <v>モンスト事業本部\マーチャンダイジング部</v>
      </c>
      <c r="E486" s="37" t="str">
        <f t="array" ref="E486">XLOOKUP(C486,'0file'!C:C,'0file'!C:C,"×")</f>
        <v>モンスト事業本部/マーチャンダイジング部</v>
      </c>
      <c r="F486" s="37" t="str">
        <f t="array" ref="F486">XLOOKUP(C486,'部署遍歴'!F:F,'部署遍歴'!D:D,"×")</f>
        <v>ライフコミュニケーション部</v>
      </c>
      <c r="G486" s="37" t="str">
        <f t="array" ref="G486">XLOOKUP(D486,'source isilon_divまとめ'!A:A,'source isilon_divまとめ'!D:D,"×")</f>
        <v>×</v>
      </c>
    </row>
    <row r="487">
      <c r="A487" s="8" t="s">
        <v>1096</v>
      </c>
      <c r="B487" s="8" t="s">
        <v>1358</v>
      </c>
      <c r="C487" s="114" t="str">
        <f t="shared" si="1"/>
        <v>モンスト事業本部/ライフコミュニケーション部</v>
      </c>
      <c r="D487" s="114" t="str">
        <f t="shared" si="2"/>
        <v>モンスト事業本部\ライフコミュニケーション部</v>
      </c>
      <c r="E487" s="37" t="str">
        <f t="array" ref="E487">XLOOKUP(C487,'0file'!C:C,'0file'!C:C,"×")</f>
        <v>×</v>
      </c>
      <c r="F487" s="7" t="s">
        <v>1052</v>
      </c>
      <c r="G487" s="37" t="str">
        <f t="array" ref="G487">XLOOKUP(D487,'source isilon_divまとめ'!A:A,'source isilon_divまとめ'!D:D,"×")</f>
        <v>×</v>
      </c>
    </row>
    <row r="488">
      <c r="A488" s="8" t="s">
        <v>1096</v>
      </c>
      <c r="B488" s="8" t="s">
        <v>1359</v>
      </c>
      <c r="C488" s="114" t="str">
        <f t="shared" si="1"/>
        <v>モンスト事業本部/IP管理室</v>
      </c>
      <c r="D488" s="114" t="str">
        <f t="shared" si="2"/>
        <v>モンスト事業本部\IP管理室</v>
      </c>
      <c r="E488" s="37" t="str">
        <f t="array" ref="E488">XLOOKUP(C488,'0file'!C:C,'0file'!C:C,"×")</f>
        <v>モンスト事業本部/IP管理室</v>
      </c>
      <c r="F488" s="37" t="str">
        <f t="array" ref="F488">XLOOKUP(C488,'部署遍歴'!F:F,'部署遍歴'!D:D,"×")</f>
        <v>×</v>
      </c>
      <c r="G488" s="37" t="str">
        <f t="array" ref="G488">XLOOKUP(D488,'source isilon_divまとめ'!A:A,'source isilon_divまとめ'!D:D,"×")</f>
        <v>×</v>
      </c>
    </row>
    <row r="489">
      <c r="A489" s="8" t="s">
        <v>1096</v>
      </c>
      <c r="B489" s="8" t="s">
        <v>1360</v>
      </c>
      <c r="C489" s="114" t="str">
        <f t="shared" si="1"/>
        <v>モンスト事業本部/マーケティングコミュニケーション部</v>
      </c>
      <c r="D489" s="114" t="str">
        <f t="shared" si="2"/>
        <v>モンスト事業本部\マーケティングコミュニケーション部</v>
      </c>
      <c r="E489" s="37" t="str">
        <f t="array" ref="E489">XLOOKUP(C489,'0file'!C:C,'0file'!C:C,"×")</f>
        <v>×</v>
      </c>
      <c r="F489" s="37" t="str">
        <f t="array" ref="F489">XLOOKUP(C489,'部署遍歴'!F:F,'部署遍歴'!D:D,"×")</f>
        <v>マーケティング部</v>
      </c>
      <c r="G489" s="37" t="str">
        <f t="array" ref="G489">XLOOKUP(D489,'source isilon_divまとめ'!A:A,'source isilon_divまとめ'!D:D,"×")</f>
        <v>×</v>
      </c>
    </row>
    <row r="490">
      <c r="A490" s="8" t="s">
        <v>1096</v>
      </c>
      <c r="B490" s="8" t="s">
        <v>1361</v>
      </c>
      <c r="C490" s="114" t="str">
        <f t="shared" si="1"/>
        <v>モンスト事業本部/ゲーム運営部</v>
      </c>
      <c r="D490" s="114" t="str">
        <f t="shared" si="2"/>
        <v>モンスト事業本部\ゲーム運営部</v>
      </c>
      <c r="E490" s="37" t="str">
        <f t="array" ref="E490">XLOOKUP(C490,'0file'!C:C,'0file'!C:C,"×")</f>
        <v>×</v>
      </c>
      <c r="F490" s="37" t="str">
        <f t="array" ref="F490">XLOOKUP(C490,'部署遍歴'!F:F,'部署遍歴'!D:D,"×")</f>
        <v>×</v>
      </c>
      <c r="G490" s="37" t="str">
        <f t="array" ref="G490">XLOOKUP(D490,'source isilon_divまとめ'!A:A,'source isilon_divまとめ'!D:D,"×")</f>
        <v>×</v>
      </c>
    </row>
    <row r="491">
      <c r="A491" s="8" t="s">
        <v>1096</v>
      </c>
      <c r="B491" s="8" t="s">
        <v>1137</v>
      </c>
      <c r="C491" s="114" t="str">
        <f t="shared" si="1"/>
        <v>モンスト事業本部/マーケティング部</v>
      </c>
      <c r="D491" s="114" t="str">
        <f t="shared" si="2"/>
        <v>モンスト事業本部\マーケティング部</v>
      </c>
      <c r="E491" s="37" t="str">
        <f t="array" ref="E491">XLOOKUP(C491,'0file'!C:C,'0file'!C:C,"×")</f>
        <v>×</v>
      </c>
      <c r="F491" s="37" t="str">
        <f t="array" ref="F491">XLOOKUP(C491,'部署遍歴'!F:F,'部署遍歴'!D:D,"×")</f>
        <v>マーケティングコミュニケーション部</v>
      </c>
      <c r="G491" s="37" t="str">
        <f t="array" ref="G491">XLOOKUP(D491,'source isilon_divまとめ'!A:A,'source isilon_divまとめ'!D:D,"×")</f>
        <v>×</v>
      </c>
    </row>
    <row r="492">
      <c r="A492" s="8" t="s">
        <v>1096</v>
      </c>
      <c r="B492" s="8" t="s">
        <v>1362</v>
      </c>
      <c r="C492" s="114" t="str">
        <f t="shared" si="1"/>
        <v>モンスト事業本部/コンテンツクリエイション室</v>
      </c>
      <c r="D492" s="114" t="str">
        <f t="shared" si="2"/>
        <v>モンスト事業本部\コンテンツクリエイション室</v>
      </c>
      <c r="E492" s="37" t="str">
        <f t="array" ref="E492">XLOOKUP(C492,'0file'!C:C,'0file'!C:C,"×")</f>
        <v>モンスト事業本部/コンテンツクリエイション室</v>
      </c>
      <c r="F492" s="37" t="str">
        <f t="array" ref="F492">XLOOKUP(C492,'部署遍歴'!F:F,'部署遍歴'!D:D,"×")</f>
        <v>×</v>
      </c>
      <c r="G492" s="37" t="str">
        <f t="array" ref="G492">XLOOKUP(D492,'source isilon_divまとめ'!A:A,'source isilon_divまとめ'!D:D,"×")</f>
        <v>×</v>
      </c>
    </row>
    <row r="493">
      <c r="A493" s="8" t="s">
        <v>1096</v>
      </c>
      <c r="B493" s="8" t="s">
        <v>1174</v>
      </c>
      <c r="C493" s="114" t="str">
        <f t="shared" si="1"/>
        <v>モンスト事業本部/デザイン室</v>
      </c>
      <c r="D493" s="114" t="str">
        <f t="shared" si="2"/>
        <v>モンスト事業本部\デザイン室</v>
      </c>
      <c r="E493" s="37" t="str">
        <f t="array" ref="E493">XLOOKUP(C493,'0file'!C:C,'0file'!C:C,"×")</f>
        <v>×</v>
      </c>
      <c r="F493" s="37" t="str">
        <f t="array" ref="F493">XLOOKUP(C493,'部署遍歴'!F:F,'部署遍歴'!D:D,"×")</f>
        <v>コンテンツクリエイション室</v>
      </c>
      <c r="G493" s="37" t="str">
        <f t="array" ref="G493">XLOOKUP(D493,'source isilon_divまとめ'!A:A,'source isilon_divまとめ'!D:D,"×")</f>
        <v>×</v>
      </c>
    </row>
    <row r="494">
      <c r="A494" s="8" t="s">
        <v>1096</v>
      </c>
      <c r="B494" s="8" t="s">
        <v>148</v>
      </c>
      <c r="C494" s="114" t="str">
        <f t="shared" si="1"/>
        <v>モンスト事業本部/開発室</v>
      </c>
      <c r="D494" s="114" t="str">
        <f t="shared" si="2"/>
        <v>モンスト事業本部\開発室</v>
      </c>
      <c r="E494" s="37" t="str">
        <f t="array" ref="E494">XLOOKUP(C494,'0file'!C:C,'0file'!C:C,"×")</f>
        <v>×</v>
      </c>
      <c r="F494" s="7" t="s">
        <v>1052</v>
      </c>
      <c r="G494" s="37" t="str">
        <f t="array" ref="G494">XLOOKUP(D494,'source isilon_divまとめ'!A:A,'source isilon_divまとめ'!D:D,"×")</f>
        <v>×</v>
      </c>
    </row>
    <row r="495">
      <c r="A495" s="8" t="s">
        <v>1096</v>
      </c>
      <c r="B495" s="8" t="s">
        <v>1111</v>
      </c>
      <c r="C495" s="114" t="str">
        <f t="shared" si="1"/>
        <v>モンスト事業本部/本部共有</v>
      </c>
      <c r="D495" s="114" t="str">
        <f t="shared" si="2"/>
        <v>モンスト事業本部\本部共有</v>
      </c>
      <c r="E495" s="37" t="str">
        <f t="array" ref="E495">XLOOKUP(C495,'0file'!C:C,'0file'!C:C,"×")</f>
        <v>×</v>
      </c>
      <c r="F495" s="37" t="str">
        <f t="array" ref="F495">XLOOKUP(C495,'部署遍歴'!F:F,'部署遍歴'!D:D,"×")</f>
        <v>×</v>
      </c>
      <c r="G495" s="37" t="str">
        <f t="array" ref="G495">XLOOKUP(D495,'source isilon_divまとめ'!A:A,'source isilon_divまとめ'!D:D,"×")</f>
        <v>×</v>
      </c>
    </row>
    <row r="496">
      <c r="A496" s="8" t="s">
        <v>1096</v>
      </c>
      <c r="B496" s="8" t="s">
        <v>1363</v>
      </c>
      <c r="C496" s="114" t="str">
        <f t="shared" si="1"/>
        <v>モンスト事業本部/事業支援室</v>
      </c>
      <c r="D496" s="114" t="str">
        <f t="shared" si="2"/>
        <v>モンスト事業本部\事業支援室</v>
      </c>
      <c r="E496" s="37" t="str">
        <f t="array" ref="E496">XLOOKUP(C496,'0file'!C:C,'0file'!C:C,"×")</f>
        <v>モンスト事業本部/事業支援室</v>
      </c>
      <c r="F496" s="37" t="str">
        <f t="array" ref="F496">XLOOKUP(C496,'部署遍歴'!F:F,'部署遍歴'!D:D,"×")</f>
        <v>×</v>
      </c>
      <c r="G496" s="37" t="str">
        <f t="array" ref="G496">XLOOKUP(D496,'source isilon_divまとめ'!A:A,'source isilon_divまとめ'!D:D,"×")</f>
        <v>×</v>
      </c>
    </row>
    <row r="497">
      <c r="A497" s="8" t="s">
        <v>1096</v>
      </c>
      <c r="B497" s="8" t="s">
        <v>1229</v>
      </c>
      <c r="C497" s="114" t="str">
        <f t="shared" si="1"/>
        <v>モンスト事業本部/新規事業開発部</v>
      </c>
      <c r="D497" s="114" t="str">
        <f t="shared" si="2"/>
        <v>モンスト事業本部\新規事業開発部</v>
      </c>
      <c r="E497" s="37" t="str">
        <f t="array" ref="E497">XLOOKUP(C497,'0file'!C:C,'0file'!C:C,"×")</f>
        <v>モンスト事業本部/新規事業開発部</v>
      </c>
      <c r="F497" s="37" t="str">
        <f t="array" ref="F497">XLOOKUP(C497,'部署遍歴'!F:F,'部署遍歴'!D:D,"×")</f>
        <v>×</v>
      </c>
      <c r="G497" s="37" t="str">
        <f t="array" ref="G497">XLOOKUP(D497,'source isilon_divまとめ'!A:A,'source isilon_divまとめ'!D:D,"×")</f>
        <v>×</v>
      </c>
    </row>
    <row r="498">
      <c r="A498" s="8" t="s">
        <v>1096</v>
      </c>
      <c r="B498" s="8" t="s">
        <v>359</v>
      </c>
      <c r="C498" s="114" t="str">
        <f t="shared" si="1"/>
        <v>モンスト事業本部/事業開発室</v>
      </c>
      <c r="D498" s="114" t="str">
        <f t="shared" si="2"/>
        <v>モンスト事業本部\事業開発室</v>
      </c>
      <c r="E498" s="37" t="str">
        <f t="array" ref="E498">XLOOKUP(C498,'0file'!C:C,'0file'!C:C,"×")</f>
        <v>モンスト事業本部/事業開発室</v>
      </c>
      <c r="F498" s="37" t="str">
        <f t="array" ref="F498">XLOOKUP(C498,'部署遍歴'!F:F,'部署遍歴'!D:D,"×")</f>
        <v>×</v>
      </c>
      <c r="G498" s="37" t="str">
        <f t="array" ref="G498">XLOOKUP(D498,'source isilon_divまとめ'!A:A,'source isilon_divまとめ'!D:D,"×")</f>
        <v>×</v>
      </c>
      <c r="H498" s="7" t="s">
        <v>3362</v>
      </c>
      <c r="I498" s="7" t="s">
        <v>3362</v>
      </c>
    </row>
  </sheetData>
  <autoFilter ref="$A$1:$G$498"/>
  <customSheetViews>
    <customSheetView guid="{D848EDFF-2B5F-48B8-A8E0-2EFD137DDB06}" filter="1" showAutoFilter="1">
      <autoFilter ref="$A$1:$B$498"/>
    </customSheetView>
    <customSheetView guid="{1EE54929-8933-44E4-85F3-B334003C8BB0}" filter="1" showAutoFilter="1">
      <autoFilter ref="$A$1:$B$498"/>
    </customSheetView>
    <customSheetView guid="{F7B26469-9DA0-467D-B3C8-EE61D3009939}" filter="1" showAutoFilter="1">
      <autoFilter ref="$A$1:$B$498"/>
    </customSheetView>
    <customSheetView guid="{3F512EAA-FF12-4BDE-8DF4-23B9F9EEE442}" filter="1" showAutoFilter="1">
      <autoFilter ref="$A$1:$B$498"/>
    </customSheetView>
  </customSheetView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63"/>
  </cols>
  <sheetData>
    <row r="1">
      <c r="A1" s="38" t="s">
        <v>2874</v>
      </c>
      <c r="B1" s="37" t="s">
        <v>56</v>
      </c>
      <c r="C1" s="114" t="str">
        <f t="shared" ref="C1:C278" si="1">RIGHT(A1, LEN(A1) - FIND("§", SUBSTITUTE(A1, "/", "§", LEN(A1)-LEN(SUBSTITUTE(A1,"/",""))-1)))</f>
        <v>CS推進室/開発G</v>
      </c>
    </row>
    <row r="2">
      <c r="A2" s="38" t="s">
        <v>2880</v>
      </c>
      <c r="B2" s="37" t="s">
        <v>1207</v>
      </c>
      <c r="C2" s="114" t="str">
        <f t="shared" si="1"/>
        <v>CS本部/技術部</v>
      </c>
    </row>
    <row r="3">
      <c r="A3" s="38" t="s">
        <v>2882</v>
      </c>
      <c r="B3" s="37" t="s">
        <v>1121</v>
      </c>
      <c r="C3" s="114" t="str">
        <f t="shared" si="1"/>
        <v>Diverseスタジオ/Poiboy事業部</v>
      </c>
    </row>
    <row r="4">
      <c r="A4" s="38" t="s">
        <v>2883</v>
      </c>
      <c r="B4" s="37" t="s">
        <v>1127</v>
      </c>
      <c r="C4" s="114" t="str">
        <f t="shared" si="1"/>
        <v>Diverseスタジオ/VEAT事業部</v>
      </c>
    </row>
    <row r="5">
      <c r="A5" s="38" t="s">
        <v>2884</v>
      </c>
      <c r="B5" s="37" t="s">
        <v>1124</v>
      </c>
      <c r="C5" s="114" t="str">
        <f t="shared" si="1"/>
        <v>Diverseスタジオ/youbride事業部</v>
      </c>
    </row>
    <row r="6">
      <c r="A6" s="38" t="s">
        <v>2885</v>
      </c>
      <c r="B6" s="37" t="s">
        <v>1129</v>
      </c>
      <c r="C6" s="114" t="str">
        <f t="shared" si="1"/>
        <v>Diverseスタジオ/YYC事業部</v>
      </c>
    </row>
    <row r="7">
      <c r="A7" s="38" t="s">
        <v>2886</v>
      </c>
      <c r="B7" s="37" t="s">
        <v>1115</v>
      </c>
      <c r="C7" s="114" t="str">
        <f t="shared" si="1"/>
        <v>Diverseスタジオ/インドマーケット部</v>
      </c>
    </row>
    <row r="8">
      <c r="A8" s="38" t="s">
        <v>2887</v>
      </c>
      <c r="B8" s="37" t="s">
        <v>1118</v>
      </c>
      <c r="C8" s="114" t="str">
        <f t="shared" si="1"/>
        <v>Diverseスタジオ/かいはつ室</v>
      </c>
    </row>
    <row r="9">
      <c r="A9" s="38" t="s">
        <v>2888</v>
      </c>
      <c r="B9" s="37" t="s">
        <v>1119</v>
      </c>
      <c r="C9" s="114" t="str">
        <f t="shared" si="1"/>
        <v>Diverseスタジオ/ビジネス推進室</v>
      </c>
    </row>
    <row r="10">
      <c r="A10" s="38" t="s">
        <v>2889</v>
      </c>
      <c r="B10" s="37" t="s">
        <v>1120</v>
      </c>
      <c r="C10" s="114" t="str">
        <f t="shared" si="1"/>
        <v>Diverseスタジオ/マーケティング室</v>
      </c>
    </row>
    <row r="11">
      <c r="A11" s="38" t="s">
        <v>2890</v>
      </c>
      <c r="B11" s="37" t="s">
        <v>1130</v>
      </c>
      <c r="C11" s="114" t="str">
        <f t="shared" si="1"/>
        <v>Diverseスタジオ/マッチングサービス事業部</v>
      </c>
    </row>
    <row r="12">
      <c r="A12" s="38" t="s">
        <v>2891</v>
      </c>
      <c r="B12" s="37" t="s">
        <v>1128</v>
      </c>
      <c r="C12" s="114" t="str">
        <f t="shared" si="1"/>
        <v>Diverseスタジオ/メディア事業部</v>
      </c>
    </row>
    <row r="13">
      <c r="A13" s="38" t="s">
        <v>2892</v>
      </c>
      <c r="B13" s="37" t="s">
        <v>1126</v>
      </c>
      <c r="C13" s="114" t="str">
        <f t="shared" si="1"/>
        <v>Diverseスタジオ/技術研究所</v>
      </c>
    </row>
    <row r="14">
      <c r="A14" s="38" t="s">
        <v>2894</v>
      </c>
      <c r="B14" s="37" t="s">
        <v>1122</v>
      </c>
      <c r="C14" s="114" t="str">
        <f t="shared" si="1"/>
        <v>Diverseスタジオ/結婚支援事業部</v>
      </c>
    </row>
    <row r="15">
      <c r="A15" s="38" t="s">
        <v>2895</v>
      </c>
      <c r="B15" s="37" t="s">
        <v>1125</v>
      </c>
      <c r="C15" s="114" t="str">
        <f t="shared" si="1"/>
        <v>Diverseスタジオ/健全化推進室</v>
      </c>
    </row>
    <row r="16">
      <c r="A16" s="38" t="s">
        <v>2896</v>
      </c>
      <c r="B16" s="37" t="s">
        <v>1123</v>
      </c>
      <c r="C16" s="114" t="str">
        <f t="shared" si="1"/>
        <v>Diverseスタジオ/新規サービス事業部</v>
      </c>
    </row>
    <row r="17">
      <c r="A17" s="38" t="s">
        <v>2903</v>
      </c>
      <c r="B17" s="37" t="s">
        <v>1244</v>
      </c>
      <c r="C17" s="114" t="str">
        <f t="shared" si="1"/>
        <v>Vantageスタジオ/AI・ロボット事業部</v>
      </c>
    </row>
    <row r="18">
      <c r="A18" s="38" t="s">
        <v>2904</v>
      </c>
      <c r="B18" s="37" t="s">
        <v>51</v>
      </c>
      <c r="C18" s="114" t="str">
        <f t="shared" si="1"/>
        <v>Vantageスタジオ/minimo事業部</v>
      </c>
    </row>
    <row r="19">
      <c r="A19" s="38" t="s">
        <v>2906</v>
      </c>
      <c r="B19" s="37" t="s">
        <v>39</v>
      </c>
      <c r="C19" s="114" t="str">
        <f t="shared" si="1"/>
        <v>Vantageスタジオ/Romi事業部</v>
      </c>
    </row>
    <row r="20">
      <c r="A20" s="38" t="s">
        <v>2908</v>
      </c>
      <c r="B20" s="37" t="s">
        <v>1226</v>
      </c>
      <c r="C20" s="114" t="str">
        <f t="shared" si="1"/>
        <v>Vantageスタジオ/システム部</v>
      </c>
    </row>
    <row r="21">
      <c r="A21" s="38" t="s">
        <v>2910</v>
      </c>
      <c r="B21" s="37" t="s">
        <v>821</v>
      </c>
      <c r="C21" s="114" t="str">
        <f t="shared" si="1"/>
        <v>Vantageスタジオ/みてねプラットフォーム部</v>
      </c>
    </row>
    <row r="22">
      <c r="A22" s="38" t="s">
        <v>2911</v>
      </c>
      <c r="B22" s="37" t="s">
        <v>824</v>
      </c>
      <c r="C22" s="114" t="str">
        <f t="shared" si="1"/>
        <v>Vantageスタジオ/みてねプロダクト開発部</v>
      </c>
    </row>
    <row r="23">
      <c r="A23" s="38" t="s">
        <v>2912</v>
      </c>
      <c r="B23" s="37" t="s">
        <v>819</v>
      </c>
      <c r="C23" s="114" t="str">
        <f t="shared" si="1"/>
        <v>Vantageスタジオ/みてねマーケティング部</v>
      </c>
    </row>
    <row r="24">
      <c r="A24" s="38" t="s">
        <v>2913</v>
      </c>
      <c r="B24" s="37" t="s">
        <v>324</v>
      </c>
      <c r="C24" s="114" t="str">
        <f t="shared" si="1"/>
        <v>Vantageスタジオ/みてね事業開発部</v>
      </c>
    </row>
    <row r="25">
      <c r="A25" s="38" t="s">
        <v>2917</v>
      </c>
      <c r="B25" s="37" t="s">
        <v>1111</v>
      </c>
      <c r="C25" s="114" t="str">
        <f t="shared" si="1"/>
        <v>Vantageスタジオ/本部共有</v>
      </c>
    </row>
    <row r="26">
      <c r="A26" s="38" t="s">
        <v>2919</v>
      </c>
      <c r="B26" s="37" t="s">
        <v>1159</v>
      </c>
      <c r="C26" s="114" t="str">
        <f t="shared" si="1"/>
        <v>XFLAG ARTS/モンストデザイン室</v>
      </c>
    </row>
    <row r="27">
      <c r="A27" s="38" t="s">
        <v>2920</v>
      </c>
      <c r="B27" s="37" t="s">
        <v>1111</v>
      </c>
      <c r="C27" s="114" t="str">
        <f t="shared" si="1"/>
        <v>XFLAG ARTS/本部共有</v>
      </c>
    </row>
    <row r="28">
      <c r="A28" s="38" t="s">
        <v>2924</v>
      </c>
      <c r="B28" s="37" t="s">
        <v>1111</v>
      </c>
      <c r="C28" s="114" t="str">
        <f t="shared" si="1"/>
        <v>XFLAG ENTERTAINMENT/本部共有</v>
      </c>
    </row>
    <row r="29">
      <c r="A29" s="38" t="s">
        <v>2925</v>
      </c>
      <c r="B29" s="37" t="s">
        <v>1193</v>
      </c>
      <c r="C29" s="114" t="str">
        <f t="shared" si="1"/>
        <v>XFLAG開発本部/XFLAG事業推進室</v>
      </c>
    </row>
    <row r="30">
      <c r="A30" s="38" t="s">
        <v>2926</v>
      </c>
      <c r="B30" s="37" t="s">
        <v>1111</v>
      </c>
      <c r="C30" s="114" t="str">
        <f t="shared" si="1"/>
        <v>XFLAG開発本部/本部共有</v>
      </c>
    </row>
    <row r="31">
      <c r="A31" s="38" t="s">
        <v>2929</v>
      </c>
      <c r="B31" s="37" t="s">
        <v>1068</v>
      </c>
      <c r="C31" s="114" t="str">
        <f t="shared" si="1"/>
        <v>XFLAG事業本部/XFLAG ENTERTAINMENT</v>
      </c>
    </row>
    <row r="32">
      <c r="A32" s="38" t="s">
        <v>2932</v>
      </c>
      <c r="B32" s="37" t="s">
        <v>1175</v>
      </c>
      <c r="C32" s="114" t="str">
        <f t="shared" si="1"/>
        <v>XFLAG事業本部/ゲーム開発室</v>
      </c>
    </row>
    <row r="33">
      <c r="A33" s="38" t="s">
        <v>2933</v>
      </c>
      <c r="B33" s="37" t="s">
        <v>1180</v>
      </c>
      <c r="C33" s="114" t="str">
        <f t="shared" si="1"/>
        <v>XFLAG事業本部/スポーツ事業推進室</v>
      </c>
    </row>
    <row r="34">
      <c r="A34" s="38" t="s">
        <v>2936</v>
      </c>
      <c r="B34" s="37" t="s">
        <v>1265</v>
      </c>
      <c r="C34" s="114" t="str">
        <f t="shared" si="1"/>
        <v>XFLAG事業本部/フィンテック・エンターテインメント室</v>
      </c>
    </row>
    <row r="35">
      <c r="A35" s="38" t="s">
        <v>2937</v>
      </c>
      <c r="B35" s="37" t="s">
        <v>286</v>
      </c>
      <c r="C35" s="114" t="str">
        <f t="shared" si="1"/>
        <v>XFLAG事業本部/事業戦略室</v>
      </c>
    </row>
    <row r="36">
      <c r="A36" s="38" t="s">
        <v>2939</v>
      </c>
      <c r="B36" s="37" t="s">
        <v>1144</v>
      </c>
      <c r="C36" s="114" t="str">
        <f t="shared" si="1"/>
        <v>XFLAG事業本部/人事戦略室</v>
      </c>
    </row>
    <row r="37">
      <c r="A37" s="38" t="s">
        <v>2940</v>
      </c>
      <c r="B37" s="37" t="s">
        <v>1139</v>
      </c>
      <c r="C37" s="114" t="str">
        <f t="shared" si="1"/>
        <v>アイ・マーキュリーキャピタル/全社共有</v>
      </c>
    </row>
    <row r="38">
      <c r="A38" s="38" t="s">
        <v>2941</v>
      </c>
      <c r="B38" s="37" t="s">
        <v>1101</v>
      </c>
      <c r="C38" s="114" t="str">
        <f t="shared" si="1"/>
        <v>アドテクスタジオ/アドテクG</v>
      </c>
    </row>
    <row r="39">
      <c r="A39" s="38" t="s">
        <v>2942</v>
      </c>
      <c r="B39" s="37" t="s">
        <v>56</v>
      </c>
      <c r="C39" s="114" t="str">
        <f t="shared" si="1"/>
        <v>アドテクスタジオ/開発G</v>
      </c>
    </row>
    <row r="40">
      <c r="A40" s="38" t="s">
        <v>2943</v>
      </c>
      <c r="B40" s="37" t="s">
        <v>444</v>
      </c>
      <c r="C40" s="114" t="str">
        <f t="shared" si="1"/>
        <v>アドテクスタジオ/企画G</v>
      </c>
    </row>
    <row r="41">
      <c r="A41" s="38" t="s">
        <v>2944</v>
      </c>
      <c r="B41" s="37" t="s">
        <v>1104</v>
      </c>
      <c r="C41" s="114" t="str">
        <f t="shared" si="1"/>
        <v>アドテクスタジオ/室共有</v>
      </c>
    </row>
    <row r="42">
      <c r="A42" s="38" t="s">
        <v>2945</v>
      </c>
      <c r="B42" s="37" t="s">
        <v>864</v>
      </c>
      <c r="C42" s="114" t="str">
        <f t="shared" si="1"/>
        <v>アライアンス統括本部/アリーナ事業部</v>
      </c>
    </row>
    <row r="43">
      <c r="A43" s="38" t="s">
        <v>2946</v>
      </c>
      <c r="B43" s="37" t="s">
        <v>1226</v>
      </c>
      <c r="C43" s="114" t="str">
        <f t="shared" si="1"/>
        <v>アライアンス統括本部/システム部</v>
      </c>
    </row>
    <row r="44">
      <c r="A44" s="38" t="s">
        <v>2947</v>
      </c>
      <c r="B44" s="37" t="s">
        <v>1183</v>
      </c>
      <c r="C44" s="114" t="str">
        <f t="shared" si="1"/>
        <v>アライアンス統括本部/スポーツギフティング部</v>
      </c>
    </row>
    <row r="45">
      <c r="A45" s="38" t="s">
        <v>2948</v>
      </c>
      <c r="B45" s="37" t="s">
        <v>1182</v>
      </c>
      <c r="C45" s="114" t="str">
        <f t="shared" si="1"/>
        <v>アライアンス統括本部/スポーツ事業部</v>
      </c>
    </row>
    <row r="46">
      <c r="A46" s="38" t="s">
        <v>2949</v>
      </c>
      <c r="B46" s="37" t="s">
        <v>857</v>
      </c>
      <c r="C46" s="114" t="str">
        <f t="shared" si="1"/>
        <v>アライアンス統括本部/バスケットボール事業部</v>
      </c>
    </row>
    <row r="47">
      <c r="A47" s="38" t="s">
        <v>2950</v>
      </c>
      <c r="B47" s="37" t="s">
        <v>1225</v>
      </c>
      <c r="C47" s="114" t="str">
        <f t="shared" si="1"/>
        <v>アライアンス統括本部/ビバレッジ事業推進室</v>
      </c>
    </row>
    <row r="48">
      <c r="A48" s="38" t="s">
        <v>2951</v>
      </c>
      <c r="B48" s="37" t="s">
        <v>859</v>
      </c>
      <c r="C48" s="114" t="str">
        <f t="shared" si="1"/>
        <v>アライアンス統括本部/フットボール事業部</v>
      </c>
    </row>
    <row r="49">
      <c r="A49" s="38" t="s">
        <v>2952</v>
      </c>
      <c r="B49" s="37" t="s">
        <v>286</v>
      </c>
      <c r="C49" s="114" t="str">
        <f t="shared" si="1"/>
        <v>アライアンス統括本部/事業戦略室</v>
      </c>
    </row>
    <row r="50">
      <c r="A50" s="38" t="s">
        <v>2953</v>
      </c>
      <c r="B50" s="37" t="s">
        <v>1111</v>
      </c>
      <c r="C50" s="114" t="str">
        <f t="shared" si="1"/>
        <v>アライアンス統括本部/本部共有</v>
      </c>
    </row>
    <row r="51">
      <c r="A51" s="38" t="s">
        <v>2954</v>
      </c>
      <c r="B51" s="37" t="s">
        <v>1292</v>
      </c>
      <c r="C51" s="114" t="str">
        <f t="shared" si="1"/>
        <v>イノベーションセンター/DeployGateG</v>
      </c>
    </row>
    <row r="52">
      <c r="A52" s="38" t="s">
        <v>2955</v>
      </c>
      <c r="B52" s="37" t="s">
        <v>1286</v>
      </c>
      <c r="C52" s="114" t="str">
        <f t="shared" si="1"/>
        <v>イノベーションセンター/live4uG</v>
      </c>
    </row>
    <row r="53">
      <c r="A53" s="38" t="s">
        <v>2956</v>
      </c>
      <c r="B53" s="37" t="s">
        <v>1290</v>
      </c>
      <c r="C53" s="114" t="str">
        <f t="shared" si="1"/>
        <v>イノベーションセンター/minimoG</v>
      </c>
    </row>
    <row r="54">
      <c r="A54" s="38" t="s">
        <v>2957</v>
      </c>
      <c r="B54" s="37" t="s">
        <v>1288</v>
      </c>
      <c r="C54" s="114" t="str">
        <f t="shared" si="1"/>
        <v>イノベーションセンター/muukG</v>
      </c>
    </row>
    <row r="55">
      <c r="A55" s="38" t="s">
        <v>2959</v>
      </c>
      <c r="B55" s="37" t="s">
        <v>1289</v>
      </c>
      <c r="C55" s="114" t="str">
        <f t="shared" si="1"/>
        <v>イノベーションセンター/みてねG</v>
      </c>
    </row>
    <row r="56">
      <c r="A56" s="38" t="s">
        <v>2961</v>
      </c>
      <c r="B56" s="37" t="s">
        <v>1334</v>
      </c>
      <c r="C56" s="114" t="str">
        <f t="shared" si="1"/>
        <v>ヴァンテージスタジオ/Find Job ！事業部</v>
      </c>
    </row>
    <row r="57">
      <c r="A57" s="38" t="s">
        <v>2964</v>
      </c>
      <c r="B57" s="37" t="s">
        <v>1113</v>
      </c>
      <c r="C57" s="114" t="str">
        <f t="shared" si="1"/>
        <v>ヴァンテージスタジオ/mixiシステム部</v>
      </c>
    </row>
    <row r="58">
      <c r="A58" s="38" t="s">
        <v>2967</v>
      </c>
      <c r="B58" s="37" t="s">
        <v>1226</v>
      </c>
      <c r="C58" s="114" t="str">
        <f t="shared" si="1"/>
        <v>ヴァンテージスタジオ/システム部</v>
      </c>
    </row>
    <row r="59">
      <c r="A59" s="38" t="s">
        <v>2975</v>
      </c>
      <c r="B59" s="37" t="s">
        <v>1169</v>
      </c>
      <c r="C59" s="114" t="str">
        <f t="shared" si="1"/>
        <v>エックスフラッグスタジオ本部/XFLAG</v>
      </c>
    </row>
    <row r="60">
      <c r="A60" s="38" t="s">
        <v>2982</v>
      </c>
      <c r="B60" s="37" t="s">
        <v>1173</v>
      </c>
      <c r="C60" s="114" t="str">
        <f t="shared" si="1"/>
        <v>エックスフラッグスタジオ本部/エックスフラッグ</v>
      </c>
    </row>
    <row r="61">
      <c r="A61" s="38" t="s">
        <v>2983</v>
      </c>
      <c r="B61" s="37" t="s">
        <v>1177</v>
      </c>
      <c r="C61" s="114" t="str">
        <f t="shared" si="1"/>
        <v>エックスフラッグスタジオ本部/エックスフラッグ ピクチャーズ</v>
      </c>
    </row>
    <row r="62">
      <c r="A62" s="38" t="s">
        <v>2986</v>
      </c>
      <c r="B62" s="37" t="s">
        <v>1174</v>
      </c>
      <c r="C62" s="114" t="str">
        <f t="shared" si="1"/>
        <v>エックスフラッグスタジオ本部/デザイン室</v>
      </c>
    </row>
    <row r="63">
      <c r="A63" s="38" t="s">
        <v>2993</v>
      </c>
      <c r="B63" s="37" t="s">
        <v>1144</v>
      </c>
      <c r="C63" s="114" t="str">
        <f t="shared" si="1"/>
        <v>エックスフラッグスタジオ本部/人事戦略室</v>
      </c>
    </row>
    <row r="64">
      <c r="A64" s="38" t="s">
        <v>2996</v>
      </c>
      <c r="B64" s="37" t="s">
        <v>1104</v>
      </c>
      <c r="C64" s="114" t="str">
        <f t="shared" si="1"/>
        <v>エンターテインメントクリエイション室/室共有</v>
      </c>
    </row>
    <row r="65">
      <c r="A65" s="38" t="s">
        <v>2998</v>
      </c>
      <c r="B65" s="37" t="s">
        <v>1113</v>
      </c>
      <c r="C65" s="114" t="str">
        <f t="shared" si="1"/>
        <v>オレンジスタジオ/mixiシステム部</v>
      </c>
    </row>
    <row r="66">
      <c r="A66" s="38" t="s">
        <v>3001</v>
      </c>
      <c r="B66" s="37" t="s">
        <v>1139</v>
      </c>
      <c r="C66" s="114" t="str">
        <f t="shared" si="1"/>
        <v>クト/全社共有</v>
      </c>
    </row>
    <row r="67">
      <c r="A67" s="38" t="s">
        <v>3005</v>
      </c>
      <c r="B67" s="37" t="s">
        <v>1111</v>
      </c>
      <c r="C67" s="114" t="str">
        <f t="shared" si="1"/>
        <v>クロスファンクション本部/本部共有</v>
      </c>
    </row>
    <row r="68">
      <c r="A68" s="38" t="s">
        <v>3007</v>
      </c>
      <c r="B68" s="37" t="s">
        <v>1111</v>
      </c>
      <c r="C68" s="114" t="str">
        <f t="shared" si="1"/>
        <v>ゲーム事業本部/本部共有</v>
      </c>
    </row>
    <row r="69">
      <c r="A69" s="38" t="s">
        <v>3010</v>
      </c>
      <c r="B69" s="37" t="s">
        <v>1111</v>
      </c>
      <c r="C69" s="114" t="str">
        <f t="shared" si="1"/>
        <v>コーポレートサポート本部/本部共有</v>
      </c>
    </row>
    <row r="70">
      <c r="A70" s="38" t="s">
        <v>3011</v>
      </c>
      <c r="B70" s="37" t="s">
        <v>81</v>
      </c>
      <c r="C70" s="114" t="str">
        <f t="shared" si="1"/>
        <v>コーポレートデベロップメント本部/Integration Management部</v>
      </c>
    </row>
    <row r="71">
      <c r="A71" s="38" t="s">
        <v>3012</v>
      </c>
      <c r="B71" s="37" t="s">
        <v>1148</v>
      </c>
      <c r="C71" s="114" t="str">
        <f t="shared" si="1"/>
        <v>コーポレートデベロップメント本部/事業開発部</v>
      </c>
    </row>
    <row r="72">
      <c r="A72" s="38" t="s">
        <v>3013</v>
      </c>
      <c r="B72" s="37" t="s">
        <v>72</v>
      </c>
      <c r="C72" s="114" t="str">
        <f t="shared" si="1"/>
        <v>コーポレートデベロップメント本部/事業企画推進部</v>
      </c>
    </row>
    <row r="73">
      <c r="A73" s="38" t="s">
        <v>3014</v>
      </c>
      <c r="B73" s="37" t="s">
        <v>74</v>
      </c>
      <c r="C73" s="114" t="str">
        <f t="shared" si="1"/>
        <v>コーポレートデベロップメント本部/投資事業部</v>
      </c>
    </row>
    <row r="74">
      <c r="A74" s="38" t="s">
        <v>3015</v>
      </c>
      <c r="B74" s="37" t="s">
        <v>1111</v>
      </c>
      <c r="C74" s="114" t="str">
        <f t="shared" si="1"/>
        <v>コーポレートデベロップメント本部/本部共有</v>
      </c>
    </row>
    <row r="75">
      <c r="A75" s="38" t="s">
        <v>3016</v>
      </c>
      <c r="B75" s="37" t="s">
        <v>90</v>
      </c>
      <c r="C75" s="114" t="str">
        <f t="shared" si="1"/>
        <v>コーポレートファイナンス本部/経理税務部</v>
      </c>
    </row>
    <row r="76">
      <c r="A76" s="38" t="s">
        <v>3018</v>
      </c>
      <c r="B76" s="37" t="s">
        <v>1111</v>
      </c>
      <c r="C76" s="114" t="str">
        <f t="shared" si="1"/>
        <v>コーポレートファイナンス本部/本部共有</v>
      </c>
    </row>
    <row r="77">
      <c r="A77" s="38" t="s">
        <v>3026</v>
      </c>
      <c r="B77" s="37" t="s">
        <v>1087</v>
      </c>
      <c r="C77" s="114" t="str">
        <f t="shared" si="1"/>
        <v>スタジオフンザ/チケットキャンプ事業部</v>
      </c>
    </row>
    <row r="78">
      <c r="A78" s="38" t="s">
        <v>3027</v>
      </c>
      <c r="B78" s="37" t="s">
        <v>1299</v>
      </c>
      <c r="C78" s="114" t="str">
        <f t="shared" si="1"/>
        <v>スタジオフンザ/ユーザー管理部</v>
      </c>
    </row>
    <row r="79">
      <c r="A79" s="38" t="s">
        <v>3028</v>
      </c>
      <c r="B79" s="37" t="s">
        <v>432</v>
      </c>
      <c r="C79" s="114" t="str">
        <f t="shared" si="1"/>
        <v>スタジオフンザ/経営企画室</v>
      </c>
    </row>
    <row r="80">
      <c r="A80" s="38" t="s">
        <v>3029</v>
      </c>
      <c r="B80" s="37" t="s">
        <v>1298</v>
      </c>
      <c r="C80" s="114" t="str">
        <f t="shared" si="1"/>
        <v>スタジオフンザ/研究開発部</v>
      </c>
    </row>
    <row r="81">
      <c r="A81" s="38" t="s">
        <v>3030</v>
      </c>
      <c r="B81" s="37" t="s">
        <v>1134</v>
      </c>
      <c r="C81" s="114" t="str">
        <f t="shared" si="1"/>
        <v>スタジオフンザ/新規事業推進室</v>
      </c>
    </row>
    <row r="82">
      <c r="A82" s="38" t="s">
        <v>3031</v>
      </c>
      <c r="B82" s="37" t="s">
        <v>1111</v>
      </c>
      <c r="C82" s="114" t="str">
        <f t="shared" si="1"/>
        <v>スタジオフンザ/本部共有</v>
      </c>
    </row>
    <row r="83">
      <c r="A83" s="38" t="s">
        <v>3032</v>
      </c>
      <c r="B83" s="37" t="s">
        <v>1226</v>
      </c>
      <c r="C83" s="114" t="str">
        <f t="shared" si="1"/>
        <v>スポーツ事業本部/システム部</v>
      </c>
    </row>
    <row r="84">
      <c r="A84" s="38" t="s">
        <v>3033</v>
      </c>
      <c r="B84" s="37" t="s">
        <v>1186</v>
      </c>
      <c r="C84" s="114" t="str">
        <f t="shared" si="1"/>
        <v>スポーツ事業本部/スポーツマーケティング室</v>
      </c>
    </row>
    <row r="85">
      <c r="A85" s="38" t="s">
        <v>3034</v>
      </c>
      <c r="B85" s="37" t="s">
        <v>857</v>
      </c>
      <c r="C85" s="114" t="str">
        <f t="shared" si="1"/>
        <v>スポーツ事業本部/バスケットボール事業部</v>
      </c>
    </row>
    <row r="86">
      <c r="A86" s="38" t="s">
        <v>3035</v>
      </c>
      <c r="B86" s="37" t="s">
        <v>1225</v>
      </c>
      <c r="C86" s="114" t="str">
        <f t="shared" si="1"/>
        <v>スポーツ事業本部/ビバレッジ事業推進室</v>
      </c>
    </row>
    <row r="87">
      <c r="A87" s="38" t="s">
        <v>3036</v>
      </c>
      <c r="B87" s="37" t="s">
        <v>859</v>
      </c>
      <c r="C87" s="114" t="str">
        <f t="shared" si="1"/>
        <v>スポーツ事業本部/フットボール事業部</v>
      </c>
    </row>
    <row r="88">
      <c r="A88" s="38" t="s">
        <v>3038</v>
      </c>
      <c r="B88" s="37" t="s">
        <v>1111</v>
      </c>
      <c r="C88" s="114" t="str">
        <f t="shared" si="1"/>
        <v>スポーツ事業本部/本部共有</v>
      </c>
    </row>
    <row r="89">
      <c r="A89" s="38" t="s">
        <v>3040</v>
      </c>
      <c r="B89" s="37" t="s">
        <v>59</v>
      </c>
      <c r="C89" s="114" t="str">
        <f t="shared" si="1"/>
        <v>スマートヘルス事業部/BizDevG</v>
      </c>
    </row>
    <row r="90">
      <c r="A90" s="38" t="s">
        <v>3041</v>
      </c>
      <c r="B90" s="37" t="s">
        <v>1199</v>
      </c>
      <c r="C90" s="114" t="str">
        <f t="shared" si="1"/>
        <v>スマートヘルス事業部/SalesG</v>
      </c>
    </row>
    <row r="91">
      <c r="A91" s="38" t="s">
        <v>3042</v>
      </c>
      <c r="B91" s="37" t="s">
        <v>1201</v>
      </c>
      <c r="C91" s="114" t="str">
        <f t="shared" si="1"/>
        <v>スマートヘルス事業部/ウェルネスデザインG</v>
      </c>
    </row>
    <row r="92">
      <c r="A92" s="38" t="s">
        <v>3043</v>
      </c>
      <c r="B92" s="37" t="s">
        <v>1203</v>
      </c>
      <c r="C92" s="114" t="str">
        <f t="shared" si="1"/>
        <v>スマートヘルス事業部/サービスデザインG</v>
      </c>
    </row>
    <row r="93">
      <c r="A93" s="38" t="s">
        <v>3044</v>
      </c>
      <c r="B93" s="37" t="s">
        <v>56</v>
      </c>
      <c r="C93" s="114" t="str">
        <f t="shared" si="1"/>
        <v>スマートヘルス事業部/開発G</v>
      </c>
    </row>
    <row r="94">
      <c r="A94" s="38" t="s">
        <v>3046</v>
      </c>
      <c r="B94" s="37" t="s">
        <v>1202</v>
      </c>
      <c r="C94" s="114" t="str">
        <f t="shared" si="1"/>
        <v>スマートヘルス事業部/事業開発G</v>
      </c>
    </row>
    <row r="95">
      <c r="A95" s="38" t="s">
        <v>3047</v>
      </c>
      <c r="B95" s="37" t="s">
        <v>46</v>
      </c>
      <c r="C95" s="114" t="str">
        <f t="shared" si="1"/>
        <v>スマートヘルス事業部/事業推進G</v>
      </c>
    </row>
    <row r="96">
      <c r="A96" s="38" t="s">
        <v>3048</v>
      </c>
      <c r="B96" s="37" t="s">
        <v>292</v>
      </c>
      <c r="C96" s="114" t="str">
        <f t="shared" si="1"/>
        <v>スマートヘルス事業部/事業戦略G</v>
      </c>
    </row>
    <row r="97">
      <c r="A97" s="38" t="s">
        <v>3049</v>
      </c>
      <c r="B97" s="37" t="s">
        <v>1204</v>
      </c>
      <c r="C97" s="114" t="str">
        <f t="shared" si="1"/>
        <v>スマートヘルス事業部/部共有</v>
      </c>
    </row>
    <row r="98">
      <c r="A98" s="38" t="s">
        <v>3050</v>
      </c>
      <c r="B98" s="37" t="s">
        <v>1271</v>
      </c>
      <c r="C98" s="114" t="str">
        <f t="shared" si="1"/>
        <v>セキュリティ室/セキュリティ管理G</v>
      </c>
    </row>
    <row r="99">
      <c r="A99" s="38" t="s">
        <v>3051</v>
      </c>
      <c r="B99" s="37" t="s">
        <v>1269</v>
      </c>
      <c r="C99" s="114" t="str">
        <f t="shared" si="1"/>
        <v>セキュリティ室/セキュリティ管理推進G</v>
      </c>
    </row>
    <row r="100">
      <c r="A100" s="38" t="s">
        <v>3052</v>
      </c>
      <c r="B100" s="37" t="s">
        <v>1270</v>
      </c>
      <c r="C100" s="114" t="str">
        <f t="shared" si="1"/>
        <v>セキュリティ室/セキュリティ技術G</v>
      </c>
    </row>
    <row r="101">
      <c r="A101" s="38" t="s">
        <v>3053</v>
      </c>
      <c r="B101" s="37" t="s">
        <v>1104</v>
      </c>
      <c r="C101" s="114" t="str">
        <f t="shared" si="1"/>
        <v>セキュリティ室/室共有</v>
      </c>
    </row>
    <row r="102">
      <c r="A102" s="38" t="s">
        <v>3054</v>
      </c>
      <c r="B102" s="37" t="s">
        <v>143</v>
      </c>
      <c r="C102" s="114" t="str">
        <f t="shared" si="1"/>
        <v>ソーシャルベッティング事業本部/TIPSTAR事業部</v>
      </c>
    </row>
    <row r="103">
      <c r="A103" s="38" t="s">
        <v>3055</v>
      </c>
      <c r="B103" s="37" t="s">
        <v>651</v>
      </c>
      <c r="C103" s="114" t="str">
        <f t="shared" si="1"/>
        <v>ソーシャルベッティング事業本部/チャリ・ロト事業部</v>
      </c>
    </row>
    <row r="104">
      <c r="A104" s="38" t="s">
        <v>3056</v>
      </c>
      <c r="B104" s="37" t="s">
        <v>662</v>
      </c>
      <c r="C104" s="114" t="str">
        <f t="shared" si="1"/>
        <v>ソーシャルベッティング事業本部/ネットドリーマーズ事業部</v>
      </c>
    </row>
    <row r="105">
      <c r="A105" s="38" t="s">
        <v>3057</v>
      </c>
      <c r="B105" s="37" t="s">
        <v>141</v>
      </c>
      <c r="C105" s="114" t="str">
        <f t="shared" si="1"/>
        <v>ソーシャルベッティング事業本部/価値創造室</v>
      </c>
    </row>
    <row r="106">
      <c r="A106" s="38" t="s">
        <v>3058</v>
      </c>
      <c r="B106" s="37" t="s">
        <v>1263</v>
      </c>
      <c r="C106" s="114" t="str">
        <f t="shared" si="1"/>
        <v>ソーシャルベッティング事業本部/海外ベッティング事業部</v>
      </c>
    </row>
    <row r="107">
      <c r="A107" s="38" t="s">
        <v>3059</v>
      </c>
      <c r="B107" s="37" t="s">
        <v>148</v>
      </c>
      <c r="C107" s="114" t="str">
        <f t="shared" si="1"/>
        <v>ソーシャルベッティング事業本部/開発室</v>
      </c>
    </row>
    <row r="108">
      <c r="A108" s="38" t="s">
        <v>3060</v>
      </c>
      <c r="B108" s="37" t="s">
        <v>155</v>
      </c>
      <c r="C108" s="114" t="str">
        <f t="shared" si="1"/>
        <v>ソーシャルベッティング事業本部/事業財務戦略室</v>
      </c>
    </row>
    <row r="109">
      <c r="A109" s="38" t="s">
        <v>3061</v>
      </c>
      <c r="B109" s="37" t="s">
        <v>668</v>
      </c>
      <c r="C109" s="114" t="str">
        <f t="shared" si="1"/>
        <v>ソーシャルベッティング事業本部/新規プロダクト開発室</v>
      </c>
    </row>
    <row r="110">
      <c r="A110" s="38" t="s">
        <v>3062</v>
      </c>
      <c r="B110" s="37" t="s">
        <v>1262</v>
      </c>
      <c r="C110" s="114" t="str">
        <f t="shared" si="1"/>
        <v>ソーシャルベッティング事業本部/戦略室</v>
      </c>
    </row>
    <row r="111">
      <c r="A111" s="38" t="s">
        <v>3063</v>
      </c>
      <c r="B111" s="37" t="s">
        <v>1111</v>
      </c>
      <c r="C111" s="114" t="str">
        <f t="shared" si="1"/>
        <v>ソーシャルベッティング事業本部/本部共有</v>
      </c>
    </row>
    <row r="112">
      <c r="A112" s="38" t="s">
        <v>3064</v>
      </c>
      <c r="B112" s="37" t="s">
        <v>1350</v>
      </c>
      <c r="C112" s="114" t="str">
        <f t="shared" si="1"/>
        <v>チケットキャンプ事業部/カスタマーG</v>
      </c>
    </row>
    <row r="113">
      <c r="A113" s="38" t="s">
        <v>3065</v>
      </c>
      <c r="B113" s="37" t="s">
        <v>1353</v>
      </c>
      <c r="C113" s="114" t="str">
        <f t="shared" si="1"/>
        <v>チケットキャンプ事業部/カスタマーサポートG</v>
      </c>
    </row>
    <row r="114">
      <c r="A114" s="38" t="s">
        <v>3066</v>
      </c>
      <c r="B114" s="37" t="s">
        <v>1351</v>
      </c>
      <c r="C114" s="114" t="str">
        <f t="shared" si="1"/>
        <v>チケットキャンプ事業部/コンサルティングG</v>
      </c>
    </row>
    <row r="115">
      <c r="A115" s="38" t="s">
        <v>3067</v>
      </c>
      <c r="B115" s="37" t="s">
        <v>1349</v>
      </c>
      <c r="C115" s="114" t="str">
        <f t="shared" si="1"/>
        <v>チケットキャンプ事業部/サービスG</v>
      </c>
    </row>
    <row r="116">
      <c r="A116" s="38" t="s">
        <v>3068</v>
      </c>
      <c r="B116" s="37" t="s">
        <v>1352</v>
      </c>
      <c r="C116" s="114" t="str">
        <f t="shared" si="1"/>
        <v>チケットキャンプ事業部/ビジネスデベロップメントG</v>
      </c>
    </row>
    <row r="117">
      <c r="A117" s="38" t="s">
        <v>3069</v>
      </c>
      <c r="B117" s="37" t="s">
        <v>1132</v>
      </c>
      <c r="C117" s="114" t="str">
        <f t="shared" si="1"/>
        <v>チケットキャンプ事業部/マーケティングG</v>
      </c>
    </row>
    <row r="118">
      <c r="A118" s="38" t="s">
        <v>3070</v>
      </c>
      <c r="B118" s="37" t="s">
        <v>369</v>
      </c>
      <c r="C118" s="114" t="str">
        <f t="shared" si="1"/>
        <v>チケットキャンプ事業部/経営企画G</v>
      </c>
    </row>
    <row r="119">
      <c r="A119" s="38" t="s">
        <v>3071</v>
      </c>
      <c r="B119" s="37" t="s">
        <v>1348</v>
      </c>
      <c r="C119" s="114" t="str">
        <f t="shared" si="1"/>
        <v>チケットキャンプ事業部/研究開発G</v>
      </c>
    </row>
    <row r="120">
      <c r="A120" s="38" t="s">
        <v>3072</v>
      </c>
      <c r="B120" s="37" t="s">
        <v>1204</v>
      </c>
      <c r="C120" s="114" t="str">
        <f t="shared" si="1"/>
        <v>チケットキャンプ事業部/部共有</v>
      </c>
    </row>
    <row r="121">
      <c r="A121" s="38" t="s">
        <v>3077</v>
      </c>
      <c r="B121" s="37" t="s">
        <v>1158</v>
      </c>
      <c r="C121" s="114" t="str">
        <f t="shared" si="1"/>
        <v>デザイン本部/デザイン推進室</v>
      </c>
    </row>
    <row r="122">
      <c r="A122" s="38" t="s">
        <v>3081</v>
      </c>
      <c r="B122" s="37" t="s">
        <v>1159</v>
      </c>
      <c r="C122" s="114" t="str">
        <f t="shared" si="1"/>
        <v>デザイン本部/モンストデザイン室</v>
      </c>
    </row>
    <row r="123">
      <c r="A123" s="38" t="s">
        <v>3083</v>
      </c>
      <c r="B123" s="37" t="s">
        <v>698</v>
      </c>
      <c r="C123" s="114" t="str">
        <f t="shared" si="1"/>
        <v>デザイン本部/動画クリエイティブ室</v>
      </c>
    </row>
    <row r="124">
      <c r="A124" s="38" t="s">
        <v>3085</v>
      </c>
      <c r="B124" s="37" t="s">
        <v>738</v>
      </c>
      <c r="C124" s="114" t="str">
        <f t="shared" si="1"/>
        <v>デジタルエンターテインメントオペレーションズ本部/コトダマン運営部</v>
      </c>
    </row>
    <row r="125">
      <c r="A125" s="38" t="s">
        <v>3086</v>
      </c>
      <c r="B125" s="37" t="s">
        <v>1162</v>
      </c>
      <c r="C125" s="114" t="str">
        <f t="shared" si="1"/>
        <v>デジタルエンターテインメントオペレーションズ本部/コトダマン事業部</v>
      </c>
    </row>
    <row r="126">
      <c r="A126" s="38" t="s">
        <v>3087</v>
      </c>
      <c r="B126" s="37" t="s">
        <v>722</v>
      </c>
      <c r="C126" s="114" t="str">
        <f t="shared" si="1"/>
        <v>デジタルエンターテインメントオペレーションズ本部/コトダマン制作部</v>
      </c>
    </row>
    <row r="127">
      <c r="A127" s="38" t="s">
        <v>3088</v>
      </c>
      <c r="B127" s="37" t="s">
        <v>730</v>
      </c>
      <c r="C127" s="114" t="str">
        <f t="shared" si="1"/>
        <v>デジタルエンターテインメントオペレーションズ本部/ファンマーケティング部</v>
      </c>
    </row>
    <row r="128">
      <c r="A128" s="38" t="s">
        <v>3089</v>
      </c>
      <c r="B128" s="37" t="s">
        <v>1163</v>
      </c>
      <c r="C128" s="114" t="str">
        <f t="shared" si="1"/>
        <v>デジタルエンターテインメントオペレーションズ本部/モンストIPクリエイション部</v>
      </c>
    </row>
    <row r="129">
      <c r="A129" s="38" t="s">
        <v>3090</v>
      </c>
      <c r="B129" s="37" t="s">
        <v>720</v>
      </c>
      <c r="C129" s="114" t="str">
        <f t="shared" si="1"/>
        <v>デジタルエンターテインメントオペレーションズ本部/モンスト運営部</v>
      </c>
    </row>
    <row r="130">
      <c r="A130" s="38" t="s">
        <v>3091</v>
      </c>
      <c r="B130" s="37" t="s">
        <v>725</v>
      </c>
      <c r="C130" s="114" t="str">
        <f t="shared" si="1"/>
        <v>デジタルエンターテインメントオペレーションズ本部/モンスト開発部</v>
      </c>
    </row>
    <row r="131">
      <c r="A131" s="38" t="s">
        <v>3092</v>
      </c>
      <c r="B131" s="37" t="s">
        <v>223</v>
      </c>
      <c r="C131" s="114" t="str">
        <f t="shared" si="1"/>
        <v>デジタルエンターテインメントオペレーションズ本部/事業戦略部</v>
      </c>
    </row>
    <row r="132">
      <c r="A132" s="38" t="s">
        <v>3093</v>
      </c>
      <c r="B132" s="37" t="s">
        <v>251</v>
      </c>
      <c r="C132" s="114" t="str">
        <f t="shared" si="1"/>
        <v>デジタルエンターテインメントオペレーションズ本部/宣伝部</v>
      </c>
    </row>
    <row r="133">
      <c r="A133" s="38" t="s">
        <v>3094</v>
      </c>
      <c r="B133" s="37" t="s">
        <v>1111</v>
      </c>
      <c r="C133" s="114" t="str">
        <f t="shared" si="1"/>
        <v>デジタルエンターテインメントオペレーションズ本部/本部共有</v>
      </c>
    </row>
    <row r="134">
      <c r="A134" s="38" t="s">
        <v>3095</v>
      </c>
      <c r="B134" s="37" t="s">
        <v>786</v>
      </c>
      <c r="C134" s="114" t="str">
        <f t="shared" si="1"/>
        <v>デジタルエンターテインメントパブリッシング本部/グローバルモンスト室</v>
      </c>
    </row>
    <row r="135">
      <c r="A135" s="38" t="s">
        <v>3096</v>
      </c>
      <c r="B135" s="37" t="s">
        <v>286</v>
      </c>
      <c r="C135" s="114" t="str">
        <f t="shared" si="1"/>
        <v>デジタルエンターテインメントパブリッシング本部/事業戦略室</v>
      </c>
    </row>
    <row r="136">
      <c r="A136" s="38" t="s">
        <v>3097</v>
      </c>
      <c r="B136" s="37" t="s">
        <v>284</v>
      </c>
      <c r="C136" s="114" t="str">
        <f t="shared" si="1"/>
        <v>デジタルエンターテインメントパブリッシング本部/事業探索室</v>
      </c>
    </row>
    <row r="137">
      <c r="A137" s="38" t="s">
        <v>3098</v>
      </c>
      <c r="B137" s="37" t="s">
        <v>1111</v>
      </c>
      <c r="C137" s="114" t="str">
        <f t="shared" si="1"/>
        <v>デジタルエンターテインメントパブリッシング本部/本部共有</v>
      </c>
    </row>
    <row r="138">
      <c r="A138" s="38" t="s">
        <v>3099</v>
      </c>
      <c r="B138" s="37" t="s">
        <v>1307</v>
      </c>
      <c r="C138" s="114" t="str">
        <f t="shared" si="1"/>
        <v>デジタルエンターテインメント事業本部/honey事業部</v>
      </c>
    </row>
    <row r="139">
      <c r="A139" s="38" t="s">
        <v>3100</v>
      </c>
      <c r="B139" s="37" t="s">
        <v>1310</v>
      </c>
      <c r="C139" s="114" t="str">
        <f t="shared" si="1"/>
        <v>デジタルエンターテインメント事業本部/HRBP部</v>
      </c>
    </row>
    <row r="140">
      <c r="A140" s="38" t="s">
        <v>3102</v>
      </c>
      <c r="B140" s="37" t="s">
        <v>1304</v>
      </c>
      <c r="C140" s="114" t="str">
        <f t="shared" si="1"/>
        <v>デジタルエンターテインメント事業本部/Lily事業部</v>
      </c>
    </row>
    <row r="141">
      <c r="A141" s="38" t="s">
        <v>3106</v>
      </c>
      <c r="B141" s="37" t="s">
        <v>1302</v>
      </c>
      <c r="C141" s="114" t="str">
        <f t="shared" si="1"/>
        <v>デジタルエンターテインメント事業本部/ゲーム開発部</v>
      </c>
    </row>
    <row r="142">
      <c r="A142" s="38" t="s">
        <v>3108</v>
      </c>
      <c r="B142" s="37" t="s">
        <v>1305</v>
      </c>
      <c r="C142" s="114" t="str">
        <f t="shared" si="1"/>
        <v>デジタルエンターテインメント事業本部/スタースマッシュ事業部</v>
      </c>
    </row>
    <row r="143">
      <c r="A143" s="38" t="s">
        <v>3109</v>
      </c>
      <c r="B143" s="37" t="s">
        <v>1306</v>
      </c>
      <c r="C143" s="114" t="str">
        <f t="shared" si="1"/>
        <v>デジタルエンターテインメント事業本部/ネクストゲーム事業部</v>
      </c>
    </row>
    <row r="144">
      <c r="A144" s="38" t="s">
        <v>3110</v>
      </c>
      <c r="B144" s="37" t="s">
        <v>1187</v>
      </c>
      <c r="C144" s="114" t="str">
        <f t="shared" si="1"/>
        <v>デジタルエンターテインメント事業本部/ビジネス開発室</v>
      </c>
    </row>
    <row r="145">
      <c r="A145" s="38" t="s">
        <v>3111</v>
      </c>
      <c r="B145" s="37" t="s">
        <v>1266</v>
      </c>
      <c r="C145" s="114" t="str">
        <f t="shared" si="1"/>
        <v>デジタルエンターテインメント事業本部/ファイトリーグ事業部</v>
      </c>
    </row>
    <row r="146">
      <c r="A146" s="38" t="s">
        <v>3112</v>
      </c>
      <c r="B146" s="37" t="s">
        <v>1137</v>
      </c>
      <c r="C146" s="114" t="str">
        <f t="shared" si="1"/>
        <v>デジタルエンターテインメント事業本部/マーケティング部</v>
      </c>
    </row>
    <row r="147">
      <c r="A147" s="38" t="s">
        <v>3113</v>
      </c>
      <c r="B147" s="37" t="s">
        <v>1312</v>
      </c>
      <c r="C147" s="114" t="str">
        <f t="shared" si="1"/>
        <v>デジタルエンターテインメント事業本部/モンストIPエンハンス部</v>
      </c>
    </row>
    <row r="148">
      <c r="A148" s="38" t="s">
        <v>3114</v>
      </c>
      <c r="B148" s="37" t="s">
        <v>1163</v>
      </c>
      <c r="C148" s="114" t="str">
        <f t="shared" si="1"/>
        <v>デジタルエンターテインメント事業本部/モンストIPクリエイション部</v>
      </c>
    </row>
    <row r="149">
      <c r="A149" s="38" t="s">
        <v>3115</v>
      </c>
      <c r="B149" s="37" t="s">
        <v>1303</v>
      </c>
      <c r="C149" s="114" t="str">
        <f t="shared" si="1"/>
        <v>デジタルエンターテインメント事業本部/モンストゲーム運営部</v>
      </c>
    </row>
    <row r="150">
      <c r="A150" s="38" t="s">
        <v>3116</v>
      </c>
      <c r="B150" s="37" t="s">
        <v>1315</v>
      </c>
      <c r="C150" s="114" t="str">
        <f t="shared" si="1"/>
        <v>デジタルエンターテインメント事業本部/モンストシリーズゲーム事業部</v>
      </c>
    </row>
    <row r="151">
      <c r="A151" s="38" t="s">
        <v>3117</v>
      </c>
      <c r="B151" s="37" t="s">
        <v>1309</v>
      </c>
      <c r="C151" s="114" t="str">
        <f t="shared" si="1"/>
        <v>デジタルエンターテインメント事業本部/モンストマーケティング部</v>
      </c>
    </row>
    <row r="152">
      <c r="A152" s="38" t="s">
        <v>3118</v>
      </c>
      <c r="B152" s="37" t="s">
        <v>1301</v>
      </c>
      <c r="C152" s="114" t="str">
        <f t="shared" si="1"/>
        <v>デジタルエンターテインメント事業本部/横断推進部</v>
      </c>
    </row>
    <row r="153">
      <c r="A153" s="38" t="s">
        <v>3119</v>
      </c>
      <c r="B153" s="37" t="s">
        <v>1300</v>
      </c>
      <c r="C153" s="114" t="str">
        <f t="shared" si="1"/>
        <v>デジタルエンターテインメント事業本部/開発推進部</v>
      </c>
    </row>
    <row r="154">
      <c r="A154" s="38" t="s">
        <v>3121</v>
      </c>
      <c r="B154" s="37" t="s">
        <v>1228</v>
      </c>
      <c r="C154" s="114" t="str">
        <f t="shared" si="1"/>
        <v>デジタルエンターテインメント事業本部/事業管理部</v>
      </c>
    </row>
    <row r="155">
      <c r="A155" s="38" t="s">
        <v>3123</v>
      </c>
      <c r="B155" s="37" t="s">
        <v>43</v>
      </c>
      <c r="C155" s="114" t="str">
        <f t="shared" si="1"/>
        <v>デジタルエンターテインメント事業本部/事業推進室</v>
      </c>
    </row>
    <row r="156">
      <c r="A156" s="38" t="s">
        <v>3124</v>
      </c>
      <c r="B156" s="37" t="s">
        <v>1308</v>
      </c>
      <c r="C156" s="114" t="str">
        <f t="shared" si="1"/>
        <v>デジタルエンターテインメント事業本部/新規開発領域長室</v>
      </c>
    </row>
    <row r="157">
      <c r="A157" s="38" t="s">
        <v>3133</v>
      </c>
      <c r="B157" s="37" t="s">
        <v>1153</v>
      </c>
      <c r="C157" s="114" t="str">
        <f t="shared" si="1"/>
        <v>マーケティング本部/PR室</v>
      </c>
    </row>
    <row r="158">
      <c r="A158" s="38" t="s">
        <v>3134</v>
      </c>
      <c r="B158" s="37" t="s">
        <v>1150</v>
      </c>
      <c r="C158" s="114" t="str">
        <f t="shared" si="1"/>
        <v>マーケティング本部/デジタルマーケティング室</v>
      </c>
    </row>
    <row r="159">
      <c r="A159" s="38" t="s">
        <v>3135</v>
      </c>
      <c r="B159" s="37" t="s">
        <v>1151</v>
      </c>
      <c r="C159" s="114" t="str">
        <f t="shared" si="1"/>
        <v>マーケティング本部/ブランド戦略室</v>
      </c>
    </row>
    <row r="160">
      <c r="A160" s="38" t="s">
        <v>3136</v>
      </c>
      <c r="B160" s="37" t="s">
        <v>1152</v>
      </c>
      <c r="C160" s="114" t="str">
        <f t="shared" si="1"/>
        <v>マーケティング本部/マーケティング推進室</v>
      </c>
    </row>
    <row r="161">
      <c r="A161" s="38" t="s">
        <v>3138</v>
      </c>
      <c r="B161" s="37" t="s">
        <v>1111</v>
      </c>
      <c r="C161" s="114" t="str">
        <f t="shared" si="1"/>
        <v>マーケティング本部/本部共有</v>
      </c>
    </row>
    <row r="162">
      <c r="A162" s="38" t="s">
        <v>3143</v>
      </c>
      <c r="B162" s="37" t="s">
        <v>1139</v>
      </c>
      <c r="C162" s="114" t="str">
        <f t="shared" si="1"/>
        <v>ミクシィマーケティング/全社共有</v>
      </c>
    </row>
    <row r="163">
      <c r="A163" s="38" t="s">
        <v>3144</v>
      </c>
      <c r="B163" s="37" t="s">
        <v>821</v>
      </c>
      <c r="C163" s="114" t="str">
        <f t="shared" si="1"/>
        <v>みてね事業本部/みてねプラットフォーム部</v>
      </c>
    </row>
    <row r="164">
      <c r="A164" s="38" t="s">
        <v>3145</v>
      </c>
      <c r="B164" s="37" t="s">
        <v>824</v>
      </c>
      <c r="C164" s="114" t="str">
        <f t="shared" si="1"/>
        <v>みてね事業本部/みてねプロダクト開発部</v>
      </c>
    </row>
    <row r="165">
      <c r="A165" s="38" t="s">
        <v>3146</v>
      </c>
      <c r="B165" s="37" t="s">
        <v>819</v>
      </c>
      <c r="C165" s="114" t="str">
        <f t="shared" si="1"/>
        <v>みてね事業本部/みてねマーケティング部</v>
      </c>
    </row>
    <row r="166">
      <c r="A166" s="38" t="s">
        <v>3147</v>
      </c>
      <c r="B166" s="37" t="s">
        <v>324</v>
      </c>
      <c r="C166" s="114" t="str">
        <f t="shared" si="1"/>
        <v>みてね事業本部/みてね事業開発部</v>
      </c>
    </row>
    <row r="167">
      <c r="A167" s="38" t="s">
        <v>3148</v>
      </c>
      <c r="B167" s="37" t="s">
        <v>1111</v>
      </c>
      <c r="C167" s="114" t="str">
        <f t="shared" si="1"/>
        <v>みてね事業本部/本部共有</v>
      </c>
    </row>
    <row r="168">
      <c r="A168" s="38" t="s">
        <v>3158</v>
      </c>
      <c r="B168" s="37" t="s">
        <v>1112</v>
      </c>
      <c r="C168" s="114" t="str">
        <f t="shared" si="1"/>
        <v>メディア事業本部/mixiコンテンツ部</v>
      </c>
    </row>
    <row r="169">
      <c r="A169" s="38" t="s">
        <v>3167</v>
      </c>
      <c r="B169" s="37" t="s">
        <v>286</v>
      </c>
      <c r="C169" s="114" t="str">
        <f t="shared" si="1"/>
        <v>モンストスタジオ/事業戦略室</v>
      </c>
    </row>
    <row r="170">
      <c r="A170" s="38" t="s">
        <v>3170</v>
      </c>
      <c r="B170" s="37" t="s">
        <v>1359</v>
      </c>
      <c r="C170" s="114" t="str">
        <f t="shared" si="1"/>
        <v>モンスト事業本部/IP管理室</v>
      </c>
    </row>
    <row r="171">
      <c r="A171" s="38" t="s">
        <v>3173</v>
      </c>
      <c r="B171" s="37" t="s">
        <v>1362</v>
      </c>
      <c r="C171" s="114" t="str">
        <f t="shared" si="1"/>
        <v>モンスト事業本部/コンテンツクリエイション室</v>
      </c>
    </row>
    <row r="172">
      <c r="A172" s="38" t="s">
        <v>3174</v>
      </c>
      <c r="B172" s="37" t="s">
        <v>1355</v>
      </c>
      <c r="C172" s="114" t="str">
        <f t="shared" si="1"/>
        <v>モンスト事業本部/データマーケティング室</v>
      </c>
    </row>
    <row r="173">
      <c r="A173" s="38" t="s">
        <v>3179</v>
      </c>
      <c r="B173" s="37" t="s">
        <v>1227</v>
      </c>
      <c r="C173" s="114" t="str">
        <f t="shared" si="1"/>
        <v>モンスト事業本部/マーチャンダイジング部</v>
      </c>
    </row>
    <row r="174">
      <c r="A174" s="38" t="s">
        <v>3180</v>
      </c>
      <c r="B174" s="37" t="s">
        <v>1224</v>
      </c>
      <c r="C174" s="114" t="str">
        <f t="shared" si="1"/>
        <v>モンスト事業本部/ライブエンターテインメント事業部</v>
      </c>
    </row>
    <row r="175">
      <c r="A175" s="38" t="s">
        <v>3183</v>
      </c>
      <c r="B175" s="37" t="s">
        <v>359</v>
      </c>
      <c r="C175" s="114" t="str">
        <f t="shared" si="1"/>
        <v>モンスト事業本部/事業開発室</v>
      </c>
    </row>
    <row r="176">
      <c r="A176" s="38" t="s">
        <v>3184</v>
      </c>
      <c r="B176" s="37" t="s">
        <v>1363</v>
      </c>
      <c r="C176" s="114" t="str">
        <f t="shared" si="1"/>
        <v>モンスト事業本部/事業支援室</v>
      </c>
    </row>
    <row r="177">
      <c r="A177" s="38" t="s">
        <v>3185</v>
      </c>
      <c r="B177" s="37" t="s">
        <v>1229</v>
      </c>
      <c r="C177" s="114" t="str">
        <f t="shared" si="1"/>
        <v>モンスト事業本部/新規事業開発部</v>
      </c>
    </row>
    <row r="178">
      <c r="A178" s="38" t="s">
        <v>3192</v>
      </c>
      <c r="B178" s="37" t="s">
        <v>51</v>
      </c>
      <c r="C178" s="114" t="str">
        <f t="shared" si="1"/>
        <v>ライブエクスペリエンス事業本部/minimo事業部</v>
      </c>
    </row>
    <row r="179">
      <c r="A179" s="38" t="s">
        <v>3193</v>
      </c>
      <c r="B179" s="37" t="s">
        <v>864</v>
      </c>
      <c r="C179" s="114" t="str">
        <f t="shared" si="1"/>
        <v>ライブエクスペリエンス事業本部/アリーナ事業部</v>
      </c>
    </row>
    <row r="180">
      <c r="A180" s="38" t="s">
        <v>3194</v>
      </c>
      <c r="B180" s="37" t="s">
        <v>1226</v>
      </c>
      <c r="C180" s="114" t="str">
        <f t="shared" si="1"/>
        <v>ライブエクスペリエンス事業本部/システム部</v>
      </c>
    </row>
    <row r="181">
      <c r="A181" s="38" t="s">
        <v>3195</v>
      </c>
      <c r="B181" s="37" t="s">
        <v>1183</v>
      </c>
      <c r="C181" s="114" t="str">
        <f t="shared" si="1"/>
        <v>ライブエクスペリエンス事業本部/スポーツギフティング部</v>
      </c>
    </row>
    <row r="182">
      <c r="A182" s="38" t="s">
        <v>3196</v>
      </c>
      <c r="B182" s="37" t="s">
        <v>1186</v>
      </c>
      <c r="C182" s="114" t="str">
        <f t="shared" si="1"/>
        <v>ライブエクスペリエンス事業本部/スポーツマーケティング室</v>
      </c>
    </row>
    <row r="183">
      <c r="A183" s="38" t="s">
        <v>3197</v>
      </c>
      <c r="B183" s="37" t="s">
        <v>1182</v>
      </c>
      <c r="C183" s="114" t="str">
        <f t="shared" si="1"/>
        <v>ライブエクスペリエンス事業本部/スポーツ事業部</v>
      </c>
    </row>
    <row r="184">
      <c r="A184" s="38" t="s">
        <v>3198</v>
      </c>
      <c r="B184" s="37" t="s">
        <v>857</v>
      </c>
      <c r="C184" s="114" t="str">
        <f t="shared" si="1"/>
        <v>ライブエクスペリエンス事業本部/バスケットボール事業部</v>
      </c>
    </row>
    <row r="185">
      <c r="A185" s="38" t="s">
        <v>3199</v>
      </c>
      <c r="B185" s="37" t="s">
        <v>1225</v>
      </c>
      <c r="C185" s="114" t="str">
        <f t="shared" si="1"/>
        <v>ライブエクスペリエンス事業本部/ビバレッジ事業推進室</v>
      </c>
    </row>
    <row r="186">
      <c r="A186" s="38" t="s">
        <v>3200</v>
      </c>
      <c r="B186" s="37" t="s">
        <v>861</v>
      </c>
      <c r="C186" s="114" t="str">
        <f t="shared" si="1"/>
        <v>ライブエクスペリエンス事業本部/ファンコミュニケーション部</v>
      </c>
    </row>
    <row r="187">
      <c r="A187" s="38" t="s">
        <v>3201</v>
      </c>
      <c r="B187" s="37" t="s">
        <v>859</v>
      </c>
      <c r="C187" s="114" t="str">
        <f t="shared" si="1"/>
        <v>ライブエクスペリエンス事業本部/フットボール事業部</v>
      </c>
    </row>
    <row r="188">
      <c r="A188" s="38" t="s">
        <v>3203</v>
      </c>
      <c r="B188" s="37" t="s">
        <v>1222</v>
      </c>
      <c r="C188" s="114" t="str">
        <f t="shared" si="1"/>
        <v>ライブエクスペリエンス事業本部/ライセンス事業部</v>
      </c>
    </row>
    <row r="189">
      <c r="A189" s="38" t="s">
        <v>3205</v>
      </c>
      <c r="B189" s="37" t="s">
        <v>173</v>
      </c>
      <c r="C189" s="114" t="str">
        <f t="shared" si="1"/>
        <v>ライブエクスペリエンス事業本部/企画推進部</v>
      </c>
    </row>
    <row r="190">
      <c r="A190" s="38" t="s">
        <v>3206</v>
      </c>
      <c r="B190" s="37" t="s">
        <v>1228</v>
      </c>
      <c r="C190" s="114" t="str">
        <f t="shared" si="1"/>
        <v>ライブエクスペリエンス事業本部/事業管理部</v>
      </c>
    </row>
    <row r="191">
      <c r="A191" s="38" t="s">
        <v>3207</v>
      </c>
      <c r="B191" s="37" t="s">
        <v>286</v>
      </c>
      <c r="C191" s="114" t="str">
        <f t="shared" si="1"/>
        <v>ライブエクスペリエンス事業本部/事業戦略室</v>
      </c>
    </row>
    <row r="192">
      <c r="A192" s="38" t="s">
        <v>3210</v>
      </c>
      <c r="B192" s="37" t="s">
        <v>1292</v>
      </c>
      <c r="C192" s="114" t="str">
        <f t="shared" si="1"/>
        <v>会長室/DeployGateG</v>
      </c>
    </row>
    <row r="193">
      <c r="A193" s="38" t="s">
        <v>3212</v>
      </c>
      <c r="B193" s="37" t="s">
        <v>1290</v>
      </c>
      <c r="C193" s="114" t="str">
        <f t="shared" si="1"/>
        <v>会長室/minimoG</v>
      </c>
    </row>
    <row r="194">
      <c r="A194" s="38" t="s">
        <v>3214</v>
      </c>
      <c r="B194" s="37" t="s">
        <v>1104</v>
      </c>
      <c r="C194" s="114" t="str">
        <f t="shared" si="1"/>
        <v>会長室/室共有</v>
      </c>
    </row>
    <row r="195">
      <c r="A195" s="38" t="s">
        <v>3216</v>
      </c>
      <c r="B195" s="37" t="s">
        <v>395</v>
      </c>
      <c r="C195" s="114" t="str">
        <f t="shared" si="1"/>
        <v>開発本部/MIXI M 事業部</v>
      </c>
    </row>
    <row r="196">
      <c r="A196" s="38" t="s">
        <v>3217</v>
      </c>
      <c r="B196" s="37" t="s">
        <v>1193</v>
      </c>
      <c r="C196" s="114" t="str">
        <f t="shared" si="1"/>
        <v>開発本部/XFLAG事業推進室</v>
      </c>
    </row>
    <row r="197">
      <c r="A197" s="38" t="s">
        <v>3218</v>
      </c>
      <c r="B197" s="37" t="s">
        <v>890</v>
      </c>
      <c r="C197" s="114" t="str">
        <f t="shared" si="1"/>
        <v>開発本部/インフラ室</v>
      </c>
    </row>
    <row r="198">
      <c r="A198" s="38" t="s">
        <v>3219</v>
      </c>
      <c r="B198" s="37" t="s">
        <v>644</v>
      </c>
      <c r="C198" s="114" t="str">
        <f t="shared" si="1"/>
        <v>開発本部/セキュリティ室</v>
      </c>
    </row>
    <row r="199">
      <c r="A199" s="38" t="s">
        <v>3220</v>
      </c>
      <c r="B199" s="37" t="s">
        <v>392</v>
      </c>
      <c r="C199" s="114" t="str">
        <f t="shared" si="1"/>
        <v>開発本部/たんぽぽ室</v>
      </c>
    </row>
    <row r="200">
      <c r="A200" s="38" t="s">
        <v>3221</v>
      </c>
      <c r="B200" s="37" t="s">
        <v>1111</v>
      </c>
      <c r="C200" s="114" t="str">
        <f t="shared" si="1"/>
        <v>開発本部/本部共有</v>
      </c>
    </row>
    <row r="201">
      <c r="A201" s="38" t="s">
        <v>3224</v>
      </c>
      <c r="B201" s="37" t="s">
        <v>1330</v>
      </c>
      <c r="C201" s="114" t="str">
        <f t="shared" si="1"/>
        <v>経営企画本部/IR室</v>
      </c>
    </row>
    <row r="202">
      <c r="A202" s="38" t="s">
        <v>3225</v>
      </c>
      <c r="B202" s="37" t="s">
        <v>1333</v>
      </c>
      <c r="C202" s="114" t="str">
        <f t="shared" si="1"/>
        <v>経営企画本部/グループ経営企画室</v>
      </c>
    </row>
    <row r="203">
      <c r="A203" s="38" t="s">
        <v>3226</v>
      </c>
      <c r="B203" s="37" t="s">
        <v>1329</v>
      </c>
      <c r="C203" s="114" t="str">
        <f t="shared" si="1"/>
        <v>経営企画本部/グループ事業推進部</v>
      </c>
    </row>
    <row r="204">
      <c r="A204" s="38" t="s">
        <v>3227</v>
      </c>
      <c r="B204" s="37" t="s">
        <v>1233</v>
      </c>
      <c r="C204" s="114" t="str">
        <f t="shared" si="1"/>
        <v>経営企画本部/グループ統括室</v>
      </c>
    </row>
    <row r="205">
      <c r="A205" s="38" t="s">
        <v>3228</v>
      </c>
      <c r="B205" s="37" t="s">
        <v>430</v>
      </c>
      <c r="C205" s="114" t="str">
        <f t="shared" si="1"/>
        <v>経営企画本部/経営管理部</v>
      </c>
    </row>
    <row r="206">
      <c r="A206" s="38" t="s">
        <v>3231</v>
      </c>
      <c r="B206" s="37" t="s">
        <v>1236</v>
      </c>
      <c r="C206" s="114" t="str">
        <f t="shared" si="1"/>
        <v>経営企画本部/経理財務部</v>
      </c>
    </row>
    <row r="207">
      <c r="A207" s="38" t="s">
        <v>3233</v>
      </c>
      <c r="B207" s="37" t="s">
        <v>1232</v>
      </c>
      <c r="C207" s="114" t="str">
        <f t="shared" si="1"/>
        <v>経営企画本部/投資・事業推進部</v>
      </c>
    </row>
    <row r="208">
      <c r="A208" s="38" t="s">
        <v>3237</v>
      </c>
      <c r="B208" s="37" t="s">
        <v>1234</v>
      </c>
      <c r="C208" s="114" t="str">
        <f t="shared" si="1"/>
        <v>経営推進本部/FP＆Aインテリジェンス部</v>
      </c>
    </row>
    <row r="209">
      <c r="A209" s="38" t="s">
        <v>3238</v>
      </c>
      <c r="B209" s="37" t="s">
        <v>1238</v>
      </c>
      <c r="C209" s="114" t="str">
        <f t="shared" si="1"/>
        <v>経営推進本部/グループ会社主計部</v>
      </c>
    </row>
    <row r="210">
      <c r="A210" s="38" t="s">
        <v>3239</v>
      </c>
      <c r="B210" s="37" t="s">
        <v>924</v>
      </c>
      <c r="C210" s="114" t="str">
        <f t="shared" si="1"/>
        <v>経営推進本部/グループ会社統括支援部</v>
      </c>
    </row>
    <row r="211">
      <c r="A211" s="38" t="s">
        <v>3240</v>
      </c>
      <c r="B211" s="37" t="s">
        <v>1233</v>
      </c>
      <c r="C211" s="114" t="str">
        <f t="shared" si="1"/>
        <v>経営推進本部/グループ統括室</v>
      </c>
    </row>
    <row r="212">
      <c r="A212" s="38" t="s">
        <v>3243</v>
      </c>
      <c r="B212" s="37" t="s">
        <v>802</v>
      </c>
      <c r="C212" s="114" t="str">
        <f t="shared" si="1"/>
        <v>経営推進本部/ビジネスサポート室</v>
      </c>
    </row>
    <row r="213">
      <c r="A213" s="38" t="s">
        <v>3245</v>
      </c>
      <c r="B213" s="37" t="s">
        <v>430</v>
      </c>
      <c r="C213" s="114" t="str">
        <f t="shared" si="1"/>
        <v>経営推進本部/経営管理部</v>
      </c>
    </row>
    <row r="214">
      <c r="A214" s="38" t="s">
        <v>3250</v>
      </c>
      <c r="B214" s="37" t="s">
        <v>90</v>
      </c>
      <c r="C214" s="114" t="str">
        <f t="shared" si="1"/>
        <v>経営推進本部/経理税務部</v>
      </c>
    </row>
    <row r="215">
      <c r="A215" s="38" t="s">
        <v>3257</v>
      </c>
      <c r="B215" s="37" t="s">
        <v>1230</v>
      </c>
      <c r="C215" s="114" t="str">
        <f t="shared" si="1"/>
        <v>経営推進本部/人事部付け</v>
      </c>
    </row>
    <row r="216">
      <c r="A216" s="38" t="s">
        <v>3259</v>
      </c>
      <c r="B216" s="37" t="s">
        <v>1232</v>
      </c>
      <c r="C216" s="114" t="str">
        <f t="shared" si="1"/>
        <v>経営推進本部/投資・事業推進部</v>
      </c>
    </row>
    <row r="217">
      <c r="A217" s="38" t="s">
        <v>3260</v>
      </c>
      <c r="B217" s="37" t="s">
        <v>1239</v>
      </c>
      <c r="C217" s="114" t="str">
        <f t="shared" si="1"/>
        <v>経営推進本部/投資事業推進室</v>
      </c>
    </row>
    <row r="218">
      <c r="A218" s="38" t="s">
        <v>3264</v>
      </c>
      <c r="B218" s="37" t="s">
        <v>1111</v>
      </c>
      <c r="C218" s="114" t="str">
        <f t="shared" si="1"/>
        <v>事業デザイン本部/本部共有</v>
      </c>
    </row>
    <row r="219">
      <c r="A219" s="38" t="s">
        <v>3265</v>
      </c>
      <c r="B219" s="37" t="s">
        <v>359</v>
      </c>
      <c r="C219" s="114" t="str">
        <f t="shared" si="1"/>
        <v>事業開発本部/事業開発室</v>
      </c>
    </row>
    <row r="220">
      <c r="A220" s="38" t="s">
        <v>3266</v>
      </c>
      <c r="B220" s="37" t="s">
        <v>43</v>
      </c>
      <c r="C220" s="114" t="str">
        <f t="shared" si="1"/>
        <v>事業開発本部/事業推進室</v>
      </c>
    </row>
    <row r="221">
      <c r="A221" s="38" t="s">
        <v>3267</v>
      </c>
      <c r="B221" s="37" t="s">
        <v>1111</v>
      </c>
      <c r="C221" s="114" t="str">
        <f t="shared" si="1"/>
        <v>事業開発本部/本部共有</v>
      </c>
    </row>
    <row r="222">
      <c r="A222" s="38" t="s">
        <v>3268</v>
      </c>
      <c r="B222" s="37" t="s">
        <v>1185</v>
      </c>
      <c r="C222" s="114" t="str">
        <f t="shared" si="1"/>
        <v>次世代エンターテインメント事業本部/ID・ペイメント事業部</v>
      </c>
    </row>
    <row r="223">
      <c r="A223" s="38" t="s">
        <v>3269</v>
      </c>
      <c r="B223" s="37" t="s">
        <v>1279</v>
      </c>
      <c r="C223" s="114" t="str">
        <f t="shared" si="1"/>
        <v>次世代エンターテインメント事業本部/PIST6事業部</v>
      </c>
    </row>
    <row r="224">
      <c r="A224" s="38" t="s">
        <v>3270</v>
      </c>
      <c r="B224" s="37" t="s">
        <v>1274</v>
      </c>
      <c r="C224" s="114" t="str">
        <f t="shared" si="1"/>
        <v>次世代エンターテインメント事業本部/TIPSTAR開発部</v>
      </c>
    </row>
    <row r="225">
      <c r="A225" s="38" t="s">
        <v>3271</v>
      </c>
      <c r="B225" s="37" t="s">
        <v>1281</v>
      </c>
      <c r="C225" s="114" t="str">
        <f t="shared" si="1"/>
        <v>次世代エンターテインメント事業本部/TIPSTAR企画運営部</v>
      </c>
    </row>
    <row r="226">
      <c r="A226" s="38" t="s">
        <v>3272</v>
      </c>
      <c r="B226" s="37" t="s">
        <v>1280</v>
      </c>
      <c r="C226" s="114" t="str">
        <f t="shared" si="1"/>
        <v>次世代エンターテインメント事業本部/TIPSTAR事業企画部</v>
      </c>
    </row>
    <row r="227">
      <c r="A227" s="38" t="s">
        <v>3273</v>
      </c>
      <c r="B227" s="37" t="s">
        <v>143</v>
      </c>
      <c r="C227" s="114" t="str">
        <f t="shared" si="1"/>
        <v>次世代エンターテインメント事業本部/TIPSTAR事業部</v>
      </c>
    </row>
    <row r="228">
      <c r="A228" s="38" t="s">
        <v>3274</v>
      </c>
      <c r="B228" s="37" t="s">
        <v>1183</v>
      </c>
      <c r="C228" s="114" t="str">
        <f t="shared" si="1"/>
        <v>次世代エンターテインメント事業本部/スポーツギフティング部</v>
      </c>
    </row>
    <row r="229">
      <c r="A229" s="38" t="s">
        <v>3275</v>
      </c>
      <c r="B229" s="37" t="s">
        <v>1187</v>
      </c>
      <c r="C229" s="114" t="str">
        <f t="shared" si="1"/>
        <v>次世代エンターテインメント事業本部/ビジネス開発室</v>
      </c>
    </row>
    <row r="230">
      <c r="A230" s="38" t="s">
        <v>3276</v>
      </c>
      <c r="B230" s="37" t="s">
        <v>1119</v>
      </c>
      <c r="C230" s="114" t="str">
        <f t="shared" si="1"/>
        <v>次世代エンターテインメント事業本部/ビジネス推進室</v>
      </c>
    </row>
    <row r="231">
      <c r="A231" s="38" t="s">
        <v>3277</v>
      </c>
      <c r="B231" s="37" t="s">
        <v>1151</v>
      </c>
      <c r="C231" s="114" t="str">
        <f t="shared" si="1"/>
        <v>次世代エンターテインメント事業本部/ブランド戦略室</v>
      </c>
    </row>
    <row r="232">
      <c r="A232" s="38" t="s">
        <v>3278</v>
      </c>
      <c r="B232" s="37" t="s">
        <v>1120</v>
      </c>
      <c r="C232" s="114" t="str">
        <f t="shared" si="1"/>
        <v>次世代エンターテインメント事業本部/マーケティング室</v>
      </c>
    </row>
    <row r="233">
      <c r="A233" s="38" t="s">
        <v>3280</v>
      </c>
      <c r="B233" s="37" t="s">
        <v>1191</v>
      </c>
      <c r="C233" s="114" t="str">
        <f t="shared" si="1"/>
        <v>次世代エンターテインメント事業本部/ライブ動画プラットフォーム事業部</v>
      </c>
    </row>
    <row r="234">
      <c r="A234" s="38" t="s">
        <v>3282</v>
      </c>
      <c r="B234" s="37" t="s">
        <v>1148</v>
      </c>
      <c r="C234" s="114" t="str">
        <f t="shared" si="1"/>
        <v>次世代エンターテインメント事業本部/事業開発部</v>
      </c>
    </row>
    <row r="235">
      <c r="A235" s="38" t="s">
        <v>3283</v>
      </c>
      <c r="B235" s="37" t="s">
        <v>1278</v>
      </c>
      <c r="C235" s="114" t="str">
        <f t="shared" si="1"/>
        <v>次世代エンターテインメント事業本部/事業企画部</v>
      </c>
    </row>
    <row r="236">
      <c r="A236" s="38" t="s">
        <v>3285</v>
      </c>
      <c r="B236" s="37" t="s">
        <v>188</v>
      </c>
      <c r="C236" s="114" t="str">
        <f t="shared" si="1"/>
        <v>次世代エンターテインメント事業本部/社長室</v>
      </c>
    </row>
    <row r="237">
      <c r="A237" s="38" t="s">
        <v>3286</v>
      </c>
      <c r="B237" s="37" t="s">
        <v>1262</v>
      </c>
      <c r="C237" s="114" t="str">
        <f t="shared" si="1"/>
        <v>次世代エンターテインメント事業本部/戦略室</v>
      </c>
    </row>
    <row r="238">
      <c r="A238" s="38" t="s">
        <v>3287</v>
      </c>
      <c r="B238" s="37" t="s">
        <v>1111</v>
      </c>
      <c r="C238" s="114" t="str">
        <f t="shared" si="1"/>
        <v>次世代エンターテインメント事業本部/本部共有</v>
      </c>
    </row>
    <row r="239">
      <c r="A239" s="38" t="s">
        <v>3288</v>
      </c>
      <c r="B239" s="37" t="s">
        <v>1185</v>
      </c>
      <c r="C239" s="114" t="str">
        <f t="shared" si="1"/>
        <v>社長本部/ID・ペイメント事業部</v>
      </c>
    </row>
    <row r="240">
      <c r="A240" s="38" t="s">
        <v>3289</v>
      </c>
      <c r="B240" s="37" t="s">
        <v>1153</v>
      </c>
      <c r="C240" s="114" t="str">
        <f t="shared" si="1"/>
        <v>社長本部/PR室</v>
      </c>
    </row>
    <row r="241">
      <c r="A241" s="38" t="s">
        <v>3290</v>
      </c>
      <c r="B241" s="37" t="s">
        <v>1170</v>
      </c>
      <c r="C241" s="114" t="str">
        <f t="shared" si="1"/>
        <v>社長本部/XFLAG MOBILE</v>
      </c>
    </row>
    <row r="242">
      <c r="A242" s="38" t="s">
        <v>3294</v>
      </c>
      <c r="B242" s="37" t="s">
        <v>1180</v>
      </c>
      <c r="C242" s="114" t="str">
        <f t="shared" si="1"/>
        <v>社長本部/スポーツ事業推進室</v>
      </c>
    </row>
    <row r="243">
      <c r="A243" s="38" t="s">
        <v>3295</v>
      </c>
      <c r="B243" s="37" t="s">
        <v>1182</v>
      </c>
      <c r="C243" s="114" t="str">
        <f t="shared" si="1"/>
        <v>社長本部/スポーツ事業部</v>
      </c>
    </row>
    <row r="244">
      <c r="A244" s="38" t="s">
        <v>3296</v>
      </c>
      <c r="B244" s="37" t="s">
        <v>857</v>
      </c>
      <c r="C244" s="114" t="str">
        <f t="shared" si="1"/>
        <v>社長本部/バスケットボール事業部</v>
      </c>
    </row>
    <row r="245">
      <c r="A245" s="38" t="s">
        <v>3297</v>
      </c>
      <c r="B245" s="37" t="s">
        <v>1187</v>
      </c>
      <c r="C245" s="114" t="str">
        <f t="shared" si="1"/>
        <v>社長本部/ビジネス開発室</v>
      </c>
    </row>
    <row r="246">
      <c r="A246" s="38" t="s">
        <v>3298</v>
      </c>
      <c r="B246" s="37" t="s">
        <v>859</v>
      </c>
      <c r="C246" s="114" t="str">
        <f t="shared" si="1"/>
        <v>社長本部/フットボール事業部</v>
      </c>
    </row>
    <row r="247">
      <c r="A247" s="38" t="s">
        <v>3299</v>
      </c>
      <c r="B247" s="37" t="s">
        <v>1151</v>
      </c>
      <c r="C247" s="114" t="str">
        <f t="shared" si="1"/>
        <v>社長本部/ブランド戦略室</v>
      </c>
    </row>
    <row r="248">
      <c r="A248" s="38" t="s">
        <v>3300</v>
      </c>
      <c r="B248" s="37" t="s">
        <v>1191</v>
      </c>
      <c r="C248" s="114" t="str">
        <f t="shared" si="1"/>
        <v>社長本部/ライブ動画プラットフォーム事業部</v>
      </c>
    </row>
    <row r="249">
      <c r="A249" s="38" t="s">
        <v>3301</v>
      </c>
      <c r="B249" s="37" t="s">
        <v>1189</v>
      </c>
      <c r="C249" s="114" t="str">
        <f t="shared" si="1"/>
        <v>社長本部/次世代エンターテインメント室</v>
      </c>
    </row>
    <row r="250">
      <c r="A250" s="38" t="s">
        <v>3302</v>
      </c>
      <c r="B250" s="37" t="s">
        <v>188</v>
      </c>
      <c r="C250" s="114" t="str">
        <f t="shared" si="1"/>
        <v>社長本部/社長室</v>
      </c>
    </row>
    <row r="251">
      <c r="A251" s="38" t="s">
        <v>3303</v>
      </c>
      <c r="B251" s="37" t="s">
        <v>1111</v>
      </c>
      <c r="C251" s="114" t="str">
        <f t="shared" si="1"/>
        <v>社長本部/本部共有</v>
      </c>
    </row>
    <row r="252">
      <c r="A252" s="38" t="s">
        <v>3304</v>
      </c>
      <c r="B252" s="37" t="s">
        <v>1316</v>
      </c>
      <c r="C252" s="114" t="str">
        <f t="shared" si="1"/>
        <v>渉外部/グローバルリレーションG</v>
      </c>
    </row>
    <row r="253">
      <c r="A253" s="38" t="s">
        <v>3305</v>
      </c>
      <c r="B253" s="37" t="s">
        <v>114</v>
      </c>
      <c r="C253" s="114" t="str">
        <f t="shared" si="1"/>
        <v>渉外部/渉外G</v>
      </c>
    </row>
    <row r="254">
      <c r="A254" s="38" t="s">
        <v>3306</v>
      </c>
      <c r="B254" s="37" t="s">
        <v>1204</v>
      </c>
      <c r="C254" s="114" t="str">
        <f t="shared" si="1"/>
        <v>渉外部/部共有</v>
      </c>
    </row>
    <row r="255">
      <c r="A255" s="38" t="s">
        <v>3308</v>
      </c>
      <c r="B255" s="37" t="s">
        <v>1322</v>
      </c>
      <c r="C255" s="114" t="str">
        <f t="shared" si="1"/>
        <v>人事部/企画・労務G</v>
      </c>
    </row>
    <row r="256">
      <c r="A256" s="38" t="s">
        <v>3316</v>
      </c>
      <c r="B256" s="37" t="s">
        <v>1325</v>
      </c>
      <c r="C256" s="114" t="str">
        <f t="shared" si="1"/>
        <v>人事部付/名称未設定フォルダ</v>
      </c>
    </row>
    <row r="257">
      <c r="A257" s="38" t="s">
        <v>3317</v>
      </c>
      <c r="B257" s="37" t="s">
        <v>479</v>
      </c>
      <c r="C257" s="114" t="str">
        <f t="shared" si="1"/>
        <v>人事本部/MCS室</v>
      </c>
    </row>
    <row r="258">
      <c r="A258" s="38" t="s">
        <v>3318</v>
      </c>
      <c r="B258" s="37" t="s">
        <v>953</v>
      </c>
      <c r="C258" s="114" t="str">
        <f t="shared" si="1"/>
        <v>人事本部/エンパワーメント推進室</v>
      </c>
    </row>
    <row r="259">
      <c r="A259" s="38" t="s">
        <v>3319</v>
      </c>
      <c r="B259" s="37" t="s">
        <v>958</v>
      </c>
      <c r="C259" s="114" t="str">
        <f t="shared" si="1"/>
        <v>人事本部/グループ会社サポート部</v>
      </c>
    </row>
    <row r="260">
      <c r="A260" s="38" t="s">
        <v>3321</v>
      </c>
      <c r="B260" s="37" t="s">
        <v>508</v>
      </c>
      <c r="C260" s="114" t="str">
        <f t="shared" si="1"/>
        <v>人事本部/人材開発部付</v>
      </c>
    </row>
    <row r="261">
      <c r="A261" s="38" t="s">
        <v>3323</v>
      </c>
      <c r="B261" s="37" t="s">
        <v>1147</v>
      </c>
      <c r="C261" s="114" t="str">
        <f t="shared" si="1"/>
        <v>人事本部/人材採用部付</v>
      </c>
    </row>
    <row r="262">
      <c r="A262" s="38" t="s">
        <v>3325</v>
      </c>
      <c r="B262" s="37" t="s">
        <v>1145</v>
      </c>
      <c r="C262" s="114" t="str">
        <f t="shared" si="1"/>
        <v>人事本部/人事企画部付</v>
      </c>
    </row>
    <row r="263">
      <c r="A263" s="38" t="s">
        <v>3326</v>
      </c>
      <c r="B263" s="37" t="s">
        <v>1144</v>
      </c>
      <c r="C263" s="114" t="str">
        <f t="shared" si="1"/>
        <v>人事本部/人事戦略室</v>
      </c>
    </row>
    <row r="264">
      <c r="A264" s="38" t="s">
        <v>3328</v>
      </c>
      <c r="B264" s="37" t="s">
        <v>1142</v>
      </c>
      <c r="C264" s="114" t="str">
        <f t="shared" si="1"/>
        <v>人事本部/人事戦略部付</v>
      </c>
    </row>
    <row r="265">
      <c r="A265" s="38" t="s">
        <v>3330</v>
      </c>
      <c r="B265" s="37" t="s">
        <v>1072</v>
      </c>
      <c r="C265" s="114" t="str">
        <f t="shared" si="1"/>
        <v>人事本部/人事部付</v>
      </c>
    </row>
    <row r="266">
      <c r="A266" s="38" t="s">
        <v>3334</v>
      </c>
      <c r="B266" s="37" t="s">
        <v>1210</v>
      </c>
      <c r="C266" s="114" t="str">
        <f t="shared" si="1"/>
        <v>投資事業推進本部/アライアンス室</v>
      </c>
    </row>
    <row r="267">
      <c r="A267" s="38" t="s">
        <v>3335</v>
      </c>
      <c r="B267" s="37" t="s">
        <v>651</v>
      </c>
      <c r="C267" s="114" t="str">
        <f t="shared" si="1"/>
        <v>投資事業推進本部/チャリ・ロト事業部</v>
      </c>
    </row>
    <row r="268">
      <c r="A268" s="38" t="s">
        <v>3336</v>
      </c>
      <c r="B268" s="37" t="s">
        <v>1148</v>
      </c>
      <c r="C268" s="114" t="str">
        <f t="shared" si="1"/>
        <v>投資事業推進本部/事業開発部</v>
      </c>
    </row>
    <row r="269">
      <c r="A269" s="38" t="s">
        <v>3337</v>
      </c>
      <c r="B269" s="37" t="s">
        <v>1188</v>
      </c>
      <c r="C269" s="114" t="str">
        <f t="shared" si="1"/>
        <v>投資事業推進本部/事業推進部</v>
      </c>
    </row>
    <row r="270">
      <c r="A270" s="38" t="s">
        <v>3338</v>
      </c>
      <c r="B270" s="37" t="s">
        <v>1209</v>
      </c>
      <c r="C270" s="114" t="str">
        <f t="shared" si="1"/>
        <v>投資事業推進本部/投資事業推進部</v>
      </c>
    </row>
    <row r="271">
      <c r="A271" s="38" t="s">
        <v>3339</v>
      </c>
      <c r="B271" s="37" t="s">
        <v>74</v>
      </c>
      <c r="C271" s="114" t="str">
        <f t="shared" si="1"/>
        <v>投資事業推進本部/投資事業部</v>
      </c>
    </row>
    <row r="272">
      <c r="A272" s="38" t="s">
        <v>3340</v>
      </c>
      <c r="B272" s="37" t="s">
        <v>1111</v>
      </c>
      <c r="C272" s="114" t="str">
        <f t="shared" si="1"/>
        <v>投資事業推進本部/本部共有</v>
      </c>
    </row>
    <row r="273">
      <c r="A273" s="38" t="s">
        <v>3342</v>
      </c>
      <c r="B273" s="37" t="s">
        <v>953</v>
      </c>
      <c r="C273" s="114" t="str">
        <f t="shared" si="1"/>
        <v>統括管理本部/エンパワーメント推進室</v>
      </c>
    </row>
    <row r="274">
      <c r="A274" s="38" t="s">
        <v>3343</v>
      </c>
      <c r="B274" s="37" t="s">
        <v>1294</v>
      </c>
      <c r="C274" s="114" t="str">
        <f t="shared" si="1"/>
        <v>統括管理本部/コーポレート・コミュニケーション室</v>
      </c>
    </row>
    <row r="275">
      <c r="A275" s="38" t="s">
        <v>3346</v>
      </c>
      <c r="B275" s="37" t="s">
        <v>1111</v>
      </c>
      <c r="C275" s="114" t="str">
        <f t="shared" si="1"/>
        <v>統括管理本部/本部共有</v>
      </c>
    </row>
    <row r="276">
      <c r="A276" s="38" t="s">
        <v>3355</v>
      </c>
      <c r="B276" s="37" t="s">
        <v>1347</v>
      </c>
      <c r="C276" s="114" t="str">
        <f t="shared" si="1"/>
        <v>内部監査室/ガバナンス支援G</v>
      </c>
    </row>
    <row r="277">
      <c r="A277" s="38" t="s">
        <v>3356</v>
      </c>
      <c r="B277" s="37" t="s">
        <v>1340</v>
      </c>
      <c r="C277" s="114" t="str">
        <f t="shared" si="1"/>
        <v>内部監査室/チャリ・ロト監査G</v>
      </c>
    </row>
    <row r="278">
      <c r="A278" s="38" t="s">
        <v>3359</v>
      </c>
      <c r="B278" s="37" t="s">
        <v>518</v>
      </c>
      <c r="C278" s="114" t="str">
        <f t="shared" si="1"/>
        <v>内部監査室/内部監査G</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row>
    <row r="2">
      <c r="A2" s="7" t="s">
        <v>3363</v>
      </c>
    </row>
    <row r="3">
      <c r="A3" s="7" t="s">
        <v>3364</v>
      </c>
    </row>
    <row r="5">
      <c r="A5" s="7" t="s">
        <v>3365</v>
      </c>
    </row>
    <row r="7">
      <c r="A7" s="7" t="s">
        <v>3366</v>
      </c>
    </row>
    <row r="9">
      <c r="A9" s="7" t="s">
        <v>3367</v>
      </c>
    </row>
    <row r="10">
      <c r="A10" s="7" t="s">
        <v>3368</v>
      </c>
    </row>
    <row r="11">
      <c r="B11" s="7" t="s">
        <v>3369</v>
      </c>
    </row>
    <row r="13">
      <c r="A13" s="7" t="s">
        <v>3370</v>
      </c>
    </row>
    <row r="14">
      <c r="A14" s="7" t="s">
        <v>3371</v>
      </c>
    </row>
    <row r="15">
      <c r="A15" s="7" t="s">
        <v>3372</v>
      </c>
    </row>
    <row r="16">
      <c r="A16" s="7" t="s">
        <v>3373</v>
      </c>
    </row>
    <row r="17">
      <c r="A17" s="7" t="s">
        <v>3374</v>
      </c>
    </row>
    <row r="19">
      <c r="A19" s="7" t="s">
        <v>3375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5.63"/>
  </cols>
  <sheetData>
    <row r="6">
      <c r="B6" s="34"/>
      <c r="C6" s="115" t="s">
        <v>3376</v>
      </c>
      <c r="D6" s="115" t="s">
        <v>3377</v>
      </c>
      <c r="E6" s="115" t="s">
        <v>1038</v>
      </c>
    </row>
    <row r="7">
      <c r="B7" s="16" t="s">
        <v>3378</v>
      </c>
      <c r="C7" s="116" t="s">
        <v>3379</v>
      </c>
      <c r="D7" s="12" t="s">
        <v>3379</v>
      </c>
      <c r="E7" s="12" t="s">
        <v>3380</v>
      </c>
    </row>
    <row r="8">
      <c r="B8" s="117"/>
      <c r="C8" s="116" t="s">
        <v>3381</v>
      </c>
      <c r="D8" s="12" t="s">
        <v>3381</v>
      </c>
      <c r="E8" s="12" t="s">
        <v>3382</v>
      </c>
    </row>
    <row r="9">
      <c r="B9" s="19"/>
      <c r="C9" s="116" t="s">
        <v>3383</v>
      </c>
      <c r="D9" s="12" t="s">
        <v>3381</v>
      </c>
      <c r="E9" s="12" t="s">
        <v>3384</v>
      </c>
    </row>
    <row r="10">
      <c r="B10" s="16" t="s">
        <v>3385</v>
      </c>
      <c r="C10" s="12" t="s">
        <v>3379</v>
      </c>
      <c r="D10" s="12" t="s">
        <v>3379</v>
      </c>
      <c r="E10" s="12" t="s">
        <v>3380</v>
      </c>
    </row>
    <row r="11">
      <c r="B11" s="117"/>
      <c r="C11" s="12" t="s">
        <v>3381</v>
      </c>
      <c r="D11" s="12" t="s">
        <v>3381</v>
      </c>
      <c r="E11" s="12" t="s">
        <v>3382</v>
      </c>
    </row>
    <row r="12">
      <c r="B12" s="19"/>
      <c r="C12" s="12" t="s">
        <v>3383</v>
      </c>
      <c r="D12" s="12" t="s">
        <v>3381</v>
      </c>
      <c r="E12" s="12" t="s">
        <v>3384</v>
      </c>
    </row>
    <row r="13">
      <c r="B13" s="12" t="s">
        <v>3386</v>
      </c>
      <c r="C13" s="12" t="s">
        <v>3387</v>
      </c>
      <c r="D13" s="12" t="s">
        <v>3388</v>
      </c>
      <c r="E13" s="34"/>
    </row>
    <row r="14">
      <c r="D14" s="7" t="s">
        <v>2166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s>
  <sheetData>
    <row r="1">
      <c r="A1" s="7" t="s">
        <v>2060</v>
      </c>
      <c r="B1" s="7" t="s">
        <v>1369</v>
      </c>
    </row>
    <row r="2">
      <c r="A2" s="7" t="s">
        <v>1462</v>
      </c>
      <c r="B2" s="7" t="s">
        <v>1463</v>
      </c>
    </row>
    <row r="3">
      <c r="A3" s="7" t="s">
        <v>1508</v>
      </c>
      <c r="B3" s="7" t="s">
        <v>1509</v>
      </c>
    </row>
    <row r="4">
      <c r="A4" s="7" t="s">
        <v>1813</v>
      </c>
      <c r="B4" s="7" t="s">
        <v>1814</v>
      </c>
    </row>
    <row r="5">
      <c r="A5" s="7" t="s">
        <v>1686</v>
      </c>
      <c r="B5" s="7" t="s">
        <v>1601</v>
      </c>
    </row>
    <row r="6">
      <c r="A6" s="7" t="s">
        <v>1766</v>
      </c>
      <c r="B6" s="7" t="s">
        <v>1767</v>
      </c>
    </row>
    <row r="7">
      <c r="A7" s="7" t="s">
        <v>1865</v>
      </c>
      <c r="B7" s="7" t="s">
        <v>1866</v>
      </c>
    </row>
    <row r="8">
      <c r="A8" s="7" t="s">
        <v>1702</v>
      </c>
      <c r="B8" s="7" t="s">
        <v>1703</v>
      </c>
    </row>
    <row r="9">
      <c r="A9" s="7" t="s">
        <v>1617</v>
      </c>
      <c r="B9" s="7" t="s">
        <v>1618</v>
      </c>
    </row>
    <row r="10">
      <c r="A10" s="7" t="s">
        <v>1829</v>
      </c>
      <c r="B10" s="7" t="s">
        <v>1830</v>
      </c>
    </row>
    <row r="11">
      <c r="A11" s="7" t="s">
        <v>1669</v>
      </c>
      <c r="B11" s="7" t="s">
        <v>1670</v>
      </c>
    </row>
    <row r="12">
      <c r="A12" s="7" t="s">
        <v>1482</v>
      </c>
      <c r="B12" s="7" t="s">
        <v>1483</v>
      </c>
    </row>
    <row r="13">
      <c r="A13" s="7" t="s">
        <v>1600</v>
      </c>
      <c r="B13" s="7" t="s">
        <v>1601</v>
      </c>
    </row>
    <row r="14">
      <c r="A14" s="7" t="s">
        <v>1807</v>
      </c>
      <c r="B14" s="7" t="s">
        <v>1808</v>
      </c>
    </row>
    <row r="15">
      <c r="A15" s="7" t="s">
        <v>2035</v>
      </c>
      <c r="B15" s="7" t="s">
        <v>2036</v>
      </c>
    </row>
    <row r="16">
      <c r="A16" s="7" t="s">
        <v>1848</v>
      </c>
      <c r="B16" s="7" t="s">
        <v>3389</v>
      </c>
    </row>
    <row r="17">
      <c r="A17" s="7" t="s">
        <v>1529</v>
      </c>
      <c r="B17" s="7" t="s">
        <v>1530</v>
      </c>
    </row>
    <row r="18">
      <c r="A18" s="7" t="s">
        <v>1976</v>
      </c>
      <c r="B18" s="7" t="s">
        <v>3390</v>
      </c>
    </row>
    <row r="19">
      <c r="A19" s="7" t="s">
        <v>3391</v>
      </c>
      <c r="B19" s="7" t="s">
        <v>3392</v>
      </c>
    </row>
    <row r="20">
      <c r="A20" s="7" t="s">
        <v>1907</v>
      </c>
      <c r="B20" s="7" t="s">
        <v>1509</v>
      </c>
    </row>
    <row r="21">
      <c r="A21" s="7" t="s">
        <v>1891</v>
      </c>
      <c r="B21" s="7" t="s">
        <v>1892</v>
      </c>
    </row>
    <row r="22">
      <c r="A22" s="7" t="s">
        <v>1942</v>
      </c>
      <c r="B22" s="7" t="s">
        <v>1943</v>
      </c>
    </row>
    <row r="23">
      <c r="A23" s="7" t="s">
        <v>1647</v>
      </c>
      <c r="B23" s="7" t="s">
        <v>1509</v>
      </c>
    </row>
    <row r="24">
      <c r="A24" s="7" t="s">
        <v>1890</v>
      </c>
      <c r="B24" s="7" t="s">
        <v>1509</v>
      </c>
    </row>
    <row r="25">
      <c r="A25" s="7" t="s">
        <v>1584</v>
      </c>
      <c r="B25" s="7" t="s">
        <v>1585</v>
      </c>
    </row>
    <row r="26">
      <c r="A26" s="7" t="s">
        <v>2039</v>
      </c>
      <c r="B26" s="7" t="s">
        <v>1463</v>
      </c>
    </row>
    <row r="27">
      <c r="A27" s="7" t="s">
        <v>1714</v>
      </c>
      <c r="B27" s="7" t="s">
        <v>1715</v>
      </c>
    </row>
    <row r="28">
      <c r="A28" s="7" t="s">
        <v>2015</v>
      </c>
      <c r="B28" s="7" t="s">
        <v>2016</v>
      </c>
    </row>
    <row r="29">
      <c r="A29" s="7" t="s">
        <v>1673</v>
      </c>
      <c r="B29" s="7" t="s">
        <v>1674</v>
      </c>
    </row>
    <row r="30">
      <c r="A30" s="7" t="s">
        <v>1820</v>
      </c>
      <c r="B30" s="7" t="s">
        <v>1821</v>
      </c>
    </row>
    <row r="31">
      <c r="A31" s="7" t="s">
        <v>1800</v>
      </c>
      <c r="B31" s="7" t="s">
        <v>1801</v>
      </c>
    </row>
    <row r="32">
      <c r="A32" s="7" t="s">
        <v>1870</v>
      </c>
      <c r="B32" s="7" t="s">
        <v>1871</v>
      </c>
    </row>
    <row r="33">
      <c r="A33" s="7" t="s">
        <v>1554</v>
      </c>
      <c r="B33" s="7" t="s">
        <v>1555</v>
      </c>
    </row>
    <row r="34">
      <c r="A34" s="7" t="s">
        <v>1826</v>
      </c>
      <c r="B34" s="7" t="s">
        <v>1827</v>
      </c>
    </row>
    <row r="35">
      <c r="A35" s="7" t="s">
        <v>1903</v>
      </c>
      <c r="B35" s="7" t="s">
        <v>1904</v>
      </c>
    </row>
    <row r="36">
      <c r="A36" s="7" t="s">
        <v>1751</v>
      </c>
      <c r="B36" s="7" t="s">
        <v>1752</v>
      </c>
    </row>
    <row r="37">
      <c r="A37" s="7" t="s">
        <v>3393</v>
      </c>
      <c r="B37" s="7" t="s">
        <v>3394</v>
      </c>
    </row>
    <row r="38">
      <c r="A38" s="7" t="s">
        <v>3395</v>
      </c>
      <c r="B38" s="7" t="s">
        <v>3394</v>
      </c>
    </row>
    <row r="39">
      <c r="A39" s="7" t="s">
        <v>3396</v>
      </c>
      <c r="B39" s="7" t="s">
        <v>3394</v>
      </c>
    </row>
    <row r="40">
      <c r="A40" s="7" t="s">
        <v>3397</v>
      </c>
      <c r="B40" s="7" t="s">
        <v>3394</v>
      </c>
    </row>
    <row r="41">
      <c r="A41" s="7" t="s">
        <v>3398</v>
      </c>
      <c r="B41" s="7" t="s">
        <v>3394</v>
      </c>
    </row>
    <row r="42">
      <c r="A42" s="7" t="s">
        <v>3399</v>
      </c>
      <c r="B42" s="7" t="s">
        <v>3394</v>
      </c>
    </row>
    <row r="43">
      <c r="A43" s="7" t="s">
        <v>3400</v>
      </c>
      <c r="B43" s="7" t="s">
        <v>3394</v>
      </c>
    </row>
    <row r="44">
      <c r="A44" s="7" t="s">
        <v>3401</v>
      </c>
      <c r="B44" s="7" t="s">
        <v>3402</v>
      </c>
    </row>
    <row r="45">
      <c r="A45" s="7" t="s">
        <v>3403</v>
      </c>
      <c r="B45" s="7" t="s">
        <v>2096</v>
      </c>
    </row>
    <row r="46">
      <c r="A46" s="7" t="s">
        <v>3404</v>
      </c>
      <c r="B46" s="7" t="s">
        <v>2096</v>
      </c>
    </row>
    <row r="47">
      <c r="A47" s="7" t="s">
        <v>3405</v>
      </c>
      <c r="B47" s="7" t="s">
        <v>2096</v>
      </c>
    </row>
    <row r="48">
      <c r="A48" s="7" t="s">
        <v>1740</v>
      </c>
      <c r="B48" s="7" t="s">
        <v>1741</v>
      </c>
    </row>
    <row r="49">
      <c r="A49" s="7" t="s">
        <v>1546</v>
      </c>
      <c r="B49" s="7" t="s">
        <v>1547</v>
      </c>
    </row>
    <row r="50">
      <c r="A50" s="7" t="s">
        <v>1474</v>
      </c>
      <c r="B50" s="7" t="s">
        <v>1475</v>
      </c>
    </row>
    <row r="51">
      <c r="A51" s="7" t="s">
        <v>1576</v>
      </c>
      <c r="B51" s="7" t="s">
        <v>1577</v>
      </c>
    </row>
    <row r="52">
      <c r="A52" s="7" t="s">
        <v>1755</v>
      </c>
      <c r="B52" s="7" t="s">
        <v>1756</v>
      </c>
    </row>
    <row r="53">
      <c r="A53" s="7" t="s">
        <v>2042</v>
      </c>
      <c r="B53" s="7" t="s">
        <v>1756</v>
      </c>
    </row>
    <row r="54">
      <c r="A54" s="7" t="s">
        <v>1558</v>
      </c>
      <c r="B54" s="7" t="s">
        <v>1559</v>
      </c>
    </row>
    <row r="55">
      <c r="A55" s="7" t="s">
        <v>1698</v>
      </c>
      <c r="B55" s="7" t="s">
        <v>3406</v>
      </c>
    </row>
    <row r="56">
      <c r="A56" s="37" t="s">
        <v>1573</v>
      </c>
      <c r="B56" s="37" t="s">
        <v>1574</v>
      </c>
    </row>
    <row r="57">
      <c r="A57" s="37" t="s">
        <v>1961</v>
      </c>
      <c r="B57" s="37" t="s">
        <v>1962</v>
      </c>
    </row>
    <row r="58">
      <c r="A58" s="37" t="s">
        <v>1922</v>
      </c>
      <c r="B58" s="37" t="s">
        <v>1923</v>
      </c>
    </row>
    <row r="59">
      <c r="A59" s="37" t="s">
        <v>1948</v>
      </c>
      <c r="B59" s="37" t="s">
        <v>1949</v>
      </c>
    </row>
    <row r="60">
      <c r="A60" s="37" t="s">
        <v>1969</v>
      </c>
      <c r="B60" s="37" t="s">
        <v>1970</v>
      </c>
    </row>
    <row r="61">
      <c r="A61" s="37" t="s">
        <v>1946</v>
      </c>
      <c r="B61" s="37" t="s">
        <v>1947</v>
      </c>
    </row>
    <row r="62">
      <c r="A62" s="37" t="s">
        <v>1908</v>
      </c>
      <c r="B62" s="37" t="s">
        <v>1909</v>
      </c>
    </row>
    <row r="63">
      <c r="A63" s="37" t="s">
        <v>1730</v>
      </c>
      <c r="B63" s="37" t="s">
        <v>1731</v>
      </c>
    </row>
    <row r="64">
      <c r="A64" s="37" t="s">
        <v>1436</v>
      </c>
      <c r="B64" s="37" t="s">
        <v>1437</v>
      </c>
    </row>
    <row r="65">
      <c r="A65" s="37" t="s">
        <v>1687</v>
      </c>
      <c r="B65" s="37" t="s">
        <v>1523</v>
      </c>
    </row>
    <row r="66">
      <c r="A66" s="37" t="s">
        <v>1725</v>
      </c>
      <c r="B66" s="37" t="s">
        <v>1726</v>
      </c>
    </row>
    <row r="67">
      <c r="A67" s="37" t="s">
        <v>1989</v>
      </c>
      <c r="B67" s="37" t="s">
        <v>1525</v>
      </c>
    </row>
    <row r="68">
      <c r="A68" s="37" t="s">
        <v>2019</v>
      </c>
      <c r="B68" s="37" t="s">
        <v>1498</v>
      </c>
    </row>
    <row r="69">
      <c r="A69" s="37" t="s">
        <v>1644</v>
      </c>
      <c r="B69" s="37" t="s">
        <v>1645</v>
      </c>
    </row>
    <row r="70">
      <c r="A70" s="37" t="s">
        <v>1774</v>
      </c>
      <c r="B70" s="37" t="s">
        <v>1775</v>
      </c>
    </row>
    <row r="71">
      <c r="A71" s="37" t="s">
        <v>1921</v>
      </c>
      <c r="B71" s="37" t="s">
        <v>1642</v>
      </c>
    </row>
    <row r="72">
      <c r="A72" s="37" t="s">
        <v>1649</v>
      </c>
      <c r="B72" s="37" t="s">
        <v>1650</v>
      </c>
    </row>
    <row r="73">
      <c r="A73" s="37" t="s">
        <v>1746</v>
      </c>
      <c r="B73" s="37" t="s">
        <v>1544</v>
      </c>
    </row>
    <row r="74">
      <c r="A74" s="37" t="s">
        <v>1898</v>
      </c>
      <c r="B74" s="37" t="s">
        <v>1899</v>
      </c>
    </row>
    <row r="75">
      <c r="A75" s="37" t="s">
        <v>1765</v>
      </c>
      <c r="B75" s="37" t="s">
        <v>1642</v>
      </c>
    </row>
    <row r="76">
      <c r="A76" s="37" t="s">
        <v>2043</v>
      </c>
      <c r="B76" s="37" t="s">
        <v>1642</v>
      </c>
    </row>
    <row r="77">
      <c r="A77" s="37" t="s">
        <v>1629</v>
      </c>
      <c r="B77" s="37" t="s">
        <v>1630</v>
      </c>
    </row>
    <row r="78">
      <c r="A78" s="37" t="s">
        <v>1878</v>
      </c>
      <c r="B78" s="37" t="s">
        <v>1794</v>
      </c>
    </row>
    <row r="79">
      <c r="A79" s="37" t="s">
        <v>1384</v>
      </c>
      <c r="B79" s="37" t="s">
        <v>1385</v>
      </c>
    </row>
    <row r="80">
      <c r="A80" s="37" t="s">
        <v>1786</v>
      </c>
      <c r="B80" s="37" t="s">
        <v>1787</v>
      </c>
    </row>
    <row r="81">
      <c r="A81" s="37" t="s">
        <v>3407</v>
      </c>
      <c r="B81" s="37" t="s">
        <v>1866</v>
      </c>
    </row>
    <row r="82">
      <c r="A82" s="37" t="s">
        <v>1447</v>
      </c>
      <c r="B82" s="37" t="s">
        <v>1410</v>
      </c>
    </row>
    <row r="83">
      <c r="A83" s="37" t="s">
        <v>1500</v>
      </c>
      <c r="B83" s="37" t="s">
        <v>1501</v>
      </c>
    </row>
    <row r="84">
      <c r="A84" s="37" t="s">
        <v>2011</v>
      </c>
      <c r="B84" s="37" t="s">
        <v>1798</v>
      </c>
    </row>
    <row r="85">
      <c r="A85" s="37" t="s">
        <v>1779</v>
      </c>
      <c r="B85" s="37" t="s">
        <v>1780</v>
      </c>
    </row>
    <row r="86">
      <c r="A86" s="37" t="s">
        <v>1937</v>
      </c>
      <c r="B86" s="37" t="s">
        <v>1486</v>
      </c>
    </row>
    <row r="87">
      <c r="A87" s="37" t="s">
        <v>1658</v>
      </c>
      <c r="B87" s="37" t="s">
        <v>1659</v>
      </c>
    </row>
    <row r="88">
      <c r="A88" s="37" t="s">
        <v>1380</v>
      </c>
      <c r="B88" s="37" t="s">
        <v>1381</v>
      </c>
    </row>
    <row r="89">
      <c r="A89" s="37" t="s">
        <v>1539</v>
      </c>
      <c r="B89" s="37" t="s">
        <v>1540</v>
      </c>
    </row>
    <row r="90">
      <c r="A90" s="37" t="s">
        <v>1941</v>
      </c>
      <c r="B90" s="37" t="s">
        <v>1642</v>
      </c>
    </row>
    <row r="91">
      <c r="A91" s="37" t="s">
        <v>1736</v>
      </c>
      <c r="B91" s="37" t="s">
        <v>1737</v>
      </c>
    </row>
    <row r="92">
      <c r="A92" s="37" t="s">
        <v>2007</v>
      </c>
      <c r="B92" s="37" t="s">
        <v>1798</v>
      </c>
    </row>
    <row r="93">
      <c r="A93" s="37" t="s">
        <v>1667</v>
      </c>
      <c r="B93" s="37" t="s">
        <v>1668</v>
      </c>
    </row>
    <row r="94">
      <c r="A94" s="37" t="s">
        <v>1713</v>
      </c>
      <c r="B94" s="37" t="s">
        <v>1668</v>
      </c>
    </row>
    <row r="95">
      <c r="A95" s="37" t="s">
        <v>1567</v>
      </c>
      <c r="B95" s="37" t="s">
        <v>1568</v>
      </c>
    </row>
    <row r="96">
      <c r="A96" s="37" t="s">
        <v>1477</v>
      </c>
      <c r="B96" s="37" t="s">
        <v>1389</v>
      </c>
    </row>
    <row r="97">
      <c r="A97" s="37" t="s">
        <v>1925</v>
      </c>
      <c r="B97" s="37" t="s">
        <v>1926</v>
      </c>
    </row>
    <row r="98">
      <c r="A98" s="37" t="s">
        <v>1711</v>
      </c>
      <c r="B98" s="37" t="s">
        <v>1063</v>
      </c>
    </row>
    <row r="99">
      <c r="A99" s="37" t="s">
        <v>1485</v>
      </c>
      <c r="B99" s="37" t="s">
        <v>1486</v>
      </c>
    </row>
    <row r="100">
      <c r="A100" s="37" t="s">
        <v>1825</v>
      </c>
      <c r="B100" s="37" t="s">
        <v>1379</v>
      </c>
    </row>
    <row r="101">
      <c r="A101" s="37" t="s">
        <v>1497</v>
      </c>
      <c r="B101" s="37" t="s">
        <v>1498</v>
      </c>
    </row>
    <row r="102">
      <c r="A102" s="37" t="s">
        <v>2031</v>
      </c>
      <c r="B102" s="37" t="s">
        <v>1663</v>
      </c>
    </row>
    <row r="103">
      <c r="A103" s="37" t="s">
        <v>1959</v>
      </c>
      <c r="B103" s="37" t="s">
        <v>1960</v>
      </c>
    </row>
    <row r="104">
      <c r="A104" s="37" t="s">
        <v>1987</v>
      </c>
      <c r="B104" s="37" t="s">
        <v>1663</v>
      </c>
    </row>
    <row r="105">
      <c r="A105" s="37" t="s">
        <v>1599</v>
      </c>
      <c r="B105" s="37" t="s">
        <v>1421</v>
      </c>
    </row>
    <row r="106">
      <c r="A106" s="37" t="s">
        <v>1466</v>
      </c>
      <c r="B106" s="37" t="s">
        <v>1467</v>
      </c>
    </row>
    <row r="107">
      <c r="A107" s="37" t="s">
        <v>1940</v>
      </c>
      <c r="B107" s="37" t="s">
        <v>1421</v>
      </c>
    </row>
    <row r="108">
      <c r="A108" s="37" t="s">
        <v>1694</v>
      </c>
      <c r="B108" s="37" t="s">
        <v>1663</v>
      </c>
    </row>
    <row r="109">
      <c r="A109" s="37" t="s">
        <v>1700</v>
      </c>
      <c r="B109" s="37" t="s">
        <v>1701</v>
      </c>
    </row>
    <row r="110">
      <c r="A110" s="37" t="s">
        <v>2046</v>
      </c>
      <c r="B110" s="37" t="s">
        <v>2047</v>
      </c>
    </row>
    <row r="111">
      <c r="A111" s="37" t="s">
        <v>1749</v>
      </c>
      <c r="B111" s="37" t="s">
        <v>1421</v>
      </c>
    </row>
    <row r="112">
      <c r="A112" s="37" t="s">
        <v>1640</v>
      </c>
      <c r="B112" s="37" t="s">
        <v>1421</v>
      </c>
    </row>
    <row r="113">
      <c r="A113" s="37" t="s">
        <v>1864</v>
      </c>
      <c r="B113" s="37" t="s">
        <v>1451</v>
      </c>
    </row>
    <row r="114">
      <c r="A114" s="37" t="s">
        <v>1448</v>
      </c>
      <c r="B114" s="37" t="s">
        <v>1449</v>
      </c>
    </row>
    <row r="115">
      <c r="A115" s="37" t="s">
        <v>1562</v>
      </c>
      <c r="B115" s="37" t="s">
        <v>1421</v>
      </c>
    </row>
    <row r="116">
      <c r="A116" s="37" t="s">
        <v>2032</v>
      </c>
      <c r="B116" s="37" t="s">
        <v>1663</v>
      </c>
    </row>
    <row r="117">
      <c r="A117" s="37" t="s">
        <v>1764</v>
      </c>
      <c r="B117" s="37" t="s">
        <v>1063</v>
      </c>
    </row>
    <row r="118">
      <c r="A118" s="37" t="s">
        <v>1440</v>
      </c>
      <c r="B118" s="37" t="s">
        <v>1389</v>
      </c>
    </row>
    <row r="119">
      <c r="A119" s="37" t="s">
        <v>3408</v>
      </c>
      <c r="B119" s="37" t="s">
        <v>2024</v>
      </c>
    </row>
    <row r="120">
      <c r="A120" s="37" t="s">
        <v>3409</v>
      </c>
      <c r="B120" s="37" t="s">
        <v>2024</v>
      </c>
    </row>
    <row r="121">
      <c r="A121" s="37" t="s">
        <v>2023</v>
      </c>
      <c r="B121" s="37" t="s">
        <v>2024</v>
      </c>
    </row>
    <row r="122">
      <c r="A122" s="37" t="s">
        <v>1666</v>
      </c>
      <c r="B122" s="37" t="s">
        <v>1421</v>
      </c>
    </row>
    <row r="123">
      <c r="A123" s="37" t="s">
        <v>1729</v>
      </c>
      <c r="B123" s="37" t="s">
        <v>1421</v>
      </c>
    </row>
    <row r="124">
      <c r="A124" s="37" t="s">
        <v>2030</v>
      </c>
      <c r="B124" s="37" t="s">
        <v>1962</v>
      </c>
    </row>
    <row r="125">
      <c r="A125" s="37" t="s">
        <v>1784</v>
      </c>
      <c r="B125" s="37" t="s">
        <v>1735</v>
      </c>
    </row>
    <row r="126">
      <c r="A126" s="37" t="s">
        <v>1734</v>
      </c>
      <c r="B126" s="37" t="s">
        <v>1735</v>
      </c>
    </row>
    <row r="127">
      <c r="A127" s="37" t="s">
        <v>1851</v>
      </c>
      <c r="B127" s="37" t="s">
        <v>1852</v>
      </c>
    </row>
    <row r="128">
      <c r="A128" s="37" t="s">
        <v>1759</v>
      </c>
      <c r="B128" s="37" t="s">
        <v>1453</v>
      </c>
    </row>
    <row r="129">
      <c r="A129" s="37" t="s">
        <v>1373</v>
      </c>
      <c r="B129" s="37" t="s">
        <v>1374</v>
      </c>
    </row>
    <row r="130">
      <c r="A130" s="37" t="s">
        <v>1902</v>
      </c>
      <c r="B130" s="37" t="s">
        <v>1540</v>
      </c>
    </row>
    <row r="131">
      <c r="A131" s="37" t="s">
        <v>1846</v>
      </c>
      <c r="B131" s="37" t="s">
        <v>1389</v>
      </c>
    </row>
    <row r="132">
      <c r="A132" s="37" t="s">
        <v>3393</v>
      </c>
      <c r="B132" s="37" t="s">
        <v>3394</v>
      </c>
    </row>
    <row r="133">
      <c r="A133" s="37" t="s">
        <v>3395</v>
      </c>
      <c r="B133" s="37" t="s">
        <v>3394</v>
      </c>
    </row>
    <row r="134">
      <c r="A134" s="37" t="s">
        <v>3396</v>
      </c>
      <c r="B134" s="37" t="s">
        <v>3394</v>
      </c>
    </row>
    <row r="135">
      <c r="A135" s="37" t="s">
        <v>3397</v>
      </c>
      <c r="B135" s="37" t="s">
        <v>3394</v>
      </c>
    </row>
    <row r="136">
      <c r="A136" s="37" t="s">
        <v>3398</v>
      </c>
      <c r="B136" s="37" t="s">
        <v>3394</v>
      </c>
    </row>
    <row r="137">
      <c r="A137" s="37" t="s">
        <v>3399</v>
      </c>
      <c r="B137" s="37" t="s">
        <v>3394</v>
      </c>
    </row>
    <row r="138">
      <c r="A138" s="37" t="s">
        <v>3400</v>
      </c>
      <c r="B138" s="37" t="s">
        <v>3394</v>
      </c>
    </row>
    <row r="139">
      <c r="A139" s="37" t="s">
        <v>3401</v>
      </c>
      <c r="B139" s="37" t="s">
        <v>3402</v>
      </c>
    </row>
    <row r="140">
      <c r="A140" s="37" t="s">
        <v>3403</v>
      </c>
      <c r="B140" s="37" t="s">
        <v>2096</v>
      </c>
    </row>
    <row r="141">
      <c r="A141" s="37" t="s">
        <v>3404</v>
      </c>
      <c r="B141" s="37" t="s">
        <v>2096</v>
      </c>
    </row>
    <row r="142">
      <c r="A142" s="37" t="s">
        <v>3405</v>
      </c>
      <c r="B142" s="37" t="s">
        <v>2096</v>
      </c>
    </row>
    <row r="143">
      <c r="A143" s="37" t="s">
        <v>3410</v>
      </c>
      <c r="B143" s="37" t="s">
        <v>2132</v>
      </c>
    </row>
    <row r="144">
      <c r="A144" s="37" t="s">
        <v>3411</v>
      </c>
      <c r="B144" s="37" t="s">
        <v>2132</v>
      </c>
    </row>
    <row r="145">
      <c r="A145" s="37" t="s">
        <v>3412</v>
      </c>
      <c r="B145" s="37" t="s">
        <v>2132</v>
      </c>
    </row>
    <row r="146">
      <c r="A146" s="37" t="s">
        <v>3413</v>
      </c>
      <c r="B146" s="37" t="s">
        <v>2132</v>
      </c>
    </row>
    <row r="147">
      <c r="A147" s="37" t="s">
        <v>3414</v>
      </c>
      <c r="B147" s="37" t="s">
        <v>2132</v>
      </c>
    </row>
    <row r="148">
      <c r="A148" s="37" t="s">
        <v>3415</v>
      </c>
      <c r="B148" s="37" t="s">
        <v>2132</v>
      </c>
    </row>
    <row r="149">
      <c r="A149" s="37" t="s">
        <v>3416</v>
      </c>
      <c r="B149" s="37" t="s">
        <v>2132</v>
      </c>
    </row>
    <row r="150">
      <c r="A150" s="37" t="s">
        <v>3417</v>
      </c>
      <c r="B150" s="37" t="s">
        <v>2132</v>
      </c>
    </row>
    <row r="151">
      <c r="A151" s="37" t="s">
        <v>3418</v>
      </c>
      <c r="B151" s="37" t="s">
        <v>2132</v>
      </c>
    </row>
    <row r="152">
      <c r="A152" s="37" t="s">
        <v>3419</v>
      </c>
      <c r="B152" s="37" t="s">
        <v>2132</v>
      </c>
    </row>
    <row r="153">
      <c r="A153" s="37" t="s">
        <v>3420</v>
      </c>
      <c r="B153" s="37" t="s">
        <v>2132</v>
      </c>
    </row>
    <row r="154">
      <c r="A154" s="37" t="s">
        <v>3421</v>
      </c>
      <c r="B154" s="37" t="s">
        <v>2132</v>
      </c>
    </row>
    <row r="155">
      <c r="A155" s="37" t="s">
        <v>3422</v>
      </c>
      <c r="B155" s="37" t="s">
        <v>2132</v>
      </c>
    </row>
    <row r="156">
      <c r="A156" s="37" t="s">
        <v>3423</v>
      </c>
      <c r="B156" s="37" t="s">
        <v>2132</v>
      </c>
    </row>
    <row r="157">
      <c r="A157" s="37" t="s">
        <v>3424</v>
      </c>
      <c r="B157" s="37" t="s">
        <v>2132</v>
      </c>
    </row>
    <row r="158">
      <c r="A158" s="37" t="s">
        <v>3425</v>
      </c>
      <c r="B158" s="37" t="s">
        <v>2132</v>
      </c>
    </row>
    <row r="159">
      <c r="A159" s="37" t="s">
        <v>3426</v>
      </c>
      <c r="B159" s="37" t="s">
        <v>2132</v>
      </c>
    </row>
    <row r="160">
      <c r="A160" s="37" t="s">
        <v>3427</v>
      </c>
      <c r="B160" s="37" t="s">
        <v>2132</v>
      </c>
    </row>
    <row r="161">
      <c r="A161" s="37" t="s">
        <v>3428</v>
      </c>
      <c r="B161" s="37" t="s">
        <v>2132</v>
      </c>
    </row>
    <row r="162">
      <c r="A162" s="37" t="s">
        <v>3429</v>
      </c>
      <c r="B162" s="37" t="s">
        <v>2132</v>
      </c>
    </row>
    <row r="163">
      <c r="A163" s="37" t="s">
        <v>3430</v>
      </c>
      <c r="B163" s="37" t="s">
        <v>2132</v>
      </c>
    </row>
    <row r="164">
      <c r="A164" s="37" t="s">
        <v>3431</v>
      </c>
      <c r="B164" s="37" t="s">
        <v>2132</v>
      </c>
    </row>
    <row r="165">
      <c r="A165" s="37" t="s">
        <v>3432</v>
      </c>
      <c r="B165" s="37" t="s">
        <v>2132</v>
      </c>
    </row>
    <row r="166">
      <c r="A166" s="37" t="s">
        <v>3433</v>
      </c>
      <c r="B166" s="37" t="s">
        <v>2132</v>
      </c>
    </row>
    <row r="167">
      <c r="A167" s="37" t="s">
        <v>3434</v>
      </c>
      <c r="B167" s="37" t="s">
        <v>2132</v>
      </c>
    </row>
    <row r="168">
      <c r="A168" s="37" t="s">
        <v>3435</v>
      </c>
      <c r="B168" s="37" t="s">
        <v>2132</v>
      </c>
    </row>
    <row r="169">
      <c r="A169" s="37" t="s">
        <v>3436</v>
      </c>
      <c r="B169" s="37" t="s">
        <v>2132</v>
      </c>
    </row>
    <row r="170">
      <c r="A170" s="37" t="s">
        <v>3437</v>
      </c>
      <c r="B170" s="37" t="s">
        <v>2132</v>
      </c>
    </row>
    <row r="171">
      <c r="A171" s="37" t="s">
        <v>3438</v>
      </c>
      <c r="B171" s="37" t="s">
        <v>2132</v>
      </c>
    </row>
    <row r="172">
      <c r="A172" s="37" t="s">
        <v>3439</v>
      </c>
      <c r="B172" s="37" t="s">
        <v>2132</v>
      </c>
    </row>
    <row r="173">
      <c r="A173" s="37" t="s">
        <v>3440</v>
      </c>
      <c r="B173" s="37" t="s">
        <v>2132</v>
      </c>
    </row>
    <row r="174">
      <c r="A174" s="37" t="s">
        <v>3441</v>
      </c>
      <c r="B174" s="37" t="s">
        <v>2132</v>
      </c>
    </row>
    <row r="175">
      <c r="A175" s="37" t="s">
        <v>3442</v>
      </c>
      <c r="B175" s="37" t="s">
        <v>2132</v>
      </c>
    </row>
    <row r="176">
      <c r="A176" s="37" t="s">
        <v>3443</v>
      </c>
      <c r="B176" s="37" t="s">
        <v>2132</v>
      </c>
    </row>
    <row r="177">
      <c r="A177" s="37" t="s">
        <v>3444</v>
      </c>
      <c r="B177" s="37" t="s">
        <v>2132</v>
      </c>
    </row>
    <row r="178">
      <c r="A178" s="37" t="s">
        <v>3445</v>
      </c>
      <c r="B178" s="37" t="s">
        <v>2132</v>
      </c>
    </row>
    <row r="179">
      <c r="A179" s="37" t="s">
        <v>3446</v>
      </c>
      <c r="B179" s="37" t="s">
        <v>2132</v>
      </c>
    </row>
    <row r="180">
      <c r="A180" s="37" t="s">
        <v>3447</v>
      </c>
      <c r="B180" s="37" t="s">
        <v>2132</v>
      </c>
    </row>
    <row r="181">
      <c r="A181" s="37" t="s">
        <v>3448</v>
      </c>
      <c r="B181" s="37" t="s">
        <v>2132</v>
      </c>
    </row>
    <row r="182">
      <c r="A182" s="37" t="s">
        <v>1931</v>
      </c>
      <c r="B182" s="37" t="s">
        <v>1389</v>
      </c>
    </row>
    <row r="183">
      <c r="A183" s="37" t="s">
        <v>2012</v>
      </c>
      <c r="B183" s="37" t="s">
        <v>1389</v>
      </c>
    </row>
    <row r="184">
      <c r="A184" s="37" t="s">
        <v>1957</v>
      </c>
      <c r="B184" s="37" t="s">
        <v>1642</v>
      </c>
    </row>
    <row r="185">
      <c r="A185" s="37" t="s">
        <v>1776</v>
      </c>
      <c r="B185" s="37" t="s">
        <v>1374</v>
      </c>
    </row>
    <row r="186">
      <c r="A186" s="37" t="s">
        <v>1855</v>
      </c>
      <c r="B186" s="37" t="s">
        <v>1856</v>
      </c>
    </row>
    <row r="187">
      <c r="A187" s="37" t="s">
        <v>1860</v>
      </c>
      <c r="B187" s="37" t="s">
        <v>1374</v>
      </c>
    </row>
    <row r="188">
      <c r="A188" s="37" t="s">
        <v>1996</v>
      </c>
      <c r="B188" s="37" t="s">
        <v>1997</v>
      </c>
    </row>
    <row r="189">
      <c r="A189" s="37" t="s">
        <v>1563</v>
      </c>
      <c r="B189" s="37" t="s">
        <v>1564</v>
      </c>
    </row>
    <row r="190">
      <c r="A190" s="37" t="s">
        <v>1603</v>
      </c>
      <c r="B190" s="37" t="s">
        <v>1604</v>
      </c>
    </row>
    <row r="191">
      <c r="A191" s="37" t="s">
        <v>1718</v>
      </c>
      <c r="B191" s="37" t="s">
        <v>1472</v>
      </c>
    </row>
    <row r="192">
      <c r="A192" s="37" t="s">
        <v>2013</v>
      </c>
      <c r="B192" s="37" t="s">
        <v>2014</v>
      </c>
    </row>
    <row r="193">
      <c r="A193" s="37" t="s">
        <v>1493</v>
      </c>
      <c r="B193" s="37" t="s">
        <v>1494</v>
      </c>
    </row>
    <row r="194">
      <c r="A194" s="37" t="s">
        <v>1720</v>
      </c>
      <c r="B194" s="37" t="s">
        <v>1721</v>
      </c>
    </row>
    <row r="195">
      <c r="A195" s="37" t="s">
        <v>1412</v>
      </c>
      <c r="B195" s="37" t="s">
        <v>1413</v>
      </c>
    </row>
    <row r="196">
      <c r="A196" s="37" t="s">
        <v>1594</v>
      </c>
      <c r="B196" s="37" t="s">
        <v>1063</v>
      </c>
    </row>
    <row r="197">
      <c r="A197" s="37" t="s">
        <v>1913</v>
      </c>
      <c r="B197" s="37" t="s">
        <v>1914</v>
      </c>
    </row>
    <row r="198">
      <c r="A198" s="37" t="s">
        <v>1641</v>
      </c>
      <c r="B198" s="37" t="s">
        <v>1642</v>
      </c>
    </row>
    <row r="199">
      <c r="A199" s="37" t="s">
        <v>1797</v>
      </c>
      <c r="B199" s="37" t="s">
        <v>1798</v>
      </c>
    </row>
    <row r="200">
      <c r="A200" s="37" t="s">
        <v>2010</v>
      </c>
      <c r="B200" s="37" t="s">
        <v>1498</v>
      </c>
    </row>
    <row r="201">
      <c r="A201" s="37" t="s">
        <v>1392</v>
      </c>
      <c r="B201" s="37" t="s">
        <v>1393</v>
      </c>
    </row>
    <row r="202">
      <c r="A202" s="37" t="s">
        <v>1719</v>
      </c>
      <c r="B202" s="37" t="s">
        <v>1063</v>
      </c>
    </row>
    <row r="203">
      <c r="A203" s="37" t="s">
        <v>2020</v>
      </c>
      <c r="B203" s="37" t="s">
        <v>2021</v>
      </c>
    </row>
    <row r="204">
      <c r="A204" s="37" t="s">
        <v>2004</v>
      </c>
      <c r="B204" s="37" t="s">
        <v>3449</v>
      </c>
    </row>
    <row r="205">
      <c r="A205" s="37" t="s">
        <v>1455</v>
      </c>
      <c r="B205" s="37" t="s">
        <v>1456</v>
      </c>
    </row>
    <row r="206">
      <c r="A206" s="37" t="s">
        <v>1514</v>
      </c>
      <c r="B206" s="37" t="s">
        <v>1515</v>
      </c>
    </row>
    <row r="207">
      <c r="A207" s="37" t="s">
        <v>1815</v>
      </c>
      <c r="B207" s="37" t="s">
        <v>3450</v>
      </c>
    </row>
    <row r="208">
      <c r="A208" s="37" t="s">
        <v>1840</v>
      </c>
      <c r="B208" s="37" t="s">
        <v>1642</v>
      </c>
    </row>
    <row r="209">
      <c r="A209" s="37" t="s">
        <v>2040</v>
      </c>
      <c r="B209" s="37" t="s">
        <v>3451</v>
      </c>
    </row>
    <row r="210">
      <c r="A210" s="37" t="s">
        <v>1409</v>
      </c>
      <c r="B210" s="37" t="s">
        <v>1410</v>
      </c>
    </row>
    <row r="211">
      <c r="A211" s="37" t="s">
        <v>1879</v>
      </c>
      <c r="B211" s="37" t="s">
        <v>3452</v>
      </c>
    </row>
    <row r="212">
      <c r="A212" s="37" t="s">
        <v>1928</v>
      </c>
      <c r="B212" s="37" t="s">
        <v>1929</v>
      </c>
    </row>
    <row r="213">
      <c r="A213" s="37" t="s">
        <v>1662</v>
      </c>
      <c r="B213" s="37" t="s">
        <v>1663</v>
      </c>
    </row>
    <row r="214">
      <c r="A214" s="37" t="s">
        <v>1885</v>
      </c>
      <c r="B214" s="37" t="s">
        <v>1886</v>
      </c>
    </row>
    <row r="215">
      <c r="A215" s="37" t="s">
        <v>1528</v>
      </c>
      <c r="B215" s="37" t="s">
        <v>1449</v>
      </c>
    </row>
    <row r="216">
      <c r="A216" s="37" t="s">
        <v>1677</v>
      </c>
      <c r="B216" s="37" t="s">
        <v>1678</v>
      </c>
    </row>
    <row r="217">
      <c r="A217" s="37" t="s">
        <v>1760</v>
      </c>
      <c r="B217" s="37" t="s">
        <v>1678</v>
      </c>
    </row>
    <row r="218">
      <c r="A218" s="37" t="s">
        <v>1799</v>
      </c>
      <c r="B218" s="37" t="s">
        <v>1389</v>
      </c>
    </row>
    <row r="219">
      <c r="A219" s="37" t="s">
        <v>2033</v>
      </c>
      <c r="B219" s="37" t="s">
        <v>2034</v>
      </c>
    </row>
    <row r="220">
      <c r="A220" s="37" t="s">
        <v>1680</v>
      </c>
      <c r="B220" s="37" t="s">
        <v>1681</v>
      </c>
    </row>
    <row r="221">
      <c r="A221" s="37" t="s">
        <v>1431</v>
      </c>
      <c r="B221" s="37" t="s">
        <v>1432</v>
      </c>
    </row>
    <row r="222">
      <c r="A222" s="37" t="s">
        <v>1958</v>
      </c>
      <c r="B222" s="37" t="s">
        <v>3453</v>
      </c>
    </row>
    <row r="223">
      <c r="A223" s="37" t="s">
        <v>1944</v>
      </c>
      <c r="B223" s="37" t="s">
        <v>1945</v>
      </c>
    </row>
    <row r="224">
      <c r="A224" s="37" t="s">
        <v>1608</v>
      </c>
      <c r="B224" s="37" t="s">
        <v>1609</v>
      </c>
    </row>
    <row r="225">
      <c r="A225" s="37" t="s">
        <v>1793</v>
      </c>
      <c r="B225" s="37" t="s">
        <v>1794</v>
      </c>
    </row>
    <row r="226">
      <c r="A226" s="37" t="s">
        <v>1988</v>
      </c>
      <c r="B226" s="37" t="s">
        <v>1377</v>
      </c>
    </row>
    <row r="227">
      <c r="A227" s="37" t="s">
        <v>1459</v>
      </c>
      <c r="B227" s="37" t="s">
        <v>1460</v>
      </c>
    </row>
    <row r="228">
      <c r="A228" s="37" t="s">
        <v>1424</v>
      </c>
      <c r="B228" s="37" t="s">
        <v>1426</v>
      </c>
    </row>
    <row r="229">
      <c r="A229" s="37" t="s">
        <v>1845</v>
      </c>
      <c r="B229" s="37" t="s">
        <v>1428</v>
      </c>
    </row>
    <row r="230">
      <c r="A230" s="37" t="s">
        <v>1580</v>
      </c>
      <c r="B230" s="37" t="s">
        <v>3454</v>
      </c>
    </row>
    <row r="231">
      <c r="A231" s="37" t="s">
        <v>1874</v>
      </c>
      <c r="B231" s="37" t="s">
        <v>3453</v>
      </c>
    </row>
    <row r="232">
      <c r="A232" s="37" t="s">
        <v>1504</v>
      </c>
      <c r="B232" s="37" t="s">
        <v>1505</v>
      </c>
    </row>
    <row r="233">
      <c r="A233" s="37" t="s">
        <v>1965</v>
      </c>
      <c r="B233" s="37" t="s">
        <v>1966</v>
      </c>
    </row>
    <row r="234">
      <c r="A234" s="37" t="s">
        <v>1613</v>
      </c>
      <c r="B234" s="37" t="s">
        <v>1614</v>
      </c>
    </row>
    <row r="235">
      <c r="A235" s="37" t="s">
        <v>1777</v>
      </c>
      <c r="B235" s="37" t="s">
        <v>1377</v>
      </c>
    </row>
    <row r="236">
      <c r="A236" s="37" t="s">
        <v>1982</v>
      </c>
      <c r="B236" s="37" t="s">
        <v>1983</v>
      </c>
    </row>
    <row r="237">
      <c r="A237" s="37" t="s">
        <v>1691</v>
      </c>
      <c r="B237" s="37" t="s">
        <v>1692</v>
      </c>
    </row>
    <row r="238">
      <c r="A238" s="37" t="s">
        <v>1888</v>
      </c>
      <c r="B238" s="37" t="s">
        <v>1889</v>
      </c>
    </row>
    <row r="239">
      <c r="A239" s="37" t="s">
        <v>1396</v>
      </c>
      <c r="B239" s="37" t="s">
        <v>1397</v>
      </c>
    </row>
    <row r="240">
      <c r="A240" s="37" t="s">
        <v>1844</v>
      </c>
      <c r="B240" s="37" t="s">
        <v>1389</v>
      </c>
    </row>
    <row r="241">
      <c r="A241" s="37" t="s">
        <v>1763</v>
      </c>
      <c r="B241" s="37" t="s">
        <v>1389</v>
      </c>
    </row>
    <row r="242">
      <c r="A242" s="37" t="s">
        <v>1388</v>
      </c>
      <c r="B242" s="37" t="s">
        <v>1389</v>
      </c>
    </row>
    <row r="243">
      <c r="A243" s="37" t="s">
        <v>2045</v>
      </c>
      <c r="B243" s="37" t="s">
        <v>1389</v>
      </c>
    </row>
    <row r="244">
      <c r="A244" s="37" t="s">
        <v>1685</v>
      </c>
      <c r="B244" s="37" t="s">
        <v>1389</v>
      </c>
    </row>
    <row r="245">
      <c r="A245" s="37" t="s">
        <v>1772</v>
      </c>
      <c r="B245" s="37" t="s">
        <v>1773</v>
      </c>
    </row>
    <row r="246">
      <c r="A246" s="37" t="s">
        <v>1633</v>
      </c>
      <c r="B246" s="37" t="s">
        <v>1634</v>
      </c>
    </row>
    <row r="247">
      <c r="A247" s="37" t="s">
        <v>1932</v>
      </c>
      <c r="B247" s="37" t="s">
        <v>1933</v>
      </c>
    </row>
    <row r="248">
      <c r="A248" s="37" t="s">
        <v>1806</v>
      </c>
      <c r="B248" s="37" t="s">
        <v>1467</v>
      </c>
    </row>
    <row r="249">
      <c r="A249" s="37" t="s">
        <v>1838</v>
      </c>
      <c r="B249" s="37" t="s">
        <v>1839</v>
      </c>
    </row>
    <row r="250">
      <c r="A250" s="37" t="s">
        <v>1534</v>
      </c>
      <c r="B250" s="37" t="s">
        <v>1535</v>
      </c>
      <c r="C250" s="37" t="s">
        <v>1053</v>
      </c>
    </row>
    <row r="251">
      <c r="A251" s="37" t="s">
        <v>1420</v>
      </c>
      <c r="B251" s="37" t="s">
        <v>1421</v>
      </c>
    </row>
    <row r="252">
      <c r="A252" s="37" t="s">
        <v>1653</v>
      </c>
      <c r="B252" s="37" t="s">
        <v>1654</v>
      </c>
    </row>
    <row r="253">
      <c r="A253" s="37" t="s">
        <v>1831</v>
      </c>
      <c r="B253" s="37" t="s">
        <v>1421</v>
      </c>
    </row>
    <row r="254">
      <c r="A254" s="37" t="s">
        <v>1471</v>
      </c>
      <c r="B254" s="37" t="s">
        <v>1472</v>
      </c>
    </row>
    <row r="255">
      <c r="A255" s="37" t="s">
        <v>1861</v>
      </c>
      <c r="B255" s="37" t="s">
        <v>1862</v>
      </c>
    </row>
    <row r="256">
      <c r="A256" s="37" t="s">
        <v>1884</v>
      </c>
      <c r="B256" s="37" t="s">
        <v>1389</v>
      </c>
    </row>
    <row r="257">
      <c r="A257" s="37" t="s">
        <v>1533</v>
      </c>
      <c r="B257" s="37" t="s">
        <v>1453</v>
      </c>
    </row>
    <row r="258">
      <c r="A258" s="37" t="s">
        <v>1648</v>
      </c>
      <c r="B258" s="37" t="s">
        <v>1453</v>
      </c>
    </row>
    <row r="259">
      <c r="A259" s="37" t="s">
        <v>1783</v>
      </c>
      <c r="B259" s="37" t="s">
        <v>1421</v>
      </c>
    </row>
    <row r="260">
      <c r="A260" s="37" t="s">
        <v>1376</v>
      </c>
      <c r="B260" s="37" t="s">
        <v>1377</v>
      </c>
    </row>
    <row r="261">
      <c r="A261" s="37" t="s">
        <v>1747</v>
      </c>
      <c r="B261" s="37" t="s">
        <v>1505</v>
      </c>
    </row>
    <row r="262">
      <c r="A262" s="37" t="s">
        <v>1975</v>
      </c>
      <c r="B262" s="37" t="s">
        <v>3453</v>
      </c>
    </row>
    <row r="263">
      <c r="A263" s="37" t="s">
        <v>1452</v>
      </c>
      <c r="B263" s="37" t="s">
        <v>1453</v>
      </c>
    </row>
    <row r="264">
      <c r="A264" s="37" t="s">
        <v>1722</v>
      </c>
      <c r="B264" s="37" t="s">
        <v>1723</v>
      </c>
    </row>
    <row r="265">
      <c r="A265" s="37" t="s">
        <v>1417</v>
      </c>
      <c r="B265" s="37" t="s">
        <v>1418</v>
      </c>
    </row>
    <row r="266">
      <c r="A266" s="37" t="s">
        <v>1782</v>
      </c>
      <c r="B266" s="37" t="s">
        <v>1374</v>
      </c>
    </row>
    <row r="267">
      <c r="A267" s="37" t="s">
        <v>1811</v>
      </c>
      <c r="B267" s="37" t="s">
        <v>1812</v>
      </c>
    </row>
    <row r="268">
      <c r="A268" s="37" t="s">
        <v>2044</v>
      </c>
      <c r="B268" s="37" t="s">
        <v>1642</v>
      </c>
    </row>
    <row r="269">
      <c r="A269" s="37" t="s">
        <v>1869</v>
      </c>
      <c r="B269" s="37" t="s">
        <v>1389</v>
      </c>
    </row>
    <row r="270">
      <c r="A270" s="37" t="s">
        <v>1778</v>
      </c>
      <c r="B270" s="37" t="s">
        <v>1479</v>
      </c>
    </row>
    <row r="271">
      <c r="A271" s="37" t="s">
        <v>1991</v>
      </c>
      <c r="B271" s="37" t="s">
        <v>1992</v>
      </c>
    </row>
    <row r="272">
      <c r="A272" s="37" t="s">
        <v>1750</v>
      </c>
      <c r="B272" s="37" t="s">
        <v>1475</v>
      </c>
    </row>
    <row r="273">
      <c r="A273" s="37" t="s">
        <v>1478</v>
      </c>
      <c r="B273" s="37" t="s">
        <v>1479</v>
      </c>
    </row>
    <row r="274">
      <c r="A274" s="37" t="s">
        <v>1489</v>
      </c>
      <c r="B274" s="37" t="s">
        <v>3455</v>
      </c>
    </row>
    <row r="275">
      <c r="A275" s="37" t="s">
        <v>2000</v>
      </c>
      <c r="B275" s="37" t="s">
        <v>2001</v>
      </c>
    </row>
    <row r="276">
      <c r="A276" s="37" t="s">
        <v>1954</v>
      </c>
      <c r="B276" s="37" t="s">
        <v>1955</v>
      </c>
    </row>
    <row r="277">
      <c r="A277" s="37" t="s">
        <v>1689</v>
      </c>
      <c r="B277" s="37" t="s">
        <v>1467</v>
      </c>
    </row>
    <row r="278">
      <c r="A278" s="37" t="s">
        <v>2026</v>
      </c>
      <c r="B278" s="37" t="s">
        <v>2027</v>
      </c>
    </row>
    <row r="279">
      <c r="A279" s="37" t="s">
        <v>1569</v>
      </c>
      <c r="B279" s="37" t="s">
        <v>1570</v>
      </c>
    </row>
    <row r="280">
      <c r="A280" s="37" t="s">
        <v>1690</v>
      </c>
      <c r="B280" s="37" t="s">
        <v>1385</v>
      </c>
    </row>
    <row r="281">
      <c r="A281" s="37" t="s">
        <v>1526</v>
      </c>
      <c r="B281" s="37" t="s">
        <v>1527</v>
      </c>
    </row>
    <row r="282">
      <c r="A282" s="37" t="s">
        <v>1744</v>
      </c>
      <c r="B282" s="37" t="s">
        <v>1745</v>
      </c>
    </row>
    <row r="283">
      <c r="A283" s="37" t="s">
        <v>1732</v>
      </c>
      <c r="B283" s="37" t="s">
        <v>3456</v>
      </c>
    </row>
    <row r="284">
      <c r="A284" s="37" t="s">
        <v>1511</v>
      </c>
      <c r="B284" s="37" t="s">
        <v>3457</v>
      </c>
    </row>
    <row r="285">
      <c r="A285" s="37" t="s">
        <v>1917</v>
      </c>
      <c r="B285" s="37" t="s">
        <v>1918</v>
      </c>
    </row>
    <row r="286">
      <c r="A286" s="37" t="s">
        <v>1789</v>
      </c>
      <c r="B286" s="37" t="s">
        <v>1790</v>
      </c>
    </row>
    <row r="287">
      <c r="A287" s="37" t="s">
        <v>1762</v>
      </c>
      <c r="B287" s="37" t="s">
        <v>1535</v>
      </c>
    </row>
    <row r="288">
      <c r="A288" s="37" t="s">
        <v>1939</v>
      </c>
      <c r="B288" s="37" t="s">
        <v>1798</v>
      </c>
    </row>
    <row r="289">
      <c r="A289" s="37" t="s">
        <v>1853</v>
      </c>
      <c r="B289" s="37" t="s">
        <v>1798</v>
      </c>
    </row>
    <row r="290">
      <c r="A290" s="37" t="s">
        <v>1952</v>
      </c>
      <c r="B290" s="37" t="s">
        <v>1798</v>
      </c>
    </row>
    <row r="291">
      <c r="A291" s="37" t="s">
        <v>1938</v>
      </c>
      <c r="B291" s="37" t="s">
        <v>1604</v>
      </c>
    </row>
    <row r="292">
      <c r="A292" s="37" t="s">
        <v>1748</v>
      </c>
      <c r="B292" s="37" t="s">
        <v>1453</v>
      </c>
    </row>
    <row r="293">
      <c r="A293" s="37" t="s">
        <v>1543</v>
      </c>
      <c r="B293" s="37" t="s">
        <v>1544</v>
      </c>
    </row>
    <row r="294">
      <c r="A294" s="37" t="s">
        <v>1637</v>
      </c>
      <c r="B294" s="37" t="s">
        <v>1638</v>
      </c>
    </row>
    <row r="295">
      <c r="A295" s="37" t="s">
        <v>1324</v>
      </c>
      <c r="B295" s="37" t="s">
        <v>1726</v>
      </c>
    </row>
    <row r="296">
      <c r="A296" s="37" t="s">
        <v>1695</v>
      </c>
      <c r="B296" s="37" t="s">
        <v>1696</v>
      </c>
    </row>
    <row r="297">
      <c r="A297" s="37" t="s">
        <v>2008</v>
      </c>
      <c r="B297" s="37" t="s">
        <v>2009</v>
      </c>
    </row>
    <row r="298">
      <c r="A298" s="37" t="s">
        <v>3458</v>
      </c>
      <c r="B298" s="37" t="s">
        <v>2193</v>
      </c>
    </row>
    <row r="299">
      <c r="A299" s="37" t="s">
        <v>1847</v>
      </c>
      <c r="B299" s="37" t="s">
        <v>1486</v>
      </c>
    </row>
    <row r="300">
      <c r="A300" s="37" t="s">
        <v>1761</v>
      </c>
      <c r="B300" s="37" t="s">
        <v>1486</v>
      </c>
    </row>
    <row r="301">
      <c r="A301" s="37" t="s">
        <v>1470</v>
      </c>
      <c r="B301" s="37" t="s">
        <v>1381</v>
      </c>
    </row>
    <row r="302">
      <c r="A302" s="37" t="s">
        <v>1936</v>
      </c>
      <c r="B302" s="37" t="s">
        <v>1535</v>
      </c>
    </row>
    <row r="303">
      <c r="A303" s="37" t="s">
        <v>1995</v>
      </c>
      <c r="B303" s="37" t="s">
        <v>1374</v>
      </c>
    </row>
    <row r="304">
      <c r="A304" s="37" t="s">
        <v>1912</v>
      </c>
      <c r="B304" s="37" t="s">
        <v>1737</v>
      </c>
    </row>
    <row r="305">
      <c r="A305" s="37" t="s">
        <v>1968</v>
      </c>
      <c r="B305" s="37" t="s">
        <v>1642</v>
      </c>
    </row>
    <row r="306">
      <c r="A306" s="37" t="s">
        <v>1841</v>
      </c>
      <c r="B306" s="37" t="s">
        <v>1842</v>
      </c>
    </row>
    <row r="307">
      <c r="A307" s="37" t="s">
        <v>1549</v>
      </c>
      <c r="B307" s="37" t="s">
        <v>1550</v>
      </c>
    </row>
    <row r="308">
      <c r="A308" s="37" t="s">
        <v>1999</v>
      </c>
      <c r="B308" s="37" t="s">
        <v>1472</v>
      </c>
    </row>
    <row r="309">
      <c r="A309" s="37" t="s">
        <v>1953</v>
      </c>
      <c r="B309" s="37" t="s">
        <v>1564</v>
      </c>
    </row>
    <row r="310">
      <c r="A310" s="37" t="s">
        <v>1712</v>
      </c>
      <c r="B310" s="37" t="s">
        <v>3457</v>
      </c>
    </row>
    <row r="311">
      <c r="A311" s="37" t="s">
        <v>1626</v>
      </c>
      <c r="B311" s="37" t="s">
        <v>1627</v>
      </c>
    </row>
    <row r="312">
      <c r="A312" s="37" t="s">
        <v>1771</v>
      </c>
      <c r="B312" s="37" t="s">
        <v>1453</v>
      </c>
    </row>
    <row r="313">
      <c r="A313" s="37" t="s">
        <v>1854</v>
      </c>
      <c r="B313" s="37" t="s">
        <v>1421</v>
      </c>
    </row>
    <row r="314">
      <c r="A314" s="37" t="s">
        <v>1981</v>
      </c>
      <c r="B314" s="37" t="s">
        <v>1374</v>
      </c>
    </row>
    <row r="315">
      <c r="A315" s="37" t="s">
        <v>1553</v>
      </c>
      <c r="B315" s="37" t="s">
        <v>3457</v>
      </c>
    </row>
    <row r="316">
      <c r="A316" s="37" t="s">
        <v>1318</v>
      </c>
      <c r="B316" s="37" t="s">
        <v>3459</v>
      </c>
    </row>
    <row r="317">
      <c r="A317" s="37" t="s">
        <v>1881</v>
      </c>
      <c r="B317" s="37" t="s">
        <v>1882</v>
      </c>
    </row>
    <row r="318">
      <c r="A318" s="37" t="s">
        <v>1971</v>
      </c>
      <c r="B318" s="37" t="s">
        <v>1972</v>
      </c>
    </row>
    <row r="319">
      <c r="A319" s="37" t="s">
        <v>1596</v>
      </c>
      <c r="B319" s="37" t="s">
        <v>1597</v>
      </c>
    </row>
    <row r="320">
      <c r="A320" s="37" t="s">
        <v>1621</v>
      </c>
      <c r="B320" s="37" t="s">
        <v>1622</v>
      </c>
    </row>
    <row r="321">
      <c r="A321" s="37" t="s">
        <v>1441</v>
      </c>
      <c r="B321" s="37" t="s">
        <v>3460</v>
      </c>
    </row>
    <row r="322">
      <c r="A322" s="37" t="s">
        <v>1832</v>
      </c>
      <c r="B322" s="37" t="s">
        <v>1833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 customWidth="1" min="2" max="2" width="31.0"/>
    <col customWidth="1" min="4" max="4" width="42.88"/>
  </cols>
  <sheetData>
    <row r="1">
      <c r="A1" s="35"/>
      <c r="B1" s="36"/>
      <c r="D1" s="7" t="s">
        <v>3461</v>
      </c>
      <c r="E1" s="7" t="s">
        <v>3462</v>
      </c>
    </row>
    <row r="2">
      <c r="A2" s="35" t="s">
        <v>1046</v>
      </c>
      <c r="B2" s="36"/>
    </row>
    <row r="3">
      <c r="A3" s="8" t="s">
        <v>1051</v>
      </c>
      <c r="B3" s="36"/>
      <c r="D3" s="37" t="s">
        <v>1046</v>
      </c>
    </row>
    <row r="4">
      <c r="A4" s="8" t="s">
        <v>1054</v>
      </c>
      <c r="B4" s="36"/>
      <c r="D4" s="37" t="s">
        <v>1051</v>
      </c>
    </row>
    <row r="5">
      <c r="A5" s="8" t="s">
        <v>1057</v>
      </c>
      <c r="B5" s="36"/>
      <c r="D5" s="37" t="s">
        <v>1054</v>
      </c>
    </row>
    <row r="6">
      <c r="A6" s="8" t="s">
        <v>1060</v>
      </c>
      <c r="B6" s="36"/>
      <c r="D6" s="37" t="s">
        <v>1057</v>
      </c>
    </row>
    <row r="7">
      <c r="A7" s="8" t="s">
        <v>1062</v>
      </c>
      <c r="B7" s="36"/>
      <c r="D7" s="37" t="s">
        <v>1060</v>
      </c>
    </row>
    <row r="8">
      <c r="A8" s="8" t="s">
        <v>1065</v>
      </c>
      <c r="B8" s="36"/>
      <c r="D8" s="37" t="s">
        <v>1062</v>
      </c>
    </row>
    <row r="9">
      <c r="A9" s="8" t="s">
        <v>1068</v>
      </c>
      <c r="B9" s="36"/>
      <c r="D9" s="37" t="s">
        <v>1065</v>
      </c>
    </row>
    <row r="10">
      <c r="A10" s="8" t="s">
        <v>1071</v>
      </c>
      <c r="B10" s="36"/>
      <c r="D10" s="37" t="s">
        <v>1068</v>
      </c>
    </row>
    <row r="11">
      <c r="A11" s="8" t="s">
        <v>1072</v>
      </c>
      <c r="B11" s="36"/>
      <c r="D11" s="37" t="s">
        <v>1071</v>
      </c>
    </row>
    <row r="12">
      <c r="A12" s="8" t="s">
        <v>1075</v>
      </c>
      <c r="B12" s="36"/>
      <c r="D12" s="37" t="s">
        <v>1072</v>
      </c>
    </row>
    <row r="13">
      <c r="A13" s="8" t="s">
        <v>1078</v>
      </c>
      <c r="B13" s="36"/>
      <c r="D13" s="37" t="s">
        <v>1075</v>
      </c>
    </row>
    <row r="14">
      <c r="A14" s="8" t="s">
        <v>1081</v>
      </c>
      <c r="B14" s="36"/>
      <c r="D14" s="37" t="s">
        <v>1078</v>
      </c>
    </row>
    <row r="15">
      <c r="A15" s="8" t="s">
        <v>1082</v>
      </c>
      <c r="B15" s="36"/>
      <c r="D15" s="37" t="s">
        <v>1081</v>
      </c>
    </row>
    <row r="16">
      <c r="A16" s="8" t="s">
        <v>1085</v>
      </c>
      <c r="B16" s="36"/>
      <c r="D16" s="37" t="s">
        <v>1082</v>
      </c>
    </row>
    <row r="17">
      <c r="A17" s="8" t="s">
        <v>1087</v>
      </c>
      <c r="B17" s="36"/>
      <c r="D17" s="37" t="s">
        <v>1085</v>
      </c>
    </row>
    <row r="18">
      <c r="A18" s="8" t="s">
        <v>1090</v>
      </c>
      <c r="B18" s="36"/>
      <c r="D18" s="37" t="s">
        <v>1087</v>
      </c>
    </row>
    <row r="19">
      <c r="A19" s="8" t="s">
        <v>1093</v>
      </c>
      <c r="B19" s="36"/>
      <c r="D19" s="37" t="s">
        <v>1090</v>
      </c>
    </row>
    <row r="20">
      <c r="A20" s="8" t="s">
        <v>1096</v>
      </c>
      <c r="B20" s="36"/>
      <c r="D20" s="37" t="s">
        <v>1093</v>
      </c>
    </row>
    <row r="21">
      <c r="A21" s="36"/>
      <c r="B21" s="36"/>
      <c r="D21" s="37" t="s">
        <v>1096</v>
      </c>
    </row>
    <row r="22">
      <c r="A22" s="35"/>
      <c r="B22" s="39"/>
    </row>
    <row r="23">
      <c r="A23" s="35" t="s">
        <v>1099</v>
      </c>
      <c r="B23" s="39"/>
      <c r="D23" s="37" t="s">
        <v>1099</v>
      </c>
    </row>
    <row r="24">
      <c r="A24" s="8" t="s">
        <v>1100</v>
      </c>
      <c r="B24" s="8" t="s">
        <v>1101</v>
      </c>
      <c r="D24" s="37" t="s">
        <v>1100</v>
      </c>
      <c r="E24" s="7" t="s">
        <v>1242</v>
      </c>
    </row>
    <row r="25">
      <c r="A25" s="8" t="s">
        <v>1100</v>
      </c>
      <c r="B25" s="8" t="s">
        <v>444</v>
      </c>
      <c r="D25" s="37" t="s">
        <v>1106</v>
      </c>
      <c r="E25" s="7" t="s">
        <v>3463</v>
      </c>
    </row>
    <row r="26">
      <c r="A26" s="8" t="s">
        <v>1100</v>
      </c>
      <c r="B26" s="8" t="s">
        <v>56</v>
      </c>
      <c r="D26" s="37" t="s">
        <v>1114</v>
      </c>
    </row>
    <row r="27">
      <c r="A27" s="8" t="s">
        <v>1100</v>
      </c>
      <c r="B27" s="8" t="s">
        <v>1104</v>
      </c>
      <c r="D27" s="37" t="s">
        <v>1131</v>
      </c>
      <c r="E27" s="7" t="s">
        <v>780</v>
      </c>
    </row>
    <row r="28">
      <c r="A28" s="8" t="s">
        <v>1106</v>
      </c>
      <c r="B28" s="8" t="s">
        <v>1107</v>
      </c>
      <c r="D28" s="37" t="s">
        <v>1138</v>
      </c>
    </row>
    <row r="29">
      <c r="A29" s="8" t="s">
        <v>1106</v>
      </c>
      <c r="B29" s="8" t="s">
        <v>1109</v>
      </c>
      <c r="D29" s="37" t="s">
        <v>1149</v>
      </c>
    </row>
    <row r="30">
      <c r="A30" s="8" t="s">
        <v>1106</v>
      </c>
      <c r="B30" s="8" t="s">
        <v>1111</v>
      </c>
      <c r="D30" s="37" t="s">
        <v>1164</v>
      </c>
      <c r="E30" s="7" t="s">
        <v>1053</v>
      </c>
      <c r="F30" s="7" t="s">
        <v>3464</v>
      </c>
    </row>
    <row r="31">
      <c r="A31" s="8" t="s">
        <v>1106</v>
      </c>
      <c r="B31" s="8" t="s">
        <v>1112</v>
      </c>
      <c r="D31" s="37" t="s">
        <v>1166</v>
      </c>
    </row>
    <row r="32">
      <c r="A32" s="8" t="s">
        <v>1106</v>
      </c>
      <c r="B32" s="8" t="s">
        <v>1113</v>
      </c>
      <c r="D32" s="37" t="s">
        <v>1179</v>
      </c>
      <c r="E32" s="7" t="s">
        <v>188</v>
      </c>
    </row>
    <row r="33">
      <c r="A33" s="8" t="s">
        <v>1114</v>
      </c>
      <c r="B33" s="8" t="s">
        <v>1115</v>
      </c>
      <c r="D33" s="37" t="s">
        <v>1194</v>
      </c>
    </row>
    <row r="34">
      <c r="A34" s="8" t="s">
        <v>1114</v>
      </c>
      <c r="B34" s="8" t="s">
        <v>1118</v>
      </c>
      <c r="D34" s="37" t="s">
        <v>1195</v>
      </c>
    </row>
    <row r="35">
      <c r="A35" s="8" t="s">
        <v>1114</v>
      </c>
      <c r="B35" s="8" t="s">
        <v>1119</v>
      </c>
      <c r="D35" s="37" t="s">
        <v>1198</v>
      </c>
    </row>
    <row r="36">
      <c r="A36" s="8" t="s">
        <v>1114</v>
      </c>
      <c r="B36" s="8" t="s">
        <v>1120</v>
      </c>
      <c r="D36" s="37" t="s">
        <v>1205</v>
      </c>
    </row>
    <row r="37">
      <c r="A37" s="8" t="s">
        <v>1114</v>
      </c>
      <c r="B37" s="8" t="s">
        <v>1121</v>
      </c>
      <c r="D37" s="37" t="s">
        <v>1208</v>
      </c>
    </row>
    <row r="38">
      <c r="A38" s="8" t="s">
        <v>1114</v>
      </c>
      <c r="B38" s="8" t="s">
        <v>1122</v>
      </c>
      <c r="D38" s="37" t="s">
        <v>1211</v>
      </c>
    </row>
    <row r="39">
      <c r="A39" s="8" t="s">
        <v>1114</v>
      </c>
      <c r="B39" s="8" t="s">
        <v>1123</v>
      </c>
      <c r="D39" s="37" t="s">
        <v>1216</v>
      </c>
    </row>
    <row r="40">
      <c r="A40" s="8" t="s">
        <v>1114</v>
      </c>
      <c r="B40" s="8" t="s">
        <v>1124</v>
      </c>
      <c r="D40" s="37" t="s">
        <v>1219</v>
      </c>
    </row>
    <row r="41">
      <c r="A41" s="8" t="s">
        <v>1114</v>
      </c>
      <c r="B41" s="8" t="s">
        <v>1125</v>
      </c>
      <c r="D41" s="37" t="s">
        <v>1252</v>
      </c>
    </row>
    <row r="42">
      <c r="A42" s="8" t="s">
        <v>1114</v>
      </c>
      <c r="B42" s="8" t="s">
        <v>1126</v>
      </c>
      <c r="D42" s="37" t="s">
        <v>1213</v>
      </c>
    </row>
    <row r="43">
      <c r="A43" s="8" t="s">
        <v>1114</v>
      </c>
      <c r="B43" s="8" t="s">
        <v>1127</v>
      </c>
      <c r="D43" s="37" t="s">
        <v>1264</v>
      </c>
    </row>
    <row r="44">
      <c r="A44" s="8" t="s">
        <v>1114</v>
      </c>
      <c r="B44" s="8" t="s">
        <v>1128</v>
      </c>
      <c r="D44" s="37" t="s">
        <v>1268</v>
      </c>
    </row>
    <row r="45">
      <c r="A45" s="8" t="s">
        <v>1114</v>
      </c>
      <c r="B45" s="8" t="s">
        <v>1129</v>
      </c>
      <c r="D45" s="37" t="s">
        <v>1272</v>
      </c>
    </row>
    <row r="46">
      <c r="A46" s="8" t="s">
        <v>1114</v>
      </c>
      <c r="B46" s="8" t="s">
        <v>1111</v>
      </c>
      <c r="D46" s="37" t="s">
        <v>1273</v>
      </c>
    </row>
    <row r="47">
      <c r="A47" s="8" t="s">
        <v>1114</v>
      </c>
      <c r="B47" s="8" t="s">
        <v>1130</v>
      </c>
      <c r="D47" s="37" t="s">
        <v>1282</v>
      </c>
    </row>
    <row r="48">
      <c r="A48" s="8" t="s">
        <v>1131</v>
      </c>
      <c r="B48" s="8" t="s">
        <v>1132</v>
      </c>
      <c r="D48" s="37" t="s">
        <v>1285</v>
      </c>
    </row>
    <row r="49">
      <c r="A49" s="8" t="s">
        <v>1131</v>
      </c>
      <c r="B49" s="8" t="s">
        <v>1133</v>
      </c>
      <c r="D49" s="37" t="s">
        <v>1214</v>
      </c>
    </row>
    <row r="50">
      <c r="A50" s="8" t="s">
        <v>1131</v>
      </c>
      <c r="B50" s="8" t="s">
        <v>1134</v>
      </c>
      <c r="D50" s="37" t="s">
        <v>1293</v>
      </c>
    </row>
    <row r="51">
      <c r="A51" s="8" t="s">
        <v>1131</v>
      </c>
      <c r="B51" s="8" t="s">
        <v>1135</v>
      </c>
      <c r="D51" s="37" t="s">
        <v>1295</v>
      </c>
    </row>
    <row r="52">
      <c r="A52" s="8" t="s">
        <v>1131</v>
      </c>
      <c r="B52" s="8" t="s">
        <v>1136</v>
      </c>
      <c r="D52" s="118" t="s">
        <v>1367</v>
      </c>
    </row>
    <row r="53">
      <c r="A53" s="8" t="s">
        <v>1131</v>
      </c>
      <c r="B53" s="8" t="s">
        <v>1137</v>
      </c>
      <c r="D53" s="37" t="s">
        <v>1373</v>
      </c>
    </row>
    <row r="54">
      <c r="A54" s="8" t="s">
        <v>1131</v>
      </c>
      <c r="B54" s="8" t="s">
        <v>1111</v>
      </c>
      <c r="D54" s="37" t="s">
        <v>1376</v>
      </c>
    </row>
    <row r="55">
      <c r="A55" s="8" t="s">
        <v>1138</v>
      </c>
      <c r="B55" s="8" t="s">
        <v>1139</v>
      </c>
      <c r="D55" s="37" t="s">
        <v>1380</v>
      </c>
    </row>
    <row r="56">
      <c r="A56" s="8" t="s">
        <v>1149</v>
      </c>
      <c r="B56" s="8" t="s">
        <v>1150</v>
      </c>
      <c r="D56" s="37" t="s">
        <v>1384</v>
      </c>
    </row>
    <row r="57">
      <c r="A57" s="8" t="s">
        <v>1149</v>
      </c>
      <c r="B57" s="8" t="s">
        <v>1151</v>
      </c>
      <c r="D57" s="37" t="s">
        <v>1388</v>
      </c>
    </row>
    <row r="58">
      <c r="A58" s="8" t="s">
        <v>1149</v>
      </c>
      <c r="B58" s="8" t="s">
        <v>1152</v>
      </c>
      <c r="D58" s="37" t="s">
        <v>1392</v>
      </c>
    </row>
    <row r="59">
      <c r="A59" s="8" t="s">
        <v>1149</v>
      </c>
      <c r="B59" s="8" t="s">
        <v>1153</v>
      </c>
      <c r="D59" s="37" t="s">
        <v>1396</v>
      </c>
    </row>
    <row r="60">
      <c r="A60" s="8" t="s">
        <v>1149</v>
      </c>
      <c r="B60" s="8" t="s">
        <v>1111</v>
      </c>
      <c r="D60" s="37" t="s">
        <v>1409</v>
      </c>
    </row>
    <row r="61">
      <c r="A61" s="8" t="s">
        <v>1149</v>
      </c>
      <c r="B61" s="8" t="s">
        <v>1154</v>
      </c>
      <c r="D61" s="37" t="s">
        <v>1412</v>
      </c>
    </row>
    <row r="62">
      <c r="A62" s="8" t="s">
        <v>1164</v>
      </c>
      <c r="B62" s="8" t="s">
        <v>1139</v>
      </c>
      <c r="D62" s="37" t="s">
        <v>1417</v>
      </c>
    </row>
    <row r="63">
      <c r="A63" s="8" t="s">
        <v>1166</v>
      </c>
      <c r="B63" s="8" t="s">
        <v>1167</v>
      </c>
      <c r="D63" s="37" t="s">
        <v>1420</v>
      </c>
    </row>
    <row r="64">
      <c r="A64" s="8" t="s">
        <v>1166</v>
      </c>
      <c r="B64" s="8" t="s">
        <v>1133</v>
      </c>
      <c r="D64" s="37" t="s">
        <v>1424</v>
      </c>
    </row>
    <row r="65">
      <c r="A65" s="8" t="s">
        <v>1166</v>
      </c>
      <c r="B65" s="8" t="s">
        <v>1168</v>
      </c>
      <c r="D65" s="37" t="s">
        <v>1431</v>
      </c>
    </row>
    <row r="66">
      <c r="A66" s="8" t="s">
        <v>1166</v>
      </c>
      <c r="B66" s="8" t="s">
        <v>1169</v>
      </c>
      <c r="D66" s="37" t="s">
        <v>1436</v>
      </c>
    </row>
    <row r="67">
      <c r="A67" s="8" t="s">
        <v>1166</v>
      </c>
      <c r="B67" s="8" t="s">
        <v>1170</v>
      </c>
      <c r="D67" s="37" t="s">
        <v>1440</v>
      </c>
    </row>
    <row r="68">
      <c r="A68" s="8" t="s">
        <v>1166</v>
      </c>
      <c r="B68" s="8" t="s">
        <v>1144</v>
      </c>
      <c r="D68" s="37" t="s">
        <v>1441</v>
      </c>
    </row>
    <row r="69">
      <c r="A69" s="8" t="s">
        <v>1166</v>
      </c>
      <c r="B69" s="8" t="s">
        <v>1134</v>
      </c>
      <c r="D69" s="37" t="s">
        <v>1447</v>
      </c>
    </row>
    <row r="70">
      <c r="A70" s="8" t="s">
        <v>1166</v>
      </c>
      <c r="B70" s="8" t="s">
        <v>1171</v>
      </c>
      <c r="D70" s="37" t="s">
        <v>1448</v>
      </c>
    </row>
    <row r="71">
      <c r="A71" s="8" t="s">
        <v>1166</v>
      </c>
      <c r="B71" s="8" t="s">
        <v>1135</v>
      </c>
      <c r="D71" s="37" t="s">
        <v>1452</v>
      </c>
    </row>
    <row r="72">
      <c r="A72" s="8" t="s">
        <v>1166</v>
      </c>
      <c r="B72" s="8" t="s">
        <v>1172</v>
      </c>
      <c r="D72" s="37" t="s">
        <v>1455</v>
      </c>
    </row>
    <row r="73">
      <c r="A73" s="8" t="s">
        <v>1166</v>
      </c>
      <c r="B73" s="8" t="s">
        <v>1136</v>
      </c>
      <c r="D73" s="37" t="s">
        <v>1459</v>
      </c>
    </row>
    <row r="74">
      <c r="A74" s="8" t="s">
        <v>1166</v>
      </c>
      <c r="B74" s="8" t="s">
        <v>1173</v>
      </c>
      <c r="D74" s="37" t="s">
        <v>1462</v>
      </c>
    </row>
    <row r="75">
      <c r="A75" s="8" t="s">
        <v>1166</v>
      </c>
      <c r="B75" s="8" t="s">
        <v>1137</v>
      </c>
      <c r="D75" s="37" t="s">
        <v>1466</v>
      </c>
    </row>
    <row r="76">
      <c r="A76" s="8" t="s">
        <v>1166</v>
      </c>
      <c r="B76" s="8" t="s">
        <v>1174</v>
      </c>
      <c r="D76" s="37" t="s">
        <v>1470</v>
      </c>
    </row>
    <row r="77">
      <c r="A77" s="8" t="s">
        <v>1166</v>
      </c>
      <c r="B77" s="8" t="s">
        <v>1175</v>
      </c>
      <c r="D77" s="37" t="s">
        <v>1471</v>
      </c>
    </row>
    <row r="78">
      <c r="A78" s="8" t="s">
        <v>1166</v>
      </c>
      <c r="B78" s="8" t="s">
        <v>1111</v>
      </c>
      <c r="D78" s="37" t="s">
        <v>1474</v>
      </c>
    </row>
    <row r="79">
      <c r="A79" s="8" t="s">
        <v>1166</v>
      </c>
      <c r="B79" s="8" t="s">
        <v>1068</v>
      </c>
      <c r="D79" s="37" t="s">
        <v>1477</v>
      </c>
    </row>
    <row r="80">
      <c r="A80" s="8" t="s">
        <v>1166</v>
      </c>
      <c r="B80" s="8" t="s">
        <v>1177</v>
      </c>
      <c r="D80" s="37" t="s">
        <v>1478</v>
      </c>
    </row>
    <row r="81">
      <c r="A81" s="8" t="s">
        <v>1166</v>
      </c>
      <c r="B81" s="8" t="s">
        <v>1178</v>
      </c>
      <c r="D81" s="37" t="s">
        <v>1482</v>
      </c>
    </row>
    <row r="82">
      <c r="A82" s="8" t="s">
        <v>1166</v>
      </c>
      <c r="B82" s="8" t="s">
        <v>1081</v>
      </c>
      <c r="D82" s="37" t="s">
        <v>1485</v>
      </c>
    </row>
    <row r="83">
      <c r="A83" s="8" t="s">
        <v>1166</v>
      </c>
      <c r="B83" s="8" t="s">
        <v>1161</v>
      </c>
      <c r="D83" s="37" t="s">
        <v>1489</v>
      </c>
    </row>
    <row r="84">
      <c r="A84" s="8" t="s">
        <v>1179</v>
      </c>
      <c r="B84" s="8" t="s">
        <v>1180</v>
      </c>
      <c r="D84" s="37" t="s">
        <v>1493</v>
      </c>
    </row>
    <row r="85">
      <c r="A85" s="8" t="s">
        <v>1179</v>
      </c>
      <c r="B85" s="8" t="s">
        <v>1170</v>
      </c>
      <c r="D85" s="37" t="s">
        <v>1497</v>
      </c>
    </row>
    <row r="86">
      <c r="A86" s="8" t="s">
        <v>1179</v>
      </c>
      <c r="B86" s="8" t="s">
        <v>1183</v>
      </c>
      <c r="D86" s="37" t="s">
        <v>1500</v>
      </c>
    </row>
    <row r="87">
      <c r="A87" s="8" t="s">
        <v>1179</v>
      </c>
      <c r="B87" s="8" t="s">
        <v>1182</v>
      </c>
      <c r="D87" s="37" t="s">
        <v>1504</v>
      </c>
    </row>
    <row r="88">
      <c r="A88" s="8" t="s">
        <v>1179</v>
      </c>
      <c r="B88" s="8" t="s">
        <v>1151</v>
      </c>
      <c r="D88" s="37" t="s">
        <v>1508</v>
      </c>
    </row>
    <row r="89">
      <c r="A89" s="8" t="s">
        <v>1179</v>
      </c>
      <c r="B89" s="8" t="s">
        <v>1184</v>
      </c>
      <c r="D89" s="37" t="s">
        <v>1511</v>
      </c>
    </row>
    <row r="90">
      <c r="A90" s="8" t="s">
        <v>1179</v>
      </c>
      <c r="B90" s="8" t="s">
        <v>1153</v>
      </c>
      <c r="D90" s="37" t="s">
        <v>1514</v>
      </c>
    </row>
    <row r="91">
      <c r="A91" s="8" t="s">
        <v>1179</v>
      </c>
      <c r="B91" s="8" t="s">
        <v>1185</v>
      </c>
      <c r="D91" s="37" t="s">
        <v>1526</v>
      </c>
    </row>
    <row r="92">
      <c r="A92" s="8" t="s">
        <v>1179</v>
      </c>
      <c r="B92" s="8" t="s">
        <v>1186</v>
      </c>
      <c r="D92" s="37" t="s">
        <v>1528</v>
      </c>
    </row>
    <row r="93">
      <c r="A93" s="8" t="s">
        <v>1179</v>
      </c>
      <c r="B93" s="8" t="s">
        <v>1111</v>
      </c>
      <c r="D93" s="37" t="s">
        <v>1529</v>
      </c>
    </row>
    <row r="94">
      <c r="A94" s="8" t="s">
        <v>1179</v>
      </c>
      <c r="B94" s="8" t="s">
        <v>1187</v>
      </c>
      <c r="D94" s="37" t="s">
        <v>1533</v>
      </c>
    </row>
    <row r="95">
      <c r="A95" s="8" t="s">
        <v>1179</v>
      </c>
      <c r="B95" s="8" t="s">
        <v>1189</v>
      </c>
      <c r="D95" s="37" t="s">
        <v>1534</v>
      </c>
    </row>
    <row r="96">
      <c r="A96" s="8" t="s">
        <v>1179</v>
      </c>
      <c r="B96" s="8" t="s">
        <v>1191</v>
      </c>
      <c r="D96" s="37" t="s">
        <v>1539</v>
      </c>
    </row>
    <row r="97">
      <c r="A97" s="8" t="s">
        <v>1194</v>
      </c>
      <c r="B97" s="8" t="s">
        <v>1139</v>
      </c>
      <c r="D97" s="37" t="s">
        <v>1542</v>
      </c>
    </row>
    <row r="98">
      <c r="A98" s="8" t="s">
        <v>1195</v>
      </c>
      <c r="B98" s="8" t="s">
        <v>1196</v>
      </c>
      <c r="D98" s="37" t="s">
        <v>1543</v>
      </c>
    </row>
    <row r="99">
      <c r="A99" s="8" t="s">
        <v>1198</v>
      </c>
      <c r="B99" s="8" t="s">
        <v>1199</v>
      </c>
      <c r="D99" s="37" t="s">
        <v>1546</v>
      </c>
    </row>
    <row r="100">
      <c r="A100" s="8" t="s">
        <v>1198</v>
      </c>
      <c r="B100" s="8" t="s">
        <v>46</v>
      </c>
      <c r="D100" s="37" t="s">
        <v>1549</v>
      </c>
    </row>
    <row r="101">
      <c r="A101" s="8" t="s">
        <v>1198</v>
      </c>
      <c r="B101" s="8" t="s">
        <v>59</v>
      </c>
      <c r="D101" s="37" t="s">
        <v>1553</v>
      </c>
    </row>
    <row r="102">
      <c r="A102" s="8" t="s">
        <v>1198</v>
      </c>
      <c r="B102" s="8" t="s">
        <v>1200</v>
      </c>
      <c r="D102" s="37" t="s">
        <v>1554</v>
      </c>
    </row>
    <row r="103">
      <c r="A103" s="8" t="s">
        <v>1198</v>
      </c>
      <c r="B103" s="8" t="s">
        <v>1201</v>
      </c>
      <c r="D103" s="37" t="s">
        <v>1558</v>
      </c>
    </row>
    <row r="104">
      <c r="A104" s="8" t="s">
        <v>1198</v>
      </c>
      <c r="B104" s="8" t="s">
        <v>1202</v>
      </c>
      <c r="D104" s="37" t="s">
        <v>1562</v>
      </c>
    </row>
    <row r="105">
      <c r="A105" s="8" t="s">
        <v>1198</v>
      </c>
      <c r="B105" s="8" t="s">
        <v>56</v>
      </c>
      <c r="D105" s="37" t="s">
        <v>1563</v>
      </c>
    </row>
    <row r="106">
      <c r="A106" s="8" t="s">
        <v>1198</v>
      </c>
      <c r="B106" s="8" t="s">
        <v>292</v>
      </c>
      <c r="D106" s="37" t="s">
        <v>1567</v>
      </c>
    </row>
    <row r="107">
      <c r="A107" s="8" t="s">
        <v>1198</v>
      </c>
      <c r="B107" s="8" t="s">
        <v>1203</v>
      </c>
      <c r="D107" s="37" t="s">
        <v>1569</v>
      </c>
    </row>
    <row r="108">
      <c r="A108" s="8" t="s">
        <v>1198</v>
      </c>
      <c r="B108" s="8" t="s">
        <v>1204</v>
      </c>
      <c r="D108" s="37" t="s">
        <v>1573</v>
      </c>
    </row>
    <row r="109">
      <c r="A109" s="8" t="s">
        <v>1205</v>
      </c>
      <c r="B109" s="8" t="s">
        <v>1206</v>
      </c>
      <c r="D109" s="37" t="s">
        <v>1576</v>
      </c>
    </row>
    <row r="110">
      <c r="A110" s="8" t="s">
        <v>1205</v>
      </c>
      <c r="B110" s="8" t="s">
        <v>1207</v>
      </c>
      <c r="D110" s="37" t="s">
        <v>1580</v>
      </c>
    </row>
    <row r="111">
      <c r="A111" s="8" t="s">
        <v>1205</v>
      </c>
      <c r="B111" s="8" t="s">
        <v>1111</v>
      </c>
      <c r="D111" s="37" t="s">
        <v>1584</v>
      </c>
    </row>
    <row r="112">
      <c r="A112" s="8" t="s">
        <v>1205</v>
      </c>
      <c r="B112" s="8" t="s">
        <v>1065</v>
      </c>
      <c r="D112" s="37" t="s">
        <v>1594</v>
      </c>
    </row>
    <row r="113">
      <c r="A113" s="8" t="s">
        <v>1208</v>
      </c>
      <c r="B113" s="8" t="s">
        <v>1209</v>
      </c>
      <c r="D113" s="37" t="s">
        <v>1596</v>
      </c>
    </row>
    <row r="114">
      <c r="A114" s="8" t="s">
        <v>1208</v>
      </c>
      <c r="B114" s="8" t="s">
        <v>1148</v>
      </c>
      <c r="D114" s="37" t="s">
        <v>1598</v>
      </c>
    </row>
    <row r="115">
      <c r="A115" s="8" t="s">
        <v>1208</v>
      </c>
      <c r="B115" s="8" t="s">
        <v>1210</v>
      </c>
      <c r="D115" s="37" t="s">
        <v>1599</v>
      </c>
    </row>
    <row r="116">
      <c r="A116" s="8" t="s">
        <v>1208</v>
      </c>
      <c r="B116" s="8" t="s">
        <v>1188</v>
      </c>
      <c r="D116" s="37" t="s">
        <v>1600</v>
      </c>
    </row>
    <row r="117">
      <c r="A117" s="8" t="s">
        <v>1208</v>
      </c>
      <c r="B117" s="8" t="s">
        <v>1111</v>
      </c>
      <c r="D117" s="37" t="s">
        <v>1603</v>
      </c>
    </row>
    <row r="118">
      <c r="A118" s="8" t="s">
        <v>1211</v>
      </c>
      <c r="B118" s="8" t="s">
        <v>1212</v>
      </c>
      <c r="D118" s="37" t="s">
        <v>1607</v>
      </c>
    </row>
    <row r="119">
      <c r="A119" s="8" t="s">
        <v>1211</v>
      </c>
      <c r="B119" s="8" t="s">
        <v>1213</v>
      </c>
      <c r="D119" s="37" t="s">
        <v>1608</v>
      </c>
    </row>
    <row r="120">
      <c r="A120" s="8" t="s">
        <v>1211</v>
      </c>
      <c r="B120" s="8" t="s">
        <v>1214</v>
      </c>
      <c r="D120" s="37" t="s">
        <v>1613</v>
      </c>
    </row>
    <row r="121">
      <c r="A121" s="8" t="s">
        <v>1211</v>
      </c>
      <c r="B121" s="8" t="s">
        <v>1111</v>
      </c>
      <c r="D121" s="37" t="s">
        <v>1617</v>
      </c>
    </row>
    <row r="122">
      <c r="A122" s="8" t="s">
        <v>1216</v>
      </c>
      <c r="B122" s="8" t="s">
        <v>1217</v>
      </c>
      <c r="D122" s="37" t="s">
        <v>1621</v>
      </c>
    </row>
    <row r="123">
      <c r="A123" s="8" t="s">
        <v>1216</v>
      </c>
      <c r="B123" s="8" t="s">
        <v>1111</v>
      </c>
      <c r="D123" s="37" t="s">
        <v>1626</v>
      </c>
    </row>
    <row r="124">
      <c r="A124" s="8" t="s">
        <v>1216</v>
      </c>
      <c r="B124" s="8" t="s">
        <v>1218</v>
      </c>
      <c r="D124" s="37" t="s">
        <v>1629</v>
      </c>
    </row>
    <row r="125">
      <c r="A125" s="8" t="s">
        <v>1219</v>
      </c>
      <c r="B125" s="8" t="s">
        <v>1220</v>
      </c>
      <c r="D125" s="37" t="s">
        <v>1633</v>
      </c>
    </row>
    <row r="126">
      <c r="A126" s="8" t="s">
        <v>1219</v>
      </c>
      <c r="B126" s="8" t="s">
        <v>1139</v>
      </c>
      <c r="D126" s="37" t="s">
        <v>1637</v>
      </c>
    </row>
    <row r="127">
      <c r="A127" s="8" t="s">
        <v>1219</v>
      </c>
      <c r="B127" s="8" t="s">
        <v>1221</v>
      </c>
      <c r="D127" s="37" t="s">
        <v>1640</v>
      </c>
    </row>
    <row r="128">
      <c r="A128" s="8" t="s">
        <v>1252</v>
      </c>
      <c r="B128" s="8" t="s">
        <v>1253</v>
      </c>
      <c r="D128" s="37" t="s">
        <v>1641</v>
      </c>
    </row>
    <row r="129">
      <c r="A129" s="8" t="s">
        <v>1252</v>
      </c>
      <c r="B129" s="8" t="s">
        <v>1254</v>
      </c>
      <c r="D129" s="37" t="s">
        <v>1644</v>
      </c>
    </row>
    <row r="130">
      <c r="A130" s="8" t="s">
        <v>1252</v>
      </c>
      <c r="B130" s="8" t="s">
        <v>1256</v>
      </c>
      <c r="D130" s="37" t="s">
        <v>1647</v>
      </c>
    </row>
    <row r="131">
      <c r="A131" s="8" t="s">
        <v>1252</v>
      </c>
      <c r="B131" s="8" t="s">
        <v>1111</v>
      </c>
      <c r="D131" s="37" t="s">
        <v>1648</v>
      </c>
    </row>
    <row r="132">
      <c r="A132" s="8" t="s">
        <v>1213</v>
      </c>
      <c r="B132" s="8" t="s">
        <v>1257</v>
      </c>
      <c r="D132" s="37" t="s">
        <v>1649</v>
      </c>
    </row>
    <row r="133">
      <c r="A133" s="8" t="s">
        <v>1213</v>
      </c>
      <c r="B133" s="8" t="s">
        <v>444</v>
      </c>
      <c r="D133" s="37" t="s">
        <v>1653</v>
      </c>
    </row>
    <row r="134">
      <c r="A134" s="8" t="s">
        <v>1213</v>
      </c>
      <c r="B134" s="8" t="s">
        <v>56</v>
      </c>
      <c r="D134" s="37" t="s">
        <v>1318</v>
      </c>
    </row>
    <row r="135">
      <c r="A135" s="8" t="s">
        <v>1213</v>
      </c>
      <c r="B135" s="8" t="s">
        <v>1260</v>
      </c>
      <c r="D135" s="37" t="s">
        <v>1658</v>
      </c>
    </row>
    <row r="136">
      <c r="A136" s="8" t="s">
        <v>1213</v>
      </c>
      <c r="B136" s="8" t="s">
        <v>1104</v>
      </c>
      <c r="D136" s="37" t="s">
        <v>1662</v>
      </c>
    </row>
    <row r="137">
      <c r="A137" s="8" t="s">
        <v>1264</v>
      </c>
      <c r="B137" s="8" t="s">
        <v>1180</v>
      </c>
      <c r="D137" s="37" t="s">
        <v>1666</v>
      </c>
    </row>
    <row r="138">
      <c r="A138" s="8" t="s">
        <v>1264</v>
      </c>
      <c r="B138" s="8" t="s">
        <v>1170</v>
      </c>
      <c r="D138" s="37" t="s">
        <v>1667</v>
      </c>
    </row>
    <row r="139">
      <c r="A139" s="8" t="s">
        <v>1264</v>
      </c>
      <c r="B139" s="8" t="s">
        <v>1144</v>
      </c>
      <c r="D139" s="37" t="s">
        <v>1669</v>
      </c>
    </row>
    <row r="140">
      <c r="A140" s="8" t="s">
        <v>1264</v>
      </c>
      <c r="B140" s="8" t="s">
        <v>1134</v>
      </c>
      <c r="D140" s="37" t="s">
        <v>1673</v>
      </c>
    </row>
    <row r="141">
      <c r="A141" s="8" t="s">
        <v>1264</v>
      </c>
      <c r="B141" s="8" t="s">
        <v>1265</v>
      </c>
      <c r="D141" s="37" t="s">
        <v>1677</v>
      </c>
    </row>
    <row r="142">
      <c r="A142" s="8" t="s">
        <v>1264</v>
      </c>
      <c r="B142" s="8" t="s">
        <v>1175</v>
      </c>
      <c r="D142" s="37" t="s">
        <v>1680</v>
      </c>
    </row>
    <row r="143">
      <c r="A143" s="8" t="s">
        <v>1264</v>
      </c>
      <c r="B143" s="8" t="s">
        <v>1187</v>
      </c>
      <c r="D143" s="37" t="s">
        <v>1684</v>
      </c>
    </row>
    <row r="144">
      <c r="A144" s="8" t="s">
        <v>1264</v>
      </c>
      <c r="B144" s="8" t="s">
        <v>1068</v>
      </c>
      <c r="D144" s="37" t="s">
        <v>1685</v>
      </c>
    </row>
    <row r="145">
      <c r="A145" s="8" t="s">
        <v>1264</v>
      </c>
      <c r="B145" s="8" t="s">
        <v>1081</v>
      </c>
      <c r="D145" s="37" t="s">
        <v>1686</v>
      </c>
    </row>
    <row r="146">
      <c r="A146" s="8" t="s">
        <v>1264</v>
      </c>
      <c r="B146" s="8" t="s">
        <v>1266</v>
      </c>
      <c r="D146" s="37" t="s">
        <v>1687</v>
      </c>
    </row>
    <row r="147">
      <c r="A147" s="8" t="s">
        <v>1264</v>
      </c>
      <c r="B147" s="8" t="s">
        <v>1267</v>
      </c>
      <c r="D147" s="37" t="s">
        <v>1689</v>
      </c>
    </row>
    <row r="148">
      <c r="A148" s="8" t="s">
        <v>1264</v>
      </c>
      <c r="B148" s="8" t="s">
        <v>1161</v>
      </c>
      <c r="D148" s="37" t="s">
        <v>1690</v>
      </c>
    </row>
    <row r="149">
      <c r="A149" s="8" t="s">
        <v>1268</v>
      </c>
      <c r="B149" s="8" t="s">
        <v>1225</v>
      </c>
      <c r="D149" s="37" t="s">
        <v>1691</v>
      </c>
    </row>
    <row r="150">
      <c r="A150" s="8" t="s">
        <v>1268</v>
      </c>
      <c r="B150" s="8" t="s">
        <v>1226</v>
      </c>
      <c r="D150" s="37" t="s">
        <v>1694</v>
      </c>
    </row>
    <row r="151">
      <c r="A151" s="8" t="s">
        <v>1268</v>
      </c>
      <c r="B151" s="8" t="s">
        <v>1183</v>
      </c>
      <c r="D151" s="37" t="s">
        <v>1695</v>
      </c>
    </row>
    <row r="152">
      <c r="A152" s="8" t="s">
        <v>1268</v>
      </c>
      <c r="B152" s="8" t="s">
        <v>1182</v>
      </c>
      <c r="D152" s="37" t="s">
        <v>1698</v>
      </c>
    </row>
    <row r="153">
      <c r="A153" s="8" t="s">
        <v>1268</v>
      </c>
      <c r="B153" s="8" t="s">
        <v>1111</v>
      </c>
      <c r="D153" s="37" t="s">
        <v>1700</v>
      </c>
    </row>
    <row r="154">
      <c r="A154" s="8" t="s">
        <v>1272</v>
      </c>
      <c r="B154" s="8" t="s">
        <v>1225</v>
      </c>
      <c r="D154" s="37" t="s">
        <v>1702</v>
      </c>
    </row>
    <row r="155">
      <c r="A155" s="8" t="s">
        <v>1272</v>
      </c>
      <c r="B155" s="8" t="s">
        <v>1226</v>
      </c>
      <c r="D155" s="37" t="s">
        <v>1711</v>
      </c>
    </row>
    <row r="156">
      <c r="A156" s="8" t="s">
        <v>1272</v>
      </c>
      <c r="B156" s="8" t="s">
        <v>1186</v>
      </c>
      <c r="D156" s="37" t="s">
        <v>1712</v>
      </c>
    </row>
    <row r="157">
      <c r="A157" s="8" t="s">
        <v>1272</v>
      </c>
      <c r="B157" s="8" t="s">
        <v>1111</v>
      </c>
      <c r="D157" s="37" t="s">
        <v>1713</v>
      </c>
    </row>
    <row r="158">
      <c r="A158" s="8" t="s">
        <v>1273</v>
      </c>
      <c r="B158" s="8" t="s">
        <v>1119</v>
      </c>
      <c r="D158" s="37" t="s">
        <v>1714</v>
      </c>
    </row>
    <row r="159">
      <c r="A159" s="8" t="s">
        <v>1273</v>
      </c>
      <c r="B159" s="8" t="s">
        <v>1120</v>
      </c>
      <c r="D159" s="37" t="s">
        <v>1718</v>
      </c>
    </row>
    <row r="160">
      <c r="A160" s="8" t="s">
        <v>1273</v>
      </c>
      <c r="B160" s="8" t="s">
        <v>1148</v>
      </c>
      <c r="D160" s="37" t="s">
        <v>1719</v>
      </c>
    </row>
    <row r="161">
      <c r="A161" s="8" t="s">
        <v>1273</v>
      </c>
      <c r="B161" s="8" t="s">
        <v>1183</v>
      </c>
      <c r="D161" s="37" t="s">
        <v>1720</v>
      </c>
    </row>
    <row r="162">
      <c r="A162" s="8" t="s">
        <v>1273</v>
      </c>
      <c r="B162" s="8" t="s">
        <v>1274</v>
      </c>
      <c r="D162" s="37" t="s">
        <v>1722</v>
      </c>
    </row>
    <row r="163">
      <c r="A163" s="8" t="s">
        <v>1273</v>
      </c>
      <c r="B163" s="8" t="s">
        <v>1276</v>
      </c>
      <c r="D163" s="37" t="s">
        <v>1725</v>
      </c>
    </row>
    <row r="164">
      <c r="A164" s="8" t="s">
        <v>1273</v>
      </c>
      <c r="B164" s="8" t="s">
        <v>1277</v>
      </c>
      <c r="D164" s="37" t="s">
        <v>1729</v>
      </c>
    </row>
    <row r="165">
      <c r="A165" s="8" t="s">
        <v>1273</v>
      </c>
      <c r="B165" s="8" t="s">
        <v>1151</v>
      </c>
      <c r="D165" s="37" t="s">
        <v>1730</v>
      </c>
    </row>
    <row r="166">
      <c r="A166" s="8" t="s">
        <v>1273</v>
      </c>
      <c r="B166" s="8" t="s">
        <v>1185</v>
      </c>
      <c r="D166" s="37" t="s">
        <v>1732</v>
      </c>
    </row>
    <row r="167">
      <c r="A167" s="8" t="s">
        <v>1273</v>
      </c>
      <c r="B167" s="8" t="s">
        <v>1278</v>
      </c>
      <c r="D167" s="37" t="s">
        <v>1734</v>
      </c>
    </row>
    <row r="168">
      <c r="A168" s="8" t="s">
        <v>1273</v>
      </c>
      <c r="B168" s="8" t="s">
        <v>1262</v>
      </c>
      <c r="D168" s="37" t="s">
        <v>1736</v>
      </c>
    </row>
    <row r="169">
      <c r="A169" s="8" t="s">
        <v>1273</v>
      </c>
      <c r="B169" s="8" t="s">
        <v>1279</v>
      </c>
      <c r="D169" s="37" t="s">
        <v>1740</v>
      </c>
    </row>
    <row r="170">
      <c r="A170" s="8" t="s">
        <v>1273</v>
      </c>
      <c r="B170" s="8" t="s">
        <v>1280</v>
      </c>
      <c r="D170" s="37" t="s">
        <v>1744</v>
      </c>
    </row>
    <row r="171">
      <c r="A171" s="8" t="s">
        <v>1273</v>
      </c>
      <c r="B171" s="8" t="s">
        <v>1111</v>
      </c>
      <c r="D171" s="37" t="s">
        <v>1746</v>
      </c>
    </row>
    <row r="172">
      <c r="A172" s="8" t="s">
        <v>1273</v>
      </c>
      <c r="B172" s="8" t="s">
        <v>1187</v>
      </c>
      <c r="D172" s="37" t="s">
        <v>1747</v>
      </c>
    </row>
    <row r="173">
      <c r="A173" s="8" t="s">
        <v>1273</v>
      </c>
      <c r="B173" s="8" t="s">
        <v>1189</v>
      </c>
      <c r="D173" s="37" t="s">
        <v>1748</v>
      </c>
    </row>
    <row r="174">
      <c r="A174" s="8" t="s">
        <v>1273</v>
      </c>
      <c r="B174" s="8" t="s">
        <v>1281</v>
      </c>
      <c r="D174" s="37" t="s">
        <v>1749</v>
      </c>
    </row>
    <row r="175">
      <c r="A175" s="8" t="s">
        <v>1273</v>
      </c>
      <c r="B175" s="8" t="s">
        <v>1191</v>
      </c>
      <c r="D175" s="37" t="s">
        <v>1750</v>
      </c>
    </row>
    <row r="176">
      <c r="A176" s="8" t="s">
        <v>1282</v>
      </c>
      <c r="B176" s="8" t="s">
        <v>1193</v>
      </c>
      <c r="D176" s="37" t="s">
        <v>1751</v>
      </c>
    </row>
    <row r="177">
      <c r="A177" s="8" t="s">
        <v>1282</v>
      </c>
      <c r="B177" s="8" t="s">
        <v>1111</v>
      </c>
      <c r="D177" s="37" t="s">
        <v>1755</v>
      </c>
    </row>
    <row r="178">
      <c r="A178" s="8" t="s">
        <v>1285</v>
      </c>
      <c r="B178" s="8" t="s">
        <v>1111</v>
      </c>
      <c r="D178" s="37" t="s">
        <v>1759</v>
      </c>
    </row>
    <row r="179">
      <c r="A179" s="8" t="s">
        <v>1214</v>
      </c>
      <c r="B179" s="8" t="s">
        <v>1286</v>
      </c>
      <c r="D179" s="37" t="s">
        <v>1760</v>
      </c>
    </row>
    <row r="180">
      <c r="A180" s="8" t="s">
        <v>1214</v>
      </c>
      <c r="B180" s="8" t="s">
        <v>1287</v>
      </c>
      <c r="D180" s="37" t="s">
        <v>1761</v>
      </c>
    </row>
    <row r="181">
      <c r="A181" s="8" t="s">
        <v>1214</v>
      </c>
      <c r="B181" s="8" t="s">
        <v>1288</v>
      </c>
      <c r="D181" s="37" t="s">
        <v>1762</v>
      </c>
    </row>
    <row r="182">
      <c r="A182" s="8" t="s">
        <v>1214</v>
      </c>
      <c r="B182" s="8" t="s">
        <v>1289</v>
      </c>
      <c r="D182" s="37" t="s">
        <v>1763</v>
      </c>
    </row>
    <row r="183">
      <c r="A183" s="8" t="s">
        <v>1214</v>
      </c>
      <c r="B183" s="8" t="s">
        <v>1290</v>
      </c>
      <c r="D183" s="37" t="s">
        <v>1764</v>
      </c>
    </row>
    <row r="184">
      <c r="A184" s="8" t="s">
        <v>1214</v>
      </c>
      <c r="B184" s="8" t="s">
        <v>1292</v>
      </c>
      <c r="D184" s="37" t="s">
        <v>1765</v>
      </c>
    </row>
    <row r="185">
      <c r="A185" s="8" t="s">
        <v>1214</v>
      </c>
      <c r="B185" s="8" t="s">
        <v>1104</v>
      </c>
      <c r="D185" s="37" t="s">
        <v>1766</v>
      </c>
    </row>
    <row r="186">
      <c r="A186" s="8" t="s">
        <v>1293</v>
      </c>
      <c r="B186" s="8" t="s">
        <v>1294</v>
      </c>
      <c r="D186" s="37" t="s">
        <v>1771</v>
      </c>
    </row>
    <row r="187">
      <c r="A187" s="8" t="s">
        <v>1293</v>
      </c>
      <c r="B187" s="8" t="s">
        <v>1111</v>
      </c>
      <c r="D187" s="37" t="s">
        <v>1772</v>
      </c>
    </row>
    <row r="188">
      <c r="A188" s="8" t="s">
        <v>1295</v>
      </c>
      <c r="B188" s="8" t="s">
        <v>1296</v>
      </c>
      <c r="D188" s="37" t="s">
        <v>1774</v>
      </c>
    </row>
    <row r="189">
      <c r="A189" s="8" t="s">
        <v>1051</v>
      </c>
      <c r="B189" s="8" t="s">
        <v>1134</v>
      </c>
      <c r="D189" s="37" t="s">
        <v>1776</v>
      </c>
    </row>
    <row r="190">
      <c r="A190" s="8" t="s">
        <v>1051</v>
      </c>
      <c r="B190" s="8" t="s">
        <v>1298</v>
      </c>
      <c r="D190" s="37" t="s">
        <v>1777</v>
      </c>
    </row>
    <row r="191">
      <c r="A191" s="8" t="s">
        <v>1051</v>
      </c>
      <c r="B191" s="8" t="s">
        <v>1111</v>
      </c>
      <c r="D191" s="37" t="s">
        <v>1778</v>
      </c>
    </row>
    <row r="192">
      <c r="A192" s="8" t="s">
        <v>1051</v>
      </c>
      <c r="B192" s="8" t="s">
        <v>1299</v>
      </c>
      <c r="D192" s="37" t="s">
        <v>1779</v>
      </c>
    </row>
    <row r="193">
      <c r="A193" s="8" t="s">
        <v>1051</v>
      </c>
      <c r="B193" s="8" t="s">
        <v>1087</v>
      </c>
      <c r="D193" s="37" t="s">
        <v>1782</v>
      </c>
    </row>
    <row r="194">
      <c r="A194" s="8" t="s">
        <v>1054</v>
      </c>
      <c r="B194" s="8" t="s">
        <v>1300</v>
      </c>
      <c r="D194" s="37" t="s">
        <v>1783</v>
      </c>
    </row>
    <row r="195">
      <c r="A195" s="8" t="s">
        <v>1054</v>
      </c>
      <c r="B195" s="8" t="s">
        <v>1301</v>
      </c>
      <c r="D195" s="37" t="s">
        <v>1784</v>
      </c>
    </row>
    <row r="196">
      <c r="A196" s="8" t="s">
        <v>1054</v>
      </c>
      <c r="B196" s="8" t="s">
        <v>1302</v>
      </c>
      <c r="D196" s="37" t="s">
        <v>1785</v>
      </c>
    </row>
    <row r="197">
      <c r="A197" s="8" t="s">
        <v>1054</v>
      </c>
      <c r="B197" s="8" t="s">
        <v>1303</v>
      </c>
      <c r="D197" s="37" t="s">
        <v>1786</v>
      </c>
    </row>
    <row r="198">
      <c r="A198" s="8" t="s">
        <v>1054</v>
      </c>
      <c r="B198" s="8" t="s">
        <v>1304</v>
      </c>
      <c r="D198" s="37" t="s">
        <v>1789</v>
      </c>
    </row>
    <row r="199">
      <c r="A199" s="8" t="s">
        <v>1054</v>
      </c>
      <c r="B199" s="8" t="s">
        <v>1305</v>
      </c>
      <c r="D199" s="37" t="s">
        <v>1793</v>
      </c>
    </row>
    <row r="200">
      <c r="A200" s="8" t="s">
        <v>1054</v>
      </c>
      <c r="B200" s="8" t="s">
        <v>1306</v>
      </c>
      <c r="D200" s="37" t="s">
        <v>1797</v>
      </c>
    </row>
    <row r="201">
      <c r="A201" s="8" t="s">
        <v>1054</v>
      </c>
      <c r="B201" s="8" t="s">
        <v>1278</v>
      </c>
      <c r="D201" s="37" t="s">
        <v>1799</v>
      </c>
    </row>
    <row r="202">
      <c r="A202" s="8" t="s">
        <v>1054</v>
      </c>
      <c r="B202" s="8" t="s">
        <v>1307</v>
      </c>
      <c r="D202" s="37" t="s">
        <v>1800</v>
      </c>
    </row>
    <row r="203">
      <c r="A203" s="8" t="s">
        <v>1054</v>
      </c>
      <c r="B203" s="8" t="s">
        <v>1308</v>
      </c>
      <c r="D203" s="37" t="s">
        <v>1806</v>
      </c>
    </row>
    <row r="204">
      <c r="A204" s="8" t="s">
        <v>1054</v>
      </c>
      <c r="B204" s="8" t="s">
        <v>1309</v>
      </c>
      <c r="D204" s="37" t="s">
        <v>1807</v>
      </c>
    </row>
    <row r="205">
      <c r="A205" s="8" t="s">
        <v>1054</v>
      </c>
      <c r="B205" s="8" t="s">
        <v>1228</v>
      </c>
      <c r="D205" s="37" t="s">
        <v>1811</v>
      </c>
    </row>
    <row r="206">
      <c r="A206" s="8" t="s">
        <v>1054</v>
      </c>
      <c r="B206" s="8" t="s">
        <v>1310</v>
      </c>
      <c r="D206" s="37" t="s">
        <v>1813</v>
      </c>
    </row>
    <row r="207">
      <c r="A207" s="8" t="s">
        <v>1054</v>
      </c>
      <c r="B207" s="8" t="s">
        <v>1137</v>
      </c>
      <c r="D207" s="37" t="s">
        <v>1815</v>
      </c>
    </row>
    <row r="208">
      <c r="A208" s="8" t="s">
        <v>1054</v>
      </c>
      <c r="B208" s="8" t="s">
        <v>1311</v>
      </c>
      <c r="D208" s="37" t="s">
        <v>1819</v>
      </c>
    </row>
    <row r="209">
      <c r="A209" s="8" t="s">
        <v>1054</v>
      </c>
      <c r="B209" s="8" t="s">
        <v>1111</v>
      </c>
      <c r="D209" s="37" t="s">
        <v>1820</v>
      </c>
    </row>
    <row r="210">
      <c r="A210" s="8" t="s">
        <v>1054</v>
      </c>
      <c r="B210" s="8" t="s">
        <v>1187</v>
      </c>
      <c r="D210" s="37" t="s">
        <v>1825</v>
      </c>
    </row>
    <row r="211">
      <c r="A211" s="8" t="s">
        <v>1054</v>
      </c>
      <c r="B211" s="8" t="s">
        <v>1312</v>
      </c>
      <c r="D211" s="37" t="s">
        <v>1826</v>
      </c>
    </row>
    <row r="212">
      <c r="A212" s="8" t="s">
        <v>1054</v>
      </c>
      <c r="B212" s="8" t="s">
        <v>1162</v>
      </c>
      <c r="D212" s="37" t="s">
        <v>1829</v>
      </c>
    </row>
    <row r="213">
      <c r="A213" s="8" t="s">
        <v>1054</v>
      </c>
      <c r="B213" s="8" t="s">
        <v>1314</v>
      </c>
      <c r="D213" s="37" t="s">
        <v>1831</v>
      </c>
    </row>
    <row r="214">
      <c r="A214" s="8" t="s">
        <v>1054</v>
      </c>
      <c r="B214" s="8" t="s">
        <v>1266</v>
      </c>
      <c r="D214" s="37" t="s">
        <v>1832</v>
      </c>
    </row>
    <row r="215">
      <c r="A215" s="8" t="s">
        <v>1054</v>
      </c>
      <c r="B215" s="8" t="s">
        <v>1315</v>
      </c>
      <c r="D215" s="37" t="s">
        <v>1838</v>
      </c>
    </row>
    <row r="216">
      <c r="A216" s="8" t="s">
        <v>1054</v>
      </c>
      <c r="B216" s="8" t="s">
        <v>1267</v>
      </c>
      <c r="D216" s="37" t="s">
        <v>1840</v>
      </c>
    </row>
    <row r="217">
      <c r="A217" s="8" t="s">
        <v>1054</v>
      </c>
      <c r="B217" s="8" t="s">
        <v>1161</v>
      </c>
      <c r="D217" s="37" t="s">
        <v>1841</v>
      </c>
    </row>
    <row r="218">
      <c r="A218" s="8" t="s">
        <v>1057</v>
      </c>
      <c r="B218" s="8" t="s">
        <v>1139</v>
      </c>
      <c r="D218" s="37" t="s">
        <v>1844</v>
      </c>
    </row>
    <row r="219">
      <c r="A219" s="8" t="s">
        <v>1060</v>
      </c>
      <c r="B219" s="8" t="s">
        <v>1111</v>
      </c>
      <c r="D219" s="37" t="s">
        <v>1845</v>
      </c>
    </row>
    <row r="220">
      <c r="A220" s="8" t="s">
        <v>1060</v>
      </c>
      <c r="B220" s="8" t="s">
        <v>1317</v>
      </c>
      <c r="D220" s="37" t="s">
        <v>1846</v>
      </c>
    </row>
    <row r="221">
      <c r="A221" s="8" t="s">
        <v>1062</v>
      </c>
      <c r="B221" s="8" t="s">
        <v>1111</v>
      </c>
      <c r="D221" s="37" t="s">
        <v>1847</v>
      </c>
    </row>
    <row r="222">
      <c r="A222" s="8" t="s">
        <v>1062</v>
      </c>
      <c r="B222" s="8" t="s">
        <v>1237</v>
      </c>
      <c r="D222" s="37" t="s">
        <v>1848</v>
      </c>
    </row>
    <row r="223">
      <c r="A223" s="8" t="s">
        <v>1065</v>
      </c>
      <c r="B223" s="8" t="s">
        <v>1318</v>
      </c>
      <c r="D223" s="37" t="s">
        <v>1851</v>
      </c>
    </row>
    <row r="224">
      <c r="A224" s="8" t="s">
        <v>1065</v>
      </c>
      <c r="B224" s="8" t="s">
        <v>1319</v>
      </c>
      <c r="D224" s="37" t="s">
        <v>1853</v>
      </c>
    </row>
    <row r="225">
      <c r="A225" s="8" t="s">
        <v>1065</v>
      </c>
      <c r="B225" s="8" t="s">
        <v>1320</v>
      </c>
      <c r="D225" s="37" t="s">
        <v>1854</v>
      </c>
    </row>
    <row r="226">
      <c r="A226" s="8" t="s">
        <v>1065</v>
      </c>
      <c r="B226" s="8" t="s">
        <v>1321</v>
      </c>
      <c r="D226" s="37" t="s">
        <v>1855</v>
      </c>
    </row>
    <row r="227">
      <c r="A227" s="8" t="s">
        <v>1065</v>
      </c>
      <c r="B227" s="8" t="s">
        <v>1322</v>
      </c>
      <c r="D227" s="37" t="s">
        <v>1860</v>
      </c>
    </row>
    <row r="228">
      <c r="A228" s="8" t="s">
        <v>1065</v>
      </c>
      <c r="B228" s="8" t="s">
        <v>444</v>
      </c>
      <c r="D228" s="37" t="s">
        <v>1861</v>
      </c>
    </row>
    <row r="229">
      <c r="A229" s="8" t="s">
        <v>1065</v>
      </c>
      <c r="B229" s="8" t="s">
        <v>1323</v>
      </c>
      <c r="D229" s="37" t="s">
        <v>1864</v>
      </c>
    </row>
    <row r="230">
      <c r="A230" s="8" t="s">
        <v>1065</v>
      </c>
      <c r="B230" s="8" t="s">
        <v>1324</v>
      </c>
      <c r="D230" s="37" t="s">
        <v>1865</v>
      </c>
    </row>
    <row r="231">
      <c r="A231" s="8" t="s">
        <v>1065</v>
      </c>
      <c r="B231" s="8" t="s">
        <v>1204</v>
      </c>
      <c r="D231" s="37" t="s">
        <v>1869</v>
      </c>
    </row>
    <row r="232">
      <c r="A232" s="8" t="s">
        <v>1068</v>
      </c>
      <c r="B232" s="8" t="s">
        <v>1225</v>
      </c>
      <c r="D232" s="37" t="s">
        <v>1870</v>
      </c>
    </row>
    <row r="233">
      <c r="A233" s="8" t="s">
        <v>1068</v>
      </c>
      <c r="B233" s="8" t="s">
        <v>1227</v>
      </c>
      <c r="D233" s="37" t="s">
        <v>1874</v>
      </c>
    </row>
    <row r="234">
      <c r="A234" s="8" t="s">
        <v>1068</v>
      </c>
      <c r="B234" s="8" t="s">
        <v>1111</v>
      </c>
      <c r="D234" s="37" t="s">
        <v>1877</v>
      </c>
    </row>
    <row r="235">
      <c r="A235" s="8" t="s">
        <v>1068</v>
      </c>
      <c r="B235" s="8" t="s">
        <v>1229</v>
      </c>
      <c r="D235" s="37" t="s">
        <v>1878</v>
      </c>
    </row>
    <row r="236">
      <c r="A236" s="8" t="s">
        <v>1071</v>
      </c>
      <c r="B236" s="8" t="s">
        <v>1286</v>
      </c>
      <c r="D236" s="37" t="s">
        <v>1879</v>
      </c>
    </row>
    <row r="237">
      <c r="A237" s="8" t="s">
        <v>1071</v>
      </c>
      <c r="B237" s="8" t="s">
        <v>1289</v>
      </c>
      <c r="D237" s="37" t="s">
        <v>1881</v>
      </c>
    </row>
    <row r="238">
      <c r="A238" s="8" t="s">
        <v>1071</v>
      </c>
      <c r="B238" s="8" t="s">
        <v>1290</v>
      </c>
      <c r="D238" s="37" t="s">
        <v>1884</v>
      </c>
    </row>
    <row r="239">
      <c r="A239" s="8" t="s">
        <v>1071</v>
      </c>
      <c r="B239" s="8" t="s">
        <v>1292</v>
      </c>
      <c r="D239" s="37" t="s">
        <v>1885</v>
      </c>
    </row>
    <row r="240">
      <c r="A240" s="8" t="s">
        <v>1071</v>
      </c>
      <c r="B240" s="8" t="s">
        <v>1104</v>
      </c>
      <c r="D240" s="37" t="s">
        <v>1888</v>
      </c>
    </row>
    <row r="241">
      <c r="A241" s="8" t="s">
        <v>1072</v>
      </c>
      <c r="B241" s="8" t="s">
        <v>1325</v>
      </c>
      <c r="D241" s="37" t="s">
        <v>1890</v>
      </c>
    </row>
    <row r="242">
      <c r="A242" s="8" t="s">
        <v>1075</v>
      </c>
      <c r="B242" s="8" t="s">
        <v>1131</v>
      </c>
      <c r="D242" s="37" t="s">
        <v>1891</v>
      </c>
    </row>
    <row r="243">
      <c r="A243" s="8" t="s">
        <v>1075</v>
      </c>
      <c r="B243" s="8" t="s">
        <v>1326</v>
      </c>
      <c r="D243" s="37" t="s">
        <v>1897</v>
      </c>
    </row>
    <row r="244">
      <c r="A244" s="8" t="s">
        <v>1075</v>
      </c>
      <c r="B244" s="8" t="s">
        <v>1327</v>
      </c>
      <c r="D244" s="37" t="s">
        <v>1898</v>
      </c>
    </row>
    <row r="245">
      <c r="A245" s="8" t="s">
        <v>1075</v>
      </c>
      <c r="B245" s="8" t="s">
        <v>1109</v>
      </c>
      <c r="D245" s="37" t="s">
        <v>1902</v>
      </c>
    </row>
    <row r="246">
      <c r="A246" s="8" t="s">
        <v>1075</v>
      </c>
      <c r="B246" s="8" t="s">
        <v>1188</v>
      </c>
      <c r="D246" s="37" t="s">
        <v>1903</v>
      </c>
    </row>
    <row r="247">
      <c r="A247" s="8" t="s">
        <v>1075</v>
      </c>
      <c r="B247" s="8" t="s">
        <v>1328</v>
      </c>
      <c r="D247" s="37" t="s">
        <v>1907</v>
      </c>
    </row>
    <row r="248">
      <c r="A248" s="8" t="s">
        <v>1075</v>
      </c>
      <c r="B248" s="8" t="s">
        <v>1111</v>
      </c>
      <c r="D248" s="37" t="s">
        <v>1908</v>
      </c>
    </row>
    <row r="249">
      <c r="A249" s="8" t="s">
        <v>1075</v>
      </c>
      <c r="B249" s="8" t="s">
        <v>1112</v>
      </c>
      <c r="D249" s="37" t="s">
        <v>1912</v>
      </c>
    </row>
    <row r="250">
      <c r="A250" s="8" t="s">
        <v>1078</v>
      </c>
      <c r="B250" s="8" t="s">
        <v>1329</v>
      </c>
      <c r="D250" s="37" t="s">
        <v>1913</v>
      </c>
    </row>
    <row r="251">
      <c r="A251" s="8" t="s">
        <v>1078</v>
      </c>
      <c r="B251" s="8" t="s">
        <v>1330</v>
      </c>
      <c r="D251" s="37" t="s">
        <v>1917</v>
      </c>
    </row>
    <row r="252">
      <c r="A252" s="8" t="s">
        <v>1078</v>
      </c>
      <c r="B252" s="8" t="s">
        <v>1332</v>
      </c>
      <c r="D252" s="37" t="s">
        <v>1921</v>
      </c>
    </row>
    <row r="253">
      <c r="A253" s="8" t="s">
        <v>1078</v>
      </c>
      <c r="B253" s="8" t="s">
        <v>1232</v>
      </c>
      <c r="D253" s="37" t="s">
        <v>1922</v>
      </c>
    </row>
    <row r="254">
      <c r="A254" s="8" t="s">
        <v>1078</v>
      </c>
      <c r="B254" s="8" t="s">
        <v>1233</v>
      </c>
      <c r="D254" s="37" t="s">
        <v>1925</v>
      </c>
    </row>
    <row r="255">
      <c r="A255" s="8" t="s">
        <v>1078</v>
      </c>
      <c r="B255" s="8" t="s">
        <v>1236</v>
      </c>
      <c r="D255" s="37" t="s">
        <v>1928</v>
      </c>
    </row>
    <row r="256">
      <c r="A256" s="8" t="s">
        <v>1078</v>
      </c>
      <c r="B256" s="8" t="s">
        <v>1111</v>
      </c>
      <c r="D256" s="37" t="s">
        <v>1931</v>
      </c>
    </row>
    <row r="257">
      <c r="A257" s="8" t="s">
        <v>1078</v>
      </c>
      <c r="B257" s="8" t="s">
        <v>1333</v>
      </c>
      <c r="D257" s="37" t="s">
        <v>1932</v>
      </c>
    </row>
    <row r="258">
      <c r="A258" s="8" t="s">
        <v>1081</v>
      </c>
      <c r="B258" s="8" t="s">
        <v>1159</v>
      </c>
      <c r="D258" s="37" t="s">
        <v>1936</v>
      </c>
    </row>
    <row r="259">
      <c r="A259" s="8" t="s">
        <v>1081</v>
      </c>
      <c r="B259" s="8" t="s">
        <v>1111</v>
      </c>
      <c r="D259" s="37" t="s">
        <v>1937</v>
      </c>
    </row>
    <row r="260">
      <c r="A260" s="8" t="s">
        <v>1081</v>
      </c>
      <c r="B260" s="8" t="s">
        <v>1160</v>
      </c>
      <c r="D260" s="37" t="s">
        <v>1237</v>
      </c>
    </row>
    <row r="261">
      <c r="A261" s="8" t="s">
        <v>1082</v>
      </c>
      <c r="B261" s="8" t="s">
        <v>1139</v>
      </c>
      <c r="D261" s="37" t="s">
        <v>1938</v>
      </c>
    </row>
    <row r="262">
      <c r="A262" s="8" t="s">
        <v>1085</v>
      </c>
      <c r="B262" s="8" t="s">
        <v>1243</v>
      </c>
      <c r="D262" s="37" t="s">
        <v>1939</v>
      </c>
    </row>
    <row r="263">
      <c r="A263" s="8" t="s">
        <v>1085</v>
      </c>
      <c r="B263" s="8" t="s">
        <v>1226</v>
      </c>
      <c r="D263" s="37" t="s">
        <v>1940</v>
      </c>
    </row>
    <row r="264">
      <c r="A264" s="8" t="s">
        <v>1085</v>
      </c>
      <c r="B264" s="8" t="s">
        <v>1334</v>
      </c>
      <c r="D264" s="37" t="s">
        <v>1941</v>
      </c>
    </row>
    <row r="265">
      <c r="A265" s="8" t="s">
        <v>1085</v>
      </c>
      <c r="B265" s="8" t="s">
        <v>1134</v>
      </c>
      <c r="D265" s="37" t="s">
        <v>1942</v>
      </c>
    </row>
    <row r="266">
      <c r="A266" s="8" t="s">
        <v>1085</v>
      </c>
      <c r="B266" s="8" t="s">
        <v>1109</v>
      </c>
      <c r="D266" s="37" t="s">
        <v>1944</v>
      </c>
    </row>
    <row r="267">
      <c r="A267" s="8" t="s">
        <v>1085</v>
      </c>
      <c r="B267" s="8" t="s">
        <v>1335</v>
      </c>
      <c r="D267" s="37" t="s">
        <v>1946</v>
      </c>
    </row>
    <row r="268">
      <c r="A268" s="8" t="s">
        <v>1085</v>
      </c>
      <c r="B268" s="8" t="s">
        <v>1111</v>
      </c>
      <c r="D268" s="37" t="s">
        <v>1948</v>
      </c>
    </row>
    <row r="269">
      <c r="A269" s="8" t="s">
        <v>1085</v>
      </c>
      <c r="B269" s="8" t="s">
        <v>1246</v>
      </c>
      <c r="D269" s="37" t="s">
        <v>1952</v>
      </c>
    </row>
    <row r="270">
      <c r="A270" s="8" t="s">
        <v>1085</v>
      </c>
      <c r="B270" s="8" t="s">
        <v>1336</v>
      </c>
      <c r="D270" s="37" t="s">
        <v>1953</v>
      </c>
    </row>
    <row r="271">
      <c r="A271" s="8" t="s">
        <v>1085</v>
      </c>
      <c r="B271" s="8" t="s">
        <v>1113</v>
      </c>
      <c r="D271" s="37" t="s">
        <v>1954</v>
      </c>
    </row>
    <row r="272">
      <c r="A272" s="8" t="s">
        <v>1087</v>
      </c>
      <c r="B272" s="8" t="s">
        <v>1348</v>
      </c>
      <c r="D272" s="37" t="s">
        <v>1957</v>
      </c>
    </row>
    <row r="273">
      <c r="A273" s="8" t="s">
        <v>1087</v>
      </c>
      <c r="B273" s="8" t="s">
        <v>1132</v>
      </c>
      <c r="D273" s="37" t="s">
        <v>1958</v>
      </c>
    </row>
    <row r="274">
      <c r="A274" s="8" t="s">
        <v>1087</v>
      </c>
      <c r="B274" s="8" t="s">
        <v>1349</v>
      </c>
      <c r="D274" s="37" t="s">
        <v>1959</v>
      </c>
    </row>
    <row r="275">
      <c r="A275" s="8" t="s">
        <v>1087</v>
      </c>
      <c r="B275" s="8" t="s">
        <v>1350</v>
      </c>
      <c r="D275" s="37" t="s">
        <v>1961</v>
      </c>
    </row>
    <row r="276">
      <c r="A276" s="8" t="s">
        <v>1087</v>
      </c>
      <c r="B276" s="8" t="s">
        <v>1351</v>
      </c>
      <c r="D276" s="37" t="s">
        <v>1965</v>
      </c>
    </row>
    <row r="277">
      <c r="A277" s="8" t="s">
        <v>1087</v>
      </c>
      <c r="B277" s="8" t="s">
        <v>1352</v>
      </c>
      <c r="D277" s="37" t="s">
        <v>1968</v>
      </c>
    </row>
    <row r="278">
      <c r="A278" s="8" t="s">
        <v>1087</v>
      </c>
      <c r="B278" s="8" t="s">
        <v>1353</v>
      </c>
      <c r="D278" s="37" t="s">
        <v>1969</v>
      </c>
    </row>
    <row r="279">
      <c r="A279" s="8" t="s">
        <v>1087</v>
      </c>
      <c r="B279" s="8" t="s">
        <v>369</v>
      </c>
      <c r="D279" s="37" t="s">
        <v>1971</v>
      </c>
    </row>
    <row r="280">
      <c r="A280" s="8" t="s">
        <v>1087</v>
      </c>
      <c r="B280" s="8" t="s">
        <v>1204</v>
      </c>
      <c r="D280" s="37" t="s">
        <v>1975</v>
      </c>
    </row>
    <row r="281">
      <c r="A281" s="8" t="s">
        <v>1090</v>
      </c>
      <c r="B281" s="8" t="s">
        <v>1109</v>
      </c>
      <c r="D281" s="37" t="s">
        <v>1976</v>
      </c>
    </row>
    <row r="282">
      <c r="A282" s="8" t="s">
        <v>1090</v>
      </c>
      <c r="B282" s="8" t="s">
        <v>1111</v>
      </c>
      <c r="D282" s="37" t="s">
        <v>1980</v>
      </c>
    </row>
    <row r="283">
      <c r="A283" s="8" t="s">
        <v>1090</v>
      </c>
      <c r="B283" s="8" t="s">
        <v>1336</v>
      </c>
      <c r="D283" s="37" t="s">
        <v>1981</v>
      </c>
    </row>
    <row r="284">
      <c r="A284" s="8" t="s">
        <v>1090</v>
      </c>
      <c r="B284" s="8" t="s">
        <v>1113</v>
      </c>
      <c r="D284" s="37" t="s">
        <v>1982</v>
      </c>
    </row>
    <row r="285">
      <c r="A285" s="8" t="s">
        <v>1093</v>
      </c>
      <c r="B285" s="8" t="s">
        <v>1108</v>
      </c>
      <c r="D285" s="37" t="s">
        <v>1324</v>
      </c>
    </row>
    <row r="286">
      <c r="A286" s="8" t="s">
        <v>1093</v>
      </c>
      <c r="B286" s="8" t="s">
        <v>1111</v>
      </c>
      <c r="D286" s="37" t="s">
        <v>1987</v>
      </c>
    </row>
    <row r="287">
      <c r="A287" s="8" t="s">
        <v>1096</v>
      </c>
      <c r="B287" s="8" t="s">
        <v>1355</v>
      </c>
      <c r="D287" s="37" t="s">
        <v>1988</v>
      </c>
    </row>
    <row r="288">
      <c r="A288" s="8" t="s">
        <v>1096</v>
      </c>
      <c r="B288" s="8" t="s">
        <v>1224</v>
      </c>
      <c r="D288" s="37" t="s">
        <v>1989</v>
      </c>
    </row>
    <row r="289">
      <c r="A289" s="8" t="s">
        <v>1096</v>
      </c>
      <c r="B289" s="8" t="s">
        <v>1356</v>
      </c>
      <c r="D289" s="37" t="s">
        <v>1991</v>
      </c>
    </row>
    <row r="290">
      <c r="A290" s="8" t="s">
        <v>1096</v>
      </c>
      <c r="B290" s="8" t="s">
        <v>1357</v>
      </c>
      <c r="D290" s="37" t="s">
        <v>1995</v>
      </c>
    </row>
    <row r="291">
      <c r="A291" s="8" t="s">
        <v>1096</v>
      </c>
      <c r="B291" s="8" t="s">
        <v>1227</v>
      </c>
      <c r="D291" s="37" t="s">
        <v>1996</v>
      </c>
    </row>
    <row r="292">
      <c r="A292" s="8" t="s">
        <v>1096</v>
      </c>
      <c r="B292" s="8" t="s">
        <v>1358</v>
      </c>
      <c r="D292" s="37" t="s">
        <v>1999</v>
      </c>
    </row>
    <row r="293">
      <c r="A293" s="8" t="s">
        <v>1096</v>
      </c>
      <c r="B293" s="8" t="s">
        <v>1359</v>
      </c>
      <c r="D293" s="37" t="s">
        <v>2000</v>
      </c>
    </row>
    <row r="294">
      <c r="A294" s="8" t="s">
        <v>1096</v>
      </c>
      <c r="B294" s="8" t="s">
        <v>1360</v>
      </c>
      <c r="D294" s="37" t="s">
        <v>2004</v>
      </c>
    </row>
    <row r="295">
      <c r="A295" s="8" t="s">
        <v>1096</v>
      </c>
      <c r="B295" s="8" t="s">
        <v>1361</v>
      </c>
      <c r="D295" s="37" t="s">
        <v>2007</v>
      </c>
    </row>
    <row r="296">
      <c r="A296" s="8" t="s">
        <v>1096</v>
      </c>
      <c r="B296" s="8" t="s">
        <v>1137</v>
      </c>
      <c r="D296" s="37" t="s">
        <v>2008</v>
      </c>
    </row>
    <row r="297">
      <c r="A297" s="8" t="s">
        <v>1096</v>
      </c>
      <c r="B297" s="8" t="s">
        <v>1362</v>
      </c>
      <c r="D297" s="37" t="s">
        <v>2010</v>
      </c>
    </row>
    <row r="298">
      <c r="A298" s="8" t="s">
        <v>1096</v>
      </c>
      <c r="B298" s="8" t="s">
        <v>1174</v>
      </c>
      <c r="D298" s="37" t="s">
        <v>2011</v>
      </c>
    </row>
    <row r="299">
      <c r="A299" s="8" t="s">
        <v>1096</v>
      </c>
      <c r="B299" s="8" t="s">
        <v>1111</v>
      </c>
      <c r="D299" s="37" t="s">
        <v>2012</v>
      </c>
    </row>
    <row r="300">
      <c r="A300" s="8" t="s">
        <v>1096</v>
      </c>
      <c r="B300" s="8" t="s">
        <v>1363</v>
      </c>
      <c r="D300" s="37" t="s">
        <v>2013</v>
      </c>
    </row>
    <row r="301">
      <c r="A301" s="8" t="s">
        <v>1096</v>
      </c>
      <c r="B301" s="8" t="s">
        <v>1229</v>
      </c>
      <c r="D301" s="37" t="s">
        <v>2015</v>
      </c>
    </row>
    <row r="302">
      <c r="A302" s="36"/>
      <c r="B302" s="36"/>
      <c r="D302" s="37" t="s">
        <v>2019</v>
      </c>
    </row>
    <row r="303">
      <c r="A303" s="35" t="s">
        <v>1367</v>
      </c>
      <c r="B303" s="36"/>
      <c r="D303" s="37" t="s">
        <v>2020</v>
      </c>
    </row>
    <row r="304">
      <c r="A304" s="8" t="s">
        <v>1373</v>
      </c>
      <c r="B304" s="36"/>
      <c r="D304" s="37" t="s">
        <v>2023</v>
      </c>
    </row>
    <row r="305">
      <c r="A305" s="8" t="s">
        <v>1376</v>
      </c>
      <c r="B305" s="36"/>
      <c r="D305" s="37" t="s">
        <v>2026</v>
      </c>
    </row>
    <row r="306">
      <c r="A306" s="8" t="s">
        <v>1380</v>
      </c>
      <c r="B306" s="36"/>
      <c r="D306" s="37" t="s">
        <v>2030</v>
      </c>
    </row>
    <row r="307">
      <c r="A307" s="8" t="s">
        <v>1384</v>
      </c>
      <c r="B307" s="36"/>
      <c r="D307" s="37" t="s">
        <v>2031</v>
      </c>
    </row>
    <row r="308">
      <c r="A308" s="8" t="s">
        <v>1388</v>
      </c>
      <c r="B308" s="36"/>
      <c r="D308" s="37" t="s">
        <v>2032</v>
      </c>
    </row>
    <row r="309">
      <c r="A309" s="8" t="s">
        <v>1392</v>
      </c>
      <c r="B309" s="36"/>
      <c r="D309" s="37" t="s">
        <v>2033</v>
      </c>
    </row>
    <row r="310">
      <c r="A310" s="8" t="s">
        <v>1396</v>
      </c>
      <c r="B310" s="36"/>
      <c r="D310" s="37" t="s">
        <v>2035</v>
      </c>
    </row>
    <row r="311">
      <c r="A311" s="8" t="s">
        <v>1409</v>
      </c>
      <c r="B311" s="36"/>
      <c r="D311" s="37" t="s">
        <v>2039</v>
      </c>
    </row>
    <row r="312">
      <c r="A312" s="8" t="s">
        <v>1412</v>
      </c>
      <c r="B312" s="36"/>
      <c r="D312" s="37" t="s">
        <v>2040</v>
      </c>
    </row>
    <row r="313">
      <c r="A313" s="8" t="s">
        <v>1417</v>
      </c>
      <c r="B313" s="36"/>
      <c r="D313" s="37" t="s">
        <v>2042</v>
      </c>
    </row>
    <row r="314">
      <c r="A314" s="8" t="s">
        <v>1420</v>
      </c>
      <c r="B314" s="36"/>
      <c r="D314" s="37" t="s">
        <v>2043</v>
      </c>
    </row>
    <row r="315">
      <c r="A315" s="8" t="s">
        <v>1424</v>
      </c>
      <c r="B315" s="36"/>
      <c r="D315" s="37" t="s">
        <v>2044</v>
      </c>
    </row>
    <row r="316">
      <c r="A316" s="8" t="s">
        <v>1431</v>
      </c>
      <c r="B316" s="36"/>
      <c r="D316" s="37" t="s">
        <v>2045</v>
      </c>
    </row>
    <row r="317">
      <c r="A317" s="8" t="s">
        <v>1436</v>
      </c>
      <c r="B317" s="36"/>
      <c r="D317" s="37" t="s">
        <v>2046</v>
      </c>
    </row>
    <row r="318">
      <c r="A318" s="8" t="s">
        <v>1440</v>
      </c>
      <c r="B318" s="36"/>
    </row>
    <row r="319">
      <c r="A319" s="8" t="s">
        <v>1441</v>
      </c>
      <c r="B319" s="36"/>
    </row>
    <row r="320">
      <c r="A320" s="8" t="s">
        <v>1447</v>
      </c>
      <c r="B320" s="36"/>
    </row>
    <row r="321">
      <c r="A321" s="8" t="s">
        <v>1448</v>
      </c>
      <c r="B321" s="36"/>
    </row>
    <row r="322">
      <c r="A322" s="8" t="s">
        <v>1452</v>
      </c>
      <c r="B322" s="36"/>
    </row>
    <row r="323">
      <c r="A323" s="8" t="s">
        <v>1455</v>
      </c>
      <c r="B323" s="36"/>
    </row>
    <row r="324">
      <c r="A324" s="8" t="s">
        <v>1459</v>
      </c>
      <c r="B324" s="36"/>
    </row>
    <row r="325">
      <c r="A325" s="8" t="s">
        <v>1462</v>
      </c>
      <c r="B325" s="36"/>
    </row>
    <row r="326">
      <c r="A326" s="8" t="s">
        <v>1466</v>
      </c>
      <c r="B326" s="36"/>
    </row>
    <row r="327">
      <c r="A327" s="8" t="s">
        <v>1470</v>
      </c>
      <c r="B327" s="36"/>
    </row>
    <row r="328">
      <c r="A328" s="8" t="s">
        <v>1471</v>
      </c>
      <c r="B328" s="36"/>
    </row>
    <row r="329">
      <c r="A329" s="8" t="s">
        <v>1474</v>
      </c>
      <c r="B329" s="36"/>
    </row>
    <row r="330">
      <c r="A330" s="8" t="s">
        <v>1477</v>
      </c>
      <c r="B330" s="36"/>
    </row>
    <row r="331">
      <c r="A331" s="8" t="s">
        <v>1478</v>
      </c>
      <c r="B331" s="36"/>
    </row>
    <row r="332">
      <c r="A332" s="8" t="s">
        <v>1482</v>
      </c>
      <c r="B332" s="36"/>
    </row>
    <row r="333">
      <c r="A333" s="8" t="s">
        <v>1485</v>
      </c>
      <c r="B333" s="36"/>
    </row>
    <row r="334">
      <c r="A334" s="8" t="s">
        <v>1489</v>
      </c>
      <c r="B334" s="36"/>
    </row>
    <row r="335">
      <c r="A335" s="8" t="s">
        <v>1493</v>
      </c>
      <c r="B335" s="36"/>
    </row>
    <row r="336">
      <c r="A336" s="8" t="s">
        <v>1497</v>
      </c>
      <c r="B336" s="36"/>
    </row>
    <row r="337">
      <c r="A337" s="8" t="s">
        <v>1500</v>
      </c>
      <c r="B337" s="36"/>
    </row>
    <row r="338">
      <c r="A338" s="8" t="s">
        <v>1504</v>
      </c>
      <c r="B338" s="36"/>
    </row>
    <row r="339">
      <c r="A339" s="8" t="s">
        <v>1508</v>
      </c>
      <c r="B339" s="36"/>
    </row>
    <row r="340">
      <c r="A340" s="8" t="s">
        <v>1511</v>
      </c>
      <c r="B340" s="36"/>
    </row>
    <row r="341">
      <c r="A341" s="8" t="s">
        <v>1514</v>
      </c>
      <c r="B341" s="36"/>
    </row>
    <row r="342">
      <c r="A342" s="8" t="s">
        <v>1526</v>
      </c>
      <c r="B342" s="36"/>
    </row>
    <row r="343">
      <c r="A343" s="8" t="s">
        <v>1528</v>
      </c>
      <c r="B343" s="36"/>
    </row>
    <row r="344">
      <c r="A344" s="8" t="s">
        <v>1529</v>
      </c>
      <c r="B344" s="36"/>
    </row>
    <row r="345">
      <c r="A345" s="8" t="s">
        <v>1533</v>
      </c>
      <c r="B345" s="36"/>
    </row>
    <row r="346">
      <c r="A346" s="8" t="s">
        <v>1534</v>
      </c>
      <c r="B346" s="36"/>
    </row>
    <row r="347">
      <c r="A347" s="8" t="s">
        <v>1539</v>
      </c>
      <c r="B347" s="36"/>
    </row>
    <row r="348">
      <c r="A348" s="8" t="s">
        <v>1542</v>
      </c>
      <c r="B348" s="36"/>
    </row>
    <row r="349">
      <c r="A349" s="8" t="s">
        <v>1543</v>
      </c>
      <c r="B349" s="36"/>
    </row>
    <row r="350">
      <c r="A350" s="8" t="s">
        <v>1546</v>
      </c>
      <c r="B350" s="36"/>
    </row>
    <row r="351">
      <c r="A351" s="8" t="s">
        <v>1549</v>
      </c>
      <c r="B351" s="36"/>
    </row>
    <row r="352">
      <c r="A352" s="8" t="s">
        <v>1553</v>
      </c>
      <c r="B352" s="36"/>
    </row>
    <row r="353">
      <c r="A353" s="8" t="s">
        <v>1554</v>
      </c>
      <c r="B353" s="36"/>
    </row>
    <row r="354">
      <c r="A354" s="8" t="s">
        <v>1558</v>
      </c>
      <c r="B354" s="36"/>
    </row>
    <row r="355">
      <c r="A355" s="8" t="s">
        <v>1562</v>
      </c>
      <c r="B355" s="36"/>
    </row>
    <row r="356">
      <c r="A356" s="8" t="s">
        <v>1563</v>
      </c>
      <c r="B356" s="36"/>
    </row>
    <row r="357">
      <c r="A357" s="8" t="s">
        <v>1567</v>
      </c>
      <c r="B357" s="36"/>
    </row>
    <row r="358">
      <c r="A358" s="8" t="s">
        <v>1569</v>
      </c>
      <c r="B358" s="36"/>
    </row>
    <row r="359">
      <c r="A359" s="8" t="s">
        <v>1573</v>
      </c>
      <c r="B359" s="36"/>
    </row>
    <row r="360">
      <c r="A360" s="8" t="s">
        <v>1576</v>
      </c>
      <c r="B360" s="36"/>
    </row>
    <row r="361">
      <c r="A361" s="8" t="s">
        <v>1580</v>
      </c>
      <c r="B361" s="36"/>
    </row>
    <row r="362">
      <c r="A362" s="8" t="s">
        <v>1584</v>
      </c>
      <c r="B362" s="36"/>
    </row>
    <row r="363">
      <c r="A363" s="8" t="s">
        <v>1594</v>
      </c>
      <c r="B363" s="36"/>
    </row>
    <row r="364">
      <c r="A364" s="8" t="s">
        <v>1596</v>
      </c>
      <c r="B364" s="36"/>
    </row>
    <row r="365">
      <c r="A365" s="8" t="s">
        <v>1598</v>
      </c>
      <c r="B365" s="36"/>
    </row>
    <row r="366">
      <c r="A366" s="8" t="s">
        <v>1599</v>
      </c>
      <c r="B366" s="36"/>
    </row>
    <row r="367">
      <c r="A367" s="8" t="s">
        <v>1600</v>
      </c>
      <c r="B367" s="36"/>
    </row>
    <row r="368">
      <c r="A368" s="8" t="s">
        <v>1603</v>
      </c>
      <c r="B368" s="36"/>
    </row>
    <row r="369">
      <c r="A369" s="8" t="s">
        <v>1607</v>
      </c>
      <c r="B369" s="36"/>
    </row>
    <row r="370">
      <c r="A370" s="8" t="s">
        <v>1608</v>
      </c>
      <c r="B370" s="36"/>
    </row>
    <row r="371">
      <c r="A371" s="8" t="s">
        <v>1613</v>
      </c>
      <c r="B371" s="36"/>
    </row>
    <row r="372">
      <c r="A372" s="8" t="s">
        <v>1617</v>
      </c>
      <c r="B372" s="36"/>
    </row>
    <row r="373">
      <c r="A373" s="8" t="s">
        <v>1621</v>
      </c>
      <c r="B373" s="36"/>
    </row>
    <row r="374">
      <c r="A374" s="8" t="s">
        <v>1626</v>
      </c>
      <c r="B374" s="36"/>
    </row>
    <row r="375">
      <c r="A375" s="8" t="s">
        <v>1629</v>
      </c>
      <c r="B375" s="36"/>
    </row>
    <row r="376">
      <c r="A376" s="8" t="s">
        <v>1633</v>
      </c>
      <c r="B376" s="36"/>
    </row>
    <row r="377">
      <c r="A377" s="8" t="s">
        <v>1637</v>
      </c>
      <c r="B377" s="36"/>
    </row>
    <row r="378">
      <c r="A378" s="8" t="s">
        <v>1640</v>
      </c>
      <c r="B378" s="36"/>
    </row>
    <row r="379">
      <c r="A379" s="8" t="s">
        <v>1641</v>
      </c>
      <c r="B379" s="36"/>
    </row>
    <row r="380">
      <c r="A380" s="8" t="s">
        <v>1644</v>
      </c>
      <c r="B380" s="36"/>
    </row>
    <row r="381">
      <c r="A381" s="8" t="s">
        <v>1647</v>
      </c>
      <c r="B381" s="36"/>
    </row>
    <row r="382">
      <c r="A382" s="8" t="s">
        <v>1648</v>
      </c>
      <c r="B382" s="36"/>
    </row>
    <row r="383">
      <c r="A383" s="8" t="s">
        <v>1649</v>
      </c>
      <c r="B383" s="36"/>
    </row>
    <row r="384">
      <c r="A384" s="8" t="s">
        <v>1653</v>
      </c>
      <c r="B384" s="36"/>
    </row>
    <row r="385">
      <c r="A385" s="8" t="s">
        <v>1318</v>
      </c>
      <c r="B385" s="36"/>
    </row>
    <row r="386">
      <c r="A386" s="8" t="s">
        <v>1658</v>
      </c>
      <c r="B386" s="36"/>
    </row>
    <row r="387">
      <c r="A387" s="8" t="s">
        <v>1662</v>
      </c>
      <c r="B387" s="36"/>
    </row>
    <row r="388">
      <c r="A388" s="8" t="s">
        <v>1666</v>
      </c>
      <c r="B388" s="36"/>
    </row>
    <row r="389">
      <c r="A389" s="8" t="s">
        <v>1667</v>
      </c>
      <c r="B389" s="36"/>
    </row>
    <row r="390">
      <c r="A390" s="8" t="s">
        <v>1669</v>
      </c>
      <c r="B390" s="36"/>
    </row>
    <row r="391">
      <c r="A391" s="8" t="s">
        <v>1673</v>
      </c>
      <c r="B391" s="36"/>
    </row>
    <row r="392">
      <c r="A392" s="8" t="s">
        <v>1677</v>
      </c>
      <c r="B392" s="36"/>
    </row>
    <row r="393">
      <c r="A393" s="8" t="s">
        <v>1680</v>
      </c>
      <c r="B393" s="36"/>
    </row>
    <row r="394">
      <c r="A394" s="8" t="s">
        <v>1684</v>
      </c>
      <c r="B394" s="36"/>
    </row>
    <row r="395">
      <c r="A395" s="8" t="s">
        <v>1685</v>
      </c>
      <c r="B395" s="36"/>
    </row>
    <row r="396">
      <c r="A396" s="8" t="s">
        <v>1686</v>
      </c>
      <c r="B396" s="36"/>
    </row>
    <row r="397">
      <c r="A397" s="8" t="s">
        <v>1687</v>
      </c>
      <c r="B397" s="36"/>
    </row>
    <row r="398">
      <c r="A398" s="8" t="s">
        <v>1689</v>
      </c>
      <c r="B398" s="36"/>
    </row>
    <row r="399">
      <c r="A399" s="8" t="s">
        <v>1690</v>
      </c>
      <c r="B399" s="36"/>
    </row>
    <row r="400">
      <c r="A400" s="8" t="s">
        <v>1691</v>
      </c>
      <c r="B400" s="36"/>
    </row>
    <row r="401">
      <c r="A401" s="8" t="s">
        <v>1694</v>
      </c>
      <c r="B401" s="36"/>
    </row>
    <row r="402">
      <c r="A402" s="8" t="s">
        <v>1695</v>
      </c>
      <c r="B402" s="36"/>
    </row>
    <row r="403">
      <c r="A403" s="8" t="s">
        <v>1698</v>
      </c>
      <c r="B403" s="36"/>
    </row>
    <row r="404">
      <c r="A404" s="8" t="s">
        <v>1700</v>
      </c>
      <c r="B404" s="36"/>
    </row>
    <row r="405">
      <c r="A405" s="8" t="s">
        <v>1702</v>
      </c>
      <c r="B405" s="36"/>
    </row>
    <row r="406">
      <c r="A406" s="8" t="s">
        <v>1711</v>
      </c>
      <c r="B406" s="36"/>
    </row>
    <row r="407">
      <c r="A407" s="8" t="s">
        <v>1712</v>
      </c>
      <c r="B407" s="36"/>
    </row>
    <row r="408">
      <c r="A408" s="8" t="s">
        <v>1713</v>
      </c>
      <c r="B408" s="36"/>
    </row>
    <row r="409">
      <c r="A409" s="8" t="s">
        <v>1714</v>
      </c>
      <c r="B409" s="36"/>
    </row>
    <row r="410">
      <c r="A410" s="8" t="s">
        <v>1718</v>
      </c>
      <c r="B410" s="36"/>
    </row>
    <row r="411">
      <c r="A411" s="8" t="s">
        <v>1719</v>
      </c>
      <c r="B411" s="36"/>
    </row>
    <row r="412">
      <c r="A412" s="8" t="s">
        <v>1720</v>
      </c>
      <c r="B412" s="36"/>
    </row>
    <row r="413">
      <c r="A413" s="8" t="s">
        <v>1722</v>
      </c>
      <c r="B413" s="36"/>
    </row>
    <row r="414">
      <c r="A414" s="8" t="s">
        <v>1725</v>
      </c>
      <c r="B414" s="36"/>
    </row>
    <row r="415">
      <c r="A415" s="8" t="s">
        <v>1729</v>
      </c>
      <c r="B415" s="36"/>
    </row>
    <row r="416">
      <c r="A416" s="8" t="s">
        <v>1730</v>
      </c>
      <c r="B416" s="36"/>
    </row>
    <row r="417">
      <c r="A417" s="8" t="s">
        <v>1732</v>
      </c>
      <c r="B417" s="36"/>
    </row>
    <row r="418">
      <c r="A418" s="8" t="s">
        <v>1734</v>
      </c>
      <c r="B418" s="36"/>
    </row>
    <row r="419">
      <c r="A419" s="8" t="s">
        <v>1736</v>
      </c>
      <c r="B419" s="36"/>
    </row>
    <row r="420">
      <c r="A420" s="8" t="s">
        <v>1740</v>
      </c>
      <c r="B420" s="36"/>
    </row>
    <row r="421">
      <c r="A421" s="8" t="s">
        <v>1744</v>
      </c>
      <c r="B421" s="36"/>
    </row>
    <row r="422">
      <c r="A422" s="8" t="s">
        <v>1746</v>
      </c>
      <c r="B422" s="36"/>
    </row>
    <row r="423">
      <c r="A423" s="8" t="s">
        <v>1747</v>
      </c>
      <c r="B423" s="36"/>
    </row>
    <row r="424">
      <c r="A424" s="8" t="s">
        <v>1748</v>
      </c>
      <c r="B424" s="36"/>
    </row>
    <row r="425">
      <c r="A425" s="8" t="s">
        <v>1749</v>
      </c>
      <c r="B425" s="36"/>
    </row>
    <row r="426">
      <c r="A426" s="8" t="s">
        <v>1750</v>
      </c>
      <c r="B426" s="36"/>
    </row>
    <row r="427">
      <c r="A427" s="8" t="s">
        <v>1751</v>
      </c>
      <c r="B427" s="36"/>
    </row>
    <row r="428">
      <c r="A428" s="8" t="s">
        <v>1755</v>
      </c>
      <c r="B428" s="36"/>
    </row>
    <row r="429">
      <c r="A429" s="8" t="s">
        <v>1759</v>
      </c>
      <c r="B429" s="36"/>
    </row>
    <row r="430">
      <c r="A430" s="8" t="s">
        <v>1760</v>
      </c>
      <c r="B430" s="36"/>
    </row>
    <row r="431">
      <c r="A431" s="8" t="s">
        <v>1761</v>
      </c>
      <c r="B431" s="36"/>
    </row>
    <row r="432">
      <c r="A432" s="8" t="s">
        <v>1762</v>
      </c>
      <c r="B432" s="36"/>
    </row>
    <row r="433">
      <c r="A433" s="8" t="s">
        <v>1763</v>
      </c>
      <c r="B433" s="36"/>
    </row>
    <row r="434">
      <c r="A434" s="8" t="s">
        <v>1764</v>
      </c>
      <c r="B434" s="36"/>
    </row>
    <row r="435">
      <c r="A435" s="8" t="s">
        <v>1765</v>
      </c>
      <c r="B435" s="36"/>
    </row>
    <row r="436">
      <c r="A436" s="8" t="s">
        <v>1766</v>
      </c>
      <c r="B436" s="36"/>
    </row>
    <row r="437">
      <c r="A437" s="8" t="s">
        <v>1771</v>
      </c>
      <c r="B437" s="36"/>
    </row>
    <row r="438">
      <c r="A438" s="8" t="s">
        <v>1772</v>
      </c>
      <c r="B438" s="36"/>
    </row>
    <row r="439">
      <c r="A439" s="8" t="s">
        <v>1774</v>
      </c>
      <c r="B439" s="36"/>
    </row>
    <row r="440">
      <c r="A440" s="8" t="s">
        <v>1776</v>
      </c>
      <c r="B440" s="36"/>
    </row>
    <row r="441">
      <c r="A441" s="8" t="s">
        <v>1777</v>
      </c>
      <c r="B441" s="36"/>
    </row>
    <row r="442">
      <c r="A442" s="8" t="s">
        <v>1778</v>
      </c>
      <c r="B442" s="36"/>
    </row>
    <row r="443">
      <c r="A443" s="8" t="s">
        <v>1779</v>
      </c>
      <c r="B443" s="36"/>
    </row>
    <row r="444">
      <c r="A444" s="8" t="s">
        <v>1782</v>
      </c>
      <c r="B444" s="36"/>
    </row>
    <row r="445">
      <c r="A445" s="8" t="s">
        <v>1783</v>
      </c>
      <c r="B445" s="36"/>
    </row>
    <row r="446">
      <c r="A446" s="8" t="s">
        <v>1784</v>
      </c>
      <c r="B446" s="36"/>
    </row>
    <row r="447">
      <c r="A447" s="8" t="s">
        <v>1785</v>
      </c>
      <c r="B447" s="36"/>
    </row>
    <row r="448">
      <c r="A448" s="8" t="s">
        <v>1786</v>
      </c>
      <c r="B448" s="36"/>
    </row>
    <row r="449">
      <c r="A449" s="8" t="s">
        <v>1789</v>
      </c>
      <c r="B449" s="36"/>
    </row>
    <row r="450">
      <c r="A450" s="8" t="s">
        <v>1793</v>
      </c>
      <c r="B450" s="36"/>
    </row>
    <row r="451">
      <c r="A451" s="8" t="s">
        <v>1797</v>
      </c>
      <c r="B451" s="36"/>
    </row>
    <row r="452">
      <c r="A452" s="8" t="s">
        <v>1799</v>
      </c>
      <c r="B452" s="36"/>
    </row>
    <row r="453">
      <c r="A453" s="8" t="s">
        <v>1800</v>
      </c>
      <c r="B453" s="36"/>
    </row>
    <row r="454">
      <c r="A454" s="8" t="s">
        <v>1806</v>
      </c>
      <c r="B454" s="36"/>
    </row>
    <row r="455">
      <c r="A455" s="8" t="s">
        <v>1807</v>
      </c>
      <c r="B455" s="36"/>
    </row>
    <row r="456">
      <c r="A456" s="8" t="s">
        <v>1811</v>
      </c>
      <c r="B456" s="36"/>
    </row>
    <row r="457">
      <c r="A457" s="8" t="s">
        <v>1813</v>
      </c>
      <c r="B457" s="36"/>
    </row>
    <row r="458">
      <c r="A458" s="8" t="s">
        <v>1815</v>
      </c>
      <c r="B458" s="36"/>
    </row>
    <row r="459">
      <c r="A459" s="8" t="s">
        <v>1819</v>
      </c>
      <c r="B459" s="36"/>
    </row>
    <row r="460">
      <c r="A460" s="8" t="s">
        <v>1820</v>
      </c>
      <c r="B460" s="36"/>
    </row>
    <row r="461">
      <c r="A461" s="8" t="s">
        <v>1825</v>
      </c>
      <c r="B461" s="36"/>
    </row>
    <row r="462">
      <c r="A462" s="8" t="s">
        <v>1826</v>
      </c>
      <c r="B462" s="36"/>
    </row>
    <row r="463">
      <c r="A463" s="8" t="s">
        <v>1829</v>
      </c>
      <c r="B463" s="36"/>
    </row>
    <row r="464">
      <c r="A464" s="8" t="s">
        <v>1831</v>
      </c>
      <c r="B464" s="36"/>
    </row>
    <row r="465">
      <c r="A465" s="8" t="s">
        <v>1832</v>
      </c>
      <c r="B465" s="36"/>
    </row>
    <row r="466">
      <c r="A466" s="8" t="s">
        <v>1838</v>
      </c>
      <c r="B466" s="36"/>
    </row>
    <row r="467">
      <c r="A467" s="8" t="s">
        <v>1840</v>
      </c>
      <c r="B467" s="36"/>
    </row>
    <row r="468">
      <c r="A468" s="8" t="s">
        <v>1841</v>
      </c>
      <c r="B468" s="36"/>
    </row>
    <row r="469">
      <c r="A469" s="8" t="s">
        <v>1844</v>
      </c>
      <c r="B469" s="36"/>
    </row>
    <row r="470">
      <c r="A470" s="8" t="s">
        <v>1845</v>
      </c>
      <c r="B470" s="36"/>
    </row>
    <row r="471">
      <c r="A471" s="8" t="s">
        <v>1846</v>
      </c>
      <c r="B471" s="36"/>
    </row>
    <row r="472">
      <c r="A472" s="8" t="s">
        <v>1847</v>
      </c>
      <c r="B472" s="36"/>
    </row>
    <row r="473">
      <c r="A473" s="8" t="s">
        <v>1848</v>
      </c>
      <c r="B473" s="36"/>
    </row>
    <row r="474">
      <c r="A474" s="8" t="s">
        <v>1851</v>
      </c>
      <c r="B474" s="36"/>
    </row>
    <row r="475">
      <c r="A475" s="8" t="s">
        <v>1853</v>
      </c>
      <c r="B475" s="36"/>
    </row>
    <row r="476">
      <c r="A476" s="8" t="s">
        <v>1854</v>
      </c>
      <c r="B476" s="36"/>
    </row>
    <row r="477">
      <c r="A477" s="8" t="s">
        <v>1855</v>
      </c>
      <c r="B477" s="36"/>
    </row>
    <row r="478">
      <c r="A478" s="8" t="s">
        <v>1860</v>
      </c>
      <c r="B478" s="36"/>
    </row>
    <row r="479">
      <c r="A479" s="8" t="s">
        <v>1861</v>
      </c>
      <c r="B479" s="36"/>
    </row>
    <row r="480">
      <c r="A480" s="8" t="s">
        <v>1864</v>
      </c>
      <c r="B480" s="36"/>
    </row>
    <row r="481">
      <c r="A481" s="8" t="s">
        <v>1865</v>
      </c>
      <c r="B481" s="36"/>
    </row>
    <row r="482">
      <c r="A482" s="8" t="s">
        <v>1869</v>
      </c>
      <c r="B482" s="36"/>
    </row>
    <row r="483">
      <c r="A483" s="8" t="s">
        <v>1870</v>
      </c>
      <c r="B483" s="36"/>
    </row>
    <row r="484">
      <c r="A484" s="8" t="s">
        <v>1874</v>
      </c>
      <c r="B484" s="36"/>
    </row>
    <row r="485">
      <c r="A485" s="8" t="s">
        <v>1877</v>
      </c>
      <c r="B485" s="36"/>
    </row>
    <row r="486">
      <c r="A486" s="8" t="s">
        <v>1878</v>
      </c>
      <c r="B486" s="36"/>
    </row>
    <row r="487">
      <c r="A487" s="8" t="s">
        <v>1879</v>
      </c>
      <c r="B487" s="36"/>
    </row>
    <row r="488">
      <c r="A488" s="8" t="s">
        <v>1881</v>
      </c>
      <c r="B488" s="36"/>
    </row>
    <row r="489">
      <c r="A489" s="8" t="s">
        <v>1884</v>
      </c>
      <c r="B489" s="36"/>
    </row>
    <row r="490">
      <c r="A490" s="8" t="s">
        <v>1885</v>
      </c>
      <c r="B490" s="36"/>
    </row>
    <row r="491">
      <c r="A491" s="8" t="s">
        <v>1888</v>
      </c>
      <c r="B491" s="36"/>
    </row>
    <row r="492">
      <c r="A492" s="8" t="s">
        <v>1890</v>
      </c>
      <c r="B492" s="36"/>
    </row>
    <row r="493">
      <c r="A493" s="8" t="s">
        <v>1891</v>
      </c>
      <c r="B493" s="36"/>
    </row>
    <row r="494">
      <c r="A494" s="8" t="s">
        <v>1897</v>
      </c>
      <c r="B494" s="36"/>
    </row>
    <row r="495">
      <c r="A495" s="8" t="s">
        <v>1898</v>
      </c>
      <c r="B495" s="36"/>
    </row>
    <row r="496">
      <c r="A496" s="8" t="s">
        <v>1902</v>
      </c>
      <c r="B496" s="36"/>
    </row>
    <row r="497">
      <c r="A497" s="8" t="s">
        <v>1903</v>
      </c>
      <c r="B497" s="36"/>
    </row>
    <row r="498">
      <c r="A498" s="8" t="s">
        <v>1907</v>
      </c>
      <c r="B498" s="36"/>
    </row>
    <row r="499">
      <c r="A499" s="8" t="s">
        <v>1908</v>
      </c>
      <c r="B499" s="36"/>
    </row>
    <row r="500">
      <c r="A500" s="8" t="s">
        <v>1912</v>
      </c>
      <c r="B500" s="36"/>
    </row>
    <row r="501">
      <c r="A501" s="8" t="s">
        <v>1913</v>
      </c>
      <c r="B501" s="36"/>
    </row>
    <row r="502">
      <c r="A502" s="8" t="s">
        <v>1917</v>
      </c>
      <c r="B502" s="36"/>
    </row>
    <row r="503">
      <c r="A503" s="8" t="s">
        <v>1921</v>
      </c>
      <c r="B503" s="36"/>
    </row>
    <row r="504">
      <c r="A504" s="8" t="s">
        <v>1922</v>
      </c>
      <c r="B504" s="36"/>
    </row>
    <row r="505">
      <c r="A505" s="8" t="s">
        <v>1925</v>
      </c>
      <c r="B505" s="36"/>
    </row>
    <row r="506">
      <c r="A506" s="8" t="s">
        <v>1928</v>
      </c>
      <c r="B506" s="36"/>
    </row>
    <row r="507">
      <c r="A507" s="8" t="s">
        <v>1931</v>
      </c>
      <c r="B507" s="36"/>
    </row>
    <row r="508">
      <c r="A508" s="8" t="s">
        <v>1932</v>
      </c>
      <c r="B508" s="36"/>
    </row>
    <row r="509">
      <c r="A509" s="8" t="s">
        <v>1936</v>
      </c>
      <c r="B509" s="36"/>
    </row>
    <row r="510">
      <c r="A510" s="8" t="s">
        <v>1937</v>
      </c>
      <c r="B510" s="36"/>
    </row>
    <row r="511">
      <c r="A511" s="8" t="s">
        <v>1237</v>
      </c>
      <c r="B511" s="36"/>
    </row>
    <row r="512">
      <c r="A512" s="8" t="s">
        <v>1938</v>
      </c>
      <c r="B512" s="36"/>
    </row>
    <row r="513">
      <c r="A513" s="8" t="s">
        <v>1939</v>
      </c>
      <c r="B513" s="36"/>
    </row>
    <row r="514">
      <c r="A514" s="8" t="s">
        <v>1940</v>
      </c>
      <c r="B514" s="36"/>
    </row>
    <row r="515">
      <c r="A515" s="8" t="s">
        <v>1941</v>
      </c>
      <c r="B515" s="36"/>
    </row>
    <row r="516">
      <c r="A516" s="8" t="s">
        <v>1942</v>
      </c>
      <c r="B516" s="36"/>
    </row>
    <row r="517">
      <c r="A517" s="8" t="s">
        <v>1944</v>
      </c>
      <c r="B517" s="36"/>
    </row>
    <row r="518">
      <c r="A518" s="8" t="s">
        <v>1946</v>
      </c>
      <c r="B518" s="36"/>
    </row>
    <row r="519">
      <c r="A519" s="8" t="s">
        <v>1948</v>
      </c>
      <c r="B519" s="36"/>
    </row>
    <row r="520">
      <c r="A520" s="8" t="s">
        <v>1952</v>
      </c>
      <c r="B520" s="36"/>
    </row>
    <row r="521">
      <c r="A521" s="8" t="s">
        <v>1953</v>
      </c>
      <c r="B521" s="36"/>
    </row>
    <row r="522">
      <c r="A522" s="8" t="s">
        <v>1954</v>
      </c>
      <c r="B522" s="36"/>
    </row>
    <row r="523">
      <c r="A523" s="8" t="s">
        <v>1957</v>
      </c>
      <c r="B523" s="36"/>
    </row>
    <row r="524">
      <c r="A524" s="8" t="s">
        <v>1958</v>
      </c>
      <c r="B524" s="36"/>
    </row>
    <row r="525">
      <c r="A525" s="8" t="s">
        <v>1959</v>
      </c>
      <c r="B525" s="36"/>
    </row>
    <row r="526">
      <c r="A526" s="8" t="s">
        <v>1961</v>
      </c>
      <c r="B526" s="36"/>
    </row>
    <row r="527">
      <c r="A527" s="8" t="s">
        <v>1965</v>
      </c>
      <c r="B527" s="36"/>
    </row>
    <row r="528">
      <c r="A528" s="8" t="s">
        <v>1968</v>
      </c>
      <c r="B528" s="36"/>
    </row>
    <row r="529">
      <c r="A529" s="8" t="s">
        <v>1969</v>
      </c>
      <c r="B529" s="36"/>
    </row>
    <row r="530">
      <c r="A530" s="8" t="s">
        <v>1971</v>
      </c>
      <c r="B530" s="36"/>
    </row>
    <row r="531">
      <c r="A531" s="8" t="s">
        <v>1975</v>
      </c>
      <c r="B531" s="36"/>
    </row>
    <row r="532">
      <c r="A532" s="8" t="s">
        <v>1976</v>
      </c>
      <c r="B532" s="36"/>
    </row>
    <row r="533">
      <c r="A533" s="8" t="s">
        <v>1980</v>
      </c>
      <c r="B533" s="36"/>
    </row>
    <row r="534">
      <c r="A534" s="8" t="s">
        <v>1981</v>
      </c>
      <c r="B534" s="36"/>
    </row>
    <row r="535">
      <c r="A535" s="8" t="s">
        <v>1982</v>
      </c>
      <c r="B535" s="36"/>
    </row>
    <row r="536">
      <c r="A536" s="8" t="s">
        <v>1324</v>
      </c>
      <c r="B536" s="36"/>
    </row>
    <row r="537">
      <c r="A537" s="8" t="s">
        <v>1987</v>
      </c>
      <c r="B537" s="36"/>
    </row>
    <row r="538">
      <c r="A538" s="8" t="s">
        <v>1988</v>
      </c>
      <c r="B538" s="36"/>
    </row>
    <row r="539">
      <c r="A539" s="8" t="s">
        <v>1989</v>
      </c>
      <c r="B539" s="36"/>
    </row>
    <row r="540">
      <c r="A540" s="8" t="s">
        <v>1991</v>
      </c>
      <c r="B540" s="36"/>
    </row>
    <row r="541">
      <c r="A541" s="8" t="s">
        <v>1995</v>
      </c>
      <c r="B541" s="36"/>
    </row>
    <row r="542">
      <c r="A542" s="8" t="s">
        <v>1996</v>
      </c>
      <c r="B542" s="36"/>
    </row>
    <row r="543">
      <c r="A543" s="8" t="s">
        <v>1999</v>
      </c>
      <c r="B543" s="36"/>
    </row>
    <row r="544">
      <c r="A544" s="8" t="s">
        <v>2000</v>
      </c>
      <c r="B544" s="36"/>
    </row>
    <row r="545">
      <c r="A545" s="8" t="s">
        <v>2004</v>
      </c>
      <c r="B545" s="36"/>
    </row>
    <row r="546">
      <c r="A546" s="8" t="s">
        <v>2007</v>
      </c>
      <c r="B546" s="36"/>
    </row>
    <row r="547">
      <c r="A547" s="8" t="s">
        <v>2008</v>
      </c>
      <c r="B547" s="36"/>
    </row>
    <row r="548">
      <c r="A548" s="8" t="s">
        <v>2010</v>
      </c>
      <c r="B548" s="36"/>
    </row>
    <row r="549">
      <c r="A549" s="8" t="s">
        <v>2011</v>
      </c>
      <c r="B549" s="36"/>
    </row>
    <row r="550">
      <c r="A550" s="8" t="s">
        <v>2012</v>
      </c>
      <c r="B550" s="36"/>
    </row>
    <row r="551">
      <c r="A551" s="8" t="s">
        <v>2013</v>
      </c>
      <c r="B551" s="36"/>
    </row>
    <row r="552">
      <c r="A552" s="8" t="s">
        <v>2015</v>
      </c>
      <c r="B552" s="36"/>
    </row>
    <row r="553">
      <c r="A553" s="8" t="s">
        <v>2019</v>
      </c>
      <c r="B553" s="36"/>
    </row>
    <row r="554">
      <c r="A554" s="8" t="s">
        <v>2020</v>
      </c>
      <c r="B554" s="36"/>
    </row>
    <row r="555">
      <c r="A555" s="8" t="s">
        <v>2023</v>
      </c>
      <c r="B555" s="36"/>
    </row>
    <row r="556">
      <c r="A556" s="8" t="s">
        <v>2026</v>
      </c>
      <c r="B556" s="36"/>
    </row>
    <row r="557">
      <c r="A557" s="8" t="s">
        <v>2030</v>
      </c>
      <c r="B557" s="36"/>
    </row>
    <row r="558">
      <c r="A558" s="8" t="s">
        <v>2031</v>
      </c>
      <c r="B558" s="36"/>
    </row>
    <row r="559">
      <c r="A559" s="8" t="s">
        <v>2032</v>
      </c>
      <c r="B559" s="36"/>
    </row>
    <row r="560">
      <c r="A560" s="8" t="s">
        <v>2033</v>
      </c>
      <c r="B560" s="36"/>
    </row>
    <row r="561">
      <c r="A561" s="8" t="s">
        <v>2035</v>
      </c>
      <c r="B561" s="36"/>
    </row>
    <row r="562">
      <c r="A562" s="8" t="s">
        <v>2039</v>
      </c>
      <c r="B562" s="36"/>
    </row>
    <row r="563">
      <c r="A563" s="8" t="s">
        <v>2040</v>
      </c>
      <c r="B563" s="36"/>
    </row>
    <row r="564">
      <c r="A564" s="8" t="s">
        <v>2042</v>
      </c>
      <c r="B564" s="36"/>
    </row>
    <row r="565">
      <c r="A565" s="8" t="s">
        <v>2043</v>
      </c>
      <c r="B565" s="36"/>
    </row>
    <row r="566">
      <c r="A566" s="8" t="s">
        <v>2044</v>
      </c>
      <c r="B566" s="36"/>
    </row>
    <row r="567">
      <c r="A567" s="8" t="s">
        <v>2045</v>
      </c>
      <c r="B567" s="36"/>
    </row>
    <row r="568">
      <c r="A568" s="8" t="s">
        <v>2046</v>
      </c>
      <c r="B568" s="36"/>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1100</v>
      </c>
    </row>
    <row r="2">
      <c r="A2" s="37" t="s">
        <v>1106</v>
      </c>
    </row>
    <row r="3">
      <c r="A3" s="37" t="s">
        <v>1114</v>
      </c>
    </row>
    <row r="4">
      <c r="A4" s="37" t="s">
        <v>1131</v>
      </c>
    </row>
    <row r="5">
      <c r="A5" s="37" t="s">
        <v>1138</v>
      </c>
    </row>
    <row r="6">
      <c r="A6" s="37" t="s">
        <v>1149</v>
      </c>
    </row>
    <row r="7">
      <c r="A7" s="37" t="s">
        <v>1164</v>
      </c>
    </row>
    <row r="8">
      <c r="A8" s="37" t="s">
        <v>1166</v>
      </c>
    </row>
    <row r="9">
      <c r="A9" s="37" t="s">
        <v>1179</v>
      </c>
    </row>
    <row r="10">
      <c r="A10" s="37" t="s">
        <v>1194</v>
      </c>
    </row>
    <row r="11">
      <c r="A11" s="37" t="s">
        <v>1195</v>
      </c>
    </row>
    <row r="12">
      <c r="A12" s="37" t="s">
        <v>1198</v>
      </c>
    </row>
    <row r="13">
      <c r="A13" s="37" t="s">
        <v>1205</v>
      </c>
    </row>
    <row r="14">
      <c r="A14" s="37" t="s">
        <v>1208</v>
      </c>
    </row>
    <row r="15">
      <c r="A15" s="37" t="s">
        <v>1211</v>
      </c>
    </row>
    <row r="16">
      <c r="A16" s="37" t="s">
        <v>1216</v>
      </c>
    </row>
    <row r="17">
      <c r="A17" s="37" t="s">
        <v>1219</v>
      </c>
    </row>
    <row r="18">
      <c r="A18" s="37" t="s">
        <v>1252</v>
      </c>
    </row>
    <row r="19">
      <c r="A19" s="37" t="s">
        <v>1213</v>
      </c>
    </row>
    <row r="20">
      <c r="A20" s="37" t="s">
        <v>1264</v>
      </c>
    </row>
    <row r="21">
      <c r="A21" s="37" t="s">
        <v>1268</v>
      </c>
    </row>
    <row r="22">
      <c r="A22" s="37" t="s">
        <v>1272</v>
      </c>
    </row>
    <row r="23">
      <c r="A23" s="37" t="s">
        <v>1273</v>
      </c>
    </row>
    <row r="24">
      <c r="A24" s="37" t="s">
        <v>1282</v>
      </c>
    </row>
    <row r="25">
      <c r="A25" s="37" t="s">
        <v>1285</v>
      </c>
    </row>
    <row r="26">
      <c r="A26" s="37" t="s">
        <v>1214</v>
      </c>
    </row>
    <row r="27">
      <c r="A27" s="37" t="s">
        <v>1293</v>
      </c>
    </row>
    <row r="28">
      <c r="A28" s="37" t="s">
        <v>1295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4" max="14" width="115.63"/>
  </cols>
  <sheetData>
    <row r="1">
      <c r="A1" s="7" t="s">
        <v>3465</v>
      </c>
      <c r="B1" s="7" t="s">
        <v>3466</v>
      </c>
      <c r="C1" s="7" t="s">
        <v>3467</v>
      </c>
      <c r="D1" s="7" t="s">
        <v>3468</v>
      </c>
      <c r="E1" s="7" t="s">
        <v>3469</v>
      </c>
      <c r="F1" s="7" t="s">
        <v>3470</v>
      </c>
      <c r="G1" s="7" t="s">
        <v>3471</v>
      </c>
      <c r="H1" s="7" t="s">
        <v>3472</v>
      </c>
      <c r="I1" s="7" t="s">
        <v>3473</v>
      </c>
      <c r="J1" s="7" t="s">
        <v>3474</v>
      </c>
      <c r="K1" s="7" t="s">
        <v>3475</v>
      </c>
      <c r="L1" s="7" t="s">
        <v>3476</v>
      </c>
      <c r="M1" s="7" t="s">
        <v>3477</v>
      </c>
      <c r="N1" s="7" t="s">
        <v>3478</v>
      </c>
      <c r="O1" s="7" t="s">
        <v>3479</v>
      </c>
      <c r="P1" s="7" t="s">
        <v>3480</v>
      </c>
      <c r="Q1" s="7" t="s">
        <v>3481</v>
      </c>
    </row>
    <row r="2">
      <c r="A2" s="7" t="s">
        <v>3482</v>
      </c>
      <c r="B2" s="7">
        <v>11970.0</v>
      </c>
      <c r="C2" s="7" t="s">
        <v>3483</v>
      </c>
      <c r="D2" s="7" t="s">
        <v>3484</v>
      </c>
      <c r="E2" s="7" t="s">
        <v>3485</v>
      </c>
      <c r="F2" s="7" t="s">
        <v>3486</v>
      </c>
      <c r="G2" s="7" t="s">
        <v>3487</v>
      </c>
      <c r="H2" s="7" t="s">
        <v>3488</v>
      </c>
      <c r="I2" s="119">
        <v>45292.0</v>
      </c>
      <c r="K2" s="7" t="s">
        <v>3489</v>
      </c>
      <c r="L2" s="7" t="s">
        <v>991</v>
      </c>
      <c r="M2" s="7" t="s">
        <v>3490</v>
      </c>
      <c r="N2" s="7" t="s">
        <v>3491</v>
      </c>
      <c r="O2" s="7" t="s">
        <v>3492</v>
      </c>
      <c r="P2" s="7" t="s">
        <v>3493</v>
      </c>
      <c r="Q2" s="7">
        <v>1.0</v>
      </c>
    </row>
    <row r="3">
      <c r="A3" s="7" t="s">
        <v>3494</v>
      </c>
      <c r="B3" s="7">
        <v>14274.0</v>
      </c>
      <c r="C3" s="7" t="s">
        <v>3495</v>
      </c>
      <c r="D3" s="7" t="s">
        <v>3496</v>
      </c>
      <c r="E3" s="7" t="s">
        <v>3497</v>
      </c>
      <c r="F3" s="7" t="s">
        <v>3498</v>
      </c>
      <c r="G3" s="7" t="s">
        <v>3499</v>
      </c>
      <c r="H3" s="7" t="s">
        <v>3500</v>
      </c>
      <c r="I3" s="119">
        <v>45292.0</v>
      </c>
      <c r="K3" s="7" t="s">
        <v>419</v>
      </c>
      <c r="L3" s="7" t="s">
        <v>991</v>
      </c>
      <c r="M3" s="7" t="s">
        <v>3501</v>
      </c>
      <c r="N3" s="7" t="s">
        <v>3502</v>
      </c>
      <c r="O3" s="7" t="s">
        <v>3503</v>
      </c>
      <c r="P3" s="7" t="s">
        <v>3493</v>
      </c>
      <c r="Q3" s="7">
        <v>1.0</v>
      </c>
    </row>
    <row r="4">
      <c r="A4" s="7" t="s">
        <v>3504</v>
      </c>
      <c r="B4" s="7">
        <v>2200515.0</v>
      </c>
      <c r="C4" s="7" t="s">
        <v>3505</v>
      </c>
      <c r="D4" s="7" t="s">
        <v>3506</v>
      </c>
      <c r="E4" s="7" t="s">
        <v>3507</v>
      </c>
      <c r="F4" s="7" t="s">
        <v>3508</v>
      </c>
      <c r="G4" s="7" t="s">
        <v>3509</v>
      </c>
      <c r="H4" s="7" t="s">
        <v>3510</v>
      </c>
      <c r="I4" s="119">
        <v>45292.0</v>
      </c>
      <c r="K4" s="7" t="s">
        <v>419</v>
      </c>
      <c r="L4" s="7" t="s">
        <v>991</v>
      </c>
      <c r="M4" s="7" t="s">
        <v>3501</v>
      </c>
      <c r="N4" s="7" t="s">
        <v>3511</v>
      </c>
      <c r="O4" s="7" t="s">
        <v>3512</v>
      </c>
      <c r="P4" s="7" t="s">
        <v>3513</v>
      </c>
      <c r="Q4" s="7" t="s">
        <v>3514</v>
      </c>
    </row>
    <row r="5">
      <c r="A5" s="7" t="s">
        <v>3515</v>
      </c>
      <c r="B5" s="7">
        <v>11139.0</v>
      </c>
      <c r="C5" s="7" t="s">
        <v>3505</v>
      </c>
      <c r="D5" s="7" t="s">
        <v>3516</v>
      </c>
      <c r="E5" s="7" t="s">
        <v>3507</v>
      </c>
      <c r="F5" s="7" t="s">
        <v>3517</v>
      </c>
      <c r="G5" s="7" t="s">
        <v>3518</v>
      </c>
      <c r="H5" s="7" t="s">
        <v>3519</v>
      </c>
      <c r="I5" s="119">
        <v>45292.0</v>
      </c>
      <c r="K5" s="7" t="s">
        <v>419</v>
      </c>
      <c r="L5" s="7" t="s">
        <v>991</v>
      </c>
      <c r="M5" s="7" t="s">
        <v>3501</v>
      </c>
      <c r="N5" s="7" t="s">
        <v>3520</v>
      </c>
      <c r="O5" s="7" t="s">
        <v>3521</v>
      </c>
      <c r="P5" s="7" t="s">
        <v>3522</v>
      </c>
      <c r="Q5" s="7" t="s">
        <v>3523</v>
      </c>
    </row>
    <row r="6">
      <c r="A6" s="7" t="s">
        <v>3524</v>
      </c>
      <c r="B6" s="7">
        <v>12864.0</v>
      </c>
      <c r="C6" s="7" t="s">
        <v>3525</v>
      </c>
      <c r="D6" s="7" t="s">
        <v>3526</v>
      </c>
      <c r="E6" s="7" t="s">
        <v>3527</v>
      </c>
      <c r="F6" s="7" t="s">
        <v>3528</v>
      </c>
      <c r="G6" s="7" t="s">
        <v>3529</v>
      </c>
      <c r="H6" s="7" t="s">
        <v>3530</v>
      </c>
      <c r="I6" s="119">
        <v>45292.0</v>
      </c>
      <c r="K6" s="7" t="s">
        <v>419</v>
      </c>
      <c r="L6" s="7" t="s">
        <v>991</v>
      </c>
      <c r="M6" s="7" t="s">
        <v>3531</v>
      </c>
      <c r="N6" s="7" t="s">
        <v>3532</v>
      </c>
      <c r="O6" s="7" t="s">
        <v>3533</v>
      </c>
      <c r="P6" s="7" t="s">
        <v>3493</v>
      </c>
      <c r="Q6" s="7">
        <v>1.0</v>
      </c>
    </row>
    <row r="7">
      <c r="A7" s="7" t="s">
        <v>3534</v>
      </c>
      <c r="B7" s="7">
        <v>2300429.0</v>
      </c>
      <c r="C7" s="7" t="s">
        <v>3535</v>
      </c>
      <c r="D7" s="7" t="s">
        <v>3536</v>
      </c>
      <c r="E7" s="7" t="s">
        <v>3537</v>
      </c>
      <c r="F7" s="7" t="s">
        <v>3538</v>
      </c>
      <c r="G7" s="7" t="s">
        <v>3539</v>
      </c>
      <c r="H7" s="7" t="s">
        <v>3540</v>
      </c>
      <c r="I7" s="119">
        <v>45292.0</v>
      </c>
      <c r="K7" s="7" t="s">
        <v>3541</v>
      </c>
      <c r="L7" s="7" t="s">
        <v>3542</v>
      </c>
      <c r="M7" s="7" t="s">
        <v>3543</v>
      </c>
      <c r="N7" s="7" t="s">
        <v>3544</v>
      </c>
      <c r="O7" s="7" t="s">
        <v>3545</v>
      </c>
      <c r="P7" s="7" t="s">
        <v>3546</v>
      </c>
      <c r="Q7" s="7" t="s">
        <v>3514</v>
      </c>
    </row>
    <row r="8">
      <c r="A8" s="7" t="s">
        <v>3547</v>
      </c>
      <c r="B8" s="7">
        <v>554.0</v>
      </c>
      <c r="C8" s="7" t="s">
        <v>3535</v>
      </c>
      <c r="D8" s="7" t="s">
        <v>3548</v>
      </c>
      <c r="E8" s="7" t="s">
        <v>3537</v>
      </c>
      <c r="F8" s="7" t="s">
        <v>3549</v>
      </c>
      <c r="G8" s="7" t="s">
        <v>3550</v>
      </c>
      <c r="H8" s="7" t="s">
        <v>3551</v>
      </c>
      <c r="I8" s="119">
        <v>45292.0</v>
      </c>
      <c r="K8" s="7" t="s">
        <v>419</v>
      </c>
      <c r="L8" s="7" t="s">
        <v>991</v>
      </c>
      <c r="M8" s="7" t="s">
        <v>3501</v>
      </c>
      <c r="N8" s="7" t="s">
        <v>3552</v>
      </c>
      <c r="O8" s="7" t="s">
        <v>3553</v>
      </c>
      <c r="P8" s="7" t="s">
        <v>3554</v>
      </c>
      <c r="Q8" s="7" t="s">
        <v>3555</v>
      </c>
    </row>
    <row r="9">
      <c r="A9" s="7" t="s">
        <v>3556</v>
      </c>
      <c r="B9" s="7">
        <v>10495.0</v>
      </c>
      <c r="C9" s="7" t="s">
        <v>3557</v>
      </c>
      <c r="D9" s="7" t="s">
        <v>3558</v>
      </c>
      <c r="E9" s="7" t="s">
        <v>3559</v>
      </c>
      <c r="F9" s="7" t="s">
        <v>3560</v>
      </c>
      <c r="G9" s="7" t="s">
        <v>3561</v>
      </c>
      <c r="H9" s="7" t="s">
        <v>3562</v>
      </c>
      <c r="I9" s="119">
        <v>45292.0</v>
      </c>
      <c r="K9" s="7" t="s">
        <v>3541</v>
      </c>
      <c r="L9" s="7" t="s">
        <v>3542</v>
      </c>
      <c r="M9" s="7" t="s">
        <v>3563</v>
      </c>
      <c r="N9" s="7" t="s">
        <v>3544</v>
      </c>
      <c r="O9" s="7" t="s">
        <v>3564</v>
      </c>
      <c r="P9" s="7" t="s">
        <v>3565</v>
      </c>
      <c r="Q9" s="7" t="s">
        <v>3566</v>
      </c>
    </row>
    <row r="10">
      <c r="A10" s="7" t="s">
        <v>3567</v>
      </c>
      <c r="B10" s="7">
        <v>2200211.0</v>
      </c>
      <c r="C10" s="7" t="s">
        <v>3568</v>
      </c>
      <c r="D10" s="7" t="s">
        <v>3569</v>
      </c>
      <c r="E10" s="7" t="s">
        <v>3570</v>
      </c>
      <c r="F10" s="7" t="s">
        <v>3571</v>
      </c>
      <c r="G10" s="7" t="s">
        <v>3572</v>
      </c>
      <c r="H10" s="7" t="s">
        <v>3573</v>
      </c>
      <c r="I10" s="119">
        <v>45292.0</v>
      </c>
      <c r="K10" s="7" t="s">
        <v>419</v>
      </c>
      <c r="L10" s="7" t="s">
        <v>991</v>
      </c>
      <c r="M10" s="7" t="s">
        <v>3501</v>
      </c>
      <c r="N10" s="7" t="s">
        <v>3574</v>
      </c>
      <c r="O10" s="7" t="s">
        <v>3575</v>
      </c>
      <c r="P10" s="7" t="s">
        <v>3522</v>
      </c>
      <c r="Q10" s="7" t="s">
        <v>3523</v>
      </c>
    </row>
    <row r="11">
      <c r="A11" s="7" t="s">
        <v>3576</v>
      </c>
      <c r="B11" s="7">
        <v>2400006.0</v>
      </c>
      <c r="C11" s="7" t="s">
        <v>3577</v>
      </c>
      <c r="D11" s="7" t="s">
        <v>3578</v>
      </c>
      <c r="E11" s="7" t="s">
        <v>3579</v>
      </c>
      <c r="F11" s="7" t="s">
        <v>3580</v>
      </c>
      <c r="G11" s="7" t="s">
        <v>3581</v>
      </c>
      <c r="H11" s="7" t="s">
        <v>3582</v>
      </c>
      <c r="I11" s="119">
        <v>45292.0</v>
      </c>
      <c r="K11" s="7" t="s">
        <v>419</v>
      </c>
      <c r="L11" s="7" t="s">
        <v>991</v>
      </c>
      <c r="M11" s="7" t="s">
        <v>3583</v>
      </c>
      <c r="N11" s="7" t="s">
        <v>3584</v>
      </c>
      <c r="O11" s="7" t="s">
        <v>3585</v>
      </c>
      <c r="P11" s="7" t="s">
        <v>3493</v>
      </c>
      <c r="Q11" s="7">
        <v>1.0</v>
      </c>
    </row>
    <row r="12">
      <c r="A12" s="7" t="s">
        <v>3586</v>
      </c>
      <c r="B12" s="7">
        <v>11252.0</v>
      </c>
      <c r="C12" s="7" t="s">
        <v>3587</v>
      </c>
      <c r="D12" s="7" t="s">
        <v>3588</v>
      </c>
      <c r="E12" s="7" t="s">
        <v>3589</v>
      </c>
      <c r="F12" s="7" t="s">
        <v>3590</v>
      </c>
      <c r="G12" s="7" t="s">
        <v>3591</v>
      </c>
      <c r="H12" s="7" t="s">
        <v>3592</v>
      </c>
      <c r="I12" s="119">
        <v>45292.0</v>
      </c>
      <c r="K12" s="7" t="s">
        <v>419</v>
      </c>
      <c r="L12" s="7" t="s">
        <v>991</v>
      </c>
      <c r="M12" s="7" t="s">
        <v>3501</v>
      </c>
      <c r="N12" s="7" t="s">
        <v>3593</v>
      </c>
      <c r="O12" s="7" t="s">
        <v>3594</v>
      </c>
      <c r="P12" s="7" t="s">
        <v>3493</v>
      </c>
      <c r="Q12" s="7">
        <v>1.0</v>
      </c>
    </row>
    <row r="13">
      <c r="A13" s="7" t="s">
        <v>3595</v>
      </c>
      <c r="B13" s="7">
        <v>2200002.0</v>
      </c>
      <c r="C13" s="7" t="s">
        <v>3596</v>
      </c>
      <c r="D13" s="7" t="s">
        <v>3597</v>
      </c>
      <c r="E13" s="7" t="s">
        <v>3598</v>
      </c>
      <c r="F13" s="7" t="s">
        <v>3599</v>
      </c>
      <c r="G13" s="7" t="s">
        <v>3600</v>
      </c>
      <c r="H13" s="7" t="s">
        <v>3601</v>
      </c>
      <c r="I13" s="119">
        <v>45292.0</v>
      </c>
      <c r="K13" s="7" t="s">
        <v>419</v>
      </c>
      <c r="L13" s="7" t="s">
        <v>991</v>
      </c>
      <c r="M13" s="7" t="s">
        <v>3501</v>
      </c>
      <c r="N13" s="7" t="s">
        <v>3602</v>
      </c>
      <c r="O13" s="7" t="s">
        <v>3603</v>
      </c>
      <c r="P13" s="7" t="s">
        <v>3604</v>
      </c>
      <c r="Q13" s="7">
        <v>1.0</v>
      </c>
    </row>
    <row r="14">
      <c r="A14" s="7" t="s">
        <v>3605</v>
      </c>
      <c r="B14" s="7">
        <v>3000003.0</v>
      </c>
      <c r="C14" s="7" t="s">
        <v>3606</v>
      </c>
      <c r="D14" s="7" t="s">
        <v>3607</v>
      </c>
      <c r="E14" s="7" t="s">
        <v>3608</v>
      </c>
      <c r="F14" s="7" t="s">
        <v>3609</v>
      </c>
      <c r="G14" s="7" t="s">
        <v>3610</v>
      </c>
      <c r="H14" s="7" t="s">
        <v>3611</v>
      </c>
      <c r="I14" s="119">
        <v>45428.0</v>
      </c>
      <c r="K14" s="7" t="s">
        <v>419</v>
      </c>
      <c r="L14" s="7" t="s">
        <v>991</v>
      </c>
      <c r="M14" s="7" t="s">
        <v>3501</v>
      </c>
      <c r="N14" s="7" t="s">
        <v>3612</v>
      </c>
      <c r="O14" s="7" t="s">
        <v>3613</v>
      </c>
      <c r="P14" s="7" t="s">
        <v>3614</v>
      </c>
      <c r="Q14" s="7" t="s">
        <v>3514</v>
      </c>
    </row>
    <row r="15">
      <c r="A15" s="7" t="s">
        <v>3615</v>
      </c>
      <c r="B15" s="7">
        <v>2200589.0</v>
      </c>
      <c r="C15" s="7" t="s">
        <v>3616</v>
      </c>
      <c r="D15" s="7" t="s">
        <v>3617</v>
      </c>
      <c r="E15" s="7" t="s">
        <v>3618</v>
      </c>
      <c r="F15" s="7" t="s">
        <v>3619</v>
      </c>
      <c r="G15" s="7" t="s">
        <v>3620</v>
      </c>
      <c r="H15" s="7" t="s">
        <v>3621</v>
      </c>
      <c r="I15" s="119">
        <v>45292.0</v>
      </c>
      <c r="K15" s="7" t="s">
        <v>3622</v>
      </c>
      <c r="L15" s="7" t="s">
        <v>991</v>
      </c>
      <c r="M15" s="7" t="s">
        <v>3531</v>
      </c>
      <c r="N15" s="7" t="s">
        <v>3623</v>
      </c>
      <c r="O15" s="7" t="s">
        <v>3624</v>
      </c>
      <c r="P15" s="7" t="s">
        <v>3493</v>
      </c>
      <c r="Q15" s="7">
        <v>1.0</v>
      </c>
    </row>
    <row r="16">
      <c r="A16" s="7" t="s">
        <v>3625</v>
      </c>
      <c r="B16" s="7">
        <v>2300216.0</v>
      </c>
      <c r="C16" s="7" t="s">
        <v>3626</v>
      </c>
      <c r="D16" s="7" t="s">
        <v>3627</v>
      </c>
      <c r="E16" s="7" t="s">
        <v>3628</v>
      </c>
      <c r="F16" s="7" t="s">
        <v>3629</v>
      </c>
      <c r="G16" s="7" t="s">
        <v>3630</v>
      </c>
      <c r="H16" s="7" t="s">
        <v>3631</v>
      </c>
      <c r="I16" s="119">
        <v>45292.0</v>
      </c>
      <c r="K16" s="7" t="s">
        <v>3632</v>
      </c>
      <c r="L16" s="7" t="s">
        <v>991</v>
      </c>
      <c r="M16" s="7" t="s">
        <v>3501</v>
      </c>
      <c r="N16" s="7" t="s">
        <v>3633</v>
      </c>
      <c r="O16" s="7" t="s">
        <v>3634</v>
      </c>
      <c r="P16" s="7" t="s">
        <v>3522</v>
      </c>
      <c r="Q16" s="7" t="s">
        <v>3514</v>
      </c>
    </row>
    <row r="17">
      <c r="A17" s="7" t="s">
        <v>3635</v>
      </c>
      <c r="B17" s="7">
        <v>2300790.0</v>
      </c>
      <c r="C17" s="7" t="s">
        <v>3636</v>
      </c>
      <c r="D17" s="7" t="s">
        <v>3637</v>
      </c>
      <c r="E17" s="7" t="s">
        <v>3638</v>
      </c>
      <c r="F17" s="7" t="s">
        <v>3639</v>
      </c>
      <c r="G17" s="7" t="s">
        <v>3640</v>
      </c>
      <c r="H17" s="7" t="s">
        <v>3641</v>
      </c>
      <c r="I17" s="119">
        <v>45292.0</v>
      </c>
      <c r="K17" s="7" t="s">
        <v>3642</v>
      </c>
      <c r="L17" s="7" t="s">
        <v>991</v>
      </c>
      <c r="M17" s="7" t="s">
        <v>3501</v>
      </c>
      <c r="N17" s="7" t="s">
        <v>3643</v>
      </c>
      <c r="O17" s="7" t="s">
        <v>3644</v>
      </c>
      <c r="P17" s="7" t="s">
        <v>3493</v>
      </c>
      <c r="Q17" s="7">
        <v>1.0</v>
      </c>
    </row>
    <row r="18">
      <c r="A18" s="7" t="s">
        <v>3645</v>
      </c>
      <c r="B18" s="7">
        <v>12295.0</v>
      </c>
      <c r="C18" s="7" t="s">
        <v>3646</v>
      </c>
      <c r="D18" s="7" t="s">
        <v>3647</v>
      </c>
      <c r="E18" s="7" t="s">
        <v>3648</v>
      </c>
      <c r="F18" s="7" t="s">
        <v>3649</v>
      </c>
      <c r="G18" s="7" t="s">
        <v>3650</v>
      </c>
      <c r="H18" s="7" t="s">
        <v>3651</v>
      </c>
      <c r="I18" s="119">
        <v>45292.0</v>
      </c>
      <c r="K18" s="7" t="s">
        <v>419</v>
      </c>
      <c r="L18" s="7" t="s">
        <v>991</v>
      </c>
      <c r="M18" s="7" t="s">
        <v>3501</v>
      </c>
      <c r="N18" s="7" t="s">
        <v>3652</v>
      </c>
      <c r="O18" s="7" t="s">
        <v>3653</v>
      </c>
      <c r="P18" s="7" t="s">
        <v>3604</v>
      </c>
      <c r="Q18" s="7">
        <v>1.0</v>
      </c>
    </row>
    <row r="19">
      <c r="A19" s="7" t="s">
        <v>3654</v>
      </c>
      <c r="B19" s="7">
        <v>2100480.0</v>
      </c>
      <c r="C19" s="7" t="s">
        <v>3646</v>
      </c>
      <c r="D19" s="7" t="s">
        <v>3655</v>
      </c>
      <c r="E19" s="7" t="s">
        <v>3648</v>
      </c>
      <c r="F19" s="7" t="s">
        <v>3656</v>
      </c>
      <c r="G19" s="7" t="s">
        <v>3657</v>
      </c>
      <c r="H19" s="7" t="s">
        <v>3658</v>
      </c>
      <c r="I19" s="119">
        <v>45292.0</v>
      </c>
      <c r="K19" s="7" t="s">
        <v>419</v>
      </c>
      <c r="L19" s="7" t="s">
        <v>991</v>
      </c>
      <c r="M19" s="7" t="s">
        <v>3501</v>
      </c>
      <c r="N19" s="7" t="s">
        <v>3659</v>
      </c>
      <c r="O19" s="7" t="s">
        <v>3660</v>
      </c>
      <c r="P19" s="7" t="s">
        <v>3493</v>
      </c>
      <c r="Q19" s="7">
        <v>1.0</v>
      </c>
    </row>
    <row r="20">
      <c r="A20" s="7" t="s">
        <v>3661</v>
      </c>
      <c r="B20" s="7">
        <v>10001.0</v>
      </c>
      <c r="C20" s="7" t="s">
        <v>3662</v>
      </c>
      <c r="D20" s="7" t="s">
        <v>3663</v>
      </c>
      <c r="E20" s="7" t="s">
        <v>3664</v>
      </c>
      <c r="F20" s="7" t="s">
        <v>3665</v>
      </c>
      <c r="G20" s="7" t="s">
        <v>3666</v>
      </c>
      <c r="H20" s="7" t="s">
        <v>3667</v>
      </c>
      <c r="I20" s="119">
        <v>45292.0</v>
      </c>
      <c r="K20" s="7" t="s">
        <v>419</v>
      </c>
      <c r="L20" s="7" t="s">
        <v>991</v>
      </c>
      <c r="M20" s="7" t="s">
        <v>3501</v>
      </c>
      <c r="N20" s="7" t="s">
        <v>3668</v>
      </c>
      <c r="O20" s="7" t="s">
        <v>3669</v>
      </c>
      <c r="P20" s="7" t="s">
        <v>3493</v>
      </c>
      <c r="Q20" s="7">
        <v>1.0</v>
      </c>
    </row>
    <row r="21">
      <c r="A21" s="7" t="s">
        <v>3670</v>
      </c>
      <c r="B21" s="7">
        <v>2200544.0</v>
      </c>
      <c r="C21" s="7" t="s">
        <v>3671</v>
      </c>
      <c r="D21" s="7" t="s">
        <v>3672</v>
      </c>
      <c r="E21" s="7" t="s">
        <v>3673</v>
      </c>
      <c r="F21" s="7" t="s">
        <v>3674</v>
      </c>
      <c r="G21" s="7" t="s">
        <v>3675</v>
      </c>
      <c r="H21" s="7" t="s">
        <v>3676</v>
      </c>
      <c r="I21" s="119">
        <v>45292.0</v>
      </c>
      <c r="K21" s="7" t="s">
        <v>3632</v>
      </c>
      <c r="L21" s="7" t="s">
        <v>991</v>
      </c>
      <c r="M21" s="7" t="s">
        <v>3501</v>
      </c>
      <c r="N21" s="7" t="s">
        <v>3633</v>
      </c>
      <c r="O21" s="7" t="s">
        <v>3634</v>
      </c>
      <c r="P21" s="7" t="s">
        <v>3522</v>
      </c>
      <c r="Q21" s="7" t="s">
        <v>3514</v>
      </c>
    </row>
    <row r="22">
      <c r="A22" s="7" t="s">
        <v>3677</v>
      </c>
      <c r="B22" s="7">
        <v>1283.0</v>
      </c>
      <c r="C22" s="7" t="s">
        <v>3678</v>
      </c>
      <c r="D22" s="7" t="s">
        <v>3679</v>
      </c>
      <c r="E22" s="7" t="s">
        <v>3680</v>
      </c>
      <c r="F22" s="7" t="s">
        <v>3681</v>
      </c>
      <c r="G22" s="7" t="s">
        <v>3682</v>
      </c>
      <c r="H22" s="7" t="s">
        <v>3683</v>
      </c>
      <c r="I22" s="119">
        <v>45292.0</v>
      </c>
      <c r="K22" s="7" t="s">
        <v>419</v>
      </c>
      <c r="L22" s="7" t="s">
        <v>991</v>
      </c>
      <c r="M22" s="7" t="s">
        <v>3501</v>
      </c>
      <c r="N22" s="7" t="s">
        <v>3684</v>
      </c>
      <c r="O22" s="7" t="s">
        <v>3685</v>
      </c>
      <c r="P22" s="7" t="s">
        <v>3686</v>
      </c>
      <c r="Q22" s="7" t="s">
        <v>3687</v>
      </c>
    </row>
    <row r="23">
      <c r="A23" s="7" t="s">
        <v>3688</v>
      </c>
      <c r="B23" s="7">
        <v>2100675.0</v>
      </c>
      <c r="C23" s="7" t="s">
        <v>3689</v>
      </c>
      <c r="D23" s="7" t="s">
        <v>3690</v>
      </c>
      <c r="E23" s="7" t="s">
        <v>3691</v>
      </c>
      <c r="F23" s="7" t="s">
        <v>3692</v>
      </c>
      <c r="G23" s="7" t="s">
        <v>3693</v>
      </c>
      <c r="H23" s="7" t="s">
        <v>3694</v>
      </c>
      <c r="I23" s="119">
        <v>45292.0</v>
      </c>
      <c r="K23" s="7" t="s">
        <v>419</v>
      </c>
      <c r="L23" s="7" t="s">
        <v>991</v>
      </c>
      <c r="M23" s="7" t="s">
        <v>3501</v>
      </c>
      <c r="N23" s="7" t="s">
        <v>3695</v>
      </c>
      <c r="O23" s="7" t="s">
        <v>3696</v>
      </c>
      <c r="P23" s="7" t="s">
        <v>3697</v>
      </c>
      <c r="Q23" s="7" t="s">
        <v>3698</v>
      </c>
    </row>
    <row r="24">
      <c r="A24" s="7" t="s">
        <v>3699</v>
      </c>
      <c r="B24" s="7">
        <v>12489.0</v>
      </c>
      <c r="C24" s="7" t="s">
        <v>3700</v>
      </c>
      <c r="D24" s="7" t="s">
        <v>3701</v>
      </c>
      <c r="E24" s="7" t="s">
        <v>3702</v>
      </c>
      <c r="F24" s="7" t="s">
        <v>3549</v>
      </c>
      <c r="G24" s="7" t="s">
        <v>3703</v>
      </c>
      <c r="H24" s="7" t="s">
        <v>3704</v>
      </c>
      <c r="I24" s="119">
        <v>45292.0</v>
      </c>
      <c r="K24" s="7" t="s">
        <v>3705</v>
      </c>
      <c r="L24" s="7" t="s">
        <v>3706</v>
      </c>
      <c r="M24" s="7" t="s">
        <v>3707</v>
      </c>
      <c r="N24" s="7" t="s">
        <v>3708</v>
      </c>
      <c r="O24" s="7" t="s">
        <v>3709</v>
      </c>
      <c r="P24" s="7" t="s">
        <v>3697</v>
      </c>
      <c r="Q24" s="7" t="s">
        <v>3710</v>
      </c>
    </row>
    <row r="25">
      <c r="A25" s="7" t="s">
        <v>3711</v>
      </c>
      <c r="B25" s="7">
        <v>13710.0</v>
      </c>
      <c r="C25" s="7" t="s">
        <v>3712</v>
      </c>
      <c r="D25" s="7" t="s">
        <v>3713</v>
      </c>
      <c r="E25" s="7" t="s">
        <v>3702</v>
      </c>
      <c r="F25" s="7" t="s">
        <v>3714</v>
      </c>
      <c r="G25" s="7" t="s">
        <v>3715</v>
      </c>
      <c r="H25" s="7" t="s">
        <v>3716</v>
      </c>
      <c r="I25" s="119">
        <v>45292.0</v>
      </c>
      <c r="K25" s="7" t="s">
        <v>3632</v>
      </c>
      <c r="L25" s="7" t="s">
        <v>991</v>
      </c>
      <c r="M25" s="7" t="s">
        <v>3531</v>
      </c>
      <c r="N25" s="7" t="s">
        <v>3717</v>
      </c>
      <c r="O25" s="7" t="s">
        <v>3718</v>
      </c>
      <c r="P25" s="7" t="s">
        <v>3493</v>
      </c>
      <c r="Q25" s="7">
        <v>1.0</v>
      </c>
    </row>
    <row r="26">
      <c r="A26" s="7" t="s">
        <v>3719</v>
      </c>
      <c r="B26" s="7">
        <v>2300398.0</v>
      </c>
      <c r="C26" s="7" t="s">
        <v>3712</v>
      </c>
      <c r="D26" s="7" t="s">
        <v>3720</v>
      </c>
      <c r="E26" s="7" t="s">
        <v>3702</v>
      </c>
      <c r="F26" s="7" t="s">
        <v>3721</v>
      </c>
      <c r="G26" s="7" t="s">
        <v>3722</v>
      </c>
      <c r="H26" s="7" t="s">
        <v>3723</v>
      </c>
      <c r="I26" s="119">
        <v>45292.0</v>
      </c>
      <c r="K26" s="7" t="s">
        <v>419</v>
      </c>
      <c r="L26" s="7" t="s">
        <v>991</v>
      </c>
      <c r="M26" s="7" t="s">
        <v>3583</v>
      </c>
      <c r="N26" s="7" t="s">
        <v>3724</v>
      </c>
      <c r="O26" s="7" t="s">
        <v>3725</v>
      </c>
      <c r="P26" s="7" t="s">
        <v>3493</v>
      </c>
      <c r="Q26" s="7">
        <v>1.0</v>
      </c>
    </row>
    <row r="27">
      <c r="A27" s="7" t="s">
        <v>3726</v>
      </c>
      <c r="B27" s="7">
        <v>13048.0</v>
      </c>
      <c r="C27" s="7" t="s">
        <v>3727</v>
      </c>
      <c r="D27" s="7" t="s">
        <v>3728</v>
      </c>
      <c r="E27" s="7" t="s">
        <v>3729</v>
      </c>
      <c r="F27" s="7" t="s">
        <v>3730</v>
      </c>
      <c r="G27" s="7" t="s">
        <v>3731</v>
      </c>
      <c r="H27" s="7" t="s">
        <v>3732</v>
      </c>
      <c r="I27" s="119">
        <v>45292.0</v>
      </c>
      <c r="K27" s="7" t="s">
        <v>419</v>
      </c>
      <c r="L27" s="7" t="s">
        <v>991</v>
      </c>
      <c r="M27" s="7" t="s">
        <v>3501</v>
      </c>
      <c r="N27" s="7" t="s">
        <v>3733</v>
      </c>
      <c r="O27" s="7" t="s">
        <v>3734</v>
      </c>
      <c r="P27" s="7" t="s">
        <v>3493</v>
      </c>
      <c r="Q27" s="7">
        <v>1.0</v>
      </c>
    </row>
    <row r="28">
      <c r="A28" s="7" t="s">
        <v>3735</v>
      </c>
      <c r="B28" s="7">
        <v>2300454.0</v>
      </c>
      <c r="C28" s="7" t="s">
        <v>3736</v>
      </c>
      <c r="D28" s="7" t="s">
        <v>3737</v>
      </c>
      <c r="E28" s="7" t="s">
        <v>3738</v>
      </c>
      <c r="F28" s="7" t="s">
        <v>3739</v>
      </c>
      <c r="G28" s="7" t="s">
        <v>3740</v>
      </c>
      <c r="H28" s="7" t="s">
        <v>3741</v>
      </c>
      <c r="I28" s="119">
        <v>45292.0</v>
      </c>
      <c r="K28" s="7" t="s">
        <v>419</v>
      </c>
      <c r="L28" s="7" t="s">
        <v>991</v>
      </c>
      <c r="M28" s="7" t="s">
        <v>3531</v>
      </c>
      <c r="N28" s="7" t="s">
        <v>3742</v>
      </c>
      <c r="O28" s="7" t="s">
        <v>3743</v>
      </c>
      <c r="P28" s="7" t="s">
        <v>3493</v>
      </c>
      <c r="Q28" s="7">
        <v>1.0</v>
      </c>
    </row>
    <row r="29">
      <c r="A29" s="7" t="s">
        <v>3744</v>
      </c>
      <c r="B29" s="7">
        <v>2200486.0</v>
      </c>
      <c r="C29" s="7" t="s">
        <v>3745</v>
      </c>
      <c r="D29" s="7" t="s">
        <v>3746</v>
      </c>
      <c r="E29" s="7" t="s">
        <v>3747</v>
      </c>
      <c r="F29" s="7" t="s">
        <v>3748</v>
      </c>
      <c r="G29" s="7" t="s">
        <v>3749</v>
      </c>
      <c r="H29" s="7" t="s">
        <v>3750</v>
      </c>
      <c r="I29" s="119">
        <v>45292.0</v>
      </c>
      <c r="K29" s="7" t="s">
        <v>419</v>
      </c>
      <c r="L29" s="7" t="s">
        <v>991</v>
      </c>
      <c r="M29" s="7" t="s">
        <v>3501</v>
      </c>
      <c r="N29" s="7" t="s">
        <v>3751</v>
      </c>
      <c r="O29" s="7" t="s">
        <v>3752</v>
      </c>
      <c r="P29" s="7" t="s">
        <v>3493</v>
      </c>
      <c r="Q29" s="7">
        <v>1.0</v>
      </c>
    </row>
    <row r="30">
      <c r="A30" s="7" t="s">
        <v>3753</v>
      </c>
      <c r="B30" s="7">
        <v>2300756.0</v>
      </c>
      <c r="C30" s="7" t="s">
        <v>3754</v>
      </c>
      <c r="D30" s="7" t="s">
        <v>3755</v>
      </c>
      <c r="E30" s="7" t="s">
        <v>3756</v>
      </c>
      <c r="F30" s="7" t="s">
        <v>3757</v>
      </c>
      <c r="G30" s="7" t="s">
        <v>3758</v>
      </c>
      <c r="H30" s="7" t="s">
        <v>3759</v>
      </c>
      <c r="I30" s="119">
        <v>45292.0</v>
      </c>
      <c r="K30" s="7" t="s">
        <v>419</v>
      </c>
      <c r="L30" s="7" t="s">
        <v>991</v>
      </c>
      <c r="M30" s="7" t="s">
        <v>3501</v>
      </c>
      <c r="N30" s="7" t="s">
        <v>3760</v>
      </c>
      <c r="O30" s="7" t="s">
        <v>3761</v>
      </c>
      <c r="P30" s="7" t="s">
        <v>3522</v>
      </c>
      <c r="Q30" s="7" t="s">
        <v>3514</v>
      </c>
    </row>
    <row r="31">
      <c r="A31" s="7" t="s">
        <v>3762</v>
      </c>
      <c r="B31" s="7">
        <v>2200146.0</v>
      </c>
      <c r="C31" s="7" t="s">
        <v>3763</v>
      </c>
      <c r="D31" s="7" t="s">
        <v>3764</v>
      </c>
      <c r="E31" s="7" t="s">
        <v>3765</v>
      </c>
      <c r="F31" s="7" t="s">
        <v>3766</v>
      </c>
      <c r="G31" s="7" t="s">
        <v>3767</v>
      </c>
      <c r="H31" s="7" t="s">
        <v>3768</v>
      </c>
      <c r="I31" s="119">
        <v>45292.0</v>
      </c>
      <c r="K31" s="7" t="s">
        <v>419</v>
      </c>
      <c r="L31" s="7" t="s">
        <v>991</v>
      </c>
      <c r="M31" s="7" t="s">
        <v>3501</v>
      </c>
      <c r="N31" s="7" t="s">
        <v>3769</v>
      </c>
      <c r="O31" s="7" t="s">
        <v>3770</v>
      </c>
      <c r="P31" s="7" t="s">
        <v>3522</v>
      </c>
      <c r="Q31" s="7" t="s">
        <v>3523</v>
      </c>
    </row>
    <row r="32">
      <c r="A32" s="7" t="s">
        <v>2416</v>
      </c>
      <c r="B32" s="7">
        <v>1290.0</v>
      </c>
      <c r="C32" s="7" t="s">
        <v>3771</v>
      </c>
      <c r="D32" s="7" t="s">
        <v>3772</v>
      </c>
      <c r="E32" s="7" t="s">
        <v>3773</v>
      </c>
      <c r="F32" s="7" t="s">
        <v>3774</v>
      </c>
      <c r="G32" s="7" t="s">
        <v>3775</v>
      </c>
      <c r="H32" s="7" t="s">
        <v>3776</v>
      </c>
      <c r="I32" s="119">
        <v>45292.0</v>
      </c>
      <c r="K32" s="7" t="s">
        <v>419</v>
      </c>
      <c r="L32" s="7" t="s">
        <v>991</v>
      </c>
      <c r="M32" s="7" t="s">
        <v>3501</v>
      </c>
      <c r="N32" s="7" t="s">
        <v>3777</v>
      </c>
      <c r="O32" s="7" t="s">
        <v>3778</v>
      </c>
      <c r="P32" s="7" t="s">
        <v>3493</v>
      </c>
      <c r="Q32" s="7">
        <v>1.0</v>
      </c>
    </row>
    <row r="33">
      <c r="A33" s="7" t="s">
        <v>3779</v>
      </c>
      <c r="B33" s="7">
        <v>12496.0</v>
      </c>
      <c r="C33" s="7" t="s">
        <v>3771</v>
      </c>
      <c r="D33" s="7" t="s">
        <v>3780</v>
      </c>
      <c r="E33" s="7" t="s">
        <v>3773</v>
      </c>
      <c r="F33" s="7" t="s">
        <v>3781</v>
      </c>
      <c r="G33" s="7" t="s">
        <v>3782</v>
      </c>
      <c r="H33" s="7" t="s">
        <v>3783</v>
      </c>
      <c r="I33" s="119">
        <v>45292.0</v>
      </c>
      <c r="K33" s="7" t="s">
        <v>419</v>
      </c>
      <c r="L33" s="7" t="s">
        <v>991</v>
      </c>
      <c r="M33" s="7" t="s">
        <v>3501</v>
      </c>
      <c r="N33" s="7" t="s">
        <v>3652</v>
      </c>
      <c r="O33" s="7" t="s">
        <v>3784</v>
      </c>
      <c r="P33" s="7" t="s">
        <v>3785</v>
      </c>
      <c r="Q33" s="7" t="s">
        <v>3514</v>
      </c>
    </row>
    <row r="34">
      <c r="A34" s="7" t="s">
        <v>3786</v>
      </c>
      <c r="B34" s="7">
        <v>11919.0</v>
      </c>
      <c r="C34" s="7" t="s">
        <v>3771</v>
      </c>
      <c r="D34" s="7" t="s">
        <v>3787</v>
      </c>
      <c r="E34" s="7" t="s">
        <v>3773</v>
      </c>
      <c r="F34" s="7" t="s">
        <v>3748</v>
      </c>
      <c r="G34" s="7" t="s">
        <v>3788</v>
      </c>
      <c r="H34" s="7" t="s">
        <v>3789</v>
      </c>
      <c r="I34" s="119">
        <v>45292.0</v>
      </c>
      <c r="K34" s="7" t="s">
        <v>419</v>
      </c>
      <c r="L34" s="7" t="s">
        <v>991</v>
      </c>
      <c r="M34" s="7" t="s">
        <v>3501</v>
      </c>
      <c r="N34" s="7" t="s">
        <v>3733</v>
      </c>
      <c r="O34" s="7" t="s">
        <v>3734</v>
      </c>
      <c r="P34" s="7" t="s">
        <v>3493</v>
      </c>
      <c r="Q34" s="7">
        <v>1.0</v>
      </c>
    </row>
    <row r="35">
      <c r="A35" s="7" t="s">
        <v>3790</v>
      </c>
      <c r="B35" s="7">
        <v>11856.0</v>
      </c>
      <c r="C35" s="7" t="s">
        <v>3771</v>
      </c>
      <c r="D35" s="7" t="s">
        <v>3791</v>
      </c>
      <c r="E35" s="7" t="s">
        <v>3773</v>
      </c>
      <c r="F35" s="7" t="s">
        <v>3792</v>
      </c>
      <c r="G35" s="7" t="s">
        <v>3793</v>
      </c>
      <c r="H35" s="7" t="s">
        <v>3794</v>
      </c>
      <c r="I35" s="119">
        <v>45292.0</v>
      </c>
      <c r="K35" s="7" t="s">
        <v>419</v>
      </c>
      <c r="L35" s="7" t="s">
        <v>991</v>
      </c>
      <c r="M35" s="7" t="s">
        <v>3501</v>
      </c>
      <c r="N35" s="7" t="s">
        <v>3795</v>
      </c>
      <c r="O35" s="7" t="s">
        <v>3796</v>
      </c>
      <c r="P35" s="7" t="s">
        <v>3522</v>
      </c>
      <c r="Q35" s="7" t="s">
        <v>3523</v>
      </c>
    </row>
    <row r="36">
      <c r="A36" s="7" t="s">
        <v>3797</v>
      </c>
      <c r="B36" s="7">
        <v>2200271.0</v>
      </c>
      <c r="C36" s="7" t="s">
        <v>3771</v>
      </c>
      <c r="D36" s="7" t="s">
        <v>3798</v>
      </c>
      <c r="E36" s="7" t="s">
        <v>3773</v>
      </c>
      <c r="F36" s="7" t="s">
        <v>3799</v>
      </c>
      <c r="G36" s="7" t="s">
        <v>3800</v>
      </c>
      <c r="H36" s="7" t="s">
        <v>3801</v>
      </c>
      <c r="I36" s="119">
        <v>45292.0</v>
      </c>
      <c r="K36" s="7" t="s">
        <v>419</v>
      </c>
      <c r="L36" s="7" t="s">
        <v>991</v>
      </c>
      <c r="M36" s="7" t="s">
        <v>3531</v>
      </c>
      <c r="N36" s="7" t="s">
        <v>3802</v>
      </c>
      <c r="O36" s="7" t="s">
        <v>3803</v>
      </c>
      <c r="P36" s="7" t="s">
        <v>3493</v>
      </c>
      <c r="Q36" s="7">
        <v>1.0</v>
      </c>
    </row>
    <row r="37">
      <c r="A37" s="7" t="s">
        <v>3804</v>
      </c>
      <c r="B37" s="7">
        <v>2200679.0</v>
      </c>
      <c r="C37" s="7" t="s">
        <v>3771</v>
      </c>
      <c r="D37" s="7" t="s">
        <v>3805</v>
      </c>
      <c r="E37" s="7" t="s">
        <v>3773</v>
      </c>
      <c r="F37" s="7" t="s">
        <v>3806</v>
      </c>
      <c r="G37" s="7" t="s">
        <v>3807</v>
      </c>
      <c r="H37" s="7" t="s">
        <v>3808</v>
      </c>
      <c r="I37" s="119">
        <v>45292.0</v>
      </c>
      <c r="K37" s="7" t="s">
        <v>419</v>
      </c>
      <c r="L37" s="7" t="s">
        <v>991</v>
      </c>
      <c r="M37" s="7" t="s">
        <v>3501</v>
      </c>
      <c r="N37" s="7" t="s">
        <v>3809</v>
      </c>
      <c r="O37" s="7" t="s">
        <v>3810</v>
      </c>
      <c r="P37" s="7" t="s">
        <v>3493</v>
      </c>
      <c r="Q37" s="7">
        <v>1.0</v>
      </c>
    </row>
    <row r="38">
      <c r="A38" s="7" t="s">
        <v>3811</v>
      </c>
      <c r="B38" s="7">
        <v>2300794.0</v>
      </c>
      <c r="C38" s="7" t="s">
        <v>3771</v>
      </c>
      <c r="D38" s="7" t="s">
        <v>3812</v>
      </c>
      <c r="E38" s="7" t="s">
        <v>3773</v>
      </c>
      <c r="F38" s="7" t="s">
        <v>3609</v>
      </c>
      <c r="G38" s="7" t="s">
        <v>3813</v>
      </c>
      <c r="H38" s="7" t="s">
        <v>3814</v>
      </c>
      <c r="I38" s="119">
        <v>45292.0</v>
      </c>
      <c r="K38" s="7" t="s">
        <v>3642</v>
      </c>
      <c r="L38" s="7" t="s">
        <v>991</v>
      </c>
      <c r="M38" s="7" t="s">
        <v>3501</v>
      </c>
      <c r="N38" s="7" t="s">
        <v>3643</v>
      </c>
      <c r="O38" s="7" t="s">
        <v>3644</v>
      </c>
      <c r="P38" s="7" t="s">
        <v>3493</v>
      </c>
      <c r="Q38" s="7">
        <v>1.0</v>
      </c>
    </row>
    <row r="39">
      <c r="A39" s="7" t="s">
        <v>3815</v>
      </c>
      <c r="B39" s="7">
        <v>2200616.0</v>
      </c>
      <c r="C39" s="7" t="s">
        <v>3816</v>
      </c>
      <c r="D39" s="7" t="s">
        <v>3817</v>
      </c>
      <c r="E39" s="7" t="s">
        <v>3773</v>
      </c>
      <c r="F39" s="7" t="s">
        <v>3818</v>
      </c>
      <c r="G39" s="7" t="s">
        <v>3819</v>
      </c>
      <c r="I39" s="119">
        <v>45292.0</v>
      </c>
      <c r="K39" s="7" t="s">
        <v>419</v>
      </c>
      <c r="L39" s="7" t="s">
        <v>991</v>
      </c>
      <c r="M39" s="7" t="s">
        <v>3531</v>
      </c>
      <c r="N39" s="7" t="s">
        <v>3820</v>
      </c>
      <c r="O39" s="7" t="s">
        <v>3821</v>
      </c>
      <c r="P39" s="7" t="s">
        <v>3493</v>
      </c>
      <c r="Q39" s="7">
        <v>1.0</v>
      </c>
    </row>
    <row r="40">
      <c r="A40" s="7" t="s">
        <v>3822</v>
      </c>
      <c r="B40" s="7">
        <v>2300360.0</v>
      </c>
      <c r="C40" s="7" t="s">
        <v>3771</v>
      </c>
      <c r="D40" s="7" t="s">
        <v>3823</v>
      </c>
      <c r="E40" s="7" t="s">
        <v>3773</v>
      </c>
      <c r="F40" s="7" t="s">
        <v>3824</v>
      </c>
      <c r="G40" s="7" t="s">
        <v>3825</v>
      </c>
      <c r="H40" s="7" t="s">
        <v>3826</v>
      </c>
      <c r="I40" s="119">
        <v>45292.0</v>
      </c>
      <c r="K40" s="7" t="s">
        <v>419</v>
      </c>
      <c r="L40" s="7" t="s">
        <v>991</v>
      </c>
      <c r="M40" s="7" t="s">
        <v>3501</v>
      </c>
      <c r="N40" s="7" t="s">
        <v>3827</v>
      </c>
      <c r="O40" s="7" t="s">
        <v>3828</v>
      </c>
      <c r="P40" s="7" t="s">
        <v>3785</v>
      </c>
      <c r="Q40" s="7" t="s">
        <v>3523</v>
      </c>
    </row>
    <row r="41">
      <c r="A41" s="7" t="s">
        <v>3829</v>
      </c>
      <c r="B41" s="7">
        <v>2300199.0</v>
      </c>
      <c r="C41" s="7" t="s">
        <v>3771</v>
      </c>
      <c r="D41" s="7" t="s">
        <v>3830</v>
      </c>
      <c r="E41" s="7" t="s">
        <v>3773</v>
      </c>
      <c r="F41" s="7" t="s">
        <v>3831</v>
      </c>
      <c r="G41" s="7" t="s">
        <v>3832</v>
      </c>
      <c r="H41" s="7" t="s">
        <v>3833</v>
      </c>
      <c r="I41" s="119">
        <v>45307.0</v>
      </c>
      <c r="K41" s="7" t="s">
        <v>419</v>
      </c>
      <c r="L41" s="7" t="s">
        <v>991</v>
      </c>
      <c r="M41" s="7" t="s">
        <v>3501</v>
      </c>
      <c r="N41" s="7" t="s">
        <v>3834</v>
      </c>
      <c r="O41" s="7" t="s">
        <v>3835</v>
      </c>
      <c r="P41" s="7" t="s">
        <v>3493</v>
      </c>
      <c r="Q41" s="7">
        <v>1.0</v>
      </c>
    </row>
    <row r="42">
      <c r="A42" s="7" t="s">
        <v>3836</v>
      </c>
      <c r="B42" s="7">
        <v>938.0</v>
      </c>
      <c r="C42" s="7" t="s">
        <v>3771</v>
      </c>
      <c r="D42" s="7" t="s">
        <v>3837</v>
      </c>
      <c r="E42" s="7" t="s">
        <v>3773</v>
      </c>
      <c r="F42" s="7" t="s">
        <v>3838</v>
      </c>
      <c r="G42" s="7" t="s">
        <v>3839</v>
      </c>
      <c r="H42" s="7" t="s">
        <v>3840</v>
      </c>
      <c r="I42" s="119">
        <v>45292.0</v>
      </c>
      <c r="K42" s="7" t="s">
        <v>419</v>
      </c>
      <c r="L42" s="7" t="s">
        <v>991</v>
      </c>
      <c r="M42" s="7" t="s">
        <v>3501</v>
      </c>
      <c r="N42" s="7" t="s">
        <v>3841</v>
      </c>
      <c r="O42" s="7" t="s">
        <v>3842</v>
      </c>
      <c r="P42" s="7" t="s">
        <v>3843</v>
      </c>
      <c r="Q42" s="7">
        <v>1.0</v>
      </c>
    </row>
    <row r="43">
      <c r="A43" s="7" t="s">
        <v>3844</v>
      </c>
      <c r="B43" s="7">
        <v>2300636.0</v>
      </c>
      <c r="C43" s="7" t="s">
        <v>3845</v>
      </c>
      <c r="D43" s="7" t="s">
        <v>3846</v>
      </c>
      <c r="E43" s="7" t="s">
        <v>3847</v>
      </c>
      <c r="F43" s="7" t="s">
        <v>3848</v>
      </c>
      <c r="G43" s="7" t="s">
        <v>3849</v>
      </c>
      <c r="H43" s="7" t="s">
        <v>3850</v>
      </c>
      <c r="I43" s="119">
        <v>45292.0</v>
      </c>
      <c r="K43" s="7" t="s">
        <v>419</v>
      </c>
      <c r="L43" s="7" t="s">
        <v>991</v>
      </c>
      <c r="M43" s="7" t="s">
        <v>3501</v>
      </c>
      <c r="N43" s="7" t="s">
        <v>3851</v>
      </c>
      <c r="O43" s="7" t="s">
        <v>3852</v>
      </c>
      <c r="P43" s="7" t="s">
        <v>3493</v>
      </c>
      <c r="Q43" s="7">
        <v>1.0</v>
      </c>
    </row>
    <row r="44">
      <c r="A44" s="7" t="s">
        <v>3853</v>
      </c>
      <c r="B44" s="7">
        <v>2300193.0</v>
      </c>
      <c r="C44" s="7" t="s">
        <v>3854</v>
      </c>
      <c r="D44" s="7" t="s">
        <v>3855</v>
      </c>
      <c r="E44" s="7" t="s">
        <v>3580</v>
      </c>
      <c r="F44" s="7" t="s">
        <v>3549</v>
      </c>
      <c r="G44" s="7" t="s">
        <v>3856</v>
      </c>
      <c r="H44" s="7" t="s">
        <v>3857</v>
      </c>
      <c r="I44" s="119">
        <v>45292.0</v>
      </c>
      <c r="K44" s="7" t="s">
        <v>419</v>
      </c>
      <c r="L44" s="7" t="s">
        <v>991</v>
      </c>
      <c r="M44" s="7" t="s">
        <v>3501</v>
      </c>
      <c r="N44" s="7" t="s">
        <v>3858</v>
      </c>
      <c r="O44" s="7" t="s">
        <v>3859</v>
      </c>
      <c r="P44" s="7" t="s">
        <v>3522</v>
      </c>
      <c r="Q44" s="7" t="s">
        <v>3523</v>
      </c>
    </row>
    <row r="45">
      <c r="A45" s="7" t="s">
        <v>3860</v>
      </c>
      <c r="B45" s="7">
        <v>2300160.0</v>
      </c>
      <c r="C45" s="7" t="s">
        <v>3861</v>
      </c>
      <c r="D45" s="7" t="s">
        <v>3862</v>
      </c>
      <c r="E45" s="7" t="s">
        <v>3863</v>
      </c>
      <c r="F45" s="7" t="s">
        <v>3508</v>
      </c>
      <c r="G45" s="7" t="s">
        <v>3864</v>
      </c>
      <c r="H45" s="7" t="s">
        <v>3865</v>
      </c>
      <c r="I45" s="119">
        <v>45292.0</v>
      </c>
      <c r="K45" s="7" t="s">
        <v>3622</v>
      </c>
      <c r="L45" s="7" t="s">
        <v>991</v>
      </c>
      <c r="M45" s="7" t="s">
        <v>3866</v>
      </c>
      <c r="N45" s="7" t="s">
        <v>3623</v>
      </c>
      <c r="O45" s="7" t="s">
        <v>3624</v>
      </c>
      <c r="P45" s="7" t="s">
        <v>3493</v>
      </c>
      <c r="Q45" s="7">
        <v>1.0</v>
      </c>
    </row>
    <row r="46">
      <c r="A46" s="7" t="s">
        <v>3867</v>
      </c>
      <c r="B46" s="7">
        <v>2300786.0</v>
      </c>
      <c r="C46" s="7" t="s">
        <v>3861</v>
      </c>
      <c r="D46" s="7" t="s">
        <v>3868</v>
      </c>
      <c r="E46" s="7" t="s">
        <v>3863</v>
      </c>
      <c r="F46" s="7" t="s">
        <v>3869</v>
      </c>
      <c r="G46" s="7" t="s">
        <v>3870</v>
      </c>
      <c r="H46" s="7" t="s">
        <v>3871</v>
      </c>
      <c r="I46" s="119">
        <v>45292.0</v>
      </c>
      <c r="K46" s="7" t="s">
        <v>3642</v>
      </c>
      <c r="L46" s="7" t="s">
        <v>991</v>
      </c>
      <c r="M46" s="7" t="s">
        <v>3501</v>
      </c>
      <c r="N46" s="7" t="s">
        <v>3643</v>
      </c>
      <c r="O46" s="7" t="s">
        <v>3644</v>
      </c>
      <c r="P46" s="7" t="s">
        <v>3493</v>
      </c>
      <c r="Q46" s="7">
        <v>1.0</v>
      </c>
    </row>
    <row r="47">
      <c r="A47" s="7" t="s">
        <v>3872</v>
      </c>
      <c r="B47" s="7">
        <v>11280.0</v>
      </c>
      <c r="C47" s="7" t="s">
        <v>3861</v>
      </c>
      <c r="D47" s="7" t="s">
        <v>3873</v>
      </c>
      <c r="E47" s="7" t="s">
        <v>3863</v>
      </c>
      <c r="F47" s="7" t="s">
        <v>3874</v>
      </c>
      <c r="G47" s="7" t="s">
        <v>3875</v>
      </c>
      <c r="H47" s="7" t="s">
        <v>3876</v>
      </c>
      <c r="I47" s="119">
        <v>45292.0</v>
      </c>
      <c r="K47" s="7" t="s">
        <v>419</v>
      </c>
      <c r="L47" s="7" t="s">
        <v>991</v>
      </c>
      <c r="M47" s="7" t="s">
        <v>3501</v>
      </c>
      <c r="N47" s="7" t="s">
        <v>3877</v>
      </c>
      <c r="O47" s="7" t="s">
        <v>3878</v>
      </c>
      <c r="P47" s="7" t="s">
        <v>3493</v>
      </c>
      <c r="Q47" s="7">
        <v>1.0</v>
      </c>
    </row>
    <row r="48">
      <c r="A48" s="7" t="s">
        <v>3879</v>
      </c>
      <c r="B48" s="7">
        <v>2100499.0</v>
      </c>
      <c r="C48" s="7" t="s">
        <v>3880</v>
      </c>
      <c r="D48" s="7" t="s">
        <v>3881</v>
      </c>
      <c r="E48" s="7" t="s">
        <v>3863</v>
      </c>
      <c r="F48" s="7" t="s">
        <v>3882</v>
      </c>
      <c r="G48" s="7" t="s">
        <v>3883</v>
      </c>
      <c r="H48" s="7" t="s">
        <v>3884</v>
      </c>
      <c r="I48" s="119">
        <v>45292.0</v>
      </c>
      <c r="K48" s="7" t="s">
        <v>3885</v>
      </c>
      <c r="L48" s="7" t="s">
        <v>3542</v>
      </c>
      <c r="M48" s="7" t="s">
        <v>3543</v>
      </c>
      <c r="N48" s="7" t="s">
        <v>3886</v>
      </c>
      <c r="O48" s="7" t="s">
        <v>3887</v>
      </c>
      <c r="P48" s="7" t="s">
        <v>3522</v>
      </c>
      <c r="Q48" s="7" t="s">
        <v>3514</v>
      </c>
    </row>
    <row r="49">
      <c r="A49" s="7" t="s">
        <v>1935</v>
      </c>
      <c r="B49" s="7">
        <v>11371.0</v>
      </c>
      <c r="C49" s="7" t="s">
        <v>3880</v>
      </c>
      <c r="D49" s="7" t="s">
        <v>3888</v>
      </c>
      <c r="E49" s="7" t="s">
        <v>3863</v>
      </c>
      <c r="F49" s="7" t="s">
        <v>3889</v>
      </c>
      <c r="G49" s="7" t="s">
        <v>3890</v>
      </c>
      <c r="H49" s="7" t="s">
        <v>3891</v>
      </c>
      <c r="I49" s="119">
        <v>45292.0</v>
      </c>
      <c r="K49" s="7" t="s">
        <v>419</v>
      </c>
      <c r="L49" s="7" t="s">
        <v>991</v>
      </c>
      <c r="M49" s="7" t="s">
        <v>3501</v>
      </c>
      <c r="N49" s="7" t="s">
        <v>3892</v>
      </c>
      <c r="O49" s="7" t="s">
        <v>3893</v>
      </c>
      <c r="P49" s="7" t="s">
        <v>3894</v>
      </c>
      <c r="Q49" s="7" t="s">
        <v>3523</v>
      </c>
    </row>
    <row r="50">
      <c r="A50" s="7" t="s">
        <v>3895</v>
      </c>
      <c r="B50" s="7">
        <v>10972.0</v>
      </c>
      <c r="C50" s="7" t="s">
        <v>3861</v>
      </c>
      <c r="D50" s="7" t="s">
        <v>3817</v>
      </c>
      <c r="E50" s="7" t="s">
        <v>3863</v>
      </c>
      <c r="F50" s="7" t="s">
        <v>3896</v>
      </c>
      <c r="G50" s="7" t="s">
        <v>3897</v>
      </c>
      <c r="H50" s="7" t="s">
        <v>3898</v>
      </c>
      <c r="I50" s="119">
        <v>45292.0</v>
      </c>
      <c r="K50" s="7" t="s">
        <v>419</v>
      </c>
      <c r="L50" s="7" t="s">
        <v>991</v>
      </c>
      <c r="M50" s="7" t="s">
        <v>3501</v>
      </c>
      <c r="N50" s="7" t="s">
        <v>3899</v>
      </c>
      <c r="O50" s="7" t="s">
        <v>3900</v>
      </c>
      <c r="P50" s="7" t="s">
        <v>3493</v>
      </c>
      <c r="Q50" s="7">
        <v>1.0</v>
      </c>
    </row>
    <row r="51">
      <c r="A51" s="7" t="s">
        <v>3901</v>
      </c>
      <c r="B51" s="7">
        <v>2200617.0</v>
      </c>
      <c r="C51" s="7" t="s">
        <v>3880</v>
      </c>
      <c r="D51" s="7" t="s">
        <v>3902</v>
      </c>
      <c r="E51" s="7" t="s">
        <v>3863</v>
      </c>
      <c r="F51" s="7" t="s">
        <v>3903</v>
      </c>
      <c r="G51" s="7" t="s">
        <v>3904</v>
      </c>
      <c r="I51" s="119">
        <v>45292.0</v>
      </c>
      <c r="K51" s="7" t="s">
        <v>419</v>
      </c>
      <c r="L51" s="7" t="s">
        <v>991</v>
      </c>
      <c r="M51" s="7" t="s">
        <v>3531</v>
      </c>
      <c r="N51" s="7" t="s">
        <v>3820</v>
      </c>
      <c r="O51" s="7" t="s">
        <v>3821</v>
      </c>
      <c r="P51" s="7" t="s">
        <v>3493</v>
      </c>
      <c r="Q51" s="7">
        <v>1.0</v>
      </c>
    </row>
    <row r="52">
      <c r="A52" s="7" t="s">
        <v>3905</v>
      </c>
      <c r="B52" s="7">
        <v>11737.0</v>
      </c>
      <c r="C52" s="7" t="s">
        <v>3906</v>
      </c>
      <c r="D52" s="7" t="s">
        <v>3907</v>
      </c>
      <c r="E52" s="7" t="s">
        <v>3908</v>
      </c>
      <c r="F52" s="7" t="s">
        <v>3909</v>
      </c>
      <c r="G52" s="7" t="s">
        <v>3910</v>
      </c>
      <c r="H52" s="7" t="s">
        <v>3911</v>
      </c>
      <c r="I52" s="119">
        <v>45292.0</v>
      </c>
      <c r="K52" s="7" t="s">
        <v>419</v>
      </c>
      <c r="L52" s="7" t="s">
        <v>991</v>
      </c>
      <c r="M52" s="7" t="s">
        <v>3501</v>
      </c>
      <c r="N52" s="7" t="s">
        <v>3912</v>
      </c>
      <c r="O52" s="7" t="s">
        <v>3913</v>
      </c>
      <c r="P52" s="7" t="s">
        <v>3843</v>
      </c>
      <c r="Q52" s="7">
        <v>1.0</v>
      </c>
    </row>
    <row r="53">
      <c r="A53" s="7" t="s">
        <v>1636</v>
      </c>
      <c r="B53" s="7">
        <v>117.0</v>
      </c>
      <c r="C53" s="7" t="s">
        <v>3914</v>
      </c>
      <c r="D53" s="7" t="s">
        <v>3915</v>
      </c>
      <c r="E53" s="7" t="s">
        <v>3916</v>
      </c>
      <c r="F53" s="7" t="s">
        <v>3917</v>
      </c>
      <c r="G53" s="7" t="s">
        <v>3918</v>
      </c>
      <c r="H53" s="7" t="s">
        <v>3919</v>
      </c>
      <c r="I53" s="119">
        <v>45292.0</v>
      </c>
      <c r="K53" s="7" t="s">
        <v>419</v>
      </c>
      <c r="L53" s="7" t="s">
        <v>991</v>
      </c>
      <c r="M53" s="7" t="s">
        <v>3501</v>
      </c>
      <c r="N53" s="7" t="s">
        <v>3920</v>
      </c>
      <c r="O53" s="7" t="s">
        <v>3921</v>
      </c>
      <c r="P53" s="7" t="s">
        <v>3604</v>
      </c>
      <c r="Q53" s="7">
        <v>1.0</v>
      </c>
    </row>
    <row r="54">
      <c r="A54" s="7" t="s">
        <v>3922</v>
      </c>
      <c r="B54" s="7">
        <v>14214.0</v>
      </c>
      <c r="C54" s="7" t="s">
        <v>3923</v>
      </c>
      <c r="D54" s="7" t="s">
        <v>3924</v>
      </c>
      <c r="E54" s="7" t="s">
        <v>3925</v>
      </c>
      <c r="F54" s="7" t="s">
        <v>3926</v>
      </c>
      <c r="G54" s="7" t="s">
        <v>3927</v>
      </c>
      <c r="H54" s="7" t="s">
        <v>3928</v>
      </c>
      <c r="I54" s="119">
        <v>45292.0</v>
      </c>
      <c r="J54" s="7" t="s">
        <v>3929</v>
      </c>
      <c r="K54" s="7" t="s">
        <v>419</v>
      </c>
      <c r="L54" s="7" t="s">
        <v>991</v>
      </c>
      <c r="M54" s="7" t="s">
        <v>3501</v>
      </c>
      <c r="N54" s="7" t="s">
        <v>3930</v>
      </c>
      <c r="O54" s="7" t="s">
        <v>3931</v>
      </c>
      <c r="P54" s="7" t="s">
        <v>3493</v>
      </c>
      <c r="Q54" s="7">
        <v>1.0</v>
      </c>
    </row>
    <row r="55">
      <c r="A55" s="7" t="s">
        <v>3932</v>
      </c>
      <c r="B55" s="7">
        <v>12737.0</v>
      </c>
      <c r="C55" s="7" t="s">
        <v>3923</v>
      </c>
      <c r="D55" s="7" t="s">
        <v>3933</v>
      </c>
      <c r="E55" s="7" t="s">
        <v>3925</v>
      </c>
      <c r="F55" s="7" t="s">
        <v>3934</v>
      </c>
      <c r="G55" s="7" t="s">
        <v>3935</v>
      </c>
      <c r="H55" s="7" t="s">
        <v>3936</v>
      </c>
      <c r="I55" s="119">
        <v>45292.0</v>
      </c>
      <c r="K55" s="7" t="s">
        <v>3937</v>
      </c>
      <c r="L55" s="7" t="s">
        <v>3706</v>
      </c>
      <c r="M55" s="7" t="s">
        <v>3938</v>
      </c>
      <c r="N55" s="7" t="s">
        <v>3939</v>
      </c>
      <c r="O55" s="7" t="s">
        <v>3940</v>
      </c>
      <c r="P55" s="7" t="s">
        <v>3941</v>
      </c>
      <c r="Q55" s="7" t="s">
        <v>3942</v>
      </c>
    </row>
    <row r="56">
      <c r="A56" s="7" t="s">
        <v>3943</v>
      </c>
      <c r="B56" s="7">
        <v>12340.0</v>
      </c>
      <c r="C56" s="7" t="s">
        <v>3923</v>
      </c>
      <c r="D56" s="7" t="s">
        <v>3944</v>
      </c>
      <c r="E56" s="7" t="s">
        <v>3925</v>
      </c>
      <c r="F56" s="7" t="s">
        <v>3945</v>
      </c>
      <c r="G56" s="7" t="s">
        <v>3946</v>
      </c>
      <c r="H56" s="7" t="s">
        <v>3947</v>
      </c>
      <c r="I56" s="119">
        <v>45292.0</v>
      </c>
      <c r="K56" s="7" t="s">
        <v>419</v>
      </c>
      <c r="L56" s="7" t="s">
        <v>991</v>
      </c>
      <c r="M56" s="7" t="s">
        <v>3501</v>
      </c>
      <c r="N56" s="7" t="s">
        <v>3948</v>
      </c>
      <c r="O56" s="7" t="s">
        <v>3949</v>
      </c>
      <c r="P56" s="7" t="s">
        <v>3493</v>
      </c>
      <c r="Q56" s="7">
        <v>1.0</v>
      </c>
    </row>
    <row r="57">
      <c r="A57" s="7" t="s">
        <v>3950</v>
      </c>
      <c r="B57" s="7">
        <v>14250.0</v>
      </c>
      <c r="C57" s="7" t="s">
        <v>3951</v>
      </c>
      <c r="D57" s="7" t="s">
        <v>3952</v>
      </c>
      <c r="E57" s="7" t="s">
        <v>3953</v>
      </c>
      <c r="F57" s="7" t="s">
        <v>3954</v>
      </c>
      <c r="G57" s="7" t="s">
        <v>3955</v>
      </c>
      <c r="H57" s="7" t="s">
        <v>3956</v>
      </c>
      <c r="I57" s="119">
        <v>45292.0</v>
      </c>
      <c r="K57" s="7" t="s">
        <v>419</v>
      </c>
      <c r="L57" s="7" t="s">
        <v>991</v>
      </c>
      <c r="M57" s="7" t="s">
        <v>3531</v>
      </c>
      <c r="N57" s="7" t="s">
        <v>3957</v>
      </c>
      <c r="O57" s="7" t="s">
        <v>3958</v>
      </c>
      <c r="P57" s="7" t="s">
        <v>3493</v>
      </c>
      <c r="Q57" s="7">
        <v>1.0</v>
      </c>
    </row>
    <row r="58">
      <c r="A58" s="7" t="s">
        <v>3959</v>
      </c>
      <c r="B58" s="7">
        <v>2300633.0</v>
      </c>
      <c r="C58" s="7" t="s">
        <v>3960</v>
      </c>
      <c r="D58" s="7" t="s">
        <v>3961</v>
      </c>
      <c r="E58" s="7" t="s">
        <v>3962</v>
      </c>
      <c r="F58" s="7" t="s">
        <v>3963</v>
      </c>
      <c r="G58" s="7" t="s">
        <v>3964</v>
      </c>
      <c r="H58" s="7" t="s">
        <v>3965</v>
      </c>
      <c r="I58" s="119">
        <v>45292.0</v>
      </c>
      <c r="K58" s="7" t="s">
        <v>419</v>
      </c>
      <c r="L58" s="7" t="s">
        <v>991</v>
      </c>
      <c r="M58" s="7" t="s">
        <v>3501</v>
      </c>
      <c r="N58" s="7" t="s">
        <v>3966</v>
      </c>
      <c r="O58" s="7" t="s">
        <v>3967</v>
      </c>
      <c r="P58" s="7" t="s">
        <v>3493</v>
      </c>
      <c r="Q58" s="7">
        <v>1.0</v>
      </c>
    </row>
    <row r="59">
      <c r="A59" s="7" t="s">
        <v>3968</v>
      </c>
      <c r="B59" s="7">
        <v>939.0</v>
      </c>
      <c r="C59" s="7" t="s">
        <v>3969</v>
      </c>
      <c r="D59" s="7" t="s">
        <v>3548</v>
      </c>
      <c r="E59" s="7" t="s">
        <v>3970</v>
      </c>
      <c r="F59" s="7" t="s">
        <v>3549</v>
      </c>
      <c r="G59" s="7" t="s">
        <v>3971</v>
      </c>
      <c r="H59" s="7" t="s">
        <v>3972</v>
      </c>
      <c r="I59" s="119">
        <v>45292.0</v>
      </c>
      <c r="K59" s="7" t="s">
        <v>3885</v>
      </c>
      <c r="L59" s="7" t="s">
        <v>3542</v>
      </c>
      <c r="M59" s="7" t="s">
        <v>3543</v>
      </c>
      <c r="N59" s="7" t="s">
        <v>3973</v>
      </c>
      <c r="O59" s="7" t="s">
        <v>3974</v>
      </c>
      <c r="P59" s="7" t="s">
        <v>3522</v>
      </c>
      <c r="Q59" s="7" t="s">
        <v>3514</v>
      </c>
    </row>
    <row r="60">
      <c r="A60" s="7" t="s">
        <v>3975</v>
      </c>
      <c r="B60" s="7">
        <v>1043.0</v>
      </c>
      <c r="C60" s="7" t="s">
        <v>3969</v>
      </c>
      <c r="D60" s="7" t="s">
        <v>3976</v>
      </c>
      <c r="E60" s="7" t="s">
        <v>3970</v>
      </c>
      <c r="F60" s="7" t="s">
        <v>3977</v>
      </c>
      <c r="G60" s="7" t="s">
        <v>3978</v>
      </c>
      <c r="H60" s="7" t="s">
        <v>3979</v>
      </c>
      <c r="I60" s="119">
        <v>45292.0</v>
      </c>
      <c r="K60" s="7" t="s">
        <v>419</v>
      </c>
      <c r="L60" s="7" t="s">
        <v>991</v>
      </c>
      <c r="M60" s="7" t="s">
        <v>3490</v>
      </c>
      <c r="N60" s="7" t="s">
        <v>3980</v>
      </c>
      <c r="O60" s="7" t="s">
        <v>3981</v>
      </c>
      <c r="P60" s="7" t="s">
        <v>3493</v>
      </c>
      <c r="Q60" s="7">
        <v>1.0</v>
      </c>
    </row>
    <row r="61">
      <c r="A61" s="7" t="s">
        <v>3982</v>
      </c>
      <c r="B61" s="7">
        <v>2200581.0</v>
      </c>
      <c r="C61" s="7" t="s">
        <v>3983</v>
      </c>
      <c r="D61" s="7" t="s">
        <v>3984</v>
      </c>
      <c r="E61" s="7" t="s">
        <v>3985</v>
      </c>
      <c r="F61" s="7" t="s">
        <v>3986</v>
      </c>
      <c r="G61" s="7" t="s">
        <v>3987</v>
      </c>
      <c r="H61" s="7" t="s">
        <v>3988</v>
      </c>
      <c r="I61" s="119">
        <v>45292.0</v>
      </c>
      <c r="K61" s="7" t="s">
        <v>3622</v>
      </c>
      <c r="L61" s="7" t="s">
        <v>991</v>
      </c>
      <c r="M61" s="7" t="s">
        <v>3501</v>
      </c>
      <c r="N61" s="7" t="s">
        <v>3623</v>
      </c>
      <c r="O61" s="7" t="s">
        <v>3624</v>
      </c>
      <c r="P61" s="7" t="s">
        <v>3493</v>
      </c>
      <c r="Q61" s="7">
        <v>1.0</v>
      </c>
    </row>
    <row r="62">
      <c r="A62" s="7" t="s">
        <v>3989</v>
      </c>
      <c r="B62" s="7">
        <v>13827.0</v>
      </c>
      <c r="C62" s="7" t="s">
        <v>3990</v>
      </c>
      <c r="D62" s="7" t="s">
        <v>3991</v>
      </c>
      <c r="E62" s="7" t="s">
        <v>3992</v>
      </c>
      <c r="F62" s="7" t="s">
        <v>3993</v>
      </c>
      <c r="G62" s="7" t="s">
        <v>3994</v>
      </c>
      <c r="H62" s="7" t="s">
        <v>3995</v>
      </c>
      <c r="I62" s="119">
        <v>45292.0</v>
      </c>
      <c r="K62" s="7" t="s">
        <v>419</v>
      </c>
      <c r="L62" s="7" t="s">
        <v>991</v>
      </c>
      <c r="M62" s="7" t="s">
        <v>3531</v>
      </c>
      <c r="N62" s="7" t="s">
        <v>3996</v>
      </c>
      <c r="O62" s="7" t="s">
        <v>3997</v>
      </c>
      <c r="P62" s="7" t="s">
        <v>3493</v>
      </c>
      <c r="Q62" s="7">
        <v>1.0</v>
      </c>
    </row>
    <row r="63">
      <c r="A63" s="7" t="s">
        <v>3998</v>
      </c>
      <c r="B63" s="7">
        <v>44.0</v>
      </c>
      <c r="C63" s="7" t="s">
        <v>3999</v>
      </c>
      <c r="D63" s="7" t="s">
        <v>4000</v>
      </c>
      <c r="E63" s="7" t="s">
        <v>4001</v>
      </c>
      <c r="F63" s="7" t="s">
        <v>4002</v>
      </c>
      <c r="G63" s="7" t="s">
        <v>4003</v>
      </c>
      <c r="H63" s="7" t="s">
        <v>4004</v>
      </c>
      <c r="I63" s="119">
        <v>45292.0</v>
      </c>
      <c r="K63" s="7" t="s">
        <v>419</v>
      </c>
      <c r="L63" s="7" t="s">
        <v>991</v>
      </c>
      <c r="M63" s="7" t="s">
        <v>3501</v>
      </c>
      <c r="N63" s="7" t="s">
        <v>3920</v>
      </c>
      <c r="O63" s="7" t="s">
        <v>3921</v>
      </c>
      <c r="P63" s="7" t="s">
        <v>3493</v>
      </c>
      <c r="Q63" s="7">
        <v>1.0</v>
      </c>
    </row>
    <row r="64">
      <c r="A64" s="7" t="s">
        <v>4005</v>
      </c>
      <c r="B64" s="7">
        <v>2200212.0</v>
      </c>
      <c r="C64" s="7" t="s">
        <v>4006</v>
      </c>
      <c r="D64" s="7" t="s">
        <v>4007</v>
      </c>
      <c r="E64" s="7" t="s">
        <v>4008</v>
      </c>
      <c r="F64" s="7" t="s">
        <v>4009</v>
      </c>
      <c r="G64" s="7" t="s">
        <v>4010</v>
      </c>
      <c r="H64" s="7" t="s">
        <v>4011</v>
      </c>
      <c r="I64" s="119">
        <v>45292.0</v>
      </c>
      <c r="K64" s="7" t="s">
        <v>419</v>
      </c>
      <c r="L64" s="7" t="s">
        <v>991</v>
      </c>
      <c r="M64" s="7" t="s">
        <v>3501</v>
      </c>
      <c r="N64" s="7" t="s">
        <v>4012</v>
      </c>
      <c r="O64" s="7" t="s">
        <v>4013</v>
      </c>
      <c r="P64" s="7" t="s">
        <v>3843</v>
      </c>
      <c r="Q64" s="7">
        <v>1.0</v>
      </c>
    </row>
    <row r="65">
      <c r="A65" s="7" t="s">
        <v>4014</v>
      </c>
      <c r="B65" s="7">
        <v>2300516.0</v>
      </c>
      <c r="C65" s="7" t="s">
        <v>4015</v>
      </c>
      <c r="D65" s="7" t="s">
        <v>4016</v>
      </c>
      <c r="E65" s="7" t="s">
        <v>4017</v>
      </c>
      <c r="F65" s="7" t="s">
        <v>4018</v>
      </c>
      <c r="G65" s="7" t="s">
        <v>4019</v>
      </c>
      <c r="H65" s="7" t="s">
        <v>4020</v>
      </c>
      <c r="I65" s="119">
        <v>45292.0</v>
      </c>
      <c r="K65" s="7" t="s">
        <v>419</v>
      </c>
      <c r="L65" s="7" t="s">
        <v>991</v>
      </c>
      <c r="M65" s="7" t="s">
        <v>3501</v>
      </c>
      <c r="N65" s="7" t="s">
        <v>4021</v>
      </c>
      <c r="O65" s="7" t="s">
        <v>4022</v>
      </c>
      <c r="P65" s="7" t="s">
        <v>3522</v>
      </c>
      <c r="Q65" s="7" t="s">
        <v>3523</v>
      </c>
    </row>
    <row r="66">
      <c r="A66" s="7" t="s">
        <v>4023</v>
      </c>
      <c r="B66" s="7">
        <v>11231.0</v>
      </c>
      <c r="C66" s="7" t="s">
        <v>4024</v>
      </c>
      <c r="D66" s="7" t="s">
        <v>4016</v>
      </c>
      <c r="E66" s="7" t="s">
        <v>4025</v>
      </c>
      <c r="F66" s="7" t="s">
        <v>4018</v>
      </c>
      <c r="G66" s="7" t="s">
        <v>4026</v>
      </c>
      <c r="H66" s="7" t="s">
        <v>4027</v>
      </c>
      <c r="I66" s="119">
        <v>45292.0</v>
      </c>
      <c r="K66" s="7" t="s">
        <v>419</v>
      </c>
      <c r="L66" s="7" t="s">
        <v>991</v>
      </c>
      <c r="M66" s="7" t="s">
        <v>3501</v>
      </c>
      <c r="N66" s="7" t="s">
        <v>4028</v>
      </c>
      <c r="O66" s="7" t="s">
        <v>4029</v>
      </c>
      <c r="P66" s="7" t="s">
        <v>3493</v>
      </c>
      <c r="Q66" s="7">
        <v>1.0</v>
      </c>
    </row>
    <row r="67">
      <c r="A67" s="7" t="s">
        <v>4030</v>
      </c>
      <c r="B67" s="7">
        <v>761.0</v>
      </c>
      <c r="C67" s="7" t="s">
        <v>4024</v>
      </c>
      <c r="D67" s="7" t="s">
        <v>4031</v>
      </c>
      <c r="E67" s="7" t="s">
        <v>4025</v>
      </c>
      <c r="F67" s="7" t="s">
        <v>4032</v>
      </c>
      <c r="G67" s="7" t="s">
        <v>4033</v>
      </c>
      <c r="H67" s="7" t="s">
        <v>4034</v>
      </c>
      <c r="I67" s="119">
        <v>45292.0</v>
      </c>
      <c r="K67" s="7" t="s">
        <v>419</v>
      </c>
      <c r="L67" s="7" t="s">
        <v>991</v>
      </c>
      <c r="M67" s="7" t="s">
        <v>3501</v>
      </c>
      <c r="N67" s="7" t="s">
        <v>4035</v>
      </c>
      <c r="O67" s="7" t="s">
        <v>4036</v>
      </c>
      <c r="P67" s="7" t="s">
        <v>3522</v>
      </c>
      <c r="Q67" s="7" t="s">
        <v>3523</v>
      </c>
    </row>
    <row r="68">
      <c r="A68" s="7" t="s">
        <v>4037</v>
      </c>
      <c r="B68" s="7">
        <v>2200725.0</v>
      </c>
      <c r="C68" s="7" t="s">
        <v>4024</v>
      </c>
      <c r="D68" s="7" t="s">
        <v>4038</v>
      </c>
      <c r="E68" s="7" t="s">
        <v>4025</v>
      </c>
      <c r="F68" s="7" t="s">
        <v>4039</v>
      </c>
      <c r="G68" s="7" t="s">
        <v>4040</v>
      </c>
      <c r="H68" s="7" t="s">
        <v>4041</v>
      </c>
      <c r="I68" s="119">
        <v>45292.0</v>
      </c>
      <c r="K68" s="7" t="s">
        <v>4042</v>
      </c>
      <c r="L68" s="7" t="s">
        <v>991</v>
      </c>
      <c r="M68" s="7" t="s">
        <v>3866</v>
      </c>
      <c r="N68" s="7" t="s">
        <v>4043</v>
      </c>
      <c r="O68" s="7" t="s">
        <v>4044</v>
      </c>
      <c r="P68" s="7" t="s">
        <v>3493</v>
      </c>
      <c r="Q68" s="7">
        <v>1.0</v>
      </c>
    </row>
    <row r="69">
      <c r="A69" s="7" t="s">
        <v>4045</v>
      </c>
      <c r="B69" s="7">
        <v>2200302.0</v>
      </c>
      <c r="C69" s="7" t="s">
        <v>4046</v>
      </c>
      <c r="D69" s="7" t="s">
        <v>4047</v>
      </c>
      <c r="E69" s="7" t="s">
        <v>4048</v>
      </c>
      <c r="F69" s="7" t="s">
        <v>4049</v>
      </c>
      <c r="G69" s="7" t="s">
        <v>4050</v>
      </c>
      <c r="H69" s="7" t="s">
        <v>4051</v>
      </c>
      <c r="I69" s="119">
        <v>45292.0</v>
      </c>
      <c r="K69" s="7" t="s">
        <v>419</v>
      </c>
      <c r="L69" s="7" t="s">
        <v>991</v>
      </c>
      <c r="M69" s="7" t="s">
        <v>3501</v>
      </c>
      <c r="N69" s="7" t="s">
        <v>3602</v>
      </c>
      <c r="O69" s="7" t="s">
        <v>3603</v>
      </c>
      <c r="P69" s="7" t="s">
        <v>3493</v>
      </c>
      <c r="Q69" s="7">
        <v>1.0</v>
      </c>
    </row>
    <row r="70">
      <c r="A70" s="7" t="s">
        <v>4052</v>
      </c>
      <c r="B70" s="7">
        <v>2300179.0</v>
      </c>
      <c r="C70" s="7" t="s">
        <v>4046</v>
      </c>
      <c r="D70" s="7" t="s">
        <v>4053</v>
      </c>
      <c r="E70" s="7" t="s">
        <v>4048</v>
      </c>
      <c r="F70" s="7" t="s">
        <v>4054</v>
      </c>
      <c r="G70" s="7" t="s">
        <v>4055</v>
      </c>
      <c r="H70" s="7" t="s">
        <v>4056</v>
      </c>
      <c r="I70" s="119">
        <v>45292.0</v>
      </c>
      <c r="K70" s="7" t="s">
        <v>4042</v>
      </c>
      <c r="L70" s="7" t="s">
        <v>991</v>
      </c>
      <c r="M70" s="7" t="s">
        <v>3501</v>
      </c>
      <c r="N70" s="7" t="s">
        <v>4043</v>
      </c>
      <c r="O70" s="7" t="s">
        <v>4044</v>
      </c>
      <c r="P70" s="7" t="s">
        <v>3493</v>
      </c>
      <c r="Q70" s="7">
        <v>1.0</v>
      </c>
    </row>
    <row r="71">
      <c r="A71" s="7" t="s">
        <v>4057</v>
      </c>
      <c r="B71" s="7">
        <v>2100403.0</v>
      </c>
      <c r="C71" s="7" t="s">
        <v>4058</v>
      </c>
      <c r="D71" s="7" t="s">
        <v>4059</v>
      </c>
      <c r="E71" s="7" t="s">
        <v>4060</v>
      </c>
      <c r="F71" s="7" t="s">
        <v>3549</v>
      </c>
      <c r="G71" s="7" t="s">
        <v>4061</v>
      </c>
      <c r="H71" s="7" t="s">
        <v>4062</v>
      </c>
      <c r="I71" s="119">
        <v>45292.0</v>
      </c>
      <c r="K71" s="7" t="s">
        <v>419</v>
      </c>
      <c r="L71" s="7" t="s">
        <v>991</v>
      </c>
      <c r="M71" s="7" t="s">
        <v>3501</v>
      </c>
      <c r="N71" s="7" t="s">
        <v>4063</v>
      </c>
      <c r="O71" s="7" t="s">
        <v>4064</v>
      </c>
      <c r="P71" s="7" t="s">
        <v>3843</v>
      </c>
      <c r="Q71" s="7">
        <v>1.0</v>
      </c>
    </row>
    <row r="72">
      <c r="A72" s="7" t="s">
        <v>4065</v>
      </c>
      <c r="B72" s="7">
        <v>2200726.0</v>
      </c>
      <c r="C72" s="7" t="s">
        <v>4058</v>
      </c>
      <c r="D72" s="7" t="s">
        <v>4066</v>
      </c>
      <c r="E72" s="7" t="s">
        <v>4067</v>
      </c>
      <c r="F72" s="7" t="s">
        <v>4068</v>
      </c>
      <c r="G72" s="7" t="s">
        <v>4069</v>
      </c>
      <c r="H72" s="7" t="s">
        <v>4070</v>
      </c>
      <c r="I72" s="119">
        <v>45292.0</v>
      </c>
      <c r="K72" s="7" t="s">
        <v>4042</v>
      </c>
      <c r="L72" s="7" t="s">
        <v>991</v>
      </c>
      <c r="M72" s="7" t="s">
        <v>3866</v>
      </c>
      <c r="N72" s="7" t="s">
        <v>4043</v>
      </c>
      <c r="O72" s="7" t="s">
        <v>4044</v>
      </c>
      <c r="P72" s="7" t="s">
        <v>3493</v>
      </c>
      <c r="Q72" s="7">
        <v>1.0</v>
      </c>
    </row>
    <row r="73">
      <c r="A73" s="7" t="s">
        <v>4071</v>
      </c>
      <c r="B73" s="7">
        <v>13171.0</v>
      </c>
      <c r="C73" s="7" t="s">
        <v>4072</v>
      </c>
      <c r="D73" s="7" t="s">
        <v>4073</v>
      </c>
      <c r="E73" s="7" t="s">
        <v>4074</v>
      </c>
      <c r="F73" s="7" t="s">
        <v>4075</v>
      </c>
      <c r="G73" s="7" t="s">
        <v>4076</v>
      </c>
      <c r="H73" s="7" t="s">
        <v>4077</v>
      </c>
      <c r="I73" s="119">
        <v>45292.0</v>
      </c>
      <c r="K73" s="7" t="s">
        <v>419</v>
      </c>
      <c r="L73" s="7" t="s">
        <v>991</v>
      </c>
      <c r="M73" s="7" t="s">
        <v>3501</v>
      </c>
      <c r="N73" s="7" t="s">
        <v>4078</v>
      </c>
      <c r="O73" s="7" t="s">
        <v>4079</v>
      </c>
      <c r="P73" s="7" t="s">
        <v>3604</v>
      </c>
      <c r="Q73" s="7">
        <v>1.0</v>
      </c>
    </row>
    <row r="74">
      <c r="A74" s="7" t="s">
        <v>4080</v>
      </c>
      <c r="B74" s="7">
        <v>13972.0</v>
      </c>
      <c r="C74" s="7" t="s">
        <v>4081</v>
      </c>
      <c r="D74" s="7" t="s">
        <v>4082</v>
      </c>
      <c r="E74" s="7" t="s">
        <v>4083</v>
      </c>
      <c r="F74" s="7" t="s">
        <v>4084</v>
      </c>
      <c r="G74" s="7" t="s">
        <v>4085</v>
      </c>
      <c r="H74" s="7" t="s">
        <v>4086</v>
      </c>
      <c r="I74" s="119">
        <v>45292.0</v>
      </c>
      <c r="K74" s="7" t="s">
        <v>419</v>
      </c>
      <c r="L74" s="7" t="s">
        <v>991</v>
      </c>
      <c r="M74" s="7" t="s">
        <v>3501</v>
      </c>
      <c r="N74" s="7" t="s">
        <v>4087</v>
      </c>
      <c r="O74" s="7" t="s">
        <v>4088</v>
      </c>
      <c r="P74" s="7" t="s">
        <v>3604</v>
      </c>
      <c r="Q74" s="7">
        <v>1.0</v>
      </c>
    </row>
    <row r="75">
      <c r="A75" s="7" t="s">
        <v>4089</v>
      </c>
      <c r="B75" s="7">
        <v>14342.0</v>
      </c>
      <c r="C75" s="7" t="s">
        <v>4090</v>
      </c>
      <c r="D75" s="7" t="s">
        <v>4091</v>
      </c>
      <c r="E75" s="7" t="s">
        <v>4092</v>
      </c>
      <c r="F75" s="7" t="s">
        <v>4093</v>
      </c>
      <c r="G75" s="7" t="s">
        <v>4094</v>
      </c>
      <c r="H75" s="7" t="s">
        <v>4095</v>
      </c>
      <c r="I75" s="119">
        <v>45292.0</v>
      </c>
      <c r="K75" s="7" t="s">
        <v>419</v>
      </c>
      <c r="L75" s="7" t="s">
        <v>991</v>
      </c>
      <c r="M75" s="7" t="s">
        <v>3531</v>
      </c>
      <c r="N75" s="7" t="s">
        <v>4096</v>
      </c>
      <c r="O75" s="7" t="s">
        <v>4097</v>
      </c>
      <c r="P75" s="7" t="s">
        <v>3493</v>
      </c>
      <c r="Q75" s="7">
        <v>1.0</v>
      </c>
    </row>
    <row r="76">
      <c r="A76" s="7" t="s">
        <v>4098</v>
      </c>
      <c r="B76" s="7">
        <v>2100632.0</v>
      </c>
      <c r="C76" s="7" t="s">
        <v>4099</v>
      </c>
      <c r="D76" s="7" t="s">
        <v>4100</v>
      </c>
      <c r="E76" s="7" t="s">
        <v>4101</v>
      </c>
      <c r="F76" s="7" t="s">
        <v>3486</v>
      </c>
      <c r="G76" s="7" t="s">
        <v>4102</v>
      </c>
      <c r="I76" s="119">
        <v>45292.0</v>
      </c>
      <c r="K76" s="7" t="s">
        <v>419</v>
      </c>
      <c r="L76" s="7" t="s">
        <v>991</v>
      </c>
      <c r="M76" s="7" t="s">
        <v>3531</v>
      </c>
      <c r="N76" s="7" t="s">
        <v>4103</v>
      </c>
      <c r="O76" s="7" t="s">
        <v>4104</v>
      </c>
      <c r="P76" s="7" t="s">
        <v>3493</v>
      </c>
      <c r="Q76" s="7">
        <v>1.0</v>
      </c>
    </row>
    <row r="77">
      <c r="A77" s="7" t="s">
        <v>4105</v>
      </c>
      <c r="B77" s="7">
        <v>13664.0</v>
      </c>
      <c r="C77" s="7" t="s">
        <v>4106</v>
      </c>
      <c r="D77" s="7" t="s">
        <v>4107</v>
      </c>
      <c r="E77" s="7" t="s">
        <v>4108</v>
      </c>
      <c r="F77" s="7" t="s">
        <v>4109</v>
      </c>
      <c r="G77" s="7" t="s">
        <v>4110</v>
      </c>
      <c r="H77" s="7" t="s">
        <v>4111</v>
      </c>
      <c r="I77" s="119">
        <v>45292.0</v>
      </c>
      <c r="K77" s="7" t="s">
        <v>3632</v>
      </c>
      <c r="L77" s="7" t="s">
        <v>991</v>
      </c>
      <c r="M77" s="7" t="s">
        <v>3501</v>
      </c>
      <c r="N77" s="7" t="s">
        <v>4112</v>
      </c>
      <c r="O77" s="7" t="s">
        <v>4113</v>
      </c>
      <c r="P77" s="7" t="s">
        <v>3894</v>
      </c>
      <c r="Q77" s="7" t="s">
        <v>3523</v>
      </c>
    </row>
    <row r="78">
      <c r="A78" s="7" t="s">
        <v>4114</v>
      </c>
      <c r="B78" s="7">
        <v>11346.0</v>
      </c>
      <c r="C78" s="7" t="s">
        <v>4115</v>
      </c>
      <c r="D78" s="7" t="s">
        <v>4116</v>
      </c>
      <c r="E78" s="7" t="s">
        <v>4117</v>
      </c>
      <c r="F78" s="7" t="s">
        <v>4009</v>
      </c>
      <c r="G78" s="7" t="s">
        <v>4118</v>
      </c>
      <c r="H78" s="7" t="s">
        <v>4119</v>
      </c>
      <c r="I78" s="119">
        <v>45292.0</v>
      </c>
      <c r="K78" s="7" t="s">
        <v>419</v>
      </c>
      <c r="L78" s="7" t="s">
        <v>991</v>
      </c>
      <c r="M78" s="7" t="s">
        <v>3501</v>
      </c>
      <c r="N78" s="7" t="s">
        <v>4120</v>
      </c>
      <c r="O78" s="7" t="s">
        <v>4121</v>
      </c>
      <c r="P78" s="7" t="s">
        <v>3493</v>
      </c>
      <c r="Q78" s="7">
        <v>1.0</v>
      </c>
    </row>
    <row r="79">
      <c r="A79" s="7" t="s">
        <v>4122</v>
      </c>
      <c r="B79" s="7">
        <v>2300223.0</v>
      </c>
      <c r="C79" s="7" t="s">
        <v>4115</v>
      </c>
      <c r="D79" s="7" t="s">
        <v>4123</v>
      </c>
      <c r="E79" s="7" t="s">
        <v>4117</v>
      </c>
      <c r="F79" s="7" t="s">
        <v>4124</v>
      </c>
      <c r="G79" s="7" t="s">
        <v>4125</v>
      </c>
      <c r="H79" s="7" t="s">
        <v>4126</v>
      </c>
      <c r="I79" s="119">
        <v>45292.0</v>
      </c>
      <c r="K79" s="7" t="s">
        <v>419</v>
      </c>
      <c r="L79" s="7" t="s">
        <v>991</v>
      </c>
      <c r="M79" s="7" t="s">
        <v>3531</v>
      </c>
      <c r="N79" s="7" t="s">
        <v>4127</v>
      </c>
      <c r="O79" s="7" t="s">
        <v>4128</v>
      </c>
      <c r="P79" s="7" t="s">
        <v>3493</v>
      </c>
      <c r="Q79" s="7">
        <v>1.0</v>
      </c>
    </row>
    <row r="80">
      <c r="A80" s="7" t="s">
        <v>4129</v>
      </c>
      <c r="B80" s="7">
        <v>2200229.0</v>
      </c>
      <c r="C80" s="7" t="s">
        <v>4115</v>
      </c>
      <c r="D80" s="7" t="s">
        <v>4130</v>
      </c>
      <c r="E80" s="7" t="s">
        <v>4117</v>
      </c>
      <c r="F80" s="7" t="s">
        <v>4131</v>
      </c>
      <c r="G80" s="7" t="s">
        <v>4132</v>
      </c>
      <c r="H80" s="7" t="s">
        <v>4133</v>
      </c>
      <c r="I80" s="119">
        <v>45292.0</v>
      </c>
      <c r="K80" s="7" t="s">
        <v>419</v>
      </c>
      <c r="L80" s="7" t="s">
        <v>991</v>
      </c>
      <c r="M80" s="7" t="s">
        <v>3501</v>
      </c>
      <c r="N80" s="7" t="s">
        <v>4134</v>
      </c>
      <c r="O80" s="7" t="s">
        <v>4135</v>
      </c>
      <c r="P80" s="7" t="s">
        <v>3493</v>
      </c>
      <c r="Q80" s="7">
        <v>1.0</v>
      </c>
    </row>
    <row r="81">
      <c r="A81" s="7" t="s">
        <v>4136</v>
      </c>
      <c r="B81" s="7">
        <v>2300355.0</v>
      </c>
      <c r="C81" s="7" t="s">
        <v>4115</v>
      </c>
      <c r="D81" s="7" t="s">
        <v>4137</v>
      </c>
      <c r="E81" s="7" t="s">
        <v>4117</v>
      </c>
      <c r="F81" s="7" t="s">
        <v>3692</v>
      </c>
      <c r="G81" s="7" t="s">
        <v>4138</v>
      </c>
      <c r="H81" s="7" t="s">
        <v>4139</v>
      </c>
      <c r="I81" s="119">
        <v>45292.0</v>
      </c>
      <c r="K81" s="7" t="s">
        <v>419</v>
      </c>
      <c r="L81" s="7" t="s">
        <v>991</v>
      </c>
      <c r="M81" s="7" t="s">
        <v>3583</v>
      </c>
      <c r="N81" s="7" t="s">
        <v>4140</v>
      </c>
      <c r="O81" s="7" t="s">
        <v>4141</v>
      </c>
      <c r="P81" s="7" t="s">
        <v>3493</v>
      </c>
      <c r="Q81" s="7">
        <v>1.0</v>
      </c>
    </row>
    <row r="82">
      <c r="A82" s="7" t="s">
        <v>4142</v>
      </c>
      <c r="B82" s="7">
        <v>1075.0</v>
      </c>
      <c r="C82" s="7" t="s">
        <v>4115</v>
      </c>
      <c r="D82" s="7" t="s">
        <v>4143</v>
      </c>
      <c r="E82" s="7" t="s">
        <v>4117</v>
      </c>
      <c r="F82" s="7" t="s">
        <v>4144</v>
      </c>
      <c r="G82" s="7" t="s">
        <v>4145</v>
      </c>
      <c r="H82" s="7" t="s">
        <v>4146</v>
      </c>
      <c r="I82" s="119">
        <v>45292.0</v>
      </c>
      <c r="K82" s="7" t="s">
        <v>419</v>
      </c>
      <c r="L82" s="7" t="s">
        <v>991</v>
      </c>
      <c r="M82" s="7" t="s">
        <v>3501</v>
      </c>
      <c r="N82" s="7" t="s">
        <v>4147</v>
      </c>
      <c r="O82" s="7" t="s">
        <v>4148</v>
      </c>
      <c r="P82" s="7" t="s">
        <v>3493</v>
      </c>
      <c r="Q82" s="7">
        <v>1.0</v>
      </c>
    </row>
    <row r="83">
      <c r="A83" s="7" t="s">
        <v>4149</v>
      </c>
      <c r="B83" s="7">
        <v>2200395.0</v>
      </c>
      <c r="C83" s="7" t="s">
        <v>4115</v>
      </c>
      <c r="D83" s="7" t="s">
        <v>3526</v>
      </c>
      <c r="E83" s="7" t="s">
        <v>4117</v>
      </c>
      <c r="F83" s="7" t="s">
        <v>3528</v>
      </c>
      <c r="G83" s="7" t="s">
        <v>4150</v>
      </c>
      <c r="H83" s="7" t="s">
        <v>4151</v>
      </c>
      <c r="I83" s="119">
        <v>45292.0</v>
      </c>
      <c r="K83" s="7" t="s">
        <v>419</v>
      </c>
      <c r="L83" s="7" t="s">
        <v>991</v>
      </c>
      <c r="M83" s="7" t="s">
        <v>3501</v>
      </c>
      <c r="N83" s="7" t="s">
        <v>4152</v>
      </c>
      <c r="O83" s="7" t="s">
        <v>4153</v>
      </c>
      <c r="P83" s="7" t="s">
        <v>4154</v>
      </c>
      <c r="Q83" s="7" t="s">
        <v>4155</v>
      </c>
    </row>
    <row r="84">
      <c r="A84" s="7" t="s">
        <v>4156</v>
      </c>
      <c r="B84" s="7">
        <v>12735.0</v>
      </c>
      <c r="C84" s="7" t="s">
        <v>4115</v>
      </c>
      <c r="D84" s="7" t="s">
        <v>4157</v>
      </c>
      <c r="E84" s="7" t="s">
        <v>4117</v>
      </c>
      <c r="F84" s="7" t="s">
        <v>4158</v>
      </c>
      <c r="G84" s="7" t="s">
        <v>4159</v>
      </c>
      <c r="H84" s="7" t="s">
        <v>4160</v>
      </c>
      <c r="I84" s="119">
        <v>45292.0</v>
      </c>
      <c r="K84" s="7" t="s">
        <v>419</v>
      </c>
      <c r="L84" s="7" t="s">
        <v>991</v>
      </c>
      <c r="M84" s="7" t="s">
        <v>3501</v>
      </c>
      <c r="N84" s="7" t="s">
        <v>4161</v>
      </c>
      <c r="O84" s="7" t="s">
        <v>4162</v>
      </c>
      <c r="P84" s="7" t="s">
        <v>4163</v>
      </c>
      <c r="Q84" s="7" t="s">
        <v>3523</v>
      </c>
    </row>
    <row r="85">
      <c r="A85" s="7" t="s">
        <v>4164</v>
      </c>
      <c r="B85" s="7">
        <v>14294.0</v>
      </c>
      <c r="C85" s="7" t="s">
        <v>4115</v>
      </c>
      <c r="D85" s="7" t="s">
        <v>4165</v>
      </c>
      <c r="E85" s="7" t="s">
        <v>4117</v>
      </c>
      <c r="F85" s="7" t="s">
        <v>3656</v>
      </c>
      <c r="G85" s="7" t="s">
        <v>4166</v>
      </c>
      <c r="H85" s="7" t="s">
        <v>4167</v>
      </c>
      <c r="I85" s="119">
        <v>45292.0</v>
      </c>
      <c r="J85" s="7" t="s">
        <v>3929</v>
      </c>
      <c r="K85" s="7" t="s">
        <v>419</v>
      </c>
      <c r="L85" s="7" t="s">
        <v>991</v>
      </c>
      <c r="M85" s="7" t="s">
        <v>3501</v>
      </c>
      <c r="N85" s="7" t="s">
        <v>4168</v>
      </c>
      <c r="O85" s="7" t="s">
        <v>4169</v>
      </c>
      <c r="P85" s="7" t="s">
        <v>3493</v>
      </c>
      <c r="Q85" s="7">
        <v>1.0</v>
      </c>
    </row>
    <row r="86">
      <c r="A86" s="7" t="s">
        <v>4170</v>
      </c>
      <c r="B86" s="7">
        <v>2200466.0</v>
      </c>
      <c r="C86" s="7" t="s">
        <v>4115</v>
      </c>
      <c r="D86" s="7" t="s">
        <v>4171</v>
      </c>
      <c r="E86" s="7" t="s">
        <v>4117</v>
      </c>
      <c r="F86" s="7" t="s">
        <v>4172</v>
      </c>
      <c r="G86" s="7" t="s">
        <v>4173</v>
      </c>
      <c r="H86" s="7" t="s">
        <v>4174</v>
      </c>
      <c r="I86" s="119">
        <v>45292.0</v>
      </c>
      <c r="K86" s="7" t="s">
        <v>419</v>
      </c>
      <c r="L86" s="7" t="s">
        <v>991</v>
      </c>
      <c r="M86" s="7" t="s">
        <v>3531</v>
      </c>
      <c r="N86" s="7" t="s">
        <v>4175</v>
      </c>
      <c r="O86" s="7" t="s">
        <v>4176</v>
      </c>
      <c r="P86" s="7" t="s">
        <v>3493</v>
      </c>
      <c r="Q86" s="7">
        <v>1.0</v>
      </c>
    </row>
    <row r="87">
      <c r="A87" s="7" t="s">
        <v>2395</v>
      </c>
      <c r="B87" s="7">
        <v>1056.0</v>
      </c>
      <c r="C87" s="7" t="s">
        <v>4177</v>
      </c>
      <c r="D87" s="7" t="s">
        <v>3764</v>
      </c>
      <c r="E87" s="7" t="s">
        <v>4178</v>
      </c>
      <c r="F87" s="7" t="s">
        <v>3766</v>
      </c>
      <c r="G87" s="7" t="s">
        <v>4179</v>
      </c>
      <c r="H87" s="7" t="s">
        <v>4180</v>
      </c>
      <c r="I87" s="119">
        <v>45292.0</v>
      </c>
      <c r="K87" s="7" t="s">
        <v>419</v>
      </c>
      <c r="L87" s="7" t="s">
        <v>991</v>
      </c>
      <c r="M87" s="7" t="s">
        <v>3501</v>
      </c>
      <c r="N87" s="7" t="s">
        <v>4181</v>
      </c>
      <c r="O87" s="7" t="s">
        <v>4182</v>
      </c>
      <c r="P87" s="7" t="s">
        <v>4183</v>
      </c>
      <c r="Q87" s="7" t="s">
        <v>3555</v>
      </c>
    </row>
    <row r="88">
      <c r="A88" s="7" t="s">
        <v>4184</v>
      </c>
      <c r="B88" s="7">
        <v>2200488.0</v>
      </c>
      <c r="C88" s="7" t="s">
        <v>4185</v>
      </c>
      <c r="D88" s="7" t="s">
        <v>4186</v>
      </c>
      <c r="E88" s="7" t="s">
        <v>4187</v>
      </c>
      <c r="F88" s="7" t="s">
        <v>3571</v>
      </c>
      <c r="G88" s="7" t="s">
        <v>4188</v>
      </c>
      <c r="H88" s="7" t="s">
        <v>4189</v>
      </c>
      <c r="I88" s="119">
        <v>45292.0</v>
      </c>
      <c r="K88" s="7" t="s">
        <v>3632</v>
      </c>
      <c r="L88" s="7" t="s">
        <v>991</v>
      </c>
      <c r="M88" s="7" t="s">
        <v>3866</v>
      </c>
      <c r="N88" s="7" t="s">
        <v>4190</v>
      </c>
      <c r="O88" s="7" t="s">
        <v>4191</v>
      </c>
      <c r="P88" s="7" t="s">
        <v>3493</v>
      </c>
      <c r="Q88" s="7">
        <v>1.0</v>
      </c>
    </row>
    <row r="89">
      <c r="A89" s="7" t="s">
        <v>4192</v>
      </c>
      <c r="B89" s="7">
        <v>4028.0</v>
      </c>
      <c r="C89" s="7" t="s">
        <v>4185</v>
      </c>
      <c r="D89" s="7" t="s">
        <v>4193</v>
      </c>
      <c r="E89" s="7" t="s">
        <v>4187</v>
      </c>
      <c r="F89" s="7" t="s">
        <v>4194</v>
      </c>
      <c r="G89" s="7" t="s">
        <v>4195</v>
      </c>
      <c r="H89" s="7" t="s">
        <v>4196</v>
      </c>
      <c r="I89" s="119">
        <v>45292.0</v>
      </c>
      <c r="K89" s="7" t="s">
        <v>419</v>
      </c>
      <c r="L89" s="7" t="s">
        <v>991</v>
      </c>
      <c r="M89" s="7" t="s">
        <v>3501</v>
      </c>
      <c r="N89" s="7" t="s">
        <v>4197</v>
      </c>
      <c r="O89" s="7" t="s">
        <v>4198</v>
      </c>
      <c r="P89" s="7" t="s">
        <v>3522</v>
      </c>
      <c r="Q89" s="7" t="s">
        <v>3523</v>
      </c>
    </row>
    <row r="90">
      <c r="A90" s="7" t="s">
        <v>4199</v>
      </c>
      <c r="B90" s="7">
        <v>13856.0</v>
      </c>
      <c r="C90" s="7" t="s">
        <v>4200</v>
      </c>
      <c r="D90" s="7" t="s">
        <v>4201</v>
      </c>
      <c r="E90" s="7" t="s">
        <v>4202</v>
      </c>
      <c r="F90" s="7" t="s">
        <v>4203</v>
      </c>
      <c r="G90" s="7" t="s">
        <v>4204</v>
      </c>
      <c r="H90" s="7" t="s">
        <v>4205</v>
      </c>
      <c r="I90" s="119">
        <v>45292.0</v>
      </c>
      <c r="K90" s="7" t="s">
        <v>4206</v>
      </c>
      <c r="L90" s="7" t="s">
        <v>3542</v>
      </c>
      <c r="M90" s="7" t="s">
        <v>3543</v>
      </c>
      <c r="N90" s="7" t="s">
        <v>4207</v>
      </c>
      <c r="O90" s="7" t="s">
        <v>4208</v>
      </c>
      <c r="P90" s="7" t="s">
        <v>3522</v>
      </c>
      <c r="Q90" s="7" t="s">
        <v>3514</v>
      </c>
    </row>
    <row r="91">
      <c r="A91" s="7" t="s">
        <v>4209</v>
      </c>
      <c r="B91" s="7">
        <v>12596.0</v>
      </c>
      <c r="C91" s="7" t="s">
        <v>4210</v>
      </c>
      <c r="D91" s="7" t="s">
        <v>4211</v>
      </c>
      <c r="E91" s="7" t="s">
        <v>4212</v>
      </c>
      <c r="F91" s="7" t="s">
        <v>4213</v>
      </c>
      <c r="G91" s="7" t="s">
        <v>4214</v>
      </c>
      <c r="H91" s="7" t="s">
        <v>4215</v>
      </c>
      <c r="I91" s="119">
        <v>45292.0</v>
      </c>
      <c r="J91" s="7" t="s">
        <v>4216</v>
      </c>
      <c r="K91" s="7" t="s">
        <v>419</v>
      </c>
      <c r="L91" s="7" t="s">
        <v>991</v>
      </c>
      <c r="M91" s="7" t="s">
        <v>3501</v>
      </c>
      <c r="N91" s="7" t="s">
        <v>3659</v>
      </c>
      <c r="O91" s="7" t="s">
        <v>3660</v>
      </c>
      <c r="P91" s="7" t="s">
        <v>3493</v>
      </c>
      <c r="Q91" s="7">
        <v>1.0</v>
      </c>
    </row>
    <row r="92">
      <c r="A92" s="7" t="s">
        <v>4217</v>
      </c>
      <c r="B92" s="7">
        <v>14256.0</v>
      </c>
      <c r="C92" s="7" t="s">
        <v>4218</v>
      </c>
      <c r="D92" s="7" t="s">
        <v>4219</v>
      </c>
      <c r="E92" s="7" t="s">
        <v>4220</v>
      </c>
      <c r="F92" s="7" t="s">
        <v>4221</v>
      </c>
      <c r="G92" s="7" t="s">
        <v>4222</v>
      </c>
      <c r="H92" s="7" t="s">
        <v>4223</v>
      </c>
      <c r="I92" s="119">
        <v>45292.0</v>
      </c>
      <c r="K92" s="7" t="s">
        <v>419</v>
      </c>
      <c r="L92" s="7" t="s">
        <v>991</v>
      </c>
      <c r="M92" s="7" t="s">
        <v>3501</v>
      </c>
      <c r="N92" s="7" t="s">
        <v>4224</v>
      </c>
      <c r="O92" s="7" t="s">
        <v>4225</v>
      </c>
      <c r="P92" s="7" t="s">
        <v>3493</v>
      </c>
      <c r="Q92" s="7">
        <v>1.0</v>
      </c>
    </row>
    <row r="93">
      <c r="A93" s="7" t="s">
        <v>1499</v>
      </c>
      <c r="B93" s="7">
        <v>526.0</v>
      </c>
      <c r="C93" s="7" t="s">
        <v>4218</v>
      </c>
      <c r="D93" s="7" t="s">
        <v>4226</v>
      </c>
      <c r="E93" s="7" t="s">
        <v>4220</v>
      </c>
      <c r="F93" s="7" t="s">
        <v>3498</v>
      </c>
      <c r="G93" s="7" t="s">
        <v>4227</v>
      </c>
      <c r="H93" s="7" t="s">
        <v>4228</v>
      </c>
      <c r="I93" s="119">
        <v>45292.0</v>
      </c>
      <c r="K93" s="7" t="s">
        <v>419</v>
      </c>
      <c r="L93" s="7" t="s">
        <v>991</v>
      </c>
      <c r="M93" s="7" t="s">
        <v>3501</v>
      </c>
      <c r="N93" s="7" t="s">
        <v>4229</v>
      </c>
      <c r="O93" s="7" t="s">
        <v>4230</v>
      </c>
      <c r="P93" s="7" t="s">
        <v>4231</v>
      </c>
      <c r="Q93" s="7" t="s">
        <v>3698</v>
      </c>
    </row>
    <row r="94">
      <c r="A94" s="7" t="s">
        <v>4232</v>
      </c>
      <c r="B94" s="7">
        <v>2100275.0</v>
      </c>
      <c r="C94" s="7" t="s">
        <v>4218</v>
      </c>
      <c r="D94" s="7" t="s">
        <v>4233</v>
      </c>
      <c r="E94" s="7" t="s">
        <v>4220</v>
      </c>
      <c r="F94" s="7" t="s">
        <v>4234</v>
      </c>
      <c r="G94" s="7" t="s">
        <v>4235</v>
      </c>
      <c r="H94" s="7" t="s">
        <v>4236</v>
      </c>
      <c r="I94" s="119">
        <v>45292.0</v>
      </c>
      <c r="K94" s="7" t="s">
        <v>419</v>
      </c>
      <c r="L94" s="7" t="s">
        <v>991</v>
      </c>
      <c r="M94" s="7" t="s">
        <v>3531</v>
      </c>
      <c r="N94" s="7" t="s">
        <v>4237</v>
      </c>
      <c r="O94" s="7" t="s">
        <v>4238</v>
      </c>
      <c r="P94" s="7" t="s">
        <v>3493</v>
      </c>
      <c r="Q94" s="7">
        <v>1.0</v>
      </c>
    </row>
    <row r="95">
      <c r="A95" s="7" t="s">
        <v>4239</v>
      </c>
      <c r="B95" s="7">
        <v>14014.0</v>
      </c>
      <c r="C95" s="7" t="s">
        <v>4218</v>
      </c>
      <c r="D95" s="7" t="s">
        <v>4240</v>
      </c>
      <c r="E95" s="7" t="s">
        <v>4220</v>
      </c>
      <c r="F95" s="7" t="s">
        <v>4241</v>
      </c>
      <c r="G95" s="7" t="s">
        <v>4242</v>
      </c>
      <c r="H95" s="7" t="s">
        <v>4243</v>
      </c>
      <c r="I95" s="119">
        <v>45292.0</v>
      </c>
      <c r="K95" s="7" t="s">
        <v>419</v>
      </c>
      <c r="L95" s="7" t="s">
        <v>991</v>
      </c>
      <c r="M95" s="7" t="s">
        <v>3501</v>
      </c>
      <c r="N95" s="7" t="s">
        <v>4244</v>
      </c>
      <c r="O95" s="7" t="s">
        <v>4245</v>
      </c>
      <c r="P95" s="7" t="s">
        <v>3604</v>
      </c>
      <c r="Q95" s="7">
        <v>1.0</v>
      </c>
    </row>
    <row r="96">
      <c r="A96" s="7" t="s">
        <v>4246</v>
      </c>
      <c r="B96" s="7">
        <v>10974.0</v>
      </c>
      <c r="C96" s="7" t="s">
        <v>4218</v>
      </c>
      <c r="D96" s="7" t="s">
        <v>4247</v>
      </c>
      <c r="E96" s="7" t="s">
        <v>4220</v>
      </c>
      <c r="F96" s="7" t="s">
        <v>3818</v>
      </c>
      <c r="G96" s="7" t="s">
        <v>4248</v>
      </c>
      <c r="H96" s="7" t="s">
        <v>4249</v>
      </c>
      <c r="I96" s="119">
        <v>45292.0</v>
      </c>
      <c r="K96" s="7" t="s">
        <v>419</v>
      </c>
      <c r="L96" s="7" t="s">
        <v>991</v>
      </c>
      <c r="M96" s="7" t="s">
        <v>3501</v>
      </c>
      <c r="N96" s="7" t="s">
        <v>4250</v>
      </c>
      <c r="O96" s="7" t="s">
        <v>4251</v>
      </c>
      <c r="P96" s="7" t="s">
        <v>3493</v>
      </c>
      <c r="Q96" s="7">
        <v>1.0</v>
      </c>
    </row>
    <row r="97">
      <c r="A97" s="7" t="s">
        <v>1566</v>
      </c>
      <c r="B97" s="7">
        <v>1040.0</v>
      </c>
      <c r="C97" s="7" t="s">
        <v>4218</v>
      </c>
      <c r="D97" s="7" t="s">
        <v>4252</v>
      </c>
      <c r="E97" s="7" t="s">
        <v>4220</v>
      </c>
      <c r="F97" s="7" t="s">
        <v>4253</v>
      </c>
      <c r="G97" s="7" t="s">
        <v>4254</v>
      </c>
      <c r="H97" s="7" t="s">
        <v>4255</v>
      </c>
      <c r="I97" s="119">
        <v>45292.0</v>
      </c>
      <c r="K97" s="7" t="s">
        <v>419</v>
      </c>
      <c r="L97" s="7" t="s">
        <v>991</v>
      </c>
      <c r="M97" s="7" t="s">
        <v>3501</v>
      </c>
      <c r="N97" s="7" t="s">
        <v>4256</v>
      </c>
      <c r="O97" s="7" t="s">
        <v>4257</v>
      </c>
      <c r="P97" s="7" t="s">
        <v>3493</v>
      </c>
      <c r="Q97" s="7">
        <v>1.0</v>
      </c>
    </row>
    <row r="98">
      <c r="A98" s="7" t="s">
        <v>4258</v>
      </c>
      <c r="B98" s="7">
        <v>12733.0</v>
      </c>
      <c r="C98" s="7" t="s">
        <v>4259</v>
      </c>
      <c r="D98" s="7" t="s">
        <v>4260</v>
      </c>
      <c r="E98" s="7" t="s">
        <v>4261</v>
      </c>
      <c r="F98" s="7" t="s">
        <v>4262</v>
      </c>
      <c r="G98" s="7" t="s">
        <v>4263</v>
      </c>
      <c r="H98" s="7" t="s">
        <v>4264</v>
      </c>
      <c r="I98" s="119">
        <v>45292.0</v>
      </c>
      <c r="K98" s="7" t="s">
        <v>419</v>
      </c>
      <c r="L98" s="7" t="s">
        <v>991</v>
      </c>
      <c r="M98" s="7" t="s">
        <v>3501</v>
      </c>
      <c r="N98" s="7" t="s">
        <v>4265</v>
      </c>
      <c r="O98" s="7" t="s">
        <v>4266</v>
      </c>
      <c r="P98" s="7" t="s">
        <v>3843</v>
      </c>
      <c r="Q98" s="7">
        <v>1.0</v>
      </c>
    </row>
    <row r="99">
      <c r="A99" s="7" t="s">
        <v>4267</v>
      </c>
      <c r="B99" s="7">
        <v>14016.0</v>
      </c>
      <c r="C99" s="7" t="s">
        <v>4268</v>
      </c>
      <c r="D99" s="7" t="s">
        <v>4269</v>
      </c>
      <c r="E99" s="7" t="s">
        <v>4270</v>
      </c>
      <c r="F99" s="7" t="s">
        <v>4271</v>
      </c>
      <c r="G99" s="7" t="s">
        <v>4272</v>
      </c>
      <c r="H99" s="7" t="s">
        <v>4273</v>
      </c>
      <c r="I99" s="119">
        <v>45292.0</v>
      </c>
      <c r="K99" s="7" t="s">
        <v>3632</v>
      </c>
      <c r="L99" s="7" t="s">
        <v>991</v>
      </c>
      <c r="M99" s="7" t="s">
        <v>3501</v>
      </c>
      <c r="N99" s="7" t="s">
        <v>4274</v>
      </c>
      <c r="O99" s="7" t="s">
        <v>4275</v>
      </c>
      <c r="P99" s="7" t="s">
        <v>3522</v>
      </c>
      <c r="Q99" s="7" t="s">
        <v>3523</v>
      </c>
    </row>
    <row r="100">
      <c r="A100" s="7" t="s">
        <v>4276</v>
      </c>
      <c r="B100" s="7">
        <v>14163.0</v>
      </c>
      <c r="C100" s="7" t="s">
        <v>4277</v>
      </c>
      <c r="D100" s="7" t="s">
        <v>4278</v>
      </c>
      <c r="E100" s="7" t="s">
        <v>4279</v>
      </c>
      <c r="F100" s="7" t="s">
        <v>4280</v>
      </c>
      <c r="G100" s="7" t="s">
        <v>4281</v>
      </c>
      <c r="H100" s="7" t="s">
        <v>4282</v>
      </c>
      <c r="I100" s="119">
        <v>45292.0</v>
      </c>
      <c r="K100" s="7" t="s">
        <v>419</v>
      </c>
      <c r="L100" s="7" t="s">
        <v>991</v>
      </c>
      <c r="M100" s="7" t="s">
        <v>3501</v>
      </c>
      <c r="N100" s="7" t="s">
        <v>4283</v>
      </c>
      <c r="O100" s="7" t="s">
        <v>4284</v>
      </c>
      <c r="P100" s="7" t="s">
        <v>3493</v>
      </c>
      <c r="Q100" s="7">
        <v>1.0</v>
      </c>
    </row>
    <row r="101">
      <c r="A101" s="7" t="s">
        <v>4285</v>
      </c>
      <c r="B101" s="7">
        <v>2200230.0</v>
      </c>
      <c r="C101" s="7" t="s">
        <v>4277</v>
      </c>
      <c r="D101" s="7" t="s">
        <v>4286</v>
      </c>
      <c r="E101" s="7" t="s">
        <v>4279</v>
      </c>
      <c r="F101" s="7" t="s">
        <v>4287</v>
      </c>
      <c r="G101" s="7" t="s">
        <v>4288</v>
      </c>
      <c r="H101" s="7" t="s">
        <v>4289</v>
      </c>
      <c r="I101" s="119">
        <v>45292.0</v>
      </c>
      <c r="K101" s="7" t="s">
        <v>419</v>
      </c>
      <c r="L101" s="7" t="s">
        <v>991</v>
      </c>
      <c r="M101" s="7" t="s">
        <v>3501</v>
      </c>
      <c r="N101" s="7" t="s">
        <v>4290</v>
      </c>
      <c r="O101" s="7" t="s">
        <v>4291</v>
      </c>
      <c r="P101" s="7" t="s">
        <v>3493</v>
      </c>
      <c r="Q101" s="7">
        <v>1.0</v>
      </c>
    </row>
    <row r="102">
      <c r="A102" s="7" t="s">
        <v>4292</v>
      </c>
      <c r="B102" s="7">
        <v>2200409.0</v>
      </c>
      <c r="C102" s="7" t="s">
        <v>4277</v>
      </c>
      <c r="D102" s="7" t="s">
        <v>4293</v>
      </c>
      <c r="E102" s="7" t="s">
        <v>4279</v>
      </c>
      <c r="F102" s="7" t="s">
        <v>4144</v>
      </c>
      <c r="G102" s="7" t="s">
        <v>4294</v>
      </c>
      <c r="H102" s="7" t="s">
        <v>4295</v>
      </c>
      <c r="I102" s="119">
        <v>45292.0</v>
      </c>
      <c r="K102" s="7" t="s">
        <v>419</v>
      </c>
      <c r="L102" s="7" t="s">
        <v>991</v>
      </c>
      <c r="M102" s="7" t="s">
        <v>3531</v>
      </c>
      <c r="N102" s="7" t="s">
        <v>4296</v>
      </c>
      <c r="O102" s="7" t="s">
        <v>4297</v>
      </c>
      <c r="P102" s="7" t="s">
        <v>3493</v>
      </c>
      <c r="Q102" s="7">
        <v>1.0</v>
      </c>
    </row>
    <row r="103">
      <c r="A103" s="7" t="s">
        <v>4298</v>
      </c>
      <c r="B103" s="7">
        <v>182.0</v>
      </c>
      <c r="C103" s="7" t="s">
        <v>4277</v>
      </c>
      <c r="D103" s="7" t="s">
        <v>4299</v>
      </c>
      <c r="E103" s="7" t="s">
        <v>4279</v>
      </c>
      <c r="F103" s="7" t="s">
        <v>4300</v>
      </c>
      <c r="G103" s="7" t="s">
        <v>4301</v>
      </c>
      <c r="H103" s="7" t="s">
        <v>4302</v>
      </c>
      <c r="I103" s="119">
        <v>45292.0</v>
      </c>
      <c r="K103" s="7" t="s">
        <v>419</v>
      </c>
      <c r="L103" s="7" t="s">
        <v>991</v>
      </c>
      <c r="M103" s="7" t="s">
        <v>3501</v>
      </c>
      <c r="N103" s="7" t="s">
        <v>4303</v>
      </c>
      <c r="O103" s="7" t="s">
        <v>4304</v>
      </c>
      <c r="P103" s="7" t="s">
        <v>3493</v>
      </c>
      <c r="Q103" s="7">
        <v>1.0</v>
      </c>
    </row>
    <row r="104">
      <c r="A104" s="7" t="s">
        <v>4305</v>
      </c>
      <c r="B104" s="7">
        <v>2300010.0</v>
      </c>
      <c r="C104" s="7" t="s">
        <v>4277</v>
      </c>
      <c r="D104" s="7" t="s">
        <v>4306</v>
      </c>
      <c r="E104" s="7" t="s">
        <v>4279</v>
      </c>
      <c r="F104" s="7" t="s">
        <v>4307</v>
      </c>
      <c r="G104" s="7" t="s">
        <v>4308</v>
      </c>
      <c r="H104" s="7" t="s">
        <v>4309</v>
      </c>
      <c r="I104" s="119">
        <v>45292.0</v>
      </c>
      <c r="K104" s="7" t="s">
        <v>419</v>
      </c>
      <c r="L104" s="7" t="s">
        <v>991</v>
      </c>
      <c r="M104" s="7" t="s">
        <v>3583</v>
      </c>
      <c r="N104" s="7" t="s">
        <v>4310</v>
      </c>
      <c r="O104" s="7" t="s">
        <v>4311</v>
      </c>
      <c r="P104" s="7" t="s">
        <v>3493</v>
      </c>
      <c r="Q104" s="7">
        <v>1.0</v>
      </c>
    </row>
    <row r="105">
      <c r="A105" s="7" t="s">
        <v>4312</v>
      </c>
      <c r="B105" s="7">
        <v>2100389.0</v>
      </c>
      <c r="C105" s="7" t="s">
        <v>4277</v>
      </c>
      <c r="D105" s="7" t="s">
        <v>4313</v>
      </c>
      <c r="E105" s="7" t="s">
        <v>4279</v>
      </c>
      <c r="F105" s="7" t="s">
        <v>4314</v>
      </c>
      <c r="G105" s="7" t="s">
        <v>4315</v>
      </c>
      <c r="H105" s="7" t="s">
        <v>4316</v>
      </c>
      <c r="I105" s="119">
        <v>45292.0</v>
      </c>
      <c r="J105" s="7" t="s">
        <v>3929</v>
      </c>
      <c r="K105" s="7" t="s">
        <v>419</v>
      </c>
      <c r="L105" s="7" t="s">
        <v>991</v>
      </c>
      <c r="M105" s="7" t="s">
        <v>3501</v>
      </c>
      <c r="N105" s="7" t="s">
        <v>4317</v>
      </c>
      <c r="O105" s="7" t="s">
        <v>4318</v>
      </c>
      <c r="P105" s="7" t="s">
        <v>3522</v>
      </c>
      <c r="Q105" s="7" t="s">
        <v>3523</v>
      </c>
    </row>
    <row r="106">
      <c r="A106" s="7" t="s">
        <v>4319</v>
      </c>
      <c r="B106" s="7">
        <v>2100181.0</v>
      </c>
      <c r="C106" s="7" t="s">
        <v>4277</v>
      </c>
      <c r="D106" s="7" t="s">
        <v>4320</v>
      </c>
      <c r="E106" s="7" t="s">
        <v>4279</v>
      </c>
      <c r="F106" s="7" t="s">
        <v>4321</v>
      </c>
      <c r="G106" s="7" t="s">
        <v>4322</v>
      </c>
      <c r="H106" s="7" t="s">
        <v>4323</v>
      </c>
      <c r="I106" s="119">
        <v>45292.0</v>
      </c>
      <c r="K106" s="7" t="s">
        <v>3632</v>
      </c>
      <c r="L106" s="7" t="s">
        <v>991</v>
      </c>
      <c r="M106" s="7" t="s">
        <v>3531</v>
      </c>
      <c r="N106" s="7" t="s">
        <v>4324</v>
      </c>
      <c r="O106" s="7" t="s">
        <v>4325</v>
      </c>
      <c r="P106" s="7" t="s">
        <v>3493</v>
      </c>
      <c r="Q106" s="7">
        <v>1.0</v>
      </c>
    </row>
    <row r="107">
      <c r="A107" s="7" t="s">
        <v>4326</v>
      </c>
      <c r="B107" s="7">
        <v>276.0</v>
      </c>
      <c r="C107" s="7" t="s">
        <v>4277</v>
      </c>
      <c r="D107" s="7" t="s">
        <v>4327</v>
      </c>
      <c r="E107" s="7" t="s">
        <v>4279</v>
      </c>
      <c r="F107" s="7" t="s">
        <v>3649</v>
      </c>
      <c r="G107" s="7" t="s">
        <v>4328</v>
      </c>
      <c r="H107" s="7" t="s">
        <v>4329</v>
      </c>
      <c r="I107" s="119">
        <v>45292.0</v>
      </c>
      <c r="K107" s="7" t="s">
        <v>419</v>
      </c>
      <c r="L107" s="7" t="s">
        <v>991</v>
      </c>
      <c r="M107" s="7" t="s">
        <v>3501</v>
      </c>
      <c r="N107" s="7" t="s">
        <v>4330</v>
      </c>
      <c r="O107" s="7" t="s">
        <v>4331</v>
      </c>
      <c r="P107" s="7" t="s">
        <v>3493</v>
      </c>
      <c r="Q107" s="7">
        <v>1.0</v>
      </c>
    </row>
    <row r="108">
      <c r="A108" s="7" t="s">
        <v>4332</v>
      </c>
      <c r="B108" s="7">
        <v>575.0</v>
      </c>
      <c r="C108" s="7" t="s">
        <v>4333</v>
      </c>
      <c r="D108" s="7" t="s">
        <v>4334</v>
      </c>
      <c r="E108" s="7" t="s">
        <v>4335</v>
      </c>
      <c r="F108" s="7" t="s">
        <v>4336</v>
      </c>
      <c r="G108" s="7" t="s">
        <v>4337</v>
      </c>
      <c r="H108" s="7" t="s">
        <v>4338</v>
      </c>
      <c r="I108" s="119">
        <v>45292.0</v>
      </c>
      <c r="K108" s="7" t="s">
        <v>419</v>
      </c>
      <c r="L108" s="7" t="s">
        <v>991</v>
      </c>
      <c r="M108" s="7" t="s">
        <v>3501</v>
      </c>
      <c r="N108" s="7" t="s">
        <v>4339</v>
      </c>
      <c r="O108" s="7" t="s">
        <v>4340</v>
      </c>
      <c r="P108" s="7" t="s">
        <v>3493</v>
      </c>
      <c r="Q108" s="7">
        <v>1.0</v>
      </c>
    </row>
    <row r="109">
      <c r="A109" s="7" t="s">
        <v>1724</v>
      </c>
      <c r="B109" s="7">
        <v>11605.0</v>
      </c>
      <c r="C109" s="7" t="s">
        <v>4333</v>
      </c>
      <c r="D109" s="7" t="s">
        <v>4341</v>
      </c>
      <c r="E109" s="7" t="s">
        <v>4335</v>
      </c>
      <c r="F109" s="7" t="s">
        <v>4342</v>
      </c>
      <c r="G109" s="7" t="s">
        <v>4343</v>
      </c>
      <c r="H109" s="7" t="s">
        <v>4344</v>
      </c>
      <c r="I109" s="119">
        <v>45292.0</v>
      </c>
      <c r="K109" s="7" t="s">
        <v>4345</v>
      </c>
      <c r="L109" s="7" t="s">
        <v>3706</v>
      </c>
      <c r="M109" s="7" t="s">
        <v>3938</v>
      </c>
      <c r="N109" s="7" t="s">
        <v>4346</v>
      </c>
      <c r="O109" s="7" t="s">
        <v>4347</v>
      </c>
      <c r="P109" s="7" t="s">
        <v>4348</v>
      </c>
      <c r="Q109" s="7" t="s">
        <v>4349</v>
      </c>
    </row>
    <row r="110">
      <c r="A110" s="7" t="s">
        <v>4350</v>
      </c>
      <c r="B110" s="7">
        <v>2200404.0</v>
      </c>
      <c r="C110" s="7" t="s">
        <v>4333</v>
      </c>
      <c r="D110" s="7" t="s">
        <v>4351</v>
      </c>
      <c r="E110" s="7" t="s">
        <v>4335</v>
      </c>
      <c r="F110" s="7" t="s">
        <v>4352</v>
      </c>
      <c r="G110" s="7" t="s">
        <v>4353</v>
      </c>
      <c r="H110" s="7" t="s">
        <v>4354</v>
      </c>
      <c r="I110" s="119">
        <v>45292.0</v>
      </c>
      <c r="K110" s="7" t="s">
        <v>419</v>
      </c>
      <c r="L110" s="7" t="s">
        <v>991</v>
      </c>
      <c r="M110" s="7" t="s">
        <v>3531</v>
      </c>
      <c r="N110" s="7" t="s">
        <v>3724</v>
      </c>
      <c r="O110" s="7" t="s">
        <v>3725</v>
      </c>
      <c r="P110" s="7" t="s">
        <v>3493</v>
      </c>
      <c r="Q110" s="7">
        <v>1.0</v>
      </c>
    </row>
    <row r="111">
      <c r="A111" s="7" t="s">
        <v>4355</v>
      </c>
      <c r="B111" s="7">
        <v>1168.0</v>
      </c>
      <c r="C111" s="7" t="s">
        <v>4333</v>
      </c>
      <c r="D111" s="7" t="s">
        <v>4356</v>
      </c>
      <c r="E111" s="7" t="s">
        <v>4335</v>
      </c>
      <c r="F111" s="7" t="s">
        <v>4357</v>
      </c>
      <c r="G111" s="7" t="s">
        <v>4358</v>
      </c>
      <c r="H111" s="7" t="s">
        <v>4359</v>
      </c>
      <c r="I111" s="119">
        <v>45292.0</v>
      </c>
      <c r="K111" s="7" t="s">
        <v>419</v>
      </c>
      <c r="L111" s="7" t="s">
        <v>991</v>
      </c>
      <c r="M111" s="7" t="s">
        <v>3501</v>
      </c>
      <c r="N111" s="7" t="s">
        <v>4360</v>
      </c>
      <c r="O111" s="7" t="s">
        <v>4361</v>
      </c>
      <c r="P111" s="7" t="s">
        <v>3604</v>
      </c>
      <c r="Q111" s="7">
        <v>1.0</v>
      </c>
    </row>
    <row r="112">
      <c r="A112" s="7" t="s">
        <v>4362</v>
      </c>
      <c r="B112" s="7">
        <v>2200520.0</v>
      </c>
      <c r="C112" s="7" t="s">
        <v>4333</v>
      </c>
      <c r="D112" s="7" t="s">
        <v>4363</v>
      </c>
      <c r="E112" s="7" t="s">
        <v>4335</v>
      </c>
      <c r="F112" s="7" t="s">
        <v>4364</v>
      </c>
      <c r="G112" s="7" t="s">
        <v>4365</v>
      </c>
      <c r="H112" s="7" t="s">
        <v>4366</v>
      </c>
      <c r="I112" s="119">
        <v>45292.0</v>
      </c>
      <c r="K112" s="7" t="s">
        <v>419</v>
      </c>
      <c r="L112" s="7" t="s">
        <v>991</v>
      </c>
      <c r="M112" s="7" t="s">
        <v>3501</v>
      </c>
      <c r="N112" s="7" t="s">
        <v>4367</v>
      </c>
      <c r="O112" s="7" t="s">
        <v>4368</v>
      </c>
      <c r="P112" s="7" t="s">
        <v>3493</v>
      </c>
      <c r="Q112" s="7">
        <v>1.0</v>
      </c>
    </row>
    <row r="113">
      <c r="A113" s="7" t="s">
        <v>4369</v>
      </c>
      <c r="B113" s="7">
        <v>14018.0</v>
      </c>
      <c r="C113" s="7" t="s">
        <v>4333</v>
      </c>
      <c r="D113" s="7" t="s">
        <v>4370</v>
      </c>
      <c r="E113" s="7" t="s">
        <v>4335</v>
      </c>
      <c r="F113" s="7" t="s">
        <v>4371</v>
      </c>
      <c r="G113" s="7" t="s">
        <v>4372</v>
      </c>
      <c r="H113" s="7" t="s">
        <v>4373</v>
      </c>
      <c r="I113" s="119">
        <v>45292.0</v>
      </c>
      <c r="K113" s="7" t="s">
        <v>419</v>
      </c>
      <c r="L113" s="7" t="s">
        <v>991</v>
      </c>
      <c r="M113" s="7" t="s">
        <v>3531</v>
      </c>
      <c r="N113" s="7" t="s">
        <v>4374</v>
      </c>
      <c r="O113" s="7" t="s">
        <v>4375</v>
      </c>
      <c r="P113" s="7" t="s">
        <v>3493</v>
      </c>
      <c r="Q113" s="7">
        <v>1.0</v>
      </c>
    </row>
    <row r="114">
      <c r="A114" s="7" t="s">
        <v>4376</v>
      </c>
      <c r="B114" s="7">
        <v>2300565.0</v>
      </c>
      <c r="C114" s="7" t="s">
        <v>4377</v>
      </c>
      <c r="D114" s="7" t="s">
        <v>4378</v>
      </c>
      <c r="E114" s="7" t="s">
        <v>4379</v>
      </c>
      <c r="F114" s="7" t="s">
        <v>4380</v>
      </c>
      <c r="G114" s="7" t="s">
        <v>4381</v>
      </c>
      <c r="H114" s="7" t="s">
        <v>4382</v>
      </c>
      <c r="I114" s="119">
        <v>45292.0</v>
      </c>
      <c r="K114" s="7" t="s">
        <v>3541</v>
      </c>
      <c r="L114" s="7" t="s">
        <v>3542</v>
      </c>
      <c r="M114" s="7" t="s">
        <v>4383</v>
      </c>
      <c r="N114" s="7" t="s">
        <v>4384</v>
      </c>
      <c r="O114" s="7" t="s">
        <v>4385</v>
      </c>
      <c r="P114" s="7" t="s">
        <v>4154</v>
      </c>
      <c r="Q114" s="7" t="s">
        <v>4155</v>
      </c>
    </row>
    <row r="115">
      <c r="A115" s="7" t="s">
        <v>4386</v>
      </c>
      <c r="B115" s="7">
        <v>2100352.0</v>
      </c>
      <c r="C115" s="7" t="s">
        <v>4387</v>
      </c>
      <c r="D115" s="7" t="s">
        <v>4388</v>
      </c>
      <c r="E115" s="7" t="s">
        <v>4389</v>
      </c>
      <c r="F115" s="7" t="s">
        <v>4390</v>
      </c>
      <c r="G115" s="7" t="s">
        <v>4391</v>
      </c>
      <c r="H115" s="7" t="s">
        <v>4392</v>
      </c>
      <c r="I115" s="119">
        <v>45292.0</v>
      </c>
      <c r="K115" s="7" t="s">
        <v>419</v>
      </c>
      <c r="L115" s="7" t="s">
        <v>991</v>
      </c>
      <c r="M115" s="7" t="s">
        <v>3501</v>
      </c>
      <c r="N115" s="7" t="s">
        <v>4393</v>
      </c>
      <c r="O115" s="7" t="s">
        <v>4394</v>
      </c>
      <c r="P115" s="7" t="s">
        <v>3843</v>
      </c>
      <c r="Q115" s="7">
        <v>1.0</v>
      </c>
    </row>
    <row r="116">
      <c r="A116" s="7" t="s">
        <v>4395</v>
      </c>
      <c r="B116" s="7">
        <v>8147.0</v>
      </c>
      <c r="C116" s="7" t="s">
        <v>4387</v>
      </c>
      <c r="D116" s="7" t="s">
        <v>4396</v>
      </c>
      <c r="E116" s="7" t="s">
        <v>4389</v>
      </c>
      <c r="F116" s="7" t="s">
        <v>4262</v>
      </c>
      <c r="G116" s="7" t="s">
        <v>4397</v>
      </c>
      <c r="H116" s="7" t="s">
        <v>4398</v>
      </c>
      <c r="I116" s="119">
        <v>45292.0</v>
      </c>
      <c r="K116" s="7" t="s">
        <v>419</v>
      </c>
      <c r="L116" s="7" t="s">
        <v>991</v>
      </c>
      <c r="M116" s="7" t="s">
        <v>3531</v>
      </c>
      <c r="N116" s="7" t="s">
        <v>4399</v>
      </c>
      <c r="O116" s="7" t="s">
        <v>4400</v>
      </c>
      <c r="P116" s="7" t="s">
        <v>3493</v>
      </c>
      <c r="Q116" s="7">
        <v>1.0</v>
      </c>
    </row>
    <row r="117">
      <c r="A117" s="7" t="s">
        <v>4401</v>
      </c>
      <c r="B117" s="7">
        <v>12418.0</v>
      </c>
      <c r="C117" s="7" t="s">
        <v>4387</v>
      </c>
      <c r="D117" s="7" t="s">
        <v>4402</v>
      </c>
      <c r="E117" s="7" t="s">
        <v>4389</v>
      </c>
      <c r="F117" s="7" t="s">
        <v>4203</v>
      </c>
      <c r="G117" s="7" t="s">
        <v>4403</v>
      </c>
      <c r="H117" s="7" t="s">
        <v>4404</v>
      </c>
      <c r="I117" s="119">
        <v>45292.0</v>
      </c>
      <c r="K117" s="7" t="s">
        <v>4405</v>
      </c>
      <c r="L117" s="7" t="s">
        <v>4406</v>
      </c>
      <c r="M117" s="7" t="s">
        <v>4407</v>
      </c>
      <c r="N117" s="7" t="s">
        <v>4408</v>
      </c>
      <c r="O117" s="7" t="s">
        <v>4409</v>
      </c>
      <c r="P117" s="7" t="s">
        <v>4410</v>
      </c>
      <c r="Q117" s="7" t="s">
        <v>3566</v>
      </c>
    </row>
    <row r="118">
      <c r="A118" s="7" t="s">
        <v>4411</v>
      </c>
      <c r="B118" s="7">
        <v>2100658.0</v>
      </c>
      <c r="C118" s="7" t="s">
        <v>4412</v>
      </c>
      <c r="D118" s="7" t="s">
        <v>4413</v>
      </c>
      <c r="E118" s="7" t="s">
        <v>4414</v>
      </c>
      <c r="F118" s="7" t="s">
        <v>4415</v>
      </c>
      <c r="G118" s="7" t="s">
        <v>4416</v>
      </c>
      <c r="H118" s="7" t="s">
        <v>4417</v>
      </c>
      <c r="I118" s="119">
        <v>45292.0</v>
      </c>
      <c r="K118" s="7" t="s">
        <v>419</v>
      </c>
      <c r="L118" s="7" t="s">
        <v>991</v>
      </c>
      <c r="M118" s="7" t="s">
        <v>3501</v>
      </c>
      <c r="N118" s="7" t="s">
        <v>4418</v>
      </c>
      <c r="O118" s="7" t="s">
        <v>4419</v>
      </c>
      <c r="P118" s="7" t="s">
        <v>4420</v>
      </c>
      <c r="Q118" s="7" t="s">
        <v>3523</v>
      </c>
    </row>
    <row r="119">
      <c r="A119" s="7" t="s">
        <v>1418</v>
      </c>
      <c r="B119" s="7">
        <v>638.0</v>
      </c>
      <c r="C119" s="7" t="s">
        <v>4421</v>
      </c>
      <c r="D119" s="7" t="s">
        <v>4422</v>
      </c>
      <c r="E119" s="7" t="s">
        <v>4423</v>
      </c>
      <c r="F119" s="7" t="s">
        <v>4424</v>
      </c>
      <c r="G119" s="7" t="s">
        <v>4425</v>
      </c>
      <c r="H119" s="7" t="s">
        <v>4426</v>
      </c>
      <c r="I119" s="119">
        <v>45292.0</v>
      </c>
      <c r="K119" s="7" t="s">
        <v>419</v>
      </c>
      <c r="L119" s="7" t="s">
        <v>991</v>
      </c>
      <c r="M119" s="7" t="s">
        <v>3501</v>
      </c>
      <c r="N119" s="7" t="s">
        <v>4427</v>
      </c>
      <c r="O119" s="7" t="s">
        <v>4428</v>
      </c>
      <c r="P119" s="7" t="s">
        <v>4429</v>
      </c>
      <c r="Q119" s="7" t="s">
        <v>3555</v>
      </c>
    </row>
    <row r="120">
      <c r="A120" s="7" t="s">
        <v>4430</v>
      </c>
      <c r="B120" s="7">
        <v>2100567.0</v>
      </c>
      <c r="C120" s="7" t="s">
        <v>4431</v>
      </c>
      <c r="D120" s="7" t="s">
        <v>4432</v>
      </c>
      <c r="E120" s="7" t="s">
        <v>4433</v>
      </c>
      <c r="F120" s="7" t="s">
        <v>4434</v>
      </c>
      <c r="G120" s="7" t="s">
        <v>4435</v>
      </c>
      <c r="H120" s="7" t="s">
        <v>4436</v>
      </c>
      <c r="I120" s="119">
        <v>45292.0</v>
      </c>
      <c r="K120" s="7" t="s">
        <v>419</v>
      </c>
      <c r="L120" s="7" t="s">
        <v>991</v>
      </c>
      <c r="M120" s="7" t="s">
        <v>3501</v>
      </c>
      <c r="N120" s="7" t="s">
        <v>4437</v>
      </c>
      <c r="O120" s="7" t="s">
        <v>4438</v>
      </c>
      <c r="P120" s="7" t="s">
        <v>3493</v>
      </c>
      <c r="Q120" s="7">
        <v>1.0</v>
      </c>
    </row>
    <row r="121">
      <c r="A121" s="7" t="s">
        <v>4439</v>
      </c>
      <c r="B121" s="7">
        <v>2100670.0</v>
      </c>
      <c r="C121" s="7" t="s">
        <v>4431</v>
      </c>
      <c r="D121" s="7" t="s">
        <v>4440</v>
      </c>
      <c r="E121" s="7" t="s">
        <v>4433</v>
      </c>
      <c r="F121" s="7" t="s">
        <v>4441</v>
      </c>
      <c r="G121" s="7" t="s">
        <v>4442</v>
      </c>
      <c r="H121" s="7" t="s">
        <v>4443</v>
      </c>
      <c r="I121" s="119">
        <v>45292.0</v>
      </c>
      <c r="K121" s="7" t="s">
        <v>419</v>
      </c>
      <c r="L121" s="7" t="s">
        <v>991</v>
      </c>
      <c r="M121" s="7" t="s">
        <v>3531</v>
      </c>
      <c r="N121" s="7" t="s">
        <v>4444</v>
      </c>
      <c r="O121" s="7" t="s">
        <v>4445</v>
      </c>
      <c r="P121" s="7" t="s">
        <v>3493</v>
      </c>
      <c r="Q121" s="7">
        <v>1.0</v>
      </c>
    </row>
    <row r="122">
      <c r="A122" s="7" t="s">
        <v>4446</v>
      </c>
      <c r="B122" s="7">
        <v>2300735.0</v>
      </c>
      <c r="C122" s="7" t="s">
        <v>4447</v>
      </c>
      <c r="D122" s="7" t="s">
        <v>4448</v>
      </c>
      <c r="E122" s="7" t="s">
        <v>4449</v>
      </c>
      <c r="F122" s="7" t="s">
        <v>3508</v>
      </c>
      <c r="G122" s="7" t="s">
        <v>4450</v>
      </c>
      <c r="I122" s="119">
        <v>45292.0</v>
      </c>
      <c r="K122" s="7" t="s">
        <v>419</v>
      </c>
      <c r="L122" s="7" t="s">
        <v>991</v>
      </c>
      <c r="M122" s="7" t="s">
        <v>3531</v>
      </c>
      <c r="N122" s="7" t="s">
        <v>3820</v>
      </c>
      <c r="O122" s="7" t="s">
        <v>3821</v>
      </c>
      <c r="P122" s="7" t="s">
        <v>3493</v>
      </c>
      <c r="Q122" s="7">
        <v>1.0</v>
      </c>
    </row>
    <row r="123">
      <c r="A123" s="7" t="s">
        <v>4451</v>
      </c>
      <c r="B123" s="7">
        <v>13068.0</v>
      </c>
      <c r="C123" s="7" t="s">
        <v>4452</v>
      </c>
      <c r="D123" s="7" t="s">
        <v>4453</v>
      </c>
      <c r="E123" s="7" t="s">
        <v>4454</v>
      </c>
      <c r="F123" s="7" t="s">
        <v>4455</v>
      </c>
      <c r="G123" s="7" t="s">
        <v>4456</v>
      </c>
      <c r="H123" s="7" t="s">
        <v>4457</v>
      </c>
      <c r="I123" s="119">
        <v>45292.0</v>
      </c>
      <c r="K123" s="7" t="s">
        <v>419</v>
      </c>
      <c r="L123" s="7" t="s">
        <v>991</v>
      </c>
      <c r="M123" s="7" t="s">
        <v>3531</v>
      </c>
      <c r="N123" s="7" t="s">
        <v>3724</v>
      </c>
      <c r="O123" s="7" t="s">
        <v>3725</v>
      </c>
      <c r="P123" s="7" t="s">
        <v>3493</v>
      </c>
      <c r="Q123" s="7">
        <v>1.0</v>
      </c>
    </row>
    <row r="124">
      <c r="A124" s="7" t="s">
        <v>4458</v>
      </c>
      <c r="B124" s="7">
        <v>1139.0</v>
      </c>
      <c r="C124" s="7" t="s">
        <v>4452</v>
      </c>
      <c r="D124" s="7" t="s">
        <v>4459</v>
      </c>
      <c r="E124" s="7" t="s">
        <v>4454</v>
      </c>
      <c r="F124" s="7" t="s">
        <v>4460</v>
      </c>
      <c r="G124" s="7" t="s">
        <v>4461</v>
      </c>
      <c r="H124" s="7" t="s">
        <v>4462</v>
      </c>
      <c r="I124" s="119">
        <v>45292.0</v>
      </c>
      <c r="K124" s="7" t="s">
        <v>419</v>
      </c>
      <c r="L124" s="7" t="s">
        <v>991</v>
      </c>
      <c r="M124" s="7" t="s">
        <v>3501</v>
      </c>
      <c r="N124" s="7" t="s">
        <v>4463</v>
      </c>
      <c r="O124" s="7" t="s">
        <v>4464</v>
      </c>
      <c r="P124" s="7" t="s">
        <v>3604</v>
      </c>
      <c r="Q124" s="7">
        <v>1.0</v>
      </c>
    </row>
    <row r="125">
      <c r="A125" s="7" t="s">
        <v>4465</v>
      </c>
      <c r="B125" s="7">
        <v>12935.0</v>
      </c>
      <c r="C125" s="7" t="s">
        <v>4466</v>
      </c>
      <c r="D125" s="7" t="s">
        <v>4467</v>
      </c>
      <c r="E125" s="7" t="s">
        <v>4468</v>
      </c>
      <c r="F125" s="7" t="s">
        <v>4469</v>
      </c>
      <c r="G125" s="7" t="s">
        <v>4470</v>
      </c>
      <c r="H125" s="7" t="s">
        <v>4471</v>
      </c>
      <c r="I125" s="119">
        <v>45292.0</v>
      </c>
      <c r="K125" s="7" t="s">
        <v>419</v>
      </c>
      <c r="L125" s="7" t="s">
        <v>991</v>
      </c>
      <c r="M125" s="7" t="s">
        <v>3501</v>
      </c>
      <c r="N125" s="7" t="s">
        <v>4472</v>
      </c>
      <c r="O125" s="7" t="s">
        <v>4473</v>
      </c>
      <c r="P125" s="7" t="s">
        <v>3843</v>
      </c>
      <c r="Q125" s="7">
        <v>1.0</v>
      </c>
    </row>
    <row r="126">
      <c r="A126" s="7" t="s">
        <v>4474</v>
      </c>
      <c r="B126" s="7">
        <v>8207.0</v>
      </c>
      <c r="C126" s="7" t="s">
        <v>4475</v>
      </c>
      <c r="D126" s="7" t="s">
        <v>4476</v>
      </c>
      <c r="E126" s="7" t="s">
        <v>4477</v>
      </c>
      <c r="F126" s="7" t="s">
        <v>4478</v>
      </c>
      <c r="G126" s="7" t="s">
        <v>4479</v>
      </c>
      <c r="H126" s="7" t="s">
        <v>4480</v>
      </c>
      <c r="I126" s="119">
        <v>45292.0</v>
      </c>
      <c r="K126" s="7" t="s">
        <v>419</v>
      </c>
      <c r="L126" s="7" t="s">
        <v>991</v>
      </c>
      <c r="M126" s="7" t="s">
        <v>3531</v>
      </c>
      <c r="N126" s="7" t="s">
        <v>4481</v>
      </c>
      <c r="O126" s="7" t="s">
        <v>4482</v>
      </c>
      <c r="P126" s="7" t="s">
        <v>3493</v>
      </c>
      <c r="Q126" s="7">
        <v>1.0</v>
      </c>
    </row>
    <row r="127">
      <c r="A127" s="7" t="s">
        <v>4483</v>
      </c>
      <c r="B127" s="7">
        <v>14324.0</v>
      </c>
      <c r="C127" s="7" t="s">
        <v>4484</v>
      </c>
      <c r="D127" s="7" t="s">
        <v>4485</v>
      </c>
      <c r="E127" s="7" t="s">
        <v>4486</v>
      </c>
      <c r="F127" s="7" t="s">
        <v>4487</v>
      </c>
      <c r="G127" s="7" t="s">
        <v>4488</v>
      </c>
      <c r="H127" s="7" t="s">
        <v>4489</v>
      </c>
      <c r="I127" s="119">
        <v>45292.0</v>
      </c>
      <c r="K127" s="7" t="s">
        <v>3885</v>
      </c>
      <c r="L127" s="7" t="s">
        <v>3542</v>
      </c>
      <c r="M127" s="7" t="s">
        <v>3543</v>
      </c>
      <c r="N127" s="7" t="s">
        <v>4490</v>
      </c>
      <c r="O127" s="7" t="s">
        <v>4491</v>
      </c>
      <c r="P127" s="7" t="s">
        <v>3697</v>
      </c>
      <c r="Q127" s="7" t="s">
        <v>3710</v>
      </c>
    </row>
    <row r="128">
      <c r="A128" s="7" t="s">
        <v>4492</v>
      </c>
      <c r="B128" s="7">
        <v>2200295.0</v>
      </c>
      <c r="C128" s="7" t="s">
        <v>4493</v>
      </c>
      <c r="D128" s="7" t="s">
        <v>4494</v>
      </c>
      <c r="E128" s="7" t="s">
        <v>4495</v>
      </c>
      <c r="F128" s="7" t="s">
        <v>4496</v>
      </c>
      <c r="G128" s="7" t="s">
        <v>4497</v>
      </c>
      <c r="H128" s="7" t="s">
        <v>4498</v>
      </c>
      <c r="I128" s="119">
        <v>45292.0</v>
      </c>
      <c r="K128" s="7" t="s">
        <v>419</v>
      </c>
      <c r="L128" s="7" t="s">
        <v>991</v>
      </c>
      <c r="M128" s="7" t="s">
        <v>3501</v>
      </c>
      <c r="N128" s="7" t="s">
        <v>4499</v>
      </c>
      <c r="O128" s="7" t="s">
        <v>4500</v>
      </c>
      <c r="P128" s="7" t="s">
        <v>3493</v>
      </c>
      <c r="Q128" s="7">
        <v>1.0</v>
      </c>
    </row>
    <row r="129">
      <c r="A129" s="7" t="s">
        <v>4501</v>
      </c>
      <c r="B129" s="7">
        <v>2100653.0</v>
      </c>
      <c r="C129" s="7" t="s">
        <v>4502</v>
      </c>
      <c r="D129" s="7" t="s">
        <v>4503</v>
      </c>
      <c r="E129" s="7" t="s">
        <v>4504</v>
      </c>
      <c r="F129" s="7" t="s">
        <v>3692</v>
      </c>
      <c r="G129" s="7" t="s">
        <v>4505</v>
      </c>
      <c r="H129" s="7" t="s">
        <v>4506</v>
      </c>
      <c r="I129" s="119">
        <v>45292.0</v>
      </c>
      <c r="K129" s="7" t="s">
        <v>419</v>
      </c>
      <c r="L129" s="7" t="s">
        <v>991</v>
      </c>
      <c r="M129" s="7" t="s">
        <v>3501</v>
      </c>
      <c r="N129" s="7" t="s">
        <v>4507</v>
      </c>
      <c r="O129" s="7" t="s">
        <v>4508</v>
      </c>
      <c r="P129" s="7" t="s">
        <v>3785</v>
      </c>
      <c r="Q129" s="7" t="s">
        <v>3523</v>
      </c>
    </row>
    <row r="130">
      <c r="A130" s="7" t="s">
        <v>4509</v>
      </c>
      <c r="B130" s="7">
        <v>10544.0</v>
      </c>
      <c r="C130" s="7" t="s">
        <v>4502</v>
      </c>
      <c r="D130" s="7" t="s">
        <v>4510</v>
      </c>
      <c r="E130" s="7" t="s">
        <v>4504</v>
      </c>
      <c r="F130" s="7" t="s">
        <v>4511</v>
      </c>
      <c r="G130" s="7" t="s">
        <v>4512</v>
      </c>
      <c r="H130" s="7" t="s">
        <v>4513</v>
      </c>
      <c r="I130" s="119">
        <v>45292.0</v>
      </c>
      <c r="K130" s="7" t="s">
        <v>419</v>
      </c>
      <c r="L130" s="7" t="s">
        <v>991</v>
      </c>
      <c r="M130" s="7" t="s">
        <v>3501</v>
      </c>
      <c r="N130" s="7" t="s">
        <v>4514</v>
      </c>
      <c r="O130" s="7" t="s">
        <v>4515</v>
      </c>
      <c r="P130" s="7" t="s">
        <v>3493</v>
      </c>
      <c r="Q130" s="7">
        <v>1.0</v>
      </c>
    </row>
    <row r="131">
      <c r="A131" s="7" t="s">
        <v>4516</v>
      </c>
      <c r="B131" s="7">
        <v>13921.0</v>
      </c>
      <c r="C131" s="7" t="s">
        <v>4502</v>
      </c>
      <c r="D131" s="7" t="s">
        <v>4517</v>
      </c>
      <c r="E131" s="7" t="s">
        <v>4504</v>
      </c>
      <c r="F131" s="7" t="s">
        <v>4518</v>
      </c>
      <c r="G131" s="7" t="s">
        <v>4519</v>
      </c>
      <c r="H131" s="7" t="s">
        <v>4520</v>
      </c>
      <c r="I131" s="119">
        <v>45292.0</v>
      </c>
      <c r="K131" s="7" t="s">
        <v>419</v>
      </c>
      <c r="L131" s="7" t="s">
        <v>991</v>
      </c>
      <c r="M131" s="7" t="s">
        <v>3501</v>
      </c>
      <c r="N131" s="7" t="s">
        <v>4521</v>
      </c>
      <c r="O131" s="7" t="s">
        <v>4522</v>
      </c>
      <c r="P131" s="7" t="s">
        <v>4183</v>
      </c>
      <c r="Q131" s="7" t="s">
        <v>3555</v>
      </c>
    </row>
    <row r="132">
      <c r="A132" s="7" t="s">
        <v>4523</v>
      </c>
      <c r="B132" s="7">
        <v>2100104.0</v>
      </c>
      <c r="C132" s="7" t="s">
        <v>4502</v>
      </c>
      <c r="D132" s="7" t="s">
        <v>4524</v>
      </c>
      <c r="E132" s="7" t="s">
        <v>4504</v>
      </c>
      <c r="F132" s="7" t="s">
        <v>4525</v>
      </c>
      <c r="G132" s="7" t="s">
        <v>4526</v>
      </c>
      <c r="H132" s="7" t="s">
        <v>4527</v>
      </c>
      <c r="I132" s="119">
        <v>45292.0</v>
      </c>
      <c r="K132" s="7" t="s">
        <v>419</v>
      </c>
      <c r="L132" s="7" t="s">
        <v>991</v>
      </c>
      <c r="M132" s="7" t="s">
        <v>3501</v>
      </c>
      <c r="N132" s="7" t="s">
        <v>4528</v>
      </c>
      <c r="O132" s="7" t="s">
        <v>4529</v>
      </c>
      <c r="P132" s="7" t="s">
        <v>4530</v>
      </c>
      <c r="Q132" s="7" t="s">
        <v>3566</v>
      </c>
    </row>
    <row r="133">
      <c r="A133" s="7" t="s">
        <v>4531</v>
      </c>
      <c r="B133" s="7">
        <v>2100569.0</v>
      </c>
      <c r="C133" s="7" t="s">
        <v>4502</v>
      </c>
      <c r="D133" s="7" t="s">
        <v>4532</v>
      </c>
      <c r="E133" s="7" t="s">
        <v>4504</v>
      </c>
      <c r="F133" s="7" t="s">
        <v>3748</v>
      </c>
      <c r="G133" s="7" t="s">
        <v>4533</v>
      </c>
      <c r="H133" s="7" t="s">
        <v>4534</v>
      </c>
      <c r="I133" s="119">
        <v>45292.0</v>
      </c>
      <c r="K133" s="7" t="s">
        <v>419</v>
      </c>
      <c r="L133" s="7" t="s">
        <v>991</v>
      </c>
      <c r="M133" s="7" t="s">
        <v>3501</v>
      </c>
      <c r="N133" s="7" t="s">
        <v>4535</v>
      </c>
      <c r="O133" s="7" t="s">
        <v>4536</v>
      </c>
      <c r="P133" s="7" t="s">
        <v>3493</v>
      </c>
      <c r="Q133" s="7">
        <v>1.0</v>
      </c>
    </row>
    <row r="134">
      <c r="A134" s="7" t="s">
        <v>4537</v>
      </c>
      <c r="B134" s="7">
        <v>2200008.0</v>
      </c>
      <c r="C134" s="7" t="s">
        <v>4502</v>
      </c>
      <c r="D134" s="7" t="s">
        <v>4538</v>
      </c>
      <c r="E134" s="7" t="s">
        <v>4504</v>
      </c>
      <c r="F134" s="7" t="s">
        <v>4539</v>
      </c>
      <c r="G134" s="7" t="s">
        <v>4540</v>
      </c>
      <c r="H134" s="7" t="s">
        <v>4541</v>
      </c>
      <c r="I134" s="119">
        <v>45292.0</v>
      </c>
      <c r="K134" s="7" t="s">
        <v>3632</v>
      </c>
      <c r="L134" s="7" t="s">
        <v>991</v>
      </c>
      <c r="M134" s="7" t="s">
        <v>3501</v>
      </c>
      <c r="N134" s="7" t="s">
        <v>4542</v>
      </c>
      <c r="O134" s="7" t="s">
        <v>4543</v>
      </c>
      <c r="P134" s="7" t="s">
        <v>3522</v>
      </c>
      <c r="Q134" s="7" t="s">
        <v>3523</v>
      </c>
    </row>
    <row r="135">
      <c r="A135" s="7" t="s">
        <v>4544</v>
      </c>
      <c r="B135" s="7">
        <v>12459.0</v>
      </c>
      <c r="C135" s="7" t="s">
        <v>4502</v>
      </c>
      <c r="D135" s="7" t="s">
        <v>4545</v>
      </c>
      <c r="E135" s="7" t="s">
        <v>4504</v>
      </c>
      <c r="F135" s="7" t="s">
        <v>4546</v>
      </c>
      <c r="G135" s="7" t="s">
        <v>4547</v>
      </c>
      <c r="H135" s="7" t="s">
        <v>4548</v>
      </c>
      <c r="I135" s="119">
        <v>45292.0</v>
      </c>
      <c r="K135" s="7" t="s">
        <v>419</v>
      </c>
      <c r="L135" s="7" t="s">
        <v>991</v>
      </c>
      <c r="M135" s="7" t="s">
        <v>3490</v>
      </c>
      <c r="N135" s="7" t="s">
        <v>4549</v>
      </c>
      <c r="O135" s="7" t="s">
        <v>4550</v>
      </c>
      <c r="P135" s="7" t="s">
        <v>4551</v>
      </c>
      <c r="Q135" s="7" t="s">
        <v>4552</v>
      </c>
    </row>
    <row r="136">
      <c r="A136" s="7" t="s">
        <v>4553</v>
      </c>
      <c r="B136" s="7">
        <v>14310.0</v>
      </c>
      <c r="C136" s="7" t="s">
        <v>4502</v>
      </c>
      <c r="D136" s="7" t="s">
        <v>4554</v>
      </c>
      <c r="E136" s="7" t="s">
        <v>4504</v>
      </c>
      <c r="F136" s="7" t="s">
        <v>4469</v>
      </c>
      <c r="G136" s="7" t="s">
        <v>4555</v>
      </c>
      <c r="H136" s="7" t="s">
        <v>4556</v>
      </c>
      <c r="I136" s="119">
        <v>45292.0</v>
      </c>
      <c r="K136" s="7" t="s">
        <v>419</v>
      </c>
      <c r="L136" s="7" t="s">
        <v>991</v>
      </c>
      <c r="M136" s="7" t="s">
        <v>3531</v>
      </c>
      <c r="N136" s="7" t="s">
        <v>4557</v>
      </c>
      <c r="O136" s="7" t="s">
        <v>4558</v>
      </c>
      <c r="P136" s="7" t="s">
        <v>3493</v>
      </c>
      <c r="Q136" s="7">
        <v>1.0</v>
      </c>
    </row>
    <row r="137">
      <c r="A137" s="7" t="s">
        <v>4559</v>
      </c>
      <c r="B137" s="7">
        <v>12851.0</v>
      </c>
      <c r="C137" s="7" t="s">
        <v>4502</v>
      </c>
      <c r="D137" s="7" t="s">
        <v>4560</v>
      </c>
      <c r="E137" s="7" t="s">
        <v>4504</v>
      </c>
      <c r="F137" s="7" t="s">
        <v>4561</v>
      </c>
      <c r="G137" s="7" t="s">
        <v>4562</v>
      </c>
      <c r="H137" s="7" t="s">
        <v>4563</v>
      </c>
      <c r="I137" s="119">
        <v>45292.0</v>
      </c>
      <c r="K137" s="7" t="s">
        <v>419</v>
      </c>
      <c r="L137" s="7" t="s">
        <v>991</v>
      </c>
      <c r="M137" s="7" t="s">
        <v>3501</v>
      </c>
      <c r="N137" s="7" t="s">
        <v>4564</v>
      </c>
      <c r="O137" s="7" t="s">
        <v>4565</v>
      </c>
      <c r="P137" s="7" t="s">
        <v>3493</v>
      </c>
      <c r="Q137" s="7">
        <v>1.0</v>
      </c>
    </row>
    <row r="138">
      <c r="A138" s="7" t="s">
        <v>4566</v>
      </c>
      <c r="B138" s="7">
        <v>2300682.0</v>
      </c>
      <c r="C138" s="7" t="s">
        <v>4502</v>
      </c>
      <c r="D138" s="7" t="s">
        <v>4567</v>
      </c>
      <c r="E138" s="7" t="s">
        <v>4504</v>
      </c>
      <c r="F138" s="7" t="s">
        <v>3831</v>
      </c>
      <c r="G138" s="7" t="s">
        <v>4568</v>
      </c>
      <c r="H138" s="7" t="s">
        <v>4569</v>
      </c>
      <c r="I138" s="119">
        <v>45292.0</v>
      </c>
      <c r="K138" s="7" t="s">
        <v>419</v>
      </c>
      <c r="L138" s="7" t="s">
        <v>991</v>
      </c>
      <c r="M138" s="7" t="s">
        <v>3583</v>
      </c>
      <c r="N138" s="7" t="s">
        <v>4570</v>
      </c>
      <c r="O138" s="7" t="s">
        <v>4571</v>
      </c>
      <c r="P138" s="7" t="s">
        <v>4154</v>
      </c>
      <c r="Q138" s="7" t="s">
        <v>3555</v>
      </c>
    </row>
    <row r="139">
      <c r="A139" s="7" t="s">
        <v>4572</v>
      </c>
      <c r="B139" s="7">
        <v>2300657.0</v>
      </c>
      <c r="C139" s="7" t="s">
        <v>4502</v>
      </c>
      <c r="D139" s="7" t="s">
        <v>4573</v>
      </c>
      <c r="E139" s="7" t="s">
        <v>4504</v>
      </c>
      <c r="F139" s="7" t="s">
        <v>3909</v>
      </c>
      <c r="G139" s="7" t="s">
        <v>4574</v>
      </c>
      <c r="H139" s="7" t="s">
        <v>4575</v>
      </c>
      <c r="I139" s="119">
        <v>45292.0</v>
      </c>
      <c r="K139" s="7" t="s">
        <v>3632</v>
      </c>
      <c r="L139" s="7" t="s">
        <v>991</v>
      </c>
      <c r="M139" s="7" t="s">
        <v>3531</v>
      </c>
      <c r="N139" s="7" t="s">
        <v>4576</v>
      </c>
      <c r="O139" s="7" t="s">
        <v>4577</v>
      </c>
      <c r="P139" s="7" t="s">
        <v>3493</v>
      </c>
      <c r="Q139" s="7">
        <v>1.0</v>
      </c>
    </row>
    <row r="140">
      <c r="A140" s="7" t="s">
        <v>4578</v>
      </c>
      <c r="B140" s="7">
        <v>10975.0</v>
      </c>
      <c r="C140" s="7" t="s">
        <v>4502</v>
      </c>
      <c r="D140" s="7" t="s">
        <v>4579</v>
      </c>
      <c r="E140" s="7" t="s">
        <v>4504</v>
      </c>
      <c r="F140" s="7" t="s">
        <v>3909</v>
      </c>
      <c r="G140" s="7" t="s">
        <v>4580</v>
      </c>
      <c r="H140" s="7" t="s">
        <v>4581</v>
      </c>
      <c r="I140" s="119">
        <v>45292.0</v>
      </c>
      <c r="K140" s="7" t="s">
        <v>419</v>
      </c>
      <c r="L140" s="7" t="s">
        <v>991</v>
      </c>
      <c r="M140" s="7" t="s">
        <v>3501</v>
      </c>
      <c r="N140" s="7" t="s">
        <v>4168</v>
      </c>
      <c r="O140" s="7" t="s">
        <v>4169</v>
      </c>
      <c r="P140" s="7" t="s">
        <v>3493</v>
      </c>
      <c r="Q140" s="7">
        <v>1.0</v>
      </c>
    </row>
    <row r="141">
      <c r="A141" s="7" t="s">
        <v>4582</v>
      </c>
      <c r="B141" s="7">
        <v>2300639.0</v>
      </c>
      <c r="C141" s="7" t="s">
        <v>4502</v>
      </c>
      <c r="D141" s="7" t="s">
        <v>4583</v>
      </c>
      <c r="E141" s="7" t="s">
        <v>4504</v>
      </c>
      <c r="F141" s="7" t="s">
        <v>4584</v>
      </c>
      <c r="G141" s="7" t="s">
        <v>4585</v>
      </c>
      <c r="H141" s="7" t="s">
        <v>4586</v>
      </c>
      <c r="I141" s="119">
        <v>45292.0</v>
      </c>
      <c r="K141" s="7" t="s">
        <v>419</v>
      </c>
      <c r="L141" s="7" t="s">
        <v>991</v>
      </c>
      <c r="M141" s="7" t="s">
        <v>3501</v>
      </c>
      <c r="N141" s="7" t="s">
        <v>4587</v>
      </c>
      <c r="O141" s="7" t="s">
        <v>4588</v>
      </c>
      <c r="P141" s="7" t="s">
        <v>3522</v>
      </c>
      <c r="Q141" s="7" t="s">
        <v>3523</v>
      </c>
    </row>
    <row r="142">
      <c r="A142" s="7" t="s">
        <v>4589</v>
      </c>
      <c r="B142" s="7">
        <v>2100485.0</v>
      </c>
      <c r="C142" s="7" t="s">
        <v>4502</v>
      </c>
      <c r="D142" s="7" t="s">
        <v>4590</v>
      </c>
      <c r="E142" s="7" t="s">
        <v>4504</v>
      </c>
      <c r="F142" s="7" t="s">
        <v>4203</v>
      </c>
      <c r="G142" s="7" t="s">
        <v>4591</v>
      </c>
      <c r="H142" s="7" t="s">
        <v>4592</v>
      </c>
      <c r="I142" s="119">
        <v>45292.0</v>
      </c>
      <c r="K142" s="7" t="s">
        <v>419</v>
      </c>
      <c r="L142" s="7" t="s">
        <v>991</v>
      </c>
      <c r="M142" s="7" t="s">
        <v>3501</v>
      </c>
      <c r="N142" s="7" t="s">
        <v>4593</v>
      </c>
      <c r="O142" s="7" t="s">
        <v>4594</v>
      </c>
      <c r="P142" s="7" t="s">
        <v>3493</v>
      </c>
      <c r="Q142" s="7">
        <v>1.0</v>
      </c>
    </row>
    <row r="143">
      <c r="A143" s="7" t="s">
        <v>4595</v>
      </c>
      <c r="B143" s="7">
        <v>715.0</v>
      </c>
      <c r="C143" s="7" t="s">
        <v>4596</v>
      </c>
      <c r="D143" s="7" t="s">
        <v>4597</v>
      </c>
      <c r="E143" s="7" t="s">
        <v>4504</v>
      </c>
      <c r="F143" s="7" t="s">
        <v>4598</v>
      </c>
      <c r="G143" s="7" t="s">
        <v>4599</v>
      </c>
      <c r="H143" s="7" t="s">
        <v>4600</v>
      </c>
      <c r="I143" s="119">
        <v>45292.0</v>
      </c>
      <c r="K143" s="7" t="s">
        <v>419</v>
      </c>
      <c r="L143" s="7" t="s">
        <v>991</v>
      </c>
      <c r="M143" s="7" t="s">
        <v>3501</v>
      </c>
      <c r="N143" s="7" t="s">
        <v>3695</v>
      </c>
      <c r="O143" s="7" t="s">
        <v>4601</v>
      </c>
      <c r="P143" s="7" t="s">
        <v>3522</v>
      </c>
      <c r="Q143" s="7" t="s">
        <v>3523</v>
      </c>
    </row>
    <row r="144">
      <c r="A144" s="7" t="s">
        <v>4602</v>
      </c>
      <c r="B144" s="7">
        <v>2300268.0</v>
      </c>
      <c r="C144" s="7" t="s">
        <v>4502</v>
      </c>
      <c r="D144" s="7" t="s">
        <v>3837</v>
      </c>
      <c r="E144" s="7" t="s">
        <v>4504</v>
      </c>
      <c r="F144" s="7" t="s">
        <v>3838</v>
      </c>
      <c r="G144" s="7" t="s">
        <v>4603</v>
      </c>
      <c r="H144" s="7" t="s">
        <v>4604</v>
      </c>
      <c r="I144" s="119">
        <v>45292.0</v>
      </c>
      <c r="K144" s="7" t="s">
        <v>419</v>
      </c>
      <c r="L144" s="7" t="s">
        <v>991</v>
      </c>
      <c r="M144" s="7" t="s">
        <v>3501</v>
      </c>
      <c r="N144" s="7" t="s">
        <v>4605</v>
      </c>
      <c r="O144" s="7" t="s">
        <v>4606</v>
      </c>
      <c r="P144" s="7" t="s">
        <v>3493</v>
      </c>
      <c r="Q144" s="7">
        <v>1.0</v>
      </c>
    </row>
    <row r="145">
      <c r="A145" s="7" t="s">
        <v>4607</v>
      </c>
      <c r="B145" s="7">
        <v>2200344.0</v>
      </c>
      <c r="C145" s="7" t="s">
        <v>4608</v>
      </c>
      <c r="D145" s="7" t="s">
        <v>3578</v>
      </c>
      <c r="E145" s="7" t="s">
        <v>4609</v>
      </c>
      <c r="F145" s="7" t="s">
        <v>3580</v>
      </c>
      <c r="G145" s="7" t="s">
        <v>4610</v>
      </c>
      <c r="H145" s="7" t="s">
        <v>4611</v>
      </c>
      <c r="I145" s="119">
        <v>45292.0</v>
      </c>
      <c r="K145" s="7" t="s">
        <v>419</v>
      </c>
      <c r="L145" s="7" t="s">
        <v>991</v>
      </c>
      <c r="M145" s="7" t="s">
        <v>3501</v>
      </c>
      <c r="N145" s="7" t="s">
        <v>4612</v>
      </c>
      <c r="O145" s="7" t="s">
        <v>4613</v>
      </c>
      <c r="P145" s="7" t="s">
        <v>3785</v>
      </c>
      <c r="Q145" s="7" t="s">
        <v>3523</v>
      </c>
    </row>
    <row r="146">
      <c r="A146" s="7" t="s">
        <v>4614</v>
      </c>
      <c r="B146" s="7">
        <v>2200707.0</v>
      </c>
      <c r="C146" s="7" t="s">
        <v>4608</v>
      </c>
      <c r="D146" s="7" t="s">
        <v>4615</v>
      </c>
      <c r="E146" s="7" t="s">
        <v>4609</v>
      </c>
      <c r="F146" s="7" t="s">
        <v>4616</v>
      </c>
      <c r="G146" s="7" t="s">
        <v>4617</v>
      </c>
      <c r="H146" s="7" t="s">
        <v>4618</v>
      </c>
      <c r="I146" s="119">
        <v>45292.0</v>
      </c>
      <c r="K146" s="7" t="s">
        <v>4042</v>
      </c>
      <c r="L146" s="7" t="s">
        <v>991</v>
      </c>
      <c r="M146" s="7" t="s">
        <v>3501</v>
      </c>
      <c r="N146" s="7" t="s">
        <v>4043</v>
      </c>
      <c r="O146" s="7" t="s">
        <v>4044</v>
      </c>
      <c r="P146" s="7" t="s">
        <v>3493</v>
      </c>
      <c r="Q146" s="7">
        <v>1.0</v>
      </c>
    </row>
    <row r="147">
      <c r="A147" s="7" t="s">
        <v>4619</v>
      </c>
      <c r="B147" s="7">
        <v>1036.0</v>
      </c>
      <c r="C147" s="7" t="s">
        <v>4608</v>
      </c>
      <c r="D147" s="7" t="s">
        <v>4620</v>
      </c>
      <c r="E147" s="7" t="s">
        <v>4609</v>
      </c>
      <c r="F147" s="7" t="s">
        <v>3792</v>
      </c>
      <c r="G147" s="7" t="s">
        <v>4621</v>
      </c>
      <c r="H147" s="7" t="s">
        <v>4622</v>
      </c>
      <c r="I147" s="119">
        <v>45292.0</v>
      </c>
      <c r="K147" s="7" t="s">
        <v>419</v>
      </c>
      <c r="L147" s="7" t="s">
        <v>991</v>
      </c>
      <c r="M147" s="7" t="s">
        <v>3501</v>
      </c>
      <c r="N147" s="7" t="s">
        <v>4623</v>
      </c>
      <c r="O147" s="7" t="s">
        <v>4624</v>
      </c>
      <c r="P147" s="7" t="s">
        <v>3493</v>
      </c>
      <c r="Q147" s="7">
        <v>1.0</v>
      </c>
    </row>
    <row r="148">
      <c r="A148" s="7" t="s">
        <v>4625</v>
      </c>
      <c r="B148" s="7">
        <v>2200714.0</v>
      </c>
      <c r="C148" s="7" t="s">
        <v>4608</v>
      </c>
      <c r="D148" s="7" t="s">
        <v>4626</v>
      </c>
      <c r="E148" s="7" t="s">
        <v>4609</v>
      </c>
      <c r="F148" s="7" t="s">
        <v>4627</v>
      </c>
      <c r="G148" s="7" t="s">
        <v>4628</v>
      </c>
      <c r="H148" s="7" t="s">
        <v>4629</v>
      </c>
      <c r="I148" s="119">
        <v>45292.0</v>
      </c>
      <c r="K148" s="7" t="s">
        <v>4042</v>
      </c>
      <c r="L148" s="7" t="s">
        <v>991</v>
      </c>
      <c r="M148" s="7" t="s">
        <v>3501</v>
      </c>
      <c r="N148" s="7" t="s">
        <v>4043</v>
      </c>
      <c r="O148" s="7" t="s">
        <v>4044</v>
      </c>
      <c r="P148" s="7" t="s">
        <v>3493</v>
      </c>
      <c r="Q148" s="7">
        <v>1.0</v>
      </c>
    </row>
    <row r="149">
      <c r="A149" s="7" t="s">
        <v>4630</v>
      </c>
      <c r="B149" s="7">
        <v>13603.0</v>
      </c>
      <c r="C149" s="7" t="s">
        <v>4631</v>
      </c>
      <c r="D149" s="7" t="s">
        <v>4632</v>
      </c>
      <c r="E149" s="7" t="s">
        <v>4633</v>
      </c>
      <c r="F149" s="7" t="s">
        <v>4632</v>
      </c>
      <c r="G149" s="7" t="s">
        <v>4634</v>
      </c>
      <c r="H149" s="7" t="s">
        <v>4635</v>
      </c>
      <c r="I149" s="119">
        <v>45292.0</v>
      </c>
      <c r="K149" s="7" t="s">
        <v>419</v>
      </c>
      <c r="L149" s="7" t="s">
        <v>991</v>
      </c>
      <c r="M149" s="7" t="s">
        <v>3501</v>
      </c>
      <c r="N149" s="7" t="s">
        <v>4636</v>
      </c>
      <c r="O149" s="7" t="s">
        <v>4637</v>
      </c>
      <c r="P149" s="7" t="s">
        <v>3493</v>
      </c>
      <c r="Q149" s="7">
        <v>1.0</v>
      </c>
    </row>
    <row r="150">
      <c r="A150" s="7" t="s">
        <v>4638</v>
      </c>
      <c r="B150" s="7">
        <v>2200698.0</v>
      </c>
      <c r="C150" s="7" t="s">
        <v>4639</v>
      </c>
      <c r="D150" s="7" t="s">
        <v>4640</v>
      </c>
      <c r="E150" s="7" t="s">
        <v>4633</v>
      </c>
      <c r="F150" s="7" t="s">
        <v>4641</v>
      </c>
      <c r="G150" s="7" t="s">
        <v>4642</v>
      </c>
      <c r="H150" s="7" t="s">
        <v>4643</v>
      </c>
      <c r="I150" s="119">
        <v>45292.0</v>
      </c>
      <c r="K150" s="7" t="s">
        <v>4042</v>
      </c>
      <c r="L150" s="7" t="s">
        <v>991</v>
      </c>
      <c r="M150" s="7" t="s">
        <v>4644</v>
      </c>
      <c r="N150" s="7" t="s">
        <v>4043</v>
      </c>
      <c r="O150" s="7" t="s">
        <v>4044</v>
      </c>
      <c r="P150" s="7" t="s">
        <v>420</v>
      </c>
      <c r="Q150" s="7">
        <v>1.0</v>
      </c>
    </row>
    <row r="151">
      <c r="A151" s="7" t="s">
        <v>4645</v>
      </c>
      <c r="B151" s="7">
        <v>2200137.0</v>
      </c>
      <c r="C151" s="7" t="s">
        <v>4646</v>
      </c>
      <c r="D151" s="7" t="s">
        <v>4647</v>
      </c>
      <c r="E151" s="7" t="s">
        <v>4648</v>
      </c>
      <c r="F151" s="7" t="s">
        <v>3889</v>
      </c>
      <c r="G151" s="7" t="s">
        <v>4649</v>
      </c>
      <c r="H151" s="7" t="s">
        <v>4650</v>
      </c>
      <c r="I151" s="119">
        <v>45292.0</v>
      </c>
      <c r="K151" s="7" t="s">
        <v>419</v>
      </c>
      <c r="L151" s="7" t="s">
        <v>991</v>
      </c>
      <c r="M151" s="7" t="s">
        <v>3501</v>
      </c>
      <c r="N151" s="7" t="s">
        <v>4651</v>
      </c>
      <c r="O151" s="7" t="s">
        <v>4652</v>
      </c>
      <c r="P151" s="7" t="s">
        <v>3493</v>
      </c>
      <c r="Q151" s="7">
        <v>1.0</v>
      </c>
    </row>
    <row r="152">
      <c r="A152" s="7" t="s">
        <v>4653</v>
      </c>
      <c r="B152" s="7">
        <v>13554.0</v>
      </c>
      <c r="C152" s="7" t="s">
        <v>4654</v>
      </c>
      <c r="D152" s="7" t="s">
        <v>4655</v>
      </c>
      <c r="E152" s="7" t="s">
        <v>4656</v>
      </c>
      <c r="F152" s="7" t="s">
        <v>4657</v>
      </c>
      <c r="G152" s="7" t="s">
        <v>4658</v>
      </c>
      <c r="H152" s="7" t="s">
        <v>4659</v>
      </c>
      <c r="I152" s="119">
        <v>45292.0</v>
      </c>
      <c r="K152" s="7" t="s">
        <v>419</v>
      </c>
      <c r="L152" s="7" t="s">
        <v>991</v>
      </c>
      <c r="M152" s="7" t="s">
        <v>3583</v>
      </c>
      <c r="N152" s="7" t="s">
        <v>4660</v>
      </c>
      <c r="O152" s="7" t="s">
        <v>4661</v>
      </c>
      <c r="P152" s="7" t="s">
        <v>3493</v>
      </c>
      <c r="Q152" s="7">
        <v>1.0</v>
      </c>
    </row>
    <row r="153">
      <c r="A153" s="7" t="s">
        <v>4662</v>
      </c>
      <c r="B153" s="7">
        <v>3000270.0</v>
      </c>
      <c r="C153" s="7" t="s">
        <v>4663</v>
      </c>
      <c r="D153" s="7" t="s">
        <v>4664</v>
      </c>
      <c r="E153" s="7" t="s">
        <v>4665</v>
      </c>
      <c r="F153" s="7" t="s">
        <v>4666</v>
      </c>
      <c r="G153" s="7" t="s">
        <v>4667</v>
      </c>
      <c r="H153" s="7" t="s">
        <v>4668</v>
      </c>
      <c r="I153" s="119">
        <v>45566.0</v>
      </c>
      <c r="K153" s="7" t="s">
        <v>419</v>
      </c>
      <c r="L153" s="7" t="s">
        <v>991</v>
      </c>
      <c r="M153" s="7" t="s">
        <v>3501</v>
      </c>
      <c r="N153" s="7" t="s">
        <v>4669</v>
      </c>
      <c r="O153" s="7" t="s">
        <v>4670</v>
      </c>
      <c r="P153" s="7" t="s">
        <v>3493</v>
      </c>
      <c r="Q153" s="7">
        <v>1.0</v>
      </c>
    </row>
    <row r="154">
      <c r="A154" s="7" t="s">
        <v>4671</v>
      </c>
      <c r="B154" s="7">
        <v>2300797.0</v>
      </c>
      <c r="C154" s="7" t="s">
        <v>4663</v>
      </c>
      <c r="D154" s="7" t="s">
        <v>4672</v>
      </c>
      <c r="E154" s="7" t="s">
        <v>4665</v>
      </c>
      <c r="F154" s="7" t="s">
        <v>4673</v>
      </c>
      <c r="G154" s="7" t="s">
        <v>4674</v>
      </c>
      <c r="I154" s="119">
        <v>45292.0</v>
      </c>
      <c r="K154" s="7" t="s">
        <v>419</v>
      </c>
      <c r="L154" s="7" t="s">
        <v>991</v>
      </c>
      <c r="M154" s="7" t="s">
        <v>3531</v>
      </c>
      <c r="N154" s="7" t="s">
        <v>3820</v>
      </c>
      <c r="O154" s="7" t="s">
        <v>3821</v>
      </c>
      <c r="P154" s="7" t="s">
        <v>3493</v>
      </c>
      <c r="Q154" s="7">
        <v>1.0</v>
      </c>
    </row>
    <row r="155">
      <c r="A155" s="7" t="s">
        <v>4675</v>
      </c>
      <c r="B155" s="7">
        <v>12702.0</v>
      </c>
      <c r="C155" s="7" t="s">
        <v>4663</v>
      </c>
      <c r="D155" s="7" t="s">
        <v>4676</v>
      </c>
      <c r="E155" s="7" t="s">
        <v>4665</v>
      </c>
      <c r="F155" s="7" t="s">
        <v>4677</v>
      </c>
      <c r="G155" s="7" t="s">
        <v>4678</v>
      </c>
      <c r="H155" s="7" t="s">
        <v>4679</v>
      </c>
      <c r="I155" s="119">
        <v>45292.0</v>
      </c>
      <c r="K155" s="7" t="s">
        <v>419</v>
      </c>
      <c r="L155" s="7" t="s">
        <v>991</v>
      </c>
      <c r="M155" s="7" t="s">
        <v>3501</v>
      </c>
      <c r="N155" s="7" t="s">
        <v>4680</v>
      </c>
      <c r="O155" s="7" t="s">
        <v>4681</v>
      </c>
      <c r="P155" s="7" t="s">
        <v>3493</v>
      </c>
      <c r="Q155" s="7">
        <v>1.0</v>
      </c>
    </row>
    <row r="156">
      <c r="A156" s="7" t="s">
        <v>4682</v>
      </c>
      <c r="B156" s="7">
        <v>2200585.0</v>
      </c>
      <c r="C156" s="7" t="s">
        <v>4663</v>
      </c>
      <c r="D156" s="7" t="s">
        <v>3597</v>
      </c>
      <c r="E156" s="7" t="s">
        <v>4665</v>
      </c>
      <c r="F156" s="7" t="s">
        <v>3599</v>
      </c>
      <c r="G156" s="7" t="s">
        <v>4683</v>
      </c>
      <c r="H156" s="7" t="s">
        <v>4684</v>
      </c>
      <c r="I156" s="119">
        <v>45292.0</v>
      </c>
      <c r="K156" s="7" t="s">
        <v>3622</v>
      </c>
      <c r="L156" s="7" t="s">
        <v>991</v>
      </c>
      <c r="M156" s="7" t="s">
        <v>3501</v>
      </c>
      <c r="N156" s="7" t="s">
        <v>3623</v>
      </c>
      <c r="O156" s="7" t="s">
        <v>3624</v>
      </c>
      <c r="P156" s="7" t="s">
        <v>3493</v>
      </c>
      <c r="Q156" s="7">
        <v>1.0</v>
      </c>
    </row>
    <row r="157">
      <c r="A157" s="7" t="s">
        <v>4685</v>
      </c>
      <c r="B157" s="7">
        <v>12501.0</v>
      </c>
      <c r="C157" s="7" t="s">
        <v>4663</v>
      </c>
      <c r="D157" s="7" t="s">
        <v>4686</v>
      </c>
      <c r="E157" s="7" t="s">
        <v>4665</v>
      </c>
      <c r="F157" s="7" t="s">
        <v>4687</v>
      </c>
      <c r="G157" s="7" t="s">
        <v>4688</v>
      </c>
      <c r="H157" s="7" t="s">
        <v>4689</v>
      </c>
      <c r="I157" s="119">
        <v>45292.0</v>
      </c>
      <c r="K157" s="7" t="s">
        <v>419</v>
      </c>
      <c r="L157" s="7" t="s">
        <v>991</v>
      </c>
      <c r="M157" s="7" t="s">
        <v>3501</v>
      </c>
      <c r="N157" s="7" t="s">
        <v>4690</v>
      </c>
      <c r="O157" s="7" t="s">
        <v>4691</v>
      </c>
      <c r="P157" s="7" t="s">
        <v>4692</v>
      </c>
      <c r="Q157" s="7" t="s">
        <v>3523</v>
      </c>
    </row>
    <row r="158">
      <c r="A158" s="7" t="s">
        <v>4693</v>
      </c>
      <c r="B158" s="7">
        <v>2300788.0</v>
      </c>
      <c r="C158" s="7" t="s">
        <v>4663</v>
      </c>
      <c r="D158" s="7" t="s">
        <v>4694</v>
      </c>
      <c r="E158" s="7" t="s">
        <v>4665</v>
      </c>
      <c r="F158" s="7" t="s">
        <v>4695</v>
      </c>
      <c r="G158" s="7" t="s">
        <v>4696</v>
      </c>
      <c r="H158" s="7" t="s">
        <v>4697</v>
      </c>
      <c r="I158" s="119">
        <v>45292.0</v>
      </c>
      <c r="K158" s="7" t="s">
        <v>3642</v>
      </c>
      <c r="L158" s="7" t="s">
        <v>991</v>
      </c>
      <c r="M158" s="7" t="s">
        <v>3501</v>
      </c>
      <c r="N158" s="7" t="s">
        <v>3643</v>
      </c>
      <c r="O158" s="7" t="s">
        <v>3644</v>
      </c>
      <c r="P158" s="7" t="s">
        <v>3493</v>
      </c>
      <c r="Q158" s="7">
        <v>1.0</v>
      </c>
    </row>
    <row r="159">
      <c r="A159" s="7" t="s">
        <v>4698</v>
      </c>
      <c r="B159" s="7">
        <v>10412.0</v>
      </c>
      <c r="C159" s="7" t="s">
        <v>4663</v>
      </c>
      <c r="D159" s="7" t="s">
        <v>4699</v>
      </c>
      <c r="E159" s="7" t="s">
        <v>4665</v>
      </c>
      <c r="F159" s="7" t="s">
        <v>4700</v>
      </c>
      <c r="G159" s="7" t="s">
        <v>4701</v>
      </c>
      <c r="H159" s="7" t="s">
        <v>4702</v>
      </c>
      <c r="I159" s="119">
        <v>45292.0</v>
      </c>
      <c r="K159" s="7" t="s">
        <v>419</v>
      </c>
      <c r="L159" s="7" t="s">
        <v>991</v>
      </c>
      <c r="M159" s="7" t="s">
        <v>3501</v>
      </c>
      <c r="N159" s="7" t="s">
        <v>4703</v>
      </c>
      <c r="O159" s="7" t="s">
        <v>4704</v>
      </c>
      <c r="P159" s="7" t="s">
        <v>3493</v>
      </c>
      <c r="Q159" s="7">
        <v>1.0</v>
      </c>
    </row>
    <row r="160">
      <c r="A160" s="7" t="s">
        <v>4705</v>
      </c>
      <c r="B160" s="7">
        <v>2300441.0</v>
      </c>
      <c r="C160" s="7" t="s">
        <v>4663</v>
      </c>
      <c r="D160" s="7" t="s">
        <v>4706</v>
      </c>
      <c r="E160" s="7" t="s">
        <v>4665</v>
      </c>
      <c r="F160" s="7" t="s">
        <v>4707</v>
      </c>
      <c r="G160" s="7" t="s">
        <v>4708</v>
      </c>
      <c r="H160" s="7" t="s">
        <v>4709</v>
      </c>
      <c r="I160" s="119">
        <v>45292.0</v>
      </c>
      <c r="K160" s="7" t="s">
        <v>419</v>
      </c>
      <c r="L160" s="7" t="s">
        <v>991</v>
      </c>
      <c r="M160" s="7" t="s">
        <v>3583</v>
      </c>
      <c r="N160" s="7" t="s">
        <v>4535</v>
      </c>
      <c r="O160" s="7" t="s">
        <v>4536</v>
      </c>
      <c r="P160" s="7" t="s">
        <v>3493</v>
      </c>
      <c r="Q160" s="7">
        <v>1.0</v>
      </c>
    </row>
    <row r="161">
      <c r="A161" s="7" t="s">
        <v>4710</v>
      </c>
      <c r="B161" s="7">
        <v>2200249.0</v>
      </c>
      <c r="C161" s="7" t="s">
        <v>4663</v>
      </c>
      <c r="D161" s="7" t="s">
        <v>4711</v>
      </c>
      <c r="E161" s="7" t="s">
        <v>4665</v>
      </c>
      <c r="F161" s="7" t="s">
        <v>4262</v>
      </c>
      <c r="G161" s="7" t="s">
        <v>4712</v>
      </c>
      <c r="H161" s="7" t="s">
        <v>4713</v>
      </c>
      <c r="I161" s="119">
        <v>45292.0</v>
      </c>
      <c r="K161" s="7" t="s">
        <v>3632</v>
      </c>
      <c r="L161" s="7" t="s">
        <v>991</v>
      </c>
      <c r="M161" s="7" t="s">
        <v>3501</v>
      </c>
      <c r="N161" s="7" t="s">
        <v>4714</v>
      </c>
      <c r="O161" s="7" t="s">
        <v>4715</v>
      </c>
      <c r="P161" s="7" t="s">
        <v>3522</v>
      </c>
      <c r="Q161" s="7" t="s">
        <v>3514</v>
      </c>
    </row>
    <row r="162">
      <c r="A162" s="7" t="s">
        <v>4716</v>
      </c>
      <c r="B162" s="7">
        <v>1141.0</v>
      </c>
      <c r="C162" s="7" t="s">
        <v>4663</v>
      </c>
      <c r="D162" s="7" t="s">
        <v>4717</v>
      </c>
      <c r="E162" s="7" t="s">
        <v>4665</v>
      </c>
      <c r="F162" s="7" t="s">
        <v>4262</v>
      </c>
      <c r="G162" s="7" t="s">
        <v>4718</v>
      </c>
      <c r="H162" s="7" t="s">
        <v>4719</v>
      </c>
      <c r="I162" s="119">
        <v>45292.0</v>
      </c>
      <c r="K162" s="7" t="s">
        <v>419</v>
      </c>
      <c r="L162" s="7" t="s">
        <v>991</v>
      </c>
      <c r="M162" s="7" t="s">
        <v>3501</v>
      </c>
      <c r="N162" s="7" t="s">
        <v>4720</v>
      </c>
      <c r="O162" s="7" t="s">
        <v>4721</v>
      </c>
      <c r="P162" s="7" t="s">
        <v>3493</v>
      </c>
      <c r="Q162" s="7">
        <v>1.0</v>
      </c>
    </row>
    <row r="163">
      <c r="A163" s="7" t="s">
        <v>4722</v>
      </c>
      <c r="B163" s="7">
        <v>1171.0</v>
      </c>
      <c r="C163" s="7" t="s">
        <v>4663</v>
      </c>
      <c r="D163" s="7" t="s">
        <v>4723</v>
      </c>
      <c r="E163" s="7" t="s">
        <v>4665</v>
      </c>
      <c r="F163" s="7" t="s">
        <v>4724</v>
      </c>
      <c r="G163" s="7" t="s">
        <v>4725</v>
      </c>
      <c r="H163" s="7" t="s">
        <v>4726</v>
      </c>
      <c r="I163" s="119">
        <v>45292.0</v>
      </c>
      <c r="K163" s="7" t="s">
        <v>419</v>
      </c>
      <c r="L163" s="7" t="s">
        <v>991</v>
      </c>
      <c r="M163" s="7" t="s">
        <v>3501</v>
      </c>
      <c r="N163" s="7" t="s">
        <v>4727</v>
      </c>
      <c r="O163" s="7" t="s">
        <v>4728</v>
      </c>
      <c r="P163" s="7" t="s">
        <v>3493</v>
      </c>
      <c r="Q163" s="7">
        <v>1.0</v>
      </c>
    </row>
    <row r="164">
      <c r="A164" s="7" t="s">
        <v>4729</v>
      </c>
      <c r="B164" s="7">
        <v>2100397.0</v>
      </c>
      <c r="C164" s="7" t="s">
        <v>4663</v>
      </c>
      <c r="D164" s="7" t="s">
        <v>4730</v>
      </c>
      <c r="E164" s="7" t="s">
        <v>4665</v>
      </c>
      <c r="F164" s="7" t="s">
        <v>4321</v>
      </c>
      <c r="G164" s="7" t="s">
        <v>4731</v>
      </c>
      <c r="H164" s="7" t="s">
        <v>4732</v>
      </c>
      <c r="I164" s="119">
        <v>45292.0</v>
      </c>
      <c r="K164" s="7" t="s">
        <v>419</v>
      </c>
      <c r="L164" s="7" t="s">
        <v>991</v>
      </c>
      <c r="M164" s="7" t="s">
        <v>3501</v>
      </c>
      <c r="N164" s="7" t="s">
        <v>4733</v>
      </c>
      <c r="O164" s="7" t="s">
        <v>4734</v>
      </c>
      <c r="P164" s="7" t="s">
        <v>3493</v>
      </c>
      <c r="Q164" s="7">
        <v>1.0</v>
      </c>
    </row>
    <row r="165">
      <c r="A165" s="7" t="s">
        <v>4735</v>
      </c>
      <c r="B165" s="7">
        <v>2300132.0</v>
      </c>
      <c r="C165" s="7" t="s">
        <v>4663</v>
      </c>
      <c r="D165" s="7" t="s">
        <v>4597</v>
      </c>
      <c r="E165" s="7" t="s">
        <v>4665</v>
      </c>
      <c r="F165" s="7" t="s">
        <v>4598</v>
      </c>
      <c r="G165" s="7" t="s">
        <v>4736</v>
      </c>
      <c r="H165" s="7" t="s">
        <v>4737</v>
      </c>
      <c r="I165" s="119">
        <v>45292.0</v>
      </c>
      <c r="K165" s="7" t="s">
        <v>419</v>
      </c>
      <c r="L165" s="7" t="s">
        <v>991</v>
      </c>
      <c r="M165" s="7" t="s">
        <v>3531</v>
      </c>
      <c r="N165" s="7" t="s">
        <v>4738</v>
      </c>
      <c r="O165" s="7" t="s">
        <v>4739</v>
      </c>
      <c r="P165" s="7" t="s">
        <v>3493</v>
      </c>
      <c r="Q165" s="7">
        <v>1.0</v>
      </c>
    </row>
    <row r="166">
      <c r="A166" s="7" t="s">
        <v>4740</v>
      </c>
      <c r="B166" s="7">
        <v>2200738.0</v>
      </c>
      <c r="C166" s="7" t="s">
        <v>4741</v>
      </c>
      <c r="D166" s="7" t="s">
        <v>4742</v>
      </c>
      <c r="E166" s="7" t="s">
        <v>4743</v>
      </c>
      <c r="F166" s="7" t="s">
        <v>4525</v>
      </c>
      <c r="G166" s="7" t="s">
        <v>4744</v>
      </c>
      <c r="H166" s="7" t="s">
        <v>4745</v>
      </c>
      <c r="I166" s="119">
        <v>45292.0</v>
      </c>
      <c r="K166" s="7" t="s">
        <v>419</v>
      </c>
      <c r="L166" s="7" t="s">
        <v>991</v>
      </c>
      <c r="M166" s="7" t="s">
        <v>3501</v>
      </c>
      <c r="N166" s="7" t="s">
        <v>4746</v>
      </c>
      <c r="O166" s="7" t="s">
        <v>4747</v>
      </c>
      <c r="P166" s="7" t="s">
        <v>3843</v>
      </c>
      <c r="Q166" s="7">
        <v>1.0</v>
      </c>
    </row>
    <row r="167">
      <c r="A167" s="7" t="s">
        <v>4748</v>
      </c>
      <c r="B167" s="7">
        <v>12915.0</v>
      </c>
      <c r="C167" s="7" t="s">
        <v>4749</v>
      </c>
      <c r="D167" s="7" t="s">
        <v>4706</v>
      </c>
      <c r="E167" s="7" t="s">
        <v>4750</v>
      </c>
      <c r="F167" s="7" t="s">
        <v>4751</v>
      </c>
      <c r="G167" s="7" t="s">
        <v>4752</v>
      </c>
      <c r="H167" s="7" t="s">
        <v>4753</v>
      </c>
      <c r="I167" s="119">
        <v>45292.0</v>
      </c>
      <c r="K167" s="7" t="s">
        <v>419</v>
      </c>
      <c r="L167" s="7" t="s">
        <v>991</v>
      </c>
      <c r="M167" s="7" t="s">
        <v>3501</v>
      </c>
      <c r="N167" s="7" t="s">
        <v>4754</v>
      </c>
      <c r="O167" s="7" t="s">
        <v>4755</v>
      </c>
      <c r="P167" s="7" t="s">
        <v>3493</v>
      </c>
      <c r="Q167" s="7">
        <v>1.0</v>
      </c>
    </row>
    <row r="168">
      <c r="A168" s="7" t="s">
        <v>4756</v>
      </c>
      <c r="B168" s="7">
        <v>12644.0</v>
      </c>
      <c r="C168" s="7" t="s">
        <v>4757</v>
      </c>
      <c r="D168" s="7" t="s">
        <v>4758</v>
      </c>
      <c r="E168" s="7" t="s">
        <v>4757</v>
      </c>
      <c r="F168" s="7" t="s">
        <v>4758</v>
      </c>
      <c r="G168" s="7" t="s">
        <v>4759</v>
      </c>
      <c r="H168" s="7" t="s">
        <v>4760</v>
      </c>
      <c r="I168" s="119">
        <v>45292.0</v>
      </c>
      <c r="K168" s="7" t="s">
        <v>419</v>
      </c>
      <c r="L168" s="7" t="s">
        <v>991</v>
      </c>
      <c r="M168" s="7" t="s">
        <v>3501</v>
      </c>
      <c r="N168" s="7" t="s">
        <v>4761</v>
      </c>
      <c r="O168" s="7" t="s">
        <v>4762</v>
      </c>
      <c r="P168" s="7" t="s">
        <v>3604</v>
      </c>
      <c r="Q168" s="7">
        <v>1.0</v>
      </c>
    </row>
    <row r="169">
      <c r="A169" s="7" t="s">
        <v>4763</v>
      </c>
      <c r="B169" s="7">
        <v>10334.0</v>
      </c>
      <c r="C169" s="7" t="s">
        <v>4764</v>
      </c>
      <c r="D169" s="7" t="s">
        <v>4765</v>
      </c>
      <c r="E169" s="7" t="s">
        <v>4766</v>
      </c>
      <c r="F169" s="7" t="s">
        <v>4213</v>
      </c>
      <c r="G169" s="7" t="s">
        <v>4767</v>
      </c>
      <c r="H169" s="7" t="s">
        <v>4768</v>
      </c>
      <c r="I169" s="119">
        <v>45292.0</v>
      </c>
      <c r="K169" s="7" t="s">
        <v>419</v>
      </c>
      <c r="L169" s="7" t="s">
        <v>991</v>
      </c>
      <c r="M169" s="7" t="s">
        <v>3501</v>
      </c>
      <c r="N169" s="7" t="s">
        <v>4769</v>
      </c>
      <c r="O169" s="7" t="s">
        <v>4770</v>
      </c>
      <c r="P169" s="7" t="s">
        <v>3604</v>
      </c>
      <c r="Q169" s="7">
        <v>1.0</v>
      </c>
    </row>
    <row r="170">
      <c r="A170" s="7" t="s">
        <v>4771</v>
      </c>
      <c r="B170" s="7">
        <v>2200238.0</v>
      </c>
      <c r="C170" s="7" t="s">
        <v>4772</v>
      </c>
      <c r="D170" s="7" t="s">
        <v>4773</v>
      </c>
      <c r="E170" s="7" t="s">
        <v>4774</v>
      </c>
      <c r="F170" s="7" t="s">
        <v>4775</v>
      </c>
      <c r="G170" s="7" t="s">
        <v>4776</v>
      </c>
      <c r="H170" s="7" t="s">
        <v>4777</v>
      </c>
      <c r="I170" s="119">
        <v>45292.0</v>
      </c>
      <c r="K170" s="7" t="s">
        <v>419</v>
      </c>
      <c r="L170" s="7" t="s">
        <v>991</v>
      </c>
      <c r="M170" s="7" t="s">
        <v>3531</v>
      </c>
      <c r="N170" s="7" t="s">
        <v>4778</v>
      </c>
      <c r="O170" s="7" t="s">
        <v>4779</v>
      </c>
      <c r="P170" s="7" t="s">
        <v>3493</v>
      </c>
      <c r="Q170" s="7">
        <v>1.0</v>
      </c>
    </row>
    <row r="171">
      <c r="A171" s="7" t="s">
        <v>4780</v>
      </c>
      <c r="B171" s="7">
        <v>13649.0</v>
      </c>
      <c r="C171" s="7" t="s">
        <v>4781</v>
      </c>
      <c r="D171" s="7" t="s">
        <v>4782</v>
      </c>
      <c r="E171" s="7" t="s">
        <v>4783</v>
      </c>
      <c r="F171" s="7" t="s">
        <v>4782</v>
      </c>
      <c r="G171" s="7" t="s">
        <v>4784</v>
      </c>
      <c r="H171" s="7" t="s">
        <v>4785</v>
      </c>
      <c r="I171" s="119">
        <v>45292.0</v>
      </c>
      <c r="K171" s="7" t="s">
        <v>3632</v>
      </c>
      <c r="L171" s="7" t="s">
        <v>991</v>
      </c>
      <c r="M171" s="7" t="s">
        <v>3501</v>
      </c>
      <c r="N171" s="7" t="s">
        <v>4786</v>
      </c>
      <c r="O171" s="7" t="s">
        <v>4787</v>
      </c>
      <c r="P171" s="7" t="s">
        <v>4788</v>
      </c>
      <c r="Q171" s="7" t="s">
        <v>3555</v>
      </c>
    </row>
    <row r="172">
      <c r="A172" s="7" t="s">
        <v>4789</v>
      </c>
      <c r="B172" s="7">
        <v>14338.0</v>
      </c>
      <c r="C172" s="7" t="s">
        <v>4790</v>
      </c>
      <c r="D172" s="7" t="s">
        <v>4791</v>
      </c>
      <c r="E172" s="7" t="s">
        <v>4792</v>
      </c>
      <c r="F172" s="7" t="s">
        <v>4793</v>
      </c>
      <c r="G172" s="7" t="s">
        <v>4794</v>
      </c>
      <c r="H172" s="7" t="s">
        <v>4795</v>
      </c>
      <c r="I172" s="119">
        <v>45292.0</v>
      </c>
      <c r="K172" s="7" t="s">
        <v>419</v>
      </c>
      <c r="L172" s="7" t="s">
        <v>991</v>
      </c>
      <c r="M172" s="7" t="s">
        <v>3531</v>
      </c>
      <c r="N172" s="7" t="s">
        <v>4796</v>
      </c>
      <c r="O172" s="7" t="s">
        <v>4797</v>
      </c>
      <c r="P172" s="7" t="s">
        <v>3493</v>
      </c>
      <c r="Q172" s="7">
        <v>1.0</v>
      </c>
    </row>
    <row r="173">
      <c r="A173" s="7" t="s">
        <v>4798</v>
      </c>
      <c r="B173" s="7">
        <v>2200818.0</v>
      </c>
      <c r="C173" s="7" t="s">
        <v>4790</v>
      </c>
      <c r="D173" s="7" t="s">
        <v>4799</v>
      </c>
      <c r="E173" s="7" t="s">
        <v>4792</v>
      </c>
      <c r="F173" s="7" t="s">
        <v>4800</v>
      </c>
      <c r="G173" s="7" t="s">
        <v>4801</v>
      </c>
      <c r="H173" s="7" t="s">
        <v>4802</v>
      </c>
      <c r="I173" s="119">
        <v>45292.0</v>
      </c>
      <c r="K173" s="7" t="s">
        <v>419</v>
      </c>
      <c r="L173" s="7" t="s">
        <v>991</v>
      </c>
      <c r="M173" s="7" t="s">
        <v>3501</v>
      </c>
      <c r="N173" s="7" t="s">
        <v>4803</v>
      </c>
      <c r="O173" s="7" t="s">
        <v>4804</v>
      </c>
      <c r="P173" s="7" t="s">
        <v>3785</v>
      </c>
      <c r="Q173" s="7" t="s">
        <v>3523</v>
      </c>
    </row>
    <row r="174">
      <c r="A174" s="7" t="s">
        <v>4805</v>
      </c>
      <c r="B174" s="7">
        <v>13339.0</v>
      </c>
      <c r="C174" s="7" t="s">
        <v>4806</v>
      </c>
      <c r="D174" s="7" t="s">
        <v>4031</v>
      </c>
      <c r="E174" s="7" t="s">
        <v>4807</v>
      </c>
      <c r="F174" s="7" t="s">
        <v>4032</v>
      </c>
      <c r="G174" s="7" t="s">
        <v>4808</v>
      </c>
      <c r="H174" s="7" t="s">
        <v>4809</v>
      </c>
      <c r="I174" s="119">
        <v>45292.0</v>
      </c>
      <c r="K174" s="7" t="s">
        <v>419</v>
      </c>
      <c r="L174" s="7" t="s">
        <v>991</v>
      </c>
      <c r="M174" s="7" t="s">
        <v>3531</v>
      </c>
      <c r="N174" s="7" t="s">
        <v>4810</v>
      </c>
      <c r="O174" s="7" t="s">
        <v>4811</v>
      </c>
      <c r="P174" s="7" t="s">
        <v>3493</v>
      </c>
      <c r="Q174" s="7">
        <v>1.0</v>
      </c>
    </row>
    <row r="175">
      <c r="A175" s="7" t="s">
        <v>4812</v>
      </c>
      <c r="B175" s="7">
        <v>14010.0</v>
      </c>
      <c r="C175" s="7" t="s">
        <v>4806</v>
      </c>
      <c r="D175" s="7" t="s">
        <v>4813</v>
      </c>
      <c r="E175" s="7" t="s">
        <v>4807</v>
      </c>
      <c r="F175" s="7" t="s">
        <v>4814</v>
      </c>
      <c r="G175" s="7" t="s">
        <v>4815</v>
      </c>
      <c r="H175" s="7" t="s">
        <v>4816</v>
      </c>
      <c r="I175" s="119">
        <v>45292.0</v>
      </c>
      <c r="K175" s="7" t="s">
        <v>4817</v>
      </c>
      <c r="L175" s="7" t="s">
        <v>4406</v>
      </c>
      <c r="M175" s="7" t="s">
        <v>4407</v>
      </c>
      <c r="N175" s="7" t="s">
        <v>4499</v>
      </c>
      <c r="O175" s="7" t="s">
        <v>4818</v>
      </c>
      <c r="P175" s="7" t="s">
        <v>4819</v>
      </c>
      <c r="Q175" s="7" t="s">
        <v>3566</v>
      </c>
    </row>
    <row r="176">
      <c r="A176" s="7" t="s">
        <v>4820</v>
      </c>
      <c r="B176" s="7">
        <v>13561.0</v>
      </c>
      <c r="C176" s="7" t="s">
        <v>4821</v>
      </c>
      <c r="D176" s="7" t="s">
        <v>4016</v>
      </c>
      <c r="E176" s="7" t="s">
        <v>4822</v>
      </c>
      <c r="F176" s="7" t="s">
        <v>4018</v>
      </c>
      <c r="G176" s="7" t="s">
        <v>4823</v>
      </c>
      <c r="H176" s="7" t="s">
        <v>4824</v>
      </c>
      <c r="I176" s="119">
        <v>45292.0</v>
      </c>
      <c r="K176" s="7" t="s">
        <v>3632</v>
      </c>
      <c r="L176" s="7" t="s">
        <v>991</v>
      </c>
      <c r="M176" s="7" t="s">
        <v>3501</v>
      </c>
      <c r="N176" s="7" t="s">
        <v>4274</v>
      </c>
      <c r="O176" s="7" t="s">
        <v>4275</v>
      </c>
      <c r="P176" s="7" t="s">
        <v>3522</v>
      </c>
      <c r="Q176" s="7" t="s">
        <v>3523</v>
      </c>
    </row>
    <row r="177">
      <c r="A177" s="7" t="s">
        <v>4825</v>
      </c>
      <c r="B177" s="7">
        <v>2200580.0</v>
      </c>
      <c r="C177" s="7" t="s">
        <v>4821</v>
      </c>
      <c r="D177" s="7" t="s">
        <v>4826</v>
      </c>
      <c r="E177" s="7" t="s">
        <v>4822</v>
      </c>
      <c r="F177" s="7" t="s">
        <v>3963</v>
      </c>
      <c r="G177" s="7" t="s">
        <v>4827</v>
      </c>
      <c r="H177" s="7" t="s">
        <v>4828</v>
      </c>
      <c r="I177" s="119">
        <v>45292.0</v>
      </c>
      <c r="K177" s="7" t="s">
        <v>3622</v>
      </c>
      <c r="L177" s="7" t="s">
        <v>991</v>
      </c>
      <c r="M177" s="7" t="s">
        <v>3501</v>
      </c>
      <c r="N177" s="7" t="s">
        <v>3623</v>
      </c>
      <c r="O177" s="7" t="s">
        <v>3624</v>
      </c>
      <c r="P177" s="7" t="s">
        <v>3493</v>
      </c>
      <c r="Q177" s="7">
        <v>1.0</v>
      </c>
    </row>
    <row r="178">
      <c r="A178" s="7" t="s">
        <v>4829</v>
      </c>
      <c r="B178" s="7">
        <v>11579.0</v>
      </c>
      <c r="C178" s="7" t="s">
        <v>4821</v>
      </c>
      <c r="D178" s="7" t="s">
        <v>4830</v>
      </c>
      <c r="E178" s="7" t="s">
        <v>4822</v>
      </c>
      <c r="F178" s="7" t="s">
        <v>4831</v>
      </c>
      <c r="G178" s="7" t="s">
        <v>4832</v>
      </c>
      <c r="H178" s="7" t="s">
        <v>4833</v>
      </c>
      <c r="I178" s="119">
        <v>45292.0</v>
      </c>
      <c r="K178" s="7" t="s">
        <v>419</v>
      </c>
      <c r="L178" s="7" t="s">
        <v>991</v>
      </c>
      <c r="M178" s="7" t="s">
        <v>3501</v>
      </c>
      <c r="N178" s="7" t="s">
        <v>4834</v>
      </c>
      <c r="O178" s="7" t="s">
        <v>4835</v>
      </c>
      <c r="P178" s="7" t="s">
        <v>3493</v>
      </c>
      <c r="Q178" s="7">
        <v>1.0</v>
      </c>
    </row>
    <row r="179">
      <c r="A179" s="7" t="s">
        <v>4836</v>
      </c>
      <c r="B179" s="7">
        <v>2300488.0</v>
      </c>
      <c r="C179" s="7" t="s">
        <v>4821</v>
      </c>
      <c r="D179" s="7" t="s">
        <v>4837</v>
      </c>
      <c r="E179" s="7" t="s">
        <v>4822</v>
      </c>
      <c r="F179" s="7" t="s">
        <v>4253</v>
      </c>
      <c r="G179" s="7" t="s">
        <v>4838</v>
      </c>
      <c r="H179" s="7" t="s">
        <v>4839</v>
      </c>
      <c r="I179" s="119">
        <v>45292.0</v>
      </c>
      <c r="K179" s="7" t="s">
        <v>3622</v>
      </c>
      <c r="L179" s="7" t="s">
        <v>991</v>
      </c>
      <c r="M179" s="7" t="s">
        <v>3501</v>
      </c>
      <c r="N179" s="7" t="s">
        <v>3623</v>
      </c>
      <c r="O179" s="7" t="s">
        <v>3624</v>
      </c>
      <c r="P179" s="7" t="s">
        <v>3493</v>
      </c>
      <c r="Q179" s="7">
        <v>1.0</v>
      </c>
    </row>
    <row r="180">
      <c r="A180" s="7" t="s">
        <v>4840</v>
      </c>
      <c r="B180" s="7">
        <v>12900.0</v>
      </c>
      <c r="C180" s="7" t="s">
        <v>4821</v>
      </c>
      <c r="D180" s="7" t="s">
        <v>4841</v>
      </c>
      <c r="E180" s="7" t="s">
        <v>4822</v>
      </c>
      <c r="F180" s="7" t="s">
        <v>3629</v>
      </c>
      <c r="G180" s="7" t="s">
        <v>4842</v>
      </c>
      <c r="H180" s="7" t="s">
        <v>4843</v>
      </c>
      <c r="I180" s="119">
        <v>45292.0</v>
      </c>
      <c r="K180" s="7" t="s">
        <v>419</v>
      </c>
      <c r="L180" s="7" t="s">
        <v>991</v>
      </c>
      <c r="M180" s="7" t="s">
        <v>3531</v>
      </c>
      <c r="N180" s="7" t="s">
        <v>4844</v>
      </c>
      <c r="O180" s="7" t="s">
        <v>4845</v>
      </c>
      <c r="P180" s="7" t="s">
        <v>3493</v>
      </c>
      <c r="Q180" s="7">
        <v>1.0</v>
      </c>
    </row>
    <row r="181">
      <c r="A181" s="7" t="s">
        <v>4846</v>
      </c>
      <c r="B181" s="7">
        <v>2100577.0</v>
      </c>
      <c r="C181" s="7" t="s">
        <v>4847</v>
      </c>
      <c r="D181" s="7" t="s">
        <v>4848</v>
      </c>
      <c r="E181" s="7" t="s">
        <v>4849</v>
      </c>
      <c r="F181" s="7" t="s">
        <v>4850</v>
      </c>
      <c r="G181" s="7" t="s">
        <v>4851</v>
      </c>
      <c r="H181" s="7" t="s">
        <v>4852</v>
      </c>
      <c r="I181" s="119">
        <v>45292.0</v>
      </c>
      <c r="K181" s="7" t="s">
        <v>419</v>
      </c>
      <c r="L181" s="7" t="s">
        <v>991</v>
      </c>
      <c r="M181" s="7" t="s">
        <v>3501</v>
      </c>
      <c r="N181" s="7" t="s">
        <v>4853</v>
      </c>
      <c r="O181" s="7" t="s">
        <v>4854</v>
      </c>
      <c r="P181" s="7" t="s">
        <v>3493</v>
      </c>
      <c r="Q181" s="7">
        <v>1.0</v>
      </c>
    </row>
    <row r="182">
      <c r="A182" s="7" t="s">
        <v>4855</v>
      </c>
      <c r="B182" s="7">
        <v>2300164.0</v>
      </c>
      <c r="C182" s="7" t="s">
        <v>4856</v>
      </c>
      <c r="D182" s="7" t="s">
        <v>4857</v>
      </c>
      <c r="E182" s="7" t="s">
        <v>4858</v>
      </c>
      <c r="F182" s="7" t="s">
        <v>4859</v>
      </c>
      <c r="G182" s="7" t="s">
        <v>4860</v>
      </c>
      <c r="H182" s="7" t="s">
        <v>4861</v>
      </c>
      <c r="I182" s="119">
        <v>45292.0</v>
      </c>
      <c r="K182" s="7" t="s">
        <v>419</v>
      </c>
      <c r="L182" s="7" t="s">
        <v>991</v>
      </c>
      <c r="M182" s="7" t="s">
        <v>3583</v>
      </c>
      <c r="N182" s="7" t="s">
        <v>4862</v>
      </c>
      <c r="O182" s="7" t="s">
        <v>4863</v>
      </c>
      <c r="P182" s="7" t="s">
        <v>3493</v>
      </c>
      <c r="Q182" s="7">
        <v>1.0</v>
      </c>
    </row>
    <row r="183">
      <c r="A183" s="7" t="s">
        <v>4864</v>
      </c>
      <c r="B183" s="7">
        <v>12880.0</v>
      </c>
      <c r="C183" s="7" t="s">
        <v>4865</v>
      </c>
      <c r="D183" s="7" t="s">
        <v>4866</v>
      </c>
      <c r="E183" s="7" t="s">
        <v>4867</v>
      </c>
      <c r="F183" s="7" t="s">
        <v>4868</v>
      </c>
      <c r="G183" s="7" t="s">
        <v>4869</v>
      </c>
      <c r="H183" s="7" t="s">
        <v>4870</v>
      </c>
      <c r="I183" s="119">
        <v>45292.0</v>
      </c>
      <c r="K183" s="7" t="s">
        <v>419</v>
      </c>
      <c r="L183" s="7" t="s">
        <v>991</v>
      </c>
      <c r="M183" s="7" t="s">
        <v>3501</v>
      </c>
      <c r="N183" s="7" t="s">
        <v>4871</v>
      </c>
      <c r="O183" s="7" t="s">
        <v>4872</v>
      </c>
      <c r="P183" s="7" t="s">
        <v>3522</v>
      </c>
      <c r="Q183" s="7" t="s">
        <v>3514</v>
      </c>
    </row>
    <row r="184">
      <c r="A184" s="7" t="s">
        <v>4873</v>
      </c>
      <c r="B184" s="7">
        <v>2200729.0</v>
      </c>
      <c r="C184" s="7" t="s">
        <v>4874</v>
      </c>
      <c r="D184" s="7" t="s">
        <v>4875</v>
      </c>
      <c r="E184" s="7" t="s">
        <v>4876</v>
      </c>
      <c r="F184" s="7" t="s">
        <v>3896</v>
      </c>
      <c r="G184" s="7" t="s">
        <v>4877</v>
      </c>
      <c r="H184" s="7" t="s">
        <v>4878</v>
      </c>
      <c r="I184" s="119">
        <v>45292.0</v>
      </c>
      <c r="K184" s="7" t="s">
        <v>4042</v>
      </c>
      <c r="L184" s="7" t="s">
        <v>991</v>
      </c>
      <c r="M184" s="7" t="s">
        <v>3866</v>
      </c>
      <c r="N184" s="7" t="s">
        <v>4043</v>
      </c>
      <c r="O184" s="7" t="s">
        <v>4044</v>
      </c>
      <c r="P184" s="7" t="s">
        <v>3493</v>
      </c>
      <c r="Q184" s="7">
        <v>1.0</v>
      </c>
    </row>
    <row r="185">
      <c r="A185" s="7" t="s">
        <v>4879</v>
      </c>
      <c r="B185" s="7">
        <v>2200708.0</v>
      </c>
      <c r="C185" s="7" t="s">
        <v>4880</v>
      </c>
      <c r="D185" s="7" t="s">
        <v>4881</v>
      </c>
      <c r="E185" s="7" t="s">
        <v>4882</v>
      </c>
      <c r="F185" s="7" t="s">
        <v>4883</v>
      </c>
      <c r="G185" s="7" t="s">
        <v>4884</v>
      </c>
      <c r="H185" s="7" t="s">
        <v>4885</v>
      </c>
      <c r="I185" s="119">
        <v>45292.0</v>
      </c>
      <c r="K185" s="7" t="s">
        <v>4042</v>
      </c>
      <c r="L185" s="7" t="s">
        <v>991</v>
      </c>
      <c r="M185" s="7" t="s">
        <v>3501</v>
      </c>
      <c r="N185" s="7" t="s">
        <v>4043</v>
      </c>
      <c r="O185" s="7" t="s">
        <v>4044</v>
      </c>
      <c r="P185" s="7" t="s">
        <v>3493</v>
      </c>
      <c r="Q185" s="7">
        <v>1.0</v>
      </c>
    </row>
    <row r="186">
      <c r="A186" s="7" t="s">
        <v>4886</v>
      </c>
      <c r="B186" s="7">
        <v>8166.0</v>
      </c>
      <c r="C186" s="7" t="s">
        <v>4887</v>
      </c>
      <c r="D186" s="7" t="s">
        <v>4059</v>
      </c>
      <c r="E186" s="7" t="s">
        <v>4888</v>
      </c>
      <c r="F186" s="7" t="s">
        <v>3549</v>
      </c>
      <c r="G186" s="7" t="s">
        <v>4889</v>
      </c>
      <c r="H186" s="7" t="s">
        <v>4890</v>
      </c>
      <c r="I186" s="119">
        <v>45292.0</v>
      </c>
      <c r="K186" s="7" t="s">
        <v>419</v>
      </c>
      <c r="L186" s="7" t="s">
        <v>991</v>
      </c>
      <c r="M186" s="7" t="s">
        <v>3531</v>
      </c>
      <c r="N186" s="7" t="s">
        <v>3996</v>
      </c>
      <c r="O186" s="7" t="s">
        <v>3997</v>
      </c>
      <c r="P186" s="7" t="s">
        <v>3493</v>
      </c>
      <c r="Q186" s="7">
        <v>1.0</v>
      </c>
    </row>
    <row r="187">
      <c r="A187" s="7" t="s">
        <v>4891</v>
      </c>
      <c r="B187" s="7">
        <v>2300739.0</v>
      </c>
      <c r="C187" s="7" t="s">
        <v>4887</v>
      </c>
      <c r="D187" s="7" t="s">
        <v>4892</v>
      </c>
      <c r="E187" s="7" t="s">
        <v>4888</v>
      </c>
      <c r="F187" s="7" t="s">
        <v>4893</v>
      </c>
      <c r="G187" s="7" t="s">
        <v>4894</v>
      </c>
      <c r="H187" s="7" t="s">
        <v>4895</v>
      </c>
      <c r="I187" s="119">
        <v>45292.0</v>
      </c>
      <c r="K187" s="7" t="s">
        <v>419</v>
      </c>
      <c r="L187" s="7" t="s">
        <v>991</v>
      </c>
      <c r="M187" s="7" t="s">
        <v>3501</v>
      </c>
      <c r="N187" s="7" t="s">
        <v>4296</v>
      </c>
      <c r="O187" s="7" t="s">
        <v>4896</v>
      </c>
      <c r="P187" s="7" t="s">
        <v>3522</v>
      </c>
      <c r="Q187" s="7" t="s">
        <v>3514</v>
      </c>
    </row>
    <row r="188">
      <c r="A188" s="7" t="s">
        <v>4897</v>
      </c>
      <c r="B188" s="7">
        <v>2300272.0</v>
      </c>
      <c r="C188" s="7" t="s">
        <v>4898</v>
      </c>
      <c r="D188" s="7" t="s">
        <v>4899</v>
      </c>
      <c r="E188" s="7" t="s">
        <v>4888</v>
      </c>
      <c r="F188" s="7" t="s">
        <v>4900</v>
      </c>
      <c r="G188" s="7" t="s">
        <v>4901</v>
      </c>
      <c r="H188" s="7" t="s">
        <v>4902</v>
      </c>
      <c r="I188" s="119">
        <v>45292.0</v>
      </c>
      <c r="K188" s="7" t="s">
        <v>4042</v>
      </c>
      <c r="L188" s="7" t="s">
        <v>991</v>
      </c>
      <c r="M188" s="7" t="s">
        <v>3866</v>
      </c>
      <c r="N188" s="7" t="s">
        <v>4043</v>
      </c>
      <c r="O188" s="7" t="s">
        <v>4044</v>
      </c>
      <c r="P188" s="7" t="s">
        <v>3493</v>
      </c>
      <c r="Q188" s="7">
        <v>1.0</v>
      </c>
    </row>
    <row r="189">
      <c r="A189" s="7" t="s">
        <v>4903</v>
      </c>
      <c r="B189" s="7">
        <v>13035.0</v>
      </c>
      <c r="C189" s="7" t="s">
        <v>4887</v>
      </c>
      <c r="D189" s="7" t="s">
        <v>4904</v>
      </c>
      <c r="E189" s="7" t="s">
        <v>4888</v>
      </c>
      <c r="F189" s="7" t="s">
        <v>4424</v>
      </c>
      <c r="G189" s="7" t="s">
        <v>4905</v>
      </c>
      <c r="I189" s="119">
        <v>45292.0</v>
      </c>
      <c r="K189" s="7" t="s">
        <v>419</v>
      </c>
      <c r="L189" s="7" t="s">
        <v>991</v>
      </c>
      <c r="M189" s="7" t="s">
        <v>4644</v>
      </c>
      <c r="N189" s="7" t="s">
        <v>4906</v>
      </c>
      <c r="O189" s="7" t="s">
        <v>4907</v>
      </c>
      <c r="P189" s="7" t="s">
        <v>4908</v>
      </c>
      <c r="Q189" s="7">
        <v>1.0</v>
      </c>
    </row>
    <row r="190">
      <c r="A190" s="7" t="s">
        <v>4909</v>
      </c>
      <c r="B190" s="7">
        <v>14100.0</v>
      </c>
      <c r="C190" s="7" t="s">
        <v>4887</v>
      </c>
      <c r="D190" s="7" t="s">
        <v>4910</v>
      </c>
      <c r="E190" s="7" t="s">
        <v>4888</v>
      </c>
      <c r="F190" s="7" t="s">
        <v>4911</v>
      </c>
      <c r="G190" s="7" t="s">
        <v>4912</v>
      </c>
      <c r="H190" s="7" t="s">
        <v>4913</v>
      </c>
      <c r="I190" s="119">
        <v>45292.0</v>
      </c>
      <c r="K190" s="7" t="s">
        <v>419</v>
      </c>
      <c r="L190" s="7" t="s">
        <v>991</v>
      </c>
      <c r="M190" s="7" t="s">
        <v>3531</v>
      </c>
      <c r="N190" s="7" t="s">
        <v>4408</v>
      </c>
      <c r="O190" s="7" t="s">
        <v>4914</v>
      </c>
      <c r="P190" s="7" t="s">
        <v>3493</v>
      </c>
      <c r="Q190" s="7">
        <v>1.0</v>
      </c>
    </row>
    <row r="191">
      <c r="A191" s="7" t="s">
        <v>4915</v>
      </c>
      <c r="B191" s="7">
        <v>8160.0</v>
      </c>
      <c r="C191" s="7" t="s">
        <v>4887</v>
      </c>
      <c r="D191" s="7" t="s">
        <v>4916</v>
      </c>
      <c r="E191" s="7" t="s">
        <v>4888</v>
      </c>
      <c r="F191" s="7" t="s">
        <v>4917</v>
      </c>
      <c r="G191" s="7" t="s">
        <v>4918</v>
      </c>
      <c r="H191" s="7" t="s">
        <v>4919</v>
      </c>
      <c r="I191" s="119">
        <v>45292.0</v>
      </c>
      <c r="K191" s="7" t="s">
        <v>419</v>
      </c>
      <c r="L191" s="7" t="s">
        <v>991</v>
      </c>
      <c r="M191" s="7" t="s">
        <v>3531</v>
      </c>
      <c r="N191" s="7" t="s">
        <v>4920</v>
      </c>
      <c r="O191" s="7" t="s">
        <v>4921</v>
      </c>
      <c r="P191" s="7" t="s">
        <v>3493</v>
      </c>
      <c r="Q191" s="7">
        <v>1.0</v>
      </c>
    </row>
    <row r="192">
      <c r="A192" s="7" t="s">
        <v>4922</v>
      </c>
      <c r="B192" s="7">
        <v>2400002.0</v>
      </c>
      <c r="C192" s="7" t="s">
        <v>4887</v>
      </c>
      <c r="D192" s="7" t="s">
        <v>4923</v>
      </c>
      <c r="E192" s="7" t="s">
        <v>4888</v>
      </c>
      <c r="F192" s="7" t="s">
        <v>4924</v>
      </c>
      <c r="G192" s="7" t="s">
        <v>4925</v>
      </c>
      <c r="H192" s="7" t="s">
        <v>4926</v>
      </c>
      <c r="I192" s="119">
        <v>45292.0</v>
      </c>
      <c r="K192" s="7" t="s">
        <v>419</v>
      </c>
      <c r="L192" s="7" t="s">
        <v>991</v>
      </c>
      <c r="M192" s="7" t="s">
        <v>3501</v>
      </c>
      <c r="N192" s="7" t="s">
        <v>3858</v>
      </c>
      <c r="O192" s="7" t="s">
        <v>3859</v>
      </c>
      <c r="P192" s="7" t="s">
        <v>3522</v>
      </c>
      <c r="Q192" s="7" t="s">
        <v>3523</v>
      </c>
    </row>
    <row r="193">
      <c r="A193" s="7" t="s">
        <v>4927</v>
      </c>
      <c r="B193" s="7">
        <v>943.0</v>
      </c>
      <c r="C193" s="7" t="s">
        <v>4928</v>
      </c>
      <c r="D193" s="7" t="s">
        <v>4929</v>
      </c>
      <c r="E193" s="7" t="s">
        <v>4930</v>
      </c>
      <c r="F193" s="7" t="s">
        <v>4929</v>
      </c>
      <c r="G193" s="7" t="s">
        <v>4931</v>
      </c>
      <c r="H193" s="7" t="s">
        <v>4932</v>
      </c>
      <c r="I193" s="119">
        <v>45292.0</v>
      </c>
      <c r="K193" s="7" t="s">
        <v>419</v>
      </c>
      <c r="L193" s="7" t="s">
        <v>991</v>
      </c>
      <c r="M193" s="7" t="s">
        <v>3501</v>
      </c>
      <c r="N193" s="7" t="s">
        <v>4933</v>
      </c>
      <c r="O193" s="7" t="s">
        <v>4934</v>
      </c>
      <c r="P193" s="7" t="s">
        <v>3493</v>
      </c>
      <c r="Q193" s="7">
        <v>1.0</v>
      </c>
    </row>
    <row r="194">
      <c r="A194" s="7" t="s">
        <v>1818</v>
      </c>
      <c r="B194" s="7">
        <v>637.0</v>
      </c>
      <c r="C194" s="7" t="s">
        <v>4935</v>
      </c>
      <c r="D194" s="7" t="s">
        <v>4936</v>
      </c>
      <c r="E194" s="7" t="s">
        <v>4930</v>
      </c>
      <c r="F194" s="7" t="s">
        <v>4937</v>
      </c>
      <c r="G194" s="7" t="s">
        <v>4938</v>
      </c>
      <c r="H194" s="7" t="s">
        <v>4939</v>
      </c>
      <c r="I194" s="119">
        <v>45292.0</v>
      </c>
      <c r="K194" s="7" t="s">
        <v>419</v>
      </c>
      <c r="L194" s="7" t="s">
        <v>991</v>
      </c>
      <c r="M194" s="7" t="s">
        <v>3501</v>
      </c>
      <c r="N194" s="7" t="s">
        <v>4862</v>
      </c>
      <c r="O194" s="7" t="s">
        <v>4940</v>
      </c>
      <c r="P194" s="7" t="s">
        <v>3894</v>
      </c>
      <c r="Q194" s="7" t="s">
        <v>3523</v>
      </c>
    </row>
    <row r="195">
      <c r="A195" s="7" t="s">
        <v>4941</v>
      </c>
      <c r="B195" s="7">
        <v>13610.0</v>
      </c>
      <c r="C195" s="7" t="s">
        <v>4942</v>
      </c>
      <c r="D195" s="7" t="s">
        <v>4943</v>
      </c>
      <c r="E195" s="7" t="s">
        <v>4944</v>
      </c>
      <c r="F195" s="7" t="s">
        <v>3792</v>
      </c>
      <c r="G195" s="7" t="s">
        <v>4945</v>
      </c>
      <c r="H195" s="7" t="s">
        <v>4946</v>
      </c>
      <c r="I195" s="119">
        <v>45292.0</v>
      </c>
      <c r="K195" s="7" t="s">
        <v>419</v>
      </c>
      <c r="L195" s="7" t="s">
        <v>991</v>
      </c>
      <c r="M195" s="7" t="s">
        <v>3501</v>
      </c>
      <c r="N195" s="7" t="s">
        <v>4012</v>
      </c>
      <c r="O195" s="7" t="s">
        <v>4013</v>
      </c>
      <c r="P195" s="7" t="s">
        <v>3493</v>
      </c>
      <c r="Q195" s="7">
        <v>1.0</v>
      </c>
    </row>
    <row r="196">
      <c r="A196" s="7" t="s">
        <v>4947</v>
      </c>
      <c r="B196" s="7">
        <v>2200213.0</v>
      </c>
      <c r="C196" s="7" t="s">
        <v>4948</v>
      </c>
      <c r="D196" s="7" t="s">
        <v>4949</v>
      </c>
      <c r="E196" s="7" t="s">
        <v>4950</v>
      </c>
      <c r="F196" s="7" t="s">
        <v>4951</v>
      </c>
      <c r="G196" s="7" t="s">
        <v>4952</v>
      </c>
      <c r="H196" s="7" t="s">
        <v>4953</v>
      </c>
      <c r="I196" s="119">
        <v>45292.0</v>
      </c>
      <c r="K196" s="7" t="s">
        <v>419</v>
      </c>
      <c r="L196" s="7" t="s">
        <v>991</v>
      </c>
      <c r="M196" s="7" t="s">
        <v>3501</v>
      </c>
      <c r="N196" s="7" t="s">
        <v>4954</v>
      </c>
      <c r="O196" s="7" t="s">
        <v>4955</v>
      </c>
      <c r="P196" s="7" t="s">
        <v>3493</v>
      </c>
      <c r="Q196" s="7">
        <v>1.0</v>
      </c>
    </row>
    <row r="197">
      <c r="A197" s="7" t="s">
        <v>4956</v>
      </c>
      <c r="B197" s="7">
        <v>11454.0</v>
      </c>
      <c r="C197" s="7" t="s">
        <v>4957</v>
      </c>
      <c r="D197" s="7" t="s">
        <v>4958</v>
      </c>
      <c r="E197" s="7" t="s">
        <v>4959</v>
      </c>
      <c r="F197" s="7" t="s">
        <v>4960</v>
      </c>
      <c r="G197" s="7" t="s">
        <v>4961</v>
      </c>
      <c r="H197" s="7" t="s">
        <v>4962</v>
      </c>
      <c r="I197" s="119">
        <v>45292.0</v>
      </c>
      <c r="K197" s="7" t="s">
        <v>419</v>
      </c>
      <c r="L197" s="7" t="s">
        <v>991</v>
      </c>
      <c r="M197" s="7" t="s">
        <v>3501</v>
      </c>
      <c r="N197" s="7" t="s">
        <v>4499</v>
      </c>
      <c r="O197" s="7" t="s">
        <v>4500</v>
      </c>
      <c r="P197" s="7" t="s">
        <v>3493</v>
      </c>
      <c r="Q197" s="7">
        <v>1.0</v>
      </c>
    </row>
    <row r="198">
      <c r="A198" s="7" t="s">
        <v>4963</v>
      </c>
      <c r="B198" s="7">
        <v>635.0</v>
      </c>
      <c r="C198" s="7" t="s">
        <v>4964</v>
      </c>
      <c r="D198" s="7" t="s">
        <v>4965</v>
      </c>
      <c r="E198" s="7" t="s">
        <v>4966</v>
      </c>
      <c r="F198" s="7" t="s">
        <v>4967</v>
      </c>
      <c r="G198" s="7" t="s">
        <v>4968</v>
      </c>
      <c r="H198" s="7" t="s">
        <v>4969</v>
      </c>
      <c r="I198" s="119">
        <v>45292.0</v>
      </c>
      <c r="K198" s="7" t="s">
        <v>419</v>
      </c>
      <c r="L198" s="7" t="s">
        <v>991</v>
      </c>
      <c r="M198" s="7" t="s">
        <v>3501</v>
      </c>
      <c r="N198" s="7" t="s">
        <v>4970</v>
      </c>
      <c r="O198" s="7" t="s">
        <v>4971</v>
      </c>
      <c r="P198" s="7" t="s">
        <v>4972</v>
      </c>
      <c r="Q198" s="7" t="s">
        <v>4973</v>
      </c>
    </row>
    <row r="199">
      <c r="A199" s="7" t="s">
        <v>4974</v>
      </c>
      <c r="B199" s="7">
        <v>2200109.0</v>
      </c>
      <c r="C199" s="7" t="s">
        <v>4975</v>
      </c>
      <c r="D199" s="7" t="s">
        <v>4579</v>
      </c>
      <c r="E199" s="7" t="s">
        <v>4976</v>
      </c>
      <c r="F199" s="7" t="s">
        <v>3909</v>
      </c>
      <c r="G199" s="7" t="s">
        <v>4977</v>
      </c>
      <c r="H199" s="7" t="s">
        <v>4978</v>
      </c>
      <c r="I199" s="119">
        <v>45292.0</v>
      </c>
      <c r="K199" s="7" t="s">
        <v>419</v>
      </c>
      <c r="L199" s="7" t="s">
        <v>991</v>
      </c>
      <c r="M199" s="7" t="s">
        <v>3501</v>
      </c>
      <c r="N199" s="7" t="s">
        <v>4979</v>
      </c>
      <c r="O199" s="7" t="s">
        <v>4980</v>
      </c>
      <c r="P199" s="7" t="s">
        <v>3493</v>
      </c>
      <c r="Q199" s="7">
        <v>1.0</v>
      </c>
    </row>
    <row r="200">
      <c r="A200" s="7" t="s">
        <v>1460</v>
      </c>
      <c r="B200" s="7">
        <v>1069.0</v>
      </c>
      <c r="C200" s="7" t="s">
        <v>4981</v>
      </c>
      <c r="D200" s="7" t="s">
        <v>4982</v>
      </c>
      <c r="E200" s="7" t="s">
        <v>4983</v>
      </c>
      <c r="F200" s="7" t="s">
        <v>4984</v>
      </c>
      <c r="G200" s="7" t="s">
        <v>4985</v>
      </c>
      <c r="H200" s="7" t="s">
        <v>4986</v>
      </c>
      <c r="I200" s="119">
        <v>45292.0</v>
      </c>
      <c r="K200" s="7" t="s">
        <v>419</v>
      </c>
      <c r="L200" s="7" t="s">
        <v>991</v>
      </c>
      <c r="M200" s="7" t="s">
        <v>3501</v>
      </c>
      <c r="N200" s="7" t="s">
        <v>4987</v>
      </c>
      <c r="O200" s="7" t="s">
        <v>4988</v>
      </c>
      <c r="P200" s="7" t="s">
        <v>3493</v>
      </c>
      <c r="Q200" s="7">
        <v>1.0</v>
      </c>
    </row>
    <row r="201">
      <c r="A201" s="7" t="s">
        <v>4989</v>
      </c>
      <c r="B201" s="7">
        <v>11577.0</v>
      </c>
      <c r="C201" s="7" t="s">
        <v>4990</v>
      </c>
      <c r="D201" s="7" t="s">
        <v>3578</v>
      </c>
      <c r="E201" s="7" t="s">
        <v>4991</v>
      </c>
      <c r="F201" s="7" t="s">
        <v>3580</v>
      </c>
      <c r="G201" s="7" t="s">
        <v>4992</v>
      </c>
      <c r="H201" s="7" t="s">
        <v>4993</v>
      </c>
      <c r="I201" s="119">
        <v>45292.0</v>
      </c>
      <c r="K201" s="7" t="s">
        <v>419</v>
      </c>
      <c r="L201" s="7" t="s">
        <v>991</v>
      </c>
      <c r="M201" s="7" t="s">
        <v>3501</v>
      </c>
      <c r="N201" s="7" t="s">
        <v>4994</v>
      </c>
      <c r="O201" s="7" t="s">
        <v>4995</v>
      </c>
      <c r="P201" s="7" t="s">
        <v>3493</v>
      </c>
      <c r="Q201" s="7">
        <v>1.0</v>
      </c>
    </row>
    <row r="202">
      <c r="A202" s="7" t="s">
        <v>1883</v>
      </c>
      <c r="B202" s="7">
        <v>766.0</v>
      </c>
      <c r="C202" s="7" t="s">
        <v>4996</v>
      </c>
      <c r="D202" s="7" t="s">
        <v>4997</v>
      </c>
      <c r="E202" s="7" t="s">
        <v>4998</v>
      </c>
      <c r="F202" s="7" t="s">
        <v>4999</v>
      </c>
      <c r="G202" s="7" t="s">
        <v>5000</v>
      </c>
      <c r="H202" s="7" t="s">
        <v>5001</v>
      </c>
      <c r="I202" s="119">
        <v>45292.0</v>
      </c>
      <c r="K202" s="7" t="s">
        <v>419</v>
      </c>
      <c r="L202" s="7" t="s">
        <v>991</v>
      </c>
      <c r="M202" s="7" t="s">
        <v>3501</v>
      </c>
      <c r="N202" s="7" t="s">
        <v>4871</v>
      </c>
      <c r="O202" s="7" t="s">
        <v>5002</v>
      </c>
      <c r="P202" s="7" t="s">
        <v>3493</v>
      </c>
      <c r="Q202" s="7">
        <v>1.0</v>
      </c>
    </row>
    <row r="203">
      <c r="A203" s="7" t="s">
        <v>5003</v>
      </c>
      <c r="B203" s="7">
        <v>2200076.0</v>
      </c>
      <c r="C203" s="7" t="s">
        <v>5004</v>
      </c>
      <c r="D203" s="7" t="s">
        <v>5005</v>
      </c>
      <c r="E203" s="7" t="s">
        <v>5006</v>
      </c>
      <c r="F203" s="7" t="s">
        <v>5007</v>
      </c>
      <c r="G203" s="7" t="s">
        <v>5008</v>
      </c>
      <c r="H203" s="7" t="s">
        <v>5009</v>
      </c>
      <c r="I203" s="119">
        <v>45292.0</v>
      </c>
      <c r="K203" s="7" t="s">
        <v>5010</v>
      </c>
      <c r="L203" s="7" t="s">
        <v>5011</v>
      </c>
      <c r="M203" s="7" t="s">
        <v>5012</v>
      </c>
      <c r="N203" s="7" t="s">
        <v>5013</v>
      </c>
      <c r="O203" s="7" t="s">
        <v>5014</v>
      </c>
      <c r="P203" s="7" t="s">
        <v>5015</v>
      </c>
      <c r="Q203" s="7" t="s">
        <v>5016</v>
      </c>
    </row>
    <row r="204">
      <c r="A204" s="7" t="s">
        <v>5017</v>
      </c>
      <c r="B204" s="7">
        <v>2300767.0</v>
      </c>
      <c r="C204" s="7" t="s">
        <v>5018</v>
      </c>
      <c r="D204" s="7" t="s">
        <v>4699</v>
      </c>
      <c r="E204" s="7" t="s">
        <v>5019</v>
      </c>
      <c r="F204" s="7" t="s">
        <v>4700</v>
      </c>
      <c r="G204" s="7" t="s">
        <v>5020</v>
      </c>
      <c r="H204" s="7" t="s">
        <v>5021</v>
      </c>
      <c r="I204" s="119">
        <v>45292.0</v>
      </c>
      <c r="K204" s="7" t="s">
        <v>419</v>
      </c>
      <c r="L204" s="7" t="s">
        <v>991</v>
      </c>
      <c r="M204" s="7" t="s">
        <v>3531</v>
      </c>
      <c r="N204" s="7" t="s">
        <v>3612</v>
      </c>
      <c r="O204" s="7" t="s">
        <v>5022</v>
      </c>
      <c r="P204" s="7" t="s">
        <v>3522</v>
      </c>
      <c r="Q204" s="7" t="s">
        <v>3514</v>
      </c>
    </row>
    <row r="205">
      <c r="A205" s="7" t="s">
        <v>5023</v>
      </c>
      <c r="B205" s="7">
        <v>11299.0</v>
      </c>
      <c r="C205" s="7" t="s">
        <v>5018</v>
      </c>
      <c r="D205" s="7" t="s">
        <v>3873</v>
      </c>
      <c r="E205" s="7" t="s">
        <v>5019</v>
      </c>
      <c r="F205" s="7" t="s">
        <v>3874</v>
      </c>
      <c r="G205" s="7" t="s">
        <v>5024</v>
      </c>
      <c r="H205" s="7" t="s">
        <v>5025</v>
      </c>
      <c r="I205" s="119">
        <v>45292.0</v>
      </c>
      <c r="K205" s="7" t="s">
        <v>419</v>
      </c>
      <c r="L205" s="7" t="s">
        <v>991</v>
      </c>
      <c r="M205" s="7" t="s">
        <v>3501</v>
      </c>
      <c r="N205" s="7" t="s">
        <v>5026</v>
      </c>
      <c r="O205" s="7" t="s">
        <v>5027</v>
      </c>
      <c r="P205" s="7" t="s">
        <v>3493</v>
      </c>
      <c r="Q205" s="7">
        <v>1.0</v>
      </c>
    </row>
    <row r="206">
      <c r="A206" s="7" t="s">
        <v>1836</v>
      </c>
      <c r="B206" s="7">
        <v>11580.0</v>
      </c>
      <c r="C206" s="7" t="s">
        <v>5018</v>
      </c>
      <c r="D206" s="7" t="s">
        <v>3764</v>
      </c>
      <c r="E206" s="7" t="s">
        <v>5019</v>
      </c>
      <c r="F206" s="7" t="s">
        <v>3766</v>
      </c>
      <c r="G206" s="7" t="s">
        <v>5028</v>
      </c>
      <c r="H206" s="7" t="s">
        <v>5029</v>
      </c>
      <c r="I206" s="119">
        <v>45292.0</v>
      </c>
      <c r="K206" s="7" t="s">
        <v>419</v>
      </c>
      <c r="L206" s="7" t="s">
        <v>991</v>
      </c>
      <c r="M206" s="7" t="s">
        <v>3501</v>
      </c>
      <c r="N206" s="7" t="s">
        <v>3795</v>
      </c>
      <c r="O206" s="7" t="s">
        <v>3796</v>
      </c>
      <c r="P206" s="7" t="s">
        <v>3522</v>
      </c>
      <c r="Q206" s="7" t="s">
        <v>3523</v>
      </c>
    </row>
    <row r="207">
      <c r="A207" s="7" t="s">
        <v>5030</v>
      </c>
      <c r="B207" s="7">
        <v>14139.0</v>
      </c>
      <c r="C207" s="7" t="s">
        <v>5031</v>
      </c>
      <c r="D207" s="7" t="s">
        <v>5032</v>
      </c>
      <c r="E207" s="7" t="s">
        <v>5033</v>
      </c>
      <c r="F207" s="7" t="s">
        <v>5034</v>
      </c>
      <c r="G207" s="7" t="s">
        <v>5035</v>
      </c>
      <c r="H207" s="7" t="s">
        <v>5036</v>
      </c>
      <c r="I207" s="119">
        <v>45292.0</v>
      </c>
      <c r="K207" s="7" t="s">
        <v>3632</v>
      </c>
      <c r="L207" s="7" t="s">
        <v>991</v>
      </c>
      <c r="M207" s="7" t="s">
        <v>3531</v>
      </c>
      <c r="N207" s="7" t="s">
        <v>5037</v>
      </c>
      <c r="O207" s="7" t="s">
        <v>5038</v>
      </c>
      <c r="P207" s="7" t="s">
        <v>3493</v>
      </c>
      <c r="Q207" s="7">
        <v>1.0</v>
      </c>
    </row>
    <row r="208">
      <c r="A208" s="7" t="s">
        <v>5039</v>
      </c>
      <c r="B208" s="7">
        <v>8243.0</v>
      </c>
      <c r="C208" s="7" t="s">
        <v>5040</v>
      </c>
      <c r="D208" s="7" t="s">
        <v>5041</v>
      </c>
      <c r="E208" s="7" t="s">
        <v>5042</v>
      </c>
      <c r="F208" s="7" t="s">
        <v>4314</v>
      </c>
      <c r="G208" s="7" t="s">
        <v>5043</v>
      </c>
      <c r="H208" s="7" t="s">
        <v>5044</v>
      </c>
      <c r="I208" s="119">
        <v>45292.0</v>
      </c>
      <c r="K208" s="7" t="s">
        <v>419</v>
      </c>
      <c r="L208" s="7" t="s">
        <v>991</v>
      </c>
      <c r="M208" s="7" t="s">
        <v>3531</v>
      </c>
      <c r="N208" s="7" t="s">
        <v>4733</v>
      </c>
      <c r="O208" s="7" t="s">
        <v>4734</v>
      </c>
      <c r="P208" s="7" t="s">
        <v>3493</v>
      </c>
      <c r="Q208" s="7">
        <v>1.0</v>
      </c>
    </row>
    <row r="209">
      <c r="A209" s="7" t="s">
        <v>5045</v>
      </c>
      <c r="B209" s="7">
        <v>2200495.0</v>
      </c>
      <c r="C209" s="7" t="s">
        <v>5046</v>
      </c>
      <c r="D209" s="7" t="s">
        <v>5047</v>
      </c>
      <c r="E209" s="7" t="s">
        <v>5048</v>
      </c>
      <c r="F209" s="7" t="s">
        <v>5049</v>
      </c>
      <c r="G209" s="7" t="s">
        <v>5050</v>
      </c>
      <c r="H209" s="7" t="s">
        <v>5051</v>
      </c>
      <c r="I209" s="119">
        <v>45292.0</v>
      </c>
      <c r="K209" s="7" t="s">
        <v>3632</v>
      </c>
      <c r="L209" s="7" t="s">
        <v>991</v>
      </c>
      <c r="M209" s="7" t="s">
        <v>3501</v>
      </c>
      <c r="N209" s="7" t="s">
        <v>5052</v>
      </c>
      <c r="O209" s="7" t="s">
        <v>5053</v>
      </c>
      <c r="P209" s="7" t="s">
        <v>3522</v>
      </c>
      <c r="Q209" s="7" t="s">
        <v>3523</v>
      </c>
    </row>
    <row r="210">
      <c r="A210" s="7" t="s">
        <v>5054</v>
      </c>
      <c r="B210" s="7">
        <v>13673.0</v>
      </c>
      <c r="C210" s="7" t="s">
        <v>5055</v>
      </c>
      <c r="D210" s="7" t="s">
        <v>5056</v>
      </c>
      <c r="E210" s="7" t="s">
        <v>5057</v>
      </c>
      <c r="F210" s="7" t="s">
        <v>5058</v>
      </c>
      <c r="G210" s="7" t="s">
        <v>5059</v>
      </c>
      <c r="H210" s="7" t="s">
        <v>5060</v>
      </c>
      <c r="I210" s="119">
        <v>45292.0</v>
      </c>
      <c r="K210" s="7" t="s">
        <v>3632</v>
      </c>
      <c r="L210" s="7" t="s">
        <v>991</v>
      </c>
      <c r="M210" s="7" t="s">
        <v>3501</v>
      </c>
      <c r="N210" s="7" t="s">
        <v>5061</v>
      </c>
      <c r="O210" s="7" t="s">
        <v>5062</v>
      </c>
      <c r="P210" s="7" t="s">
        <v>3565</v>
      </c>
      <c r="Q210" s="7" t="s">
        <v>3555</v>
      </c>
    </row>
    <row r="211">
      <c r="A211" s="7" t="s">
        <v>5063</v>
      </c>
      <c r="B211" s="7">
        <v>11651.0</v>
      </c>
      <c r="C211" s="7" t="s">
        <v>5064</v>
      </c>
      <c r="D211" s="7" t="s">
        <v>5065</v>
      </c>
      <c r="E211" s="7" t="s">
        <v>5066</v>
      </c>
      <c r="F211" s="7" t="s">
        <v>5067</v>
      </c>
      <c r="G211" s="7" t="s">
        <v>5068</v>
      </c>
      <c r="H211" s="7" t="s">
        <v>5069</v>
      </c>
      <c r="I211" s="119">
        <v>45292.0</v>
      </c>
      <c r="K211" s="7" t="s">
        <v>419</v>
      </c>
      <c r="L211" s="7" t="s">
        <v>991</v>
      </c>
      <c r="M211" s="7" t="s">
        <v>3531</v>
      </c>
      <c r="N211" s="7" t="s">
        <v>4399</v>
      </c>
      <c r="O211" s="7" t="s">
        <v>4400</v>
      </c>
      <c r="P211" s="7" t="s">
        <v>3493</v>
      </c>
      <c r="Q211" s="7">
        <v>1.0</v>
      </c>
    </row>
    <row r="212">
      <c r="A212" s="7" t="s">
        <v>5070</v>
      </c>
      <c r="B212" s="7">
        <v>227.0</v>
      </c>
      <c r="C212" s="7" t="s">
        <v>5071</v>
      </c>
      <c r="D212" s="7" t="s">
        <v>5072</v>
      </c>
      <c r="E212" s="7" t="s">
        <v>5073</v>
      </c>
      <c r="F212" s="7" t="s">
        <v>5074</v>
      </c>
      <c r="G212" s="7" t="s">
        <v>5075</v>
      </c>
      <c r="H212" s="7" t="s">
        <v>5076</v>
      </c>
      <c r="I212" s="119">
        <v>45292.0</v>
      </c>
      <c r="K212" s="7" t="s">
        <v>419</v>
      </c>
      <c r="L212" s="7" t="s">
        <v>991</v>
      </c>
      <c r="M212" s="7" t="s">
        <v>3501</v>
      </c>
      <c r="N212" s="7" t="s">
        <v>5077</v>
      </c>
      <c r="O212" s="7" t="s">
        <v>5078</v>
      </c>
      <c r="P212" s="7" t="s">
        <v>3604</v>
      </c>
      <c r="Q212" s="7">
        <v>1.0</v>
      </c>
    </row>
    <row r="213">
      <c r="A213" s="7" t="s">
        <v>1439</v>
      </c>
      <c r="B213" s="7">
        <v>13790.0</v>
      </c>
      <c r="C213" s="7" t="s">
        <v>5079</v>
      </c>
      <c r="D213" s="7" t="s">
        <v>5080</v>
      </c>
      <c r="E213" s="7" t="s">
        <v>5081</v>
      </c>
      <c r="F213" s="7" t="s">
        <v>5082</v>
      </c>
      <c r="G213" s="7" t="s">
        <v>5083</v>
      </c>
      <c r="H213" s="7" t="s">
        <v>5084</v>
      </c>
      <c r="I213" s="119">
        <v>45292.0</v>
      </c>
      <c r="K213" s="7" t="s">
        <v>419</v>
      </c>
      <c r="L213" s="7" t="s">
        <v>991</v>
      </c>
      <c r="M213" s="7" t="s">
        <v>3501</v>
      </c>
      <c r="N213" s="7" t="s">
        <v>5085</v>
      </c>
      <c r="O213" s="7" t="s">
        <v>5086</v>
      </c>
      <c r="P213" s="7" t="s">
        <v>3604</v>
      </c>
      <c r="Q213" s="7">
        <v>1.0</v>
      </c>
    </row>
    <row r="214">
      <c r="A214" s="7" t="s">
        <v>5087</v>
      </c>
      <c r="B214" s="7">
        <v>2300188.0</v>
      </c>
      <c r="C214" s="7" t="s">
        <v>5088</v>
      </c>
      <c r="D214" s="7" t="s">
        <v>5089</v>
      </c>
      <c r="E214" s="7" t="s">
        <v>5090</v>
      </c>
      <c r="F214" s="7" t="s">
        <v>5091</v>
      </c>
      <c r="G214" s="7" t="s">
        <v>5092</v>
      </c>
      <c r="H214" s="7" t="s">
        <v>5093</v>
      </c>
      <c r="I214" s="119">
        <v>45292.0</v>
      </c>
      <c r="K214" s="7" t="s">
        <v>419</v>
      </c>
      <c r="L214" s="7" t="s">
        <v>991</v>
      </c>
      <c r="M214" s="7" t="s">
        <v>3501</v>
      </c>
      <c r="N214" s="7" t="s">
        <v>4651</v>
      </c>
      <c r="O214" s="7" t="s">
        <v>4652</v>
      </c>
      <c r="P214" s="7" t="s">
        <v>3493</v>
      </c>
      <c r="Q214" s="7">
        <v>1.0</v>
      </c>
    </row>
    <row r="215">
      <c r="A215" s="7" t="s">
        <v>5094</v>
      </c>
      <c r="B215" s="7">
        <v>709.0</v>
      </c>
      <c r="C215" s="7" t="s">
        <v>5095</v>
      </c>
      <c r="D215" s="7" t="s">
        <v>5096</v>
      </c>
      <c r="E215" s="7" t="s">
        <v>5097</v>
      </c>
      <c r="F215" s="7" t="s">
        <v>5098</v>
      </c>
      <c r="G215" s="7" t="s">
        <v>5099</v>
      </c>
      <c r="H215" s="7" t="s">
        <v>5100</v>
      </c>
      <c r="I215" s="119">
        <v>45292.0</v>
      </c>
      <c r="K215" s="7" t="s">
        <v>419</v>
      </c>
      <c r="L215" s="7" t="s">
        <v>991</v>
      </c>
      <c r="M215" s="7" t="s">
        <v>3501</v>
      </c>
      <c r="N215" s="7" t="s">
        <v>5101</v>
      </c>
      <c r="O215" s="7" t="s">
        <v>5102</v>
      </c>
      <c r="P215" s="7" t="s">
        <v>3604</v>
      </c>
      <c r="Q215" s="7">
        <v>1.0</v>
      </c>
    </row>
    <row r="216">
      <c r="A216" s="7" t="s">
        <v>5103</v>
      </c>
      <c r="B216" s="7">
        <v>2300668.0</v>
      </c>
      <c r="C216" s="7" t="s">
        <v>5104</v>
      </c>
      <c r="D216" s="7" t="s">
        <v>5105</v>
      </c>
      <c r="E216" s="7" t="s">
        <v>5106</v>
      </c>
      <c r="F216" s="7" t="s">
        <v>5107</v>
      </c>
      <c r="G216" s="7" t="s">
        <v>5108</v>
      </c>
      <c r="H216" s="7" t="s">
        <v>5109</v>
      </c>
      <c r="I216" s="119">
        <v>45292.0</v>
      </c>
      <c r="K216" s="7" t="s">
        <v>419</v>
      </c>
      <c r="L216" s="7" t="s">
        <v>991</v>
      </c>
      <c r="M216" s="7" t="s">
        <v>5110</v>
      </c>
      <c r="N216" s="7" t="s">
        <v>5111</v>
      </c>
      <c r="O216" s="7" t="s">
        <v>5112</v>
      </c>
      <c r="P216" s="7" t="s">
        <v>3493</v>
      </c>
      <c r="Q216" s="7">
        <v>1.0</v>
      </c>
    </row>
    <row r="217">
      <c r="A217" s="7" t="s">
        <v>5113</v>
      </c>
      <c r="B217" s="7">
        <v>14118.0</v>
      </c>
      <c r="C217" s="7" t="s">
        <v>5104</v>
      </c>
      <c r="D217" s="7" t="s">
        <v>5114</v>
      </c>
      <c r="E217" s="7" t="s">
        <v>5106</v>
      </c>
      <c r="F217" s="7" t="s">
        <v>4984</v>
      </c>
      <c r="G217" s="7" t="s">
        <v>5115</v>
      </c>
      <c r="H217" s="7" t="s">
        <v>5116</v>
      </c>
      <c r="I217" s="119">
        <v>45292.0</v>
      </c>
      <c r="K217" s="7" t="s">
        <v>3541</v>
      </c>
      <c r="L217" s="7" t="s">
        <v>3542</v>
      </c>
      <c r="M217" s="7" t="s">
        <v>3563</v>
      </c>
      <c r="N217" s="7" t="s">
        <v>5117</v>
      </c>
      <c r="O217" s="7" t="s">
        <v>5118</v>
      </c>
      <c r="P217" s="7" t="s">
        <v>5119</v>
      </c>
      <c r="Q217" s="7" t="s">
        <v>5120</v>
      </c>
    </row>
    <row r="218">
      <c r="A218" s="7" t="s">
        <v>5121</v>
      </c>
      <c r="B218" s="7">
        <v>14210.0</v>
      </c>
      <c r="C218" s="7" t="s">
        <v>5122</v>
      </c>
      <c r="D218" s="7" t="s">
        <v>5123</v>
      </c>
      <c r="E218" s="7" t="s">
        <v>5124</v>
      </c>
      <c r="F218" s="7" t="s">
        <v>5125</v>
      </c>
      <c r="G218" s="7" t="s">
        <v>5126</v>
      </c>
      <c r="H218" s="7" t="s">
        <v>5127</v>
      </c>
      <c r="I218" s="119">
        <v>45292.0</v>
      </c>
      <c r="K218" s="7" t="s">
        <v>419</v>
      </c>
      <c r="L218" s="7" t="s">
        <v>991</v>
      </c>
      <c r="M218" s="7" t="s">
        <v>3501</v>
      </c>
      <c r="N218" s="7" t="s">
        <v>4669</v>
      </c>
      <c r="O218" s="7" t="s">
        <v>4670</v>
      </c>
      <c r="P218" s="7" t="s">
        <v>3493</v>
      </c>
      <c r="Q218" s="7">
        <v>1.0</v>
      </c>
    </row>
    <row r="219">
      <c r="A219" s="7" t="s">
        <v>5128</v>
      </c>
      <c r="B219" s="7">
        <v>2100524.0</v>
      </c>
      <c r="C219" s="7" t="s">
        <v>5129</v>
      </c>
      <c r="D219" s="7" t="s">
        <v>5130</v>
      </c>
      <c r="E219" s="7" t="s">
        <v>5131</v>
      </c>
      <c r="F219" s="7" t="s">
        <v>5132</v>
      </c>
      <c r="G219" s="7" t="s">
        <v>5133</v>
      </c>
      <c r="H219" s="7" t="s">
        <v>5134</v>
      </c>
      <c r="I219" s="119">
        <v>45292.0</v>
      </c>
      <c r="K219" s="7" t="s">
        <v>5135</v>
      </c>
      <c r="L219" s="7" t="s">
        <v>3706</v>
      </c>
      <c r="M219" s="7" t="s">
        <v>3707</v>
      </c>
      <c r="N219" s="7" t="s">
        <v>5136</v>
      </c>
      <c r="O219" s="7" t="s">
        <v>5137</v>
      </c>
      <c r="P219" s="7" t="s">
        <v>3697</v>
      </c>
      <c r="Q219" s="7" t="s">
        <v>3710</v>
      </c>
    </row>
    <row r="220">
      <c r="A220" s="7" t="s">
        <v>5138</v>
      </c>
      <c r="B220" s="7">
        <v>2300197.0</v>
      </c>
      <c r="C220" s="7" t="s">
        <v>5139</v>
      </c>
      <c r="D220" s="7" t="s">
        <v>5140</v>
      </c>
      <c r="E220" s="7" t="s">
        <v>5141</v>
      </c>
      <c r="F220" s="7" t="s">
        <v>5142</v>
      </c>
      <c r="G220" s="7" t="s">
        <v>5143</v>
      </c>
      <c r="H220" s="7" t="s">
        <v>5144</v>
      </c>
      <c r="I220" s="119">
        <v>45292.0</v>
      </c>
      <c r="K220" s="7" t="s">
        <v>419</v>
      </c>
      <c r="L220" s="7" t="s">
        <v>991</v>
      </c>
      <c r="M220" s="7" t="s">
        <v>3501</v>
      </c>
      <c r="N220" s="7" t="s">
        <v>4557</v>
      </c>
      <c r="O220" s="7" t="s">
        <v>4558</v>
      </c>
      <c r="P220" s="7" t="s">
        <v>3493</v>
      </c>
      <c r="Q220" s="7">
        <v>1.0</v>
      </c>
    </row>
    <row r="221">
      <c r="A221" s="7" t="s">
        <v>5145</v>
      </c>
      <c r="B221" s="7">
        <v>2200308.0</v>
      </c>
      <c r="C221" s="7" t="s">
        <v>5146</v>
      </c>
      <c r="D221" s="7" t="s">
        <v>5147</v>
      </c>
      <c r="E221" s="7" t="s">
        <v>5148</v>
      </c>
      <c r="F221" s="7" t="s">
        <v>5149</v>
      </c>
      <c r="G221" s="7" t="s">
        <v>5150</v>
      </c>
      <c r="I221" s="119">
        <v>45292.0</v>
      </c>
      <c r="K221" s="7" t="s">
        <v>419</v>
      </c>
      <c r="L221" s="7" t="s">
        <v>991</v>
      </c>
      <c r="M221" s="7" t="s">
        <v>3531</v>
      </c>
      <c r="N221" s="7" t="s">
        <v>3820</v>
      </c>
      <c r="O221" s="7" t="s">
        <v>3821</v>
      </c>
      <c r="P221" s="7" t="s">
        <v>3493</v>
      </c>
      <c r="Q221" s="7">
        <v>1.0</v>
      </c>
    </row>
    <row r="222">
      <c r="A222" s="7" t="s">
        <v>5151</v>
      </c>
      <c r="B222" s="7">
        <v>10933.0</v>
      </c>
      <c r="C222" s="7" t="s">
        <v>5152</v>
      </c>
      <c r="D222" s="7" t="s">
        <v>5153</v>
      </c>
      <c r="E222" s="7" t="s">
        <v>5154</v>
      </c>
      <c r="F222" s="7" t="s">
        <v>5155</v>
      </c>
      <c r="G222" s="7" t="s">
        <v>5156</v>
      </c>
      <c r="H222" s="7" t="s">
        <v>5157</v>
      </c>
      <c r="I222" s="119">
        <v>45292.0</v>
      </c>
      <c r="K222" s="7" t="s">
        <v>419</v>
      </c>
      <c r="L222" s="7" t="s">
        <v>991</v>
      </c>
      <c r="M222" s="7" t="s">
        <v>3501</v>
      </c>
      <c r="N222" s="7" t="s">
        <v>5158</v>
      </c>
      <c r="O222" s="7" t="s">
        <v>5159</v>
      </c>
      <c r="P222" s="7" t="s">
        <v>3604</v>
      </c>
      <c r="Q222" s="7">
        <v>1.0</v>
      </c>
    </row>
    <row r="223">
      <c r="A223" s="7" t="s">
        <v>5160</v>
      </c>
      <c r="B223" s="7">
        <v>12211.0</v>
      </c>
      <c r="C223" s="7" t="s">
        <v>5161</v>
      </c>
      <c r="D223" s="7" t="s">
        <v>5162</v>
      </c>
      <c r="E223" s="7" t="s">
        <v>5163</v>
      </c>
      <c r="F223" s="7" t="s">
        <v>3945</v>
      </c>
      <c r="G223" s="7" t="s">
        <v>5164</v>
      </c>
      <c r="H223" s="7" t="s">
        <v>5165</v>
      </c>
      <c r="I223" s="119">
        <v>45292.0</v>
      </c>
      <c r="K223" s="7" t="s">
        <v>419</v>
      </c>
      <c r="L223" s="7" t="s">
        <v>991</v>
      </c>
      <c r="M223" s="7" t="s">
        <v>3501</v>
      </c>
      <c r="N223" s="7" t="s">
        <v>5166</v>
      </c>
      <c r="O223" s="7" t="s">
        <v>5167</v>
      </c>
      <c r="P223" s="7" t="s">
        <v>3493</v>
      </c>
      <c r="Q223" s="7">
        <v>1.0</v>
      </c>
    </row>
    <row r="224">
      <c r="A224" s="7" t="s">
        <v>5168</v>
      </c>
      <c r="B224" s="7">
        <v>10885.0</v>
      </c>
      <c r="C224" s="7" t="s">
        <v>5169</v>
      </c>
      <c r="D224" s="7" t="s">
        <v>5170</v>
      </c>
      <c r="E224" s="7" t="s">
        <v>5171</v>
      </c>
      <c r="F224" s="7" t="s">
        <v>3926</v>
      </c>
      <c r="G224" s="7" t="s">
        <v>5172</v>
      </c>
      <c r="H224" s="7" t="s">
        <v>5173</v>
      </c>
      <c r="I224" s="119">
        <v>45292.0</v>
      </c>
      <c r="K224" s="7" t="s">
        <v>419</v>
      </c>
      <c r="L224" s="7" t="s">
        <v>991</v>
      </c>
      <c r="M224" s="7" t="s">
        <v>3501</v>
      </c>
      <c r="N224" s="7" t="s">
        <v>5174</v>
      </c>
      <c r="O224" s="7" t="s">
        <v>5175</v>
      </c>
      <c r="P224" s="7" t="s">
        <v>3493</v>
      </c>
      <c r="Q224" s="7">
        <v>1.0</v>
      </c>
    </row>
    <row r="225">
      <c r="A225" s="7" t="s">
        <v>5176</v>
      </c>
      <c r="B225" s="7">
        <v>2100404.0</v>
      </c>
      <c r="C225" s="7" t="s">
        <v>5177</v>
      </c>
      <c r="D225" s="7" t="s">
        <v>5178</v>
      </c>
      <c r="E225" s="7" t="s">
        <v>5179</v>
      </c>
      <c r="F225" s="7" t="s">
        <v>5180</v>
      </c>
      <c r="G225" s="7" t="s">
        <v>5181</v>
      </c>
      <c r="H225" s="7" t="s">
        <v>5182</v>
      </c>
      <c r="I225" s="119">
        <v>45292.0</v>
      </c>
      <c r="K225" s="7" t="s">
        <v>419</v>
      </c>
      <c r="L225" s="7" t="s">
        <v>991</v>
      </c>
      <c r="M225" s="7" t="s">
        <v>3501</v>
      </c>
      <c r="N225" s="7" t="s">
        <v>5183</v>
      </c>
      <c r="O225" s="7" t="s">
        <v>5184</v>
      </c>
      <c r="P225" s="7" t="s">
        <v>3604</v>
      </c>
      <c r="Q225" s="7">
        <v>1.0</v>
      </c>
    </row>
    <row r="226">
      <c r="A226" s="7" t="s">
        <v>5185</v>
      </c>
      <c r="B226" s="7">
        <v>2300629.0</v>
      </c>
      <c r="C226" s="7" t="s">
        <v>5186</v>
      </c>
      <c r="D226" s="7" t="s">
        <v>5187</v>
      </c>
      <c r="E226" s="7" t="s">
        <v>5188</v>
      </c>
      <c r="F226" s="7" t="s">
        <v>4511</v>
      </c>
      <c r="G226" s="7" t="s">
        <v>5189</v>
      </c>
      <c r="H226" s="7" t="s">
        <v>5190</v>
      </c>
      <c r="I226" s="119">
        <v>45292.0</v>
      </c>
      <c r="K226" s="7" t="s">
        <v>419</v>
      </c>
      <c r="L226" s="7" t="s">
        <v>991</v>
      </c>
      <c r="M226" s="7" t="s">
        <v>3501</v>
      </c>
      <c r="N226" s="7" t="s">
        <v>3511</v>
      </c>
      <c r="O226" s="7" t="s">
        <v>3512</v>
      </c>
      <c r="P226" s="7" t="s">
        <v>3522</v>
      </c>
      <c r="Q226" s="7" t="s">
        <v>3514</v>
      </c>
    </row>
    <row r="227">
      <c r="A227" s="7" t="s">
        <v>5191</v>
      </c>
      <c r="B227" s="7">
        <v>2300688.0</v>
      </c>
      <c r="C227" s="7" t="s">
        <v>5192</v>
      </c>
      <c r="D227" s="7" t="s">
        <v>5193</v>
      </c>
      <c r="E227" s="7" t="s">
        <v>5194</v>
      </c>
      <c r="F227" s="7" t="s">
        <v>5195</v>
      </c>
      <c r="G227" s="7" t="s">
        <v>5196</v>
      </c>
      <c r="I227" s="119">
        <v>45292.0</v>
      </c>
      <c r="K227" s="7" t="s">
        <v>419</v>
      </c>
      <c r="L227" s="7" t="s">
        <v>991</v>
      </c>
      <c r="M227" s="7" t="s">
        <v>3531</v>
      </c>
      <c r="N227" s="7" t="s">
        <v>5197</v>
      </c>
      <c r="O227" s="7" t="s">
        <v>5198</v>
      </c>
      <c r="P227" s="7" t="s">
        <v>3493</v>
      </c>
      <c r="Q227" s="7">
        <v>1.0</v>
      </c>
    </row>
    <row r="228">
      <c r="A228" s="7" t="s">
        <v>5199</v>
      </c>
      <c r="B228" s="7">
        <v>11167.0</v>
      </c>
      <c r="C228" s="7" t="s">
        <v>5200</v>
      </c>
      <c r="D228" s="7" t="s">
        <v>5201</v>
      </c>
      <c r="E228" s="7" t="s">
        <v>5202</v>
      </c>
      <c r="F228" s="7" t="s">
        <v>5203</v>
      </c>
      <c r="G228" s="7" t="s">
        <v>5204</v>
      </c>
      <c r="H228" s="7" t="s">
        <v>5205</v>
      </c>
      <c r="I228" s="119">
        <v>45292.0</v>
      </c>
      <c r="K228" s="7" t="s">
        <v>419</v>
      </c>
      <c r="L228" s="7" t="s">
        <v>991</v>
      </c>
      <c r="M228" s="7" t="s">
        <v>3501</v>
      </c>
      <c r="N228" s="7" t="s">
        <v>5206</v>
      </c>
      <c r="O228" s="7" t="s">
        <v>5207</v>
      </c>
      <c r="P228" s="7" t="s">
        <v>3604</v>
      </c>
      <c r="Q228" s="7">
        <v>1.0</v>
      </c>
    </row>
    <row r="229">
      <c r="A229" s="7" t="s">
        <v>5208</v>
      </c>
      <c r="B229" s="7">
        <v>13571.0</v>
      </c>
      <c r="C229" s="7" t="s">
        <v>5209</v>
      </c>
      <c r="D229" s="7" t="s">
        <v>4717</v>
      </c>
      <c r="E229" s="7" t="s">
        <v>5210</v>
      </c>
      <c r="F229" s="7" t="s">
        <v>4262</v>
      </c>
      <c r="G229" s="7" t="s">
        <v>5211</v>
      </c>
      <c r="H229" s="7" t="s">
        <v>5212</v>
      </c>
      <c r="I229" s="119">
        <v>45292.0</v>
      </c>
      <c r="K229" s="7" t="s">
        <v>419</v>
      </c>
      <c r="L229" s="7" t="s">
        <v>991</v>
      </c>
      <c r="M229" s="7" t="s">
        <v>3501</v>
      </c>
      <c r="N229" s="7" t="s">
        <v>3841</v>
      </c>
      <c r="O229" s="7" t="s">
        <v>3842</v>
      </c>
      <c r="P229" s="7" t="s">
        <v>3493</v>
      </c>
      <c r="Q229" s="7">
        <v>1.0</v>
      </c>
    </row>
    <row r="230">
      <c r="A230" s="7" t="s">
        <v>2423</v>
      </c>
      <c r="B230" s="7">
        <v>1177.0</v>
      </c>
      <c r="C230" s="7" t="s">
        <v>5213</v>
      </c>
      <c r="D230" s="7" t="s">
        <v>5214</v>
      </c>
      <c r="E230" s="7" t="s">
        <v>5215</v>
      </c>
      <c r="F230" s="7" t="s">
        <v>4598</v>
      </c>
      <c r="G230" s="7" t="s">
        <v>5216</v>
      </c>
      <c r="H230" s="7" t="s">
        <v>5217</v>
      </c>
      <c r="I230" s="119">
        <v>45292.0</v>
      </c>
      <c r="K230" s="7" t="s">
        <v>419</v>
      </c>
      <c r="L230" s="7" t="s">
        <v>991</v>
      </c>
      <c r="M230" s="7" t="s">
        <v>3501</v>
      </c>
      <c r="N230" s="7" t="s">
        <v>5218</v>
      </c>
      <c r="O230" s="7" t="s">
        <v>5219</v>
      </c>
      <c r="P230" s="7" t="s">
        <v>4154</v>
      </c>
      <c r="Q230" s="7" t="s">
        <v>4155</v>
      </c>
    </row>
    <row r="231">
      <c r="A231" s="7" t="s">
        <v>5220</v>
      </c>
      <c r="B231" s="7">
        <v>2200724.0</v>
      </c>
      <c r="C231" s="7" t="s">
        <v>5221</v>
      </c>
      <c r="D231" s="7" t="s">
        <v>5222</v>
      </c>
      <c r="E231" s="7" t="s">
        <v>5223</v>
      </c>
      <c r="F231" s="7" t="s">
        <v>5224</v>
      </c>
      <c r="G231" s="7" t="s">
        <v>5225</v>
      </c>
      <c r="H231" s="7" t="s">
        <v>5226</v>
      </c>
      <c r="I231" s="119">
        <v>45292.0</v>
      </c>
      <c r="K231" s="7" t="s">
        <v>4042</v>
      </c>
      <c r="L231" s="7" t="s">
        <v>991</v>
      </c>
      <c r="M231" s="7" t="s">
        <v>3866</v>
      </c>
      <c r="N231" s="7" t="s">
        <v>4043</v>
      </c>
      <c r="O231" s="7" t="s">
        <v>4044</v>
      </c>
      <c r="P231" s="7" t="s">
        <v>3493</v>
      </c>
      <c r="Q231" s="7">
        <v>1.0</v>
      </c>
    </row>
    <row r="232">
      <c r="A232" s="7" t="s">
        <v>5227</v>
      </c>
      <c r="B232" s="7">
        <v>11740.0</v>
      </c>
      <c r="C232" s="7" t="s">
        <v>5228</v>
      </c>
      <c r="D232" s="7" t="s">
        <v>5229</v>
      </c>
      <c r="E232" s="7" t="s">
        <v>5230</v>
      </c>
      <c r="F232" s="7" t="s">
        <v>5229</v>
      </c>
      <c r="G232" s="7" t="s">
        <v>5231</v>
      </c>
      <c r="H232" s="7" t="s">
        <v>5232</v>
      </c>
      <c r="I232" s="119">
        <v>45292.0</v>
      </c>
      <c r="K232" s="7" t="s">
        <v>419</v>
      </c>
      <c r="L232" s="7" t="s">
        <v>991</v>
      </c>
      <c r="M232" s="7" t="s">
        <v>3501</v>
      </c>
      <c r="N232" s="7" t="s">
        <v>3602</v>
      </c>
      <c r="O232" s="7" t="s">
        <v>3603</v>
      </c>
      <c r="P232" s="7" t="s">
        <v>3493</v>
      </c>
      <c r="Q232" s="7">
        <v>1.0</v>
      </c>
    </row>
    <row r="233">
      <c r="A233" s="7" t="s">
        <v>5233</v>
      </c>
      <c r="B233" s="7">
        <v>13009.0</v>
      </c>
      <c r="C233" s="7" t="s">
        <v>5228</v>
      </c>
      <c r="D233" s="7" t="s">
        <v>5234</v>
      </c>
      <c r="E233" s="7" t="s">
        <v>5230</v>
      </c>
      <c r="F233" s="7" t="s">
        <v>5235</v>
      </c>
      <c r="G233" s="7" t="s">
        <v>5236</v>
      </c>
      <c r="H233" s="7" t="s">
        <v>5237</v>
      </c>
      <c r="I233" s="119">
        <v>45292.0</v>
      </c>
      <c r="K233" s="7" t="s">
        <v>419</v>
      </c>
      <c r="L233" s="7" t="s">
        <v>991</v>
      </c>
      <c r="M233" s="7" t="s">
        <v>3531</v>
      </c>
      <c r="N233" s="7" t="s">
        <v>4738</v>
      </c>
      <c r="O233" s="7" t="s">
        <v>4739</v>
      </c>
      <c r="P233" s="7" t="s">
        <v>3493</v>
      </c>
      <c r="Q233" s="7">
        <v>1.0</v>
      </c>
    </row>
    <row r="234">
      <c r="A234" s="7" t="s">
        <v>5238</v>
      </c>
      <c r="B234" s="7">
        <v>2200237.0</v>
      </c>
      <c r="C234" s="7" t="s">
        <v>5239</v>
      </c>
      <c r="D234" s="7" t="s">
        <v>5240</v>
      </c>
      <c r="E234" s="7" t="s">
        <v>5241</v>
      </c>
      <c r="F234" s="7" t="s">
        <v>5132</v>
      </c>
      <c r="G234" s="7" t="s">
        <v>5242</v>
      </c>
      <c r="H234" s="7" t="s">
        <v>5243</v>
      </c>
      <c r="I234" s="119">
        <v>45292.0</v>
      </c>
      <c r="K234" s="7" t="s">
        <v>419</v>
      </c>
      <c r="L234" s="7" t="s">
        <v>991</v>
      </c>
      <c r="M234" s="7" t="s">
        <v>3501</v>
      </c>
      <c r="N234" s="7" t="s">
        <v>5244</v>
      </c>
      <c r="O234" s="7" t="s">
        <v>5245</v>
      </c>
      <c r="P234" s="7" t="s">
        <v>3843</v>
      </c>
      <c r="Q234" s="7">
        <v>1.0</v>
      </c>
    </row>
    <row r="235">
      <c r="A235" s="7" t="s">
        <v>5246</v>
      </c>
      <c r="B235" s="7">
        <v>10288.0</v>
      </c>
      <c r="C235" s="7" t="s">
        <v>5247</v>
      </c>
      <c r="D235" s="7" t="s">
        <v>5248</v>
      </c>
      <c r="E235" s="7" t="s">
        <v>5249</v>
      </c>
      <c r="F235" s="7" t="s">
        <v>5250</v>
      </c>
      <c r="G235" s="7" t="s">
        <v>5251</v>
      </c>
      <c r="H235" s="7" t="s">
        <v>5252</v>
      </c>
      <c r="I235" s="119">
        <v>45292.0</v>
      </c>
      <c r="K235" s="7" t="s">
        <v>3885</v>
      </c>
      <c r="L235" s="7" t="s">
        <v>3542</v>
      </c>
      <c r="M235" s="7" t="s">
        <v>3543</v>
      </c>
      <c r="N235" s="7" t="s">
        <v>5253</v>
      </c>
      <c r="O235" s="7" t="s">
        <v>5254</v>
      </c>
      <c r="P235" s="7" t="s">
        <v>3522</v>
      </c>
      <c r="Q235" s="7" t="s">
        <v>3514</v>
      </c>
    </row>
    <row r="236">
      <c r="A236" s="7" t="s">
        <v>5255</v>
      </c>
      <c r="B236" s="7">
        <v>2100057.0</v>
      </c>
      <c r="C236" s="7" t="s">
        <v>5256</v>
      </c>
      <c r="D236" s="7" t="s">
        <v>4717</v>
      </c>
      <c r="E236" s="7" t="s">
        <v>5257</v>
      </c>
      <c r="F236" s="7" t="s">
        <v>4262</v>
      </c>
      <c r="G236" s="7" t="s">
        <v>5258</v>
      </c>
      <c r="H236" s="7" t="s">
        <v>5259</v>
      </c>
      <c r="I236" s="119">
        <v>45292.0</v>
      </c>
      <c r="K236" s="7" t="s">
        <v>419</v>
      </c>
      <c r="L236" s="7" t="s">
        <v>991</v>
      </c>
      <c r="M236" s="7" t="s">
        <v>3501</v>
      </c>
      <c r="N236" s="7" t="s">
        <v>3733</v>
      </c>
      <c r="O236" s="7" t="s">
        <v>3734</v>
      </c>
      <c r="P236" s="7" t="s">
        <v>3493</v>
      </c>
      <c r="Q236" s="7">
        <v>1.0</v>
      </c>
    </row>
    <row r="237">
      <c r="A237" s="7" t="s">
        <v>5260</v>
      </c>
      <c r="B237" s="7">
        <v>2100566.0</v>
      </c>
      <c r="C237" s="7" t="s">
        <v>5261</v>
      </c>
      <c r="D237" s="7" t="s">
        <v>5262</v>
      </c>
      <c r="E237" s="7" t="s">
        <v>5263</v>
      </c>
      <c r="F237" s="7" t="s">
        <v>5264</v>
      </c>
      <c r="G237" s="7" t="s">
        <v>5265</v>
      </c>
      <c r="H237" s="7" t="s">
        <v>5266</v>
      </c>
      <c r="I237" s="119">
        <v>45292.0</v>
      </c>
      <c r="K237" s="7" t="s">
        <v>4206</v>
      </c>
      <c r="L237" s="7" t="s">
        <v>3542</v>
      </c>
      <c r="M237" s="7" t="s">
        <v>3543</v>
      </c>
      <c r="N237" s="7" t="s">
        <v>4207</v>
      </c>
      <c r="O237" s="7" t="s">
        <v>4208</v>
      </c>
      <c r="P237" s="7" t="s">
        <v>3522</v>
      </c>
      <c r="Q237" s="7" t="s">
        <v>3514</v>
      </c>
    </row>
    <row r="238">
      <c r="A238" s="7" t="s">
        <v>5267</v>
      </c>
      <c r="B238" s="7">
        <v>13834.0</v>
      </c>
      <c r="C238" s="7" t="s">
        <v>5268</v>
      </c>
      <c r="D238" s="7" t="s">
        <v>5269</v>
      </c>
      <c r="E238" s="7" t="s">
        <v>5270</v>
      </c>
      <c r="F238" s="7" t="s">
        <v>3889</v>
      </c>
      <c r="G238" s="7" t="s">
        <v>5271</v>
      </c>
      <c r="H238" s="7" t="s">
        <v>5272</v>
      </c>
      <c r="I238" s="119">
        <v>45292.0</v>
      </c>
      <c r="K238" s="7" t="s">
        <v>419</v>
      </c>
      <c r="L238" s="7" t="s">
        <v>991</v>
      </c>
      <c r="M238" s="7" t="s">
        <v>3531</v>
      </c>
      <c r="N238" s="7" t="s">
        <v>5273</v>
      </c>
      <c r="O238" s="7" t="s">
        <v>5274</v>
      </c>
      <c r="P238" s="7" t="s">
        <v>3493</v>
      </c>
      <c r="Q238" s="7">
        <v>1.0</v>
      </c>
    </row>
    <row r="239">
      <c r="A239" s="7" t="s">
        <v>5275</v>
      </c>
      <c r="B239" s="7">
        <v>2100024.0</v>
      </c>
      <c r="C239" s="7" t="s">
        <v>5276</v>
      </c>
      <c r="D239" s="7" t="s">
        <v>5277</v>
      </c>
      <c r="E239" s="7" t="s">
        <v>5278</v>
      </c>
      <c r="F239" s="7" t="s">
        <v>5279</v>
      </c>
      <c r="G239" s="7" t="s">
        <v>5280</v>
      </c>
      <c r="H239" s="7" t="s">
        <v>5281</v>
      </c>
      <c r="I239" s="119">
        <v>45292.0</v>
      </c>
      <c r="K239" s="7" t="s">
        <v>419</v>
      </c>
      <c r="L239" s="7" t="s">
        <v>991</v>
      </c>
      <c r="M239" s="7" t="s">
        <v>3501</v>
      </c>
      <c r="N239" s="7" t="s">
        <v>4660</v>
      </c>
      <c r="O239" s="7" t="s">
        <v>4661</v>
      </c>
      <c r="P239" s="7" t="s">
        <v>3493</v>
      </c>
      <c r="Q239" s="7">
        <v>1.0</v>
      </c>
    </row>
    <row r="240">
      <c r="A240" s="7" t="s">
        <v>5282</v>
      </c>
      <c r="B240" s="7">
        <v>2200394.0</v>
      </c>
      <c r="C240" s="7" t="s">
        <v>5283</v>
      </c>
      <c r="D240" s="7" t="s">
        <v>5284</v>
      </c>
      <c r="E240" s="7" t="s">
        <v>5285</v>
      </c>
      <c r="F240" s="7" t="s">
        <v>5286</v>
      </c>
      <c r="G240" s="7" t="s">
        <v>5287</v>
      </c>
      <c r="H240" s="7" t="s">
        <v>5288</v>
      </c>
      <c r="I240" s="119">
        <v>45292.0</v>
      </c>
      <c r="K240" s="7" t="s">
        <v>419</v>
      </c>
      <c r="L240" s="7" t="s">
        <v>991</v>
      </c>
      <c r="M240" s="7" t="s">
        <v>3501</v>
      </c>
      <c r="N240" s="7" t="s">
        <v>5289</v>
      </c>
      <c r="O240" s="7" t="s">
        <v>5290</v>
      </c>
      <c r="P240" s="7" t="s">
        <v>3493</v>
      </c>
      <c r="Q240" s="7">
        <v>1.0</v>
      </c>
    </row>
    <row r="241">
      <c r="A241" s="7" t="s">
        <v>5291</v>
      </c>
      <c r="B241" s="7">
        <v>2200903.0</v>
      </c>
      <c r="C241" s="7" t="s">
        <v>5292</v>
      </c>
      <c r="D241" s="7" t="s">
        <v>5293</v>
      </c>
      <c r="E241" s="7" t="s">
        <v>5294</v>
      </c>
      <c r="F241" s="7" t="s">
        <v>5295</v>
      </c>
      <c r="G241" s="7" t="s">
        <v>5296</v>
      </c>
      <c r="H241" s="7" t="s">
        <v>5297</v>
      </c>
      <c r="I241" s="119">
        <v>45292.0</v>
      </c>
      <c r="K241" s="7" t="s">
        <v>419</v>
      </c>
      <c r="L241" s="7" t="s">
        <v>991</v>
      </c>
      <c r="M241" s="7" t="s">
        <v>3501</v>
      </c>
      <c r="N241" s="7" t="s">
        <v>5298</v>
      </c>
      <c r="O241" s="7" t="s">
        <v>5299</v>
      </c>
      <c r="P241" s="7" t="s">
        <v>3522</v>
      </c>
      <c r="Q241" s="7" t="s">
        <v>3523</v>
      </c>
    </row>
    <row r="242">
      <c r="A242" s="7" t="s">
        <v>5300</v>
      </c>
      <c r="B242" s="7">
        <v>861.0</v>
      </c>
      <c r="C242" s="7" t="s">
        <v>5292</v>
      </c>
      <c r="D242" s="7" t="s">
        <v>5301</v>
      </c>
      <c r="E242" s="7" t="s">
        <v>5294</v>
      </c>
      <c r="F242" s="7" t="s">
        <v>5295</v>
      </c>
      <c r="G242" s="7" t="s">
        <v>5302</v>
      </c>
      <c r="H242" s="7" t="s">
        <v>5303</v>
      </c>
      <c r="I242" s="119">
        <v>45292.0</v>
      </c>
      <c r="K242" s="7" t="s">
        <v>419</v>
      </c>
      <c r="L242" s="7" t="s">
        <v>991</v>
      </c>
      <c r="M242" s="7" t="s">
        <v>3501</v>
      </c>
      <c r="N242" s="7" t="s">
        <v>5304</v>
      </c>
      <c r="O242" s="7" t="s">
        <v>5305</v>
      </c>
      <c r="P242" s="7" t="s">
        <v>3785</v>
      </c>
      <c r="Q242" s="7" t="s">
        <v>3523</v>
      </c>
    </row>
    <row r="243">
      <c r="A243" s="7" t="s">
        <v>5306</v>
      </c>
      <c r="B243" s="7">
        <v>11562.0</v>
      </c>
      <c r="C243" s="7" t="s">
        <v>5292</v>
      </c>
      <c r="D243" s="7" t="s">
        <v>5307</v>
      </c>
      <c r="E243" s="7" t="s">
        <v>5294</v>
      </c>
      <c r="F243" s="7" t="s">
        <v>4487</v>
      </c>
      <c r="G243" s="7" t="s">
        <v>5308</v>
      </c>
      <c r="H243" s="7" t="s">
        <v>5309</v>
      </c>
      <c r="I243" s="119">
        <v>45292.0</v>
      </c>
      <c r="K243" s="7" t="s">
        <v>419</v>
      </c>
      <c r="L243" s="7" t="s">
        <v>991</v>
      </c>
      <c r="M243" s="7" t="s">
        <v>3531</v>
      </c>
      <c r="N243" s="7" t="s">
        <v>3724</v>
      </c>
      <c r="O243" s="7" t="s">
        <v>3725</v>
      </c>
      <c r="P243" s="7" t="s">
        <v>3493</v>
      </c>
      <c r="Q243" s="7">
        <v>1.0</v>
      </c>
    </row>
    <row r="244">
      <c r="A244" s="7" t="s">
        <v>5310</v>
      </c>
      <c r="B244" s="7">
        <v>13654.0</v>
      </c>
      <c r="C244" s="7" t="s">
        <v>5292</v>
      </c>
      <c r="D244" s="7" t="s">
        <v>5311</v>
      </c>
      <c r="E244" s="7" t="s">
        <v>5294</v>
      </c>
      <c r="F244" s="7" t="s">
        <v>5312</v>
      </c>
      <c r="G244" s="7" t="s">
        <v>5313</v>
      </c>
      <c r="H244" s="7" t="s">
        <v>5314</v>
      </c>
      <c r="I244" s="119">
        <v>45292.0</v>
      </c>
      <c r="K244" s="7" t="s">
        <v>3632</v>
      </c>
      <c r="L244" s="7" t="s">
        <v>991</v>
      </c>
      <c r="M244" s="7" t="s">
        <v>3501</v>
      </c>
      <c r="N244" s="7" t="s">
        <v>4542</v>
      </c>
      <c r="O244" s="7" t="s">
        <v>4543</v>
      </c>
      <c r="P244" s="7" t="s">
        <v>3522</v>
      </c>
      <c r="Q244" s="7" t="s">
        <v>3523</v>
      </c>
    </row>
    <row r="245">
      <c r="A245" s="7" t="s">
        <v>5315</v>
      </c>
      <c r="B245" s="7">
        <v>2300628.0</v>
      </c>
      <c r="C245" s="7" t="s">
        <v>5292</v>
      </c>
      <c r="D245" s="7" t="s">
        <v>5316</v>
      </c>
      <c r="E245" s="7" t="s">
        <v>5294</v>
      </c>
      <c r="F245" s="7" t="s">
        <v>5317</v>
      </c>
      <c r="G245" s="7" t="s">
        <v>5318</v>
      </c>
      <c r="H245" s="7" t="s">
        <v>5319</v>
      </c>
      <c r="I245" s="119">
        <v>45292.0</v>
      </c>
      <c r="K245" s="7" t="s">
        <v>419</v>
      </c>
      <c r="L245" s="7" t="s">
        <v>991</v>
      </c>
      <c r="M245" s="7" t="s">
        <v>3501</v>
      </c>
      <c r="N245" s="7" t="s">
        <v>5320</v>
      </c>
      <c r="O245" s="7" t="s">
        <v>5321</v>
      </c>
      <c r="P245" s="7" t="s">
        <v>3604</v>
      </c>
      <c r="Q245" s="7">
        <v>1.0</v>
      </c>
    </row>
    <row r="246">
      <c r="A246" s="7" t="s">
        <v>5322</v>
      </c>
      <c r="B246" s="7">
        <v>2200006.0</v>
      </c>
      <c r="C246" s="7" t="s">
        <v>5292</v>
      </c>
      <c r="D246" s="7" t="s">
        <v>5323</v>
      </c>
      <c r="E246" s="7" t="s">
        <v>5294</v>
      </c>
      <c r="F246" s="7" t="s">
        <v>3665</v>
      </c>
      <c r="G246" s="7" t="s">
        <v>5324</v>
      </c>
      <c r="H246" s="7" t="s">
        <v>5325</v>
      </c>
      <c r="I246" s="119">
        <v>45292.0</v>
      </c>
      <c r="K246" s="7" t="s">
        <v>419</v>
      </c>
      <c r="L246" s="7" t="s">
        <v>991</v>
      </c>
      <c r="M246" s="7" t="s">
        <v>3501</v>
      </c>
      <c r="N246" s="7" t="s">
        <v>5326</v>
      </c>
      <c r="O246" s="7" t="s">
        <v>5327</v>
      </c>
      <c r="P246" s="7" t="s">
        <v>3843</v>
      </c>
      <c r="Q246" s="7">
        <v>1.0</v>
      </c>
    </row>
    <row r="247">
      <c r="A247" s="7" t="s">
        <v>5328</v>
      </c>
      <c r="B247" s="7">
        <v>12449.0</v>
      </c>
      <c r="C247" s="7" t="s">
        <v>5292</v>
      </c>
      <c r="D247" s="7" t="s">
        <v>5329</v>
      </c>
      <c r="E247" s="7" t="s">
        <v>5294</v>
      </c>
      <c r="F247" s="7" t="s">
        <v>5330</v>
      </c>
      <c r="G247" s="7" t="s">
        <v>5331</v>
      </c>
      <c r="H247" s="7" t="s">
        <v>5332</v>
      </c>
      <c r="I247" s="119">
        <v>45292.0</v>
      </c>
      <c r="K247" s="7" t="s">
        <v>3885</v>
      </c>
      <c r="L247" s="7" t="s">
        <v>3542</v>
      </c>
      <c r="M247" s="7" t="s">
        <v>3543</v>
      </c>
      <c r="N247" s="7" t="s">
        <v>5333</v>
      </c>
      <c r="O247" s="7" t="s">
        <v>5334</v>
      </c>
      <c r="P247" s="7" t="s">
        <v>3522</v>
      </c>
      <c r="Q247" s="7" t="s">
        <v>3514</v>
      </c>
    </row>
    <row r="248">
      <c r="A248" s="7" t="s">
        <v>5335</v>
      </c>
      <c r="B248" s="7">
        <v>2300646.0</v>
      </c>
      <c r="C248" s="7" t="s">
        <v>5336</v>
      </c>
      <c r="D248" s="7" t="s">
        <v>5337</v>
      </c>
      <c r="E248" s="7" t="s">
        <v>5338</v>
      </c>
      <c r="F248" s="7" t="s">
        <v>3498</v>
      </c>
      <c r="G248" s="7" t="s">
        <v>5339</v>
      </c>
      <c r="H248" s="7" t="s">
        <v>5340</v>
      </c>
      <c r="I248" s="119">
        <v>45292.0</v>
      </c>
      <c r="K248" s="7" t="s">
        <v>419</v>
      </c>
      <c r="L248" s="7" t="s">
        <v>991</v>
      </c>
      <c r="M248" s="7" t="s">
        <v>3501</v>
      </c>
      <c r="N248" s="7" t="s">
        <v>5341</v>
      </c>
      <c r="O248" s="7" t="s">
        <v>5342</v>
      </c>
      <c r="P248" s="7" t="s">
        <v>3843</v>
      </c>
      <c r="Q248" s="7">
        <v>1.0</v>
      </c>
    </row>
    <row r="249">
      <c r="A249" s="7" t="s">
        <v>5343</v>
      </c>
      <c r="B249" s="7">
        <v>10977.0</v>
      </c>
      <c r="C249" s="7" t="s">
        <v>5344</v>
      </c>
      <c r="D249" s="7" t="s">
        <v>5345</v>
      </c>
      <c r="E249" s="7" t="s">
        <v>5346</v>
      </c>
      <c r="F249" s="7" t="s">
        <v>5347</v>
      </c>
      <c r="G249" s="7" t="s">
        <v>5348</v>
      </c>
      <c r="H249" s="7" t="s">
        <v>5349</v>
      </c>
      <c r="I249" s="119">
        <v>45292.0</v>
      </c>
      <c r="K249" s="7" t="s">
        <v>419</v>
      </c>
      <c r="L249" s="7" t="s">
        <v>991</v>
      </c>
      <c r="M249" s="7" t="s">
        <v>3501</v>
      </c>
      <c r="N249" s="7" t="s">
        <v>3695</v>
      </c>
      <c r="O249" s="7" t="s">
        <v>5350</v>
      </c>
      <c r="P249" s="7" t="s">
        <v>3493</v>
      </c>
      <c r="Q249" s="7">
        <v>1.0</v>
      </c>
    </row>
    <row r="250">
      <c r="A250" s="7" t="s">
        <v>5351</v>
      </c>
      <c r="B250" s="7">
        <v>11097.0</v>
      </c>
      <c r="C250" s="7" t="s">
        <v>5352</v>
      </c>
      <c r="D250" s="7" t="s">
        <v>5353</v>
      </c>
      <c r="E250" s="7" t="s">
        <v>5354</v>
      </c>
      <c r="F250" s="7" t="s">
        <v>5355</v>
      </c>
      <c r="G250" s="7" t="s">
        <v>5356</v>
      </c>
      <c r="H250" s="7" t="s">
        <v>5357</v>
      </c>
      <c r="I250" s="119">
        <v>45292.0</v>
      </c>
      <c r="K250" s="7" t="s">
        <v>419</v>
      </c>
      <c r="L250" s="7" t="s">
        <v>991</v>
      </c>
      <c r="M250" s="7" t="s">
        <v>3501</v>
      </c>
      <c r="N250" s="7" t="s">
        <v>5358</v>
      </c>
      <c r="O250" s="7" t="s">
        <v>5359</v>
      </c>
      <c r="P250" s="7" t="s">
        <v>3493</v>
      </c>
      <c r="Q250" s="7">
        <v>1.0</v>
      </c>
    </row>
    <row r="251">
      <c r="A251" s="7" t="s">
        <v>5360</v>
      </c>
      <c r="B251" s="7">
        <v>825.0</v>
      </c>
      <c r="C251" s="7" t="s">
        <v>5352</v>
      </c>
      <c r="D251" s="7" t="s">
        <v>5361</v>
      </c>
      <c r="E251" s="7" t="s">
        <v>5354</v>
      </c>
      <c r="F251" s="7" t="s">
        <v>5362</v>
      </c>
      <c r="G251" s="7" t="s">
        <v>5363</v>
      </c>
      <c r="H251" s="7" t="s">
        <v>5364</v>
      </c>
      <c r="I251" s="119">
        <v>45292.0</v>
      </c>
      <c r="K251" s="7" t="s">
        <v>419</v>
      </c>
      <c r="L251" s="7" t="s">
        <v>991</v>
      </c>
      <c r="M251" s="7" t="s">
        <v>3501</v>
      </c>
      <c r="N251" s="7" t="s">
        <v>4152</v>
      </c>
      <c r="O251" s="7" t="s">
        <v>5365</v>
      </c>
      <c r="P251" s="7" t="s">
        <v>5366</v>
      </c>
      <c r="Q251" s="7" t="s">
        <v>3710</v>
      </c>
    </row>
    <row r="252">
      <c r="A252" s="7" t="s">
        <v>5367</v>
      </c>
      <c r="B252" s="7">
        <v>2200649.0</v>
      </c>
      <c r="C252" s="7" t="s">
        <v>5352</v>
      </c>
      <c r="D252" s="7" t="s">
        <v>5368</v>
      </c>
      <c r="E252" s="7" t="s">
        <v>5354</v>
      </c>
      <c r="F252" s="7" t="s">
        <v>5369</v>
      </c>
      <c r="G252" s="7" t="s">
        <v>5370</v>
      </c>
      <c r="H252" s="7" t="s">
        <v>5371</v>
      </c>
      <c r="I252" s="119">
        <v>45292.0</v>
      </c>
      <c r="K252" s="7" t="s">
        <v>419</v>
      </c>
      <c r="L252" s="7" t="s">
        <v>991</v>
      </c>
      <c r="M252" s="7" t="s">
        <v>3531</v>
      </c>
      <c r="N252" s="7" t="s">
        <v>5372</v>
      </c>
      <c r="O252" s="7" t="s">
        <v>5373</v>
      </c>
      <c r="P252" s="7" t="s">
        <v>3493</v>
      </c>
      <c r="Q252" s="7">
        <v>1.0</v>
      </c>
    </row>
    <row r="253">
      <c r="A253" s="7" t="s">
        <v>5374</v>
      </c>
      <c r="B253" s="7">
        <v>12282.0</v>
      </c>
      <c r="C253" s="7" t="s">
        <v>5375</v>
      </c>
      <c r="D253" s="7" t="s">
        <v>4545</v>
      </c>
      <c r="E253" s="7" t="s">
        <v>5376</v>
      </c>
      <c r="F253" s="7" t="s">
        <v>4546</v>
      </c>
      <c r="G253" s="7" t="s">
        <v>5377</v>
      </c>
      <c r="H253" s="7" t="s">
        <v>5378</v>
      </c>
      <c r="I253" s="119">
        <v>45292.0</v>
      </c>
      <c r="K253" s="7" t="s">
        <v>419</v>
      </c>
      <c r="L253" s="7" t="s">
        <v>991</v>
      </c>
      <c r="M253" s="7" t="s">
        <v>3501</v>
      </c>
      <c r="N253" s="7" t="s">
        <v>5379</v>
      </c>
      <c r="O253" s="7" t="s">
        <v>5380</v>
      </c>
      <c r="P253" s="7" t="s">
        <v>3493</v>
      </c>
      <c r="Q253" s="7">
        <v>1.0</v>
      </c>
    </row>
    <row r="254">
      <c r="A254" s="7" t="s">
        <v>5381</v>
      </c>
      <c r="B254" s="7">
        <v>13150.0</v>
      </c>
      <c r="C254" s="7" t="s">
        <v>5382</v>
      </c>
      <c r="D254" s="7" t="s">
        <v>5383</v>
      </c>
      <c r="E254" s="7" t="s">
        <v>5384</v>
      </c>
      <c r="F254" s="7" t="s">
        <v>3486</v>
      </c>
      <c r="G254" s="7" t="s">
        <v>5385</v>
      </c>
      <c r="H254" s="7" t="s">
        <v>5386</v>
      </c>
      <c r="I254" s="119">
        <v>45292.0</v>
      </c>
      <c r="K254" s="7" t="s">
        <v>419</v>
      </c>
      <c r="L254" s="7" t="s">
        <v>991</v>
      </c>
      <c r="M254" s="7" t="s">
        <v>3531</v>
      </c>
      <c r="N254" s="7" t="s">
        <v>3724</v>
      </c>
      <c r="O254" s="7" t="s">
        <v>3725</v>
      </c>
      <c r="P254" s="7" t="s">
        <v>3493</v>
      </c>
      <c r="Q254" s="7">
        <v>1.0</v>
      </c>
    </row>
    <row r="255">
      <c r="A255" s="7" t="s">
        <v>5387</v>
      </c>
      <c r="B255" s="7">
        <v>2200310.0</v>
      </c>
      <c r="C255" s="7" t="s">
        <v>5388</v>
      </c>
      <c r="D255" s="7" t="s">
        <v>5153</v>
      </c>
      <c r="E255" s="7" t="s">
        <v>5389</v>
      </c>
      <c r="F255" s="7" t="s">
        <v>5155</v>
      </c>
      <c r="G255" s="7" t="s">
        <v>5390</v>
      </c>
      <c r="I255" s="119">
        <v>45292.0</v>
      </c>
      <c r="K255" s="7" t="s">
        <v>419</v>
      </c>
      <c r="L255" s="7" t="s">
        <v>991</v>
      </c>
      <c r="M255" s="7" t="s">
        <v>3531</v>
      </c>
      <c r="N255" s="7" t="s">
        <v>3820</v>
      </c>
      <c r="O255" s="7" t="s">
        <v>3821</v>
      </c>
      <c r="P255" s="7" t="s">
        <v>3493</v>
      </c>
      <c r="Q255" s="7">
        <v>1.0</v>
      </c>
    </row>
    <row r="256">
      <c r="A256" s="7" t="s">
        <v>5391</v>
      </c>
      <c r="B256" s="7">
        <v>13428.0</v>
      </c>
      <c r="C256" s="7" t="s">
        <v>5392</v>
      </c>
      <c r="D256" s="7" t="s">
        <v>5393</v>
      </c>
      <c r="E256" s="7" t="s">
        <v>5394</v>
      </c>
      <c r="F256" s="7" t="s">
        <v>5395</v>
      </c>
      <c r="G256" s="7" t="s">
        <v>5396</v>
      </c>
      <c r="H256" s="7" t="s">
        <v>5397</v>
      </c>
      <c r="I256" s="119">
        <v>45292.0</v>
      </c>
      <c r="K256" s="7" t="s">
        <v>419</v>
      </c>
      <c r="L256" s="7" t="s">
        <v>991</v>
      </c>
      <c r="M256" s="7" t="s">
        <v>3501</v>
      </c>
      <c r="N256" s="7" t="s">
        <v>3802</v>
      </c>
      <c r="O256" s="7" t="s">
        <v>3803</v>
      </c>
      <c r="P256" s="7" t="s">
        <v>3493</v>
      </c>
      <c r="Q256" s="7">
        <v>1.0</v>
      </c>
    </row>
    <row r="257">
      <c r="A257" s="7" t="s">
        <v>5398</v>
      </c>
      <c r="B257" s="7">
        <v>2300437.0</v>
      </c>
      <c r="C257" s="7" t="s">
        <v>5399</v>
      </c>
      <c r="D257" s="7" t="s">
        <v>5400</v>
      </c>
      <c r="E257" s="7" t="s">
        <v>5401</v>
      </c>
      <c r="F257" s="7" t="s">
        <v>4546</v>
      </c>
      <c r="G257" s="7" t="s">
        <v>5402</v>
      </c>
      <c r="H257" s="7" t="s">
        <v>5403</v>
      </c>
      <c r="I257" s="119">
        <v>45292.0</v>
      </c>
      <c r="K257" s="7" t="s">
        <v>419</v>
      </c>
      <c r="L257" s="7" t="s">
        <v>991</v>
      </c>
      <c r="M257" s="7" t="s">
        <v>3501</v>
      </c>
      <c r="N257" s="7" t="s">
        <v>5085</v>
      </c>
      <c r="O257" s="7" t="s">
        <v>5086</v>
      </c>
      <c r="P257" s="7" t="s">
        <v>3493</v>
      </c>
      <c r="Q257" s="7">
        <v>1.0</v>
      </c>
    </row>
    <row r="258">
      <c r="A258" s="7" t="s">
        <v>5404</v>
      </c>
      <c r="B258" s="7">
        <v>11250.0</v>
      </c>
      <c r="C258" s="7" t="s">
        <v>5405</v>
      </c>
      <c r="D258" s="7" t="s">
        <v>5406</v>
      </c>
      <c r="E258" s="7" t="s">
        <v>5407</v>
      </c>
      <c r="F258" s="7" t="s">
        <v>5408</v>
      </c>
      <c r="G258" s="7" t="s">
        <v>5409</v>
      </c>
      <c r="H258" s="7" t="s">
        <v>5410</v>
      </c>
      <c r="I258" s="119">
        <v>45292.0</v>
      </c>
      <c r="K258" s="7" t="s">
        <v>419</v>
      </c>
      <c r="L258" s="7" t="s">
        <v>991</v>
      </c>
      <c r="M258" s="7" t="s">
        <v>3501</v>
      </c>
      <c r="N258" s="7" t="s">
        <v>5411</v>
      </c>
      <c r="O258" s="7" t="s">
        <v>5412</v>
      </c>
      <c r="P258" s="7" t="s">
        <v>3493</v>
      </c>
      <c r="Q258" s="7">
        <v>1.0</v>
      </c>
    </row>
    <row r="259">
      <c r="A259" s="7" t="s">
        <v>5413</v>
      </c>
      <c r="B259" s="7">
        <v>2300583.0</v>
      </c>
      <c r="C259" s="7" t="s">
        <v>5414</v>
      </c>
      <c r="D259" s="7" t="s">
        <v>5415</v>
      </c>
      <c r="E259" s="7" t="s">
        <v>5416</v>
      </c>
      <c r="F259" s="7" t="s">
        <v>5417</v>
      </c>
      <c r="G259" s="7" t="s">
        <v>5418</v>
      </c>
      <c r="H259" s="7" t="s">
        <v>5419</v>
      </c>
      <c r="I259" s="119">
        <v>45292.0</v>
      </c>
      <c r="K259" s="7" t="s">
        <v>419</v>
      </c>
      <c r="L259" s="7" t="s">
        <v>991</v>
      </c>
      <c r="M259" s="7" t="s">
        <v>3501</v>
      </c>
      <c r="N259" s="7" t="s">
        <v>5420</v>
      </c>
      <c r="O259" s="7" t="s">
        <v>5421</v>
      </c>
      <c r="P259" s="7" t="s">
        <v>3493</v>
      </c>
      <c r="Q259" s="7">
        <v>1.0</v>
      </c>
    </row>
    <row r="260">
      <c r="A260" s="7" t="s">
        <v>5422</v>
      </c>
      <c r="B260" s="7">
        <v>2400009.0</v>
      </c>
      <c r="C260" s="7" t="s">
        <v>5423</v>
      </c>
      <c r="D260" s="7" t="s">
        <v>5424</v>
      </c>
      <c r="E260" s="7" t="s">
        <v>5425</v>
      </c>
      <c r="F260" s="7" t="s">
        <v>5426</v>
      </c>
      <c r="G260" s="7" t="s">
        <v>5427</v>
      </c>
      <c r="H260" s="7" t="s">
        <v>5428</v>
      </c>
      <c r="I260" s="119">
        <v>45292.0</v>
      </c>
      <c r="K260" s="7" t="s">
        <v>419</v>
      </c>
      <c r="L260" s="7" t="s">
        <v>991</v>
      </c>
      <c r="M260" s="7" t="s">
        <v>3531</v>
      </c>
      <c r="N260" s="7" t="s">
        <v>3841</v>
      </c>
      <c r="O260" s="7" t="s">
        <v>3842</v>
      </c>
      <c r="P260" s="7" t="s">
        <v>3493</v>
      </c>
      <c r="Q260" s="7">
        <v>1.0</v>
      </c>
    </row>
    <row r="261">
      <c r="A261" s="7" t="s">
        <v>5429</v>
      </c>
      <c r="B261" s="7">
        <v>13670.0</v>
      </c>
      <c r="C261" s="7" t="s">
        <v>5430</v>
      </c>
      <c r="D261" s="7" t="s">
        <v>5431</v>
      </c>
      <c r="E261" s="7" t="s">
        <v>5432</v>
      </c>
      <c r="F261" s="7" t="s">
        <v>5433</v>
      </c>
      <c r="G261" s="7" t="s">
        <v>5434</v>
      </c>
      <c r="H261" s="7" t="s">
        <v>5435</v>
      </c>
      <c r="I261" s="119">
        <v>45292.0</v>
      </c>
      <c r="K261" s="7" t="s">
        <v>3632</v>
      </c>
      <c r="L261" s="7" t="s">
        <v>991</v>
      </c>
      <c r="M261" s="7" t="s">
        <v>3501</v>
      </c>
      <c r="N261" s="7" t="s">
        <v>5436</v>
      </c>
      <c r="O261" s="7" t="s">
        <v>5437</v>
      </c>
      <c r="P261" s="7" t="s">
        <v>4154</v>
      </c>
      <c r="Q261" s="7" t="s">
        <v>3566</v>
      </c>
    </row>
    <row r="262">
      <c r="A262" s="7" t="s">
        <v>1411</v>
      </c>
      <c r="B262" s="7">
        <v>302.0</v>
      </c>
      <c r="C262" s="7" t="s">
        <v>5438</v>
      </c>
      <c r="D262" s="7" t="s">
        <v>5439</v>
      </c>
      <c r="E262" s="7" t="s">
        <v>5440</v>
      </c>
      <c r="F262" s="7" t="s">
        <v>5441</v>
      </c>
      <c r="G262" s="7" t="s">
        <v>5442</v>
      </c>
      <c r="H262" s="7" t="s">
        <v>5443</v>
      </c>
      <c r="I262" s="119">
        <v>45292.0</v>
      </c>
      <c r="K262" s="7" t="s">
        <v>419</v>
      </c>
      <c r="L262" s="7" t="s">
        <v>991</v>
      </c>
      <c r="M262" s="7" t="s">
        <v>3501</v>
      </c>
      <c r="N262" s="7" t="s">
        <v>5444</v>
      </c>
      <c r="O262" s="7" t="s">
        <v>5445</v>
      </c>
      <c r="P262" s="7" t="s">
        <v>5446</v>
      </c>
      <c r="Q262" s="7" t="s">
        <v>4155</v>
      </c>
    </row>
    <row r="263">
      <c r="A263" s="7" t="s">
        <v>5447</v>
      </c>
      <c r="B263" s="7">
        <v>2200286.0</v>
      </c>
      <c r="C263" s="7" t="s">
        <v>5448</v>
      </c>
      <c r="D263" s="7" t="s">
        <v>5449</v>
      </c>
      <c r="E263" s="7" t="s">
        <v>5450</v>
      </c>
      <c r="F263" s="7" t="s">
        <v>5451</v>
      </c>
      <c r="G263" s="7" t="s">
        <v>5452</v>
      </c>
      <c r="H263" s="7" t="s">
        <v>5453</v>
      </c>
      <c r="I263" s="119">
        <v>45292.0</v>
      </c>
      <c r="K263" s="7" t="s">
        <v>419</v>
      </c>
      <c r="L263" s="7" t="s">
        <v>991</v>
      </c>
      <c r="M263" s="7" t="s">
        <v>3501</v>
      </c>
      <c r="N263" s="7" t="s">
        <v>3769</v>
      </c>
      <c r="O263" s="7" t="s">
        <v>5454</v>
      </c>
      <c r="P263" s="7" t="s">
        <v>3493</v>
      </c>
      <c r="Q263" s="7">
        <v>1.0</v>
      </c>
    </row>
    <row r="264">
      <c r="A264" s="7" t="s">
        <v>5455</v>
      </c>
      <c r="B264" s="7">
        <v>10737.0</v>
      </c>
      <c r="C264" s="7" t="s">
        <v>5456</v>
      </c>
      <c r="D264" s="7" t="s">
        <v>5457</v>
      </c>
      <c r="E264" s="7" t="s">
        <v>5458</v>
      </c>
      <c r="F264" s="7" t="s">
        <v>4960</v>
      </c>
      <c r="G264" s="7" t="s">
        <v>5459</v>
      </c>
      <c r="H264" s="7" t="s">
        <v>5460</v>
      </c>
      <c r="I264" s="119">
        <v>45292.0</v>
      </c>
      <c r="K264" s="7" t="s">
        <v>419</v>
      </c>
      <c r="L264" s="7" t="s">
        <v>991</v>
      </c>
      <c r="M264" s="7" t="s">
        <v>3501</v>
      </c>
      <c r="N264" s="7" t="s">
        <v>5461</v>
      </c>
      <c r="O264" s="7" t="s">
        <v>5462</v>
      </c>
      <c r="P264" s="7" t="s">
        <v>3493</v>
      </c>
      <c r="Q264" s="7">
        <v>1.0</v>
      </c>
    </row>
    <row r="265">
      <c r="A265" s="7" t="s">
        <v>5463</v>
      </c>
      <c r="B265" s="7">
        <v>14041.0</v>
      </c>
      <c r="C265" s="7" t="s">
        <v>5464</v>
      </c>
      <c r="D265" s="7" t="s">
        <v>5465</v>
      </c>
      <c r="E265" s="7" t="s">
        <v>5458</v>
      </c>
      <c r="F265" s="7" t="s">
        <v>5466</v>
      </c>
      <c r="G265" s="7" t="s">
        <v>5467</v>
      </c>
      <c r="H265" s="7" t="s">
        <v>5468</v>
      </c>
      <c r="I265" s="119">
        <v>45292.0</v>
      </c>
      <c r="K265" s="7" t="s">
        <v>419</v>
      </c>
      <c r="L265" s="7" t="s">
        <v>991</v>
      </c>
      <c r="M265" s="7" t="s">
        <v>3501</v>
      </c>
      <c r="N265" s="7" t="s">
        <v>5469</v>
      </c>
      <c r="O265" s="7" t="s">
        <v>5470</v>
      </c>
      <c r="P265" s="7" t="s">
        <v>3843</v>
      </c>
      <c r="Q265" s="7">
        <v>1.0</v>
      </c>
    </row>
    <row r="266">
      <c r="A266" s="7" t="s">
        <v>5471</v>
      </c>
      <c r="B266" s="7">
        <v>1095.0</v>
      </c>
      <c r="C266" s="7" t="s">
        <v>5472</v>
      </c>
      <c r="D266" s="7" t="s">
        <v>5473</v>
      </c>
      <c r="E266" s="7" t="s">
        <v>5474</v>
      </c>
      <c r="F266" s="7" t="s">
        <v>5475</v>
      </c>
      <c r="G266" s="7" t="s">
        <v>5476</v>
      </c>
      <c r="H266" s="7" t="s">
        <v>5477</v>
      </c>
      <c r="I266" s="119">
        <v>45292.0</v>
      </c>
      <c r="K266" s="7" t="s">
        <v>419</v>
      </c>
      <c r="L266" s="7" t="s">
        <v>991</v>
      </c>
      <c r="M266" s="7" t="s">
        <v>3501</v>
      </c>
      <c r="N266" s="7" t="s">
        <v>5478</v>
      </c>
      <c r="O266" s="7" t="s">
        <v>5479</v>
      </c>
      <c r="P266" s="7" t="s">
        <v>3522</v>
      </c>
      <c r="Q266" s="7" t="s">
        <v>3514</v>
      </c>
    </row>
    <row r="267">
      <c r="A267" s="7" t="s">
        <v>5480</v>
      </c>
      <c r="B267" s="7">
        <v>2100070.0</v>
      </c>
      <c r="C267" s="7" t="s">
        <v>5481</v>
      </c>
      <c r="D267" s="7" t="s">
        <v>5482</v>
      </c>
      <c r="E267" s="7" t="s">
        <v>5483</v>
      </c>
      <c r="F267" s="7" t="s">
        <v>5441</v>
      </c>
      <c r="G267" s="7" t="s">
        <v>5484</v>
      </c>
      <c r="H267" s="7" t="s">
        <v>5485</v>
      </c>
      <c r="I267" s="119">
        <v>45292.0</v>
      </c>
      <c r="K267" s="7" t="s">
        <v>419</v>
      </c>
      <c r="L267" s="7" t="s">
        <v>991</v>
      </c>
      <c r="M267" s="7" t="s">
        <v>3501</v>
      </c>
      <c r="N267" s="7" t="s">
        <v>5486</v>
      </c>
      <c r="O267" s="7" t="s">
        <v>5487</v>
      </c>
      <c r="P267" s="7" t="s">
        <v>3843</v>
      </c>
      <c r="Q267" s="7">
        <v>1.0</v>
      </c>
    </row>
    <row r="268">
      <c r="A268" s="7" t="s">
        <v>5488</v>
      </c>
      <c r="B268" s="7">
        <v>1063.0</v>
      </c>
      <c r="C268" s="7" t="s">
        <v>5481</v>
      </c>
      <c r="D268" s="7" t="s">
        <v>5489</v>
      </c>
      <c r="E268" s="7" t="s">
        <v>5483</v>
      </c>
      <c r="F268" s="7" t="s">
        <v>5490</v>
      </c>
      <c r="G268" s="7" t="s">
        <v>5491</v>
      </c>
      <c r="H268" s="7" t="s">
        <v>5492</v>
      </c>
      <c r="I268" s="119">
        <v>45292.0</v>
      </c>
      <c r="K268" s="7" t="s">
        <v>419</v>
      </c>
      <c r="L268" s="7" t="s">
        <v>991</v>
      </c>
      <c r="M268" s="7" t="s">
        <v>3501</v>
      </c>
      <c r="N268" s="7" t="s">
        <v>5493</v>
      </c>
      <c r="O268" s="7" t="s">
        <v>5494</v>
      </c>
      <c r="P268" s="7" t="s">
        <v>4163</v>
      </c>
      <c r="Q268" s="7" t="s">
        <v>3523</v>
      </c>
    </row>
    <row r="269">
      <c r="A269" s="7" t="s">
        <v>5495</v>
      </c>
      <c r="B269" s="7">
        <v>2100498.0</v>
      </c>
      <c r="C269" s="7" t="s">
        <v>5481</v>
      </c>
      <c r="D269" s="7" t="s">
        <v>5496</v>
      </c>
      <c r="E269" s="7" t="s">
        <v>5483</v>
      </c>
      <c r="F269" s="7" t="s">
        <v>5497</v>
      </c>
      <c r="G269" s="7" t="s">
        <v>5498</v>
      </c>
      <c r="H269" s="7" t="s">
        <v>5499</v>
      </c>
      <c r="I269" s="119">
        <v>45292.0</v>
      </c>
      <c r="K269" s="7" t="s">
        <v>419</v>
      </c>
      <c r="L269" s="7" t="s">
        <v>991</v>
      </c>
      <c r="M269" s="7" t="s">
        <v>3501</v>
      </c>
      <c r="N269" s="7" t="s">
        <v>5500</v>
      </c>
      <c r="O269" s="7" t="s">
        <v>5501</v>
      </c>
      <c r="P269" s="7" t="s">
        <v>3604</v>
      </c>
      <c r="Q269" s="7">
        <v>1.0</v>
      </c>
    </row>
    <row r="270">
      <c r="A270" s="7" t="s">
        <v>5502</v>
      </c>
      <c r="B270" s="7">
        <v>2100401.0</v>
      </c>
      <c r="C270" s="7" t="s">
        <v>5481</v>
      </c>
      <c r="D270" s="7" t="s">
        <v>3713</v>
      </c>
      <c r="E270" s="7" t="s">
        <v>5483</v>
      </c>
      <c r="F270" s="7" t="s">
        <v>3909</v>
      </c>
      <c r="G270" s="7" t="s">
        <v>5503</v>
      </c>
      <c r="H270" s="7" t="s">
        <v>5504</v>
      </c>
      <c r="I270" s="119">
        <v>45292.0</v>
      </c>
      <c r="J270" s="7" t="s">
        <v>3929</v>
      </c>
      <c r="K270" s="7" t="s">
        <v>419</v>
      </c>
      <c r="L270" s="7" t="s">
        <v>991</v>
      </c>
      <c r="M270" s="7" t="s">
        <v>3501</v>
      </c>
      <c r="N270" s="7" t="s">
        <v>5505</v>
      </c>
      <c r="O270" s="7" t="s">
        <v>5506</v>
      </c>
      <c r="P270" s="7" t="s">
        <v>3493</v>
      </c>
      <c r="Q270" s="7">
        <v>1.0</v>
      </c>
    </row>
    <row r="271">
      <c r="A271" s="7" t="s">
        <v>5507</v>
      </c>
      <c r="B271" s="7">
        <v>2200870.0</v>
      </c>
      <c r="C271" s="7" t="s">
        <v>5481</v>
      </c>
      <c r="D271" s="7" t="s">
        <v>5508</v>
      </c>
      <c r="E271" s="7" t="s">
        <v>5483</v>
      </c>
      <c r="F271" s="7" t="s">
        <v>5509</v>
      </c>
      <c r="G271" s="7" t="s">
        <v>5510</v>
      </c>
      <c r="H271" s="7" t="s">
        <v>5511</v>
      </c>
      <c r="I271" s="119">
        <v>45292.0</v>
      </c>
      <c r="K271" s="7" t="s">
        <v>3632</v>
      </c>
      <c r="L271" s="7" t="s">
        <v>991</v>
      </c>
      <c r="M271" s="7" t="s">
        <v>3866</v>
      </c>
      <c r="N271" s="7" t="s">
        <v>4190</v>
      </c>
      <c r="O271" s="7" t="s">
        <v>4191</v>
      </c>
      <c r="P271" s="7" t="s">
        <v>3493</v>
      </c>
      <c r="Q271" s="7">
        <v>1.0</v>
      </c>
    </row>
    <row r="272">
      <c r="A272" s="7" t="s">
        <v>5512</v>
      </c>
      <c r="B272" s="7">
        <v>2200074.0</v>
      </c>
      <c r="C272" s="7" t="s">
        <v>5481</v>
      </c>
      <c r="D272" s="7" t="s">
        <v>5513</v>
      </c>
      <c r="E272" s="7" t="s">
        <v>5483</v>
      </c>
      <c r="F272" s="7" t="s">
        <v>5514</v>
      </c>
      <c r="G272" s="7" t="s">
        <v>5515</v>
      </c>
      <c r="H272" s="7" t="s">
        <v>5516</v>
      </c>
      <c r="I272" s="119">
        <v>45292.0</v>
      </c>
      <c r="K272" s="7" t="s">
        <v>419</v>
      </c>
      <c r="L272" s="7" t="s">
        <v>991</v>
      </c>
      <c r="M272" s="7" t="s">
        <v>3501</v>
      </c>
      <c r="N272" s="7" t="s">
        <v>4384</v>
      </c>
      <c r="O272" s="7" t="s">
        <v>5517</v>
      </c>
      <c r="P272" s="7" t="s">
        <v>3493</v>
      </c>
      <c r="Q272" s="7">
        <v>1.0</v>
      </c>
    </row>
    <row r="273">
      <c r="A273" s="7" t="s">
        <v>5518</v>
      </c>
      <c r="B273" s="7">
        <v>2300637.0</v>
      </c>
      <c r="C273" s="7" t="s">
        <v>5519</v>
      </c>
      <c r="D273" s="7" t="s">
        <v>5520</v>
      </c>
      <c r="E273" s="7" t="s">
        <v>5521</v>
      </c>
      <c r="F273" s="7" t="s">
        <v>5522</v>
      </c>
      <c r="G273" s="7" t="s">
        <v>5523</v>
      </c>
      <c r="H273" s="7" t="s">
        <v>5524</v>
      </c>
      <c r="I273" s="119">
        <v>45292.0</v>
      </c>
      <c r="K273" s="7" t="s">
        <v>419</v>
      </c>
      <c r="L273" s="7" t="s">
        <v>991</v>
      </c>
      <c r="M273" s="7" t="s">
        <v>3531</v>
      </c>
      <c r="N273" s="7" t="s">
        <v>5341</v>
      </c>
      <c r="O273" s="7" t="s">
        <v>5342</v>
      </c>
      <c r="P273" s="7" t="s">
        <v>3493</v>
      </c>
      <c r="Q273" s="7">
        <v>1.0</v>
      </c>
    </row>
    <row r="274">
      <c r="A274" s="7" t="s">
        <v>5525</v>
      </c>
      <c r="B274" s="7">
        <v>12031.0</v>
      </c>
      <c r="C274" s="7" t="s">
        <v>5526</v>
      </c>
      <c r="D274" s="7" t="s">
        <v>5527</v>
      </c>
      <c r="E274" s="7" t="s">
        <v>5528</v>
      </c>
      <c r="F274" s="7" t="s">
        <v>5529</v>
      </c>
      <c r="G274" s="7" t="s">
        <v>5530</v>
      </c>
      <c r="H274" s="7" t="s">
        <v>5531</v>
      </c>
      <c r="I274" s="119">
        <v>45292.0</v>
      </c>
      <c r="K274" s="7" t="s">
        <v>419</v>
      </c>
      <c r="L274" s="7" t="s">
        <v>991</v>
      </c>
      <c r="M274" s="7" t="s">
        <v>3501</v>
      </c>
      <c r="N274" s="7" t="s">
        <v>4384</v>
      </c>
      <c r="O274" s="7" t="s">
        <v>5517</v>
      </c>
      <c r="P274" s="7" t="s">
        <v>3493</v>
      </c>
      <c r="Q274" s="7">
        <v>1.0</v>
      </c>
    </row>
    <row r="275">
      <c r="A275" s="7" t="s">
        <v>5532</v>
      </c>
      <c r="B275" s="7">
        <v>2300591.0</v>
      </c>
      <c r="C275" s="7" t="s">
        <v>5533</v>
      </c>
      <c r="D275" s="7" t="s">
        <v>5534</v>
      </c>
      <c r="E275" s="7" t="s">
        <v>5535</v>
      </c>
      <c r="F275" s="7" t="s">
        <v>5536</v>
      </c>
      <c r="G275" s="7" t="s">
        <v>5537</v>
      </c>
      <c r="H275" s="7" t="s">
        <v>5538</v>
      </c>
      <c r="I275" s="119">
        <v>45292.0</v>
      </c>
      <c r="K275" s="7" t="s">
        <v>419</v>
      </c>
      <c r="L275" s="7" t="s">
        <v>991</v>
      </c>
      <c r="M275" s="7" t="s">
        <v>3501</v>
      </c>
      <c r="N275" s="7" t="s">
        <v>5539</v>
      </c>
      <c r="O275" s="7" t="s">
        <v>5540</v>
      </c>
      <c r="P275" s="7" t="s">
        <v>3493</v>
      </c>
      <c r="Q275" s="7">
        <v>1.0</v>
      </c>
    </row>
    <row r="276">
      <c r="A276" s="7" t="s">
        <v>5541</v>
      </c>
      <c r="B276" s="7">
        <v>12562.0</v>
      </c>
      <c r="C276" s="7" t="s">
        <v>5542</v>
      </c>
      <c r="D276" s="7" t="s">
        <v>5543</v>
      </c>
      <c r="E276" s="7" t="s">
        <v>5544</v>
      </c>
      <c r="F276" s="7" t="s">
        <v>5545</v>
      </c>
      <c r="G276" s="7" t="s">
        <v>5546</v>
      </c>
      <c r="H276" s="7" t="s">
        <v>5547</v>
      </c>
      <c r="I276" s="119">
        <v>45292.0</v>
      </c>
      <c r="K276" s="7" t="s">
        <v>419</v>
      </c>
      <c r="L276" s="7" t="s">
        <v>991</v>
      </c>
      <c r="M276" s="7" t="s">
        <v>3501</v>
      </c>
      <c r="N276" s="7" t="s">
        <v>4669</v>
      </c>
      <c r="O276" s="7" t="s">
        <v>5548</v>
      </c>
      <c r="P276" s="7" t="s">
        <v>3785</v>
      </c>
      <c r="Q276" s="7" t="s">
        <v>3523</v>
      </c>
    </row>
    <row r="277">
      <c r="A277" s="7" t="s">
        <v>5549</v>
      </c>
      <c r="B277" s="7">
        <v>2300640.0</v>
      </c>
      <c r="C277" s="7" t="s">
        <v>5550</v>
      </c>
      <c r="D277" s="7" t="s">
        <v>5551</v>
      </c>
      <c r="E277" s="7" t="s">
        <v>5552</v>
      </c>
      <c r="F277" s="7" t="s">
        <v>5553</v>
      </c>
      <c r="G277" s="7" t="s">
        <v>5554</v>
      </c>
      <c r="H277" s="7" t="s">
        <v>5555</v>
      </c>
      <c r="I277" s="119">
        <v>45292.0</v>
      </c>
      <c r="K277" s="7" t="s">
        <v>419</v>
      </c>
      <c r="L277" s="7" t="s">
        <v>991</v>
      </c>
      <c r="M277" s="7" t="s">
        <v>3501</v>
      </c>
      <c r="N277" s="7" t="s">
        <v>5556</v>
      </c>
      <c r="O277" s="7" t="s">
        <v>5557</v>
      </c>
      <c r="P277" s="7" t="s">
        <v>5558</v>
      </c>
      <c r="Q277" s="7" t="s">
        <v>5559</v>
      </c>
    </row>
    <row r="278">
      <c r="A278" s="7" t="s">
        <v>5560</v>
      </c>
      <c r="B278" s="7">
        <v>2200770.0</v>
      </c>
      <c r="C278" s="7" t="s">
        <v>5561</v>
      </c>
      <c r="D278" s="7" t="s">
        <v>5562</v>
      </c>
      <c r="E278" s="7" t="s">
        <v>5563</v>
      </c>
      <c r="F278" s="7" t="s">
        <v>5564</v>
      </c>
      <c r="G278" s="7" t="s">
        <v>5565</v>
      </c>
      <c r="H278" s="7" t="s">
        <v>5566</v>
      </c>
      <c r="I278" s="119">
        <v>45292.0</v>
      </c>
      <c r="K278" s="7" t="s">
        <v>419</v>
      </c>
      <c r="L278" s="7" t="s">
        <v>991</v>
      </c>
      <c r="M278" s="7" t="s">
        <v>3531</v>
      </c>
      <c r="N278" s="7" t="s">
        <v>4738</v>
      </c>
      <c r="O278" s="7" t="s">
        <v>4739</v>
      </c>
      <c r="P278" s="7" t="s">
        <v>3493</v>
      </c>
      <c r="Q278" s="7">
        <v>1.0</v>
      </c>
    </row>
    <row r="279">
      <c r="A279" s="7" t="s">
        <v>5567</v>
      </c>
      <c r="B279" s="7">
        <v>769.0</v>
      </c>
      <c r="C279" s="7" t="s">
        <v>5561</v>
      </c>
      <c r="D279" s="7" t="s">
        <v>5568</v>
      </c>
      <c r="E279" s="7" t="s">
        <v>5563</v>
      </c>
      <c r="F279" s="7" t="s">
        <v>5569</v>
      </c>
      <c r="G279" s="7" t="s">
        <v>5570</v>
      </c>
      <c r="H279" s="7" t="s">
        <v>5571</v>
      </c>
      <c r="I279" s="119">
        <v>45292.0</v>
      </c>
      <c r="K279" s="7" t="s">
        <v>419</v>
      </c>
      <c r="L279" s="7" t="s">
        <v>991</v>
      </c>
      <c r="M279" s="7" t="s">
        <v>3501</v>
      </c>
      <c r="N279" s="7" t="s">
        <v>4330</v>
      </c>
      <c r="O279" s="7" t="s">
        <v>4331</v>
      </c>
      <c r="P279" s="7" t="s">
        <v>3493</v>
      </c>
      <c r="Q279" s="7">
        <v>1.0</v>
      </c>
    </row>
    <row r="280">
      <c r="A280" s="7" t="s">
        <v>5572</v>
      </c>
      <c r="B280" s="7">
        <v>881.0</v>
      </c>
      <c r="C280" s="7" t="s">
        <v>5561</v>
      </c>
      <c r="D280" s="7" t="s">
        <v>5573</v>
      </c>
      <c r="E280" s="7" t="s">
        <v>5563</v>
      </c>
      <c r="F280" s="7" t="s">
        <v>4478</v>
      </c>
      <c r="G280" s="7" t="s">
        <v>5574</v>
      </c>
      <c r="H280" s="7" t="s">
        <v>5575</v>
      </c>
      <c r="I280" s="119">
        <v>45292.0</v>
      </c>
      <c r="K280" s="7" t="s">
        <v>419</v>
      </c>
      <c r="L280" s="7" t="s">
        <v>991</v>
      </c>
      <c r="M280" s="7" t="s">
        <v>3501</v>
      </c>
      <c r="N280" s="7" t="s">
        <v>3695</v>
      </c>
      <c r="O280" s="7" t="s">
        <v>5576</v>
      </c>
      <c r="P280" s="7" t="s">
        <v>4154</v>
      </c>
      <c r="Q280" s="7" t="s">
        <v>3555</v>
      </c>
    </row>
    <row r="281">
      <c r="A281" s="7" t="s">
        <v>1859</v>
      </c>
      <c r="B281" s="7">
        <v>2100468.0</v>
      </c>
      <c r="C281" s="7" t="s">
        <v>5577</v>
      </c>
      <c r="D281" s="7" t="s">
        <v>5578</v>
      </c>
      <c r="E281" s="7" t="s">
        <v>5579</v>
      </c>
      <c r="F281" s="7" t="s">
        <v>5580</v>
      </c>
      <c r="G281" s="7" t="s">
        <v>5581</v>
      </c>
      <c r="H281" s="7" t="s">
        <v>5582</v>
      </c>
      <c r="I281" s="119">
        <v>45292.0</v>
      </c>
      <c r="K281" s="7" t="s">
        <v>419</v>
      </c>
      <c r="L281" s="7" t="s">
        <v>991</v>
      </c>
      <c r="M281" s="7" t="s">
        <v>3501</v>
      </c>
      <c r="N281" s="7" t="s">
        <v>5583</v>
      </c>
      <c r="O281" s="7" t="s">
        <v>5584</v>
      </c>
      <c r="P281" s="7" t="s">
        <v>5585</v>
      </c>
      <c r="Q281" s="7">
        <v>1.0</v>
      </c>
    </row>
    <row r="282">
      <c r="A282" s="7" t="s">
        <v>5586</v>
      </c>
      <c r="B282" s="7">
        <v>2200252.0</v>
      </c>
      <c r="C282" s="7" t="s">
        <v>5577</v>
      </c>
      <c r="D282" s="7" t="s">
        <v>5587</v>
      </c>
      <c r="E282" s="7" t="s">
        <v>5579</v>
      </c>
      <c r="F282" s="7" t="s">
        <v>5588</v>
      </c>
      <c r="G282" s="7" t="s">
        <v>5589</v>
      </c>
      <c r="H282" s="7" t="s">
        <v>5590</v>
      </c>
      <c r="I282" s="119">
        <v>45292.0</v>
      </c>
      <c r="K282" s="7" t="s">
        <v>419</v>
      </c>
      <c r="L282" s="7" t="s">
        <v>991</v>
      </c>
      <c r="M282" s="7" t="s">
        <v>3501</v>
      </c>
      <c r="N282" s="7" t="s">
        <v>3760</v>
      </c>
      <c r="O282" s="7" t="s">
        <v>3761</v>
      </c>
      <c r="P282" s="7" t="s">
        <v>3522</v>
      </c>
      <c r="Q282" s="7" t="s">
        <v>3514</v>
      </c>
    </row>
    <row r="283">
      <c r="A283" s="7" t="s">
        <v>5591</v>
      </c>
      <c r="B283" s="7">
        <v>738.0</v>
      </c>
      <c r="C283" s="7" t="s">
        <v>5592</v>
      </c>
      <c r="D283" s="7" t="s">
        <v>5593</v>
      </c>
      <c r="E283" s="7" t="s">
        <v>5594</v>
      </c>
      <c r="F283" s="7" t="s">
        <v>5595</v>
      </c>
      <c r="G283" s="7" t="s">
        <v>5596</v>
      </c>
      <c r="H283" s="7" t="s">
        <v>5597</v>
      </c>
      <c r="I283" s="119">
        <v>45292.0</v>
      </c>
      <c r="K283" s="7" t="s">
        <v>3885</v>
      </c>
      <c r="L283" s="7" t="s">
        <v>3542</v>
      </c>
      <c r="M283" s="7" t="s">
        <v>3543</v>
      </c>
      <c r="N283" s="7" t="s">
        <v>4290</v>
      </c>
      <c r="O283" s="7" t="s">
        <v>5598</v>
      </c>
      <c r="P283" s="7" t="s">
        <v>3522</v>
      </c>
      <c r="Q283" s="7" t="s">
        <v>3523</v>
      </c>
    </row>
    <row r="284">
      <c r="A284" s="7" t="s">
        <v>5599</v>
      </c>
      <c r="B284" s="7">
        <v>2200607.0</v>
      </c>
      <c r="C284" s="7" t="s">
        <v>5600</v>
      </c>
      <c r="D284" s="7" t="s">
        <v>5601</v>
      </c>
      <c r="E284" s="7" t="s">
        <v>5602</v>
      </c>
      <c r="F284" s="7" t="s">
        <v>4075</v>
      </c>
      <c r="G284" s="7" t="s">
        <v>5603</v>
      </c>
      <c r="H284" s="7" t="s">
        <v>5604</v>
      </c>
      <c r="I284" s="119">
        <v>45292.0</v>
      </c>
      <c r="K284" s="7" t="s">
        <v>419</v>
      </c>
      <c r="L284" s="7" t="s">
        <v>991</v>
      </c>
      <c r="M284" s="7" t="s">
        <v>3531</v>
      </c>
      <c r="N284" s="7" t="s">
        <v>5605</v>
      </c>
      <c r="O284" s="7" t="s">
        <v>5606</v>
      </c>
      <c r="P284" s="7" t="s">
        <v>3493</v>
      </c>
      <c r="Q284" s="7">
        <v>1.0</v>
      </c>
    </row>
    <row r="285">
      <c r="A285" s="7" t="s">
        <v>5607</v>
      </c>
      <c r="B285" s="7">
        <v>2300183.0</v>
      </c>
      <c r="C285" s="7" t="s">
        <v>5608</v>
      </c>
      <c r="D285" s="7" t="s">
        <v>4073</v>
      </c>
      <c r="E285" s="7" t="s">
        <v>5609</v>
      </c>
      <c r="F285" s="7" t="s">
        <v>4075</v>
      </c>
      <c r="G285" s="7" t="s">
        <v>5610</v>
      </c>
      <c r="H285" s="7" t="s">
        <v>5611</v>
      </c>
      <c r="I285" s="119">
        <v>45292.0</v>
      </c>
      <c r="K285" s="7" t="s">
        <v>4042</v>
      </c>
      <c r="L285" s="7" t="s">
        <v>991</v>
      </c>
      <c r="M285" s="7" t="s">
        <v>3501</v>
      </c>
      <c r="N285" s="7" t="s">
        <v>4043</v>
      </c>
      <c r="O285" s="7" t="s">
        <v>4044</v>
      </c>
      <c r="P285" s="7" t="s">
        <v>3493</v>
      </c>
      <c r="Q285" s="7">
        <v>1.0</v>
      </c>
    </row>
    <row r="286">
      <c r="A286" s="7" t="s">
        <v>5612</v>
      </c>
      <c r="B286" s="7">
        <v>2300217.0</v>
      </c>
      <c r="C286" s="7" t="s">
        <v>5613</v>
      </c>
      <c r="D286" s="7" t="s">
        <v>5614</v>
      </c>
      <c r="E286" s="7" t="s">
        <v>5615</v>
      </c>
      <c r="F286" s="7" t="s">
        <v>3656</v>
      </c>
      <c r="G286" s="7" t="s">
        <v>5616</v>
      </c>
      <c r="H286" s="7" t="s">
        <v>5617</v>
      </c>
      <c r="I286" s="119">
        <v>45292.0</v>
      </c>
      <c r="K286" s="7" t="s">
        <v>3632</v>
      </c>
      <c r="L286" s="7" t="s">
        <v>991</v>
      </c>
      <c r="M286" s="7" t="s">
        <v>3501</v>
      </c>
      <c r="N286" s="7" t="s">
        <v>4324</v>
      </c>
      <c r="O286" s="7" t="s">
        <v>5618</v>
      </c>
      <c r="P286" s="7" t="s">
        <v>3513</v>
      </c>
      <c r="Q286" s="7" t="s">
        <v>3514</v>
      </c>
    </row>
    <row r="287">
      <c r="A287" s="7" t="s">
        <v>5619</v>
      </c>
      <c r="B287" s="7">
        <v>2100395.0</v>
      </c>
      <c r="C287" s="7" t="s">
        <v>5620</v>
      </c>
      <c r="D287" s="7" t="s">
        <v>5621</v>
      </c>
      <c r="E287" s="7" t="s">
        <v>5622</v>
      </c>
      <c r="F287" s="7" t="s">
        <v>5441</v>
      </c>
      <c r="G287" s="7" t="s">
        <v>5623</v>
      </c>
      <c r="H287" s="7" t="s">
        <v>5624</v>
      </c>
      <c r="I287" s="119">
        <v>45292.0</v>
      </c>
      <c r="K287" s="7" t="s">
        <v>419</v>
      </c>
      <c r="L287" s="7" t="s">
        <v>991</v>
      </c>
      <c r="M287" s="7" t="s">
        <v>3501</v>
      </c>
      <c r="N287" s="7" t="s">
        <v>4703</v>
      </c>
      <c r="O287" s="7" t="s">
        <v>4704</v>
      </c>
      <c r="P287" s="7" t="s">
        <v>3493</v>
      </c>
      <c r="Q287" s="7">
        <v>1.0</v>
      </c>
    </row>
    <row r="288">
      <c r="A288" s="7" t="s">
        <v>5625</v>
      </c>
      <c r="B288" s="7">
        <v>11741.0</v>
      </c>
      <c r="C288" s="7" t="s">
        <v>5620</v>
      </c>
      <c r="D288" s="7" t="s">
        <v>5626</v>
      </c>
      <c r="E288" s="7" t="s">
        <v>5622</v>
      </c>
      <c r="F288" s="7" t="s">
        <v>5627</v>
      </c>
      <c r="G288" s="7" t="s">
        <v>5628</v>
      </c>
      <c r="H288" s="7" t="s">
        <v>5629</v>
      </c>
      <c r="I288" s="119">
        <v>45292.0</v>
      </c>
      <c r="K288" s="7" t="s">
        <v>419</v>
      </c>
      <c r="L288" s="7" t="s">
        <v>991</v>
      </c>
      <c r="M288" s="7" t="s">
        <v>3501</v>
      </c>
      <c r="N288" s="7" t="s">
        <v>4810</v>
      </c>
      <c r="O288" s="7" t="s">
        <v>4811</v>
      </c>
      <c r="P288" s="7" t="s">
        <v>3843</v>
      </c>
      <c r="Q288" s="7">
        <v>1.0</v>
      </c>
    </row>
    <row r="289">
      <c r="A289" s="7" t="s">
        <v>5630</v>
      </c>
      <c r="B289" s="7">
        <v>2400008.0</v>
      </c>
      <c r="C289" s="7" t="s">
        <v>5631</v>
      </c>
      <c r="D289" s="7" t="s">
        <v>5632</v>
      </c>
      <c r="E289" s="7" t="s">
        <v>5633</v>
      </c>
      <c r="F289" s="7" t="s">
        <v>5634</v>
      </c>
      <c r="G289" s="7" t="s">
        <v>5635</v>
      </c>
      <c r="H289" s="7" t="s">
        <v>5636</v>
      </c>
      <c r="I289" s="119">
        <v>45292.0</v>
      </c>
      <c r="K289" s="7" t="s">
        <v>419</v>
      </c>
      <c r="L289" s="7" t="s">
        <v>991</v>
      </c>
      <c r="M289" s="7" t="s">
        <v>3501</v>
      </c>
      <c r="N289" s="7" t="s">
        <v>5637</v>
      </c>
      <c r="O289" s="7" t="s">
        <v>5638</v>
      </c>
      <c r="P289" s="7" t="s">
        <v>3493</v>
      </c>
      <c r="Q289" s="7">
        <v>1.0</v>
      </c>
    </row>
    <row r="290">
      <c r="A290" s="7" t="s">
        <v>5639</v>
      </c>
      <c r="B290" s="7">
        <v>2100494.0</v>
      </c>
      <c r="C290" s="7" t="s">
        <v>5631</v>
      </c>
      <c r="D290" s="7" t="s">
        <v>5640</v>
      </c>
      <c r="E290" s="7" t="s">
        <v>5633</v>
      </c>
      <c r="F290" s="7" t="s">
        <v>4478</v>
      </c>
      <c r="G290" s="7" t="s">
        <v>5641</v>
      </c>
      <c r="H290" s="7" t="s">
        <v>5642</v>
      </c>
      <c r="I290" s="119">
        <v>45292.0</v>
      </c>
      <c r="K290" s="7" t="s">
        <v>419</v>
      </c>
      <c r="L290" s="7" t="s">
        <v>991</v>
      </c>
      <c r="M290" s="7" t="s">
        <v>3501</v>
      </c>
      <c r="N290" s="7" t="s">
        <v>5643</v>
      </c>
      <c r="O290" s="7" t="s">
        <v>5644</v>
      </c>
      <c r="P290" s="7" t="s">
        <v>4420</v>
      </c>
      <c r="Q290" s="7" t="s">
        <v>3523</v>
      </c>
    </row>
    <row r="291">
      <c r="A291" s="7" t="s">
        <v>5645</v>
      </c>
      <c r="B291" s="7">
        <v>2200239.0</v>
      </c>
      <c r="C291" s="7" t="s">
        <v>5631</v>
      </c>
      <c r="D291" s="7" t="s">
        <v>5646</v>
      </c>
      <c r="E291" s="7" t="s">
        <v>5633</v>
      </c>
      <c r="F291" s="7" t="s">
        <v>5647</v>
      </c>
      <c r="G291" s="7" t="s">
        <v>5648</v>
      </c>
      <c r="H291" s="7" t="s">
        <v>5649</v>
      </c>
      <c r="I291" s="119">
        <v>45292.0</v>
      </c>
      <c r="K291" s="7" t="s">
        <v>3489</v>
      </c>
      <c r="L291" s="7" t="s">
        <v>991</v>
      </c>
      <c r="M291" s="7" t="s">
        <v>3490</v>
      </c>
      <c r="N291" s="7" t="s">
        <v>3491</v>
      </c>
      <c r="O291" s="7" t="s">
        <v>3492</v>
      </c>
      <c r="P291" s="7" t="s">
        <v>3493</v>
      </c>
      <c r="Q291" s="7">
        <v>1.0</v>
      </c>
    </row>
    <row r="292">
      <c r="A292" s="7" t="s">
        <v>5650</v>
      </c>
      <c r="B292" s="7">
        <v>1246.0</v>
      </c>
      <c r="C292" s="7" t="s">
        <v>5651</v>
      </c>
      <c r="D292" s="7" t="s">
        <v>5222</v>
      </c>
      <c r="E292" s="7" t="s">
        <v>5652</v>
      </c>
      <c r="F292" s="7" t="s">
        <v>5224</v>
      </c>
      <c r="G292" s="7" t="s">
        <v>5653</v>
      </c>
      <c r="H292" s="7" t="s">
        <v>5654</v>
      </c>
      <c r="I292" s="119">
        <v>45292.0</v>
      </c>
      <c r="K292" s="7" t="s">
        <v>419</v>
      </c>
      <c r="L292" s="7" t="s">
        <v>991</v>
      </c>
      <c r="M292" s="7" t="s">
        <v>3501</v>
      </c>
      <c r="N292" s="7" t="s">
        <v>5655</v>
      </c>
      <c r="O292" s="7" t="s">
        <v>5656</v>
      </c>
      <c r="P292" s="7" t="s">
        <v>3522</v>
      </c>
      <c r="Q292" s="7" t="s">
        <v>3523</v>
      </c>
    </row>
    <row r="293">
      <c r="A293" s="7" t="s">
        <v>5657</v>
      </c>
      <c r="B293" s="7">
        <v>2200711.0</v>
      </c>
      <c r="C293" s="7" t="s">
        <v>5658</v>
      </c>
      <c r="D293" s="7" t="s">
        <v>5659</v>
      </c>
      <c r="E293" s="7" t="s">
        <v>5660</v>
      </c>
      <c r="F293" s="7" t="s">
        <v>5661</v>
      </c>
      <c r="G293" s="7" t="s">
        <v>5662</v>
      </c>
      <c r="H293" s="7" t="s">
        <v>5663</v>
      </c>
      <c r="I293" s="119">
        <v>45292.0</v>
      </c>
      <c r="K293" s="7" t="s">
        <v>4042</v>
      </c>
      <c r="L293" s="7" t="s">
        <v>991</v>
      </c>
      <c r="M293" s="7" t="s">
        <v>3501</v>
      </c>
      <c r="N293" s="7" t="s">
        <v>4043</v>
      </c>
      <c r="O293" s="7" t="s">
        <v>4044</v>
      </c>
      <c r="P293" s="7" t="s">
        <v>3493</v>
      </c>
      <c r="Q293" s="7">
        <v>1.0</v>
      </c>
    </row>
    <row r="294">
      <c r="A294" s="7" t="s">
        <v>5664</v>
      </c>
      <c r="B294" s="7">
        <v>2100429.0</v>
      </c>
      <c r="C294" s="7" t="s">
        <v>5665</v>
      </c>
      <c r="D294" s="7" t="s">
        <v>5666</v>
      </c>
      <c r="E294" s="7" t="s">
        <v>5667</v>
      </c>
      <c r="F294" s="7" t="s">
        <v>5668</v>
      </c>
      <c r="G294" s="7" t="s">
        <v>5669</v>
      </c>
      <c r="H294" s="7" t="s">
        <v>5670</v>
      </c>
      <c r="I294" s="119">
        <v>45292.0</v>
      </c>
      <c r="K294" s="7" t="s">
        <v>419</v>
      </c>
      <c r="L294" s="7" t="s">
        <v>991</v>
      </c>
      <c r="M294" s="7" t="s">
        <v>3501</v>
      </c>
      <c r="N294" s="7" t="s">
        <v>5671</v>
      </c>
      <c r="O294" s="7" t="s">
        <v>5672</v>
      </c>
      <c r="P294" s="7" t="s">
        <v>3493</v>
      </c>
      <c r="Q294" s="7">
        <v>1.0</v>
      </c>
    </row>
    <row r="295">
      <c r="A295" s="7" t="s">
        <v>5673</v>
      </c>
      <c r="B295" s="7">
        <v>618.0</v>
      </c>
      <c r="C295" s="7" t="s">
        <v>5674</v>
      </c>
      <c r="D295" s="7" t="s">
        <v>5675</v>
      </c>
      <c r="E295" s="7" t="s">
        <v>5676</v>
      </c>
      <c r="F295" s="7" t="s">
        <v>4539</v>
      </c>
      <c r="G295" s="7" t="s">
        <v>5677</v>
      </c>
      <c r="H295" s="7" t="s">
        <v>5678</v>
      </c>
      <c r="I295" s="119">
        <v>45292.0</v>
      </c>
      <c r="K295" s="7" t="s">
        <v>419</v>
      </c>
      <c r="L295" s="7" t="s">
        <v>991</v>
      </c>
      <c r="M295" s="7" t="s">
        <v>3501</v>
      </c>
      <c r="N295" s="7" t="s">
        <v>3920</v>
      </c>
      <c r="O295" s="7" t="s">
        <v>3921</v>
      </c>
      <c r="P295" s="7" t="s">
        <v>3493</v>
      </c>
      <c r="Q295" s="7">
        <v>1.0</v>
      </c>
    </row>
    <row r="296">
      <c r="A296" s="7" t="s">
        <v>5679</v>
      </c>
      <c r="B296" s="7">
        <v>2100008.0</v>
      </c>
      <c r="C296" s="7" t="s">
        <v>5680</v>
      </c>
      <c r="D296" s="7" t="s">
        <v>5681</v>
      </c>
      <c r="E296" s="7" t="s">
        <v>5682</v>
      </c>
      <c r="F296" s="7" t="s">
        <v>5683</v>
      </c>
      <c r="G296" s="7" t="s">
        <v>5684</v>
      </c>
      <c r="H296" s="7" t="s">
        <v>5685</v>
      </c>
      <c r="I296" s="119">
        <v>45292.0</v>
      </c>
      <c r="K296" s="7" t="s">
        <v>3489</v>
      </c>
      <c r="L296" s="7" t="s">
        <v>991</v>
      </c>
      <c r="M296" s="7" t="s">
        <v>3490</v>
      </c>
      <c r="N296" s="7" t="s">
        <v>3491</v>
      </c>
      <c r="O296" s="7" t="s">
        <v>3492</v>
      </c>
      <c r="P296" s="7" t="s">
        <v>3493</v>
      </c>
      <c r="Q296" s="7">
        <v>1.0</v>
      </c>
    </row>
    <row r="297">
      <c r="A297" s="7" t="s">
        <v>5686</v>
      </c>
      <c r="B297" s="7">
        <v>8389.0</v>
      </c>
      <c r="C297" s="7" t="s">
        <v>5687</v>
      </c>
      <c r="D297" s="7" t="s">
        <v>5688</v>
      </c>
      <c r="E297" s="7" t="s">
        <v>5689</v>
      </c>
      <c r="F297" s="7" t="s">
        <v>3498</v>
      </c>
      <c r="G297" s="7" t="s">
        <v>5690</v>
      </c>
      <c r="H297" s="7" t="s">
        <v>5691</v>
      </c>
      <c r="I297" s="119">
        <v>45292.0</v>
      </c>
      <c r="K297" s="7" t="s">
        <v>419</v>
      </c>
      <c r="L297" s="7" t="s">
        <v>991</v>
      </c>
      <c r="M297" s="7" t="s">
        <v>3531</v>
      </c>
      <c r="N297" s="7" t="s">
        <v>4920</v>
      </c>
      <c r="O297" s="7" t="s">
        <v>4921</v>
      </c>
      <c r="P297" s="7" t="s">
        <v>3493</v>
      </c>
      <c r="Q297" s="7">
        <v>1.0</v>
      </c>
    </row>
    <row r="298">
      <c r="A298" s="7" t="s">
        <v>5692</v>
      </c>
      <c r="B298" s="7">
        <v>2200492.0</v>
      </c>
      <c r="C298" s="7" t="s">
        <v>5693</v>
      </c>
      <c r="D298" s="7" t="s">
        <v>5694</v>
      </c>
      <c r="E298" s="7" t="s">
        <v>5695</v>
      </c>
      <c r="F298" s="7" t="s">
        <v>4707</v>
      </c>
      <c r="G298" s="7" t="s">
        <v>5696</v>
      </c>
      <c r="H298" s="7" t="s">
        <v>5697</v>
      </c>
      <c r="I298" s="119">
        <v>45292.0</v>
      </c>
      <c r="K298" s="7" t="s">
        <v>419</v>
      </c>
      <c r="L298" s="7" t="s">
        <v>991</v>
      </c>
      <c r="M298" s="7" t="s">
        <v>3501</v>
      </c>
      <c r="N298" s="7" t="s">
        <v>5698</v>
      </c>
      <c r="O298" s="7" t="s">
        <v>5699</v>
      </c>
      <c r="P298" s="7" t="s">
        <v>3493</v>
      </c>
      <c r="Q298" s="7">
        <v>1.0</v>
      </c>
    </row>
    <row r="299">
      <c r="A299" s="7" t="s">
        <v>5700</v>
      </c>
      <c r="B299" s="7">
        <v>13895.0</v>
      </c>
      <c r="C299" s="7" t="s">
        <v>5701</v>
      </c>
      <c r="D299" s="7" t="s">
        <v>5702</v>
      </c>
      <c r="E299" s="7" t="s">
        <v>5703</v>
      </c>
      <c r="F299" s="7" t="s">
        <v>3799</v>
      </c>
      <c r="G299" s="7" t="s">
        <v>5704</v>
      </c>
      <c r="H299" s="7" t="s">
        <v>5705</v>
      </c>
      <c r="I299" s="119">
        <v>45292.0</v>
      </c>
      <c r="K299" s="7" t="s">
        <v>419</v>
      </c>
      <c r="L299" s="7" t="s">
        <v>991</v>
      </c>
      <c r="M299" s="7" t="s">
        <v>3531</v>
      </c>
      <c r="N299" s="7" t="s">
        <v>5013</v>
      </c>
      <c r="O299" s="7" t="s">
        <v>5706</v>
      </c>
      <c r="P299" s="7" t="s">
        <v>3493</v>
      </c>
      <c r="Q299" s="7">
        <v>1.0</v>
      </c>
    </row>
    <row r="300">
      <c r="A300" s="7" t="s">
        <v>5707</v>
      </c>
      <c r="B300" s="7">
        <v>10905.0</v>
      </c>
      <c r="C300" s="7" t="s">
        <v>5701</v>
      </c>
      <c r="D300" s="7" t="s">
        <v>5708</v>
      </c>
      <c r="E300" s="7" t="s">
        <v>5703</v>
      </c>
      <c r="F300" s="7" t="s">
        <v>5426</v>
      </c>
      <c r="G300" s="7" t="s">
        <v>5709</v>
      </c>
      <c r="H300" s="7" t="s">
        <v>5710</v>
      </c>
      <c r="I300" s="119">
        <v>45292.0</v>
      </c>
      <c r="K300" s="7" t="s">
        <v>419</v>
      </c>
      <c r="L300" s="7" t="s">
        <v>991</v>
      </c>
      <c r="M300" s="7" t="s">
        <v>3501</v>
      </c>
      <c r="N300" s="7" t="s">
        <v>4623</v>
      </c>
      <c r="O300" s="7" t="s">
        <v>4624</v>
      </c>
      <c r="P300" s="7" t="s">
        <v>3843</v>
      </c>
      <c r="Q300" s="7">
        <v>1.0</v>
      </c>
    </row>
    <row r="301">
      <c r="A301" s="7" t="s">
        <v>5711</v>
      </c>
      <c r="B301" s="7">
        <v>937.0</v>
      </c>
      <c r="C301" s="7" t="s">
        <v>5712</v>
      </c>
      <c r="D301" s="7" t="s">
        <v>5713</v>
      </c>
      <c r="E301" s="7" t="s">
        <v>5714</v>
      </c>
      <c r="F301" s="7" t="s">
        <v>5715</v>
      </c>
      <c r="G301" s="7" t="s">
        <v>5716</v>
      </c>
      <c r="H301" s="7" t="s">
        <v>5717</v>
      </c>
      <c r="I301" s="119">
        <v>45292.0</v>
      </c>
      <c r="K301" s="7" t="s">
        <v>419</v>
      </c>
      <c r="L301" s="7" t="s">
        <v>991</v>
      </c>
      <c r="M301" s="7" t="s">
        <v>3501</v>
      </c>
      <c r="N301" s="7" t="s">
        <v>5718</v>
      </c>
      <c r="O301" s="7" t="s">
        <v>5719</v>
      </c>
      <c r="P301" s="7" t="s">
        <v>5720</v>
      </c>
      <c r="Q301" s="7" t="s">
        <v>3942</v>
      </c>
    </row>
    <row r="302">
      <c r="A302" s="7" t="s">
        <v>5721</v>
      </c>
      <c r="B302" s="7">
        <v>14064.0</v>
      </c>
      <c r="C302" s="7" t="s">
        <v>5712</v>
      </c>
      <c r="D302" s="7" t="s">
        <v>5722</v>
      </c>
      <c r="E302" s="7" t="s">
        <v>5714</v>
      </c>
      <c r="F302" s="7" t="s">
        <v>5723</v>
      </c>
      <c r="G302" s="7" t="s">
        <v>5724</v>
      </c>
      <c r="H302" s="7" t="s">
        <v>5725</v>
      </c>
      <c r="I302" s="119">
        <v>45292.0</v>
      </c>
      <c r="K302" s="7" t="s">
        <v>419</v>
      </c>
      <c r="L302" s="7" t="s">
        <v>991</v>
      </c>
      <c r="M302" s="7" t="s">
        <v>3531</v>
      </c>
      <c r="N302" s="7" t="s">
        <v>4444</v>
      </c>
      <c r="O302" s="7" t="s">
        <v>4445</v>
      </c>
      <c r="P302" s="7" t="s">
        <v>3493</v>
      </c>
      <c r="Q302" s="7">
        <v>1.0</v>
      </c>
    </row>
    <row r="303">
      <c r="A303" s="7" t="s">
        <v>5726</v>
      </c>
      <c r="B303" s="7">
        <v>327.0</v>
      </c>
      <c r="C303" s="7" t="s">
        <v>5727</v>
      </c>
      <c r="D303" s="7" t="s">
        <v>5728</v>
      </c>
      <c r="E303" s="7" t="s">
        <v>5729</v>
      </c>
      <c r="F303" s="7" t="s">
        <v>3692</v>
      </c>
      <c r="G303" s="7" t="s">
        <v>5730</v>
      </c>
      <c r="H303" s="7" t="s">
        <v>5731</v>
      </c>
      <c r="I303" s="119">
        <v>45292.0</v>
      </c>
      <c r="K303" s="7" t="s">
        <v>419</v>
      </c>
      <c r="L303" s="7" t="s">
        <v>991</v>
      </c>
      <c r="M303" s="7" t="s">
        <v>3501</v>
      </c>
      <c r="N303" s="7" t="s">
        <v>5732</v>
      </c>
      <c r="O303" s="7" t="s">
        <v>5733</v>
      </c>
      <c r="P303" s="7" t="s">
        <v>3522</v>
      </c>
      <c r="Q303" s="7" t="s">
        <v>3523</v>
      </c>
    </row>
    <row r="304">
      <c r="A304" s="7" t="s">
        <v>5734</v>
      </c>
      <c r="B304" s="7">
        <v>2400020.0</v>
      </c>
      <c r="C304" s="7" t="s">
        <v>5735</v>
      </c>
      <c r="D304" s="7" t="s">
        <v>5736</v>
      </c>
      <c r="E304" s="7" t="s">
        <v>5737</v>
      </c>
      <c r="F304" s="7" t="s">
        <v>4673</v>
      </c>
      <c r="G304" s="7" t="s">
        <v>5738</v>
      </c>
      <c r="H304" s="7" t="s">
        <v>5739</v>
      </c>
      <c r="I304" s="119">
        <v>45292.0</v>
      </c>
      <c r="K304" s="7" t="s">
        <v>419</v>
      </c>
      <c r="L304" s="7" t="s">
        <v>991</v>
      </c>
      <c r="M304" s="7" t="s">
        <v>3531</v>
      </c>
      <c r="N304" s="7" t="s">
        <v>5740</v>
      </c>
      <c r="O304" s="7" t="s">
        <v>5741</v>
      </c>
      <c r="P304" s="7" t="s">
        <v>3493</v>
      </c>
      <c r="Q304" s="7">
        <v>1.0</v>
      </c>
    </row>
    <row r="305">
      <c r="A305" s="7" t="s">
        <v>5742</v>
      </c>
      <c r="B305" s="7">
        <v>2200139.0</v>
      </c>
      <c r="C305" s="7" t="s">
        <v>5735</v>
      </c>
      <c r="D305" s="7" t="s">
        <v>5743</v>
      </c>
      <c r="E305" s="7" t="s">
        <v>5737</v>
      </c>
      <c r="F305" s="7" t="s">
        <v>5058</v>
      </c>
      <c r="G305" s="7" t="s">
        <v>5744</v>
      </c>
      <c r="H305" s="7" t="s">
        <v>5745</v>
      </c>
      <c r="I305" s="119">
        <v>45292.0</v>
      </c>
      <c r="K305" s="7" t="s">
        <v>419</v>
      </c>
      <c r="L305" s="7" t="s">
        <v>991</v>
      </c>
      <c r="M305" s="7" t="s">
        <v>3501</v>
      </c>
      <c r="N305" s="7" t="s">
        <v>5746</v>
      </c>
      <c r="O305" s="7" t="s">
        <v>5747</v>
      </c>
      <c r="P305" s="7" t="s">
        <v>3843</v>
      </c>
      <c r="Q305" s="7">
        <v>1.0</v>
      </c>
    </row>
    <row r="306">
      <c r="A306" s="7" t="s">
        <v>5748</v>
      </c>
      <c r="B306" s="7">
        <v>2300019.0</v>
      </c>
      <c r="C306" s="7" t="s">
        <v>5749</v>
      </c>
      <c r="D306" s="7" t="s">
        <v>5750</v>
      </c>
      <c r="E306" s="7" t="s">
        <v>5751</v>
      </c>
      <c r="F306" s="7" t="s">
        <v>5752</v>
      </c>
      <c r="G306" s="7" t="s">
        <v>5753</v>
      </c>
      <c r="H306" s="7" t="s">
        <v>5754</v>
      </c>
      <c r="I306" s="119">
        <v>45292.0</v>
      </c>
      <c r="K306" s="7" t="s">
        <v>419</v>
      </c>
      <c r="L306" s="7" t="s">
        <v>991</v>
      </c>
      <c r="M306" s="7" t="s">
        <v>3501</v>
      </c>
      <c r="N306" s="7" t="s">
        <v>5755</v>
      </c>
      <c r="O306" s="7" t="s">
        <v>5756</v>
      </c>
      <c r="P306" s="7" t="s">
        <v>3493</v>
      </c>
      <c r="Q306" s="7">
        <v>1.0</v>
      </c>
    </row>
    <row r="307">
      <c r="A307" s="7" t="s">
        <v>5757</v>
      </c>
      <c r="B307" s="7">
        <v>2300615.0</v>
      </c>
      <c r="C307" s="7" t="s">
        <v>5749</v>
      </c>
      <c r="D307" s="7" t="s">
        <v>5758</v>
      </c>
      <c r="E307" s="7" t="s">
        <v>5751</v>
      </c>
      <c r="F307" s="7" t="s">
        <v>5759</v>
      </c>
      <c r="G307" s="7" t="s">
        <v>5760</v>
      </c>
      <c r="H307" s="7" t="s">
        <v>5761</v>
      </c>
      <c r="I307" s="119">
        <v>45292.0</v>
      </c>
      <c r="K307" s="7" t="s">
        <v>419</v>
      </c>
      <c r="L307" s="7" t="s">
        <v>991</v>
      </c>
      <c r="M307" s="7" t="s">
        <v>3531</v>
      </c>
      <c r="N307" s="7" t="s">
        <v>4096</v>
      </c>
      <c r="O307" s="7" t="s">
        <v>4097</v>
      </c>
      <c r="P307" s="7" t="s">
        <v>3493</v>
      </c>
      <c r="Q307" s="7">
        <v>1.0</v>
      </c>
    </row>
    <row r="308">
      <c r="A308" s="7" t="s">
        <v>5762</v>
      </c>
      <c r="B308" s="7">
        <v>8571.0</v>
      </c>
      <c r="C308" s="7" t="s">
        <v>5763</v>
      </c>
      <c r="D308" s="7" t="s">
        <v>5764</v>
      </c>
      <c r="E308" s="7" t="s">
        <v>5765</v>
      </c>
      <c r="F308" s="7" t="s">
        <v>5766</v>
      </c>
      <c r="G308" s="7" t="s">
        <v>5767</v>
      </c>
      <c r="H308" s="7" t="s">
        <v>5768</v>
      </c>
      <c r="I308" s="119">
        <v>45292.0</v>
      </c>
      <c r="K308" s="7" t="s">
        <v>419</v>
      </c>
      <c r="L308" s="7" t="s">
        <v>991</v>
      </c>
      <c r="M308" s="7" t="s">
        <v>3531</v>
      </c>
      <c r="N308" s="7" t="s">
        <v>5769</v>
      </c>
      <c r="O308" s="7" t="s">
        <v>5770</v>
      </c>
      <c r="P308" s="7" t="s">
        <v>3493</v>
      </c>
      <c r="Q308" s="7">
        <v>1.0</v>
      </c>
    </row>
    <row r="309">
      <c r="A309" s="7" t="s">
        <v>5771</v>
      </c>
      <c r="B309" s="7">
        <v>13266.0</v>
      </c>
      <c r="C309" s="7" t="s">
        <v>5763</v>
      </c>
      <c r="D309" s="7" t="s">
        <v>5772</v>
      </c>
      <c r="E309" s="7" t="s">
        <v>5765</v>
      </c>
      <c r="F309" s="7" t="s">
        <v>5107</v>
      </c>
      <c r="G309" s="7" t="s">
        <v>5773</v>
      </c>
      <c r="H309" s="7" t="s">
        <v>5774</v>
      </c>
      <c r="I309" s="119">
        <v>45292.0</v>
      </c>
      <c r="K309" s="7" t="s">
        <v>419</v>
      </c>
      <c r="L309" s="7" t="s">
        <v>991</v>
      </c>
      <c r="M309" s="7" t="s">
        <v>3501</v>
      </c>
      <c r="N309" s="7" t="s">
        <v>4970</v>
      </c>
      <c r="O309" s="7" t="s">
        <v>5775</v>
      </c>
      <c r="P309" s="7" t="s">
        <v>3604</v>
      </c>
      <c r="Q309" s="7">
        <v>1.0</v>
      </c>
    </row>
    <row r="310">
      <c r="A310" s="7" t="s">
        <v>5776</v>
      </c>
      <c r="B310" s="7">
        <v>2300260.0</v>
      </c>
      <c r="C310" s="7" t="s">
        <v>5763</v>
      </c>
      <c r="D310" s="7" t="s">
        <v>5777</v>
      </c>
      <c r="E310" s="7" t="s">
        <v>5765</v>
      </c>
      <c r="F310" s="7" t="s">
        <v>4032</v>
      </c>
      <c r="G310" s="7" t="s">
        <v>5778</v>
      </c>
      <c r="H310" s="7" t="s">
        <v>5779</v>
      </c>
      <c r="I310" s="119">
        <v>45292.0</v>
      </c>
      <c r="K310" s="7" t="s">
        <v>419</v>
      </c>
      <c r="L310" s="7" t="s">
        <v>991</v>
      </c>
      <c r="M310" s="7" t="s">
        <v>3531</v>
      </c>
      <c r="N310" s="7" t="s">
        <v>5780</v>
      </c>
      <c r="O310" s="7" t="s">
        <v>5781</v>
      </c>
      <c r="P310" s="7" t="s">
        <v>3493</v>
      </c>
      <c r="Q310" s="7">
        <v>1.0</v>
      </c>
    </row>
    <row r="311">
      <c r="A311" s="7" t="s">
        <v>5782</v>
      </c>
      <c r="B311" s="7">
        <v>2300084.0</v>
      </c>
      <c r="C311" s="7" t="s">
        <v>5763</v>
      </c>
      <c r="D311" s="7" t="s">
        <v>5783</v>
      </c>
      <c r="E311" s="7" t="s">
        <v>5765</v>
      </c>
      <c r="F311" s="7" t="s">
        <v>5784</v>
      </c>
      <c r="G311" s="7" t="s">
        <v>5785</v>
      </c>
      <c r="I311" s="119">
        <v>45292.0</v>
      </c>
      <c r="K311" s="7" t="s">
        <v>419</v>
      </c>
      <c r="L311" s="7" t="s">
        <v>991</v>
      </c>
      <c r="M311" s="7" t="s">
        <v>3531</v>
      </c>
      <c r="N311" s="7" t="s">
        <v>3820</v>
      </c>
      <c r="O311" s="7" t="s">
        <v>3821</v>
      </c>
      <c r="P311" s="7" t="s">
        <v>3493</v>
      </c>
      <c r="Q311" s="7">
        <v>1.0</v>
      </c>
    </row>
    <row r="312">
      <c r="A312" s="7" t="s">
        <v>5786</v>
      </c>
      <c r="B312" s="7">
        <v>13665.0</v>
      </c>
      <c r="C312" s="7" t="s">
        <v>5763</v>
      </c>
      <c r="D312" s="7" t="s">
        <v>5787</v>
      </c>
      <c r="E312" s="7" t="s">
        <v>5765</v>
      </c>
      <c r="F312" s="7" t="s">
        <v>5788</v>
      </c>
      <c r="G312" s="7" t="s">
        <v>5789</v>
      </c>
      <c r="H312" s="7" t="s">
        <v>5790</v>
      </c>
      <c r="I312" s="119">
        <v>45292.0</v>
      </c>
      <c r="K312" s="7" t="s">
        <v>3632</v>
      </c>
      <c r="L312" s="7" t="s">
        <v>991</v>
      </c>
      <c r="M312" s="7" t="s">
        <v>3501</v>
      </c>
      <c r="N312" s="7" t="s">
        <v>5052</v>
      </c>
      <c r="O312" s="7" t="s">
        <v>5053</v>
      </c>
      <c r="P312" s="7" t="s">
        <v>3522</v>
      </c>
      <c r="Q312" s="7" t="s">
        <v>3523</v>
      </c>
    </row>
    <row r="313">
      <c r="A313" s="7" t="s">
        <v>5791</v>
      </c>
      <c r="B313" s="7">
        <v>2300489.0</v>
      </c>
      <c r="C313" s="7" t="s">
        <v>5763</v>
      </c>
      <c r="D313" s="7" t="s">
        <v>5792</v>
      </c>
      <c r="E313" s="7" t="s">
        <v>5765</v>
      </c>
      <c r="F313" s="7" t="s">
        <v>3838</v>
      </c>
      <c r="G313" s="7" t="s">
        <v>5793</v>
      </c>
      <c r="H313" s="7" t="s">
        <v>5794</v>
      </c>
      <c r="I313" s="119">
        <v>45292.0</v>
      </c>
      <c r="K313" s="7" t="s">
        <v>419</v>
      </c>
      <c r="L313" s="7" t="s">
        <v>991</v>
      </c>
      <c r="M313" s="7" t="s">
        <v>3531</v>
      </c>
      <c r="N313" s="7" t="s">
        <v>5795</v>
      </c>
      <c r="O313" s="7" t="s">
        <v>5796</v>
      </c>
      <c r="P313" s="7" t="s">
        <v>3493</v>
      </c>
      <c r="Q313" s="7">
        <v>1.0</v>
      </c>
    </row>
    <row r="314">
      <c r="A314" s="7" t="s">
        <v>5797</v>
      </c>
      <c r="B314" s="7">
        <v>2100487.0</v>
      </c>
      <c r="C314" s="7" t="s">
        <v>5798</v>
      </c>
      <c r="D314" s="7" t="s">
        <v>5799</v>
      </c>
      <c r="E314" s="7" t="s">
        <v>5800</v>
      </c>
      <c r="F314" s="7" t="s">
        <v>5801</v>
      </c>
      <c r="G314" s="7" t="s">
        <v>5802</v>
      </c>
      <c r="H314" s="7" t="s">
        <v>5803</v>
      </c>
      <c r="I314" s="119">
        <v>45292.0</v>
      </c>
      <c r="K314" s="7" t="s">
        <v>419</v>
      </c>
      <c r="L314" s="7" t="s">
        <v>991</v>
      </c>
      <c r="M314" s="7" t="s">
        <v>3501</v>
      </c>
      <c r="N314" s="7" t="s">
        <v>4168</v>
      </c>
      <c r="O314" s="7" t="s">
        <v>4169</v>
      </c>
      <c r="P314" s="7" t="s">
        <v>3604</v>
      </c>
      <c r="Q314" s="7">
        <v>1.0</v>
      </c>
    </row>
    <row r="315">
      <c r="A315" s="7" t="s">
        <v>5804</v>
      </c>
      <c r="B315" s="7">
        <v>2200673.0</v>
      </c>
      <c r="C315" s="7" t="s">
        <v>5805</v>
      </c>
      <c r="D315" s="7" t="s">
        <v>5806</v>
      </c>
      <c r="E315" s="7" t="s">
        <v>5800</v>
      </c>
      <c r="F315" s="7" t="s">
        <v>4203</v>
      </c>
      <c r="G315" s="7" t="s">
        <v>5807</v>
      </c>
      <c r="H315" s="7" t="s">
        <v>5808</v>
      </c>
      <c r="I315" s="119">
        <v>45292.0</v>
      </c>
      <c r="K315" s="7" t="s">
        <v>419</v>
      </c>
      <c r="L315" s="7" t="s">
        <v>991</v>
      </c>
      <c r="M315" s="7" t="s">
        <v>3531</v>
      </c>
      <c r="N315" s="7" t="s">
        <v>4096</v>
      </c>
      <c r="O315" s="7" t="s">
        <v>4097</v>
      </c>
      <c r="P315" s="7" t="s">
        <v>3493</v>
      </c>
      <c r="Q315" s="7">
        <v>1.0</v>
      </c>
    </row>
    <row r="316">
      <c r="A316" s="7" t="s">
        <v>5809</v>
      </c>
      <c r="B316" s="7">
        <v>8152.0</v>
      </c>
      <c r="C316" s="7" t="s">
        <v>5810</v>
      </c>
      <c r="D316" s="7" t="s">
        <v>5811</v>
      </c>
      <c r="E316" s="7" t="s">
        <v>5812</v>
      </c>
      <c r="F316" s="7" t="s">
        <v>5813</v>
      </c>
      <c r="G316" s="7" t="s">
        <v>5814</v>
      </c>
      <c r="H316" s="7" t="s">
        <v>5815</v>
      </c>
      <c r="I316" s="119">
        <v>45292.0</v>
      </c>
      <c r="K316" s="7" t="s">
        <v>419</v>
      </c>
      <c r="L316" s="7" t="s">
        <v>991</v>
      </c>
      <c r="M316" s="7" t="s">
        <v>3531</v>
      </c>
      <c r="N316" s="7" t="s">
        <v>5816</v>
      </c>
      <c r="O316" s="7" t="s">
        <v>5817</v>
      </c>
      <c r="P316" s="7" t="s">
        <v>3493</v>
      </c>
      <c r="Q316" s="7">
        <v>1.0</v>
      </c>
    </row>
    <row r="317">
      <c r="A317" s="7" t="s">
        <v>5818</v>
      </c>
      <c r="B317" s="7">
        <v>2200077.0</v>
      </c>
      <c r="C317" s="7" t="s">
        <v>5810</v>
      </c>
      <c r="D317" s="7" t="s">
        <v>5819</v>
      </c>
      <c r="E317" s="7" t="s">
        <v>5812</v>
      </c>
      <c r="F317" s="7" t="s">
        <v>5820</v>
      </c>
      <c r="G317" s="7" t="s">
        <v>5821</v>
      </c>
      <c r="H317" s="7" t="s">
        <v>5822</v>
      </c>
      <c r="I317" s="119">
        <v>45292.0</v>
      </c>
      <c r="K317" s="7" t="s">
        <v>419</v>
      </c>
      <c r="L317" s="7" t="s">
        <v>991</v>
      </c>
      <c r="M317" s="7" t="s">
        <v>3501</v>
      </c>
      <c r="N317" s="7" t="s">
        <v>5823</v>
      </c>
      <c r="O317" s="7" t="s">
        <v>5824</v>
      </c>
      <c r="P317" s="7" t="s">
        <v>3614</v>
      </c>
      <c r="Q317" s="7" t="s">
        <v>3514</v>
      </c>
    </row>
    <row r="318">
      <c r="A318" s="7" t="s">
        <v>5825</v>
      </c>
      <c r="B318" s="7">
        <v>10384.0</v>
      </c>
      <c r="C318" s="7" t="s">
        <v>5810</v>
      </c>
      <c r="D318" s="7" t="s">
        <v>5826</v>
      </c>
      <c r="E318" s="7" t="s">
        <v>5812</v>
      </c>
      <c r="F318" s="7" t="s">
        <v>4525</v>
      </c>
      <c r="G318" s="7" t="s">
        <v>5827</v>
      </c>
      <c r="H318" s="7" t="s">
        <v>5828</v>
      </c>
      <c r="I318" s="119">
        <v>45292.0</v>
      </c>
      <c r="K318" s="7" t="s">
        <v>419</v>
      </c>
      <c r="L318" s="7" t="s">
        <v>991</v>
      </c>
      <c r="M318" s="7" t="s">
        <v>3531</v>
      </c>
      <c r="N318" s="7" t="s">
        <v>3724</v>
      </c>
      <c r="O318" s="7" t="s">
        <v>3725</v>
      </c>
      <c r="P318" s="7" t="s">
        <v>3493</v>
      </c>
      <c r="Q318" s="7">
        <v>1.0</v>
      </c>
    </row>
    <row r="319">
      <c r="A319" s="7" t="s">
        <v>5829</v>
      </c>
      <c r="B319" s="7">
        <v>2200215.0</v>
      </c>
      <c r="C319" s="7" t="s">
        <v>5830</v>
      </c>
      <c r="D319" s="7" t="s">
        <v>5831</v>
      </c>
      <c r="E319" s="7" t="s">
        <v>5832</v>
      </c>
      <c r="F319" s="7" t="s">
        <v>3508</v>
      </c>
      <c r="G319" s="7" t="s">
        <v>5833</v>
      </c>
      <c r="H319" s="7" t="s">
        <v>5834</v>
      </c>
      <c r="I319" s="119">
        <v>45292.0</v>
      </c>
      <c r="K319" s="7" t="s">
        <v>3885</v>
      </c>
      <c r="L319" s="7" t="s">
        <v>3542</v>
      </c>
      <c r="M319" s="7" t="s">
        <v>3543</v>
      </c>
      <c r="N319" s="7" t="s">
        <v>3733</v>
      </c>
      <c r="O319" s="7" t="s">
        <v>5835</v>
      </c>
      <c r="P319" s="7" t="s">
        <v>3522</v>
      </c>
      <c r="Q319" s="7" t="s">
        <v>3523</v>
      </c>
    </row>
    <row r="320">
      <c r="A320" s="7" t="s">
        <v>5836</v>
      </c>
      <c r="B320" s="7">
        <v>2300771.0</v>
      </c>
      <c r="C320" s="7" t="s">
        <v>5830</v>
      </c>
      <c r="D320" s="7" t="s">
        <v>5837</v>
      </c>
      <c r="E320" s="7" t="s">
        <v>5832</v>
      </c>
      <c r="F320" s="7" t="s">
        <v>5838</v>
      </c>
      <c r="G320" s="7" t="s">
        <v>5839</v>
      </c>
      <c r="H320" s="7" t="s">
        <v>5840</v>
      </c>
      <c r="I320" s="119">
        <v>45292.0</v>
      </c>
      <c r="K320" s="7" t="s">
        <v>419</v>
      </c>
      <c r="L320" s="7" t="s">
        <v>991</v>
      </c>
      <c r="M320" s="7" t="s">
        <v>3531</v>
      </c>
      <c r="N320" s="7" t="s">
        <v>4738</v>
      </c>
      <c r="O320" s="7" t="s">
        <v>4739</v>
      </c>
      <c r="P320" s="7" t="s">
        <v>3493</v>
      </c>
      <c r="Q320" s="7">
        <v>1.0</v>
      </c>
    </row>
    <row r="321">
      <c r="A321" s="7" t="s">
        <v>5841</v>
      </c>
      <c r="B321" s="7">
        <v>11742.0</v>
      </c>
      <c r="C321" s="7" t="s">
        <v>5830</v>
      </c>
      <c r="D321" s="7" t="s">
        <v>4100</v>
      </c>
      <c r="E321" s="7" t="s">
        <v>5832</v>
      </c>
      <c r="F321" s="7" t="s">
        <v>3486</v>
      </c>
      <c r="G321" s="7" t="s">
        <v>5842</v>
      </c>
      <c r="H321" s="7" t="s">
        <v>5843</v>
      </c>
      <c r="I321" s="119">
        <v>45292.0</v>
      </c>
      <c r="K321" s="7" t="s">
        <v>419</v>
      </c>
      <c r="L321" s="7" t="s">
        <v>991</v>
      </c>
      <c r="M321" s="7" t="s">
        <v>3501</v>
      </c>
      <c r="N321" s="7" t="s">
        <v>5844</v>
      </c>
      <c r="O321" s="7" t="s">
        <v>5845</v>
      </c>
      <c r="P321" s="7" t="s">
        <v>5846</v>
      </c>
      <c r="Q321" s="7" t="s">
        <v>3555</v>
      </c>
    </row>
    <row r="322">
      <c r="A322" s="7" t="s">
        <v>5847</v>
      </c>
      <c r="B322" s="7">
        <v>8150.0</v>
      </c>
      <c r="C322" s="7" t="s">
        <v>5830</v>
      </c>
      <c r="D322" s="7" t="s">
        <v>5848</v>
      </c>
      <c r="E322" s="7" t="s">
        <v>5832</v>
      </c>
      <c r="F322" s="7" t="s">
        <v>5849</v>
      </c>
      <c r="G322" s="7" t="s">
        <v>5850</v>
      </c>
      <c r="H322" s="7" t="s">
        <v>5851</v>
      </c>
      <c r="I322" s="119">
        <v>45292.0</v>
      </c>
      <c r="K322" s="7" t="s">
        <v>419</v>
      </c>
      <c r="L322" s="7" t="s">
        <v>991</v>
      </c>
      <c r="M322" s="7" t="s">
        <v>3531</v>
      </c>
      <c r="N322" s="7" t="s">
        <v>5816</v>
      </c>
      <c r="O322" s="7" t="s">
        <v>5817</v>
      </c>
      <c r="P322" s="7" t="s">
        <v>3493</v>
      </c>
      <c r="Q322" s="7">
        <v>1.0</v>
      </c>
    </row>
    <row r="323">
      <c r="A323" s="7" t="s">
        <v>5852</v>
      </c>
      <c r="B323" s="7">
        <v>2300385.0</v>
      </c>
      <c r="C323" s="7" t="s">
        <v>5853</v>
      </c>
      <c r="D323" s="7" t="s">
        <v>5854</v>
      </c>
      <c r="E323" s="7" t="s">
        <v>5855</v>
      </c>
      <c r="F323" s="7" t="s">
        <v>5441</v>
      </c>
      <c r="G323" s="7" t="s">
        <v>5856</v>
      </c>
      <c r="H323" s="7" t="s">
        <v>5857</v>
      </c>
      <c r="I323" s="119">
        <v>45292.0</v>
      </c>
      <c r="K323" s="7" t="s">
        <v>419</v>
      </c>
      <c r="L323" s="7" t="s">
        <v>991</v>
      </c>
      <c r="M323" s="7" t="s">
        <v>3531</v>
      </c>
      <c r="N323" s="7" t="s">
        <v>3957</v>
      </c>
      <c r="O323" s="7" t="s">
        <v>3958</v>
      </c>
      <c r="P323" s="7" t="s">
        <v>3493</v>
      </c>
      <c r="Q323" s="7">
        <v>1.0</v>
      </c>
    </row>
    <row r="324">
      <c r="A324" s="7" t="s">
        <v>5858</v>
      </c>
      <c r="B324" s="7">
        <v>2200767.0</v>
      </c>
      <c r="C324" s="7" t="s">
        <v>5853</v>
      </c>
      <c r="D324" s="7" t="s">
        <v>5859</v>
      </c>
      <c r="E324" s="7" t="s">
        <v>5855</v>
      </c>
      <c r="F324" s="7" t="s">
        <v>5860</v>
      </c>
      <c r="G324" s="7" t="s">
        <v>5861</v>
      </c>
      <c r="H324" s="7" t="s">
        <v>5862</v>
      </c>
      <c r="I324" s="119">
        <v>45292.0</v>
      </c>
      <c r="K324" s="7" t="s">
        <v>419</v>
      </c>
      <c r="L324" s="7" t="s">
        <v>991</v>
      </c>
      <c r="M324" s="7" t="s">
        <v>3501</v>
      </c>
      <c r="N324" s="7" t="s">
        <v>3733</v>
      </c>
      <c r="O324" s="7" t="s">
        <v>3734</v>
      </c>
      <c r="P324" s="7" t="s">
        <v>3493</v>
      </c>
      <c r="Q324" s="7">
        <v>1.0</v>
      </c>
    </row>
    <row r="325">
      <c r="A325" s="7" t="s">
        <v>1519</v>
      </c>
      <c r="B325" s="7">
        <v>1167.0</v>
      </c>
      <c r="C325" s="7" t="s">
        <v>5853</v>
      </c>
      <c r="D325" s="7" t="s">
        <v>4699</v>
      </c>
      <c r="E325" s="7" t="s">
        <v>5855</v>
      </c>
      <c r="F325" s="7" t="s">
        <v>4700</v>
      </c>
      <c r="G325" s="7" t="s">
        <v>5863</v>
      </c>
      <c r="H325" s="7" t="s">
        <v>5864</v>
      </c>
      <c r="I325" s="119">
        <v>45292.0</v>
      </c>
      <c r="K325" s="7" t="s">
        <v>419</v>
      </c>
      <c r="L325" s="7" t="s">
        <v>991</v>
      </c>
      <c r="M325" s="7" t="s">
        <v>3501</v>
      </c>
      <c r="N325" s="7" t="s">
        <v>4197</v>
      </c>
      <c r="O325" s="7" t="s">
        <v>4198</v>
      </c>
      <c r="P325" s="7" t="s">
        <v>3894</v>
      </c>
      <c r="Q325" s="7" t="s">
        <v>3523</v>
      </c>
    </row>
    <row r="326">
      <c r="A326" s="7" t="s">
        <v>5865</v>
      </c>
      <c r="B326" s="7">
        <v>14141.0</v>
      </c>
      <c r="C326" s="7" t="s">
        <v>5853</v>
      </c>
      <c r="D326" s="7" t="s">
        <v>4717</v>
      </c>
      <c r="E326" s="7" t="s">
        <v>5855</v>
      </c>
      <c r="F326" s="7" t="s">
        <v>4262</v>
      </c>
      <c r="G326" s="7" t="s">
        <v>5866</v>
      </c>
      <c r="H326" s="7" t="s">
        <v>5867</v>
      </c>
      <c r="I326" s="119">
        <v>45292.0</v>
      </c>
      <c r="K326" s="7" t="s">
        <v>419</v>
      </c>
      <c r="L326" s="7" t="s">
        <v>991</v>
      </c>
      <c r="M326" s="7" t="s">
        <v>3531</v>
      </c>
      <c r="N326" s="7" t="s">
        <v>5868</v>
      </c>
      <c r="O326" s="7" t="s">
        <v>5869</v>
      </c>
      <c r="P326" s="7" t="s">
        <v>3493</v>
      </c>
      <c r="Q326" s="7">
        <v>1.0</v>
      </c>
    </row>
    <row r="327">
      <c r="A327" s="7" t="s">
        <v>5870</v>
      </c>
      <c r="B327" s="7">
        <v>13060.0</v>
      </c>
      <c r="C327" s="7" t="s">
        <v>5853</v>
      </c>
      <c r="D327" s="7" t="s">
        <v>5871</v>
      </c>
      <c r="E327" s="7" t="s">
        <v>5855</v>
      </c>
      <c r="F327" s="7" t="s">
        <v>5872</v>
      </c>
      <c r="G327" s="7" t="s">
        <v>5873</v>
      </c>
      <c r="H327" s="7" t="s">
        <v>5874</v>
      </c>
      <c r="I327" s="119">
        <v>45292.0</v>
      </c>
      <c r="K327" s="7" t="s">
        <v>419</v>
      </c>
      <c r="L327" s="7" t="s">
        <v>991</v>
      </c>
      <c r="M327" s="7" t="s">
        <v>3531</v>
      </c>
      <c r="N327" s="7" t="s">
        <v>5875</v>
      </c>
      <c r="O327" s="7" t="s">
        <v>5876</v>
      </c>
      <c r="P327" s="7" t="s">
        <v>3493</v>
      </c>
      <c r="Q327" s="7">
        <v>1.0</v>
      </c>
    </row>
    <row r="328">
      <c r="A328" s="7" t="s">
        <v>5877</v>
      </c>
      <c r="B328" s="7">
        <v>2100296.0</v>
      </c>
      <c r="C328" s="7" t="s">
        <v>5853</v>
      </c>
      <c r="D328" s="7" t="s">
        <v>5878</v>
      </c>
      <c r="E328" s="7" t="s">
        <v>5855</v>
      </c>
      <c r="F328" s="7" t="s">
        <v>5595</v>
      </c>
      <c r="G328" s="7" t="s">
        <v>5879</v>
      </c>
      <c r="I328" s="119">
        <v>45292.0</v>
      </c>
      <c r="K328" s="7" t="s">
        <v>419</v>
      </c>
      <c r="L328" s="7" t="s">
        <v>991</v>
      </c>
      <c r="M328" s="7" t="s">
        <v>3531</v>
      </c>
      <c r="N328" s="7" t="s">
        <v>5197</v>
      </c>
      <c r="O328" s="7" t="s">
        <v>5198</v>
      </c>
      <c r="P328" s="7" t="s">
        <v>3493</v>
      </c>
      <c r="Q328" s="7">
        <v>1.0</v>
      </c>
    </row>
    <row r="329">
      <c r="A329" s="7" t="s">
        <v>5880</v>
      </c>
      <c r="B329" s="7">
        <v>2300144.0</v>
      </c>
      <c r="C329" s="7" t="s">
        <v>5853</v>
      </c>
      <c r="D329" s="7" t="s">
        <v>5881</v>
      </c>
      <c r="E329" s="7" t="s">
        <v>5855</v>
      </c>
      <c r="F329" s="7" t="s">
        <v>4546</v>
      </c>
      <c r="G329" s="7" t="s">
        <v>5882</v>
      </c>
      <c r="H329" s="7" t="s">
        <v>5883</v>
      </c>
      <c r="I329" s="119">
        <v>45292.0</v>
      </c>
      <c r="K329" s="7" t="s">
        <v>419</v>
      </c>
      <c r="L329" s="7" t="s">
        <v>991</v>
      </c>
      <c r="M329" s="7" t="s">
        <v>3531</v>
      </c>
      <c r="N329" s="7" t="s">
        <v>4256</v>
      </c>
      <c r="O329" s="7" t="s">
        <v>4257</v>
      </c>
      <c r="P329" s="7" t="s">
        <v>3493</v>
      </c>
      <c r="Q329" s="7">
        <v>1.0</v>
      </c>
    </row>
    <row r="330">
      <c r="A330" s="7" t="s">
        <v>5884</v>
      </c>
      <c r="B330" s="7">
        <v>2200768.0</v>
      </c>
      <c r="C330" s="7" t="s">
        <v>5853</v>
      </c>
      <c r="D330" s="7" t="s">
        <v>5885</v>
      </c>
      <c r="E330" s="7" t="s">
        <v>5855</v>
      </c>
      <c r="F330" s="7" t="s">
        <v>3766</v>
      </c>
      <c r="G330" s="7" t="s">
        <v>5886</v>
      </c>
      <c r="H330" s="7" t="s">
        <v>5887</v>
      </c>
      <c r="I330" s="119">
        <v>45292.0</v>
      </c>
      <c r="K330" s="7" t="s">
        <v>419</v>
      </c>
      <c r="L330" s="7" t="s">
        <v>991</v>
      </c>
      <c r="M330" s="7" t="s">
        <v>3531</v>
      </c>
      <c r="N330" s="7" t="s">
        <v>5888</v>
      </c>
      <c r="O330" s="7" t="s">
        <v>5889</v>
      </c>
      <c r="P330" s="7" t="s">
        <v>3493</v>
      </c>
      <c r="Q330" s="7">
        <v>1.0</v>
      </c>
    </row>
    <row r="331">
      <c r="A331" s="7" t="s">
        <v>5890</v>
      </c>
      <c r="B331" s="7">
        <v>2200823.0</v>
      </c>
      <c r="C331" s="7" t="s">
        <v>5853</v>
      </c>
      <c r="D331" s="7" t="s">
        <v>5891</v>
      </c>
      <c r="E331" s="7" t="s">
        <v>5855</v>
      </c>
      <c r="F331" s="7" t="s">
        <v>5514</v>
      </c>
      <c r="G331" s="7" t="s">
        <v>5892</v>
      </c>
      <c r="H331" s="7" t="s">
        <v>5893</v>
      </c>
      <c r="I331" s="119">
        <v>45292.0</v>
      </c>
      <c r="K331" s="7" t="s">
        <v>419</v>
      </c>
      <c r="L331" s="7" t="s">
        <v>991</v>
      </c>
      <c r="M331" s="7" t="s">
        <v>3583</v>
      </c>
      <c r="N331" s="7" t="s">
        <v>4803</v>
      </c>
      <c r="O331" s="7" t="s">
        <v>5894</v>
      </c>
      <c r="P331" s="7" t="s">
        <v>3493</v>
      </c>
      <c r="Q331" s="7">
        <v>1.0</v>
      </c>
    </row>
    <row r="332">
      <c r="A332" s="7" t="s">
        <v>5895</v>
      </c>
      <c r="B332" s="7">
        <v>10106.0</v>
      </c>
      <c r="C332" s="7" t="s">
        <v>5896</v>
      </c>
      <c r="D332" s="7" t="s">
        <v>5897</v>
      </c>
      <c r="E332" s="7" t="s">
        <v>5898</v>
      </c>
      <c r="F332" s="7" t="s">
        <v>5899</v>
      </c>
      <c r="G332" s="7" t="s">
        <v>5900</v>
      </c>
      <c r="H332" s="7" t="s">
        <v>5901</v>
      </c>
      <c r="I332" s="119">
        <v>45292.0</v>
      </c>
      <c r="K332" s="7" t="s">
        <v>4206</v>
      </c>
      <c r="L332" s="7" t="s">
        <v>3542</v>
      </c>
      <c r="M332" s="7" t="s">
        <v>3543</v>
      </c>
      <c r="N332" s="7" t="s">
        <v>5902</v>
      </c>
      <c r="O332" s="7" t="s">
        <v>5903</v>
      </c>
      <c r="P332" s="7" t="s">
        <v>3522</v>
      </c>
      <c r="Q332" s="7" t="s">
        <v>3514</v>
      </c>
    </row>
    <row r="333">
      <c r="A333" s="7" t="s">
        <v>5904</v>
      </c>
      <c r="B333" s="7">
        <v>2100576.0</v>
      </c>
      <c r="C333" s="7" t="s">
        <v>5905</v>
      </c>
      <c r="D333" s="7" t="s">
        <v>5906</v>
      </c>
      <c r="E333" s="7" t="s">
        <v>5907</v>
      </c>
      <c r="F333" s="7" t="s">
        <v>5908</v>
      </c>
      <c r="G333" s="7" t="s">
        <v>5909</v>
      </c>
      <c r="H333" s="7" t="s">
        <v>5910</v>
      </c>
      <c r="I333" s="119">
        <v>45292.0</v>
      </c>
      <c r="K333" s="7" t="s">
        <v>419</v>
      </c>
      <c r="L333" s="7" t="s">
        <v>991</v>
      </c>
      <c r="M333" s="7" t="s">
        <v>3501</v>
      </c>
      <c r="N333" s="7" t="s">
        <v>5911</v>
      </c>
      <c r="O333" s="7" t="s">
        <v>5912</v>
      </c>
      <c r="P333" s="7" t="s">
        <v>3604</v>
      </c>
      <c r="Q333" s="7">
        <v>1.0</v>
      </c>
    </row>
    <row r="334">
      <c r="A334" s="7" t="s">
        <v>5913</v>
      </c>
      <c r="B334" s="7">
        <v>1186.0</v>
      </c>
      <c r="C334" s="7" t="s">
        <v>5914</v>
      </c>
      <c r="D334" s="7" t="s">
        <v>5915</v>
      </c>
      <c r="E334" s="7" t="s">
        <v>5916</v>
      </c>
      <c r="F334" s="7" t="s">
        <v>5917</v>
      </c>
      <c r="G334" s="7" t="s">
        <v>5918</v>
      </c>
      <c r="H334" s="7" t="s">
        <v>5919</v>
      </c>
      <c r="I334" s="119">
        <v>45292.0</v>
      </c>
      <c r="K334" s="7" t="s">
        <v>419</v>
      </c>
      <c r="L334" s="7" t="s">
        <v>991</v>
      </c>
      <c r="M334" s="7" t="s">
        <v>3501</v>
      </c>
      <c r="N334" s="7" t="s">
        <v>5740</v>
      </c>
      <c r="O334" s="7" t="s">
        <v>5741</v>
      </c>
      <c r="P334" s="7" t="s">
        <v>3493</v>
      </c>
      <c r="Q334" s="7">
        <v>1.0</v>
      </c>
    </row>
    <row r="335">
      <c r="A335" s="7" t="s">
        <v>5920</v>
      </c>
      <c r="B335" s="7">
        <v>2100123.0</v>
      </c>
      <c r="C335" s="7" t="s">
        <v>5921</v>
      </c>
      <c r="D335" s="7" t="s">
        <v>4620</v>
      </c>
      <c r="E335" s="7" t="s">
        <v>5922</v>
      </c>
      <c r="F335" s="7" t="s">
        <v>3792</v>
      </c>
      <c r="G335" s="7" t="s">
        <v>5923</v>
      </c>
      <c r="H335" s="7" t="s">
        <v>5924</v>
      </c>
      <c r="I335" s="119">
        <v>45383.0</v>
      </c>
      <c r="K335" s="7" t="s">
        <v>3541</v>
      </c>
      <c r="L335" s="7" t="s">
        <v>3542</v>
      </c>
      <c r="M335" s="7" t="s">
        <v>3543</v>
      </c>
      <c r="N335" s="7" t="s">
        <v>3544</v>
      </c>
      <c r="O335" s="7" t="s">
        <v>3545</v>
      </c>
      <c r="P335" s="7" t="s">
        <v>3522</v>
      </c>
      <c r="Q335" s="7" t="s">
        <v>3514</v>
      </c>
    </row>
    <row r="336">
      <c r="A336" s="7" t="s">
        <v>5925</v>
      </c>
      <c r="B336" s="7">
        <v>13674.0</v>
      </c>
      <c r="C336" s="7" t="s">
        <v>5926</v>
      </c>
      <c r="D336" s="7" t="s">
        <v>5927</v>
      </c>
      <c r="E336" s="7" t="s">
        <v>5928</v>
      </c>
      <c r="F336" s="7" t="s">
        <v>5759</v>
      </c>
      <c r="G336" s="7" t="s">
        <v>5929</v>
      </c>
      <c r="H336" s="7" t="s">
        <v>5930</v>
      </c>
      <c r="I336" s="119">
        <v>45292.0</v>
      </c>
      <c r="K336" s="7" t="s">
        <v>3632</v>
      </c>
      <c r="L336" s="7" t="s">
        <v>991</v>
      </c>
      <c r="M336" s="7" t="s">
        <v>3501</v>
      </c>
      <c r="N336" s="7" t="s">
        <v>5931</v>
      </c>
      <c r="O336" s="7" t="s">
        <v>5932</v>
      </c>
      <c r="P336" s="7" t="s">
        <v>3894</v>
      </c>
      <c r="Q336" s="7" t="s">
        <v>3523</v>
      </c>
    </row>
    <row r="337">
      <c r="A337" s="7" t="s">
        <v>5933</v>
      </c>
      <c r="B337" s="7">
        <v>2400014.0</v>
      </c>
      <c r="C337" s="7" t="s">
        <v>5934</v>
      </c>
      <c r="D337" s="7" t="s">
        <v>5935</v>
      </c>
      <c r="E337" s="7" t="s">
        <v>5936</v>
      </c>
      <c r="F337" s="7" t="s">
        <v>4700</v>
      </c>
      <c r="G337" s="7" t="s">
        <v>5937</v>
      </c>
      <c r="H337" s="7" t="s">
        <v>5938</v>
      </c>
      <c r="I337" s="119">
        <v>45292.0</v>
      </c>
      <c r="K337" s="7" t="s">
        <v>3642</v>
      </c>
      <c r="L337" s="7" t="s">
        <v>991</v>
      </c>
      <c r="M337" s="7" t="s">
        <v>3583</v>
      </c>
      <c r="N337" s="7" t="s">
        <v>3643</v>
      </c>
      <c r="O337" s="7" t="s">
        <v>3644</v>
      </c>
      <c r="P337" s="7" t="s">
        <v>3493</v>
      </c>
      <c r="Q337" s="7">
        <v>1.0</v>
      </c>
    </row>
    <row r="338">
      <c r="A338" s="7" t="s">
        <v>5939</v>
      </c>
      <c r="B338" s="7">
        <v>14326.0</v>
      </c>
      <c r="C338" s="7" t="s">
        <v>5940</v>
      </c>
      <c r="D338" s="7" t="s">
        <v>5941</v>
      </c>
      <c r="E338" s="7" t="s">
        <v>5942</v>
      </c>
      <c r="F338" s="7" t="s">
        <v>5943</v>
      </c>
      <c r="G338" s="7" t="s">
        <v>5944</v>
      </c>
      <c r="H338" s="7" t="s">
        <v>5945</v>
      </c>
      <c r="I338" s="119">
        <v>45292.0</v>
      </c>
      <c r="K338" s="7" t="s">
        <v>419</v>
      </c>
      <c r="L338" s="7" t="s">
        <v>991</v>
      </c>
      <c r="M338" s="7" t="s">
        <v>3501</v>
      </c>
      <c r="N338" s="7" t="s">
        <v>3966</v>
      </c>
      <c r="O338" s="7" t="s">
        <v>3967</v>
      </c>
      <c r="P338" s="7" t="s">
        <v>3843</v>
      </c>
      <c r="Q338" s="7">
        <v>1.0</v>
      </c>
    </row>
    <row r="339">
      <c r="A339" s="7" t="s">
        <v>5946</v>
      </c>
      <c r="B339" s="7">
        <v>13801.0</v>
      </c>
      <c r="C339" s="7" t="s">
        <v>5947</v>
      </c>
      <c r="D339" s="7" t="s">
        <v>5948</v>
      </c>
      <c r="E339" s="7" t="s">
        <v>5949</v>
      </c>
      <c r="F339" s="7" t="s">
        <v>4511</v>
      </c>
      <c r="G339" s="7" t="s">
        <v>5950</v>
      </c>
      <c r="H339" s="7" t="s">
        <v>5951</v>
      </c>
      <c r="I339" s="119">
        <v>45292.0</v>
      </c>
      <c r="K339" s="7" t="s">
        <v>3632</v>
      </c>
      <c r="L339" s="7" t="s">
        <v>991</v>
      </c>
      <c r="M339" s="7" t="s">
        <v>3501</v>
      </c>
      <c r="N339" s="7" t="s">
        <v>5952</v>
      </c>
      <c r="O339" s="7" t="s">
        <v>5953</v>
      </c>
      <c r="P339" s="7" t="s">
        <v>3522</v>
      </c>
      <c r="Q339" s="7" t="s">
        <v>3514</v>
      </c>
    </row>
    <row r="340">
      <c r="A340" s="7" t="s">
        <v>5954</v>
      </c>
      <c r="B340" s="7">
        <v>14039.0</v>
      </c>
      <c r="C340" s="7" t="s">
        <v>5955</v>
      </c>
      <c r="D340" s="7" t="s">
        <v>5956</v>
      </c>
      <c r="E340" s="7" t="s">
        <v>5957</v>
      </c>
      <c r="F340" s="7" t="s">
        <v>4687</v>
      </c>
      <c r="G340" s="7" t="s">
        <v>5958</v>
      </c>
      <c r="H340" s="7" t="s">
        <v>5959</v>
      </c>
      <c r="I340" s="119">
        <v>45292.0</v>
      </c>
      <c r="K340" s="7" t="s">
        <v>3632</v>
      </c>
      <c r="L340" s="7" t="s">
        <v>991</v>
      </c>
      <c r="M340" s="7" t="s">
        <v>3501</v>
      </c>
      <c r="N340" s="7" t="s">
        <v>3633</v>
      </c>
      <c r="O340" s="7" t="s">
        <v>5960</v>
      </c>
      <c r="P340" s="7" t="s">
        <v>4154</v>
      </c>
      <c r="Q340" s="7" t="s">
        <v>3566</v>
      </c>
    </row>
    <row r="341">
      <c r="A341" s="7" t="s">
        <v>5961</v>
      </c>
      <c r="B341" s="7">
        <v>13697.0</v>
      </c>
      <c r="C341" s="7" t="s">
        <v>5955</v>
      </c>
      <c r="D341" s="7" t="s">
        <v>5962</v>
      </c>
      <c r="E341" s="7" t="s">
        <v>5957</v>
      </c>
      <c r="F341" s="7" t="s">
        <v>5723</v>
      </c>
      <c r="G341" s="7" t="s">
        <v>5963</v>
      </c>
      <c r="H341" s="7" t="s">
        <v>5964</v>
      </c>
      <c r="I341" s="119">
        <v>45292.0</v>
      </c>
      <c r="K341" s="7" t="s">
        <v>3632</v>
      </c>
      <c r="L341" s="7" t="s">
        <v>991</v>
      </c>
      <c r="M341" s="7" t="s">
        <v>3501</v>
      </c>
      <c r="N341" s="7" t="s">
        <v>5965</v>
      </c>
      <c r="O341" s="7" t="s">
        <v>5966</v>
      </c>
      <c r="P341" s="7" t="s">
        <v>3522</v>
      </c>
      <c r="Q341" s="7" t="s">
        <v>3523</v>
      </c>
    </row>
    <row r="342">
      <c r="A342" s="7" t="s">
        <v>5967</v>
      </c>
      <c r="B342" s="7">
        <v>12558.0</v>
      </c>
      <c r="C342" s="7" t="s">
        <v>5968</v>
      </c>
      <c r="D342" s="7" t="s">
        <v>5969</v>
      </c>
      <c r="E342" s="7" t="s">
        <v>5970</v>
      </c>
      <c r="F342" s="7" t="s">
        <v>3909</v>
      </c>
      <c r="G342" s="7" t="s">
        <v>5971</v>
      </c>
      <c r="H342" s="7" t="s">
        <v>5972</v>
      </c>
      <c r="I342" s="119">
        <v>45292.0</v>
      </c>
      <c r="K342" s="7" t="s">
        <v>5973</v>
      </c>
      <c r="L342" s="7" t="s">
        <v>3542</v>
      </c>
      <c r="M342" s="7" t="s">
        <v>3543</v>
      </c>
      <c r="N342" s="7" t="s">
        <v>5974</v>
      </c>
      <c r="O342" s="7" t="s">
        <v>5975</v>
      </c>
      <c r="P342" s="7" t="s">
        <v>4154</v>
      </c>
      <c r="Q342" s="7" t="s">
        <v>3566</v>
      </c>
    </row>
    <row r="343">
      <c r="A343" s="7" t="s">
        <v>1788</v>
      </c>
      <c r="B343" s="7">
        <v>10290.0</v>
      </c>
      <c r="C343" s="7" t="s">
        <v>5976</v>
      </c>
      <c r="D343" s="7" t="s">
        <v>3780</v>
      </c>
      <c r="E343" s="7" t="s">
        <v>5977</v>
      </c>
      <c r="F343" s="7" t="s">
        <v>3781</v>
      </c>
      <c r="G343" s="7" t="s">
        <v>5978</v>
      </c>
      <c r="H343" s="7" t="s">
        <v>5979</v>
      </c>
      <c r="I343" s="119">
        <v>45292.0</v>
      </c>
      <c r="K343" s="7" t="s">
        <v>3885</v>
      </c>
      <c r="L343" s="7" t="s">
        <v>3542</v>
      </c>
      <c r="M343" s="7" t="s">
        <v>3563</v>
      </c>
      <c r="N343" s="7" t="s">
        <v>5980</v>
      </c>
      <c r="O343" s="7" t="s">
        <v>5981</v>
      </c>
      <c r="P343" s="7" t="s">
        <v>5982</v>
      </c>
      <c r="Q343" s="7" t="s">
        <v>4155</v>
      </c>
    </row>
    <row r="344">
      <c r="A344" s="7" t="s">
        <v>5983</v>
      </c>
      <c r="B344" s="7">
        <v>13565.0</v>
      </c>
      <c r="C344" s="7" t="s">
        <v>5984</v>
      </c>
      <c r="D344" s="7" t="s">
        <v>5985</v>
      </c>
      <c r="E344" s="7" t="s">
        <v>5986</v>
      </c>
      <c r="F344" s="7" t="s">
        <v>5987</v>
      </c>
      <c r="G344" s="7" t="s">
        <v>5988</v>
      </c>
      <c r="H344" s="7" t="s">
        <v>5989</v>
      </c>
      <c r="I344" s="119">
        <v>45292.0</v>
      </c>
      <c r="K344" s="7" t="s">
        <v>3632</v>
      </c>
      <c r="L344" s="7" t="s">
        <v>991</v>
      </c>
      <c r="M344" s="7" t="s">
        <v>3501</v>
      </c>
      <c r="N344" s="7" t="s">
        <v>5990</v>
      </c>
      <c r="O344" s="7" t="s">
        <v>5991</v>
      </c>
      <c r="P344" s="7" t="s">
        <v>5992</v>
      </c>
      <c r="Q344" s="7" t="s">
        <v>4155</v>
      </c>
    </row>
    <row r="345">
      <c r="A345" s="7" t="s">
        <v>5993</v>
      </c>
      <c r="B345" s="7">
        <v>911.0</v>
      </c>
      <c r="C345" s="7" t="s">
        <v>5984</v>
      </c>
      <c r="D345" s="7" t="s">
        <v>5994</v>
      </c>
      <c r="E345" s="7" t="s">
        <v>5986</v>
      </c>
      <c r="F345" s="7" t="s">
        <v>5995</v>
      </c>
      <c r="G345" s="7" t="s">
        <v>5996</v>
      </c>
      <c r="H345" s="7" t="s">
        <v>5997</v>
      </c>
      <c r="I345" s="119">
        <v>45292.0</v>
      </c>
      <c r="K345" s="7" t="s">
        <v>419</v>
      </c>
      <c r="L345" s="7" t="s">
        <v>991</v>
      </c>
      <c r="M345" s="7" t="s">
        <v>3501</v>
      </c>
      <c r="N345" s="7" t="s">
        <v>4660</v>
      </c>
      <c r="O345" s="7" t="s">
        <v>4661</v>
      </c>
      <c r="P345" s="7" t="s">
        <v>3493</v>
      </c>
      <c r="Q345" s="7">
        <v>1.0</v>
      </c>
    </row>
    <row r="346">
      <c r="A346" s="7" t="s">
        <v>5998</v>
      </c>
      <c r="B346" s="7">
        <v>2100292.0</v>
      </c>
      <c r="C346" s="7" t="s">
        <v>5984</v>
      </c>
      <c r="D346" s="7" t="s">
        <v>5999</v>
      </c>
      <c r="E346" s="7" t="s">
        <v>5986</v>
      </c>
      <c r="F346" s="7" t="s">
        <v>4751</v>
      </c>
      <c r="G346" s="7" t="s">
        <v>6000</v>
      </c>
      <c r="H346" s="7" t="s">
        <v>6001</v>
      </c>
      <c r="I346" s="119">
        <v>45292.0</v>
      </c>
      <c r="K346" s="7" t="s">
        <v>419</v>
      </c>
      <c r="L346" s="7" t="s">
        <v>991</v>
      </c>
      <c r="M346" s="7" t="s">
        <v>3531</v>
      </c>
      <c r="N346" s="7" t="s">
        <v>4481</v>
      </c>
      <c r="O346" s="7" t="s">
        <v>4482</v>
      </c>
      <c r="P346" s="7" t="s">
        <v>3493</v>
      </c>
      <c r="Q346" s="7">
        <v>1.0</v>
      </c>
    </row>
    <row r="347">
      <c r="A347" s="7" t="s">
        <v>6002</v>
      </c>
      <c r="B347" s="7">
        <v>1123.0</v>
      </c>
      <c r="C347" s="7" t="s">
        <v>5984</v>
      </c>
      <c r="D347" s="7" t="s">
        <v>6003</v>
      </c>
      <c r="E347" s="7" t="s">
        <v>5986</v>
      </c>
      <c r="F347" s="7" t="s">
        <v>6004</v>
      </c>
      <c r="G347" s="7" t="s">
        <v>6005</v>
      </c>
      <c r="H347" s="7" t="s">
        <v>6006</v>
      </c>
      <c r="I347" s="119">
        <v>45292.0</v>
      </c>
      <c r="K347" s="7" t="s">
        <v>419</v>
      </c>
      <c r="L347" s="7" t="s">
        <v>991</v>
      </c>
      <c r="M347" s="7" t="s">
        <v>3501</v>
      </c>
      <c r="N347" s="7" t="s">
        <v>3920</v>
      </c>
      <c r="O347" s="7" t="s">
        <v>3921</v>
      </c>
      <c r="P347" s="7" t="s">
        <v>3493</v>
      </c>
      <c r="Q347" s="7">
        <v>1.0</v>
      </c>
    </row>
    <row r="348">
      <c r="A348" s="7" t="s">
        <v>6007</v>
      </c>
      <c r="B348" s="7">
        <v>2200014.0</v>
      </c>
      <c r="C348" s="7" t="s">
        <v>6008</v>
      </c>
      <c r="D348" s="7" t="s">
        <v>6009</v>
      </c>
      <c r="E348" s="7" t="s">
        <v>6010</v>
      </c>
      <c r="F348" s="7" t="s">
        <v>6011</v>
      </c>
      <c r="G348" s="7" t="s">
        <v>6012</v>
      </c>
      <c r="H348" s="7" t="s">
        <v>6013</v>
      </c>
      <c r="I348" s="119">
        <v>45292.0</v>
      </c>
      <c r="K348" s="7" t="s">
        <v>419</v>
      </c>
      <c r="L348" s="7" t="s">
        <v>991</v>
      </c>
      <c r="M348" s="7" t="s">
        <v>3501</v>
      </c>
      <c r="N348" s="7" t="s">
        <v>6014</v>
      </c>
      <c r="O348" s="7" t="s">
        <v>6015</v>
      </c>
      <c r="P348" s="7" t="s">
        <v>3894</v>
      </c>
      <c r="Q348" s="7" t="s">
        <v>3523</v>
      </c>
    </row>
    <row r="349">
      <c r="A349" s="7" t="s">
        <v>6016</v>
      </c>
      <c r="B349" s="7">
        <v>1292.0</v>
      </c>
      <c r="C349" s="7" t="s">
        <v>6008</v>
      </c>
      <c r="D349" s="7" t="s">
        <v>5400</v>
      </c>
      <c r="E349" s="7" t="s">
        <v>6010</v>
      </c>
      <c r="F349" s="7" t="s">
        <v>5723</v>
      </c>
      <c r="G349" s="7" t="s">
        <v>6017</v>
      </c>
      <c r="H349" s="7" t="s">
        <v>6018</v>
      </c>
      <c r="I349" s="119">
        <v>45292.0</v>
      </c>
      <c r="K349" s="7" t="s">
        <v>419</v>
      </c>
      <c r="L349" s="7" t="s">
        <v>991</v>
      </c>
      <c r="M349" s="7" t="s">
        <v>3501</v>
      </c>
      <c r="N349" s="7" t="s">
        <v>6019</v>
      </c>
      <c r="O349" s="7" t="s">
        <v>6020</v>
      </c>
      <c r="P349" s="7" t="s">
        <v>3604</v>
      </c>
      <c r="Q349" s="7">
        <v>1.0</v>
      </c>
    </row>
    <row r="350">
      <c r="A350" s="7" t="s">
        <v>6021</v>
      </c>
      <c r="B350" s="7">
        <v>2200824.0</v>
      </c>
      <c r="C350" s="7" t="s">
        <v>6022</v>
      </c>
      <c r="D350" s="7" t="s">
        <v>6023</v>
      </c>
      <c r="E350" s="7" t="s">
        <v>6024</v>
      </c>
      <c r="F350" s="7" t="s">
        <v>4364</v>
      </c>
      <c r="G350" s="7" t="s">
        <v>6025</v>
      </c>
      <c r="H350" s="7" t="s">
        <v>6026</v>
      </c>
      <c r="I350" s="119">
        <v>45292.0</v>
      </c>
      <c r="K350" s="7" t="s">
        <v>419</v>
      </c>
      <c r="L350" s="7" t="s">
        <v>991</v>
      </c>
      <c r="M350" s="7" t="s">
        <v>3501</v>
      </c>
      <c r="N350" s="7" t="s">
        <v>6027</v>
      </c>
      <c r="O350" s="7" t="s">
        <v>6028</v>
      </c>
      <c r="P350" s="7" t="s">
        <v>3493</v>
      </c>
      <c r="Q350" s="7">
        <v>1.0</v>
      </c>
    </row>
    <row r="351">
      <c r="A351" s="7" t="s">
        <v>6029</v>
      </c>
      <c r="B351" s="7">
        <v>14344.0</v>
      </c>
      <c r="C351" s="7" t="s">
        <v>6030</v>
      </c>
      <c r="D351" s="7" t="s">
        <v>6031</v>
      </c>
      <c r="E351" s="7" t="s">
        <v>6032</v>
      </c>
      <c r="F351" s="7" t="s">
        <v>4478</v>
      </c>
      <c r="G351" s="7" t="s">
        <v>6033</v>
      </c>
      <c r="H351" s="7" t="s">
        <v>6034</v>
      </c>
      <c r="I351" s="119">
        <v>45292.0</v>
      </c>
      <c r="K351" s="7" t="s">
        <v>419</v>
      </c>
      <c r="L351" s="7" t="s">
        <v>991</v>
      </c>
      <c r="M351" s="7" t="s">
        <v>3531</v>
      </c>
      <c r="N351" s="7" t="s">
        <v>4096</v>
      </c>
      <c r="O351" s="7" t="s">
        <v>4097</v>
      </c>
      <c r="P351" s="7" t="s">
        <v>3493</v>
      </c>
      <c r="Q351" s="7">
        <v>1.0</v>
      </c>
    </row>
    <row r="352">
      <c r="A352" s="7" t="s">
        <v>6035</v>
      </c>
      <c r="B352" s="7">
        <v>2200047.0</v>
      </c>
      <c r="C352" s="7" t="s">
        <v>6030</v>
      </c>
      <c r="D352" s="7" t="s">
        <v>6036</v>
      </c>
      <c r="E352" s="7" t="s">
        <v>6032</v>
      </c>
      <c r="F352" s="7" t="s">
        <v>6037</v>
      </c>
      <c r="G352" s="7" t="s">
        <v>6038</v>
      </c>
      <c r="H352" s="7" t="s">
        <v>6039</v>
      </c>
      <c r="I352" s="119">
        <v>45292.0</v>
      </c>
      <c r="K352" s="7" t="s">
        <v>419</v>
      </c>
      <c r="L352" s="7" t="s">
        <v>991</v>
      </c>
      <c r="M352" s="7" t="s">
        <v>3490</v>
      </c>
      <c r="N352" s="7" t="s">
        <v>6040</v>
      </c>
      <c r="O352" s="7" t="s">
        <v>6041</v>
      </c>
      <c r="P352" s="7" t="s">
        <v>3493</v>
      </c>
      <c r="Q352" s="7">
        <v>1.0</v>
      </c>
    </row>
    <row r="353">
      <c r="A353" s="7" t="s">
        <v>6042</v>
      </c>
      <c r="B353" s="7">
        <v>864.0</v>
      </c>
      <c r="C353" s="7" t="s">
        <v>6043</v>
      </c>
      <c r="D353" s="7" t="s">
        <v>5248</v>
      </c>
      <c r="E353" s="7" t="s">
        <v>6044</v>
      </c>
      <c r="F353" s="7" t="s">
        <v>5250</v>
      </c>
      <c r="G353" s="7" t="s">
        <v>6045</v>
      </c>
      <c r="H353" s="7" t="s">
        <v>6046</v>
      </c>
      <c r="I353" s="119">
        <v>45292.0</v>
      </c>
      <c r="K353" s="7" t="s">
        <v>419</v>
      </c>
      <c r="L353" s="7" t="s">
        <v>991</v>
      </c>
      <c r="M353" s="7" t="s">
        <v>3501</v>
      </c>
      <c r="N353" s="7" t="s">
        <v>6047</v>
      </c>
      <c r="O353" s="7" t="s">
        <v>6048</v>
      </c>
      <c r="P353" s="7" t="s">
        <v>3522</v>
      </c>
      <c r="Q353" s="7" t="s">
        <v>3523</v>
      </c>
    </row>
    <row r="354">
      <c r="A354" s="7" t="s">
        <v>6049</v>
      </c>
      <c r="B354" s="7">
        <v>11743.0</v>
      </c>
      <c r="C354" s="7" t="s">
        <v>6050</v>
      </c>
      <c r="D354" s="7" t="s">
        <v>6051</v>
      </c>
      <c r="E354" s="7" t="s">
        <v>6052</v>
      </c>
      <c r="F354" s="7" t="s">
        <v>6053</v>
      </c>
      <c r="G354" s="7" t="s">
        <v>6054</v>
      </c>
      <c r="H354" s="7" t="s">
        <v>6055</v>
      </c>
      <c r="I354" s="119">
        <v>45292.0</v>
      </c>
      <c r="K354" s="7" t="s">
        <v>419</v>
      </c>
      <c r="L354" s="7" t="s">
        <v>991</v>
      </c>
      <c r="M354" s="7" t="s">
        <v>3501</v>
      </c>
      <c r="N354" s="7" t="s">
        <v>6056</v>
      </c>
      <c r="O354" s="7" t="s">
        <v>6057</v>
      </c>
      <c r="P354" s="7" t="s">
        <v>3843</v>
      </c>
      <c r="Q354" s="7">
        <v>1.0</v>
      </c>
    </row>
    <row r="355">
      <c r="A355" s="7" t="s">
        <v>1387</v>
      </c>
      <c r="B355" s="7">
        <v>1126.0</v>
      </c>
      <c r="C355" s="7" t="s">
        <v>6058</v>
      </c>
      <c r="D355" s="7" t="s">
        <v>6059</v>
      </c>
      <c r="E355" s="7" t="s">
        <v>6060</v>
      </c>
      <c r="F355" s="7" t="s">
        <v>6061</v>
      </c>
      <c r="G355" s="7" t="s">
        <v>6062</v>
      </c>
      <c r="H355" s="7" t="s">
        <v>6063</v>
      </c>
      <c r="I355" s="119">
        <v>45292.0</v>
      </c>
      <c r="K355" s="7" t="s">
        <v>419</v>
      </c>
      <c r="L355" s="7" t="s">
        <v>991</v>
      </c>
      <c r="M355" s="7" t="s">
        <v>3501</v>
      </c>
      <c r="N355" s="7" t="s">
        <v>6047</v>
      </c>
      <c r="O355" s="7" t="s">
        <v>6048</v>
      </c>
      <c r="P355" s="7" t="s">
        <v>3522</v>
      </c>
      <c r="Q355" s="7" t="s">
        <v>3523</v>
      </c>
    </row>
    <row r="356">
      <c r="A356" s="7" t="s">
        <v>6064</v>
      </c>
      <c r="B356" s="7">
        <v>14183.0</v>
      </c>
      <c r="C356" s="7" t="s">
        <v>6065</v>
      </c>
      <c r="D356" s="7" t="s">
        <v>6066</v>
      </c>
      <c r="E356" s="7" t="s">
        <v>6067</v>
      </c>
      <c r="F356" s="7" t="s">
        <v>5497</v>
      </c>
      <c r="G356" s="7" t="s">
        <v>6068</v>
      </c>
      <c r="H356" s="7" t="s">
        <v>6069</v>
      </c>
      <c r="I356" s="119">
        <v>45292.0</v>
      </c>
      <c r="K356" s="7" t="s">
        <v>419</v>
      </c>
      <c r="L356" s="7" t="s">
        <v>991</v>
      </c>
      <c r="M356" s="7" t="s">
        <v>3501</v>
      </c>
      <c r="N356" s="7" t="s">
        <v>6070</v>
      </c>
      <c r="O356" s="7" t="s">
        <v>6071</v>
      </c>
      <c r="P356" s="7" t="s">
        <v>3493</v>
      </c>
      <c r="Q356" s="7">
        <v>1.0</v>
      </c>
    </row>
    <row r="357">
      <c r="A357" s="7" t="s">
        <v>1465</v>
      </c>
      <c r="B357" s="7">
        <v>1165.0</v>
      </c>
      <c r="C357" s="7" t="s">
        <v>6072</v>
      </c>
      <c r="D357" s="7" t="s">
        <v>5626</v>
      </c>
      <c r="E357" s="7" t="s">
        <v>6073</v>
      </c>
      <c r="F357" s="7" t="s">
        <v>5627</v>
      </c>
      <c r="G357" s="7" t="s">
        <v>6074</v>
      </c>
      <c r="H357" s="7" t="s">
        <v>6075</v>
      </c>
      <c r="I357" s="119">
        <v>45292.0</v>
      </c>
      <c r="K357" s="7" t="s">
        <v>419</v>
      </c>
      <c r="L357" s="7" t="s">
        <v>991</v>
      </c>
      <c r="M357" s="7" t="s">
        <v>3501</v>
      </c>
      <c r="N357" s="7" t="s">
        <v>6076</v>
      </c>
      <c r="O357" s="7" t="s">
        <v>6077</v>
      </c>
      <c r="P357" s="7" t="s">
        <v>6078</v>
      </c>
      <c r="Q357" s="7">
        <v>1.0</v>
      </c>
    </row>
    <row r="358">
      <c r="A358" s="7" t="s">
        <v>6079</v>
      </c>
      <c r="B358" s="7">
        <v>10938.0</v>
      </c>
      <c r="C358" s="7" t="s">
        <v>6072</v>
      </c>
      <c r="D358" s="7" t="s">
        <v>6080</v>
      </c>
      <c r="E358" s="7" t="s">
        <v>6073</v>
      </c>
      <c r="F358" s="7" t="s">
        <v>5917</v>
      </c>
      <c r="G358" s="7" t="s">
        <v>6081</v>
      </c>
      <c r="H358" s="7" t="s">
        <v>6082</v>
      </c>
      <c r="I358" s="119">
        <v>45292.0</v>
      </c>
      <c r="K358" s="7" t="s">
        <v>419</v>
      </c>
      <c r="L358" s="7" t="s">
        <v>991</v>
      </c>
      <c r="M358" s="7" t="s">
        <v>3501</v>
      </c>
      <c r="N358" s="7" t="s">
        <v>6083</v>
      </c>
      <c r="O358" s="7" t="s">
        <v>6084</v>
      </c>
      <c r="P358" s="7" t="s">
        <v>3843</v>
      </c>
      <c r="Q358" s="7">
        <v>1.0</v>
      </c>
    </row>
    <row r="359">
      <c r="A359" s="7" t="s">
        <v>6085</v>
      </c>
      <c r="B359" s="7">
        <v>2200443.0</v>
      </c>
      <c r="C359" s="7" t="s">
        <v>6086</v>
      </c>
      <c r="D359" s="7" t="s">
        <v>6087</v>
      </c>
      <c r="E359" s="7" t="s">
        <v>6088</v>
      </c>
      <c r="F359" s="7" t="s">
        <v>6089</v>
      </c>
      <c r="G359" s="7" t="s">
        <v>6090</v>
      </c>
      <c r="H359" s="7" t="s">
        <v>6091</v>
      </c>
      <c r="I359" s="119">
        <v>45292.0</v>
      </c>
      <c r="K359" s="7" t="s">
        <v>419</v>
      </c>
      <c r="L359" s="7" t="s">
        <v>991</v>
      </c>
      <c r="M359" s="7" t="s">
        <v>3501</v>
      </c>
      <c r="N359" s="7" t="s">
        <v>6070</v>
      </c>
      <c r="O359" s="7" t="s">
        <v>6071</v>
      </c>
      <c r="P359" s="7" t="s">
        <v>3604</v>
      </c>
      <c r="Q359" s="7">
        <v>1.0</v>
      </c>
    </row>
    <row r="360">
      <c r="A360" s="7" t="s">
        <v>6092</v>
      </c>
      <c r="B360" s="7">
        <v>2100285.0</v>
      </c>
      <c r="C360" s="7" t="s">
        <v>6093</v>
      </c>
      <c r="D360" s="7" t="s">
        <v>3787</v>
      </c>
      <c r="E360" s="7" t="s">
        <v>6094</v>
      </c>
      <c r="F360" s="7" t="s">
        <v>3799</v>
      </c>
      <c r="G360" s="7" t="s">
        <v>6095</v>
      </c>
      <c r="H360" s="7" t="s">
        <v>6096</v>
      </c>
      <c r="I360" s="119">
        <v>45292.0</v>
      </c>
      <c r="K360" s="7" t="s">
        <v>3632</v>
      </c>
      <c r="L360" s="7" t="s">
        <v>991</v>
      </c>
      <c r="M360" s="7" t="s">
        <v>3501</v>
      </c>
      <c r="N360" s="7" t="s">
        <v>4714</v>
      </c>
      <c r="O360" s="7" t="s">
        <v>4715</v>
      </c>
      <c r="P360" s="7" t="s">
        <v>3513</v>
      </c>
      <c r="Q360" s="7" t="s">
        <v>3514</v>
      </c>
    </row>
    <row r="361">
      <c r="A361" s="7" t="s">
        <v>6097</v>
      </c>
      <c r="B361" s="7">
        <v>12537.0</v>
      </c>
      <c r="C361" s="7" t="s">
        <v>6098</v>
      </c>
      <c r="D361" s="7" t="s">
        <v>6099</v>
      </c>
      <c r="E361" s="7" t="s">
        <v>6100</v>
      </c>
      <c r="F361" s="7" t="s">
        <v>6101</v>
      </c>
      <c r="G361" s="7" t="s">
        <v>6102</v>
      </c>
      <c r="H361" s="7" t="s">
        <v>6103</v>
      </c>
      <c r="I361" s="119">
        <v>45292.0</v>
      </c>
      <c r="J361" s="7" t="s">
        <v>4216</v>
      </c>
      <c r="K361" s="7" t="s">
        <v>419</v>
      </c>
      <c r="L361" s="7" t="s">
        <v>991</v>
      </c>
      <c r="M361" s="7" t="s">
        <v>3531</v>
      </c>
      <c r="N361" s="7" t="s">
        <v>4096</v>
      </c>
      <c r="O361" s="7" t="s">
        <v>4097</v>
      </c>
      <c r="P361" s="7" t="s">
        <v>3493</v>
      </c>
      <c r="Q361" s="7">
        <v>1.0</v>
      </c>
    </row>
    <row r="362">
      <c r="A362" s="7" t="s">
        <v>1901</v>
      </c>
      <c r="B362" s="7">
        <v>10908.0</v>
      </c>
      <c r="C362" s="7" t="s">
        <v>6104</v>
      </c>
      <c r="D362" s="7" t="s">
        <v>6105</v>
      </c>
      <c r="E362" s="7" t="s">
        <v>6106</v>
      </c>
      <c r="F362" s="7" t="s">
        <v>3498</v>
      </c>
      <c r="G362" s="7" t="s">
        <v>6107</v>
      </c>
      <c r="H362" s="7" t="s">
        <v>6108</v>
      </c>
      <c r="I362" s="119">
        <v>45292.0</v>
      </c>
      <c r="K362" s="7" t="s">
        <v>419</v>
      </c>
      <c r="L362" s="7" t="s">
        <v>991</v>
      </c>
      <c r="M362" s="7" t="s">
        <v>3501</v>
      </c>
      <c r="N362" s="7" t="s">
        <v>6109</v>
      </c>
      <c r="O362" s="7" t="s">
        <v>6110</v>
      </c>
      <c r="P362" s="7" t="s">
        <v>3604</v>
      </c>
      <c r="Q362" s="7">
        <v>1.0</v>
      </c>
    </row>
    <row r="363">
      <c r="A363" s="7" t="s">
        <v>6111</v>
      </c>
      <c r="B363" s="7">
        <v>2200439.0</v>
      </c>
      <c r="C363" s="7" t="s">
        <v>6112</v>
      </c>
      <c r="D363" s="7" t="s">
        <v>6113</v>
      </c>
      <c r="E363" s="7" t="s">
        <v>6114</v>
      </c>
      <c r="F363" s="7" t="s">
        <v>4511</v>
      </c>
      <c r="G363" s="7" t="s">
        <v>6115</v>
      </c>
      <c r="H363" s="7" t="s">
        <v>6116</v>
      </c>
      <c r="I363" s="119">
        <v>45292.0</v>
      </c>
      <c r="K363" s="7" t="s">
        <v>419</v>
      </c>
      <c r="L363" s="7" t="s">
        <v>991</v>
      </c>
      <c r="M363" s="7" t="s">
        <v>3501</v>
      </c>
      <c r="N363" s="7" t="s">
        <v>6117</v>
      </c>
      <c r="O363" s="7" t="s">
        <v>6118</v>
      </c>
      <c r="P363" s="7" t="s">
        <v>6119</v>
      </c>
      <c r="Q363" s="7" t="s">
        <v>3555</v>
      </c>
    </row>
    <row r="364">
      <c r="A364" s="7" t="s">
        <v>6120</v>
      </c>
      <c r="B364" s="7">
        <v>2200815.0</v>
      </c>
      <c r="C364" s="7" t="s">
        <v>6112</v>
      </c>
      <c r="D364" s="7" t="s">
        <v>6121</v>
      </c>
      <c r="E364" s="7" t="s">
        <v>6114</v>
      </c>
      <c r="F364" s="7" t="s">
        <v>5595</v>
      </c>
      <c r="G364" s="7" t="s">
        <v>6122</v>
      </c>
      <c r="H364" s="7" t="s">
        <v>6123</v>
      </c>
      <c r="I364" s="119">
        <v>45292.0</v>
      </c>
      <c r="K364" s="7" t="s">
        <v>6124</v>
      </c>
      <c r="L364" s="7" t="s">
        <v>3542</v>
      </c>
      <c r="M364" s="7" t="s">
        <v>3543</v>
      </c>
      <c r="N364" s="7" t="s">
        <v>6125</v>
      </c>
      <c r="O364" s="7" t="s">
        <v>6126</v>
      </c>
      <c r="P364" s="7" t="s">
        <v>3522</v>
      </c>
      <c r="Q364" s="7" t="s">
        <v>3514</v>
      </c>
    </row>
    <row r="365">
      <c r="A365" s="7" t="s">
        <v>6127</v>
      </c>
      <c r="B365" s="7">
        <v>2100319.0</v>
      </c>
      <c r="C365" s="7" t="s">
        <v>6128</v>
      </c>
      <c r="D365" s="7" t="s">
        <v>6129</v>
      </c>
      <c r="E365" s="7" t="s">
        <v>6130</v>
      </c>
      <c r="F365" s="7" t="s">
        <v>6131</v>
      </c>
      <c r="G365" s="7" t="s">
        <v>6132</v>
      </c>
      <c r="H365" s="7" t="s">
        <v>6133</v>
      </c>
      <c r="I365" s="119">
        <v>45292.0</v>
      </c>
      <c r="K365" s="7" t="s">
        <v>419</v>
      </c>
      <c r="L365" s="7" t="s">
        <v>991</v>
      </c>
      <c r="M365" s="7" t="s">
        <v>3501</v>
      </c>
      <c r="N365" s="7" t="s">
        <v>6134</v>
      </c>
      <c r="O365" s="7" t="s">
        <v>6135</v>
      </c>
      <c r="P365" s="7" t="s">
        <v>3843</v>
      </c>
      <c r="Q365" s="7">
        <v>1.0</v>
      </c>
    </row>
    <row r="366">
      <c r="A366" s="7" t="s">
        <v>6136</v>
      </c>
      <c r="B366" s="7">
        <v>14346.0</v>
      </c>
      <c r="C366" s="7" t="s">
        <v>6137</v>
      </c>
      <c r="D366" s="7" t="s">
        <v>3888</v>
      </c>
      <c r="E366" s="7" t="s">
        <v>6138</v>
      </c>
      <c r="F366" s="7" t="s">
        <v>3889</v>
      </c>
      <c r="G366" s="7" t="s">
        <v>6139</v>
      </c>
      <c r="H366" s="7" t="s">
        <v>6140</v>
      </c>
      <c r="I366" s="119">
        <v>45292.0</v>
      </c>
      <c r="K366" s="7" t="s">
        <v>419</v>
      </c>
      <c r="L366" s="7" t="s">
        <v>991</v>
      </c>
      <c r="M366" s="7" t="s">
        <v>3531</v>
      </c>
      <c r="N366" s="7" t="s">
        <v>6141</v>
      </c>
      <c r="O366" s="7" t="s">
        <v>6142</v>
      </c>
      <c r="P366" s="7" t="s">
        <v>3493</v>
      </c>
      <c r="Q366" s="7">
        <v>1.0</v>
      </c>
    </row>
    <row r="367">
      <c r="A367" s="7" t="s">
        <v>6143</v>
      </c>
      <c r="B367" s="7">
        <v>2300758.0</v>
      </c>
      <c r="C367" s="7" t="s">
        <v>6137</v>
      </c>
      <c r="D367" s="7" t="s">
        <v>6144</v>
      </c>
      <c r="E367" s="7" t="s">
        <v>6138</v>
      </c>
      <c r="F367" s="7" t="s">
        <v>6145</v>
      </c>
      <c r="G367" s="7" t="s">
        <v>6146</v>
      </c>
      <c r="I367" s="119">
        <v>45292.0</v>
      </c>
      <c r="K367" s="7" t="s">
        <v>419</v>
      </c>
      <c r="L367" s="7" t="s">
        <v>991</v>
      </c>
      <c r="M367" s="7" t="s">
        <v>3531</v>
      </c>
      <c r="N367" s="7" t="s">
        <v>3820</v>
      </c>
      <c r="O367" s="7" t="s">
        <v>3821</v>
      </c>
      <c r="P367" s="7" t="s">
        <v>3493</v>
      </c>
      <c r="Q367" s="7">
        <v>1.0</v>
      </c>
    </row>
    <row r="368">
      <c r="A368" s="7" t="s">
        <v>6147</v>
      </c>
      <c r="B368" s="7">
        <v>13899.0</v>
      </c>
      <c r="C368" s="7" t="s">
        <v>6148</v>
      </c>
      <c r="D368" s="7" t="s">
        <v>6149</v>
      </c>
      <c r="E368" s="7" t="s">
        <v>6150</v>
      </c>
      <c r="F368" s="7" t="s">
        <v>6151</v>
      </c>
      <c r="G368" s="7" t="s">
        <v>6152</v>
      </c>
      <c r="H368" s="7" t="s">
        <v>6153</v>
      </c>
      <c r="I368" s="119">
        <v>45292.0</v>
      </c>
      <c r="K368" s="7" t="s">
        <v>419</v>
      </c>
      <c r="L368" s="7" t="s">
        <v>991</v>
      </c>
      <c r="M368" s="7" t="s">
        <v>3531</v>
      </c>
      <c r="N368" s="7" t="s">
        <v>5013</v>
      </c>
      <c r="O368" s="7" t="s">
        <v>5706</v>
      </c>
      <c r="P368" s="7" t="s">
        <v>3493</v>
      </c>
      <c r="Q368" s="7">
        <v>1.0</v>
      </c>
    </row>
    <row r="369">
      <c r="A369" s="7" t="s">
        <v>6154</v>
      </c>
      <c r="B369" s="7">
        <v>12543.0</v>
      </c>
      <c r="C369" s="7" t="s">
        <v>6155</v>
      </c>
      <c r="D369" s="7" t="s">
        <v>6156</v>
      </c>
      <c r="E369" s="7" t="s">
        <v>6157</v>
      </c>
      <c r="F369" s="7" t="s">
        <v>3486</v>
      </c>
      <c r="G369" s="7" t="s">
        <v>6158</v>
      </c>
      <c r="H369" s="7" t="s">
        <v>6159</v>
      </c>
      <c r="I369" s="119">
        <v>45292.0</v>
      </c>
      <c r="K369" s="7" t="s">
        <v>419</v>
      </c>
      <c r="L369" s="7" t="s">
        <v>991</v>
      </c>
      <c r="M369" s="7" t="s">
        <v>3501</v>
      </c>
      <c r="N369" s="7" t="s">
        <v>6160</v>
      </c>
      <c r="O369" s="7" t="s">
        <v>6161</v>
      </c>
      <c r="P369" s="7" t="s">
        <v>3493</v>
      </c>
      <c r="Q369" s="7">
        <v>1.0</v>
      </c>
    </row>
    <row r="370">
      <c r="A370" s="7" t="s">
        <v>6162</v>
      </c>
      <c r="B370" s="7">
        <v>2300608.0</v>
      </c>
      <c r="C370" s="7" t="s">
        <v>6163</v>
      </c>
      <c r="D370" s="7" t="s">
        <v>6164</v>
      </c>
      <c r="E370" s="7" t="s">
        <v>6165</v>
      </c>
      <c r="F370" s="7" t="s">
        <v>6166</v>
      </c>
      <c r="G370" s="7" t="s">
        <v>6167</v>
      </c>
      <c r="H370" s="7" t="s">
        <v>6168</v>
      </c>
      <c r="I370" s="119">
        <v>45292.0</v>
      </c>
      <c r="K370" s="7" t="s">
        <v>419</v>
      </c>
      <c r="L370" s="7" t="s">
        <v>991</v>
      </c>
      <c r="M370" s="7" t="s">
        <v>3583</v>
      </c>
      <c r="N370" s="7" t="s">
        <v>6169</v>
      </c>
      <c r="O370" s="7" t="s">
        <v>6170</v>
      </c>
      <c r="P370" s="7" t="s">
        <v>3697</v>
      </c>
      <c r="Q370" s="7" t="s">
        <v>3710</v>
      </c>
    </row>
    <row r="371">
      <c r="A371" s="7" t="s">
        <v>6171</v>
      </c>
      <c r="B371" s="7">
        <v>2200131.0</v>
      </c>
      <c r="C371" s="7" t="s">
        <v>6172</v>
      </c>
      <c r="D371" s="7" t="s">
        <v>6173</v>
      </c>
      <c r="E371" s="7" t="s">
        <v>6174</v>
      </c>
      <c r="F371" s="7" t="s">
        <v>6175</v>
      </c>
      <c r="G371" s="7" t="s">
        <v>6176</v>
      </c>
      <c r="H371" s="7" t="s">
        <v>6177</v>
      </c>
      <c r="I371" s="119">
        <v>45292.0</v>
      </c>
      <c r="K371" s="7" t="s">
        <v>419</v>
      </c>
      <c r="L371" s="7" t="s">
        <v>991</v>
      </c>
      <c r="M371" s="7" t="s">
        <v>3501</v>
      </c>
      <c r="N371" s="7" t="s">
        <v>6178</v>
      </c>
      <c r="O371" s="7" t="s">
        <v>6179</v>
      </c>
      <c r="P371" s="7" t="s">
        <v>3604</v>
      </c>
      <c r="Q371" s="7">
        <v>1.0</v>
      </c>
    </row>
    <row r="372">
      <c r="A372" s="7" t="s">
        <v>6180</v>
      </c>
      <c r="B372" s="7">
        <v>2100109.0</v>
      </c>
      <c r="C372" s="7" t="s">
        <v>6181</v>
      </c>
      <c r="D372" s="7" t="s">
        <v>6182</v>
      </c>
      <c r="E372" s="7" t="s">
        <v>6183</v>
      </c>
      <c r="F372" s="7" t="s">
        <v>6184</v>
      </c>
      <c r="G372" s="7" t="s">
        <v>6185</v>
      </c>
      <c r="H372" s="7" t="s">
        <v>6186</v>
      </c>
      <c r="I372" s="119">
        <v>45292.0</v>
      </c>
      <c r="K372" s="7" t="s">
        <v>419</v>
      </c>
      <c r="L372" s="7" t="s">
        <v>991</v>
      </c>
      <c r="M372" s="7" t="s">
        <v>3501</v>
      </c>
      <c r="N372" s="7" t="s">
        <v>4168</v>
      </c>
      <c r="O372" s="7" t="s">
        <v>4169</v>
      </c>
      <c r="P372" s="7" t="s">
        <v>3493</v>
      </c>
      <c r="Q372" s="7">
        <v>1.0</v>
      </c>
    </row>
    <row r="373">
      <c r="A373" s="7" t="s">
        <v>6187</v>
      </c>
      <c r="B373" s="7">
        <v>2200798.0</v>
      </c>
      <c r="C373" s="7" t="s">
        <v>6188</v>
      </c>
      <c r="D373" s="7" t="s">
        <v>6189</v>
      </c>
      <c r="E373" s="7" t="s">
        <v>5752</v>
      </c>
      <c r="F373" s="7" t="s">
        <v>5987</v>
      </c>
      <c r="G373" s="7" t="s">
        <v>6190</v>
      </c>
      <c r="H373" s="7" t="s">
        <v>6191</v>
      </c>
      <c r="I373" s="119">
        <v>45292.0</v>
      </c>
      <c r="K373" s="7" t="s">
        <v>3632</v>
      </c>
      <c r="L373" s="7" t="s">
        <v>991</v>
      </c>
      <c r="M373" s="7" t="s">
        <v>3501</v>
      </c>
      <c r="N373" s="7" t="s">
        <v>3633</v>
      </c>
      <c r="O373" s="7" t="s">
        <v>3634</v>
      </c>
      <c r="P373" s="7" t="s">
        <v>3522</v>
      </c>
      <c r="Q373" s="7" t="s">
        <v>3514</v>
      </c>
    </row>
    <row r="374">
      <c r="A374" s="7" t="s">
        <v>6192</v>
      </c>
      <c r="B374" s="7">
        <v>11501.0</v>
      </c>
      <c r="C374" s="7" t="s">
        <v>6193</v>
      </c>
      <c r="D374" s="7" t="s">
        <v>6059</v>
      </c>
      <c r="E374" s="7" t="s">
        <v>6194</v>
      </c>
      <c r="F374" s="7" t="s">
        <v>6061</v>
      </c>
      <c r="G374" s="7" t="s">
        <v>6195</v>
      </c>
      <c r="H374" s="7" t="s">
        <v>6196</v>
      </c>
      <c r="I374" s="119">
        <v>45292.0</v>
      </c>
      <c r="K374" s="7" t="s">
        <v>419</v>
      </c>
      <c r="L374" s="7" t="s">
        <v>991</v>
      </c>
      <c r="M374" s="7" t="s">
        <v>3501</v>
      </c>
      <c r="N374" s="7" t="s">
        <v>6197</v>
      </c>
      <c r="O374" s="7" t="s">
        <v>6198</v>
      </c>
      <c r="P374" s="7" t="s">
        <v>3513</v>
      </c>
      <c r="Q374" s="7" t="s">
        <v>3514</v>
      </c>
    </row>
    <row r="375">
      <c r="A375" s="7" t="s">
        <v>2409</v>
      </c>
      <c r="B375" s="7">
        <v>531.0</v>
      </c>
      <c r="C375" s="7" t="s">
        <v>6199</v>
      </c>
      <c r="D375" s="7" t="s">
        <v>6200</v>
      </c>
      <c r="E375" s="7" t="s">
        <v>6201</v>
      </c>
      <c r="F375" s="7" t="s">
        <v>6202</v>
      </c>
      <c r="G375" s="7" t="s">
        <v>6203</v>
      </c>
      <c r="H375" s="7" t="s">
        <v>6204</v>
      </c>
      <c r="I375" s="119">
        <v>45292.0</v>
      </c>
      <c r="K375" s="7" t="s">
        <v>419</v>
      </c>
      <c r="L375" s="7" t="s">
        <v>991</v>
      </c>
      <c r="M375" s="7" t="s">
        <v>3501</v>
      </c>
      <c r="N375" s="7" t="s">
        <v>6205</v>
      </c>
      <c r="O375" s="7" t="s">
        <v>6206</v>
      </c>
      <c r="P375" s="7" t="s">
        <v>3513</v>
      </c>
      <c r="Q375" s="7" t="s">
        <v>3514</v>
      </c>
    </row>
    <row r="376">
      <c r="A376" s="7" t="s">
        <v>6207</v>
      </c>
      <c r="B376" s="7">
        <v>13687.0</v>
      </c>
      <c r="C376" s="7" t="s">
        <v>6208</v>
      </c>
      <c r="D376" s="7" t="s">
        <v>6209</v>
      </c>
      <c r="E376" s="7" t="s">
        <v>6210</v>
      </c>
      <c r="F376" s="7" t="s">
        <v>6211</v>
      </c>
      <c r="G376" s="7" t="s">
        <v>6212</v>
      </c>
      <c r="H376" s="7" t="s">
        <v>6213</v>
      </c>
      <c r="I376" s="119">
        <v>45292.0</v>
      </c>
      <c r="K376" s="7" t="s">
        <v>3632</v>
      </c>
      <c r="L376" s="7" t="s">
        <v>991</v>
      </c>
      <c r="M376" s="7" t="s">
        <v>3501</v>
      </c>
      <c r="N376" s="7" t="s">
        <v>6214</v>
      </c>
      <c r="O376" s="7" t="s">
        <v>6215</v>
      </c>
      <c r="P376" s="7" t="s">
        <v>3522</v>
      </c>
      <c r="Q376" s="7" t="s">
        <v>3514</v>
      </c>
    </row>
    <row r="377">
      <c r="A377" s="7" t="s">
        <v>6216</v>
      </c>
      <c r="B377" s="7">
        <v>11092.0</v>
      </c>
      <c r="C377" s="7" t="s">
        <v>6217</v>
      </c>
      <c r="D377" s="7" t="s">
        <v>6218</v>
      </c>
      <c r="E377" s="7" t="s">
        <v>6219</v>
      </c>
      <c r="F377" s="7" t="s">
        <v>6220</v>
      </c>
      <c r="G377" s="7" t="s">
        <v>6221</v>
      </c>
      <c r="H377" s="7" t="s">
        <v>6222</v>
      </c>
      <c r="I377" s="119">
        <v>45292.0</v>
      </c>
      <c r="K377" s="7" t="s">
        <v>419</v>
      </c>
      <c r="L377" s="7" t="s">
        <v>991</v>
      </c>
      <c r="M377" s="7" t="s">
        <v>3501</v>
      </c>
      <c r="N377" s="7" t="s">
        <v>4680</v>
      </c>
      <c r="O377" s="7" t="s">
        <v>4681</v>
      </c>
      <c r="P377" s="7" t="s">
        <v>3843</v>
      </c>
      <c r="Q377" s="7">
        <v>1.0</v>
      </c>
    </row>
    <row r="378">
      <c r="A378" s="7" t="s">
        <v>6223</v>
      </c>
      <c r="B378" s="7">
        <v>1205.0</v>
      </c>
      <c r="C378" s="7" t="s">
        <v>6224</v>
      </c>
      <c r="D378" s="7" t="s">
        <v>5987</v>
      </c>
      <c r="E378" s="7" t="s">
        <v>6225</v>
      </c>
      <c r="F378" s="7" t="s">
        <v>5987</v>
      </c>
      <c r="G378" s="7" t="s">
        <v>6226</v>
      </c>
      <c r="H378" s="7" t="s">
        <v>6227</v>
      </c>
      <c r="I378" s="119">
        <v>45292.0</v>
      </c>
      <c r="K378" s="7" t="s">
        <v>419</v>
      </c>
      <c r="L378" s="7" t="s">
        <v>991</v>
      </c>
      <c r="M378" s="7" t="s">
        <v>3501</v>
      </c>
      <c r="N378" s="7" t="s">
        <v>4250</v>
      </c>
      <c r="O378" s="7" t="s">
        <v>4251</v>
      </c>
      <c r="P378" s="7" t="s">
        <v>3843</v>
      </c>
      <c r="Q378" s="7">
        <v>1.0</v>
      </c>
    </row>
    <row r="379">
      <c r="A379" s="7" t="s">
        <v>6228</v>
      </c>
      <c r="B379" s="7">
        <v>14322.0</v>
      </c>
      <c r="C379" s="7" t="s">
        <v>6229</v>
      </c>
      <c r="D379" s="7" t="s">
        <v>6230</v>
      </c>
      <c r="E379" s="7" t="s">
        <v>6225</v>
      </c>
      <c r="F379" s="7" t="s">
        <v>6231</v>
      </c>
      <c r="G379" s="7" t="s">
        <v>6232</v>
      </c>
      <c r="H379" s="7" t="s">
        <v>6233</v>
      </c>
      <c r="I379" s="119">
        <v>45292.0</v>
      </c>
      <c r="K379" s="7" t="s">
        <v>419</v>
      </c>
      <c r="L379" s="7" t="s">
        <v>991</v>
      </c>
      <c r="M379" s="7" t="s">
        <v>3501</v>
      </c>
      <c r="N379" s="7" t="s">
        <v>4853</v>
      </c>
      <c r="O379" s="7" t="s">
        <v>4854</v>
      </c>
      <c r="P379" s="7" t="s">
        <v>3843</v>
      </c>
      <c r="Q379" s="7">
        <v>1.0</v>
      </c>
    </row>
    <row r="380">
      <c r="A380" s="7" t="s">
        <v>6234</v>
      </c>
      <c r="B380" s="7">
        <v>2200452.0</v>
      </c>
      <c r="C380" s="7" t="s">
        <v>6235</v>
      </c>
      <c r="D380" s="7" t="s">
        <v>6236</v>
      </c>
      <c r="E380" s="7" t="s">
        <v>6225</v>
      </c>
      <c r="F380" s="7" t="s">
        <v>6089</v>
      </c>
      <c r="G380" s="7" t="s">
        <v>6237</v>
      </c>
      <c r="H380" s="7" t="s">
        <v>6238</v>
      </c>
      <c r="I380" s="119">
        <v>45292.0</v>
      </c>
      <c r="K380" s="7" t="s">
        <v>419</v>
      </c>
      <c r="L380" s="7" t="s">
        <v>991</v>
      </c>
      <c r="M380" s="7" t="s">
        <v>3501</v>
      </c>
      <c r="N380" s="7" t="s">
        <v>6239</v>
      </c>
      <c r="O380" s="7" t="s">
        <v>6240</v>
      </c>
      <c r="P380" s="7" t="s">
        <v>3493</v>
      </c>
      <c r="Q380" s="7">
        <v>1.0</v>
      </c>
    </row>
    <row r="381">
      <c r="A381" s="7" t="s">
        <v>6241</v>
      </c>
      <c r="B381" s="7">
        <v>2400001.0</v>
      </c>
      <c r="C381" s="7" t="s">
        <v>6242</v>
      </c>
      <c r="D381" s="7" t="s">
        <v>6243</v>
      </c>
      <c r="E381" s="7" t="s">
        <v>6244</v>
      </c>
      <c r="F381" s="7" t="s">
        <v>6245</v>
      </c>
      <c r="G381" s="7" t="s">
        <v>6246</v>
      </c>
      <c r="H381" s="7" t="s">
        <v>6247</v>
      </c>
      <c r="I381" s="119">
        <v>45292.0</v>
      </c>
      <c r="K381" s="7" t="s">
        <v>419</v>
      </c>
      <c r="L381" s="7" t="s">
        <v>991</v>
      </c>
      <c r="M381" s="7" t="s">
        <v>3501</v>
      </c>
      <c r="N381" s="7" t="s">
        <v>5273</v>
      </c>
      <c r="O381" s="7" t="s">
        <v>6248</v>
      </c>
      <c r="P381" s="7" t="s">
        <v>4154</v>
      </c>
      <c r="Q381" s="7" t="s">
        <v>4155</v>
      </c>
    </row>
    <row r="382">
      <c r="A382" s="7" t="s">
        <v>6249</v>
      </c>
      <c r="B382" s="7">
        <v>10005.0</v>
      </c>
      <c r="C382" s="7" t="s">
        <v>6250</v>
      </c>
      <c r="D382" s="7" t="s">
        <v>6251</v>
      </c>
      <c r="E382" s="7" t="s">
        <v>6252</v>
      </c>
      <c r="F382" s="7" t="s">
        <v>6253</v>
      </c>
      <c r="G382" s="7" t="s">
        <v>6254</v>
      </c>
      <c r="H382" s="7" t="s">
        <v>6255</v>
      </c>
      <c r="I382" s="119">
        <v>45292.0</v>
      </c>
      <c r="K382" s="7" t="s">
        <v>419</v>
      </c>
      <c r="L382" s="7" t="s">
        <v>991</v>
      </c>
      <c r="M382" s="7" t="s">
        <v>3501</v>
      </c>
      <c r="N382" s="7" t="s">
        <v>6256</v>
      </c>
      <c r="O382" s="7" t="s">
        <v>6257</v>
      </c>
      <c r="P382" s="7" t="s">
        <v>4420</v>
      </c>
      <c r="Q382" s="7" t="s">
        <v>3523</v>
      </c>
    </row>
    <row r="383">
      <c r="A383" s="7" t="s">
        <v>6258</v>
      </c>
      <c r="B383" s="7">
        <v>13514.0</v>
      </c>
      <c r="C383" s="7" t="s">
        <v>6259</v>
      </c>
      <c r="D383" s="7" t="s">
        <v>6260</v>
      </c>
      <c r="E383" s="7" t="s">
        <v>6261</v>
      </c>
      <c r="F383" s="7" t="s">
        <v>6262</v>
      </c>
      <c r="G383" s="7" t="s">
        <v>6263</v>
      </c>
      <c r="H383" s="7" t="s">
        <v>6264</v>
      </c>
      <c r="I383" s="119">
        <v>45292.0</v>
      </c>
      <c r="K383" s="7" t="s">
        <v>419</v>
      </c>
      <c r="L383" s="7" t="s">
        <v>991</v>
      </c>
      <c r="M383" s="7" t="s">
        <v>3501</v>
      </c>
      <c r="N383" s="7" t="s">
        <v>6265</v>
      </c>
      <c r="O383" s="7" t="s">
        <v>6266</v>
      </c>
      <c r="P383" s="7" t="s">
        <v>3843</v>
      </c>
      <c r="Q383" s="7">
        <v>1.0</v>
      </c>
    </row>
    <row r="384">
      <c r="A384" s="7" t="s">
        <v>6267</v>
      </c>
      <c r="B384" s="7">
        <v>2300070.0</v>
      </c>
      <c r="C384" s="7" t="s">
        <v>6268</v>
      </c>
      <c r="D384" s="7" t="s">
        <v>6269</v>
      </c>
      <c r="E384" s="7" t="s">
        <v>6270</v>
      </c>
      <c r="F384" s="7" t="s">
        <v>6271</v>
      </c>
      <c r="G384" s="7" t="s">
        <v>6272</v>
      </c>
      <c r="H384" s="7" t="s">
        <v>6273</v>
      </c>
      <c r="I384" s="119">
        <v>45292.0</v>
      </c>
      <c r="K384" s="7" t="s">
        <v>419</v>
      </c>
      <c r="L384" s="7" t="s">
        <v>991</v>
      </c>
      <c r="M384" s="7" t="s">
        <v>3501</v>
      </c>
      <c r="N384" s="7" t="s">
        <v>6274</v>
      </c>
      <c r="O384" s="7" t="s">
        <v>6275</v>
      </c>
      <c r="P384" s="7" t="s">
        <v>3697</v>
      </c>
      <c r="Q384" s="7" t="s">
        <v>3710</v>
      </c>
    </row>
    <row r="385">
      <c r="A385" s="7" t="s">
        <v>1625</v>
      </c>
      <c r="B385" s="7">
        <v>2100019.0</v>
      </c>
      <c r="C385" s="7" t="s">
        <v>6276</v>
      </c>
      <c r="D385" s="7" t="s">
        <v>6277</v>
      </c>
      <c r="E385" s="7" t="s">
        <v>6278</v>
      </c>
      <c r="F385" s="7" t="s">
        <v>6279</v>
      </c>
      <c r="G385" s="7" t="s">
        <v>6280</v>
      </c>
      <c r="H385" s="7" t="s">
        <v>6281</v>
      </c>
      <c r="I385" s="119">
        <v>45292.0</v>
      </c>
      <c r="K385" s="7" t="s">
        <v>419</v>
      </c>
      <c r="L385" s="7" t="s">
        <v>991</v>
      </c>
      <c r="M385" s="7" t="s">
        <v>3501</v>
      </c>
      <c r="N385" s="7" t="s">
        <v>6282</v>
      </c>
      <c r="O385" s="7" t="s">
        <v>6283</v>
      </c>
      <c r="P385" s="7" t="s">
        <v>3604</v>
      </c>
      <c r="Q385" s="7">
        <v>1.0</v>
      </c>
    </row>
    <row r="386">
      <c r="A386" s="7" t="s">
        <v>6284</v>
      </c>
      <c r="B386" s="7">
        <v>1.0</v>
      </c>
      <c r="C386" s="7" t="s">
        <v>6285</v>
      </c>
      <c r="D386" s="7" t="s">
        <v>6286</v>
      </c>
      <c r="E386" s="7" t="s">
        <v>6287</v>
      </c>
      <c r="F386" s="7" t="s">
        <v>6288</v>
      </c>
      <c r="G386" s="7" t="s">
        <v>6289</v>
      </c>
      <c r="H386" s="7" t="s">
        <v>6290</v>
      </c>
      <c r="I386" s="119">
        <v>45292.0</v>
      </c>
      <c r="K386" s="7" t="s">
        <v>6291</v>
      </c>
      <c r="L386" s="7" t="s">
        <v>3542</v>
      </c>
      <c r="M386" s="7" t="s">
        <v>6292</v>
      </c>
      <c r="N386" s="7" t="s">
        <v>6293</v>
      </c>
      <c r="O386" s="7" t="s">
        <v>6294</v>
      </c>
      <c r="P386" s="7" t="s">
        <v>6295</v>
      </c>
      <c r="Q386" s="7" t="s">
        <v>6296</v>
      </c>
    </row>
    <row r="387">
      <c r="A387" s="7" t="s">
        <v>6297</v>
      </c>
      <c r="B387" s="7">
        <v>12599.0</v>
      </c>
      <c r="C387" s="7" t="s">
        <v>6298</v>
      </c>
      <c r="D387" s="7" t="s">
        <v>6299</v>
      </c>
      <c r="E387" s="7" t="s">
        <v>6300</v>
      </c>
      <c r="F387" s="7" t="s">
        <v>6301</v>
      </c>
      <c r="G387" s="7" t="s">
        <v>6302</v>
      </c>
      <c r="H387" s="7" t="s">
        <v>6303</v>
      </c>
      <c r="I387" s="119">
        <v>45292.0</v>
      </c>
      <c r="K387" s="7" t="s">
        <v>419</v>
      </c>
      <c r="L387" s="7" t="s">
        <v>991</v>
      </c>
      <c r="M387" s="7" t="s">
        <v>3501</v>
      </c>
      <c r="N387" s="7" t="s">
        <v>6304</v>
      </c>
      <c r="O387" s="7" t="s">
        <v>6305</v>
      </c>
      <c r="P387" s="7" t="s">
        <v>3493</v>
      </c>
      <c r="Q387" s="7">
        <v>1.0</v>
      </c>
    </row>
    <row r="388">
      <c r="A388" s="7" t="s">
        <v>6306</v>
      </c>
      <c r="B388" s="7">
        <v>14329.0</v>
      </c>
      <c r="C388" s="7" t="s">
        <v>6307</v>
      </c>
      <c r="D388" s="7" t="s">
        <v>6308</v>
      </c>
      <c r="E388" s="7" t="s">
        <v>6309</v>
      </c>
      <c r="F388" s="7" t="s">
        <v>4960</v>
      </c>
      <c r="G388" s="7" t="s">
        <v>6310</v>
      </c>
      <c r="H388" s="7" t="s">
        <v>6311</v>
      </c>
      <c r="I388" s="119">
        <v>45292.0</v>
      </c>
      <c r="K388" s="7" t="s">
        <v>419</v>
      </c>
      <c r="L388" s="7" t="s">
        <v>991</v>
      </c>
      <c r="M388" s="7" t="s">
        <v>3501</v>
      </c>
      <c r="N388" s="7" t="s">
        <v>3834</v>
      </c>
      <c r="O388" s="7" t="s">
        <v>3835</v>
      </c>
      <c r="P388" s="7" t="s">
        <v>3843</v>
      </c>
      <c r="Q388" s="7">
        <v>1.0</v>
      </c>
    </row>
    <row r="389">
      <c r="A389" s="7" t="s">
        <v>6312</v>
      </c>
      <c r="B389" s="7">
        <v>2300645.0</v>
      </c>
      <c r="C389" s="7" t="s">
        <v>6313</v>
      </c>
      <c r="D389" s="7" t="s">
        <v>6314</v>
      </c>
      <c r="E389" s="7" t="s">
        <v>6315</v>
      </c>
      <c r="F389" s="7" t="s">
        <v>4831</v>
      </c>
      <c r="G389" s="7" t="s">
        <v>6316</v>
      </c>
      <c r="H389" s="7" t="s">
        <v>6317</v>
      </c>
      <c r="I389" s="119">
        <v>45292.0</v>
      </c>
      <c r="K389" s="7" t="s">
        <v>419</v>
      </c>
      <c r="L389" s="7" t="s">
        <v>991</v>
      </c>
      <c r="M389" s="7" t="s">
        <v>3501</v>
      </c>
      <c r="N389" s="7" t="s">
        <v>5101</v>
      </c>
      <c r="O389" s="7" t="s">
        <v>5102</v>
      </c>
      <c r="P389" s="7" t="s">
        <v>3493</v>
      </c>
      <c r="Q389" s="7">
        <v>1.0</v>
      </c>
    </row>
    <row r="390">
      <c r="A390" s="7" t="s">
        <v>6318</v>
      </c>
      <c r="B390" s="7">
        <v>628.0</v>
      </c>
      <c r="C390" s="7" t="s">
        <v>6313</v>
      </c>
      <c r="D390" s="7" t="s">
        <v>6319</v>
      </c>
      <c r="E390" s="7" t="s">
        <v>6315</v>
      </c>
      <c r="F390" s="7" t="s">
        <v>5132</v>
      </c>
      <c r="G390" s="7" t="s">
        <v>6320</v>
      </c>
      <c r="H390" s="7" t="s">
        <v>6321</v>
      </c>
      <c r="I390" s="119">
        <v>45292.0</v>
      </c>
      <c r="K390" s="7" t="s">
        <v>419</v>
      </c>
      <c r="L390" s="7" t="s">
        <v>991</v>
      </c>
      <c r="M390" s="7" t="s">
        <v>3501</v>
      </c>
      <c r="N390" s="7" t="s">
        <v>4593</v>
      </c>
      <c r="O390" s="7" t="s">
        <v>4594</v>
      </c>
      <c r="P390" s="7" t="s">
        <v>3493</v>
      </c>
      <c r="Q390" s="7">
        <v>1.0</v>
      </c>
    </row>
    <row r="391">
      <c r="A391" s="7" t="s">
        <v>6322</v>
      </c>
      <c r="B391" s="7">
        <v>1273.0</v>
      </c>
      <c r="C391" s="7" t="s">
        <v>6323</v>
      </c>
      <c r="D391" s="7" t="s">
        <v>6324</v>
      </c>
      <c r="E391" s="7" t="s">
        <v>6325</v>
      </c>
      <c r="F391" s="7" t="s">
        <v>6326</v>
      </c>
      <c r="G391" s="7" t="s">
        <v>6327</v>
      </c>
      <c r="H391" s="7" t="s">
        <v>6328</v>
      </c>
      <c r="I391" s="119">
        <v>45292.0</v>
      </c>
      <c r="K391" s="7" t="s">
        <v>419</v>
      </c>
      <c r="L391" s="7" t="s">
        <v>991</v>
      </c>
      <c r="M391" s="7" t="s">
        <v>3501</v>
      </c>
      <c r="N391" s="7" t="s">
        <v>6329</v>
      </c>
      <c r="O391" s="7" t="s">
        <v>6330</v>
      </c>
      <c r="P391" s="7" t="s">
        <v>3843</v>
      </c>
      <c r="Q391" s="7">
        <v>1.0</v>
      </c>
    </row>
    <row r="392">
      <c r="A392" s="7" t="s">
        <v>6331</v>
      </c>
      <c r="B392" s="7">
        <v>2100390.0</v>
      </c>
      <c r="C392" s="7" t="s">
        <v>6332</v>
      </c>
      <c r="D392" s="7" t="s">
        <v>6333</v>
      </c>
      <c r="E392" s="7" t="s">
        <v>6334</v>
      </c>
      <c r="F392" s="7" t="s">
        <v>6335</v>
      </c>
      <c r="G392" s="7" t="s">
        <v>6336</v>
      </c>
      <c r="H392" s="7" t="s">
        <v>6337</v>
      </c>
      <c r="I392" s="119">
        <v>45292.0</v>
      </c>
      <c r="K392" s="7" t="s">
        <v>419</v>
      </c>
      <c r="L392" s="7" t="s">
        <v>991</v>
      </c>
      <c r="M392" s="7" t="s">
        <v>3501</v>
      </c>
      <c r="N392" s="7" t="s">
        <v>3820</v>
      </c>
      <c r="O392" s="7" t="s">
        <v>6338</v>
      </c>
      <c r="P392" s="7" t="s">
        <v>3522</v>
      </c>
      <c r="Q392" s="7" t="s">
        <v>3514</v>
      </c>
    </row>
    <row r="393">
      <c r="A393" s="7" t="s">
        <v>6339</v>
      </c>
      <c r="B393" s="7">
        <v>11871.0</v>
      </c>
      <c r="C393" s="7" t="s">
        <v>6340</v>
      </c>
      <c r="D393" s="7" t="s">
        <v>6341</v>
      </c>
      <c r="E393" s="7" t="s">
        <v>6342</v>
      </c>
      <c r="F393" s="7" t="s">
        <v>4357</v>
      </c>
      <c r="G393" s="7" t="s">
        <v>6343</v>
      </c>
      <c r="H393" s="7" t="s">
        <v>6344</v>
      </c>
      <c r="I393" s="119">
        <v>45292.0</v>
      </c>
      <c r="J393" s="7" t="s">
        <v>3929</v>
      </c>
      <c r="K393" s="7" t="s">
        <v>419</v>
      </c>
      <c r="L393" s="7" t="s">
        <v>991</v>
      </c>
      <c r="M393" s="7" t="s">
        <v>3501</v>
      </c>
      <c r="N393" s="7" t="s">
        <v>6345</v>
      </c>
      <c r="O393" s="7" t="s">
        <v>6346</v>
      </c>
      <c r="P393" s="7" t="s">
        <v>3493</v>
      </c>
      <c r="Q393" s="7">
        <v>1.0</v>
      </c>
    </row>
    <row r="394">
      <c r="A394" s="7" t="s">
        <v>6347</v>
      </c>
      <c r="B394" s="7">
        <v>1261.0</v>
      </c>
      <c r="C394" s="7" t="s">
        <v>6348</v>
      </c>
      <c r="D394" s="7" t="s">
        <v>6349</v>
      </c>
      <c r="E394" s="7" t="s">
        <v>6350</v>
      </c>
      <c r="F394" s="7" t="s">
        <v>4314</v>
      </c>
      <c r="G394" s="7" t="s">
        <v>6351</v>
      </c>
      <c r="H394" s="7" t="s">
        <v>6352</v>
      </c>
      <c r="I394" s="119">
        <v>45292.0</v>
      </c>
      <c r="K394" s="7" t="s">
        <v>419</v>
      </c>
      <c r="L394" s="7" t="s">
        <v>991</v>
      </c>
      <c r="M394" s="7" t="s">
        <v>3501</v>
      </c>
      <c r="N394" s="7" t="s">
        <v>6353</v>
      </c>
      <c r="O394" s="7" t="s">
        <v>6354</v>
      </c>
      <c r="P394" s="7" t="s">
        <v>3785</v>
      </c>
      <c r="Q394" s="7" t="s">
        <v>3523</v>
      </c>
    </row>
    <row r="395">
      <c r="A395" s="7" t="s">
        <v>6355</v>
      </c>
      <c r="B395" s="7">
        <v>2400026.0</v>
      </c>
      <c r="C395" s="7" t="s">
        <v>6356</v>
      </c>
      <c r="D395" s="7" t="s">
        <v>6357</v>
      </c>
      <c r="E395" s="7" t="s">
        <v>6358</v>
      </c>
      <c r="F395" s="7" t="s">
        <v>4314</v>
      </c>
      <c r="G395" s="7" t="s">
        <v>6359</v>
      </c>
      <c r="H395" s="7" t="s">
        <v>6360</v>
      </c>
      <c r="I395" s="119">
        <v>45292.0</v>
      </c>
      <c r="K395" s="7" t="s">
        <v>419</v>
      </c>
      <c r="L395" s="7" t="s">
        <v>991</v>
      </c>
      <c r="M395" s="7" t="s">
        <v>3531</v>
      </c>
      <c r="N395" s="7" t="s">
        <v>6265</v>
      </c>
      <c r="O395" s="7" t="s">
        <v>6266</v>
      </c>
      <c r="P395" s="7" t="s">
        <v>3493</v>
      </c>
      <c r="Q395" s="7">
        <v>1.0</v>
      </c>
    </row>
    <row r="396">
      <c r="A396" s="7" t="s">
        <v>6361</v>
      </c>
      <c r="B396" s="7">
        <v>2200489.0</v>
      </c>
      <c r="C396" s="7" t="s">
        <v>6362</v>
      </c>
      <c r="D396" s="7" t="s">
        <v>6363</v>
      </c>
      <c r="E396" s="7" t="s">
        <v>6364</v>
      </c>
      <c r="F396" s="7" t="s">
        <v>4539</v>
      </c>
      <c r="G396" s="7" t="s">
        <v>6365</v>
      </c>
      <c r="H396" s="7" t="s">
        <v>6366</v>
      </c>
      <c r="I396" s="119">
        <v>45292.0</v>
      </c>
      <c r="K396" s="7" t="s">
        <v>419</v>
      </c>
      <c r="L396" s="7" t="s">
        <v>991</v>
      </c>
      <c r="M396" s="7" t="s">
        <v>3531</v>
      </c>
      <c r="N396" s="7" t="s">
        <v>3532</v>
      </c>
      <c r="O396" s="7" t="s">
        <v>3533</v>
      </c>
      <c r="P396" s="7" t="s">
        <v>3493</v>
      </c>
      <c r="Q396" s="7">
        <v>1.0</v>
      </c>
    </row>
    <row r="397">
      <c r="A397" s="7" t="s">
        <v>6367</v>
      </c>
      <c r="B397" s="7">
        <v>2200719.0</v>
      </c>
      <c r="C397" s="7" t="s">
        <v>6368</v>
      </c>
      <c r="D397" s="7" t="s">
        <v>6369</v>
      </c>
      <c r="E397" s="7" t="s">
        <v>6370</v>
      </c>
      <c r="F397" s="7" t="s">
        <v>3528</v>
      </c>
      <c r="G397" s="7" t="s">
        <v>6371</v>
      </c>
      <c r="H397" s="7" t="s">
        <v>6372</v>
      </c>
      <c r="I397" s="119">
        <v>45292.0</v>
      </c>
      <c r="K397" s="7" t="s">
        <v>4042</v>
      </c>
      <c r="L397" s="7" t="s">
        <v>991</v>
      </c>
      <c r="M397" s="7" t="s">
        <v>3531</v>
      </c>
      <c r="N397" s="7" t="s">
        <v>4043</v>
      </c>
      <c r="O397" s="7" t="s">
        <v>4044</v>
      </c>
      <c r="P397" s="7" t="s">
        <v>3493</v>
      </c>
      <c r="Q397" s="7">
        <v>1.0</v>
      </c>
    </row>
    <row r="398">
      <c r="A398" s="7" t="s">
        <v>6373</v>
      </c>
      <c r="B398" s="7">
        <v>2200189.0</v>
      </c>
      <c r="C398" s="7" t="s">
        <v>6374</v>
      </c>
      <c r="D398" s="7" t="s">
        <v>6375</v>
      </c>
      <c r="E398" s="7" t="s">
        <v>6376</v>
      </c>
      <c r="F398" s="7" t="s">
        <v>3674</v>
      </c>
      <c r="G398" s="7" t="s">
        <v>6377</v>
      </c>
      <c r="H398" s="7" t="s">
        <v>6378</v>
      </c>
      <c r="I398" s="119">
        <v>45292.0</v>
      </c>
      <c r="K398" s="7" t="s">
        <v>3541</v>
      </c>
      <c r="L398" s="7" t="s">
        <v>3542</v>
      </c>
      <c r="M398" s="7" t="s">
        <v>3543</v>
      </c>
      <c r="N398" s="7" t="s">
        <v>3544</v>
      </c>
      <c r="O398" s="7" t="s">
        <v>3545</v>
      </c>
      <c r="P398" s="7" t="s">
        <v>3522</v>
      </c>
      <c r="Q398" s="7" t="s">
        <v>3514</v>
      </c>
    </row>
    <row r="399">
      <c r="A399" s="7" t="s">
        <v>6379</v>
      </c>
      <c r="B399" s="7">
        <v>2200817.0</v>
      </c>
      <c r="C399" s="7" t="s">
        <v>6380</v>
      </c>
      <c r="D399" s="7" t="s">
        <v>6381</v>
      </c>
      <c r="E399" s="7" t="s">
        <v>6382</v>
      </c>
      <c r="F399" s="7" t="s">
        <v>6383</v>
      </c>
      <c r="G399" s="7" t="s">
        <v>6384</v>
      </c>
      <c r="H399" s="7" t="s">
        <v>6385</v>
      </c>
      <c r="I399" s="119">
        <v>45292.0</v>
      </c>
      <c r="K399" s="7" t="s">
        <v>419</v>
      </c>
      <c r="L399" s="7" t="s">
        <v>991</v>
      </c>
      <c r="M399" s="7" t="s">
        <v>3501</v>
      </c>
      <c r="N399" s="7" t="s">
        <v>6386</v>
      </c>
      <c r="O399" s="7" t="s">
        <v>6387</v>
      </c>
      <c r="P399" s="7" t="s">
        <v>3604</v>
      </c>
      <c r="Q399" s="7">
        <v>1.0</v>
      </c>
    </row>
    <row r="400">
      <c r="A400" s="7" t="s">
        <v>6388</v>
      </c>
      <c r="B400" s="7">
        <v>8498.0</v>
      </c>
      <c r="C400" s="7" t="s">
        <v>6389</v>
      </c>
      <c r="D400" s="7" t="s">
        <v>6390</v>
      </c>
      <c r="E400" s="7" t="s">
        <v>6391</v>
      </c>
      <c r="F400" s="7" t="s">
        <v>6392</v>
      </c>
      <c r="G400" s="7" t="s">
        <v>6393</v>
      </c>
      <c r="H400" s="7" t="s">
        <v>6394</v>
      </c>
      <c r="I400" s="119">
        <v>45292.0</v>
      </c>
      <c r="K400" s="7" t="s">
        <v>419</v>
      </c>
      <c r="L400" s="7" t="s">
        <v>991</v>
      </c>
      <c r="M400" s="7" t="s">
        <v>3531</v>
      </c>
      <c r="N400" s="7" t="s">
        <v>4250</v>
      </c>
      <c r="O400" s="7" t="s">
        <v>4251</v>
      </c>
      <c r="P400" s="7" t="s">
        <v>3493</v>
      </c>
      <c r="Q400" s="7">
        <v>1.0</v>
      </c>
    </row>
    <row r="401">
      <c r="A401" s="7" t="s">
        <v>6395</v>
      </c>
      <c r="B401" s="7">
        <v>2200017.0</v>
      </c>
      <c r="C401" s="7" t="s">
        <v>6396</v>
      </c>
      <c r="D401" s="7" t="s">
        <v>6397</v>
      </c>
      <c r="E401" s="7" t="s">
        <v>6398</v>
      </c>
      <c r="F401" s="7" t="s">
        <v>6399</v>
      </c>
      <c r="G401" s="7" t="s">
        <v>6400</v>
      </c>
      <c r="H401" s="7" t="s">
        <v>6401</v>
      </c>
      <c r="I401" s="119">
        <v>45292.0</v>
      </c>
      <c r="K401" s="7" t="s">
        <v>419</v>
      </c>
      <c r="L401" s="7" t="s">
        <v>991</v>
      </c>
      <c r="M401" s="7" t="s">
        <v>3501</v>
      </c>
      <c r="N401" s="7" t="s">
        <v>6402</v>
      </c>
      <c r="O401" s="7" t="s">
        <v>6403</v>
      </c>
      <c r="P401" s="7" t="s">
        <v>3493</v>
      </c>
      <c r="Q401" s="7">
        <v>1.0</v>
      </c>
    </row>
    <row r="402">
      <c r="A402" s="7" t="s">
        <v>6404</v>
      </c>
      <c r="B402" s="7">
        <v>2400266.0</v>
      </c>
      <c r="C402" s="7" t="s">
        <v>6405</v>
      </c>
      <c r="D402" s="7" t="s">
        <v>6406</v>
      </c>
      <c r="E402" s="7" t="s">
        <v>6407</v>
      </c>
      <c r="F402" s="7" t="s">
        <v>6408</v>
      </c>
      <c r="G402" s="7" t="s">
        <v>6409</v>
      </c>
      <c r="H402" s="7" t="s">
        <v>6410</v>
      </c>
      <c r="I402" s="119">
        <v>45383.0</v>
      </c>
      <c r="K402" s="7" t="s">
        <v>4042</v>
      </c>
      <c r="L402" s="7" t="s">
        <v>991</v>
      </c>
      <c r="M402" s="7" t="s">
        <v>3501</v>
      </c>
      <c r="N402" s="7" t="s">
        <v>4043</v>
      </c>
      <c r="O402" s="7" t="s">
        <v>4044</v>
      </c>
      <c r="P402" s="7" t="s">
        <v>3493</v>
      </c>
      <c r="Q402" s="7">
        <v>1.0</v>
      </c>
    </row>
    <row r="403">
      <c r="A403" s="7" t="s">
        <v>6411</v>
      </c>
      <c r="B403" s="7">
        <v>2300777.0</v>
      </c>
      <c r="C403" s="7" t="s">
        <v>6405</v>
      </c>
      <c r="D403" s="7" t="s">
        <v>6412</v>
      </c>
      <c r="E403" s="7" t="s">
        <v>6407</v>
      </c>
      <c r="F403" s="7" t="s">
        <v>3926</v>
      </c>
      <c r="G403" s="7" t="s">
        <v>6413</v>
      </c>
      <c r="H403" s="7" t="s">
        <v>6414</v>
      </c>
      <c r="I403" s="119">
        <v>45292.0</v>
      </c>
      <c r="J403" s="7" t="s">
        <v>4216</v>
      </c>
      <c r="K403" s="7" t="s">
        <v>3642</v>
      </c>
      <c r="L403" s="7" t="s">
        <v>991</v>
      </c>
      <c r="M403" s="7" t="s">
        <v>3501</v>
      </c>
      <c r="N403" s="7" t="s">
        <v>3643</v>
      </c>
      <c r="O403" s="7" t="s">
        <v>3644</v>
      </c>
      <c r="P403" s="7" t="s">
        <v>3493</v>
      </c>
      <c r="Q403" s="7">
        <v>1.0</v>
      </c>
    </row>
    <row r="404">
      <c r="A404" s="7" t="s">
        <v>6415</v>
      </c>
      <c r="B404" s="7">
        <v>1062.0</v>
      </c>
      <c r="C404" s="7" t="s">
        <v>6405</v>
      </c>
      <c r="D404" s="7" t="s">
        <v>6416</v>
      </c>
      <c r="E404" s="7" t="s">
        <v>6407</v>
      </c>
      <c r="F404" s="7" t="s">
        <v>5441</v>
      </c>
      <c r="G404" s="7" t="s">
        <v>6417</v>
      </c>
      <c r="H404" s="7" t="s">
        <v>6418</v>
      </c>
      <c r="I404" s="119">
        <v>45292.0</v>
      </c>
      <c r="K404" s="7" t="s">
        <v>419</v>
      </c>
      <c r="L404" s="7" t="s">
        <v>991</v>
      </c>
      <c r="M404" s="7" t="s">
        <v>3501</v>
      </c>
      <c r="N404" s="7" t="s">
        <v>6419</v>
      </c>
      <c r="O404" s="7" t="s">
        <v>6420</v>
      </c>
      <c r="P404" s="7" t="s">
        <v>3493</v>
      </c>
      <c r="Q404" s="7">
        <v>1.0</v>
      </c>
    </row>
    <row r="405">
      <c r="A405" s="7" t="s">
        <v>6421</v>
      </c>
      <c r="B405" s="7">
        <v>2100322.0</v>
      </c>
      <c r="C405" s="7" t="s">
        <v>6405</v>
      </c>
      <c r="D405" s="7" t="s">
        <v>6422</v>
      </c>
      <c r="E405" s="7" t="s">
        <v>6407</v>
      </c>
      <c r="F405" s="7" t="s">
        <v>4068</v>
      </c>
      <c r="G405" s="7" t="s">
        <v>6423</v>
      </c>
      <c r="H405" s="7" t="s">
        <v>6424</v>
      </c>
      <c r="I405" s="119">
        <v>45292.0</v>
      </c>
      <c r="K405" s="7" t="s">
        <v>419</v>
      </c>
      <c r="L405" s="7" t="s">
        <v>991</v>
      </c>
      <c r="M405" s="7" t="s">
        <v>3501</v>
      </c>
      <c r="N405" s="7" t="s">
        <v>3930</v>
      </c>
      <c r="O405" s="7" t="s">
        <v>3931</v>
      </c>
      <c r="P405" s="7" t="s">
        <v>3493</v>
      </c>
      <c r="Q405" s="7">
        <v>1.0</v>
      </c>
    </row>
    <row r="406">
      <c r="A406" s="7" t="s">
        <v>6425</v>
      </c>
      <c r="B406" s="7">
        <v>2300140.0</v>
      </c>
      <c r="C406" s="7" t="s">
        <v>6405</v>
      </c>
      <c r="D406" s="7" t="s">
        <v>6426</v>
      </c>
      <c r="E406" s="7" t="s">
        <v>6407</v>
      </c>
      <c r="F406" s="7" t="s">
        <v>5107</v>
      </c>
      <c r="G406" s="7" t="s">
        <v>6427</v>
      </c>
      <c r="H406" s="7" t="s">
        <v>6428</v>
      </c>
      <c r="I406" s="119">
        <v>45292.0</v>
      </c>
      <c r="K406" s="7" t="s">
        <v>419</v>
      </c>
      <c r="L406" s="7" t="s">
        <v>991</v>
      </c>
      <c r="M406" s="7" t="s">
        <v>3531</v>
      </c>
      <c r="N406" s="7" t="s">
        <v>4310</v>
      </c>
      <c r="O406" s="7" t="s">
        <v>4311</v>
      </c>
      <c r="P406" s="7" t="s">
        <v>3493</v>
      </c>
      <c r="Q406" s="7">
        <v>1.0</v>
      </c>
    </row>
    <row r="407">
      <c r="A407" s="7" t="s">
        <v>6429</v>
      </c>
      <c r="B407" s="7">
        <v>13401.0</v>
      </c>
      <c r="C407" s="7" t="s">
        <v>6405</v>
      </c>
      <c r="D407" s="7" t="s">
        <v>6430</v>
      </c>
      <c r="E407" s="7" t="s">
        <v>6407</v>
      </c>
      <c r="F407" s="7" t="s">
        <v>6431</v>
      </c>
      <c r="G407" s="7" t="s">
        <v>6432</v>
      </c>
      <c r="H407" s="7" t="s">
        <v>6433</v>
      </c>
      <c r="I407" s="119">
        <v>45292.0</v>
      </c>
      <c r="K407" s="7" t="s">
        <v>419</v>
      </c>
      <c r="L407" s="7" t="s">
        <v>991</v>
      </c>
      <c r="M407" s="7" t="s">
        <v>3501</v>
      </c>
      <c r="N407" s="7" t="s">
        <v>4147</v>
      </c>
      <c r="O407" s="7" t="s">
        <v>4148</v>
      </c>
      <c r="P407" s="7" t="s">
        <v>3493</v>
      </c>
      <c r="Q407" s="7">
        <v>1.0</v>
      </c>
    </row>
    <row r="408">
      <c r="A408" s="7" t="s">
        <v>6434</v>
      </c>
      <c r="B408" s="7">
        <v>2300106.0</v>
      </c>
      <c r="C408" s="7" t="s">
        <v>6405</v>
      </c>
      <c r="D408" s="7" t="s">
        <v>6435</v>
      </c>
      <c r="E408" s="7" t="s">
        <v>6407</v>
      </c>
      <c r="F408" s="7" t="s">
        <v>6436</v>
      </c>
      <c r="G408" s="7" t="s">
        <v>6437</v>
      </c>
      <c r="H408" s="7" t="s">
        <v>6438</v>
      </c>
      <c r="I408" s="119">
        <v>45292.0</v>
      </c>
      <c r="K408" s="7" t="s">
        <v>6439</v>
      </c>
      <c r="L408" s="7" t="s">
        <v>991</v>
      </c>
      <c r="M408" s="7" t="s">
        <v>3531</v>
      </c>
      <c r="N408" s="7" t="s">
        <v>6440</v>
      </c>
      <c r="O408" s="7" t="s">
        <v>6441</v>
      </c>
      <c r="P408" s="7" t="s">
        <v>3493</v>
      </c>
      <c r="Q408" s="7">
        <v>1.0</v>
      </c>
    </row>
    <row r="409">
      <c r="A409" s="7" t="s">
        <v>6442</v>
      </c>
      <c r="B409" s="7">
        <v>2200055.0</v>
      </c>
      <c r="C409" s="7" t="s">
        <v>6405</v>
      </c>
      <c r="D409" s="7" t="s">
        <v>6443</v>
      </c>
      <c r="E409" s="7" t="s">
        <v>6407</v>
      </c>
      <c r="F409" s="7" t="s">
        <v>6436</v>
      </c>
      <c r="G409" s="7" t="s">
        <v>6444</v>
      </c>
      <c r="H409" s="7" t="s">
        <v>6445</v>
      </c>
      <c r="I409" s="119">
        <v>45292.0</v>
      </c>
      <c r="K409" s="7" t="s">
        <v>419</v>
      </c>
      <c r="L409" s="7" t="s">
        <v>991</v>
      </c>
      <c r="M409" s="7" t="s">
        <v>3531</v>
      </c>
      <c r="N409" s="7" t="s">
        <v>5111</v>
      </c>
      <c r="O409" s="7" t="s">
        <v>5112</v>
      </c>
      <c r="P409" s="7" t="s">
        <v>3493</v>
      </c>
      <c r="Q409" s="7">
        <v>1.0</v>
      </c>
    </row>
    <row r="410">
      <c r="A410" s="7" t="s">
        <v>6446</v>
      </c>
      <c r="B410" s="7">
        <v>2200745.0</v>
      </c>
      <c r="C410" s="7" t="s">
        <v>6405</v>
      </c>
      <c r="D410" s="7" t="s">
        <v>6447</v>
      </c>
      <c r="E410" s="7" t="s">
        <v>6407</v>
      </c>
      <c r="F410" s="7" t="s">
        <v>6448</v>
      </c>
      <c r="G410" s="7" t="s">
        <v>6449</v>
      </c>
      <c r="H410" s="7" t="s">
        <v>6450</v>
      </c>
      <c r="I410" s="119">
        <v>45292.0</v>
      </c>
      <c r="K410" s="7" t="s">
        <v>419</v>
      </c>
      <c r="L410" s="7" t="s">
        <v>991</v>
      </c>
      <c r="M410" s="7" t="s">
        <v>3501</v>
      </c>
      <c r="N410" s="7" t="s">
        <v>6451</v>
      </c>
      <c r="O410" s="7" t="s">
        <v>6452</v>
      </c>
      <c r="P410" s="7" t="s">
        <v>3522</v>
      </c>
      <c r="Q410" s="7" t="s">
        <v>3523</v>
      </c>
    </row>
    <row r="411">
      <c r="A411" s="7" t="s">
        <v>6453</v>
      </c>
      <c r="B411" s="7">
        <v>2100055.0</v>
      </c>
      <c r="C411" s="7" t="s">
        <v>6405</v>
      </c>
      <c r="D411" s="7" t="s">
        <v>6454</v>
      </c>
      <c r="E411" s="7" t="s">
        <v>6407</v>
      </c>
      <c r="F411" s="7" t="s">
        <v>6455</v>
      </c>
      <c r="G411" s="7" t="s">
        <v>6456</v>
      </c>
      <c r="H411" s="7" t="s">
        <v>6457</v>
      </c>
      <c r="I411" s="119">
        <v>45292.0</v>
      </c>
      <c r="K411" s="7" t="s">
        <v>419</v>
      </c>
      <c r="L411" s="7" t="s">
        <v>991</v>
      </c>
      <c r="M411" s="7" t="s">
        <v>3501</v>
      </c>
      <c r="N411" s="7" t="s">
        <v>6458</v>
      </c>
      <c r="O411" s="7" t="s">
        <v>6459</v>
      </c>
      <c r="P411" s="7" t="s">
        <v>3843</v>
      </c>
      <c r="Q411" s="7">
        <v>1.0</v>
      </c>
    </row>
    <row r="412">
      <c r="A412" s="7" t="s">
        <v>6460</v>
      </c>
      <c r="B412" s="7">
        <v>743.0</v>
      </c>
      <c r="C412" s="7" t="s">
        <v>6405</v>
      </c>
      <c r="D412" s="7" t="s">
        <v>6461</v>
      </c>
      <c r="E412" s="7" t="s">
        <v>6407</v>
      </c>
      <c r="F412" s="7" t="s">
        <v>6462</v>
      </c>
      <c r="G412" s="7" t="s">
        <v>6463</v>
      </c>
      <c r="H412" s="7" t="s">
        <v>6464</v>
      </c>
      <c r="I412" s="119">
        <v>45292.0</v>
      </c>
      <c r="K412" s="7" t="s">
        <v>419</v>
      </c>
      <c r="L412" s="7" t="s">
        <v>991</v>
      </c>
      <c r="M412" s="7" t="s">
        <v>3501</v>
      </c>
      <c r="N412" s="7" t="s">
        <v>4754</v>
      </c>
      <c r="O412" s="7" t="s">
        <v>4755</v>
      </c>
      <c r="P412" s="7" t="s">
        <v>5585</v>
      </c>
      <c r="Q412" s="7">
        <v>1.0</v>
      </c>
    </row>
    <row r="413">
      <c r="A413" s="7" t="s">
        <v>6465</v>
      </c>
      <c r="B413" s="7">
        <v>3000273.0</v>
      </c>
      <c r="C413" s="7" t="s">
        <v>6405</v>
      </c>
      <c r="D413" s="7" t="s">
        <v>6466</v>
      </c>
      <c r="E413" s="7" t="s">
        <v>6407</v>
      </c>
      <c r="F413" s="7" t="s">
        <v>6467</v>
      </c>
      <c r="G413" s="7" t="s">
        <v>6468</v>
      </c>
      <c r="H413" s="7" t="s">
        <v>6469</v>
      </c>
      <c r="I413" s="119">
        <v>45566.0</v>
      </c>
      <c r="K413" s="7" t="s">
        <v>419</v>
      </c>
      <c r="L413" s="7" t="s">
        <v>991</v>
      </c>
      <c r="M413" s="7" t="s">
        <v>3501</v>
      </c>
      <c r="N413" s="7" t="s">
        <v>6160</v>
      </c>
      <c r="O413" s="7" t="s">
        <v>6161</v>
      </c>
      <c r="P413" s="7" t="s">
        <v>3843</v>
      </c>
      <c r="Q413" s="7">
        <v>1.0</v>
      </c>
    </row>
    <row r="414">
      <c r="A414" s="7" t="s">
        <v>6470</v>
      </c>
      <c r="B414" s="7">
        <v>2100153.0</v>
      </c>
      <c r="C414" s="7" t="s">
        <v>6405</v>
      </c>
      <c r="D414" s="7" t="s">
        <v>4881</v>
      </c>
      <c r="E414" s="7" t="s">
        <v>6407</v>
      </c>
      <c r="F414" s="7" t="s">
        <v>4883</v>
      </c>
      <c r="G414" s="7" t="s">
        <v>6471</v>
      </c>
      <c r="H414" s="7" t="s">
        <v>6472</v>
      </c>
      <c r="I414" s="119">
        <v>45292.0</v>
      </c>
      <c r="K414" s="7" t="s">
        <v>419</v>
      </c>
      <c r="L414" s="7" t="s">
        <v>991</v>
      </c>
      <c r="M414" s="7" t="s">
        <v>3531</v>
      </c>
      <c r="N414" s="7" t="s">
        <v>6473</v>
      </c>
      <c r="O414" s="7" t="s">
        <v>6474</v>
      </c>
      <c r="P414" s="7" t="s">
        <v>3493</v>
      </c>
      <c r="Q414" s="7">
        <v>1.0</v>
      </c>
    </row>
    <row r="415">
      <c r="A415" s="7" t="s">
        <v>1583</v>
      </c>
      <c r="B415" s="7">
        <v>150.0</v>
      </c>
      <c r="C415" s="7" t="s">
        <v>6405</v>
      </c>
      <c r="D415" s="7" t="s">
        <v>6475</v>
      </c>
      <c r="E415" s="7" t="s">
        <v>6407</v>
      </c>
      <c r="F415" s="7" t="s">
        <v>6476</v>
      </c>
      <c r="G415" s="7" t="s">
        <v>6477</v>
      </c>
      <c r="H415" s="7" t="s">
        <v>6478</v>
      </c>
      <c r="I415" s="119">
        <v>45292.0</v>
      </c>
      <c r="K415" s="7" t="s">
        <v>419</v>
      </c>
      <c r="L415" s="7" t="s">
        <v>991</v>
      </c>
      <c r="M415" s="7" t="s">
        <v>3501</v>
      </c>
      <c r="N415" s="7" t="s">
        <v>5273</v>
      </c>
      <c r="O415" s="7" t="s">
        <v>5274</v>
      </c>
      <c r="P415" s="7" t="s">
        <v>5585</v>
      </c>
      <c r="Q415" s="7">
        <v>1.0</v>
      </c>
    </row>
    <row r="416">
      <c r="A416" s="7" t="s">
        <v>6479</v>
      </c>
      <c r="B416" s="7">
        <v>2100417.0</v>
      </c>
      <c r="C416" s="7" t="s">
        <v>6405</v>
      </c>
      <c r="D416" s="7" t="s">
        <v>6480</v>
      </c>
      <c r="E416" s="7" t="s">
        <v>6407</v>
      </c>
      <c r="F416" s="7" t="s">
        <v>4469</v>
      </c>
      <c r="G416" s="7" t="s">
        <v>6481</v>
      </c>
      <c r="H416" s="7" t="s">
        <v>6482</v>
      </c>
      <c r="I416" s="119">
        <v>45292.0</v>
      </c>
      <c r="K416" s="7" t="s">
        <v>419</v>
      </c>
      <c r="L416" s="7" t="s">
        <v>991</v>
      </c>
      <c r="M416" s="7" t="s">
        <v>3501</v>
      </c>
      <c r="N416" s="7" t="s">
        <v>3602</v>
      </c>
      <c r="O416" s="7" t="s">
        <v>3603</v>
      </c>
      <c r="P416" s="7" t="s">
        <v>3493</v>
      </c>
      <c r="Q416" s="7">
        <v>1.0</v>
      </c>
    </row>
    <row r="417">
      <c r="A417" s="7" t="s">
        <v>6483</v>
      </c>
      <c r="B417" s="7">
        <v>2100006.0</v>
      </c>
      <c r="C417" s="7" t="s">
        <v>6405</v>
      </c>
      <c r="D417" s="7" t="s">
        <v>6484</v>
      </c>
      <c r="E417" s="7" t="s">
        <v>6407</v>
      </c>
      <c r="F417" s="7" t="s">
        <v>4478</v>
      </c>
      <c r="G417" s="7" t="s">
        <v>6485</v>
      </c>
      <c r="H417" s="7" t="s">
        <v>6486</v>
      </c>
      <c r="I417" s="119">
        <v>45292.0</v>
      </c>
      <c r="K417" s="7" t="s">
        <v>419</v>
      </c>
      <c r="L417" s="7" t="s">
        <v>991</v>
      </c>
      <c r="M417" s="7" t="s">
        <v>3501</v>
      </c>
      <c r="N417" s="7" t="s">
        <v>6487</v>
      </c>
      <c r="O417" s="7" t="s">
        <v>6488</v>
      </c>
      <c r="P417" s="7" t="s">
        <v>3894</v>
      </c>
      <c r="Q417" s="7" t="s">
        <v>3523</v>
      </c>
    </row>
    <row r="418">
      <c r="A418" s="7" t="s">
        <v>6489</v>
      </c>
      <c r="B418" s="7">
        <v>11205.0</v>
      </c>
      <c r="C418" s="7" t="s">
        <v>6405</v>
      </c>
      <c r="D418" s="7" t="s">
        <v>6490</v>
      </c>
      <c r="E418" s="7" t="s">
        <v>6407</v>
      </c>
      <c r="F418" s="7" t="s">
        <v>3609</v>
      </c>
      <c r="G418" s="7" t="s">
        <v>6491</v>
      </c>
      <c r="H418" s="7" t="s">
        <v>6492</v>
      </c>
      <c r="I418" s="119">
        <v>45292.0</v>
      </c>
      <c r="K418" s="7" t="s">
        <v>419</v>
      </c>
      <c r="L418" s="7" t="s">
        <v>991</v>
      </c>
      <c r="M418" s="7" t="s">
        <v>3583</v>
      </c>
      <c r="N418" s="7" t="s">
        <v>3996</v>
      </c>
      <c r="O418" s="7" t="s">
        <v>3997</v>
      </c>
      <c r="P418" s="7" t="s">
        <v>3493</v>
      </c>
      <c r="Q418" s="7">
        <v>1.0</v>
      </c>
    </row>
    <row r="419">
      <c r="A419" s="7" t="s">
        <v>6493</v>
      </c>
      <c r="B419" s="7">
        <v>167.0</v>
      </c>
      <c r="C419" s="7" t="s">
        <v>6405</v>
      </c>
      <c r="D419" s="7" t="s">
        <v>6494</v>
      </c>
      <c r="E419" s="7" t="s">
        <v>6407</v>
      </c>
      <c r="F419" s="7" t="s">
        <v>6495</v>
      </c>
      <c r="G419" s="7" t="s">
        <v>6496</v>
      </c>
      <c r="H419" s="7" t="s">
        <v>6497</v>
      </c>
      <c r="I419" s="119">
        <v>45292.0</v>
      </c>
      <c r="K419" s="7" t="s">
        <v>419</v>
      </c>
      <c r="L419" s="7" t="s">
        <v>991</v>
      </c>
      <c r="M419" s="7" t="s">
        <v>3501</v>
      </c>
      <c r="N419" s="7" t="s">
        <v>5875</v>
      </c>
      <c r="O419" s="7" t="s">
        <v>5876</v>
      </c>
      <c r="P419" s="7" t="s">
        <v>3604</v>
      </c>
      <c r="Q419" s="7">
        <v>1.0</v>
      </c>
    </row>
    <row r="420">
      <c r="A420" s="7" t="s">
        <v>6498</v>
      </c>
      <c r="B420" s="7">
        <v>2300384.0</v>
      </c>
      <c r="C420" s="7" t="s">
        <v>6405</v>
      </c>
      <c r="D420" s="7" t="s">
        <v>6499</v>
      </c>
      <c r="E420" s="7" t="s">
        <v>6407</v>
      </c>
      <c r="F420" s="7" t="s">
        <v>6499</v>
      </c>
      <c r="G420" s="7" t="s">
        <v>6500</v>
      </c>
      <c r="H420" s="7" t="s">
        <v>6501</v>
      </c>
      <c r="I420" s="119">
        <v>45292.0</v>
      </c>
      <c r="K420" s="7" t="s">
        <v>419</v>
      </c>
      <c r="L420" s="7" t="s">
        <v>991</v>
      </c>
      <c r="M420" s="7" t="s">
        <v>3531</v>
      </c>
      <c r="N420" s="7" t="s">
        <v>5461</v>
      </c>
      <c r="O420" s="7" t="s">
        <v>5462</v>
      </c>
      <c r="P420" s="7" t="s">
        <v>3493</v>
      </c>
      <c r="Q420" s="7">
        <v>1.0</v>
      </c>
    </row>
    <row r="421">
      <c r="A421" s="7" t="s">
        <v>6502</v>
      </c>
      <c r="B421" s="7">
        <v>13975.0</v>
      </c>
      <c r="C421" s="7" t="s">
        <v>6405</v>
      </c>
      <c r="D421" s="7" t="s">
        <v>6503</v>
      </c>
      <c r="E421" s="7" t="s">
        <v>6407</v>
      </c>
      <c r="F421" s="7" t="s">
        <v>6202</v>
      </c>
      <c r="G421" s="7" t="s">
        <v>6504</v>
      </c>
      <c r="H421" s="7" t="s">
        <v>6505</v>
      </c>
      <c r="I421" s="119">
        <v>45292.0</v>
      </c>
      <c r="K421" s="7" t="s">
        <v>419</v>
      </c>
      <c r="L421" s="7" t="s">
        <v>991</v>
      </c>
      <c r="M421" s="7" t="s">
        <v>3501</v>
      </c>
      <c r="N421" s="7" t="s">
        <v>6506</v>
      </c>
      <c r="O421" s="7" t="s">
        <v>6507</v>
      </c>
      <c r="P421" s="7" t="s">
        <v>4788</v>
      </c>
      <c r="Q421" s="7" t="s">
        <v>3555</v>
      </c>
    </row>
    <row r="422">
      <c r="A422" s="7" t="s">
        <v>6508</v>
      </c>
      <c r="B422" s="7">
        <v>2100492.0</v>
      </c>
      <c r="C422" s="7" t="s">
        <v>6405</v>
      </c>
      <c r="D422" s="7" t="s">
        <v>6260</v>
      </c>
      <c r="E422" s="7" t="s">
        <v>6407</v>
      </c>
      <c r="F422" s="7" t="s">
        <v>6509</v>
      </c>
      <c r="G422" s="7" t="s">
        <v>6510</v>
      </c>
      <c r="H422" s="7" t="s">
        <v>6511</v>
      </c>
      <c r="I422" s="119">
        <v>45292.0</v>
      </c>
      <c r="K422" s="7" t="s">
        <v>419</v>
      </c>
      <c r="L422" s="7" t="s">
        <v>991</v>
      </c>
      <c r="M422" s="7" t="s">
        <v>3501</v>
      </c>
      <c r="N422" s="7" t="s">
        <v>4444</v>
      </c>
      <c r="O422" s="7" t="s">
        <v>4445</v>
      </c>
      <c r="P422" s="7" t="s">
        <v>3493</v>
      </c>
      <c r="Q422" s="7">
        <v>1.0</v>
      </c>
    </row>
    <row r="423">
      <c r="A423" s="7" t="s">
        <v>6512</v>
      </c>
      <c r="B423" s="7">
        <v>12309.0</v>
      </c>
      <c r="C423" s="7" t="s">
        <v>6405</v>
      </c>
      <c r="D423" s="7" t="s">
        <v>6513</v>
      </c>
      <c r="E423" s="7" t="s">
        <v>6407</v>
      </c>
      <c r="F423" s="7" t="s">
        <v>4598</v>
      </c>
      <c r="G423" s="7" t="s">
        <v>6514</v>
      </c>
      <c r="H423" s="7" t="s">
        <v>6515</v>
      </c>
      <c r="I423" s="119">
        <v>45292.0</v>
      </c>
      <c r="K423" s="7" t="s">
        <v>419</v>
      </c>
      <c r="L423" s="7" t="s">
        <v>991</v>
      </c>
      <c r="M423" s="7" t="s">
        <v>3531</v>
      </c>
      <c r="N423" s="7" t="s">
        <v>3695</v>
      </c>
      <c r="O423" s="7" t="s">
        <v>6516</v>
      </c>
      <c r="P423" s="7" t="s">
        <v>4154</v>
      </c>
      <c r="Q423" s="7" t="s">
        <v>3566</v>
      </c>
    </row>
    <row r="424">
      <c r="A424" s="7" t="s">
        <v>6517</v>
      </c>
      <c r="B424" s="7">
        <v>2300205.0</v>
      </c>
      <c r="C424" s="7" t="s">
        <v>6405</v>
      </c>
      <c r="D424" s="7" t="s">
        <v>6518</v>
      </c>
      <c r="E424" s="7" t="s">
        <v>6407</v>
      </c>
      <c r="F424" s="7" t="s">
        <v>4598</v>
      </c>
      <c r="G424" s="7" t="s">
        <v>6519</v>
      </c>
      <c r="H424" s="7" t="s">
        <v>6520</v>
      </c>
      <c r="I424" s="119">
        <v>45292.0</v>
      </c>
      <c r="K424" s="7" t="s">
        <v>4042</v>
      </c>
      <c r="L424" s="7" t="s">
        <v>991</v>
      </c>
      <c r="M424" s="7" t="s">
        <v>3531</v>
      </c>
      <c r="N424" s="7" t="s">
        <v>4043</v>
      </c>
      <c r="O424" s="7" t="s">
        <v>4044</v>
      </c>
      <c r="P424" s="7" t="s">
        <v>3493</v>
      </c>
      <c r="Q424" s="7">
        <v>1.0</v>
      </c>
    </row>
    <row r="425">
      <c r="A425" s="7" t="s">
        <v>6521</v>
      </c>
      <c r="B425" s="7">
        <v>13562.0</v>
      </c>
      <c r="C425" s="7" t="s">
        <v>6405</v>
      </c>
      <c r="D425" s="7" t="s">
        <v>6522</v>
      </c>
      <c r="E425" s="7" t="s">
        <v>6407</v>
      </c>
      <c r="F425" s="7" t="s">
        <v>6523</v>
      </c>
      <c r="G425" s="7" t="s">
        <v>6524</v>
      </c>
      <c r="H425" s="7" t="s">
        <v>6525</v>
      </c>
      <c r="I425" s="119">
        <v>45292.0</v>
      </c>
      <c r="K425" s="7" t="s">
        <v>3632</v>
      </c>
      <c r="L425" s="7" t="s">
        <v>991</v>
      </c>
      <c r="M425" s="7" t="s">
        <v>3501</v>
      </c>
      <c r="N425" s="7" t="s">
        <v>6526</v>
      </c>
      <c r="O425" s="7" t="s">
        <v>6527</v>
      </c>
      <c r="P425" s="7" t="s">
        <v>3522</v>
      </c>
      <c r="Q425" s="7" t="s">
        <v>3523</v>
      </c>
    </row>
    <row r="426">
      <c r="A426" s="7" t="s">
        <v>6528</v>
      </c>
      <c r="B426" s="7">
        <v>2300518.0</v>
      </c>
      <c r="C426" s="7" t="s">
        <v>6529</v>
      </c>
      <c r="D426" s="7" t="s">
        <v>6530</v>
      </c>
      <c r="E426" s="7" t="s">
        <v>6531</v>
      </c>
      <c r="F426" s="7" t="s">
        <v>6530</v>
      </c>
      <c r="G426" s="7" t="s">
        <v>6532</v>
      </c>
      <c r="H426" s="7" t="s">
        <v>6533</v>
      </c>
      <c r="I426" s="119">
        <v>45292.0</v>
      </c>
      <c r="K426" s="7" t="s">
        <v>419</v>
      </c>
      <c r="L426" s="7" t="s">
        <v>991</v>
      </c>
      <c r="M426" s="7" t="s">
        <v>3531</v>
      </c>
      <c r="N426" s="7" t="s">
        <v>6487</v>
      </c>
      <c r="O426" s="7" t="s">
        <v>6534</v>
      </c>
      <c r="P426" s="7" t="s">
        <v>3493</v>
      </c>
      <c r="Q426" s="7">
        <v>1.0</v>
      </c>
    </row>
    <row r="427">
      <c r="A427" s="7" t="s">
        <v>6535</v>
      </c>
      <c r="B427" s="7">
        <v>2100014.0</v>
      </c>
      <c r="C427" s="7" t="s">
        <v>6536</v>
      </c>
      <c r="D427" s="7" t="s">
        <v>6537</v>
      </c>
      <c r="E427" s="7" t="s">
        <v>6538</v>
      </c>
      <c r="F427" s="7" t="s">
        <v>6539</v>
      </c>
      <c r="G427" s="7" t="s">
        <v>6540</v>
      </c>
      <c r="H427" s="7" t="s">
        <v>6541</v>
      </c>
      <c r="I427" s="119">
        <v>45292.0</v>
      </c>
      <c r="K427" s="7" t="s">
        <v>419</v>
      </c>
      <c r="L427" s="7" t="s">
        <v>991</v>
      </c>
      <c r="M427" s="7" t="s">
        <v>3501</v>
      </c>
      <c r="N427" s="7" t="s">
        <v>4087</v>
      </c>
      <c r="O427" s="7" t="s">
        <v>4088</v>
      </c>
      <c r="P427" s="7" t="s">
        <v>3493</v>
      </c>
      <c r="Q427" s="7">
        <v>1.0</v>
      </c>
    </row>
    <row r="428">
      <c r="A428" s="7" t="s">
        <v>6542</v>
      </c>
      <c r="B428" s="7">
        <v>2200895.0</v>
      </c>
      <c r="C428" s="7" t="s">
        <v>6543</v>
      </c>
      <c r="D428" s="7" t="s">
        <v>6299</v>
      </c>
      <c r="E428" s="7" t="s">
        <v>6544</v>
      </c>
      <c r="F428" s="7" t="s">
        <v>6301</v>
      </c>
      <c r="G428" s="7" t="s">
        <v>6545</v>
      </c>
      <c r="H428" s="7" t="s">
        <v>6546</v>
      </c>
      <c r="I428" s="119">
        <v>45292.0</v>
      </c>
      <c r="K428" s="7" t="s">
        <v>419</v>
      </c>
      <c r="L428" s="7" t="s">
        <v>991</v>
      </c>
      <c r="M428" s="7" t="s">
        <v>3531</v>
      </c>
      <c r="N428" s="7" t="s">
        <v>4399</v>
      </c>
      <c r="O428" s="7" t="s">
        <v>4400</v>
      </c>
      <c r="P428" s="7" t="s">
        <v>3493</v>
      </c>
      <c r="Q428" s="7">
        <v>1.0</v>
      </c>
    </row>
    <row r="429">
      <c r="A429" s="7" t="s">
        <v>6547</v>
      </c>
      <c r="B429" s="7">
        <v>2200300.0</v>
      </c>
      <c r="C429" s="7" t="s">
        <v>6548</v>
      </c>
      <c r="D429" s="7" t="s">
        <v>6549</v>
      </c>
      <c r="E429" s="7" t="s">
        <v>6550</v>
      </c>
      <c r="F429" s="7" t="s">
        <v>4695</v>
      </c>
      <c r="G429" s="7" t="s">
        <v>6551</v>
      </c>
      <c r="H429" s="7" t="s">
        <v>6552</v>
      </c>
      <c r="I429" s="119">
        <v>45292.0</v>
      </c>
      <c r="K429" s="7" t="s">
        <v>419</v>
      </c>
      <c r="L429" s="7" t="s">
        <v>991</v>
      </c>
      <c r="M429" s="7" t="s">
        <v>3531</v>
      </c>
      <c r="N429" s="7" t="s">
        <v>3996</v>
      </c>
      <c r="O429" s="7" t="s">
        <v>3997</v>
      </c>
      <c r="P429" s="7" t="s">
        <v>3493</v>
      </c>
      <c r="Q429" s="7">
        <v>1.0</v>
      </c>
    </row>
    <row r="430">
      <c r="A430" s="7" t="s">
        <v>1916</v>
      </c>
      <c r="B430" s="7">
        <v>10823.0</v>
      </c>
      <c r="C430" s="7" t="s">
        <v>6553</v>
      </c>
      <c r="D430" s="7" t="s">
        <v>6554</v>
      </c>
      <c r="E430" s="7" t="s">
        <v>6555</v>
      </c>
      <c r="F430" s="7" t="s">
        <v>4598</v>
      </c>
      <c r="G430" s="7" t="s">
        <v>6556</v>
      </c>
      <c r="H430" s="7" t="s">
        <v>6557</v>
      </c>
      <c r="I430" s="119">
        <v>45292.0</v>
      </c>
      <c r="K430" s="7" t="s">
        <v>419</v>
      </c>
      <c r="L430" s="7" t="s">
        <v>991</v>
      </c>
      <c r="M430" s="7" t="s">
        <v>3501</v>
      </c>
      <c r="N430" s="7" t="s">
        <v>3877</v>
      </c>
      <c r="O430" s="7" t="s">
        <v>3878</v>
      </c>
      <c r="P430" s="7" t="s">
        <v>3493</v>
      </c>
      <c r="Q430" s="7">
        <v>1.0</v>
      </c>
    </row>
    <row r="431">
      <c r="A431" s="7" t="s">
        <v>6558</v>
      </c>
      <c r="B431" s="7">
        <v>14066.0</v>
      </c>
      <c r="C431" s="7" t="s">
        <v>6559</v>
      </c>
      <c r="D431" s="7" t="s">
        <v>6560</v>
      </c>
      <c r="E431" s="7" t="s">
        <v>6561</v>
      </c>
      <c r="F431" s="7" t="s">
        <v>6560</v>
      </c>
      <c r="G431" s="7" t="s">
        <v>6562</v>
      </c>
      <c r="H431" s="7" t="s">
        <v>6563</v>
      </c>
      <c r="I431" s="119">
        <v>45292.0</v>
      </c>
      <c r="K431" s="7" t="s">
        <v>3541</v>
      </c>
      <c r="L431" s="7" t="s">
        <v>3542</v>
      </c>
      <c r="M431" s="7" t="s">
        <v>3543</v>
      </c>
      <c r="N431" s="7" t="s">
        <v>3544</v>
      </c>
      <c r="O431" s="7" t="s">
        <v>3545</v>
      </c>
      <c r="P431" s="7" t="s">
        <v>3522</v>
      </c>
      <c r="Q431" s="7" t="s">
        <v>3514</v>
      </c>
    </row>
    <row r="432">
      <c r="A432" s="7" t="s">
        <v>6564</v>
      </c>
      <c r="B432" s="7">
        <v>13449.0</v>
      </c>
      <c r="C432" s="7" t="s">
        <v>6559</v>
      </c>
      <c r="D432" s="7" t="s">
        <v>6565</v>
      </c>
      <c r="E432" s="7" t="s">
        <v>6561</v>
      </c>
      <c r="F432" s="7" t="s">
        <v>5250</v>
      </c>
      <c r="G432" s="7" t="s">
        <v>6566</v>
      </c>
      <c r="H432" s="7" t="s">
        <v>6567</v>
      </c>
      <c r="I432" s="119">
        <v>45292.0</v>
      </c>
      <c r="K432" s="7" t="s">
        <v>419</v>
      </c>
      <c r="L432" s="7" t="s">
        <v>991</v>
      </c>
      <c r="M432" s="7" t="s">
        <v>3501</v>
      </c>
      <c r="N432" s="7" t="s">
        <v>6568</v>
      </c>
      <c r="O432" s="7" t="s">
        <v>6569</v>
      </c>
      <c r="P432" s="7" t="s">
        <v>3493</v>
      </c>
      <c r="Q432" s="7">
        <v>1.0</v>
      </c>
    </row>
    <row r="433">
      <c r="A433" s="7" t="s">
        <v>6570</v>
      </c>
      <c r="B433" s="7">
        <v>10666.0</v>
      </c>
      <c r="C433" s="7" t="s">
        <v>6559</v>
      </c>
      <c r="D433" s="7" t="s">
        <v>6571</v>
      </c>
      <c r="E433" s="7" t="s">
        <v>6561</v>
      </c>
      <c r="F433" s="7" t="s">
        <v>3909</v>
      </c>
      <c r="G433" s="7" t="s">
        <v>6572</v>
      </c>
      <c r="H433" s="7" t="s">
        <v>6573</v>
      </c>
      <c r="I433" s="119">
        <v>45292.0</v>
      </c>
      <c r="K433" s="7" t="s">
        <v>419</v>
      </c>
      <c r="L433" s="7" t="s">
        <v>991</v>
      </c>
      <c r="M433" s="7" t="s">
        <v>3501</v>
      </c>
      <c r="N433" s="7" t="s">
        <v>4810</v>
      </c>
      <c r="O433" s="7" t="s">
        <v>4811</v>
      </c>
      <c r="P433" s="7" t="s">
        <v>3493</v>
      </c>
      <c r="Q433" s="7">
        <v>1.0</v>
      </c>
    </row>
    <row r="434">
      <c r="A434" s="7" t="s">
        <v>6574</v>
      </c>
      <c r="B434" s="7">
        <v>10939.0</v>
      </c>
      <c r="C434" s="7" t="s">
        <v>6559</v>
      </c>
      <c r="D434" s="7" t="s">
        <v>6575</v>
      </c>
      <c r="E434" s="7" t="s">
        <v>6561</v>
      </c>
      <c r="F434" s="7" t="s">
        <v>6576</v>
      </c>
      <c r="G434" s="7" t="s">
        <v>6577</v>
      </c>
      <c r="H434" s="7" t="s">
        <v>6578</v>
      </c>
      <c r="I434" s="119">
        <v>45292.0</v>
      </c>
      <c r="K434" s="7" t="s">
        <v>419</v>
      </c>
      <c r="L434" s="7" t="s">
        <v>991</v>
      </c>
      <c r="M434" s="7" t="s">
        <v>3501</v>
      </c>
      <c r="N434" s="7" t="s">
        <v>6579</v>
      </c>
      <c r="O434" s="7" t="s">
        <v>6580</v>
      </c>
      <c r="P434" s="7" t="s">
        <v>3493</v>
      </c>
      <c r="Q434" s="7">
        <v>1.0</v>
      </c>
    </row>
    <row r="435">
      <c r="A435" s="7" t="s">
        <v>6581</v>
      </c>
      <c r="B435" s="7">
        <v>13006.0</v>
      </c>
      <c r="C435" s="7" t="s">
        <v>6582</v>
      </c>
      <c r="D435" s="7" t="s">
        <v>6583</v>
      </c>
      <c r="E435" s="7" t="s">
        <v>6584</v>
      </c>
      <c r="F435" s="7" t="s">
        <v>6585</v>
      </c>
      <c r="G435" s="7" t="s">
        <v>6586</v>
      </c>
      <c r="H435" s="7" t="s">
        <v>6587</v>
      </c>
      <c r="I435" s="119">
        <v>45292.0</v>
      </c>
      <c r="K435" s="7" t="s">
        <v>419</v>
      </c>
      <c r="L435" s="7" t="s">
        <v>991</v>
      </c>
      <c r="M435" s="7" t="s">
        <v>3531</v>
      </c>
      <c r="N435" s="7" t="s">
        <v>5166</v>
      </c>
      <c r="O435" s="7" t="s">
        <v>5167</v>
      </c>
      <c r="P435" s="7" t="s">
        <v>3493</v>
      </c>
      <c r="Q435" s="7">
        <v>1.0</v>
      </c>
    </row>
    <row r="436">
      <c r="A436" s="7" t="s">
        <v>6588</v>
      </c>
      <c r="B436" s="7">
        <v>12600.0</v>
      </c>
      <c r="C436" s="7" t="s">
        <v>6589</v>
      </c>
      <c r="D436" s="7" t="s">
        <v>6590</v>
      </c>
      <c r="E436" s="7" t="s">
        <v>6591</v>
      </c>
      <c r="F436" s="7" t="s">
        <v>6592</v>
      </c>
      <c r="G436" s="7" t="s">
        <v>6593</v>
      </c>
      <c r="H436" s="7" t="s">
        <v>6594</v>
      </c>
      <c r="I436" s="119">
        <v>45292.0</v>
      </c>
      <c r="K436" s="7" t="s">
        <v>419</v>
      </c>
      <c r="L436" s="7" t="s">
        <v>991</v>
      </c>
      <c r="M436" s="7" t="s">
        <v>3501</v>
      </c>
      <c r="N436" s="7" t="s">
        <v>6595</v>
      </c>
      <c r="O436" s="7" t="s">
        <v>6596</v>
      </c>
      <c r="P436" s="7" t="s">
        <v>3493</v>
      </c>
      <c r="Q436" s="7">
        <v>1.0</v>
      </c>
    </row>
    <row r="437">
      <c r="A437" s="7" t="s">
        <v>6597</v>
      </c>
      <c r="B437" s="7">
        <v>11503.0</v>
      </c>
      <c r="C437" s="7" t="s">
        <v>6598</v>
      </c>
      <c r="D437" s="7" t="s">
        <v>6182</v>
      </c>
      <c r="E437" s="7" t="s">
        <v>6599</v>
      </c>
      <c r="F437" s="7" t="s">
        <v>6184</v>
      </c>
      <c r="G437" s="7" t="s">
        <v>6600</v>
      </c>
      <c r="H437" s="7" t="s">
        <v>6601</v>
      </c>
      <c r="I437" s="119">
        <v>45292.0</v>
      </c>
      <c r="K437" s="7" t="s">
        <v>419</v>
      </c>
      <c r="L437" s="7" t="s">
        <v>991</v>
      </c>
      <c r="M437" s="7" t="s">
        <v>3501</v>
      </c>
      <c r="N437" s="7" t="s">
        <v>6602</v>
      </c>
      <c r="O437" s="7" t="s">
        <v>6603</v>
      </c>
      <c r="P437" s="7" t="s">
        <v>3843</v>
      </c>
      <c r="Q437" s="7">
        <v>1.0</v>
      </c>
    </row>
    <row r="438">
      <c r="A438" s="7" t="s">
        <v>6604</v>
      </c>
      <c r="B438" s="7">
        <v>11827.0</v>
      </c>
      <c r="C438" s="7" t="s">
        <v>6598</v>
      </c>
      <c r="D438" s="7" t="s">
        <v>6605</v>
      </c>
      <c r="E438" s="7" t="s">
        <v>6599</v>
      </c>
      <c r="F438" s="7" t="s">
        <v>6606</v>
      </c>
      <c r="G438" s="7" t="s">
        <v>6607</v>
      </c>
      <c r="H438" s="7" t="s">
        <v>6608</v>
      </c>
      <c r="I438" s="119">
        <v>45292.0</v>
      </c>
      <c r="K438" s="7" t="s">
        <v>419</v>
      </c>
      <c r="L438" s="7" t="s">
        <v>991</v>
      </c>
      <c r="M438" s="7" t="s">
        <v>3501</v>
      </c>
      <c r="N438" s="7" t="s">
        <v>4256</v>
      </c>
      <c r="O438" s="7" t="s">
        <v>4257</v>
      </c>
      <c r="P438" s="7" t="s">
        <v>3493</v>
      </c>
      <c r="Q438" s="7">
        <v>1.0</v>
      </c>
    </row>
    <row r="439">
      <c r="A439" s="7" t="s">
        <v>6609</v>
      </c>
      <c r="B439" s="7">
        <v>13657.0</v>
      </c>
      <c r="C439" s="7" t="s">
        <v>6598</v>
      </c>
      <c r="D439" s="7" t="s">
        <v>6610</v>
      </c>
      <c r="E439" s="7" t="s">
        <v>6611</v>
      </c>
      <c r="F439" s="7" t="s">
        <v>6612</v>
      </c>
      <c r="G439" s="7" t="s">
        <v>6613</v>
      </c>
      <c r="H439" s="7" t="s">
        <v>6614</v>
      </c>
      <c r="I439" s="119">
        <v>45292.0</v>
      </c>
      <c r="K439" s="7" t="s">
        <v>3632</v>
      </c>
      <c r="L439" s="7" t="s">
        <v>991</v>
      </c>
      <c r="M439" s="7" t="s">
        <v>3501</v>
      </c>
      <c r="N439" s="7" t="s">
        <v>6615</v>
      </c>
      <c r="O439" s="7" t="s">
        <v>6616</v>
      </c>
      <c r="P439" s="7" t="s">
        <v>3522</v>
      </c>
      <c r="Q439" s="7" t="s">
        <v>3523</v>
      </c>
    </row>
    <row r="440">
      <c r="A440" s="7" t="s">
        <v>6617</v>
      </c>
      <c r="B440" s="7">
        <v>11901.0</v>
      </c>
      <c r="C440" s="7" t="s">
        <v>6618</v>
      </c>
      <c r="D440" s="7" t="s">
        <v>6619</v>
      </c>
      <c r="E440" s="7" t="s">
        <v>6620</v>
      </c>
      <c r="F440" s="7" t="s">
        <v>6621</v>
      </c>
      <c r="G440" s="7" t="s">
        <v>6622</v>
      </c>
      <c r="H440" s="7" t="s">
        <v>6623</v>
      </c>
      <c r="I440" s="119">
        <v>45292.0</v>
      </c>
      <c r="K440" s="7" t="s">
        <v>419</v>
      </c>
      <c r="L440" s="7" t="s">
        <v>991</v>
      </c>
      <c r="M440" s="7" t="s">
        <v>3501</v>
      </c>
      <c r="N440" s="7" t="s">
        <v>6624</v>
      </c>
      <c r="O440" s="7" t="s">
        <v>6625</v>
      </c>
      <c r="P440" s="7" t="s">
        <v>3522</v>
      </c>
      <c r="Q440" s="7" t="s">
        <v>3523</v>
      </c>
    </row>
    <row r="441">
      <c r="A441" s="7" t="s">
        <v>6626</v>
      </c>
      <c r="B441" s="7">
        <v>2100503.0</v>
      </c>
      <c r="C441" s="7" t="s">
        <v>6627</v>
      </c>
      <c r="D441" s="7" t="s">
        <v>6628</v>
      </c>
      <c r="E441" s="7" t="s">
        <v>6629</v>
      </c>
      <c r="F441" s="7" t="s">
        <v>6630</v>
      </c>
      <c r="G441" s="7" t="s">
        <v>6631</v>
      </c>
      <c r="H441" s="7" t="s">
        <v>6632</v>
      </c>
      <c r="I441" s="119">
        <v>45292.0</v>
      </c>
      <c r="K441" s="7" t="s">
        <v>419</v>
      </c>
      <c r="L441" s="7" t="s">
        <v>991</v>
      </c>
      <c r="M441" s="7" t="s">
        <v>3501</v>
      </c>
      <c r="N441" s="7" t="s">
        <v>6345</v>
      </c>
      <c r="O441" s="7" t="s">
        <v>6346</v>
      </c>
      <c r="P441" s="7" t="s">
        <v>3493</v>
      </c>
      <c r="Q441" s="7">
        <v>1.0</v>
      </c>
    </row>
    <row r="442">
      <c r="A442" s="7" t="s">
        <v>1416</v>
      </c>
      <c r="B442" s="7">
        <v>1152.0</v>
      </c>
      <c r="C442" s="7" t="s">
        <v>6633</v>
      </c>
      <c r="D442" s="7" t="s">
        <v>5311</v>
      </c>
      <c r="E442" s="7" t="s">
        <v>6634</v>
      </c>
      <c r="F442" s="7" t="s">
        <v>5312</v>
      </c>
      <c r="G442" s="7" t="s">
        <v>6635</v>
      </c>
      <c r="H442" s="7" t="s">
        <v>6636</v>
      </c>
      <c r="I442" s="119">
        <v>45292.0</v>
      </c>
      <c r="K442" s="7" t="s">
        <v>419</v>
      </c>
      <c r="L442" s="7" t="s">
        <v>991</v>
      </c>
      <c r="M442" s="7" t="s">
        <v>3501</v>
      </c>
      <c r="N442" s="7" t="s">
        <v>6637</v>
      </c>
      <c r="O442" s="7" t="s">
        <v>6638</v>
      </c>
      <c r="P442" s="7" t="s">
        <v>3493</v>
      </c>
      <c r="Q442" s="7">
        <v>1.0</v>
      </c>
    </row>
    <row r="443">
      <c r="A443" s="7" t="s">
        <v>6639</v>
      </c>
      <c r="B443" s="7">
        <v>2200897.0</v>
      </c>
      <c r="C443" s="7" t="s">
        <v>6640</v>
      </c>
      <c r="D443" s="7" t="s">
        <v>6641</v>
      </c>
      <c r="E443" s="7" t="s">
        <v>6642</v>
      </c>
      <c r="F443" s="7" t="s">
        <v>6643</v>
      </c>
      <c r="G443" s="7" t="s">
        <v>6644</v>
      </c>
      <c r="H443" s="7" t="s">
        <v>6645</v>
      </c>
      <c r="I443" s="119">
        <v>45292.0</v>
      </c>
      <c r="K443" s="7" t="s">
        <v>419</v>
      </c>
      <c r="L443" s="7" t="s">
        <v>991</v>
      </c>
      <c r="M443" s="7" t="s">
        <v>3501</v>
      </c>
      <c r="N443" s="7" t="s">
        <v>6646</v>
      </c>
      <c r="O443" s="7" t="s">
        <v>6647</v>
      </c>
      <c r="P443" s="7" t="s">
        <v>3522</v>
      </c>
      <c r="Q443" s="7" t="s">
        <v>3514</v>
      </c>
    </row>
    <row r="444">
      <c r="A444" s="7" t="s">
        <v>6648</v>
      </c>
      <c r="B444" s="7">
        <v>12704.0</v>
      </c>
      <c r="C444" s="7" t="s">
        <v>6649</v>
      </c>
      <c r="D444" s="7" t="s">
        <v>6650</v>
      </c>
      <c r="E444" s="7" t="s">
        <v>6651</v>
      </c>
      <c r="F444" s="7" t="s">
        <v>3517</v>
      </c>
      <c r="G444" s="7" t="s">
        <v>6652</v>
      </c>
      <c r="H444" s="7" t="s">
        <v>6653</v>
      </c>
      <c r="I444" s="119">
        <v>45292.0</v>
      </c>
      <c r="K444" s="7" t="s">
        <v>6654</v>
      </c>
      <c r="L444" s="7" t="s">
        <v>6655</v>
      </c>
      <c r="M444" s="7" t="s">
        <v>6656</v>
      </c>
      <c r="N444" s="7" t="s">
        <v>3973</v>
      </c>
      <c r="O444" s="7" t="s">
        <v>3974</v>
      </c>
      <c r="P444" s="7" t="s">
        <v>3522</v>
      </c>
      <c r="Q444" s="7" t="s">
        <v>3514</v>
      </c>
    </row>
    <row r="445">
      <c r="A445" s="7" t="s">
        <v>1434</v>
      </c>
      <c r="B445" s="7">
        <v>1151.0</v>
      </c>
      <c r="C445" s="7" t="s">
        <v>6657</v>
      </c>
      <c r="D445" s="7" t="s">
        <v>6658</v>
      </c>
      <c r="E445" s="7" t="s">
        <v>6659</v>
      </c>
      <c r="F445" s="7" t="s">
        <v>5155</v>
      </c>
      <c r="G445" s="7" t="s">
        <v>6660</v>
      </c>
      <c r="H445" s="7" t="s">
        <v>6661</v>
      </c>
      <c r="I445" s="119">
        <v>45292.0</v>
      </c>
      <c r="K445" s="7" t="s">
        <v>419</v>
      </c>
      <c r="L445" s="7" t="s">
        <v>991</v>
      </c>
      <c r="M445" s="7" t="s">
        <v>3501</v>
      </c>
      <c r="N445" s="7" t="s">
        <v>6662</v>
      </c>
      <c r="O445" s="7" t="s">
        <v>6663</v>
      </c>
      <c r="P445" s="7" t="s">
        <v>6664</v>
      </c>
      <c r="Q445" s="7" t="s">
        <v>3514</v>
      </c>
    </row>
    <row r="446">
      <c r="A446" s="7" t="s">
        <v>6665</v>
      </c>
      <c r="B446" s="7">
        <v>2300564.0</v>
      </c>
      <c r="C446" s="7" t="s">
        <v>6666</v>
      </c>
      <c r="D446" s="7" t="s">
        <v>6667</v>
      </c>
      <c r="E446" s="7" t="s">
        <v>6668</v>
      </c>
      <c r="F446" s="7" t="s">
        <v>6669</v>
      </c>
      <c r="G446" s="7" t="s">
        <v>6670</v>
      </c>
      <c r="H446" s="7" t="s">
        <v>6671</v>
      </c>
      <c r="I446" s="119">
        <v>45292.0</v>
      </c>
      <c r="K446" s="7" t="s">
        <v>419</v>
      </c>
      <c r="L446" s="7" t="s">
        <v>991</v>
      </c>
      <c r="M446" s="7" t="s">
        <v>3501</v>
      </c>
      <c r="N446" s="7" t="s">
        <v>6672</v>
      </c>
      <c r="O446" s="7" t="s">
        <v>6673</v>
      </c>
      <c r="P446" s="7" t="s">
        <v>4154</v>
      </c>
      <c r="Q446" s="7" t="s">
        <v>4155</v>
      </c>
    </row>
    <row r="447">
      <c r="A447" s="7" t="s">
        <v>6674</v>
      </c>
      <c r="B447" s="7">
        <v>2100003.0</v>
      </c>
      <c r="C447" s="7" t="s">
        <v>6675</v>
      </c>
      <c r="D447" s="7" t="s">
        <v>6676</v>
      </c>
      <c r="E447" s="7" t="s">
        <v>6677</v>
      </c>
      <c r="F447" s="7" t="s">
        <v>6678</v>
      </c>
      <c r="G447" s="7" t="s">
        <v>6679</v>
      </c>
      <c r="H447" s="7" t="s">
        <v>6680</v>
      </c>
      <c r="I447" s="119">
        <v>45292.0</v>
      </c>
      <c r="K447" s="7" t="s">
        <v>6681</v>
      </c>
      <c r="L447" s="7" t="s">
        <v>3542</v>
      </c>
      <c r="M447" s="7" t="s">
        <v>3563</v>
      </c>
      <c r="N447" s="7" t="s">
        <v>5197</v>
      </c>
      <c r="O447" s="7" t="s">
        <v>6682</v>
      </c>
      <c r="P447" s="7" t="s">
        <v>6683</v>
      </c>
      <c r="Q447" s="7" t="s">
        <v>4155</v>
      </c>
    </row>
    <row r="448">
      <c r="A448" s="7" t="s">
        <v>1665</v>
      </c>
      <c r="B448" s="7">
        <v>523.0</v>
      </c>
      <c r="C448" s="7" t="s">
        <v>6684</v>
      </c>
      <c r="D448" s="7" t="s">
        <v>6685</v>
      </c>
      <c r="E448" s="7" t="s">
        <v>6686</v>
      </c>
      <c r="F448" s="7" t="s">
        <v>3977</v>
      </c>
      <c r="G448" s="7" t="s">
        <v>6687</v>
      </c>
      <c r="H448" s="7" t="s">
        <v>6688</v>
      </c>
      <c r="I448" s="119">
        <v>45292.0</v>
      </c>
      <c r="K448" s="7" t="s">
        <v>419</v>
      </c>
      <c r="L448" s="7" t="s">
        <v>991</v>
      </c>
      <c r="M448" s="7" t="s">
        <v>3501</v>
      </c>
      <c r="N448" s="7" t="s">
        <v>6689</v>
      </c>
      <c r="O448" s="7" t="s">
        <v>6690</v>
      </c>
      <c r="P448" s="7" t="s">
        <v>3604</v>
      </c>
      <c r="Q448" s="7">
        <v>1.0</v>
      </c>
    </row>
    <row r="449">
      <c r="A449" s="7" t="s">
        <v>6691</v>
      </c>
      <c r="B449" s="7">
        <v>2200739.0</v>
      </c>
      <c r="C449" s="7" t="s">
        <v>6692</v>
      </c>
      <c r="D449" s="7" t="s">
        <v>6693</v>
      </c>
      <c r="E449" s="7" t="s">
        <v>6694</v>
      </c>
      <c r="F449" s="7" t="s">
        <v>5203</v>
      </c>
      <c r="G449" s="7" t="s">
        <v>6695</v>
      </c>
      <c r="H449" s="7" t="s">
        <v>6696</v>
      </c>
      <c r="I449" s="119">
        <v>45292.0</v>
      </c>
      <c r="K449" s="7" t="s">
        <v>419</v>
      </c>
      <c r="L449" s="7" t="s">
        <v>991</v>
      </c>
      <c r="M449" s="7" t="s">
        <v>3501</v>
      </c>
      <c r="N449" s="7" t="s">
        <v>6697</v>
      </c>
      <c r="O449" s="7" t="s">
        <v>6698</v>
      </c>
      <c r="P449" s="7" t="s">
        <v>3843</v>
      </c>
      <c r="Q449" s="7">
        <v>1.0</v>
      </c>
    </row>
    <row r="450">
      <c r="A450" s="7" t="s">
        <v>6699</v>
      </c>
      <c r="B450" s="7">
        <v>12447.0</v>
      </c>
      <c r="C450" s="7" t="s">
        <v>6700</v>
      </c>
      <c r="D450" s="7" t="s">
        <v>6701</v>
      </c>
      <c r="E450" s="7" t="s">
        <v>6702</v>
      </c>
      <c r="F450" s="7" t="s">
        <v>6703</v>
      </c>
      <c r="G450" s="7" t="s">
        <v>6704</v>
      </c>
      <c r="H450" s="7" t="s">
        <v>6705</v>
      </c>
      <c r="I450" s="119">
        <v>45292.0</v>
      </c>
      <c r="K450" s="7" t="s">
        <v>419</v>
      </c>
      <c r="L450" s="7" t="s">
        <v>991</v>
      </c>
      <c r="M450" s="7" t="s">
        <v>3501</v>
      </c>
      <c r="N450" s="7" t="s">
        <v>6706</v>
      </c>
      <c r="O450" s="7" t="s">
        <v>6707</v>
      </c>
      <c r="P450" s="7" t="s">
        <v>3604</v>
      </c>
      <c r="Q450" s="7">
        <v>1.0</v>
      </c>
    </row>
    <row r="451">
      <c r="A451" s="7" t="s">
        <v>6708</v>
      </c>
      <c r="B451" s="7">
        <v>11842.0</v>
      </c>
      <c r="C451" s="7" t="s">
        <v>6709</v>
      </c>
      <c r="D451" s="7" t="s">
        <v>6710</v>
      </c>
      <c r="E451" s="7" t="s">
        <v>6711</v>
      </c>
      <c r="F451" s="7" t="s">
        <v>4677</v>
      </c>
      <c r="G451" s="7" t="s">
        <v>6712</v>
      </c>
      <c r="H451" s="7" t="s">
        <v>6713</v>
      </c>
      <c r="I451" s="119">
        <v>45292.0</v>
      </c>
      <c r="K451" s="7" t="s">
        <v>419</v>
      </c>
      <c r="L451" s="7" t="s">
        <v>991</v>
      </c>
      <c r="M451" s="7" t="s">
        <v>3501</v>
      </c>
      <c r="N451" s="7" t="s">
        <v>6714</v>
      </c>
      <c r="O451" s="7" t="s">
        <v>6715</v>
      </c>
      <c r="P451" s="7" t="s">
        <v>3894</v>
      </c>
      <c r="Q451" s="7" t="s">
        <v>3523</v>
      </c>
    </row>
    <row r="452">
      <c r="A452" s="7" t="s">
        <v>6716</v>
      </c>
      <c r="B452" s="7">
        <v>2100667.0</v>
      </c>
      <c r="C452" s="7" t="s">
        <v>6717</v>
      </c>
      <c r="D452" s="7" t="s">
        <v>6718</v>
      </c>
      <c r="E452" s="7" t="s">
        <v>6719</v>
      </c>
      <c r="F452" s="7" t="s">
        <v>6720</v>
      </c>
      <c r="G452" s="7" t="s">
        <v>6721</v>
      </c>
      <c r="H452" s="7" t="s">
        <v>6722</v>
      </c>
      <c r="I452" s="119">
        <v>45292.0</v>
      </c>
      <c r="K452" s="7" t="s">
        <v>419</v>
      </c>
      <c r="L452" s="7" t="s">
        <v>991</v>
      </c>
      <c r="M452" s="7" t="s">
        <v>3501</v>
      </c>
      <c r="N452" s="7" t="s">
        <v>4769</v>
      </c>
      <c r="O452" s="7" t="s">
        <v>4770</v>
      </c>
      <c r="P452" s="7" t="s">
        <v>3493</v>
      </c>
      <c r="Q452" s="7">
        <v>1.0</v>
      </c>
    </row>
    <row r="453">
      <c r="A453" s="7" t="s">
        <v>6723</v>
      </c>
      <c r="B453" s="7">
        <v>2200695.0</v>
      </c>
      <c r="C453" s="7" t="s">
        <v>6724</v>
      </c>
      <c r="D453" s="7" t="s">
        <v>6725</v>
      </c>
      <c r="E453" s="7" t="s">
        <v>6726</v>
      </c>
      <c r="F453" s="7" t="s">
        <v>6727</v>
      </c>
      <c r="G453" s="7" t="s">
        <v>6728</v>
      </c>
      <c r="H453" s="7" t="s">
        <v>6729</v>
      </c>
      <c r="I453" s="119">
        <v>45292.0</v>
      </c>
      <c r="K453" s="7" t="s">
        <v>419</v>
      </c>
      <c r="L453" s="7" t="s">
        <v>991</v>
      </c>
      <c r="M453" s="7" t="s">
        <v>3531</v>
      </c>
      <c r="N453" s="7" t="s">
        <v>4256</v>
      </c>
      <c r="O453" s="7" t="s">
        <v>4257</v>
      </c>
      <c r="P453" s="7" t="s">
        <v>3493</v>
      </c>
      <c r="Q453" s="7">
        <v>1.0</v>
      </c>
    </row>
    <row r="454">
      <c r="A454" s="7" t="s">
        <v>6730</v>
      </c>
      <c r="B454" s="7">
        <v>2100606.0</v>
      </c>
      <c r="C454" s="7" t="s">
        <v>6731</v>
      </c>
      <c r="D454" s="7" t="s">
        <v>6406</v>
      </c>
      <c r="E454" s="7" t="s">
        <v>6732</v>
      </c>
      <c r="F454" s="7" t="s">
        <v>6408</v>
      </c>
      <c r="G454" s="7" t="s">
        <v>6733</v>
      </c>
      <c r="H454" s="7" t="s">
        <v>6734</v>
      </c>
      <c r="I454" s="119">
        <v>45292.0</v>
      </c>
      <c r="K454" s="7" t="s">
        <v>419</v>
      </c>
      <c r="L454" s="7" t="s">
        <v>991</v>
      </c>
      <c r="M454" s="7" t="s">
        <v>3531</v>
      </c>
      <c r="N454" s="7" t="s">
        <v>6141</v>
      </c>
      <c r="O454" s="7" t="s">
        <v>6142</v>
      </c>
      <c r="P454" s="7" t="s">
        <v>3493</v>
      </c>
      <c r="Q454" s="7">
        <v>1.0</v>
      </c>
    </row>
    <row r="455">
      <c r="A455" s="7" t="s">
        <v>6735</v>
      </c>
      <c r="B455" s="7">
        <v>8222.0</v>
      </c>
      <c r="C455" s="7" t="s">
        <v>6736</v>
      </c>
      <c r="D455" s="7" t="s">
        <v>6737</v>
      </c>
      <c r="E455" s="7" t="s">
        <v>6732</v>
      </c>
      <c r="F455" s="7" t="s">
        <v>6738</v>
      </c>
      <c r="G455" s="7" t="s">
        <v>6739</v>
      </c>
      <c r="H455" s="7" t="s">
        <v>6740</v>
      </c>
      <c r="I455" s="119">
        <v>45292.0</v>
      </c>
      <c r="K455" s="7" t="s">
        <v>419</v>
      </c>
      <c r="L455" s="7" t="s">
        <v>991</v>
      </c>
      <c r="M455" s="7" t="s">
        <v>3531</v>
      </c>
      <c r="N455" s="7" t="s">
        <v>4012</v>
      </c>
      <c r="O455" s="7" t="s">
        <v>4013</v>
      </c>
      <c r="P455" s="7" t="s">
        <v>3493</v>
      </c>
      <c r="Q455" s="7">
        <v>1.0</v>
      </c>
    </row>
    <row r="456">
      <c r="A456" s="7" t="s">
        <v>6741</v>
      </c>
      <c r="B456" s="7">
        <v>241.0</v>
      </c>
      <c r="C456" s="7" t="s">
        <v>6742</v>
      </c>
      <c r="D456" s="7" t="s">
        <v>6743</v>
      </c>
      <c r="E456" s="7" t="s">
        <v>6744</v>
      </c>
      <c r="F456" s="7" t="s">
        <v>4049</v>
      </c>
      <c r="G456" s="7" t="s">
        <v>6745</v>
      </c>
      <c r="H456" s="7" t="s">
        <v>6746</v>
      </c>
      <c r="I456" s="119">
        <v>45292.0</v>
      </c>
      <c r="K456" s="7" t="s">
        <v>4206</v>
      </c>
      <c r="L456" s="7" t="s">
        <v>3542</v>
      </c>
      <c r="M456" s="7" t="s">
        <v>3543</v>
      </c>
      <c r="N456" s="7" t="s">
        <v>5671</v>
      </c>
      <c r="O456" s="7" t="s">
        <v>6747</v>
      </c>
      <c r="P456" s="7" t="s">
        <v>3522</v>
      </c>
      <c r="Q456" s="7" t="s">
        <v>3514</v>
      </c>
    </row>
    <row r="457">
      <c r="A457" s="7" t="s">
        <v>6748</v>
      </c>
      <c r="B457" s="7">
        <v>12333.0</v>
      </c>
      <c r="C457" s="7" t="s">
        <v>6742</v>
      </c>
      <c r="D457" s="7" t="s">
        <v>6749</v>
      </c>
      <c r="E457" s="7" t="s">
        <v>6744</v>
      </c>
      <c r="F457" s="7" t="s">
        <v>6750</v>
      </c>
      <c r="G457" s="7" t="s">
        <v>6751</v>
      </c>
      <c r="H457" s="7" t="s">
        <v>6752</v>
      </c>
      <c r="I457" s="119">
        <v>45292.0</v>
      </c>
      <c r="K457" s="7" t="s">
        <v>419</v>
      </c>
      <c r="L457" s="7" t="s">
        <v>991</v>
      </c>
      <c r="M457" s="7" t="s">
        <v>3501</v>
      </c>
      <c r="N457" s="7" t="s">
        <v>6753</v>
      </c>
      <c r="O457" s="7" t="s">
        <v>6754</v>
      </c>
      <c r="P457" s="7" t="s">
        <v>3493</v>
      </c>
      <c r="Q457" s="7">
        <v>1.0</v>
      </c>
    </row>
    <row r="458">
      <c r="A458" s="7" t="s">
        <v>6755</v>
      </c>
      <c r="B458" s="7">
        <v>13849.0</v>
      </c>
      <c r="C458" s="7" t="s">
        <v>6756</v>
      </c>
      <c r="D458" s="7" t="s">
        <v>6757</v>
      </c>
      <c r="E458" s="7" t="s">
        <v>6758</v>
      </c>
      <c r="F458" s="7" t="s">
        <v>6759</v>
      </c>
      <c r="G458" s="7" t="s">
        <v>6760</v>
      </c>
      <c r="H458" s="7" t="s">
        <v>6761</v>
      </c>
      <c r="I458" s="119">
        <v>45292.0</v>
      </c>
      <c r="K458" s="7" t="s">
        <v>419</v>
      </c>
      <c r="L458" s="7" t="s">
        <v>991</v>
      </c>
      <c r="M458" s="7" t="s">
        <v>3501</v>
      </c>
      <c r="N458" s="7" t="s">
        <v>3820</v>
      </c>
      <c r="O458" s="7" t="s">
        <v>6762</v>
      </c>
      <c r="P458" s="7" t="s">
        <v>6763</v>
      </c>
      <c r="Q458" s="7" t="s">
        <v>3523</v>
      </c>
    </row>
    <row r="459">
      <c r="A459" s="7" t="s">
        <v>6764</v>
      </c>
      <c r="B459" s="7">
        <v>12731.0</v>
      </c>
      <c r="C459" s="7" t="s">
        <v>6765</v>
      </c>
      <c r="D459" s="7" t="s">
        <v>6105</v>
      </c>
      <c r="E459" s="7" t="s">
        <v>6766</v>
      </c>
      <c r="F459" s="7" t="s">
        <v>3498</v>
      </c>
      <c r="G459" s="7" t="s">
        <v>6767</v>
      </c>
      <c r="H459" s="7" t="s">
        <v>6768</v>
      </c>
      <c r="I459" s="119">
        <v>45292.0</v>
      </c>
      <c r="K459" s="7" t="s">
        <v>419</v>
      </c>
      <c r="L459" s="7" t="s">
        <v>991</v>
      </c>
      <c r="M459" s="7" t="s">
        <v>3501</v>
      </c>
      <c r="N459" s="7" t="s">
        <v>5469</v>
      </c>
      <c r="O459" s="7" t="s">
        <v>5470</v>
      </c>
      <c r="P459" s="7" t="s">
        <v>3493</v>
      </c>
      <c r="Q459" s="7">
        <v>1.0</v>
      </c>
    </row>
    <row r="460">
      <c r="A460" s="7" t="s">
        <v>6769</v>
      </c>
      <c r="B460" s="7">
        <v>2100013.0</v>
      </c>
      <c r="C460" s="7" t="s">
        <v>6765</v>
      </c>
      <c r="D460" s="7" t="s">
        <v>6770</v>
      </c>
      <c r="E460" s="7" t="s">
        <v>6766</v>
      </c>
      <c r="F460" s="7" t="s">
        <v>3549</v>
      </c>
      <c r="G460" s="7" t="s">
        <v>6771</v>
      </c>
      <c r="H460" s="7" t="s">
        <v>6772</v>
      </c>
      <c r="I460" s="119">
        <v>45292.0</v>
      </c>
      <c r="K460" s="7" t="s">
        <v>419</v>
      </c>
      <c r="L460" s="7" t="s">
        <v>991</v>
      </c>
      <c r="M460" s="7" t="s">
        <v>3501</v>
      </c>
      <c r="N460" s="7" t="s">
        <v>4096</v>
      </c>
      <c r="O460" s="7" t="s">
        <v>6773</v>
      </c>
      <c r="P460" s="7" t="s">
        <v>3522</v>
      </c>
      <c r="Q460" s="7" t="s">
        <v>3523</v>
      </c>
    </row>
    <row r="461">
      <c r="A461" s="7" t="s">
        <v>6774</v>
      </c>
      <c r="B461" s="7">
        <v>2200715.0</v>
      </c>
      <c r="C461" s="7" t="s">
        <v>6765</v>
      </c>
      <c r="D461" s="7" t="s">
        <v>3764</v>
      </c>
      <c r="E461" s="7" t="s">
        <v>6766</v>
      </c>
      <c r="F461" s="7" t="s">
        <v>3766</v>
      </c>
      <c r="G461" s="7" t="s">
        <v>6775</v>
      </c>
      <c r="H461" s="7" t="s">
        <v>6776</v>
      </c>
      <c r="I461" s="119">
        <v>45292.0</v>
      </c>
      <c r="K461" s="7" t="s">
        <v>4042</v>
      </c>
      <c r="L461" s="7" t="s">
        <v>991</v>
      </c>
      <c r="M461" s="7" t="s">
        <v>3501</v>
      </c>
      <c r="N461" s="7" t="s">
        <v>4043</v>
      </c>
      <c r="O461" s="7" t="s">
        <v>4044</v>
      </c>
      <c r="P461" s="7" t="s">
        <v>3493</v>
      </c>
      <c r="Q461" s="7">
        <v>1.0</v>
      </c>
    </row>
    <row r="462">
      <c r="A462" s="7" t="s">
        <v>6777</v>
      </c>
      <c r="B462" s="7">
        <v>1280.0</v>
      </c>
      <c r="C462" s="7" t="s">
        <v>6778</v>
      </c>
      <c r="D462" s="7" t="s">
        <v>6779</v>
      </c>
      <c r="E462" s="7" t="s">
        <v>6780</v>
      </c>
      <c r="F462" s="7" t="s">
        <v>6781</v>
      </c>
      <c r="G462" s="7" t="s">
        <v>6782</v>
      </c>
      <c r="H462" s="7" t="s">
        <v>6783</v>
      </c>
      <c r="I462" s="119">
        <v>45292.0</v>
      </c>
      <c r="K462" s="7" t="s">
        <v>419</v>
      </c>
      <c r="L462" s="7" t="s">
        <v>991</v>
      </c>
      <c r="M462" s="7" t="s">
        <v>3501</v>
      </c>
      <c r="N462" s="7" t="s">
        <v>6076</v>
      </c>
      <c r="O462" s="7" t="s">
        <v>6077</v>
      </c>
      <c r="P462" s="7" t="s">
        <v>3493</v>
      </c>
      <c r="Q462" s="7">
        <v>1.0</v>
      </c>
    </row>
    <row r="463">
      <c r="A463" s="7" t="s">
        <v>6784</v>
      </c>
      <c r="B463" s="7">
        <v>11414.0</v>
      </c>
      <c r="C463" s="7" t="s">
        <v>6785</v>
      </c>
      <c r="D463" s="7" t="s">
        <v>5234</v>
      </c>
      <c r="E463" s="7" t="s">
        <v>6786</v>
      </c>
      <c r="F463" s="7" t="s">
        <v>5312</v>
      </c>
      <c r="G463" s="7" t="s">
        <v>6787</v>
      </c>
      <c r="H463" s="7" t="s">
        <v>6788</v>
      </c>
      <c r="I463" s="119">
        <v>45292.0</v>
      </c>
      <c r="K463" s="7" t="s">
        <v>419</v>
      </c>
      <c r="L463" s="7" t="s">
        <v>991</v>
      </c>
      <c r="M463" s="7" t="s">
        <v>3501</v>
      </c>
      <c r="N463" s="7" t="s">
        <v>6789</v>
      </c>
      <c r="O463" s="7" t="s">
        <v>6790</v>
      </c>
      <c r="P463" s="7" t="s">
        <v>6763</v>
      </c>
      <c r="Q463" s="7" t="s">
        <v>3523</v>
      </c>
    </row>
    <row r="464">
      <c r="A464" s="7" t="s">
        <v>6791</v>
      </c>
      <c r="B464" s="7">
        <v>14325.0</v>
      </c>
      <c r="C464" s="7" t="s">
        <v>6792</v>
      </c>
      <c r="D464" s="7" t="s">
        <v>4717</v>
      </c>
      <c r="E464" s="7" t="s">
        <v>6793</v>
      </c>
      <c r="F464" s="7" t="s">
        <v>4262</v>
      </c>
      <c r="G464" s="7" t="s">
        <v>6794</v>
      </c>
      <c r="H464" s="7" t="s">
        <v>6795</v>
      </c>
      <c r="I464" s="119">
        <v>45292.0</v>
      </c>
      <c r="K464" s="7" t="s">
        <v>419</v>
      </c>
      <c r="L464" s="7" t="s">
        <v>991</v>
      </c>
      <c r="M464" s="7" t="s">
        <v>3501</v>
      </c>
      <c r="N464" s="7" t="s">
        <v>5166</v>
      </c>
      <c r="O464" s="7" t="s">
        <v>5167</v>
      </c>
      <c r="P464" s="7" t="s">
        <v>3843</v>
      </c>
      <c r="Q464" s="7">
        <v>1.0</v>
      </c>
    </row>
    <row r="465">
      <c r="A465" s="7" t="s">
        <v>6796</v>
      </c>
      <c r="B465" s="7">
        <v>12380.0</v>
      </c>
      <c r="C465" s="7" t="s">
        <v>6797</v>
      </c>
      <c r="D465" s="7" t="s">
        <v>6798</v>
      </c>
      <c r="E465" s="7" t="s">
        <v>6799</v>
      </c>
      <c r="F465" s="7" t="s">
        <v>6800</v>
      </c>
      <c r="G465" s="7" t="s">
        <v>6801</v>
      </c>
      <c r="H465" s="7" t="s">
        <v>6802</v>
      </c>
      <c r="I465" s="119">
        <v>45292.0</v>
      </c>
      <c r="K465" s="7" t="s">
        <v>3489</v>
      </c>
      <c r="L465" s="7" t="s">
        <v>991</v>
      </c>
      <c r="M465" s="7" t="s">
        <v>3490</v>
      </c>
      <c r="N465" s="7" t="s">
        <v>3491</v>
      </c>
      <c r="O465" s="7" t="s">
        <v>3492</v>
      </c>
      <c r="P465" s="7" t="s">
        <v>3493</v>
      </c>
      <c r="Q465" s="7">
        <v>1.0</v>
      </c>
    </row>
    <row r="466">
      <c r="A466" s="7" t="s">
        <v>6803</v>
      </c>
      <c r="B466" s="7">
        <v>2200342.0</v>
      </c>
      <c r="C466" s="7" t="s">
        <v>6804</v>
      </c>
      <c r="D466" s="7" t="s">
        <v>6805</v>
      </c>
      <c r="E466" s="7" t="s">
        <v>6799</v>
      </c>
      <c r="F466" s="7" t="s">
        <v>6806</v>
      </c>
      <c r="G466" s="7" t="s">
        <v>6807</v>
      </c>
      <c r="H466" s="7" t="s">
        <v>6808</v>
      </c>
      <c r="I466" s="119">
        <v>45292.0</v>
      </c>
      <c r="K466" s="7" t="s">
        <v>419</v>
      </c>
      <c r="L466" s="7" t="s">
        <v>991</v>
      </c>
      <c r="M466" s="7" t="s">
        <v>3501</v>
      </c>
      <c r="N466" s="7" t="s">
        <v>4660</v>
      </c>
      <c r="O466" s="7" t="s">
        <v>4661</v>
      </c>
      <c r="P466" s="7" t="s">
        <v>3493</v>
      </c>
      <c r="Q466" s="7">
        <v>1.0</v>
      </c>
    </row>
    <row r="467">
      <c r="A467" s="7" t="s">
        <v>6809</v>
      </c>
      <c r="B467" s="7">
        <v>2100392.0</v>
      </c>
      <c r="C467" s="7" t="s">
        <v>6804</v>
      </c>
      <c r="D467" s="7" t="s">
        <v>6810</v>
      </c>
      <c r="E467" s="7" t="s">
        <v>6799</v>
      </c>
      <c r="F467" s="7" t="s">
        <v>6811</v>
      </c>
      <c r="G467" s="7" t="s">
        <v>6812</v>
      </c>
      <c r="H467" s="7" t="s">
        <v>6813</v>
      </c>
      <c r="I467" s="119">
        <v>45292.0</v>
      </c>
      <c r="K467" s="7" t="s">
        <v>419</v>
      </c>
      <c r="L467" s="7" t="s">
        <v>991</v>
      </c>
      <c r="M467" s="7" t="s">
        <v>3501</v>
      </c>
      <c r="N467" s="7" t="s">
        <v>6814</v>
      </c>
      <c r="O467" s="7" t="s">
        <v>6815</v>
      </c>
      <c r="P467" s="7" t="s">
        <v>3493</v>
      </c>
      <c r="Q467" s="7">
        <v>1.0</v>
      </c>
    </row>
    <row r="468">
      <c r="A468" s="7" t="s">
        <v>6816</v>
      </c>
      <c r="B468" s="7">
        <v>1304.0</v>
      </c>
      <c r="C468" s="7" t="s">
        <v>6797</v>
      </c>
      <c r="D468" s="7" t="s">
        <v>6817</v>
      </c>
      <c r="E468" s="7" t="s">
        <v>6799</v>
      </c>
      <c r="F468" s="7" t="s">
        <v>6818</v>
      </c>
      <c r="G468" s="7" t="s">
        <v>6819</v>
      </c>
      <c r="H468" s="7" t="s">
        <v>6820</v>
      </c>
      <c r="I468" s="119">
        <v>45292.0</v>
      </c>
      <c r="K468" s="7" t="s">
        <v>419</v>
      </c>
      <c r="L468" s="7" t="s">
        <v>991</v>
      </c>
      <c r="M468" s="7" t="s">
        <v>3501</v>
      </c>
      <c r="N468" s="7" t="s">
        <v>4096</v>
      </c>
      <c r="O468" s="7" t="s">
        <v>4097</v>
      </c>
      <c r="P468" s="7" t="s">
        <v>3493</v>
      </c>
      <c r="Q468" s="7">
        <v>1.0</v>
      </c>
    </row>
    <row r="469">
      <c r="A469" s="7" t="s">
        <v>6821</v>
      </c>
      <c r="B469" s="7">
        <v>2200441.0</v>
      </c>
      <c r="C469" s="7" t="s">
        <v>6822</v>
      </c>
      <c r="D469" s="7" t="s">
        <v>6823</v>
      </c>
      <c r="E469" s="7" t="s">
        <v>6824</v>
      </c>
      <c r="F469" s="7" t="s">
        <v>6825</v>
      </c>
      <c r="G469" s="7" t="s">
        <v>6826</v>
      </c>
      <c r="H469" s="7" t="s">
        <v>6827</v>
      </c>
      <c r="I469" s="119">
        <v>45292.0</v>
      </c>
      <c r="K469" s="7" t="s">
        <v>6828</v>
      </c>
      <c r="L469" s="7" t="s">
        <v>3706</v>
      </c>
      <c r="M469" s="7" t="s">
        <v>6829</v>
      </c>
      <c r="N469" s="7" t="s">
        <v>3886</v>
      </c>
      <c r="O469" s="7" t="s">
        <v>6830</v>
      </c>
      <c r="P469" s="7" t="s">
        <v>6831</v>
      </c>
      <c r="Q469" s="7" t="s">
        <v>6296</v>
      </c>
    </row>
    <row r="470">
      <c r="A470" s="7" t="s">
        <v>6832</v>
      </c>
      <c r="B470" s="7">
        <v>2300191.0</v>
      </c>
      <c r="C470" s="7" t="s">
        <v>6833</v>
      </c>
      <c r="D470" s="7" t="s">
        <v>6834</v>
      </c>
      <c r="E470" s="7" t="s">
        <v>6835</v>
      </c>
      <c r="F470" s="7" t="s">
        <v>6836</v>
      </c>
      <c r="G470" s="7" t="s">
        <v>6837</v>
      </c>
      <c r="H470" s="7" t="s">
        <v>6838</v>
      </c>
      <c r="I470" s="119">
        <v>45292.0</v>
      </c>
      <c r="K470" s="7" t="s">
        <v>419</v>
      </c>
      <c r="L470" s="7" t="s">
        <v>991</v>
      </c>
      <c r="M470" s="7" t="s">
        <v>3501</v>
      </c>
      <c r="N470" s="7" t="s">
        <v>3695</v>
      </c>
      <c r="O470" s="7" t="s">
        <v>6839</v>
      </c>
      <c r="P470" s="7" t="s">
        <v>4154</v>
      </c>
      <c r="Q470" s="7" t="s">
        <v>4155</v>
      </c>
    </row>
    <row r="471">
      <c r="A471" s="7" t="s">
        <v>6840</v>
      </c>
      <c r="B471" s="7">
        <v>250.0</v>
      </c>
      <c r="C471" s="7" t="s">
        <v>6841</v>
      </c>
      <c r="D471" s="7" t="s">
        <v>6842</v>
      </c>
      <c r="E471" s="7" t="s">
        <v>6843</v>
      </c>
      <c r="F471" s="7" t="s">
        <v>6844</v>
      </c>
      <c r="G471" s="7" t="s">
        <v>6845</v>
      </c>
      <c r="H471" s="7" t="s">
        <v>6846</v>
      </c>
      <c r="I471" s="119">
        <v>45292.0</v>
      </c>
      <c r="K471" s="7" t="s">
        <v>419</v>
      </c>
      <c r="L471" s="7" t="s">
        <v>991</v>
      </c>
      <c r="M471" s="7" t="s">
        <v>3501</v>
      </c>
      <c r="N471" s="7" t="s">
        <v>6847</v>
      </c>
      <c r="O471" s="7" t="s">
        <v>6848</v>
      </c>
      <c r="P471" s="7" t="s">
        <v>3785</v>
      </c>
      <c r="Q471" s="7" t="s">
        <v>3523</v>
      </c>
    </row>
    <row r="472">
      <c r="A472" s="7" t="s">
        <v>6849</v>
      </c>
      <c r="B472" s="7">
        <v>14133.0</v>
      </c>
      <c r="C472" s="7" t="s">
        <v>6850</v>
      </c>
      <c r="D472" s="7" t="s">
        <v>6851</v>
      </c>
      <c r="E472" s="7" t="s">
        <v>6852</v>
      </c>
      <c r="F472" s="7" t="s">
        <v>4677</v>
      </c>
      <c r="G472" s="7" t="s">
        <v>6853</v>
      </c>
      <c r="H472" s="7" t="s">
        <v>6854</v>
      </c>
      <c r="I472" s="119">
        <v>45292.0</v>
      </c>
      <c r="K472" s="7" t="s">
        <v>419</v>
      </c>
      <c r="L472" s="7" t="s">
        <v>991</v>
      </c>
      <c r="M472" s="7" t="s">
        <v>3531</v>
      </c>
      <c r="N472" s="7" t="s">
        <v>4444</v>
      </c>
      <c r="O472" s="7" t="s">
        <v>4445</v>
      </c>
      <c r="P472" s="7" t="s">
        <v>3493</v>
      </c>
      <c r="Q472" s="7">
        <v>1.0</v>
      </c>
    </row>
    <row r="473">
      <c r="A473" s="7" t="s">
        <v>6855</v>
      </c>
      <c r="B473" s="7">
        <v>515.0</v>
      </c>
      <c r="C473" s="7" t="s">
        <v>6856</v>
      </c>
      <c r="D473" s="7" t="s">
        <v>6857</v>
      </c>
      <c r="E473" s="7" t="s">
        <v>6858</v>
      </c>
      <c r="F473" s="7" t="s">
        <v>6859</v>
      </c>
      <c r="G473" s="7" t="s">
        <v>6860</v>
      </c>
      <c r="H473" s="7" t="s">
        <v>6861</v>
      </c>
      <c r="I473" s="119">
        <v>45292.0</v>
      </c>
      <c r="K473" s="7" t="s">
        <v>419</v>
      </c>
      <c r="L473" s="7" t="s">
        <v>991</v>
      </c>
      <c r="M473" s="7" t="s">
        <v>3501</v>
      </c>
      <c r="N473" s="7" t="s">
        <v>4514</v>
      </c>
      <c r="O473" s="7" t="s">
        <v>4515</v>
      </c>
      <c r="P473" s="7" t="s">
        <v>3493</v>
      </c>
      <c r="Q473" s="7">
        <v>1.0</v>
      </c>
    </row>
    <row r="474">
      <c r="A474" s="7" t="s">
        <v>6862</v>
      </c>
      <c r="B474" s="7">
        <v>2100594.0</v>
      </c>
      <c r="C474" s="7" t="s">
        <v>6863</v>
      </c>
      <c r="D474" s="7" t="s">
        <v>6864</v>
      </c>
      <c r="E474" s="7" t="s">
        <v>6865</v>
      </c>
      <c r="F474" s="7" t="s">
        <v>4194</v>
      </c>
      <c r="G474" s="7" t="s">
        <v>6866</v>
      </c>
      <c r="H474" s="7" t="s">
        <v>6867</v>
      </c>
      <c r="I474" s="119">
        <v>45292.0</v>
      </c>
      <c r="K474" s="7" t="s">
        <v>419</v>
      </c>
      <c r="L474" s="7" t="s">
        <v>991</v>
      </c>
      <c r="M474" s="7" t="s">
        <v>3501</v>
      </c>
      <c r="N474" s="7" t="s">
        <v>4127</v>
      </c>
      <c r="O474" s="7" t="s">
        <v>4128</v>
      </c>
      <c r="P474" s="7" t="s">
        <v>3493</v>
      </c>
      <c r="Q474" s="7">
        <v>1.0</v>
      </c>
    </row>
    <row r="475">
      <c r="A475" s="7" t="s">
        <v>6868</v>
      </c>
      <c r="B475" s="7">
        <v>10983.0</v>
      </c>
      <c r="C475" s="7" t="s">
        <v>6863</v>
      </c>
      <c r="D475" s="7" t="s">
        <v>6869</v>
      </c>
      <c r="E475" s="7" t="s">
        <v>6865</v>
      </c>
      <c r="F475" s="7" t="s">
        <v>6870</v>
      </c>
      <c r="G475" s="7" t="s">
        <v>6871</v>
      </c>
      <c r="H475" s="7" t="s">
        <v>6872</v>
      </c>
      <c r="I475" s="119">
        <v>45292.0</v>
      </c>
      <c r="K475" s="7" t="s">
        <v>419</v>
      </c>
      <c r="L475" s="7" t="s">
        <v>991</v>
      </c>
      <c r="M475" s="7" t="s">
        <v>3501</v>
      </c>
      <c r="N475" s="7" t="s">
        <v>4954</v>
      </c>
      <c r="O475" s="7" t="s">
        <v>4955</v>
      </c>
      <c r="P475" s="7" t="s">
        <v>3493</v>
      </c>
      <c r="Q475" s="7">
        <v>1.0</v>
      </c>
    </row>
    <row r="476">
      <c r="A476" s="7" t="s">
        <v>6873</v>
      </c>
      <c r="B476" s="7">
        <v>14188.0</v>
      </c>
      <c r="C476" s="7" t="s">
        <v>6863</v>
      </c>
      <c r="D476" s="7" t="s">
        <v>6874</v>
      </c>
      <c r="E476" s="7" t="s">
        <v>6865</v>
      </c>
      <c r="F476" s="7" t="s">
        <v>5347</v>
      </c>
      <c r="G476" s="7" t="s">
        <v>6875</v>
      </c>
      <c r="H476" s="7" t="s">
        <v>6876</v>
      </c>
      <c r="I476" s="119">
        <v>45292.0</v>
      </c>
      <c r="K476" s="7" t="s">
        <v>419</v>
      </c>
      <c r="L476" s="7" t="s">
        <v>991</v>
      </c>
      <c r="M476" s="7" t="s">
        <v>3501</v>
      </c>
      <c r="N476" s="7" t="s">
        <v>6239</v>
      </c>
      <c r="O476" s="7" t="s">
        <v>6240</v>
      </c>
      <c r="P476" s="7" t="s">
        <v>3493</v>
      </c>
      <c r="Q476" s="7">
        <v>1.0</v>
      </c>
    </row>
    <row r="477">
      <c r="A477" s="7" t="s">
        <v>6877</v>
      </c>
      <c r="B477" s="7">
        <v>2300222.0</v>
      </c>
      <c r="C477" s="7" t="s">
        <v>6878</v>
      </c>
      <c r="D477" s="7" t="s">
        <v>6879</v>
      </c>
      <c r="E477" s="7" t="s">
        <v>6880</v>
      </c>
      <c r="F477" s="7" t="s">
        <v>4321</v>
      </c>
      <c r="G477" s="7" t="s">
        <v>6881</v>
      </c>
      <c r="H477" s="7" t="s">
        <v>6882</v>
      </c>
      <c r="I477" s="119">
        <v>45292.0</v>
      </c>
      <c r="K477" s="7" t="s">
        <v>419</v>
      </c>
      <c r="L477" s="7" t="s">
        <v>991</v>
      </c>
      <c r="M477" s="7" t="s">
        <v>3583</v>
      </c>
      <c r="N477" s="7" t="s">
        <v>3532</v>
      </c>
      <c r="O477" s="7" t="s">
        <v>3533</v>
      </c>
      <c r="P477" s="7" t="s">
        <v>3493</v>
      </c>
      <c r="Q477" s="7">
        <v>1.0</v>
      </c>
    </row>
    <row r="478">
      <c r="A478" s="7" t="s">
        <v>6883</v>
      </c>
      <c r="B478" s="7">
        <v>14048.0</v>
      </c>
      <c r="C478" s="7" t="s">
        <v>6884</v>
      </c>
      <c r="D478" s="7" t="s">
        <v>3516</v>
      </c>
      <c r="E478" s="7" t="s">
        <v>6880</v>
      </c>
      <c r="F478" s="7" t="s">
        <v>3517</v>
      </c>
      <c r="G478" s="7" t="s">
        <v>6885</v>
      </c>
      <c r="H478" s="7" t="s">
        <v>6886</v>
      </c>
      <c r="I478" s="119">
        <v>45292.0</v>
      </c>
      <c r="K478" s="7" t="s">
        <v>419</v>
      </c>
      <c r="L478" s="7" t="s">
        <v>991</v>
      </c>
      <c r="M478" s="7" t="s">
        <v>3501</v>
      </c>
      <c r="N478" s="7" t="s">
        <v>6887</v>
      </c>
      <c r="O478" s="7" t="s">
        <v>6888</v>
      </c>
      <c r="P478" s="7" t="s">
        <v>6889</v>
      </c>
      <c r="Q478" s="7" t="s">
        <v>3555</v>
      </c>
    </row>
    <row r="479">
      <c r="A479" s="7" t="s">
        <v>6890</v>
      </c>
      <c r="B479" s="7">
        <v>2300593.0</v>
      </c>
      <c r="C479" s="7" t="s">
        <v>6891</v>
      </c>
      <c r="D479" s="7" t="s">
        <v>6892</v>
      </c>
      <c r="E479" s="7" t="s">
        <v>6893</v>
      </c>
      <c r="F479" s="7" t="s">
        <v>5229</v>
      </c>
      <c r="G479" s="7" t="s">
        <v>6894</v>
      </c>
      <c r="H479" s="7" t="s">
        <v>6895</v>
      </c>
      <c r="I479" s="119">
        <v>45292.0</v>
      </c>
      <c r="J479" s="7" t="s">
        <v>3929</v>
      </c>
      <c r="K479" s="7" t="s">
        <v>419</v>
      </c>
      <c r="L479" s="7" t="s">
        <v>991</v>
      </c>
      <c r="M479" s="7" t="s">
        <v>3501</v>
      </c>
      <c r="N479" s="7" t="s">
        <v>6896</v>
      </c>
      <c r="O479" s="7" t="s">
        <v>6897</v>
      </c>
      <c r="P479" s="7" t="s">
        <v>3843</v>
      </c>
      <c r="Q479" s="7">
        <v>1.0</v>
      </c>
    </row>
    <row r="480">
      <c r="A480" s="7" t="s">
        <v>6898</v>
      </c>
      <c r="B480" s="7">
        <v>10305.0</v>
      </c>
      <c r="C480" s="7" t="s">
        <v>6899</v>
      </c>
      <c r="D480" s="7" t="s">
        <v>6900</v>
      </c>
      <c r="E480" s="7" t="s">
        <v>6901</v>
      </c>
      <c r="F480" s="7" t="s">
        <v>6902</v>
      </c>
      <c r="G480" s="7" t="s">
        <v>6903</v>
      </c>
      <c r="H480" s="7" t="s">
        <v>6904</v>
      </c>
      <c r="I480" s="119">
        <v>45292.0</v>
      </c>
      <c r="K480" s="7" t="s">
        <v>3885</v>
      </c>
      <c r="L480" s="7" t="s">
        <v>3542</v>
      </c>
      <c r="M480" s="7" t="s">
        <v>3543</v>
      </c>
      <c r="N480" s="7" t="s">
        <v>6905</v>
      </c>
      <c r="O480" s="7" t="s">
        <v>6906</v>
      </c>
      <c r="P480" s="7" t="s">
        <v>6907</v>
      </c>
      <c r="Q480" s="7" t="s">
        <v>3555</v>
      </c>
    </row>
    <row r="481">
      <c r="A481" s="7" t="s">
        <v>1803</v>
      </c>
      <c r="B481" s="7">
        <v>11652.0</v>
      </c>
      <c r="C481" s="7" t="s">
        <v>6908</v>
      </c>
      <c r="D481" s="7" t="s">
        <v>6909</v>
      </c>
      <c r="E481" s="7" t="s">
        <v>6910</v>
      </c>
      <c r="F481" s="7" t="s">
        <v>6911</v>
      </c>
      <c r="G481" s="7" t="s">
        <v>6912</v>
      </c>
      <c r="H481" s="7" t="s">
        <v>6913</v>
      </c>
      <c r="I481" s="119">
        <v>45292.0</v>
      </c>
      <c r="K481" s="7" t="s">
        <v>419</v>
      </c>
      <c r="L481" s="7" t="s">
        <v>991</v>
      </c>
      <c r="M481" s="7" t="s">
        <v>3501</v>
      </c>
      <c r="N481" s="7" t="s">
        <v>6914</v>
      </c>
      <c r="O481" s="7" t="s">
        <v>6915</v>
      </c>
      <c r="P481" s="7" t="s">
        <v>3604</v>
      </c>
      <c r="Q481" s="7">
        <v>1.0</v>
      </c>
    </row>
    <row r="482">
      <c r="A482" s="7" t="s">
        <v>6916</v>
      </c>
      <c r="B482" s="7">
        <v>2200700.0</v>
      </c>
      <c r="C482" s="7" t="s">
        <v>6908</v>
      </c>
      <c r="D482" s="7" t="s">
        <v>6917</v>
      </c>
      <c r="E482" s="7" t="s">
        <v>6910</v>
      </c>
      <c r="F482" s="7" t="s">
        <v>3571</v>
      </c>
      <c r="G482" s="7" t="s">
        <v>6918</v>
      </c>
      <c r="H482" s="7" t="s">
        <v>6919</v>
      </c>
      <c r="I482" s="119">
        <v>45292.0</v>
      </c>
      <c r="K482" s="7" t="s">
        <v>4042</v>
      </c>
      <c r="L482" s="7" t="s">
        <v>991</v>
      </c>
      <c r="M482" s="7" t="s">
        <v>3501</v>
      </c>
      <c r="N482" s="7" t="s">
        <v>4043</v>
      </c>
      <c r="O482" s="7" t="s">
        <v>4044</v>
      </c>
      <c r="P482" s="7" t="s">
        <v>3493</v>
      </c>
      <c r="Q482" s="7">
        <v>1.0</v>
      </c>
    </row>
    <row r="483">
      <c r="A483" s="7" t="s">
        <v>6920</v>
      </c>
      <c r="B483" s="7">
        <v>2100282.0</v>
      </c>
      <c r="C483" s="7" t="s">
        <v>6908</v>
      </c>
      <c r="D483" s="7" t="s">
        <v>6921</v>
      </c>
      <c r="E483" s="7" t="s">
        <v>6910</v>
      </c>
      <c r="F483" s="7" t="s">
        <v>4831</v>
      </c>
      <c r="G483" s="7" t="s">
        <v>6922</v>
      </c>
      <c r="H483" s="7" t="s">
        <v>6923</v>
      </c>
      <c r="I483" s="119">
        <v>45292.0</v>
      </c>
      <c r="K483" s="7" t="s">
        <v>3632</v>
      </c>
      <c r="L483" s="7" t="s">
        <v>991</v>
      </c>
      <c r="M483" s="7" t="s">
        <v>3531</v>
      </c>
      <c r="N483" s="7" t="s">
        <v>5931</v>
      </c>
      <c r="O483" s="7" t="s">
        <v>6924</v>
      </c>
      <c r="P483" s="7" t="s">
        <v>3493</v>
      </c>
      <c r="Q483" s="7">
        <v>1.0</v>
      </c>
    </row>
    <row r="484">
      <c r="A484" s="7" t="s">
        <v>6925</v>
      </c>
      <c r="B484" s="7">
        <v>12597.0</v>
      </c>
      <c r="C484" s="7" t="s">
        <v>6908</v>
      </c>
      <c r="D484" s="7" t="s">
        <v>6926</v>
      </c>
      <c r="E484" s="7" t="s">
        <v>6910</v>
      </c>
      <c r="F484" s="7" t="s">
        <v>6262</v>
      </c>
      <c r="G484" s="7" t="s">
        <v>6927</v>
      </c>
      <c r="H484" s="7" t="s">
        <v>6928</v>
      </c>
      <c r="I484" s="119">
        <v>45292.0</v>
      </c>
      <c r="K484" s="7" t="s">
        <v>419</v>
      </c>
      <c r="L484" s="7" t="s">
        <v>991</v>
      </c>
      <c r="M484" s="7" t="s">
        <v>3501</v>
      </c>
      <c r="N484" s="7" t="s">
        <v>6929</v>
      </c>
      <c r="O484" s="7" t="s">
        <v>6930</v>
      </c>
      <c r="P484" s="7" t="s">
        <v>3843</v>
      </c>
      <c r="Q484" s="7">
        <v>1.0</v>
      </c>
    </row>
    <row r="485">
      <c r="A485" s="7" t="s">
        <v>6931</v>
      </c>
      <c r="B485" s="7">
        <v>2300627.0</v>
      </c>
      <c r="C485" s="7" t="s">
        <v>6932</v>
      </c>
      <c r="D485" s="7" t="s">
        <v>4066</v>
      </c>
      <c r="E485" s="7" t="s">
        <v>6933</v>
      </c>
      <c r="F485" s="7" t="s">
        <v>4068</v>
      </c>
      <c r="G485" s="7" t="s">
        <v>6934</v>
      </c>
      <c r="H485" s="7" t="s">
        <v>6935</v>
      </c>
      <c r="I485" s="119">
        <v>45292.0</v>
      </c>
      <c r="K485" s="7" t="s">
        <v>419</v>
      </c>
      <c r="L485" s="7" t="s">
        <v>991</v>
      </c>
      <c r="M485" s="7" t="s">
        <v>3501</v>
      </c>
      <c r="N485" s="7" t="s">
        <v>4535</v>
      </c>
      <c r="O485" s="7" t="s">
        <v>4536</v>
      </c>
      <c r="P485" s="7" t="s">
        <v>3493</v>
      </c>
      <c r="Q485" s="7">
        <v>1.0</v>
      </c>
    </row>
    <row r="486">
      <c r="A486" s="7" t="s">
        <v>6936</v>
      </c>
      <c r="B486" s="7">
        <v>2100519.0</v>
      </c>
      <c r="C486" s="7" t="s">
        <v>6932</v>
      </c>
      <c r="D486" s="7" t="s">
        <v>6937</v>
      </c>
      <c r="E486" s="7" t="s">
        <v>6933</v>
      </c>
      <c r="F486" s="7" t="s">
        <v>3571</v>
      </c>
      <c r="G486" s="7" t="s">
        <v>6938</v>
      </c>
      <c r="H486" s="7" t="s">
        <v>6939</v>
      </c>
      <c r="I486" s="119">
        <v>45292.0</v>
      </c>
      <c r="K486" s="7" t="s">
        <v>419</v>
      </c>
      <c r="L486" s="7" t="s">
        <v>991</v>
      </c>
      <c r="M486" s="7" t="s">
        <v>3501</v>
      </c>
      <c r="N486" s="7" t="s">
        <v>3841</v>
      </c>
      <c r="O486" s="7" t="s">
        <v>3842</v>
      </c>
      <c r="P486" s="7" t="s">
        <v>3493</v>
      </c>
      <c r="Q486" s="7">
        <v>1.0</v>
      </c>
    </row>
    <row r="487">
      <c r="A487" s="7" t="s">
        <v>6940</v>
      </c>
      <c r="B487" s="7">
        <v>2300766.0</v>
      </c>
      <c r="C487" s="7" t="s">
        <v>6932</v>
      </c>
      <c r="D487" s="7" t="s">
        <v>6941</v>
      </c>
      <c r="E487" s="7" t="s">
        <v>6933</v>
      </c>
      <c r="F487" s="7" t="s">
        <v>6942</v>
      </c>
      <c r="G487" s="7" t="s">
        <v>6943</v>
      </c>
      <c r="H487" s="7" t="s">
        <v>6944</v>
      </c>
      <c r="I487" s="119">
        <v>45292.0</v>
      </c>
      <c r="K487" s="7" t="s">
        <v>419</v>
      </c>
      <c r="L487" s="7" t="s">
        <v>991</v>
      </c>
      <c r="M487" s="7" t="s">
        <v>3531</v>
      </c>
      <c r="N487" s="7" t="s">
        <v>4444</v>
      </c>
      <c r="O487" s="7" t="s">
        <v>4445</v>
      </c>
      <c r="P487" s="7" t="s">
        <v>3493</v>
      </c>
      <c r="Q487" s="7">
        <v>1.0</v>
      </c>
    </row>
    <row r="488">
      <c r="A488" s="7" t="s">
        <v>6945</v>
      </c>
      <c r="B488" s="7">
        <v>2200021.0</v>
      </c>
      <c r="C488" s="7" t="s">
        <v>6946</v>
      </c>
      <c r="D488" s="7" t="s">
        <v>5383</v>
      </c>
      <c r="E488" s="7" t="s">
        <v>6933</v>
      </c>
      <c r="F488" s="7" t="s">
        <v>3486</v>
      </c>
      <c r="G488" s="7" t="s">
        <v>6947</v>
      </c>
      <c r="H488" s="7" t="s">
        <v>6948</v>
      </c>
      <c r="I488" s="119">
        <v>45292.0</v>
      </c>
      <c r="K488" s="7" t="s">
        <v>419</v>
      </c>
      <c r="L488" s="7" t="s">
        <v>991</v>
      </c>
      <c r="M488" s="7" t="s">
        <v>3501</v>
      </c>
      <c r="N488" s="7" t="s">
        <v>6949</v>
      </c>
      <c r="O488" s="7" t="s">
        <v>6950</v>
      </c>
      <c r="P488" s="7" t="s">
        <v>3843</v>
      </c>
      <c r="Q488" s="7">
        <v>1.0</v>
      </c>
    </row>
    <row r="489">
      <c r="A489" s="7" t="s">
        <v>6951</v>
      </c>
      <c r="B489" s="7">
        <v>2300642.0</v>
      </c>
      <c r="C489" s="7" t="s">
        <v>6952</v>
      </c>
      <c r="D489" s="7" t="s">
        <v>6953</v>
      </c>
      <c r="E489" s="7" t="s">
        <v>6954</v>
      </c>
      <c r="F489" s="7" t="s">
        <v>6669</v>
      </c>
      <c r="G489" s="7" t="s">
        <v>6955</v>
      </c>
      <c r="H489" s="7" t="s">
        <v>6956</v>
      </c>
      <c r="I489" s="119">
        <v>45292.0</v>
      </c>
      <c r="K489" s="7" t="s">
        <v>419</v>
      </c>
      <c r="L489" s="7" t="s">
        <v>991</v>
      </c>
      <c r="M489" s="7" t="s">
        <v>3501</v>
      </c>
      <c r="N489" s="7" t="s">
        <v>6957</v>
      </c>
      <c r="O489" s="7" t="s">
        <v>6958</v>
      </c>
      <c r="P489" s="7" t="s">
        <v>3843</v>
      </c>
      <c r="Q489" s="7">
        <v>1.0</v>
      </c>
    </row>
    <row r="490">
      <c r="A490" s="7" t="s">
        <v>6959</v>
      </c>
      <c r="B490" s="7">
        <v>11519.0</v>
      </c>
      <c r="C490" s="7" t="s">
        <v>6960</v>
      </c>
      <c r="D490" s="7" t="s">
        <v>6961</v>
      </c>
      <c r="E490" s="7" t="s">
        <v>6962</v>
      </c>
      <c r="F490" s="7" t="s">
        <v>4280</v>
      </c>
      <c r="G490" s="7" t="s">
        <v>6963</v>
      </c>
      <c r="H490" s="7" t="s">
        <v>6964</v>
      </c>
      <c r="I490" s="119">
        <v>45292.0</v>
      </c>
      <c r="K490" s="7" t="s">
        <v>419</v>
      </c>
      <c r="L490" s="7" t="s">
        <v>991</v>
      </c>
      <c r="M490" s="7" t="s">
        <v>3501</v>
      </c>
      <c r="N490" s="7" t="s">
        <v>3760</v>
      </c>
      <c r="O490" s="7" t="s">
        <v>6965</v>
      </c>
      <c r="P490" s="7" t="s">
        <v>3604</v>
      </c>
      <c r="Q490" s="7">
        <v>1.0</v>
      </c>
    </row>
    <row r="491">
      <c r="A491" s="7" t="s">
        <v>6966</v>
      </c>
      <c r="B491" s="7">
        <v>237.0</v>
      </c>
      <c r="C491" s="7" t="s">
        <v>6960</v>
      </c>
      <c r="D491" s="7" t="s">
        <v>6967</v>
      </c>
      <c r="E491" s="7" t="s">
        <v>6962</v>
      </c>
      <c r="F491" s="7" t="s">
        <v>6968</v>
      </c>
      <c r="G491" s="7" t="s">
        <v>6969</v>
      </c>
      <c r="H491" s="7" t="s">
        <v>6970</v>
      </c>
      <c r="I491" s="119">
        <v>45292.0</v>
      </c>
      <c r="J491" s="7" t="s">
        <v>4216</v>
      </c>
      <c r="K491" s="7" t="s">
        <v>419</v>
      </c>
      <c r="L491" s="7" t="s">
        <v>991</v>
      </c>
      <c r="M491" s="7" t="s">
        <v>3501</v>
      </c>
      <c r="N491" s="7" t="s">
        <v>6971</v>
      </c>
      <c r="O491" s="7" t="s">
        <v>6972</v>
      </c>
      <c r="P491" s="7" t="s">
        <v>3493</v>
      </c>
      <c r="Q491" s="7">
        <v>1.0</v>
      </c>
    </row>
    <row r="492">
      <c r="A492" s="7" t="s">
        <v>6973</v>
      </c>
      <c r="B492" s="7">
        <v>12734.0</v>
      </c>
      <c r="C492" s="7" t="s">
        <v>6974</v>
      </c>
      <c r="D492" s="7" t="s">
        <v>6975</v>
      </c>
      <c r="E492" s="7" t="s">
        <v>6976</v>
      </c>
      <c r="F492" s="7" t="s">
        <v>6977</v>
      </c>
      <c r="G492" s="7" t="s">
        <v>6978</v>
      </c>
      <c r="H492" s="7" t="s">
        <v>6979</v>
      </c>
      <c r="I492" s="119">
        <v>45292.0</v>
      </c>
      <c r="K492" s="7" t="s">
        <v>419</v>
      </c>
      <c r="L492" s="7" t="s">
        <v>991</v>
      </c>
      <c r="M492" s="7" t="s">
        <v>3501</v>
      </c>
      <c r="N492" s="7" t="s">
        <v>6980</v>
      </c>
      <c r="O492" s="7" t="s">
        <v>6981</v>
      </c>
      <c r="P492" s="7" t="s">
        <v>3493</v>
      </c>
      <c r="Q492" s="7">
        <v>1.0</v>
      </c>
    </row>
    <row r="493">
      <c r="A493" s="7" t="s">
        <v>6982</v>
      </c>
      <c r="B493" s="7">
        <v>13601.0</v>
      </c>
      <c r="C493" s="7" t="s">
        <v>6983</v>
      </c>
      <c r="D493" s="7" t="s">
        <v>6984</v>
      </c>
      <c r="E493" s="7" t="s">
        <v>6985</v>
      </c>
      <c r="F493" s="7" t="s">
        <v>3806</v>
      </c>
      <c r="G493" s="7" t="s">
        <v>6986</v>
      </c>
      <c r="H493" s="7" t="s">
        <v>6987</v>
      </c>
      <c r="I493" s="119">
        <v>45292.0</v>
      </c>
      <c r="K493" s="7" t="s">
        <v>419</v>
      </c>
      <c r="L493" s="7" t="s">
        <v>991</v>
      </c>
      <c r="M493" s="7" t="s">
        <v>3501</v>
      </c>
      <c r="N493" s="7" t="s">
        <v>6988</v>
      </c>
      <c r="O493" s="7" t="s">
        <v>6989</v>
      </c>
      <c r="P493" s="7" t="s">
        <v>6119</v>
      </c>
      <c r="Q493" s="7" t="s">
        <v>3555</v>
      </c>
    </row>
    <row r="494">
      <c r="A494" s="7" t="s">
        <v>6990</v>
      </c>
      <c r="B494" s="7">
        <v>2100506.0</v>
      </c>
      <c r="C494" s="7" t="s">
        <v>6991</v>
      </c>
      <c r="D494" s="7" t="s">
        <v>6992</v>
      </c>
      <c r="E494" s="7" t="s">
        <v>6993</v>
      </c>
      <c r="F494" s="7" t="s">
        <v>6994</v>
      </c>
      <c r="G494" s="7" t="s">
        <v>6995</v>
      </c>
      <c r="H494" s="7" t="s">
        <v>6996</v>
      </c>
      <c r="I494" s="119">
        <v>45292.0</v>
      </c>
      <c r="K494" s="7" t="s">
        <v>3489</v>
      </c>
      <c r="L494" s="7" t="s">
        <v>991</v>
      </c>
      <c r="M494" s="7" t="s">
        <v>3490</v>
      </c>
      <c r="N494" s="7" t="s">
        <v>3491</v>
      </c>
      <c r="O494" s="7" t="s">
        <v>3492</v>
      </c>
      <c r="P494" s="7" t="s">
        <v>3493</v>
      </c>
      <c r="Q494" s="7">
        <v>1.0</v>
      </c>
    </row>
    <row r="495">
      <c r="A495" s="7" t="s">
        <v>6997</v>
      </c>
      <c r="B495" s="7">
        <v>11461.0</v>
      </c>
      <c r="C495" s="7" t="s">
        <v>6991</v>
      </c>
      <c r="D495" s="7" t="s">
        <v>6998</v>
      </c>
      <c r="E495" s="7" t="s">
        <v>6993</v>
      </c>
      <c r="F495" s="7" t="s">
        <v>6301</v>
      </c>
      <c r="G495" s="7" t="s">
        <v>6999</v>
      </c>
      <c r="H495" s="7" t="s">
        <v>7000</v>
      </c>
      <c r="I495" s="119">
        <v>45292.0</v>
      </c>
      <c r="K495" s="7" t="s">
        <v>419</v>
      </c>
      <c r="L495" s="7" t="s">
        <v>991</v>
      </c>
      <c r="M495" s="7" t="s">
        <v>3501</v>
      </c>
      <c r="N495" s="7" t="s">
        <v>4994</v>
      </c>
      <c r="O495" s="7" t="s">
        <v>4995</v>
      </c>
      <c r="P495" s="7" t="s">
        <v>3493</v>
      </c>
      <c r="Q495" s="7">
        <v>1.0</v>
      </c>
    </row>
    <row r="496">
      <c r="A496" s="7" t="s">
        <v>7001</v>
      </c>
      <c r="B496" s="7">
        <v>12415.0</v>
      </c>
      <c r="C496" s="7" t="s">
        <v>6991</v>
      </c>
      <c r="D496" s="7" t="s">
        <v>6571</v>
      </c>
      <c r="E496" s="7" t="s">
        <v>6993</v>
      </c>
      <c r="F496" s="7" t="s">
        <v>3909</v>
      </c>
      <c r="G496" s="7" t="s">
        <v>7002</v>
      </c>
      <c r="H496" s="7" t="s">
        <v>7003</v>
      </c>
      <c r="I496" s="119">
        <v>45292.0</v>
      </c>
      <c r="K496" s="7" t="s">
        <v>419</v>
      </c>
      <c r="L496" s="7" t="s">
        <v>991</v>
      </c>
      <c r="M496" s="7" t="s">
        <v>3501</v>
      </c>
      <c r="N496" s="7" t="s">
        <v>3612</v>
      </c>
      <c r="O496" s="7" t="s">
        <v>7004</v>
      </c>
      <c r="P496" s="7" t="s">
        <v>3493</v>
      </c>
      <c r="Q496" s="7">
        <v>1.0</v>
      </c>
    </row>
    <row r="497">
      <c r="A497" s="7" t="s">
        <v>7005</v>
      </c>
      <c r="B497" s="7">
        <v>2300278.0</v>
      </c>
      <c r="C497" s="7" t="s">
        <v>6991</v>
      </c>
      <c r="D497" s="7" t="s">
        <v>7006</v>
      </c>
      <c r="E497" s="7" t="s">
        <v>6993</v>
      </c>
      <c r="F497" s="7" t="s">
        <v>7007</v>
      </c>
      <c r="G497" s="7" t="s">
        <v>7008</v>
      </c>
      <c r="H497" s="7" t="s">
        <v>7009</v>
      </c>
      <c r="I497" s="119">
        <v>45292.0</v>
      </c>
      <c r="K497" s="7" t="s">
        <v>419</v>
      </c>
      <c r="L497" s="7" t="s">
        <v>991</v>
      </c>
      <c r="M497" s="7" t="s">
        <v>3531</v>
      </c>
      <c r="N497" s="7" t="s">
        <v>4727</v>
      </c>
      <c r="O497" s="7" t="s">
        <v>4728</v>
      </c>
      <c r="P497" s="7" t="s">
        <v>3493</v>
      </c>
      <c r="Q497" s="7">
        <v>1.0</v>
      </c>
    </row>
    <row r="498">
      <c r="A498" s="7" t="s">
        <v>7010</v>
      </c>
      <c r="B498" s="7">
        <v>2300273.0</v>
      </c>
      <c r="C498" s="7" t="s">
        <v>7011</v>
      </c>
      <c r="D498" s="7" t="s">
        <v>7012</v>
      </c>
      <c r="E498" s="7" t="s">
        <v>7013</v>
      </c>
      <c r="F498" s="7" t="s">
        <v>7014</v>
      </c>
      <c r="G498" s="7" t="s">
        <v>7015</v>
      </c>
      <c r="H498" s="7" t="s">
        <v>7016</v>
      </c>
      <c r="I498" s="119">
        <v>45292.0</v>
      </c>
      <c r="K498" s="7" t="s">
        <v>4042</v>
      </c>
      <c r="L498" s="7" t="s">
        <v>991</v>
      </c>
      <c r="M498" s="7" t="s">
        <v>3866</v>
      </c>
      <c r="N498" s="7" t="s">
        <v>4043</v>
      </c>
      <c r="O498" s="7" t="s">
        <v>4044</v>
      </c>
      <c r="P498" s="7" t="s">
        <v>3493</v>
      </c>
      <c r="Q498" s="7">
        <v>1.0</v>
      </c>
    </row>
    <row r="499">
      <c r="A499" s="7" t="s">
        <v>7017</v>
      </c>
      <c r="B499" s="7">
        <v>2300609.0</v>
      </c>
      <c r="C499" s="7" t="s">
        <v>7018</v>
      </c>
      <c r="D499" s="7" t="s">
        <v>7019</v>
      </c>
      <c r="E499" s="7" t="s">
        <v>7020</v>
      </c>
      <c r="F499" s="7" t="s">
        <v>7021</v>
      </c>
      <c r="G499" s="7" t="s">
        <v>7022</v>
      </c>
      <c r="H499" s="7" t="s">
        <v>7023</v>
      </c>
      <c r="I499" s="119">
        <v>45292.0</v>
      </c>
      <c r="K499" s="7" t="s">
        <v>419</v>
      </c>
      <c r="L499" s="7" t="s">
        <v>991</v>
      </c>
      <c r="M499" s="7" t="s">
        <v>3531</v>
      </c>
      <c r="N499" s="7" t="s">
        <v>4310</v>
      </c>
      <c r="O499" s="7" t="s">
        <v>4311</v>
      </c>
      <c r="P499" s="7" t="s">
        <v>3493</v>
      </c>
      <c r="Q499" s="7">
        <v>1.0</v>
      </c>
    </row>
    <row r="500">
      <c r="A500" s="7" t="s">
        <v>7024</v>
      </c>
      <c r="B500" s="7">
        <v>2300264.0</v>
      </c>
      <c r="C500" s="7" t="s">
        <v>7025</v>
      </c>
      <c r="D500" s="7" t="s">
        <v>7026</v>
      </c>
      <c r="E500" s="7" t="s">
        <v>7027</v>
      </c>
      <c r="F500" s="7" t="s">
        <v>4598</v>
      </c>
      <c r="G500" s="7" t="s">
        <v>7028</v>
      </c>
      <c r="H500" s="7" t="s">
        <v>7029</v>
      </c>
      <c r="I500" s="119">
        <v>45292.0</v>
      </c>
      <c r="K500" s="7" t="s">
        <v>419</v>
      </c>
      <c r="L500" s="7" t="s">
        <v>991</v>
      </c>
      <c r="M500" s="7" t="s">
        <v>3583</v>
      </c>
      <c r="N500" s="7" t="s">
        <v>4535</v>
      </c>
      <c r="O500" s="7" t="s">
        <v>4536</v>
      </c>
      <c r="P500" s="7" t="s">
        <v>3493</v>
      </c>
      <c r="Q500" s="7">
        <v>1.0</v>
      </c>
    </row>
    <row r="501">
      <c r="A501" s="7" t="s">
        <v>7030</v>
      </c>
      <c r="B501" s="7">
        <v>11604.0</v>
      </c>
      <c r="C501" s="7" t="s">
        <v>7031</v>
      </c>
      <c r="D501" s="7" t="s">
        <v>7032</v>
      </c>
      <c r="E501" s="7" t="s">
        <v>7033</v>
      </c>
      <c r="F501" s="7" t="s">
        <v>7032</v>
      </c>
      <c r="G501" s="7" t="s">
        <v>7034</v>
      </c>
      <c r="H501" s="7" t="s">
        <v>7035</v>
      </c>
      <c r="I501" s="119">
        <v>45292.0</v>
      </c>
      <c r="K501" s="7" t="s">
        <v>419</v>
      </c>
      <c r="L501" s="7" t="s">
        <v>991</v>
      </c>
      <c r="M501" s="7" t="s">
        <v>3501</v>
      </c>
      <c r="N501" s="7" t="s">
        <v>4970</v>
      </c>
      <c r="O501" s="7" t="s">
        <v>5775</v>
      </c>
      <c r="P501" s="7" t="s">
        <v>3493</v>
      </c>
      <c r="Q501" s="7">
        <v>1.0</v>
      </c>
    </row>
    <row r="502">
      <c r="A502" s="7" t="s">
        <v>7036</v>
      </c>
      <c r="B502" s="7">
        <v>1277.0</v>
      </c>
      <c r="C502" s="7" t="s">
        <v>7037</v>
      </c>
      <c r="D502" s="7" t="s">
        <v>7038</v>
      </c>
      <c r="E502" s="7" t="s">
        <v>7033</v>
      </c>
      <c r="F502" s="7" t="s">
        <v>7039</v>
      </c>
      <c r="G502" s="7" t="s">
        <v>7040</v>
      </c>
      <c r="H502" s="7" t="s">
        <v>7041</v>
      </c>
      <c r="I502" s="119">
        <v>45292.0</v>
      </c>
      <c r="K502" s="7" t="s">
        <v>419</v>
      </c>
      <c r="L502" s="7" t="s">
        <v>991</v>
      </c>
      <c r="M502" s="7" t="s">
        <v>3501</v>
      </c>
      <c r="N502" s="7" t="s">
        <v>5732</v>
      </c>
      <c r="O502" s="7" t="s">
        <v>7042</v>
      </c>
      <c r="P502" s="7" t="s">
        <v>3493</v>
      </c>
      <c r="Q502" s="7">
        <v>1.0</v>
      </c>
    </row>
    <row r="503">
      <c r="A503" s="7" t="s">
        <v>7043</v>
      </c>
      <c r="B503" s="7">
        <v>13688.0</v>
      </c>
      <c r="C503" s="7" t="s">
        <v>7037</v>
      </c>
      <c r="D503" s="7" t="s">
        <v>3862</v>
      </c>
      <c r="E503" s="7" t="s">
        <v>7033</v>
      </c>
      <c r="F503" s="7" t="s">
        <v>3508</v>
      </c>
      <c r="G503" s="7" t="s">
        <v>7044</v>
      </c>
      <c r="H503" s="7" t="s">
        <v>7045</v>
      </c>
      <c r="I503" s="119">
        <v>45292.0</v>
      </c>
      <c r="K503" s="7" t="s">
        <v>3632</v>
      </c>
      <c r="L503" s="7" t="s">
        <v>991</v>
      </c>
      <c r="M503" s="7" t="s">
        <v>3501</v>
      </c>
      <c r="N503" s="7" t="s">
        <v>7046</v>
      </c>
      <c r="O503" s="7" t="s">
        <v>7047</v>
      </c>
      <c r="P503" s="7" t="s">
        <v>3522</v>
      </c>
      <c r="Q503" s="7" t="s">
        <v>3514</v>
      </c>
    </row>
    <row r="504">
      <c r="A504" s="7" t="s">
        <v>7048</v>
      </c>
      <c r="B504" s="7">
        <v>13676.0</v>
      </c>
      <c r="C504" s="7" t="s">
        <v>7031</v>
      </c>
      <c r="D504" s="7" t="s">
        <v>7049</v>
      </c>
      <c r="E504" s="7" t="s">
        <v>7033</v>
      </c>
      <c r="F504" s="7" t="s">
        <v>4525</v>
      </c>
      <c r="G504" s="7" t="s">
        <v>7050</v>
      </c>
      <c r="H504" s="7" t="s">
        <v>7051</v>
      </c>
      <c r="I504" s="119">
        <v>45292.0</v>
      </c>
      <c r="K504" s="7" t="s">
        <v>3632</v>
      </c>
      <c r="L504" s="7" t="s">
        <v>991</v>
      </c>
      <c r="M504" s="7" t="s">
        <v>3501</v>
      </c>
      <c r="N504" s="7" t="s">
        <v>4190</v>
      </c>
      <c r="O504" s="7" t="s">
        <v>7052</v>
      </c>
      <c r="P504" s="7" t="s">
        <v>3522</v>
      </c>
      <c r="Q504" s="7" t="s">
        <v>3523</v>
      </c>
    </row>
    <row r="505">
      <c r="A505" s="7" t="s">
        <v>1401</v>
      </c>
      <c r="B505" s="7">
        <v>1091.0</v>
      </c>
      <c r="C505" s="7" t="s">
        <v>7037</v>
      </c>
      <c r="D505" s="7" t="s">
        <v>3597</v>
      </c>
      <c r="E505" s="7" t="s">
        <v>7033</v>
      </c>
      <c r="F505" s="7" t="s">
        <v>3599</v>
      </c>
      <c r="G505" s="7" t="s">
        <v>7053</v>
      </c>
      <c r="H505" s="7" t="s">
        <v>7054</v>
      </c>
      <c r="I505" s="119">
        <v>45292.0</v>
      </c>
      <c r="K505" s="7" t="s">
        <v>419</v>
      </c>
      <c r="L505" s="7" t="s">
        <v>991</v>
      </c>
      <c r="M505" s="7" t="s">
        <v>3501</v>
      </c>
      <c r="N505" s="7" t="s">
        <v>7055</v>
      </c>
      <c r="O505" s="7" t="s">
        <v>7056</v>
      </c>
      <c r="P505" s="7" t="s">
        <v>5585</v>
      </c>
      <c r="Q505" s="7">
        <v>1.0</v>
      </c>
    </row>
    <row r="506">
      <c r="A506" s="7" t="s">
        <v>7057</v>
      </c>
      <c r="B506" s="7">
        <v>1250.0</v>
      </c>
      <c r="C506" s="7" t="s">
        <v>7037</v>
      </c>
      <c r="D506" s="7" t="s">
        <v>4982</v>
      </c>
      <c r="E506" s="7" t="s">
        <v>7033</v>
      </c>
      <c r="F506" s="7" t="s">
        <v>4984</v>
      </c>
      <c r="G506" s="7" t="s">
        <v>7058</v>
      </c>
      <c r="H506" s="7" t="s">
        <v>7059</v>
      </c>
      <c r="I506" s="119">
        <v>45292.0</v>
      </c>
      <c r="K506" s="7" t="s">
        <v>419</v>
      </c>
      <c r="L506" s="7" t="s">
        <v>991</v>
      </c>
      <c r="M506" s="7" t="s">
        <v>3501</v>
      </c>
      <c r="N506" s="7" t="s">
        <v>7060</v>
      </c>
      <c r="O506" s="7" t="s">
        <v>7061</v>
      </c>
      <c r="P506" s="7" t="s">
        <v>3493</v>
      </c>
      <c r="Q506" s="7">
        <v>1.0</v>
      </c>
    </row>
    <row r="507">
      <c r="A507" s="7" t="s">
        <v>7062</v>
      </c>
      <c r="B507" s="7">
        <v>13775.0</v>
      </c>
      <c r="C507" s="7" t="s">
        <v>7063</v>
      </c>
      <c r="D507" s="7" t="s">
        <v>7064</v>
      </c>
      <c r="E507" s="7" t="s">
        <v>7065</v>
      </c>
      <c r="F507" s="7" t="s">
        <v>7066</v>
      </c>
      <c r="G507" s="7" t="s">
        <v>7067</v>
      </c>
      <c r="H507" s="7" t="s">
        <v>7068</v>
      </c>
      <c r="I507" s="119">
        <v>45292.0</v>
      </c>
      <c r="K507" s="7" t="s">
        <v>7069</v>
      </c>
      <c r="L507" s="7" t="s">
        <v>4406</v>
      </c>
      <c r="M507" s="7" t="s">
        <v>7070</v>
      </c>
      <c r="N507" s="7" t="s">
        <v>7071</v>
      </c>
      <c r="O507" s="7" t="s">
        <v>7072</v>
      </c>
      <c r="P507" s="7" t="s">
        <v>7073</v>
      </c>
      <c r="Q507" s="7" t="s">
        <v>3710</v>
      </c>
    </row>
    <row r="508">
      <c r="A508" s="7" t="s">
        <v>7074</v>
      </c>
      <c r="B508" s="7">
        <v>2200263.0</v>
      </c>
      <c r="C508" s="7" t="s">
        <v>7075</v>
      </c>
      <c r="D508" s="7" t="s">
        <v>7076</v>
      </c>
      <c r="E508" s="7" t="s">
        <v>7077</v>
      </c>
      <c r="F508" s="7" t="s">
        <v>7078</v>
      </c>
      <c r="G508" s="7" t="s">
        <v>7079</v>
      </c>
      <c r="H508" s="7" t="s">
        <v>7080</v>
      </c>
      <c r="I508" s="119">
        <v>45292.0</v>
      </c>
      <c r="K508" s="7" t="s">
        <v>419</v>
      </c>
      <c r="L508" s="7" t="s">
        <v>991</v>
      </c>
      <c r="M508" s="7" t="s">
        <v>3531</v>
      </c>
      <c r="N508" s="7" t="s">
        <v>5320</v>
      </c>
      <c r="O508" s="7" t="s">
        <v>5321</v>
      </c>
      <c r="P508" s="7" t="s">
        <v>3493</v>
      </c>
      <c r="Q508" s="7">
        <v>1.0</v>
      </c>
    </row>
    <row r="509">
      <c r="A509" s="7" t="s">
        <v>7081</v>
      </c>
      <c r="B509" s="7">
        <v>13692.0</v>
      </c>
      <c r="C509" s="7" t="s">
        <v>7082</v>
      </c>
      <c r="D509" s="7" t="s">
        <v>4936</v>
      </c>
      <c r="E509" s="7" t="s">
        <v>7083</v>
      </c>
      <c r="F509" s="7" t="s">
        <v>4937</v>
      </c>
      <c r="G509" s="7" t="s">
        <v>7084</v>
      </c>
      <c r="H509" s="7" t="s">
        <v>7085</v>
      </c>
      <c r="I509" s="119">
        <v>45292.0</v>
      </c>
      <c r="K509" s="7" t="s">
        <v>3632</v>
      </c>
      <c r="L509" s="7" t="s">
        <v>991</v>
      </c>
      <c r="M509" s="7" t="s">
        <v>3501</v>
      </c>
      <c r="N509" s="7" t="s">
        <v>4714</v>
      </c>
      <c r="O509" s="7" t="s">
        <v>7086</v>
      </c>
      <c r="P509" s="7" t="s">
        <v>4154</v>
      </c>
      <c r="Q509" s="7" t="s">
        <v>4155</v>
      </c>
    </row>
    <row r="510">
      <c r="A510" s="7" t="s">
        <v>7087</v>
      </c>
      <c r="B510" s="7">
        <v>2300189.0</v>
      </c>
      <c r="C510" s="7" t="s">
        <v>7088</v>
      </c>
      <c r="D510" s="7" t="s">
        <v>7089</v>
      </c>
      <c r="E510" s="7" t="s">
        <v>7090</v>
      </c>
      <c r="F510" s="7" t="s">
        <v>6262</v>
      </c>
      <c r="G510" s="7" t="s">
        <v>7091</v>
      </c>
      <c r="H510" s="7" t="s">
        <v>7092</v>
      </c>
      <c r="I510" s="119">
        <v>45292.0</v>
      </c>
      <c r="K510" s="7" t="s">
        <v>419</v>
      </c>
      <c r="L510" s="7" t="s">
        <v>991</v>
      </c>
      <c r="M510" s="7" t="s">
        <v>3501</v>
      </c>
      <c r="N510" s="7" t="s">
        <v>7093</v>
      </c>
      <c r="O510" s="7" t="s">
        <v>7094</v>
      </c>
      <c r="P510" s="7" t="s">
        <v>3493</v>
      </c>
      <c r="Q510" s="7">
        <v>1.0</v>
      </c>
    </row>
    <row r="511">
      <c r="A511" s="7" t="s">
        <v>7095</v>
      </c>
      <c r="B511" s="7">
        <v>13407.0</v>
      </c>
      <c r="C511" s="7" t="s">
        <v>7096</v>
      </c>
      <c r="D511" s="7" t="s">
        <v>7097</v>
      </c>
      <c r="E511" s="7" t="s">
        <v>7098</v>
      </c>
      <c r="F511" s="7" t="s">
        <v>7099</v>
      </c>
      <c r="G511" s="7" t="s">
        <v>7100</v>
      </c>
      <c r="H511" s="7" t="s">
        <v>7101</v>
      </c>
      <c r="I511" s="119">
        <v>45292.0</v>
      </c>
      <c r="K511" s="7" t="s">
        <v>419</v>
      </c>
      <c r="L511" s="7" t="s">
        <v>991</v>
      </c>
      <c r="M511" s="7" t="s">
        <v>3501</v>
      </c>
      <c r="N511" s="7" t="s">
        <v>6753</v>
      </c>
      <c r="O511" s="7" t="s">
        <v>7102</v>
      </c>
      <c r="P511" s="7" t="s">
        <v>3522</v>
      </c>
      <c r="Q511" s="7" t="s">
        <v>3523</v>
      </c>
    </row>
    <row r="512">
      <c r="A512" s="7" t="s">
        <v>7103</v>
      </c>
      <c r="B512" s="7">
        <v>10984.0</v>
      </c>
      <c r="C512" s="7" t="s">
        <v>7104</v>
      </c>
      <c r="D512" s="7" t="s">
        <v>7105</v>
      </c>
      <c r="E512" s="7" t="s">
        <v>7106</v>
      </c>
      <c r="F512" s="7" t="s">
        <v>7107</v>
      </c>
      <c r="G512" s="7" t="s">
        <v>7108</v>
      </c>
      <c r="H512" s="7" t="s">
        <v>7109</v>
      </c>
      <c r="I512" s="119">
        <v>45292.0</v>
      </c>
      <c r="J512" s="7" t="s">
        <v>4216</v>
      </c>
      <c r="K512" s="7" t="s">
        <v>419</v>
      </c>
      <c r="L512" s="7" t="s">
        <v>991</v>
      </c>
      <c r="M512" s="7" t="s">
        <v>3501</v>
      </c>
      <c r="N512" s="7" t="s">
        <v>3802</v>
      </c>
      <c r="O512" s="7" t="s">
        <v>3803</v>
      </c>
      <c r="P512" s="7" t="s">
        <v>3493</v>
      </c>
      <c r="Q512" s="7">
        <v>1.0</v>
      </c>
    </row>
    <row r="513">
      <c r="A513" s="7" t="s">
        <v>7110</v>
      </c>
      <c r="B513" s="7">
        <v>772.0</v>
      </c>
      <c r="C513" s="7" t="s">
        <v>7111</v>
      </c>
      <c r="D513" s="7" t="s">
        <v>7112</v>
      </c>
      <c r="E513" s="7" t="s">
        <v>7113</v>
      </c>
      <c r="F513" s="7" t="s">
        <v>3498</v>
      </c>
      <c r="G513" s="7" t="s">
        <v>7114</v>
      </c>
      <c r="H513" s="7" t="s">
        <v>7115</v>
      </c>
      <c r="I513" s="119">
        <v>45292.0</v>
      </c>
      <c r="K513" s="7" t="s">
        <v>419</v>
      </c>
      <c r="L513" s="7" t="s">
        <v>991</v>
      </c>
      <c r="M513" s="7" t="s">
        <v>3501</v>
      </c>
      <c r="N513" s="7" t="s">
        <v>7116</v>
      </c>
      <c r="O513" s="7" t="s">
        <v>7117</v>
      </c>
      <c r="P513" s="7" t="s">
        <v>3843</v>
      </c>
      <c r="Q513" s="7">
        <v>1.0</v>
      </c>
    </row>
    <row r="514">
      <c r="A514" s="7" t="s">
        <v>1552</v>
      </c>
      <c r="B514" s="7">
        <v>12250.0</v>
      </c>
      <c r="C514" s="7" t="s">
        <v>7118</v>
      </c>
      <c r="D514" s="7" t="s">
        <v>7119</v>
      </c>
      <c r="E514" s="7" t="s">
        <v>7113</v>
      </c>
      <c r="F514" s="7" t="s">
        <v>4967</v>
      </c>
      <c r="G514" s="7" t="s">
        <v>7120</v>
      </c>
      <c r="H514" s="7" t="s">
        <v>7121</v>
      </c>
      <c r="I514" s="119">
        <v>45292.0</v>
      </c>
      <c r="K514" s="7" t="s">
        <v>419</v>
      </c>
      <c r="L514" s="7" t="s">
        <v>991</v>
      </c>
      <c r="M514" s="7" t="s">
        <v>3501</v>
      </c>
      <c r="N514" s="7" t="s">
        <v>5478</v>
      </c>
      <c r="O514" s="7" t="s">
        <v>7122</v>
      </c>
      <c r="P514" s="7" t="s">
        <v>7123</v>
      </c>
      <c r="Q514" s="7" t="s">
        <v>7124</v>
      </c>
    </row>
    <row r="515">
      <c r="A515" s="7" t="s">
        <v>7125</v>
      </c>
      <c r="B515" s="7">
        <v>2200650.0</v>
      </c>
      <c r="C515" s="7" t="s">
        <v>7126</v>
      </c>
      <c r="D515" s="7" t="s">
        <v>7127</v>
      </c>
      <c r="E515" s="7" t="s">
        <v>7128</v>
      </c>
      <c r="F515" s="7" t="s">
        <v>5441</v>
      </c>
      <c r="G515" s="7" t="s">
        <v>7129</v>
      </c>
      <c r="H515" s="7" t="s">
        <v>7130</v>
      </c>
      <c r="I515" s="119">
        <v>45292.0</v>
      </c>
      <c r="K515" s="7" t="s">
        <v>419</v>
      </c>
      <c r="L515" s="7" t="s">
        <v>991</v>
      </c>
      <c r="M515" s="7" t="s">
        <v>3531</v>
      </c>
      <c r="N515" s="7" t="s">
        <v>7131</v>
      </c>
      <c r="O515" s="7" t="s">
        <v>7132</v>
      </c>
      <c r="P515" s="7" t="s">
        <v>3493</v>
      </c>
      <c r="Q515" s="7">
        <v>1.0</v>
      </c>
    </row>
    <row r="516">
      <c r="A516" s="7" t="s">
        <v>7133</v>
      </c>
      <c r="B516" s="7">
        <v>12807.0</v>
      </c>
      <c r="C516" s="7" t="s">
        <v>7134</v>
      </c>
      <c r="D516" s="7" t="s">
        <v>7135</v>
      </c>
      <c r="E516" s="7" t="s">
        <v>7136</v>
      </c>
      <c r="F516" s="7" t="s">
        <v>3498</v>
      </c>
      <c r="G516" s="7" t="s">
        <v>7137</v>
      </c>
      <c r="H516" s="7" t="s">
        <v>7138</v>
      </c>
      <c r="I516" s="119">
        <v>45292.0</v>
      </c>
      <c r="K516" s="7" t="s">
        <v>419</v>
      </c>
      <c r="L516" s="7" t="s">
        <v>991</v>
      </c>
      <c r="M516" s="7" t="s">
        <v>3501</v>
      </c>
      <c r="N516" s="7" t="s">
        <v>7139</v>
      </c>
      <c r="O516" s="7" t="s">
        <v>7140</v>
      </c>
      <c r="P516" s="7" t="s">
        <v>3843</v>
      </c>
      <c r="Q516" s="7">
        <v>1.0</v>
      </c>
    </row>
    <row r="517">
      <c r="A517" s="7" t="s">
        <v>7141</v>
      </c>
      <c r="B517" s="7">
        <v>12766.0</v>
      </c>
      <c r="C517" s="7" t="s">
        <v>7142</v>
      </c>
      <c r="D517" s="7" t="s">
        <v>7143</v>
      </c>
      <c r="E517" s="7" t="s">
        <v>7144</v>
      </c>
      <c r="F517" s="7" t="s">
        <v>4525</v>
      </c>
      <c r="G517" s="7" t="s">
        <v>7145</v>
      </c>
      <c r="H517" s="7" t="s">
        <v>7146</v>
      </c>
      <c r="I517" s="119">
        <v>45292.0</v>
      </c>
      <c r="K517" s="7" t="s">
        <v>419</v>
      </c>
      <c r="L517" s="7" t="s">
        <v>991</v>
      </c>
      <c r="M517" s="7" t="s">
        <v>3501</v>
      </c>
      <c r="N517" s="7" t="s">
        <v>7147</v>
      </c>
      <c r="O517" s="7" t="s">
        <v>7148</v>
      </c>
      <c r="P517" s="7" t="s">
        <v>3493</v>
      </c>
      <c r="Q517" s="7">
        <v>1.0</v>
      </c>
    </row>
    <row r="518">
      <c r="A518" s="7" t="s">
        <v>7149</v>
      </c>
      <c r="B518" s="7">
        <v>13826.0</v>
      </c>
      <c r="C518" s="7" t="s">
        <v>7150</v>
      </c>
      <c r="D518" s="7" t="s">
        <v>7151</v>
      </c>
      <c r="E518" s="7" t="s">
        <v>7152</v>
      </c>
      <c r="F518" s="7" t="s">
        <v>6727</v>
      </c>
      <c r="G518" s="7" t="s">
        <v>7153</v>
      </c>
      <c r="H518" s="7" t="s">
        <v>7154</v>
      </c>
      <c r="I518" s="119">
        <v>45292.0</v>
      </c>
      <c r="K518" s="7" t="s">
        <v>419</v>
      </c>
      <c r="L518" s="7" t="s">
        <v>991</v>
      </c>
      <c r="M518" s="7" t="s">
        <v>3531</v>
      </c>
      <c r="N518" s="7" t="s">
        <v>3912</v>
      </c>
      <c r="O518" s="7" t="s">
        <v>3913</v>
      </c>
      <c r="P518" s="7" t="s">
        <v>3493</v>
      </c>
      <c r="Q518" s="7">
        <v>1.0</v>
      </c>
    </row>
    <row r="519">
      <c r="A519" s="7" t="s">
        <v>7155</v>
      </c>
      <c r="B519" s="7">
        <v>12533.0</v>
      </c>
      <c r="C519" s="7" t="s">
        <v>7150</v>
      </c>
      <c r="D519" s="7" t="s">
        <v>7156</v>
      </c>
      <c r="E519" s="7" t="s">
        <v>7152</v>
      </c>
      <c r="F519" s="7" t="s">
        <v>7157</v>
      </c>
      <c r="G519" s="7" t="s">
        <v>7158</v>
      </c>
      <c r="H519" s="7" t="s">
        <v>7159</v>
      </c>
      <c r="I519" s="119">
        <v>45292.0</v>
      </c>
      <c r="K519" s="7" t="s">
        <v>419</v>
      </c>
      <c r="L519" s="7" t="s">
        <v>991</v>
      </c>
      <c r="M519" s="7" t="s">
        <v>3501</v>
      </c>
      <c r="N519" s="7" t="s">
        <v>4310</v>
      </c>
      <c r="O519" s="7" t="s">
        <v>4311</v>
      </c>
      <c r="P519" s="7" t="s">
        <v>3493</v>
      </c>
      <c r="Q519" s="7">
        <v>1.0</v>
      </c>
    </row>
    <row r="520">
      <c r="A520" s="7" t="s">
        <v>1994</v>
      </c>
      <c r="B520" s="7">
        <v>13233.0</v>
      </c>
      <c r="C520" s="7" t="s">
        <v>7160</v>
      </c>
      <c r="D520" s="7" t="s">
        <v>7161</v>
      </c>
      <c r="E520" s="7" t="s">
        <v>7162</v>
      </c>
      <c r="F520" s="7" t="s">
        <v>5788</v>
      </c>
      <c r="G520" s="7" t="s">
        <v>7163</v>
      </c>
      <c r="H520" s="7" t="s">
        <v>7164</v>
      </c>
      <c r="I520" s="119">
        <v>45292.0</v>
      </c>
      <c r="K520" s="7" t="s">
        <v>6124</v>
      </c>
      <c r="L520" s="7" t="s">
        <v>3542</v>
      </c>
      <c r="M520" s="7" t="s">
        <v>4383</v>
      </c>
      <c r="N520" s="7" t="s">
        <v>6040</v>
      </c>
      <c r="O520" s="7" t="s">
        <v>7165</v>
      </c>
      <c r="P520" s="7" t="s">
        <v>7166</v>
      </c>
      <c r="Q520" s="7" t="s">
        <v>3566</v>
      </c>
    </row>
    <row r="521">
      <c r="A521" s="7" t="s">
        <v>7167</v>
      </c>
      <c r="B521" s="7">
        <v>11195.0</v>
      </c>
      <c r="C521" s="7" t="s">
        <v>7160</v>
      </c>
      <c r="D521" s="7" t="s">
        <v>7168</v>
      </c>
      <c r="E521" s="7" t="s">
        <v>7162</v>
      </c>
      <c r="F521" s="7" t="s">
        <v>7169</v>
      </c>
      <c r="G521" s="7" t="s">
        <v>7170</v>
      </c>
      <c r="H521" s="7" t="s">
        <v>7171</v>
      </c>
      <c r="I521" s="119">
        <v>45292.0</v>
      </c>
      <c r="K521" s="7" t="s">
        <v>419</v>
      </c>
      <c r="L521" s="7" t="s">
        <v>991</v>
      </c>
      <c r="M521" s="7" t="s">
        <v>3501</v>
      </c>
      <c r="N521" s="7" t="s">
        <v>7172</v>
      </c>
      <c r="O521" s="7" t="s">
        <v>7173</v>
      </c>
      <c r="P521" s="7" t="s">
        <v>7174</v>
      </c>
      <c r="Q521" s="7" t="s">
        <v>3555</v>
      </c>
    </row>
    <row r="522">
      <c r="A522" s="7" t="s">
        <v>7175</v>
      </c>
      <c r="B522" s="7">
        <v>11775.0</v>
      </c>
      <c r="C522" s="7" t="s">
        <v>7160</v>
      </c>
      <c r="D522" s="7" t="s">
        <v>6554</v>
      </c>
      <c r="E522" s="7" t="s">
        <v>7162</v>
      </c>
      <c r="F522" s="7" t="s">
        <v>4598</v>
      </c>
      <c r="G522" s="7" t="s">
        <v>7176</v>
      </c>
      <c r="H522" s="7" t="s">
        <v>7177</v>
      </c>
      <c r="I522" s="119">
        <v>45292.0</v>
      </c>
      <c r="K522" s="7" t="s">
        <v>419</v>
      </c>
      <c r="L522" s="7" t="s">
        <v>991</v>
      </c>
      <c r="M522" s="7" t="s">
        <v>3501</v>
      </c>
      <c r="N522" s="7" t="s">
        <v>7178</v>
      </c>
      <c r="O522" s="7" t="s">
        <v>7179</v>
      </c>
      <c r="P522" s="7" t="s">
        <v>3604</v>
      </c>
      <c r="Q522" s="7">
        <v>1.0</v>
      </c>
    </row>
    <row r="523">
      <c r="A523" s="7" t="s">
        <v>7180</v>
      </c>
      <c r="B523" s="7">
        <v>13172.0</v>
      </c>
      <c r="C523" s="7" t="s">
        <v>7181</v>
      </c>
      <c r="D523" s="7" t="s">
        <v>5096</v>
      </c>
      <c r="E523" s="7" t="s">
        <v>7182</v>
      </c>
      <c r="F523" s="7" t="s">
        <v>5098</v>
      </c>
      <c r="G523" s="7" t="s">
        <v>7183</v>
      </c>
      <c r="H523" s="7" t="s">
        <v>7184</v>
      </c>
      <c r="I523" s="119">
        <v>45292.0</v>
      </c>
      <c r="K523" s="7" t="s">
        <v>419</v>
      </c>
      <c r="L523" s="7" t="s">
        <v>991</v>
      </c>
      <c r="M523" s="7" t="s">
        <v>3501</v>
      </c>
      <c r="N523" s="7" t="s">
        <v>4134</v>
      </c>
      <c r="O523" s="7" t="s">
        <v>4135</v>
      </c>
      <c r="P523" s="7" t="s">
        <v>3493</v>
      </c>
      <c r="Q523" s="7">
        <v>1.0</v>
      </c>
    </row>
    <row r="524">
      <c r="A524" s="7" t="s">
        <v>7185</v>
      </c>
      <c r="B524" s="7">
        <v>11079.0</v>
      </c>
      <c r="C524" s="7" t="s">
        <v>7186</v>
      </c>
      <c r="D524" s="7" t="s">
        <v>7187</v>
      </c>
      <c r="E524" s="7" t="s">
        <v>7188</v>
      </c>
      <c r="F524" s="7" t="s">
        <v>5098</v>
      </c>
      <c r="G524" s="7" t="s">
        <v>7189</v>
      </c>
      <c r="H524" s="7" t="s">
        <v>7190</v>
      </c>
      <c r="I524" s="119">
        <v>45292.0</v>
      </c>
      <c r="K524" s="7" t="s">
        <v>419</v>
      </c>
      <c r="L524" s="7" t="s">
        <v>991</v>
      </c>
      <c r="M524" s="7" t="s">
        <v>3531</v>
      </c>
      <c r="N524" s="7" t="s">
        <v>4399</v>
      </c>
      <c r="O524" s="7" t="s">
        <v>4400</v>
      </c>
      <c r="P524" s="7" t="s">
        <v>3493</v>
      </c>
      <c r="Q524" s="7">
        <v>1.0</v>
      </c>
    </row>
    <row r="525">
      <c r="A525" s="7" t="s">
        <v>7191</v>
      </c>
      <c r="B525" s="7">
        <v>2200723.0</v>
      </c>
      <c r="C525" s="7" t="s">
        <v>7192</v>
      </c>
      <c r="D525" s="7" t="s">
        <v>4422</v>
      </c>
      <c r="E525" s="7" t="s">
        <v>7193</v>
      </c>
      <c r="F525" s="7" t="s">
        <v>4424</v>
      </c>
      <c r="G525" s="7" t="s">
        <v>7194</v>
      </c>
      <c r="H525" s="7" t="s">
        <v>7195</v>
      </c>
      <c r="I525" s="119">
        <v>45292.0</v>
      </c>
      <c r="K525" s="7" t="s">
        <v>4042</v>
      </c>
      <c r="L525" s="7" t="s">
        <v>991</v>
      </c>
      <c r="M525" s="7" t="s">
        <v>3866</v>
      </c>
      <c r="N525" s="7" t="s">
        <v>4043</v>
      </c>
      <c r="O525" s="7" t="s">
        <v>4044</v>
      </c>
      <c r="P525" s="7" t="s">
        <v>3493</v>
      </c>
      <c r="Q525" s="7">
        <v>1.0</v>
      </c>
    </row>
    <row r="526">
      <c r="A526" s="7" t="s">
        <v>7196</v>
      </c>
      <c r="B526" s="7">
        <v>13662.0</v>
      </c>
      <c r="C526" s="7" t="s">
        <v>7197</v>
      </c>
      <c r="D526" s="7" t="s">
        <v>7198</v>
      </c>
      <c r="E526" s="7" t="s">
        <v>7199</v>
      </c>
      <c r="F526" s="7" t="s">
        <v>4203</v>
      </c>
      <c r="G526" s="7" t="s">
        <v>7200</v>
      </c>
      <c r="H526" s="7" t="s">
        <v>7201</v>
      </c>
      <c r="I526" s="119">
        <v>45292.0</v>
      </c>
      <c r="K526" s="7" t="s">
        <v>3632</v>
      </c>
      <c r="L526" s="7" t="s">
        <v>991</v>
      </c>
      <c r="M526" s="7" t="s">
        <v>3501</v>
      </c>
      <c r="N526" s="7" t="s">
        <v>7202</v>
      </c>
      <c r="O526" s="7" t="s">
        <v>7203</v>
      </c>
      <c r="P526" s="7" t="s">
        <v>4154</v>
      </c>
      <c r="Q526" s="7" t="s">
        <v>3566</v>
      </c>
    </row>
    <row r="527">
      <c r="A527" s="7" t="s">
        <v>1399</v>
      </c>
      <c r="B527" s="7">
        <v>516.0</v>
      </c>
      <c r="C527" s="7" t="s">
        <v>7204</v>
      </c>
      <c r="D527" s="7" t="s">
        <v>7205</v>
      </c>
      <c r="E527" s="7" t="s">
        <v>7206</v>
      </c>
      <c r="F527" s="7" t="s">
        <v>7207</v>
      </c>
      <c r="G527" s="7" t="s">
        <v>7208</v>
      </c>
      <c r="H527" s="7" t="s">
        <v>7209</v>
      </c>
      <c r="I527" s="119">
        <v>45292.0</v>
      </c>
      <c r="K527" s="7" t="s">
        <v>419</v>
      </c>
      <c r="L527" s="7" t="s">
        <v>991</v>
      </c>
      <c r="M527" s="7" t="s">
        <v>3501</v>
      </c>
      <c r="N527" s="7" t="s">
        <v>5358</v>
      </c>
      <c r="O527" s="7" t="s">
        <v>7210</v>
      </c>
      <c r="P527" s="7" t="s">
        <v>3522</v>
      </c>
      <c r="Q527" s="7" t="s">
        <v>3514</v>
      </c>
    </row>
    <row r="528">
      <c r="A528" s="7" t="s">
        <v>7211</v>
      </c>
      <c r="B528" s="7">
        <v>12810.0</v>
      </c>
      <c r="C528" s="7" t="s">
        <v>7212</v>
      </c>
      <c r="D528" s="7" t="s">
        <v>7213</v>
      </c>
      <c r="E528" s="7" t="s">
        <v>7214</v>
      </c>
      <c r="F528" s="7" t="s">
        <v>7215</v>
      </c>
      <c r="G528" s="7" t="s">
        <v>7216</v>
      </c>
      <c r="H528" s="7" t="s">
        <v>7217</v>
      </c>
      <c r="I528" s="119">
        <v>45292.0</v>
      </c>
      <c r="K528" s="7" t="s">
        <v>419</v>
      </c>
      <c r="L528" s="7" t="s">
        <v>991</v>
      </c>
      <c r="M528" s="7" t="s">
        <v>3501</v>
      </c>
      <c r="N528" s="7" t="s">
        <v>7218</v>
      </c>
      <c r="O528" s="7" t="s">
        <v>7219</v>
      </c>
      <c r="P528" s="7" t="s">
        <v>3843</v>
      </c>
      <c r="Q528" s="7">
        <v>1.0</v>
      </c>
    </row>
    <row r="529">
      <c r="A529" s="7" t="s">
        <v>7220</v>
      </c>
      <c r="B529" s="7">
        <v>2100357.0</v>
      </c>
      <c r="C529" s="7" t="s">
        <v>7221</v>
      </c>
      <c r="D529" s="7" t="s">
        <v>4699</v>
      </c>
      <c r="E529" s="7" t="s">
        <v>7222</v>
      </c>
      <c r="F529" s="7" t="s">
        <v>4700</v>
      </c>
      <c r="G529" s="7" t="s">
        <v>7223</v>
      </c>
      <c r="H529" s="7" t="s">
        <v>7224</v>
      </c>
      <c r="I529" s="119">
        <v>45292.0</v>
      </c>
      <c r="K529" s="7" t="s">
        <v>419</v>
      </c>
      <c r="L529" s="7" t="s">
        <v>991</v>
      </c>
      <c r="M529" s="7" t="s">
        <v>3501</v>
      </c>
      <c r="N529" s="7" t="s">
        <v>3574</v>
      </c>
      <c r="O529" s="7" t="s">
        <v>7225</v>
      </c>
      <c r="P529" s="7" t="s">
        <v>3493</v>
      </c>
      <c r="Q529" s="7">
        <v>1.0</v>
      </c>
    </row>
    <row r="530">
      <c r="A530" s="7" t="s">
        <v>7226</v>
      </c>
      <c r="B530" s="7">
        <v>2100535.0</v>
      </c>
      <c r="C530" s="7" t="s">
        <v>7227</v>
      </c>
      <c r="D530" s="7" t="s">
        <v>7228</v>
      </c>
      <c r="E530" s="7" t="s">
        <v>7229</v>
      </c>
      <c r="F530" s="7" t="s">
        <v>7230</v>
      </c>
      <c r="G530" s="7" t="s">
        <v>7231</v>
      </c>
      <c r="H530" s="7" t="s">
        <v>7232</v>
      </c>
      <c r="I530" s="119">
        <v>45292.0</v>
      </c>
      <c r="K530" s="7" t="s">
        <v>419</v>
      </c>
      <c r="L530" s="7" t="s">
        <v>991</v>
      </c>
      <c r="M530" s="7" t="s">
        <v>3501</v>
      </c>
      <c r="N530" s="7" t="s">
        <v>4437</v>
      </c>
      <c r="O530" s="7" t="s">
        <v>4438</v>
      </c>
      <c r="P530" s="7" t="s">
        <v>3604</v>
      </c>
      <c r="Q530" s="7">
        <v>1.0</v>
      </c>
    </row>
    <row r="531">
      <c r="A531" s="7" t="s">
        <v>7233</v>
      </c>
      <c r="B531" s="7">
        <v>2300579.0</v>
      </c>
      <c r="C531" s="7" t="s">
        <v>7234</v>
      </c>
      <c r="D531" s="7" t="s">
        <v>7235</v>
      </c>
      <c r="E531" s="7" t="s">
        <v>7236</v>
      </c>
      <c r="F531" s="7" t="s">
        <v>7237</v>
      </c>
      <c r="G531" s="7" t="s">
        <v>7238</v>
      </c>
      <c r="I531" s="119">
        <v>45292.0</v>
      </c>
      <c r="K531" s="7" t="s">
        <v>419</v>
      </c>
      <c r="L531" s="7" t="s">
        <v>991</v>
      </c>
      <c r="M531" s="7" t="s">
        <v>3531</v>
      </c>
      <c r="N531" s="7" t="s">
        <v>3820</v>
      </c>
      <c r="O531" s="7" t="s">
        <v>3821</v>
      </c>
      <c r="P531" s="7" t="s">
        <v>3493</v>
      </c>
      <c r="Q531" s="7">
        <v>1.0</v>
      </c>
    </row>
    <row r="532">
      <c r="A532" s="7" t="s">
        <v>1628</v>
      </c>
      <c r="B532" s="7">
        <v>334.0</v>
      </c>
      <c r="C532" s="7" t="s">
        <v>7234</v>
      </c>
      <c r="D532" s="7" t="s">
        <v>7239</v>
      </c>
      <c r="E532" s="7" t="s">
        <v>7236</v>
      </c>
      <c r="F532" s="7" t="s">
        <v>3571</v>
      </c>
      <c r="G532" s="7" t="s">
        <v>7240</v>
      </c>
      <c r="H532" s="7" t="s">
        <v>7241</v>
      </c>
      <c r="I532" s="119">
        <v>45292.0</v>
      </c>
      <c r="K532" s="7" t="s">
        <v>419</v>
      </c>
      <c r="L532" s="7" t="s">
        <v>991</v>
      </c>
      <c r="M532" s="7" t="s">
        <v>4644</v>
      </c>
      <c r="N532" s="7" t="s">
        <v>6293</v>
      </c>
      <c r="O532" s="7" t="s">
        <v>7242</v>
      </c>
      <c r="P532" s="7" t="s">
        <v>7243</v>
      </c>
      <c r="Q532" s="7" t="s">
        <v>3523</v>
      </c>
    </row>
    <row r="533">
      <c r="A533" s="7" t="s">
        <v>7244</v>
      </c>
      <c r="B533" s="7">
        <v>13897.0</v>
      </c>
      <c r="C533" s="7" t="s">
        <v>7234</v>
      </c>
      <c r="D533" s="7" t="s">
        <v>7245</v>
      </c>
      <c r="E533" s="7" t="s">
        <v>7236</v>
      </c>
      <c r="F533" s="7" t="s">
        <v>4525</v>
      </c>
      <c r="G533" s="7" t="s">
        <v>7246</v>
      </c>
      <c r="H533" s="7" t="s">
        <v>7247</v>
      </c>
      <c r="I533" s="119">
        <v>45292.0</v>
      </c>
      <c r="K533" s="7" t="s">
        <v>419</v>
      </c>
      <c r="L533" s="7" t="s">
        <v>991</v>
      </c>
      <c r="M533" s="7" t="s">
        <v>3531</v>
      </c>
      <c r="N533" s="7" t="s">
        <v>5013</v>
      </c>
      <c r="O533" s="7" t="s">
        <v>5706</v>
      </c>
      <c r="P533" s="7" t="s">
        <v>3493</v>
      </c>
      <c r="Q533" s="7">
        <v>1.0</v>
      </c>
    </row>
    <row r="534">
      <c r="A534" s="7" t="s">
        <v>7248</v>
      </c>
      <c r="B534" s="7">
        <v>12325.0</v>
      </c>
      <c r="C534" s="7" t="s">
        <v>7234</v>
      </c>
      <c r="D534" s="7" t="s">
        <v>7249</v>
      </c>
      <c r="E534" s="7" t="s">
        <v>7236</v>
      </c>
      <c r="F534" s="7" t="s">
        <v>5312</v>
      </c>
      <c r="G534" s="7" t="s">
        <v>7250</v>
      </c>
      <c r="H534" s="7" t="s">
        <v>7251</v>
      </c>
      <c r="I534" s="119">
        <v>45292.0</v>
      </c>
      <c r="K534" s="7" t="s">
        <v>419</v>
      </c>
      <c r="L534" s="7" t="s">
        <v>991</v>
      </c>
      <c r="M534" s="7" t="s">
        <v>3501</v>
      </c>
      <c r="N534" s="7" t="s">
        <v>7252</v>
      </c>
      <c r="O534" s="7" t="s">
        <v>7253</v>
      </c>
      <c r="P534" s="7" t="s">
        <v>3843</v>
      </c>
      <c r="Q534" s="7">
        <v>1.0</v>
      </c>
    </row>
    <row r="535">
      <c r="A535" s="7" t="s">
        <v>7254</v>
      </c>
      <c r="B535" s="7">
        <v>2300344.0</v>
      </c>
      <c r="C535" s="7" t="s">
        <v>7234</v>
      </c>
      <c r="D535" s="7" t="s">
        <v>7255</v>
      </c>
      <c r="E535" s="7" t="s">
        <v>7236</v>
      </c>
      <c r="F535" s="7" t="s">
        <v>3714</v>
      </c>
      <c r="G535" s="7" t="s">
        <v>7256</v>
      </c>
      <c r="H535" s="7" t="s">
        <v>7257</v>
      </c>
      <c r="I535" s="119">
        <v>45292.0</v>
      </c>
      <c r="K535" s="7" t="s">
        <v>419</v>
      </c>
      <c r="L535" s="7" t="s">
        <v>991</v>
      </c>
      <c r="M535" s="7" t="s">
        <v>3531</v>
      </c>
      <c r="N535" s="7" t="s">
        <v>5605</v>
      </c>
      <c r="O535" s="7" t="s">
        <v>5606</v>
      </c>
      <c r="P535" s="7" t="s">
        <v>3493</v>
      </c>
      <c r="Q535" s="7">
        <v>1.0</v>
      </c>
    </row>
    <row r="536">
      <c r="A536" s="7" t="s">
        <v>7258</v>
      </c>
      <c r="B536" s="7">
        <v>12653.0</v>
      </c>
      <c r="C536" s="7" t="s">
        <v>7234</v>
      </c>
      <c r="D536" s="7" t="s">
        <v>7259</v>
      </c>
      <c r="E536" s="7" t="s">
        <v>7236</v>
      </c>
      <c r="F536" s="7" t="s">
        <v>4460</v>
      </c>
      <c r="G536" s="7" t="s">
        <v>7260</v>
      </c>
      <c r="H536" s="7" t="s">
        <v>7261</v>
      </c>
      <c r="I536" s="119">
        <v>45292.0</v>
      </c>
      <c r="K536" s="7" t="s">
        <v>419</v>
      </c>
      <c r="L536" s="7" t="s">
        <v>991</v>
      </c>
      <c r="M536" s="7" t="s">
        <v>3501</v>
      </c>
      <c r="N536" s="7" t="s">
        <v>7262</v>
      </c>
      <c r="O536" s="7" t="s">
        <v>7263</v>
      </c>
      <c r="P536" s="7" t="s">
        <v>3843</v>
      </c>
      <c r="Q536" s="7">
        <v>1.0</v>
      </c>
    </row>
    <row r="537">
      <c r="A537" s="7" t="s">
        <v>7264</v>
      </c>
      <c r="B537" s="7">
        <v>13355.0</v>
      </c>
      <c r="C537" s="7" t="s">
        <v>7234</v>
      </c>
      <c r="D537" s="7" t="s">
        <v>7265</v>
      </c>
      <c r="E537" s="7" t="s">
        <v>7236</v>
      </c>
      <c r="F537" s="7" t="s">
        <v>7266</v>
      </c>
      <c r="G537" s="7" t="s">
        <v>7267</v>
      </c>
      <c r="H537" s="7" t="s">
        <v>7268</v>
      </c>
      <c r="I537" s="119">
        <v>45292.0</v>
      </c>
      <c r="K537" s="7" t="s">
        <v>419</v>
      </c>
      <c r="L537" s="7" t="s">
        <v>991</v>
      </c>
      <c r="M537" s="7" t="s">
        <v>3531</v>
      </c>
      <c r="N537" s="7" t="s">
        <v>4256</v>
      </c>
      <c r="O537" s="7" t="s">
        <v>4257</v>
      </c>
      <c r="P537" s="7" t="s">
        <v>3493</v>
      </c>
      <c r="Q537" s="7">
        <v>1.0</v>
      </c>
    </row>
    <row r="538">
      <c r="A538" s="7" t="s">
        <v>7269</v>
      </c>
      <c r="B538" s="7">
        <v>13609.0</v>
      </c>
      <c r="C538" s="7" t="s">
        <v>7270</v>
      </c>
      <c r="D538" s="7" t="s">
        <v>7271</v>
      </c>
      <c r="E538" s="7" t="s">
        <v>7272</v>
      </c>
      <c r="F538" s="7" t="s">
        <v>3909</v>
      </c>
      <c r="G538" s="7" t="s">
        <v>7273</v>
      </c>
      <c r="H538" s="7" t="s">
        <v>7274</v>
      </c>
      <c r="I538" s="119">
        <v>45292.0</v>
      </c>
      <c r="J538" s="7" t="s">
        <v>3929</v>
      </c>
      <c r="K538" s="7" t="s">
        <v>419</v>
      </c>
      <c r="L538" s="7" t="s">
        <v>991</v>
      </c>
      <c r="M538" s="7" t="s">
        <v>3501</v>
      </c>
      <c r="N538" s="7" t="s">
        <v>5888</v>
      </c>
      <c r="O538" s="7" t="s">
        <v>5889</v>
      </c>
      <c r="P538" s="7" t="s">
        <v>3493</v>
      </c>
      <c r="Q538" s="7">
        <v>1.0</v>
      </c>
    </row>
    <row r="539">
      <c r="A539" s="7" t="s">
        <v>7275</v>
      </c>
      <c r="B539" s="7">
        <v>4029.0</v>
      </c>
      <c r="C539" s="7" t="s">
        <v>7276</v>
      </c>
      <c r="D539" s="7" t="s">
        <v>3578</v>
      </c>
      <c r="E539" s="7" t="s">
        <v>7277</v>
      </c>
      <c r="F539" s="7" t="s">
        <v>3580</v>
      </c>
      <c r="G539" s="7" t="s">
        <v>7278</v>
      </c>
      <c r="H539" s="7" t="s">
        <v>7279</v>
      </c>
      <c r="I539" s="119">
        <v>45292.0</v>
      </c>
      <c r="K539" s="7" t="s">
        <v>3885</v>
      </c>
      <c r="L539" s="7" t="s">
        <v>3542</v>
      </c>
      <c r="M539" s="7" t="s">
        <v>3543</v>
      </c>
      <c r="N539" s="7" t="s">
        <v>7280</v>
      </c>
      <c r="O539" s="7" t="s">
        <v>7281</v>
      </c>
      <c r="P539" s="7" t="s">
        <v>4154</v>
      </c>
      <c r="Q539" s="7" t="s">
        <v>4155</v>
      </c>
    </row>
    <row r="540">
      <c r="A540" s="7" t="s">
        <v>7282</v>
      </c>
      <c r="B540" s="7">
        <v>2300590.0</v>
      </c>
      <c r="C540" s="7" t="s">
        <v>7283</v>
      </c>
      <c r="D540" s="7" t="s">
        <v>7284</v>
      </c>
      <c r="E540" s="7" t="s">
        <v>7285</v>
      </c>
      <c r="F540" s="7" t="s">
        <v>4032</v>
      </c>
      <c r="G540" s="7" t="s">
        <v>7286</v>
      </c>
      <c r="H540" s="7" t="s">
        <v>7287</v>
      </c>
      <c r="I540" s="119">
        <v>45292.0</v>
      </c>
      <c r="K540" s="7" t="s">
        <v>419</v>
      </c>
      <c r="L540" s="7" t="s">
        <v>991</v>
      </c>
      <c r="M540" s="7" t="s">
        <v>3501</v>
      </c>
      <c r="N540" s="7" t="s">
        <v>7288</v>
      </c>
      <c r="O540" s="7" t="s">
        <v>7289</v>
      </c>
      <c r="P540" s="7" t="s">
        <v>7290</v>
      </c>
      <c r="Q540" s="7" t="s">
        <v>3698</v>
      </c>
    </row>
    <row r="541">
      <c r="A541" s="7" t="s">
        <v>7291</v>
      </c>
      <c r="B541" s="7">
        <v>2300357.0</v>
      </c>
      <c r="C541" s="7" t="s">
        <v>7292</v>
      </c>
      <c r="D541" s="7" t="s">
        <v>7293</v>
      </c>
      <c r="E541" s="7" t="s">
        <v>7294</v>
      </c>
      <c r="F541" s="7" t="s">
        <v>7295</v>
      </c>
      <c r="G541" s="7" t="s">
        <v>7296</v>
      </c>
      <c r="H541" s="7" t="s">
        <v>7297</v>
      </c>
      <c r="I541" s="119">
        <v>45292.0</v>
      </c>
      <c r="K541" s="7" t="s">
        <v>419</v>
      </c>
      <c r="L541" s="7" t="s">
        <v>991</v>
      </c>
      <c r="M541" s="7" t="s">
        <v>3501</v>
      </c>
      <c r="N541" s="7" t="s">
        <v>7298</v>
      </c>
      <c r="O541" s="7" t="s">
        <v>7299</v>
      </c>
      <c r="P541" s="7" t="s">
        <v>3522</v>
      </c>
      <c r="Q541" s="7" t="s">
        <v>3523</v>
      </c>
    </row>
    <row r="542">
      <c r="A542" s="7" t="s">
        <v>7300</v>
      </c>
      <c r="B542" s="7">
        <v>2400217.0</v>
      </c>
      <c r="C542" s="7" t="s">
        <v>7301</v>
      </c>
      <c r="D542" s="7" t="s">
        <v>7302</v>
      </c>
      <c r="E542" s="7" t="s">
        <v>7303</v>
      </c>
      <c r="F542" s="7" t="s">
        <v>7304</v>
      </c>
      <c r="G542" s="7" t="s">
        <v>7305</v>
      </c>
      <c r="H542" s="7" t="s">
        <v>7306</v>
      </c>
      <c r="I542" s="119">
        <v>45383.0</v>
      </c>
      <c r="K542" s="7" t="s">
        <v>3622</v>
      </c>
      <c r="L542" s="7" t="s">
        <v>991</v>
      </c>
      <c r="M542" s="7" t="s">
        <v>3501</v>
      </c>
      <c r="N542" s="7" t="s">
        <v>3623</v>
      </c>
      <c r="O542" s="7" t="s">
        <v>3624</v>
      </c>
      <c r="P542" s="7" t="s">
        <v>3493</v>
      </c>
      <c r="Q542" s="7">
        <v>1.0</v>
      </c>
    </row>
    <row r="543">
      <c r="A543" s="7" t="s">
        <v>7307</v>
      </c>
      <c r="B543" s="7">
        <v>2300126.0</v>
      </c>
      <c r="C543" s="7" t="s">
        <v>7308</v>
      </c>
      <c r="D543" s="7" t="s">
        <v>7309</v>
      </c>
      <c r="E543" s="7" t="s">
        <v>7310</v>
      </c>
      <c r="F543" s="7" t="s">
        <v>5509</v>
      </c>
      <c r="G543" s="7" t="s">
        <v>7311</v>
      </c>
      <c r="H543" s="7" t="s">
        <v>7312</v>
      </c>
      <c r="I543" s="119">
        <v>45292.0</v>
      </c>
      <c r="J543" s="7" t="s">
        <v>3929</v>
      </c>
      <c r="K543" s="7" t="s">
        <v>419</v>
      </c>
      <c r="L543" s="7" t="s">
        <v>991</v>
      </c>
      <c r="M543" s="7" t="s">
        <v>3501</v>
      </c>
      <c r="N543" s="7" t="s">
        <v>7313</v>
      </c>
      <c r="O543" s="7" t="s">
        <v>7314</v>
      </c>
      <c r="P543" s="7" t="s">
        <v>3493</v>
      </c>
      <c r="Q543" s="7">
        <v>1.0</v>
      </c>
    </row>
    <row r="544">
      <c r="A544" s="7" t="s">
        <v>7315</v>
      </c>
      <c r="B544" s="7">
        <v>2200751.0</v>
      </c>
      <c r="C544" s="7" t="s">
        <v>7316</v>
      </c>
      <c r="D544" s="7" t="s">
        <v>4260</v>
      </c>
      <c r="E544" s="7" t="s">
        <v>7317</v>
      </c>
      <c r="F544" s="7" t="s">
        <v>4262</v>
      </c>
      <c r="G544" s="7" t="s">
        <v>7318</v>
      </c>
      <c r="H544" s="7" t="s">
        <v>7319</v>
      </c>
      <c r="I544" s="119">
        <v>45292.0</v>
      </c>
      <c r="K544" s="7" t="s">
        <v>3632</v>
      </c>
      <c r="L544" s="7" t="s">
        <v>991</v>
      </c>
      <c r="M544" s="7" t="s">
        <v>3501</v>
      </c>
      <c r="N544" s="7" t="s">
        <v>5052</v>
      </c>
      <c r="O544" s="7" t="s">
        <v>5053</v>
      </c>
      <c r="P544" s="7" t="s">
        <v>3522</v>
      </c>
      <c r="Q544" s="7" t="s">
        <v>3523</v>
      </c>
    </row>
    <row r="545">
      <c r="A545" s="7" t="s">
        <v>7320</v>
      </c>
      <c r="B545" s="7">
        <v>11539.0</v>
      </c>
      <c r="C545" s="7" t="s">
        <v>7321</v>
      </c>
      <c r="D545" s="7" t="s">
        <v>7322</v>
      </c>
      <c r="E545" s="7" t="s">
        <v>7323</v>
      </c>
      <c r="F545" s="7" t="s">
        <v>4525</v>
      </c>
      <c r="G545" s="7" t="s">
        <v>7324</v>
      </c>
      <c r="H545" s="7" t="s">
        <v>7325</v>
      </c>
      <c r="I545" s="119">
        <v>45292.0</v>
      </c>
      <c r="K545" s="7" t="s">
        <v>419</v>
      </c>
      <c r="L545" s="7" t="s">
        <v>991</v>
      </c>
      <c r="M545" s="7" t="s">
        <v>3501</v>
      </c>
      <c r="N545" s="7" t="s">
        <v>3532</v>
      </c>
      <c r="O545" s="7" t="s">
        <v>3533</v>
      </c>
      <c r="P545" s="7" t="s">
        <v>3843</v>
      </c>
      <c r="Q545" s="7">
        <v>1.0</v>
      </c>
    </row>
    <row r="546">
      <c r="A546" s="7" t="s">
        <v>7326</v>
      </c>
      <c r="B546" s="7">
        <v>11704.0</v>
      </c>
      <c r="C546" s="7" t="s">
        <v>7327</v>
      </c>
      <c r="D546" s="7" t="s">
        <v>7328</v>
      </c>
      <c r="E546" s="7" t="s">
        <v>7327</v>
      </c>
      <c r="F546" s="7" t="s">
        <v>7328</v>
      </c>
      <c r="G546" s="7" t="s">
        <v>7329</v>
      </c>
      <c r="H546" s="7" t="s">
        <v>7330</v>
      </c>
      <c r="I546" s="119">
        <v>45292.0</v>
      </c>
      <c r="K546" s="7" t="s">
        <v>419</v>
      </c>
      <c r="L546" s="7" t="s">
        <v>991</v>
      </c>
      <c r="M546" s="7" t="s">
        <v>3501</v>
      </c>
      <c r="N546" s="7" t="s">
        <v>7331</v>
      </c>
      <c r="O546" s="7" t="s">
        <v>7332</v>
      </c>
      <c r="P546" s="7" t="s">
        <v>7333</v>
      </c>
      <c r="Q546" s="7" t="s">
        <v>6296</v>
      </c>
    </row>
    <row r="547">
      <c r="A547" s="7" t="s">
        <v>7334</v>
      </c>
      <c r="B547" s="7">
        <v>2100311.0</v>
      </c>
      <c r="C547" s="7" t="s">
        <v>7335</v>
      </c>
      <c r="D547" s="7" t="s">
        <v>7336</v>
      </c>
      <c r="E547" s="7" t="s">
        <v>7337</v>
      </c>
      <c r="F547" s="7" t="s">
        <v>3926</v>
      </c>
      <c r="G547" s="7" t="s">
        <v>7338</v>
      </c>
      <c r="H547" s="7" t="s">
        <v>7339</v>
      </c>
      <c r="I547" s="119">
        <v>45292.0</v>
      </c>
      <c r="K547" s="7" t="s">
        <v>419</v>
      </c>
      <c r="L547" s="7" t="s">
        <v>991</v>
      </c>
      <c r="M547" s="7" t="s">
        <v>3501</v>
      </c>
      <c r="N547" s="7" t="s">
        <v>3760</v>
      </c>
      <c r="O547" s="7" t="s">
        <v>6965</v>
      </c>
      <c r="P547" s="7" t="s">
        <v>3493</v>
      </c>
      <c r="Q547" s="7">
        <v>1.0</v>
      </c>
    </row>
    <row r="548">
      <c r="A548" s="7" t="s">
        <v>7340</v>
      </c>
      <c r="B548" s="7">
        <v>12768.0</v>
      </c>
      <c r="C548" s="7" t="s">
        <v>7335</v>
      </c>
      <c r="D548" s="7" t="s">
        <v>4672</v>
      </c>
      <c r="E548" s="7" t="s">
        <v>7337</v>
      </c>
      <c r="F548" s="7" t="s">
        <v>4673</v>
      </c>
      <c r="G548" s="7" t="s">
        <v>7341</v>
      </c>
      <c r="H548" s="7" t="s">
        <v>7342</v>
      </c>
      <c r="I548" s="119">
        <v>45292.0</v>
      </c>
      <c r="K548" s="7" t="s">
        <v>419</v>
      </c>
      <c r="L548" s="7" t="s">
        <v>991</v>
      </c>
      <c r="M548" s="7" t="s">
        <v>3501</v>
      </c>
      <c r="N548" s="7" t="s">
        <v>7343</v>
      </c>
      <c r="O548" s="7" t="s">
        <v>7344</v>
      </c>
      <c r="P548" s="7" t="s">
        <v>3493</v>
      </c>
      <c r="Q548" s="7">
        <v>1.0</v>
      </c>
    </row>
    <row r="549">
      <c r="A549" s="7" t="s">
        <v>1951</v>
      </c>
      <c r="B549" s="7">
        <v>13828.0</v>
      </c>
      <c r="C549" s="7" t="s">
        <v>7335</v>
      </c>
      <c r="D549" s="7" t="s">
        <v>7345</v>
      </c>
      <c r="E549" s="7" t="s">
        <v>7337</v>
      </c>
      <c r="F549" s="7" t="s">
        <v>7345</v>
      </c>
      <c r="G549" s="7" t="s">
        <v>7346</v>
      </c>
      <c r="H549" s="7" t="s">
        <v>7347</v>
      </c>
      <c r="I549" s="119">
        <v>45292.0</v>
      </c>
      <c r="K549" s="7" t="s">
        <v>419</v>
      </c>
      <c r="L549" s="7" t="s">
        <v>991</v>
      </c>
      <c r="M549" s="7" t="s">
        <v>3501</v>
      </c>
      <c r="N549" s="7" t="s">
        <v>7348</v>
      </c>
      <c r="O549" s="7" t="s">
        <v>7349</v>
      </c>
      <c r="P549" s="7" t="s">
        <v>3843</v>
      </c>
      <c r="Q549" s="7">
        <v>1.0</v>
      </c>
    </row>
    <row r="550">
      <c r="A550" s="7" t="s">
        <v>2415</v>
      </c>
      <c r="B550" s="7">
        <v>1198.0</v>
      </c>
      <c r="C550" s="7" t="s">
        <v>7350</v>
      </c>
      <c r="D550" s="7" t="s">
        <v>7351</v>
      </c>
      <c r="E550" s="7" t="s">
        <v>7352</v>
      </c>
      <c r="F550" s="7" t="s">
        <v>6166</v>
      </c>
      <c r="G550" s="7" t="s">
        <v>7353</v>
      </c>
      <c r="H550" s="7" t="s">
        <v>7354</v>
      </c>
      <c r="I550" s="119">
        <v>45292.0</v>
      </c>
      <c r="K550" s="7" t="s">
        <v>419</v>
      </c>
      <c r="L550" s="7" t="s">
        <v>991</v>
      </c>
      <c r="M550" s="7" t="s">
        <v>3501</v>
      </c>
      <c r="N550" s="7" t="s">
        <v>7355</v>
      </c>
      <c r="O550" s="7" t="s">
        <v>7356</v>
      </c>
      <c r="P550" s="7" t="s">
        <v>3697</v>
      </c>
      <c r="Q550" s="7" t="s">
        <v>3698</v>
      </c>
    </row>
    <row r="551">
      <c r="A551" s="7" t="s">
        <v>7357</v>
      </c>
      <c r="B551" s="7">
        <v>13305.0</v>
      </c>
      <c r="C551" s="7" t="s">
        <v>7358</v>
      </c>
      <c r="D551" s="7" t="s">
        <v>7359</v>
      </c>
      <c r="E551" s="7" t="s">
        <v>7360</v>
      </c>
      <c r="F551" s="7" t="s">
        <v>7361</v>
      </c>
      <c r="G551" s="7" t="s">
        <v>7362</v>
      </c>
      <c r="H551" s="7" t="s">
        <v>7363</v>
      </c>
      <c r="I551" s="119">
        <v>45292.0</v>
      </c>
      <c r="K551" s="7" t="s">
        <v>419</v>
      </c>
      <c r="L551" s="7" t="s">
        <v>991</v>
      </c>
      <c r="M551" s="7" t="s">
        <v>3501</v>
      </c>
      <c r="N551" s="7" t="s">
        <v>3552</v>
      </c>
      <c r="O551" s="7" t="s">
        <v>7364</v>
      </c>
      <c r="P551" s="7" t="s">
        <v>7365</v>
      </c>
      <c r="Q551" s="7" t="s">
        <v>7366</v>
      </c>
    </row>
    <row r="552">
      <c r="A552" s="7" t="s">
        <v>7367</v>
      </c>
      <c r="B552" s="7">
        <v>2200685.0</v>
      </c>
      <c r="C552" s="7" t="s">
        <v>7368</v>
      </c>
      <c r="D552" s="7" t="s">
        <v>7369</v>
      </c>
      <c r="E552" s="7" t="s">
        <v>7370</v>
      </c>
      <c r="F552" s="7" t="s">
        <v>3498</v>
      </c>
      <c r="G552" s="7" t="s">
        <v>7371</v>
      </c>
      <c r="H552" s="7" t="s">
        <v>7372</v>
      </c>
      <c r="I552" s="119">
        <v>45292.0</v>
      </c>
      <c r="K552" s="7" t="s">
        <v>419</v>
      </c>
      <c r="L552" s="7" t="s">
        <v>991</v>
      </c>
      <c r="M552" s="7" t="s">
        <v>3531</v>
      </c>
      <c r="N552" s="7" t="s">
        <v>7373</v>
      </c>
      <c r="O552" s="7" t="s">
        <v>7374</v>
      </c>
      <c r="P552" s="7" t="s">
        <v>3493</v>
      </c>
      <c r="Q552" s="7">
        <v>1.0</v>
      </c>
    </row>
    <row r="553">
      <c r="A553" s="7" t="s">
        <v>7375</v>
      </c>
      <c r="B553" s="7">
        <v>13444.0</v>
      </c>
      <c r="C553" s="7" t="s">
        <v>7368</v>
      </c>
      <c r="D553" s="7" t="s">
        <v>7376</v>
      </c>
      <c r="E553" s="7" t="s">
        <v>7370</v>
      </c>
      <c r="F553" s="7" t="s">
        <v>7295</v>
      </c>
      <c r="G553" s="7" t="s">
        <v>7377</v>
      </c>
      <c r="H553" s="7" t="s">
        <v>7378</v>
      </c>
      <c r="I553" s="119">
        <v>45292.0</v>
      </c>
      <c r="K553" s="7" t="s">
        <v>419</v>
      </c>
      <c r="L553" s="7" t="s">
        <v>991</v>
      </c>
      <c r="M553" s="7" t="s">
        <v>3501</v>
      </c>
      <c r="N553" s="7" t="s">
        <v>7298</v>
      </c>
      <c r="O553" s="7" t="s">
        <v>7379</v>
      </c>
      <c r="P553" s="7" t="s">
        <v>3493</v>
      </c>
      <c r="Q553" s="7">
        <v>1.0</v>
      </c>
    </row>
    <row r="554">
      <c r="A554" s="7" t="s">
        <v>7380</v>
      </c>
      <c r="B554" s="7">
        <v>2300237.0</v>
      </c>
      <c r="C554" s="7" t="s">
        <v>7368</v>
      </c>
      <c r="D554" s="7" t="s">
        <v>7381</v>
      </c>
      <c r="E554" s="7" t="s">
        <v>7370</v>
      </c>
      <c r="F554" s="7" t="s">
        <v>7382</v>
      </c>
      <c r="G554" s="7" t="s">
        <v>7383</v>
      </c>
      <c r="H554" s="7" t="s">
        <v>7384</v>
      </c>
      <c r="I554" s="119">
        <v>45292.0</v>
      </c>
      <c r="K554" s="7" t="s">
        <v>3489</v>
      </c>
      <c r="L554" s="7" t="s">
        <v>991</v>
      </c>
      <c r="M554" s="7" t="s">
        <v>3490</v>
      </c>
      <c r="N554" s="7" t="s">
        <v>3491</v>
      </c>
      <c r="O554" s="7" t="s">
        <v>3492</v>
      </c>
      <c r="P554" s="7" t="s">
        <v>3493</v>
      </c>
      <c r="Q554" s="7">
        <v>1.0</v>
      </c>
    </row>
    <row r="555">
      <c r="A555" s="7" t="s">
        <v>7385</v>
      </c>
      <c r="B555" s="7">
        <v>12179.0</v>
      </c>
      <c r="C555" s="7" t="s">
        <v>7368</v>
      </c>
      <c r="D555" s="7" t="s">
        <v>7386</v>
      </c>
      <c r="E555" s="7" t="s">
        <v>7370</v>
      </c>
      <c r="F555" s="7" t="s">
        <v>4172</v>
      </c>
      <c r="G555" s="7" t="s">
        <v>7387</v>
      </c>
      <c r="H555" s="7" t="s">
        <v>7388</v>
      </c>
      <c r="I555" s="119">
        <v>45292.0</v>
      </c>
      <c r="K555" s="7" t="s">
        <v>419</v>
      </c>
      <c r="L555" s="7" t="s">
        <v>991</v>
      </c>
      <c r="M555" s="7" t="s">
        <v>3501</v>
      </c>
      <c r="N555" s="7" t="s">
        <v>5755</v>
      </c>
      <c r="O555" s="7" t="s">
        <v>5756</v>
      </c>
      <c r="P555" s="7" t="s">
        <v>3493</v>
      </c>
      <c r="Q555" s="7">
        <v>1.0</v>
      </c>
    </row>
    <row r="556">
      <c r="A556" s="7" t="s">
        <v>7389</v>
      </c>
      <c r="B556" s="7">
        <v>2200392.0</v>
      </c>
      <c r="C556" s="7" t="s">
        <v>7390</v>
      </c>
      <c r="D556" s="7" t="s">
        <v>7391</v>
      </c>
      <c r="E556" s="7" t="s">
        <v>7392</v>
      </c>
      <c r="F556" s="7" t="s">
        <v>7393</v>
      </c>
      <c r="G556" s="7" t="s">
        <v>7394</v>
      </c>
      <c r="H556" s="7" t="s">
        <v>7395</v>
      </c>
      <c r="I556" s="119">
        <v>45292.0</v>
      </c>
      <c r="K556" s="7" t="s">
        <v>419</v>
      </c>
      <c r="L556" s="7" t="s">
        <v>991</v>
      </c>
      <c r="M556" s="7" t="s">
        <v>3501</v>
      </c>
      <c r="N556" s="7" t="s">
        <v>4507</v>
      </c>
      <c r="O556" s="7" t="s">
        <v>7396</v>
      </c>
      <c r="P556" s="7" t="s">
        <v>3493</v>
      </c>
      <c r="Q556" s="7">
        <v>1.0</v>
      </c>
    </row>
    <row r="557">
      <c r="A557" s="7" t="s">
        <v>7397</v>
      </c>
      <c r="B557" s="7">
        <v>2100052.0</v>
      </c>
      <c r="C557" s="7" t="s">
        <v>7398</v>
      </c>
      <c r="D557" s="7" t="s">
        <v>7399</v>
      </c>
      <c r="E557" s="7" t="s">
        <v>7400</v>
      </c>
      <c r="F557" s="7" t="s">
        <v>7401</v>
      </c>
      <c r="G557" s="7" t="s">
        <v>7402</v>
      </c>
      <c r="H557" s="7" t="s">
        <v>7403</v>
      </c>
      <c r="I557" s="119">
        <v>45292.0</v>
      </c>
      <c r="K557" s="7" t="s">
        <v>419</v>
      </c>
      <c r="L557" s="7" t="s">
        <v>991</v>
      </c>
      <c r="M557" s="7" t="s">
        <v>3501</v>
      </c>
      <c r="N557" s="7" t="s">
        <v>3760</v>
      </c>
      <c r="O557" s="7" t="s">
        <v>3761</v>
      </c>
      <c r="P557" s="7" t="s">
        <v>3522</v>
      </c>
      <c r="Q557" s="7" t="s">
        <v>3514</v>
      </c>
    </row>
    <row r="558">
      <c r="A558" s="7" t="s">
        <v>7404</v>
      </c>
      <c r="B558" s="7">
        <v>12769.0</v>
      </c>
      <c r="C558" s="7" t="s">
        <v>7405</v>
      </c>
      <c r="D558" s="7" t="s">
        <v>7406</v>
      </c>
      <c r="E558" s="7" t="s">
        <v>7407</v>
      </c>
      <c r="F558" s="7" t="s">
        <v>4598</v>
      </c>
      <c r="G558" s="7" t="s">
        <v>7408</v>
      </c>
      <c r="H558" s="7" t="s">
        <v>7409</v>
      </c>
      <c r="I558" s="119">
        <v>45292.0</v>
      </c>
      <c r="K558" s="7" t="s">
        <v>419</v>
      </c>
      <c r="L558" s="7" t="s">
        <v>991</v>
      </c>
      <c r="M558" s="7" t="s">
        <v>3501</v>
      </c>
      <c r="N558" s="7" t="s">
        <v>4703</v>
      </c>
      <c r="O558" s="7" t="s">
        <v>4704</v>
      </c>
      <c r="P558" s="7" t="s">
        <v>3493</v>
      </c>
      <c r="Q558" s="7">
        <v>1.0</v>
      </c>
    </row>
    <row r="559">
      <c r="A559" s="7" t="s">
        <v>7410</v>
      </c>
      <c r="B559" s="7">
        <v>2300631.0</v>
      </c>
      <c r="C559" s="7" t="s">
        <v>7411</v>
      </c>
      <c r="D559" s="7" t="s">
        <v>7412</v>
      </c>
      <c r="E559" s="7" t="s">
        <v>7413</v>
      </c>
      <c r="F559" s="7" t="s">
        <v>7414</v>
      </c>
      <c r="G559" s="7" t="s">
        <v>7415</v>
      </c>
      <c r="H559" s="7" t="s">
        <v>7416</v>
      </c>
      <c r="I559" s="119">
        <v>45292.0</v>
      </c>
      <c r="K559" s="7" t="s">
        <v>419</v>
      </c>
      <c r="L559" s="7" t="s">
        <v>991</v>
      </c>
      <c r="M559" s="7" t="s">
        <v>3501</v>
      </c>
      <c r="N559" s="7" t="s">
        <v>7417</v>
      </c>
      <c r="O559" s="7" t="s">
        <v>7418</v>
      </c>
      <c r="P559" s="7" t="s">
        <v>3604</v>
      </c>
      <c r="Q559" s="7">
        <v>1.0</v>
      </c>
    </row>
    <row r="560">
      <c r="A560" s="7" t="s">
        <v>7419</v>
      </c>
      <c r="B560" s="7">
        <v>12784.0</v>
      </c>
      <c r="C560" s="7" t="s">
        <v>7411</v>
      </c>
      <c r="D560" s="7" t="s">
        <v>7420</v>
      </c>
      <c r="E560" s="7" t="s">
        <v>7413</v>
      </c>
      <c r="F560" s="7" t="s">
        <v>7014</v>
      </c>
      <c r="G560" s="7" t="s">
        <v>7421</v>
      </c>
      <c r="H560" s="7" t="s">
        <v>7422</v>
      </c>
      <c r="I560" s="119">
        <v>45292.0</v>
      </c>
      <c r="K560" s="7" t="s">
        <v>419</v>
      </c>
      <c r="L560" s="7" t="s">
        <v>991</v>
      </c>
      <c r="M560" s="7" t="s">
        <v>3501</v>
      </c>
      <c r="N560" s="7" t="s">
        <v>5740</v>
      </c>
      <c r="O560" s="7" t="s">
        <v>5741</v>
      </c>
      <c r="P560" s="7" t="s">
        <v>3843</v>
      </c>
      <c r="Q560" s="7">
        <v>1.0</v>
      </c>
    </row>
    <row r="561">
      <c r="A561" s="7" t="s">
        <v>7423</v>
      </c>
      <c r="B561" s="7">
        <v>2200190.0</v>
      </c>
      <c r="C561" s="7" t="s">
        <v>7411</v>
      </c>
      <c r="D561" s="7" t="s">
        <v>7424</v>
      </c>
      <c r="E561" s="7" t="s">
        <v>7413</v>
      </c>
      <c r="F561" s="7" t="s">
        <v>6037</v>
      </c>
      <c r="G561" s="7" t="s">
        <v>7425</v>
      </c>
      <c r="H561" s="7" t="s">
        <v>7426</v>
      </c>
      <c r="I561" s="119">
        <v>45292.0</v>
      </c>
      <c r="K561" s="7" t="s">
        <v>419</v>
      </c>
      <c r="L561" s="7" t="s">
        <v>991</v>
      </c>
      <c r="M561" s="7" t="s">
        <v>3501</v>
      </c>
      <c r="N561" s="7" t="s">
        <v>4237</v>
      </c>
      <c r="O561" s="7" t="s">
        <v>4238</v>
      </c>
      <c r="P561" s="7" t="s">
        <v>3843</v>
      </c>
      <c r="Q561" s="7">
        <v>1.0</v>
      </c>
    </row>
    <row r="562">
      <c r="A562" s="7" t="s">
        <v>7427</v>
      </c>
      <c r="B562" s="7">
        <v>14248.0</v>
      </c>
      <c r="C562" s="7" t="s">
        <v>7428</v>
      </c>
      <c r="D562" s="7" t="s">
        <v>7429</v>
      </c>
      <c r="E562" s="7" t="s">
        <v>7430</v>
      </c>
      <c r="F562" s="7" t="s">
        <v>4469</v>
      </c>
      <c r="G562" s="7" t="s">
        <v>7431</v>
      </c>
      <c r="H562" s="7" t="s">
        <v>7432</v>
      </c>
      <c r="I562" s="119">
        <v>45292.0</v>
      </c>
      <c r="K562" s="7" t="s">
        <v>419</v>
      </c>
      <c r="L562" s="7" t="s">
        <v>991</v>
      </c>
      <c r="M562" s="7" t="s">
        <v>3501</v>
      </c>
      <c r="N562" s="7" t="s">
        <v>7433</v>
      </c>
      <c r="O562" s="7" t="s">
        <v>7434</v>
      </c>
      <c r="P562" s="7" t="s">
        <v>3493</v>
      </c>
      <c r="Q562" s="7">
        <v>1.0</v>
      </c>
    </row>
    <row r="563">
      <c r="A563" s="7" t="s">
        <v>7435</v>
      </c>
      <c r="B563" s="7">
        <v>13632.0</v>
      </c>
      <c r="C563" s="7" t="s">
        <v>7436</v>
      </c>
      <c r="D563" s="7" t="s">
        <v>7437</v>
      </c>
      <c r="E563" s="7" t="s">
        <v>7438</v>
      </c>
      <c r="F563" s="7" t="s">
        <v>3498</v>
      </c>
      <c r="G563" s="7" t="s">
        <v>7439</v>
      </c>
      <c r="H563" s="7" t="s">
        <v>7440</v>
      </c>
      <c r="I563" s="119">
        <v>45292.0</v>
      </c>
      <c r="K563" s="7" t="s">
        <v>419</v>
      </c>
      <c r="L563" s="7" t="s">
        <v>991</v>
      </c>
      <c r="M563" s="7" t="s">
        <v>3501</v>
      </c>
      <c r="N563" s="7" t="s">
        <v>5605</v>
      </c>
      <c r="O563" s="7" t="s">
        <v>5606</v>
      </c>
      <c r="P563" s="7" t="s">
        <v>3493</v>
      </c>
      <c r="Q563" s="7">
        <v>1.0</v>
      </c>
    </row>
    <row r="564">
      <c r="A564" s="7" t="s">
        <v>7441</v>
      </c>
      <c r="B564" s="7">
        <v>13919.0</v>
      </c>
      <c r="C564" s="7" t="s">
        <v>7442</v>
      </c>
      <c r="D564" s="7" t="s">
        <v>7443</v>
      </c>
      <c r="E564" s="7" t="s">
        <v>7438</v>
      </c>
      <c r="F564" s="7" t="s">
        <v>7444</v>
      </c>
      <c r="G564" s="7" t="s">
        <v>7445</v>
      </c>
      <c r="H564" s="7" t="s">
        <v>7446</v>
      </c>
      <c r="I564" s="119">
        <v>45292.0</v>
      </c>
      <c r="K564" s="7" t="s">
        <v>419</v>
      </c>
      <c r="L564" s="7" t="s">
        <v>991</v>
      </c>
      <c r="M564" s="7" t="s">
        <v>3531</v>
      </c>
      <c r="N564" s="7" t="s">
        <v>4399</v>
      </c>
      <c r="O564" s="7" t="s">
        <v>4400</v>
      </c>
      <c r="P564" s="7" t="s">
        <v>3493</v>
      </c>
      <c r="Q564" s="7">
        <v>1.0</v>
      </c>
    </row>
    <row r="565">
      <c r="A565" s="7" t="s">
        <v>7447</v>
      </c>
      <c r="B565" s="7">
        <v>2200210.0</v>
      </c>
      <c r="C565" s="7" t="s">
        <v>7448</v>
      </c>
      <c r="D565" s="7" t="s">
        <v>7449</v>
      </c>
      <c r="E565" s="7" t="s">
        <v>7450</v>
      </c>
      <c r="F565" s="7" t="s">
        <v>7451</v>
      </c>
      <c r="G565" s="7" t="s">
        <v>7452</v>
      </c>
      <c r="I565" s="119">
        <v>45292.0</v>
      </c>
      <c r="K565" s="7" t="s">
        <v>419</v>
      </c>
      <c r="L565" s="7" t="s">
        <v>991</v>
      </c>
      <c r="M565" s="7" t="s">
        <v>3531</v>
      </c>
      <c r="N565" s="7" t="s">
        <v>4103</v>
      </c>
      <c r="O565" s="7" t="s">
        <v>4104</v>
      </c>
      <c r="P565" s="7" t="s">
        <v>3493</v>
      </c>
      <c r="Q565" s="7">
        <v>1.0</v>
      </c>
    </row>
    <row r="566">
      <c r="A566" s="7" t="s">
        <v>7453</v>
      </c>
      <c r="B566" s="7">
        <v>2100542.0</v>
      </c>
      <c r="C566" s="7" t="s">
        <v>7448</v>
      </c>
      <c r="D566" s="7" t="s">
        <v>7454</v>
      </c>
      <c r="E566" s="7" t="s">
        <v>7450</v>
      </c>
      <c r="F566" s="7" t="s">
        <v>6175</v>
      </c>
      <c r="G566" s="7" t="s">
        <v>7455</v>
      </c>
      <c r="H566" s="7" t="s">
        <v>7456</v>
      </c>
      <c r="I566" s="119">
        <v>45292.0</v>
      </c>
      <c r="K566" s="7" t="s">
        <v>419</v>
      </c>
      <c r="L566" s="7" t="s">
        <v>991</v>
      </c>
      <c r="M566" s="7" t="s">
        <v>3501</v>
      </c>
      <c r="N566" s="7" t="s">
        <v>7457</v>
      </c>
      <c r="O566" s="7" t="s">
        <v>7458</v>
      </c>
      <c r="P566" s="7" t="s">
        <v>3522</v>
      </c>
      <c r="Q566" s="7" t="s">
        <v>3523</v>
      </c>
    </row>
    <row r="567">
      <c r="A567" s="7" t="s">
        <v>7459</v>
      </c>
      <c r="B567" s="7">
        <v>2100597.0</v>
      </c>
      <c r="C567" s="7" t="s">
        <v>7460</v>
      </c>
      <c r="D567" s="7" t="s">
        <v>7461</v>
      </c>
      <c r="E567" s="7" t="s">
        <v>7462</v>
      </c>
      <c r="F567" s="7" t="s">
        <v>6301</v>
      </c>
      <c r="G567" s="7" t="s">
        <v>7463</v>
      </c>
      <c r="H567" s="7" t="s">
        <v>7464</v>
      </c>
      <c r="I567" s="119">
        <v>45292.0</v>
      </c>
      <c r="K567" s="7" t="s">
        <v>419</v>
      </c>
      <c r="L567" s="7" t="s">
        <v>991</v>
      </c>
      <c r="M567" s="7" t="s">
        <v>3531</v>
      </c>
      <c r="N567" s="7" t="s">
        <v>4134</v>
      </c>
      <c r="O567" s="7" t="s">
        <v>4135</v>
      </c>
      <c r="P567" s="7" t="s">
        <v>3493</v>
      </c>
      <c r="Q567" s="7">
        <v>1.0</v>
      </c>
    </row>
    <row r="568">
      <c r="A568" s="7" t="s">
        <v>7465</v>
      </c>
      <c r="B568" s="7">
        <v>2300220.0</v>
      </c>
      <c r="C568" s="7" t="s">
        <v>7466</v>
      </c>
      <c r="D568" s="7" t="s">
        <v>7467</v>
      </c>
      <c r="E568" s="7" t="s">
        <v>7468</v>
      </c>
      <c r="F568" s="7" t="s">
        <v>7469</v>
      </c>
      <c r="G568" s="7" t="s">
        <v>7470</v>
      </c>
      <c r="H568" s="7" t="s">
        <v>7471</v>
      </c>
      <c r="I568" s="119">
        <v>45292.0</v>
      </c>
      <c r="K568" s="7" t="s">
        <v>3632</v>
      </c>
      <c r="L568" s="7" t="s">
        <v>991</v>
      </c>
      <c r="M568" s="7" t="s">
        <v>3866</v>
      </c>
      <c r="N568" s="7" t="s">
        <v>7202</v>
      </c>
      <c r="O568" s="7" t="s">
        <v>7472</v>
      </c>
      <c r="P568" s="7" t="s">
        <v>3493</v>
      </c>
      <c r="Q568" s="7">
        <v>1.0</v>
      </c>
    </row>
    <row r="569">
      <c r="A569" s="7" t="s">
        <v>7473</v>
      </c>
      <c r="B569" s="7">
        <v>14205.0</v>
      </c>
      <c r="C569" s="7" t="s">
        <v>7474</v>
      </c>
      <c r="D569" s="7" t="s">
        <v>7475</v>
      </c>
      <c r="E569" s="7" t="s">
        <v>7476</v>
      </c>
      <c r="F569" s="7" t="s">
        <v>7477</v>
      </c>
      <c r="G569" s="7" t="s">
        <v>7478</v>
      </c>
      <c r="H569" s="7" t="s">
        <v>7479</v>
      </c>
      <c r="I569" s="119">
        <v>45292.0</v>
      </c>
      <c r="K569" s="7" t="s">
        <v>419</v>
      </c>
      <c r="L569" s="7" t="s">
        <v>991</v>
      </c>
      <c r="M569" s="7" t="s">
        <v>3501</v>
      </c>
      <c r="N569" s="7" t="s">
        <v>7262</v>
      </c>
      <c r="O569" s="7" t="s">
        <v>7263</v>
      </c>
      <c r="P569" s="7" t="s">
        <v>3493</v>
      </c>
      <c r="Q569" s="7">
        <v>1.0</v>
      </c>
    </row>
    <row r="570">
      <c r="A570" s="7" t="s">
        <v>7480</v>
      </c>
      <c r="B570" s="7">
        <v>13778.0</v>
      </c>
      <c r="C570" s="7" t="s">
        <v>7481</v>
      </c>
      <c r="D570" s="7" t="s">
        <v>7482</v>
      </c>
      <c r="E570" s="7" t="s">
        <v>7483</v>
      </c>
      <c r="F570" s="7" t="s">
        <v>7484</v>
      </c>
      <c r="G570" s="7" t="s">
        <v>7485</v>
      </c>
      <c r="H570" s="7" t="s">
        <v>7486</v>
      </c>
      <c r="I570" s="119">
        <v>45292.0</v>
      </c>
      <c r="K570" s="7" t="s">
        <v>419</v>
      </c>
      <c r="L570" s="7" t="s">
        <v>991</v>
      </c>
      <c r="M570" s="7" t="s">
        <v>3501</v>
      </c>
      <c r="N570" s="7" t="s">
        <v>7487</v>
      </c>
      <c r="O570" s="7" t="s">
        <v>7488</v>
      </c>
      <c r="P570" s="7" t="s">
        <v>3522</v>
      </c>
      <c r="Q570" s="7" t="s">
        <v>3514</v>
      </c>
    </row>
    <row r="571">
      <c r="A571" s="7" t="s">
        <v>1868</v>
      </c>
      <c r="B571" s="7">
        <v>1262.0</v>
      </c>
      <c r="C571" s="7" t="s">
        <v>7489</v>
      </c>
      <c r="D571" s="7" t="s">
        <v>7490</v>
      </c>
      <c r="E571" s="7" t="s">
        <v>7491</v>
      </c>
      <c r="F571" s="7" t="s">
        <v>7492</v>
      </c>
      <c r="G571" s="7" t="s">
        <v>7493</v>
      </c>
      <c r="H571" s="7" t="s">
        <v>7494</v>
      </c>
      <c r="I571" s="119">
        <v>45292.0</v>
      </c>
      <c r="K571" s="7" t="s">
        <v>419</v>
      </c>
      <c r="L571" s="7" t="s">
        <v>991</v>
      </c>
      <c r="M571" s="7" t="s">
        <v>3501</v>
      </c>
      <c r="N571" s="7" t="s">
        <v>7495</v>
      </c>
      <c r="O571" s="7" t="s">
        <v>7496</v>
      </c>
      <c r="P571" s="7" t="s">
        <v>4420</v>
      </c>
      <c r="Q571" s="7" t="s">
        <v>3523</v>
      </c>
    </row>
    <row r="572">
      <c r="A572" s="7" t="s">
        <v>7497</v>
      </c>
      <c r="B572" s="7">
        <v>13485.0</v>
      </c>
      <c r="C572" s="7" t="s">
        <v>7498</v>
      </c>
      <c r="D572" s="7" t="s">
        <v>7499</v>
      </c>
      <c r="E572" s="7" t="s">
        <v>7500</v>
      </c>
      <c r="F572" s="7" t="s">
        <v>7501</v>
      </c>
      <c r="G572" s="7" t="s">
        <v>7502</v>
      </c>
      <c r="H572" s="7" t="s">
        <v>7503</v>
      </c>
      <c r="I572" s="119">
        <v>45292.0</v>
      </c>
      <c r="K572" s="7" t="s">
        <v>419</v>
      </c>
      <c r="L572" s="7" t="s">
        <v>991</v>
      </c>
      <c r="M572" s="7" t="s">
        <v>3501</v>
      </c>
      <c r="N572" s="7" t="s">
        <v>7504</v>
      </c>
      <c r="O572" s="7" t="s">
        <v>7505</v>
      </c>
      <c r="P572" s="7" t="s">
        <v>4429</v>
      </c>
      <c r="Q572" s="7" t="s">
        <v>3555</v>
      </c>
    </row>
    <row r="573">
      <c r="A573" s="7" t="s">
        <v>7506</v>
      </c>
      <c r="B573" s="7">
        <v>8218.0</v>
      </c>
      <c r="C573" s="7" t="s">
        <v>7507</v>
      </c>
      <c r="D573" s="7" t="s">
        <v>7508</v>
      </c>
      <c r="E573" s="7" t="s">
        <v>7509</v>
      </c>
      <c r="F573" s="7" t="s">
        <v>4478</v>
      </c>
      <c r="G573" s="7" t="s">
        <v>7510</v>
      </c>
      <c r="H573" s="7" t="s">
        <v>7511</v>
      </c>
      <c r="I573" s="119">
        <v>45292.0</v>
      </c>
      <c r="K573" s="7" t="s">
        <v>419</v>
      </c>
      <c r="L573" s="7" t="s">
        <v>991</v>
      </c>
      <c r="M573" s="7" t="s">
        <v>3531</v>
      </c>
      <c r="N573" s="7" t="s">
        <v>3724</v>
      </c>
      <c r="O573" s="7" t="s">
        <v>3725</v>
      </c>
      <c r="P573" s="7" t="s">
        <v>3493</v>
      </c>
      <c r="Q573" s="7">
        <v>1.0</v>
      </c>
    </row>
    <row r="574">
      <c r="A574" s="7" t="s">
        <v>7512</v>
      </c>
      <c r="B574" s="7">
        <v>2400212.0</v>
      </c>
      <c r="C574" s="7" t="s">
        <v>7513</v>
      </c>
      <c r="D574" s="7" t="s">
        <v>7514</v>
      </c>
      <c r="E574" s="7" t="s">
        <v>7515</v>
      </c>
      <c r="F574" s="7" t="s">
        <v>5107</v>
      </c>
      <c r="G574" s="7" t="s">
        <v>7516</v>
      </c>
      <c r="H574" s="7" t="s">
        <v>7517</v>
      </c>
      <c r="I574" s="119">
        <v>45383.0</v>
      </c>
      <c r="K574" s="7" t="s">
        <v>419</v>
      </c>
      <c r="L574" s="7" t="s">
        <v>991</v>
      </c>
      <c r="M574" s="7" t="s">
        <v>3501</v>
      </c>
      <c r="N574" s="7" t="s">
        <v>7518</v>
      </c>
      <c r="O574" s="7" t="s">
        <v>7519</v>
      </c>
      <c r="P574" s="7" t="s">
        <v>3522</v>
      </c>
      <c r="Q574" s="7" t="s">
        <v>3523</v>
      </c>
    </row>
    <row r="575">
      <c r="A575" s="7" t="s">
        <v>7520</v>
      </c>
      <c r="B575" s="7">
        <v>2200462.0</v>
      </c>
      <c r="C575" s="7" t="s">
        <v>7521</v>
      </c>
      <c r="D575" s="7" t="s">
        <v>7522</v>
      </c>
      <c r="E575" s="7" t="s">
        <v>7523</v>
      </c>
      <c r="F575" s="7" t="s">
        <v>3721</v>
      </c>
      <c r="G575" s="7" t="s">
        <v>7524</v>
      </c>
      <c r="I575" s="119">
        <v>45292.0</v>
      </c>
      <c r="K575" s="7" t="s">
        <v>419</v>
      </c>
      <c r="L575" s="7" t="s">
        <v>991</v>
      </c>
      <c r="M575" s="7" t="s">
        <v>3531</v>
      </c>
      <c r="N575" s="7" t="s">
        <v>3820</v>
      </c>
      <c r="O575" s="7" t="s">
        <v>3821</v>
      </c>
      <c r="P575" s="7" t="s">
        <v>3493</v>
      </c>
      <c r="Q575" s="7">
        <v>1.0</v>
      </c>
    </row>
    <row r="576">
      <c r="A576" s="7" t="s">
        <v>7525</v>
      </c>
      <c r="B576" s="7">
        <v>10920.0</v>
      </c>
      <c r="C576" s="7" t="s">
        <v>7526</v>
      </c>
      <c r="D576" s="7" t="s">
        <v>4936</v>
      </c>
      <c r="E576" s="7" t="s">
        <v>7527</v>
      </c>
      <c r="F576" s="7" t="s">
        <v>4937</v>
      </c>
      <c r="G576" s="7" t="s">
        <v>7528</v>
      </c>
      <c r="H576" s="7" t="s">
        <v>7529</v>
      </c>
      <c r="I576" s="119">
        <v>45292.0</v>
      </c>
      <c r="K576" s="7" t="s">
        <v>419</v>
      </c>
      <c r="L576" s="7" t="s">
        <v>991</v>
      </c>
      <c r="M576" s="7" t="s">
        <v>3531</v>
      </c>
      <c r="N576" s="7" t="s">
        <v>4367</v>
      </c>
      <c r="O576" s="7" t="s">
        <v>4368</v>
      </c>
      <c r="P576" s="7" t="s">
        <v>3493</v>
      </c>
      <c r="Q576" s="7">
        <v>1.0</v>
      </c>
    </row>
    <row r="577">
      <c r="A577" s="7" t="s">
        <v>7530</v>
      </c>
      <c r="B577" s="7">
        <v>2300022.0</v>
      </c>
      <c r="C577" s="7" t="s">
        <v>7531</v>
      </c>
      <c r="D577" s="7" t="s">
        <v>7532</v>
      </c>
      <c r="E577" s="7" t="s">
        <v>7533</v>
      </c>
      <c r="F577" s="7" t="s">
        <v>4253</v>
      </c>
      <c r="G577" s="7" t="s">
        <v>7534</v>
      </c>
      <c r="H577" s="7" t="s">
        <v>7535</v>
      </c>
      <c r="I577" s="119">
        <v>45292.0</v>
      </c>
      <c r="K577" s="7" t="s">
        <v>419</v>
      </c>
      <c r="L577" s="7" t="s">
        <v>991</v>
      </c>
      <c r="M577" s="7" t="s">
        <v>3531</v>
      </c>
      <c r="N577" s="7" t="s">
        <v>7536</v>
      </c>
      <c r="O577" s="7" t="s">
        <v>7537</v>
      </c>
      <c r="P577" s="7" t="s">
        <v>3493</v>
      </c>
      <c r="Q577" s="7">
        <v>1.0</v>
      </c>
    </row>
    <row r="578">
      <c r="A578" s="7" t="s">
        <v>7538</v>
      </c>
      <c r="B578" s="7">
        <v>2100486.0</v>
      </c>
      <c r="C578" s="7" t="s">
        <v>7539</v>
      </c>
      <c r="D578" s="7" t="s">
        <v>7540</v>
      </c>
      <c r="E578" s="7" t="s">
        <v>7541</v>
      </c>
      <c r="F578" s="7" t="s">
        <v>7542</v>
      </c>
      <c r="G578" s="7" t="s">
        <v>7543</v>
      </c>
      <c r="H578" s="7" t="s">
        <v>7544</v>
      </c>
      <c r="I578" s="119">
        <v>45292.0</v>
      </c>
      <c r="K578" s="7" t="s">
        <v>419</v>
      </c>
      <c r="L578" s="7" t="s">
        <v>991</v>
      </c>
      <c r="M578" s="7" t="s">
        <v>3501</v>
      </c>
      <c r="N578" s="7" t="s">
        <v>5698</v>
      </c>
      <c r="O578" s="7" t="s">
        <v>5699</v>
      </c>
      <c r="P578" s="7" t="s">
        <v>3493</v>
      </c>
      <c r="Q578" s="7">
        <v>1.0</v>
      </c>
    </row>
    <row r="579">
      <c r="A579" s="7" t="s">
        <v>7545</v>
      </c>
      <c r="B579" s="7">
        <v>2100273.0</v>
      </c>
      <c r="C579" s="7" t="s">
        <v>7546</v>
      </c>
      <c r="D579" s="7" t="s">
        <v>7547</v>
      </c>
      <c r="E579" s="7" t="s">
        <v>7548</v>
      </c>
      <c r="F579" s="7" t="s">
        <v>3889</v>
      </c>
      <c r="G579" s="7" t="s">
        <v>7549</v>
      </c>
      <c r="H579" s="7" t="s">
        <v>7550</v>
      </c>
      <c r="I579" s="119">
        <v>45292.0</v>
      </c>
      <c r="K579" s="7" t="s">
        <v>419</v>
      </c>
      <c r="L579" s="7" t="s">
        <v>991</v>
      </c>
      <c r="M579" s="7" t="s">
        <v>3501</v>
      </c>
      <c r="N579" s="7" t="s">
        <v>7551</v>
      </c>
      <c r="O579" s="7" t="s">
        <v>7552</v>
      </c>
      <c r="P579" s="7" t="s">
        <v>3843</v>
      </c>
      <c r="Q579" s="7">
        <v>1.0</v>
      </c>
    </row>
    <row r="580">
      <c r="A580" s="7" t="s">
        <v>7553</v>
      </c>
      <c r="B580" s="7">
        <v>2300572.0</v>
      </c>
      <c r="C580" s="7" t="s">
        <v>7554</v>
      </c>
      <c r="D580" s="7" t="s">
        <v>6121</v>
      </c>
      <c r="E580" s="7" t="s">
        <v>7555</v>
      </c>
      <c r="F580" s="7" t="s">
        <v>5595</v>
      </c>
      <c r="G580" s="7" t="s">
        <v>7556</v>
      </c>
      <c r="H580" s="7" t="s">
        <v>7557</v>
      </c>
      <c r="I580" s="119">
        <v>45292.0</v>
      </c>
      <c r="J580" s="7" t="s">
        <v>3929</v>
      </c>
      <c r="K580" s="7" t="s">
        <v>419</v>
      </c>
      <c r="L580" s="7" t="s">
        <v>991</v>
      </c>
      <c r="M580" s="7" t="s">
        <v>3501</v>
      </c>
      <c r="N580" s="7" t="s">
        <v>4557</v>
      </c>
      <c r="O580" s="7" t="s">
        <v>4558</v>
      </c>
      <c r="P580" s="7" t="s">
        <v>3493</v>
      </c>
      <c r="Q580" s="7">
        <v>1.0</v>
      </c>
    </row>
    <row r="581">
      <c r="A581" s="7" t="s">
        <v>7558</v>
      </c>
      <c r="B581" s="7">
        <v>2300465.0</v>
      </c>
      <c r="C581" s="7" t="s">
        <v>7554</v>
      </c>
      <c r="D581" s="7" t="s">
        <v>7559</v>
      </c>
      <c r="E581" s="7" t="s">
        <v>7555</v>
      </c>
      <c r="F581" s="7" t="s">
        <v>3909</v>
      </c>
      <c r="G581" s="7" t="s">
        <v>7560</v>
      </c>
      <c r="H581" s="7" t="s">
        <v>7561</v>
      </c>
      <c r="I581" s="119">
        <v>45292.0</v>
      </c>
      <c r="K581" s="7" t="s">
        <v>419</v>
      </c>
      <c r="L581" s="7" t="s">
        <v>991</v>
      </c>
      <c r="M581" s="7" t="s">
        <v>3501</v>
      </c>
      <c r="N581" s="7" t="s">
        <v>4035</v>
      </c>
      <c r="O581" s="7" t="s">
        <v>4036</v>
      </c>
      <c r="P581" s="7" t="s">
        <v>3522</v>
      </c>
      <c r="Q581" s="7" t="s">
        <v>3523</v>
      </c>
    </row>
    <row r="582">
      <c r="A582" s="7" t="s">
        <v>7562</v>
      </c>
      <c r="B582" s="7">
        <v>11846.0</v>
      </c>
      <c r="C582" s="7" t="s">
        <v>7563</v>
      </c>
      <c r="D582" s="7" t="s">
        <v>7564</v>
      </c>
      <c r="E582" s="7" t="s">
        <v>7565</v>
      </c>
      <c r="F582" s="7" t="s">
        <v>3692</v>
      </c>
      <c r="G582" s="7" t="s">
        <v>7566</v>
      </c>
      <c r="H582" s="7" t="s">
        <v>7567</v>
      </c>
      <c r="I582" s="119">
        <v>45292.0</v>
      </c>
      <c r="K582" s="7" t="s">
        <v>419</v>
      </c>
      <c r="L582" s="7" t="s">
        <v>991</v>
      </c>
      <c r="M582" s="7" t="s">
        <v>3501</v>
      </c>
      <c r="N582" s="7" t="s">
        <v>4570</v>
      </c>
      <c r="O582" s="7" t="s">
        <v>7568</v>
      </c>
      <c r="P582" s="7" t="s">
        <v>7569</v>
      </c>
      <c r="Q582" s="7" t="s">
        <v>3523</v>
      </c>
    </row>
    <row r="583">
      <c r="A583" s="7" t="s">
        <v>7570</v>
      </c>
      <c r="B583" s="7">
        <v>12343.0</v>
      </c>
      <c r="C583" s="7" t="s">
        <v>7571</v>
      </c>
      <c r="D583" s="7" t="s">
        <v>7572</v>
      </c>
      <c r="E583" s="7" t="s">
        <v>7573</v>
      </c>
      <c r="F583" s="7" t="s">
        <v>7574</v>
      </c>
      <c r="G583" s="7" t="s">
        <v>7575</v>
      </c>
      <c r="H583" s="7" t="s">
        <v>7576</v>
      </c>
      <c r="I583" s="119">
        <v>45292.0</v>
      </c>
      <c r="K583" s="7" t="s">
        <v>419</v>
      </c>
      <c r="L583" s="7" t="s">
        <v>991</v>
      </c>
      <c r="M583" s="7" t="s">
        <v>3531</v>
      </c>
      <c r="N583" s="7" t="s">
        <v>7577</v>
      </c>
      <c r="O583" s="7" t="s">
        <v>7578</v>
      </c>
      <c r="P583" s="7" t="s">
        <v>3493</v>
      </c>
      <c r="Q583" s="7">
        <v>1.0</v>
      </c>
    </row>
    <row r="584">
      <c r="A584" s="7" t="s">
        <v>7579</v>
      </c>
      <c r="B584" s="7">
        <v>2300461.0</v>
      </c>
      <c r="C584" s="7" t="s">
        <v>7571</v>
      </c>
      <c r="D584" s="7" t="s">
        <v>7580</v>
      </c>
      <c r="E584" s="7" t="s">
        <v>7573</v>
      </c>
      <c r="F584" s="7" t="s">
        <v>7581</v>
      </c>
      <c r="G584" s="7" t="s">
        <v>7582</v>
      </c>
      <c r="H584" s="7" t="s">
        <v>7583</v>
      </c>
      <c r="I584" s="119">
        <v>45292.0</v>
      </c>
      <c r="K584" s="7" t="s">
        <v>419</v>
      </c>
      <c r="L584" s="7" t="s">
        <v>991</v>
      </c>
      <c r="M584" s="7" t="s">
        <v>3501</v>
      </c>
      <c r="N584" s="7" t="s">
        <v>3920</v>
      </c>
      <c r="O584" s="7" t="s">
        <v>3921</v>
      </c>
      <c r="P584" s="7" t="s">
        <v>3493</v>
      </c>
      <c r="Q584" s="7">
        <v>1.0</v>
      </c>
    </row>
    <row r="585">
      <c r="A585" s="7" t="s">
        <v>7584</v>
      </c>
      <c r="B585" s="7">
        <v>2300725.0</v>
      </c>
      <c r="C585" s="7" t="s">
        <v>7585</v>
      </c>
      <c r="D585" s="7" t="s">
        <v>7586</v>
      </c>
      <c r="E585" s="7" t="s">
        <v>7587</v>
      </c>
      <c r="F585" s="7" t="s">
        <v>5426</v>
      </c>
      <c r="G585" s="7" t="s">
        <v>7588</v>
      </c>
      <c r="H585" s="7" t="s">
        <v>7589</v>
      </c>
      <c r="I585" s="119">
        <v>45292.0</v>
      </c>
      <c r="K585" s="7" t="s">
        <v>419</v>
      </c>
      <c r="L585" s="7" t="s">
        <v>991</v>
      </c>
      <c r="M585" s="7" t="s">
        <v>3501</v>
      </c>
      <c r="N585" s="7" t="s">
        <v>7590</v>
      </c>
      <c r="O585" s="7" t="s">
        <v>7591</v>
      </c>
      <c r="P585" s="7" t="s">
        <v>3604</v>
      </c>
      <c r="Q585" s="7">
        <v>1.0</v>
      </c>
    </row>
    <row r="586">
      <c r="A586" s="7" t="s">
        <v>7592</v>
      </c>
      <c r="B586" s="7">
        <v>11862.0</v>
      </c>
      <c r="C586" s="7" t="s">
        <v>7593</v>
      </c>
      <c r="D586" s="7" t="s">
        <v>7594</v>
      </c>
      <c r="E586" s="7" t="s">
        <v>7595</v>
      </c>
      <c r="F586" s="7" t="s">
        <v>4546</v>
      </c>
      <c r="G586" s="7" t="s">
        <v>7596</v>
      </c>
      <c r="H586" s="7" t="s">
        <v>7597</v>
      </c>
      <c r="I586" s="119">
        <v>45292.0</v>
      </c>
      <c r="K586" s="7" t="s">
        <v>419</v>
      </c>
      <c r="L586" s="7" t="s">
        <v>991</v>
      </c>
      <c r="M586" s="7" t="s">
        <v>3501</v>
      </c>
      <c r="N586" s="7" t="s">
        <v>4330</v>
      </c>
      <c r="O586" s="7" t="s">
        <v>4331</v>
      </c>
      <c r="P586" s="7" t="s">
        <v>3493</v>
      </c>
      <c r="Q586" s="7">
        <v>1.0</v>
      </c>
    </row>
    <row r="587">
      <c r="A587" s="7" t="s">
        <v>7598</v>
      </c>
      <c r="B587" s="7">
        <v>13695.0</v>
      </c>
      <c r="C587" s="7" t="s">
        <v>7599</v>
      </c>
      <c r="D587" s="7" t="s">
        <v>7600</v>
      </c>
      <c r="E587" s="7" t="s">
        <v>7601</v>
      </c>
      <c r="F587" s="7" t="s">
        <v>7600</v>
      </c>
      <c r="G587" s="7" t="s">
        <v>7602</v>
      </c>
      <c r="H587" s="7" t="s">
        <v>7603</v>
      </c>
      <c r="I587" s="119">
        <v>45292.0</v>
      </c>
      <c r="K587" s="7" t="s">
        <v>3632</v>
      </c>
      <c r="L587" s="7" t="s">
        <v>991</v>
      </c>
      <c r="M587" s="7" t="s">
        <v>3501</v>
      </c>
      <c r="N587" s="7" t="s">
        <v>3633</v>
      </c>
      <c r="O587" s="7" t="s">
        <v>3634</v>
      </c>
      <c r="P587" s="7" t="s">
        <v>3522</v>
      </c>
      <c r="Q587" s="7" t="s">
        <v>3514</v>
      </c>
    </row>
    <row r="588">
      <c r="A588" s="7" t="s">
        <v>7604</v>
      </c>
      <c r="B588" s="7">
        <v>2300020.0</v>
      </c>
      <c r="C588" s="7" t="s">
        <v>7605</v>
      </c>
      <c r="D588" s="7" t="s">
        <v>4943</v>
      </c>
      <c r="E588" s="7" t="s">
        <v>7606</v>
      </c>
      <c r="F588" s="7" t="s">
        <v>3792</v>
      </c>
      <c r="G588" s="7" t="s">
        <v>7607</v>
      </c>
      <c r="H588" s="7" t="s">
        <v>7608</v>
      </c>
      <c r="I588" s="119">
        <v>45292.0</v>
      </c>
      <c r="K588" s="7" t="s">
        <v>419</v>
      </c>
      <c r="L588" s="7" t="s">
        <v>991</v>
      </c>
      <c r="M588" s="7" t="s">
        <v>3531</v>
      </c>
      <c r="N588" s="7" t="s">
        <v>6265</v>
      </c>
      <c r="O588" s="7" t="s">
        <v>6266</v>
      </c>
      <c r="P588" s="7" t="s">
        <v>3493</v>
      </c>
      <c r="Q588" s="7">
        <v>1.0</v>
      </c>
    </row>
    <row r="589">
      <c r="A589" s="7" t="s">
        <v>7609</v>
      </c>
      <c r="B589" s="7">
        <v>11849.0</v>
      </c>
      <c r="C589" s="7" t="s">
        <v>7610</v>
      </c>
      <c r="D589" s="7" t="s">
        <v>7611</v>
      </c>
      <c r="E589" s="7" t="s">
        <v>7612</v>
      </c>
      <c r="F589" s="7" t="s">
        <v>7613</v>
      </c>
      <c r="G589" s="7" t="s">
        <v>7614</v>
      </c>
      <c r="H589" s="7" t="s">
        <v>7615</v>
      </c>
      <c r="I589" s="119">
        <v>45292.0</v>
      </c>
      <c r="K589" s="7" t="s">
        <v>419</v>
      </c>
      <c r="L589" s="7" t="s">
        <v>991</v>
      </c>
      <c r="M589" s="7" t="s">
        <v>3501</v>
      </c>
      <c r="N589" s="7" t="s">
        <v>6109</v>
      </c>
      <c r="O589" s="7" t="s">
        <v>6110</v>
      </c>
      <c r="P589" s="7" t="s">
        <v>3493</v>
      </c>
      <c r="Q589" s="7">
        <v>1.0</v>
      </c>
    </row>
    <row r="590">
      <c r="A590" s="7" t="s">
        <v>7616</v>
      </c>
      <c r="B590" s="7">
        <v>10985.0</v>
      </c>
      <c r="C590" s="7" t="s">
        <v>7617</v>
      </c>
      <c r="D590" s="7" t="s">
        <v>7618</v>
      </c>
      <c r="E590" s="7" t="s">
        <v>7619</v>
      </c>
      <c r="F590" s="7" t="s">
        <v>7620</v>
      </c>
      <c r="G590" s="7" t="s">
        <v>7621</v>
      </c>
      <c r="H590" s="7" t="s">
        <v>7622</v>
      </c>
      <c r="I590" s="119">
        <v>45292.0</v>
      </c>
      <c r="K590" s="7" t="s">
        <v>419</v>
      </c>
      <c r="L590" s="7" t="s">
        <v>991</v>
      </c>
      <c r="M590" s="7" t="s">
        <v>3501</v>
      </c>
      <c r="N590" s="7" t="s">
        <v>7623</v>
      </c>
      <c r="O590" s="7" t="s">
        <v>7624</v>
      </c>
      <c r="P590" s="7" t="s">
        <v>3522</v>
      </c>
      <c r="Q590" s="7" t="s">
        <v>3523</v>
      </c>
    </row>
    <row r="591">
      <c r="A591" s="7" t="s">
        <v>7625</v>
      </c>
      <c r="B591" s="7">
        <v>11574.0</v>
      </c>
      <c r="C591" s="7" t="s">
        <v>7626</v>
      </c>
      <c r="D591" s="7" t="s">
        <v>7627</v>
      </c>
      <c r="E591" s="7" t="s">
        <v>7628</v>
      </c>
      <c r="F591" s="7" t="s">
        <v>4068</v>
      </c>
      <c r="G591" s="7" t="s">
        <v>7629</v>
      </c>
      <c r="H591" s="7" t="s">
        <v>7630</v>
      </c>
      <c r="I591" s="119">
        <v>45292.0</v>
      </c>
      <c r="K591" s="7" t="s">
        <v>419</v>
      </c>
      <c r="L591" s="7" t="s">
        <v>991</v>
      </c>
      <c r="M591" s="7" t="s">
        <v>3501</v>
      </c>
      <c r="N591" s="7" t="s">
        <v>4703</v>
      </c>
      <c r="O591" s="7" t="s">
        <v>4704</v>
      </c>
      <c r="P591" s="7" t="s">
        <v>3493</v>
      </c>
      <c r="Q591" s="7">
        <v>1.0</v>
      </c>
    </row>
    <row r="592">
      <c r="A592" s="7" t="s">
        <v>7631</v>
      </c>
      <c r="B592" s="7">
        <v>13373.0</v>
      </c>
      <c r="C592" s="7" t="s">
        <v>7626</v>
      </c>
      <c r="D592" s="7" t="s">
        <v>6857</v>
      </c>
      <c r="E592" s="7" t="s">
        <v>7628</v>
      </c>
      <c r="F592" s="7" t="s">
        <v>6859</v>
      </c>
      <c r="G592" s="7" t="s">
        <v>7632</v>
      </c>
      <c r="H592" s="7" t="s">
        <v>7633</v>
      </c>
      <c r="I592" s="119">
        <v>45292.0</v>
      </c>
      <c r="K592" s="7" t="s">
        <v>5973</v>
      </c>
      <c r="L592" s="7" t="s">
        <v>3542</v>
      </c>
      <c r="M592" s="7" t="s">
        <v>4383</v>
      </c>
      <c r="N592" s="7" t="s">
        <v>3708</v>
      </c>
      <c r="O592" s="7" t="s">
        <v>7634</v>
      </c>
      <c r="P592" s="7" t="s">
        <v>3522</v>
      </c>
      <c r="Q592" s="7" t="s">
        <v>3514</v>
      </c>
    </row>
    <row r="593">
      <c r="A593" s="7" t="s">
        <v>7635</v>
      </c>
      <c r="B593" s="7">
        <v>284.0</v>
      </c>
      <c r="C593" s="7" t="s">
        <v>7626</v>
      </c>
      <c r="D593" s="7" t="s">
        <v>7636</v>
      </c>
      <c r="E593" s="7" t="s">
        <v>7628</v>
      </c>
      <c r="F593" s="7" t="s">
        <v>7637</v>
      </c>
      <c r="G593" s="7" t="s">
        <v>7638</v>
      </c>
      <c r="H593" s="7" t="s">
        <v>7639</v>
      </c>
      <c r="I593" s="119">
        <v>45292.0</v>
      </c>
      <c r="K593" s="7" t="s">
        <v>419</v>
      </c>
      <c r="L593" s="7" t="s">
        <v>991</v>
      </c>
      <c r="M593" s="7" t="s">
        <v>3501</v>
      </c>
      <c r="N593" s="7" t="s">
        <v>7640</v>
      </c>
      <c r="O593" s="7" t="s">
        <v>7641</v>
      </c>
      <c r="P593" s="7" t="s">
        <v>7642</v>
      </c>
      <c r="Q593" s="7" t="s">
        <v>3555</v>
      </c>
    </row>
    <row r="594">
      <c r="A594" s="7" t="s">
        <v>7643</v>
      </c>
      <c r="B594" s="7">
        <v>12593.0</v>
      </c>
      <c r="C594" s="7" t="s">
        <v>7626</v>
      </c>
      <c r="D594" s="7" t="s">
        <v>7644</v>
      </c>
      <c r="E594" s="7" t="s">
        <v>7628</v>
      </c>
      <c r="F594" s="7" t="s">
        <v>7645</v>
      </c>
      <c r="G594" s="7" t="s">
        <v>7646</v>
      </c>
      <c r="H594" s="7" t="s">
        <v>7647</v>
      </c>
      <c r="I594" s="119">
        <v>45292.0</v>
      </c>
      <c r="K594" s="7" t="s">
        <v>419</v>
      </c>
      <c r="L594" s="7" t="s">
        <v>991</v>
      </c>
      <c r="M594" s="7" t="s">
        <v>3531</v>
      </c>
      <c r="N594" s="7" t="s">
        <v>3724</v>
      </c>
      <c r="O594" s="7" t="s">
        <v>3725</v>
      </c>
      <c r="P594" s="7" t="s">
        <v>3493</v>
      </c>
      <c r="Q594" s="7">
        <v>1.0</v>
      </c>
    </row>
    <row r="595">
      <c r="A595" s="7" t="s">
        <v>7648</v>
      </c>
      <c r="B595" s="7">
        <v>13693.0</v>
      </c>
      <c r="C595" s="7" t="s">
        <v>7649</v>
      </c>
      <c r="D595" s="7" t="s">
        <v>7650</v>
      </c>
      <c r="E595" s="7" t="s">
        <v>7651</v>
      </c>
      <c r="F595" s="7" t="s">
        <v>7652</v>
      </c>
      <c r="G595" s="7" t="s">
        <v>7653</v>
      </c>
      <c r="H595" s="7" t="s">
        <v>7654</v>
      </c>
      <c r="I595" s="119">
        <v>45292.0</v>
      </c>
      <c r="K595" s="7" t="s">
        <v>3632</v>
      </c>
      <c r="L595" s="7" t="s">
        <v>991</v>
      </c>
      <c r="M595" s="7" t="s">
        <v>3501</v>
      </c>
      <c r="N595" s="7" t="s">
        <v>5965</v>
      </c>
      <c r="O595" s="7" t="s">
        <v>5966</v>
      </c>
      <c r="P595" s="7" t="s">
        <v>3894</v>
      </c>
      <c r="Q595" s="7" t="s">
        <v>3523</v>
      </c>
    </row>
    <row r="596">
      <c r="A596" s="7" t="s">
        <v>7655</v>
      </c>
      <c r="B596" s="7">
        <v>2300517.0</v>
      </c>
      <c r="C596" s="7" t="s">
        <v>7656</v>
      </c>
      <c r="D596" s="7" t="s">
        <v>7657</v>
      </c>
      <c r="E596" s="7" t="s">
        <v>7658</v>
      </c>
      <c r="F596" s="7" t="s">
        <v>7659</v>
      </c>
      <c r="G596" s="7" t="s">
        <v>7660</v>
      </c>
      <c r="H596" s="7" t="s">
        <v>7661</v>
      </c>
      <c r="I596" s="119">
        <v>45292.0</v>
      </c>
      <c r="K596" s="7" t="s">
        <v>419</v>
      </c>
      <c r="L596" s="7" t="s">
        <v>991</v>
      </c>
      <c r="M596" s="7" t="s">
        <v>3490</v>
      </c>
      <c r="N596" s="7" t="s">
        <v>7662</v>
      </c>
      <c r="O596" s="7" t="s">
        <v>7663</v>
      </c>
      <c r="P596" s="7" t="s">
        <v>3493</v>
      </c>
      <c r="Q596" s="7">
        <v>1.0</v>
      </c>
    </row>
    <row r="597">
      <c r="A597" s="7" t="s">
        <v>7664</v>
      </c>
      <c r="B597" s="7">
        <v>10986.0</v>
      </c>
      <c r="C597" s="7" t="s">
        <v>7665</v>
      </c>
      <c r="D597" s="7" t="s">
        <v>7666</v>
      </c>
      <c r="E597" s="7" t="s">
        <v>7667</v>
      </c>
      <c r="F597" s="7" t="s">
        <v>7668</v>
      </c>
      <c r="G597" s="7" t="s">
        <v>7669</v>
      </c>
      <c r="H597" s="7" t="s">
        <v>7670</v>
      </c>
      <c r="I597" s="119">
        <v>45292.0</v>
      </c>
      <c r="K597" s="7" t="s">
        <v>419</v>
      </c>
      <c r="L597" s="7" t="s">
        <v>991</v>
      </c>
      <c r="M597" s="7" t="s">
        <v>3501</v>
      </c>
      <c r="N597" s="7" t="s">
        <v>6304</v>
      </c>
      <c r="O597" s="7" t="s">
        <v>6305</v>
      </c>
      <c r="P597" s="7" t="s">
        <v>3843</v>
      </c>
      <c r="Q597" s="7">
        <v>1.0</v>
      </c>
    </row>
    <row r="598">
      <c r="A598" s="7" t="s">
        <v>7671</v>
      </c>
      <c r="B598" s="7">
        <v>2300356.0</v>
      </c>
      <c r="C598" s="7" t="s">
        <v>7665</v>
      </c>
      <c r="D598" s="7" t="s">
        <v>7672</v>
      </c>
      <c r="E598" s="7" t="s">
        <v>7667</v>
      </c>
      <c r="F598" s="7" t="s">
        <v>7673</v>
      </c>
      <c r="G598" s="7" t="s">
        <v>7674</v>
      </c>
      <c r="H598" s="7" t="s">
        <v>7675</v>
      </c>
      <c r="I598" s="119">
        <v>45292.0</v>
      </c>
      <c r="K598" s="7" t="s">
        <v>419</v>
      </c>
      <c r="L598" s="7" t="s">
        <v>991</v>
      </c>
      <c r="M598" s="7" t="s">
        <v>3501</v>
      </c>
      <c r="N598" s="7" t="s">
        <v>7676</v>
      </c>
      <c r="O598" s="7" t="s">
        <v>7677</v>
      </c>
      <c r="P598" s="7" t="s">
        <v>3493</v>
      </c>
      <c r="Q598" s="7">
        <v>1.0</v>
      </c>
    </row>
    <row r="599">
      <c r="A599" s="7" t="s">
        <v>7678</v>
      </c>
      <c r="B599" s="7">
        <v>2300445.0</v>
      </c>
      <c r="C599" s="7" t="s">
        <v>7679</v>
      </c>
      <c r="D599" s="7" t="s">
        <v>7680</v>
      </c>
      <c r="E599" s="7" t="s">
        <v>7681</v>
      </c>
      <c r="F599" s="7" t="s">
        <v>7682</v>
      </c>
      <c r="G599" s="7" t="s">
        <v>7683</v>
      </c>
      <c r="I599" s="119">
        <v>45292.0</v>
      </c>
      <c r="K599" s="7" t="s">
        <v>419</v>
      </c>
      <c r="L599" s="7" t="s">
        <v>991</v>
      </c>
      <c r="M599" s="7" t="s">
        <v>3531</v>
      </c>
      <c r="N599" s="7" t="s">
        <v>3820</v>
      </c>
      <c r="O599" s="7" t="s">
        <v>3821</v>
      </c>
      <c r="P599" s="7" t="s">
        <v>3493</v>
      </c>
      <c r="Q599" s="7">
        <v>1.0</v>
      </c>
    </row>
    <row r="600">
      <c r="A600" s="7" t="s">
        <v>7684</v>
      </c>
      <c r="B600" s="7">
        <v>2100040.0</v>
      </c>
      <c r="C600" s="7" t="s">
        <v>7685</v>
      </c>
      <c r="D600" s="7" t="s">
        <v>7686</v>
      </c>
      <c r="E600" s="7" t="s">
        <v>7681</v>
      </c>
      <c r="F600" s="7" t="s">
        <v>5838</v>
      </c>
      <c r="G600" s="7" t="s">
        <v>7687</v>
      </c>
      <c r="H600" s="7" t="s">
        <v>7688</v>
      </c>
      <c r="I600" s="119">
        <v>45292.0</v>
      </c>
      <c r="K600" s="7" t="s">
        <v>3632</v>
      </c>
      <c r="L600" s="7" t="s">
        <v>991</v>
      </c>
      <c r="M600" s="7" t="s">
        <v>3501</v>
      </c>
      <c r="N600" s="7" t="s">
        <v>5952</v>
      </c>
      <c r="O600" s="7" t="s">
        <v>5953</v>
      </c>
      <c r="P600" s="7" t="s">
        <v>3522</v>
      </c>
      <c r="Q600" s="7" t="s">
        <v>3514</v>
      </c>
    </row>
    <row r="601">
      <c r="A601" s="7" t="s">
        <v>7689</v>
      </c>
      <c r="B601" s="7">
        <v>11874.0</v>
      </c>
      <c r="C601" s="7" t="s">
        <v>6850</v>
      </c>
      <c r="D601" s="7" t="s">
        <v>7690</v>
      </c>
      <c r="E601" s="7" t="s">
        <v>7691</v>
      </c>
      <c r="F601" s="7" t="s">
        <v>3896</v>
      </c>
      <c r="G601" s="7" t="s">
        <v>7692</v>
      </c>
      <c r="H601" s="7" t="s">
        <v>7693</v>
      </c>
      <c r="I601" s="119">
        <v>45292.0</v>
      </c>
      <c r="K601" s="7" t="s">
        <v>419</v>
      </c>
      <c r="L601" s="7" t="s">
        <v>991</v>
      </c>
      <c r="M601" s="7" t="s">
        <v>3501</v>
      </c>
      <c r="N601" s="7" t="s">
        <v>7694</v>
      </c>
      <c r="O601" s="7" t="s">
        <v>7695</v>
      </c>
      <c r="P601" s="7" t="s">
        <v>3493</v>
      </c>
      <c r="Q601" s="7">
        <v>1.0</v>
      </c>
    </row>
    <row r="602">
      <c r="A602" s="7" t="s">
        <v>2049</v>
      </c>
      <c r="B602" s="7">
        <v>324.0</v>
      </c>
      <c r="C602" s="7" t="s">
        <v>7696</v>
      </c>
      <c r="D602" s="7" t="s">
        <v>4699</v>
      </c>
      <c r="E602" s="7" t="s">
        <v>7697</v>
      </c>
      <c r="F602" s="7" t="s">
        <v>4700</v>
      </c>
      <c r="G602" s="7" t="s">
        <v>7698</v>
      </c>
      <c r="H602" s="7" t="s">
        <v>7699</v>
      </c>
      <c r="I602" s="119">
        <v>45292.0</v>
      </c>
      <c r="K602" s="7" t="s">
        <v>419</v>
      </c>
      <c r="L602" s="7" t="s">
        <v>991</v>
      </c>
      <c r="M602" s="7" t="s">
        <v>3501</v>
      </c>
      <c r="N602" s="7" t="s">
        <v>4303</v>
      </c>
      <c r="O602" s="7" t="s">
        <v>4304</v>
      </c>
      <c r="P602" s="7" t="s">
        <v>3843</v>
      </c>
      <c r="Q602" s="7">
        <v>1.0</v>
      </c>
    </row>
    <row r="603">
      <c r="A603" s="7" t="s">
        <v>7700</v>
      </c>
      <c r="B603" s="7">
        <v>13925.0</v>
      </c>
      <c r="C603" s="7" t="s">
        <v>7701</v>
      </c>
      <c r="D603" s="7" t="s">
        <v>6314</v>
      </c>
      <c r="E603" s="7" t="s">
        <v>7702</v>
      </c>
      <c r="F603" s="7" t="s">
        <v>4831</v>
      </c>
      <c r="G603" s="7" t="s">
        <v>7703</v>
      </c>
      <c r="H603" s="7" t="s">
        <v>7704</v>
      </c>
      <c r="I603" s="119">
        <v>45292.0</v>
      </c>
      <c r="J603" s="7" t="s">
        <v>3929</v>
      </c>
      <c r="K603" s="7" t="s">
        <v>419</v>
      </c>
      <c r="L603" s="7" t="s">
        <v>991</v>
      </c>
      <c r="M603" s="7" t="s">
        <v>3501</v>
      </c>
      <c r="N603" s="7" t="s">
        <v>7705</v>
      </c>
      <c r="O603" s="7" t="s">
        <v>7706</v>
      </c>
      <c r="P603" s="7" t="s">
        <v>3522</v>
      </c>
      <c r="Q603" s="7" t="s">
        <v>3523</v>
      </c>
    </row>
    <row r="604">
      <c r="A604" s="7" t="s">
        <v>7707</v>
      </c>
      <c r="B604" s="7">
        <v>10433.0</v>
      </c>
      <c r="C604" s="7" t="s">
        <v>7708</v>
      </c>
      <c r="D604" s="7" t="s">
        <v>5047</v>
      </c>
      <c r="E604" s="7" t="s">
        <v>7709</v>
      </c>
      <c r="F604" s="7" t="s">
        <v>5049</v>
      </c>
      <c r="G604" s="7" t="s">
        <v>7710</v>
      </c>
      <c r="H604" s="7" t="s">
        <v>7711</v>
      </c>
      <c r="I604" s="119">
        <v>45292.0</v>
      </c>
      <c r="K604" s="7" t="s">
        <v>419</v>
      </c>
      <c r="L604" s="7" t="s">
        <v>991</v>
      </c>
      <c r="M604" s="7" t="s">
        <v>3501</v>
      </c>
      <c r="N604" s="7" t="s">
        <v>4557</v>
      </c>
      <c r="O604" s="7" t="s">
        <v>4558</v>
      </c>
      <c r="P604" s="7" t="s">
        <v>3493</v>
      </c>
      <c r="Q604" s="7">
        <v>1.0</v>
      </c>
    </row>
    <row r="605">
      <c r="A605" s="7" t="s">
        <v>7712</v>
      </c>
      <c r="B605" s="7">
        <v>13468.0</v>
      </c>
      <c r="C605" s="7" t="s">
        <v>7713</v>
      </c>
      <c r="D605" s="7" t="s">
        <v>7714</v>
      </c>
      <c r="E605" s="7" t="s">
        <v>7709</v>
      </c>
      <c r="F605" s="7" t="s">
        <v>7715</v>
      </c>
      <c r="G605" s="7" t="s">
        <v>7716</v>
      </c>
      <c r="H605" s="7" t="s">
        <v>7717</v>
      </c>
      <c r="I605" s="119">
        <v>45292.0</v>
      </c>
      <c r="K605" s="7" t="s">
        <v>419</v>
      </c>
      <c r="L605" s="7" t="s">
        <v>991</v>
      </c>
      <c r="M605" s="7" t="s">
        <v>3531</v>
      </c>
      <c r="N605" s="7" t="s">
        <v>6789</v>
      </c>
      <c r="O605" s="7" t="s">
        <v>7718</v>
      </c>
      <c r="P605" s="7" t="s">
        <v>3493</v>
      </c>
      <c r="Q605" s="7">
        <v>1.0</v>
      </c>
    </row>
    <row r="606">
      <c r="A606" s="7" t="s">
        <v>7719</v>
      </c>
      <c r="B606" s="7">
        <v>2100173.0</v>
      </c>
      <c r="C606" s="7" t="s">
        <v>7720</v>
      </c>
      <c r="D606" s="7" t="s">
        <v>7721</v>
      </c>
      <c r="E606" s="7" t="s">
        <v>7722</v>
      </c>
      <c r="F606" s="7" t="s">
        <v>7723</v>
      </c>
      <c r="G606" s="7" t="s">
        <v>7724</v>
      </c>
      <c r="H606" s="7" t="s">
        <v>7725</v>
      </c>
      <c r="I606" s="119">
        <v>45292.0</v>
      </c>
      <c r="K606" s="7" t="s">
        <v>419</v>
      </c>
      <c r="L606" s="7" t="s">
        <v>991</v>
      </c>
      <c r="M606" s="7" t="s">
        <v>3501</v>
      </c>
      <c r="N606" s="7" t="s">
        <v>7726</v>
      </c>
      <c r="O606" s="7" t="s">
        <v>7727</v>
      </c>
      <c r="P606" s="7" t="s">
        <v>3604</v>
      </c>
      <c r="Q606" s="7">
        <v>1.0</v>
      </c>
    </row>
    <row r="607">
      <c r="A607" s="7" t="s">
        <v>7728</v>
      </c>
      <c r="B607" s="7">
        <v>2100444.0</v>
      </c>
      <c r="C607" s="7" t="s">
        <v>7720</v>
      </c>
      <c r="D607" s="7" t="s">
        <v>5383</v>
      </c>
      <c r="E607" s="7" t="s">
        <v>7722</v>
      </c>
      <c r="F607" s="7" t="s">
        <v>3486</v>
      </c>
      <c r="G607" s="7" t="s">
        <v>7729</v>
      </c>
      <c r="H607" s="7" t="s">
        <v>7730</v>
      </c>
      <c r="I607" s="119">
        <v>45292.0</v>
      </c>
      <c r="K607" s="7" t="s">
        <v>419</v>
      </c>
      <c r="L607" s="7" t="s">
        <v>991</v>
      </c>
      <c r="M607" s="7" t="s">
        <v>3501</v>
      </c>
      <c r="N607" s="7" t="s">
        <v>7536</v>
      </c>
      <c r="O607" s="7" t="s">
        <v>7537</v>
      </c>
      <c r="P607" s="7" t="s">
        <v>3843</v>
      </c>
      <c r="Q607" s="7">
        <v>1.0</v>
      </c>
    </row>
    <row r="608">
      <c r="A608" s="7" t="s">
        <v>7731</v>
      </c>
      <c r="B608" s="7">
        <v>2300573.0</v>
      </c>
      <c r="C608" s="7" t="s">
        <v>7732</v>
      </c>
      <c r="D608" s="7" t="s">
        <v>7733</v>
      </c>
      <c r="E608" s="7" t="s">
        <v>7734</v>
      </c>
      <c r="F608" s="7" t="s">
        <v>5514</v>
      </c>
      <c r="G608" s="7" t="s">
        <v>7735</v>
      </c>
      <c r="H608" s="7" t="s">
        <v>7736</v>
      </c>
      <c r="I608" s="119">
        <v>45292.0</v>
      </c>
      <c r="K608" s="7" t="s">
        <v>419</v>
      </c>
      <c r="L608" s="7" t="s">
        <v>991</v>
      </c>
      <c r="M608" s="7" t="s">
        <v>3531</v>
      </c>
      <c r="N608" s="7" t="s">
        <v>3724</v>
      </c>
      <c r="O608" s="7" t="s">
        <v>3725</v>
      </c>
      <c r="P608" s="7" t="s">
        <v>3493</v>
      </c>
      <c r="Q608" s="7">
        <v>1.0</v>
      </c>
    </row>
    <row r="609">
      <c r="A609" s="7" t="s">
        <v>7737</v>
      </c>
      <c r="B609" s="7">
        <v>2200403.0</v>
      </c>
      <c r="C609" s="7" t="s">
        <v>7738</v>
      </c>
      <c r="D609" s="7" t="s">
        <v>5114</v>
      </c>
      <c r="E609" s="7" t="s">
        <v>7739</v>
      </c>
      <c r="F609" s="7" t="s">
        <v>4984</v>
      </c>
      <c r="G609" s="7" t="s">
        <v>7740</v>
      </c>
      <c r="H609" s="7" t="s">
        <v>7741</v>
      </c>
      <c r="I609" s="119">
        <v>45292.0</v>
      </c>
      <c r="K609" s="7" t="s">
        <v>419</v>
      </c>
      <c r="L609" s="7" t="s">
        <v>991</v>
      </c>
      <c r="M609" s="7" t="s">
        <v>3583</v>
      </c>
      <c r="N609" s="7" t="s">
        <v>3809</v>
      </c>
      <c r="O609" s="7" t="s">
        <v>7742</v>
      </c>
      <c r="P609" s="7" t="s">
        <v>7743</v>
      </c>
      <c r="Q609" s="7" t="s">
        <v>7744</v>
      </c>
    </row>
    <row r="610">
      <c r="A610" s="7" t="s">
        <v>7745</v>
      </c>
      <c r="B610" s="7">
        <v>2100571.0</v>
      </c>
      <c r="C610" s="7" t="s">
        <v>7746</v>
      </c>
      <c r="D610" s="7" t="s">
        <v>7747</v>
      </c>
      <c r="E610" s="7" t="s">
        <v>7748</v>
      </c>
      <c r="F610" s="7" t="s">
        <v>4518</v>
      </c>
      <c r="G610" s="7" t="s">
        <v>7749</v>
      </c>
      <c r="H610" s="7" t="s">
        <v>7750</v>
      </c>
      <c r="I610" s="119">
        <v>45292.0</v>
      </c>
      <c r="K610" s="7" t="s">
        <v>419</v>
      </c>
      <c r="L610" s="7" t="s">
        <v>991</v>
      </c>
      <c r="M610" s="7" t="s">
        <v>3501</v>
      </c>
      <c r="N610" s="7" t="s">
        <v>5469</v>
      </c>
      <c r="O610" s="7" t="s">
        <v>5470</v>
      </c>
      <c r="P610" s="7" t="s">
        <v>3493</v>
      </c>
      <c r="Q610" s="7">
        <v>1.0</v>
      </c>
    </row>
    <row r="611">
      <c r="A611" s="7" t="s">
        <v>7751</v>
      </c>
      <c r="B611" s="7">
        <v>8399.0</v>
      </c>
      <c r="C611" s="7" t="s">
        <v>7752</v>
      </c>
      <c r="D611" s="7" t="s">
        <v>7753</v>
      </c>
      <c r="E611" s="7" t="s">
        <v>7754</v>
      </c>
      <c r="F611" s="7" t="s">
        <v>5451</v>
      </c>
      <c r="G611" s="7" t="s">
        <v>7755</v>
      </c>
      <c r="H611" s="7" t="s">
        <v>7756</v>
      </c>
      <c r="I611" s="119">
        <v>45292.0</v>
      </c>
      <c r="K611" s="7" t="s">
        <v>419</v>
      </c>
      <c r="L611" s="7" t="s">
        <v>991</v>
      </c>
      <c r="M611" s="7" t="s">
        <v>3531</v>
      </c>
      <c r="N611" s="7" t="s">
        <v>3511</v>
      </c>
      <c r="O611" s="7" t="s">
        <v>7757</v>
      </c>
      <c r="P611" s="7" t="s">
        <v>3493</v>
      </c>
      <c r="Q611" s="7">
        <v>1.0</v>
      </c>
    </row>
    <row r="612">
      <c r="A612" s="7" t="s">
        <v>7758</v>
      </c>
      <c r="B612" s="7">
        <v>13655.0</v>
      </c>
      <c r="C612" s="7" t="s">
        <v>7759</v>
      </c>
      <c r="D612" s="7" t="s">
        <v>7760</v>
      </c>
      <c r="E612" s="7" t="s">
        <v>7754</v>
      </c>
      <c r="F612" s="7" t="s">
        <v>7761</v>
      </c>
      <c r="G612" s="7" t="s">
        <v>7762</v>
      </c>
      <c r="H612" s="7" t="s">
        <v>7763</v>
      </c>
      <c r="I612" s="119">
        <v>45292.0</v>
      </c>
      <c r="K612" s="7" t="s">
        <v>3632</v>
      </c>
      <c r="L612" s="7" t="s">
        <v>991</v>
      </c>
      <c r="M612" s="7" t="s">
        <v>3501</v>
      </c>
      <c r="N612" s="7" t="s">
        <v>6615</v>
      </c>
      <c r="O612" s="7" t="s">
        <v>6616</v>
      </c>
      <c r="P612" s="7" t="s">
        <v>3894</v>
      </c>
      <c r="Q612" s="7" t="s">
        <v>3523</v>
      </c>
    </row>
    <row r="613">
      <c r="A613" s="7" t="s">
        <v>7764</v>
      </c>
      <c r="B613" s="7">
        <v>12473.0</v>
      </c>
      <c r="C613" s="7" t="s">
        <v>7752</v>
      </c>
      <c r="D613" s="7" t="s">
        <v>4100</v>
      </c>
      <c r="E613" s="7" t="s">
        <v>7754</v>
      </c>
      <c r="F613" s="7" t="s">
        <v>3486</v>
      </c>
      <c r="G613" s="7" t="s">
        <v>7765</v>
      </c>
      <c r="H613" s="7" t="s">
        <v>7766</v>
      </c>
      <c r="I613" s="119">
        <v>45292.0</v>
      </c>
      <c r="K613" s="7" t="s">
        <v>419</v>
      </c>
      <c r="L613" s="7" t="s">
        <v>991</v>
      </c>
      <c r="M613" s="7" t="s">
        <v>3501</v>
      </c>
      <c r="N613" s="7" t="s">
        <v>5755</v>
      </c>
      <c r="O613" s="7" t="s">
        <v>5756</v>
      </c>
      <c r="P613" s="7" t="s">
        <v>3493</v>
      </c>
      <c r="Q613" s="7">
        <v>1.0</v>
      </c>
    </row>
    <row r="614">
      <c r="A614" s="7" t="s">
        <v>7767</v>
      </c>
      <c r="B614" s="7">
        <v>186.0</v>
      </c>
      <c r="C614" s="7" t="s">
        <v>7768</v>
      </c>
      <c r="D614" s="7" t="s">
        <v>7769</v>
      </c>
      <c r="E614" s="7" t="s">
        <v>7770</v>
      </c>
      <c r="F614" s="7" t="s">
        <v>7771</v>
      </c>
      <c r="G614" s="7" t="s">
        <v>7772</v>
      </c>
      <c r="H614" s="7" t="s">
        <v>7773</v>
      </c>
      <c r="I614" s="119">
        <v>45292.0</v>
      </c>
      <c r="K614" s="7" t="s">
        <v>419</v>
      </c>
      <c r="L614" s="7" t="s">
        <v>991</v>
      </c>
      <c r="M614" s="7" t="s">
        <v>3501</v>
      </c>
      <c r="N614" s="7" t="s">
        <v>3695</v>
      </c>
      <c r="O614" s="7" t="s">
        <v>6516</v>
      </c>
      <c r="P614" s="7" t="s">
        <v>4154</v>
      </c>
      <c r="Q614" s="7" t="s">
        <v>3566</v>
      </c>
    </row>
    <row r="615">
      <c r="A615" s="7" t="s">
        <v>7774</v>
      </c>
      <c r="B615" s="7">
        <v>2300679.0</v>
      </c>
      <c r="C615" s="7" t="s">
        <v>7775</v>
      </c>
      <c r="D615" s="7" t="s">
        <v>6628</v>
      </c>
      <c r="E615" s="7" t="s">
        <v>7776</v>
      </c>
      <c r="F615" s="7" t="s">
        <v>6630</v>
      </c>
      <c r="G615" s="7" t="s">
        <v>7777</v>
      </c>
      <c r="H615" s="7" t="s">
        <v>7778</v>
      </c>
      <c r="I615" s="119">
        <v>45292.0</v>
      </c>
      <c r="K615" s="7" t="s">
        <v>3632</v>
      </c>
      <c r="L615" s="7" t="s">
        <v>991</v>
      </c>
      <c r="M615" s="7" t="s">
        <v>3501</v>
      </c>
      <c r="N615" s="7" t="s">
        <v>4324</v>
      </c>
      <c r="O615" s="7" t="s">
        <v>5618</v>
      </c>
      <c r="P615" s="7" t="s">
        <v>3522</v>
      </c>
      <c r="Q615" s="7" t="s">
        <v>3514</v>
      </c>
    </row>
    <row r="616">
      <c r="A616" s="7" t="s">
        <v>7779</v>
      </c>
      <c r="B616" s="7">
        <v>2100018.0</v>
      </c>
      <c r="C616" s="7" t="s">
        <v>7780</v>
      </c>
      <c r="D616" s="7" t="s">
        <v>4016</v>
      </c>
      <c r="E616" s="7" t="s">
        <v>7781</v>
      </c>
      <c r="F616" s="7" t="s">
        <v>4018</v>
      </c>
      <c r="G616" s="7" t="s">
        <v>7782</v>
      </c>
      <c r="H616" s="7" t="s">
        <v>7783</v>
      </c>
      <c r="I616" s="119">
        <v>45292.0</v>
      </c>
      <c r="K616" s="7" t="s">
        <v>419</v>
      </c>
      <c r="L616" s="7" t="s">
        <v>991</v>
      </c>
      <c r="M616" s="7" t="s">
        <v>3490</v>
      </c>
      <c r="N616" s="7" t="s">
        <v>7784</v>
      </c>
      <c r="O616" s="7" t="s">
        <v>7785</v>
      </c>
      <c r="P616" s="7" t="s">
        <v>4154</v>
      </c>
      <c r="Q616" s="7" t="s">
        <v>4155</v>
      </c>
    </row>
    <row r="617">
      <c r="A617" s="7" t="s">
        <v>7786</v>
      </c>
      <c r="B617" s="7">
        <v>2100573.0</v>
      </c>
      <c r="C617" s="7" t="s">
        <v>7787</v>
      </c>
      <c r="D617" s="7" t="s">
        <v>7788</v>
      </c>
      <c r="E617" s="7" t="s">
        <v>7781</v>
      </c>
      <c r="F617" s="7" t="s">
        <v>3806</v>
      </c>
      <c r="G617" s="7" t="s">
        <v>7789</v>
      </c>
      <c r="H617" s="7" t="s">
        <v>7790</v>
      </c>
      <c r="I617" s="119">
        <v>45292.0</v>
      </c>
      <c r="K617" s="7" t="s">
        <v>4405</v>
      </c>
      <c r="L617" s="7" t="s">
        <v>4406</v>
      </c>
      <c r="M617" s="7" t="s">
        <v>7791</v>
      </c>
      <c r="N617" s="7" t="s">
        <v>7792</v>
      </c>
      <c r="O617" s="7" t="s">
        <v>7793</v>
      </c>
      <c r="P617" s="7" t="s">
        <v>5992</v>
      </c>
      <c r="Q617" s="7" t="s">
        <v>4155</v>
      </c>
    </row>
    <row r="618">
      <c r="A618" s="7" t="s">
        <v>7794</v>
      </c>
      <c r="B618" s="7">
        <v>10987.0</v>
      </c>
      <c r="C618" s="7" t="s">
        <v>7795</v>
      </c>
      <c r="D618" s="7" t="s">
        <v>7796</v>
      </c>
      <c r="E618" s="7" t="s">
        <v>7797</v>
      </c>
      <c r="F618" s="7" t="s">
        <v>5286</v>
      </c>
      <c r="G618" s="7" t="s">
        <v>7798</v>
      </c>
      <c r="H618" s="7" t="s">
        <v>7799</v>
      </c>
      <c r="I618" s="119">
        <v>45292.0</v>
      </c>
      <c r="K618" s="7" t="s">
        <v>419</v>
      </c>
      <c r="L618" s="7" t="s">
        <v>991</v>
      </c>
      <c r="M618" s="7" t="s">
        <v>3501</v>
      </c>
      <c r="N618" s="7" t="s">
        <v>5755</v>
      </c>
      <c r="O618" s="7" t="s">
        <v>5756</v>
      </c>
      <c r="P618" s="7" t="s">
        <v>3493</v>
      </c>
      <c r="Q618" s="7">
        <v>1.0</v>
      </c>
    </row>
    <row r="619">
      <c r="A619" s="7" t="s">
        <v>7800</v>
      </c>
      <c r="B619" s="7">
        <v>2200216.0</v>
      </c>
      <c r="C619" s="7" t="s">
        <v>7795</v>
      </c>
      <c r="D619" s="7" t="s">
        <v>7801</v>
      </c>
      <c r="E619" s="7" t="s">
        <v>7797</v>
      </c>
      <c r="F619" s="7" t="s">
        <v>7802</v>
      </c>
      <c r="G619" s="7" t="s">
        <v>7803</v>
      </c>
      <c r="H619" s="7" t="s">
        <v>7804</v>
      </c>
      <c r="I619" s="119">
        <v>45292.0</v>
      </c>
      <c r="K619" s="7" t="s">
        <v>419</v>
      </c>
      <c r="L619" s="7" t="s">
        <v>991</v>
      </c>
      <c r="M619" s="7" t="s">
        <v>3501</v>
      </c>
      <c r="N619" s="7" t="s">
        <v>3502</v>
      </c>
      <c r="O619" s="7" t="s">
        <v>3503</v>
      </c>
      <c r="P619" s="7" t="s">
        <v>3843</v>
      </c>
      <c r="Q619" s="7">
        <v>1.0</v>
      </c>
    </row>
    <row r="620">
      <c r="A620" s="7" t="s">
        <v>7805</v>
      </c>
      <c r="B620" s="7">
        <v>12782.0</v>
      </c>
      <c r="C620" s="7" t="s">
        <v>7795</v>
      </c>
      <c r="D620" s="7" t="s">
        <v>7806</v>
      </c>
      <c r="E620" s="7" t="s">
        <v>7797</v>
      </c>
      <c r="F620" s="7" t="s">
        <v>7637</v>
      </c>
      <c r="G620" s="7" t="s">
        <v>7807</v>
      </c>
      <c r="H620" s="7" t="s">
        <v>7808</v>
      </c>
      <c r="I620" s="119">
        <v>45383.0</v>
      </c>
      <c r="K620" s="7" t="s">
        <v>6124</v>
      </c>
      <c r="L620" s="7" t="s">
        <v>3542</v>
      </c>
      <c r="M620" s="7" t="s">
        <v>4383</v>
      </c>
      <c r="N620" s="7" t="s">
        <v>6040</v>
      </c>
      <c r="O620" s="7" t="s">
        <v>7809</v>
      </c>
      <c r="P620" s="7" t="s">
        <v>3522</v>
      </c>
      <c r="Q620" s="7" t="s">
        <v>3514</v>
      </c>
    </row>
    <row r="621">
      <c r="A621" s="7" t="s">
        <v>7810</v>
      </c>
      <c r="B621" s="7">
        <v>2200217.0</v>
      </c>
      <c r="C621" s="7" t="s">
        <v>7795</v>
      </c>
      <c r="D621" s="7" t="s">
        <v>7811</v>
      </c>
      <c r="E621" s="7" t="s">
        <v>7797</v>
      </c>
      <c r="F621" s="7" t="s">
        <v>7812</v>
      </c>
      <c r="G621" s="7" t="s">
        <v>7813</v>
      </c>
      <c r="H621" s="7" t="s">
        <v>7814</v>
      </c>
      <c r="I621" s="119">
        <v>45292.0</v>
      </c>
      <c r="K621" s="7" t="s">
        <v>419</v>
      </c>
      <c r="L621" s="7" t="s">
        <v>991</v>
      </c>
      <c r="M621" s="7" t="s">
        <v>3501</v>
      </c>
      <c r="N621" s="7" t="s">
        <v>4237</v>
      </c>
      <c r="O621" s="7" t="s">
        <v>4238</v>
      </c>
      <c r="P621" s="7" t="s">
        <v>3493</v>
      </c>
      <c r="Q621" s="7">
        <v>1.0</v>
      </c>
    </row>
    <row r="622">
      <c r="A622" s="7" t="s">
        <v>7815</v>
      </c>
      <c r="B622" s="7">
        <v>13663.0</v>
      </c>
      <c r="C622" s="7" t="s">
        <v>7795</v>
      </c>
      <c r="D622" s="7" t="s">
        <v>7816</v>
      </c>
      <c r="E622" s="7" t="s">
        <v>7797</v>
      </c>
      <c r="F622" s="7" t="s">
        <v>4800</v>
      </c>
      <c r="G622" s="7" t="s">
        <v>7817</v>
      </c>
      <c r="H622" s="7" t="s">
        <v>7818</v>
      </c>
      <c r="I622" s="119">
        <v>45292.0</v>
      </c>
      <c r="K622" s="7" t="s">
        <v>3632</v>
      </c>
      <c r="L622" s="7" t="s">
        <v>991</v>
      </c>
      <c r="M622" s="7" t="s">
        <v>3501</v>
      </c>
      <c r="N622" s="7" t="s">
        <v>7202</v>
      </c>
      <c r="O622" s="7" t="s">
        <v>7819</v>
      </c>
      <c r="P622" s="7" t="s">
        <v>7820</v>
      </c>
      <c r="Q622" s="7" t="s">
        <v>3514</v>
      </c>
    </row>
    <row r="623">
      <c r="A623" s="7" t="s">
        <v>7821</v>
      </c>
      <c r="B623" s="7">
        <v>10351.0</v>
      </c>
      <c r="C623" s="7" t="s">
        <v>7822</v>
      </c>
      <c r="D623" s="7" t="s">
        <v>7823</v>
      </c>
      <c r="E623" s="7" t="s">
        <v>7824</v>
      </c>
      <c r="F623" s="7" t="s">
        <v>5074</v>
      </c>
      <c r="G623" s="7" t="s">
        <v>7825</v>
      </c>
      <c r="H623" s="7" t="s">
        <v>7826</v>
      </c>
      <c r="I623" s="119">
        <v>45292.0</v>
      </c>
      <c r="K623" s="7" t="s">
        <v>419</v>
      </c>
      <c r="L623" s="7" t="s">
        <v>991</v>
      </c>
      <c r="M623" s="7" t="s">
        <v>3501</v>
      </c>
      <c r="N623" s="7" t="s">
        <v>7827</v>
      </c>
      <c r="O623" s="7" t="s">
        <v>7828</v>
      </c>
      <c r="P623" s="7" t="s">
        <v>3843</v>
      </c>
      <c r="Q623" s="7">
        <v>1.0</v>
      </c>
    </row>
    <row r="624">
      <c r="A624" s="7" t="s">
        <v>7829</v>
      </c>
      <c r="B624" s="7">
        <v>2300006.0</v>
      </c>
      <c r="C624" s="7" t="s">
        <v>7830</v>
      </c>
      <c r="D624" s="7" t="s">
        <v>7831</v>
      </c>
      <c r="E624" s="7" t="s">
        <v>7832</v>
      </c>
      <c r="F624" s="7" t="s">
        <v>4929</v>
      </c>
      <c r="G624" s="7" t="s">
        <v>7833</v>
      </c>
      <c r="H624" s="7" t="s">
        <v>7834</v>
      </c>
      <c r="I624" s="119">
        <v>45292.0</v>
      </c>
      <c r="J624" s="7" t="s">
        <v>3929</v>
      </c>
      <c r="K624" s="7" t="s">
        <v>419</v>
      </c>
      <c r="L624" s="7" t="s">
        <v>991</v>
      </c>
      <c r="M624" s="7" t="s">
        <v>3501</v>
      </c>
      <c r="N624" s="7" t="s">
        <v>4021</v>
      </c>
      <c r="O624" s="7" t="s">
        <v>7835</v>
      </c>
      <c r="P624" s="7" t="s">
        <v>3493</v>
      </c>
      <c r="Q624" s="7">
        <v>1.0</v>
      </c>
    </row>
    <row r="625">
      <c r="A625" s="7" t="s">
        <v>7836</v>
      </c>
      <c r="B625" s="7">
        <v>12771.0</v>
      </c>
      <c r="C625" s="7" t="s">
        <v>7830</v>
      </c>
      <c r="D625" s="7" t="s">
        <v>7026</v>
      </c>
      <c r="E625" s="7" t="s">
        <v>7832</v>
      </c>
      <c r="F625" s="7" t="s">
        <v>4598</v>
      </c>
      <c r="G625" s="7" t="s">
        <v>7837</v>
      </c>
      <c r="H625" s="7" t="s">
        <v>7838</v>
      </c>
      <c r="I625" s="119">
        <v>45292.0</v>
      </c>
      <c r="K625" s="7" t="s">
        <v>419</v>
      </c>
      <c r="L625" s="7" t="s">
        <v>991</v>
      </c>
      <c r="M625" s="7" t="s">
        <v>3501</v>
      </c>
      <c r="N625" s="7" t="s">
        <v>4317</v>
      </c>
      <c r="O625" s="7" t="s">
        <v>7839</v>
      </c>
      <c r="P625" s="7" t="s">
        <v>3522</v>
      </c>
      <c r="Q625" s="7" t="s">
        <v>3523</v>
      </c>
    </row>
    <row r="626">
      <c r="A626" s="7" t="s">
        <v>7840</v>
      </c>
      <c r="B626" s="7">
        <v>10513.0</v>
      </c>
      <c r="C626" s="7" t="s">
        <v>7841</v>
      </c>
      <c r="D626" s="7" t="s">
        <v>7842</v>
      </c>
      <c r="E626" s="7" t="s">
        <v>7843</v>
      </c>
      <c r="F626" s="7" t="s">
        <v>7842</v>
      </c>
      <c r="G626" s="7" t="s">
        <v>7844</v>
      </c>
      <c r="H626" s="7" t="s">
        <v>7845</v>
      </c>
      <c r="I626" s="119">
        <v>45292.0</v>
      </c>
      <c r="K626" s="7" t="s">
        <v>419</v>
      </c>
      <c r="L626" s="7" t="s">
        <v>991</v>
      </c>
      <c r="M626" s="7" t="s">
        <v>3501</v>
      </c>
      <c r="N626" s="7" t="s">
        <v>4490</v>
      </c>
      <c r="O626" s="7" t="s">
        <v>7846</v>
      </c>
      <c r="P626" s="7" t="s">
        <v>3493</v>
      </c>
      <c r="Q626" s="7">
        <v>1.0</v>
      </c>
    </row>
    <row r="627">
      <c r="A627" s="7" t="s">
        <v>7847</v>
      </c>
      <c r="B627" s="7">
        <v>2100355.0</v>
      </c>
      <c r="C627" s="7" t="s">
        <v>7848</v>
      </c>
      <c r="D627" s="7" t="s">
        <v>4699</v>
      </c>
      <c r="E627" s="7" t="s">
        <v>7849</v>
      </c>
      <c r="F627" s="7" t="s">
        <v>4700</v>
      </c>
      <c r="G627" s="7" t="s">
        <v>7850</v>
      </c>
      <c r="H627" s="7" t="s">
        <v>7851</v>
      </c>
      <c r="I627" s="119">
        <v>45292.0</v>
      </c>
      <c r="K627" s="7" t="s">
        <v>419</v>
      </c>
      <c r="L627" s="7" t="s">
        <v>991</v>
      </c>
      <c r="M627" s="7" t="s">
        <v>3501</v>
      </c>
      <c r="N627" s="7" t="s">
        <v>3996</v>
      </c>
      <c r="O627" s="7" t="s">
        <v>3997</v>
      </c>
      <c r="P627" s="7" t="s">
        <v>3493</v>
      </c>
      <c r="Q627" s="7">
        <v>1.0</v>
      </c>
    </row>
    <row r="628">
      <c r="A628" s="7" t="s">
        <v>7852</v>
      </c>
      <c r="B628" s="7">
        <v>10543.0</v>
      </c>
      <c r="C628" s="7" t="s">
        <v>7853</v>
      </c>
      <c r="D628" s="7" t="s">
        <v>4009</v>
      </c>
      <c r="E628" s="7" t="s">
        <v>7854</v>
      </c>
      <c r="F628" s="7" t="s">
        <v>4009</v>
      </c>
      <c r="G628" s="7" t="s">
        <v>7855</v>
      </c>
      <c r="H628" s="7" t="s">
        <v>7856</v>
      </c>
      <c r="I628" s="119">
        <v>45292.0</v>
      </c>
      <c r="K628" s="7" t="s">
        <v>419</v>
      </c>
      <c r="L628" s="7" t="s">
        <v>991</v>
      </c>
      <c r="M628" s="7" t="s">
        <v>3501</v>
      </c>
      <c r="N628" s="7" t="s">
        <v>7857</v>
      </c>
      <c r="O628" s="7" t="s">
        <v>7858</v>
      </c>
      <c r="P628" s="7" t="s">
        <v>3493</v>
      </c>
      <c r="Q628" s="7">
        <v>1.0</v>
      </c>
    </row>
    <row r="629">
      <c r="A629" s="7" t="s">
        <v>1606</v>
      </c>
      <c r="B629" s="7">
        <v>345.0</v>
      </c>
      <c r="C629" s="7" t="s">
        <v>7853</v>
      </c>
      <c r="D629" s="7" t="s">
        <v>3862</v>
      </c>
      <c r="E629" s="7" t="s">
        <v>7854</v>
      </c>
      <c r="F629" s="7" t="s">
        <v>3508</v>
      </c>
      <c r="G629" s="7" t="s">
        <v>7859</v>
      </c>
      <c r="H629" s="7" t="s">
        <v>7860</v>
      </c>
      <c r="I629" s="119">
        <v>45292.0</v>
      </c>
      <c r="K629" s="7" t="s">
        <v>3885</v>
      </c>
      <c r="L629" s="7" t="s">
        <v>3542</v>
      </c>
      <c r="M629" s="7" t="s">
        <v>3543</v>
      </c>
      <c r="N629" s="7" t="s">
        <v>3886</v>
      </c>
      <c r="O629" s="7" t="s">
        <v>3887</v>
      </c>
      <c r="P629" s="7" t="s">
        <v>3522</v>
      </c>
      <c r="Q629" s="7" t="s">
        <v>3514</v>
      </c>
    </row>
    <row r="630">
      <c r="A630" s="7" t="s">
        <v>7861</v>
      </c>
      <c r="B630" s="7">
        <v>2300571.0</v>
      </c>
      <c r="C630" s="7" t="s">
        <v>7853</v>
      </c>
      <c r="D630" s="7" t="s">
        <v>7862</v>
      </c>
      <c r="E630" s="7" t="s">
        <v>7854</v>
      </c>
      <c r="F630" s="7" t="s">
        <v>5229</v>
      </c>
      <c r="G630" s="7" t="s">
        <v>7863</v>
      </c>
      <c r="H630" s="7" t="s">
        <v>7864</v>
      </c>
      <c r="I630" s="119">
        <v>45292.0</v>
      </c>
      <c r="K630" s="7" t="s">
        <v>419</v>
      </c>
      <c r="L630" s="7" t="s">
        <v>991</v>
      </c>
      <c r="M630" s="7" t="s">
        <v>3501</v>
      </c>
      <c r="N630" s="7" t="s">
        <v>4564</v>
      </c>
      <c r="O630" s="7" t="s">
        <v>4565</v>
      </c>
      <c r="P630" s="7" t="s">
        <v>3493</v>
      </c>
      <c r="Q630" s="7">
        <v>1.0</v>
      </c>
    </row>
    <row r="631">
      <c r="A631" s="7" t="s">
        <v>7865</v>
      </c>
      <c r="B631" s="7">
        <v>14167.0</v>
      </c>
      <c r="C631" s="7" t="s">
        <v>7853</v>
      </c>
      <c r="D631" s="7" t="s">
        <v>7866</v>
      </c>
      <c r="E631" s="7" t="s">
        <v>7854</v>
      </c>
      <c r="F631" s="7" t="s">
        <v>5229</v>
      </c>
      <c r="G631" s="7" t="s">
        <v>7867</v>
      </c>
      <c r="H631" s="7" t="s">
        <v>7868</v>
      </c>
      <c r="I631" s="119">
        <v>45292.0</v>
      </c>
      <c r="K631" s="7" t="s">
        <v>419</v>
      </c>
      <c r="L631" s="7" t="s">
        <v>991</v>
      </c>
      <c r="M631" s="7" t="s">
        <v>3501</v>
      </c>
      <c r="N631" s="7" t="s">
        <v>7869</v>
      </c>
      <c r="O631" s="7" t="s">
        <v>7870</v>
      </c>
      <c r="P631" s="7" t="s">
        <v>3493</v>
      </c>
      <c r="Q631" s="7">
        <v>1.0</v>
      </c>
    </row>
    <row r="632">
      <c r="A632" s="7" t="s">
        <v>1454</v>
      </c>
      <c r="B632" s="7">
        <v>229.0</v>
      </c>
      <c r="C632" s="7" t="s">
        <v>7853</v>
      </c>
      <c r="D632" s="7" t="s">
        <v>7871</v>
      </c>
      <c r="E632" s="7" t="s">
        <v>7854</v>
      </c>
      <c r="F632" s="7" t="s">
        <v>7872</v>
      </c>
      <c r="G632" s="7" t="s">
        <v>7873</v>
      </c>
      <c r="H632" s="7" t="s">
        <v>7874</v>
      </c>
      <c r="I632" s="119">
        <v>45292.0</v>
      </c>
      <c r="K632" s="7" t="s">
        <v>7875</v>
      </c>
      <c r="L632" s="7" t="s">
        <v>4406</v>
      </c>
      <c r="M632" s="7" t="s">
        <v>4407</v>
      </c>
      <c r="N632" s="7" t="s">
        <v>5980</v>
      </c>
      <c r="O632" s="7" t="s">
        <v>7876</v>
      </c>
      <c r="P632" s="7" t="s">
        <v>7877</v>
      </c>
      <c r="Q632" s="7" t="s">
        <v>6296</v>
      </c>
    </row>
    <row r="633">
      <c r="A633" s="7" t="s">
        <v>7878</v>
      </c>
      <c r="B633" s="7">
        <v>13741.0</v>
      </c>
      <c r="C633" s="7" t="s">
        <v>7853</v>
      </c>
      <c r="D633" s="7" t="s">
        <v>7879</v>
      </c>
      <c r="E633" s="7" t="s">
        <v>7854</v>
      </c>
      <c r="F633" s="7" t="s">
        <v>7880</v>
      </c>
      <c r="G633" s="7" t="s">
        <v>7881</v>
      </c>
      <c r="H633" s="7" t="s">
        <v>7882</v>
      </c>
      <c r="I633" s="119">
        <v>45292.0</v>
      </c>
      <c r="K633" s="7" t="s">
        <v>419</v>
      </c>
      <c r="L633" s="7" t="s">
        <v>991</v>
      </c>
      <c r="M633" s="7" t="s">
        <v>3531</v>
      </c>
      <c r="N633" s="7" t="s">
        <v>7883</v>
      </c>
      <c r="O633" s="7" t="s">
        <v>7884</v>
      </c>
      <c r="P633" s="7" t="s">
        <v>3493</v>
      </c>
      <c r="Q633" s="7">
        <v>1.0</v>
      </c>
    </row>
    <row r="634">
      <c r="A634" s="7" t="s">
        <v>7885</v>
      </c>
      <c r="B634" s="7">
        <v>14190.0</v>
      </c>
      <c r="C634" s="7" t="s">
        <v>7853</v>
      </c>
      <c r="D634" s="7" t="s">
        <v>7886</v>
      </c>
      <c r="E634" s="7" t="s">
        <v>7854</v>
      </c>
      <c r="F634" s="7" t="s">
        <v>7887</v>
      </c>
      <c r="G634" s="7" t="s">
        <v>7888</v>
      </c>
      <c r="H634" s="7" t="s">
        <v>7889</v>
      </c>
      <c r="I634" s="119">
        <v>45292.0</v>
      </c>
      <c r="K634" s="7" t="s">
        <v>419</v>
      </c>
      <c r="L634" s="7" t="s">
        <v>991</v>
      </c>
      <c r="M634" s="7" t="s">
        <v>3501</v>
      </c>
      <c r="N634" s="7" t="s">
        <v>5740</v>
      </c>
      <c r="O634" s="7" t="s">
        <v>5741</v>
      </c>
      <c r="P634" s="7" t="s">
        <v>3493</v>
      </c>
      <c r="Q634" s="7">
        <v>1.0</v>
      </c>
    </row>
    <row r="635">
      <c r="A635" s="7" t="s">
        <v>7890</v>
      </c>
      <c r="B635" s="7">
        <v>2200594.0</v>
      </c>
      <c r="C635" s="7" t="s">
        <v>7853</v>
      </c>
      <c r="D635" s="7" t="s">
        <v>7891</v>
      </c>
      <c r="E635" s="7" t="s">
        <v>7854</v>
      </c>
      <c r="F635" s="7" t="s">
        <v>7892</v>
      </c>
      <c r="G635" s="7" t="s">
        <v>7893</v>
      </c>
      <c r="H635" s="7" t="s">
        <v>7894</v>
      </c>
      <c r="I635" s="119">
        <v>45292.0</v>
      </c>
      <c r="K635" s="7" t="s">
        <v>3622</v>
      </c>
      <c r="L635" s="7" t="s">
        <v>991</v>
      </c>
      <c r="M635" s="7" t="s">
        <v>3531</v>
      </c>
      <c r="N635" s="7" t="s">
        <v>3623</v>
      </c>
      <c r="O635" s="7" t="s">
        <v>3624</v>
      </c>
      <c r="P635" s="7" t="s">
        <v>3493</v>
      </c>
      <c r="Q635" s="7">
        <v>1.0</v>
      </c>
    </row>
    <row r="636">
      <c r="A636" s="7" t="s">
        <v>7895</v>
      </c>
      <c r="B636" s="7">
        <v>13902.0</v>
      </c>
      <c r="C636" s="7" t="s">
        <v>7853</v>
      </c>
      <c r="D636" s="7" t="s">
        <v>7896</v>
      </c>
      <c r="E636" s="7" t="s">
        <v>7854</v>
      </c>
      <c r="F636" s="7" t="s">
        <v>4700</v>
      </c>
      <c r="G636" s="7" t="s">
        <v>7897</v>
      </c>
      <c r="H636" s="7" t="s">
        <v>7898</v>
      </c>
      <c r="I636" s="119">
        <v>45292.0</v>
      </c>
      <c r="K636" s="7" t="s">
        <v>419</v>
      </c>
      <c r="L636" s="7" t="s">
        <v>991</v>
      </c>
      <c r="M636" s="7" t="s">
        <v>3531</v>
      </c>
      <c r="N636" s="7" t="s">
        <v>5013</v>
      </c>
      <c r="O636" s="7" t="s">
        <v>5706</v>
      </c>
      <c r="P636" s="7" t="s">
        <v>3493</v>
      </c>
      <c r="Q636" s="7">
        <v>1.0</v>
      </c>
    </row>
    <row r="637">
      <c r="A637" s="7" t="s">
        <v>7899</v>
      </c>
      <c r="B637" s="7">
        <v>2200504.0</v>
      </c>
      <c r="C637" s="7" t="s">
        <v>7853</v>
      </c>
      <c r="D637" s="7" t="s">
        <v>7900</v>
      </c>
      <c r="E637" s="7" t="s">
        <v>7854</v>
      </c>
      <c r="F637" s="7" t="s">
        <v>3917</v>
      </c>
      <c r="G637" s="7" t="s">
        <v>7901</v>
      </c>
      <c r="H637" s="7" t="s">
        <v>7902</v>
      </c>
      <c r="I637" s="119">
        <v>45292.0</v>
      </c>
      <c r="K637" s="7" t="s">
        <v>419</v>
      </c>
      <c r="L637" s="7" t="s">
        <v>991</v>
      </c>
      <c r="M637" s="7" t="s">
        <v>3531</v>
      </c>
      <c r="N637" s="7" t="s">
        <v>7060</v>
      </c>
      <c r="O637" s="7" t="s">
        <v>7061</v>
      </c>
      <c r="P637" s="7" t="s">
        <v>3493</v>
      </c>
      <c r="Q637" s="7">
        <v>1.0</v>
      </c>
    </row>
    <row r="638">
      <c r="A638" s="7" t="s">
        <v>7903</v>
      </c>
      <c r="B638" s="7">
        <v>2300077.0</v>
      </c>
      <c r="C638" s="7" t="s">
        <v>7853</v>
      </c>
      <c r="D638" s="7" t="s">
        <v>7904</v>
      </c>
      <c r="E638" s="7" t="s">
        <v>7854</v>
      </c>
      <c r="F638" s="7" t="s">
        <v>4546</v>
      </c>
      <c r="G638" s="7" t="s">
        <v>7905</v>
      </c>
      <c r="H638" s="7" t="s">
        <v>7906</v>
      </c>
      <c r="I638" s="119">
        <v>45292.0</v>
      </c>
      <c r="K638" s="7" t="s">
        <v>6654</v>
      </c>
      <c r="L638" s="7" t="s">
        <v>6655</v>
      </c>
      <c r="M638" s="7" t="s">
        <v>6656</v>
      </c>
      <c r="N638" s="7" t="s">
        <v>7907</v>
      </c>
      <c r="O638" s="7" t="s">
        <v>7908</v>
      </c>
      <c r="P638" s="7" t="s">
        <v>3522</v>
      </c>
      <c r="Q638" s="7" t="s">
        <v>3514</v>
      </c>
    </row>
    <row r="639">
      <c r="A639" s="7" t="s">
        <v>7909</v>
      </c>
      <c r="B639" s="7">
        <v>10805.0</v>
      </c>
      <c r="C639" s="7" t="s">
        <v>7853</v>
      </c>
      <c r="D639" s="7" t="s">
        <v>7910</v>
      </c>
      <c r="E639" s="7" t="s">
        <v>7854</v>
      </c>
      <c r="F639" s="7" t="s">
        <v>4469</v>
      </c>
      <c r="G639" s="7" t="s">
        <v>7911</v>
      </c>
      <c r="H639" s="7" t="s">
        <v>7912</v>
      </c>
      <c r="I639" s="119">
        <v>45292.0</v>
      </c>
      <c r="K639" s="7" t="s">
        <v>419</v>
      </c>
      <c r="L639" s="7" t="s">
        <v>991</v>
      </c>
      <c r="M639" s="7" t="s">
        <v>3501</v>
      </c>
      <c r="N639" s="7" t="s">
        <v>5461</v>
      </c>
      <c r="O639" s="7" t="s">
        <v>5462</v>
      </c>
      <c r="P639" s="7" t="s">
        <v>3493</v>
      </c>
      <c r="Q639" s="7">
        <v>1.0</v>
      </c>
    </row>
    <row r="640">
      <c r="A640" s="7" t="s">
        <v>1920</v>
      </c>
      <c r="B640" s="7">
        <v>238.0</v>
      </c>
      <c r="C640" s="7" t="s">
        <v>7853</v>
      </c>
      <c r="D640" s="7" t="s">
        <v>5743</v>
      </c>
      <c r="E640" s="7" t="s">
        <v>7854</v>
      </c>
      <c r="F640" s="7" t="s">
        <v>5058</v>
      </c>
      <c r="G640" s="7" t="s">
        <v>7913</v>
      </c>
      <c r="H640" s="7" t="s">
        <v>7914</v>
      </c>
      <c r="I640" s="119">
        <v>45292.0</v>
      </c>
      <c r="K640" s="7" t="s">
        <v>419</v>
      </c>
      <c r="L640" s="7" t="s">
        <v>991</v>
      </c>
      <c r="M640" s="7" t="s">
        <v>3501</v>
      </c>
      <c r="N640" s="7" t="s">
        <v>7433</v>
      </c>
      <c r="O640" s="7" t="s">
        <v>7434</v>
      </c>
      <c r="P640" s="7" t="s">
        <v>3493</v>
      </c>
      <c r="Q640" s="7">
        <v>1.0</v>
      </c>
    </row>
    <row r="641">
      <c r="A641" s="7" t="s">
        <v>7915</v>
      </c>
      <c r="B641" s="7">
        <v>2100262.0</v>
      </c>
      <c r="C641" s="7" t="s">
        <v>7853</v>
      </c>
      <c r="D641" s="7" t="s">
        <v>7916</v>
      </c>
      <c r="E641" s="7" t="s">
        <v>7854</v>
      </c>
      <c r="F641" s="7" t="s">
        <v>4967</v>
      </c>
      <c r="G641" s="7" t="s">
        <v>7917</v>
      </c>
      <c r="H641" s="7" t="s">
        <v>7918</v>
      </c>
      <c r="I641" s="119">
        <v>45292.0</v>
      </c>
      <c r="K641" s="7" t="s">
        <v>419</v>
      </c>
      <c r="L641" s="7" t="s">
        <v>991</v>
      </c>
      <c r="M641" s="7" t="s">
        <v>3583</v>
      </c>
      <c r="N641" s="7" t="s">
        <v>3552</v>
      </c>
      <c r="O641" s="7" t="s">
        <v>7919</v>
      </c>
      <c r="P641" s="7" t="s">
        <v>7920</v>
      </c>
      <c r="Q641" s="7" t="s">
        <v>7921</v>
      </c>
    </row>
    <row r="642">
      <c r="A642" s="7" t="s">
        <v>7922</v>
      </c>
      <c r="B642" s="7">
        <v>10940.0</v>
      </c>
      <c r="C642" s="7" t="s">
        <v>6137</v>
      </c>
      <c r="D642" s="7" t="s">
        <v>7923</v>
      </c>
      <c r="E642" s="7" t="s">
        <v>7924</v>
      </c>
      <c r="F642" s="7" t="s">
        <v>5627</v>
      </c>
      <c r="G642" s="7" t="s">
        <v>7925</v>
      </c>
      <c r="H642" s="7" t="s">
        <v>7926</v>
      </c>
      <c r="I642" s="119">
        <v>45292.0</v>
      </c>
      <c r="K642" s="7" t="s">
        <v>419</v>
      </c>
      <c r="L642" s="7" t="s">
        <v>991</v>
      </c>
      <c r="M642" s="7" t="s">
        <v>3501</v>
      </c>
      <c r="N642" s="7" t="s">
        <v>3877</v>
      </c>
      <c r="O642" s="7" t="s">
        <v>3878</v>
      </c>
      <c r="P642" s="7" t="s">
        <v>3493</v>
      </c>
      <c r="Q642" s="7">
        <v>1.0</v>
      </c>
    </row>
    <row r="643">
      <c r="A643" s="7" t="s">
        <v>7927</v>
      </c>
      <c r="B643" s="7">
        <v>13686.0</v>
      </c>
      <c r="C643" s="7" t="s">
        <v>6137</v>
      </c>
      <c r="D643" s="7" t="s">
        <v>7928</v>
      </c>
      <c r="E643" s="7" t="s">
        <v>7924</v>
      </c>
      <c r="F643" s="7" t="s">
        <v>7929</v>
      </c>
      <c r="G643" s="7" t="s">
        <v>7930</v>
      </c>
      <c r="H643" s="7" t="s">
        <v>7931</v>
      </c>
      <c r="I643" s="119">
        <v>45292.0</v>
      </c>
      <c r="K643" s="7" t="s">
        <v>3632</v>
      </c>
      <c r="L643" s="7" t="s">
        <v>991</v>
      </c>
      <c r="M643" s="7" t="s">
        <v>3501</v>
      </c>
      <c r="N643" s="7" t="s">
        <v>7202</v>
      </c>
      <c r="O643" s="7" t="s">
        <v>7819</v>
      </c>
      <c r="P643" s="7" t="s">
        <v>3522</v>
      </c>
      <c r="Q643" s="7" t="s">
        <v>3514</v>
      </c>
    </row>
    <row r="644">
      <c r="A644" s="7" t="s">
        <v>7932</v>
      </c>
      <c r="B644" s="7">
        <v>2100583.0</v>
      </c>
      <c r="C644" s="7" t="s">
        <v>6137</v>
      </c>
      <c r="D644" s="7" t="s">
        <v>7933</v>
      </c>
      <c r="E644" s="7" t="s">
        <v>7924</v>
      </c>
      <c r="F644" s="7" t="s">
        <v>7934</v>
      </c>
      <c r="G644" s="7" t="s">
        <v>7935</v>
      </c>
      <c r="H644" s="7" t="s">
        <v>7936</v>
      </c>
      <c r="I644" s="119">
        <v>45292.0</v>
      </c>
      <c r="K644" s="7" t="s">
        <v>419</v>
      </c>
      <c r="L644" s="7" t="s">
        <v>991</v>
      </c>
      <c r="M644" s="7" t="s">
        <v>3501</v>
      </c>
      <c r="N644" s="7" t="s">
        <v>7937</v>
      </c>
      <c r="O644" s="7" t="s">
        <v>7938</v>
      </c>
      <c r="P644" s="7" t="s">
        <v>7939</v>
      </c>
      <c r="Q644" s="7" t="s">
        <v>7940</v>
      </c>
    </row>
    <row r="645">
      <c r="A645" s="7" t="s">
        <v>7941</v>
      </c>
      <c r="B645" s="7">
        <v>13751.0</v>
      </c>
      <c r="C645" s="7" t="s">
        <v>7942</v>
      </c>
      <c r="D645" s="7" t="s">
        <v>7943</v>
      </c>
      <c r="E645" s="7" t="s">
        <v>7944</v>
      </c>
      <c r="F645" s="7" t="s">
        <v>5627</v>
      </c>
      <c r="G645" s="7" t="s">
        <v>7945</v>
      </c>
      <c r="H645" s="7" t="s">
        <v>7946</v>
      </c>
      <c r="I645" s="119">
        <v>45292.0</v>
      </c>
      <c r="K645" s="7" t="s">
        <v>419</v>
      </c>
      <c r="L645" s="7" t="s">
        <v>991</v>
      </c>
      <c r="M645" s="7" t="s">
        <v>3531</v>
      </c>
      <c r="N645" s="7" t="s">
        <v>7947</v>
      </c>
      <c r="O645" s="7" t="s">
        <v>7948</v>
      </c>
      <c r="P645" s="7" t="s">
        <v>3493</v>
      </c>
      <c r="Q645" s="7">
        <v>1.0</v>
      </c>
    </row>
    <row r="646">
      <c r="A646" s="7" t="s">
        <v>7949</v>
      </c>
      <c r="B646" s="7">
        <v>2200810.0</v>
      </c>
      <c r="C646" s="7" t="s">
        <v>7942</v>
      </c>
      <c r="D646" s="7" t="s">
        <v>7950</v>
      </c>
      <c r="E646" s="7" t="s">
        <v>7944</v>
      </c>
      <c r="F646" s="7" t="s">
        <v>5627</v>
      </c>
      <c r="G646" s="7" t="s">
        <v>7951</v>
      </c>
      <c r="H646" s="7" t="s">
        <v>7952</v>
      </c>
      <c r="I646" s="119">
        <v>45292.0</v>
      </c>
      <c r="K646" s="7" t="s">
        <v>3622</v>
      </c>
      <c r="L646" s="7" t="s">
        <v>991</v>
      </c>
      <c r="M646" s="7" t="s">
        <v>4644</v>
      </c>
      <c r="N646" s="7" t="s">
        <v>3623</v>
      </c>
      <c r="O646" s="7" t="s">
        <v>3624</v>
      </c>
      <c r="P646" s="7" t="s">
        <v>7953</v>
      </c>
      <c r="Q646" s="7">
        <v>1.0</v>
      </c>
    </row>
    <row r="647">
      <c r="A647" s="7" t="s">
        <v>7954</v>
      </c>
      <c r="B647" s="7">
        <v>1300.0</v>
      </c>
      <c r="C647" s="7" t="s">
        <v>7955</v>
      </c>
      <c r="D647" s="7" t="s">
        <v>7956</v>
      </c>
      <c r="E647" s="7" t="s">
        <v>7957</v>
      </c>
      <c r="F647" s="7" t="s">
        <v>7958</v>
      </c>
      <c r="G647" s="7" t="s">
        <v>7959</v>
      </c>
      <c r="H647" s="7" t="s">
        <v>7960</v>
      </c>
      <c r="I647" s="119">
        <v>45292.0</v>
      </c>
      <c r="K647" s="7" t="s">
        <v>419</v>
      </c>
      <c r="L647" s="7" t="s">
        <v>991</v>
      </c>
      <c r="M647" s="7" t="s">
        <v>3501</v>
      </c>
      <c r="N647" s="7" t="s">
        <v>3827</v>
      </c>
      <c r="O647" s="7" t="s">
        <v>3828</v>
      </c>
      <c r="P647" s="7" t="s">
        <v>3522</v>
      </c>
      <c r="Q647" s="7" t="s">
        <v>3523</v>
      </c>
    </row>
    <row r="648">
      <c r="A648" s="7" t="s">
        <v>7961</v>
      </c>
      <c r="B648" s="7">
        <v>14002.0</v>
      </c>
      <c r="C648" s="7" t="s">
        <v>7955</v>
      </c>
      <c r="D648" s="7" t="s">
        <v>7962</v>
      </c>
      <c r="E648" s="7" t="s">
        <v>7957</v>
      </c>
      <c r="F648" s="7" t="s">
        <v>3909</v>
      </c>
      <c r="G648" s="7" t="s">
        <v>7963</v>
      </c>
      <c r="H648" s="7" t="s">
        <v>7964</v>
      </c>
      <c r="I648" s="119">
        <v>45292.0</v>
      </c>
      <c r="K648" s="7" t="s">
        <v>419</v>
      </c>
      <c r="L648" s="7" t="s">
        <v>991</v>
      </c>
      <c r="M648" s="7" t="s">
        <v>3501</v>
      </c>
      <c r="N648" s="7" t="s">
        <v>7965</v>
      </c>
      <c r="O648" s="7" t="s">
        <v>7966</v>
      </c>
      <c r="P648" s="7" t="s">
        <v>3493</v>
      </c>
      <c r="Q648" s="7">
        <v>1.0</v>
      </c>
    </row>
    <row r="649">
      <c r="A649" s="7" t="s">
        <v>7967</v>
      </c>
      <c r="B649" s="7">
        <v>2200911.0</v>
      </c>
      <c r="C649" s="7" t="s">
        <v>7968</v>
      </c>
      <c r="D649" s="7" t="s">
        <v>7969</v>
      </c>
      <c r="E649" s="7" t="s">
        <v>7970</v>
      </c>
      <c r="F649" s="7" t="s">
        <v>7971</v>
      </c>
      <c r="G649" s="7" t="s">
        <v>7972</v>
      </c>
      <c r="H649" s="7" t="s">
        <v>7973</v>
      </c>
      <c r="I649" s="119">
        <v>45292.0</v>
      </c>
      <c r="K649" s="7" t="s">
        <v>419</v>
      </c>
      <c r="L649" s="7" t="s">
        <v>991</v>
      </c>
      <c r="M649" s="7" t="s">
        <v>3531</v>
      </c>
      <c r="N649" s="7" t="s">
        <v>7974</v>
      </c>
      <c r="O649" s="7" t="s">
        <v>7975</v>
      </c>
      <c r="P649" s="7" t="s">
        <v>3493</v>
      </c>
      <c r="Q649" s="7">
        <v>1.0</v>
      </c>
    </row>
    <row r="650">
      <c r="A650" s="7" t="s">
        <v>7976</v>
      </c>
      <c r="B650" s="7">
        <v>2100093.0</v>
      </c>
      <c r="C650" s="7" t="s">
        <v>7977</v>
      </c>
      <c r="D650" s="7" t="s">
        <v>7978</v>
      </c>
      <c r="E650" s="7" t="s">
        <v>7979</v>
      </c>
      <c r="F650" s="7" t="s">
        <v>3691</v>
      </c>
      <c r="G650" s="7" t="s">
        <v>7980</v>
      </c>
      <c r="H650" s="7" t="s">
        <v>7981</v>
      </c>
      <c r="I650" s="119">
        <v>45292.0</v>
      </c>
      <c r="K650" s="7" t="s">
        <v>3632</v>
      </c>
      <c r="L650" s="7" t="s">
        <v>991</v>
      </c>
      <c r="M650" s="7" t="s">
        <v>3583</v>
      </c>
      <c r="N650" s="7" t="s">
        <v>4190</v>
      </c>
      <c r="O650" s="7" t="s">
        <v>4191</v>
      </c>
      <c r="P650" s="7" t="s">
        <v>3493</v>
      </c>
      <c r="Q650" s="7">
        <v>1.0</v>
      </c>
    </row>
    <row r="651">
      <c r="A651" s="7" t="s">
        <v>7982</v>
      </c>
      <c r="B651" s="7">
        <v>950.0</v>
      </c>
      <c r="C651" s="7" t="s">
        <v>7983</v>
      </c>
      <c r="D651" s="7" t="s">
        <v>7984</v>
      </c>
      <c r="E651" s="7" t="s">
        <v>7985</v>
      </c>
      <c r="F651" s="7" t="s">
        <v>4960</v>
      </c>
      <c r="G651" s="7" t="s">
        <v>7986</v>
      </c>
      <c r="H651" s="7" t="s">
        <v>7987</v>
      </c>
      <c r="I651" s="119">
        <v>45292.0</v>
      </c>
      <c r="K651" s="7" t="s">
        <v>419</v>
      </c>
      <c r="L651" s="7" t="s">
        <v>991</v>
      </c>
      <c r="M651" s="7" t="s">
        <v>3501</v>
      </c>
      <c r="N651" s="7" t="s">
        <v>7988</v>
      </c>
      <c r="O651" s="7" t="s">
        <v>7989</v>
      </c>
      <c r="P651" s="7" t="s">
        <v>4420</v>
      </c>
      <c r="Q651" s="7" t="s">
        <v>3523</v>
      </c>
    </row>
    <row r="652">
      <c r="A652" s="7" t="s">
        <v>7990</v>
      </c>
      <c r="B652" s="7">
        <v>589.0</v>
      </c>
      <c r="C652" s="7" t="s">
        <v>7991</v>
      </c>
      <c r="D652" s="7" t="s">
        <v>7992</v>
      </c>
      <c r="E652" s="7" t="s">
        <v>7993</v>
      </c>
      <c r="F652" s="7" t="s">
        <v>3508</v>
      </c>
      <c r="G652" s="7" t="s">
        <v>7994</v>
      </c>
      <c r="H652" s="7" t="s">
        <v>7995</v>
      </c>
      <c r="I652" s="119">
        <v>45292.0</v>
      </c>
      <c r="K652" s="7" t="s">
        <v>419</v>
      </c>
      <c r="L652" s="7" t="s">
        <v>991</v>
      </c>
      <c r="M652" s="7" t="s">
        <v>3501</v>
      </c>
      <c r="N652" s="7" t="s">
        <v>5875</v>
      </c>
      <c r="O652" s="7" t="s">
        <v>5876</v>
      </c>
      <c r="P652" s="7" t="s">
        <v>3493</v>
      </c>
      <c r="Q652" s="7">
        <v>1.0</v>
      </c>
    </row>
    <row r="653">
      <c r="A653" s="7" t="s">
        <v>7996</v>
      </c>
      <c r="B653" s="7">
        <v>2200007.0</v>
      </c>
      <c r="C653" s="7" t="s">
        <v>7997</v>
      </c>
      <c r="D653" s="7" t="s">
        <v>7998</v>
      </c>
      <c r="E653" s="7" t="s">
        <v>7999</v>
      </c>
      <c r="F653" s="7" t="s">
        <v>6202</v>
      </c>
      <c r="G653" s="7" t="s">
        <v>8000</v>
      </c>
      <c r="H653" s="7" t="s">
        <v>8001</v>
      </c>
      <c r="I653" s="119">
        <v>45292.0</v>
      </c>
      <c r="K653" s="7" t="s">
        <v>419</v>
      </c>
      <c r="L653" s="7" t="s">
        <v>991</v>
      </c>
      <c r="M653" s="7" t="s">
        <v>3501</v>
      </c>
      <c r="N653" s="7" t="s">
        <v>5298</v>
      </c>
      <c r="O653" s="7" t="s">
        <v>8002</v>
      </c>
      <c r="P653" s="7" t="s">
        <v>3493</v>
      </c>
      <c r="Q653" s="7">
        <v>1.0</v>
      </c>
    </row>
    <row r="654">
      <c r="A654" s="7" t="s">
        <v>8003</v>
      </c>
      <c r="B654" s="7">
        <v>2200812.0</v>
      </c>
      <c r="C654" s="7" t="s">
        <v>8004</v>
      </c>
      <c r="D654" s="7" t="s">
        <v>8005</v>
      </c>
      <c r="E654" s="7" t="s">
        <v>8006</v>
      </c>
      <c r="F654" s="7" t="s">
        <v>8007</v>
      </c>
      <c r="G654" s="7" t="s">
        <v>8008</v>
      </c>
      <c r="H654" s="7" t="s">
        <v>8009</v>
      </c>
      <c r="I654" s="119">
        <v>45292.0</v>
      </c>
      <c r="K654" s="7" t="s">
        <v>3622</v>
      </c>
      <c r="L654" s="7" t="s">
        <v>991</v>
      </c>
      <c r="M654" s="7" t="s">
        <v>3501</v>
      </c>
      <c r="N654" s="7" t="s">
        <v>3623</v>
      </c>
      <c r="O654" s="7" t="s">
        <v>3624</v>
      </c>
      <c r="P654" s="7" t="s">
        <v>3493</v>
      </c>
      <c r="Q654" s="7">
        <v>1.0</v>
      </c>
    </row>
    <row r="655">
      <c r="A655" s="7" t="s">
        <v>8010</v>
      </c>
      <c r="B655" s="7">
        <v>10435.0</v>
      </c>
      <c r="C655" s="7" t="s">
        <v>8011</v>
      </c>
      <c r="D655" s="7" t="s">
        <v>5772</v>
      </c>
      <c r="E655" s="7" t="s">
        <v>8012</v>
      </c>
      <c r="F655" s="7" t="s">
        <v>5107</v>
      </c>
      <c r="G655" s="7" t="s">
        <v>8013</v>
      </c>
      <c r="H655" s="7" t="s">
        <v>8014</v>
      </c>
      <c r="I655" s="119">
        <v>45292.0</v>
      </c>
      <c r="K655" s="7" t="s">
        <v>419</v>
      </c>
      <c r="L655" s="7" t="s">
        <v>991</v>
      </c>
      <c r="M655" s="7" t="s">
        <v>3501</v>
      </c>
      <c r="N655" s="7" t="s">
        <v>6646</v>
      </c>
      <c r="O655" s="7" t="s">
        <v>8015</v>
      </c>
      <c r="P655" s="7" t="s">
        <v>3493</v>
      </c>
      <c r="Q655" s="7">
        <v>1.0</v>
      </c>
    </row>
    <row r="656">
      <c r="A656" s="7" t="s">
        <v>8016</v>
      </c>
      <c r="B656" s="7">
        <v>12326.0</v>
      </c>
      <c r="C656" s="7" t="s">
        <v>8017</v>
      </c>
      <c r="D656" s="7" t="s">
        <v>8018</v>
      </c>
      <c r="E656" s="7" t="s">
        <v>8019</v>
      </c>
      <c r="F656" s="7" t="s">
        <v>4213</v>
      </c>
      <c r="G656" s="7" t="s">
        <v>8020</v>
      </c>
      <c r="H656" s="7" t="s">
        <v>8021</v>
      </c>
      <c r="I656" s="119">
        <v>45292.0</v>
      </c>
      <c r="K656" s="7" t="s">
        <v>419</v>
      </c>
      <c r="L656" s="7" t="s">
        <v>991</v>
      </c>
      <c r="M656" s="7" t="s">
        <v>3501</v>
      </c>
      <c r="N656" s="7" t="s">
        <v>5755</v>
      </c>
      <c r="O656" s="7" t="s">
        <v>5756</v>
      </c>
      <c r="P656" s="7" t="s">
        <v>3493</v>
      </c>
      <c r="Q656" s="7">
        <v>1.0</v>
      </c>
    </row>
    <row r="657">
      <c r="A657" s="7" t="s">
        <v>8022</v>
      </c>
      <c r="B657" s="7">
        <v>2200218.0</v>
      </c>
      <c r="C657" s="7" t="s">
        <v>8017</v>
      </c>
      <c r="D657" s="7" t="s">
        <v>8023</v>
      </c>
      <c r="E657" s="7" t="s">
        <v>8019</v>
      </c>
      <c r="F657" s="7" t="s">
        <v>8024</v>
      </c>
      <c r="G657" s="7" t="s">
        <v>8025</v>
      </c>
      <c r="H657" s="7" t="s">
        <v>8026</v>
      </c>
      <c r="I657" s="119">
        <v>45292.0</v>
      </c>
      <c r="K657" s="7" t="s">
        <v>419</v>
      </c>
      <c r="L657" s="7" t="s">
        <v>991</v>
      </c>
      <c r="M657" s="7" t="s">
        <v>3501</v>
      </c>
      <c r="N657" s="7" t="s">
        <v>5372</v>
      </c>
      <c r="O657" s="7" t="s">
        <v>5373</v>
      </c>
      <c r="P657" s="7" t="s">
        <v>3493</v>
      </c>
      <c r="Q657" s="7">
        <v>1.0</v>
      </c>
    </row>
    <row r="658">
      <c r="A658" s="7" t="s">
        <v>8027</v>
      </c>
      <c r="B658" s="7">
        <v>12575.0</v>
      </c>
      <c r="C658" s="7" t="s">
        <v>8028</v>
      </c>
      <c r="D658" s="7" t="s">
        <v>8029</v>
      </c>
      <c r="E658" s="7" t="s">
        <v>8030</v>
      </c>
      <c r="F658" s="7" t="s">
        <v>4929</v>
      </c>
      <c r="G658" s="7" t="s">
        <v>8031</v>
      </c>
      <c r="H658" s="7" t="s">
        <v>8032</v>
      </c>
      <c r="I658" s="119">
        <v>45292.0</v>
      </c>
      <c r="K658" s="7" t="s">
        <v>419</v>
      </c>
      <c r="L658" s="7" t="s">
        <v>991</v>
      </c>
      <c r="M658" s="7" t="s">
        <v>3490</v>
      </c>
      <c r="N658" s="7" t="s">
        <v>7662</v>
      </c>
      <c r="O658" s="7" t="s">
        <v>7663</v>
      </c>
      <c r="P658" s="7" t="s">
        <v>3493</v>
      </c>
      <c r="Q658" s="7">
        <v>1.0</v>
      </c>
    </row>
    <row r="659">
      <c r="A659" s="7" t="s">
        <v>8033</v>
      </c>
      <c r="B659" s="7">
        <v>2300161.0</v>
      </c>
      <c r="C659" s="7" t="s">
        <v>8034</v>
      </c>
      <c r="D659" s="7" t="s">
        <v>8035</v>
      </c>
      <c r="E659" s="7" t="s">
        <v>8030</v>
      </c>
      <c r="F659" s="7" t="s">
        <v>8036</v>
      </c>
      <c r="G659" s="7" t="s">
        <v>8037</v>
      </c>
      <c r="H659" s="7" t="s">
        <v>8038</v>
      </c>
      <c r="I659" s="119">
        <v>45292.0</v>
      </c>
      <c r="K659" s="7" t="s">
        <v>419</v>
      </c>
      <c r="L659" s="7" t="s">
        <v>991</v>
      </c>
      <c r="M659" s="7" t="s">
        <v>3501</v>
      </c>
      <c r="N659" s="7" t="s">
        <v>8039</v>
      </c>
      <c r="O659" s="7" t="s">
        <v>8040</v>
      </c>
      <c r="P659" s="7" t="s">
        <v>3493</v>
      </c>
      <c r="Q659" s="7">
        <v>1.0</v>
      </c>
    </row>
    <row r="660">
      <c r="A660" s="7" t="s">
        <v>1579</v>
      </c>
      <c r="B660" s="7">
        <v>2200185.0</v>
      </c>
      <c r="C660" s="7" t="s">
        <v>8041</v>
      </c>
      <c r="D660" s="7" t="s">
        <v>7014</v>
      </c>
      <c r="E660" s="7" t="s">
        <v>8030</v>
      </c>
      <c r="F660" s="7" t="s">
        <v>7014</v>
      </c>
      <c r="G660" s="7" t="s">
        <v>8042</v>
      </c>
      <c r="H660" s="7" t="s">
        <v>8043</v>
      </c>
      <c r="I660" s="119">
        <v>45292.0</v>
      </c>
      <c r="K660" s="7" t="s">
        <v>419</v>
      </c>
      <c r="L660" s="7" t="s">
        <v>991</v>
      </c>
      <c r="M660" s="7" t="s">
        <v>3501</v>
      </c>
      <c r="N660" s="7" t="s">
        <v>8044</v>
      </c>
      <c r="O660" s="7" t="s">
        <v>8045</v>
      </c>
      <c r="P660" s="7" t="s">
        <v>4551</v>
      </c>
      <c r="Q660" s="7" t="s">
        <v>4552</v>
      </c>
    </row>
    <row r="661">
      <c r="A661" s="7" t="s">
        <v>8046</v>
      </c>
      <c r="B661" s="7">
        <v>2300455.0</v>
      </c>
      <c r="C661" s="7" t="s">
        <v>8041</v>
      </c>
      <c r="D661" s="7" t="s">
        <v>8047</v>
      </c>
      <c r="E661" s="7" t="s">
        <v>8030</v>
      </c>
      <c r="F661" s="7" t="s">
        <v>8048</v>
      </c>
      <c r="G661" s="7" t="s">
        <v>8049</v>
      </c>
      <c r="H661" s="7" t="s">
        <v>8050</v>
      </c>
      <c r="I661" s="119">
        <v>45292.0</v>
      </c>
      <c r="K661" s="7" t="s">
        <v>419</v>
      </c>
      <c r="L661" s="7" t="s">
        <v>991</v>
      </c>
      <c r="M661" s="7" t="s">
        <v>3531</v>
      </c>
      <c r="N661" s="7" t="s">
        <v>3742</v>
      </c>
      <c r="O661" s="7" t="s">
        <v>3743</v>
      </c>
      <c r="P661" s="7" t="s">
        <v>3493</v>
      </c>
      <c r="Q661" s="7">
        <v>1.0</v>
      </c>
    </row>
    <row r="662">
      <c r="A662" s="7" t="s">
        <v>8051</v>
      </c>
      <c r="B662" s="7">
        <v>2200570.0</v>
      </c>
      <c r="C662" s="7" t="s">
        <v>8041</v>
      </c>
      <c r="D662" s="7" t="s">
        <v>4982</v>
      </c>
      <c r="E662" s="7" t="s">
        <v>8030</v>
      </c>
      <c r="F662" s="7" t="s">
        <v>4984</v>
      </c>
      <c r="G662" s="7" t="s">
        <v>8052</v>
      </c>
      <c r="H662" s="7" t="s">
        <v>8053</v>
      </c>
      <c r="I662" s="119">
        <v>45292.0</v>
      </c>
      <c r="K662" s="7" t="s">
        <v>419</v>
      </c>
      <c r="L662" s="7" t="s">
        <v>991</v>
      </c>
      <c r="M662" s="7" t="s">
        <v>3583</v>
      </c>
      <c r="N662" s="7" t="s">
        <v>4310</v>
      </c>
      <c r="O662" s="7" t="s">
        <v>4311</v>
      </c>
      <c r="P662" s="7" t="s">
        <v>3493</v>
      </c>
      <c r="Q662" s="7">
        <v>1.0</v>
      </c>
    </row>
    <row r="663">
      <c r="A663" s="7" t="s">
        <v>8054</v>
      </c>
      <c r="B663" s="7">
        <v>12532.0</v>
      </c>
      <c r="C663" s="7" t="s">
        <v>8055</v>
      </c>
      <c r="D663" s="7" t="s">
        <v>8056</v>
      </c>
      <c r="E663" s="7" t="s">
        <v>8057</v>
      </c>
      <c r="F663" s="7" t="s">
        <v>8058</v>
      </c>
      <c r="G663" s="7" t="s">
        <v>8059</v>
      </c>
      <c r="H663" s="7" t="s">
        <v>8060</v>
      </c>
      <c r="I663" s="119">
        <v>45292.0</v>
      </c>
      <c r="K663" s="7" t="s">
        <v>419</v>
      </c>
      <c r="L663" s="7" t="s">
        <v>991</v>
      </c>
      <c r="M663" s="7" t="s">
        <v>3501</v>
      </c>
      <c r="N663" s="7" t="s">
        <v>7662</v>
      </c>
      <c r="O663" s="7" t="s">
        <v>7663</v>
      </c>
      <c r="P663" s="7" t="s">
        <v>3843</v>
      </c>
      <c r="Q663" s="7">
        <v>1.0</v>
      </c>
    </row>
    <row r="664">
      <c r="A664" s="7" t="s">
        <v>8061</v>
      </c>
      <c r="B664" s="7">
        <v>2200282.0</v>
      </c>
      <c r="C664" s="7" t="s">
        <v>8062</v>
      </c>
      <c r="D664" s="7" t="s">
        <v>4672</v>
      </c>
      <c r="E664" s="7" t="s">
        <v>8063</v>
      </c>
      <c r="F664" s="7" t="s">
        <v>4673</v>
      </c>
      <c r="G664" s="7" t="s">
        <v>8064</v>
      </c>
      <c r="H664" s="7" t="s">
        <v>8065</v>
      </c>
      <c r="I664" s="119">
        <v>45292.0</v>
      </c>
      <c r="K664" s="7" t="s">
        <v>419</v>
      </c>
      <c r="L664" s="7" t="s">
        <v>991</v>
      </c>
      <c r="M664" s="7" t="s">
        <v>3531</v>
      </c>
      <c r="N664" s="7" t="s">
        <v>6487</v>
      </c>
      <c r="O664" s="7" t="s">
        <v>6534</v>
      </c>
      <c r="P664" s="7" t="s">
        <v>3493</v>
      </c>
      <c r="Q664" s="7">
        <v>1.0</v>
      </c>
    </row>
    <row r="665">
      <c r="A665" s="7" t="s">
        <v>8066</v>
      </c>
      <c r="B665" s="7">
        <v>11972.0</v>
      </c>
      <c r="C665" s="7" t="s">
        <v>8067</v>
      </c>
      <c r="D665" s="7" t="s">
        <v>8068</v>
      </c>
      <c r="E665" s="7" t="s">
        <v>8069</v>
      </c>
      <c r="F665" s="7" t="s">
        <v>5264</v>
      </c>
      <c r="G665" s="7" t="s">
        <v>8070</v>
      </c>
      <c r="H665" s="7" t="s">
        <v>8071</v>
      </c>
      <c r="I665" s="119">
        <v>45292.0</v>
      </c>
      <c r="K665" s="7" t="s">
        <v>3489</v>
      </c>
      <c r="L665" s="7" t="s">
        <v>991</v>
      </c>
      <c r="M665" s="7" t="s">
        <v>3490</v>
      </c>
      <c r="N665" s="7" t="s">
        <v>3491</v>
      </c>
      <c r="O665" s="7" t="s">
        <v>3492</v>
      </c>
      <c r="P665" s="7" t="s">
        <v>3493</v>
      </c>
      <c r="Q665" s="7">
        <v>1.0</v>
      </c>
    </row>
    <row r="666">
      <c r="A666" s="7" t="s">
        <v>1458</v>
      </c>
      <c r="B666" s="7">
        <v>13240.0</v>
      </c>
      <c r="C666" s="7" t="s">
        <v>8072</v>
      </c>
      <c r="D666" s="7" t="s">
        <v>8073</v>
      </c>
      <c r="E666" s="7" t="s">
        <v>8074</v>
      </c>
      <c r="F666" s="7" t="s">
        <v>4221</v>
      </c>
      <c r="G666" s="7" t="s">
        <v>8075</v>
      </c>
      <c r="H666" s="7" t="s">
        <v>8076</v>
      </c>
      <c r="I666" s="119">
        <v>45292.0</v>
      </c>
      <c r="K666" s="7" t="s">
        <v>419</v>
      </c>
      <c r="L666" s="7" t="s">
        <v>991</v>
      </c>
      <c r="M666" s="7" t="s">
        <v>3501</v>
      </c>
      <c r="N666" s="7" t="s">
        <v>8077</v>
      </c>
      <c r="O666" s="7" t="s">
        <v>8078</v>
      </c>
      <c r="P666" s="7" t="s">
        <v>8079</v>
      </c>
      <c r="Q666" s="7" t="s">
        <v>8080</v>
      </c>
    </row>
    <row r="667">
      <c r="A667" s="7" t="s">
        <v>8081</v>
      </c>
      <c r="B667" s="7">
        <v>11769.0</v>
      </c>
      <c r="C667" s="7" t="s">
        <v>8082</v>
      </c>
      <c r="D667" s="7" t="s">
        <v>5987</v>
      </c>
      <c r="E667" s="7" t="s">
        <v>8074</v>
      </c>
      <c r="F667" s="7" t="s">
        <v>5987</v>
      </c>
      <c r="G667" s="7" t="s">
        <v>8083</v>
      </c>
      <c r="H667" s="7" t="s">
        <v>8084</v>
      </c>
      <c r="I667" s="119">
        <v>45292.0</v>
      </c>
      <c r="K667" s="7" t="s">
        <v>419</v>
      </c>
      <c r="L667" s="7" t="s">
        <v>991</v>
      </c>
      <c r="M667" s="7" t="s">
        <v>3501</v>
      </c>
      <c r="N667" s="7" t="s">
        <v>6419</v>
      </c>
      <c r="O667" s="7" t="s">
        <v>8085</v>
      </c>
      <c r="P667" s="7" t="s">
        <v>8086</v>
      </c>
      <c r="Q667" s="7" t="s">
        <v>8087</v>
      </c>
    </row>
    <row r="668">
      <c r="A668" s="7" t="s">
        <v>8088</v>
      </c>
      <c r="B668" s="7">
        <v>10012.0</v>
      </c>
      <c r="C668" s="7" t="s">
        <v>8089</v>
      </c>
      <c r="D668" s="7" t="s">
        <v>8090</v>
      </c>
      <c r="E668" s="7" t="s">
        <v>8074</v>
      </c>
      <c r="F668" s="7" t="s">
        <v>5229</v>
      </c>
      <c r="G668" s="7" t="s">
        <v>8091</v>
      </c>
      <c r="H668" s="7" t="s">
        <v>8092</v>
      </c>
      <c r="I668" s="119">
        <v>45292.0</v>
      </c>
      <c r="K668" s="7" t="s">
        <v>419</v>
      </c>
      <c r="L668" s="7" t="s">
        <v>991</v>
      </c>
      <c r="M668" s="7" t="s">
        <v>3501</v>
      </c>
      <c r="N668" s="7" t="s">
        <v>3520</v>
      </c>
      <c r="O668" s="7" t="s">
        <v>8093</v>
      </c>
      <c r="P668" s="7" t="s">
        <v>3493</v>
      </c>
      <c r="Q668" s="7">
        <v>1.0</v>
      </c>
    </row>
    <row r="669">
      <c r="A669" s="7" t="s">
        <v>8094</v>
      </c>
      <c r="B669" s="7">
        <v>2300240.0</v>
      </c>
      <c r="C669" s="7" t="s">
        <v>8072</v>
      </c>
      <c r="D669" s="7" t="s">
        <v>8095</v>
      </c>
      <c r="E669" s="7" t="s">
        <v>8074</v>
      </c>
      <c r="F669" s="7" t="s">
        <v>6335</v>
      </c>
      <c r="G669" s="7" t="s">
        <v>8096</v>
      </c>
      <c r="H669" s="7" t="s">
        <v>8097</v>
      </c>
      <c r="I669" s="119">
        <v>45292.0</v>
      </c>
      <c r="K669" s="7" t="s">
        <v>3489</v>
      </c>
      <c r="L669" s="7" t="s">
        <v>991</v>
      </c>
      <c r="M669" s="7" t="s">
        <v>3490</v>
      </c>
      <c r="N669" s="7" t="s">
        <v>3491</v>
      </c>
      <c r="O669" s="7" t="s">
        <v>3492</v>
      </c>
      <c r="P669" s="7" t="s">
        <v>3493</v>
      </c>
      <c r="Q669" s="7">
        <v>1.0</v>
      </c>
    </row>
    <row r="670">
      <c r="A670" s="7" t="s">
        <v>8098</v>
      </c>
      <c r="B670" s="7">
        <v>2300267.0</v>
      </c>
      <c r="C670" s="7" t="s">
        <v>8089</v>
      </c>
      <c r="D670" s="7" t="s">
        <v>8099</v>
      </c>
      <c r="E670" s="7" t="s">
        <v>8074</v>
      </c>
      <c r="F670" s="7" t="s">
        <v>6231</v>
      </c>
      <c r="G670" s="7" t="s">
        <v>8100</v>
      </c>
      <c r="H670" s="7" t="s">
        <v>8101</v>
      </c>
      <c r="I670" s="119">
        <v>45292.0</v>
      </c>
      <c r="K670" s="7" t="s">
        <v>419</v>
      </c>
      <c r="L670" s="7" t="s">
        <v>991</v>
      </c>
      <c r="M670" s="7" t="s">
        <v>3583</v>
      </c>
      <c r="N670" s="7" t="s">
        <v>8102</v>
      </c>
      <c r="O670" s="7" t="s">
        <v>8103</v>
      </c>
      <c r="P670" s="7" t="s">
        <v>3493</v>
      </c>
      <c r="Q670" s="7">
        <v>1.0</v>
      </c>
    </row>
    <row r="671">
      <c r="A671" s="7" t="s">
        <v>8104</v>
      </c>
      <c r="B671" s="7">
        <v>10705.0</v>
      </c>
      <c r="C671" s="7" t="s">
        <v>8072</v>
      </c>
      <c r="D671" s="7" t="s">
        <v>8105</v>
      </c>
      <c r="E671" s="7" t="s">
        <v>8074</v>
      </c>
      <c r="F671" s="7" t="s">
        <v>7066</v>
      </c>
      <c r="G671" s="7" t="s">
        <v>8106</v>
      </c>
      <c r="H671" s="7" t="s">
        <v>8107</v>
      </c>
      <c r="I671" s="119">
        <v>45292.0</v>
      </c>
      <c r="K671" s="7" t="s">
        <v>419</v>
      </c>
      <c r="L671" s="7" t="s">
        <v>991</v>
      </c>
      <c r="M671" s="7" t="s">
        <v>3501</v>
      </c>
      <c r="N671" s="7" t="s">
        <v>3584</v>
      </c>
      <c r="O671" s="7" t="s">
        <v>3585</v>
      </c>
      <c r="P671" s="7" t="s">
        <v>3843</v>
      </c>
      <c r="Q671" s="7">
        <v>1.0</v>
      </c>
    </row>
    <row r="672">
      <c r="A672" s="7" t="s">
        <v>8108</v>
      </c>
      <c r="B672" s="7">
        <v>2100489.0</v>
      </c>
      <c r="C672" s="7" t="s">
        <v>8072</v>
      </c>
      <c r="D672" s="7" t="s">
        <v>6851</v>
      </c>
      <c r="E672" s="7" t="s">
        <v>8074</v>
      </c>
      <c r="F672" s="7" t="s">
        <v>4677</v>
      </c>
      <c r="G672" s="7" t="s">
        <v>8109</v>
      </c>
      <c r="H672" s="7" t="s">
        <v>8110</v>
      </c>
      <c r="I672" s="119">
        <v>45292.0</v>
      </c>
      <c r="K672" s="7" t="s">
        <v>419</v>
      </c>
      <c r="L672" s="7" t="s">
        <v>991</v>
      </c>
      <c r="M672" s="7" t="s">
        <v>3501</v>
      </c>
      <c r="N672" s="7" t="s">
        <v>8111</v>
      </c>
      <c r="O672" s="7" t="s">
        <v>8112</v>
      </c>
      <c r="P672" s="7" t="s">
        <v>3522</v>
      </c>
      <c r="Q672" s="7" t="s">
        <v>3514</v>
      </c>
    </row>
    <row r="673">
      <c r="A673" s="7" t="s">
        <v>8113</v>
      </c>
      <c r="B673" s="7">
        <v>2200326.0</v>
      </c>
      <c r="C673" s="7" t="s">
        <v>8072</v>
      </c>
      <c r="D673" s="7" t="s">
        <v>3526</v>
      </c>
      <c r="E673" s="7" t="s">
        <v>8074</v>
      </c>
      <c r="F673" s="7" t="s">
        <v>3528</v>
      </c>
      <c r="G673" s="7" t="s">
        <v>8114</v>
      </c>
      <c r="H673" s="7" t="s">
        <v>8115</v>
      </c>
      <c r="I673" s="119">
        <v>45292.0</v>
      </c>
      <c r="K673" s="7" t="s">
        <v>419</v>
      </c>
      <c r="L673" s="7" t="s">
        <v>991</v>
      </c>
      <c r="M673" s="7" t="s">
        <v>3531</v>
      </c>
      <c r="N673" s="7" t="s">
        <v>6117</v>
      </c>
      <c r="O673" s="7" t="s">
        <v>8116</v>
      </c>
      <c r="P673" s="7" t="s">
        <v>3493</v>
      </c>
      <c r="Q673" s="7">
        <v>1.0</v>
      </c>
    </row>
    <row r="674">
      <c r="A674" s="7" t="s">
        <v>8117</v>
      </c>
      <c r="B674" s="7">
        <v>11796.0</v>
      </c>
      <c r="C674" s="7" t="s">
        <v>8072</v>
      </c>
      <c r="D674" s="7" t="s">
        <v>8118</v>
      </c>
      <c r="E674" s="7" t="s">
        <v>8074</v>
      </c>
      <c r="F674" s="7" t="s">
        <v>8119</v>
      </c>
      <c r="G674" s="7" t="s">
        <v>8120</v>
      </c>
      <c r="H674" s="7" t="s">
        <v>8121</v>
      </c>
      <c r="I674" s="119">
        <v>45292.0</v>
      </c>
      <c r="K674" s="7" t="s">
        <v>419</v>
      </c>
      <c r="L674" s="7" t="s">
        <v>991</v>
      </c>
      <c r="M674" s="7" t="s">
        <v>3501</v>
      </c>
      <c r="N674" s="7" t="s">
        <v>3777</v>
      </c>
      <c r="O674" s="7" t="s">
        <v>3778</v>
      </c>
      <c r="P674" s="7" t="s">
        <v>3493</v>
      </c>
      <c r="Q674" s="7">
        <v>1.0</v>
      </c>
    </row>
    <row r="675">
      <c r="A675" s="7" t="s">
        <v>8122</v>
      </c>
      <c r="B675" s="7">
        <v>2300524.0</v>
      </c>
      <c r="C675" s="7" t="s">
        <v>8089</v>
      </c>
      <c r="D675" s="7" t="s">
        <v>8123</v>
      </c>
      <c r="E675" s="7" t="s">
        <v>8074</v>
      </c>
      <c r="F675" s="7" t="s">
        <v>5074</v>
      </c>
      <c r="G675" s="7" t="s">
        <v>8124</v>
      </c>
      <c r="H675" s="7" t="s">
        <v>8125</v>
      </c>
      <c r="I675" s="119">
        <v>45292.0</v>
      </c>
      <c r="K675" s="7" t="s">
        <v>419</v>
      </c>
      <c r="L675" s="7" t="s">
        <v>991</v>
      </c>
      <c r="M675" s="7" t="s">
        <v>3531</v>
      </c>
      <c r="N675" s="7" t="s">
        <v>7373</v>
      </c>
      <c r="O675" s="7" t="s">
        <v>7374</v>
      </c>
      <c r="P675" s="7" t="s">
        <v>3493</v>
      </c>
      <c r="Q675" s="7">
        <v>1.0</v>
      </c>
    </row>
    <row r="676">
      <c r="A676" s="7" t="s">
        <v>8126</v>
      </c>
      <c r="B676" s="7">
        <v>2400011.0</v>
      </c>
      <c r="C676" s="7" t="s">
        <v>8127</v>
      </c>
      <c r="D676" s="7" t="s">
        <v>8128</v>
      </c>
      <c r="E676" s="7" t="s">
        <v>8074</v>
      </c>
      <c r="F676" s="7" t="s">
        <v>8129</v>
      </c>
      <c r="G676" s="7" t="s">
        <v>8130</v>
      </c>
      <c r="H676" s="7" t="s">
        <v>8131</v>
      </c>
      <c r="I676" s="119">
        <v>45292.0</v>
      </c>
      <c r="K676" s="7" t="s">
        <v>419</v>
      </c>
      <c r="L676" s="7" t="s">
        <v>991</v>
      </c>
      <c r="M676" s="7" t="s">
        <v>3583</v>
      </c>
      <c r="N676" s="7" t="s">
        <v>8132</v>
      </c>
      <c r="O676" s="7" t="s">
        <v>8133</v>
      </c>
      <c r="P676" s="7" t="s">
        <v>3697</v>
      </c>
      <c r="Q676" s="7" t="s">
        <v>8134</v>
      </c>
    </row>
    <row r="677">
      <c r="A677" s="7" t="s">
        <v>8135</v>
      </c>
      <c r="B677" s="7">
        <v>11363.0</v>
      </c>
      <c r="C677" s="7" t="s">
        <v>8089</v>
      </c>
      <c r="D677" s="7" t="s">
        <v>8136</v>
      </c>
      <c r="E677" s="7" t="s">
        <v>8074</v>
      </c>
      <c r="F677" s="7" t="s">
        <v>8137</v>
      </c>
      <c r="G677" s="7" t="s">
        <v>8138</v>
      </c>
      <c r="H677" s="7" t="s">
        <v>8139</v>
      </c>
      <c r="I677" s="119">
        <v>45292.0</v>
      </c>
      <c r="K677" s="7" t="s">
        <v>419</v>
      </c>
      <c r="L677" s="7" t="s">
        <v>991</v>
      </c>
      <c r="M677" s="7" t="s">
        <v>3501</v>
      </c>
      <c r="N677" s="7" t="s">
        <v>6141</v>
      </c>
      <c r="O677" s="7" t="s">
        <v>6142</v>
      </c>
      <c r="P677" s="7" t="s">
        <v>3843</v>
      </c>
      <c r="Q677" s="7">
        <v>1.0</v>
      </c>
    </row>
    <row r="678">
      <c r="A678" s="7" t="s">
        <v>8140</v>
      </c>
      <c r="B678" s="7">
        <v>14212.0</v>
      </c>
      <c r="C678" s="7" t="s">
        <v>8082</v>
      </c>
      <c r="D678" s="7" t="s">
        <v>8141</v>
      </c>
      <c r="E678" s="7" t="s">
        <v>8074</v>
      </c>
      <c r="F678" s="7" t="s">
        <v>8142</v>
      </c>
      <c r="G678" s="7" t="s">
        <v>8143</v>
      </c>
      <c r="H678" s="7" t="s">
        <v>8144</v>
      </c>
      <c r="I678" s="119">
        <v>45292.0</v>
      </c>
      <c r="K678" s="7" t="s">
        <v>419</v>
      </c>
      <c r="L678" s="7" t="s">
        <v>991</v>
      </c>
      <c r="M678" s="7" t="s">
        <v>3501</v>
      </c>
      <c r="N678" s="7" t="s">
        <v>4444</v>
      </c>
      <c r="O678" s="7" t="s">
        <v>4445</v>
      </c>
      <c r="P678" s="7" t="s">
        <v>3493</v>
      </c>
      <c r="Q678" s="7">
        <v>1.0</v>
      </c>
    </row>
    <row r="679">
      <c r="A679" s="7" t="s">
        <v>8145</v>
      </c>
      <c r="B679" s="7">
        <v>2100194.0</v>
      </c>
      <c r="C679" s="7" t="s">
        <v>8072</v>
      </c>
      <c r="D679" s="7" t="s">
        <v>8146</v>
      </c>
      <c r="E679" s="7" t="s">
        <v>8074</v>
      </c>
      <c r="F679" s="7" t="s">
        <v>3656</v>
      </c>
      <c r="G679" s="7" t="s">
        <v>8147</v>
      </c>
      <c r="H679" s="7" t="s">
        <v>8148</v>
      </c>
      <c r="I679" s="119">
        <v>45292.0</v>
      </c>
      <c r="K679" s="7" t="s">
        <v>419</v>
      </c>
      <c r="L679" s="7" t="s">
        <v>991</v>
      </c>
      <c r="M679" s="7" t="s">
        <v>3501</v>
      </c>
      <c r="N679" s="7" t="s">
        <v>5379</v>
      </c>
      <c r="O679" s="7" t="s">
        <v>5380</v>
      </c>
      <c r="P679" s="7" t="s">
        <v>3493</v>
      </c>
      <c r="Q679" s="7">
        <v>1.0</v>
      </c>
    </row>
    <row r="680">
      <c r="A680" s="7" t="s">
        <v>8149</v>
      </c>
      <c r="B680" s="7">
        <v>2100126.0</v>
      </c>
      <c r="C680" s="7" t="s">
        <v>8150</v>
      </c>
      <c r="D680" s="7" t="s">
        <v>8151</v>
      </c>
      <c r="E680" s="7" t="s">
        <v>8152</v>
      </c>
      <c r="F680" s="7" t="s">
        <v>8058</v>
      </c>
      <c r="G680" s="7" t="s">
        <v>8153</v>
      </c>
      <c r="H680" s="7" t="s">
        <v>8154</v>
      </c>
      <c r="I680" s="119">
        <v>45292.0</v>
      </c>
      <c r="K680" s="7" t="s">
        <v>8155</v>
      </c>
      <c r="L680" s="7" t="s">
        <v>8156</v>
      </c>
      <c r="M680" s="7" t="s">
        <v>8157</v>
      </c>
      <c r="N680" s="7" t="s">
        <v>8158</v>
      </c>
      <c r="O680" s="7" t="s">
        <v>8159</v>
      </c>
      <c r="P680" s="7" t="s">
        <v>8160</v>
      </c>
      <c r="Q680" s="7" t="s">
        <v>6296</v>
      </c>
    </row>
    <row r="681">
      <c r="A681" s="7" t="s">
        <v>1488</v>
      </c>
      <c r="B681" s="7">
        <v>1108.0</v>
      </c>
      <c r="C681" s="7" t="s">
        <v>8161</v>
      </c>
      <c r="D681" s="7" t="s">
        <v>6909</v>
      </c>
      <c r="E681" s="7" t="s">
        <v>8162</v>
      </c>
      <c r="F681" s="7" t="s">
        <v>6911</v>
      </c>
      <c r="G681" s="7" t="s">
        <v>8163</v>
      </c>
      <c r="H681" s="7" t="s">
        <v>8164</v>
      </c>
      <c r="I681" s="119">
        <v>45292.0</v>
      </c>
      <c r="K681" s="7" t="s">
        <v>419</v>
      </c>
      <c r="L681" s="7" t="s">
        <v>991</v>
      </c>
      <c r="M681" s="7" t="s">
        <v>3501</v>
      </c>
      <c r="N681" s="7" t="s">
        <v>8165</v>
      </c>
      <c r="O681" s="7" t="s">
        <v>8166</v>
      </c>
      <c r="P681" s="7" t="s">
        <v>3604</v>
      </c>
      <c r="Q681" s="7">
        <v>1.0</v>
      </c>
    </row>
    <row r="682">
      <c r="A682" s="7" t="s">
        <v>8167</v>
      </c>
      <c r="B682" s="7">
        <v>2300018.0</v>
      </c>
      <c r="C682" s="7" t="s">
        <v>8168</v>
      </c>
      <c r="D682" s="7" t="s">
        <v>8169</v>
      </c>
      <c r="E682" s="7" t="s">
        <v>8170</v>
      </c>
      <c r="F682" s="7" t="s">
        <v>3691</v>
      </c>
      <c r="G682" s="7" t="s">
        <v>8171</v>
      </c>
      <c r="H682" s="7" t="s">
        <v>8172</v>
      </c>
      <c r="I682" s="119">
        <v>45292.0</v>
      </c>
      <c r="K682" s="7" t="s">
        <v>419</v>
      </c>
      <c r="L682" s="7" t="s">
        <v>991</v>
      </c>
      <c r="M682" s="7" t="s">
        <v>3501</v>
      </c>
      <c r="N682" s="7" t="s">
        <v>5755</v>
      </c>
      <c r="O682" s="7" t="s">
        <v>5756</v>
      </c>
      <c r="P682" s="7" t="s">
        <v>3493</v>
      </c>
      <c r="Q682" s="7">
        <v>1.0</v>
      </c>
    </row>
    <row r="683">
      <c r="A683" s="7" t="s">
        <v>8173</v>
      </c>
      <c r="B683" s="7">
        <v>10509.0</v>
      </c>
      <c r="C683" s="7" t="s">
        <v>8174</v>
      </c>
      <c r="D683" s="7" t="s">
        <v>8175</v>
      </c>
      <c r="E683" s="7" t="s">
        <v>8170</v>
      </c>
      <c r="F683" s="7" t="s">
        <v>3691</v>
      </c>
      <c r="G683" s="7" t="s">
        <v>8176</v>
      </c>
      <c r="H683" s="7" t="s">
        <v>8177</v>
      </c>
      <c r="I683" s="119">
        <v>45292.0</v>
      </c>
      <c r="K683" s="7" t="s">
        <v>419</v>
      </c>
      <c r="L683" s="7" t="s">
        <v>991</v>
      </c>
      <c r="M683" s="7" t="s">
        <v>3501</v>
      </c>
      <c r="N683" s="7" t="s">
        <v>8178</v>
      </c>
      <c r="O683" s="7" t="s">
        <v>8179</v>
      </c>
      <c r="P683" s="7" t="s">
        <v>3493</v>
      </c>
      <c r="Q683" s="7">
        <v>1.0</v>
      </c>
    </row>
    <row r="684">
      <c r="A684" s="7" t="s">
        <v>8180</v>
      </c>
      <c r="B684" s="7">
        <v>2200845.0</v>
      </c>
      <c r="C684" s="7" t="s">
        <v>8181</v>
      </c>
      <c r="D684" s="7" t="s">
        <v>8182</v>
      </c>
      <c r="E684" s="7" t="s">
        <v>8170</v>
      </c>
      <c r="F684" s="7" t="s">
        <v>8183</v>
      </c>
      <c r="G684" s="7" t="s">
        <v>8184</v>
      </c>
      <c r="I684" s="119">
        <v>45292.0</v>
      </c>
      <c r="K684" s="7" t="s">
        <v>419</v>
      </c>
      <c r="L684" s="7" t="s">
        <v>991</v>
      </c>
      <c r="M684" s="7" t="s">
        <v>3531</v>
      </c>
      <c r="N684" s="7" t="s">
        <v>3820</v>
      </c>
      <c r="O684" s="7" t="s">
        <v>3821</v>
      </c>
      <c r="P684" s="7" t="s">
        <v>3493</v>
      </c>
      <c r="Q684" s="7">
        <v>1.0</v>
      </c>
    </row>
    <row r="685">
      <c r="A685" s="7" t="s">
        <v>8185</v>
      </c>
      <c r="B685" s="7">
        <v>2300762.0</v>
      </c>
      <c r="C685" s="7" t="s">
        <v>8174</v>
      </c>
      <c r="D685" s="7" t="s">
        <v>8186</v>
      </c>
      <c r="E685" s="7" t="s">
        <v>8170</v>
      </c>
      <c r="F685" s="7" t="s">
        <v>3874</v>
      </c>
      <c r="G685" s="7" t="s">
        <v>8187</v>
      </c>
      <c r="H685" s="7" t="s">
        <v>8188</v>
      </c>
      <c r="I685" s="119">
        <v>45292.0</v>
      </c>
      <c r="K685" s="7" t="s">
        <v>419</v>
      </c>
      <c r="L685" s="7" t="s">
        <v>991</v>
      </c>
      <c r="M685" s="7" t="s">
        <v>3531</v>
      </c>
      <c r="N685" s="7" t="s">
        <v>6027</v>
      </c>
      <c r="O685" s="7" t="s">
        <v>6028</v>
      </c>
      <c r="P685" s="7" t="s">
        <v>3493</v>
      </c>
      <c r="Q685" s="7">
        <v>1.0</v>
      </c>
    </row>
    <row r="686">
      <c r="A686" s="7" t="s">
        <v>8189</v>
      </c>
      <c r="B686" s="7">
        <v>11504.0</v>
      </c>
      <c r="C686" s="7" t="s">
        <v>8168</v>
      </c>
      <c r="D686" s="7" t="s">
        <v>4260</v>
      </c>
      <c r="E686" s="7" t="s">
        <v>8170</v>
      </c>
      <c r="F686" s="7" t="s">
        <v>4262</v>
      </c>
      <c r="G686" s="7" t="s">
        <v>8190</v>
      </c>
      <c r="H686" s="7" t="s">
        <v>8191</v>
      </c>
      <c r="I686" s="119">
        <v>45292.0</v>
      </c>
      <c r="K686" s="7" t="s">
        <v>419</v>
      </c>
      <c r="L686" s="7" t="s">
        <v>991</v>
      </c>
      <c r="M686" s="7" t="s">
        <v>3501</v>
      </c>
      <c r="N686" s="7" t="s">
        <v>4564</v>
      </c>
      <c r="O686" s="7" t="s">
        <v>4565</v>
      </c>
      <c r="P686" s="7" t="s">
        <v>3493</v>
      </c>
      <c r="Q686" s="7">
        <v>1.0</v>
      </c>
    </row>
    <row r="687">
      <c r="A687" s="7" t="s">
        <v>8192</v>
      </c>
      <c r="B687" s="7">
        <v>8249.0</v>
      </c>
      <c r="C687" s="7" t="s">
        <v>8168</v>
      </c>
      <c r="D687" s="7" t="s">
        <v>8193</v>
      </c>
      <c r="E687" s="7" t="s">
        <v>8170</v>
      </c>
      <c r="F687" s="7" t="s">
        <v>8194</v>
      </c>
      <c r="G687" s="7" t="s">
        <v>8195</v>
      </c>
      <c r="H687" s="7" t="s">
        <v>8196</v>
      </c>
      <c r="I687" s="119">
        <v>45292.0</v>
      </c>
      <c r="K687" s="7" t="s">
        <v>419</v>
      </c>
      <c r="L687" s="7" t="s">
        <v>991</v>
      </c>
      <c r="M687" s="7" t="s">
        <v>3531</v>
      </c>
      <c r="N687" s="7" t="s">
        <v>3724</v>
      </c>
      <c r="O687" s="7" t="s">
        <v>3725</v>
      </c>
      <c r="P687" s="7" t="s">
        <v>3493</v>
      </c>
      <c r="Q687" s="7">
        <v>1.0</v>
      </c>
    </row>
    <row r="688">
      <c r="A688" s="7" t="s">
        <v>8197</v>
      </c>
      <c r="B688" s="7">
        <v>2200442.0</v>
      </c>
      <c r="C688" s="7" t="s">
        <v>8168</v>
      </c>
      <c r="D688" s="7" t="s">
        <v>8198</v>
      </c>
      <c r="E688" s="7" t="s">
        <v>8170</v>
      </c>
      <c r="F688" s="7" t="s">
        <v>8199</v>
      </c>
      <c r="G688" s="7" t="s">
        <v>8200</v>
      </c>
      <c r="H688" s="7" t="s">
        <v>8201</v>
      </c>
      <c r="I688" s="119">
        <v>45292.0</v>
      </c>
      <c r="K688" s="7" t="s">
        <v>419</v>
      </c>
      <c r="L688" s="7" t="s">
        <v>991</v>
      </c>
      <c r="M688" s="7" t="s">
        <v>3501</v>
      </c>
      <c r="N688" s="7" t="s">
        <v>6847</v>
      </c>
      <c r="O688" s="7" t="s">
        <v>6848</v>
      </c>
      <c r="P688" s="7" t="s">
        <v>3522</v>
      </c>
      <c r="Q688" s="7" t="s">
        <v>3523</v>
      </c>
    </row>
    <row r="689">
      <c r="A689" s="7" t="s">
        <v>1974</v>
      </c>
      <c r="B689" s="7">
        <v>1160.0</v>
      </c>
      <c r="C689" s="7" t="s">
        <v>8174</v>
      </c>
      <c r="D689" s="7" t="s">
        <v>8202</v>
      </c>
      <c r="E689" s="7" t="s">
        <v>8170</v>
      </c>
      <c r="F689" s="7" t="s">
        <v>4314</v>
      </c>
      <c r="G689" s="7" t="s">
        <v>8203</v>
      </c>
      <c r="H689" s="7" t="s">
        <v>8204</v>
      </c>
      <c r="I689" s="119">
        <v>45292.0</v>
      </c>
      <c r="K689" s="7" t="s">
        <v>419</v>
      </c>
      <c r="L689" s="7" t="s">
        <v>991</v>
      </c>
      <c r="M689" s="7" t="s">
        <v>3501</v>
      </c>
      <c r="N689" s="7" t="s">
        <v>4021</v>
      </c>
      <c r="O689" s="7" t="s">
        <v>8205</v>
      </c>
      <c r="P689" s="7" t="s">
        <v>3894</v>
      </c>
      <c r="Q689" s="7" t="s">
        <v>3523</v>
      </c>
    </row>
    <row r="690">
      <c r="A690" s="7" t="s">
        <v>8206</v>
      </c>
      <c r="B690" s="7">
        <v>10878.0</v>
      </c>
      <c r="C690" s="7" t="s">
        <v>8168</v>
      </c>
      <c r="D690" s="7" t="s">
        <v>8207</v>
      </c>
      <c r="E690" s="7" t="s">
        <v>8170</v>
      </c>
      <c r="F690" s="7" t="s">
        <v>8208</v>
      </c>
      <c r="G690" s="7" t="s">
        <v>8209</v>
      </c>
      <c r="H690" s="7" t="s">
        <v>8210</v>
      </c>
      <c r="I690" s="119">
        <v>45292.0</v>
      </c>
      <c r="K690" s="7" t="s">
        <v>419</v>
      </c>
      <c r="L690" s="7" t="s">
        <v>991</v>
      </c>
      <c r="M690" s="7" t="s">
        <v>3501</v>
      </c>
      <c r="N690" s="7" t="s">
        <v>7640</v>
      </c>
      <c r="O690" s="7" t="s">
        <v>8211</v>
      </c>
      <c r="P690" s="7" t="s">
        <v>3493</v>
      </c>
      <c r="Q690" s="7">
        <v>1.0</v>
      </c>
    </row>
    <row r="691">
      <c r="A691" s="7" t="s">
        <v>8212</v>
      </c>
      <c r="B691" s="7">
        <v>2100450.0</v>
      </c>
      <c r="C691" s="7" t="s">
        <v>8213</v>
      </c>
      <c r="D691" s="7" t="s">
        <v>8214</v>
      </c>
      <c r="E691" s="7" t="s">
        <v>8215</v>
      </c>
      <c r="F691" s="7" t="s">
        <v>8216</v>
      </c>
      <c r="G691" s="7" t="s">
        <v>8217</v>
      </c>
      <c r="H691" s="7" t="s">
        <v>8218</v>
      </c>
      <c r="I691" s="119">
        <v>45292.0</v>
      </c>
      <c r="K691" s="7" t="s">
        <v>419</v>
      </c>
      <c r="L691" s="7" t="s">
        <v>991</v>
      </c>
      <c r="M691" s="7" t="s">
        <v>3501</v>
      </c>
      <c r="N691" s="7" t="s">
        <v>8219</v>
      </c>
      <c r="O691" s="7" t="s">
        <v>8220</v>
      </c>
      <c r="P691" s="7" t="s">
        <v>8221</v>
      </c>
      <c r="Q691" s="7" t="s">
        <v>3555</v>
      </c>
    </row>
    <row r="692">
      <c r="A692" s="7" t="s">
        <v>8222</v>
      </c>
      <c r="B692" s="7">
        <v>12000.0</v>
      </c>
      <c r="C692" s="7" t="s">
        <v>8223</v>
      </c>
      <c r="D692" s="7" t="s">
        <v>8224</v>
      </c>
      <c r="E692" s="7" t="s">
        <v>8225</v>
      </c>
      <c r="F692" s="7" t="s">
        <v>8226</v>
      </c>
      <c r="G692" s="7" t="s">
        <v>8227</v>
      </c>
      <c r="H692" s="7" t="s">
        <v>8228</v>
      </c>
      <c r="I692" s="119">
        <v>45292.0</v>
      </c>
      <c r="K692" s="7" t="s">
        <v>419</v>
      </c>
      <c r="L692" s="7" t="s">
        <v>991</v>
      </c>
      <c r="M692" s="7" t="s">
        <v>3501</v>
      </c>
      <c r="N692" s="7" t="s">
        <v>8229</v>
      </c>
      <c r="O692" s="7" t="s">
        <v>8230</v>
      </c>
      <c r="P692" s="7" t="s">
        <v>3894</v>
      </c>
      <c r="Q692" s="7" t="s">
        <v>3523</v>
      </c>
    </row>
    <row r="693">
      <c r="A693" s="7" t="s">
        <v>8231</v>
      </c>
      <c r="B693" s="7">
        <v>2300799.0</v>
      </c>
      <c r="C693" s="7" t="s">
        <v>8223</v>
      </c>
      <c r="D693" s="7" t="s">
        <v>8232</v>
      </c>
      <c r="E693" s="7" t="s">
        <v>8225</v>
      </c>
      <c r="F693" s="7" t="s">
        <v>8233</v>
      </c>
      <c r="G693" s="7" t="s">
        <v>8234</v>
      </c>
      <c r="H693" s="7" t="s">
        <v>8235</v>
      </c>
      <c r="I693" s="119">
        <v>45292.0</v>
      </c>
      <c r="K693" s="7" t="s">
        <v>3632</v>
      </c>
      <c r="L693" s="7" t="s">
        <v>991</v>
      </c>
      <c r="M693" s="7" t="s">
        <v>3501</v>
      </c>
      <c r="N693" s="7" t="s">
        <v>7046</v>
      </c>
      <c r="O693" s="7" t="s">
        <v>7047</v>
      </c>
      <c r="P693" s="7" t="s">
        <v>7820</v>
      </c>
      <c r="Q693" s="7" t="s">
        <v>3514</v>
      </c>
    </row>
    <row r="694">
      <c r="A694" s="7" t="s">
        <v>8236</v>
      </c>
      <c r="B694" s="7">
        <v>14146.0</v>
      </c>
      <c r="C694" s="7" t="s">
        <v>8223</v>
      </c>
      <c r="D694" s="7" t="s">
        <v>8237</v>
      </c>
      <c r="E694" s="7" t="s">
        <v>8225</v>
      </c>
      <c r="F694" s="7" t="s">
        <v>3714</v>
      </c>
      <c r="G694" s="7" t="s">
        <v>8238</v>
      </c>
      <c r="H694" s="7" t="s">
        <v>8239</v>
      </c>
      <c r="I694" s="119">
        <v>45292.0</v>
      </c>
      <c r="K694" s="7" t="s">
        <v>419</v>
      </c>
      <c r="L694" s="7" t="s">
        <v>991</v>
      </c>
      <c r="M694" s="7" t="s">
        <v>3501</v>
      </c>
      <c r="N694" s="7" t="s">
        <v>5902</v>
      </c>
      <c r="O694" s="7" t="s">
        <v>8240</v>
      </c>
      <c r="P694" s="7" t="s">
        <v>3493</v>
      </c>
      <c r="Q694" s="7">
        <v>1.0</v>
      </c>
    </row>
    <row r="695">
      <c r="A695" s="7" t="s">
        <v>8241</v>
      </c>
      <c r="B695" s="7">
        <v>13646.0</v>
      </c>
      <c r="C695" s="7" t="s">
        <v>8223</v>
      </c>
      <c r="D695" s="7" t="s">
        <v>8242</v>
      </c>
      <c r="E695" s="7" t="s">
        <v>8225</v>
      </c>
      <c r="F695" s="7" t="s">
        <v>8243</v>
      </c>
      <c r="G695" s="7" t="s">
        <v>8244</v>
      </c>
      <c r="H695" s="7" t="s">
        <v>8245</v>
      </c>
      <c r="I695" s="119">
        <v>45292.0</v>
      </c>
      <c r="K695" s="7" t="s">
        <v>3632</v>
      </c>
      <c r="L695" s="7" t="s">
        <v>991</v>
      </c>
      <c r="M695" s="7" t="s">
        <v>3501</v>
      </c>
      <c r="N695" s="7" t="s">
        <v>4190</v>
      </c>
      <c r="O695" s="7" t="s">
        <v>7052</v>
      </c>
      <c r="P695" s="7" t="s">
        <v>3522</v>
      </c>
      <c r="Q695" s="7" t="s">
        <v>3523</v>
      </c>
    </row>
    <row r="696">
      <c r="A696" s="7" t="s">
        <v>8246</v>
      </c>
      <c r="B696" s="7">
        <v>14191.0</v>
      </c>
      <c r="C696" s="7" t="s">
        <v>8247</v>
      </c>
      <c r="D696" s="7" t="s">
        <v>8248</v>
      </c>
      <c r="E696" s="7" t="s">
        <v>8249</v>
      </c>
      <c r="F696" s="7" t="s">
        <v>5569</v>
      </c>
      <c r="G696" s="7" t="s">
        <v>8250</v>
      </c>
      <c r="H696" s="7" t="s">
        <v>8251</v>
      </c>
      <c r="I696" s="119">
        <v>45292.0</v>
      </c>
      <c r="K696" s="7" t="s">
        <v>419</v>
      </c>
      <c r="L696" s="7" t="s">
        <v>991</v>
      </c>
      <c r="M696" s="7" t="s">
        <v>3501</v>
      </c>
      <c r="N696" s="7" t="s">
        <v>7298</v>
      </c>
      <c r="O696" s="7" t="s">
        <v>7379</v>
      </c>
      <c r="P696" s="7" t="s">
        <v>3493</v>
      </c>
      <c r="Q696" s="7">
        <v>1.0</v>
      </c>
    </row>
    <row r="697">
      <c r="A697" s="7" t="s">
        <v>8252</v>
      </c>
      <c r="B697" s="7">
        <v>2100693.0</v>
      </c>
      <c r="C697" s="7" t="s">
        <v>8253</v>
      </c>
      <c r="D697" s="7" t="s">
        <v>8254</v>
      </c>
      <c r="E697" s="7" t="s">
        <v>8255</v>
      </c>
      <c r="F697" s="7" t="s">
        <v>8256</v>
      </c>
      <c r="G697" s="7" t="s">
        <v>8257</v>
      </c>
      <c r="H697" s="7" t="s">
        <v>8258</v>
      </c>
      <c r="I697" s="119">
        <v>45292.0</v>
      </c>
      <c r="K697" s="7" t="s">
        <v>419</v>
      </c>
      <c r="L697" s="7" t="s">
        <v>991</v>
      </c>
      <c r="M697" s="7" t="s">
        <v>3531</v>
      </c>
      <c r="N697" s="7" t="s">
        <v>6487</v>
      </c>
      <c r="O697" s="7" t="s">
        <v>6534</v>
      </c>
      <c r="P697" s="7" t="s">
        <v>3493</v>
      </c>
      <c r="Q697" s="7">
        <v>1.0</v>
      </c>
    </row>
    <row r="698">
      <c r="A698" s="7" t="s">
        <v>8259</v>
      </c>
      <c r="B698" s="7">
        <v>2300202.0</v>
      </c>
      <c r="C698" s="7" t="s">
        <v>8253</v>
      </c>
      <c r="D698" s="7" t="s">
        <v>8260</v>
      </c>
      <c r="E698" s="7" t="s">
        <v>8255</v>
      </c>
      <c r="F698" s="7" t="s">
        <v>8261</v>
      </c>
      <c r="G698" s="7" t="s">
        <v>8262</v>
      </c>
      <c r="H698" s="7" t="s">
        <v>8263</v>
      </c>
      <c r="I698" s="119">
        <v>45292.0</v>
      </c>
      <c r="K698" s="7" t="s">
        <v>419</v>
      </c>
      <c r="L698" s="7" t="s">
        <v>991</v>
      </c>
      <c r="M698" s="7" t="s">
        <v>3501</v>
      </c>
      <c r="N698" s="7" t="s">
        <v>8264</v>
      </c>
      <c r="O698" s="7" t="s">
        <v>8265</v>
      </c>
      <c r="P698" s="7" t="s">
        <v>3493</v>
      </c>
      <c r="Q698" s="7">
        <v>1.0</v>
      </c>
    </row>
    <row r="699">
      <c r="A699" s="7" t="s">
        <v>1657</v>
      </c>
      <c r="B699" s="7">
        <v>2200608.0</v>
      </c>
      <c r="C699" s="7" t="s">
        <v>8253</v>
      </c>
      <c r="D699" s="7" t="s">
        <v>8266</v>
      </c>
      <c r="E699" s="7" t="s">
        <v>8255</v>
      </c>
      <c r="F699" s="7" t="s">
        <v>8267</v>
      </c>
      <c r="G699" s="7" t="s">
        <v>8268</v>
      </c>
      <c r="H699" s="7" t="s">
        <v>8269</v>
      </c>
      <c r="I699" s="119">
        <v>45292.0</v>
      </c>
      <c r="K699" s="7" t="s">
        <v>6124</v>
      </c>
      <c r="L699" s="7" t="s">
        <v>3542</v>
      </c>
      <c r="M699" s="7" t="s">
        <v>3563</v>
      </c>
      <c r="N699" s="7" t="s">
        <v>8270</v>
      </c>
      <c r="O699" s="7" t="s">
        <v>8271</v>
      </c>
      <c r="P699" s="7" t="s">
        <v>8272</v>
      </c>
      <c r="Q699" s="7" t="s">
        <v>8273</v>
      </c>
    </row>
    <row r="700">
      <c r="A700" s="7" t="s">
        <v>8274</v>
      </c>
      <c r="B700" s="7">
        <v>13987.0</v>
      </c>
      <c r="C700" s="7" t="s">
        <v>8275</v>
      </c>
      <c r="D700" s="7" t="s">
        <v>8276</v>
      </c>
      <c r="E700" s="7" t="s">
        <v>8277</v>
      </c>
      <c r="F700" s="7" t="s">
        <v>8278</v>
      </c>
      <c r="G700" s="7" t="s">
        <v>8279</v>
      </c>
      <c r="H700" s="7" t="s">
        <v>8280</v>
      </c>
      <c r="I700" s="119">
        <v>45292.0</v>
      </c>
      <c r="K700" s="7" t="s">
        <v>419</v>
      </c>
      <c r="L700" s="7" t="s">
        <v>991</v>
      </c>
      <c r="M700" s="7" t="s">
        <v>3501</v>
      </c>
      <c r="N700" s="7" t="s">
        <v>8281</v>
      </c>
      <c r="O700" s="7" t="s">
        <v>8282</v>
      </c>
      <c r="P700" s="7" t="s">
        <v>3604</v>
      </c>
      <c r="Q700" s="7">
        <v>1.0</v>
      </c>
    </row>
    <row r="701">
      <c r="A701" s="7" t="s">
        <v>8283</v>
      </c>
      <c r="B701" s="7">
        <v>11416.0</v>
      </c>
      <c r="C701" s="7" t="s">
        <v>8284</v>
      </c>
      <c r="D701" s="7" t="s">
        <v>4421</v>
      </c>
      <c r="E701" s="7" t="s">
        <v>8285</v>
      </c>
      <c r="F701" s="7" t="s">
        <v>4423</v>
      </c>
      <c r="G701" s="7" t="s">
        <v>8286</v>
      </c>
      <c r="H701" s="7" t="s">
        <v>8287</v>
      </c>
      <c r="I701" s="119">
        <v>45292.0</v>
      </c>
      <c r="K701" s="7" t="s">
        <v>419</v>
      </c>
      <c r="L701" s="7" t="s">
        <v>991</v>
      </c>
      <c r="M701" s="7" t="s">
        <v>3501</v>
      </c>
      <c r="N701" s="7" t="s">
        <v>4265</v>
      </c>
      <c r="O701" s="7" t="s">
        <v>4266</v>
      </c>
      <c r="P701" s="7" t="s">
        <v>3493</v>
      </c>
      <c r="Q701" s="7">
        <v>1.0</v>
      </c>
    </row>
    <row r="702">
      <c r="A702" s="7" t="s">
        <v>8288</v>
      </c>
      <c r="B702" s="7">
        <v>11365.0</v>
      </c>
      <c r="C702" s="7" t="s">
        <v>8284</v>
      </c>
      <c r="D702" s="7" t="s">
        <v>8289</v>
      </c>
      <c r="E702" s="7" t="s">
        <v>8285</v>
      </c>
      <c r="F702" s="7" t="s">
        <v>3498</v>
      </c>
      <c r="G702" s="7" t="s">
        <v>8290</v>
      </c>
      <c r="H702" s="7" t="s">
        <v>8291</v>
      </c>
      <c r="I702" s="119">
        <v>45292.0</v>
      </c>
      <c r="K702" s="7" t="s">
        <v>419</v>
      </c>
      <c r="L702" s="7" t="s">
        <v>991</v>
      </c>
      <c r="M702" s="7" t="s">
        <v>3501</v>
      </c>
      <c r="N702" s="7" t="s">
        <v>4028</v>
      </c>
      <c r="O702" s="7" t="s">
        <v>4029</v>
      </c>
      <c r="P702" s="7" t="s">
        <v>3843</v>
      </c>
      <c r="Q702" s="7">
        <v>1.0</v>
      </c>
    </row>
    <row r="703">
      <c r="A703" s="7" t="s">
        <v>8292</v>
      </c>
      <c r="B703" s="7">
        <v>13671.0</v>
      </c>
      <c r="C703" s="7" t="s">
        <v>8284</v>
      </c>
      <c r="D703" s="7" t="s">
        <v>8293</v>
      </c>
      <c r="E703" s="7" t="s">
        <v>8285</v>
      </c>
      <c r="F703" s="7" t="s">
        <v>8294</v>
      </c>
      <c r="G703" s="7" t="s">
        <v>8295</v>
      </c>
      <c r="H703" s="7" t="s">
        <v>8296</v>
      </c>
      <c r="I703" s="119">
        <v>45292.0</v>
      </c>
      <c r="K703" s="7" t="s">
        <v>3632</v>
      </c>
      <c r="L703" s="7" t="s">
        <v>991</v>
      </c>
      <c r="M703" s="7" t="s">
        <v>3501</v>
      </c>
      <c r="N703" s="7" t="s">
        <v>3717</v>
      </c>
      <c r="O703" s="7" t="s">
        <v>8297</v>
      </c>
      <c r="P703" s="7" t="s">
        <v>3522</v>
      </c>
      <c r="Q703" s="7" t="s">
        <v>3514</v>
      </c>
    </row>
    <row r="704">
      <c r="A704" s="7" t="s">
        <v>8298</v>
      </c>
      <c r="B704" s="7">
        <v>2300345.0</v>
      </c>
      <c r="C704" s="7" t="s">
        <v>8299</v>
      </c>
      <c r="D704" s="7" t="s">
        <v>8300</v>
      </c>
      <c r="E704" s="7" t="s">
        <v>8285</v>
      </c>
      <c r="F704" s="7" t="s">
        <v>8301</v>
      </c>
      <c r="G704" s="7" t="s">
        <v>8302</v>
      </c>
      <c r="H704" s="7" t="s">
        <v>8303</v>
      </c>
      <c r="I704" s="119">
        <v>45292.0</v>
      </c>
      <c r="K704" s="7" t="s">
        <v>4042</v>
      </c>
      <c r="L704" s="7" t="s">
        <v>991</v>
      </c>
      <c r="M704" s="7" t="s">
        <v>3501</v>
      </c>
      <c r="N704" s="7" t="s">
        <v>4043</v>
      </c>
      <c r="O704" s="7" t="s">
        <v>4044</v>
      </c>
      <c r="P704" s="7" t="s">
        <v>3493</v>
      </c>
      <c r="Q704" s="7">
        <v>1.0</v>
      </c>
    </row>
    <row r="705">
      <c r="A705" s="7" t="s">
        <v>8304</v>
      </c>
      <c r="B705" s="7">
        <v>2300317.0</v>
      </c>
      <c r="C705" s="7" t="s">
        <v>8284</v>
      </c>
      <c r="D705" s="7" t="s">
        <v>8305</v>
      </c>
      <c r="E705" s="7" t="s">
        <v>8285</v>
      </c>
      <c r="F705" s="7" t="s">
        <v>8306</v>
      </c>
      <c r="G705" s="7" t="s">
        <v>8307</v>
      </c>
      <c r="H705" s="7" t="s">
        <v>8308</v>
      </c>
      <c r="I705" s="119">
        <v>45292.0</v>
      </c>
      <c r="K705" s="7" t="s">
        <v>419</v>
      </c>
      <c r="L705" s="7" t="s">
        <v>991</v>
      </c>
      <c r="M705" s="7" t="s">
        <v>3501</v>
      </c>
      <c r="N705" s="7" t="s">
        <v>5026</v>
      </c>
      <c r="O705" s="7" t="s">
        <v>8309</v>
      </c>
      <c r="P705" s="7" t="s">
        <v>3522</v>
      </c>
      <c r="Q705" s="7" t="s">
        <v>3523</v>
      </c>
    </row>
    <row r="706">
      <c r="A706" s="7" t="s">
        <v>8310</v>
      </c>
      <c r="B706" s="7">
        <v>2300459.0</v>
      </c>
      <c r="C706" s="7" t="s">
        <v>8284</v>
      </c>
      <c r="D706" s="7" t="s">
        <v>6554</v>
      </c>
      <c r="E706" s="7" t="s">
        <v>8285</v>
      </c>
      <c r="F706" s="7" t="s">
        <v>8311</v>
      </c>
      <c r="G706" s="7" t="s">
        <v>8312</v>
      </c>
      <c r="H706" s="7" t="s">
        <v>8313</v>
      </c>
      <c r="I706" s="119">
        <v>45292.0</v>
      </c>
      <c r="K706" s="7" t="s">
        <v>419</v>
      </c>
      <c r="L706" s="7" t="s">
        <v>991</v>
      </c>
      <c r="M706" s="7" t="s">
        <v>3501</v>
      </c>
      <c r="N706" s="7" t="s">
        <v>8314</v>
      </c>
      <c r="O706" s="7" t="s">
        <v>8315</v>
      </c>
      <c r="P706" s="7" t="s">
        <v>3522</v>
      </c>
      <c r="Q706" s="7" t="s">
        <v>3523</v>
      </c>
    </row>
    <row r="707">
      <c r="A707" s="7" t="s">
        <v>8316</v>
      </c>
      <c r="B707" s="7">
        <v>2300592.0</v>
      </c>
      <c r="C707" s="7" t="s">
        <v>8317</v>
      </c>
      <c r="D707" s="7" t="s">
        <v>8318</v>
      </c>
      <c r="E707" s="7" t="s">
        <v>3986</v>
      </c>
      <c r="F707" s="7" t="s">
        <v>8319</v>
      </c>
      <c r="G707" s="7" t="s">
        <v>8320</v>
      </c>
      <c r="H707" s="7" t="s">
        <v>8321</v>
      </c>
      <c r="I707" s="119">
        <v>45292.0</v>
      </c>
      <c r="K707" s="7" t="s">
        <v>419</v>
      </c>
      <c r="L707" s="7" t="s">
        <v>991</v>
      </c>
      <c r="M707" s="7" t="s">
        <v>3501</v>
      </c>
      <c r="N707" s="7" t="s">
        <v>7640</v>
      </c>
      <c r="O707" s="7" t="s">
        <v>8211</v>
      </c>
      <c r="P707" s="7" t="s">
        <v>3493</v>
      </c>
      <c r="Q707" s="7">
        <v>1.0</v>
      </c>
    </row>
    <row r="708">
      <c r="A708" s="7" t="s">
        <v>8322</v>
      </c>
      <c r="B708" s="7">
        <v>12977.0</v>
      </c>
      <c r="C708" s="7" t="s">
        <v>8323</v>
      </c>
      <c r="D708" s="7" t="s">
        <v>7406</v>
      </c>
      <c r="E708" s="7" t="s">
        <v>8324</v>
      </c>
      <c r="F708" s="7" t="s">
        <v>4598</v>
      </c>
      <c r="G708" s="7" t="s">
        <v>8325</v>
      </c>
      <c r="H708" s="7" t="s">
        <v>8326</v>
      </c>
      <c r="I708" s="119">
        <v>45292.0</v>
      </c>
      <c r="K708" s="7" t="s">
        <v>419</v>
      </c>
      <c r="L708" s="7" t="s">
        <v>991</v>
      </c>
      <c r="M708" s="7" t="s">
        <v>3501</v>
      </c>
      <c r="N708" s="7" t="s">
        <v>7536</v>
      </c>
      <c r="O708" s="7" t="s">
        <v>7537</v>
      </c>
      <c r="P708" s="7" t="s">
        <v>3493</v>
      </c>
      <c r="Q708" s="7">
        <v>1.0</v>
      </c>
    </row>
    <row r="709">
      <c r="A709" s="7" t="s">
        <v>8327</v>
      </c>
      <c r="B709" s="7">
        <v>13854.0</v>
      </c>
      <c r="C709" s="7" t="s">
        <v>8328</v>
      </c>
      <c r="D709" s="7" t="s">
        <v>3578</v>
      </c>
      <c r="E709" s="7" t="s">
        <v>8329</v>
      </c>
      <c r="F709" s="7" t="s">
        <v>7887</v>
      </c>
      <c r="G709" s="7" t="s">
        <v>8330</v>
      </c>
      <c r="H709" s="7" t="s">
        <v>8331</v>
      </c>
      <c r="I709" s="119">
        <v>45292.0</v>
      </c>
      <c r="K709" s="7" t="s">
        <v>419</v>
      </c>
      <c r="L709" s="7" t="s">
        <v>991</v>
      </c>
      <c r="M709" s="7" t="s">
        <v>3490</v>
      </c>
      <c r="N709" s="7" t="s">
        <v>7662</v>
      </c>
      <c r="O709" s="7" t="s">
        <v>7663</v>
      </c>
      <c r="P709" s="7" t="s">
        <v>3493</v>
      </c>
      <c r="Q709" s="7">
        <v>1.0</v>
      </c>
    </row>
    <row r="710">
      <c r="A710" s="7" t="s">
        <v>8332</v>
      </c>
      <c r="B710" s="7">
        <v>2300570.0</v>
      </c>
      <c r="C710" s="7" t="s">
        <v>8328</v>
      </c>
      <c r="D710" s="7" t="s">
        <v>8333</v>
      </c>
      <c r="E710" s="7" t="s">
        <v>8329</v>
      </c>
      <c r="F710" s="7" t="s">
        <v>5723</v>
      </c>
      <c r="G710" s="7" t="s">
        <v>8334</v>
      </c>
      <c r="H710" s="7" t="s">
        <v>8335</v>
      </c>
      <c r="I710" s="119">
        <v>45292.0</v>
      </c>
      <c r="K710" s="7" t="s">
        <v>419</v>
      </c>
      <c r="L710" s="7" t="s">
        <v>991</v>
      </c>
      <c r="M710" s="7" t="s">
        <v>3501</v>
      </c>
      <c r="N710" s="7" t="s">
        <v>3858</v>
      </c>
      <c r="O710" s="7" t="s">
        <v>3859</v>
      </c>
      <c r="P710" s="7" t="s">
        <v>3894</v>
      </c>
      <c r="Q710" s="7" t="s">
        <v>3523</v>
      </c>
    </row>
    <row r="711">
      <c r="A711" s="7" t="s">
        <v>1906</v>
      </c>
      <c r="B711" s="7">
        <v>12423.0</v>
      </c>
      <c r="C711" s="7" t="s">
        <v>8336</v>
      </c>
      <c r="D711" s="7" t="s">
        <v>8337</v>
      </c>
      <c r="E711" s="7" t="s">
        <v>8338</v>
      </c>
      <c r="F711" s="7" t="s">
        <v>6288</v>
      </c>
      <c r="G711" s="7" t="s">
        <v>8339</v>
      </c>
      <c r="H711" s="7" t="s">
        <v>8340</v>
      </c>
      <c r="I711" s="119">
        <v>45292.0</v>
      </c>
      <c r="K711" s="7" t="s">
        <v>419</v>
      </c>
      <c r="L711" s="7" t="s">
        <v>991</v>
      </c>
      <c r="M711" s="7" t="s">
        <v>3501</v>
      </c>
      <c r="N711" s="7" t="s">
        <v>8341</v>
      </c>
      <c r="O711" s="7" t="s">
        <v>8342</v>
      </c>
      <c r="P711" s="7" t="s">
        <v>3604</v>
      </c>
      <c r="Q711" s="7">
        <v>1.0</v>
      </c>
    </row>
    <row r="712">
      <c r="A712" s="7" t="s">
        <v>8343</v>
      </c>
      <c r="B712" s="7">
        <v>2200831.0</v>
      </c>
      <c r="C712" s="7" t="s">
        <v>8336</v>
      </c>
      <c r="D712" s="7" t="s">
        <v>8344</v>
      </c>
      <c r="E712" s="7" t="s">
        <v>8338</v>
      </c>
      <c r="F712" s="7" t="s">
        <v>8345</v>
      </c>
      <c r="G712" s="7" t="s">
        <v>8346</v>
      </c>
      <c r="H712" s="7" t="s">
        <v>8347</v>
      </c>
      <c r="I712" s="119">
        <v>45292.0</v>
      </c>
      <c r="K712" s="7" t="s">
        <v>419</v>
      </c>
      <c r="L712" s="7" t="s">
        <v>991</v>
      </c>
      <c r="M712" s="7" t="s">
        <v>3531</v>
      </c>
      <c r="N712" s="7" t="s">
        <v>4444</v>
      </c>
      <c r="O712" s="7" t="s">
        <v>4445</v>
      </c>
      <c r="P712" s="7" t="s">
        <v>3493</v>
      </c>
      <c r="Q712" s="7">
        <v>1.0</v>
      </c>
    </row>
    <row r="713">
      <c r="A713" s="7" t="s">
        <v>8348</v>
      </c>
      <c r="B713" s="7">
        <v>10971.0</v>
      </c>
      <c r="C713" s="7" t="s">
        <v>8336</v>
      </c>
      <c r="D713" s="7" t="s">
        <v>4320</v>
      </c>
      <c r="E713" s="7" t="s">
        <v>8338</v>
      </c>
      <c r="F713" s="7" t="s">
        <v>4321</v>
      </c>
      <c r="G713" s="7" t="s">
        <v>8349</v>
      </c>
      <c r="H713" s="7" t="s">
        <v>8350</v>
      </c>
      <c r="I713" s="119">
        <v>45292.0</v>
      </c>
      <c r="K713" s="7" t="s">
        <v>419</v>
      </c>
      <c r="L713" s="7" t="s">
        <v>991</v>
      </c>
      <c r="M713" s="7" t="s">
        <v>3501</v>
      </c>
      <c r="N713" s="7" t="s">
        <v>6896</v>
      </c>
      <c r="O713" s="7" t="s">
        <v>6897</v>
      </c>
      <c r="P713" s="7" t="s">
        <v>3493</v>
      </c>
      <c r="Q713" s="7">
        <v>1.0</v>
      </c>
    </row>
    <row r="714">
      <c r="A714" s="7" t="s">
        <v>8351</v>
      </c>
      <c r="B714" s="7">
        <v>2200782.0</v>
      </c>
      <c r="C714" s="7" t="s">
        <v>8352</v>
      </c>
      <c r="D714" s="7" t="s">
        <v>8353</v>
      </c>
      <c r="E714" s="7" t="s">
        <v>8354</v>
      </c>
      <c r="F714" s="7" t="s">
        <v>6800</v>
      </c>
      <c r="G714" s="7" t="s">
        <v>8355</v>
      </c>
      <c r="H714" s="7" t="s">
        <v>8356</v>
      </c>
      <c r="I714" s="119">
        <v>45292.0</v>
      </c>
      <c r="K714" s="7" t="s">
        <v>419</v>
      </c>
      <c r="L714" s="7" t="s">
        <v>991</v>
      </c>
      <c r="M714" s="7" t="s">
        <v>3501</v>
      </c>
      <c r="N714" s="7" t="s">
        <v>6274</v>
      </c>
      <c r="O714" s="7" t="s">
        <v>8357</v>
      </c>
      <c r="P714" s="7" t="s">
        <v>3493</v>
      </c>
      <c r="Q714" s="7">
        <v>1.0</v>
      </c>
    </row>
    <row r="715">
      <c r="A715" s="7" t="s">
        <v>8358</v>
      </c>
      <c r="B715" s="7">
        <v>837.0</v>
      </c>
      <c r="C715" s="7" t="s">
        <v>8352</v>
      </c>
      <c r="D715" s="7" t="s">
        <v>8359</v>
      </c>
      <c r="E715" s="7" t="s">
        <v>8354</v>
      </c>
      <c r="F715" s="7" t="s">
        <v>8360</v>
      </c>
      <c r="G715" s="7" t="s">
        <v>8361</v>
      </c>
      <c r="H715" s="7" t="s">
        <v>8362</v>
      </c>
      <c r="I715" s="119">
        <v>45292.0</v>
      </c>
      <c r="K715" s="7" t="s">
        <v>419</v>
      </c>
      <c r="L715" s="7" t="s">
        <v>991</v>
      </c>
      <c r="M715" s="7" t="s">
        <v>3501</v>
      </c>
      <c r="N715" s="7" t="s">
        <v>8314</v>
      </c>
      <c r="O715" s="7" t="s">
        <v>8315</v>
      </c>
      <c r="P715" s="7" t="s">
        <v>3522</v>
      </c>
      <c r="Q715" s="7" t="s">
        <v>3523</v>
      </c>
    </row>
    <row r="716">
      <c r="A716" s="7" t="s">
        <v>8363</v>
      </c>
      <c r="B716" s="7">
        <v>1254.0</v>
      </c>
      <c r="C716" s="7" t="s">
        <v>8352</v>
      </c>
      <c r="D716" s="7" t="s">
        <v>5520</v>
      </c>
      <c r="E716" s="7" t="s">
        <v>8354</v>
      </c>
      <c r="F716" s="7" t="s">
        <v>4084</v>
      </c>
      <c r="G716" s="7" t="s">
        <v>8364</v>
      </c>
      <c r="H716" s="7" t="s">
        <v>8365</v>
      </c>
      <c r="I716" s="119">
        <v>45292.0</v>
      </c>
      <c r="K716" s="7" t="s">
        <v>419</v>
      </c>
      <c r="L716" s="7" t="s">
        <v>991</v>
      </c>
      <c r="M716" s="7" t="s">
        <v>3501</v>
      </c>
      <c r="N716" s="7" t="s">
        <v>8366</v>
      </c>
      <c r="O716" s="7" t="s">
        <v>8367</v>
      </c>
      <c r="P716" s="7" t="s">
        <v>3522</v>
      </c>
      <c r="Q716" s="7" t="s">
        <v>3523</v>
      </c>
    </row>
    <row r="717">
      <c r="A717" s="7" t="s">
        <v>8368</v>
      </c>
      <c r="B717" s="7">
        <v>2100199.0</v>
      </c>
      <c r="C717" s="7" t="s">
        <v>8352</v>
      </c>
      <c r="D717" s="7" t="s">
        <v>8369</v>
      </c>
      <c r="E717" s="7" t="s">
        <v>8354</v>
      </c>
      <c r="F717" s="7" t="s">
        <v>5286</v>
      </c>
      <c r="G717" s="7" t="s">
        <v>8370</v>
      </c>
      <c r="H717" s="7" t="s">
        <v>8371</v>
      </c>
      <c r="I717" s="119">
        <v>45292.0</v>
      </c>
      <c r="K717" s="7" t="s">
        <v>419</v>
      </c>
      <c r="L717" s="7" t="s">
        <v>991</v>
      </c>
      <c r="M717" s="7" t="s">
        <v>3501</v>
      </c>
      <c r="N717" s="7" t="s">
        <v>7705</v>
      </c>
      <c r="O717" s="7" t="s">
        <v>8372</v>
      </c>
      <c r="P717" s="7" t="s">
        <v>3894</v>
      </c>
      <c r="Q717" s="7" t="s">
        <v>3523</v>
      </c>
    </row>
    <row r="718">
      <c r="A718" s="7" t="s">
        <v>8373</v>
      </c>
      <c r="B718" s="7">
        <v>2200712.0</v>
      </c>
      <c r="C718" s="7" t="s">
        <v>8352</v>
      </c>
      <c r="D718" s="7" t="s">
        <v>5935</v>
      </c>
      <c r="E718" s="7" t="s">
        <v>8354</v>
      </c>
      <c r="F718" s="7" t="s">
        <v>4700</v>
      </c>
      <c r="G718" s="7" t="s">
        <v>8374</v>
      </c>
      <c r="H718" s="7" t="s">
        <v>8375</v>
      </c>
      <c r="I718" s="119">
        <v>45292.0</v>
      </c>
      <c r="K718" s="7" t="s">
        <v>4042</v>
      </c>
      <c r="L718" s="7" t="s">
        <v>991</v>
      </c>
      <c r="M718" s="7" t="s">
        <v>3501</v>
      </c>
      <c r="N718" s="7" t="s">
        <v>4043</v>
      </c>
      <c r="O718" s="7" t="s">
        <v>4044</v>
      </c>
      <c r="P718" s="7" t="s">
        <v>3493</v>
      </c>
      <c r="Q718" s="7">
        <v>1.0</v>
      </c>
    </row>
    <row r="719">
      <c r="A719" s="7" t="s">
        <v>8376</v>
      </c>
      <c r="B719" s="7">
        <v>13600.0</v>
      </c>
      <c r="C719" s="7" t="s">
        <v>8352</v>
      </c>
      <c r="D719" s="7" t="s">
        <v>6009</v>
      </c>
      <c r="E719" s="7" t="s">
        <v>8354</v>
      </c>
      <c r="F719" s="7" t="s">
        <v>6011</v>
      </c>
      <c r="G719" s="7" t="s">
        <v>8377</v>
      </c>
      <c r="H719" s="7" t="s">
        <v>8378</v>
      </c>
      <c r="I719" s="119">
        <v>45292.0</v>
      </c>
      <c r="K719" s="7" t="s">
        <v>419</v>
      </c>
      <c r="L719" s="7" t="s">
        <v>991</v>
      </c>
      <c r="M719" s="7" t="s">
        <v>3501</v>
      </c>
      <c r="N719" s="7" t="s">
        <v>8379</v>
      </c>
      <c r="O719" s="7" t="s">
        <v>8380</v>
      </c>
      <c r="P719" s="7" t="s">
        <v>3522</v>
      </c>
      <c r="Q719" s="7" t="s">
        <v>3523</v>
      </c>
    </row>
    <row r="720">
      <c r="A720" s="7" t="s">
        <v>8381</v>
      </c>
      <c r="B720" s="7">
        <v>11471.0</v>
      </c>
      <c r="C720" s="7" t="s">
        <v>8352</v>
      </c>
      <c r="D720" s="7" t="s">
        <v>8382</v>
      </c>
      <c r="E720" s="7" t="s">
        <v>8354</v>
      </c>
      <c r="F720" s="7" t="s">
        <v>3945</v>
      </c>
      <c r="G720" s="7" t="s">
        <v>8383</v>
      </c>
      <c r="H720" s="7" t="s">
        <v>8384</v>
      </c>
      <c r="I720" s="119">
        <v>45292.0</v>
      </c>
      <c r="K720" s="7" t="s">
        <v>419</v>
      </c>
      <c r="L720" s="7" t="s">
        <v>991</v>
      </c>
      <c r="M720" s="7" t="s">
        <v>3501</v>
      </c>
      <c r="N720" s="7" t="s">
        <v>4733</v>
      </c>
      <c r="O720" s="7" t="s">
        <v>4734</v>
      </c>
      <c r="P720" s="7" t="s">
        <v>3493</v>
      </c>
      <c r="Q720" s="7">
        <v>1.0</v>
      </c>
    </row>
    <row r="721">
      <c r="A721" s="7" t="s">
        <v>8385</v>
      </c>
      <c r="B721" s="7">
        <v>983.0</v>
      </c>
      <c r="C721" s="7" t="s">
        <v>8352</v>
      </c>
      <c r="D721" s="7" t="s">
        <v>8386</v>
      </c>
      <c r="E721" s="7" t="s">
        <v>8354</v>
      </c>
      <c r="F721" s="7" t="s">
        <v>8387</v>
      </c>
      <c r="G721" s="7" t="s">
        <v>8388</v>
      </c>
      <c r="H721" s="7" t="s">
        <v>8389</v>
      </c>
      <c r="I721" s="119">
        <v>45292.0</v>
      </c>
      <c r="K721" s="7" t="s">
        <v>419</v>
      </c>
      <c r="L721" s="7" t="s">
        <v>991</v>
      </c>
      <c r="M721" s="7" t="s">
        <v>3501</v>
      </c>
      <c r="N721" s="7" t="s">
        <v>8390</v>
      </c>
      <c r="O721" s="7" t="s">
        <v>8391</v>
      </c>
      <c r="P721" s="7" t="s">
        <v>3493</v>
      </c>
      <c r="Q721" s="7">
        <v>1.0</v>
      </c>
    </row>
    <row r="722">
      <c r="A722" s="7" t="s">
        <v>8392</v>
      </c>
      <c r="B722" s="7">
        <v>2200153.0</v>
      </c>
      <c r="C722" s="7" t="s">
        <v>8352</v>
      </c>
      <c r="D722" s="7" t="s">
        <v>8393</v>
      </c>
      <c r="E722" s="7" t="s">
        <v>8354</v>
      </c>
      <c r="F722" s="7" t="s">
        <v>8393</v>
      </c>
      <c r="G722" s="7" t="s">
        <v>8394</v>
      </c>
      <c r="H722" s="7" t="s">
        <v>8395</v>
      </c>
      <c r="I722" s="119">
        <v>45292.0</v>
      </c>
      <c r="K722" s="7" t="s">
        <v>419</v>
      </c>
      <c r="L722" s="7" t="s">
        <v>991</v>
      </c>
      <c r="M722" s="7" t="s">
        <v>3531</v>
      </c>
      <c r="N722" s="7" t="s">
        <v>4444</v>
      </c>
      <c r="O722" s="7" t="s">
        <v>4445</v>
      </c>
      <c r="P722" s="7" t="s">
        <v>3493</v>
      </c>
      <c r="Q722" s="7">
        <v>1.0</v>
      </c>
    </row>
    <row r="723">
      <c r="A723" s="7" t="s">
        <v>8396</v>
      </c>
      <c r="B723" s="7">
        <v>2300607.0</v>
      </c>
      <c r="C723" s="7" t="s">
        <v>8397</v>
      </c>
      <c r="D723" s="7" t="s">
        <v>8398</v>
      </c>
      <c r="E723" s="7" t="s">
        <v>8399</v>
      </c>
      <c r="F723" s="7" t="s">
        <v>8400</v>
      </c>
      <c r="G723" s="7" t="s">
        <v>8401</v>
      </c>
      <c r="H723" s="7" t="s">
        <v>8402</v>
      </c>
      <c r="I723" s="119">
        <v>45292.0</v>
      </c>
      <c r="K723" s="7" t="s">
        <v>419</v>
      </c>
      <c r="L723" s="7" t="s">
        <v>991</v>
      </c>
      <c r="M723" s="7" t="s">
        <v>3501</v>
      </c>
      <c r="N723" s="7" t="s">
        <v>4035</v>
      </c>
      <c r="O723" s="7" t="s">
        <v>4036</v>
      </c>
      <c r="P723" s="7" t="s">
        <v>3522</v>
      </c>
      <c r="Q723" s="7" t="s">
        <v>3523</v>
      </c>
    </row>
    <row r="724">
      <c r="A724" s="7" t="s">
        <v>8403</v>
      </c>
      <c r="B724" s="7">
        <v>11585.0</v>
      </c>
      <c r="C724" s="7" t="s">
        <v>8404</v>
      </c>
      <c r="D724" s="7" t="s">
        <v>8405</v>
      </c>
      <c r="E724" s="7" t="s">
        <v>8406</v>
      </c>
      <c r="F724" s="7" t="s">
        <v>8407</v>
      </c>
      <c r="G724" s="7" t="s">
        <v>8408</v>
      </c>
      <c r="H724" s="7" t="s">
        <v>8409</v>
      </c>
      <c r="I724" s="119">
        <v>45292.0</v>
      </c>
      <c r="K724" s="7" t="s">
        <v>419</v>
      </c>
      <c r="L724" s="7" t="s">
        <v>991</v>
      </c>
      <c r="M724" s="7" t="s">
        <v>3501</v>
      </c>
      <c r="N724" s="7" t="s">
        <v>6949</v>
      </c>
      <c r="O724" s="7" t="s">
        <v>8410</v>
      </c>
      <c r="P724" s="7" t="s">
        <v>3697</v>
      </c>
      <c r="Q724" s="7" t="s">
        <v>8134</v>
      </c>
    </row>
    <row r="725">
      <c r="A725" s="7" t="s">
        <v>8411</v>
      </c>
      <c r="B725" s="7">
        <v>2200005.0</v>
      </c>
      <c r="C725" s="7" t="s">
        <v>8412</v>
      </c>
      <c r="D725" s="7" t="s">
        <v>5457</v>
      </c>
      <c r="E725" s="7" t="s">
        <v>8413</v>
      </c>
      <c r="F725" s="7" t="s">
        <v>4960</v>
      </c>
      <c r="G725" s="7" t="s">
        <v>8414</v>
      </c>
      <c r="H725" s="7" t="s">
        <v>8415</v>
      </c>
      <c r="I725" s="119">
        <v>45292.0</v>
      </c>
      <c r="K725" s="7" t="s">
        <v>419</v>
      </c>
      <c r="L725" s="7" t="s">
        <v>991</v>
      </c>
      <c r="M725" s="7" t="s">
        <v>3501</v>
      </c>
      <c r="N725" s="7" t="s">
        <v>4754</v>
      </c>
      <c r="O725" s="7" t="s">
        <v>4755</v>
      </c>
      <c r="P725" s="7" t="s">
        <v>3493</v>
      </c>
      <c r="Q725" s="7">
        <v>1.0</v>
      </c>
    </row>
    <row r="726">
      <c r="A726" s="7" t="s">
        <v>8416</v>
      </c>
      <c r="B726" s="7">
        <v>2300075.0</v>
      </c>
      <c r="C726" s="7" t="s">
        <v>8417</v>
      </c>
      <c r="D726" s="7" t="s">
        <v>8418</v>
      </c>
      <c r="E726" s="7" t="s">
        <v>8419</v>
      </c>
      <c r="F726" s="7" t="s">
        <v>5250</v>
      </c>
      <c r="G726" s="7" t="s">
        <v>8420</v>
      </c>
      <c r="H726" s="7" t="s">
        <v>8421</v>
      </c>
      <c r="I726" s="119">
        <v>45292.0</v>
      </c>
      <c r="K726" s="7" t="s">
        <v>419</v>
      </c>
      <c r="L726" s="7" t="s">
        <v>991</v>
      </c>
      <c r="M726" s="7" t="s">
        <v>3501</v>
      </c>
      <c r="N726" s="7" t="s">
        <v>5746</v>
      </c>
      <c r="O726" s="7" t="s">
        <v>5747</v>
      </c>
      <c r="P726" s="7" t="s">
        <v>3493</v>
      </c>
      <c r="Q726" s="7">
        <v>1.0</v>
      </c>
    </row>
    <row r="727">
      <c r="A727" s="7" t="s">
        <v>8422</v>
      </c>
      <c r="B727" s="7">
        <v>2300675.0</v>
      </c>
      <c r="C727" s="7" t="s">
        <v>8423</v>
      </c>
      <c r="D727" s="7" t="s">
        <v>8424</v>
      </c>
      <c r="E727" s="7" t="s">
        <v>8425</v>
      </c>
      <c r="F727" s="7" t="s">
        <v>3609</v>
      </c>
      <c r="G727" s="7" t="s">
        <v>8426</v>
      </c>
      <c r="H727" s="7" t="s">
        <v>8427</v>
      </c>
      <c r="I727" s="119">
        <v>45292.0</v>
      </c>
      <c r="K727" s="7" t="s">
        <v>419</v>
      </c>
      <c r="L727" s="7" t="s">
        <v>991</v>
      </c>
      <c r="M727" s="7" t="s">
        <v>3531</v>
      </c>
      <c r="N727" s="7" t="s">
        <v>3957</v>
      </c>
      <c r="O727" s="7" t="s">
        <v>3958</v>
      </c>
      <c r="P727" s="7" t="s">
        <v>3493</v>
      </c>
      <c r="Q727" s="7">
        <v>1.0</v>
      </c>
    </row>
    <row r="728">
      <c r="A728" s="7" t="s">
        <v>8428</v>
      </c>
      <c r="B728" s="7">
        <v>11044.0</v>
      </c>
      <c r="C728" s="7" t="s">
        <v>8429</v>
      </c>
      <c r="D728" s="7" t="s">
        <v>8430</v>
      </c>
      <c r="E728" s="7" t="s">
        <v>8431</v>
      </c>
      <c r="F728" s="7" t="s">
        <v>5522</v>
      </c>
      <c r="G728" s="7" t="s">
        <v>8432</v>
      </c>
      <c r="H728" s="7" t="s">
        <v>8433</v>
      </c>
      <c r="I728" s="119">
        <v>45292.0</v>
      </c>
      <c r="K728" s="7" t="s">
        <v>419</v>
      </c>
      <c r="L728" s="7" t="s">
        <v>991</v>
      </c>
      <c r="M728" s="7" t="s">
        <v>3501</v>
      </c>
      <c r="N728" s="7" t="s">
        <v>8434</v>
      </c>
      <c r="O728" s="7" t="s">
        <v>8435</v>
      </c>
      <c r="P728" s="7" t="s">
        <v>3522</v>
      </c>
      <c r="Q728" s="7" t="s">
        <v>3523</v>
      </c>
    </row>
    <row r="729">
      <c r="A729" s="7" t="s">
        <v>8436</v>
      </c>
      <c r="B729" s="7">
        <v>11321.0</v>
      </c>
      <c r="C729" s="7" t="s">
        <v>8429</v>
      </c>
      <c r="D729" s="7" t="s">
        <v>8437</v>
      </c>
      <c r="E729" s="7" t="s">
        <v>8431</v>
      </c>
      <c r="F729" s="7" t="s">
        <v>5441</v>
      </c>
      <c r="G729" s="7" t="s">
        <v>8438</v>
      </c>
      <c r="H729" s="7" t="s">
        <v>8439</v>
      </c>
      <c r="I729" s="119">
        <v>45292.0</v>
      </c>
      <c r="K729" s="7" t="s">
        <v>419</v>
      </c>
      <c r="L729" s="7" t="s">
        <v>991</v>
      </c>
      <c r="M729" s="7" t="s">
        <v>3501</v>
      </c>
      <c r="N729" s="7" t="s">
        <v>7784</v>
      </c>
      <c r="O729" s="7" t="s">
        <v>8440</v>
      </c>
      <c r="P729" s="7" t="s">
        <v>3843</v>
      </c>
      <c r="Q729" s="7">
        <v>1.0</v>
      </c>
    </row>
    <row r="730">
      <c r="A730" s="7" t="s">
        <v>8441</v>
      </c>
      <c r="B730" s="7">
        <v>11709.0</v>
      </c>
      <c r="C730" s="7" t="s">
        <v>8429</v>
      </c>
      <c r="D730" s="7" t="s">
        <v>8442</v>
      </c>
      <c r="E730" s="7" t="s">
        <v>8431</v>
      </c>
      <c r="F730" s="7" t="s">
        <v>4929</v>
      </c>
      <c r="G730" s="7" t="s">
        <v>8443</v>
      </c>
      <c r="H730" s="7" t="s">
        <v>8444</v>
      </c>
      <c r="I730" s="119">
        <v>45292.0</v>
      </c>
      <c r="K730" s="7" t="s">
        <v>8445</v>
      </c>
      <c r="L730" s="7" t="s">
        <v>4406</v>
      </c>
      <c r="M730" s="7" t="s">
        <v>7791</v>
      </c>
      <c r="N730" s="7" t="s">
        <v>3708</v>
      </c>
      <c r="O730" s="7" t="s">
        <v>8446</v>
      </c>
      <c r="P730" s="7" t="s">
        <v>4154</v>
      </c>
      <c r="Q730" s="7" t="s">
        <v>3566</v>
      </c>
    </row>
    <row r="731">
      <c r="A731" s="7" t="s">
        <v>8447</v>
      </c>
      <c r="B731" s="7">
        <v>8217.0</v>
      </c>
      <c r="C731" s="7" t="s">
        <v>8429</v>
      </c>
      <c r="D731" s="7" t="s">
        <v>8448</v>
      </c>
      <c r="E731" s="7" t="s">
        <v>8431</v>
      </c>
      <c r="F731" s="7" t="s">
        <v>6335</v>
      </c>
      <c r="G731" s="7" t="s">
        <v>8449</v>
      </c>
      <c r="H731" s="7" t="s">
        <v>8450</v>
      </c>
      <c r="I731" s="119">
        <v>45292.0</v>
      </c>
      <c r="K731" s="7" t="s">
        <v>419</v>
      </c>
      <c r="L731" s="7" t="s">
        <v>991</v>
      </c>
      <c r="M731" s="7" t="s">
        <v>3531</v>
      </c>
      <c r="N731" s="7" t="s">
        <v>3724</v>
      </c>
      <c r="O731" s="7" t="s">
        <v>3725</v>
      </c>
      <c r="P731" s="7" t="s">
        <v>3493</v>
      </c>
      <c r="Q731" s="7">
        <v>1.0</v>
      </c>
    </row>
    <row r="732">
      <c r="A732" s="7" t="s">
        <v>8451</v>
      </c>
      <c r="B732" s="7">
        <v>2200704.0</v>
      </c>
      <c r="C732" s="7" t="s">
        <v>8429</v>
      </c>
      <c r="D732" s="7" t="s">
        <v>8452</v>
      </c>
      <c r="E732" s="7" t="s">
        <v>8431</v>
      </c>
      <c r="F732" s="7" t="s">
        <v>6089</v>
      </c>
      <c r="G732" s="7" t="s">
        <v>8453</v>
      </c>
      <c r="H732" s="7" t="s">
        <v>8454</v>
      </c>
      <c r="I732" s="119">
        <v>45292.0</v>
      </c>
      <c r="K732" s="7" t="s">
        <v>4042</v>
      </c>
      <c r="L732" s="7" t="s">
        <v>991</v>
      </c>
      <c r="M732" s="7" t="s">
        <v>3501</v>
      </c>
      <c r="N732" s="7" t="s">
        <v>4043</v>
      </c>
      <c r="O732" s="7" t="s">
        <v>4044</v>
      </c>
      <c r="P732" s="7" t="s">
        <v>3493</v>
      </c>
      <c r="Q732" s="7">
        <v>1.0</v>
      </c>
    </row>
    <row r="733">
      <c r="A733" s="7" t="s">
        <v>8455</v>
      </c>
      <c r="B733" s="7">
        <v>1182.0</v>
      </c>
      <c r="C733" s="7" t="s">
        <v>8429</v>
      </c>
      <c r="D733" s="7" t="s">
        <v>5307</v>
      </c>
      <c r="E733" s="7" t="s">
        <v>8431</v>
      </c>
      <c r="F733" s="7" t="s">
        <v>4487</v>
      </c>
      <c r="G733" s="7" t="s">
        <v>8456</v>
      </c>
      <c r="H733" s="7" t="s">
        <v>8457</v>
      </c>
      <c r="I733" s="119">
        <v>45292.0</v>
      </c>
      <c r="K733" s="7" t="s">
        <v>419</v>
      </c>
      <c r="L733" s="7" t="s">
        <v>991</v>
      </c>
      <c r="M733" s="7" t="s">
        <v>3501</v>
      </c>
      <c r="N733" s="7" t="s">
        <v>4834</v>
      </c>
      <c r="O733" s="7" t="s">
        <v>4835</v>
      </c>
      <c r="P733" s="7" t="s">
        <v>3493</v>
      </c>
      <c r="Q733" s="7">
        <v>1.0</v>
      </c>
    </row>
    <row r="734">
      <c r="A734" s="7" t="s">
        <v>8458</v>
      </c>
      <c r="B734" s="7">
        <v>13896.0</v>
      </c>
      <c r="C734" s="7" t="s">
        <v>8429</v>
      </c>
      <c r="D734" s="7" t="s">
        <v>5935</v>
      </c>
      <c r="E734" s="7" t="s">
        <v>8431</v>
      </c>
      <c r="F734" s="7" t="s">
        <v>4700</v>
      </c>
      <c r="G734" s="7" t="s">
        <v>8459</v>
      </c>
      <c r="H734" s="7" t="s">
        <v>8460</v>
      </c>
      <c r="I734" s="119">
        <v>45292.0</v>
      </c>
      <c r="K734" s="7" t="s">
        <v>419</v>
      </c>
      <c r="L734" s="7" t="s">
        <v>991</v>
      </c>
      <c r="M734" s="7" t="s">
        <v>3531</v>
      </c>
      <c r="N734" s="7" t="s">
        <v>5013</v>
      </c>
      <c r="O734" s="7" t="s">
        <v>5706</v>
      </c>
      <c r="P734" s="7" t="s">
        <v>3493</v>
      </c>
      <c r="Q734" s="7">
        <v>1.0</v>
      </c>
    </row>
    <row r="735">
      <c r="A735" s="7" t="s">
        <v>8461</v>
      </c>
      <c r="B735" s="7">
        <v>13237.0</v>
      </c>
      <c r="C735" s="7" t="s">
        <v>8429</v>
      </c>
      <c r="D735" s="7" t="s">
        <v>8462</v>
      </c>
      <c r="E735" s="7" t="s">
        <v>8431</v>
      </c>
      <c r="F735" s="7" t="s">
        <v>8463</v>
      </c>
      <c r="G735" s="7" t="s">
        <v>8464</v>
      </c>
      <c r="H735" s="7" t="s">
        <v>8465</v>
      </c>
      <c r="I735" s="119">
        <v>45292.0</v>
      </c>
      <c r="K735" s="7" t="s">
        <v>3885</v>
      </c>
      <c r="L735" s="7" t="s">
        <v>3542</v>
      </c>
      <c r="M735" s="7" t="s">
        <v>3543</v>
      </c>
      <c r="N735" s="7" t="s">
        <v>8466</v>
      </c>
      <c r="O735" s="7" t="s">
        <v>8467</v>
      </c>
      <c r="P735" s="7" t="s">
        <v>8468</v>
      </c>
      <c r="Q735" s="7" t="s">
        <v>6296</v>
      </c>
    </row>
    <row r="736">
      <c r="A736" s="7" t="s">
        <v>1728</v>
      </c>
      <c r="B736" s="7">
        <v>14011.0</v>
      </c>
      <c r="C736" s="7" t="s">
        <v>8429</v>
      </c>
      <c r="D736" s="7" t="s">
        <v>8469</v>
      </c>
      <c r="E736" s="7" t="s">
        <v>8431</v>
      </c>
      <c r="F736" s="7" t="s">
        <v>6738</v>
      </c>
      <c r="G736" s="7" t="s">
        <v>8470</v>
      </c>
      <c r="H736" s="7" t="s">
        <v>8471</v>
      </c>
      <c r="I736" s="119">
        <v>45292.0</v>
      </c>
      <c r="K736" s="7" t="s">
        <v>419</v>
      </c>
      <c r="L736" s="7" t="s">
        <v>991</v>
      </c>
      <c r="M736" s="7" t="s">
        <v>3501</v>
      </c>
      <c r="N736" s="7" t="s">
        <v>8472</v>
      </c>
      <c r="O736" s="7" t="s">
        <v>8473</v>
      </c>
      <c r="P736" s="7" t="s">
        <v>3513</v>
      </c>
      <c r="Q736" s="7" t="s">
        <v>3514</v>
      </c>
    </row>
    <row r="737">
      <c r="A737" s="7" t="s">
        <v>8474</v>
      </c>
      <c r="B737" s="7">
        <v>55.0</v>
      </c>
      <c r="C737" s="7" t="s">
        <v>8429</v>
      </c>
      <c r="D737" s="7" t="s">
        <v>8475</v>
      </c>
      <c r="E737" s="7" t="s">
        <v>8431</v>
      </c>
      <c r="F737" s="7" t="s">
        <v>4075</v>
      </c>
      <c r="G737" s="7" t="s">
        <v>8476</v>
      </c>
      <c r="H737" s="7" t="s">
        <v>8477</v>
      </c>
      <c r="I737" s="119">
        <v>45292.0</v>
      </c>
      <c r="K737" s="7" t="s">
        <v>419</v>
      </c>
      <c r="L737" s="7" t="s">
        <v>991</v>
      </c>
      <c r="M737" s="7" t="s">
        <v>3501</v>
      </c>
      <c r="N737" s="7" t="s">
        <v>8478</v>
      </c>
      <c r="O737" s="7" t="s">
        <v>8479</v>
      </c>
      <c r="P737" s="7" t="s">
        <v>3522</v>
      </c>
      <c r="Q737" s="7" t="s">
        <v>3523</v>
      </c>
    </row>
    <row r="738">
      <c r="A738" s="7" t="s">
        <v>8480</v>
      </c>
      <c r="B738" s="7">
        <v>12559.0</v>
      </c>
      <c r="C738" s="7" t="s">
        <v>8429</v>
      </c>
      <c r="D738" s="7" t="s">
        <v>5311</v>
      </c>
      <c r="E738" s="7" t="s">
        <v>8431</v>
      </c>
      <c r="F738" s="7" t="s">
        <v>8194</v>
      </c>
      <c r="G738" s="7" t="s">
        <v>8481</v>
      </c>
      <c r="H738" s="7" t="s">
        <v>8482</v>
      </c>
      <c r="I738" s="119">
        <v>45292.0</v>
      </c>
      <c r="K738" s="7" t="s">
        <v>419</v>
      </c>
      <c r="L738" s="7" t="s">
        <v>991</v>
      </c>
      <c r="M738" s="7" t="s">
        <v>3501</v>
      </c>
      <c r="N738" s="7" t="s">
        <v>3574</v>
      </c>
      <c r="O738" s="7" t="s">
        <v>8483</v>
      </c>
      <c r="P738" s="7" t="s">
        <v>3522</v>
      </c>
      <c r="Q738" s="7" t="s">
        <v>3523</v>
      </c>
    </row>
    <row r="739">
      <c r="A739" s="7" t="s">
        <v>8484</v>
      </c>
      <c r="B739" s="7">
        <v>910.0</v>
      </c>
      <c r="C739" s="7" t="s">
        <v>8429</v>
      </c>
      <c r="D739" s="7" t="s">
        <v>8485</v>
      </c>
      <c r="E739" s="7" t="s">
        <v>8431</v>
      </c>
      <c r="F739" s="7" t="s">
        <v>3799</v>
      </c>
      <c r="G739" s="7" t="s">
        <v>8486</v>
      </c>
      <c r="H739" s="7" t="s">
        <v>2430</v>
      </c>
      <c r="I739" s="119">
        <v>45292.0</v>
      </c>
      <c r="K739" s="7" t="s">
        <v>419</v>
      </c>
      <c r="L739" s="7" t="s">
        <v>991</v>
      </c>
      <c r="M739" s="7" t="s">
        <v>3501</v>
      </c>
      <c r="N739" s="7" t="s">
        <v>6637</v>
      </c>
      <c r="O739" s="7" t="s">
        <v>6638</v>
      </c>
      <c r="P739" s="7" t="s">
        <v>3604</v>
      </c>
      <c r="Q739" s="7">
        <v>1.0</v>
      </c>
    </row>
    <row r="740">
      <c r="A740" s="7" t="s">
        <v>8487</v>
      </c>
      <c r="B740" s="7">
        <v>2300695.0</v>
      </c>
      <c r="C740" s="7" t="s">
        <v>8429</v>
      </c>
      <c r="D740" s="7" t="s">
        <v>8488</v>
      </c>
      <c r="E740" s="7" t="s">
        <v>8431</v>
      </c>
      <c r="F740" s="7" t="s">
        <v>5155</v>
      </c>
      <c r="G740" s="7" t="s">
        <v>8489</v>
      </c>
      <c r="H740" s="7" t="s">
        <v>8490</v>
      </c>
      <c r="I740" s="119">
        <v>45292.0</v>
      </c>
      <c r="K740" s="7" t="s">
        <v>8491</v>
      </c>
      <c r="L740" s="7" t="s">
        <v>991</v>
      </c>
      <c r="M740" s="7" t="s">
        <v>3501</v>
      </c>
      <c r="N740" s="7" t="s">
        <v>8492</v>
      </c>
      <c r="O740" s="7" t="s">
        <v>8493</v>
      </c>
      <c r="P740" s="7" t="s">
        <v>3493</v>
      </c>
      <c r="Q740" s="7">
        <v>1.0</v>
      </c>
    </row>
    <row r="741">
      <c r="A741" s="7" t="s">
        <v>8494</v>
      </c>
      <c r="B741" s="7">
        <v>2300113.0</v>
      </c>
      <c r="C741" s="7" t="s">
        <v>8429</v>
      </c>
      <c r="D741" s="7" t="s">
        <v>8495</v>
      </c>
      <c r="E741" s="7" t="s">
        <v>8431</v>
      </c>
      <c r="F741" s="7" t="s">
        <v>8496</v>
      </c>
      <c r="G741" s="7" t="s">
        <v>8497</v>
      </c>
      <c r="H741" s="7" t="s">
        <v>8498</v>
      </c>
      <c r="I741" s="119">
        <v>45292.0</v>
      </c>
      <c r="K741" s="7" t="s">
        <v>3622</v>
      </c>
      <c r="L741" s="7" t="s">
        <v>991</v>
      </c>
      <c r="M741" s="7" t="s">
        <v>3531</v>
      </c>
      <c r="N741" s="7" t="s">
        <v>3623</v>
      </c>
      <c r="O741" s="7" t="s">
        <v>3624</v>
      </c>
      <c r="P741" s="7" t="s">
        <v>3493</v>
      </c>
      <c r="Q741" s="7">
        <v>1.0</v>
      </c>
    </row>
    <row r="742">
      <c r="A742" s="7" t="s">
        <v>2018</v>
      </c>
      <c r="B742" s="7">
        <v>11336.0</v>
      </c>
      <c r="C742" s="7" t="s">
        <v>8429</v>
      </c>
      <c r="D742" s="7" t="s">
        <v>8499</v>
      </c>
      <c r="E742" s="7" t="s">
        <v>8431</v>
      </c>
      <c r="F742" s="7" t="s">
        <v>8500</v>
      </c>
      <c r="G742" s="7" t="s">
        <v>8501</v>
      </c>
      <c r="H742" s="7" t="s">
        <v>8502</v>
      </c>
      <c r="I742" s="119">
        <v>45292.0</v>
      </c>
      <c r="J742" s="7" t="s">
        <v>3929</v>
      </c>
      <c r="K742" s="7" t="s">
        <v>419</v>
      </c>
      <c r="L742" s="7" t="s">
        <v>991</v>
      </c>
      <c r="M742" s="7" t="s">
        <v>3501</v>
      </c>
      <c r="N742" s="7" t="s">
        <v>8503</v>
      </c>
      <c r="O742" s="7" t="s">
        <v>8504</v>
      </c>
      <c r="P742" s="7" t="s">
        <v>3493</v>
      </c>
      <c r="Q742" s="7">
        <v>1.0</v>
      </c>
    </row>
    <row r="743">
      <c r="A743" s="7" t="s">
        <v>8505</v>
      </c>
      <c r="B743" s="7">
        <v>2200338.0</v>
      </c>
      <c r="C743" s="7" t="s">
        <v>8429</v>
      </c>
      <c r="D743" s="7" t="s">
        <v>8506</v>
      </c>
      <c r="E743" s="7" t="s">
        <v>8431</v>
      </c>
      <c r="F743" s="7" t="s">
        <v>5250</v>
      </c>
      <c r="G743" s="7" t="s">
        <v>8507</v>
      </c>
      <c r="H743" s="7" t="s">
        <v>8508</v>
      </c>
      <c r="I743" s="119">
        <v>45292.0</v>
      </c>
      <c r="K743" s="7" t="s">
        <v>419</v>
      </c>
      <c r="L743" s="7" t="s">
        <v>991</v>
      </c>
      <c r="M743" s="7" t="s">
        <v>3501</v>
      </c>
      <c r="N743" s="7" t="s">
        <v>7623</v>
      </c>
      <c r="O743" s="7" t="s">
        <v>7624</v>
      </c>
      <c r="P743" s="7" t="s">
        <v>3522</v>
      </c>
      <c r="Q743" s="7" t="s">
        <v>3523</v>
      </c>
    </row>
    <row r="744">
      <c r="A744" s="7" t="s">
        <v>8509</v>
      </c>
      <c r="B744" s="7">
        <v>2100637.0</v>
      </c>
      <c r="C744" s="7" t="s">
        <v>8429</v>
      </c>
      <c r="D744" s="7" t="s">
        <v>5248</v>
      </c>
      <c r="E744" s="7" t="s">
        <v>8431</v>
      </c>
      <c r="F744" s="7" t="s">
        <v>5250</v>
      </c>
      <c r="G744" s="7" t="s">
        <v>8510</v>
      </c>
      <c r="H744" s="7" t="s">
        <v>8511</v>
      </c>
      <c r="I744" s="119">
        <v>45292.0</v>
      </c>
      <c r="K744" s="7" t="s">
        <v>419</v>
      </c>
      <c r="L744" s="7" t="s">
        <v>991</v>
      </c>
      <c r="M744" s="7" t="s">
        <v>3501</v>
      </c>
      <c r="N744" s="7" t="s">
        <v>8512</v>
      </c>
      <c r="O744" s="7" t="s">
        <v>8513</v>
      </c>
      <c r="P744" s="7" t="s">
        <v>3522</v>
      </c>
      <c r="Q744" s="7" t="s">
        <v>3523</v>
      </c>
    </row>
    <row r="745">
      <c r="A745" s="7" t="s">
        <v>8514</v>
      </c>
      <c r="B745" s="7">
        <v>1104.0</v>
      </c>
      <c r="C745" s="7" t="s">
        <v>8429</v>
      </c>
      <c r="D745" s="7" t="s">
        <v>8515</v>
      </c>
      <c r="E745" s="7" t="s">
        <v>8431</v>
      </c>
      <c r="F745" s="7" t="s">
        <v>4478</v>
      </c>
      <c r="G745" s="7" t="s">
        <v>8516</v>
      </c>
      <c r="H745" s="7" t="s">
        <v>8517</v>
      </c>
      <c r="I745" s="119">
        <v>45292.0</v>
      </c>
      <c r="K745" s="7" t="s">
        <v>6681</v>
      </c>
      <c r="L745" s="7" t="s">
        <v>3542</v>
      </c>
      <c r="M745" s="7" t="s">
        <v>4383</v>
      </c>
      <c r="N745" s="7" t="s">
        <v>8518</v>
      </c>
      <c r="O745" s="7" t="s">
        <v>8519</v>
      </c>
      <c r="P745" s="7" t="s">
        <v>8520</v>
      </c>
      <c r="Q745" s="7" t="s">
        <v>5016</v>
      </c>
    </row>
    <row r="746">
      <c r="A746" s="7" t="s">
        <v>8521</v>
      </c>
      <c r="B746" s="7">
        <v>2400031.0</v>
      </c>
      <c r="C746" s="7" t="s">
        <v>8429</v>
      </c>
      <c r="D746" s="7" t="s">
        <v>8522</v>
      </c>
      <c r="E746" s="7" t="s">
        <v>8431</v>
      </c>
      <c r="F746" s="7" t="s">
        <v>6301</v>
      </c>
      <c r="G746" s="7" t="s">
        <v>8523</v>
      </c>
      <c r="H746" s="7" t="s">
        <v>8524</v>
      </c>
      <c r="I746" s="119">
        <v>45292.0</v>
      </c>
      <c r="K746" s="7" t="s">
        <v>419</v>
      </c>
      <c r="L746" s="7" t="s">
        <v>991</v>
      </c>
      <c r="M746" s="7" t="s">
        <v>3531</v>
      </c>
      <c r="N746" s="7" t="s">
        <v>5755</v>
      </c>
      <c r="O746" s="7" t="s">
        <v>5756</v>
      </c>
      <c r="P746" s="7" t="s">
        <v>3493</v>
      </c>
      <c r="Q746" s="7">
        <v>1.0</v>
      </c>
    </row>
    <row r="747">
      <c r="A747" s="7" t="s">
        <v>8525</v>
      </c>
      <c r="B747" s="7">
        <v>2100315.0</v>
      </c>
      <c r="C747" s="7" t="s">
        <v>8429</v>
      </c>
      <c r="D747" s="7" t="s">
        <v>4313</v>
      </c>
      <c r="E747" s="7" t="s">
        <v>8431</v>
      </c>
      <c r="F747" s="7" t="s">
        <v>4314</v>
      </c>
      <c r="G747" s="7" t="s">
        <v>8526</v>
      </c>
      <c r="H747" s="7" t="s">
        <v>8527</v>
      </c>
      <c r="I747" s="119">
        <v>45292.0</v>
      </c>
      <c r="K747" s="7" t="s">
        <v>419</v>
      </c>
      <c r="L747" s="7" t="s">
        <v>991</v>
      </c>
      <c r="M747" s="7" t="s">
        <v>3501</v>
      </c>
      <c r="N747" s="7" t="s">
        <v>5755</v>
      </c>
      <c r="O747" s="7" t="s">
        <v>5756</v>
      </c>
      <c r="P747" s="7" t="s">
        <v>3843</v>
      </c>
      <c r="Q747" s="7">
        <v>1.0</v>
      </c>
    </row>
    <row r="748">
      <c r="A748" s="7" t="s">
        <v>8528</v>
      </c>
      <c r="B748" s="7">
        <v>2300155.0</v>
      </c>
      <c r="C748" s="7" t="s">
        <v>8429</v>
      </c>
      <c r="D748" s="7" t="s">
        <v>8529</v>
      </c>
      <c r="E748" s="7" t="s">
        <v>8431</v>
      </c>
      <c r="F748" s="7" t="s">
        <v>3909</v>
      </c>
      <c r="G748" s="7" t="s">
        <v>8530</v>
      </c>
      <c r="H748" s="7" t="s">
        <v>8531</v>
      </c>
      <c r="I748" s="119">
        <v>45292.0</v>
      </c>
      <c r="K748" s="7" t="s">
        <v>419</v>
      </c>
      <c r="L748" s="7" t="s">
        <v>991</v>
      </c>
      <c r="M748" s="7" t="s">
        <v>3501</v>
      </c>
      <c r="N748" s="7" t="s">
        <v>8390</v>
      </c>
      <c r="O748" s="7" t="s">
        <v>8391</v>
      </c>
      <c r="P748" s="7" t="s">
        <v>3493</v>
      </c>
      <c r="Q748" s="7">
        <v>1.0</v>
      </c>
    </row>
    <row r="749">
      <c r="A749" s="7" t="s">
        <v>8532</v>
      </c>
      <c r="B749" s="7">
        <v>2300239.0</v>
      </c>
      <c r="C749" s="7" t="s">
        <v>8429</v>
      </c>
      <c r="D749" s="7" t="s">
        <v>8533</v>
      </c>
      <c r="E749" s="7" t="s">
        <v>8431</v>
      </c>
      <c r="F749" s="7" t="s">
        <v>7169</v>
      </c>
      <c r="G749" s="7" t="s">
        <v>8534</v>
      </c>
      <c r="H749" s="7" t="s">
        <v>8535</v>
      </c>
      <c r="I749" s="119">
        <v>45292.0</v>
      </c>
      <c r="K749" s="7" t="s">
        <v>3489</v>
      </c>
      <c r="L749" s="7" t="s">
        <v>991</v>
      </c>
      <c r="M749" s="7" t="s">
        <v>3490</v>
      </c>
      <c r="N749" s="7" t="s">
        <v>3491</v>
      </c>
      <c r="O749" s="7" t="s">
        <v>3492</v>
      </c>
      <c r="P749" s="7" t="s">
        <v>3493</v>
      </c>
      <c r="Q749" s="7">
        <v>1.0</v>
      </c>
    </row>
    <row r="750">
      <c r="A750" s="7" t="s">
        <v>8536</v>
      </c>
      <c r="B750" s="7">
        <v>2200521.0</v>
      </c>
      <c r="C750" s="7" t="s">
        <v>8429</v>
      </c>
      <c r="D750" s="7" t="s">
        <v>8537</v>
      </c>
      <c r="E750" s="7" t="s">
        <v>8431</v>
      </c>
      <c r="F750" s="7" t="s">
        <v>4371</v>
      </c>
      <c r="G750" s="7" t="s">
        <v>8538</v>
      </c>
      <c r="H750" s="7" t="s">
        <v>8539</v>
      </c>
      <c r="I750" s="119">
        <v>45292.0</v>
      </c>
      <c r="K750" s="7" t="s">
        <v>419</v>
      </c>
      <c r="L750" s="7" t="s">
        <v>991</v>
      </c>
      <c r="M750" s="7" t="s">
        <v>3583</v>
      </c>
      <c r="N750" s="7" t="s">
        <v>7536</v>
      </c>
      <c r="O750" s="7" t="s">
        <v>7537</v>
      </c>
      <c r="P750" s="7" t="s">
        <v>3493</v>
      </c>
      <c r="Q750" s="7">
        <v>1.0</v>
      </c>
    </row>
    <row r="751">
      <c r="A751" s="7" t="s">
        <v>1548</v>
      </c>
      <c r="B751" s="7">
        <v>10794.0</v>
      </c>
      <c r="C751" s="7" t="s">
        <v>8429</v>
      </c>
      <c r="D751" s="7" t="s">
        <v>5214</v>
      </c>
      <c r="E751" s="7" t="s">
        <v>8431</v>
      </c>
      <c r="F751" s="7" t="s">
        <v>4598</v>
      </c>
      <c r="G751" s="7" t="s">
        <v>8540</v>
      </c>
      <c r="H751" s="7" t="s">
        <v>8541</v>
      </c>
      <c r="I751" s="119">
        <v>45292.0</v>
      </c>
      <c r="K751" s="7" t="s">
        <v>8542</v>
      </c>
      <c r="L751" s="7" t="s">
        <v>3706</v>
      </c>
      <c r="M751" s="7" t="s">
        <v>3938</v>
      </c>
      <c r="N751" s="7" t="s">
        <v>8543</v>
      </c>
      <c r="O751" s="7" t="s">
        <v>8544</v>
      </c>
      <c r="P751" s="7" t="s">
        <v>8545</v>
      </c>
      <c r="Q751" s="7" t="s">
        <v>3942</v>
      </c>
    </row>
    <row r="752">
      <c r="A752" s="7" t="s">
        <v>8546</v>
      </c>
      <c r="B752" s="7">
        <v>2100490.0</v>
      </c>
      <c r="C752" s="7" t="s">
        <v>8429</v>
      </c>
      <c r="D752" s="7" t="s">
        <v>8547</v>
      </c>
      <c r="E752" s="7" t="s">
        <v>8431</v>
      </c>
      <c r="F752" s="7" t="s">
        <v>5514</v>
      </c>
      <c r="G752" s="7" t="s">
        <v>8548</v>
      </c>
      <c r="H752" s="7" t="s">
        <v>8549</v>
      </c>
      <c r="I752" s="119">
        <v>45292.0</v>
      </c>
      <c r="K752" s="7" t="s">
        <v>419</v>
      </c>
      <c r="L752" s="7" t="s">
        <v>991</v>
      </c>
      <c r="M752" s="7" t="s">
        <v>3501</v>
      </c>
      <c r="N752" s="7" t="s">
        <v>8550</v>
      </c>
      <c r="O752" s="7" t="s">
        <v>8551</v>
      </c>
      <c r="P752" s="7" t="s">
        <v>3843</v>
      </c>
      <c r="Q752" s="7">
        <v>1.0</v>
      </c>
    </row>
    <row r="753">
      <c r="A753" s="7" t="s">
        <v>8552</v>
      </c>
      <c r="B753" s="7">
        <v>11971.0</v>
      </c>
      <c r="C753" s="7" t="s">
        <v>8429</v>
      </c>
      <c r="D753" s="7" t="s">
        <v>8553</v>
      </c>
      <c r="E753" s="7" t="s">
        <v>8431</v>
      </c>
      <c r="F753" s="7" t="s">
        <v>8554</v>
      </c>
      <c r="G753" s="7" t="s">
        <v>8555</v>
      </c>
      <c r="H753" s="7" t="s">
        <v>8556</v>
      </c>
      <c r="I753" s="119">
        <v>45292.0</v>
      </c>
      <c r="K753" s="7" t="s">
        <v>3489</v>
      </c>
      <c r="L753" s="7" t="s">
        <v>991</v>
      </c>
      <c r="M753" s="7" t="s">
        <v>3490</v>
      </c>
      <c r="N753" s="7" t="s">
        <v>3491</v>
      </c>
      <c r="O753" s="7" t="s">
        <v>3492</v>
      </c>
      <c r="P753" s="7" t="s">
        <v>3493</v>
      </c>
      <c r="Q753" s="7">
        <v>1.0</v>
      </c>
    </row>
    <row r="754">
      <c r="A754" s="7" t="s">
        <v>8557</v>
      </c>
      <c r="B754" s="7">
        <v>2200004.0</v>
      </c>
      <c r="C754" s="7" t="s">
        <v>8558</v>
      </c>
      <c r="D754" s="7" t="s">
        <v>8559</v>
      </c>
      <c r="E754" s="7" t="s">
        <v>8560</v>
      </c>
      <c r="F754" s="7" t="s">
        <v>3486</v>
      </c>
      <c r="G754" s="7" t="s">
        <v>8561</v>
      </c>
      <c r="H754" s="7" t="s">
        <v>8562</v>
      </c>
      <c r="I754" s="119">
        <v>45292.0</v>
      </c>
      <c r="K754" s="7" t="s">
        <v>419</v>
      </c>
      <c r="L754" s="7" t="s">
        <v>991</v>
      </c>
      <c r="M754" s="7" t="s">
        <v>3501</v>
      </c>
      <c r="N754" s="7" t="s">
        <v>5505</v>
      </c>
      <c r="O754" s="7" t="s">
        <v>5506</v>
      </c>
      <c r="P754" s="7" t="s">
        <v>3843</v>
      </c>
      <c r="Q754" s="7">
        <v>1.0</v>
      </c>
    </row>
    <row r="755">
      <c r="A755" s="7" t="s">
        <v>8563</v>
      </c>
      <c r="B755" s="7">
        <v>12488.0</v>
      </c>
      <c r="C755" s="7" t="s">
        <v>8564</v>
      </c>
      <c r="D755" s="7" t="s">
        <v>8565</v>
      </c>
      <c r="E755" s="7" t="s">
        <v>8566</v>
      </c>
      <c r="F755" s="7" t="s">
        <v>7066</v>
      </c>
      <c r="G755" s="7" t="s">
        <v>8567</v>
      </c>
      <c r="H755" s="7" t="s">
        <v>8568</v>
      </c>
      <c r="I755" s="119">
        <v>45292.0</v>
      </c>
      <c r="K755" s="7" t="s">
        <v>419</v>
      </c>
      <c r="L755" s="7" t="s">
        <v>991</v>
      </c>
      <c r="M755" s="7" t="s">
        <v>3501</v>
      </c>
      <c r="N755" s="7" t="s">
        <v>8569</v>
      </c>
      <c r="O755" s="7" t="s">
        <v>8570</v>
      </c>
      <c r="P755" s="7" t="s">
        <v>3604</v>
      </c>
      <c r="Q755" s="7">
        <v>1.0</v>
      </c>
    </row>
    <row r="756">
      <c r="A756" s="7" t="s">
        <v>8571</v>
      </c>
      <c r="B756" s="7">
        <v>13696.0</v>
      </c>
      <c r="C756" s="7" t="s">
        <v>8564</v>
      </c>
      <c r="D756" s="7" t="s">
        <v>6121</v>
      </c>
      <c r="E756" s="7" t="s">
        <v>8566</v>
      </c>
      <c r="F756" s="7" t="s">
        <v>5595</v>
      </c>
      <c r="G756" s="7" t="s">
        <v>8572</v>
      </c>
      <c r="H756" s="7" t="s">
        <v>8573</v>
      </c>
      <c r="I756" s="119">
        <v>45292.0</v>
      </c>
      <c r="K756" s="7" t="s">
        <v>3632</v>
      </c>
      <c r="L756" s="7" t="s">
        <v>991</v>
      </c>
      <c r="M756" s="7" t="s">
        <v>3501</v>
      </c>
      <c r="N756" s="7" t="s">
        <v>8574</v>
      </c>
      <c r="O756" s="7" t="s">
        <v>8575</v>
      </c>
      <c r="P756" s="7" t="s">
        <v>3522</v>
      </c>
      <c r="Q756" s="7" t="s">
        <v>3523</v>
      </c>
    </row>
    <row r="757">
      <c r="A757" s="7" t="s">
        <v>8576</v>
      </c>
      <c r="B757" s="7">
        <v>2200425.0</v>
      </c>
      <c r="C757" s="7" t="s">
        <v>8577</v>
      </c>
      <c r="D757" s="7" t="s">
        <v>8578</v>
      </c>
      <c r="E757" s="7" t="s">
        <v>8579</v>
      </c>
      <c r="F757" s="7" t="s">
        <v>8580</v>
      </c>
      <c r="G757" s="7" t="s">
        <v>8581</v>
      </c>
      <c r="H757" s="7" t="s">
        <v>8582</v>
      </c>
      <c r="I757" s="119">
        <v>45292.0</v>
      </c>
      <c r="K757" s="7" t="s">
        <v>419</v>
      </c>
      <c r="L757" s="7" t="s">
        <v>991</v>
      </c>
      <c r="M757" s="7" t="s">
        <v>3531</v>
      </c>
      <c r="N757" s="7" t="s">
        <v>8583</v>
      </c>
      <c r="O757" s="7" t="s">
        <v>8584</v>
      </c>
      <c r="P757" s="7" t="s">
        <v>3493</v>
      </c>
      <c r="Q757" s="7">
        <v>1.0</v>
      </c>
    </row>
    <row r="758">
      <c r="A758" s="7" t="s">
        <v>8585</v>
      </c>
      <c r="B758" s="7">
        <v>10501.0</v>
      </c>
      <c r="C758" s="7" t="s">
        <v>8586</v>
      </c>
      <c r="D758" s="7" t="s">
        <v>8587</v>
      </c>
      <c r="E758" s="7" t="s">
        <v>8588</v>
      </c>
      <c r="F758" s="7" t="s">
        <v>4009</v>
      </c>
      <c r="G758" s="7" t="s">
        <v>8589</v>
      </c>
      <c r="H758" s="7" t="s">
        <v>8590</v>
      </c>
      <c r="I758" s="119">
        <v>45292.0</v>
      </c>
      <c r="K758" s="7" t="s">
        <v>419</v>
      </c>
      <c r="L758" s="7" t="s">
        <v>991</v>
      </c>
      <c r="M758" s="7" t="s">
        <v>3501</v>
      </c>
      <c r="N758" s="7" t="s">
        <v>5769</v>
      </c>
      <c r="O758" s="7" t="s">
        <v>5770</v>
      </c>
      <c r="P758" s="7" t="s">
        <v>3843</v>
      </c>
      <c r="Q758" s="7">
        <v>1.0</v>
      </c>
    </row>
    <row r="759">
      <c r="A759" s="7" t="s">
        <v>8591</v>
      </c>
      <c r="B759" s="7">
        <v>2100553.0</v>
      </c>
      <c r="C759" s="7" t="s">
        <v>8592</v>
      </c>
      <c r="D759" s="7" t="s">
        <v>8593</v>
      </c>
      <c r="E759" s="7" t="s">
        <v>8592</v>
      </c>
      <c r="F759" s="7" t="s">
        <v>8593</v>
      </c>
      <c r="G759" s="7" t="s">
        <v>8594</v>
      </c>
      <c r="H759" s="7" t="s">
        <v>8595</v>
      </c>
      <c r="I759" s="119">
        <v>45292.0</v>
      </c>
      <c r="K759" s="7" t="s">
        <v>419</v>
      </c>
      <c r="L759" s="7" t="s">
        <v>991</v>
      </c>
      <c r="M759" s="7" t="s">
        <v>3501</v>
      </c>
      <c r="N759" s="7" t="s">
        <v>3834</v>
      </c>
      <c r="O759" s="7" t="s">
        <v>3835</v>
      </c>
      <c r="P759" s="7" t="s">
        <v>3493</v>
      </c>
      <c r="Q759" s="7">
        <v>1.0</v>
      </c>
    </row>
    <row r="760">
      <c r="A760" s="7" t="s">
        <v>8596</v>
      </c>
      <c r="B760" s="7">
        <v>2100688.0</v>
      </c>
      <c r="C760" s="7" t="s">
        <v>8597</v>
      </c>
      <c r="D760" s="7" t="s">
        <v>8598</v>
      </c>
      <c r="E760" s="7" t="s">
        <v>8599</v>
      </c>
      <c r="F760" s="7" t="s">
        <v>4598</v>
      </c>
      <c r="G760" s="7" t="s">
        <v>8600</v>
      </c>
      <c r="H760" s="7" t="s">
        <v>8601</v>
      </c>
      <c r="I760" s="119">
        <v>45292.0</v>
      </c>
      <c r="K760" s="7" t="s">
        <v>419</v>
      </c>
      <c r="L760" s="7" t="s">
        <v>991</v>
      </c>
      <c r="M760" s="7" t="s">
        <v>3531</v>
      </c>
      <c r="N760" s="7" t="s">
        <v>7373</v>
      </c>
      <c r="O760" s="7" t="s">
        <v>7374</v>
      </c>
      <c r="P760" s="7" t="s">
        <v>3493</v>
      </c>
      <c r="Q760" s="7">
        <v>1.0</v>
      </c>
    </row>
    <row r="761">
      <c r="A761" s="7" t="s">
        <v>8602</v>
      </c>
      <c r="B761" s="7">
        <v>2300325.0</v>
      </c>
      <c r="C761" s="7" t="s">
        <v>8603</v>
      </c>
      <c r="D761" s="7" t="s">
        <v>8604</v>
      </c>
      <c r="E761" s="7" t="s">
        <v>8605</v>
      </c>
      <c r="F761" s="7" t="s">
        <v>8606</v>
      </c>
      <c r="G761" s="7" t="s">
        <v>8607</v>
      </c>
      <c r="H761" s="7" t="s">
        <v>8608</v>
      </c>
      <c r="I761" s="119">
        <v>45292.0</v>
      </c>
      <c r="K761" s="7" t="s">
        <v>419</v>
      </c>
      <c r="L761" s="7" t="s">
        <v>991</v>
      </c>
      <c r="M761" s="7" t="s">
        <v>3583</v>
      </c>
      <c r="N761" s="7" t="s">
        <v>4256</v>
      </c>
      <c r="O761" s="7" t="s">
        <v>4257</v>
      </c>
      <c r="P761" s="7" t="s">
        <v>3493</v>
      </c>
      <c r="Q761" s="7">
        <v>1.0</v>
      </c>
    </row>
    <row r="762">
      <c r="A762" s="7" t="s">
        <v>8609</v>
      </c>
      <c r="B762" s="7">
        <v>383.0</v>
      </c>
      <c r="C762" s="7" t="s">
        <v>8603</v>
      </c>
      <c r="D762" s="7" t="s">
        <v>3627</v>
      </c>
      <c r="E762" s="7" t="s">
        <v>8605</v>
      </c>
      <c r="F762" s="7" t="s">
        <v>3629</v>
      </c>
      <c r="G762" s="7" t="s">
        <v>8610</v>
      </c>
      <c r="H762" s="7" t="s">
        <v>8611</v>
      </c>
      <c r="I762" s="119">
        <v>45292.0</v>
      </c>
      <c r="K762" s="7" t="s">
        <v>419</v>
      </c>
      <c r="L762" s="7" t="s">
        <v>991</v>
      </c>
      <c r="M762" s="7" t="s">
        <v>3501</v>
      </c>
      <c r="N762" s="7" t="s">
        <v>4330</v>
      </c>
      <c r="O762" s="7" t="s">
        <v>4331</v>
      </c>
      <c r="P762" s="7" t="s">
        <v>3604</v>
      </c>
      <c r="Q762" s="7">
        <v>1.0</v>
      </c>
    </row>
    <row r="763">
      <c r="A763" s="7" t="s">
        <v>8612</v>
      </c>
      <c r="B763" s="7">
        <v>2100493.0</v>
      </c>
      <c r="C763" s="7" t="s">
        <v>8613</v>
      </c>
      <c r="D763" s="7" t="s">
        <v>8614</v>
      </c>
      <c r="E763" s="7" t="s">
        <v>8615</v>
      </c>
      <c r="F763" s="7" t="s">
        <v>8616</v>
      </c>
      <c r="G763" s="7" t="s">
        <v>8617</v>
      </c>
      <c r="H763" s="7" t="s">
        <v>8618</v>
      </c>
      <c r="I763" s="119">
        <v>45292.0</v>
      </c>
      <c r="K763" s="7" t="s">
        <v>419</v>
      </c>
      <c r="L763" s="7" t="s">
        <v>991</v>
      </c>
      <c r="M763" s="7" t="s">
        <v>3501</v>
      </c>
      <c r="N763" s="7" t="s">
        <v>8619</v>
      </c>
      <c r="O763" s="7" t="s">
        <v>8620</v>
      </c>
      <c r="P763" s="7" t="s">
        <v>3493</v>
      </c>
      <c r="Q763" s="7">
        <v>1.0</v>
      </c>
    </row>
    <row r="764">
      <c r="A764" s="7" t="s">
        <v>8621</v>
      </c>
      <c r="B764" s="7">
        <v>13682.0</v>
      </c>
      <c r="C764" s="7" t="s">
        <v>8622</v>
      </c>
      <c r="D764" s="7" t="s">
        <v>8623</v>
      </c>
      <c r="E764" s="7" t="s">
        <v>8624</v>
      </c>
      <c r="F764" s="7" t="s">
        <v>8625</v>
      </c>
      <c r="G764" s="7" t="s">
        <v>8626</v>
      </c>
      <c r="H764" s="7" t="s">
        <v>8627</v>
      </c>
      <c r="I764" s="119">
        <v>45292.0</v>
      </c>
      <c r="K764" s="7" t="s">
        <v>3632</v>
      </c>
      <c r="L764" s="7" t="s">
        <v>991</v>
      </c>
      <c r="M764" s="7" t="s">
        <v>3501</v>
      </c>
      <c r="N764" s="7" t="s">
        <v>6214</v>
      </c>
      <c r="O764" s="7" t="s">
        <v>8628</v>
      </c>
      <c r="P764" s="7" t="s">
        <v>3894</v>
      </c>
      <c r="Q764" s="7" t="s">
        <v>3523</v>
      </c>
    </row>
    <row r="765">
      <c r="A765" s="7" t="s">
        <v>1444</v>
      </c>
      <c r="B765" s="7">
        <v>1176.0</v>
      </c>
      <c r="C765" s="7" t="s">
        <v>8622</v>
      </c>
      <c r="D765" s="7" t="s">
        <v>8629</v>
      </c>
      <c r="E765" s="7" t="s">
        <v>8624</v>
      </c>
      <c r="F765" s="7" t="s">
        <v>3909</v>
      </c>
      <c r="G765" s="7" t="s">
        <v>8630</v>
      </c>
      <c r="H765" s="7" t="s">
        <v>8631</v>
      </c>
      <c r="I765" s="119">
        <v>45292.0</v>
      </c>
      <c r="K765" s="7" t="s">
        <v>419</v>
      </c>
      <c r="L765" s="7" t="s">
        <v>991</v>
      </c>
      <c r="M765" s="7" t="s">
        <v>3501</v>
      </c>
      <c r="N765" s="7" t="s">
        <v>4317</v>
      </c>
      <c r="O765" s="7" t="s">
        <v>7839</v>
      </c>
      <c r="P765" s="7" t="s">
        <v>3522</v>
      </c>
      <c r="Q765" s="7" t="s">
        <v>3523</v>
      </c>
    </row>
    <row r="766">
      <c r="A766" s="7" t="s">
        <v>8632</v>
      </c>
      <c r="B766" s="7">
        <v>14243.0</v>
      </c>
      <c r="C766" s="7" t="s">
        <v>8633</v>
      </c>
      <c r="D766" s="7" t="s">
        <v>8634</v>
      </c>
      <c r="E766" s="7" t="s">
        <v>8635</v>
      </c>
      <c r="F766" s="7" t="s">
        <v>8636</v>
      </c>
      <c r="G766" s="7" t="s">
        <v>8637</v>
      </c>
      <c r="H766" s="7" t="s">
        <v>8638</v>
      </c>
      <c r="I766" s="119">
        <v>45292.0</v>
      </c>
      <c r="K766" s="7" t="s">
        <v>419</v>
      </c>
      <c r="L766" s="7" t="s">
        <v>991</v>
      </c>
      <c r="M766" s="7" t="s">
        <v>3501</v>
      </c>
      <c r="N766" s="7" t="s">
        <v>8639</v>
      </c>
      <c r="O766" s="7" t="s">
        <v>8640</v>
      </c>
      <c r="P766" s="7" t="s">
        <v>3614</v>
      </c>
      <c r="Q766" s="7" t="s">
        <v>3514</v>
      </c>
    </row>
    <row r="767">
      <c r="A767" s="7" t="s">
        <v>8641</v>
      </c>
      <c r="B767" s="7">
        <v>2100358.0</v>
      </c>
      <c r="C767" s="7" t="s">
        <v>8642</v>
      </c>
      <c r="D767" s="7" t="s">
        <v>8643</v>
      </c>
      <c r="E767" s="7" t="s">
        <v>8644</v>
      </c>
      <c r="F767" s="7" t="s">
        <v>4434</v>
      </c>
      <c r="G767" s="7" t="s">
        <v>8645</v>
      </c>
      <c r="H767" s="7" t="s">
        <v>8646</v>
      </c>
      <c r="I767" s="119">
        <v>45292.0</v>
      </c>
      <c r="K767" s="7" t="s">
        <v>419</v>
      </c>
      <c r="L767" s="7" t="s">
        <v>991</v>
      </c>
      <c r="M767" s="7" t="s">
        <v>3501</v>
      </c>
      <c r="N767" s="7" t="s">
        <v>8647</v>
      </c>
      <c r="O767" s="7" t="s">
        <v>8648</v>
      </c>
      <c r="P767" s="7" t="s">
        <v>3493</v>
      </c>
      <c r="Q767" s="7">
        <v>1.0</v>
      </c>
    </row>
    <row r="768">
      <c r="A768" s="7" t="s">
        <v>8649</v>
      </c>
      <c r="B768" s="7">
        <v>13445.0</v>
      </c>
      <c r="C768" s="7" t="s">
        <v>8650</v>
      </c>
      <c r="D768" s="7" t="s">
        <v>8651</v>
      </c>
      <c r="E768" s="7" t="s">
        <v>8652</v>
      </c>
      <c r="F768" s="7" t="s">
        <v>8653</v>
      </c>
      <c r="G768" s="7" t="s">
        <v>8654</v>
      </c>
      <c r="H768" s="7" t="s">
        <v>8655</v>
      </c>
      <c r="I768" s="119">
        <v>45292.0</v>
      </c>
      <c r="J768" s="7" t="s">
        <v>3929</v>
      </c>
      <c r="K768" s="7" t="s">
        <v>419</v>
      </c>
      <c r="L768" s="7" t="s">
        <v>991</v>
      </c>
      <c r="M768" s="7" t="s">
        <v>3501</v>
      </c>
      <c r="N768" s="7" t="s">
        <v>8656</v>
      </c>
      <c r="O768" s="7" t="s">
        <v>8657</v>
      </c>
      <c r="P768" s="7" t="s">
        <v>3843</v>
      </c>
      <c r="Q768" s="7">
        <v>1.0</v>
      </c>
    </row>
    <row r="769">
      <c r="A769" s="7" t="s">
        <v>8658</v>
      </c>
      <c r="B769" s="7">
        <v>2200364.0</v>
      </c>
      <c r="C769" s="7" t="s">
        <v>8659</v>
      </c>
      <c r="D769" s="7" t="s">
        <v>8660</v>
      </c>
      <c r="E769" s="7" t="s">
        <v>8661</v>
      </c>
      <c r="F769" s="7" t="s">
        <v>4234</v>
      </c>
      <c r="G769" s="7" t="s">
        <v>8662</v>
      </c>
      <c r="H769" s="7" t="s">
        <v>8663</v>
      </c>
      <c r="I769" s="119">
        <v>45292.0</v>
      </c>
      <c r="K769" s="7" t="s">
        <v>419</v>
      </c>
      <c r="L769" s="7" t="s">
        <v>991</v>
      </c>
      <c r="M769" s="7" t="s">
        <v>3501</v>
      </c>
      <c r="N769" s="7" t="s">
        <v>8664</v>
      </c>
      <c r="O769" s="7" t="s">
        <v>8665</v>
      </c>
      <c r="P769" s="7" t="s">
        <v>3843</v>
      </c>
      <c r="Q769" s="7">
        <v>1.0</v>
      </c>
    </row>
    <row r="770">
      <c r="A770" s="7" t="s">
        <v>8666</v>
      </c>
      <c r="B770" s="7">
        <v>2100351.0</v>
      </c>
      <c r="C770" s="7" t="s">
        <v>8659</v>
      </c>
      <c r="D770" s="7" t="s">
        <v>4306</v>
      </c>
      <c r="E770" s="7" t="s">
        <v>8667</v>
      </c>
      <c r="F770" s="7" t="s">
        <v>8668</v>
      </c>
      <c r="G770" s="7" t="s">
        <v>8669</v>
      </c>
      <c r="H770" s="7" t="s">
        <v>8670</v>
      </c>
      <c r="I770" s="119">
        <v>45292.0</v>
      </c>
      <c r="K770" s="7" t="s">
        <v>419</v>
      </c>
      <c r="L770" s="7" t="s">
        <v>991</v>
      </c>
      <c r="M770" s="7" t="s">
        <v>3501</v>
      </c>
      <c r="N770" s="7" t="s">
        <v>5444</v>
      </c>
      <c r="O770" s="7" t="s">
        <v>8671</v>
      </c>
      <c r="P770" s="7" t="s">
        <v>3522</v>
      </c>
      <c r="Q770" s="7" t="s">
        <v>3523</v>
      </c>
    </row>
    <row r="771">
      <c r="A771" s="7" t="s">
        <v>8672</v>
      </c>
      <c r="B771" s="7">
        <v>2300430.0</v>
      </c>
      <c r="C771" s="7" t="s">
        <v>8673</v>
      </c>
      <c r="D771" s="7" t="s">
        <v>8674</v>
      </c>
      <c r="E771" s="7" t="s">
        <v>8675</v>
      </c>
      <c r="F771" s="7" t="s">
        <v>5074</v>
      </c>
      <c r="G771" s="7" t="s">
        <v>8676</v>
      </c>
      <c r="H771" s="7" t="s">
        <v>8677</v>
      </c>
      <c r="I771" s="119">
        <v>45292.0</v>
      </c>
      <c r="K771" s="7" t="s">
        <v>419</v>
      </c>
      <c r="L771" s="7" t="s">
        <v>991</v>
      </c>
      <c r="M771" s="7" t="s">
        <v>3501</v>
      </c>
      <c r="N771" s="7" t="s">
        <v>4593</v>
      </c>
      <c r="O771" s="7" t="s">
        <v>4594</v>
      </c>
      <c r="P771" s="7" t="s">
        <v>3843</v>
      </c>
      <c r="Q771" s="7">
        <v>1.0</v>
      </c>
    </row>
    <row r="772">
      <c r="A772" s="7" t="s">
        <v>8678</v>
      </c>
      <c r="B772" s="7">
        <v>10995.0</v>
      </c>
      <c r="C772" s="7" t="s">
        <v>8679</v>
      </c>
      <c r="D772" s="7" t="s">
        <v>8680</v>
      </c>
      <c r="E772" s="7" t="s">
        <v>8681</v>
      </c>
      <c r="F772" s="7" t="s">
        <v>8682</v>
      </c>
      <c r="G772" s="7" t="s">
        <v>8683</v>
      </c>
      <c r="H772" s="7" t="s">
        <v>8684</v>
      </c>
      <c r="I772" s="119">
        <v>45292.0</v>
      </c>
      <c r="K772" s="7" t="s">
        <v>419</v>
      </c>
      <c r="L772" s="7" t="s">
        <v>991</v>
      </c>
      <c r="M772" s="7" t="s">
        <v>3501</v>
      </c>
      <c r="N772" s="7" t="s">
        <v>7060</v>
      </c>
      <c r="O772" s="7" t="s">
        <v>8685</v>
      </c>
      <c r="P772" s="7" t="s">
        <v>3522</v>
      </c>
      <c r="Q772" s="7" t="s">
        <v>3514</v>
      </c>
    </row>
    <row r="773">
      <c r="A773" s="7" t="s">
        <v>8686</v>
      </c>
      <c r="B773" s="7">
        <v>13558.0</v>
      </c>
      <c r="C773" s="7" t="s">
        <v>8687</v>
      </c>
      <c r="D773" s="7" t="s">
        <v>8688</v>
      </c>
      <c r="E773" s="7" t="s">
        <v>8689</v>
      </c>
      <c r="F773" s="7" t="s">
        <v>3748</v>
      </c>
      <c r="G773" s="7" t="s">
        <v>8690</v>
      </c>
      <c r="H773" s="7" t="s">
        <v>8691</v>
      </c>
      <c r="I773" s="119">
        <v>45292.0</v>
      </c>
      <c r="K773" s="7" t="s">
        <v>3632</v>
      </c>
      <c r="L773" s="7" t="s">
        <v>991</v>
      </c>
      <c r="M773" s="7" t="s">
        <v>3501</v>
      </c>
      <c r="N773" s="7" t="s">
        <v>4274</v>
      </c>
      <c r="O773" s="7" t="s">
        <v>4275</v>
      </c>
      <c r="P773" s="7" t="s">
        <v>8692</v>
      </c>
      <c r="Q773" s="7" t="s">
        <v>3523</v>
      </c>
    </row>
    <row r="774">
      <c r="A774" s="7" t="s">
        <v>8693</v>
      </c>
      <c r="B774" s="7">
        <v>12812.0</v>
      </c>
      <c r="C774" s="7" t="s">
        <v>8694</v>
      </c>
      <c r="D774" s="7" t="s">
        <v>8695</v>
      </c>
      <c r="E774" s="7" t="s">
        <v>8696</v>
      </c>
      <c r="F774" s="7" t="s">
        <v>4831</v>
      </c>
      <c r="G774" s="7" t="s">
        <v>8697</v>
      </c>
      <c r="H774" s="7" t="s">
        <v>8698</v>
      </c>
      <c r="I774" s="119">
        <v>45292.0</v>
      </c>
      <c r="K774" s="7" t="s">
        <v>419</v>
      </c>
      <c r="L774" s="7" t="s">
        <v>991</v>
      </c>
      <c r="M774" s="7" t="s">
        <v>3501</v>
      </c>
      <c r="N774" s="7" t="s">
        <v>8699</v>
      </c>
      <c r="O774" s="7" t="s">
        <v>8700</v>
      </c>
      <c r="P774" s="7" t="s">
        <v>3493</v>
      </c>
      <c r="Q774" s="7">
        <v>1.0</v>
      </c>
    </row>
    <row r="775">
      <c r="A775" s="7" t="s">
        <v>8701</v>
      </c>
      <c r="B775" s="7">
        <v>2300708.0</v>
      </c>
      <c r="C775" s="7" t="s">
        <v>8702</v>
      </c>
      <c r="D775" s="7" t="s">
        <v>8703</v>
      </c>
      <c r="E775" s="7" t="s">
        <v>8704</v>
      </c>
      <c r="F775" s="7" t="s">
        <v>8705</v>
      </c>
      <c r="G775" s="7" t="s">
        <v>8706</v>
      </c>
      <c r="I775" s="119">
        <v>45292.0</v>
      </c>
      <c r="K775" s="7" t="s">
        <v>419</v>
      </c>
      <c r="L775" s="7" t="s">
        <v>991</v>
      </c>
      <c r="M775" s="7" t="s">
        <v>3531</v>
      </c>
      <c r="N775" s="7" t="s">
        <v>3820</v>
      </c>
      <c r="O775" s="7" t="s">
        <v>3821</v>
      </c>
      <c r="P775" s="7" t="s">
        <v>3493</v>
      </c>
      <c r="Q775" s="7">
        <v>1.0</v>
      </c>
    </row>
    <row r="776">
      <c r="A776" s="7" t="s">
        <v>8707</v>
      </c>
      <c r="B776" s="7">
        <v>2300586.0</v>
      </c>
      <c r="C776" s="7" t="s">
        <v>8708</v>
      </c>
      <c r="D776" s="7" t="s">
        <v>8709</v>
      </c>
      <c r="E776" s="7" t="s">
        <v>8710</v>
      </c>
      <c r="F776" s="7" t="s">
        <v>8711</v>
      </c>
      <c r="G776" s="7" t="s">
        <v>8712</v>
      </c>
      <c r="H776" s="7" t="s">
        <v>8713</v>
      </c>
      <c r="I776" s="119">
        <v>45292.0</v>
      </c>
      <c r="K776" s="7" t="s">
        <v>419</v>
      </c>
      <c r="L776" s="7" t="s">
        <v>991</v>
      </c>
      <c r="M776" s="7" t="s">
        <v>3531</v>
      </c>
      <c r="N776" s="7" t="s">
        <v>4853</v>
      </c>
      <c r="O776" s="7" t="s">
        <v>4854</v>
      </c>
      <c r="P776" s="7" t="s">
        <v>3493</v>
      </c>
      <c r="Q776" s="7">
        <v>1.0</v>
      </c>
    </row>
    <row r="777">
      <c r="A777" s="7" t="s">
        <v>8714</v>
      </c>
      <c r="B777" s="7">
        <v>13575.0</v>
      </c>
      <c r="C777" s="7" t="s">
        <v>8715</v>
      </c>
      <c r="D777" s="7" t="s">
        <v>8716</v>
      </c>
      <c r="E777" s="7" t="s">
        <v>8717</v>
      </c>
      <c r="F777" s="7" t="s">
        <v>5132</v>
      </c>
      <c r="G777" s="7" t="s">
        <v>8718</v>
      </c>
      <c r="H777" s="7" t="s">
        <v>8719</v>
      </c>
      <c r="I777" s="119">
        <v>45292.0</v>
      </c>
      <c r="K777" s="7" t="s">
        <v>419</v>
      </c>
      <c r="L777" s="7" t="s">
        <v>991</v>
      </c>
      <c r="M777" s="7" t="s">
        <v>3501</v>
      </c>
      <c r="N777" s="7" t="s">
        <v>3502</v>
      </c>
      <c r="O777" s="7" t="s">
        <v>3503</v>
      </c>
      <c r="P777" s="7" t="s">
        <v>3493</v>
      </c>
      <c r="Q777" s="7">
        <v>1.0</v>
      </c>
    </row>
    <row r="778">
      <c r="A778" s="7" t="s">
        <v>8720</v>
      </c>
      <c r="B778" s="7">
        <v>13845.0</v>
      </c>
      <c r="C778" s="7" t="s">
        <v>8721</v>
      </c>
      <c r="D778" s="7" t="s">
        <v>8722</v>
      </c>
      <c r="E778" s="7" t="s">
        <v>8723</v>
      </c>
      <c r="F778" s="7" t="s">
        <v>8724</v>
      </c>
      <c r="G778" s="7" t="s">
        <v>8725</v>
      </c>
      <c r="H778" s="7" t="s">
        <v>8726</v>
      </c>
      <c r="I778" s="119">
        <v>45292.0</v>
      </c>
      <c r="K778" s="7" t="s">
        <v>3632</v>
      </c>
      <c r="L778" s="7" t="s">
        <v>991</v>
      </c>
      <c r="M778" s="7" t="s">
        <v>3531</v>
      </c>
      <c r="N778" s="7" t="s">
        <v>5037</v>
      </c>
      <c r="O778" s="7" t="s">
        <v>5038</v>
      </c>
      <c r="P778" s="7" t="s">
        <v>3493</v>
      </c>
      <c r="Q778" s="7">
        <v>1.0</v>
      </c>
    </row>
    <row r="779">
      <c r="A779" s="7" t="s">
        <v>8727</v>
      </c>
      <c r="B779" s="7">
        <v>12772.0</v>
      </c>
      <c r="C779" s="7" t="s">
        <v>8728</v>
      </c>
      <c r="D779" s="7" t="s">
        <v>6200</v>
      </c>
      <c r="E779" s="7" t="s">
        <v>8729</v>
      </c>
      <c r="F779" s="7" t="s">
        <v>6202</v>
      </c>
      <c r="G779" s="7" t="s">
        <v>8730</v>
      </c>
      <c r="H779" s="7" t="s">
        <v>8731</v>
      </c>
      <c r="I779" s="119">
        <v>45292.0</v>
      </c>
      <c r="K779" s="7" t="s">
        <v>419</v>
      </c>
      <c r="L779" s="7" t="s">
        <v>991</v>
      </c>
      <c r="M779" s="7" t="s">
        <v>3501</v>
      </c>
      <c r="N779" s="7" t="s">
        <v>5755</v>
      </c>
      <c r="O779" s="7" t="s">
        <v>5756</v>
      </c>
      <c r="P779" s="7" t="s">
        <v>3493</v>
      </c>
      <c r="Q779" s="7">
        <v>1.0</v>
      </c>
    </row>
    <row r="780">
      <c r="A780" s="7" t="s">
        <v>8732</v>
      </c>
      <c r="B780" s="7">
        <v>953.0</v>
      </c>
      <c r="C780" s="7" t="s">
        <v>8733</v>
      </c>
      <c r="D780" s="7" t="s">
        <v>6031</v>
      </c>
      <c r="E780" s="7" t="s">
        <v>8734</v>
      </c>
      <c r="F780" s="7" t="s">
        <v>3909</v>
      </c>
      <c r="G780" s="7" t="s">
        <v>8735</v>
      </c>
      <c r="H780" s="7" t="s">
        <v>8736</v>
      </c>
      <c r="I780" s="119">
        <v>45292.0</v>
      </c>
      <c r="K780" s="7" t="s">
        <v>419</v>
      </c>
      <c r="L780" s="7" t="s">
        <v>991</v>
      </c>
      <c r="M780" s="7" t="s">
        <v>3501</v>
      </c>
      <c r="N780" s="7" t="s">
        <v>3574</v>
      </c>
      <c r="O780" s="7" t="s">
        <v>7225</v>
      </c>
      <c r="P780" s="7" t="s">
        <v>3493</v>
      </c>
      <c r="Q780" s="7">
        <v>1.0</v>
      </c>
    </row>
    <row r="781">
      <c r="A781" s="7" t="s">
        <v>8737</v>
      </c>
      <c r="B781" s="7">
        <v>13835.0</v>
      </c>
      <c r="C781" s="7" t="s">
        <v>8738</v>
      </c>
      <c r="D781" s="7" t="s">
        <v>5153</v>
      </c>
      <c r="E781" s="7" t="s">
        <v>8739</v>
      </c>
      <c r="F781" s="7" t="s">
        <v>5155</v>
      </c>
      <c r="G781" s="7" t="s">
        <v>8740</v>
      </c>
      <c r="H781" s="7" t="s">
        <v>8741</v>
      </c>
      <c r="I781" s="119">
        <v>45292.0</v>
      </c>
      <c r="K781" s="7" t="s">
        <v>419</v>
      </c>
      <c r="L781" s="7" t="s">
        <v>991</v>
      </c>
      <c r="M781" s="7" t="s">
        <v>3501</v>
      </c>
      <c r="N781" s="7" t="s">
        <v>5671</v>
      </c>
      <c r="O781" s="7" t="s">
        <v>5672</v>
      </c>
      <c r="P781" s="7" t="s">
        <v>3493</v>
      </c>
      <c r="Q781" s="7">
        <v>1.0</v>
      </c>
    </row>
    <row r="782">
      <c r="A782" s="7" t="s">
        <v>8742</v>
      </c>
      <c r="B782" s="7">
        <v>2100020.0</v>
      </c>
      <c r="C782" s="7" t="s">
        <v>8743</v>
      </c>
      <c r="D782" s="7" t="s">
        <v>8744</v>
      </c>
      <c r="E782" s="7" t="s">
        <v>8745</v>
      </c>
      <c r="F782" s="7" t="s">
        <v>8256</v>
      </c>
      <c r="G782" s="7" t="s">
        <v>8746</v>
      </c>
      <c r="H782" s="7" t="s">
        <v>8747</v>
      </c>
      <c r="I782" s="119">
        <v>45292.0</v>
      </c>
      <c r="K782" s="7" t="s">
        <v>419</v>
      </c>
      <c r="L782" s="7" t="s">
        <v>991</v>
      </c>
      <c r="M782" s="7" t="s">
        <v>3501</v>
      </c>
      <c r="N782" s="7" t="s">
        <v>5698</v>
      </c>
      <c r="O782" s="7" t="s">
        <v>5699</v>
      </c>
      <c r="P782" s="7" t="s">
        <v>3843</v>
      </c>
      <c r="Q782" s="7">
        <v>1.0</v>
      </c>
    </row>
    <row r="783">
      <c r="A783" s="7" t="s">
        <v>8748</v>
      </c>
      <c r="B783" s="7">
        <v>12518.0</v>
      </c>
      <c r="C783" s="7" t="s">
        <v>8743</v>
      </c>
      <c r="D783" s="7" t="s">
        <v>8749</v>
      </c>
      <c r="E783" s="7" t="s">
        <v>8745</v>
      </c>
      <c r="F783" s="7" t="s">
        <v>8750</v>
      </c>
      <c r="G783" s="7" t="s">
        <v>8751</v>
      </c>
      <c r="H783" s="7" t="s">
        <v>8752</v>
      </c>
      <c r="I783" s="119">
        <v>45292.0</v>
      </c>
      <c r="K783" s="7" t="s">
        <v>419</v>
      </c>
      <c r="L783" s="7" t="s">
        <v>991</v>
      </c>
      <c r="M783" s="7" t="s">
        <v>3501</v>
      </c>
      <c r="N783" s="7" t="s">
        <v>8753</v>
      </c>
      <c r="O783" s="7" t="s">
        <v>8754</v>
      </c>
      <c r="P783" s="7" t="s">
        <v>3843</v>
      </c>
      <c r="Q783" s="7">
        <v>1.0</v>
      </c>
    </row>
    <row r="784">
      <c r="A784" s="7" t="s">
        <v>8755</v>
      </c>
      <c r="B784" s="7">
        <v>2100516.0</v>
      </c>
      <c r="C784" s="7" t="s">
        <v>8743</v>
      </c>
      <c r="D784" s="7" t="s">
        <v>8756</v>
      </c>
      <c r="E784" s="7" t="s">
        <v>8745</v>
      </c>
      <c r="F784" s="7" t="s">
        <v>8756</v>
      </c>
      <c r="G784" s="7" t="s">
        <v>8757</v>
      </c>
      <c r="H784" s="7" t="s">
        <v>8758</v>
      </c>
      <c r="I784" s="119">
        <v>45292.0</v>
      </c>
      <c r="K784" s="7" t="s">
        <v>419</v>
      </c>
      <c r="L784" s="7" t="s">
        <v>991</v>
      </c>
      <c r="M784" s="7" t="s">
        <v>3531</v>
      </c>
      <c r="N784" s="7" t="s">
        <v>7947</v>
      </c>
      <c r="O784" s="7" t="s">
        <v>7948</v>
      </c>
      <c r="P784" s="7" t="s">
        <v>3493</v>
      </c>
      <c r="Q784" s="7">
        <v>1.0</v>
      </c>
    </row>
    <row r="785">
      <c r="A785" s="7" t="s">
        <v>8759</v>
      </c>
      <c r="B785" s="7">
        <v>8506.0</v>
      </c>
      <c r="C785" s="7" t="s">
        <v>8760</v>
      </c>
      <c r="D785" s="7" t="s">
        <v>8761</v>
      </c>
      <c r="E785" s="7" t="s">
        <v>8762</v>
      </c>
      <c r="F785" s="7" t="s">
        <v>8119</v>
      </c>
      <c r="G785" s="7" t="s">
        <v>8763</v>
      </c>
      <c r="H785" s="7" t="s">
        <v>8764</v>
      </c>
      <c r="I785" s="119">
        <v>45292.0</v>
      </c>
      <c r="K785" s="7" t="s">
        <v>419</v>
      </c>
      <c r="L785" s="7" t="s">
        <v>991</v>
      </c>
      <c r="M785" s="7" t="s">
        <v>3531</v>
      </c>
      <c r="N785" s="7" t="s">
        <v>4810</v>
      </c>
      <c r="O785" s="7" t="s">
        <v>4811</v>
      </c>
      <c r="P785" s="7" t="s">
        <v>3493</v>
      </c>
      <c r="Q785" s="7">
        <v>1.0</v>
      </c>
    </row>
    <row r="786">
      <c r="A786" s="7" t="s">
        <v>8765</v>
      </c>
      <c r="B786" s="7">
        <v>2300614.0</v>
      </c>
      <c r="C786" s="7" t="s">
        <v>8766</v>
      </c>
      <c r="D786" s="7" t="s">
        <v>8767</v>
      </c>
      <c r="E786" s="7" t="s">
        <v>8768</v>
      </c>
      <c r="F786" s="7" t="s">
        <v>4032</v>
      </c>
      <c r="G786" s="7" t="s">
        <v>8769</v>
      </c>
      <c r="H786" s="7" t="s">
        <v>8770</v>
      </c>
      <c r="I786" s="119">
        <v>45292.0</v>
      </c>
      <c r="K786" s="7" t="s">
        <v>419</v>
      </c>
      <c r="L786" s="7" t="s">
        <v>991</v>
      </c>
      <c r="M786" s="7" t="s">
        <v>3531</v>
      </c>
      <c r="N786" s="7" t="s">
        <v>4096</v>
      </c>
      <c r="O786" s="7" t="s">
        <v>4097</v>
      </c>
      <c r="P786" s="7" t="s">
        <v>3493</v>
      </c>
      <c r="Q786" s="7">
        <v>1.0</v>
      </c>
    </row>
    <row r="787">
      <c r="A787" s="7" t="s">
        <v>1507</v>
      </c>
      <c r="B787" s="7">
        <v>622.0</v>
      </c>
      <c r="C787" s="7" t="s">
        <v>8771</v>
      </c>
      <c r="D787" s="7" t="s">
        <v>8772</v>
      </c>
      <c r="E787" s="7" t="s">
        <v>8768</v>
      </c>
      <c r="F787" s="7" t="s">
        <v>3748</v>
      </c>
      <c r="G787" s="7" t="s">
        <v>8773</v>
      </c>
      <c r="H787" s="7" t="s">
        <v>8774</v>
      </c>
      <c r="I787" s="119">
        <v>45292.0</v>
      </c>
      <c r="K787" s="7" t="s">
        <v>419</v>
      </c>
      <c r="L787" s="7" t="s">
        <v>991</v>
      </c>
      <c r="M787" s="7" t="s">
        <v>3501</v>
      </c>
      <c r="N787" s="7" t="s">
        <v>8264</v>
      </c>
      <c r="O787" s="7" t="s">
        <v>8265</v>
      </c>
      <c r="P787" s="7" t="s">
        <v>3843</v>
      </c>
      <c r="Q787" s="7">
        <v>1.0</v>
      </c>
    </row>
    <row r="788">
      <c r="A788" s="7" t="s">
        <v>8775</v>
      </c>
      <c r="B788" s="7">
        <v>11583.0</v>
      </c>
      <c r="C788" s="7" t="s">
        <v>8776</v>
      </c>
      <c r="D788" s="7" t="s">
        <v>8777</v>
      </c>
      <c r="E788" s="7" t="s">
        <v>8778</v>
      </c>
      <c r="F788" s="7" t="s">
        <v>8779</v>
      </c>
      <c r="G788" s="7" t="s">
        <v>8780</v>
      </c>
      <c r="H788" s="7" t="s">
        <v>8781</v>
      </c>
      <c r="I788" s="119">
        <v>45292.0</v>
      </c>
      <c r="K788" s="7" t="s">
        <v>419</v>
      </c>
      <c r="L788" s="7" t="s">
        <v>991</v>
      </c>
      <c r="M788" s="7" t="s">
        <v>3531</v>
      </c>
      <c r="N788" s="7" t="s">
        <v>4954</v>
      </c>
      <c r="O788" s="7" t="s">
        <v>4955</v>
      </c>
      <c r="P788" s="7" t="s">
        <v>3493</v>
      </c>
      <c r="Q788" s="7">
        <v>1.0</v>
      </c>
    </row>
    <row r="789">
      <c r="A789" s="7" t="s">
        <v>8782</v>
      </c>
      <c r="B789" s="7">
        <v>1037.0</v>
      </c>
      <c r="C789" s="7" t="s">
        <v>8783</v>
      </c>
      <c r="D789" s="7" t="s">
        <v>8784</v>
      </c>
      <c r="E789" s="7" t="s">
        <v>8778</v>
      </c>
      <c r="F789" s="7" t="s">
        <v>4967</v>
      </c>
      <c r="G789" s="7" t="s">
        <v>8785</v>
      </c>
      <c r="H789" s="7" t="s">
        <v>8786</v>
      </c>
      <c r="I789" s="119">
        <v>45292.0</v>
      </c>
      <c r="K789" s="7" t="s">
        <v>419</v>
      </c>
      <c r="L789" s="7" t="s">
        <v>991</v>
      </c>
      <c r="M789" s="7" t="s">
        <v>3501</v>
      </c>
      <c r="N789" s="7" t="s">
        <v>4703</v>
      </c>
      <c r="O789" s="7" t="s">
        <v>4704</v>
      </c>
      <c r="P789" s="7" t="s">
        <v>3493</v>
      </c>
      <c r="Q789" s="7">
        <v>1.0</v>
      </c>
    </row>
    <row r="790">
      <c r="A790" s="7" t="s">
        <v>8787</v>
      </c>
      <c r="B790" s="7">
        <v>10655.0</v>
      </c>
      <c r="C790" s="7" t="s">
        <v>8788</v>
      </c>
      <c r="D790" s="7" t="s">
        <v>8789</v>
      </c>
      <c r="E790" s="7" t="s">
        <v>8790</v>
      </c>
      <c r="F790" s="7" t="s">
        <v>8791</v>
      </c>
      <c r="G790" s="7" t="s">
        <v>8792</v>
      </c>
      <c r="H790" s="7" t="s">
        <v>8793</v>
      </c>
      <c r="I790" s="119">
        <v>45292.0</v>
      </c>
      <c r="K790" s="7" t="s">
        <v>419</v>
      </c>
      <c r="L790" s="7" t="s">
        <v>991</v>
      </c>
      <c r="M790" s="7" t="s">
        <v>3531</v>
      </c>
      <c r="N790" s="7" t="s">
        <v>3957</v>
      </c>
      <c r="O790" s="7" t="s">
        <v>3958</v>
      </c>
      <c r="P790" s="7" t="s">
        <v>3493</v>
      </c>
      <c r="Q790" s="7">
        <v>1.0</v>
      </c>
    </row>
    <row r="791">
      <c r="A791" s="7" t="s">
        <v>8794</v>
      </c>
      <c r="B791" s="7">
        <v>12631.0</v>
      </c>
      <c r="C791" s="7" t="s">
        <v>8795</v>
      </c>
      <c r="D791" s="7" t="s">
        <v>8796</v>
      </c>
      <c r="E791" s="7" t="s">
        <v>8797</v>
      </c>
      <c r="F791" s="7" t="s">
        <v>8798</v>
      </c>
      <c r="G791" s="7" t="s">
        <v>8799</v>
      </c>
      <c r="H791" s="7" t="s">
        <v>8800</v>
      </c>
      <c r="I791" s="119">
        <v>45292.0</v>
      </c>
      <c r="K791" s="7" t="s">
        <v>3885</v>
      </c>
      <c r="L791" s="7" t="s">
        <v>3542</v>
      </c>
      <c r="M791" s="7" t="s">
        <v>3543</v>
      </c>
      <c r="N791" s="7" t="s">
        <v>7907</v>
      </c>
      <c r="O791" s="7" t="s">
        <v>7908</v>
      </c>
      <c r="P791" s="7" t="s">
        <v>3522</v>
      </c>
      <c r="Q791" s="7" t="s">
        <v>3514</v>
      </c>
    </row>
    <row r="792">
      <c r="A792" s="7" t="s">
        <v>8801</v>
      </c>
      <c r="B792" s="7">
        <v>2100396.0</v>
      </c>
      <c r="C792" s="7" t="s">
        <v>8802</v>
      </c>
      <c r="D792" s="7" t="s">
        <v>8803</v>
      </c>
      <c r="E792" s="7" t="s">
        <v>8804</v>
      </c>
      <c r="F792" s="7" t="s">
        <v>8805</v>
      </c>
      <c r="G792" s="7" t="s">
        <v>8806</v>
      </c>
      <c r="H792" s="7" t="s">
        <v>8807</v>
      </c>
      <c r="I792" s="119">
        <v>45292.0</v>
      </c>
      <c r="K792" s="7" t="s">
        <v>419</v>
      </c>
      <c r="L792" s="7" t="s">
        <v>991</v>
      </c>
      <c r="M792" s="7" t="s">
        <v>3501</v>
      </c>
      <c r="N792" s="7" t="s">
        <v>8808</v>
      </c>
      <c r="O792" s="7" t="s">
        <v>8809</v>
      </c>
      <c r="P792" s="7" t="s">
        <v>3843</v>
      </c>
      <c r="Q792" s="7">
        <v>1.0</v>
      </c>
    </row>
    <row r="793">
      <c r="A793" s="7" t="s">
        <v>8810</v>
      </c>
      <c r="B793" s="7">
        <v>13402.0</v>
      </c>
      <c r="C793" s="7" t="s">
        <v>8811</v>
      </c>
      <c r="D793" s="7" t="s">
        <v>8812</v>
      </c>
      <c r="E793" s="7" t="s">
        <v>8813</v>
      </c>
      <c r="F793" s="7" t="s">
        <v>8814</v>
      </c>
      <c r="G793" s="7" t="s">
        <v>8815</v>
      </c>
      <c r="H793" s="7" t="s">
        <v>8816</v>
      </c>
      <c r="I793" s="119">
        <v>45292.0</v>
      </c>
      <c r="K793" s="7" t="s">
        <v>419</v>
      </c>
      <c r="L793" s="7" t="s">
        <v>991</v>
      </c>
      <c r="M793" s="7" t="s">
        <v>3531</v>
      </c>
      <c r="N793" s="7" t="s">
        <v>4803</v>
      </c>
      <c r="O793" s="7" t="s">
        <v>5894</v>
      </c>
      <c r="P793" s="7" t="s">
        <v>3493</v>
      </c>
      <c r="Q793" s="7">
        <v>1.0</v>
      </c>
    </row>
    <row r="794">
      <c r="A794" s="7" t="s">
        <v>8817</v>
      </c>
      <c r="B794" s="7">
        <v>12690.0</v>
      </c>
      <c r="C794" s="7" t="s">
        <v>8818</v>
      </c>
      <c r="D794" s="7" t="s">
        <v>8819</v>
      </c>
      <c r="E794" s="7" t="s">
        <v>8820</v>
      </c>
      <c r="F794" s="7" t="s">
        <v>8821</v>
      </c>
      <c r="G794" s="7" t="s">
        <v>8822</v>
      </c>
      <c r="H794" s="7" t="s">
        <v>8823</v>
      </c>
      <c r="I794" s="119">
        <v>45292.0</v>
      </c>
      <c r="K794" s="7" t="s">
        <v>3489</v>
      </c>
      <c r="L794" s="7" t="s">
        <v>991</v>
      </c>
      <c r="M794" s="7" t="s">
        <v>3531</v>
      </c>
      <c r="N794" s="7" t="s">
        <v>3491</v>
      </c>
      <c r="O794" s="7" t="s">
        <v>3492</v>
      </c>
      <c r="P794" s="7" t="s">
        <v>3493</v>
      </c>
      <c r="Q794" s="7">
        <v>1.0</v>
      </c>
    </row>
    <row r="795">
      <c r="A795" s="7" t="s">
        <v>8824</v>
      </c>
      <c r="B795" s="7">
        <v>2300504.0</v>
      </c>
      <c r="C795" s="7" t="s">
        <v>8818</v>
      </c>
      <c r="D795" s="7" t="s">
        <v>8825</v>
      </c>
      <c r="E795" s="7" t="s">
        <v>8820</v>
      </c>
      <c r="F795" s="7" t="s">
        <v>4960</v>
      </c>
      <c r="G795" s="7" t="s">
        <v>8826</v>
      </c>
      <c r="H795" s="7" t="s">
        <v>8827</v>
      </c>
      <c r="I795" s="119">
        <v>45292.0</v>
      </c>
      <c r="K795" s="7" t="s">
        <v>419</v>
      </c>
      <c r="L795" s="7" t="s">
        <v>991</v>
      </c>
      <c r="M795" s="7" t="s">
        <v>3583</v>
      </c>
      <c r="N795" s="7" t="s">
        <v>8828</v>
      </c>
      <c r="O795" s="7" t="s">
        <v>8829</v>
      </c>
      <c r="P795" s="7" t="s">
        <v>3522</v>
      </c>
      <c r="Q795" s="7" t="s">
        <v>3523</v>
      </c>
    </row>
    <row r="796">
      <c r="A796" s="7" t="s">
        <v>8830</v>
      </c>
      <c r="B796" s="7">
        <v>2100575.0</v>
      </c>
      <c r="C796" s="7" t="s">
        <v>8831</v>
      </c>
      <c r="D796" s="7" t="s">
        <v>8832</v>
      </c>
      <c r="E796" s="7" t="s">
        <v>8833</v>
      </c>
      <c r="F796" s="7" t="s">
        <v>8834</v>
      </c>
      <c r="G796" s="7" t="s">
        <v>8835</v>
      </c>
      <c r="H796" s="7" t="s">
        <v>8836</v>
      </c>
      <c r="I796" s="119">
        <v>45292.0</v>
      </c>
      <c r="K796" s="7" t="s">
        <v>419</v>
      </c>
      <c r="L796" s="7" t="s">
        <v>991</v>
      </c>
      <c r="M796" s="7" t="s">
        <v>3501</v>
      </c>
      <c r="N796" s="7" t="s">
        <v>4152</v>
      </c>
      <c r="O796" s="7" t="s">
        <v>8837</v>
      </c>
      <c r="P796" s="7" t="s">
        <v>3522</v>
      </c>
      <c r="Q796" s="7" t="s">
        <v>3523</v>
      </c>
    </row>
    <row r="797">
      <c r="A797" s="7" t="s">
        <v>1375</v>
      </c>
      <c r="B797" s="7">
        <v>10284.0</v>
      </c>
      <c r="C797" s="7" t="s">
        <v>8838</v>
      </c>
      <c r="D797" s="7" t="s">
        <v>8839</v>
      </c>
      <c r="E797" s="7" t="s">
        <v>8840</v>
      </c>
      <c r="F797" s="7" t="s">
        <v>4032</v>
      </c>
      <c r="G797" s="7" t="s">
        <v>8841</v>
      </c>
      <c r="H797" s="7" t="s">
        <v>8842</v>
      </c>
      <c r="I797" s="119">
        <v>45292.0</v>
      </c>
      <c r="K797" s="7" t="s">
        <v>419</v>
      </c>
      <c r="L797" s="7" t="s">
        <v>991</v>
      </c>
      <c r="M797" s="7" t="s">
        <v>4644</v>
      </c>
      <c r="N797" s="7" t="s">
        <v>6293</v>
      </c>
      <c r="O797" s="7" t="s">
        <v>8843</v>
      </c>
      <c r="P797" s="7" t="s">
        <v>8844</v>
      </c>
      <c r="Q797" s="7" t="s">
        <v>3514</v>
      </c>
    </row>
    <row r="798">
      <c r="A798" s="7" t="s">
        <v>8845</v>
      </c>
      <c r="B798" s="7">
        <v>10322.0</v>
      </c>
      <c r="C798" s="7" t="s">
        <v>8846</v>
      </c>
      <c r="D798" s="7" t="s">
        <v>8847</v>
      </c>
      <c r="E798" s="7" t="s">
        <v>8848</v>
      </c>
      <c r="F798" s="7" t="s">
        <v>4478</v>
      </c>
      <c r="G798" s="7" t="s">
        <v>8849</v>
      </c>
      <c r="H798" s="7" t="s">
        <v>8850</v>
      </c>
      <c r="I798" s="119">
        <v>45292.0</v>
      </c>
      <c r="K798" s="7" t="s">
        <v>419</v>
      </c>
      <c r="L798" s="7" t="s">
        <v>991</v>
      </c>
      <c r="M798" s="7" t="s">
        <v>3501</v>
      </c>
      <c r="N798" s="7" t="s">
        <v>8366</v>
      </c>
      <c r="O798" s="7" t="s">
        <v>8367</v>
      </c>
      <c r="P798" s="7" t="s">
        <v>3522</v>
      </c>
      <c r="Q798" s="7" t="s">
        <v>3523</v>
      </c>
    </row>
    <row r="799">
      <c r="A799" s="7" t="s">
        <v>8851</v>
      </c>
      <c r="B799" s="7">
        <v>633.0</v>
      </c>
      <c r="C799" s="7" t="s">
        <v>8852</v>
      </c>
      <c r="D799" s="7" t="s">
        <v>8853</v>
      </c>
      <c r="E799" s="7" t="s">
        <v>8854</v>
      </c>
      <c r="F799" s="7" t="s">
        <v>8855</v>
      </c>
      <c r="G799" s="7" t="s">
        <v>8856</v>
      </c>
      <c r="H799" s="7" t="s">
        <v>8857</v>
      </c>
      <c r="I799" s="119">
        <v>45292.0</v>
      </c>
      <c r="K799" s="7" t="s">
        <v>419</v>
      </c>
      <c r="L799" s="7" t="s">
        <v>991</v>
      </c>
      <c r="M799" s="7" t="s">
        <v>3501</v>
      </c>
      <c r="N799" s="7" t="s">
        <v>8858</v>
      </c>
      <c r="O799" s="7" t="s">
        <v>8859</v>
      </c>
      <c r="P799" s="7" t="s">
        <v>4788</v>
      </c>
      <c r="Q799" s="7" t="s">
        <v>3555</v>
      </c>
    </row>
    <row r="800">
      <c r="A800" s="7" t="s">
        <v>8860</v>
      </c>
      <c r="B800" s="7">
        <v>11150.0</v>
      </c>
      <c r="C800" s="7" t="s">
        <v>8852</v>
      </c>
      <c r="D800" s="7" t="s">
        <v>6009</v>
      </c>
      <c r="E800" s="7" t="s">
        <v>8854</v>
      </c>
      <c r="F800" s="7" t="s">
        <v>6011</v>
      </c>
      <c r="G800" s="7" t="s">
        <v>8861</v>
      </c>
      <c r="H800" s="7" t="s">
        <v>8862</v>
      </c>
      <c r="I800" s="119">
        <v>45292.0</v>
      </c>
      <c r="K800" s="7" t="s">
        <v>3885</v>
      </c>
      <c r="L800" s="7" t="s">
        <v>3542</v>
      </c>
      <c r="M800" s="7" t="s">
        <v>3543</v>
      </c>
      <c r="N800" s="7" t="s">
        <v>8863</v>
      </c>
      <c r="O800" s="7" t="s">
        <v>8864</v>
      </c>
      <c r="P800" s="7" t="s">
        <v>3522</v>
      </c>
      <c r="Q800" s="7" t="s">
        <v>3523</v>
      </c>
    </row>
    <row r="801">
      <c r="A801" s="7" t="s">
        <v>8865</v>
      </c>
      <c r="B801" s="7">
        <v>2300702.0</v>
      </c>
      <c r="C801" s="7" t="s">
        <v>8852</v>
      </c>
      <c r="D801" s="7" t="s">
        <v>8866</v>
      </c>
      <c r="E801" s="7" t="s">
        <v>8854</v>
      </c>
      <c r="F801" s="7" t="s">
        <v>8867</v>
      </c>
      <c r="G801" s="7" t="s">
        <v>8868</v>
      </c>
      <c r="H801" s="7" t="s">
        <v>8869</v>
      </c>
      <c r="I801" s="119">
        <v>45292.0</v>
      </c>
      <c r="K801" s="7" t="s">
        <v>419</v>
      </c>
      <c r="L801" s="7" t="s">
        <v>991</v>
      </c>
      <c r="M801" s="7" t="s">
        <v>3501</v>
      </c>
      <c r="N801" s="7" t="s">
        <v>6697</v>
      </c>
      <c r="O801" s="7" t="s">
        <v>6698</v>
      </c>
      <c r="P801" s="7" t="s">
        <v>3493</v>
      </c>
      <c r="Q801" s="7">
        <v>1.0</v>
      </c>
    </row>
    <row r="802">
      <c r="A802" s="7" t="s">
        <v>8870</v>
      </c>
      <c r="B802" s="7">
        <v>2200728.0</v>
      </c>
      <c r="C802" s="7" t="s">
        <v>8852</v>
      </c>
      <c r="D802" s="7" t="s">
        <v>8871</v>
      </c>
      <c r="E802" s="7" t="s">
        <v>8854</v>
      </c>
      <c r="F802" s="7" t="s">
        <v>8872</v>
      </c>
      <c r="G802" s="7" t="s">
        <v>8873</v>
      </c>
      <c r="H802" s="7" t="s">
        <v>8874</v>
      </c>
      <c r="I802" s="119">
        <v>45292.0</v>
      </c>
      <c r="K802" s="7" t="s">
        <v>4042</v>
      </c>
      <c r="L802" s="7" t="s">
        <v>991</v>
      </c>
      <c r="M802" s="7" t="s">
        <v>3866</v>
      </c>
      <c r="N802" s="7" t="s">
        <v>4043</v>
      </c>
      <c r="O802" s="7" t="s">
        <v>4044</v>
      </c>
      <c r="P802" s="7" t="s">
        <v>3493</v>
      </c>
      <c r="Q802" s="7">
        <v>1.0</v>
      </c>
    </row>
    <row r="803">
      <c r="A803" s="7" t="s">
        <v>8875</v>
      </c>
      <c r="B803" s="7">
        <v>8224.0</v>
      </c>
      <c r="C803" s="7" t="s">
        <v>8852</v>
      </c>
      <c r="D803" s="7" t="s">
        <v>8876</v>
      </c>
      <c r="E803" s="7" t="s">
        <v>8854</v>
      </c>
      <c r="F803" s="7" t="s">
        <v>8877</v>
      </c>
      <c r="G803" s="7" t="s">
        <v>8878</v>
      </c>
      <c r="H803" s="7" t="s">
        <v>8879</v>
      </c>
      <c r="I803" s="119">
        <v>45292.0</v>
      </c>
      <c r="K803" s="7" t="s">
        <v>419</v>
      </c>
      <c r="L803" s="7" t="s">
        <v>991</v>
      </c>
      <c r="M803" s="7" t="s">
        <v>3531</v>
      </c>
      <c r="N803" s="7" t="s">
        <v>3724</v>
      </c>
      <c r="O803" s="7" t="s">
        <v>3725</v>
      </c>
      <c r="P803" s="7" t="s">
        <v>3493</v>
      </c>
      <c r="Q803" s="7">
        <v>1.0</v>
      </c>
    </row>
    <row r="804">
      <c r="A804" s="7" t="s">
        <v>8880</v>
      </c>
      <c r="B804" s="7">
        <v>2300125.0</v>
      </c>
      <c r="C804" s="7" t="s">
        <v>8852</v>
      </c>
      <c r="D804" s="7" t="s">
        <v>8881</v>
      </c>
      <c r="E804" s="7" t="s">
        <v>8854</v>
      </c>
      <c r="F804" s="7" t="s">
        <v>4321</v>
      </c>
      <c r="G804" s="7" t="s">
        <v>8882</v>
      </c>
      <c r="H804" s="7" t="s">
        <v>8883</v>
      </c>
      <c r="I804" s="119">
        <v>45292.0</v>
      </c>
      <c r="K804" s="7" t="s">
        <v>419</v>
      </c>
      <c r="L804" s="7" t="s">
        <v>991</v>
      </c>
      <c r="M804" s="7" t="s">
        <v>3501</v>
      </c>
      <c r="N804" s="7" t="s">
        <v>8884</v>
      </c>
      <c r="O804" s="7" t="s">
        <v>8885</v>
      </c>
      <c r="P804" s="7" t="s">
        <v>3604</v>
      </c>
      <c r="Q804" s="7">
        <v>1.0</v>
      </c>
    </row>
    <row r="805">
      <c r="A805" s="7" t="s">
        <v>8886</v>
      </c>
      <c r="B805" s="7">
        <v>13556.0</v>
      </c>
      <c r="C805" s="7" t="s">
        <v>8852</v>
      </c>
      <c r="D805" s="7" t="s">
        <v>8887</v>
      </c>
      <c r="E805" s="7" t="s">
        <v>8854</v>
      </c>
      <c r="F805" s="7" t="s">
        <v>6037</v>
      </c>
      <c r="G805" s="7" t="s">
        <v>8888</v>
      </c>
      <c r="H805" s="7" t="s">
        <v>8889</v>
      </c>
      <c r="I805" s="119">
        <v>45292.0</v>
      </c>
      <c r="K805" s="7" t="s">
        <v>3632</v>
      </c>
      <c r="L805" s="7" t="s">
        <v>991</v>
      </c>
      <c r="M805" s="7" t="s">
        <v>4644</v>
      </c>
      <c r="N805" s="7" t="s">
        <v>8890</v>
      </c>
      <c r="O805" s="7" t="s">
        <v>8891</v>
      </c>
      <c r="P805" s="7" t="s">
        <v>420</v>
      </c>
      <c r="Q805" s="7">
        <v>1.0</v>
      </c>
    </row>
    <row r="806">
      <c r="A806" s="7" t="s">
        <v>8892</v>
      </c>
      <c r="B806" s="7">
        <v>1312.0</v>
      </c>
      <c r="C806" s="7" t="s">
        <v>8852</v>
      </c>
      <c r="D806" s="7" t="s">
        <v>8893</v>
      </c>
      <c r="E806" s="7" t="s">
        <v>8854</v>
      </c>
      <c r="F806" s="7" t="s">
        <v>6175</v>
      </c>
      <c r="G806" s="7" t="s">
        <v>8894</v>
      </c>
      <c r="H806" s="7" t="s">
        <v>8895</v>
      </c>
      <c r="I806" s="119">
        <v>45292.0</v>
      </c>
      <c r="K806" s="7" t="s">
        <v>419</v>
      </c>
      <c r="L806" s="7" t="s">
        <v>991</v>
      </c>
      <c r="M806" s="7" t="s">
        <v>3501</v>
      </c>
      <c r="N806" s="7" t="s">
        <v>7252</v>
      </c>
      <c r="O806" s="7" t="s">
        <v>7253</v>
      </c>
      <c r="P806" s="7" t="s">
        <v>3493</v>
      </c>
      <c r="Q806" s="7">
        <v>1.0</v>
      </c>
    </row>
    <row r="807">
      <c r="A807" s="7" t="s">
        <v>8896</v>
      </c>
      <c r="B807" s="7">
        <v>2100298.0</v>
      </c>
      <c r="C807" s="7" t="s">
        <v>8897</v>
      </c>
      <c r="D807" s="7" t="s">
        <v>8898</v>
      </c>
      <c r="E807" s="7" t="s">
        <v>8899</v>
      </c>
      <c r="F807" s="7" t="s">
        <v>4172</v>
      </c>
      <c r="G807" s="7" t="s">
        <v>8900</v>
      </c>
      <c r="H807" s="7" t="s">
        <v>8901</v>
      </c>
      <c r="I807" s="119">
        <v>45292.0</v>
      </c>
      <c r="K807" s="7" t="s">
        <v>419</v>
      </c>
      <c r="L807" s="7" t="s">
        <v>991</v>
      </c>
      <c r="M807" s="7" t="s">
        <v>3501</v>
      </c>
      <c r="N807" s="7" t="s">
        <v>4367</v>
      </c>
      <c r="O807" s="7" t="s">
        <v>4368</v>
      </c>
      <c r="P807" s="7" t="s">
        <v>3493</v>
      </c>
      <c r="Q807" s="7">
        <v>1.0</v>
      </c>
    </row>
    <row r="808">
      <c r="A808" s="7" t="s">
        <v>8902</v>
      </c>
      <c r="B808" s="7">
        <v>2300539.0</v>
      </c>
      <c r="C808" s="7" t="s">
        <v>8903</v>
      </c>
      <c r="D808" s="7" t="s">
        <v>8904</v>
      </c>
      <c r="E808" s="7" t="s">
        <v>8905</v>
      </c>
      <c r="F808" s="7" t="s">
        <v>3748</v>
      </c>
      <c r="G808" s="7" t="s">
        <v>8906</v>
      </c>
      <c r="H808" s="7" t="s">
        <v>8907</v>
      </c>
      <c r="I808" s="119">
        <v>45292.0</v>
      </c>
      <c r="K808" s="7" t="s">
        <v>419</v>
      </c>
      <c r="L808" s="7" t="s">
        <v>991</v>
      </c>
      <c r="M808" s="7" t="s">
        <v>3531</v>
      </c>
      <c r="N808" s="7" t="s">
        <v>7623</v>
      </c>
      <c r="O808" s="7" t="s">
        <v>8908</v>
      </c>
      <c r="P808" s="7" t="s">
        <v>3493</v>
      </c>
      <c r="Q808" s="7">
        <v>1.0</v>
      </c>
    </row>
    <row r="809">
      <c r="A809" s="7" t="s">
        <v>1967</v>
      </c>
      <c r="B809" s="7">
        <v>779.0</v>
      </c>
      <c r="C809" s="7" t="s">
        <v>8909</v>
      </c>
      <c r="D809" s="7" t="s">
        <v>8910</v>
      </c>
      <c r="E809" s="7" t="s">
        <v>8183</v>
      </c>
      <c r="F809" s="7" t="s">
        <v>8911</v>
      </c>
      <c r="G809" s="7" t="s">
        <v>8912</v>
      </c>
      <c r="H809" s="7" t="s">
        <v>8913</v>
      </c>
      <c r="I809" s="119">
        <v>45292.0</v>
      </c>
      <c r="K809" s="7" t="s">
        <v>419</v>
      </c>
      <c r="L809" s="7" t="s">
        <v>991</v>
      </c>
      <c r="M809" s="7" t="s">
        <v>3501</v>
      </c>
      <c r="N809" s="7" t="s">
        <v>5273</v>
      </c>
      <c r="O809" s="7" t="s">
        <v>5274</v>
      </c>
      <c r="P809" s="7" t="s">
        <v>3493</v>
      </c>
      <c r="Q809" s="7">
        <v>1.0</v>
      </c>
    </row>
    <row r="810">
      <c r="A810" s="7" t="s">
        <v>8914</v>
      </c>
      <c r="B810" s="7">
        <v>2100310.0</v>
      </c>
      <c r="C810" s="7" t="s">
        <v>8909</v>
      </c>
      <c r="D810" s="7" t="s">
        <v>8915</v>
      </c>
      <c r="E810" s="7" t="s">
        <v>8183</v>
      </c>
      <c r="F810" s="7" t="s">
        <v>8916</v>
      </c>
      <c r="G810" s="7" t="s">
        <v>8917</v>
      </c>
      <c r="H810" s="7" t="s">
        <v>8918</v>
      </c>
      <c r="I810" s="119">
        <v>45292.0</v>
      </c>
      <c r="J810" s="7" t="s">
        <v>4216</v>
      </c>
      <c r="K810" s="7" t="s">
        <v>419</v>
      </c>
      <c r="L810" s="7" t="s">
        <v>991</v>
      </c>
      <c r="M810" s="7" t="s">
        <v>3501</v>
      </c>
      <c r="N810" s="7" t="s">
        <v>8919</v>
      </c>
      <c r="O810" s="7" t="s">
        <v>8920</v>
      </c>
      <c r="P810" s="7" t="s">
        <v>3493</v>
      </c>
      <c r="Q810" s="7">
        <v>1.0</v>
      </c>
    </row>
    <row r="811">
      <c r="A811" s="7" t="s">
        <v>8921</v>
      </c>
      <c r="B811" s="7">
        <v>13087.0</v>
      </c>
      <c r="C811" s="7" t="s">
        <v>8922</v>
      </c>
      <c r="D811" s="7" t="s">
        <v>8923</v>
      </c>
      <c r="E811" s="7" t="s">
        <v>8924</v>
      </c>
      <c r="F811" s="7" t="s">
        <v>8925</v>
      </c>
      <c r="G811" s="7" t="s">
        <v>8926</v>
      </c>
      <c r="H811" s="7" t="s">
        <v>8927</v>
      </c>
      <c r="I811" s="119">
        <v>45292.0</v>
      </c>
      <c r="K811" s="7" t="s">
        <v>419</v>
      </c>
      <c r="L811" s="7" t="s">
        <v>991</v>
      </c>
      <c r="M811" s="7" t="s">
        <v>3531</v>
      </c>
      <c r="N811" s="7" t="s">
        <v>3920</v>
      </c>
      <c r="O811" s="7" t="s">
        <v>3921</v>
      </c>
      <c r="P811" s="7" t="s">
        <v>3493</v>
      </c>
      <c r="Q811" s="7">
        <v>1.0</v>
      </c>
    </row>
    <row r="812">
      <c r="A812" s="7" t="s">
        <v>8928</v>
      </c>
      <c r="B812" s="7">
        <v>2200245.0</v>
      </c>
      <c r="C812" s="7" t="s">
        <v>8929</v>
      </c>
      <c r="D812" s="7" t="s">
        <v>3952</v>
      </c>
      <c r="E812" s="7" t="s">
        <v>3781</v>
      </c>
      <c r="F812" s="7" t="s">
        <v>8930</v>
      </c>
      <c r="G812" s="7" t="s">
        <v>8931</v>
      </c>
      <c r="H812" s="7" t="s">
        <v>8932</v>
      </c>
      <c r="I812" s="119">
        <v>45292.0</v>
      </c>
      <c r="K812" s="7" t="s">
        <v>419</v>
      </c>
      <c r="L812" s="7" t="s">
        <v>991</v>
      </c>
      <c r="M812" s="7" t="s">
        <v>3531</v>
      </c>
      <c r="N812" s="7" t="s">
        <v>8933</v>
      </c>
      <c r="O812" s="7" t="s">
        <v>8934</v>
      </c>
      <c r="P812" s="7" t="s">
        <v>3493</v>
      </c>
      <c r="Q812" s="7">
        <v>1.0</v>
      </c>
    </row>
    <row r="813">
      <c r="A813" s="7" t="s">
        <v>8935</v>
      </c>
      <c r="B813" s="7">
        <v>13385.0</v>
      </c>
      <c r="C813" s="7" t="s">
        <v>8936</v>
      </c>
      <c r="D813" s="7" t="s">
        <v>8937</v>
      </c>
      <c r="E813" s="7" t="s">
        <v>3781</v>
      </c>
      <c r="F813" s="7" t="s">
        <v>6288</v>
      </c>
      <c r="G813" s="7" t="s">
        <v>8938</v>
      </c>
      <c r="H813" s="7" t="s">
        <v>8939</v>
      </c>
      <c r="I813" s="119">
        <v>45292.0</v>
      </c>
      <c r="K813" s="7" t="s">
        <v>419</v>
      </c>
      <c r="L813" s="7" t="s">
        <v>991</v>
      </c>
      <c r="M813" s="7" t="s">
        <v>3501</v>
      </c>
      <c r="N813" s="7" t="s">
        <v>8919</v>
      </c>
      <c r="O813" s="7" t="s">
        <v>8920</v>
      </c>
      <c r="P813" s="7" t="s">
        <v>3843</v>
      </c>
      <c r="Q813" s="7">
        <v>1.0</v>
      </c>
    </row>
    <row r="814">
      <c r="A814" s="7" t="s">
        <v>8940</v>
      </c>
      <c r="B814" s="7">
        <v>2300359.0</v>
      </c>
      <c r="C814" s="7" t="s">
        <v>8941</v>
      </c>
      <c r="D814" s="7" t="s">
        <v>3854</v>
      </c>
      <c r="E814" s="7" t="s">
        <v>8942</v>
      </c>
      <c r="F814" s="7" t="s">
        <v>3580</v>
      </c>
      <c r="G814" s="7" t="s">
        <v>8943</v>
      </c>
      <c r="H814" s="7" t="s">
        <v>8944</v>
      </c>
      <c r="I814" s="119">
        <v>45292.0</v>
      </c>
      <c r="K814" s="7" t="s">
        <v>419</v>
      </c>
      <c r="L814" s="7" t="s">
        <v>991</v>
      </c>
      <c r="M814" s="7" t="s">
        <v>3490</v>
      </c>
      <c r="N814" s="7" t="s">
        <v>6624</v>
      </c>
      <c r="O814" s="7" t="s">
        <v>8945</v>
      </c>
      <c r="P814" s="7" t="s">
        <v>4154</v>
      </c>
      <c r="Q814" s="7" t="s">
        <v>3555</v>
      </c>
    </row>
    <row r="815">
      <c r="A815" s="7" t="s">
        <v>8946</v>
      </c>
      <c r="B815" s="7">
        <v>1219.0</v>
      </c>
      <c r="C815" s="7" t="s">
        <v>8947</v>
      </c>
      <c r="D815" s="7" t="s">
        <v>8948</v>
      </c>
      <c r="E815" s="7" t="s">
        <v>8949</v>
      </c>
      <c r="F815" s="7" t="s">
        <v>8756</v>
      </c>
      <c r="G815" s="7" t="s">
        <v>8950</v>
      </c>
      <c r="H815" s="7" t="s">
        <v>8951</v>
      </c>
      <c r="I815" s="119">
        <v>45292.0</v>
      </c>
      <c r="J815" s="7" t="s">
        <v>3929</v>
      </c>
      <c r="K815" s="7" t="s">
        <v>419</v>
      </c>
      <c r="L815" s="7" t="s">
        <v>991</v>
      </c>
      <c r="M815" s="7" t="s">
        <v>3501</v>
      </c>
      <c r="N815" s="7" t="s">
        <v>5478</v>
      </c>
      <c r="O815" s="7" t="s">
        <v>8952</v>
      </c>
      <c r="P815" s="7" t="s">
        <v>7743</v>
      </c>
      <c r="Q815" s="7" t="s">
        <v>7744</v>
      </c>
    </row>
    <row r="816">
      <c r="A816" s="7" t="s">
        <v>8953</v>
      </c>
      <c r="B816" s="7">
        <v>8288.0</v>
      </c>
      <c r="C816" s="7" t="s">
        <v>8954</v>
      </c>
      <c r="D816" s="7" t="s">
        <v>8955</v>
      </c>
      <c r="E816" s="7" t="s">
        <v>8956</v>
      </c>
      <c r="F816" s="7" t="s">
        <v>8957</v>
      </c>
      <c r="G816" s="7" t="s">
        <v>8958</v>
      </c>
      <c r="H816" s="7" t="s">
        <v>8959</v>
      </c>
      <c r="I816" s="119">
        <v>45292.0</v>
      </c>
      <c r="K816" s="7" t="s">
        <v>419</v>
      </c>
      <c r="L816" s="7" t="s">
        <v>991</v>
      </c>
      <c r="M816" s="7" t="s">
        <v>3531</v>
      </c>
      <c r="N816" s="7" t="s">
        <v>3724</v>
      </c>
      <c r="O816" s="7" t="s">
        <v>3725</v>
      </c>
      <c r="P816" s="7" t="s">
        <v>3493</v>
      </c>
      <c r="Q816" s="7">
        <v>1.0</v>
      </c>
    </row>
    <row r="817">
      <c r="A817" s="7" t="s">
        <v>8960</v>
      </c>
      <c r="B817" s="7">
        <v>14123.0</v>
      </c>
      <c r="C817" s="7" t="s">
        <v>8961</v>
      </c>
      <c r="D817" s="7" t="s">
        <v>8962</v>
      </c>
      <c r="E817" s="7" t="s">
        <v>8963</v>
      </c>
      <c r="F817" s="7" t="s">
        <v>4271</v>
      </c>
      <c r="G817" s="7" t="s">
        <v>8964</v>
      </c>
      <c r="H817" s="7" t="s">
        <v>8965</v>
      </c>
      <c r="I817" s="119">
        <v>45292.0</v>
      </c>
      <c r="K817" s="7" t="s">
        <v>419</v>
      </c>
      <c r="L817" s="7" t="s">
        <v>991</v>
      </c>
      <c r="M817" s="7" t="s">
        <v>3501</v>
      </c>
      <c r="N817" s="7" t="s">
        <v>5888</v>
      </c>
      <c r="O817" s="7" t="s">
        <v>5889</v>
      </c>
      <c r="P817" s="7" t="s">
        <v>3493</v>
      </c>
      <c r="Q817" s="7">
        <v>1.0</v>
      </c>
    </row>
    <row r="818">
      <c r="A818" s="7" t="s">
        <v>8966</v>
      </c>
      <c r="B818" s="7">
        <v>2200124.0</v>
      </c>
      <c r="C818" s="7" t="s">
        <v>8967</v>
      </c>
      <c r="D818" s="7" t="s">
        <v>8968</v>
      </c>
      <c r="E818" s="7" t="s">
        <v>8969</v>
      </c>
      <c r="F818" s="7" t="s">
        <v>6262</v>
      </c>
      <c r="G818" s="7" t="s">
        <v>8970</v>
      </c>
      <c r="H818" s="7" t="s">
        <v>8971</v>
      </c>
      <c r="I818" s="119">
        <v>45292.0</v>
      </c>
      <c r="K818" s="7" t="s">
        <v>419</v>
      </c>
      <c r="L818" s="7" t="s">
        <v>991</v>
      </c>
      <c r="M818" s="7" t="s">
        <v>3531</v>
      </c>
      <c r="N818" s="7" t="s">
        <v>8972</v>
      </c>
      <c r="O818" s="7" t="s">
        <v>8973</v>
      </c>
      <c r="P818" s="7" t="s">
        <v>3493</v>
      </c>
      <c r="Q818" s="7">
        <v>1.0</v>
      </c>
    </row>
    <row r="819">
      <c r="A819" s="7" t="s">
        <v>1683</v>
      </c>
      <c r="B819" s="7">
        <v>57.0</v>
      </c>
      <c r="C819" s="7" t="s">
        <v>8974</v>
      </c>
      <c r="D819" s="7" t="s">
        <v>8975</v>
      </c>
      <c r="E819" s="7" t="s">
        <v>8976</v>
      </c>
      <c r="F819" s="7" t="s">
        <v>4967</v>
      </c>
      <c r="G819" s="7" t="s">
        <v>8977</v>
      </c>
      <c r="H819" s="7" t="s">
        <v>8978</v>
      </c>
      <c r="I819" s="119">
        <v>45292.0</v>
      </c>
      <c r="K819" s="7" t="s">
        <v>419</v>
      </c>
      <c r="L819" s="7" t="s">
        <v>991</v>
      </c>
      <c r="M819" s="7" t="s">
        <v>3501</v>
      </c>
      <c r="N819" s="7" t="s">
        <v>8979</v>
      </c>
      <c r="O819" s="7" t="s">
        <v>8980</v>
      </c>
      <c r="P819" s="7" t="s">
        <v>8981</v>
      </c>
      <c r="Q819" s="7" t="s">
        <v>3555</v>
      </c>
    </row>
    <row r="820">
      <c r="A820" s="7" t="s">
        <v>8982</v>
      </c>
      <c r="B820" s="7">
        <v>11899.0</v>
      </c>
      <c r="C820" s="7" t="s">
        <v>8983</v>
      </c>
      <c r="D820" s="7" t="s">
        <v>6341</v>
      </c>
      <c r="E820" s="7" t="s">
        <v>8984</v>
      </c>
      <c r="F820" s="7" t="s">
        <v>4357</v>
      </c>
      <c r="G820" s="7" t="s">
        <v>8985</v>
      </c>
      <c r="H820" s="7" t="s">
        <v>8986</v>
      </c>
      <c r="I820" s="119">
        <v>45292.0</v>
      </c>
      <c r="K820" s="7" t="s">
        <v>419</v>
      </c>
      <c r="L820" s="7" t="s">
        <v>991</v>
      </c>
      <c r="M820" s="7" t="s">
        <v>3531</v>
      </c>
      <c r="N820" s="7" t="s">
        <v>5816</v>
      </c>
      <c r="O820" s="7" t="s">
        <v>5817</v>
      </c>
      <c r="P820" s="7" t="s">
        <v>3493</v>
      </c>
      <c r="Q820" s="7">
        <v>1.0</v>
      </c>
    </row>
    <row r="821">
      <c r="A821" s="7" t="s">
        <v>1850</v>
      </c>
      <c r="B821" s="7">
        <v>780.0</v>
      </c>
      <c r="C821" s="7" t="s">
        <v>8987</v>
      </c>
      <c r="D821" s="7" t="s">
        <v>8988</v>
      </c>
      <c r="E821" s="7" t="s">
        <v>8989</v>
      </c>
      <c r="F821" s="7" t="s">
        <v>3656</v>
      </c>
      <c r="G821" s="7" t="s">
        <v>8990</v>
      </c>
      <c r="H821" s="7" t="s">
        <v>8991</v>
      </c>
      <c r="I821" s="119">
        <v>45292.0</v>
      </c>
      <c r="K821" s="7" t="s">
        <v>419</v>
      </c>
      <c r="L821" s="7" t="s">
        <v>991</v>
      </c>
      <c r="M821" s="7" t="s">
        <v>3501</v>
      </c>
      <c r="N821" s="7" t="s">
        <v>6419</v>
      </c>
      <c r="O821" s="7" t="s">
        <v>6420</v>
      </c>
      <c r="P821" s="7" t="s">
        <v>3493</v>
      </c>
      <c r="Q821" s="7">
        <v>1.0</v>
      </c>
    </row>
    <row r="822">
      <c r="A822" s="7" t="s">
        <v>8992</v>
      </c>
      <c r="B822" s="7">
        <v>2300546.0</v>
      </c>
      <c r="C822" s="7" t="s">
        <v>8993</v>
      </c>
      <c r="D822" s="7" t="s">
        <v>8994</v>
      </c>
      <c r="E822" s="7" t="s">
        <v>8995</v>
      </c>
      <c r="F822" s="7" t="s">
        <v>4262</v>
      </c>
      <c r="G822" s="7" t="s">
        <v>8996</v>
      </c>
      <c r="H822" s="7" t="s">
        <v>8997</v>
      </c>
      <c r="I822" s="119">
        <v>45292.0</v>
      </c>
      <c r="K822" s="7" t="s">
        <v>419</v>
      </c>
      <c r="L822" s="7" t="s">
        <v>991</v>
      </c>
      <c r="M822" s="7" t="s">
        <v>3583</v>
      </c>
      <c r="N822" s="7" t="s">
        <v>4738</v>
      </c>
      <c r="O822" s="7" t="s">
        <v>4739</v>
      </c>
      <c r="P822" s="7" t="s">
        <v>3493</v>
      </c>
      <c r="Q822" s="7">
        <v>1.0</v>
      </c>
    </row>
    <row r="823">
      <c r="A823" s="7" t="s">
        <v>8998</v>
      </c>
      <c r="B823" s="7">
        <v>14099.0</v>
      </c>
      <c r="C823" s="7" t="s">
        <v>8999</v>
      </c>
      <c r="D823" s="7" t="s">
        <v>9000</v>
      </c>
      <c r="E823" s="7" t="s">
        <v>9001</v>
      </c>
      <c r="F823" s="7" t="s">
        <v>8606</v>
      </c>
      <c r="G823" s="7" t="s">
        <v>9002</v>
      </c>
      <c r="H823" s="7" t="s">
        <v>9003</v>
      </c>
      <c r="I823" s="119">
        <v>45292.0</v>
      </c>
      <c r="K823" s="7" t="s">
        <v>419</v>
      </c>
      <c r="L823" s="7" t="s">
        <v>991</v>
      </c>
      <c r="M823" s="7" t="s">
        <v>3531</v>
      </c>
      <c r="N823" s="7" t="s">
        <v>5197</v>
      </c>
      <c r="O823" s="7" t="s">
        <v>5198</v>
      </c>
      <c r="P823" s="7" t="s">
        <v>3493</v>
      </c>
      <c r="Q823" s="7">
        <v>1.0</v>
      </c>
    </row>
    <row r="824">
      <c r="A824" s="7" t="s">
        <v>1739</v>
      </c>
      <c r="B824" s="7">
        <v>12843.0</v>
      </c>
      <c r="C824" s="7" t="s">
        <v>8999</v>
      </c>
      <c r="D824" s="7" t="s">
        <v>9004</v>
      </c>
      <c r="E824" s="7" t="s">
        <v>9001</v>
      </c>
      <c r="F824" s="7" t="s">
        <v>8606</v>
      </c>
      <c r="G824" s="7" t="s">
        <v>9005</v>
      </c>
      <c r="H824" s="7" t="s">
        <v>9006</v>
      </c>
      <c r="I824" s="119">
        <v>45292.0</v>
      </c>
      <c r="K824" s="7" t="s">
        <v>9007</v>
      </c>
      <c r="L824" s="7" t="s">
        <v>991</v>
      </c>
      <c r="M824" s="7" t="s">
        <v>3531</v>
      </c>
      <c r="N824" s="7" t="s">
        <v>1738</v>
      </c>
      <c r="O824" s="7" t="s">
        <v>9008</v>
      </c>
      <c r="P824" s="7" t="s">
        <v>7953</v>
      </c>
      <c r="Q824" s="7">
        <v>1.0</v>
      </c>
    </row>
    <row r="825">
      <c r="A825" s="7" t="s">
        <v>9009</v>
      </c>
      <c r="B825" s="7">
        <v>692.0</v>
      </c>
      <c r="C825" s="7" t="s">
        <v>9010</v>
      </c>
      <c r="D825" s="7" t="s">
        <v>9011</v>
      </c>
      <c r="E825" s="7" t="s">
        <v>9012</v>
      </c>
      <c r="F825" s="7" t="s">
        <v>9013</v>
      </c>
      <c r="G825" s="7" t="s">
        <v>9014</v>
      </c>
      <c r="H825" s="7" t="s">
        <v>9015</v>
      </c>
      <c r="I825" s="119">
        <v>45292.0</v>
      </c>
      <c r="K825" s="7" t="s">
        <v>419</v>
      </c>
      <c r="L825" s="7" t="s">
        <v>991</v>
      </c>
      <c r="M825" s="7" t="s">
        <v>3501</v>
      </c>
      <c r="N825" s="7" t="s">
        <v>9016</v>
      </c>
      <c r="O825" s="7" t="s">
        <v>9017</v>
      </c>
      <c r="P825" s="7" t="s">
        <v>4420</v>
      </c>
      <c r="Q825" s="7" t="s">
        <v>3523</v>
      </c>
    </row>
    <row r="826">
      <c r="A826" s="7" t="s">
        <v>9018</v>
      </c>
      <c r="B826" s="7">
        <v>2300595.0</v>
      </c>
      <c r="C826" s="7" t="s">
        <v>9019</v>
      </c>
      <c r="D826" s="7" t="s">
        <v>9020</v>
      </c>
      <c r="E826" s="7" t="s">
        <v>9021</v>
      </c>
      <c r="F826" s="7" t="s">
        <v>9022</v>
      </c>
      <c r="G826" s="7" t="s">
        <v>9023</v>
      </c>
      <c r="H826" s="7" t="s">
        <v>9024</v>
      </c>
      <c r="I826" s="119">
        <v>45292.0</v>
      </c>
      <c r="J826" s="7" t="s">
        <v>3929</v>
      </c>
      <c r="K826" s="7" t="s">
        <v>419</v>
      </c>
      <c r="L826" s="7" t="s">
        <v>991</v>
      </c>
      <c r="M826" s="7" t="s">
        <v>3501</v>
      </c>
      <c r="N826" s="7" t="s">
        <v>5461</v>
      </c>
      <c r="O826" s="7" t="s">
        <v>5462</v>
      </c>
      <c r="P826" s="7" t="s">
        <v>3493</v>
      </c>
      <c r="Q826" s="7">
        <v>1.0</v>
      </c>
    </row>
    <row r="827">
      <c r="A827" s="7" t="s">
        <v>9025</v>
      </c>
      <c r="B827" s="7">
        <v>2200023.0</v>
      </c>
      <c r="C827" s="7" t="s">
        <v>9026</v>
      </c>
      <c r="D827" s="7" t="s">
        <v>5681</v>
      </c>
      <c r="E827" s="7" t="s">
        <v>9027</v>
      </c>
      <c r="F827" s="7" t="s">
        <v>5683</v>
      </c>
      <c r="G827" s="7" t="s">
        <v>9028</v>
      </c>
      <c r="H827" s="7" t="s">
        <v>9029</v>
      </c>
      <c r="I827" s="119">
        <v>45292.0</v>
      </c>
      <c r="K827" s="7" t="s">
        <v>419</v>
      </c>
      <c r="L827" s="7" t="s">
        <v>991</v>
      </c>
      <c r="M827" s="7" t="s">
        <v>3531</v>
      </c>
      <c r="N827" s="7" t="s">
        <v>5795</v>
      </c>
      <c r="O827" s="7" t="s">
        <v>5796</v>
      </c>
      <c r="P827" s="7" t="s">
        <v>3493</v>
      </c>
      <c r="Q827" s="7">
        <v>1.0</v>
      </c>
    </row>
    <row r="828">
      <c r="A828" s="7" t="s">
        <v>9030</v>
      </c>
      <c r="B828" s="7">
        <v>12551.0</v>
      </c>
      <c r="C828" s="7" t="s">
        <v>9031</v>
      </c>
      <c r="D828" s="7" t="s">
        <v>9032</v>
      </c>
      <c r="E828" s="7" t="s">
        <v>9033</v>
      </c>
      <c r="F828" s="7" t="s">
        <v>9034</v>
      </c>
      <c r="G828" s="7" t="s">
        <v>9035</v>
      </c>
      <c r="H828" s="7" t="s">
        <v>9036</v>
      </c>
      <c r="I828" s="119">
        <v>45292.0</v>
      </c>
      <c r="K828" s="7" t="s">
        <v>419</v>
      </c>
      <c r="L828" s="7" t="s">
        <v>991</v>
      </c>
      <c r="M828" s="7" t="s">
        <v>3501</v>
      </c>
      <c r="N828" s="7" t="s">
        <v>9037</v>
      </c>
      <c r="O828" s="7" t="s">
        <v>9038</v>
      </c>
      <c r="P828" s="7" t="s">
        <v>3785</v>
      </c>
      <c r="Q828" s="7" t="s">
        <v>3523</v>
      </c>
    </row>
    <row r="829">
      <c r="A829" s="7" t="s">
        <v>9039</v>
      </c>
      <c r="B829" s="7">
        <v>12001.0</v>
      </c>
      <c r="C829" s="7" t="s">
        <v>9040</v>
      </c>
      <c r="D829" s="7" t="s">
        <v>9041</v>
      </c>
      <c r="E829" s="7" t="s">
        <v>9042</v>
      </c>
      <c r="F829" s="7" t="s">
        <v>9043</v>
      </c>
      <c r="G829" s="7" t="s">
        <v>9044</v>
      </c>
      <c r="H829" s="7" t="s">
        <v>9045</v>
      </c>
      <c r="I829" s="119">
        <v>45292.0</v>
      </c>
      <c r="K829" s="7" t="s">
        <v>3541</v>
      </c>
      <c r="L829" s="7" t="s">
        <v>3542</v>
      </c>
      <c r="M829" s="7" t="s">
        <v>3563</v>
      </c>
      <c r="N829" s="7" t="s">
        <v>9046</v>
      </c>
      <c r="O829" s="7" t="s">
        <v>9047</v>
      </c>
      <c r="P829" s="7" t="s">
        <v>9048</v>
      </c>
      <c r="Q829" s="7" t="s">
        <v>4155</v>
      </c>
    </row>
    <row r="830">
      <c r="A830" s="7" t="s">
        <v>9049</v>
      </c>
      <c r="B830" s="7">
        <v>2200016.0</v>
      </c>
      <c r="C830" s="7" t="s">
        <v>9040</v>
      </c>
      <c r="D830" s="7" t="s">
        <v>9050</v>
      </c>
      <c r="E830" s="7" t="s">
        <v>9042</v>
      </c>
      <c r="F830" s="7" t="s">
        <v>7887</v>
      </c>
      <c r="G830" s="7" t="s">
        <v>9051</v>
      </c>
      <c r="H830" s="7" t="s">
        <v>9052</v>
      </c>
      <c r="I830" s="119">
        <v>45292.0</v>
      </c>
      <c r="K830" s="7" t="s">
        <v>419</v>
      </c>
      <c r="L830" s="7" t="s">
        <v>991</v>
      </c>
      <c r="M830" s="7" t="s">
        <v>3501</v>
      </c>
      <c r="N830" s="7" t="s">
        <v>9053</v>
      </c>
      <c r="O830" s="7" t="s">
        <v>9054</v>
      </c>
      <c r="P830" s="7" t="s">
        <v>4420</v>
      </c>
      <c r="Q830" s="7" t="s">
        <v>3523</v>
      </c>
    </row>
    <row r="831">
      <c r="A831" s="7" t="s">
        <v>9055</v>
      </c>
      <c r="B831" s="7">
        <v>8237.0</v>
      </c>
      <c r="C831" s="7" t="s">
        <v>9056</v>
      </c>
      <c r="D831" s="7" t="s">
        <v>9057</v>
      </c>
      <c r="E831" s="7" t="s">
        <v>9058</v>
      </c>
      <c r="F831" s="7" t="s">
        <v>5497</v>
      </c>
      <c r="G831" s="7" t="s">
        <v>9059</v>
      </c>
      <c r="H831" s="7" t="s">
        <v>9060</v>
      </c>
      <c r="I831" s="119">
        <v>45292.0</v>
      </c>
      <c r="K831" s="7" t="s">
        <v>419</v>
      </c>
      <c r="L831" s="7" t="s">
        <v>991</v>
      </c>
      <c r="M831" s="7" t="s">
        <v>3531</v>
      </c>
      <c r="N831" s="7" t="s">
        <v>3930</v>
      </c>
      <c r="O831" s="7" t="s">
        <v>3931</v>
      </c>
      <c r="P831" s="7" t="s">
        <v>3493</v>
      </c>
      <c r="Q831" s="7">
        <v>1.0</v>
      </c>
    </row>
    <row r="832">
      <c r="A832" s="7" t="s">
        <v>9061</v>
      </c>
      <c r="B832" s="7">
        <v>8281.0</v>
      </c>
      <c r="C832" s="7" t="s">
        <v>9062</v>
      </c>
      <c r="D832" s="7" t="s">
        <v>9063</v>
      </c>
      <c r="E832" s="7" t="s">
        <v>9064</v>
      </c>
      <c r="F832" s="7" t="s">
        <v>3486</v>
      </c>
      <c r="G832" s="7" t="s">
        <v>9065</v>
      </c>
      <c r="H832" s="7" t="s">
        <v>9066</v>
      </c>
      <c r="I832" s="119">
        <v>45292.0</v>
      </c>
      <c r="K832" s="7" t="s">
        <v>419</v>
      </c>
      <c r="L832" s="7" t="s">
        <v>991</v>
      </c>
      <c r="M832" s="7" t="s">
        <v>3531</v>
      </c>
      <c r="N832" s="7" t="s">
        <v>4147</v>
      </c>
      <c r="O832" s="7" t="s">
        <v>4148</v>
      </c>
      <c r="P832" s="7" t="s">
        <v>3493</v>
      </c>
      <c r="Q832" s="7">
        <v>1.0</v>
      </c>
    </row>
    <row r="833">
      <c r="A833" s="7" t="s">
        <v>9067</v>
      </c>
      <c r="B833" s="7">
        <v>2300512.0</v>
      </c>
      <c r="C833" s="7" t="s">
        <v>6991</v>
      </c>
      <c r="D833" s="7" t="s">
        <v>9068</v>
      </c>
      <c r="E833" s="7" t="s">
        <v>9069</v>
      </c>
      <c r="F833" s="7" t="s">
        <v>4677</v>
      </c>
      <c r="G833" s="7" t="s">
        <v>9070</v>
      </c>
      <c r="H833" s="7" t="s">
        <v>9071</v>
      </c>
      <c r="I833" s="119">
        <v>45292.0</v>
      </c>
      <c r="K833" s="7" t="s">
        <v>419</v>
      </c>
      <c r="L833" s="7" t="s">
        <v>991</v>
      </c>
      <c r="M833" s="7" t="s">
        <v>3501</v>
      </c>
      <c r="N833" s="7" t="s">
        <v>9072</v>
      </c>
      <c r="O833" s="7" t="s">
        <v>9073</v>
      </c>
      <c r="P833" s="7" t="s">
        <v>3493</v>
      </c>
      <c r="Q833" s="7">
        <v>1.0</v>
      </c>
    </row>
    <row r="834">
      <c r="A834" s="7" t="s">
        <v>9074</v>
      </c>
      <c r="B834" s="7">
        <v>171.0</v>
      </c>
      <c r="C834" s="7" t="s">
        <v>6991</v>
      </c>
      <c r="D834" s="7" t="s">
        <v>3720</v>
      </c>
      <c r="E834" s="7" t="s">
        <v>9069</v>
      </c>
      <c r="F834" s="7" t="s">
        <v>3721</v>
      </c>
      <c r="G834" s="7" t="s">
        <v>9075</v>
      </c>
      <c r="H834" s="7" t="s">
        <v>9076</v>
      </c>
      <c r="I834" s="119">
        <v>45292.0</v>
      </c>
      <c r="K834" s="7" t="s">
        <v>419</v>
      </c>
      <c r="L834" s="7" t="s">
        <v>991</v>
      </c>
      <c r="M834" s="7" t="s">
        <v>3501</v>
      </c>
      <c r="N834" s="7" t="s">
        <v>4514</v>
      </c>
      <c r="O834" s="7" t="s">
        <v>4515</v>
      </c>
      <c r="P834" s="7" t="s">
        <v>3493</v>
      </c>
      <c r="Q834" s="7">
        <v>1.0</v>
      </c>
    </row>
    <row r="835">
      <c r="A835" s="7" t="s">
        <v>9077</v>
      </c>
      <c r="B835" s="7">
        <v>2200078.0</v>
      </c>
      <c r="C835" s="7" t="s">
        <v>9078</v>
      </c>
      <c r="D835" s="7" t="s">
        <v>9079</v>
      </c>
      <c r="E835" s="7" t="s">
        <v>9080</v>
      </c>
      <c r="F835" s="7" t="s">
        <v>9081</v>
      </c>
      <c r="G835" s="7" t="s">
        <v>9082</v>
      </c>
      <c r="H835" s="7" t="s">
        <v>9083</v>
      </c>
      <c r="I835" s="119">
        <v>45292.0</v>
      </c>
      <c r="K835" s="7" t="s">
        <v>5973</v>
      </c>
      <c r="L835" s="7" t="s">
        <v>3542</v>
      </c>
      <c r="M835" s="7" t="s">
        <v>4383</v>
      </c>
      <c r="N835" s="7" t="s">
        <v>5671</v>
      </c>
      <c r="O835" s="7" t="s">
        <v>9084</v>
      </c>
      <c r="P835" s="7" t="s">
        <v>4154</v>
      </c>
      <c r="Q835" s="7" t="s">
        <v>4155</v>
      </c>
    </row>
    <row r="836">
      <c r="A836" s="7" t="s">
        <v>9085</v>
      </c>
      <c r="B836" s="7">
        <v>2300440.0</v>
      </c>
      <c r="C836" s="7" t="s">
        <v>9086</v>
      </c>
      <c r="D836" s="7" t="s">
        <v>8353</v>
      </c>
      <c r="E836" s="7" t="s">
        <v>9087</v>
      </c>
      <c r="F836" s="7" t="s">
        <v>6800</v>
      </c>
      <c r="G836" s="7" t="s">
        <v>9088</v>
      </c>
      <c r="H836" s="7" t="s">
        <v>9089</v>
      </c>
      <c r="I836" s="119">
        <v>45292.0</v>
      </c>
      <c r="K836" s="7" t="s">
        <v>419</v>
      </c>
      <c r="L836" s="7" t="s">
        <v>991</v>
      </c>
      <c r="M836" s="7" t="s">
        <v>3501</v>
      </c>
      <c r="N836" s="7" t="s">
        <v>4418</v>
      </c>
      <c r="O836" s="7" t="s">
        <v>9090</v>
      </c>
      <c r="P836" s="7" t="s">
        <v>3493</v>
      </c>
      <c r="Q836" s="7">
        <v>1.0</v>
      </c>
    </row>
    <row r="837">
      <c r="A837" s="7" t="s">
        <v>9091</v>
      </c>
      <c r="B837" s="7">
        <v>2200313.0</v>
      </c>
      <c r="C837" s="7" t="s">
        <v>9092</v>
      </c>
      <c r="D837" s="7" t="s">
        <v>7508</v>
      </c>
      <c r="E837" s="7" t="s">
        <v>9093</v>
      </c>
      <c r="F837" s="7" t="s">
        <v>9094</v>
      </c>
      <c r="G837" s="7" t="s">
        <v>9095</v>
      </c>
      <c r="H837" s="7" t="s">
        <v>9096</v>
      </c>
      <c r="I837" s="119">
        <v>45292.0</v>
      </c>
      <c r="K837" s="7" t="s">
        <v>419</v>
      </c>
      <c r="L837" s="7" t="s">
        <v>991</v>
      </c>
      <c r="M837" s="7" t="s">
        <v>3531</v>
      </c>
      <c r="N837" s="7" t="s">
        <v>3511</v>
      </c>
      <c r="O837" s="7" t="s">
        <v>7757</v>
      </c>
      <c r="P837" s="7" t="s">
        <v>3493</v>
      </c>
      <c r="Q837" s="7">
        <v>1.0</v>
      </c>
    </row>
    <row r="838">
      <c r="A838" s="7" t="s">
        <v>9097</v>
      </c>
      <c r="B838" s="7">
        <v>12313.0</v>
      </c>
      <c r="C838" s="7" t="s">
        <v>9098</v>
      </c>
      <c r="D838" s="7" t="s">
        <v>4699</v>
      </c>
      <c r="E838" s="7" t="s">
        <v>9099</v>
      </c>
      <c r="F838" s="7" t="s">
        <v>4700</v>
      </c>
      <c r="G838" s="7" t="s">
        <v>9100</v>
      </c>
      <c r="H838" s="7" t="s">
        <v>9101</v>
      </c>
      <c r="I838" s="119">
        <v>45292.0</v>
      </c>
      <c r="K838" s="7" t="s">
        <v>419</v>
      </c>
      <c r="L838" s="7" t="s">
        <v>991</v>
      </c>
      <c r="M838" s="7" t="s">
        <v>3531</v>
      </c>
      <c r="N838" s="7" t="s">
        <v>9102</v>
      </c>
      <c r="O838" s="7" t="s">
        <v>9103</v>
      </c>
      <c r="P838" s="7" t="s">
        <v>3493</v>
      </c>
      <c r="Q838" s="7">
        <v>1.0</v>
      </c>
    </row>
    <row r="839">
      <c r="A839" s="7" t="s">
        <v>1451</v>
      </c>
      <c r="B839" s="7">
        <v>402.0</v>
      </c>
      <c r="C839" s="7" t="s">
        <v>9104</v>
      </c>
      <c r="D839" s="7" t="s">
        <v>6164</v>
      </c>
      <c r="E839" s="7" t="s">
        <v>9105</v>
      </c>
      <c r="F839" s="7" t="s">
        <v>6166</v>
      </c>
      <c r="G839" s="7" t="s">
        <v>9106</v>
      </c>
      <c r="H839" s="7" t="s">
        <v>9107</v>
      </c>
      <c r="I839" s="119">
        <v>45292.0</v>
      </c>
      <c r="K839" s="7" t="s">
        <v>419</v>
      </c>
      <c r="L839" s="7" t="s">
        <v>991</v>
      </c>
      <c r="M839" s="7" t="s">
        <v>3501</v>
      </c>
      <c r="N839" s="7" t="s">
        <v>6419</v>
      </c>
      <c r="O839" s="7" t="s">
        <v>6420</v>
      </c>
      <c r="P839" s="7" t="s">
        <v>3604</v>
      </c>
      <c r="Q839" s="7">
        <v>1.0</v>
      </c>
    </row>
    <row r="840">
      <c r="A840" s="7" t="s">
        <v>9108</v>
      </c>
      <c r="B840" s="7">
        <v>11960.0</v>
      </c>
      <c r="C840" s="7" t="s">
        <v>9104</v>
      </c>
      <c r="D840" s="7" t="s">
        <v>9109</v>
      </c>
      <c r="E840" s="7" t="s">
        <v>9105</v>
      </c>
      <c r="F840" s="7" t="s">
        <v>4469</v>
      </c>
      <c r="G840" s="7" t="s">
        <v>9110</v>
      </c>
      <c r="H840" s="7" t="s">
        <v>9111</v>
      </c>
      <c r="I840" s="119">
        <v>45292.0</v>
      </c>
      <c r="K840" s="7" t="s">
        <v>419</v>
      </c>
      <c r="L840" s="7" t="s">
        <v>991</v>
      </c>
      <c r="M840" s="7" t="s">
        <v>3531</v>
      </c>
      <c r="N840" s="7" t="s">
        <v>8044</v>
      </c>
      <c r="O840" s="7" t="s">
        <v>9112</v>
      </c>
      <c r="P840" s="7" t="s">
        <v>3493</v>
      </c>
      <c r="Q840" s="7">
        <v>1.0</v>
      </c>
    </row>
    <row r="841">
      <c r="A841" s="7" t="s">
        <v>1639</v>
      </c>
      <c r="B841" s="7">
        <v>12444.0</v>
      </c>
      <c r="C841" s="7" t="s">
        <v>9113</v>
      </c>
      <c r="D841" s="7" t="s">
        <v>9114</v>
      </c>
      <c r="E841" s="7" t="s">
        <v>9115</v>
      </c>
      <c r="F841" s="7" t="s">
        <v>9116</v>
      </c>
      <c r="G841" s="7" t="s">
        <v>9117</v>
      </c>
      <c r="H841" s="7" t="s">
        <v>9118</v>
      </c>
      <c r="I841" s="119">
        <v>45292.0</v>
      </c>
      <c r="K841" s="7" t="s">
        <v>419</v>
      </c>
      <c r="L841" s="7" t="s">
        <v>991</v>
      </c>
      <c r="M841" s="7" t="s">
        <v>3501</v>
      </c>
      <c r="N841" s="7" t="s">
        <v>9119</v>
      </c>
      <c r="O841" s="7" t="s">
        <v>9120</v>
      </c>
      <c r="P841" s="7" t="s">
        <v>9121</v>
      </c>
      <c r="Q841" s="7" t="s">
        <v>3555</v>
      </c>
    </row>
    <row r="842">
      <c r="A842" s="7" t="s">
        <v>9122</v>
      </c>
      <c r="B842" s="7">
        <v>13974.0</v>
      </c>
      <c r="C842" s="7" t="s">
        <v>9113</v>
      </c>
      <c r="D842" s="7" t="s">
        <v>8598</v>
      </c>
      <c r="E842" s="7" t="s">
        <v>9115</v>
      </c>
      <c r="F842" s="7" t="s">
        <v>4598</v>
      </c>
      <c r="G842" s="7" t="s">
        <v>9123</v>
      </c>
      <c r="H842" s="7" t="s">
        <v>9124</v>
      </c>
      <c r="I842" s="119">
        <v>45292.0</v>
      </c>
      <c r="K842" s="7" t="s">
        <v>419</v>
      </c>
      <c r="L842" s="7" t="s">
        <v>991</v>
      </c>
      <c r="M842" s="7" t="s">
        <v>3501</v>
      </c>
      <c r="N842" s="7" t="s">
        <v>4651</v>
      </c>
      <c r="O842" s="7" t="s">
        <v>4652</v>
      </c>
      <c r="P842" s="7" t="s">
        <v>3843</v>
      </c>
      <c r="Q842" s="7">
        <v>1.0</v>
      </c>
    </row>
    <row r="843">
      <c r="A843" s="7" t="s">
        <v>9125</v>
      </c>
      <c r="B843" s="7">
        <v>2200235.0</v>
      </c>
      <c r="C843" s="7" t="s">
        <v>9126</v>
      </c>
      <c r="D843" s="7" t="s">
        <v>7284</v>
      </c>
      <c r="E843" s="7" t="s">
        <v>9127</v>
      </c>
      <c r="F843" s="7" t="s">
        <v>4032</v>
      </c>
      <c r="G843" s="7" t="s">
        <v>9128</v>
      </c>
      <c r="H843" s="7" t="s">
        <v>9129</v>
      </c>
      <c r="I843" s="119">
        <v>45292.0</v>
      </c>
      <c r="K843" s="7" t="s">
        <v>419</v>
      </c>
      <c r="L843" s="7" t="s">
        <v>991</v>
      </c>
      <c r="M843" s="7" t="s">
        <v>3501</v>
      </c>
      <c r="N843" s="7" t="s">
        <v>6047</v>
      </c>
      <c r="O843" s="7" t="s">
        <v>6048</v>
      </c>
      <c r="P843" s="7" t="s">
        <v>3522</v>
      </c>
      <c r="Q843" s="7" t="s">
        <v>3523</v>
      </c>
    </row>
    <row r="844">
      <c r="A844" s="7" t="s">
        <v>9130</v>
      </c>
      <c r="B844" s="7">
        <v>1078.0</v>
      </c>
      <c r="C844" s="7" t="s">
        <v>9131</v>
      </c>
      <c r="D844" s="7" t="s">
        <v>9132</v>
      </c>
      <c r="E844" s="7" t="s">
        <v>9133</v>
      </c>
      <c r="F844" s="7" t="s">
        <v>9134</v>
      </c>
      <c r="G844" s="7" t="s">
        <v>9135</v>
      </c>
      <c r="H844" s="7" t="s">
        <v>9136</v>
      </c>
      <c r="I844" s="119">
        <v>45292.0</v>
      </c>
      <c r="K844" s="7" t="s">
        <v>419</v>
      </c>
      <c r="L844" s="7" t="s">
        <v>991</v>
      </c>
      <c r="M844" s="7" t="s">
        <v>3501</v>
      </c>
      <c r="N844" s="7" t="s">
        <v>9137</v>
      </c>
      <c r="O844" s="7" t="s">
        <v>9138</v>
      </c>
      <c r="P844" s="7" t="s">
        <v>3493</v>
      </c>
      <c r="Q844" s="7">
        <v>1.0</v>
      </c>
    </row>
    <row r="845">
      <c r="A845" s="7" t="s">
        <v>9139</v>
      </c>
      <c r="B845" s="7">
        <v>14204.0</v>
      </c>
      <c r="C845" s="7" t="s">
        <v>9131</v>
      </c>
      <c r="D845" s="7" t="s">
        <v>5187</v>
      </c>
      <c r="E845" s="7" t="s">
        <v>9133</v>
      </c>
      <c r="F845" s="7" t="s">
        <v>4511</v>
      </c>
      <c r="G845" s="7" t="s">
        <v>9140</v>
      </c>
      <c r="H845" s="7" t="s">
        <v>9141</v>
      </c>
      <c r="I845" s="119">
        <v>45292.0</v>
      </c>
      <c r="K845" s="7" t="s">
        <v>419</v>
      </c>
      <c r="L845" s="7" t="s">
        <v>991</v>
      </c>
      <c r="M845" s="7" t="s">
        <v>3501</v>
      </c>
      <c r="N845" s="7" t="s">
        <v>9142</v>
      </c>
      <c r="O845" s="7" t="s">
        <v>9143</v>
      </c>
      <c r="P845" s="7" t="s">
        <v>6763</v>
      </c>
      <c r="Q845" s="7" t="s">
        <v>3523</v>
      </c>
    </row>
    <row r="846">
      <c r="A846" s="7" t="s">
        <v>9144</v>
      </c>
      <c r="B846" s="7">
        <v>4025.0</v>
      </c>
      <c r="C846" s="7" t="s">
        <v>9145</v>
      </c>
      <c r="D846" s="7" t="s">
        <v>9146</v>
      </c>
      <c r="E846" s="7" t="s">
        <v>9147</v>
      </c>
      <c r="F846" s="7" t="s">
        <v>4068</v>
      </c>
      <c r="G846" s="7" t="s">
        <v>9148</v>
      </c>
      <c r="H846" s="7" t="s">
        <v>9149</v>
      </c>
      <c r="I846" s="119">
        <v>45292.0</v>
      </c>
      <c r="K846" s="7" t="s">
        <v>419</v>
      </c>
      <c r="L846" s="7" t="s">
        <v>991</v>
      </c>
      <c r="M846" s="7" t="s">
        <v>3501</v>
      </c>
      <c r="N846" s="7" t="s">
        <v>9150</v>
      </c>
      <c r="O846" s="7" t="s">
        <v>9151</v>
      </c>
      <c r="P846" s="7" t="s">
        <v>9152</v>
      </c>
      <c r="Q846" s="7" t="s">
        <v>9153</v>
      </c>
    </row>
    <row r="847">
      <c r="A847" s="7" t="s">
        <v>9154</v>
      </c>
      <c r="B847" s="7">
        <v>2300354.0</v>
      </c>
      <c r="C847" s="7" t="s">
        <v>9145</v>
      </c>
      <c r="D847" s="7" t="s">
        <v>8643</v>
      </c>
      <c r="E847" s="7" t="s">
        <v>9147</v>
      </c>
      <c r="F847" s="7" t="s">
        <v>4434</v>
      </c>
      <c r="G847" s="7" t="s">
        <v>9155</v>
      </c>
      <c r="H847" s="7" t="s">
        <v>9156</v>
      </c>
      <c r="I847" s="119">
        <v>45292.0</v>
      </c>
      <c r="K847" s="7" t="s">
        <v>419</v>
      </c>
      <c r="L847" s="7" t="s">
        <v>991</v>
      </c>
      <c r="M847" s="7" t="s">
        <v>3583</v>
      </c>
      <c r="N847" s="7" t="s">
        <v>5556</v>
      </c>
      <c r="O847" s="7" t="s">
        <v>5557</v>
      </c>
      <c r="P847" s="7" t="s">
        <v>5558</v>
      </c>
      <c r="Q847" s="7" t="s">
        <v>5559</v>
      </c>
    </row>
    <row r="848">
      <c r="A848" s="7" t="s">
        <v>9157</v>
      </c>
      <c r="B848" s="7">
        <v>10955.0</v>
      </c>
      <c r="C848" s="7" t="s">
        <v>9145</v>
      </c>
      <c r="D848" s="7" t="s">
        <v>9158</v>
      </c>
      <c r="E848" s="7" t="s">
        <v>9147</v>
      </c>
      <c r="F848" s="7" t="s">
        <v>5987</v>
      </c>
      <c r="G848" s="7" t="s">
        <v>9159</v>
      </c>
      <c r="H848" s="7" t="s">
        <v>9160</v>
      </c>
      <c r="I848" s="119">
        <v>45292.0</v>
      </c>
      <c r="K848" s="7" t="s">
        <v>419</v>
      </c>
      <c r="L848" s="7" t="s">
        <v>991</v>
      </c>
      <c r="M848" s="7" t="s">
        <v>3501</v>
      </c>
      <c r="N848" s="7" t="s">
        <v>9161</v>
      </c>
      <c r="O848" s="7" t="s">
        <v>9162</v>
      </c>
      <c r="P848" s="7" t="s">
        <v>3493</v>
      </c>
      <c r="Q848" s="7">
        <v>1.0</v>
      </c>
    </row>
    <row r="849">
      <c r="A849" s="7" t="s">
        <v>1672</v>
      </c>
      <c r="B849" s="7">
        <v>967.0</v>
      </c>
      <c r="C849" s="7" t="s">
        <v>9145</v>
      </c>
      <c r="D849" s="7" t="s">
        <v>9163</v>
      </c>
      <c r="E849" s="7" t="s">
        <v>9147</v>
      </c>
      <c r="F849" s="7" t="s">
        <v>4937</v>
      </c>
      <c r="G849" s="7" t="s">
        <v>9164</v>
      </c>
      <c r="H849" s="7" t="s">
        <v>9165</v>
      </c>
      <c r="I849" s="119">
        <v>45292.0</v>
      </c>
      <c r="K849" s="7" t="s">
        <v>419</v>
      </c>
      <c r="L849" s="7" t="s">
        <v>991</v>
      </c>
      <c r="M849" s="7" t="s">
        <v>3501</v>
      </c>
      <c r="N849" s="7" t="s">
        <v>3930</v>
      </c>
      <c r="O849" s="7" t="s">
        <v>3931</v>
      </c>
      <c r="P849" s="7" t="s">
        <v>3493</v>
      </c>
      <c r="Q849" s="7">
        <v>1.0</v>
      </c>
    </row>
    <row r="850">
      <c r="A850" s="7" t="s">
        <v>9166</v>
      </c>
      <c r="B850" s="7">
        <v>14206.0</v>
      </c>
      <c r="C850" s="7" t="s">
        <v>9145</v>
      </c>
      <c r="D850" s="7" t="s">
        <v>9167</v>
      </c>
      <c r="E850" s="7" t="s">
        <v>9147</v>
      </c>
      <c r="F850" s="7" t="s">
        <v>6279</v>
      </c>
      <c r="G850" s="7" t="s">
        <v>9168</v>
      </c>
      <c r="H850" s="7" t="s">
        <v>9169</v>
      </c>
      <c r="I850" s="119">
        <v>45292.0</v>
      </c>
      <c r="K850" s="7" t="s">
        <v>419</v>
      </c>
      <c r="L850" s="7" t="s">
        <v>991</v>
      </c>
      <c r="M850" s="7" t="s">
        <v>3501</v>
      </c>
      <c r="N850" s="7" t="s">
        <v>3733</v>
      </c>
      <c r="O850" s="7" t="s">
        <v>3734</v>
      </c>
      <c r="P850" s="7" t="s">
        <v>3493</v>
      </c>
      <c r="Q850" s="7">
        <v>1.0</v>
      </c>
    </row>
    <row r="851">
      <c r="A851" s="7" t="s">
        <v>9170</v>
      </c>
      <c r="B851" s="7">
        <v>1179.0</v>
      </c>
      <c r="C851" s="7" t="s">
        <v>9145</v>
      </c>
      <c r="D851" s="7" t="s">
        <v>4706</v>
      </c>
      <c r="E851" s="7" t="s">
        <v>9147</v>
      </c>
      <c r="F851" s="7" t="s">
        <v>4707</v>
      </c>
      <c r="G851" s="7" t="s">
        <v>9171</v>
      </c>
      <c r="H851" s="7" t="s">
        <v>9172</v>
      </c>
      <c r="I851" s="119">
        <v>45292.0</v>
      </c>
      <c r="K851" s="7" t="s">
        <v>419</v>
      </c>
      <c r="L851" s="7" t="s">
        <v>991</v>
      </c>
      <c r="M851" s="7" t="s">
        <v>3501</v>
      </c>
      <c r="N851" s="7" t="s">
        <v>7343</v>
      </c>
      <c r="O851" s="7" t="s">
        <v>7344</v>
      </c>
      <c r="P851" s="7" t="s">
        <v>3604</v>
      </c>
      <c r="Q851" s="7">
        <v>1.0</v>
      </c>
    </row>
    <row r="852">
      <c r="A852" s="7" t="s">
        <v>9173</v>
      </c>
      <c r="B852" s="7">
        <v>13319.0</v>
      </c>
      <c r="C852" s="7" t="s">
        <v>9145</v>
      </c>
      <c r="D852" s="7" t="s">
        <v>9174</v>
      </c>
      <c r="E852" s="7" t="s">
        <v>9147</v>
      </c>
      <c r="F852" s="7" t="s">
        <v>5433</v>
      </c>
      <c r="G852" s="7" t="s">
        <v>9175</v>
      </c>
      <c r="H852" s="7" t="s">
        <v>9176</v>
      </c>
      <c r="I852" s="119">
        <v>45292.0</v>
      </c>
      <c r="K852" s="7" t="s">
        <v>3885</v>
      </c>
      <c r="L852" s="7" t="s">
        <v>3542</v>
      </c>
      <c r="M852" s="7" t="s">
        <v>3543</v>
      </c>
      <c r="N852" s="7" t="s">
        <v>4490</v>
      </c>
      <c r="O852" s="7" t="s">
        <v>4491</v>
      </c>
      <c r="P852" s="7" t="s">
        <v>3697</v>
      </c>
      <c r="Q852" s="7" t="s">
        <v>3710</v>
      </c>
    </row>
    <row r="853">
      <c r="A853" s="7" t="s">
        <v>9177</v>
      </c>
      <c r="B853" s="7">
        <v>2200468.0</v>
      </c>
      <c r="C853" s="7" t="s">
        <v>9145</v>
      </c>
      <c r="D853" s="7" t="s">
        <v>9178</v>
      </c>
      <c r="E853" s="7" t="s">
        <v>9147</v>
      </c>
      <c r="F853" s="7" t="s">
        <v>9179</v>
      </c>
      <c r="G853" s="7" t="s">
        <v>9180</v>
      </c>
      <c r="H853" s="7" t="s">
        <v>9181</v>
      </c>
      <c r="I853" s="119">
        <v>45292.0</v>
      </c>
      <c r="K853" s="7" t="s">
        <v>419</v>
      </c>
      <c r="L853" s="7" t="s">
        <v>991</v>
      </c>
      <c r="M853" s="7" t="s">
        <v>3501</v>
      </c>
      <c r="N853" s="7" t="s">
        <v>3996</v>
      </c>
      <c r="O853" s="7" t="s">
        <v>3997</v>
      </c>
      <c r="P853" s="7" t="s">
        <v>3493</v>
      </c>
      <c r="Q853" s="7">
        <v>1.0</v>
      </c>
    </row>
    <row r="854">
      <c r="A854" s="7" t="s">
        <v>9182</v>
      </c>
      <c r="B854" s="7">
        <v>10825.0</v>
      </c>
      <c r="C854" s="7" t="s">
        <v>9145</v>
      </c>
      <c r="D854" s="7" t="s">
        <v>9183</v>
      </c>
      <c r="E854" s="7" t="s">
        <v>9147</v>
      </c>
      <c r="F854" s="7" t="s">
        <v>9184</v>
      </c>
      <c r="G854" s="7" t="s">
        <v>9185</v>
      </c>
      <c r="H854" s="7" t="s">
        <v>9186</v>
      </c>
      <c r="I854" s="119">
        <v>45292.0</v>
      </c>
      <c r="K854" s="7" t="s">
        <v>419</v>
      </c>
      <c r="L854" s="7" t="s">
        <v>991</v>
      </c>
      <c r="M854" s="7" t="s">
        <v>3501</v>
      </c>
      <c r="N854" s="7" t="s">
        <v>6076</v>
      </c>
      <c r="O854" s="7" t="s">
        <v>9187</v>
      </c>
      <c r="P854" s="7" t="s">
        <v>3522</v>
      </c>
      <c r="Q854" s="7" t="s">
        <v>3523</v>
      </c>
    </row>
    <row r="855">
      <c r="A855" s="7" t="s">
        <v>9188</v>
      </c>
      <c r="B855" s="7">
        <v>12565.0</v>
      </c>
      <c r="C855" s="7" t="s">
        <v>9145</v>
      </c>
      <c r="D855" s="7" t="s">
        <v>9189</v>
      </c>
      <c r="E855" s="7" t="s">
        <v>9147</v>
      </c>
      <c r="F855" s="7" t="s">
        <v>9190</v>
      </c>
      <c r="G855" s="7" t="s">
        <v>9191</v>
      </c>
      <c r="H855" s="7" t="s">
        <v>9192</v>
      </c>
      <c r="I855" s="119">
        <v>45292.0</v>
      </c>
      <c r="K855" s="7" t="s">
        <v>419</v>
      </c>
      <c r="L855" s="7" t="s">
        <v>991</v>
      </c>
      <c r="M855" s="7" t="s">
        <v>3531</v>
      </c>
      <c r="N855" s="7" t="s">
        <v>4920</v>
      </c>
      <c r="O855" s="7" t="s">
        <v>4921</v>
      </c>
      <c r="P855" s="7" t="s">
        <v>3493</v>
      </c>
      <c r="Q855" s="7">
        <v>1.0</v>
      </c>
    </row>
    <row r="856">
      <c r="A856" s="7" t="s">
        <v>9193</v>
      </c>
      <c r="B856" s="7">
        <v>2100138.0</v>
      </c>
      <c r="C856" s="7" t="s">
        <v>9145</v>
      </c>
      <c r="D856" s="7" t="s">
        <v>9194</v>
      </c>
      <c r="E856" s="7" t="s">
        <v>9147</v>
      </c>
      <c r="F856" s="7" t="s">
        <v>6301</v>
      </c>
      <c r="G856" s="7" t="s">
        <v>9195</v>
      </c>
      <c r="H856" s="7" t="s">
        <v>9196</v>
      </c>
      <c r="I856" s="119">
        <v>45292.0</v>
      </c>
      <c r="K856" s="7" t="s">
        <v>9197</v>
      </c>
      <c r="L856" s="7" t="s">
        <v>6655</v>
      </c>
      <c r="M856" s="7" t="s">
        <v>6656</v>
      </c>
      <c r="N856" s="7" t="s">
        <v>5974</v>
      </c>
      <c r="O856" s="7" t="s">
        <v>9198</v>
      </c>
      <c r="P856" s="7" t="s">
        <v>3697</v>
      </c>
      <c r="Q856" s="7" t="s">
        <v>3687</v>
      </c>
    </row>
    <row r="857">
      <c r="A857" s="7" t="s">
        <v>9199</v>
      </c>
      <c r="B857" s="7">
        <v>12773.0</v>
      </c>
      <c r="C857" s="7" t="s">
        <v>9145</v>
      </c>
      <c r="D857" s="7" t="s">
        <v>9200</v>
      </c>
      <c r="E857" s="7" t="s">
        <v>9147</v>
      </c>
      <c r="F857" s="7" t="s">
        <v>5330</v>
      </c>
      <c r="G857" s="7" t="s">
        <v>9201</v>
      </c>
      <c r="H857" s="7" t="s">
        <v>9202</v>
      </c>
      <c r="I857" s="119">
        <v>45292.0</v>
      </c>
      <c r="K857" s="7" t="s">
        <v>419</v>
      </c>
      <c r="L857" s="7" t="s">
        <v>991</v>
      </c>
      <c r="M857" s="7" t="s">
        <v>3501</v>
      </c>
      <c r="N857" s="7" t="s">
        <v>3912</v>
      </c>
      <c r="O857" s="7" t="s">
        <v>3913</v>
      </c>
      <c r="P857" s="7" t="s">
        <v>3493</v>
      </c>
      <c r="Q857" s="7">
        <v>1.0</v>
      </c>
    </row>
    <row r="858">
      <c r="A858" s="7" t="s">
        <v>9203</v>
      </c>
      <c r="B858" s="7">
        <v>2200777.0</v>
      </c>
      <c r="C858" s="7" t="s">
        <v>9145</v>
      </c>
      <c r="D858" s="7" t="s">
        <v>9204</v>
      </c>
      <c r="E858" s="7" t="s">
        <v>9147</v>
      </c>
      <c r="F858" s="7" t="s">
        <v>9205</v>
      </c>
      <c r="G858" s="7" t="s">
        <v>9206</v>
      </c>
      <c r="H858" s="7" t="s">
        <v>9207</v>
      </c>
      <c r="I858" s="119">
        <v>45292.0</v>
      </c>
      <c r="K858" s="7" t="s">
        <v>419</v>
      </c>
      <c r="L858" s="7" t="s">
        <v>991</v>
      </c>
      <c r="M858" s="7" t="s">
        <v>3501</v>
      </c>
      <c r="N858" s="7" t="s">
        <v>5888</v>
      </c>
      <c r="O858" s="7" t="s">
        <v>5889</v>
      </c>
      <c r="P858" s="7" t="s">
        <v>3493</v>
      </c>
      <c r="Q858" s="7">
        <v>1.0</v>
      </c>
    </row>
    <row r="859">
      <c r="A859" s="7" t="s">
        <v>9208</v>
      </c>
      <c r="B859" s="7">
        <v>13039.0</v>
      </c>
      <c r="C859" s="7" t="s">
        <v>9145</v>
      </c>
      <c r="D859" s="7" t="s">
        <v>9209</v>
      </c>
      <c r="E859" s="7" t="s">
        <v>9147</v>
      </c>
      <c r="F859" s="7" t="s">
        <v>3909</v>
      </c>
      <c r="G859" s="7" t="s">
        <v>9210</v>
      </c>
      <c r="H859" s="7" t="s">
        <v>9211</v>
      </c>
      <c r="I859" s="119">
        <v>45292.0</v>
      </c>
      <c r="K859" s="7" t="s">
        <v>419</v>
      </c>
      <c r="L859" s="7" t="s">
        <v>991</v>
      </c>
      <c r="M859" s="7" t="s">
        <v>3501</v>
      </c>
      <c r="N859" s="7" t="s">
        <v>3733</v>
      </c>
      <c r="O859" s="7" t="s">
        <v>3734</v>
      </c>
      <c r="P859" s="7" t="s">
        <v>3493</v>
      </c>
      <c r="Q859" s="7">
        <v>1.0</v>
      </c>
    </row>
    <row r="860">
      <c r="A860" s="7" t="s">
        <v>9212</v>
      </c>
      <c r="B860" s="7">
        <v>11372.0</v>
      </c>
      <c r="C860" s="7" t="s">
        <v>9145</v>
      </c>
      <c r="D860" s="7" t="s">
        <v>6650</v>
      </c>
      <c r="E860" s="7" t="s">
        <v>9147</v>
      </c>
      <c r="F860" s="7" t="s">
        <v>3909</v>
      </c>
      <c r="G860" s="7" t="s">
        <v>9213</v>
      </c>
      <c r="H860" s="7" t="s">
        <v>9214</v>
      </c>
      <c r="I860" s="119">
        <v>45292.0</v>
      </c>
      <c r="K860" s="7" t="s">
        <v>419</v>
      </c>
      <c r="L860" s="7" t="s">
        <v>991</v>
      </c>
      <c r="M860" s="7" t="s">
        <v>3501</v>
      </c>
      <c r="N860" s="7" t="s">
        <v>4384</v>
      </c>
      <c r="O860" s="7" t="s">
        <v>5517</v>
      </c>
      <c r="P860" s="7" t="s">
        <v>3493</v>
      </c>
      <c r="Q860" s="7">
        <v>1.0</v>
      </c>
    </row>
    <row r="861">
      <c r="A861" s="7" t="s">
        <v>9215</v>
      </c>
      <c r="B861" s="7">
        <v>349.0</v>
      </c>
      <c r="C861" s="7" t="s">
        <v>9145</v>
      </c>
      <c r="D861" s="7" t="s">
        <v>8975</v>
      </c>
      <c r="E861" s="7" t="s">
        <v>9147</v>
      </c>
      <c r="F861" s="7" t="s">
        <v>4967</v>
      </c>
      <c r="G861" s="7" t="s">
        <v>9216</v>
      </c>
      <c r="H861" s="7" t="s">
        <v>9217</v>
      </c>
      <c r="I861" s="119">
        <v>45292.0</v>
      </c>
      <c r="K861" s="7" t="s">
        <v>419</v>
      </c>
      <c r="L861" s="7" t="s">
        <v>991</v>
      </c>
      <c r="M861" s="7" t="s">
        <v>3501</v>
      </c>
      <c r="N861" s="7" t="s">
        <v>9218</v>
      </c>
      <c r="O861" s="7" t="s">
        <v>9219</v>
      </c>
      <c r="P861" s="7" t="s">
        <v>3604</v>
      </c>
      <c r="Q861" s="7">
        <v>1.0</v>
      </c>
    </row>
    <row r="862">
      <c r="A862" s="7" t="s">
        <v>9220</v>
      </c>
      <c r="B862" s="7">
        <v>13017.0</v>
      </c>
      <c r="C862" s="7" t="s">
        <v>9145</v>
      </c>
      <c r="D862" s="7" t="s">
        <v>9221</v>
      </c>
      <c r="E862" s="7" t="s">
        <v>9147</v>
      </c>
      <c r="F862" s="7" t="s">
        <v>3656</v>
      </c>
      <c r="G862" s="7" t="s">
        <v>9222</v>
      </c>
      <c r="I862" s="119">
        <v>45292.0</v>
      </c>
      <c r="K862" s="7" t="s">
        <v>419</v>
      </c>
      <c r="L862" s="7" t="s">
        <v>991</v>
      </c>
      <c r="M862" s="7" t="s">
        <v>3531</v>
      </c>
      <c r="N862" s="7" t="s">
        <v>9223</v>
      </c>
      <c r="O862" s="7" t="s">
        <v>9224</v>
      </c>
      <c r="P862" s="7" t="s">
        <v>3493</v>
      </c>
      <c r="Q862" s="7">
        <v>1.0</v>
      </c>
    </row>
    <row r="863">
      <c r="A863" s="7" t="s">
        <v>9225</v>
      </c>
      <c r="B863" s="7">
        <v>12774.0</v>
      </c>
      <c r="C863" s="7" t="s">
        <v>9145</v>
      </c>
      <c r="D863" s="7" t="s">
        <v>9226</v>
      </c>
      <c r="E863" s="7" t="s">
        <v>9147</v>
      </c>
      <c r="F863" s="7" t="s">
        <v>9227</v>
      </c>
      <c r="G863" s="7" t="s">
        <v>9228</v>
      </c>
      <c r="H863" s="7" t="s">
        <v>9229</v>
      </c>
      <c r="I863" s="119">
        <v>45292.0</v>
      </c>
      <c r="K863" s="7" t="s">
        <v>419</v>
      </c>
      <c r="L863" s="7" t="s">
        <v>991</v>
      </c>
      <c r="M863" s="7" t="s">
        <v>3501</v>
      </c>
      <c r="N863" s="7" t="s">
        <v>5780</v>
      </c>
      <c r="O863" s="7" t="s">
        <v>5781</v>
      </c>
      <c r="P863" s="7" t="s">
        <v>3493</v>
      </c>
      <c r="Q863" s="7">
        <v>1.0</v>
      </c>
    </row>
    <row r="864">
      <c r="A864" s="7" t="s">
        <v>9230</v>
      </c>
      <c r="B864" s="7">
        <v>13700.0</v>
      </c>
      <c r="C864" s="7" t="s">
        <v>9145</v>
      </c>
      <c r="D864" s="7" t="s">
        <v>9231</v>
      </c>
      <c r="E864" s="7" t="s">
        <v>9147</v>
      </c>
      <c r="F864" s="7" t="s">
        <v>7477</v>
      </c>
      <c r="G864" s="7" t="s">
        <v>9232</v>
      </c>
      <c r="H864" s="7" t="s">
        <v>9233</v>
      </c>
      <c r="I864" s="119">
        <v>45292.0</v>
      </c>
      <c r="K864" s="7" t="s">
        <v>3632</v>
      </c>
      <c r="L864" s="7" t="s">
        <v>991</v>
      </c>
      <c r="M864" s="7" t="s">
        <v>3501</v>
      </c>
      <c r="N864" s="7" t="s">
        <v>9234</v>
      </c>
      <c r="O864" s="7" t="s">
        <v>9235</v>
      </c>
      <c r="P864" s="7" t="s">
        <v>9236</v>
      </c>
      <c r="Q864" s="7" t="s">
        <v>8134</v>
      </c>
    </row>
    <row r="865">
      <c r="A865" s="7" t="s">
        <v>9237</v>
      </c>
      <c r="B865" s="7">
        <v>2300007.0</v>
      </c>
      <c r="C865" s="7" t="s">
        <v>9145</v>
      </c>
      <c r="D865" s="7" t="s">
        <v>9238</v>
      </c>
      <c r="E865" s="7" t="s">
        <v>9147</v>
      </c>
      <c r="F865" s="7" t="s">
        <v>3721</v>
      </c>
      <c r="G865" s="7" t="s">
        <v>9239</v>
      </c>
      <c r="H865" s="7" t="s">
        <v>9240</v>
      </c>
      <c r="I865" s="119">
        <v>45292.0</v>
      </c>
      <c r="K865" s="7" t="s">
        <v>419</v>
      </c>
      <c r="L865" s="7" t="s">
        <v>991</v>
      </c>
      <c r="M865" s="7" t="s">
        <v>3501</v>
      </c>
      <c r="N865" s="7" t="s">
        <v>4490</v>
      </c>
      <c r="O865" s="7" t="s">
        <v>9241</v>
      </c>
      <c r="P865" s="7" t="s">
        <v>3522</v>
      </c>
      <c r="Q865" s="7" t="s">
        <v>3523</v>
      </c>
    </row>
    <row r="866">
      <c r="A866" s="7" t="s">
        <v>9242</v>
      </c>
      <c r="B866" s="7">
        <v>1294.0</v>
      </c>
      <c r="C866" s="7" t="s">
        <v>9145</v>
      </c>
      <c r="D866" s="7" t="s">
        <v>7006</v>
      </c>
      <c r="E866" s="7" t="s">
        <v>9147</v>
      </c>
      <c r="F866" s="7" t="s">
        <v>7007</v>
      </c>
      <c r="G866" s="7" t="s">
        <v>9243</v>
      </c>
      <c r="H866" s="7" t="s">
        <v>9244</v>
      </c>
      <c r="I866" s="119">
        <v>45292.0</v>
      </c>
      <c r="K866" s="7" t="s">
        <v>419</v>
      </c>
      <c r="L866" s="7" t="s">
        <v>991</v>
      </c>
      <c r="M866" s="7" t="s">
        <v>3501</v>
      </c>
      <c r="N866" s="7" t="s">
        <v>4147</v>
      </c>
      <c r="O866" s="7" t="s">
        <v>4148</v>
      </c>
      <c r="P866" s="7" t="s">
        <v>3493</v>
      </c>
      <c r="Q866" s="7">
        <v>1.0</v>
      </c>
    </row>
    <row r="867">
      <c r="A867" s="7" t="s">
        <v>9245</v>
      </c>
      <c r="B867" s="7">
        <v>2300444.0</v>
      </c>
      <c r="C867" s="7" t="s">
        <v>9246</v>
      </c>
      <c r="D867" s="7" t="s">
        <v>9247</v>
      </c>
      <c r="E867" s="7" t="s">
        <v>9248</v>
      </c>
      <c r="F867" s="7" t="s">
        <v>8243</v>
      </c>
      <c r="G867" s="7" t="s">
        <v>9249</v>
      </c>
      <c r="I867" s="119">
        <v>45292.0</v>
      </c>
      <c r="K867" s="7" t="s">
        <v>419</v>
      </c>
      <c r="L867" s="7" t="s">
        <v>991</v>
      </c>
      <c r="M867" s="7" t="s">
        <v>3531</v>
      </c>
      <c r="N867" s="7" t="s">
        <v>3820</v>
      </c>
      <c r="O867" s="7" t="s">
        <v>3821</v>
      </c>
      <c r="P867" s="7" t="s">
        <v>3493</v>
      </c>
      <c r="Q867" s="7">
        <v>1.0</v>
      </c>
    </row>
    <row r="868">
      <c r="A868" s="7" t="s">
        <v>9250</v>
      </c>
      <c r="B868" s="7">
        <v>2200383.0</v>
      </c>
      <c r="C868" s="7" t="s">
        <v>9246</v>
      </c>
      <c r="D868" s="7" t="s">
        <v>9251</v>
      </c>
      <c r="E868" s="7" t="s">
        <v>9252</v>
      </c>
      <c r="F868" s="7" t="s">
        <v>7574</v>
      </c>
      <c r="G868" s="7" t="s">
        <v>9253</v>
      </c>
      <c r="H868" s="7" t="s">
        <v>9254</v>
      </c>
      <c r="I868" s="119">
        <v>45292.0</v>
      </c>
      <c r="K868" s="7" t="s">
        <v>419</v>
      </c>
      <c r="L868" s="7" t="s">
        <v>991</v>
      </c>
      <c r="M868" s="7" t="s">
        <v>3531</v>
      </c>
      <c r="N868" s="7" t="s">
        <v>9255</v>
      </c>
      <c r="O868" s="7" t="s">
        <v>9256</v>
      </c>
      <c r="P868" s="7" t="s">
        <v>3522</v>
      </c>
      <c r="Q868" s="7" t="s">
        <v>3523</v>
      </c>
    </row>
    <row r="869">
      <c r="A869" s="7" t="s">
        <v>9257</v>
      </c>
      <c r="B869" s="7">
        <v>10603.0</v>
      </c>
      <c r="C869" s="7" t="s">
        <v>9258</v>
      </c>
      <c r="D869" s="7" t="s">
        <v>9259</v>
      </c>
      <c r="E869" s="7" t="s">
        <v>9252</v>
      </c>
      <c r="F869" s="7" t="s">
        <v>5433</v>
      </c>
      <c r="G869" s="7" t="s">
        <v>9260</v>
      </c>
      <c r="H869" s="7" t="s">
        <v>9261</v>
      </c>
      <c r="I869" s="119">
        <v>45292.0</v>
      </c>
      <c r="K869" s="7" t="s">
        <v>419</v>
      </c>
      <c r="L869" s="7" t="s">
        <v>991</v>
      </c>
      <c r="M869" s="7" t="s">
        <v>3501</v>
      </c>
      <c r="N869" s="7" t="s">
        <v>9262</v>
      </c>
      <c r="O869" s="7" t="s">
        <v>9263</v>
      </c>
      <c r="P869" s="7" t="s">
        <v>4420</v>
      </c>
      <c r="Q869" s="7" t="s">
        <v>3523</v>
      </c>
    </row>
    <row r="870">
      <c r="A870" s="7" t="s">
        <v>9264</v>
      </c>
      <c r="B870" s="7">
        <v>2200702.0</v>
      </c>
      <c r="C870" s="7" t="s">
        <v>9265</v>
      </c>
      <c r="D870" s="7" t="s">
        <v>9266</v>
      </c>
      <c r="E870" s="7" t="s">
        <v>9267</v>
      </c>
      <c r="F870" s="7" t="s">
        <v>5917</v>
      </c>
      <c r="G870" s="7" t="s">
        <v>9268</v>
      </c>
      <c r="H870" s="7" t="s">
        <v>9269</v>
      </c>
      <c r="I870" s="119">
        <v>45292.0</v>
      </c>
      <c r="K870" s="7" t="s">
        <v>4042</v>
      </c>
      <c r="L870" s="7" t="s">
        <v>991</v>
      </c>
      <c r="M870" s="7" t="s">
        <v>3501</v>
      </c>
      <c r="N870" s="7" t="s">
        <v>4043</v>
      </c>
      <c r="O870" s="7" t="s">
        <v>4044</v>
      </c>
      <c r="P870" s="7" t="s">
        <v>3493</v>
      </c>
      <c r="Q870" s="7">
        <v>1.0</v>
      </c>
    </row>
    <row r="871">
      <c r="A871" s="7" t="s">
        <v>1810</v>
      </c>
      <c r="B871" s="7">
        <v>76.0</v>
      </c>
      <c r="C871" s="7" t="s">
        <v>9270</v>
      </c>
      <c r="D871" s="7" t="s">
        <v>9271</v>
      </c>
      <c r="E871" s="7" t="s">
        <v>9272</v>
      </c>
      <c r="F871" s="7" t="s">
        <v>9273</v>
      </c>
      <c r="G871" s="7" t="s">
        <v>9274</v>
      </c>
      <c r="H871" s="7" t="s">
        <v>9275</v>
      </c>
      <c r="I871" s="119">
        <v>45292.0</v>
      </c>
      <c r="K871" s="7" t="s">
        <v>419</v>
      </c>
      <c r="L871" s="7" t="s">
        <v>991</v>
      </c>
      <c r="M871" s="7" t="s">
        <v>3501</v>
      </c>
      <c r="N871" s="7" t="s">
        <v>9276</v>
      </c>
      <c r="O871" s="7" t="s">
        <v>9277</v>
      </c>
      <c r="P871" s="7" t="s">
        <v>5585</v>
      </c>
      <c r="Q871" s="7">
        <v>1.0</v>
      </c>
    </row>
    <row r="872">
      <c r="A872" s="7" t="s">
        <v>9278</v>
      </c>
      <c r="B872" s="7">
        <v>11427.0</v>
      </c>
      <c r="C872" s="7" t="s">
        <v>9279</v>
      </c>
      <c r="D872" s="7" t="s">
        <v>9280</v>
      </c>
      <c r="E872" s="7" t="s">
        <v>9281</v>
      </c>
      <c r="F872" s="7" t="s">
        <v>8036</v>
      </c>
      <c r="G872" s="7" t="s">
        <v>9282</v>
      </c>
      <c r="H872" s="7" t="s">
        <v>9283</v>
      </c>
      <c r="I872" s="119">
        <v>45292.0</v>
      </c>
      <c r="K872" s="7" t="s">
        <v>419</v>
      </c>
      <c r="L872" s="7" t="s">
        <v>991</v>
      </c>
      <c r="M872" s="7" t="s">
        <v>3531</v>
      </c>
      <c r="N872" s="7" t="s">
        <v>3511</v>
      </c>
      <c r="O872" s="7" t="s">
        <v>7757</v>
      </c>
      <c r="P872" s="7" t="s">
        <v>3493</v>
      </c>
      <c r="Q872" s="7">
        <v>1.0</v>
      </c>
    </row>
    <row r="873">
      <c r="A873" s="7" t="s">
        <v>9284</v>
      </c>
      <c r="B873" s="7">
        <v>2200720.0</v>
      </c>
      <c r="C873" s="7" t="s">
        <v>9285</v>
      </c>
      <c r="D873" s="7" t="s">
        <v>9286</v>
      </c>
      <c r="E873" s="7" t="s">
        <v>9287</v>
      </c>
      <c r="F873" s="7" t="s">
        <v>4032</v>
      </c>
      <c r="G873" s="7" t="s">
        <v>9288</v>
      </c>
      <c r="H873" s="7" t="s">
        <v>9289</v>
      </c>
      <c r="I873" s="119">
        <v>45292.0</v>
      </c>
      <c r="K873" s="7" t="s">
        <v>4042</v>
      </c>
      <c r="L873" s="7" t="s">
        <v>991</v>
      </c>
      <c r="M873" s="7" t="s">
        <v>3531</v>
      </c>
      <c r="N873" s="7" t="s">
        <v>4043</v>
      </c>
      <c r="O873" s="7" t="s">
        <v>4044</v>
      </c>
      <c r="P873" s="7" t="s">
        <v>3493</v>
      </c>
      <c r="Q873" s="7">
        <v>1.0</v>
      </c>
    </row>
    <row r="874">
      <c r="A874" s="7" t="s">
        <v>9290</v>
      </c>
      <c r="B874" s="7">
        <v>2100634.0</v>
      </c>
      <c r="C874" s="7" t="s">
        <v>9291</v>
      </c>
      <c r="D874" s="7" t="s">
        <v>9292</v>
      </c>
      <c r="E874" s="7" t="s">
        <v>9293</v>
      </c>
      <c r="F874" s="7" t="s">
        <v>9294</v>
      </c>
      <c r="G874" s="7" t="s">
        <v>9295</v>
      </c>
      <c r="I874" s="119">
        <v>45292.0</v>
      </c>
      <c r="K874" s="7" t="s">
        <v>419</v>
      </c>
      <c r="L874" s="7" t="s">
        <v>991</v>
      </c>
      <c r="M874" s="7" t="s">
        <v>3531</v>
      </c>
      <c r="N874" s="7" t="s">
        <v>4103</v>
      </c>
      <c r="O874" s="7" t="s">
        <v>4104</v>
      </c>
      <c r="P874" s="7" t="s">
        <v>3493</v>
      </c>
      <c r="Q874" s="7">
        <v>1.0</v>
      </c>
    </row>
    <row r="875">
      <c r="A875" s="7" t="s">
        <v>9296</v>
      </c>
      <c r="B875" s="7">
        <v>13506.0</v>
      </c>
      <c r="C875" s="7" t="s">
        <v>9297</v>
      </c>
      <c r="D875" s="7" t="s">
        <v>9298</v>
      </c>
      <c r="E875" s="7" t="s">
        <v>9299</v>
      </c>
      <c r="F875" s="7" t="s">
        <v>9300</v>
      </c>
      <c r="G875" s="7" t="s">
        <v>9301</v>
      </c>
      <c r="H875" s="7" t="s">
        <v>9302</v>
      </c>
      <c r="I875" s="119">
        <v>45292.0</v>
      </c>
      <c r="K875" s="7" t="s">
        <v>419</v>
      </c>
      <c r="L875" s="7" t="s">
        <v>991</v>
      </c>
      <c r="M875" s="7" t="s">
        <v>3501</v>
      </c>
      <c r="N875" s="7" t="s">
        <v>5320</v>
      </c>
      <c r="O875" s="7" t="s">
        <v>5321</v>
      </c>
      <c r="P875" s="7" t="s">
        <v>3493</v>
      </c>
      <c r="Q875" s="7">
        <v>1.0</v>
      </c>
    </row>
    <row r="876">
      <c r="A876" s="7" t="s">
        <v>9303</v>
      </c>
      <c r="B876" s="7">
        <v>2300622.0</v>
      </c>
      <c r="C876" s="7" t="s">
        <v>9304</v>
      </c>
      <c r="D876" s="7" t="s">
        <v>9305</v>
      </c>
      <c r="E876" s="7" t="s">
        <v>9306</v>
      </c>
      <c r="F876" s="7" t="s">
        <v>9307</v>
      </c>
      <c r="G876" s="7" t="s">
        <v>9308</v>
      </c>
      <c r="H876" s="7" t="s">
        <v>9309</v>
      </c>
      <c r="I876" s="119">
        <v>45292.0</v>
      </c>
      <c r="K876" s="7" t="s">
        <v>419</v>
      </c>
      <c r="L876" s="7" t="s">
        <v>991</v>
      </c>
      <c r="M876" s="7" t="s">
        <v>3501</v>
      </c>
      <c r="N876" s="7" t="s">
        <v>5780</v>
      </c>
      <c r="O876" s="7" t="s">
        <v>5781</v>
      </c>
      <c r="P876" s="7" t="s">
        <v>3493</v>
      </c>
      <c r="Q876" s="7">
        <v>1.0</v>
      </c>
    </row>
    <row r="877">
      <c r="A877" s="7" t="s">
        <v>9310</v>
      </c>
      <c r="B877" s="7">
        <v>2300433.0</v>
      </c>
      <c r="C877" s="7" t="s">
        <v>9311</v>
      </c>
      <c r="D877" s="7" t="s">
        <v>9312</v>
      </c>
      <c r="E877" s="7" t="s">
        <v>9313</v>
      </c>
      <c r="F877" s="7" t="s">
        <v>9314</v>
      </c>
      <c r="G877" s="7" t="s">
        <v>9315</v>
      </c>
      <c r="H877" s="7" t="s">
        <v>9316</v>
      </c>
      <c r="I877" s="119">
        <v>45292.0</v>
      </c>
      <c r="K877" s="7" t="s">
        <v>9317</v>
      </c>
      <c r="L877" s="7" t="s">
        <v>9318</v>
      </c>
      <c r="M877" s="7" t="s">
        <v>9319</v>
      </c>
      <c r="N877" s="7" t="s">
        <v>4499</v>
      </c>
      <c r="O877" s="7" t="s">
        <v>9320</v>
      </c>
      <c r="P877" s="7" t="s">
        <v>3697</v>
      </c>
      <c r="Q877" s="7" t="s">
        <v>3710</v>
      </c>
    </row>
    <row r="878">
      <c r="A878" s="7" t="s">
        <v>2422</v>
      </c>
      <c r="B878" s="7">
        <v>2300014.0</v>
      </c>
      <c r="C878" s="7" t="s">
        <v>9321</v>
      </c>
      <c r="D878" s="7" t="s">
        <v>4632</v>
      </c>
      <c r="E878" s="7" t="s">
        <v>9322</v>
      </c>
      <c r="F878" s="7" t="s">
        <v>4632</v>
      </c>
      <c r="G878" s="7" t="s">
        <v>9323</v>
      </c>
      <c r="H878" s="7" t="s">
        <v>9324</v>
      </c>
      <c r="I878" s="119">
        <v>45292.0</v>
      </c>
      <c r="K878" s="7" t="s">
        <v>419</v>
      </c>
      <c r="L878" s="7" t="s">
        <v>991</v>
      </c>
      <c r="M878" s="7" t="s">
        <v>3501</v>
      </c>
      <c r="N878" s="7" t="s">
        <v>5218</v>
      </c>
      <c r="O878" s="7" t="s">
        <v>9325</v>
      </c>
      <c r="P878" s="7" t="s">
        <v>9326</v>
      </c>
      <c r="Q878" s="7" t="s">
        <v>9327</v>
      </c>
    </row>
    <row r="879">
      <c r="A879" s="7" t="s">
        <v>9328</v>
      </c>
      <c r="B879" s="7">
        <v>3000098.0</v>
      </c>
      <c r="C879" s="7" t="s">
        <v>9329</v>
      </c>
      <c r="D879" s="7" t="s">
        <v>8948</v>
      </c>
      <c r="E879" s="7" t="s">
        <v>9330</v>
      </c>
      <c r="F879" s="7" t="s">
        <v>8756</v>
      </c>
      <c r="G879" s="7" t="s">
        <v>9331</v>
      </c>
      <c r="H879" s="7" t="s">
        <v>9332</v>
      </c>
      <c r="I879" s="119">
        <v>45474.0</v>
      </c>
      <c r="K879" s="7" t="s">
        <v>419</v>
      </c>
      <c r="L879" s="7" t="s">
        <v>991</v>
      </c>
      <c r="M879" s="7" t="s">
        <v>3490</v>
      </c>
      <c r="N879" s="7" t="s">
        <v>8132</v>
      </c>
      <c r="O879" s="7" t="s">
        <v>8133</v>
      </c>
      <c r="P879" s="7" t="s">
        <v>3697</v>
      </c>
      <c r="Q879" s="7" t="s">
        <v>8134</v>
      </c>
    </row>
    <row r="880">
      <c r="A880" s="7" t="s">
        <v>9333</v>
      </c>
      <c r="B880" s="7">
        <v>14330.0</v>
      </c>
      <c r="C880" s="7" t="s">
        <v>9334</v>
      </c>
      <c r="D880" s="7" t="s">
        <v>4943</v>
      </c>
      <c r="E880" s="7" t="s">
        <v>9335</v>
      </c>
      <c r="F880" s="7" t="s">
        <v>3792</v>
      </c>
      <c r="G880" s="7" t="s">
        <v>9336</v>
      </c>
      <c r="H880" s="7" t="s">
        <v>9337</v>
      </c>
      <c r="I880" s="119">
        <v>45292.0</v>
      </c>
      <c r="K880" s="7" t="s">
        <v>419</v>
      </c>
      <c r="L880" s="7" t="s">
        <v>991</v>
      </c>
      <c r="M880" s="7" t="s">
        <v>3501</v>
      </c>
      <c r="N880" s="7" t="s">
        <v>5298</v>
      </c>
      <c r="O880" s="7" t="s">
        <v>8002</v>
      </c>
      <c r="P880" s="7" t="s">
        <v>3604</v>
      </c>
      <c r="Q880" s="7">
        <v>1.0</v>
      </c>
    </row>
    <row r="881">
      <c r="A881" s="7" t="s">
        <v>9338</v>
      </c>
      <c r="B881" s="7">
        <v>2200583.0</v>
      </c>
      <c r="C881" s="7" t="s">
        <v>9339</v>
      </c>
      <c r="D881" s="7" t="s">
        <v>9340</v>
      </c>
      <c r="E881" s="7" t="s">
        <v>9341</v>
      </c>
      <c r="F881" s="7" t="s">
        <v>5752</v>
      </c>
      <c r="G881" s="7" t="s">
        <v>9342</v>
      </c>
      <c r="H881" s="7" t="s">
        <v>9343</v>
      </c>
      <c r="I881" s="119">
        <v>45292.0</v>
      </c>
      <c r="K881" s="7" t="s">
        <v>3622</v>
      </c>
      <c r="L881" s="7" t="s">
        <v>991</v>
      </c>
      <c r="M881" s="7" t="s">
        <v>3501</v>
      </c>
      <c r="N881" s="7" t="s">
        <v>3623</v>
      </c>
      <c r="O881" s="7" t="s">
        <v>3624</v>
      </c>
      <c r="P881" s="7" t="s">
        <v>3493</v>
      </c>
      <c r="Q881" s="7">
        <v>1.0</v>
      </c>
    </row>
    <row r="882">
      <c r="A882" s="7" t="s">
        <v>9344</v>
      </c>
      <c r="B882" s="7">
        <v>2300277.0</v>
      </c>
      <c r="C882" s="7" t="s">
        <v>9339</v>
      </c>
      <c r="D882" s="7" t="s">
        <v>9345</v>
      </c>
      <c r="E882" s="7" t="s">
        <v>9341</v>
      </c>
      <c r="F882" s="7" t="s">
        <v>3714</v>
      </c>
      <c r="G882" s="7" t="s">
        <v>9346</v>
      </c>
      <c r="H882" s="7" t="s">
        <v>9347</v>
      </c>
      <c r="I882" s="119">
        <v>45292.0</v>
      </c>
      <c r="K882" s="7" t="s">
        <v>419</v>
      </c>
      <c r="L882" s="7" t="s">
        <v>991</v>
      </c>
      <c r="M882" s="7" t="s">
        <v>3583</v>
      </c>
      <c r="N882" s="7" t="s">
        <v>4535</v>
      </c>
      <c r="O882" s="7" t="s">
        <v>4536</v>
      </c>
      <c r="P882" s="7" t="s">
        <v>3493</v>
      </c>
      <c r="Q882" s="7">
        <v>1.0</v>
      </c>
    </row>
    <row r="883">
      <c r="A883" s="7" t="s">
        <v>9348</v>
      </c>
      <c r="B883" s="7">
        <v>2100655.0</v>
      </c>
      <c r="C883" s="7" t="s">
        <v>9349</v>
      </c>
      <c r="D883" s="7" t="s">
        <v>9350</v>
      </c>
      <c r="E883" s="7" t="s">
        <v>9351</v>
      </c>
      <c r="F883" s="7" t="s">
        <v>9352</v>
      </c>
      <c r="G883" s="7" t="s">
        <v>9353</v>
      </c>
      <c r="H883" s="7" t="s">
        <v>9354</v>
      </c>
      <c r="I883" s="119">
        <v>45292.0</v>
      </c>
      <c r="K883" s="7" t="s">
        <v>419</v>
      </c>
      <c r="L883" s="7" t="s">
        <v>991</v>
      </c>
      <c r="M883" s="7" t="s">
        <v>3501</v>
      </c>
      <c r="N883" s="7" t="s">
        <v>7457</v>
      </c>
      <c r="O883" s="7" t="s">
        <v>9355</v>
      </c>
      <c r="P883" s="7" t="s">
        <v>3604</v>
      </c>
      <c r="Q883" s="7">
        <v>1.0</v>
      </c>
    </row>
    <row r="884">
      <c r="A884" s="7" t="s">
        <v>9356</v>
      </c>
      <c r="B884" s="7">
        <v>444.0</v>
      </c>
      <c r="C884" s="7" t="s">
        <v>9357</v>
      </c>
      <c r="D884" s="7" t="s">
        <v>7572</v>
      </c>
      <c r="E884" s="7" t="s">
        <v>9358</v>
      </c>
      <c r="F884" s="7" t="s">
        <v>7574</v>
      </c>
      <c r="G884" s="7" t="s">
        <v>9359</v>
      </c>
      <c r="H884" s="7" t="s">
        <v>9360</v>
      </c>
      <c r="I884" s="119">
        <v>45292.0</v>
      </c>
      <c r="K884" s="7" t="s">
        <v>419</v>
      </c>
      <c r="L884" s="7" t="s">
        <v>991</v>
      </c>
      <c r="M884" s="7" t="s">
        <v>3501</v>
      </c>
      <c r="N884" s="7" t="s">
        <v>9361</v>
      </c>
      <c r="O884" s="7" t="s">
        <v>9362</v>
      </c>
      <c r="P884" s="7" t="s">
        <v>3522</v>
      </c>
      <c r="Q884" s="7" t="s">
        <v>3514</v>
      </c>
    </row>
    <row r="885">
      <c r="A885" s="7" t="s">
        <v>9363</v>
      </c>
      <c r="B885" s="7">
        <v>2300727.0</v>
      </c>
      <c r="C885" s="7" t="s">
        <v>9364</v>
      </c>
      <c r="D885" s="7" t="s">
        <v>9365</v>
      </c>
      <c r="E885" s="7" t="s">
        <v>9366</v>
      </c>
      <c r="F885" s="7" t="s">
        <v>9367</v>
      </c>
      <c r="G885" s="7" t="s">
        <v>9368</v>
      </c>
      <c r="H885" s="7" t="s">
        <v>9369</v>
      </c>
      <c r="I885" s="119">
        <v>45292.0</v>
      </c>
      <c r="K885" s="7" t="s">
        <v>419</v>
      </c>
      <c r="L885" s="7" t="s">
        <v>991</v>
      </c>
      <c r="M885" s="7" t="s">
        <v>3501</v>
      </c>
      <c r="N885" s="7" t="s">
        <v>4994</v>
      </c>
      <c r="O885" s="7" t="s">
        <v>4995</v>
      </c>
      <c r="P885" s="7" t="s">
        <v>3843</v>
      </c>
      <c r="Q885" s="7">
        <v>1.0</v>
      </c>
    </row>
    <row r="886">
      <c r="A886" s="7" t="s">
        <v>9370</v>
      </c>
      <c r="B886" s="7">
        <v>871.0</v>
      </c>
      <c r="C886" s="7" t="s">
        <v>9371</v>
      </c>
      <c r="D886" s="7" t="s">
        <v>9372</v>
      </c>
      <c r="E886" s="7" t="s">
        <v>9373</v>
      </c>
      <c r="F886" s="7" t="s">
        <v>9374</v>
      </c>
      <c r="G886" s="7" t="s">
        <v>9375</v>
      </c>
      <c r="H886" s="7" t="s">
        <v>9376</v>
      </c>
      <c r="I886" s="119">
        <v>45292.0</v>
      </c>
      <c r="K886" s="7" t="s">
        <v>419</v>
      </c>
      <c r="L886" s="7" t="s">
        <v>991</v>
      </c>
      <c r="M886" s="7" t="s">
        <v>3501</v>
      </c>
      <c r="N886" s="7" t="s">
        <v>4834</v>
      </c>
      <c r="O886" s="7" t="s">
        <v>4835</v>
      </c>
      <c r="P886" s="7" t="s">
        <v>3493</v>
      </c>
      <c r="Q886" s="7">
        <v>1.0</v>
      </c>
    </row>
    <row r="887">
      <c r="A887" s="7" t="s">
        <v>9377</v>
      </c>
      <c r="B887" s="7">
        <v>12811.0</v>
      </c>
      <c r="C887" s="7" t="s">
        <v>9378</v>
      </c>
      <c r="D887" s="7" t="s">
        <v>9379</v>
      </c>
      <c r="E887" s="7" t="s">
        <v>9380</v>
      </c>
      <c r="F887" s="7" t="s">
        <v>9381</v>
      </c>
      <c r="G887" s="7" t="s">
        <v>9382</v>
      </c>
      <c r="H887" s="7" t="s">
        <v>9383</v>
      </c>
      <c r="I887" s="119">
        <v>45292.0</v>
      </c>
      <c r="J887" s="7" t="s">
        <v>4216</v>
      </c>
      <c r="K887" s="7" t="s">
        <v>419</v>
      </c>
      <c r="L887" s="7" t="s">
        <v>991</v>
      </c>
      <c r="M887" s="7" t="s">
        <v>3490</v>
      </c>
      <c r="N887" s="7" t="s">
        <v>3899</v>
      </c>
      <c r="O887" s="7" t="s">
        <v>9384</v>
      </c>
      <c r="P887" s="7" t="s">
        <v>3697</v>
      </c>
      <c r="Q887" s="7" t="s">
        <v>8134</v>
      </c>
    </row>
    <row r="888">
      <c r="A888" s="7" t="s">
        <v>9385</v>
      </c>
      <c r="B888" s="7">
        <v>2300209.0</v>
      </c>
      <c r="C888" s="7" t="s">
        <v>9386</v>
      </c>
      <c r="D888" s="7" t="s">
        <v>9387</v>
      </c>
      <c r="E888" s="7" t="s">
        <v>9388</v>
      </c>
      <c r="F888" s="7" t="s">
        <v>6253</v>
      </c>
      <c r="G888" s="7" t="s">
        <v>9389</v>
      </c>
      <c r="H888" s="7" t="s">
        <v>9390</v>
      </c>
      <c r="I888" s="119">
        <v>45292.0</v>
      </c>
      <c r="K888" s="7" t="s">
        <v>4042</v>
      </c>
      <c r="L888" s="7" t="s">
        <v>991</v>
      </c>
      <c r="M888" s="7" t="s">
        <v>3531</v>
      </c>
      <c r="N888" s="7" t="s">
        <v>4043</v>
      </c>
      <c r="O888" s="7" t="s">
        <v>4044</v>
      </c>
      <c r="P888" s="7" t="s">
        <v>3493</v>
      </c>
      <c r="Q888" s="7">
        <v>1.0</v>
      </c>
    </row>
    <row r="889">
      <c r="A889" s="7" t="s">
        <v>9391</v>
      </c>
      <c r="B889" s="7">
        <v>1022.0</v>
      </c>
      <c r="C889" s="7" t="s">
        <v>9392</v>
      </c>
      <c r="D889" s="7" t="s">
        <v>9393</v>
      </c>
      <c r="E889" s="7" t="s">
        <v>9394</v>
      </c>
      <c r="F889" s="7" t="s">
        <v>3986</v>
      </c>
      <c r="G889" s="7" t="s">
        <v>9395</v>
      </c>
      <c r="H889" s="7" t="s">
        <v>9396</v>
      </c>
      <c r="I889" s="119">
        <v>45292.0</v>
      </c>
      <c r="K889" s="7" t="s">
        <v>419</v>
      </c>
      <c r="L889" s="7" t="s">
        <v>991</v>
      </c>
      <c r="M889" s="7" t="s">
        <v>3501</v>
      </c>
      <c r="N889" s="7" t="s">
        <v>9397</v>
      </c>
      <c r="O889" s="7" t="s">
        <v>9398</v>
      </c>
      <c r="P889" s="7" t="s">
        <v>3522</v>
      </c>
      <c r="Q889" s="7" t="s">
        <v>3523</v>
      </c>
    </row>
    <row r="890">
      <c r="A890" s="7" t="s">
        <v>9399</v>
      </c>
      <c r="B890" s="7">
        <v>2200258.0</v>
      </c>
      <c r="C890" s="7" t="s">
        <v>9400</v>
      </c>
      <c r="D890" s="7" t="s">
        <v>9401</v>
      </c>
      <c r="E890" s="7" t="s">
        <v>9402</v>
      </c>
      <c r="F890" s="7" t="s">
        <v>9403</v>
      </c>
      <c r="G890" s="7" t="s">
        <v>9404</v>
      </c>
      <c r="H890" s="7" t="s">
        <v>9405</v>
      </c>
      <c r="I890" s="119">
        <v>45292.0</v>
      </c>
      <c r="K890" s="7" t="s">
        <v>419</v>
      </c>
      <c r="L890" s="7" t="s">
        <v>991</v>
      </c>
      <c r="M890" s="7" t="s">
        <v>3866</v>
      </c>
      <c r="N890" s="7" t="s">
        <v>3920</v>
      </c>
      <c r="O890" s="7" t="s">
        <v>3921</v>
      </c>
      <c r="P890" s="7" t="s">
        <v>3493</v>
      </c>
      <c r="Q890" s="7">
        <v>1.0</v>
      </c>
    </row>
    <row r="891">
      <c r="A891" s="7" t="s">
        <v>9406</v>
      </c>
      <c r="B891" s="7">
        <v>988.0</v>
      </c>
      <c r="C891" s="7" t="s">
        <v>9407</v>
      </c>
      <c r="D891" s="7" t="s">
        <v>9408</v>
      </c>
      <c r="E891" s="7" t="s">
        <v>9409</v>
      </c>
      <c r="F891" s="7" t="s">
        <v>6253</v>
      </c>
      <c r="G891" s="7" t="s">
        <v>9410</v>
      </c>
      <c r="H891" s="7" t="s">
        <v>9411</v>
      </c>
      <c r="I891" s="119">
        <v>45292.0</v>
      </c>
      <c r="K891" s="7" t="s">
        <v>419</v>
      </c>
      <c r="L891" s="7" t="s">
        <v>991</v>
      </c>
      <c r="M891" s="7" t="s">
        <v>3501</v>
      </c>
      <c r="N891" s="7" t="s">
        <v>3858</v>
      </c>
      <c r="O891" s="7" t="s">
        <v>3859</v>
      </c>
      <c r="P891" s="7" t="s">
        <v>3522</v>
      </c>
      <c r="Q891" s="7" t="s">
        <v>3523</v>
      </c>
    </row>
    <row r="892">
      <c r="A892" s="7" t="s">
        <v>9412</v>
      </c>
      <c r="B892" s="7">
        <v>11943.0</v>
      </c>
      <c r="C892" s="7" t="s">
        <v>9413</v>
      </c>
      <c r="D892" s="7" t="s">
        <v>9414</v>
      </c>
      <c r="E892" s="7" t="s">
        <v>9415</v>
      </c>
      <c r="F892" s="7" t="s">
        <v>5224</v>
      </c>
      <c r="G892" s="7" t="s">
        <v>9416</v>
      </c>
      <c r="H892" s="7" t="s">
        <v>9417</v>
      </c>
      <c r="I892" s="119">
        <v>45292.0</v>
      </c>
      <c r="K892" s="7" t="s">
        <v>419</v>
      </c>
      <c r="L892" s="7" t="s">
        <v>991</v>
      </c>
      <c r="M892" s="7" t="s">
        <v>3501</v>
      </c>
      <c r="N892" s="7" t="s">
        <v>3920</v>
      </c>
      <c r="O892" s="7" t="s">
        <v>3921</v>
      </c>
      <c r="P892" s="7" t="s">
        <v>3493</v>
      </c>
      <c r="Q892" s="7">
        <v>1.0</v>
      </c>
    </row>
    <row r="893">
      <c r="A893" s="7" t="s">
        <v>1469</v>
      </c>
      <c r="B893" s="7">
        <v>40.0</v>
      </c>
      <c r="C893" s="7" t="s">
        <v>9418</v>
      </c>
      <c r="D893" s="7" t="s">
        <v>4672</v>
      </c>
      <c r="E893" s="7" t="s">
        <v>9419</v>
      </c>
      <c r="F893" s="7" t="s">
        <v>4673</v>
      </c>
      <c r="G893" s="7" t="s">
        <v>9420</v>
      </c>
      <c r="H893" s="7" t="s">
        <v>9421</v>
      </c>
      <c r="I893" s="119">
        <v>45292.0</v>
      </c>
      <c r="K893" s="7" t="s">
        <v>419</v>
      </c>
      <c r="L893" s="7" t="s">
        <v>991</v>
      </c>
      <c r="M893" s="7" t="s">
        <v>3501</v>
      </c>
      <c r="N893" s="7" t="s">
        <v>9422</v>
      </c>
      <c r="O893" s="7" t="s">
        <v>9423</v>
      </c>
      <c r="P893" s="7" t="s">
        <v>9424</v>
      </c>
      <c r="Q893" s="7" t="s">
        <v>4552</v>
      </c>
    </row>
    <row r="894">
      <c r="A894" s="7" t="s">
        <v>9425</v>
      </c>
      <c r="B894" s="7">
        <v>12446.0</v>
      </c>
      <c r="C894" s="7" t="s">
        <v>9426</v>
      </c>
      <c r="D894" s="7" t="s">
        <v>9427</v>
      </c>
      <c r="E894" s="7" t="s">
        <v>9428</v>
      </c>
      <c r="F894" s="7" t="s">
        <v>9429</v>
      </c>
      <c r="G894" s="7" t="s">
        <v>9430</v>
      </c>
      <c r="H894" s="7" t="s">
        <v>9431</v>
      </c>
      <c r="I894" s="119">
        <v>45292.0</v>
      </c>
      <c r="K894" s="7" t="s">
        <v>419</v>
      </c>
      <c r="L894" s="7" t="s">
        <v>991</v>
      </c>
      <c r="M894" s="7" t="s">
        <v>3501</v>
      </c>
      <c r="N894" s="7" t="s">
        <v>7551</v>
      </c>
      <c r="O894" s="7" t="s">
        <v>7552</v>
      </c>
      <c r="P894" s="7" t="s">
        <v>3493</v>
      </c>
      <c r="Q894" s="7">
        <v>1.0</v>
      </c>
    </row>
    <row r="895">
      <c r="A895" s="7" t="s">
        <v>9432</v>
      </c>
      <c r="B895" s="7">
        <v>10015.0</v>
      </c>
      <c r="C895" s="7" t="s">
        <v>9433</v>
      </c>
      <c r="D895" s="7" t="s">
        <v>9434</v>
      </c>
      <c r="E895" s="7" t="s">
        <v>9435</v>
      </c>
      <c r="F895" s="7" t="s">
        <v>7401</v>
      </c>
      <c r="G895" s="7" t="s">
        <v>9436</v>
      </c>
      <c r="H895" s="7" t="s">
        <v>9437</v>
      </c>
      <c r="I895" s="119">
        <v>45292.0</v>
      </c>
      <c r="K895" s="7" t="s">
        <v>419</v>
      </c>
      <c r="L895" s="7" t="s">
        <v>991</v>
      </c>
      <c r="M895" s="7" t="s">
        <v>3501</v>
      </c>
      <c r="N895" s="7" t="s">
        <v>8664</v>
      </c>
      <c r="O895" s="7" t="s">
        <v>8665</v>
      </c>
      <c r="P895" s="7" t="s">
        <v>3493</v>
      </c>
      <c r="Q895" s="7">
        <v>1.0</v>
      </c>
    </row>
    <row r="896">
      <c r="A896" s="7" t="s">
        <v>9438</v>
      </c>
      <c r="B896" s="7">
        <v>13668.0</v>
      </c>
      <c r="C896" s="7" t="s">
        <v>9433</v>
      </c>
      <c r="D896" s="7" t="s">
        <v>9439</v>
      </c>
      <c r="E896" s="7" t="s">
        <v>9435</v>
      </c>
      <c r="F896" s="7" t="s">
        <v>7237</v>
      </c>
      <c r="G896" s="7" t="s">
        <v>9440</v>
      </c>
      <c r="H896" s="7" t="s">
        <v>9441</v>
      </c>
      <c r="I896" s="119">
        <v>45292.0</v>
      </c>
      <c r="K896" s="7" t="s">
        <v>3632</v>
      </c>
      <c r="L896" s="7" t="s">
        <v>991</v>
      </c>
      <c r="M896" s="7" t="s">
        <v>3501</v>
      </c>
      <c r="N896" s="7" t="s">
        <v>9442</v>
      </c>
      <c r="O896" s="7" t="s">
        <v>9443</v>
      </c>
      <c r="P896" s="7" t="s">
        <v>3522</v>
      </c>
      <c r="Q896" s="7" t="s">
        <v>3523</v>
      </c>
    </row>
    <row r="897">
      <c r="A897" s="7" t="s">
        <v>9444</v>
      </c>
      <c r="B897" s="7">
        <v>14065.0</v>
      </c>
      <c r="C897" s="7" t="s">
        <v>9445</v>
      </c>
      <c r="D897" s="7" t="s">
        <v>9446</v>
      </c>
      <c r="E897" s="7" t="s">
        <v>6053</v>
      </c>
      <c r="F897" s="7" t="s">
        <v>4937</v>
      </c>
      <c r="G897" s="7" t="s">
        <v>9447</v>
      </c>
      <c r="H897" s="7" t="s">
        <v>9448</v>
      </c>
      <c r="I897" s="119">
        <v>45292.0</v>
      </c>
      <c r="K897" s="7" t="s">
        <v>6681</v>
      </c>
      <c r="L897" s="7" t="s">
        <v>3542</v>
      </c>
      <c r="M897" s="7" t="s">
        <v>4383</v>
      </c>
      <c r="N897" s="7" t="s">
        <v>4499</v>
      </c>
      <c r="O897" s="7" t="s">
        <v>9449</v>
      </c>
      <c r="P897" s="7" t="s">
        <v>9450</v>
      </c>
      <c r="Q897" s="7" t="s">
        <v>9451</v>
      </c>
    </row>
    <row r="898">
      <c r="A898" s="7" t="s">
        <v>9452</v>
      </c>
      <c r="B898" s="7">
        <v>782.0</v>
      </c>
      <c r="C898" s="7" t="s">
        <v>9453</v>
      </c>
      <c r="D898" s="7" t="s">
        <v>9454</v>
      </c>
      <c r="E898" s="7" t="s">
        <v>9455</v>
      </c>
      <c r="F898" s="7" t="s">
        <v>9456</v>
      </c>
      <c r="G898" s="7" t="s">
        <v>9457</v>
      </c>
      <c r="H898" s="7" t="s">
        <v>9458</v>
      </c>
      <c r="I898" s="119">
        <v>45292.0</v>
      </c>
      <c r="K898" s="7" t="s">
        <v>419</v>
      </c>
      <c r="L898" s="7" t="s">
        <v>991</v>
      </c>
      <c r="M898" s="7" t="s">
        <v>3501</v>
      </c>
      <c r="N898" s="7" t="s">
        <v>3695</v>
      </c>
      <c r="O898" s="7" t="s">
        <v>9459</v>
      </c>
      <c r="P898" s="7" t="s">
        <v>4163</v>
      </c>
      <c r="Q898" s="7" t="s">
        <v>3523</v>
      </c>
    </row>
    <row r="899">
      <c r="A899" s="7" t="s">
        <v>9460</v>
      </c>
      <c r="B899" s="7">
        <v>197.0</v>
      </c>
      <c r="C899" s="7" t="s">
        <v>9461</v>
      </c>
      <c r="D899" s="7" t="s">
        <v>9462</v>
      </c>
      <c r="E899" s="7" t="s">
        <v>9463</v>
      </c>
      <c r="F899" s="7" t="s">
        <v>9464</v>
      </c>
      <c r="G899" s="7" t="s">
        <v>9465</v>
      </c>
      <c r="H899" s="7" t="s">
        <v>9466</v>
      </c>
      <c r="I899" s="119">
        <v>45292.0</v>
      </c>
      <c r="K899" s="7" t="s">
        <v>419</v>
      </c>
      <c r="L899" s="7" t="s">
        <v>991</v>
      </c>
      <c r="M899" s="7" t="s">
        <v>3501</v>
      </c>
      <c r="N899" s="7" t="s">
        <v>3920</v>
      </c>
      <c r="O899" s="7" t="s">
        <v>3921</v>
      </c>
      <c r="P899" s="7" t="s">
        <v>3493</v>
      </c>
      <c r="Q899" s="7">
        <v>1.0</v>
      </c>
    </row>
    <row r="900">
      <c r="A900" s="7" t="s">
        <v>9467</v>
      </c>
      <c r="B900" s="7">
        <v>2100354.0</v>
      </c>
      <c r="C900" s="7" t="s">
        <v>9468</v>
      </c>
      <c r="D900" s="7" t="s">
        <v>9469</v>
      </c>
      <c r="E900" s="7" t="s">
        <v>9470</v>
      </c>
      <c r="F900" s="7" t="s">
        <v>9471</v>
      </c>
      <c r="G900" s="7" t="s">
        <v>9472</v>
      </c>
      <c r="H900" s="7" t="s">
        <v>9473</v>
      </c>
      <c r="I900" s="119">
        <v>45292.0</v>
      </c>
      <c r="K900" s="7" t="s">
        <v>419</v>
      </c>
      <c r="L900" s="7" t="s">
        <v>991</v>
      </c>
      <c r="M900" s="7" t="s">
        <v>3501</v>
      </c>
      <c r="N900" s="7" t="s">
        <v>3574</v>
      </c>
      <c r="O900" s="7" t="s">
        <v>7225</v>
      </c>
      <c r="P900" s="7" t="s">
        <v>3493</v>
      </c>
      <c r="Q900" s="7">
        <v>1.0</v>
      </c>
    </row>
    <row r="901">
      <c r="A901" s="7" t="s">
        <v>9474</v>
      </c>
      <c r="B901" s="7">
        <v>710.0</v>
      </c>
      <c r="C901" s="7" t="s">
        <v>9475</v>
      </c>
      <c r="D901" s="7" t="s">
        <v>8975</v>
      </c>
      <c r="E901" s="7" t="s">
        <v>9476</v>
      </c>
      <c r="F901" s="7" t="s">
        <v>4967</v>
      </c>
      <c r="G901" s="7" t="s">
        <v>9477</v>
      </c>
      <c r="H901" s="7" t="s">
        <v>9478</v>
      </c>
      <c r="I901" s="119">
        <v>45292.0</v>
      </c>
      <c r="K901" s="7" t="s">
        <v>419</v>
      </c>
      <c r="L901" s="7" t="s">
        <v>991</v>
      </c>
      <c r="M901" s="7" t="s">
        <v>3501</v>
      </c>
      <c r="N901" s="7" t="s">
        <v>7974</v>
      </c>
      <c r="O901" s="7" t="s">
        <v>7975</v>
      </c>
      <c r="P901" s="7" t="s">
        <v>3493</v>
      </c>
      <c r="Q901" s="7">
        <v>1.0</v>
      </c>
    </row>
    <row r="902">
      <c r="A902" s="7" t="s">
        <v>9479</v>
      </c>
      <c r="B902" s="7">
        <v>2200219.0</v>
      </c>
      <c r="C902" s="7" t="s">
        <v>9480</v>
      </c>
      <c r="D902" s="7" t="s">
        <v>9481</v>
      </c>
      <c r="E902" s="7" t="s">
        <v>9482</v>
      </c>
      <c r="F902" s="7" t="s">
        <v>5426</v>
      </c>
      <c r="G902" s="7" t="s">
        <v>9483</v>
      </c>
      <c r="H902" s="7" t="s">
        <v>9484</v>
      </c>
      <c r="I902" s="119">
        <v>45292.0</v>
      </c>
      <c r="K902" s="7" t="s">
        <v>419</v>
      </c>
      <c r="L902" s="7" t="s">
        <v>991</v>
      </c>
      <c r="M902" s="7" t="s">
        <v>3501</v>
      </c>
      <c r="N902" s="7" t="s">
        <v>9485</v>
      </c>
      <c r="O902" s="7" t="s">
        <v>9486</v>
      </c>
      <c r="P902" s="7" t="s">
        <v>3522</v>
      </c>
      <c r="Q902" s="7" t="s">
        <v>3523</v>
      </c>
    </row>
    <row r="903">
      <c r="A903" s="7" t="s">
        <v>9487</v>
      </c>
      <c r="B903" s="7">
        <v>2300457.0</v>
      </c>
      <c r="C903" s="7" t="s">
        <v>9488</v>
      </c>
      <c r="D903" s="7" t="s">
        <v>9489</v>
      </c>
      <c r="E903" s="7" t="s">
        <v>9482</v>
      </c>
      <c r="F903" s="7" t="s">
        <v>9490</v>
      </c>
      <c r="G903" s="7" t="s">
        <v>9491</v>
      </c>
      <c r="H903" s="7" t="s">
        <v>9492</v>
      </c>
      <c r="I903" s="119">
        <v>45292.0</v>
      </c>
      <c r="K903" s="7" t="s">
        <v>419</v>
      </c>
      <c r="L903" s="7" t="s">
        <v>991</v>
      </c>
      <c r="M903" s="7" t="s">
        <v>3531</v>
      </c>
      <c r="N903" s="7" t="s">
        <v>3742</v>
      </c>
      <c r="O903" s="7" t="s">
        <v>3743</v>
      </c>
      <c r="P903" s="7" t="s">
        <v>3493</v>
      </c>
      <c r="Q903" s="7">
        <v>1.0</v>
      </c>
    </row>
    <row r="904">
      <c r="A904" s="7" t="s">
        <v>9493</v>
      </c>
      <c r="B904" s="7">
        <v>2200614.0</v>
      </c>
      <c r="C904" s="7" t="s">
        <v>9494</v>
      </c>
      <c r="D904" s="7" t="s">
        <v>5772</v>
      </c>
      <c r="E904" s="7" t="s">
        <v>9495</v>
      </c>
      <c r="F904" s="7" t="s">
        <v>5107</v>
      </c>
      <c r="G904" s="7" t="s">
        <v>9496</v>
      </c>
      <c r="I904" s="119">
        <v>45292.0</v>
      </c>
      <c r="K904" s="7" t="s">
        <v>419</v>
      </c>
      <c r="L904" s="7" t="s">
        <v>991</v>
      </c>
      <c r="M904" s="7" t="s">
        <v>3531</v>
      </c>
      <c r="N904" s="7" t="s">
        <v>3820</v>
      </c>
      <c r="O904" s="7" t="s">
        <v>3821</v>
      </c>
      <c r="P904" s="7" t="s">
        <v>3493</v>
      </c>
      <c r="Q904" s="7">
        <v>1.0</v>
      </c>
    </row>
    <row r="905">
      <c r="A905" s="7" t="s">
        <v>9497</v>
      </c>
      <c r="B905" s="7">
        <v>10998.0</v>
      </c>
      <c r="C905" s="7" t="s">
        <v>9498</v>
      </c>
      <c r="D905" s="7" t="s">
        <v>9499</v>
      </c>
      <c r="E905" s="7" t="s">
        <v>9500</v>
      </c>
      <c r="F905" s="7" t="s">
        <v>9501</v>
      </c>
      <c r="G905" s="7" t="s">
        <v>9502</v>
      </c>
      <c r="H905" s="7" t="s">
        <v>9503</v>
      </c>
      <c r="I905" s="119">
        <v>45292.0</v>
      </c>
      <c r="J905" s="7" t="s">
        <v>4216</v>
      </c>
      <c r="K905" s="7" t="s">
        <v>419</v>
      </c>
      <c r="L905" s="7" t="s">
        <v>991</v>
      </c>
      <c r="M905" s="7" t="s">
        <v>3501</v>
      </c>
      <c r="N905" s="7" t="s">
        <v>4528</v>
      </c>
      <c r="O905" s="7" t="s">
        <v>4529</v>
      </c>
      <c r="P905" s="7" t="s">
        <v>4154</v>
      </c>
      <c r="Q905" s="7" t="s">
        <v>3566</v>
      </c>
    </row>
    <row r="906">
      <c r="A906" s="7" t="s">
        <v>9504</v>
      </c>
      <c r="B906" s="7">
        <v>2100427.0</v>
      </c>
      <c r="C906" s="7" t="s">
        <v>9505</v>
      </c>
      <c r="D906" s="7" t="s">
        <v>9506</v>
      </c>
      <c r="E906" s="7" t="s">
        <v>9500</v>
      </c>
      <c r="F906" s="7" t="s">
        <v>6202</v>
      </c>
      <c r="G906" s="7" t="s">
        <v>9507</v>
      </c>
      <c r="H906" s="7" t="s">
        <v>9508</v>
      </c>
      <c r="I906" s="119">
        <v>45292.0</v>
      </c>
      <c r="K906" s="7" t="s">
        <v>419</v>
      </c>
      <c r="L906" s="7" t="s">
        <v>991</v>
      </c>
      <c r="M906" s="7" t="s">
        <v>3531</v>
      </c>
      <c r="N906" s="7" t="s">
        <v>6487</v>
      </c>
      <c r="O906" s="7" t="s">
        <v>6534</v>
      </c>
      <c r="P906" s="7" t="s">
        <v>3493</v>
      </c>
      <c r="Q906" s="7">
        <v>1.0</v>
      </c>
    </row>
    <row r="907">
      <c r="A907" s="7" t="s">
        <v>9509</v>
      </c>
      <c r="B907" s="7">
        <v>2300379.0</v>
      </c>
      <c r="C907" s="7" t="s">
        <v>9510</v>
      </c>
      <c r="D907" s="7" t="s">
        <v>9511</v>
      </c>
      <c r="E907" s="7" t="s">
        <v>9512</v>
      </c>
      <c r="F907" s="7" t="s">
        <v>9513</v>
      </c>
      <c r="G907" s="7" t="s">
        <v>9514</v>
      </c>
      <c r="H907" s="7" t="s">
        <v>9515</v>
      </c>
      <c r="I907" s="119">
        <v>45292.0</v>
      </c>
      <c r="K907" s="7" t="s">
        <v>419</v>
      </c>
      <c r="L907" s="7" t="s">
        <v>991</v>
      </c>
      <c r="M907" s="7" t="s">
        <v>3531</v>
      </c>
      <c r="N907" s="7" t="s">
        <v>4096</v>
      </c>
      <c r="O907" s="7" t="s">
        <v>4097</v>
      </c>
      <c r="P907" s="7" t="s">
        <v>3493</v>
      </c>
      <c r="Q907" s="7">
        <v>1.0</v>
      </c>
    </row>
    <row r="908">
      <c r="A908" s="7" t="s">
        <v>9516</v>
      </c>
      <c r="B908" s="7">
        <v>11500.0</v>
      </c>
      <c r="C908" s="7" t="s">
        <v>9517</v>
      </c>
      <c r="D908" s="7" t="s">
        <v>9518</v>
      </c>
      <c r="E908" s="7" t="s">
        <v>9519</v>
      </c>
      <c r="F908" s="7" t="s">
        <v>4487</v>
      </c>
      <c r="G908" s="7" t="s">
        <v>9520</v>
      </c>
      <c r="H908" s="7" t="s">
        <v>9521</v>
      </c>
      <c r="I908" s="119">
        <v>45292.0</v>
      </c>
      <c r="K908" s="7" t="s">
        <v>419</v>
      </c>
      <c r="L908" s="7" t="s">
        <v>991</v>
      </c>
      <c r="M908" s="7" t="s">
        <v>3501</v>
      </c>
      <c r="N908" s="7" t="s">
        <v>4535</v>
      </c>
      <c r="O908" s="7" t="s">
        <v>4536</v>
      </c>
      <c r="P908" s="7" t="s">
        <v>3604</v>
      </c>
      <c r="Q908" s="7">
        <v>1.0</v>
      </c>
    </row>
    <row r="909">
      <c r="A909" s="7" t="s">
        <v>9522</v>
      </c>
      <c r="B909" s="7">
        <v>8352.0</v>
      </c>
      <c r="C909" s="7" t="s">
        <v>9523</v>
      </c>
      <c r="D909" s="7" t="s">
        <v>3805</v>
      </c>
      <c r="E909" s="7" t="s">
        <v>9519</v>
      </c>
      <c r="F909" s="7" t="s">
        <v>3806</v>
      </c>
      <c r="G909" s="7" t="s">
        <v>9524</v>
      </c>
      <c r="H909" s="7" t="s">
        <v>9525</v>
      </c>
      <c r="I909" s="119">
        <v>45292.0</v>
      </c>
      <c r="K909" s="7" t="s">
        <v>419</v>
      </c>
      <c r="L909" s="7" t="s">
        <v>991</v>
      </c>
      <c r="M909" s="7" t="s">
        <v>3531</v>
      </c>
      <c r="N909" s="7" t="s">
        <v>3511</v>
      </c>
      <c r="O909" s="7" t="s">
        <v>7757</v>
      </c>
      <c r="P909" s="7" t="s">
        <v>3493</v>
      </c>
      <c r="Q909" s="7">
        <v>1.0</v>
      </c>
    </row>
    <row r="910">
      <c r="A910" s="7" t="s">
        <v>9526</v>
      </c>
      <c r="B910" s="7">
        <v>13234.0</v>
      </c>
      <c r="C910" s="7" t="s">
        <v>9523</v>
      </c>
      <c r="D910" s="7" t="s">
        <v>5743</v>
      </c>
      <c r="E910" s="7" t="s">
        <v>9519</v>
      </c>
      <c r="F910" s="7" t="s">
        <v>5058</v>
      </c>
      <c r="G910" s="7" t="s">
        <v>9527</v>
      </c>
      <c r="H910" s="7" t="s">
        <v>9528</v>
      </c>
      <c r="I910" s="119">
        <v>45292.0</v>
      </c>
      <c r="K910" s="7" t="s">
        <v>419</v>
      </c>
      <c r="L910" s="7" t="s">
        <v>991</v>
      </c>
      <c r="M910" s="7" t="s">
        <v>3501</v>
      </c>
      <c r="N910" s="7" t="s">
        <v>9529</v>
      </c>
      <c r="O910" s="7" t="s">
        <v>9530</v>
      </c>
      <c r="P910" s="7" t="s">
        <v>3894</v>
      </c>
      <c r="Q910" s="7" t="s">
        <v>3523</v>
      </c>
    </row>
    <row r="911">
      <c r="A911" s="7" t="s">
        <v>9531</v>
      </c>
      <c r="B911" s="7">
        <v>2100140.0</v>
      </c>
      <c r="C911" s="7" t="s">
        <v>9532</v>
      </c>
      <c r="D911" s="7" t="s">
        <v>9533</v>
      </c>
      <c r="E911" s="7" t="s">
        <v>9534</v>
      </c>
      <c r="F911" s="7" t="s">
        <v>8636</v>
      </c>
      <c r="G911" s="7" t="s">
        <v>9535</v>
      </c>
      <c r="H911" s="7" t="s">
        <v>9536</v>
      </c>
      <c r="I911" s="119">
        <v>45292.0</v>
      </c>
      <c r="K911" s="7" t="s">
        <v>419</v>
      </c>
      <c r="L911" s="7" t="s">
        <v>991</v>
      </c>
      <c r="M911" s="7" t="s">
        <v>3501</v>
      </c>
      <c r="N911" s="7" t="s">
        <v>4290</v>
      </c>
      <c r="O911" s="7" t="s">
        <v>4291</v>
      </c>
      <c r="P911" s="7" t="s">
        <v>3493</v>
      </c>
      <c r="Q911" s="7">
        <v>1.0</v>
      </c>
    </row>
    <row r="912">
      <c r="A912" s="7" t="s">
        <v>9537</v>
      </c>
      <c r="B912" s="7">
        <v>1172.0</v>
      </c>
      <c r="C912" s="7" t="s">
        <v>9538</v>
      </c>
      <c r="D912" s="7" t="s">
        <v>5881</v>
      </c>
      <c r="E912" s="7" t="s">
        <v>9539</v>
      </c>
      <c r="F912" s="7" t="s">
        <v>4546</v>
      </c>
      <c r="G912" s="7" t="s">
        <v>9540</v>
      </c>
      <c r="H912" s="7" t="s">
        <v>9541</v>
      </c>
      <c r="I912" s="119">
        <v>45292.0</v>
      </c>
      <c r="K912" s="7" t="s">
        <v>419</v>
      </c>
      <c r="L912" s="7" t="s">
        <v>991</v>
      </c>
      <c r="M912" s="7" t="s">
        <v>3501</v>
      </c>
      <c r="N912" s="7" t="s">
        <v>4703</v>
      </c>
      <c r="O912" s="7" t="s">
        <v>9542</v>
      </c>
      <c r="P912" s="7" t="s">
        <v>8086</v>
      </c>
      <c r="Q912" s="7" t="s">
        <v>7940</v>
      </c>
    </row>
    <row r="913">
      <c r="A913" s="7" t="s">
        <v>9543</v>
      </c>
      <c r="B913" s="7">
        <v>288.0</v>
      </c>
      <c r="C913" s="7" t="s">
        <v>9544</v>
      </c>
      <c r="D913" s="7" t="s">
        <v>6490</v>
      </c>
      <c r="E913" s="7" t="s">
        <v>9545</v>
      </c>
      <c r="F913" s="7" t="s">
        <v>3609</v>
      </c>
      <c r="G913" s="7" t="s">
        <v>9546</v>
      </c>
      <c r="H913" s="7" t="s">
        <v>9547</v>
      </c>
      <c r="I913" s="119">
        <v>45292.0</v>
      </c>
      <c r="K913" s="7" t="s">
        <v>419</v>
      </c>
      <c r="L913" s="7" t="s">
        <v>991</v>
      </c>
      <c r="M913" s="7" t="s">
        <v>3501</v>
      </c>
      <c r="N913" s="7" t="s">
        <v>8044</v>
      </c>
      <c r="O913" s="7" t="s">
        <v>9112</v>
      </c>
      <c r="P913" s="7" t="s">
        <v>3604</v>
      </c>
      <c r="Q913" s="7">
        <v>1.0</v>
      </c>
    </row>
    <row r="914">
      <c r="A914" s="7" t="s">
        <v>9548</v>
      </c>
      <c r="B914" s="7">
        <v>11101.0</v>
      </c>
      <c r="C914" s="7" t="s">
        <v>9549</v>
      </c>
      <c r="D914" s="7" t="s">
        <v>9550</v>
      </c>
      <c r="E914" s="7" t="s">
        <v>9551</v>
      </c>
      <c r="F914" s="7" t="s">
        <v>9552</v>
      </c>
      <c r="G914" s="7" t="s">
        <v>9553</v>
      </c>
      <c r="H914" s="7" t="s">
        <v>9554</v>
      </c>
      <c r="I914" s="119">
        <v>45292.0</v>
      </c>
      <c r="K914" s="7" t="s">
        <v>419</v>
      </c>
      <c r="L914" s="7" t="s">
        <v>991</v>
      </c>
      <c r="M914" s="7" t="s">
        <v>3501</v>
      </c>
      <c r="N914" s="7" t="s">
        <v>8039</v>
      </c>
      <c r="O914" s="7" t="s">
        <v>8040</v>
      </c>
      <c r="P914" s="7" t="s">
        <v>3493</v>
      </c>
      <c r="Q914" s="7">
        <v>1.0</v>
      </c>
    </row>
    <row r="915">
      <c r="A915" s="7" t="s">
        <v>9555</v>
      </c>
      <c r="B915" s="7">
        <v>2300492.0</v>
      </c>
      <c r="C915" s="7" t="s">
        <v>9556</v>
      </c>
      <c r="D915" s="7" t="s">
        <v>6341</v>
      </c>
      <c r="E915" s="7" t="s">
        <v>9551</v>
      </c>
      <c r="F915" s="7" t="s">
        <v>4357</v>
      </c>
      <c r="G915" s="7" t="s">
        <v>9557</v>
      </c>
      <c r="H915" s="7" t="s">
        <v>9558</v>
      </c>
      <c r="I915" s="119">
        <v>45292.0</v>
      </c>
      <c r="K915" s="7" t="s">
        <v>419</v>
      </c>
      <c r="L915" s="7" t="s">
        <v>991</v>
      </c>
      <c r="M915" s="7" t="s">
        <v>3531</v>
      </c>
      <c r="N915" s="7" t="s">
        <v>7726</v>
      </c>
      <c r="O915" s="7" t="s">
        <v>7727</v>
      </c>
      <c r="P915" s="7" t="s">
        <v>3493</v>
      </c>
      <c r="Q915" s="7">
        <v>1.0</v>
      </c>
    </row>
    <row r="916">
      <c r="A916" s="7" t="s">
        <v>9559</v>
      </c>
      <c r="B916" s="7">
        <v>2300754.0</v>
      </c>
      <c r="C916" s="7" t="s">
        <v>9556</v>
      </c>
      <c r="D916" s="7" t="s">
        <v>9560</v>
      </c>
      <c r="E916" s="7" t="s">
        <v>9551</v>
      </c>
      <c r="F916" s="7" t="s">
        <v>9561</v>
      </c>
      <c r="G916" s="7" t="s">
        <v>9562</v>
      </c>
      <c r="H916" s="7" t="s">
        <v>9563</v>
      </c>
      <c r="I916" s="119">
        <v>45292.0</v>
      </c>
      <c r="K916" s="7" t="s">
        <v>419</v>
      </c>
      <c r="L916" s="7" t="s">
        <v>991</v>
      </c>
      <c r="M916" s="7" t="s">
        <v>3501</v>
      </c>
      <c r="N916" s="7" t="s">
        <v>4834</v>
      </c>
      <c r="O916" s="7" t="s">
        <v>4835</v>
      </c>
      <c r="P916" s="7" t="s">
        <v>3604</v>
      </c>
      <c r="Q916" s="7">
        <v>1.0</v>
      </c>
    </row>
    <row r="917">
      <c r="A917" s="7" t="s">
        <v>9564</v>
      </c>
      <c r="B917" s="7">
        <v>10404.0</v>
      </c>
      <c r="C917" s="7" t="s">
        <v>9565</v>
      </c>
      <c r="D917" s="7" t="s">
        <v>7265</v>
      </c>
      <c r="E917" s="7" t="s">
        <v>9566</v>
      </c>
      <c r="F917" s="7" t="s">
        <v>7266</v>
      </c>
      <c r="G917" s="7" t="s">
        <v>9567</v>
      </c>
      <c r="H917" s="7" t="s">
        <v>9568</v>
      </c>
      <c r="I917" s="119">
        <v>45292.0</v>
      </c>
      <c r="K917" s="7" t="s">
        <v>419</v>
      </c>
      <c r="L917" s="7" t="s">
        <v>991</v>
      </c>
      <c r="M917" s="7" t="s">
        <v>3531</v>
      </c>
      <c r="N917" s="7" t="s">
        <v>4096</v>
      </c>
      <c r="O917" s="7" t="s">
        <v>4097</v>
      </c>
      <c r="P917" s="7" t="s">
        <v>3493</v>
      </c>
      <c r="Q917" s="7">
        <v>1.0</v>
      </c>
    </row>
    <row r="918">
      <c r="A918" s="7" t="s">
        <v>9569</v>
      </c>
      <c r="B918" s="7">
        <v>13159.0</v>
      </c>
      <c r="C918" s="7" t="s">
        <v>9570</v>
      </c>
      <c r="D918" s="7" t="s">
        <v>9571</v>
      </c>
      <c r="E918" s="7" t="s">
        <v>9572</v>
      </c>
      <c r="F918" s="7" t="s">
        <v>9573</v>
      </c>
      <c r="G918" s="7" t="s">
        <v>9574</v>
      </c>
      <c r="H918" s="7" t="s">
        <v>9575</v>
      </c>
      <c r="I918" s="119">
        <v>45292.0</v>
      </c>
      <c r="K918" s="7" t="s">
        <v>419</v>
      </c>
      <c r="L918" s="7" t="s">
        <v>991</v>
      </c>
      <c r="M918" s="7" t="s">
        <v>3583</v>
      </c>
      <c r="N918" s="7" t="s">
        <v>5888</v>
      </c>
      <c r="O918" s="7" t="s">
        <v>5889</v>
      </c>
      <c r="P918" s="7" t="s">
        <v>3493</v>
      </c>
      <c r="Q918" s="7">
        <v>1.0</v>
      </c>
    </row>
    <row r="919">
      <c r="A919" s="7" t="s">
        <v>9576</v>
      </c>
      <c r="B919" s="7">
        <v>2100007.0</v>
      </c>
      <c r="C919" s="7" t="s">
        <v>9570</v>
      </c>
      <c r="D919" s="7" t="s">
        <v>9577</v>
      </c>
      <c r="E919" s="7" t="s">
        <v>9572</v>
      </c>
      <c r="F919" s="7" t="s">
        <v>9578</v>
      </c>
      <c r="G919" s="7" t="s">
        <v>9579</v>
      </c>
      <c r="H919" s="7" t="s">
        <v>9580</v>
      </c>
      <c r="I919" s="119">
        <v>45292.0</v>
      </c>
      <c r="K919" s="7" t="s">
        <v>3489</v>
      </c>
      <c r="L919" s="7" t="s">
        <v>991</v>
      </c>
      <c r="M919" s="7" t="s">
        <v>3490</v>
      </c>
      <c r="N919" s="7" t="s">
        <v>3491</v>
      </c>
      <c r="O919" s="7" t="s">
        <v>3492</v>
      </c>
      <c r="P919" s="7" t="s">
        <v>3493</v>
      </c>
      <c r="Q919" s="7">
        <v>1.0</v>
      </c>
    </row>
    <row r="920">
      <c r="A920" s="7" t="s">
        <v>9581</v>
      </c>
      <c r="B920" s="7">
        <v>10423.0</v>
      </c>
      <c r="C920" s="7" t="s">
        <v>9570</v>
      </c>
      <c r="D920" s="7" t="s">
        <v>5234</v>
      </c>
      <c r="E920" s="7" t="s">
        <v>9572</v>
      </c>
      <c r="F920" s="7" t="s">
        <v>9582</v>
      </c>
      <c r="G920" s="7" t="s">
        <v>9583</v>
      </c>
      <c r="H920" s="7" t="s">
        <v>9584</v>
      </c>
      <c r="I920" s="119">
        <v>45292.0</v>
      </c>
      <c r="K920" s="7" t="s">
        <v>419</v>
      </c>
      <c r="L920" s="7" t="s">
        <v>991</v>
      </c>
      <c r="M920" s="7" t="s">
        <v>3501</v>
      </c>
      <c r="N920" s="7" t="s">
        <v>8390</v>
      </c>
      <c r="O920" s="7" t="s">
        <v>8391</v>
      </c>
      <c r="P920" s="7" t="s">
        <v>3843</v>
      </c>
      <c r="Q920" s="7">
        <v>1.0</v>
      </c>
    </row>
    <row r="921">
      <c r="A921" s="7" t="s">
        <v>9585</v>
      </c>
      <c r="B921" s="7">
        <v>13618.0</v>
      </c>
      <c r="C921" s="7" t="s">
        <v>9570</v>
      </c>
      <c r="D921" s="7" t="s">
        <v>9586</v>
      </c>
      <c r="E921" s="7" t="s">
        <v>9572</v>
      </c>
      <c r="F921" s="7" t="s">
        <v>9587</v>
      </c>
      <c r="G921" s="7" t="s">
        <v>9588</v>
      </c>
      <c r="H921" s="7" t="s">
        <v>9589</v>
      </c>
      <c r="I921" s="119">
        <v>45292.0</v>
      </c>
      <c r="K921" s="7" t="s">
        <v>419</v>
      </c>
      <c r="L921" s="7" t="s">
        <v>991</v>
      </c>
      <c r="M921" s="7" t="s">
        <v>3531</v>
      </c>
      <c r="N921" s="7" t="s">
        <v>4161</v>
      </c>
      <c r="O921" s="7" t="s">
        <v>9590</v>
      </c>
      <c r="P921" s="7" t="s">
        <v>3493</v>
      </c>
      <c r="Q921" s="7">
        <v>1.0</v>
      </c>
    </row>
    <row r="922">
      <c r="A922" s="7" t="s">
        <v>9591</v>
      </c>
      <c r="B922" s="7">
        <v>976.0</v>
      </c>
      <c r="C922" s="7" t="s">
        <v>9570</v>
      </c>
      <c r="D922" s="7" t="s">
        <v>4073</v>
      </c>
      <c r="E922" s="7" t="s">
        <v>9572</v>
      </c>
      <c r="F922" s="7" t="s">
        <v>4075</v>
      </c>
      <c r="G922" s="7" t="s">
        <v>9592</v>
      </c>
      <c r="H922" s="7" t="s">
        <v>9593</v>
      </c>
      <c r="I922" s="119">
        <v>45292.0</v>
      </c>
      <c r="K922" s="7" t="s">
        <v>419</v>
      </c>
      <c r="L922" s="7" t="s">
        <v>991</v>
      </c>
      <c r="M922" s="7" t="s">
        <v>3501</v>
      </c>
      <c r="N922" s="7" t="s">
        <v>9594</v>
      </c>
      <c r="O922" s="7" t="s">
        <v>9595</v>
      </c>
      <c r="P922" s="7" t="s">
        <v>3493</v>
      </c>
      <c r="Q922" s="7">
        <v>1.0</v>
      </c>
    </row>
    <row r="923">
      <c r="A923" s="7" t="s">
        <v>9596</v>
      </c>
      <c r="B923" s="7">
        <v>2200398.0</v>
      </c>
      <c r="C923" s="7" t="s">
        <v>9570</v>
      </c>
      <c r="D923" s="7" t="s">
        <v>4260</v>
      </c>
      <c r="E923" s="7" t="s">
        <v>9572</v>
      </c>
      <c r="F923" s="7" t="s">
        <v>4262</v>
      </c>
      <c r="G923" s="7" t="s">
        <v>9597</v>
      </c>
      <c r="H923" s="7" t="s">
        <v>9598</v>
      </c>
      <c r="I923" s="119">
        <v>45292.0</v>
      </c>
      <c r="K923" s="7" t="s">
        <v>3632</v>
      </c>
      <c r="L923" s="7" t="s">
        <v>991</v>
      </c>
      <c r="M923" s="7" t="s">
        <v>3501</v>
      </c>
      <c r="N923" s="7" t="s">
        <v>4576</v>
      </c>
      <c r="O923" s="7" t="s">
        <v>9599</v>
      </c>
      <c r="P923" s="7" t="s">
        <v>3522</v>
      </c>
      <c r="Q923" s="7" t="s">
        <v>3514</v>
      </c>
    </row>
    <row r="924">
      <c r="A924" s="7" t="s">
        <v>9600</v>
      </c>
      <c r="B924" s="7">
        <v>14022.0</v>
      </c>
      <c r="C924" s="7" t="s">
        <v>9570</v>
      </c>
      <c r="D924" s="7" t="s">
        <v>9601</v>
      </c>
      <c r="E924" s="7" t="s">
        <v>9572</v>
      </c>
      <c r="F924" s="7" t="s">
        <v>3609</v>
      </c>
      <c r="G924" s="7" t="s">
        <v>9602</v>
      </c>
      <c r="H924" s="7" t="s">
        <v>9603</v>
      </c>
      <c r="I924" s="119">
        <v>45292.0</v>
      </c>
      <c r="K924" s="7" t="s">
        <v>419</v>
      </c>
      <c r="L924" s="7" t="s">
        <v>991</v>
      </c>
      <c r="M924" s="7" t="s">
        <v>3531</v>
      </c>
      <c r="N924" s="7" t="s">
        <v>6624</v>
      </c>
      <c r="O924" s="7" t="s">
        <v>9604</v>
      </c>
      <c r="P924" s="7" t="s">
        <v>3493</v>
      </c>
      <c r="Q924" s="7">
        <v>1.0</v>
      </c>
    </row>
    <row r="925">
      <c r="A925" s="7" t="s">
        <v>9605</v>
      </c>
      <c r="B925" s="7">
        <v>2100399.0</v>
      </c>
      <c r="C925" s="7" t="s">
        <v>9606</v>
      </c>
      <c r="D925" s="7" t="s">
        <v>9607</v>
      </c>
      <c r="E925" s="7" t="s">
        <v>9572</v>
      </c>
      <c r="F925" s="7" t="s">
        <v>3909</v>
      </c>
      <c r="G925" s="7" t="s">
        <v>9608</v>
      </c>
      <c r="H925" s="7" t="s">
        <v>9609</v>
      </c>
      <c r="I925" s="119">
        <v>45292.0</v>
      </c>
      <c r="K925" s="7" t="s">
        <v>419</v>
      </c>
      <c r="L925" s="7" t="s">
        <v>991</v>
      </c>
      <c r="M925" s="7" t="s">
        <v>3501</v>
      </c>
      <c r="N925" s="7" t="s">
        <v>9610</v>
      </c>
      <c r="O925" s="7" t="s">
        <v>9611</v>
      </c>
      <c r="P925" s="7" t="s">
        <v>4420</v>
      </c>
      <c r="Q925" s="7" t="s">
        <v>3523</v>
      </c>
    </row>
    <row r="926">
      <c r="A926" s="7" t="s">
        <v>9612</v>
      </c>
      <c r="B926" s="7">
        <v>12182.0</v>
      </c>
      <c r="C926" s="7" t="s">
        <v>9570</v>
      </c>
      <c r="D926" s="7" t="s">
        <v>9613</v>
      </c>
      <c r="E926" s="7" t="s">
        <v>9572</v>
      </c>
      <c r="F926" s="7" t="s">
        <v>9614</v>
      </c>
      <c r="G926" s="7" t="s">
        <v>9615</v>
      </c>
      <c r="H926" s="7" t="s">
        <v>9616</v>
      </c>
      <c r="I926" s="119">
        <v>45292.0</v>
      </c>
      <c r="K926" s="7" t="s">
        <v>4206</v>
      </c>
      <c r="L926" s="7" t="s">
        <v>3542</v>
      </c>
      <c r="M926" s="7" t="s">
        <v>3543</v>
      </c>
      <c r="N926" s="7" t="s">
        <v>5111</v>
      </c>
      <c r="O926" s="7" t="s">
        <v>9617</v>
      </c>
      <c r="P926" s="7" t="s">
        <v>3697</v>
      </c>
      <c r="Q926" s="7" t="s">
        <v>3687</v>
      </c>
    </row>
    <row r="927">
      <c r="A927" s="7" t="s">
        <v>1857</v>
      </c>
      <c r="B927" s="7">
        <v>2100038.0</v>
      </c>
      <c r="C927" s="7" t="s">
        <v>9606</v>
      </c>
      <c r="D927" s="7" t="s">
        <v>4100</v>
      </c>
      <c r="E927" s="7" t="s">
        <v>9572</v>
      </c>
      <c r="F927" s="7" t="s">
        <v>3486</v>
      </c>
      <c r="G927" s="7" t="s">
        <v>9618</v>
      </c>
      <c r="H927" s="7" t="s">
        <v>9619</v>
      </c>
      <c r="I927" s="119">
        <v>45292.0</v>
      </c>
      <c r="K927" s="7" t="s">
        <v>419</v>
      </c>
      <c r="L927" s="7" t="s">
        <v>991</v>
      </c>
      <c r="M927" s="7" t="s">
        <v>3501</v>
      </c>
      <c r="N927" s="7" t="s">
        <v>9620</v>
      </c>
      <c r="O927" s="7" t="s">
        <v>9621</v>
      </c>
      <c r="P927" s="7" t="s">
        <v>9622</v>
      </c>
      <c r="Q927" s="7" t="s">
        <v>9623</v>
      </c>
    </row>
    <row r="928">
      <c r="A928" s="7" t="s">
        <v>9624</v>
      </c>
      <c r="B928" s="7">
        <v>14054.0</v>
      </c>
      <c r="C928" s="7" t="s">
        <v>9570</v>
      </c>
      <c r="D928" s="7" t="s">
        <v>9625</v>
      </c>
      <c r="E928" s="7" t="s">
        <v>9572</v>
      </c>
      <c r="F928" s="7" t="s">
        <v>9626</v>
      </c>
      <c r="G928" s="7" t="s">
        <v>9627</v>
      </c>
      <c r="H928" s="7" t="s">
        <v>9628</v>
      </c>
      <c r="I928" s="119">
        <v>45292.0</v>
      </c>
      <c r="K928" s="7" t="s">
        <v>419</v>
      </c>
      <c r="L928" s="7" t="s">
        <v>991</v>
      </c>
      <c r="M928" s="7" t="s">
        <v>3531</v>
      </c>
      <c r="N928" s="7" t="s">
        <v>9072</v>
      </c>
      <c r="O928" s="7" t="s">
        <v>9073</v>
      </c>
      <c r="P928" s="7" t="s">
        <v>3493</v>
      </c>
      <c r="Q928" s="7">
        <v>1.0</v>
      </c>
    </row>
    <row r="929">
      <c r="A929" s="7" t="s">
        <v>9629</v>
      </c>
      <c r="B929" s="7">
        <v>2300647.0</v>
      </c>
      <c r="C929" s="7" t="s">
        <v>9570</v>
      </c>
      <c r="D929" s="7" t="s">
        <v>9630</v>
      </c>
      <c r="E929" s="7" t="s">
        <v>9572</v>
      </c>
      <c r="F929" s="7" t="s">
        <v>6262</v>
      </c>
      <c r="G929" s="7" t="s">
        <v>9631</v>
      </c>
      <c r="H929" s="7" t="s">
        <v>9632</v>
      </c>
      <c r="I929" s="119">
        <v>45292.0</v>
      </c>
      <c r="K929" s="7" t="s">
        <v>419</v>
      </c>
      <c r="L929" s="7" t="s">
        <v>991</v>
      </c>
      <c r="M929" s="7" t="s">
        <v>3501</v>
      </c>
      <c r="N929" s="7" t="s">
        <v>5298</v>
      </c>
      <c r="O929" s="7" t="s">
        <v>8002</v>
      </c>
      <c r="P929" s="7" t="s">
        <v>3493</v>
      </c>
      <c r="Q929" s="7">
        <v>1.0</v>
      </c>
    </row>
    <row r="930">
      <c r="A930" s="7" t="s">
        <v>9633</v>
      </c>
      <c r="B930" s="7">
        <v>2300502.0</v>
      </c>
      <c r="C930" s="7" t="s">
        <v>9634</v>
      </c>
      <c r="D930" s="7" t="s">
        <v>9635</v>
      </c>
      <c r="E930" s="7" t="s">
        <v>9636</v>
      </c>
      <c r="F930" s="7" t="s">
        <v>9637</v>
      </c>
      <c r="G930" s="7" t="s">
        <v>9638</v>
      </c>
      <c r="H930" s="7" t="s">
        <v>9639</v>
      </c>
      <c r="I930" s="119">
        <v>45292.0</v>
      </c>
      <c r="K930" s="7" t="s">
        <v>3632</v>
      </c>
      <c r="L930" s="7" t="s">
        <v>991</v>
      </c>
      <c r="M930" s="7" t="s">
        <v>3866</v>
      </c>
      <c r="N930" s="7" t="s">
        <v>4190</v>
      </c>
      <c r="O930" s="7" t="s">
        <v>4191</v>
      </c>
      <c r="P930" s="7" t="s">
        <v>3493</v>
      </c>
      <c r="Q930" s="7">
        <v>1.0</v>
      </c>
    </row>
    <row r="931">
      <c r="A931" s="7" t="s">
        <v>9640</v>
      </c>
      <c r="B931" s="7">
        <v>2100124.0</v>
      </c>
      <c r="C931" s="7" t="s">
        <v>9641</v>
      </c>
      <c r="D931" s="7" t="s">
        <v>4510</v>
      </c>
      <c r="E931" s="7" t="s">
        <v>9642</v>
      </c>
      <c r="F931" s="7" t="s">
        <v>4511</v>
      </c>
      <c r="G931" s="7" t="s">
        <v>9643</v>
      </c>
      <c r="H931" s="7" t="s">
        <v>9644</v>
      </c>
      <c r="I931" s="119">
        <v>45292.0</v>
      </c>
      <c r="K931" s="7" t="s">
        <v>419</v>
      </c>
      <c r="L931" s="7" t="s">
        <v>991</v>
      </c>
      <c r="M931" s="7" t="s">
        <v>3501</v>
      </c>
      <c r="N931" s="7" t="s">
        <v>5902</v>
      </c>
      <c r="O931" s="7" t="s">
        <v>9645</v>
      </c>
      <c r="P931" s="7" t="s">
        <v>9646</v>
      </c>
      <c r="Q931" s="7" t="s">
        <v>3523</v>
      </c>
    </row>
    <row r="932">
      <c r="A932" s="7" t="s">
        <v>9647</v>
      </c>
      <c r="B932" s="7">
        <v>12815.0</v>
      </c>
      <c r="C932" s="7" t="s">
        <v>9648</v>
      </c>
      <c r="D932" s="7" t="s">
        <v>7547</v>
      </c>
      <c r="E932" s="7" t="s">
        <v>9649</v>
      </c>
      <c r="F932" s="7" t="s">
        <v>3889</v>
      </c>
      <c r="G932" s="7" t="s">
        <v>9650</v>
      </c>
      <c r="H932" s="7" t="s">
        <v>9651</v>
      </c>
      <c r="I932" s="119">
        <v>45292.0</v>
      </c>
      <c r="K932" s="7" t="s">
        <v>419</v>
      </c>
      <c r="L932" s="7" t="s">
        <v>991</v>
      </c>
      <c r="M932" s="7" t="s">
        <v>3501</v>
      </c>
      <c r="N932" s="7" t="s">
        <v>9652</v>
      </c>
      <c r="O932" s="7" t="s">
        <v>9653</v>
      </c>
      <c r="P932" s="7" t="s">
        <v>4420</v>
      </c>
      <c r="Q932" s="7" t="s">
        <v>3523</v>
      </c>
    </row>
    <row r="933">
      <c r="A933" s="7" t="s">
        <v>9654</v>
      </c>
      <c r="B933" s="7">
        <v>10999.0</v>
      </c>
      <c r="C933" s="7" t="s">
        <v>9655</v>
      </c>
      <c r="D933" s="7" t="s">
        <v>9656</v>
      </c>
      <c r="E933" s="7" t="s">
        <v>9657</v>
      </c>
      <c r="F933" s="7" t="s">
        <v>9658</v>
      </c>
      <c r="G933" s="7" t="s">
        <v>9659</v>
      </c>
      <c r="H933" s="7" t="s">
        <v>9660</v>
      </c>
      <c r="I933" s="119">
        <v>45292.0</v>
      </c>
      <c r="K933" s="7" t="s">
        <v>419</v>
      </c>
      <c r="L933" s="7" t="s">
        <v>991</v>
      </c>
      <c r="M933" s="7" t="s">
        <v>3501</v>
      </c>
      <c r="N933" s="7" t="s">
        <v>9661</v>
      </c>
      <c r="O933" s="7" t="s">
        <v>9662</v>
      </c>
      <c r="P933" s="7" t="s">
        <v>4420</v>
      </c>
      <c r="Q933" s="7" t="s">
        <v>3523</v>
      </c>
    </row>
    <row r="934">
      <c r="A934" s="7" t="s">
        <v>9663</v>
      </c>
      <c r="B934" s="7">
        <v>2100565.0</v>
      </c>
      <c r="C934" s="7" t="s">
        <v>9664</v>
      </c>
      <c r="D934" s="7" t="s">
        <v>9665</v>
      </c>
      <c r="E934" s="7" t="s">
        <v>9657</v>
      </c>
      <c r="F934" s="7" t="s">
        <v>4641</v>
      </c>
      <c r="G934" s="7" t="s">
        <v>9666</v>
      </c>
      <c r="H934" s="7" t="s">
        <v>9667</v>
      </c>
      <c r="I934" s="119">
        <v>45292.0</v>
      </c>
      <c r="K934" s="7" t="s">
        <v>419</v>
      </c>
      <c r="L934" s="7" t="s">
        <v>991</v>
      </c>
      <c r="M934" s="7" t="s">
        <v>3501</v>
      </c>
      <c r="N934" s="7" t="s">
        <v>6579</v>
      </c>
      <c r="O934" s="7" t="s">
        <v>6580</v>
      </c>
      <c r="P934" s="7" t="s">
        <v>3493</v>
      </c>
      <c r="Q934" s="7">
        <v>1.0</v>
      </c>
    </row>
    <row r="935">
      <c r="A935" s="7" t="s">
        <v>9668</v>
      </c>
      <c r="B935" s="7">
        <v>12334.0</v>
      </c>
      <c r="C935" s="7" t="s">
        <v>9669</v>
      </c>
      <c r="D935" s="7" t="s">
        <v>9670</v>
      </c>
      <c r="E935" s="7" t="s">
        <v>9671</v>
      </c>
      <c r="F935" s="7" t="s">
        <v>9672</v>
      </c>
      <c r="G935" s="7" t="s">
        <v>9673</v>
      </c>
      <c r="H935" s="7" t="s">
        <v>9674</v>
      </c>
      <c r="I935" s="119">
        <v>45292.0</v>
      </c>
      <c r="K935" s="7" t="s">
        <v>419</v>
      </c>
      <c r="L935" s="7" t="s">
        <v>991</v>
      </c>
      <c r="M935" s="7" t="s">
        <v>3501</v>
      </c>
      <c r="N935" s="7" t="s">
        <v>7883</v>
      </c>
      <c r="O935" s="7" t="s">
        <v>9675</v>
      </c>
      <c r="P935" s="7" t="s">
        <v>3522</v>
      </c>
      <c r="Q935" s="7" t="s">
        <v>3514</v>
      </c>
    </row>
    <row r="936">
      <c r="A936" s="7" t="s">
        <v>9676</v>
      </c>
      <c r="B936" s="7">
        <v>2300487.0</v>
      </c>
      <c r="C936" s="7" t="s">
        <v>9677</v>
      </c>
      <c r="D936" s="7" t="s">
        <v>9678</v>
      </c>
      <c r="E936" s="7" t="s">
        <v>9679</v>
      </c>
      <c r="F936" s="7" t="s">
        <v>9680</v>
      </c>
      <c r="G936" s="7" t="s">
        <v>9681</v>
      </c>
      <c r="I936" s="119">
        <v>45292.0</v>
      </c>
      <c r="K936" s="7" t="s">
        <v>419</v>
      </c>
      <c r="L936" s="7" t="s">
        <v>991</v>
      </c>
      <c r="M936" s="7" t="s">
        <v>3531</v>
      </c>
      <c r="N936" s="7" t="s">
        <v>5197</v>
      </c>
      <c r="O936" s="7" t="s">
        <v>5198</v>
      </c>
      <c r="P936" s="7" t="s">
        <v>3493</v>
      </c>
      <c r="Q936" s="7">
        <v>1.0</v>
      </c>
    </row>
    <row r="937">
      <c r="A937" s="7" t="s">
        <v>9682</v>
      </c>
      <c r="B937" s="7">
        <v>2100099.0</v>
      </c>
      <c r="C937" s="7" t="s">
        <v>9677</v>
      </c>
      <c r="D937" s="7" t="s">
        <v>9683</v>
      </c>
      <c r="E937" s="7" t="s">
        <v>9679</v>
      </c>
      <c r="F937" s="7" t="s">
        <v>3486</v>
      </c>
      <c r="G937" s="7" t="s">
        <v>9684</v>
      </c>
      <c r="H937" s="7" t="s">
        <v>9685</v>
      </c>
      <c r="I937" s="119">
        <v>45323.0</v>
      </c>
      <c r="K937" s="7" t="s">
        <v>3541</v>
      </c>
      <c r="L937" s="7" t="s">
        <v>3542</v>
      </c>
      <c r="M937" s="7" t="s">
        <v>4383</v>
      </c>
      <c r="N937" s="7" t="s">
        <v>9686</v>
      </c>
      <c r="O937" s="7" t="s">
        <v>9687</v>
      </c>
      <c r="P937" s="7" t="s">
        <v>3697</v>
      </c>
      <c r="Q937" s="7" t="s">
        <v>3687</v>
      </c>
    </row>
    <row r="938">
      <c r="A938" s="7" t="s">
        <v>9688</v>
      </c>
      <c r="B938" s="7">
        <v>14180.0</v>
      </c>
      <c r="C938" s="7" t="s">
        <v>9689</v>
      </c>
      <c r="D938" s="7" t="s">
        <v>9690</v>
      </c>
      <c r="E938" s="7" t="s">
        <v>9691</v>
      </c>
      <c r="F938" s="7" t="s">
        <v>8119</v>
      </c>
      <c r="G938" s="7" t="s">
        <v>9692</v>
      </c>
      <c r="H938" s="7" t="s">
        <v>9693</v>
      </c>
      <c r="I938" s="119">
        <v>45292.0</v>
      </c>
      <c r="K938" s="7" t="s">
        <v>419</v>
      </c>
      <c r="L938" s="7" t="s">
        <v>991</v>
      </c>
      <c r="M938" s="7" t="s">
        <v>3531</v>
      </c>
      <c r="N938" s="7" t="s">
        <v>5888</v>
      </c>
      <c r="O938" s="7" t="s">
        <v>5889</v>
      </c>
      <c r="P938" s="7" t="s">
        <v>3493</v>
      </c>
      <c r="Q938" s="7">
        <v>1.0</v>
      </c>
    </row>
    <row r="939">
      <c r="A939" s="7" t="s">
        <v>9694</v>
      </c>
      <c r="B939" s="7">
        <v>2200134.0</v>
      </c>
      <c r="C939" s="7" t="s">
        <v>9689</v>
      </c>
      <c r="D939" s="7" t="s">
        <v>6182</v>
      </c>
      <c r="E939" s="7" t="s">
        <v>9691</v>
      </c>
      <c r="F939" s="7" t="s">
        <v>6184</v>
      </c>
      <c r="G939" s="7" t="s">
        <v>9695</v>
      </c>
      <c r="H939" s="7" t="s">
        <v>9696</v>
      </c>
      <c r="I939" s="119">
        <v>45292.0</v>
      </c>
      <c r="K939" s="7" t="s">
        <v>419</v>
      </c>
      <c r="L939" s="7" t="s">
        <v>991</v>
      </c>
      <c r="M939" s="7" t="s">
        <v>3501</v>
      </c>
      <c r="N939" s="7" t="s">
        <v>5671</v>
      </c>
      <c r="O939" s="7" t="s">
        <v>9697</v>
      </c>
      <c r="P939" s="7" t="s">
        <v>3522</v>
      </c>
      <c r="Q939" s="7" t="s">
        <v>3523</v>
      </c>
    </row>
    <row r="940">
      <c r="A940" s="7" t="s">
        <v>9698</v>
      </c>
      <c r="B940" s="7">
        <v>10438.0</v>
      </c>
      <c r="C940" s="7" t="s">
        <v>9699</v>
      </c>
      <c r="D940" s="7" t="s">
        <v>5032</v>
      </c>
      <c r="E940" s="7" t="s">
        <v>9700</v>
      </c>
      <c r="F940" s="7" t="s">
        <v>5034</v>
      </c>
      <c r="G940" s="7" t="s">
        <v>9701</v>
      </c>
      <c r="H940" s="7" t="s">
        <v>9702</v>
      </c>
      <c r="I940" s="119">
        <v>45292.0</v>
      </c>
      <c r="J940" s="7" t="s">
        <v>3929</v>
      </c>
      <c r="K940" s="7" t="s">
        <v>419</v>
      </c>
      <c r="L940" s="7" t="s">
        <v>991</v>
      </c>
      <c r="M940" s="7" t="s">
        <v>3501</v>
      </c>
      <c r="N940" s="7" t="s">
        <v>4727</v>
      </c>
      <c r="O940" s="7" t="s">
        <v>4728</v>
      </c>
      <c r="P940" s="7" t="s">
        <v>3493</v>
      </c>
      <c r="Q940" s="7">
        <v>1.0</v>
      </c>
    </row>
    <row r="941">
      <c r="A941" s="7" t="s">
        <v>9703</v>
      </c>
      <c r="B941" s="7">
        <v>13658.0</v>
      </c>
      <c r="C941" s="7" t="s">
        <v>9704</v>
      </c>
      <c r="D941" s="7" t="s">
        <v>3607</v>
      </c>
      <c r="E941" s="7" t="s">
        <v>9700</v>
      </c>
      <c r="F941" s="7" t="s">
        <v>3609</v>
      </c>
      <c r="G941" s="7" t="s">
        <v>9705</v>
      </c>
      <c r="H941" s="7" t="s">
        <v>9706</v>
      </c>
      <c r="I941" s="119">
        <v>45292.0</v>
      </c>
      <c r="K941" s="7" t="s">
        <v>3632</v>
      </c>
      <c r="L941" s="7" t="s">
        <v>991</v>
      </c>
      <c r="M941" s="7" t="s">
        <v>3501</v>
      </c>
      <c r="N941" s="7" t="s">
        <v>4112</v>
      </c>
      <c r="O941" s="7" t="s">
        <v>4113</v>
      </c>
      <c r="P941" s="7" t="s">
        <v>3522</v>
      </c>
      <c r="Q941" s="7" t="s">
        <v>3523</v>
      </c>
    </row>
    <row r="942">
      <c r="A942" s="7" t="s">
        <v>9707</v>
      </c>
      <c r="B942" s="7">
        <v>10018.0</v>
      </c>
      <c r="C942" s="7" t="s">
        <v>9708</v>
      </c>
      <c r="D942" s="7" t="s">
        <v>6121</v>
      </c>
      <c r="E942" s="7" t="s">
        <v>9709</v>
      </c>
      <c r="F942" s="7" t="s">
        <v>5595</v>
      </c>
      <c r="G942" s="7" t="s">
        <v>9710</v>
      </c>
      <c r="H942" s="7" t="s">
        <v>9711</v>
      </c>
      <c r="I942" s="119">
        <v>45292.0</v>
      </c>
      <c r="K942" s="7" t="s">
        <v>419</v>
      </c>
      <c r="L942" s="7" t="s">
        <v>991</v>
      </c>
      <c r="M942" s="7" t="s">
        <v>3501</v>
      </c>
      <c r="N942" s="7" t="s">
        <v>4727</v>
      </c>
      <c r="O942" s="7" t="s">
        <v>4728</v>
      </c>
      <c r="P942" s="7" t="s">
        <v>3843</v>
      </c>
      <c r="Q942" s="7">
        <v>1.0</v>
      </c>
    </row>
    <row r="943">
      <c r="A943" s="7" t="s">
        <v>9712</v>
      </c>
      <c r="B943" s="7">
        <v>11696.0</v>
      </c>
      <c r="C943" s="7" t="s">
        <v>9713</v>
      </c>
      <c r="D943" s="7" t="s">
        <v>9714</v>
      </c>
      <c r="E943" s="7" t="s">
        <v>9715</v>
      </c>
      <c r="F943" s="7" t="s">
        <v>4700</v>
      </c>
      <c r="G943" s="7" t="s">
        <v>9716</v>
      </c>
      <c r="H943" s="7" t="s">
        <v>9717</v>
      </c>
      <c r="I943" s="119">
        <v>45292.0</v>
      </c>
      <c r="K943" s="7" t="s">
        <v>419</v>
      </c>
      <c r="L943" s="7" t="s">
        <v>991</v>
      </c>
      <c r="M943" s="7" t="s">
        <v>3501</v>
      </c>
      <c r="N943" s="7" t="s">
        <v>8379</v>
      </c>
      <c r="O943" s="7" t="s">
        <v>8380</v>
      </c>
      <c r="P943" s="7" t="s">
        <v>3522</v>
      </c>
      <c r="Q943" s="7" t="s">
        <v>3523</v>
      </c>
    </row>
    <row r="944">
      <c r="A944" s="7" t="s">
        <v>9718</v>
      </c>
      <c r="B944" s="7">
        <v>2200234.0</v>
      </c>
      <c r="C944" s="7" t="s">
        <v>9713</v>
      </c>
      <c r="D944" s="7" t="s">
        <v>5153</v>
      </c>
      <c r="E944" s="7" t="s">
        <v>9715</v>
      </c>
      <c r="F944" s="7" t="s">
        <v>5155</v>
      </c>
      <c r="G944" s="7" t="s">
        <v>9719</v>
      </c>
      <c r="H944" s="7" t="s">
        <v>9720</v>
      </c>
      <c r="I944" s="119">
        <v>45292.0</v>
      </c>
      <c r="K944" s="7" t="s">
        <v>419</v>
      </c>
      <c r="L944" s="7" t="s">
        <v>991</v>
      </c>
      <c r="M944" s="7" t="s">
        <v>3490</v>
      </c>
      <c r="N944" s="7" t="s">
        <v>4147</v>
      </c>
      <c r="O944" s="7" t="s">
        <v>4148</v>
      </c>
      <c r="P944" s="7" t="s">
        <v>3493</v>
      </c>
      <c r="Q944" s="7">
        <v>1.0</v>
      </c>
    </row>
    <row r="945">
      <c r="A945" s="7" t="s">
        <v>9721</v>
      </c>
      <c r="B945" s="7">
        <v>2200653.0</v>
      </c>
      <c r="C945" s="7" t="s">
        <v>9722</v>
      </c>
      <c r="D945" s="7" t="s">
        <v>9723</v>
      </c>
      <c r="E945" s="7" t="s">
        <v>5838</v>
      </c>
      <c r="F945" s="7" t="s">
        <v>9724</v>
      </c>
      <c r="G945" s="7" t="s">
        <v>9725</v>
      </c>
      <c r="H945" s="7" t="s">
        <v>9726</v>
      </c>
      <c r="I945" s="119">
        <v>45292.0</v>
      </c>
      <c r="K945" s="7" t="s">
        <v>419</v>
      </c>
      <c r="L945" s="7" t="s">
        <v>991</v>
      </c>
      <c r="M945" s="7" t="s">
        <v>3501</v>
      </c>
      <c r="N945" s="7" t="s">
        <v>9727</v>
      </c>
      <c r="O945" s="7" t="s">
        <v>9728</v>
      </c>
      <c r="P945" s="7" t="s">
        <v>3493</v>
      </c>
      <c r="Q945" s="7">
        <v>1.0</v>
      </c>
    </row>
    <row r="946">
      <c r="A946" s="7" t="s">
        <v>9729</v>
      </c>
      <c r="B946" s="7">
        <v>13656.0</v>
      </c>
      <c r="C946" s="7" t="s">
        <v>9730</v>
      </c>
      <c r="D946" s="7" t="s">
        <v>4699</v>
      </c>
      <c r="E946" s="7" t="s">
        <v>9731</v>
      </c>
      <c r="F946" s="7" t="s">
        <v>4700</v>
      </c>
      <c r="G946" s="7" t="s">
        <v>9732</v>
      </c>
      <c r="H946" s="7" t="s">
        <v>9733</v>
      </c>
      <c r="I946" s="119">
        <v>45292.0</v>
      </c>
      <c r="K946" s="7" t="s">
        <v>3632</v>
      </c>
      <c r="L946" s="7" t="s">
        <v>991</v>
      </c>
      <c r="M946" s="7" t="s">
        <v>3501</v>
      </c>
      <c r="N946" s="7" t="s">
        <v>5052</v>
      </c>
      <c r="O946" s="7" t="s">
        <v>5053</v>
      </c>
      <c r="P946" s="7" t="s">
        <v>3522</v>
      </c>
      <c r="Q946" s="7" t="s">
        <v>3523</v>
      </c>
    </row>
    <row r="947">
      <c r="A947" s="7" t="s">
        <v>9734</v>
      </c>
      <c r="B947" s="7">
        <v>10380.0</v>
      </c>
      <c r="C947" s="7" t="s">
        <v>9735</v>
      </c>
      <c r="D947" s="7" t="s">
        <v>5187</v>
      </c>
      <c r="E947" s="7" t="s">
        <v>9736</v>
      </c>
      <c r="F947" s="7" t="s">
        <v>4511</v>
      </c>
      <c r="G947" s="7" t="s">
        <v>9737</v>
      </c>
      <c r="H947" s="7" t="s">
        <v>9738</v>
      </c>
      <c r="I947" s="119">
        <v>45292.0</v>
      </c>
      <c r="K947" s="7" t="s">
        <v>419</v>
      </c>
      <c r="L947" s="7" t="s">
        <v>991</v>
      </c>
      <c r="M947" s="7" t="s">
        <v>3501</v>
      </c>
      <c r="N947" s="7" t="s">
        <v>9739</v>
      </c>
      <c r="O947" s="7" t="s">
        <v>9740</v>
      </c>
      <c r="P947" s="7" t="s">
        <v>7569</v>
      </c>
      <c r="Q947" s="7" t="s">
        <v>3523</v>
      </c>
    </row>
    <row r="948">
      <c r="A948" s="7" t="s">
        <v>9741</v>
      </c>
      <c r="B948" s="7">
        <v>2100116.0</v>
      </c>
      <c r="C948" s="7" t="s">
        <v>9735</v>
      </c>
      <c r="D948" s="7" t="s">
        <v>3780</v>
      </c>
      <c r="E948" s="7" t="s">
        <v>9736</v>
      </c>
      <c r="F948" s="7" t="s">
        <v>3781</v>
      </c>
      <c r="G948" s="7" t="s">
        <v>9742</v>
      </c>
      <c r="H948" s="7" t="s">
        <v>9743</v>
      </c>
      <c r="I948" s="119">
        <v>45292.0</v>
      </c>
      <c r="K948" s="7" t="s">
        <v>419</v>
      </c>
      <c r="L948" s="7" t="s">
        <v>991</v>
      </c>
      <c r="M948" s="7" t="s">
        <v>3501</v>
      </c>
      <c r="N948" s="7" t="s">
        <v>6487</v>
      </c>
      <c r="O948" s="7" t="s">
        <v>6534</v>
      </c>
      <c r="P948" s="7" t="s">
        <v>3493</v>
      </c>
      <c r="Q948" s="7">
        <v>1.0</v>
      </c>
    </row>
    <row r="949">
      <c r="A949" s="7" t="s">
        <v>9744</v>
      </c>
      <c r="B949" s="7">
        <v>2200120.0</v>
      </c>
      <c r="C949" s="7" t="s">
        <v>9735</v>
      </c>
      <c r="D949" s="7" t="s">
        <v>9745</v>
      </c>
      <c r="E949" s="7" t="s">
        <v>9736</v>
      </c>
      <c r="F949" s="7" t="s">
        <v>3665</v>
      </c>
      <c r="G949" s="7" t="s">
        <v>9746</v>
      </c>
      <c r="H949" s="7" t="s">
        <v>9747</v>
      </c>
      <c r="I949" s="119">
        <v>45292.0</v>
      </c>
      <c r="K949" s="7" t="s">
        <v>419</v>
      </c>
      <c r="L949" s="7" t="s">
        <v>991</v>
      </c>
      <c r="M949" s="7" t="s">
        <v>3501</v>
      </c>
      <c r="N949" s="7" t="s">
        <v>8314</v>
      </c>
      <c r="O949" s="7" t="s">
        <v>8315</v>
      </c>
      <c r="P949" s="7" t="s">
        <v>3522</v>
      </c>
      <c r="Q949" s="7" t="s">
        <v>3523</v>
      </c>
    </row>
    <row r="950">
      <c r="A950" s="7" t="s">
        <v>9748</v>
      </c>
      <c r="B950" s="7">
        <v>12004.0</v>
      </c>
      <c r="C950" s="7" t="s">
        <v>9749</v>
      </c>
      <c r="D950" s="7" t="s">
        <v>3516</v>
      </c>
      <c r="E950" s="7" t="s">
        <v>9736</v>
      </c>
      <c r="F950" s="7" t="s">
        <v>3517</v>
      </c>
      <c r="G950" s="7" t="s">
        <v>9750</v>
      </c>
      <c r="H950" s="7" t="s">
        <v>9751</v>
      </c>
      <c r="I950" s="119">
        <v>45292.0</v>
      </c>
      <c r="K950" s="7" t="s">
        <v>419</v>
      </c>
      <c r="L950" s="7" t="s">
        <v>991</v>
      </c>
      <c r="M950" s="7" t="s">
        <v>3501</v>
      </c>
      <c r="N950" s="7" t="s">
        <v>9752</v>
      </c>
      <c r="O950" s="7" t="s">
        <v>9753</v>
      </c>
      <c r="P950" s="7" t="s">
        <v>3493</v>
      </c>
      <c r="Q950" s="7">
        <v>1.0</v>
      </c>
    </row>
    <row r="951">
      <c r="A951" s="7" t="s">
        <v>9754</v>
      </c>
      <c r="B951" s="7">
        <v>10838.0</v>
      </c>
      <c r="C951" s="7" t="s">
        <v>9755</v>
      </c>
      <c r="D951" s="7" t="s">
        <v>7892</v>
      </c>
      <c r="E951" s="7" t="s">
        <v>5872</v>
      </c>
      <c r="F951" s="7" t="s">
        <v>7892</v>
      </c>
      <c r="G951" s="7" t="s">
        <v>9756</v>
      </c>
      <c r="H951" s="7" t="s">
        <v>9757</v>
      </c>
      <c r="I951" s="119">
        <v>45292.0</v>
      </c>
      <c r="K951" s="7" t="s">
        <v>419</v>
      </c>
      <c r="L951" s="7" t="s">
        <v>991</v>
      </c>
      <c r="M951" s="7" t="s">
        <v>3501</v>
      </c>
      <c r="N951" s="7" t="s">
        <v>4987</v>
      </c>
      <c r="O951" s="7" t="s">
        <v>9758</v>
      </c>
      <c r="P951" s="7" t="s">
        <v>9759</v>
      </c>
      <c r="Q951" s="7" t="s">
        <v>9760</v>
      </c>
    </row>
    <row r="952">
      <c r="A952" s="7" t="s">
        <v>9761</v>
      </c>
      <c r="B952" s="7">
        <v>11516.0</v>
      </c>
      <c r="C952" s="7" t="s">
        <v>9762</v>
      </c>
      <c r="D952" s="7" t="s">
        <v>9763</v>
      </c>
      <c r="E952" s="7" t="s">
        <v>9764</v>
      </c>
      <c r="F952" s="7" t="s">
        <v>4632</v>
      </c>
      <c r="G952" s="7" t="s">
        <v>9765</v>
      </c>
      <c r="H952" s="7" t="s">
        <v>9766</v>
      </c>
      <c r="I952" s="119">
        <v>45292.0</v>
      </c>
      <c r="K952" s="7" t="s">
        <v>6654</v>
      </c>
      <c r="L952" s="7" t="s">
        <v>6655</v>
      </c>
      <c r="M952" s="7" t="s">
        <v>6656</v>
      </c>
      <c r="N952" s="7" t="s">
        <v>4290</v>
      </c>
      <c r="O952" s="7" t="s">
        <v>9767</v>
      </c>
      <c r="P952" s="7" t="s">
        <v>3522</v>
      </c>
      <c r="Q952" s="7" t="s">
        <v>3514</v>
      </c>
    </row>
    <row r="953">
      <c r="A953" s="7" t="s">
        <v>9768</v>
      </c>
      <c r="B953" s="7">
        <v>14284.0</v>
      </c>
      <c r="C953" s="7" t="s">
        <v>9769</v>
      </c>
      <c r="D953" s="7" t="s">
        <v>9770</v>
      </c>
      <c r="E953" s="7" t="s">
        <v>9771</v>
      </c>
      <c r="F953" s="7" t="s">
        <v>9772</v>
      </c>
      <c r="G953" s="7" t="s">
        <v>9773</v>
      </c>
      <c r="H953" s="7" t="s">
        <v>9774</v>
      </c>
      <c r="I953" s="119">
        <v>45292.0</v>
      </c>
      <c r="K953" s="7" t="s">
        <v>3632</v>
      </c>
      <c r="L953" s="7" t="s">
        <v>991</v>
      </c>
      <c r="M953" s="7" t="s">
        <v>3531</v>
      </c>
      <c r="N953" s="7" t="s">
        <v>5952</v>
      </c>
      <c r="O953" s="7" t="s">
        <v>9775</v>
      </c>
      <c r="P953" s="7" t="s">
        <v>3493</v>
      </c>
      <c r="Q953" s="7">
        <v>1.0</v>
      </c>
    </row>
    <row r="954">
      <c r="A954" s="7" t="s">
        <v>9776</v>
      </c>
      <c r="B954" s="7">
        <v>2200250.0</v>
      </c>
      <c r="C954" s="7" t="s">
        <v>9777</v>
      </c>
      <c r="D954" s="7" t="s">
        <v>9778</v>
      </c>
      <c r="E954" s="7" t="s">
        <v>9779</v>
      </c>
      <c r="F954" s="7" t="s">
        <v>4478</v>
      </c>
      <c r="G954" s="7" t="s">
        <v>9780</v>
      </c>
      <c r="H954" s="7" t="s">
        <v>9781</v>
      </c>
      <c r="I954" s="119">
        <v>45292.0</v>
      </c>
      <c r="K954" s="7" t="s">
        <v>3632</v>
      </c>
      <c r="L954" s="7" t="s">
        <v>991</v>
      </c>
      <c r="M954" s="7" t="s">
        <v>3501</v>
      </c>
      <c r="N954" s="7" t="s">
        <v>4542</v>
      </c>
      <c r="O954" s="7" t="s">
        <v>9782</v>
      </c>
      <c r="P954" s="7" t="s">
        <v>4154</v>
      </c>
      <c r="Q954" s="7" t="s">
        <v>4155</v>
      </c>
    </row>
    <row r="955">
      <c r="A955" s="7" t="s">
        <v>9783</v>
      </c>
      <c r="B955" s="7">
        <v>12591.0</v>
      </c>
      <c r="C955" s="7" t="s">
        <v>9777</v>
      </c>
      <c r="D955" s="7" t="s">
        <v>9784</v>
      </c>
      <c r="E955" s="7" t="s">
        <v>9779</v>
      </c>
      <c r="F955" s="7" t="s">
        <v>9785</v>
      </c>
      <c r="G955" s="7" t="s">
        <v>9786</v>
      </c>
      <c r="H955" s="7" t="s">
        <v>9787</v>
      </c>
      <c r="I955" s="119">
        <v>45292.0</v>
      </c>
      <c r="K955" s="7" t="s">
        <v>419</v>
      </c>
      <c r="L955" s="7" t="s">
        <v>991</v>
      </c>
      <c r="M955" s="7" t="s">
        <v>3531</v>
      </c>
      <c r="N955" s="7" t="s">
        <v>8583</v>
      </c>
      <c r="O955" s="7" t="s">
        <v>8584</v>
      </c>
      <c r="P955" s="7" t="s">
        <v>3493</v>
      </c>
      <c r="Q955" s="7">
        <v>1.0</v>
      </c>
    </row>
    <row r="956">
      <c r="A956" s="7" t="s">
        <v>9788</v>
      </c>
      <c r="B956" s="7">
        <v>2100017.0</v>
      </c>
      <c r="C956" s="7" t="s">
        <v>9789</v>
      </c>
      <c r="D956" s="7" t="s">
        <v>9790</v>
      </c>
      <c r="E956" s="7" t="s">
        <v>9791</v>
      </c>
      <c r="F956" s="7" t="s">
        <v>9490</v>
      </c>
      <c r="G956" s="7" t="s">
        <v>9792</v>
      </c>
      <c r="H956" s="7" t="s">
        <v>9793</v>
      </c>
      <c r="I956" s="119">
        <v>45292.0</v>
      </c>
      <c r="J956" s="7" t="s">
        <v>3929</v>
      </c>
      <c r="K956" s="7" t="s">
        <v>419</v>
      </c>
      <c r="L956" s="7" t="s">
        <v>991</v>
      </c>
      <c r="M956" s="7" t="s">
        <v>3501</v>
      </c>
      <c r="N956" s="7" t="s">
        <v>8472</v>
      </c>
      <c r="O956" s="7" t="s">
        <v>9794</v>
      </c>
      <c r="P956" s="7" t="s">
        <v>3493</v>
      </c>
      <c r="Q956" s="7">
        <v>1.0</v>
      </c>
    </row>
    <row r="957">
      <c r="A957" s="7" t="s">
        <v>9795</v>
      </c>
      <c r="B957" s="7">
        <v>3000103.0</v>
      </c>
      <c r="C957" s="7" t="s">
        <v>9796</v>
      </c>
      <c r="D957" s="7" t="s">
        <v>9797</v>
      </c>
      <c r="E957" s="7" t="s">
        <v>9798</v>
      </c>
      <c r="F957" s="7" t="s">
        <v>9799</v>
      </c>
      <c r="G957" s="7" t="s">
        <v>9800</v>
      </c>
      <c r="H957" s="7" t="s">
        <v>9801</v>
      </c>
      <c r="I957" s="119">
        <v>45474.0</v>
      </c>
      <c r="K957" s="7" t="s">
        <v>419</v>
      </c>
      <c r="L957" s="7" t="s">
        <v>991</v>
      </c>
      <c r="M957" s="7" t="s">
        <v>3490</v>
      </c>
      <c r="N957" s="7" t="s">
        <v>8132</v>
      </c>
      <c r="O957" s="7" t="s">
        <v>9802</v>
      </c>
      <c r="P957" s="7" t="s">
        <v>8086</v>
      </c>
      <c r="Q957" s="7" t="s">
        <v>3942</v>
      </c>
    </row>
    <row r="958">
      <c r="A958" s="7" t="s">
        <v>9803</v>
      </c>
      <c r="B958" s="7">
        <v>10554.0</v>
      </c>
      <c r="C958" s="7" t="s">
        <v>9804</v>
      </c>
      <c r="D958" s="7" t="s">
        <v>9805</v>
      </c>
      <c r="E958" s="7" t="s">
        <v>9806</v>
      </c>
      <c r="F958" s="7" t="s">
        <v>4598</v>
      </c>
      <c r="G958" s="7" t="s">
        <v>9807</v>
      </c>
      <c r="H958" s="7" t="s">
        <v>9808</v>
      </c>
      <c r="I958" s="119">
        <v>45292.0</v>
      </c>
      <c r="K958" s="7" t="s">
        <v>419</v>
      </c>
      <c r="L958" s="7" t="s">
        <v>991</v>
      </c>
      <c r="M958" s="7" t="s">
        <v>3501</v>
      </c>
      <c r="N958" s="7" t="s">
        <v>6353</v>
      </c>
      <c r="O958" s="7" t="s">
        <v>6354</v>
      </c>
      <c r="P958" s="7" t="s">
        <v>3522</v>
      </c>
      <c r="Q958" s="7" t="s">
        <v>3523</v>
      </c>
    </row>
    <row r="959">
      <c r="A959" s="7" t="s">
        <v>9809</v>
      </c>
      <c r="B959" s="7">
        <v>10617.0</v>
      </c>
      <c r="C959" s="7" t="s">
        <v>9810</v>
      </c>
      <c r="D959" s="7" t="s">
        <v>9811</v>
      </c>
      <c r="E959" s="7" t="s">
        <v>9812</v>
      </c>
      <c r="F959" s="7" t="s">
        <v>3831</v>
      </c>
      <c r="G959" s="7" t="s">
        <v>9813</v>
      </c>
      <c r="H959" s="7" t="s">
        <v>9814</v>
      </c>
      <c r="I959" s="119">
        <v>45292.0</v>
      </c>
      <c r="J959" s="7" t="s">
        <v>3929</v>
      </c>
      <c r="K959" s="7" t="s">
        <v>419</v>
      </c>
      <c r="L959" s="7" t="s">
        <v>991</v>
      </c>
      <c r="M959" s="7" t="s">
        <v>3501</v>
      </c>
      <c r="N959" s="7" t="s">
        <v>7974</v>
      </c>
      <c r="O959" s="7" t="s">
        <v>7975</v>
      </c>
      <c r="P959" s="7" t="s">
        <v>3843</v>
      </c>
      <c r="Q959" s="7">
        <v>1.0</v>
      </c>
    </row>
    <row r="960">
      <c r="A960" s="7" t="s">
        <v>9815</v>
      </c>
      <c r="B960" s="7">
        <v>2300072.0</v>
      </c>
      <c r="C960" s="7" t="s">
        <v>9816</v>
      </c>
      <c r="D960" s="7" t="s">
        <v>9817</v>
      </c>
      <c r="E960" s="7" t="s">
        <v>9818</v>
      </c>
      <c r="F960" s="7" t="s">
        <v>9819</v>
      </c>
      <c r="G960" s="7" t="s">
        <v>9820</v>
      </c>
      <c r="H960" s="7" t="s">
        <v>9821</v>
      </c>
      <c r="I960" s="119">
        <v>45292.0</v>
      </c>
      <c r="K960" s="7" t="s">
        <v>419</v>
      </c>
      <c r="L960" s="7" t="s">
        <v>991</v>
      </c>
      <c r="M960" s="7" t="s">
        <v>3531</v>
      </c>
      <c r="N960" s="7" t="s">
        <v>5795</v>
      </c>
      <c r="O960" s="7" t="s">
        <v>5796</v>
      </c>
      <c r="P960" s="7" t="s">
        <v>3493</v>
      </c>
      <c r="Q960" s="7">
        <v>1.0</v>
      </c>
    </row>
    <row r="961">
      <c r="A961" s="7" t="s">
        <v>9822</v>
      </c>
      <c r="B961" s="7">
        <v>2200744.0</v>
      </c>
      <c r="C961" s="7" t="s">
        <v>9816</v>
      </c>
      <c r="D961" s="7" t="s">
        <v>9823</v>
      </c>
      <c r="E961" s="7" t="s">
        <v>9818</v>
      </c>
      <c r="F961" s="7" t="s">
        <v>9824</v>
      </c>
      <c r="G961" s="7" t="s">
        <v>9825</v>
      </c>
      <c r="H961" s="7" t="s">
        <v>9826</v>
      </c>
      <c r="I961" s="119">
        <v>45292.0</v>
      </c>
      <c r="K961" s="7" t="s">
        <v>419</v>
      </c>
      <c r="L961" s="7" t="s">
        <v>991</v>
      </c>
      <c r="M961" s="7" t="s">
        <v>3531</v>
      </c>
      <c r="N961" s="7" t="s">
        <v>4557</v>
      </c>
      <c r="O961" s="7" t="s">
        <v>4558</v>
      </c>
      <c r="P961" s="7" t="s">
        <v>3493</v>
      </c>
      <c r="Q961" s="7">
        <v>1.0</v>
      </c>
    </row>
    <row r="962">
      <c r="A962" s="7" t="s">
        <v>9827</v>
      </c>
      <c r="B962" s="7">
        <v>2100079.0</v>
      </c>
      <c r="C962" s="7" t="s">
        <v>9828</v>
      </c>
      <c r="D962" s="7" t="s">
        <v>9829</v>
      </c>
      <c r="E962" s="7" t="s">
        <v>9818</v>
      </c>
      <c r="F962" s="7" t="s">
        <v>3639</v>
      </c>
      <c r="G962" s="7" t="s">
        <v>9830</v>
      </c>
      <c r="H962" s="7" t="s">
        <v>9831</v>
      </c>
      <c r="I962" s="119">
        <v>45292.0</v>
      </c>
      <c r="K962" s="7" t="s">
        <v>419</v>
      </c>
      <c r="L962" s="7" t="s">
        <v>991</v>
      </c>
      <c r="M962" s="7" t="s">
        <v>3531</v>
      </c>
      <c r="N962" s="7" t="s">
        <v>6487</v>
      </c>
      <c r="O962" s="7" t="s">
        <v>6534</v>
      </c>
      <c r="P962" s="7" t="s">
        <v>3493</v>
      </c>
      <c r="Q962" s="7">
        <v>1.0</v>
      </c>
    </row>
    <row r="963">
      <c r="A963" s="7" t="s">
        <v>9832</v>
      </c>
      <c r="B963" s="7">
        <v>2200035.0</v>
      </c>
      <c r="C963" s="7" t="s">
        <v>9833</v>
      </c>
      <c r="D963" s="7" t="s">
        <v>4620</v>
      </c>
      <c r="E963" s="7" t="s">
        <v>9834</v>
      </c>
      <c r="F963" s="7" t="s">
        <v>3792</v>
      </c>
      <c r="G963" s="7" t="s">
        <v>9835</v>
      </c>
      <c r="H963" s="7" t="s">
        <v>9836</v>
      </c>
      <c r="I963" s="119">
        <v>45292.0</v>
      </c>
      <c r="K963" s="7" t="s">
        <v>419</v>
      </c>
      <c r="L963" s="7" t="s">
        <v>991</v>
      </c>
      <c r="M963" s="7" t="s">
        <v>3501</v>
      </c>
      <c r="N963" s="7" t="s">
        <v>9837</v>
      </c>
      <c r="O963" s="7" t="s">
        <v>9838</v>
      </c>
      <c r="P963" s="7" t="s">
        <v>3785</v>
      </c>
      <c r="Q963" s="7" t="s">
        <v>3523</v>
      </c>
    </row>
    <row r="964">
      <c r="A964" s="7" t="s">
        <v>9839</v>
      </c>
      <c r="B964" s="7">
        <v>2200072.0</v>
      </c>
      <c r="C964" s="7" t="s">
        <v>9840</v>
      </c>
      <c r="D964" s="7" t="s">
        <v>9841</v>
      </c>
      <c r="E964" s="7" t="s">
        <v>9842</v>
      </c>
      <c r="F964" s="7" t="s">
        <v>5759</v>
      </c>
      <c r="G964" s="7" t="s">
        <v>9843</v>
      </c>
      <c r="H964" s="7" t="s">
        <v>9844</v>
      </c>
      <c r="I964" s="119">
        <v>45292.0</v>
      </c>
      <c r="K964" s="7" t="s">
        <v>419</v>
      </c>
      <c r="L964" s="7" t="s">
        <v>991</v>
      </c>
      <c r="M964" s="7" t="s">
        <v>3501</v>
      </c>
      <c r="N964" s="7" t="s">
        <v>4317</v>
      </c>
      <c r="O964" s="7" t="s">
        <v>4318</v>
      </c>
      <c r="P964" s="7" t="s">
        <v>3522</v>
      </c>
      <c r="Q964" s="7" t="s">
        <v>3523</v>
      </c>
    </row>
    <row r="965">
      <c r="A965" s="7" t="s">
        <v>9845</v>
      </c>
      <c r="B965" s="7">
        <v>1113.0</v>
      </c>
      <c r="C965" s="7" t="s">
        <v>9840</v>
      </c>
      <c r="D965" s="7" t="s">
        <v>5614</v>
      </c>
      <c r="E965" s="7" t="s">
        <v>9842</v>
      </c>
      <c r="F965" s="7" t="s">
        <v>3656</v>
      </c>
      <c r="G965" s="7" t="s">
        <v>9846</v>
      </c>
      <c r="H965" s="7" t="s">
        <v>9847</v>
      </c>
      <c r="I965" s="119">
        <v>45292.0</v>
      </c>
      <c r="K965" s="7" t="s">
        <v>419</v>
      </c>
      <c r="L965" s="7" t="s">
        <v>991</v>
      </c>
      <c r="M965" s="7" t="s">
        <v>3501</v>
      </c>
      <c r="N965" s="7" t="s">
        <v>9848</v>
      </c>
      <c r="O965" s="7" t="s">
        <v>9849</v>
      </c>
      <c r="P965" s="7" t="s">
        <v>3493</v>
      </c>
      <c r="Q965" s="7">
        <v>1.0</v>
      </c>
    </row>
    <row r="966">
      <c r="A966" s="7" t="s">
        <v>9850</v>
      </c>
      <c r="B966" s="7">
        <v>2300467.0</v>
      </c>
      <c r="C966" s="7" t="s">
        <v>9851</v>
      </c>
      <c r="D966" s="7" t="s">
        <v>9852</v>
      </c>
      <c r="E966" s="7" t="s">
        <v>9853</v>
      </c>
      <c r="F966" s="7" t="s">
        <v>6800</v>
      </c>
      <c r="G966" s="7" t="s">
        <v>9854</v>
      </c>
      <c r="H966" s="7" t="s">
        <v>9855</v>
      </c>
      <c r="I966" s="119">
        <v>45292.0</v>
      </c>
      <c r="K966" s="7" t="s">
        <v>419</v>
      </c>
      <c r="L966" s="7" t="s">
        <v>991</v>
      </c>
      <c r="M966" s="7" t="s">
        <v>3866</v>
      </c>
      <c r="N966" s="7" t="s">
        <v>5197</v>
      </c>
      <c r="O966" s="7" t="s">
        <v>9856</v>
      </c>
      <c r="P966" s="7" t="s">
        <v>9857</v>
      </c>
      <c r="Q966" s="7" t="s">
        <v>9858</v>
      </c>
    </row>
    <row r="967">
      <c r="A967" s="7" t="s">
        <v>9859</v>
      </c>
      <c r="B967" s="7">
        <v>2100264.0</v>
      </c>
      <c r="C967" s="7" t="s">
        <v>9860</v>
      </c>
      <c r="D967" s="7" t="s">
        <v>6121</v>
      </c>
      <c r="E967" s="7" t="s">
        <v>9861</v>
      </c>
      <c r="F967" s="7" t="s">
        <v>9862</v>
      </c>
      <c r="G967" s="7" t="s">
        <v>9863</v>
      </c>
      <c r="H967" s="7" t="s">
        <v>9864</v>
      </c>
      <c r="I967" s="119">
        <v>45292.0</v>
      </c>
      <c r="K967" s="7" t="s">
        <v>3541</v>
      </c>
      <c r="L967" s="7" t="s">
        <v>3542</v>
      </c>
      <c r="M967" s="7" t="s">
        <v>3543</v>
      </c>
      <c r="N967" s="7" t="s">
        <v>5117</v>
      </c>
      <c r="O967" s="7" t="s">
        <v>9865</v>
      </c>
      <c r="P967" s="7" t="s">
        <v>3697</v>
      </c>
      <c r="Q967" s="7" t="s">
        <v>3687</v>
      </c>
    </row>
    <row r="968">
      <c r="A968" s="7" t="s">
        <v>9866</v>
      </c>
      <c r="B968" s="7">
        <v>2200370.0</v>
      </c>
      <c r="C968" s="7" t="s">
        <v>9867</v>
      </c>
      <c r="D968" s="7" t="s">
        <v>9868</v>
      </c>
      <c r="E968" s="7" t="s">
        <v>9861</v>
      </c>
      <c r="F968" s="7" t="s">
        <v>7266</v>
      </c>
      <c r="G968" s="7" t="s">
        <v>9869</v>
      </c>
      <c r="H968" s="7" t="s">
        <v>9870</v>
      </c>
      <c r="I968" s="119">
        <v>45292.0</v>
      </c>
      <c r="K968" s="7" t="s">
        <v>419</v>
      </c>
      <c r="L968" s="7" t="s">
        <v>991</v>
      </c>
      <c r="M968" s="7" t="s">
        <v>3501</v>
      </c>
      <c r="N968" s="7" t="s">
        <v>6595</v>
      </c>
      <c r="O968" s="7" t="s">
        <v>9871</v>
      </c>
      <c r="P968" s="7" t="s">
        <v>3522</v>
      </c>
      <c r="Q968" s="7" t="s">
        <v>3523</v>
      </c>
    </row>
    <row r="969">
      <c r="A969" s="7" t="s">
        <v>9872</v>
      </c>
      <c r="B969" s="7">
        <v>12694.0</v>
      </c>
      <c r="C969" s="7" t="s">
        <v>9873</v>
      </c>
      <c r="D969" s="7" t="s">
        <v>9874</v>
      </c>
      <c r="E969" s="7" t="s">
        <v>9875</v>
      </c>
      <c r="F969" s="7" t="s">
        <v>7361</v>
      </c>
      <c r="G969" s="7" t="s">
        <v>9876</v>
      </c>
      <c r="H969" s="7" t="s">
        <v>9877</v>
      </c>
      <c r="I969" s="119">
        <v>45292.0</v>
      </c>
      <c r="J969" s="7" t="s">
        <v>3929</v>
      </c>
      <c r="K969" s="7" t="s">
        <v>419</v>
      </c>
      <c r="L969" s="7" t="s">
        <v>991</v>
      </c>
      <c r="M969" s="7" t="s">
        <v>3501</v>
      </c>
      <c r="N969" s="7" t="s">
        <v>8472</v>
      </c>
      <c r="O969" s="7" t="s">
        <v>9794</v>
      </c>
      <c r="P969" s="7" t="s">
        <v>3493</v>
      </c>
      <c r="Q969" s="7">
        <v>1.0</v>
      </c>
    </row>
    <row r="970">
      <c r="A970" s="7" t="s">
        <v>9878</v>
      </c>
      <c r="B970" s="7">
        <v>3001057.0</v>
      </c>
      <c r="C970" s="7" t="s">
        <v>9879</v>
      </c>
      <c r="D970" s="7" t="s">
        <v>9880</v>
      </c>
      <c r="E970" s="7" t="s">
        <v>9881</v>
      </c>
      <c r="F970" s="7" t="s">
        <v>9882</v>
      </c>
      <c r="G970" s="7" t="s">
        <v>9883</v>
      </c>
      <c r="H970" s="7" t="s">
        <v>9884</v>
      </c>
      <c r="I970" s="119">
        <v>45292.0</v>
      </c>
      <c r="K970" s="7" t="s">
        <v>419</v>
      </c>
      <c r="L970" s="7" t="s">
        <v>991</v>
      </c>
      <c r="M970" s="7" t="s">
        <v>3490</v>
      </c>
      <c r="N970" s="7" t="s">
        <v>4499</v>
      </c>
      <c r="O970" s="7" t="s">
        <v>9885</v>
      </c>
      <c r="P970" s="7" t="s">
        <v>3697</v>
      </c>
      <c r="Q970" s="7" t="s">
        <v>3687</v>
      </c>
    </row>
    <row r="971">
      <c r="A971" s="7" t="s">
        <v>9886</v>
      </c>
      <c r="B971" s="7">
        <v>1011.0</v>
      </c>
      <c r="C971" s="7" t="s">
        <v>9887</v>
      </c>
      <c r="D971" s="7" t="s">
        <v>8442</v>
      </c>
      <c r="E971" s="7" t="s">
        <v>9888</v>
      </c>
      <c r="F971" s="7" t="s">
        <v>4929</v>
      </c>
      <c r="G971" s="7" t="s">
        <v>9889</v>
      </c>
      <c r="H971" s="7" t="s">
        <v>9890</v>
      </c>
      <c r="I971" s="119">
        <v>45292.0</v>
      </c>
      <c r="K971" s="7" t="s">
        <v>419</v>
      </c>
      <c r="L971" s="7" t="s">
        <v>991</v>
      </c>
      <c r="M971" s="7" t="s">
        <v>3501</v>
      </c>
      <c r="N971" s="7" t="s">
        <v>9891</v>
      </c>
      <c r="O971" s="7" t="s">
        <v>9892</v>
      </c>
      <c r="P971" s="7" t="s">
        <v>3522</v>
      </c>
      <c r="Q971" s="7" t="s">
        <v>3523</v>
      </c>
    </row>
    <row r="972">
      <c r="A972" s="7" t="s">
        <v>1532</v>
      </c>
      <c r="B972" s="7">
        <v>1089.0</v>
      </c>
      <c r="C972" s="7" t="s">
        <v>9893</v>
      </c>
      <c r="D972" s="7" t="s">
        <v>9894</v>
      </c>
      <c r="E972" s="7" t="s">
        <v>9895</v>
      </c>
      <c r="F972" s="7" t="s">
        <v>3781</v>
      </c>
      <c r="G972" s="7" t="s">
        <v>9896</v>
      </c>
      <c r="H972" s="7" t="s">
        <v>9897</v>
      </c>
      <c r="I972" s="119">
        <v>45292.0</v>
      </c>
      <c r="K972" s="7" t="s">
        <v>419</v>
      </c>
      <c r="L972" s="7" t="s">
        <v>991</v>
      </c>
      <c r="M972" s="7" t="s">
        <v>3501</v>
      </c>
      <c r="N972" s="7" t="s">
        <v>9898</v>
      </c>
      <c r="O972" s="7" t="s">
        <v>9899</v>
      </c>
      <c r="P972" s="7" t="s">
        <v>4420</v>
      </c>
      <c r="Q972" s="7" t="s">
        <v>3523</v>
      </c>
    </row>
    <row r="973">
      <c r="A973" s="7" t="s">
        <v>9900</v>
      </c>
      <c r="B973" s="7">
        <v>2300096.0</v>
      </c>
      <c r="C973" s="7" t="s">
        <v>9893</v>
      </c>
      <c r="D973" s="7" t="s">
        <v>9901</v>
      </c>
      <c r="E973" s="7" t="s">
        <v>9895</v>
      </c>
      <c r="F973" s="7" t="s">
        <v>9902</v>
      </c>
      <c r="G973" s="7" t="s">
        <v>9903</v>
      </c>
      <c r="H973" s="7" t="s">
        <v>9904</v>
      </c>
      <c r="I973" s="119">
        <v>45292.0</v>
      </c>
      <c r="K973" s="7" t="s">
        <v>419</v>
      </c>
      <c r="L973" s="7" t="s">
        <v>991</v>
      </c>
      <c r="M973" s="7" t="s">
        <v>3583</v>
      </c>
      <c r="N973" s="7" t="s">
        <v>4549</v>
      </c>
      <c r="O973" s="7" t="s">
        <v>9905</v>
      </c>
      <c r="P973" s="7" t="s">
        <v>4551</v>
      </c>
      <c r="Q973" s="7" t="s">
        <v>4552</v>
      </c>
    </row>
    <row r="974">
      <c r="A974" s="7" t="s">
        <v>9906</v>
      </c>
      <c r="B974" s="7">
        <v>2200469.0</v>
      </c>
      <c r="C974" s="7" t="s">
        <v>9907</v>
      </c>
      <c r="D974" s="7" t="s">
        <v>9908</v>
      </c>
      <c r="E974" s="7" t="s">
        <v>9909</v>
      </c>
      <c r="F974" s="7" t="s">
        <v>9910</v>
      </c>
      <c r="G974" s="7" t="s">
        <v>9911</v>
      </c>
      <c r="H974" s="7" t="s">
        <v>9912</v>
      </c>
      <c r="I974" s="119">
        <v>45292.0</v>
      </c>
      <c r="K974" s="7" t="s">
        <v>419</v>
      </c>
      <c r="L974" s="7" t="s">
        <v>991</v>
      </c>
      <c r="M974" s="7" t="s">
        <v>3531</v>
      </c>
      <c r="N974" s="7" t="s">
        <v>6487</v>
      </c>
      <c r="O974" s="7" t="s">
        <v>6534</v>
      </c>
      <c r="P974" s="7" t="s">
        <v>3493</v>
      </c>
      <c r="Q974" s="7">
        <v>1.0</v>
      </c>
    </row>
    <row r="975">
      <c r="A975" s="7" t="s">
        <v>9913</v>
      </c>
      <c r="B975" s="7">
        <v>2300616.0</v>
      </c>
      <c r="C975" s="7" t="s">
        <v>9907</v>
      </c>
      <c r="D975" s="7" t="s">
        <v>9914</v>
      </c>
      <c r="E975" s="7" t="s">
        <v>9909</v>
      </c>
      <c r="F975" s="7" t="s">
        <v>9915</v>
      </c>
      <c r="G975" s="7" t="s">
        <v>9916</v>
      </c>
      <c r="H975" s="7" t="s">
        <v>9917</v>
      </c>
      <c r="I975" s="119">
        <v>45292.0</v>
      </c>
      <c r="K975" s="7" t="s">
        <v>419</v>
      </c>
      <c r="L975" s="7" t="s">
        <v>991</v>
      </c>
      <c r="M975" s="7" t="s">
        <v>3531</v>
      </c>
      <c r="N975" s="7" t="s">
        <v>4096</v>
      </c>
      <c r="O975" s="7" t="s">
        <v>4097</v>
      </c>
      <c r="P975" s="7" t="s">
        <v>3493</v>
      </c>
      <c r="Q975" s="7">
        <v>1.0</v>
      </c>
    </row>
    <row r="976">
      <c r="A976" s="7" t="s">
        <v>9918</v>
      </c>
      <c r="B976" s="7">
        <v>2100438.0</v>
      </c>
      <c r="C976" s="7" t="s">
        <v>9907</v>
      </c>
      <c r="D976" s="7" t="s">
        <v>9919</v>
      </c>
      <c r="E976" s="7" t="s">
        <v>9909</v>
      </c>
      <c r="F976" s="7" t="s">
        <v>7872</v>
      </c>
      <c r="G976" s="7" t="s">
        <v>9920</v>
      </c>
      <c r="H976" s="7" t="s">
        <v>9921</v>
      </c>
      <c r="I976" s="119">
        <v>45292.0</v>
      </c>
      <c r="K976" s="7" t="s">
        <v>419</v>
      </c>
      <c r="L976" s="7" t="s">
        <v>991</v>
      </c>
      <c r="M976" s="7" t="s">
        <v>3501</v>
      </c>
      <c r="N976" s="7" t="s">
        <v>5655</v>
      </c>
      <c r="O976" s="7" t="s">
        <v>9922</v>
      </c>
      <c r="P976" s="7" t="s">
        <v>3604</v>
      </c>
      <c r="Q976" s="7">
        <v>1.0</v>
      </c>
    </row>
    <row r="977">
      <c r="A977" s="7" t="s">
        <v>9923</v>
      </c>
      <c r="B977" s="7">
        <v>11748.0</v>
      </c>
      <c r="C977" s="7" t="s">
        <v>9907</v>
      </c>
      <c r="D977" s="7" t="s">
        <v>9924</v>
      </c>
      <c r="E977" s="7" t="s">
        <v>9909</v>
      </c>
      <c r="F977" s="7" t="s">
        <v>8058</v>
      </c>
      <c r="G977" s="7" t="s">
        <v>9925</v>
      </c>
      <c r="H977" s="7" t="s">
        <v>9926</v>
      </c>
      <c r="I977" s="119">
        <v>45292.0</v>
      </c>
      <c r="K977" s="7" t="s">
        <v>419</v>
      </c>
      <c r="L977" s="7" t="s">
        <v>991</v>
      </c>
      <c r="M977" s="7" t="s">
        <v>3501</v>
      </c>
      <c r="N977" s="7" t="s">
        <v>9927</v>
      </c>
      <c r="O977" s="7" t="s">
        <v>9928</v>
      </c>
      <c r="P977" s="7" t="s">
        <v>3894</v>
      </c>
      <c r="Q977" s="7" t="s">
        <v>3523</v>
      </c>
    </row>
    <row r="978">
      <c r="A978" s="7" t="s">
        <v>9929</v>
      </c>
      <c r="B978" s="7">
        <v>2200463.0</v>
      </c>
      <c r="C978" s="7" t="s">
        <v>9907</v>
      </c>
      <c r="D978" s="7" t="s">
        <v>9930</v>
      </c>
      <c r="E978" s="7" t="s">
        <v>9909</v>
      </c>
      <c r="F978" s="7" t="s">
        <v>9931</v>
      </c>
      <c r="G978" s="7" t="s">
        <v>9932</v>
      </c>
      <c r="I978" s="119">
        <v>45292.0</v>
      </c>
      <c r="K978" s="7" t="s">
        <v>419</v>
      </c>
      <c r="L978" s="7" t="s">
        <v>991</v>
      </c>
      <c r="M978" s="7" t="s">
        <v>3531</v>
      </c>
      <c r="N978" s="7" t="s">
        <v>3820</v>
      </c>
      <c r="O978" s="7" t="s">
        <v>3821</v>
      </c>
      <c r="P978" s="7" t="s">
        <v>3493</v>
      </c>
      <c r="Q978" s="7">
        <v>1.0</v>
      </c>
    </row>
    <row r="979">
      <c r="A979" s="7" t="s">
        <v>9933</v>
      </c>
      <c r="B979" s="7">
        <v>2100674.0</v>
      </c>
      <c r="C979" s="7" t="s">
        <v>9907</v>
      </c>
      <c r="D979" s="7" t="s">
        <v>9934</v>
      </c>
      <c r="E979" s="7" t="s">
        <v>9909</v>
      </c>
      <c r="F979" s="7" t="s">
        <v>4487</v>
      </c>
      <c r="G979" s="7" t="s">
        <v>9935</v>
      </c>
      <c r="H979" s="7" t="s">
        <v>9936</v>
      </c>
      <c r="I979" s="119">
        <v>45292.0</v>
      </c>
      <c r="K979" s="7" t="s">
        <v>419</v>
      </c>
      <c r="L979" s="7" t="s">
        <v>991</v>
      </c>
      <c r="M979" s="7" t="s">
        <v>3501</v>
      </c>
      <c r="N979" s="7" t="s">
        <v>8039</v>
      </c>
      <c r="O979" s="7" t="s">
        <v>8040</v>
      </c>
      <c r="P979" s="7" t="s">
        <v>3493</v>
      </c>
      <c r="Q979" s="7">
        <v>1.0</v>
      </c>
    </row>
    <row r="980">
      <c r="A980" s="7" t="s">
        <v>9937</v>
      </c>
      <c r="B980" s="7">
        <v>13537.0</v>
      </c>
      <c r="C980" s="7" t="s">
        <v>9907</v>
      </c>
      <c r="D980" s="7" t="s">
        <v>9938</v>
      </c>
      <c r="E980" s="7" t="s">
        <v>9909</v>
      </c>
      <c r="F980" s="7" t="s">
        <v>9939</v>
      </c>
      <c r="G980" s="7" t="s">
        <v>9940</v>
      </c>
      <c r="H980" s="7" t="s">
        <v>9941</v>
      </c>
      <c r="I980" s="119">
        <v>45292.0</v>
      </c>
      <c r="K980" s="7" t="s">
        <v>419</v>
      </c>
      <c r="L980" s="7" t="s">
        <v>991</v>
      </c>
      <c r="M980" s="7" t="s">
        <v>3531</v>
      </c>
      <c r="N980" s="7" t="s">
        <v>3532</v>
      </c>
      <c r="O980" s="7" t="s">
        <v>3533</v>
      </c>
      <c r="P980" s="7" t="s">
        <v>3493</v>
      </c>
      <c r="Q980" s="7">
        <v>1.0</v>
      </c>
    </row>
    <row r="981">
      <c r="A981" s="7" t="s">
        <v>9942</v>
      </c>
      <c r="B981" s="7">
        <v>2200232.0</v>
      </c>
      <c r="C981" s="7" t="s">
        <v>9907</v>
      </c>
      <c r="D981" s="7" t="s">
        <v>9943</v>
      </c>
      <c r="E981" s="7" t="s">
        <v>9909</v>
      </c>
      <c r="F981" s="7" t="s">
        <v>9944</v>
      </c>
      <c r="G981" s="7" t="s">
        <v>9945</v>
      </c>
      <c r="H981" s="7" t="s">
        <v>9946</v>
      </c>
      <c r="I981" s="119">
        <v>45292.0</v>
      </c>
      <c r="K981" s="7" t="s">
        <v>4405</v>
      </c>
      <c r="L981" s="7" t="s">
        <v>4406</v>
      </c>
      <c r="M981" s="7" t="s">
        <v>7791</v>
      </c>
      <c r="N981" s="7" t="s">
        <v>3886</v>
      </c>
      <c r="O981" s="7" t="s">
        <v>9947</v>
      </c>
      <c r="P981" s="7" t="s">
        <v>4154</v>
      </c>
      <c r="Q981" s="7" t="s">
        <v>4155</v>
      </c>
    </row>
    <row r="982">
      <c r="A982" s="7" t="s">
        <v>9948</v>
      </c>
      <c r="B982" s="7">
        <v>2300293.0</v>
      </c>
      <c r="C982" s="7" t="s">
        <v>9907</v>
      </c>
      <c r="D982" s="7" t="s">
        <v>9949</v>
      </c>
      <c r="E982" s="7" t="s">
        <v>9909</v>
      </c>
      <c r="F982" s="7" t="s">
        <v>9950</v>
      </c>
      <c r="G982" s="7" t="s">
        <v>9951</v>
      </c>
      <c r="H982" s="7" t="s">
        <v>9952</v>
      </c>
      <c r="I982" s="119">
        <v>45292.0</v>
      </c>
      <c r="K982" s="7" t="s">
        <v>419</v>
      </c>
      <c r="L982" s="7" t="s">
        <v>991</v>
      </c>
      <c r="M982" s="7" t="s">
        <v>3531</v>
      </c>
      <c r="N982" s="7" t="s">
        <v>9953</v>
      </c>
      <c r="O982" s="7" t="s">
        <v>9954</v>
      </c>
      <c r="P982" s="7" t="s">
        <v>3493</v>
      </c>
      <c r="Q982" s="7">
        <v>1.0</v>
      </c>
    </row>
    <row r="983">
      <c r="A983" s="7" t="s">
        <v>9955</v>
      </c>
      <c r="B983" s="7">
        <v>10287.0</v>
      </c>
      <c r="C983" s="7" t="s">
        <v>9907</v>
      </c>
      <c r="D983" s="7" t="s">
        <v>9956</v>
      </c>
      <c r="E983" s="7" t="s">
        <v>9909</v>
      </c>
      <c r="F983" s="7" t="s">
        <v>4371</v>
      </c>
      <c r="G983" s="7" t="s">
        <v>9957</v>
      </c>
      <c r="H983" s="7" t="s">
        <v>9958</v>
      </c>
      <c r="I983" s="119">
        <v>45292.0</v>
      </c>
      <c r="K983" s="7" t="s">
        <v>419</v>
      </c>
      <c r="L983" s="7" t="s">
        <v>991</v>
      </c>
      <c r="M983" s="7" t="s">
        <v>3501</v>
      </c>
      <c r="N983" s="7" t="s">
        <v>8699</v>
      </c>
      <c r="O983" s="7" t="s">
        <v>8700</v>
      </c>
      <c r="P983" s="7" t="s">
        <v>3493</v>
      </c>
      <c r="Q983" s="7">
        <v>1.0</v>
      </c>
    </row>
    <row r="984">
      <c r="A984" s="7" t="s">
        <v>9959</v>
      </c>
      <c r="B984" s="7">
        <v>1226.0</v>
      </c>
      <c r="C984" s="7" t="s">
        <v>9907</v>
      </c>
      <c r="D984" s="7" t="s">
        <v>9960</v>
      </c>
      <c r="E984" s="7" t="s">
        <v>9909</v>
      </c>
      <c r="F984" s="7" t="s">
        <v>3656</v>
      </c>
      <c r="G984" s="7" t="s">
        <v>9961</v>
      </c>
      <c r="H984" s="7" t="s">
        <v>9962</v>
      </c>
      <c r="I984" s="119">
        <v>45292.0</v>
      </c>
      <c r="K984" s="7" t="s">
        <v>419</v>
      </c>
      <c r="L984" s="7" t="s">
        <v>991</v>
      </c>
      <c r="M984" s="7" t="s">
        <v>3501</v>
      </c>
      <c r="N984" s="7" t="s">
        <v>9963</v>
      </c>
      <c r="O984" s="7" t="s">
        <v>9964</v>
      </c>
      <c r="P984" s="7" t="s">
        <v>3843</v>
      </c>
      <c r="Q984" s="7">
        <v>1.0</v>
      </c>
    </row>
    <row r="985">
      <c r="A985" s="7" t="s">
        <v>9965</v>
      </c>
      <c r="B985" s="7">
        <v>2100004.0</v>
      </c>
      <c r="C985" s="7" t="s">
        <v>9907</v>
      </c>
      <c r="D985" s="7" t="s">
        <v>9797</v>
      </c>
      <c r="E985" s="7" t="s">
        <v>9909</v>
      </c>
      <c r="F985" s="7" t="s">
        <v>9799</v>
      </c>
      <c r="G985" s="7" t="s">
        <v>9966</v>
      </c>
      <c r="H985" s="7" t="s">
        <v>9967</v>
      </c>
      <c r="I985" s="119">
        <v>45292.0</v>
      </c>
      <c r="K985" s="7" t="s">
        <v>419</v>
      </c>
      <c r="L985" s="7" t="s">
        <v>991</v>
      </c>
      <c r="M985" s="7" t="s">
        <v>3501</v>
      </c>
      <c r="N985" s="7" t="s">
        <v>7662</v>
      </c>
      <c r="O985" s="7" t="s">
        <v>7663</v>
      </c>
      <c r="P985" s="7" t="s">
        <v>3493</v>
      </c>
      <c r="Q985" s="7">
        <v>1.0</v>
      </c>
    </row>
    <row r="986">
      <c r="A986" s="7" t="s">
        <v>9968</v>
      </c>
      <c r="B986" s="7">
        <v>11186.0</v>
      </c>
      <c r="C986" s="7" t="s">
        <v>9907</v>
      </c>
      <c r="D986" s="7" t="s">
        <v>5962</v>
      </c>
      <c r="E986" s="7" t="s">
        <v>9909</v>
      </c>
      <c r="F986" s="7" t="s">
        <v>5723</v>
      </c>
      <c r="G986" s="7" t="s">
        <v>9969</v>
      </c>
      <c r="H986" s="7" t="s">
        <v>9970</v>
      </c>
      <c r="I986" s="119">
        <v>45292.0</v>
      </c>
      <c r="K986" s="7" t="s">
        <v>419</v>
      </c>
      <c r="L986" s="7" t="s">
        <v>991</v>
      </c>
      <c r="M986" s="7" t="s">
        <v>3501</v>
      </c>
      <c r="N986" s="7" t="s">
        <v>8583</v>
      </c>
      <c r="O986" s="7" t="s">
        <v>8584</v>
      </c>
      <c r="P986" s="7" t="s">
        <v>3493</v>
      </c>
      <c r="Q986" s="7">
        <v>1.0</v>
      </c>
    </row>
    <row r="987">
      <c r="A987" s="7" t="s">
        <v>9971</v>
      </c>
      <c r="B987" s="7">
        <v>12238.0</v>
      </c>
      <c r="C987" s="7" t="s">
        <v>9972</v>
      </c>
      <c r="D987" s="7" t="s">
        <v>9973</v>
      </c>
      <c r="E987" s="7" t="s">
        <v>9974</v>
      </c>
      <c r="F987" s="7" t="s">
        <v>9975</v>
      </c>
      <c r="G987" s="7" t="s">
        <v>9976</v>
      </c>
      <c r="H987" s="7" t="s">
        <v>9977</v>
      </c>
      <c r="I987" s="119">
        <v>45292.0</v>
      </c>
      <c r="K987" s="7" t="s">
        <v>419</v>
      </c>
      <c r="L987" s="7" t="s">
        <v>991</v>
      </c>
      <c r="M987" s="7" t="s">
        <v>3501</v>
      </c>
      <c r="N987" s="7" t="s">
        <v>3574</v>
      </c>
      <c r="O987" s="7" t="s">
        <v>7225</v>
      </c>
      <c r="P987" s="7" t="s">
        <v>3493</v>
      </c>
      <c r="Q987" s="7">
        <v>1.0</v>
      </c>
    </row>
    <row r="988">
      <c r="A988" s="7" t="s">
        <v>9978</v>
      </c>
      <c r="B988" s="7">
        <v>2200710.0</v>
      </c>
      <c r="C988" s="7" t="s">
        <v>9979</v>
      </c>
      <c r="D988" s="7" t="s">
        <v>9980</v>
      </c>
      <c r="E988" s="7" t="s">
        <v>9974</v>
      </c>
      <c r="F988" s="7" t="s">
        <v>9981</v>
      </c>
      <c r="G988" s="7" t="s">
        <v>9982</v>
      </c>
      <c r="H988" s="7" t="s">
        <v>9983</v>
      </c>
      <c r="I988" s="119">
        <v>45292.0</v>
      </c>
      <c r="K988" s="7" t="s">
        <v>4042</v>
      </c>
      <c r="L988" s="7" t="s">
        <v>991</v>
      </c>
      <c r="M988" s="7" t="s">
        <v>3501</v>
      </c>
      <c r="N988" s="7" t="s">
        <v>4043</v>
      </c>
      <c r="O988" s="7" t="s">
        <v>4044</v>
      </c>
      <c r="P988" s="7" t="s">
        <v>3493</v>
      </c>
      <c r="Q988" s="7">
        <v>1.0</v>
      </c>
    </row>
    <row r="989">
      <c r="A989" s="7" t="s">
        <v>9984</v>
      </c>
      <c r="B989" s="7">
        <v>13853.0</v>
      </c>
      <c r="C989" s="7" t="s">
        <v>9985</v>
      </c>
      <c r="D989" s="7" t="s">
        <v>9986</v>
      </c>
      <c r="E989" s="7" t="s">
        <v>9974</v>
      </c>
      <c r="F989" s="7" t="s">
        <v>9561</v>
      </c>
      <c r="G989" s="7" t="s">
        <v>9987</v>
      </c>
      <c r="H989" s="7" t="s">
        <v>9988</v>
      </c>
      <c r="I989" s="119">
        <v>45292.0</v>
      </c>
      <c r="K989" s="7" t="s">
        <v>419</v>
      </c>
      <c r="L989" s="7" t="s">
        <v>991</v>
      </c>
      <c r="M989" s="7" t="s">
        <v>3501</v>
      </c>
      <c r="N989" s="7" t="s">
        <v>4290</v>
      </c>
      <c r="O989" s="7" t="s">
        <v>9989</v>
      </c>
      <c r="P989" s="7" t="s">
        <v>3522</v>
      </c>
      <c r="Q989" s="7" t="s">
        <v>3523</v>
      </c>
    </row>
    <row r="990">
      <c r="A990" s="7" t="s">
        <v>9990</v>
      </c>
      <c r="B990" s="7">
        <v>13995.0</v>
      </c>
      <c r="C990" s="7" t="s">
        <v>9991</v>
      </c>
      <c r="D990" s="7" t="s">
        <v>9992</v>
      </c>
      <c r="E990" s="7" t="s">
        <v>9993</v>
      </c>
      <c r="F990" s="7" t="s">
        <v>9994</v>
      </c>
      <c r="G990" s="7" t="s">
        <v>9995</v>
      </c>
      <c r="H990" s="7" t="s">
        <v>9996</v>
      </c>
      <c r="I990" s="119">
        <v>45292.0</v>
      </c>
      <c r="K990" s="7" t="s">
        <v>3632</v>
      </c>
      <c r="L990" s="7" t="s">
        <v>991</v>
      </c>
      <c r="M990" s="7" t="s">
        <v>3501</v>
      </c>
      <c r="N990" s="7" t="s">
        <v>9997</v>
      </c>
      <c r="O990" s="7" t="s">
        <v>9998</v>
      </c>
      <c r="P990" s="7" t="s">
        <v>3522</v>
      </c>
      <c r="Q990" s="7" t="s">
        <v>3514</v>
      </c>
    </row>
    <row r="991">
      <c r="A991" s="7" t="s">
        <v>1561</v>
      </c>
      <c r="B991" s="7">
        <v>12458.0</v>
      </c>
      <c r="C991" s="7" t="s">
        <v>9991</v>
      </c>
      <c r="D991" s="7" t="s">
        <v>9999</v>
      </c>
      <c r="E991" s="7" t="s">
        <v>9993</v>
      </c>
      <c r="F991" s="7" t="s">
        <v>3549</v>
      </c>
      <c r="G991" s="7" t="s">
        <v>10000</v>
      </c>
      <c r="H991" s="7" t="s">
        <v>10001</v>
      </c>
      <c r="I991" s="119">
        <v>45292.0</v>
      </c>
      <c r="K991" s="7" t="s">
        <v>419</v>
      </c>
      <c r="L991" s="7" t="s">
        <v>991</v>
      </c>
      <c r="M991" s="7" t="s">
        <v>3501</v>
      </c>
      <c r="N991" s="7" t="s">
        <v>10002</v>
      </c>
      <c r="O991" s="7" t="s">
        <v>10003</v>
      </c>
      <c r="P991" s="7" t="s">
        <v>7569</v>
      </c>
      <c r="Q991" s="7" t="s">
        <v>3523</v>
      </c>
    </row>
    <row r="992">
      <c r="A992" s="7" t="s">
        <v>10004</v>
      </c>
      <c r="B992" s="7">
        <v>255.0</v>
      </c>
      <c r="C992" s="7" t="s">
        <v>10005</v>
      </c>
      <c r="D992" s="7" t="s">
        <v>4453</v>
      </c>
      <c r="E992" s="7" t="s">
        <v>10006</v>
      </c>
      <c r="F992" s="7" t="s">
        <v>4455</v>
      </c>
      <c r="G992" s="7" t="s">
        <v>10007</v>
      </c>
      <c r="H992" s="7" t="s">
        <v>10008</v>
      </c>
      <c r="I992" s="119">
        <v>45292.0</v>
      </c>
      <c r="K992" s="7" t="s">
        <v>419</v>
      </c>
      <c r="L992" s="7" t="s">
        <v>991</v>
      </c>
      <c r="M992" s="7" t="s">
        <v>3501</v>
      </c>
      <c r="N992" s="7" t="s">
        <v>6345</v>
      </c>
      <c r="O992" s="7" t="s">
        <v>6346</v>
      </c>
      <c r="P992" s="7" t="s">
        <v>3493</v>
      </c>
      <c r="Q992" s="7">
        <v>1.0</v>
      </c>
    </row>
    <row r="993">
      <c r="A993" s="7" t="s">
        <v>10009</v>
      </c>
      <c r="B993" s="7">
        <v>10529.0</v>
      </c>
      <c r="C993" s="7" t="s">
        <v>10005</v>
      </c>
      <c r="D993" s="7" t="s">
        <v>10010</v>
      </c>
      <c r="E993" s="7" t="s">
        <v>10006</v>
      </c>
      <c r="F993" s="7" t="s">
        <v>4687</v>
      </c>
      <c r="G993" s="7" t="s">
        <v>10011</v>
      </c>
      <c r="H993" s="7" t="s">
        <v>10012</v>
      </c>
      <c r="I993" s="119">
        <v>45292.0</v>
      </c>
      <c r="K993" s="7" t="s">
        <v>419</v>
      </c>
      <c r="L993" s="7" t="s">
        <v>991</v>
      </c>
      <c r="M993" s="7" t="s">
        <v>3501</v>
      </c>
      <c r="N993" s="7" t="s">
        <v>4367</v>
      </c>
      <c r="O993" s="7" t="s">
        <v>4368</v>
      </c>
      <c r="P993" s="7" t="s">
        <v>3493</v>
      </c>
      <c r="Q993" s="7">
        <v>1.0</v>
      </c>
    </row>
    <row r="994">
      <c r="A994" s="7" t="s">
        <v>10013</v>
      </c>
      <c r="B994" s="7">
        <v>11749.0</v>
      </c>
      <c r="C994" s="7" t="s">
        <v>10005</v>
      </c>
      <c r="D994" s="7" t="s">
        <v>10014</v>
      </c>
      <c r="E994" s="7" t="s">
        <v>10006</v>
      </c>
      <c r="F994" s="7" t="s">
        <v>10015</v>
      </c>
      <c r="G994" s="7" t="s">
        <v>10016</v>
      </c>
      <c r="H994" s="7" t="s">
        <v>10017</v>
      </c>
      <c r="I994" s="119">
        <v>45292.0</v>
      </c>
      <c r="J994" s="7" t="s">
        <v>3929</v>
      </c>
      <c r="K994" s="7" t="s">
        <v>419</v>
      </c>
      <c r="L994" s="7" t="s">
        <v>991</v>
      </c>
      <c r="M994" s="7" t="s">
        <v>3501</v>
      </c>
      <c r="N994" s="7" t="s">
        <v>10018</v>
      </c>
      <c r="O994" s="7" t="s">
        <v>10019</v>
      </c>
      <c r="P994" s="7" t="s">
        <v>3493</v>
      </c>
      <c r="Q994" s="7">
        <v>1.0</v>
      </c>
    </row>
    <row r="995">
      <c r="A995" s="7" t="s">
        <v>10020</v>
      </c>
      <c r="B995" s="7">
        <v>11415.0</v>
      </c>
      <c r="C995" s="7" t="s">
        <v>10005</v>
      </c>
      <c r="D995" s="7" t="s">
        <v>10021</v>
      </c>
      <c r="E995" s="7" t="s">
        <v>10006</v>
      </c>
      <c r="F995" s="7" t="s">
        <v>4424</v>
      </c>
      <c r="G995" s="7" t="s">
        <v>10022</v>
      </c>
      <c r="H995" s="7" t="s">
        <v>10023</v>
      </c>
      <c r="I995" s="119">
        <v>45292.0</v>
      </c>
      <c r="K995" s="7" t="s">
        <v>419</v>
      </c>
      <c r="L995" s="7" t="s">
        <v>991</v>
      </c>
      <c r="M995" s="7" t="s">
        <v>3501</v>
      </c>
      <c r="N995" s="7" t="s">
        <v>10024</v>
      </c>
      <c r="O995" s="7" t="s">
        <v>10025</v>
      </c>
      <c r="P995" s="7" t="s">
        <v>3493</v>
      </c>
      <c r="Q995" s="7">
        <v>1.0</v>
      </c>
    </row>
    <row r="996">
      <c r="A996" s="7" t="s">
        <v>10026</v>
      </c>
      <c r="B996" s="7">
        <v>8385.0</v>
      </c>
      <c r="C996" s="7" t="s">
        <v>10005</v>
      </c>
      <c r="D996" s="7" t="s">
        <v>10027</v>
      </c>
      <c r="E996" s="7" t="s">
        <v>10006</v>
      </c>
      <c r="F996" s="7" t="s">
        <v>4478</v>
      </c>
      <c r="G996" s="7" t="s">
        <v>10028</v>
      </c>
      <c r="H996" s="7" t="s">
        <v>10029</v>
      </c>
      <c r="I996" s="119">
        <v>45292.0</v>
      </c>
      <c r="K996" s="7" t="s">
        <v>419</v>
      </c>
      <c r="L996" s="7" t="s">
        <v>991</v>
      </c>
      <c r="M996" s="7" t="s">
        <v>3531</v>
      </c>
      <c r="N996" s="7" t="s">
        <v>4810</v>
      </c>
      <c r="O996" s="7" t="s">
        <v>4811</v>
      </c>
      <c r="P996" s="7" t="s">
        <v>3493</v>
      </c>
      <c r="Q996" s="7">
        <v>1.0</v>
      </c>
    </row>
    <row r="997">
      <c r="A997" s="7" t="s">
        <v>10030</v>
      </c>
      <c r="B997" s="7">
        <v>2100491.0</v>
      </c>
      <c r="C997" s="7" t="s">
        <v>10005</v>
      </c>
      <c r="D997" s="7" t="s">
        <v>10031</v>
      </c>
      <c r="E997" s="7" t="s">
        <v>10006</v>
      </c>
      <c r="F997" s="7" t="s">
        <v>6061</v>
      </c>
      <c r="G997" s="7" t="s">
        <v>10032</v>
      </c>
      <c r="H997" s="7" t="s">
        <v>10033</v>
      </c>
      <c r="I997" s="119">
        <v>45292.0</v>
      </c>
      <c r="K997" s="7" t="s">
        <v>5973</v>
      </c>
      <c r="L997" s="7" t="s">
        <v>3542</v>
      </c>
      <c r="M997" s="7" t="s">
        <v>4383</v>
      </c>
      <c r="N997" s="7" t="s">
        <v>6595</v>
      </c>
      <c r="O997" s="7" t="s">
        <v>10034</v>
      </c>
      <c r="P997" s="7" t="s">
        <v>4183</v>
      </c>
      <c r="Q997" s="7" t="s">
        <v>3555</v>
      </c>
    </row>
    <row r="998">
      <c r="A998" s="7" t="s">
        <v>10035</v>
      </c>
      <c r="B998" s="7">
        <v>1094.0</v>
      </c>
      <c r="C998" s="7" t="s">
        <v>10036</v>
      </c>
      <c r="D998" s="7" t="s">
        <v>10037</v>
      </c>
      <c r="E998" s="7" t="s">
        <v>10038</v>
      </c>
      <c r="F998" s="7" t="s">
        <v>4546</v>
      </c>
      <c r="G998" s="7" t="s">
        <v>10039</v>
      </c>
      <c r="H998" s="7" t="s">
        <v>10040</v>
      </c>
      <c r="I998" s="119">
        <v>45292.0</v>
      </c>
      <c r="J998" s="7" t="s">
        <v>3929</v>
      </c>
      <c r="K998" s="7" t="s">
        <v>419</v>
      </c>
      <c r="L998" s="7" t="s">
        <v>991</v>
      </c>
      <c r="M998" s="7" t="s">
        <v>3501</v>
      </c>
      <c r="N998" s="7" t="s">
        <v>6847</v>
      </c>
      <c r="O998" s="7" t="s">
        <v>6848</v>
      </c>
      <c r="P998" s="7" t="s">
        <v>3522</v>
      </c>
      <c r="Q998" s="7" t="s">
        <v>3523</v>
      </c>
    </row>
    <row r="999">
      <c r="A999" s="7" t="s">
        <v>10041</v>
      </c>
      <c r="B999" s="7">
        <v>2300142.0</v>
      </c>
      <c r="C999" s="7" t="s">
        <v>10042</v>
      </c>
      <c r="D999" s="7" t="s">
        <v>10043</v>
      </c>
      <c r="E999" s="7" t="s">
        <v>10044</v>
      </c>
      <c r="F999" s="7" t="s">
        <v>10045</v>
      </c>
      <c r="G999" s="7" t="s">
        <v>10046</v>
      </c>
      <c r="H999" s="7" t="s">
        <v>10047</v>
      </c>
      <c r="I999" s="119">
        <v>45292.0</v>
      </c>
      <c r="K999" s="7" t="s">
        <v>419</v>
      </c>
      <c r="L999" s="7" t="s">
        <v>991</v>
      </c>
      <c r="M999" s="7" t="s">
        <v>3531</v>
      </c>
      <c r="N999" s="7" t="s">
        <v>3930</v>
      </c>
      <c r="O999" s="7" t="s">
        <v>3931</v>
      </c>
      <c r="P999" s="7" t="s">
        <v>3493</v>
      </c>
      <c r="Q999" s="7">
        <v>1.0</v>
      </c>
    </row>
    <row r="1000">
      <c r="A1000" s="7" t="s">
        <v>10048</v>
      </c>
      <c r="B1000" s="7">
        <v>13608.0</v>
      </c>
      <c r="C1000" s="7" t="s">
        <v>10049</v>
      </c>
      <c r="D1000" s="7" t="s">
        <v>9518</v>
      </c>
      <c r="E1000" s="7" t="s">
        <v>10050</v>
      </c>
      <c r="F1000" s="7" t="s">
        <v>4487</v>
      </c>
      <c r="G1000" s="7" t="s">
        <v>10051</v>
      </c>
      <c r="H1000" s="7" t="s">
        <v>10052</v>
      </c>
      <c r="I1000" s="119">
        <v>45292.0</v>
      </c>
      <c r="K1000" s="7" t="s">
        <v>419</v>
      </c>
      <c r="L1000" s="7" t="s">
        <v>991</v>
      </c>
      <c r="M1000" s="7" t="s">
        <v>3501</v>
      </c>
      <c r="N1000" s="7" t="s">
        <v>9594</v>
      </c>
      <c r="O1000" s="7" t="s">
        <v>9595</v>
      </c>
      <c r="P1000" s="7" t="s">
        <v>3493</v>
      </c>
      <c r="Q1000" s="7">
        <v>1.0</v>
      </c>
    </row>
    <row r="1001">
      <c r="A1001" s="7" t="s">
        <v>10053</v>
      </c>
      <c r="B1001" s="7">
        <v>11149.0</v>
      </c>
      <c r="C1001" s="7" t="s">
        <v>10054</v>
      </c>
      <c r="D1001" s="7" t="s">
        <v>10055</v>
      </c>
      <c r="E1001" s="7" t="s">
        <v>10056</v>
      </c>
      <c r="F1001" s="7" t="s">
        <v>10057</v>
      </c>
      <c r="G1001" s="7" t="s">
        <v>10058</v>
      </c>
      <c r="H1001" s="7" t="s">
        <v>10059</v>
      </c>
      <c r="I1001" s="119">
        <v>45292.0</v>
      </c>
      <c r="K1001" s="7" t="s">
        <v>419</v>
      </c>
      <c r="L1001" s="7" t="s">
        <v>991</v>
      </c>
      <c r="M1001" s="7" t="s">
        <v>3501</v>
      </c>
      <c r="N1001" s="7" t="s">
        <v>6070</v>
      </c>
      <c r="O1001" s="7" t="s">
        <v>6071</v>
      </c>
      <c r="P1001" s="7" t="s">
        <v>3493</v>
      </c>
      <c r="Q1001" s="7">
        <v>1.0</v>
      </c>
    </row>
    <row r="1002">
      <c r="A1002" s="7" t="s">
        <v>10060</v>
      </c>
      <c r="B1002" s="7">
        <v>2300755.0</v>
      </c>
      <c r="C1002" s="7" t="s">
        <v>10061</v>
      </c>
      <c r="D1002" s="7" t="s">
        <v>10062</v>
      </c>
      <c r="E1002" s="7" t="s">
        <v>10063</v>
      </c>
      <c r="F1002" s="7" t="s">
        <v>10064</v>
      </c>
      <c r="G1002" s="7" t="s">
        <v>10065</v>
      </c>
      <c r="H1002" s="7" t="s">
        <v>10066</v>
      </c>
      <c r="I1002" s="119">
        <v>45292.0</v>
      </c>
      <c r="K1002" s="7" t="s">
        <v>419</v>
      </c>
      <c r="L1002" s="7" t="s">
        <v>991</v>
      </c>
      <c r="M1002" s="7" t="s">
        <v>3501</v>
      </c>
      <c r="N1002" s="7" t="s">
        <v>7827</v>
      </c>
      <c r="O1002" s="7" t="s">
        <v>7828</v>
      </c>
      <c r="P1002" s="7" t="s">
        <v>3493</v>
      </c>
      <c r="Q1002" s="7">
        <v>1.0</v>
      </c>
    </row>
    <row r="1003">
      <c r="A1003" s="7" t="s">
        <v>10067</v>
      </c>
      <c r="B1003" s="7">
        <v>2100001.0</v>
      </c>
      <c r="C1003" s="7" t="s">
        <v>10068</v>
      </c>
      <c r="D1003" s="7" t="s">
        <v>10069</v>
      </c>
      <c r="E1003" s="7" t="s">
        <v>10070</v>
      </c>
      <c r="F1003" s="7" t="s">
        <v>10071</v>
      </c>
      <c r="G1003" s="7" t="s">
        <v>10072</v>
      </c>
      <c r="H1003" s="7" t="s">
        <v>10073</v>
      </c>
      <c r="I1003" s="119">
        <v>45292.0</v>
      </c>
      <c r="K1003" s="7" t="s">
        <v>419</v>
      </c>
      <c r="L1003" s="7" t="s">
        <v>991</v>
      </c>
      <c r="M1003" s="7" t="s">
        <v>3501</v>
      </c>
      <c r="N1003" s="7" t="s">
        <v>7298</v>
      </c>
      <c r="O1003" s="7" t="s">
        <v>7379</v>
      </c>
      <c r="P1003" s="7" t="s">
        <v>3604</v>
      </c>
      <c r="Q1003" s="7">
        <v>1.0</v>
      </c>
    </row>
    <row r="1004">
      <c r="A1004" s="7" t="s">
        <v>10074</v>
      </c>
      <c r="B1004" s="7">
        <v>13813.0</v>
      </c>
      <c r="C1004" s="7" t="s">
        <v>10075</v>
      </c>
      <c r="D1004" s="7" t="s">
        <v>10076</v>
      </c>
      <c r="E1004" s="7" t="s">
        <v>10077</v>
      </c>
      <c r="F1004" s="7" t="s">
        <v>6811</v>
      </c>
      <c r="G1004" s="7" t="s">
        <v>10078</v>
      </c>
      <c r="H1004" s="7" t="s">
        <v>10079</v>
      </c>
      <c r="I1004" s="119">
        <v>45292.0</v>
      </c>
      <c r="K1004" s="7" t="s">
        <v>419</v>
      </c>
      <c r="L1004" s="7" t="s">
        <v>991</v>
      </c>
      <c r="M1004" s="7" t="s">
        <v>3501</v>
      </c>
      <c r="N1004" s="7" t="s">
        <v>10080</v>
      </c>
      <c r="O1004" s="7" t="s">
        <v>10081</v>
      </c>
      <c r="P1004" s="7" t="s">
        <v>3604</v>
      </c>
      <c r="Q1004" s="7">
        <v>1.0</v>
      </c>
    </row>
    <row r="1005">
      <c r="A1005" s="7" t="s">
        <v>10082</v>
      </c>
      <c r="B1005" s="7">
        <v>14145.0</v>
      </c>
      <c r="C1005" s="7" t="s">
        <v>10083</v>
      </c>
      <c r="D1005" s="7" t="s">
        <v>10084</v>
      </c>
      <c r="E1005" s="7" t="s">
        <v>10085</v>
      </c>
      <c r="F1005" s="7" t="s">
        <v>10086</v>
      </c>
      <c r="G1005" s="7" t="s">
        <v>10087</v>
      </c>
      <c r="H1005" s="7" t="s">
        <v>10088</v>
      </c>
      <c r="I1005" s="119">
        <v>45292.0</v>
      </c>
      <c r="K1005" s="7" t="s">
        <v>419</v>
      </c>
      <c r="L1005" s="7" t="s">
        <v>991</v>
      </c>
      <c r="M1005" s="7" t="s">
        <v>3501</v>
      </c>
      <c r="N1005" s="7" t="s">
        <v>4168</v>
      </c>
      <c r="O1005" s="7" t="s">
        <v>4169</v>
      </c>
      <c r="P1005" s="7" t="s">
        <v>3493</v>
      </c>
      <c r="Q1005" s="7">
        <v>1.0</v>
      </c>
    </row>
    <row r="1006">
      <c r="A1006" s="7" t="s">
        <v>10089</v>
      </c>
      <c r="B1006" s="7">
        <v>2200044.0</v>
      </c>
      <c r="C1006" s="7" t="s">
        <v>10090</v>
      </c>
      <c r="D1006" s="7" t="s">
        <v>10091</v>
      </c>
      <c r="E1006" s="7" t="s">
        <v>10092</v>
      </c>
      <c r="F1006" s="7" t="s">
        <v>10093</v>
      </c>
      <c r="G1006" s="7" t="s">
        <v>10094</v>
      </c>
      <c r="H1006" s="7" t="s">
        <v>10095</v>
      </c>
      <c r="I1006" s="119">
        <v>45292.0</v>
      </c>
      <c r="K1006" s="7" t="s">
        <v>419</v>
      </c>
      <c r="L1006" s="7" t="s">
        <v>991</v>
      </c>
      <c r="M1006" s="7" t="s">
        <v>3531</v>
      </c>
      <c r="N1006" s="7" t="s">
        <v>4979</v>
      </c>
      <c r="O1006" s="7" t="s">
        <v>4980</v>
      </c>
      <c r="P1006" s="7" t="s">
        <v>3493</v>
      </c>
      <c r="Q1006" s="7">
        <v>1.0</v>
      </c>
    </row>
    <row r="1007">
      <c r="A1007" s="7" t="s">
        <v>10096</v>
      </c>
      <c r="B1007" s="7">
        <v>730.0</v>
      </c>
      <c r="C1007" s="7" t="s">
        <v>10090</v>
      </c>
      <c r="D1007" s="7" t="s">
        <v>10097</v>
      </c>
      <c r="E1007" s="7" t="s">
        <v>10092</v>
      </c>
      <c r="F1007" s="7" t="s">
        <v>8036</v>
      </c>
      <c r="G1007" s="7" t="s">
        <v>10098</v>
      </c>
      <c r="H1007" s="7" t="s">
        <v>10099</v>
      </c>
      <c r="I1007" s="119">
        <v>45292.0</v>
      </c>
      <c r="K1007" s="7" t="s">
        <v>419</v>
      </c>
      <c r="L1007" s="7" t="s">
        <v>991</v>
      </c>
      <c r="M1007" s="7" t="s">
        <v>3501</v>
      </c>
      <c r="N1007" s="7" t="s">
        <v>5671</v>
      </c>
      <c r="O1007" s="7" t="s">
        <v>9697</v>
      </c>
      <c r="P1007" s="7" t="s">
        <v>3522</v>
      </c>
      <c r="Q1007" s="7" t="s">
        <v>3523</v>
      </c>
    </row>
    <row r="1008">
      <c r="A1008" s="7" t="s">
        <v>10100</v>
      </c>
      <c r="B1008" s="7">
        <v>2300376.0</v>
      </c>
      <c r="C1008" s="7" t="s">
        <v>10090</v>
      </c>
      <c r="D1008" s="7" t="s">
        <v>10101</v>
      </c>
      <c r="E1008" s="7" t="s">
        <v>10092</v>
      </c>
      <c r="F1008" s="7" t="s">
        <v>10102</v>
      </c>
      <c r="G1008" s="7" t="s">
        <v>10103</v>
      </c>
      <c r="H1008" s="7" t="s">
        <v>10104</v>
      </c>
      <c r="I1008" s="119">
        <v>45292.0</v>
      </c>
      <c r="K1008" s="7" t="s">
        <v>419</v>
      </c>
      <c r="L1008" s="7" t="s">
        <v>991</v>
      </c>
      <c r="M1008" s="7" t="s">
        <v>3531</v>
      </c>
      <c r="N1008" s="7" t="s">
        <v>4096</v>
      </c>
      <c r="O1008" s="7" t="s">
        <v>4097</v>
      </c>
      <c r="P1008" s="7" t="s">
        <v>3493</v>
      </c>
      <c r="Q1008" s="7">
        <v>1.0</v>
      </c>
    </row>
    <row r="1009">
      <c r="A1009" s="7" t="s">
        <v>2006</v>
      </c>
      <c r="B1009" s="7">
        <v>375.0</v>
      </c>
      <c r="C1009" s="7" t="s">
        <v>10090</v>
      </c>
      <c r="D1009" s="7" t="s">
        <v>10105</v>
      </c>
      <c r="E1009" s="7" t="s">
        <v>10092</v>
      </c>
      <c r="F1009" s="7" t="s">
        <v>5330</v>
      </c>
      <c r="G1009" s="7" t="s">
        <v>10106</v>
      </c>
      <c r="H1009" s="7" t="s">
        <v>10107</v>
      </c>
      <c r="I1009" s="119">
        <v>45292.0</v>
      </c>
      <c r="K1009" s="7" t="s">
        <v>419</v>
      </c>
      <c r="L1009" s="7" t="s">
        <v>991</v>
      </c>
      <c r="M1009" s="7" t="s">
        <v>3501</v>
      </c>
      <c r="N1009" s="7" t="s">
        <v>5444</v>
      </c>
      <c r="O1009" s="7" t="s">
        <v>10108</v>
      </c>
      <c r="P1009" s="7" t="s">
        <v>3493</v>
      </c>
      <c r="Q1009" s="7">
        <v>1.0</v>
      </c>
    </row>
    <row r="1010">
      <c r="A1010" s="7" t="s">
        <v>10109</v>
      </c>
      <c r="B1010" s="7">
        <v>11002.0</v>
      </c>
      <c r="C1010" s="7" t="s">
        <v>10090</v>
      </c>
      <c r="D1010" s="7" t="s">
        <v>4402</v>
      </c>
      <c r="E1010" s="7" t="s">
        <v>10092</v>
      </c>
      <c r="F1010" s="7" t="s">
        <v>4203</v>
      </c>
      <c r="G1010" s="7" t="s">
        <v>10110</v>
      </c>
      <c r="H1010" s="7" t="s">
        <v>10111</v>
      </c>
      <c r="I1010" s="119">
        <v>45292.0</v>
      </c>
      <c r="K1010" s="7" t="s">
        <v>419</v>
      </c>
      <c r="L1010" s="7" t="s">
        <v>991</v>
      </c>
      <c r="M1010" s="7" t="s">
        <v>3501</v>
      </c>
      <c r="N1010" s="7" t="s">
        <v>4317</v>
      </c>
      <c r="O1010" s="7" t="s">
        <v>4318</v>
      </c>
      <c r="P1010" s="7" t="s">
        <v>3522</v>
      </c>
      <c r="Q1010" s="7" t="s">
        <v>3523</v>
      </c>
    </row>
    <row r="1011">
      <c r="A1011" s="7" t="s">
        <v>10112</v>
      </c>
      <c r="B1011" s="7">
        <v>12808.0</v>
      </c>
      <c r="C1011" s="7" t="s">
        <v>10090</v>
      </c>
      <c r="D1011" s="7" t="s">
        <v>10113</v>
      </c>
      <c r="E1011" s="7" t="s">
        <v>10092</v>
      </c>
      <c r="F1011" s="7" t="s">
        <v>6576</v>
      </c>
      <c r="G1011" s="7" t="s">
        <v>10114</v>
      </c>
      <c r="H1011" s="7" t="s">
        <v>10115</v>
      </c>
      <c r="I1011" s="119">
        <v>45292.0</v>
      </c>
      <c r="K1011" s="7" t="s">
        <v>419</v>
      </c>
      <c r="L1011" s="7" t="s">
        <v>991</v>
      </c>
      <c r="M1011" s="7" t="s">
        <v>3501</v>
      </c>
      <c r="N1011" s="7" t="s">
        <v>6070</v>
      </c>
      <c r="O1011" s="7" t="s">
        <v>6071</v>
      </c>
      <c r="P1011" s="7" t="s">
        <v>3493</v>
      </c>
      <c r="Q1011" s="7">
        <v>1.0</v>
      </c>
    </row>
    <row r="1012">
      <c r="A1012" s="7" t="s">
        <v>10116</v>
      </c>
      <c r="B1012" s="7">
        <v>2200606.0</v>
      </c>
      <c r="C1012" s="7" t="s">
        <v>10090</v>
      </c>
      <c r="D1012" s="7" t="s">
        <v>10117</v>
      </c>
      <c r="E1012" s="7" t="s">
        <v>10092</v>
      </c>
      <c r="F1012" s="7" t="s">
        <v>10118</v>
      </c>
      <c r="G1012" s="7" t="s">
        <v>10119</v>
      </c>
      <c r="H1012" s="7" t="s">
        <v>10120</v>
      </c>
      <c r="I1012" s="119">
        <v>45292.0</v>
      </c>
      <c r="K1012" s="7" t="s">
        <v>419</v>
      </c>
      <c r="L1012" s="7" t="s">
        <v>991</v>
      </c>
      <c r="M1012" s="7" t="s">
        <v>3501</v>
      </c>
      <c r="N1012" s="7" t="s">
        <v>10121</v>
      </c>
      <c r="O1012" s="7" t="s">
        <v>10122</v>
      </c>
      <c r="P1012" s="7" t="s">
        <v>3493</v>
      </c>
      <c r="Q1012" s="7">
        <v>1.0</v>
      </c>
    </row>
    <row r="1013">
      <c r="A1013" s="7" t="s">
        <v>10123</v>
      </c>
      <c r="B1013" s="7">
        <v>3000045.0</v>
      </c>
      <c r="C1013" s="7" t="s">
        <v>10124</v>
      </c>
      <c r="D1013" s="7" t="s">
        <v>10125</v>
      </c>
      <c r="E1013" s="7" t="s">
        <v>10126</v>
      </c>
      <c r="F1013" s="7" t="s">
        <v>10127</v>
      </c>
      <c r="G1013" s="7" t="s">
        <v>10128</v>
      </c>
      <c r="H1013" s="7" t="s">
        <v>10129</v>
      </c>
      <c r="I1013" s="119">
        <v>45444.0</v>
      </c>
      <c r="J1013" s="7" t="s">
        <v>3929</v>
      </c>
      <c r="K1013" s="7" t="s">
        <v>419</v>
      </c>
      <c r="L1013" s="7" t="s">
        <v>991</v>
      </c>
      <c r="M1013" s="7" t="s">
        <v>3501</v>
      </c>
      <c r="N1013" s="7" t="s">
        <v>8550</v>
      </c>
      <c r="O1013" s="7" t="s">
        <v>8551</v>
      </c>
      <c r="P1013" s="7" t="s">
        <v>3493</v>
      </c>
      <c r="Q1013" s="7">
        <v>1.0</v>
      </c>
    </row>
    <row r="1014">
      <c r="A1014" s="7" t="s">
        <v>1769</v>
      </c>
      <c r="B1014" s="7">
        <v>10286.0</v>
      </c>
      <c r="C1014" s="7" t="s">
        <v>10130</v>
      </c>
      <c r="D1014" s="7" t="s">
        <v>5489</v>
      </c>
      <c r="E1014" s="7" t="s">
        <v>10131</v>
      </c>
      <c r="F1014" s="7" t="s">
        <v>10132</v>
      </c>
      <c r="G1014" s="7" t="s">
        <v>10133</v>
      </c>
      <c r="H1014" s="7" t="s">
        <v>10134</v>
      </c>
      <c r="I1014" s="119">
        <v>45292.0</v>
      </c>
      <c r="K1014" s="7" t="s">
        <v>419</v>
      </c>
      <c r="L1014" s="7" t="s">
        <v>991</v>
      </c>
      <c r="M1014" s="7" t="s">
        <v>3501</v>
      </c>
      <c r="N1014" s="7" t="s">
        <v>10135</v>
      </c>
      <c r="O1014" s="7" t="s">
        <v>10136</v>
      </c>
      <c r="P1014" s="7" t="s">
        <v>3785</v>
      </c>
      <c r="Q1014" s="7" t="s">
        <v>3523</v>
      </c>
    </row>
    <row r="1015">
      <c r="A1015" s="7" t="s">
        <v>10137</v>
      </c>
      <c r="B1015" s="7">
        <v>11847.0</v>
      </c>
      <c r="C1015" s="7" t="s">
        <v>10138</v>
      </c>
      <c r="D1015" s="7" t="s">
        <v>10139</v>
      </c>
      <c r="E1015" s="7" t="s">
        <v>10140</v>
      </c>
      <c r="F1015" s="7" t="s">
        <v>10139</v>
      </c>
      <c r="G1015" s="7" t="s">
        <v>10141</v>
      </c>
      <c r="H1015" s="7" t="s">
        <v>10142</v>
      </c>
      <c r="I1015" s="119">
        <v>45292.0</v>
      </c>
      <c r="K1015" s="7" t="s">
        <v>419</v>
      </c>
      <c r="L1015" s="7" t="s">
        <v>991</v>
      </c>
      <c r="M1015" s="7" t="s">
        <v>3501</v>
      </c>
      <c r="N1015" s="7" t="s">
        <v>6714</v>
      </c>
      <c r="O1015" s="7" t="s">
        <v>10143</v>
      </c>
      <c r="P1015" s="7" t="s">
        <v>3493</v>
      </c>
      <c r="Q1015" s="7">
        <v>1.0</v>
      </c>
    </row>
    <row r="1016">
      <c r="A1016" s="7" t="s">
        <v>10144</v>
      </c>
      <c r="B1016" s="7">
        <v>11473.0</v>
      </c>
      <c r="C1016" s="7" t="s">
        <v>10145</v>
      </c>
      <c r="D1016" s="7" t="s">
        <v>10146</v>
      </c>
      <c r="E1016" s="7" t="s">
        <v>10147</v>
      </c>
      <c r="F1016" s="7" t="s">
        <v>6253</v>
      </c>
      <c r="G1016" s="7" t="s">
        <v>10148</v>
      </c>
      <c r="H1016" s="7" t="s">
        <v>10149</v>
      </c>
      <c r="I1016" s="119">
        <v>45292.0</v>
      </c>
      <c r="K1016" s="7" t="s">
        <v>419</v>
      </c>
      <c r="L1016" s="7" t="s">
        <v>991</v>
      </c>
      <c r="M1016" s="7" t="s">
        <v>3501</v>
      </c>
      <c r="N1016" s="7" t="s">
        <v>7487</v>
      </c>
      <c r="O1016" s="7" t="s">
        <v>10150</v>
      </c>
      <c r="P1016" s="7" t="s">
        <v>3785</v>
      </c>
      <c r="Q1016" s="7" t="s">
        <v>3523</v>
      </c>
    </row>
    <row r="1017">
      <c r="A1017" s="7" t="s">
        <v>10151</v>
      </c>
      <c r="B1017" s="7">
        <v>2100002.0</v>
      </c>
      <c r="C1017" s="7" t="s">
        <v>10152</v>
      </c>
      <c r="D1017" s="7" t="s">
        <v>10153</v>
      </c>
      <c r="E1017" s="7" t="s">
        <v>10154</v>
      </c>
      <c r="F1017" s="7" t="s">
        <v>10155</v>
      </c>
      <c r="G1017" s="7" t="s">
        <v>10156</v>
      </c>
      <c r="H1017" s="7" t="s">
        <v>10157</v>
      </c>
      <c r="I1017" s="119">
        <v>45292.0</v>
      </c>
      <c r="K1017" s="7" t="s">
        <v>419</v>
      </c>
      <c r="L1017" s="7" t="s">
        <v>991</v>
      </c>
      <c r="M1017" s="7" t="s">
        <v>3501</v>
      </c>
      <c r="N1017" s="7" t="s">
        <v>4623</v>
      </c>
      <c r="O1017" s="7" t="s">
        <v>4624</v>
      </c>
      <c r="P1017" s="7" t="s">
        <v>3493</v>
      </c>
      <c r="Q1017" s="7">
        <v>1.0</v>
      </c>
    </row>
    <row r="1018">
      <c r="A1018" s="7" t="s">
        <v>10158</v>
      </c>
      <c r="B1018" s="7">
        <v>2100495.0</v>
      </c>
      <c r="C1018" s="7" t="s">
        <v>10152</v>
      </c>
      <c r="D1018" s="7" t="s">
        <v>10159</v>
      </c>
      <c r="E1018" s="7" t="s">
        <v>10154</v>
      </c>
      <c r="F1018" s="7" t="s">
        <v>10160</v>
      </c>
      <c r="G1018" s="7" t="s">
        <v>10161</v>
      </c>
      <c r="H1018" s="7" t="s">
        <v>10162</v>
      </c>
      <c r="I1018" s="119">
        <v>45292.0</v>
      </c>
      <c r="K1018" s="7" t="s">
        <v>419</v>
      </c>
      <c r="L1018" s="7" t="s">
        <v>991</v>
      </c>
      <c r="M1018" s="7" t="s">
        <v>3501</v>
      </c>
      <c r="N1018" s="7" t="s">
        <v>4317</v>
      </c>
      <c r="O1018" s="7" t="s">
        <v>4318</v>
      </c>
      <c r="P1018" s="7" t="s">
        <v>3522</v>
      </c>
      <c r="Q1018" s="7" t="s">
        <v>3523</v>
      </c>
    </row>
    <row r="1019">
      <c r="A1019" s="7" t="s">
        <v>10163</v>
      </c>
      <c r="B1019" s="7">
        <v>2100125.0</v>
      </c>
      <c r="C1019" s="7" t="s">
        <v>10164</v>
      </c>
      <c r="D1019" s="7" t="s">
        <v>10165</v>
      </c>
      <c r="E1019" s="7" t="s">
        <v>10166</v>
      </c>
      <c r="F1019" s="7" t="s">
        <v>5595</v>
      </c>
      <c r="G1019" s="7" t="s">
        <v>10167</v>
      </c>
      <c r="H1019" s="7" t="s">
        <v>10168</v>
      </c>
      <c r="I1019" s="119">
        <v>45292.0</v>
      </c>
      <c r="K1019" s="7" t="s">
        <v>419</v>
      </c>
      <c r="L1019" s="7" t="s">
        <v>991</v>
      </c>
      <c r="M1019" s="7" t="s">
        <v>3501</v>
      </c>
      <c r="N1019" s="7" t="s">
        <v>4063</v>
      </c>
      <c r="O1019" s="7" t="s">
        <v>4064</v>
      </c>
      <c r="P1019" s="7" t="s">
        <v>3493</v>
      </c>
      <c r="Q1019" s="7">
        <v>1.0</v>
      </c>
    </row>
    <row r="1020">
      <c r="A1020" s="7" t="s">
        <v>10169</v>
      </c>
      <c r="B1020" s="7">
        <v>2100449.0</v>
      </c>
      <c r="C1020" s="7" t="s">
        <v>10164</v>
      </c>
      <c r="D1020" s="7" t="s">
        <v>10170</v>
      </c>
      <c r="E1020" s="7" t="s">
        <v>10166</v>
      </c>
      <c r="F1020" s="7" t="s">
        <v>10171</v>
      </c>
      <c r="G1020" s="7" t="s">
        <v>10172</v>
      </c>
      <c r="H1020" s="7" t="s">
        <v>10173</v>
      </c>
      <c r="I1020" s="119">
        <v>45292.0</v>
      </c>
      <c r="K1020" s="7" t="s">
        <v>419</v>
      </c>
      <c r="L1020" s="7" t="s">
        <v>991</v>
      </c>
      <c r="M1020" s="7" t="s">
        <v>3501</v>
      </c>
      <c r="N1020" s="7" t="s">
        <v>7355</v>
      </c>
      <c r="O1020" s="7" t="s">
        <v>10174</v>
      </c>
      <c r="P1020" s="7" t="s">
        <v>8086</v>
      </c>
      <c r="Q1020" s="7" t="s">
        <v>4973</v>
      </c>
    </row>
    <row r="1021">
      <c r="A1021" s="7" t="s">
        <v>10175</v>
      </c>
      <c r="B1021" s="7">
        <v>12421.0</v>
      </c>
      <c r="C1021" s="7" t="s">
        <v>10176</v>
      </c>
      <c r="D1021" s="7" t="s">
        <v>10177</v>
      </c>
      <c r="E1021" s="7" t="s">
        <v>10178</v>
      </c>
      <c r="F1021" s="7" t="s">
        <v>10179</v>
      </c>
      <c r="G1021" s="7" t="s">
        <v>10180</v>
      </c>
      <c r="H1021" s="7" t="s">
        <v>10181</v>
      </c>
      <c r="I1021" s="119">
        <v>45292.0</v>
      </c>
      <c r="K1021" s="7" t="s">
        <v>419</v>
      </c>
      <c r="L1021" s="7" t="s">
        <v>991</v>
      </c>
      <c r="M1021" s="7" t="s">
        <v>3501</v>
      </c>
      <c r="N1021" s="7" t="s">
        <v>4161</v>
      </c>
      <c r="O1021" s="7" t="s">
        <v>9590</v>
      </c>
      <c r="P1021" s="7" t="s">
        <v>3493</v>
      </c>
      <c r="Q1021" s="7">
        <v>1.0</v>
      </c>
    </row>
    <row r="1022">
      <c r="A1022" s="7" t="s">
        <v>10182</v>
      </c>
      <c r="B1022" s="7">
        <v>13811.0</v>
      </c>
      <c r="C1022" s="7" t="s">
        <v>10176</v>
      </c>
      <c r="D1022" s="7" t="s">
        <v>10183</v>
      </c>
      <c r="E1022" s="7" t="s">
        <v>10178</v>
      </c>
      <c r="F1022" s="7" t="s">
        <v>4929</v>
      </c>
      <c r="G1022" s="7" t="s">
        <v>10184</v>
      </c>
      <c r="H1022" s="7" t="s">
        <v>10185</v>
      </c>
      <c r="I1022" s="119">
        <v>45292.0</v>
      </c>
      <c r="K1022" s="7" t="s">
        <v>6124</v>
      </c>
      <c r="L1022" s="7" t="s">
        <v>3542</v>
      </c>
      <c r="M1022" s="7" t="s">
        <v>3543</v>
      </c>
      <c r="N1022" s="7" t="s">
        <v>10186</v>
      </c>
      <c r="O1022" s="7" t="s">
        <v>10187</v>
      </c>
      <c r="P1022" s="7" t="s">
        <v>10188</v>
      </c>
      <c r="Q1022" s="7" t="s">
        <v>3566</v>
      </c>
    </row>
    <row r="1023">
      <c r="A1023" s="7" t="s">
        <v>10189</v>
      </c>
      <c r="B1023" s="7">
        <v>14266.0</v>
      </c>
      <c r="C1023" s="7" t="s">
        <v>10176</v>
      </c>
      <c r="D1023" s="7" t="s">
        <v>10190</v>
      </c>
      <c r="E1023" s="7" t="s">
        <v>10178</v>
      </c>
      <c r="F1023" s="7" t="s">
        <v>10191</v>
      </c>
      <c r="G1023" s="7" t="s">
        <v>10192</v>
      </c>
      <c r="H1023" s="7" t="s">
        <v>10193</v>
      </c>
      <c r="I1023" s="119">
        <v>45292.0</v>
      </c>
      <c r="K1023" s="7" t="s">
        <v>419</v>
      </c>
      <c r="L1023" s="7" t="s">
        <v>991</v>
      </c>
      <c r="M1023" s="7" t="s">
        <v>3531</v>
      </c>
      <c r="N1023" s="7" t="s">
        <v>6624</v>
      </c>
      <c r="O1023" s="7" t="s">
        <v>9604</v>
      </c>
      <c r="P1023" s="7" t="s">
        <v>3493</v>
      </c>
      <c r="Q1023" s="7">
        <v>1.0</v>
      </c>
    </row>
    <row r="1024">
      <c r="A1024" s="7" t="s">
        <v>10194</v>
      </c>
      <c r="B1024" s="7">
        <v>2200048.0</v>
      </c>
      <c r="C1024" s="7" t="s">
        <v>10176</v>
      </c>
      <c r="D1024" s="7" t="s">
        <v>10195</v>
      </c>
      <c r="E1024" s="7" t="s">
        <v>10178</v>
      </c>
      <c r="F1024" s="7" t="s">
        <v>3874</v>
      </c>
      <c r="G1024" s="7" t="s">
        <v>10196</v>
      </c>
      <c r="H1024" s="7" t="s">
        <v>10197</v>
      </c>
      <c r="I1024" s="119">
        <v>45292.0</v>
      </c>
      <c r="K1024" s="7" t="s">
        <v>419</v>
      </c>
      <c r="L1024" s="7" t="s">
        <v>991</v>
      </c>
      <c r="M1024" s="7" t="s">
        <v>3501</v>
      </c>
      <c r="N1024" s="7" t="s">
        <v>4147</v>
      </c>
      <c r="O1024" s="7" t="s">
        <v>4148</v>
      </c>
      <c r="P1024" s="7" t="s">
        <v>3843</v>
      </c>
      <c r="Q1024" s="7">
        <v>1.0</v>
      </c>
    </row>
    <row r="1025">
      <c r="A1025" s="7" t="s">
        <v>10198</v>
      </c>
      <c r="B1025" s="7">
        <v>12036.0</v>
      </c>
      <c r="C1025" s="7" t="s">
        <v>10176</v>
      </c>
      <c r="D1025" s="7" t="s">
        <v>10199</v>
      </c>
      <c r="E1025" s="7" t="s">
        <v>10178</v>
      </c>
      <c r="F1025" s="7" t="s">
        <v>10200</v>
      </c>
      <c r="G1025" s="7" t="s">
        <v>10201</v>
      </c>
      <c r="H1025" s="7" t="s">
        <v>10202</v>
      </c>
      <c r="I1025" s="119">
        <v>45292.0</v>
      </c>
      <c r="K1025" s="7" t="s">
        <v>419</v>
      </c>
      <c r="L1025" s="7" t="s">
        <v>991</v>
      </c>
      <c r="M1025" s="7" t="s">
        <v>3531</v>
      </c>
      <c r="N1025" s="7" t="s">
        <v>4134</v>
      </c>
      <c r="O1025" s="7" t="s">
        <v>4135</v>
      </c>
      <c r="P1025" s="7" t="s">
        <v>3493</v>
      </c>
      <c r="Q1025" s="7">
        <v>1.0</v>
      </c>
    </row>
    <row r="1026">
      <c r="A1026" s="7" t="s">
        <v>10203</v>
      </c>
      <c r="B1026" s="7">
        <v>12035.0</v>
      </c>
      <c r="C1026" s="7" t="s">
        <v>10176</v>
      </c>
      <c r="D1026" s="7" t="s">
        <v>10204</v>
      </c>
      <c r="E1026" s="7" t="s">
        <v>10178</v>
      </c>
      <c r="F1026" s="7" t="s">
        <v>7574</v>
      </c>
      <c r="G1026" s="7" t="s">
        <v>10205</v>
      </c>
      <c r="H1026" s="7" t="s">
        <v>10206</v>
      </c>
      <c r="I1026" s="119">
        <v>45292.0</v>
      </c>
      <c r="K1026" s="7" t="s">
        <v>10207</v>
      </c>
      <c r="L1026" s="7" t="s">
        <v>4406</v>
      </c>
      <c r="M1026" s="7" t="s">
        <v>7791</v>
      </c>
      <c r="N1026" s="7" t="s">
        <v>10208</v>
      </c>
      <c r="O1026" s="7" t="s">
        <v>10209</v>
      </c>
      <c r="P1026" s="7" t="s">
        <v>10210</v>
      </c>
      <c r="Q1026" s="7" t="s">
        <v>6296</v>
      </c>
    </row>
    <row r="1027">
      <c r="A1027" s="7" t="s">
        <v>10211</v>
      </c>
      <c r="B1027" s="7">
        <v>11925.0</v>
      </c>
      <c r="C1027" s="7" t="s">
        <v>10176</v>
      </c>
      <c r="D1027" s="7" t="s">
        <v>9665</v>
      </c>
      <c r="E1027" s="7" t="s">
        <v>10178</v>
      </c>
      <c r="F1027" s="7" t="s">
        <v>4641</v>
      </c>
      <c r="G1027" s="7" t="s">
        <v>10212</v>
      </c>
      <c r="H1027" s="7" t="s">
        <v>10213</v>
      </c>
      <c r="I1027" s="119">
        <v>45292.0</v>
      </c>
      <c r="K1027" s="7" t="s">
        <v>419</v>
      </c>
      <c r="L1027" s="7" t="s">
        <v>991</v>
      </c>
      <c r="M1027" s="7" t="s">
        <v>3501</v>
      </c>
      <c r="N1027" s="7" t="s">
        <v>10214</v>
      </c>
      <c r="O1027" s="7" t="s">
        <v>10215</v>
      </c>
      <c r="P1027" s="7" t="s">
        <v>3493</v>
      </c>
      <c r="Q1027" s="7">
        <v>1.0</v>
      </c>
    </row>
    <row r="1028">
      <c r="A1028" s="7" t="s">
        <v>10216</v>
      </c>
      <c r="B1028" s="7">
        <v>13248.0</v>
      </c>
      <c r="C1028" s="7" t="s">
        <v>10217</v>
      </c>
      <c r="D1028" s="7" t="s">
        <v>10218</v>
      </c>
      <c r="E1028" s="7" t="s">
        <v>10219</v>
      </c>
      <c r="F1028" s="7" t="s">
        <v>10220</v>
      </c>
      <c r="G1028" s="7" t="s">
        <v>10221</v>
      </c>
      <c r="H1028" s="7" t="s">
        <v>10222</v>
      </c>
      <c r="I1028" s="119">
        <v>45292.0</v>
      </c>
      <c r="K1028" s="7" t="s">
        <v>419</v>
      </c>
      <c r="L1028" s="7" t="s">
        <v>991</v>
      </c>
      <c r="M1028" s="7" t="s">
        <v>3531</v>
      </c>
      <c r="N1028" s="7" t="s">
        <v>5746</v>
      </c>
      <c r="O1028" s="7" t="s">
        <v>5747</v>
      </c>
      <c r="P1028" s="7" t="s">
        <v>3493</v>
      </c>
      <c r="Q1028" s="7">
        <v>1.0</v>
      </c>
    </row>
    <row r="1029">
      <c r="A1029" s="7" t="s">
        <v>10223</v>
      </c>
      <c r="B1029" s="7">
        <v>2300276.0</v>
      </c>
      <c r="C1029" s="7" t="s">
        <v>10224</v>
      </c>
      <c r="D1029" s="7" t="s">
        <v>10225</v>
      </c>
      <c r="E1029" s="7" t="s">
        <v>10226</v>
      </c>
      <c r="F1029" s="7" t="s">
        <v>10227</v>
      </c>
      <c r="G1029" s="7" t="s">
        <v>10228</v>
      </c>
      <c r="H1029" s="7" t="s">
        <v>10229</v>
      </c>
      <c r="I1029" s="119">
        <v>45292.0</v>
      </c>
      <c r="K1029" s="7" t="s">
        <v>419</v>
      </c>
      <c r="L1029" s="7" t="s">
        <v>991</v>
      </c>
      <c r="M1029" s="7" t="s">
        <v>3531</v>
      </c>
      <c r="N1029" s="7" t="s">
        <v>3920</v>
      </c>
      <c r="O1029" s="7" t="s">
        <v>3921</v>
      </c>
      <c r="P1029" s="7" t="s">
        <v>3493</v>
      </c>
      <c r="Q1029" s="7">
        <v>1.0</v>
      </c>
    </row>
    <row r="1030">
      <c r="A1030" s="7" t="s">
        <v>10230</v>
      </c>
      <c r="B1030" s="7">
        <v>2200582.0</v>
      </c>
      <c r="C1030" s="7" t="s">
        <v>10231</v>
      </c>
      <c r="D1030" s="7" t="s">
        <v>10232</v>
      </c>
      <c r="E1030" s="7" t="s">
        <v>10233</v>
      </c>
      <c r="F1030" s="7" t="s">
        <v>10234</v>
      </c>
      <c r="G1030" s="7" t="s">
        <v>10235</v>
      </c>
      <c r="H1030" s="7" t="s">
        <v>10236</v>
      </c>
      <c r="I1030" s="119">
        <v>45292.0</v>
      </c>
      <c r="K1030" s="7" t="s">
        <v>3622</v>
      </c>
      <c r="L1030" s="7" t="s">
        <v>991</v>
      </c>
      <c r="M1030" s="7" t="s">
        <v>3501</v>
      </c>
      <c r="N1030" s="7" t="s">
        <v>3623</v>
      </c>
      <c r="O1030" s="7" t="s">
        <v>3624</v>
      </c>
      <c r="P1030" s="7" t="s">
        <v>3493</v>
      </c>
      <c r="Q1030" s="7">
        <v>1.0</v>
      </c>
    </row>
    <row r="1031">
      <c r="A1031" s="7" t="s">
        <v>10237</v>
      </c>
      <c r="B1031" s="7">
        <v>2300655.0</v>
      </c>
      <c r="C1031" s="7" t="s">
        <v>10238</v>
      </c>
      <c r="D1031" s="7" t="s">
        <v>10239</v>
      </c>
      <c r="E1031" s="7" t="s">
        <v>10240</v>
      </c>
      <c r="F1031" s="7" t="s">
        <v>10241</v>
      </c>
      <c r="G1031" s="7" t="s">
        <v>10242</v>
      </c>
      <c r="H1031" s="7" t="s">
        <v>10243</v>
      </c>
      <c r="I1031" s="119">
        <v>45292.0</v>
      </c>
      <c r="K1031" s="7" t="s">
        <v>419</v>
      </c>
      <c r="L1031" s="7" t="s">
        <v>991</v>
      </c>
      <c r="M1031" s="7" t="s">
        <v>3501</v>
      </c>
      <c r="N1031" s="7" t="s">
        <v>4168</v>
      </c>
      <c r="O1031" s="7" t="s">
        <v>4169</v>
      </c>
      <c r="P1031" s="7" t="s">
        <v>3493</v>
      </c>
      <c r="Q1031" s="7">
        <v>1.0</v>
      </c>
    </row>
    <row r="1032">
      <c r="A1032" s="7" t="s">
        <v>10244</v>
      </c>
      <c r="B1032" s="7">
        <v>8230.0</v>
      </c>
      <c r="C1032" s="7" t="s">
        <v>10245</v>
      </c>
      <c r="D1032" s="7" t="s">
        <v>10246</v>
      </c>
      <c r="E1032" s="7" t="s">
        <v>10247</v>
      </c>
      <c r="F1032" s="7" t="s">
        <v>10248</v>
      </c>
      <c r="G1032" s="7" t="s">
        <v>10249</v>
      </c>
      <c r="H1032" s="7" t="s">
        <v>10250</v>
      </c>
      <c r="I1032" s="119">
        <v>45292.0</v>
      </c>
      <c r="K1032" s="7" t="s">
        <v>419</v>
      </c>
      <c r="L1032" s="7" t="s">
        <v>991</v>
      </c>
      <c r="M1032" s="7" t="s">
        <v>3531</v>
      </c>
      <c r="N1032" s="7" t="s">
        <v>10251</v>
      </c>
      <c r="O1032" s="7" t="s">
        <v>10252</v>
      </c>
      <c r="P1032" s="7" t="s">
        <v>3493</v>
      </c>
      <c r="Q1032" s="7">
        <v>1.0</v>
      </c>
    </row>
    <row r="1033">
      <c r="A1033" s="7" t="s">
        <v>10253</v>
      </c>
      <c r="B1033" s="7">
        <v>11129.0</v>
      </c>
      <c r="C1033" s="7" t="s">
        <v>10245</v>
      </c>
      <c r="D1033" s="7" t="s">
        <v>10254</v>
      </c>
      <c r="E1033" s="7" t="s">
        <v>10247</v>
      </c>
      <c r="F1033" s="7" t="s">
        <v>10255</v>
      </c>
      <c r="G1033" s="7" t="s">
        <v>10256</v>
      </c>
      <c r="H1033" s="7" t="s">
        <v>10257</v>
      </c>
      <c r="I1033" s="119">
        <v>45292.0</v>
      </c>
      <c r="K1033" s="7" t="s">
        <v>419</v>
      </c>
      <c r="L1033" s="7" t="s">
        <v>991</v>
      </c>
      <c r="M1033" s="7" t="s">
        <v>3501</v>
      </c>
      <c r="N1033" s="7" t="s">
        <v>10258</v>
      </c>
      <c r="O1033" s="7" t="s">
        <v>10259</v>
      </c>
      <c r="P1033" s="7" t="s">
        <v>3843</v>
      </c>
      <c r="Q1033" s="7">
        <v>1.0</v>
      </c>
    </row>
    <row r="1034">
      <c r="A1034" s="7" t="s">
        <v>10260</v>
      </c>
      <c r="B1034" s="7">
        <v>2100300.0</v>
      </c>
      <c r="C1034" s="7" t="s">
        <v>10261</v>
      </c>
      <c r="D1034" s="7" t="s">
        <v>10262</v>
      </c>
      <c r="E1034" s="7" t="s">
        <v>10263</v>
      </c>
      <c r="F1034" s="7" t="s">
        <v>10264</v>
      </c>
      <c r="G1034" s="7" t="s">
        <v>10265</v>
      </c>
      <c r="H1034" s="7" t="s">
        <v>10266</v>
      </c>
      <c r="I1034" s="119">
        <v>45292.0</v>
      </c>
      <c r="K1034" s="7" t="s">
        <v>419</v>
      </c>
      <c r="L1034" s="7" t="s">
        <v>991</v>
      </c>
      <c r="M1034" s="7" t="s">
        <v>3501</v>
      </c>
      <c r="N1034" s="7" t="s">
        <v>8379</v>
      </c>
      <c r="O1034" s="7" t="s">
        <v>10267</v>
      </c>
      <c r="P1034" s="7" t="s">
        <v>3522</v>
      </c>
      <c r="Q1034" s="7" t="s">
        <v>3523</v>
      </c>
    </row>
    <row r="1035">
      <c r="A1035" s="7" t="s">
        <v>10268</v>
      </c>
      <c r="B1035" s="7">
        <v>11522.0</v>
      </c>
      <c r="C1035" s="7" t="s">
        <v>10269</v>
      </c>
      <c r="D1035" s="7" t="s">
        <v>10270</v>
      </c>
      <c r="E1035" s="7" t="s">
        <v>10271</v>
      </c>
      <c r="F1035" s="7" t="s">
        <v>10272</v>
      </c>
      <c r="G1035" s="7" t="s">
        <v>10273</v>
      </c>
      <c r="H1035" s="7" t="s">
        <v>10274</v>
      </c>
      <c r="I1035" s="119">
        <v>45292.0</v>
      </c>
      <c r="K1035" s="7" t="s">
        <v>419</v>
      </c>
      <c r="L1035" s="7" t="s">
        <v>991</v>
      </c>
      <c r="M1035" s="7" t="s">
        <v>3501</v>
      </c>
      <c r="N1035" s="7" t="s">
        <v>4862</v>
      </c>
      <c r="O1035" s="7" t="s">
        <v>4863</v>
      </c>
      <c r="P1035" s="7" t="s">
        <v>3493</v>
      </c>
      <c r="Q1035" s="7">
        <v>1.0</v>
      </c>
    </row>
    <row r="1036">
      <c r="A1036" s="7" t="s">
        <v>10275</v>
      </c>
      <c r="B1036" s="7">
        <v>2400034.0</v>
      </c>
      <c r="C1036" s="7" t="s">
        <v>10276</v>
      </c>
      <c r="D1036" s="7" t="s">
        <v>9271</v>
      </c>
      <c r="E1036" s="7" t="s">
        <v>10277</v>
      </c>
      <c r="F1036" s="7" t="s">
        <v>9273</v>
      </c>
      <c r="G1036" s="7" t="s">
        <v>10278</v>
      </c>
      <c r="H1036" s="7" t="s">
        <v>10279</v>
      </c>
      <c r="I1036" s="119">
        <v>45292.0</v>
      </c>
      <c r="K1036" s="7" t="s">
        <v>419</v>
      </c>
      <c r="L1036" s="7" t="s">
        <v>991</v>
      </c>
      <c r="M1036" s="7" t="s">
        <v>3531</v>
      </c>
      <c r="N1036" s="7" t="s">
        <v>5755</v>
      </c>
      <c r="O1036" s="7" t="s">
        <v>5756</v>
      </c>
      <c r="P1036" s="7" t="s">
        <v>3493</v>
      </c>
      <c r="Q1036" s="7">
        <v>1.0</v>
      </c>
    </row>
    <row r="1037">
      <c r="A1037" s="7" t="s">
        <v>10280</v>
      </c>
      <c r="B1037" s="7">
        <v>2300567.0</v>
      </c>
      <c r="C1037" s="7" t="s">
        <v>10281</v>
      </c>
      <c r="D1037" s="7" t="s">
        <v>5881</v>
      </c>
      <c r="E1037" s="7" t="s">
        <v>10282</v>
      </c>
      <c r="F1037" s="7" t="s">
        <v>4546</v>
      </c>
      <c r="G1037" s="7" t="s">
        <v>10283</v>
      </c>
      <c r="H1037" s="7" t="s">
        <v>10284</v>
      </c>
      <c r="I1037" s="119">
        <v>45292.0</v>
      </c>
      <c r="K1037" s="7" t="s">
        <v>419</v>
      </c>
      <c r="L1037" s="7" t="s">
        <v>991</v>
      </c>
      <c r="M1037" s="7" t="s">
        <v>3501</v>
      </c>
      <c r="N1037" s="7" t="s">
        <v>6624</v>
      </c>
      <c r="O1037" s="7" t="s">
        <v>9604</v>
      </c>
      <c r="P1037" s="7" t="s">
        <v>3493</v>
      </c>
      <c r="Q1037" s="7">
        <v>1.0</v>
      </c>
    </row>
    <row r="1038">
      <c r="A1038" s="7" t="s">
        <v>10285</v>
      </c>
      <c r="B1038" s="7">
        <v>11126.0</v>
      </c>
      <c r="C1038" s="7" t="s">
        <v>10286</v>
      </c>
      <c r="D1038" s="7" t="s">
        <v>10287</v>
      </c>
      <c r="E1038" s="7" t="s">
        <v>10288</v>
      </c>
      <c r="F1038" s="7" t="s">
        <v>4751</v>
      </c>
      <c r="G1038" s="7" t="s">
        <v>10289</v>
      </c>
      <c r="H1038" s="7" t="s">
        <v>10290</v>
      </c>
      <c r="I1038" s="119">
        <v>45292.0</v>
      </c>
      <c r="K1038" s="7" t="s">
        <v>419</v>
      </c>
      <c r="L1038" s="7" t="s">
        <v>991</v>
      </c>
      <c r="M1038" s="7" t="s">
        <v>3501</v>
      </c>
      <c r="N1038" s="7" t="s">
        <v>5505</v>
      </c>
      <c r="O1038" s="7" t="s">
        <v>5506</v>
      </c>
      <c r="P1038" s="7" t="s">
        <v>3493</v>
      </c>
      <c r="Q1038" s="7">
        <v>1.0</v>
      </c>
    </row>
    <row r="1039">
      <c r="A1039" s="7" t="s">
        <v>10291</v>
      </c>
      <c r="B1039" s="7">
        <v>13400.0</v>
      </c>
      <c r="C1039" s="7" t="s">
        <v>10292</v>
      </c>
      <c r="D1039" s="7" t="s">
        <v>8202</v>
      </c>
      <c r="E1039" s="7" t="s">
        <v>10293</v>
      </c>
      <c r="F1039" s="7" t="s">
        <v>4314</v>
      </c>
      <c r="G1039" s="7" t="s">
        <v>10294</v>
      </c>
      <c r="H1039" s="7" t="s">
        <v>10295</v>
      </c>
      <c r="I1039" s="119">
        <v>45292.0</v>
      </c>
      <c r="K1039" s="7" t="s">
        <v>419</v>
      </c>
      <c r="L1039" s="7" t="s">
        <v>991</v>
      </c>
      <c r="M1039" s="7" t="s">
        <v>3501</v>
      </c>
      <c r="N1039" s="7" t="s">
        <v>10296</v>
      </c>
      <c r="O1039" s="7" t="s">
        <v>10297</v>
      </c>
      <c r="P1039" s="7" t="s">
        <v>3604</v>
      </c>
      <c r="Q1039" s="7">
        <v>1.0</v>
      </c>
    </row>
    <row r="1040">
      <c r="A1040" s="7" t="s">
        <v>10298</v>
      </c>
      <c r="B1040" s="7">
        <v>13019.0</v>
      </c>
      <c r="C1040" s="7" t="s">
        <v>10299</v>
      </c>
      <c r="D1040" s="7" t="s">
        <v>7540</v>
      </c>
      <c r="E1040" s="7" t="s">
        <v>10300</v>
      </c>
      <c r="F1040" s="7" t="s">
        <v>7542</v>
      </c>
      <c r="G1040" s="7" t="s">
        <v>10301</v>
      </c>
      <c r="H1040" s="7" t="s">
        <v>10302</v>
      </c>
      <c r="I1040" s="119">
        <v>45292.0</v>
      </c>
      <c r="K1040" s="7" t="s">
        <v>419</v>
      </c>
      <c r="L1040" s="7" t="s">
        <v>991</v>
      </c>
      <c r="M1040" s="7" t="s">
        <v>3501</v>
      </c>
      <c r="N1040" s="7" t="s">
        <v>8111</v>
      </c>
      <c r="O1040" s="7" t="s">
        <v>10303</v>
      </c>
      <c r="P1040" s="7" t="s">
        <v>3604</v>
      </c>
      <c r="Q1040" s="7">
        <v>1.0</v>
      </c>
    </row>
    <row r="1041">
      <c r="A1041" s="7" t="s">
        <v>10304</v>
      </c>
      <c r="B1041" s="7">
        <v>2300515.0</v>
      </c>
      <c r="C1041" s="7" t="s">
        <v>10299</v>
      </c>
      <c r="D1041" s="7" t="s">
        <v>10305</v>
      </c>
      <c r="E1041" s="7" t="s">
        <v>10300</v>
      </c>
      <c r="F1041" s="7" t="s">
        <v>10306</v>
      </c>
      <c r="G1041" s="7" t="s">
        <v>10307</v>
      </c>
      <c r="H1041" s="7" t="s">
        <v>10308</v>
      </c>
      <c r="I1041" s="119">
        <v>45292.0</v>
      </c>
      <c r="K1041" s="7" t="s">
        <v>419</v>
      </c>
      <c r="L1041" s="7" t="s">
        <v>991</v>
      </c>
      <c r="M1041" s="7" t="s">
        <v>3501</v>
      </c>
      <c r="N1041" s="7" t="s">
        <v>6579</v>
      </c>
      <c r="O1041" s="7" t="s">
        <v>6580</v>
      </c>
      <c r="P1041" s="7" t="s">
        <v>3843</v>
      </c>
      <c r="Q1041" s="7">
        <v>1.0</v>
      </c>
    </row>
    <row r="1042">
      <c r="A1042" s="7" t="s">
        <v>10309</v>
      </c>
      <c r="B1042" s="7">
        <v>2200680.0</v>
      </c>
      <c r="C1042" s="7" t="s">
        <v>10310</v>
      </c>
      <c r="D1042" s="7" t="s">
        <v>8500</v>
      </c>
      <c r="E1042" s="7" t="s">
        <v>10311</v>
      </c>
      <c r="F1042" s="7" t="s">
        <v>8500</v>
      </c>
      <c r="G1042" s="7" t="s">
        <v>10312</v>
      </c>
      <c r="H1042" s="7" t="s">
        <v>10313</v>
      </c>
      <c r="I1042" s="119">
        <v>45292.0</v>
      </c>
      <c r="K1042" s="7" t="s">
        <v>419</v>
      </c>
      <c r="L1042" s="7" t="s">
        <v>991</v>
      </c>
      <c r="M1042" s="7" t="s">
        <v>3501</v>
      </c>
      <c r="N1042" s="7" t="s">
        <v>7487</v>
      </c>
      <c r="O1042" s="7" t="s">
        <v>10314</v>
      </c>
      <c r="P1042" s="7" t="s">
        <v>3493</v>
      </c>
      <c r="Q1042" s="7">
        <v>1.0</v>
      </c>
    </row>
    <row r="1043">
      <c r="A1043" s="7" t="s">
        <v>10315</v>
      </c>
      <c r="B1043" s="7">
        <v>11483.0</v>
      </c>
      <c r="C1043" s="7" t="s">
        <v>10316</v>
      </c>
      <c r="D1043" s="7" t="s">
        <v>10317</v>
      </c>
      <c r="E1043" s="7" t="s">
        <v>10318</v>
      </c>
      <c r="F1043" s="7" t="s">
        <v>10319</v>
      </c>
      <c r="G1043" s="7" t="s">
        <v>10320</v>
      </c>
      <c r="H1043" s="7" t="s">
        <v>10321</v>
      </c>
      <c r="I1043" s="119">
        <v>45292.0</v>
      </c>
      <c r="K1043" s="7" t="s">
        <v>419</v>
      </c>
      <c r="L1043" s="7" t="s">
        <v>991</v>
      </c>
      <c r="M1043" s="7" t="s">
        <v>3501</v>
      </c>
      <c r="N1043" s="7" t="s">
        <v>6345</v>
      </c>
      <c r="O1043" s="7" t="s">
        <v>6346</v>
      </c>
      <c r="P1043" s="7" t="s">
        <v>3843</v>
      </c>
      <c r="Q1043" s="7">
        <v>1.0</v>
      </c>
    </row>
    <row r="1044">
      <c r="A1044" s="7" t="s">
        <v>10322</v>
      </c>
      <c r="B1044" s="7">
        <v>2300128.0</v>
      </c>
      <c r="C1044" s="7" t="s">
        <v>10323</v>
      </c>
      <c r="D1044" s="7" t="s">
        <v>9004</v>
      </c>
      <c r="E1044" s="7" t="s">
        <v>10324</v>
      </c>
      <c r="F1044" s="7" t="s">
        <v>8606</v>
      </c>
      <c r="G1044" s="7" t="s">
        <v>10325</v>
      </c>
      <c r="H1044" s="7" t="s">
        <v>10326</v>
      </c>
      <c r="I1044" s="119">
        <v>45292.0</v>
      </c>
      <c r="K1044" s="7" t="s">
        <v>419</v>
      </c>
      <c r="L1044" s="7" t="s">
        <v>991</v>
      </c>
      <c r="M1044" s="7" t="s">
        <v>3531</v>
      </c>
      <c r="N1044" s="7" t="s">
        <v>8390</v>
      </c>
      <c r="O1044" s="7" t="s">
        <v>8391</v>
      </c>
      <c r="P1044" s="7" t="s">
        <v>3493</v>
      </c>
      <c r="Q1044" s="7">
        <v>1.0</v>
      </c>
    </row>
    <row r="1045">
      <c r="A1045" s="7" t="s">
        <v>10327</v>
      </c>
      <c r="B1045" s="7">
        <v>2100445.0</v>
      </c>
      <c r="C1045" s="7" t="s">
        <v>10328</v>
      </c>
      <c r="D1045" s="7" t="s">
        <v>10329</v>
      </c>
      <c r="E1045" s="7" t="s">
        <v>10330</v>
      </c>
      <c r="F1045" s="7" t="s">
        <v>3609</v>
      </c>
      <c r="G1045" s="7" t="s">
        <v>10331</v>
      </c>
      <c r="H1045" s="7" t="s">
        <v>10332</v>
      </c>
      <c r="I1045" s="119">
        <v>45292.0</v>
      </c>
      <c r="K1045" s="7" t="s">
        <v>419</v>
      </c>
      <c r="L1045" s="7" t="s">
        <v>991</v>
      </c>
      <c r="M1045" s="7" t="s">
        <v>3501</v>
      </c>
      <c r="N1045" s="7" t="s">
        <v>5698</v>
      </c>
      <c r="O1045" s="7" t="s">
        <v>5699</v>
      </c>
      <c r="P1045" s="7" t="s">
        <v>3493</v>
      </c>
      <c r="Q1045" s="7">
        <v>1.0</v>
      </c>
    </row>
    <row r="1046">
      <c r="A1046" s="7" t="s">
        <v>10333</v>
      </c>
      <c r="B1046" s="7">
        <v>2100293.0</v>
      </c>
      <c r="C1046" s="7" t="s">
        <v>10328</v>
      </c>
      <c r="D1046" s="7" t="s">
        <v>10334</v>
      </c>
      <c r="E1046" s="7" t="s">
        <v>10330</v>
      </c>
      <c r="F1046" s="7" t="s">
        <v>10335</v>
      </c>
      <c r="G1046" s="7" t="s">
        <v>10336</v>
      </c>
      <c r="I1046" s="119">
        <v>45292.0</v>
      </c>
      <c r="K1046" s="7" t="s">
        <v>419</v>
      </c>
      <c r="L1046" s="7" t="s">
        <v>991</v>
      </c>
      <c r="M1046" s="7" t="s">
        <v>3531</v>
      </c>
      <c r="N1046" s="7" t="s">
        <v>5197</v>
      </c>
      <c r="O1046" s="7" t="s">
        <v>5198</v>
      </c>
      <c r="P1046" s="7" t="s">
        <v>3493</v>
      </c>
      <c r="Q1046" s="7">
        <v>1.0</v>
      </c>
    </row>
    <row r="1047">
      <c r="A1047" s="7" t="s">
        <v>10337</v>
      </c>
      <c r="B1047" s="7">
        <v>2200635.0</v>
      </c>
      <c r="C1047" s="7" t="s">
        <v>6242</v>
      </c>
      <c r="D1047" s="7" t="s">
        <v>10338</v>
      </c>
      <c r="E1047" s="7" t="s">
        <v>10339</v>
      </c>
      <c r="F1047" s="7" t="s">
        <v>6738</v>
      </c>
      <c r="G1047" s="7" t="s">
        <v>10340</v>
      </c>
      <c r="H1047" s="7" t="s">
        <v>10341</v>
      </c>
      <c r="I1047" s="119">
        <v>45292.0</v>
      </c>
      <c r="K1047" s="7" t="s">
        <v>419</v>
      </c>
      <c r="L1047" s="7" t="s">
        <v>991</v>
      </c>
      <c r="M1047" s="7" t="s">
        <v>3501</v>
      </c>
      <c r="N1047" s="7" t="s">
        <v>3695</v>
      </c>
      <c r="O1047" s="7" t="s">
        <v>5350</v>
      </c>
      <c r="P1047" s="7" t="s">
        <v>3493</v>
      </c>
      <c r="Q1047" s="7">
        <v>1.0</v>
      </c>
    </row>
    <row r="1048">
      <c r="A1048" s="7" t="s">
        <v>10342</v>
      </c>
      <c r="B1048" s="7">
        <v>13694.0</v>
      </c>
      <c r="C1048" s="7" t="s">
        <v>10343</v>
      </c>
      <c r="D1048" s="7" t="s">
        <v>10344</v>
      </c>
      <c r="E1048" s="7" t="s">
        <v>10345</v>
      </c>
      <c r="F1048" s="7" t="s">
        <v>3549</v>
      </c>
      <c r="G1048" s="7" t="s">
        <v>10346</v>
      </c>
      <c r="H1048" s="7" t="s">
        <v>10347</v>
      </c>
      <c r="I1048" s="119">
        <v>45292.0</v>
      </c>
      <c r="K1048" s="7" t="s">
        <v>3632</v>
      </c>
      <c r="L1048" s="7" t="s">
        <v>991</v>
      </c>
      <c r="M1048" s="7" t="s">
        <v>3501</v>
      </c>
      <c r="N1048" s="7" t="s">
        <v>7202</v>
      </c>
      <c r="O1048" s="7" t="s">
        <v>10348</v>
      </c>
      <c r="P1048" s="7" t="s">
        <v>4154</v>
      </c>
      <c r="Q1048" s="7" t="s">
        <v>3566</v>
      </c>
    </row>
    <row r="1049">
      <c r="A1049" s="7" t="s">
        <v>10349</v>
      </c>
      <c r="B1049" s="7">
        <v>12359.0</v>
      </c>
      <c r="C1049" s="7" t="s">
        <v>10350</v>
      </c>
      <c r="D1049" s="7" t="s">
        <v>10351</v>
      </c>
      <c r="E1049" s="7" t="s">
        <v>10352</v>
      </c>
      <c r="F1049" s="7" t="s">
        <v>10353</v>
      </c>
      <c r="G1049" s="7" t="s">
        <v>10354</v>
      </c>
      <c r="H1049" s="7" t="s">
        <v>10355</v>
      </c>
      <c r="I1049" s="119">
        <v>45292.0</v>
      </c>
      <c r="K1049" s="7" t="s">
        <v>419</v>
      </c>
      <c r="L1049" s="7" t="s">
        <v>991</v>
      </c>
      <c r="M1049" s="7" t="s">
        <v>3501</v>
      </c>
      <c r="N1049" s="7" t="s">
        <v>5244</v>
      </c>
      <c r="O1049" s="7" t="s">
        <v>5245</v>
      </c>
      <c r="P1049" s="7" t="s">
        <v>3493</v>
      </c>
      <c r="Q1049" s="7">
        <v>1.0</v>
      </c>
    </row>
    <row r="1050">
      <c r="A1050" s="7" t="s">
        <v>10356</v>
      </c>
      <c r="B1050" s="7">
        <v>2200073.0</v>
      </c>
      <c r="C1050" s="7" t="s">
        <v>10357</v>
      </c>
      <c r="D1050" s="7" t="s">
        <v>10358</v>
      </c>
      <c r="E1050" s="7" t="s">
        <v>10359</v>
      </c>
      <c r="F1050" s="7" t="s">
        <v>10360</v>
      </c>
      <c r="G1050" s="7" t="s">
        <v>10361</v>
      </c>
      <c r="H1050" s="7" t="s">
        <v>10362</v>
      </c>
      <c r="I1050" s="119">
        <v>45292.0</v>
      </c>
      <c r="K1050" s="7" t="s">
        <v>419</v>
      </c>
      <c r="L1050" s="7" t="s">
        <v>991</v>
      </c>
      <c r="M1050" s="7" t="s">
        <v>3501</v>
      </c>
      <c r="N1050" s="7" t="s">
        <v>3834</v>
      </c>
      <c r="O1050" s="7" t="s">
        <v>3835</v>
      </c>
      <c r="P1050" s="7" t="s">
        <v>3493</v>
      </c>
      <c r="Q1050" s="7">
        <v>1.0</v>
      </c>
    </row>
    <row r="1051">
      <c r="A1051" s="7" t="s">
        <v>10363</v>
      </c>
      <c r="B1051" s="7">
        <v>2100005.0</v>
      </c>
      <c r="C1051" s="7" t="s">
        <v>10364</v>
      </c>
      <c r="D1051" s="7" t="s">
        <v>10365</v>
      </c>
      <c r="E1051" s="7" t="s">
        <v>10366</v>
      </c>
      <c r="F1051" s="7" t="s">
        <v>10367</v>
      </c>
      <c r="G1051" s="7" t="s">
        <v>10368</v>
      </c>
      <c r="H1051" s="7" t="s">
        <v>10369</v>
      </c>
      <c r="I1051" s="119">
        <v>45292.0</v>
      </c>
      <c r="K1051" s="7" t="s">
        <v>419</v>
      </c>
      <c r="L1051" s="7" t="s">
        <v>991</v>
      </c>
      <c r="M1051" s="7" t="s">
        <v>3501</v>
      </c>
      <c r="N1051" s="7" t="s">
        <v>10370</v>
      </c>
      <c r="O1051" s="7" t="s">
        <v>10371</v>
      </c>
      <c r="P1051" s="7" t="s">
        <v>3843</v>
      </c>
      <c r="Q1051" s="7">
        <v>1.0</v>
      </c>
    </row>
    <row r="1052">
      <c r="A1052" s="7" t="s">
        <v>10372</v>
      </c>
      <c r="B1052" s="7">
        <v>2200220.0</v>
      </c>
      <c r="C1052" s="7" t="s">
        <v>10364</v>
      </c>
      <c r="D1052" s="7" t="s">
        <v>10373</v>
      </c>
      <c r="E1052" s="7" t="s">
        <v>10366</v>
      </c>
      <c r="F1052" s="7" t="s">
        <v>10374</v>
      </c>
      <c r="G1052" s="7" t="s">
        <v>10375</v>
      </c>
      <c r="H1052" s="7" t="s">
        <v>10376</v>
      </c>
      <c r="I1052" s="119">
        <v>45292.0</v>
      </c>
      <c r="K1052" s="7" t="s">
        <v>419</v>
      </c>
      <c r="L1052" s="7" t="s">
        <v>991</v>
      </c>
      <c r="M1052" s="7" t="s">
        <v>3501</v>
      </c>
      <c r="N1052" s="7" t="s">
        <v>3912</v>
      </c>
      <c r="O1052" s="7" t="s">
        <v>3913</v>
      </c>
      <c r="P1052" s="7" t="s">
        <v>3493</v>
      </c>
      <c r="Q1052" s="7">
        <v>1.0</v>
      </c>
    </row>
    <row r="1053">
      <c r="A1053" s="7" t="s">
        <v>10377</v>
      </c>
      <c r="B1053" s="7">
        <v>14331.0</v>
      </c>
      <c r="C1053" s="7" t="s">
        <v>10364</v>
      </c>
      <c r="D1053" s="7" t="s">
        <v>10378</v>
      </c>
      <c r="E1053" s="7" t="s">
        <v>10379</v>
      </c>
      <c r="F1053" s="7" t="s">
        <v>9975</v>
      </c>
      <c r="G1053" s="7" t="s">
        <v>10380</v>
      </c>
      <c r="H1053" s="7" t="s">
        <v>10381</v>
      </c>
      <c r="I1053" s="119">
        <v>45292.0</v>
      </c>
      <c r="K1053" s="7" t="s">
        <v>419</v>
      </c>
      <c r="L1053" s="7" t="s">
        <v>991</v>
      </c>
      <c r="M1053" s="7" t="s">
        <v>3501</v>
      </c>
      <c r="N1053" s="7" t="s">
        <v>8314</v>
      </c>
      <c r="O1053" s="7" t="s">
        <v>8315</v>
      </c>
      <c r="P1053" s="7" t="s">
        <v>3522</v>
      </c>
      <c r="Q1053" s="7" t="s">
        <v>3523</v>
      </c>
    </row>
    <row r="1054">
      <c r="A1054" s="7" t="s">
        <v>10382</v>
      </c>
      <c r="B1054" s="7">
        <v>70.0</v>
      </c>
      <c r="C1054" s="7" t="s">
        <v>10383</v>
      </c>
      <c r="D1054" s="7" t="s">
        <v>10384</v>
      </c>
      <c r="E1054" s="7" t="s">
        <v>10385</v>
      </c>
      <c r="F1054" s="7" t="s">
        <v>4049</v>
      </c>
      <c r="G1054" s="7" t="s">
        <v>10386</v>
      </c>
      <c r="H1054" s="7" t="s">
        <v>10387</v>
      </c>
      <c r="I1054" s="119">
        <v>45292.0</v>
      </c>
      <c r="K1054" s="7" t="s">
        <v>419</v>
      </c>
      <c r="L1054" s="7" t="s">
        <v>991</v>
      </c>
      <c r="M1054" s="7" t="s">
        <v>3501</v>
      </c>
      <c r="N1054" s="7" t="s">
        <v>4507</v>
      </c>
      <c r="O1054" s="7" t="s">
        <v>10388</v>
      </c>
      <c r="P1054" s="7" t="s">
        <v>4154</v>
      </c>
      <c r="Q1054" s="7" t="s">
        <v>4155</v>
      </c>
    </row>
    <row r="1055">
      <c r="A1055" s="7" t="s">
        <v>10389</v>
      </c>
      <c r="B1055" s="7">
        <v>13980.0</v>
      </c>
      <c r="C1055" s="7" t="s">
        <v>10383</v>
      </c>
      <c r="D1055" s="7" t="s">
        <v>10390</v>
      </c>
      <c r="E1055" s="7" t="s">
        <v>10385</v>
      </c>
      <c r="F1055" s="7" t="s">
        <v>6606</v>
      </c>
      <c r="G1055" s="7" t="s">
        <v>10391</v>
      </c>
      <c r="H1055" s="7" t="s">
        <v>10392</v>
      </c>
      <c r="I1055" s="119">
        <v>45292.0</v>
      </c>
      <c r="J1055" s="7" t="s">
        <v>4216</v>
      </c>
      <c r="K1055" s="7" t="s">
        <v>419</v>
      </c>
      <c r="L1055" s="7" t="s">
        <v>991</v>
      </c>
      <c r="M1055" s="7" t="s">
        <v>3501</v>
      </c>
      <c r="N1055" s="7" t="s">
        <v>5469</v>
      </c>
      <c r="O1055" s="7" t="s">
        <v>5470</v>
      </c>
      <c r="P1055" s="7" t="s">
        <v>3493</v>
      </c>
      <c r="Q1055" s="7">
        <v>1.0</v>
      </c>
    </row>
    <row r="1056">
      <c r="A1056" s="7" t="s">
        <v>10393</v>
      </c>
      <c r="B1056" s="7">
        <v>3000259.0</v>
      </c>
      <c r="C1056" s="7" t="s">
        <v>10394</v>
      </c>
      <c r="D1056" s="7" t="s">
        <v>10395</v>
      </c>
      <c r="E1056" s="7" t="s">
        <v>10396</v>
      </c>
      <c r="F1056" s="7" t="s">
        <v>10397</v>
      </c>
      <c r="G1056" s="7" t="s">
        <v>10398</v>
      </c>
      <c r="H1056" s="7" t="s">
        <v>10399</v>
      </c>
      <c r="I1056" s="119">
        <v>45566.0</v>
      </c>
      <c r="K1056" s="7" t="s">
        <v>419</v>
      </c>
      <c r="L1056" s="7" t="s">
        <v>991</v>
      </c>
      <c r="M1056" s="7" t="s">
        <v>5110</v>
      </c>
      <c r="N1056" s="7" t="s">
        <v>10400</v>
      </c>
      <c r="O1056" s="7" t="s">
        <v>10401</v>
      </c>
      <c r="P1056" s="7" t="s">
        <v>4154</v>
      </c>
      <c r="Q1056" s="7" t="s">
        <v>3566</v>
      </c>
    </row>
    <row r="1057">
      <c r="A1057" s="7" t="s">
        <v>10402</v>
      </c>
      <c r="B1057" s="7">
        <v>12567.0</v>
      </c>
      <c r="C1057" s="7" t="s">
        <v>10403</v>
      </c>
      <c r="D1057" s="7" t="s">
        <v>10404</v>
      </c>
      <c r="E1057" s="7" t="s">
        <v>10405</v>
      </c>
      <c r="F1057" s="7" t="s">
        <v>10406</v>
      </c>
      <c r="G1057" s="7" t="s">
        <v>10407</v>
      </c>
      <c r="H1057" s="7" t="s">
        <v>10408</v>
      </c>
      <c r="I1057" s="119">
        <v>45292.0</v>
      </c>
      <c r="K1057" s="7" t="s">
        <v>419</v>
      </c>
      <c r="L1057" s="7" t="s">
        <v>991</v>
      </c>
      <c r="M1057" s="7" t="s">
        <v>3501</v>
      </c>
      <c r="N1057" s="7" t="s">
        <v>7518</v>
      </c>
      <c r="O1057" s="7" t="s">
        <v>7519</v>
      </c>
      <c r="P1057" s="7" t="s">
        <v>3785</v>
      </c>
      <c r="Q1057" s="7" t="s">
        <v>3523</v>
      </c>
    </row>
    <row r="1058">
      <c r="A1058" s="7" t="s">
        <v>10409</v>
      </c>
      <c r="B1058" s="7">
        <v>10627.0</v>
      </c>
      <c r="C1058" s="7" t="s">
        <v>10410</v>
      </c>
      <c r="D1058" s="7" t="s">
        <v>3764</v>
      </c>
      <c r="E1058" s="7" t="s">
        <v>10411</v>
      </c>
      <c r="F1058" s="7" t="s">
        <v>3766</v>
      </c>
      <c r="G1058" s="7" t="s">
        <v>10412</v>
      </c>
      <c r="H1058" s="7" t="s">
        <v>10413</v>
      </c>
      <c r="I1058" s="119">
        <v>45292.0</v>
      </c>
      <c r="K1058" s="7" t="s">
        <v>419</v>
      </c>
      <c r="L1058" s="7" t="s">
        <v>991</v>
      </c>
      <c r="M1058" s="7" t="s">
        <v>3501</v>
      </c>
      <c r="N1058" s="7" t="s">
        <v>3777</v>
      </c>
      <c r="O1058" s="7" t="s">
        <v>3778</v>
      </c>
      <c r="P1058" s="7" t="s">
        <v>3604</v>
      </c>
      <c r="Q1058" s="7">
        <v>1.0</v>
      </c>
    </row>
    <row r="1059">
      <c r="A1059" s="7" t="s">
        <v>10414</v>
      </c>
      <c r="B1059" s="7">
        <v>1148.0</v>
      </c>
      <c r="C1059" s="7" t="s">
        <v>10415</v>
      </c>
      <c r="D1059" s="7" t="s">
        <v>10416</v>
      </c>
      <c r="E1059" s="7" t="s">
        <v>10417</v>
      </c>
      <c r="F1059" s="7" t="s">
        <v>10418</v>
      </c>
      <c r="G1059" s="7" t="s">
        <v>10419</v>
      </c>
      <c r="H1059" s="7" t="s">
        <v>10420</v>
      </c>
      <c r="I1059" s="119">
        <v>45292.0</v>
      </c>
      <c r="K1059" s="7" t="s">
        <v>419</v>
      </c>
      <c r="L1059" s="7" t="s">
        <v>991</v>
      </c>
      <c r="M1059" s="7" t="s">
        <v>3501</v>
      </c>
      <c r="N1059" s="7" t="s">
        <v>6304</v>
      </c>
      <c r="O1059" s="7" t="s">
        <v>6305</v>
      </c>
      <c r="P1059" s="7" t="s">
        <v>3493</v>
      </c>
      <c r="Q1059" s="7">
        <v>1.0</v>
      </c>
    </row>
    <row r="1060">
      <c r="A1060" s="7" t="s">
        <v>10421</v>
      </c>
      <c r="B1060" s="7">
        <v>8445.0</v>
      </c>
      <c r="C1060" s="7" t="s">
        <v>10422</v>
      </c>
      <c r="D1060" s="7" t="s">
        <v>10423</v>
      </c>
      <c r="E1060" s="7" t="s">
        <v>10424</v>
      </c>
      <c r="F1060" s="7" t="s">
        <v>10425</v>
      </c>
      <c r="G1060" s="7" t="s">
        <v>10426</v>
      </c>
      <c r="H1060" s="7" t="s">
        <v>10427</v>
      </c>
      <c r="I1060" s="119">
        <v>45292.0</v>
      </c>
      <c r="K1060" s="7" t="s">
        <v>419</v>
      </c>
      <c r="L1060" s="7" t="s">
        <v>991</v>
      </c>
      <c r="M1060" s="7" t="s">
        <v>3531</v>
      </c>
      <c r="N1060" s="7" t="s">
        <v>3532</v>
      </c>
      <c r="O1060" s="7" t="s">
        <v>3533</v>
      </c>
      <c r="P1060" s="7" t="s">
        <v>3493</v>
      </c>
      <c r="Q1060" s="7">
        <v>1.0</v>
      </c>
    </row>
    <row r="1061">
      <c r="A1061" s="7" t="s">
        <v>10428</v>
      </c>
      <c r="B1061" s="7">
        <v>2200221.0</v>
      </c>
      <c r="C1061" s="7" t="s">
        <v>10429</v>
      </c>
      <c r="D1061" s="7" t="s">
        <v>10430</v>
      </c>
      <c r="E1061" s="7" t="s">
        <v>10429</v>
      </c>
      <c r="F1061" s="7" t="s">
        <v>10430</v>
      </c>
      <c r="G1061" s="7" t="s">
        <v>10431</v>
      </c>
      <c r="H1061" s="7" t="s">
        <v>10432</v>
      </c>
      <c r="I1061" s="119">
        <v>45292.0</v>
      </c>
      <c r="J1061" s="7" t="s">
        <v>3929</v>
      </c>
      <c r="K1061" s="7" t="s">
        <v>419</v>
      </c>
      <c r="L1061" s="7" t="s">
        <v>991</v>
      </c>
      <c r="M1061" s="7" t="s">
        <v>3501</v>
      </c>
      <c r="N1061" s="7" t="s">
        <v>10433</v>
      </c>
      <c r="O1061" s="7" t="s">
        <v>10434</v>
      </c>
      <c r="P1061" s="7" t="s">
        <v>3604</v>
      </c>
      <c r="Q1061" s="7">
        <v>1.0</v>
      </c>
    </row>
    <row r="1062">
      <c r="A1062" s="7" t="s">
        <v>10435</v>
      </c>
      <c r="B1062" s="7">
        <v>8233.0</v>
      </c>
      <c r="C1062" s="7" t="s">
        <v>10436</v>
      </c>
      <c r="D1062" s="7" t="s">
        <v>5047</v>
      </c>
      <c r="E1062" s="7" t="s">
        <v>10437</v>
      </c>
      <c r="F1062" s="7" t="s">
        <v>5049</v>
      </c>
      <c r="G1062" s="7" t="s">
        <v>10438</v>
      </c>
      <c r="H1062" s="7" t="s">
        <v>10439</v>
      </c>
      <c r="I1062" s="119">
        <v>45292.0</v>
      </c>
      <c r="K1062" s="7" t="s">
        <v>419</v>
      </c>
      <c r="L1062" s="7" t="s">
        <v>991</v>
      </c>
      <c r="M1062" s="7" t="s">
        <v>3531</v>
      </c>
      <c r="N1062" s="7" t="s">
        <v>4399</v>
      </c>
      <c r="O1062" s="7" t="s">
        <v>4400</v>
      </c>
      <c r="P1062" s="7" t="s">
        <v>3493</v>
      </c>
      <c r="Q1062" s="7">
        <v>1.0</v>
      </c>
    </row>
    <row r="1063">
      <c r="A1063" s="7" t="s">
        <v>10440</v>
      </c>
      <c r="B1063" s="7">
        <v>13360.0</v>
      </c>
      <c r="C1063" s="7" t="s">
        <v>10436</v>
      </c>
      <c r="D1063" s="7" t="s">
        <v>10441</v>
      </c>
      <c r="E1063" s="7" t="s">
        <v>10437</v>
      </c>
      <c r="F1063" s="7" t="s">
        <v>10442</v>
      </c>
      <c r="G1063" s="7" t="s">
        <v>10443</v>
      </c>
      <c r="H1063" s="7" t="s">
        <v>10444</v>
      </c>
      <c r="I1063" s="119">
        <v>45292.0</v>
      </c>
      <c r="K1063" s="7" t="s">
        <v>419</v>
      </c>
      <c r="L1063" s="7" t="s">
        <v>991</v>
      </c>
      <c r="M1063" s="7" t="s">
        <v>3501</v>
      </c>
      <c r="N1063" s="7" t="s">
        <v>5583</v>
      </c>
      <c r="O1063" s="7" t="s">
        <v>5584</v>
      </c>
      <c r="P1063" s="7" t="s">
        <v>3493</v>
      </c>
      <c r="Q1063" s="7">
        <v>1.0</v>
      </c>
    </row>
    <row r="1064">
      <c r="A1064" s="7" t="s">
        <v>2396</v>
      </c>
      <c r="B1064" s="7">
        <v>4027.0</v>
      </c>
      <c r="C1064" s="7" t="s">
        <v>10445</v>
      </c>
      <c r="D1064" s="7" t="s">
        <v>10446</v>
      </c>
      <c r="E1064" s="7" t="s">
        <v>10447</v>
      </c>
      <c r="F1064" s="7" t="s">
        <v>3806</v>
      </c>
      <c r="G1064" s="7" t="s">
        <v>10448</v>
      </c>
      <c r="H1064" s="7" t="s">
        <v>10449</v>
      </c>
      <c r="I1064" s="119">
        <v>45292.0</v>
      </c>
      <c r="K1064" s="7" t="s">
        <v>419</v>
      </c>
      <c r="L1064" s="7" t="s">
        <v>991</v>
      </c>
      <c r="M1064" s="7" t="s">
        <v>3501</v>
      </c>
      <c r="N1064" s="7" t="s">
        <v>10450</v>
      </c>
      <c r="O1064" s="7" t="s">
        <v>10451</v>
      </c>
      <c r="P1064" s="7" t="s">
        <v>3522</v>
      </c>
      <c r="Q1064" s="7" t="s">
        <v>3523</v>
      </c>
    </row>
    <row r="1065">
      <c r="A1065" s="7" t="s">
        <v>10452</v>
      </c>
      <c r="B1065" s="7">
        <v>1112.0</v>
      </c>
      <c r="C1065" s="7" t="s">
        <v>10453</v>
      </c>
      <c r="D1065" s="7" t="s">
        <v>4929</v>
      </c>
      <c r="E1065" s="7" t="s">
        <v>10454</v>
      </c>
      <c r="F1065" s="7" t="s">
        <v>4929</v>
      </c>
      <c r="G1065" s="7" t="s">
        <v>10455</v>
      </c>
      <c r="H1065" s="7" t="s">
        <v>10456</v>
      </c>
      <c r="I1065" s="119">
        <v>45292.0</v>
      </c>
      <c r="K1065" s="7" t="s">
        <v>3541</v>
      </c>
      <c r="L1065" s="7" t="s">
        <v>3542</v>
      </c>
      <c r="M1065" s="7" t="s">
        <v>3543</v>
      </c>
      <c r="N1065" s="7" t="s">
        <v>5117</v>
      </c>
      <c r="O1065" s="7" t="s">
        <v>10457</v>
      </c>
      <c r="P1065" s="7" t="s">
        <v>3697</v>
      </c>
      <c r="Q1065" s="7" t="s">
        <v>8134</v>
      </c>
    </row>
    <row r="1066">
      <c r="A1066" s="7" t="s">
        <v>10458</v>
      </c>
      <c r="B1066" s="7">
        <v>1302.0</v>
      </c>
      <c r="C1066" s="7" t="s">
        <v>10459</v>
      </c>
      <c r="D1066" s="7" t="s">
        <v>10460</v>
      </c>
      <c r="E1066" s="7" t="s">
        <v>10461</v>
      </c>
      <c r="F1066" s="7" t="s">
        <v>10462</v>
      </c>
      <c r="G1066" s="7" t="s">
        <v>10463</v>
      </c>
      <c r="H1066" s="7" t="s">
        <v>10464</v>
      </c>
      <c r="I1066" s="119">
        <v>45292.0</v>
      </c>
      <c r="K1066" s="7" t="s">
        <v>419</v>
      </c>
      <c r="L1066" s="7" t="s">
        <v>991</v>
      </c>
      <c r="M1066" s="7" t="s">
        <v>3501</v>
      </c>
      <c r="N1066" s="7" t="s">
        <v>5505</v>
      </c>
      <c r="O1066" s="7" t="s">
        <v>5506</v>
      </c>
      <c r="P1066" s="7" t="s">
        <v>3493</v>
      </c>
      <c r="Q1066" s="7">
        <v>1.0</v>
      </c>
    </row>
    <row r="1067">
      <c r="A1067" s="7" t="s">
        <v>10465</v>
      </c>
      <c r="B1067" s="7">
        <v>12660.0</v>
      </c>
      <c r="C1067" s="7" t="s">
        <v>10459</v>
      </c>
      <c r="D1067" s="7" t="s">
        <v>10466</v>
      </c>
      <c r="E1067" s="7" t="s">
        <v>10461</v>
      </c>
      <c r="F1067" s="7" t="s">
        <v>5497</v>
      </c>
      <c r="G1067" s="7" t="s">
        <v>10467</v>
      </c>
      <c r="H1067" s="7" t="s">
        <v>10468</v>
      </c>
      <c r="I1067" s="119">
        <v>45292.0</v>
      </c>
      <c r="K1067" s="7" t="s">
        <v>419</v>
      </c>
      <c r="L1067" s="7" t="s">
        <v>991</v>
      </c>
      <c r="M1067" s="7" t="s">
        <v>3501</v>
      </c>
      <c r="N1067" s="7" t="s">
        <v>8379</v>
      </c>
      <c r="O1067" s="7" t="s">
        <v>10267</v>
      </c>
      <c r="P1067" s="7" t="s">
        <v>3522</v>
      </c>
      <c r="Q1067" s="7" t="s">
        <v>3523</v>
      </c>
    </row>
    <row r="1068">
      <c r="A1068" s="7" t="s">
        <v>10469</v>
      </c>
      <c r="B1068" s="7">
        <v>2300013.0</v>
      </c>
      <c r="C1068" s="7" t="s">
        <v>10470</v>
      </c>
      <c r="D1068" s="7" t="s">
        <v>10471</v>
      </c>
      <c r="E1068" s="7" t="s">
        <v>10472</v>
      </c>
      <c r="F1068" s="7" t="s">
        <v>10473</v>
      </c>
      <c r="G1068" s="7" t="s">
        <v>10474</v>
      </c>
      <c r="H1068" s="7" t="s">
        <v>10475</v>
      </c>
      <c r="I1068" s="119">
        <v>45292.0</v>
      </c>
      <c r="K1068" s="7" t="s">
        <v>3541</v>
      </c>
      <c r="L1068" s="7" t="s">
        <v>3542</v>
      </c>
      <c r="M1068" s="7" t="s">
        <v>3563</v>
      </c>
      <c r="N1068" s="7" t="s">
        <v>10476</v>
      </c>
      <c r="O1068" s="7" t="s">
        <v>10477</v>
      </c>
      <c r="P1068" s="7" t="s">
        <v>10478</v>
      </c>
      <c r="Q1068" s="7" t="s">
        <v>3514</v>
      </c>
    </row>
    <row r="1069">
      <c r="A1069" s="7" t="s">
        <v>10479</v>
      </c>
      <c r="B1069" s="7">
        <v>748.0</v>
      </c>
      <c r="C1069" s="7" t="s">
        <v>10480</v>
      </c>
      <c r="D1069" s="7" t="s">
        <v>10481</v>
      </c>
      <c r="E1069" s="7" t="s">
        <v>10482</v>
      </c>
      <c r="F1069" s="7" t="s">
        <v>10483</v>
      </c>
      <c r="G1069" s="7" t="s">
        <v>10484</v>
      </c>
      <c r="H1069" s="7" t="s">
        <v>10485</v>
      </c>
      <c r="I1069" s="119">
        <v>45292.0</v>
      </c>
      <c r="K1069" s="7" t="s">
        <v>419</v>
      </c>
      <c r="L1069" s="7" t="s">
        <v>991</v>
      </c>
      <c r="M1069" s="7" t="s">
        <v>3501</v>
      </c>
      <c r="N1069" s="7" t="s">
        <v>8077</v>
      </c>
      <c r="O1069" s="7" t="s">
        <v>10486</v>
      </c>
      <c r="P1069" s="7" t="s">
        <v>5585</v>
      </c>
      <c r="Q1069" s="7">
        <v>1.0</v>
      </c>
    </row>
    <row r="1070">
      <c r="A1070" s="7" t="s">
        <v>10487</v>
      </c>
      <c r="B1070" s="7">
        <v>14295.0</v>
      </c>
      <c r="C1070" s="7" t="s">
        <v>10488</v>
      </c>
      <c r="D1070" s="7" t="s">
        <v>10489</v>
      </c>
      <c r="E1070" s="7" t="s">
        <v>10490</v>
      </c>
      <c r="F1070" s="7" t="s">
        <v>10491</v>
      </c>
      <c r="G1070" s="7" t="s">
        <v>10492</v>
      </c>
      <c r="H1070" s="7" t="s">
        <v>10493</v>
      </c>
      <c r="I1070" s="119">
        <v>45292.0</v>
      </c>
      <c r="K1070" s="7" t="s">
        <v>419</v>
      </c>
      <c r="L1070" s="7" t="s">
        <v>991</v>
      </c>
      <c r="M1070" s="7" t="s">
        <v>3501</v>
      </c>
      <c r="N1070" s="7" t="s">
        <v>4399</v>
      </c>
      <c r="O1070" s="7" t="s">
        <v>4400</v>
      </c>
      <c r="P1070" s="7" t="s">
        <v>3843</v>
      </c>
      <c r="Q1070" s="7">
        <v>1.0</v>
      </c>
    </row>
    <row r="1071">
      <c r="A1071" s="7" t="s">
        <v>10494</v>
      </c>
      <c r="B1071" s="7">
        <v>180.0</v>
      </c>
      <c r="C1071" s="7" t="s">
        <v>10495</v>
      </c>
      <c r="D1071" s="7" t="s">
        <v>10496</v>
      </c>
      <c r="E1071" s="7" t="s">
        <v>10497</v>
      </c>
      <c r="F1071" s="7" t="s">
        <v>10498</v>
      </c>
      <c r="G1071" s="7" t="s">
        <v>10499</v>
      </c>
      <c r="H1071" s="7" t="s">
        <v>10500</v>
      </c>
      <c r="I1071" s="119">
        <v>45292.0</v>
      </c>
      <c r="K1071" s="7" t="s">
        <v>419</v>
      </c>
      <c r="L1071" s="7" t="s">
        <v>991</v>
      </c>
      <c r="M1071" s="7" t="s">
        <v>3501</v>
      </c>
      <c r="N1071" s="7" t="s">
        <v>4256</v>
      </c>
      <c r="O1071" s="7" t="s">
        <v>4257</v>
      </c>
      <c r="P1071" s="7" t="s">
        <v>3493</v>
      </c>
      <c r="Q1071" s="7">
        <v>1.0</v>
      </c>
    </row>
    <row r="1072">
      <c r="A1072" s="7" t="s">
        <v>10501</v>
      </c>
      <c r="B1072" s="7">
        <v>13661.0</v>
      </c>
      <c r="C1072" s="7" t="s">
        <v>10502</v>
      </c>
      <c r="D1072" s="7" t="s">
        <v>10503</v>
      </c>
      <c r="E1072" s="7" t="s">
        <v>10504</v>
      </c>
      <c r="F1072" s="7" t="s">
        <v>8243</v>
      </c>
      <c r="G1072" s="7" t="s">
        <v>10505</v>
      </c>
      <c r="H1072" s="7" t="s">
        <v>10506</v>
      </c>
      <c r="I1072" s="119">
        <v>45292.0</v>
      </c>
      <c r="K1072" s="7" t="s">
        <v>3632</v>
      </c>
      <c r="L1072" s="7" t="s">
        <v>991</v>
      </c>
      <c r="M1072" s="7" t="s">
        <v>3501</v>
      </c>
      <c r="N1072" s="7" t="s">
        <v>10507</v>
      </c>
      <c r="O1072" s="7" t="s">
        <v>10508</v>
      </c>
      <c r="P1072" s="7" t="s">
        <v>10509</v>
      </c>
      <c r="Q1072" s="7" t="s">
        <v>10510</v>
      </c>
    </row>
    <row r="1073">
      <c r="A1073" s="7" t="s">
        <v>2428</v>
      </c>
      <c r="B1073" s="7">
        <v>10936.0</v>
      </c>
      <c r="C1073" s="7" t="s">
        <v>10511</v>
      </c>
      <c r="D1073" s="7" t="s">
        <v>10512</v>
      </c>
      <c r="E1073" s="7" t="s">
        <v>10513</v>
      </c>
      <c r="F1073" s="7" t="s">
        <v>4751</v>
      </c>
      <c r="G1073" s="7" t="s">
        <v>10514</v>
      </c>
      <c r="H1073" s="7" t="s">
        <v>10515</v>
      </c>
      <c r="I1073" s="119">
        <v>45292.0</v>
      </c>
      <c r="K1073" s="7" t="s">
        <v>419</v>
      </c>
      <c r="L1073" s="7" t="s">
        <v>991</v>
      </c>
      <c r="M1073" s="7" t="s">
        <v>3501</v>
      </c>
      <c r="N1073" s="7" t="s">
        <v>10516</v>
      </c>
      <c r="O1073" s="7" t="s">
        <v>10517</v>
      </c>
      <c r="P1073" s="7" t="s">
        <v>3493</v>
      </c>
      <c r="Q1073" s="7">
        <v>1.0</v>
      </c>
    </row>
    <row r="1074">
      <c r="A1074" s="7" t="s">
        <v>10518</v>
      </c>
      <c r="B1074" s="7">
        <v>12598.0</v>
      </c>
      <c r="C1074" s="7" t="s">
        <v>10519</v>
      </c>
      <c r="D1074" s="7" t="s">
        <v>10520</v>
      </c>
      <c r="E1074" s="7" t="s">
        <v>10521</v>
      </c>
      <c r="F1074" s="7" t="s">
        <v>10522</v>
      </c>
      <c r="G1074" s="7" t="s">
        <v>10523</v>
      </c>
      <c r="H1074" s="7" t="s">
        <v>10524</v>
      </c>
      <c r="I1074" s="119">
        <v>45367.0</v>
      </c>
      <c r="K1074" s="7" t="s">
        <v>5973</v>
      </c>
      <c r="L1074" s="7" t="s">
        <v>3542</v>
      </c>
      <c r="M1074" s="7" t="s">
        <v>4383</v>
      </c>
      <c r="N1074" s="7" t="s">
        <v>4444</v>
      </c>
      <c r="O1074" s="7" t="s">
        <v>10525</v>
      </c>
      <c r="P1074" s="7" t="s">
        <v>3894</v>
      </c>
      <c r="Q1074" s="7" t="s">
        <v>3523</v>
      </c>
    </row>
    <row r="1075">
      <c r="A1075" s="7" t="s">
        <v>10526</v>
      </c>
      <c r="B1075" s="7">
        <v>12730.0</v>
      </c>
      <c r="C1075" s="7" t="s">
        <v>10527</v>
      </c>
      <c r="D1075" s="7" t="s">
        <v>10528</v>
      </c>
      <c r="E1075" s="7" t="s">
        <v>10529</v>
      </c>
      <c r="F1075" s="7" t="s">
        <v>10530</v>
      </c>
      <c r="G1075" s="7" t="s">
        <v>10531</v>
      </c>
      <c r="H1075" s="7" t="s">
        <v>10532</v>
      </c>
      <c r="I1075" s="119">
        <v>45292.0</v>
      </c>
      <c r="K1075" s="7" t="s">
        <v>419</v>
      </c>
      <c r="L1075" s="7" t="s">
        <v>991</v>
      </c>
      <c r="M1075" s="7" t="s">
        <v>3501</v>
      </c>
      <c r="N1075" s="7" t="s">
        <v>3920</v>
      </c>
      <c r="O1075" s="7" t="s">
        <v>3921</v>
      </c>
      <c r="P1075" s="7" t="s">
        <v>3493</v>
      </c>
      <c r="Q1075" s="7">
        <v>1.0</v>
      </c>
    </row>
    <row r="1076">
      <c r="A1076" s="7" t="s">
        <v>10533</v>
      </c>
      <c r="B1076" s="7">
        <v>2200436.0</v>
      </c>
      <c r="C1076" s="7" t="s">
        <v>10534</v>
      </c>
      <c r="D1076" s="7" t="s">
        <v>5269</v>
      </c>
      <c r="E1076" s="7" t="s">
        <v>10535</v>
      </c>
      <c r="F1076" s="7" t="s">
        <v>3889</v>
      </c>
      <c r="G1076" s="7" t="s">
        <v>10536</v>
      </c>
      <c r="H1076" s="7" t="s">
        <v>10537</v>
      </c>
      <c r="I1076" s="119">
        <v>45292.0</v>
      </c>
      <c r="K1076" s="7" t="s">
        <v>419</v>
      </c>
      <c r="L1076" s="7" t="s">
        <v>991</v>
      </c>
      <c r="M1076" s="7" t="s">
        <v>3501</v>
      </c>
      <c r="N1076" s="7" t="s">
        <v>3809</v>
      </c>
      <c r="O1076" s="7" t="s">
        <v>3810</v>
      </c>
      <c r="P1076" s="7" t="s">
        <v>3604</v>
      </c>
      <c r="Q1076" s="7">
        <v>1.0</v>
      </c>
    </row>
    <row r="1077">
      <c r="A1077" s="7" t="s">
        <v>10538</v>
      </c>
      <c r="B1077" s="7">
        <v>330.0</v>
      </c>
      <c r="C1077" s="7" t="s">
        <v>10539</v>
      </c>
      <c r="D1077" s="7" t="s">
        <v>10540</v>
      </c>
      <c r="E1077" s="7" t="s">
        <v>10541</v>
      </c>
      <c r="F1077" s="7" t="s">
        <v>10542</v>
      </c>
      <c r="G1077" s="7" t="s">
        <v>10543</v>
      </c>
      <c r="H1077" s="7" t="s">
        <v>10544</v>
      </c>
      <c r="I1077" s="119">
        <v>45292.0</v>
      </c>
      <c r="K1077" s="7" t="s">
        <v>419</v>
      </c>
      <c r="L1077" s="7" t="s">
        <v>991</v>
      </c>
      <c r="M1077" s="7" t="s">
        <v>3501</v>
      </c>
      <c r="N1077" s="7" t="s">
        <v>10545</v>
      </c>
      <c r="O1077" s="7" t="s">
        <v>10546</v>
      </c>
      <c r="P1077" s="7" t="s">
        <v>3493</v>
      </c>
      <c r="Q1077" s="7">
        <v>1.0</v>
      </c>
    </row>
    <row r="1078">
      <c r="A1078" s="7" t="s">
        <v>10547</v>
      </c>
      <c r="B1078" s="7">
        <v>2100504.0</v>
      </c>
      <c r="C1078" s="7" t="s">
        <v>10548</v>
      </c>
      <c r="D1078" s="7" t="s">
        <v>10549</v>
      </c>
      <c r="E1078" s="7" t="s">
        <v>10550</v>
      </c>
      <c r="F1078" s="7" t="s">
        <v>10551</v>
      </c>
      <c r="G1078" s="7" t="s">
        <v>10552</v>
      </c>
      <c r="H1078" s="7" t="s">
        <v>10553</v>
      </c>
      <c r="I1078" s="119">
        <v>45292.0</v>
      </c>
      <c r="K1078" s="7" t="s">
        <v>3489</v>
      </c>
      <c r="L1078" s="7" t="s">
        <v>991</v>
      </c>
      <c r="M1078" s="7" t="s">
        <v>3490</v>
      </c>
      <c r="N1078" s="7" t="s">
        <v>3491</v>
      </c>
      <c r="O1078" s="7" t="s">
        <v>3492</v>
      </c>
      <c r="P1078" s="7" t="s">
        <v>3493</v>
      </c>
      <c r="Q1078" s="7">
        <v>1.0</v>
      </c>
    </row>
    <row r="1079">
      <c r="A1079" s="7" t="s">
        <v>10554</v>
      </c>
      <c r="B1079" s="7">
        <v>11375.0</v>
      </c>
      <c r="C1079" s="7" t="s">
        <v>10555</v>
      </c>
      <c r="D1079" s="7" t="s">
        <v>10556</v>
      </c>
      <c r="E1079" s="7" t="s">
        <v>10557</v>
      </c>
      <c r="F1079" s="7" t="s">
        <v>10558</v>
      </c>
      <c r="G1079" s="7" t="s">
        <v>10559</v>
      </c>
      <c r="H1079" s="7" t="s">
        <v>10560</v>
      </c>
      <c r="I1079" s="119">
        <v>45292.0</v>
      </c>
      <c r="K1079" s="7" t="s">
        <v>419</v>
      </c>
      <c r="L1079" s="7" t="s">
        <v>991</v>
      </c>
      <c r="M1079" s="7" t="s">
        <v>3501</v>
      </c>
      <c r="N1079" s="7" t="s">
        <v>8044</v>
      </c>
      <c r="O1079" s="7" t="s">
        <v>10561</v>
      </c>
      <c r="P1079" s="7" t="s">
        <v>3522</v>
      </c>
      <c r="Q1079" s="7" t="s">
        <v>3523</v>
      </c>
    </row>
    <row r="1080">
      <c r="A1080" s="7" t="s">
        <v>10562</v>
      </c>
      <c r="B1080" s="7">
        <v>2100203.0</v>
      </c>
      <c r="C1080" s="7" t="s">
        <v>10563</v>
      </c>
      <c r="D1080" s="7" t="s">
        <v>10564</v>
      </c>
      <c r="E1080" s="7" t="s">
        <v>10565</v>
      </c>
      <c r="F1080" s="7" t="s">
        <v>10566</v>
      </c>
      <c r="G1080" s="7" t="s">
        <v>10567</v>
      </c>
      <c r="H1080" s="7" t="s">
        <v>10568</v>
      </c>
      <c r="I1080" s="119">
        <v>45292.0</v>
      </c>
      <c r="K1080" s="7" t="s">
        <v>419</v>
      </c>
      <c r="L1080" s="7" t="s">
        <v>991</v>
      </c>
      <c r="M1080" s="7" t="s">
        <v>3501</v>
      </c>
      <c r="N1080" s="7" t="s">
        <v>10569</v>
      </c>
      <c r="O1080" s="7" t="s">
        <v>10570</v>
      </c>
      <c r="P1080" s="7" t="s">
        <v>3843</v>
      </c>
      <c r="Q1080" s="7">
        <v>1.0</v>
      </c>
    </row>
    <row r="1081">
      <c r="A1081" s="7" t="s">
        <v>10571</v>
      </c>
      <c r="B1081" s="7">
        <v>787.0</v>
      </c>
      <c r="C1081" s="7" t="s">
        <v>10572</v>
      </c>
      <c r="D1081" s="7" t="s">
        <v>10573</v>
      </c>
      <c r="E1081" s="7" t="s">
        <v>10574</v>
      </c>
      <c r="F1081" s="7" t="s">
        <v>4032</v>
      </c>
      <c r="G1081" s="7" t="s">
        <v>10575</v>
      </c>
      <c r="H1081" s="7" t="s">
        <v>10576</v>
      </c>
      <c r="I1081" s="119">
        <v>45292.0</v>
      </c>
      <c r="K1081" s="7" t="s">
        <v>419</v>
      </c>
      <c r="L1081" s="7" t="s">
        <v>991</v>
      </c>
      <c r="M1081" s="7" t="s">
        <v>3501</v>
      </c>
      <c r="N1081" s="7" t="s">
        <v>10577</v>
      </c>
      <c r="O1081" s="7" t="s">
        <v>10578</v>
      </c>
      <c r="P1081" s="7" t="s">
        <v>3843</v>
      </c>
      <c r="Q1081" s="7">
        <v>1.0</v>
      </c>
    </row>
    <row r="1082">
      <c r="A1082" s="7" t="s">
        <v>10579</v>
      </c>
      <c r="B1082" s="7">
        <v>2100048.0</v>
      </c>
      <c r="C1082" s="7" t="s">
        <v>10580</v>
      </c>
      <c r="D1082" s="7" t="s">
        <v>10581</v>
      </c>
      <c r="E1082" s="7" t="s">
        <v>10582</v>
      </c>
      <c r="F1082" s="7" t="s">
        <v>10583</v>
      </c>
      <c r="G1082" s="7" t="s">
        <v>10584</v>
      </c>
      <c r="H1082" s="7" t="s">
        <v>10585</v>
      </c>
      <c r="I1082" s="119">
        <v>45292.0</v>
      </c>
      <c r="K1082" s="7" t="s">
        <v>419</v>
      </c>
      <c r="L1082" s="7" t="s">
        <v>991</v>
      </c>
      <c r="M1082" s="7" t="s">
        <v>3501</v>
      </c>
      <c r="N1082" s="7" t="s">
        <v>4290</v>
      </c>
      <c r="O1082" s="7" t="s">
        <v>10586</v>
      </c>
      <c r="P1082" s="7" t="s">
        <v>3513</v>
      </c>
      <c r="Q1082" s="7" t="s">
        <v>3514</v>
      </c>
    </row>
    <row r="1083">
      <c r="A1083" s="7" t="s">
        <v>10587</v>
      </c>
      <c r="B1083" s="7">
        <v>2300008.0</v>
      </c>
      <c r="C1083" s="7" t="s">
        <v>10588</v>
      </c>
      <c r="D1083" s="7" t="s">
        <v>10589</v>
      </c>
      <c r="E1083" s="7" t="s">
        <v>10590</v>
      </c>
      <c r="F1083" s="7" t="s">
        <v>7266</v>
      </c>
      <c r="G1083" s="7" t="s">
        <v>10591</v>
      </c>
      <c r="H1083" s="7" t="s">
        <v>10592</v>
      </c>
      <c r="I1083" s="119">
        <v>45292.0</v>
      </c>
      <c r="K1083" s="7" t="s">
        <v>419</v>
      </c>
      <c r="L1083" s="7" t="s">
        <v>991</v>
      </c>
      <c r="M1083" s="7" t="s">
        <v>3501</v>
      </c>
      <c r="N1083" s="7" t="s">
        <v>4310</v>
      </c>
      <c r="O1083" s="7" t="s">
        <v>4311</v>
      </c>
      <c r="P1083" s="7" t="s">
        <v>3493</v>
      </c>
      <c r="Q1083" s="7">
        <v>1.0</v>
      </c>
    </row>
    <row r="1084">
      <c r="A1084" s="7" t="s">
        <v>10593</v>
      </c>
      <c r="B1084" s="7">
        <v>2300435.0</v>
      </c>
      <c r="C1084" s="7" t="s">
        <v>10594</v>
      </c>
      <c r="D1084" s="7" t="s">
        <v>5956</v>
      </c>
      <c r="E1084" s="7" t="s">
        <v>10595</v>
      </c>
      <c r="F1084" s="7" t="s">
        <v>4687</v>
      </c>
      <c r="G1084" s="7" t="s">
        <v>10596</v>
      </c>
      <c r="H1084" s="7" t="s">
        <v>10597</v>
      </c>
      <c r="I1084" s="119">
        <v>45292.0</v>
      </c>
      <c r="K1084" s="7" t="s">
        <v>419</v>
      </c>
      <c r="L1084" s="7" t="s">
        <v>991</v>
      </c>
      <c r="M1084" s="7" t="s">
        <v>3501</v>
      </c>
      <c r="N1084" s="7" t="s">
        <v>8379</v>
      </c>
      <c r="O1084" s="7" t="s">
        <v>8380</v>
      </c>
      <c r="P1084" s="7" t="s">
        <v>3522</v>
      </c>
      <c r="Q1084" s="7" t="s">
        <v>3523</v>
      </c>
    </row>
    <row r="1085">
      <c r="A1085" s="7" t="s">
        <v>10598</v>
      </c>
      <c r="B1085" s="7">
        <v>11042.0</v>
      </c>
      <c r="C1085" s="7" t="s">
        <v>10594</v>
      </c>
      <c r="D1085" s="7" t="s">
        <v>8988</v>
      </c>
      <c r="E1085" s="7" t="s">
        <v>10595</v>
      </c>
      <c r="F1085" s="7" t="s">
        <v>3656</v>
      </c>
      <c r="G1085" s="7" t="s">
        <v>10599</v>
      </c>
      <c r="H1085" s="7" t="s">
        <v>10600</v>
      </c>
      <c r="I1085" s="119">
        <v>45292.0</v>
      </c>
      <c r="K1085" s="7" t="s">
        <v>419</v>
      </c>
      <c r="L1085" s="7" t="s">
        <v>991</v>
      </c>
      <c r="M1085" s="7" t="s">
        <v>3501</v>
      </c>
      <c r="N1085" s="7" t="s">
        <v>10601</v>
      </c>
      <c r="O1085" s="7" t="s">
        <v>10602</v>
      </c>
      <c r="P1085" s="7" t="s">
        <v>3604</v>
      </c>
      <c r="Q1085" s="7">
        <v>1.0</v>
      </c>
    </row>
    <row r="1086">
      <c r="A1086" s="7" t="s">
        <v>10603</v>
      </c>
      <c r="B1086" s="7">
        <v>14302.0</v>
      </c>
      <c r="C1086" s="7" t="s">
        <v>10604</v>
      </c>
      <c r="D1086" s="7" t="s">
        <v>10605</v>
      </c>
      <c r="E1086" s="7" t="s">
        <v>10606</v>
      </c>
      <c r="F1086" s="7" t="s">
        <v>10607</v>
      </c>
      <c r="G1086" s="7" t="s">
        <v>10608</v>
      </c>
      <c r="H1086" s="7" t="s">
        <v>10609</v>
      </c>
      <c r="I1086" s="119">
        <v>45292.0</v>
      </c>
      <c r="K1086" s="7" t="s">
        <v>419</v>
      </c>
      <c r="L1086" s="7" t="s">
        <v>991</v>
      </c>
      <c r="M1086" s="7" t="s">
        <v>3501</v>
      </c>
      <c r="N1086" s="7" t="s">
        <v>6646</v>
      </c>
      <c r="O1086" s="7" t="s">
        <v>8015</v>
      </c>
      <c r="P1086" s="7" t="s">
        <v>3843</v>
      </c>
      <c r="Q1086" s="7">
        <v>1.0</v>
      </c>
    </row>
    <row r="1087">
      <c r="A1087" s="7" t="s">
        <v>10610</v>
      </c>
      <c r="B1087" s="7">
        <v>2200188.0</v>
      </c>
      <c r="C1087" s="7" t="s">
        <v>10604</v>
      </c>
      <c r="D1087" s="7" t="s">
        <v>10611</v>
      </c>
      <c r="E1087" s="7" t="s">
        <v>10606</v>
      </c>
      <c r="F1087" s="7" t="s">
        <v>10612</v>
      </c>
      <c r="G1087" s="7" t="s">
        <v>10613</v>
      </c>
      <c r="H1087" s="7" t="s">
        <v>10614</v>
      </c>
      <c r="I1087" s="119">
        <v>45292.0</v>
      </c>
      <c r="K1087" s="7" t="s">
        <v>419</v>
      </c>
      <c r="L1087" s="7" t="s">
        <v>991</v>
      </c>
      <c r="M1087" s="7" t="s">
        <v>3501</v>
      </c>
      <c r="N1087" s="7" t="s">
        <v>5888</v>
      </c>
      <c r="O1087" s="7" t="s">
        <v>5889</v>
      </c>
      <c r="P1087" s="7" t="s">
        <v>3493</v>
      </c>
      <c r="Q1087" s="7">
        <v>1.0</v>
      </c>
    </row>
    <row r="1088">
      <c r="A1088" s="7" t="s">
        <v>10615</v>
      </c>
      <c r="B1088" s="7">
        <v>10785.0</v>
      </c>
      <c r="C1088" s="7" t="s">
        <v>10604</v>
      </c>
      <c r="D1088" s="7" t="s">
        <v>10616</v>
      </c>
      <c r="E1088" s="7" t="s">
        <v>10606</v>
      </c>
      <c r="F1088" s="7" t="s">
        <v>8007</v>
      </c>
      <c r="G1088" s="7" t="s">
        <v>10617</v>
      </c>
      <c r="H1088" s="7" t="s">
        <v>10618</v>
      </c>
      <c r="I1088" s="119">
        <v>45292.0</v>
      </c>
      <c r="K1088" s="7" t="s">
        <v>419</v>
      </c>
      <c r="L1088" s="7" t="s">
        <v>991</v>
      </c>
      <c r="M1088" s="7" t="s">
        <v>3501</v>
      </c>
      <c r="N1088" s="7" t="s">
        <v>10619</v>
      </c>
      <c r="O1088" s="7" t="s">
        <v>10620</v>
      </c>
      <c r="P1088" s="7" t="s">
        <v>4420</v>
      </c>
      <c r="Q1088" s="7" t="s">
        <v>3523</v>
      </c>
    </row>
    <row r="1089">
      <c r="A1089" s="7" t="s">
        <v>10621</v>
      </c>
      <c r="B1089" s="7">
        <v>13704.0</v>
      </c>
      <c r="C1089" s="7" t="s">
        <v>10604</v>
      </c>
      <c r="D1089" s="7" t="s">
        <v>10622</v>
      </c>
      <c r="E1089" s="7" t="s">
        <v>10606</v>
      </c>
      <c r="F1089" s="7" t="s">
        <v>9490</v>
      </c>
      <c r="G1089" s="7" t="s">
        <v>10623</v>
      </c>
      <c r="H1089" s="7" t="s">
        <v>10624</v>
      </c>
      <c r="I1089" s="119">
        <v>45292.0</v>
      </c>
      <c r="K1089" s="7" t="s">
        <v>3632</v>
      </c>
      <c r="L1089" s="7" t="s">
        <v>991</v>
      </c>
      <c r="M1089" s="7" t="s">
        <v>3583</v>
      </c>
      <c r="N1089" s="7" t="s">
        <v>8574</v>
      </c>
      <c r="O1089" s="7" t="s">
        <v>10625</v>
      </c>
      <c r="P1089" s="7" t="s">
        <v>3493</v>
      </c>
      <c r="Q1089" s="7">
        <v>1.0</v>
      </c>
    </row>
    <row r="1090">
      <c r="A1090" s="7" t="s">
        <v>1612</v>
      </c>
      <c r="B1090" s="7">
        <v>1079.0</v>
      </c>
      <c r="C1090" s="7" t="s">
        <v>10316</v>
      </c>
      <c r="D1090" s="7" t="s">
        <v>10626</v>
      </c>
      <c r="E1090" s="7" t="s">
        <v>10627</v>
      </c>
      <c r="F1090" s="7" t="s">
        <v>4424</v>
      </c>
      <c r="G1090" s="7" t="s">
        <v>10628</v>
      </c>
      <c r="H1090" s="7" t="s">
        <v>10629</v>
      </c>
      <c r="I1090" s="119">
        <v>45292.0</v>
      </c>
      <c r="K1090" s="7" t="s">
        <v>419</v>
      </c>
      <c r="L1090" s="7" t="s">
        <v>991</v>
      </c>
      <c r="M1090" s="7" t="s">
        <v>3501</v>
      </c>
      <c r="N1090" s="7" t="s">
        <v>5556</v>
      </c>
      <c r="O1090" s="7" t="s">
        <v>5557</v>
      </c>
      <c r="P1090" s="7" t="s">
        <v>5558</v>
      </c>
      <c r="Q1090" s="7" t="s">
        <v>5559</v>
      </c>
    </row>
    <row r="1091">
      <c r="A1091" s="7" t="s">
        <v>10630</v>
      </c>
      <c r="B1091" s="7">
        <v>2200266.0</v>
      </c>
      <c r="C1091" s="7" t="s">
        <v>10631</v>
      </c>
      <c r="D1091" s="7" t="s">
        <v>10632</v>
      </c>
      <c r="E1091" s="7" t="s">
        <v>10633</v>
      </c>
      <c r="F1091" s="7" t="s">
        <v>7039</v>
      </c>
      <c r="G1091" s="7" t="s">
        <v>10634</v>
      </c>
      <c r="H1091" s="7" t="s">
        <v>10635</v>
      </c>
      <c r="I1091" s="119">
        <v>45292.0</v>
      </c>
      <c r="K1091" s="7" t="s">
        <v>419</v>
      </c>
      <c r="L1091" s="7" t="s">
        <v>991</v>
      </c>
      <c r="M1091" s="7" t="s">
        <v>3531</v>
      </c>
      <c r="N1091" s="7" t="s">
        <v>3802</v>
      </c>
      <c r="O1091" s="7" t="s">
        <v>3803</v>
      </c>
      <c r="P1091" s="7" t="s">
        <v>3493</v>
      </c>
      <c r="Q1091" s="7">
        <v>1.0</v>
      </c>
    </row>
    <row r="1092">
      <c r="A1092" s="7" t="s">
        <v>10636</v>
      </c>
      <c r="B1092" s="7">
        <v>10021.0</v>
      </c>
      <c r="C1092" s="7" t="s">
        <v>10631</v>
      </c>
      <c r="D1092" s="7" t="s">
        <v>10637</v>
      </c>
      <c r="E1092" s="7" t="s">
        <v>10633</v>
      </c>
      <c r="F1092" s="7" t="s">
        <v>4677</v>
      </c>
      <c r="G1092" s="7" t="s">
        <v>10638</v>
      </c>
      <c r="H1092" s="7" t="s">
        <v>10639</v>
      </c>
      <c r="I1092" s="119">
        <v>45292.0</v>
      </c>
      <c r="K1092" s="7" t="s">
        <v>419</v>
      </c>
      <c r="L1092" s="7" t="s">
        <v>991</v>
      </c>
      <c r="M1092" s="7" t="s">
        <v>3501</v>
      </c>
      <c r="N1092" s="7" t="s">
        <v>8366</v>
      </c>
      <c r="O1092" s="7" t="s">
        <v>8367</v>
      </c>
      <c r="P1092" s="7" t="s">
        <v>3522</v>
      </c>
      <c r="Q1092" s="7" t="s">
        <v>3523</v>
      </c>
    </row>
    <row r="1093">
      <c r="A1093" s="7" t="s">
        <v>10640</v>
      </c>
      <c r="B1093" s="7">
        <v>13576.0</v>
      </c>
      <c r="C1093" s="7" t="s">
        <v>10641</v>
      </c>
      <c r="D1093" s="7" t="s">
        <v>7547</v>
      </c>
      <c r="E1093" s="7" t="s">
        <v>10642</v>
      </c>
      <c r="F1093" s="7" t="s">
        <v>3889</v>
      </c>
      <c r="G1093" s="7" t="s">
        <v>10643</v>
      </c>
      <c r="H1093" s="7" t="s">
        <v>10644</v>
      </c>
      <c r="I1093" s="119">
        <v>45292.0</v>
      </c>
      <c r="K1093" s="7" t="s">
        <v>419</v>
      </c>
      <c r="L1093" s="7" t="s">
        <v>991</v>
      </c>
      <c r="M1093" s="7" t="s">
        <v>3501</v>
      </c>
      <c r="N1093" s="7" t="s">
        <v>10645</v>
      </c>
      <c r="O1093" s="7" t="s">
        <v>10646</v>
      </c>
      <c r="P1093" s="7" t="s">
        <v>3522</v>
      </c>
      <c r="Q1093" s="7" t="s">
        <v>3523</v>
      </c>
    </row>
    <row r="1094">
      <c r="A1094" s="7" t="s">
        <v>10647</v>
      </c>
      <c r="B1094" s="7">
        <v>12818.0</v>
      </c>
      <c r="C1094" s="7" t="s">
        <v>10648</v>
      </c>
      <c r="D1094" s="7" t="s">
        <v>10649</v>
      </c>
      <c r="E1094" s="7" t="s">
        <v>10650</v>
      </c>
      <c r="F1094" s="7" t="s">
        <v>4751</v>
      </c>
      <c r="G1094" s="7" t="s">
        <v>10651</v>
      </c>
      <c r="H1094" s="7" t="s">
        <v>10652</v>
      </c>
      <c r="I1094" s="119">
        <v>45292.0</v>
      </c>
      <c r="K1094" s="7" t="s">
        <v>419</v>
      </c>
      <c r="L1094" s="7" t="s">
        <v>991</v>
      </c>
      <c r="M1094" s="7" t="s">
        <v>3501</v>
      </c>
      <c r="N1094" s="7" t="s">
        <v>6980</v>
      </c>
      <c r="O1094" s="7" t="s">
        <v>6981</v>
      </c>
      <c r="P1094" s="7" t="s">
        <v>3604</v>
      </c>
      <c r="Q1094" s="7">
        <v>1.0</v>
      </c>
    </row>
    <row r="1095">
      <c r="A1095" s="7" t="s">
        <v>10653</v>
      </c>
      <c r="B1095" s="7">
        <v>2200758.0</v>
      </c>
      <c r="C1095" s="7" t="s">
        <v>10654</v>
      </c>
      <c r="D1095" s="7" t="s">
        <v>10655</v>
      </c>
      <c r="E1095" s="7" t="s">
        <v>10656</v>
      </c>
      <c r="F1095" s="7" t="s">
        <v>10657</v>
      </c>
      <c r="G1095" s="7" t="s">
        <v>10658</v>
      </c>
      <c r="H1095" s="7" t="s">
        <v>10659</v>
      </c>
      <c r="I1095" s="119">
        <v>45292.0</v>
      </c>
      <c r="K1095" s="7" t="s">
        <v>419</v>
      </c>
      <c r="L1095" s="7" t="s">
        <v>991</v>
      </c>
      <c r="M1095" s="7" t="s">
        <v>3501</v>
      </c>
      <c r="N1095" s="7" t="s">
        <v>4310</v>
      </c>
      <c r="O1095" s="7" t="s">
        <v>4311</v>
      </c>
      <c r="P1095" s="7" t="s">
        <v>3493</v>
      </c>
      <c r="Q1095" s="7">
        <v>1.0</v>
      </c>
    </row>
    <row r="1096">
      <c r="A1096" s="7" t="s">
        <v>10660</v>
      </c>
      <c r="B1096" s="7">
        <v>2200092.0</v>
      </c>
      <c r="C1096" s="7" t="s">
        <v>10661</v>
      </c>
      <c r="D1096" s="7" t="s">
        <v>10662</v>
      </c>
      <c r="E1096" s="7" t="s">
        <v>10656</v>
      </c>
      <c r="F1096" s="7" t="s">
        <v>10663</v>
      </c>
      <c r="G1096" s="7" t="s">
        <v>10664</v>
      </c>
      <c r="H1096" s="7" t="s">
        <v>10665</v>
      </c>
      <c r="I1096" s="119">
        <v>45292.0</v>
      </c>
      <c r="K1096" s="7" t="s">
        <v>419</v>
      </c>
      <c r="L1096" s="7" t="s">
        <v>991</v>
      </c>
      <c r="M1096" s="7" t="s">
        <v>3531</v>
      </c>
      <c r="N1096" s="7" t="s">
        <v>10666</v>
      </c>
      <c r="O1096" s="7" t="s">
        <v>10667</v>
      </c>
      <c r="P1096" s="7" t="s">
        <v>3493</v>
      </c>
      <c r="Q1096" s="7">
        <v>1.0</v>
      </c>
    </row>
    <row r="1097">
      <c r="A1097" s="7" t="s">
        <v>10668</v>
      </c>
      <c r="B1097" s="7">
        <v>2300654.0</v>
      </c>
      <c r="C1097" s="7" t="s">
        <v>10661</v>
      </c>
      <c r="D1097" s="7" t="s">
        <v>10669</v>
      </c>
      <c r="E1097" s="7" t="s">
        <v>10656</v>
      </c>
      <c r="F1097" s="7" t="s">
        <v>3806</v>
      </c>
      <c r="G1097" s="7" t="s">
        <v>10670</v>
      </c>
      <c r="H1097" s="7" t="s">
        <v>10671</v>
      </c>
      <c r="I1097" s="119">
        <v>45292.0</v>
      </c>
      <c r="K1097" s="7" t="s">
        <v>419</v>
      </c>
      <c r="L1097" s="7" t="s">
        <v>991</v>
      </c>
      <c r="M1097" s="7" t="s">
        <v>3531</v>
      </c>
      <c r="N1097" s="7" t="s">
        <v>7536</v>
      </c>
      <c r="O1097" s="7" t="s">
        <v>7537</v>
      </c>
      <c r="P1097" s="7" t="s">
        <v>3493</v>
      </c>
      <c r="Q1097" s="7">
        <v>1.0</v>
      </c>
    </row>
    <row r="1098">
      <c r="A1098" s="7" t="s">
        <v>10672</v>
      </c>
      <c r="B1098" s="7">
        <v>3000204.0</v>
      </c>
      <c r="C1098" s="7" t="s">
        <v>10673</v>
      </c>
      <c r="D1098" s="7" t="s">
        <v>10674</v>
      </c>
      <c r="E1098" s="7" t="s">
        <v>10675</v>
      </c>
      <c r="F1098" s="7" t="s">
        <v>9367</v>
      </c>
      <c r="G1098" s="7" t="s">
        <v>10676</v>
      </c>
      <c r="H1098" s="7" t="s">
        <v>10677</v>
      </c>
      <c r="I1098" s="119">
        <v>45536.0</v>
      </c>
      <c r="K1098" s="7" t="s">
        <v>419</v>
      </c>
      <c r="L1098" s="7" t="s">
        <v>991</v>
      </c>
      <c r="M1098" s="7" t="s">
        <v>3501</v>
      </c>
      <c r="N1098" s="7" t="s">
        <v>5795</v>
      </c>
      <c r="O1098" s="7" t="s">
        <v>5796</v>
      </c>
      <c r="P1098" s="7" t="s">
        <v>3493</v>
      </c>
      <c r="Q1098" s="7">
        <v>1.0</v>
      </c>
    </row>
    <row r="1099">
      <c r="A1099" s="7" t="s">
        <v>10678</v>
      </c>
      <c r="B1099" s="7">
        <v>8444.0</v>
      </c>
      <c r="C1099" s="7" t="s">
        <v>10679</v>
      </c>
      <c r="D1099" s="7" t="s">
        <v>10680</v>
      </c>
      <c r="E1099" s="7" t="s">
        <v>10681</v>
      </c>
      <c r="F1099" s="7" t="s">
        <v>10682</v>
      </c>
      <c r="G1099" s="7" t="s">
        <v>10683</v>
      </c>
      <c r="H1099" s="7" t="s">
        <v>10684</v>
      </c>
      <c r="I1099" s="119">
        <v>45292.0</v>
      </c>
      <c r="K1099" s="7" t="s">
        <v>419</v>
      </c>
      <c r="L1099" s="7" t="s">
        <v>991</v>
      </c>
      <c r="M1099" s="7" t="s">
        <v>3531</v>
      </c>
      <c r="N1099" s="7" t="s">
        <v>4399</v>
      </c>
      <c r="O1099" s="7" t="s">
        <v>4400</v>
      </c>
      <c r="P1099" s="7" t="s">
        <v>3493</v>
      </c>
      <c r="Q1099" s="7">
        <v>1.0</v>
      </c>
    </row>
    <row r="1100">
      <c r="A1100" s="7" t="s">
        <v>10685</v>
      </c>
      <c r="B1100" s="7">
        <v>2300442.0</v>
      </c>
      <c r="C1100" s="7" t="s">
        <v>10686</v>
      </c>
      <c r="D1100" s="7" t="s">
        <v>10687</v>
      </c>
      <c r="E1100" s="7" t="s">
        <v>10688</v>
      </c>
      <c r="F1100" s="7" t="s">
        <v>6301</v>
      </c>
      <c r="G1100" s="7" t="s">
        <v>10689</v>
      </c>
      <c r="H1100" s="7" t="s">
        <v>10690</v>
      </c>
      <c r="I1100" s="119">
        <v>45292.0</v>
      </c>
      <c r="K1100" s="7" t="s">
        <v>419</v>
      </c>
      <c r="L1100" s="7" t="s">
        <v>991</v>
      </c>
      <c r="M1100" s="7" t="s">
        <v>3501</v>
      </c>
      <c r="N1100" s="7" t="s">
        <v>8158</v>
      </c>
      <c r="O1100" s="7" t="s">
        <v>10691</v>
      </c>
      <c r="P1100" s="7" t="s">
        <v>3493</v>
      </c>
      <c r="Q1100" s="7">
        <v>1.0</v>
      </c>
    </row>
    <row r="1101">
      <c r="A1101" s="7" t="s">
        <v>2003</v>
      </c>
      <c r="B1101" s="7">
        <v>10803.0</v>
      </c>
      <c r="C1101" s="7" t="s">
        <v>1022</v>
      </c>
      <c r="D1101" s="7" t="s">
        <v>10692</v>
      </c>
      <c r="E1101" s="7" t="s">
        <v>10693</v>
      </c>
      <c r="F1101" s="7" t="s">
        <v>10694</v>
      </c>
      <c r="G1101" s="7" t="s">
        <v>10695</v>
      </c>
      <c r="H1101" s="7" t="s">
        <v>10696</v>
      </c>
      <c r="I1101" s="119">
        <v>45292.0</v>
      </c>
      <c r="K1101" s="7" t="s">
        <v>7069</v>
      </c>
      <c r="L1101" s="7" t="s">
        <v>4406</v>
      </c>
      <c r="M1101" s="7" t="s">
        <v>7070</v>
      </c>
      <c r="N1101" s="7" t="s">
        <v>10697</v>
      </c>
      <c r="O1101" s="7" t="s">
        <v>10698</v>
      </c>
      <c r="P1101" s="7" t="s">
        <v>10699</v>
      </c>
      <c r="Q1101" s="7" t="s">
        <v>3687</v>
      </c>
    </row>
    <row r="1102">
      <c r="A1102" s="7" t="s">
        <v>10700</v>
      </c>
      <c r="B1102" s="7">
        <v>2300471.0</v>
      </c>
      <c r="C1102" s="7" t="s">
        <v>1022</v>
      </c>
      <c r="D1102" s="7" t="s">
        <v>9683</v>
      </c>
      <c r="E1102" s="7" t="s">
        <v>10693</v>
      </c>
      <c r="F1102" s="7" t="s">
        <v>3486</v>
      </c>
      <c r="G1102" s="7" t="s">
        <v>10701</v>
      </c>
      <c r="H1102" s="7" t="s">
        <v>10702</v>
      </c>
      <c r="I1102" s="119">
        <v>45292.0</v>
      </c>
      <c r="K1102" s="7" t="s">
        <v>419</v>
      </c>
      <c r="L1102" s="7" t="s">
        <v>991</v>
      </c>
      <c r="M1102" s="7" t="s">
        <v>3531</v>
      </c>
      <c r="N1102" s="7" t="s">
        <v>7883</v>
      </c>
      <c r="O1102" s="7" t="s">
        <v>7884</v>
      </c>
      <c r="P1102" s="7" t="s">
        <v>3493</v>
      </c>
      <c r="Q1102" s="7">
        <v>1.0</v>
      </c>
    </row>
    <row r="1103">
      <c r="A1103" s="7" t="s">
        <v>10703</v>
      </c>
      <c r="B1103" s="7">
        <v>14061.0</v>
      </c>
      <c r="C1103" s="7" t="s">
        <v>10704</v>
      </c>
      <c r="D1103" s="7" t="s">
        <v>10705</v>
      </c>
      <c r="E1103" s="7" t="s">
        <v>10706</v>
      </c>
      <c r="F1103" s="7" t="s">
        <v>10707</v>
      </c>
      <c r="G1103" s="7" t="s">
        <v>10708</v>
      </c>
      <c r="H1103" s="7" t="s">
        <v>10709</v>
      </c>
      <c r="I1103" s="119">
        <v>45292.0</v>
      </c>
      <c r="K1103" s="7" t="s">
        <v>419</v>
      </c>
      <c r="L1103" s="7" t="s">
        <v>991</v>
      </c>
      <c r="M1103" s="7" t="s">
        <v>3501</v>
      </c>
      <c r="N1103" s="7" t="s">
        <v>6887</v>
      </c>
      <c r="O1103" s="7" t="s">
        <v>10710</v>
      </c>
      <c r="P1103" s="7" t="s">
        <v>3522</v>
      </c>
      <c r="Q1103" s="7" t="s">
        <v>3523</v>
      </c>
    </row>
    <row r="1104">
      <c r="A1104" s="7" t="s">
        <v>10711</v>
      </c>
      <c r="B1104" s="7">
        <v>2200593.0</v>
      </c>
      <c r="C1104" s="7" t="s">
        <v>10704</v>
      </c>
      <c r="D1104" s="7" t="s">
        <v>10712</v>
      </c>
      <c r="E1104" s="7" t="s">
        <v>10706</v>
      </c>
      <c r="F1104" s="7" t="s">
        <v>5034</v>
      </c>
      <c r="G1104" s="7" t="s">
        <v>10713</v>
      </c>
      <c r="H1104" s="7" t="s">
        <v>10714</v>
      </c>
      <c r="I1104" s="119">
        <v>45292.0</v>
      </c>
      <c r="K1104" s="7" t="s">
        <v>3622</v>
      </c>
      <c r="L1104" s="7" t="s">
        <v>991</v>
      </c>
      <c r="M1104" s="7" t="s">
        <v>3531</v>
      </c>
      <c r="N1104" s="7" t="s">
        <v>3623</v>
      </c>
      <c r="O1104" s="7" t="s">
        <v>3624</v>
      </c>
      <c r="P1104" s="7" t="s">
        <v>3493</v>
      </c>
      <c r="Q1104" s="7">
        <v>1.0</v>
      </c>
    </row>
    <row r="1105">
      <c r="A1105" s="7" t="s">
        <v>10715</v>
      </c>
      <c r="B1105" s="7">
        <v>12587.0</v>
      </c>
      <c r="C1105" s="7" t="s">
        <v>10716</v>
      </c>
      <c r="D1105" s="7" t="s">
        <v>10717</v>
      </c>
      <c r="E1105" s="7" t="s">
        <v>10718</v>
      </c>
      <c r="F1105" s="7" t="s">
        <v>10719</v>
      </c>
      <c r="G1105" s="7" t="s">
        <v>10720</v>
      </c>
      <c r="H1105" s="7" t="s">
        <v>10721</v>
      </c>
      <c r="I1105" s="119">
        <v>45292.0</v>
      </c>
      <c r="J1105" s="7" t="s">
        <v>4216</v>
      </c>
      <c r="K1105" s="7" t="s">
        <v>419</v>
      </c>
      <c r="L1105" s="7" t="s">
        <v>991</v>
      </c>
      <c r="M1105" s="7" t="s">
        <v>3501</v>
      </c>
      <c r="N1105" s="7" t="s">
        <v>10722</v>
      </c>
      <c r="O1105" s="7" t="s">
        <v>10723</v>
      </c>
      <c r="P1105" s="7" t="s">
        <v>3522</v>
      </c>
      <c r="Q1105" s="7" t="s">
        <v>3523</v>
      </c>
    </row>
    <row r="1106">
      <c r="A1106" s="7" t="s">
        <v>10724</v>
      </c>
      <c r="B1106" s="7">
        <v>1101.0</v>
      </c>
      <c r="C1106" s="7" t="s">
        <v>10725</v>
      </c>
      <c r="D1106" s="7" t="s">
        <v>10726</v>
      </c>
      <c r="E1106" s="7" t="s">
        <v>10727</v>
      </c>
      <c r="F1106" s="7" t="s">
        <v>3517</v>
      </c>
      <c r="G1106" s="7" t="s">
        <v>10728</v>
      </c>
      <c r="H1106" s="7" t="s">
        <v>10729</v>
      </c>
      <c r="I1106" s="119">
        <v>45292.0</v>
      </c>
      <c r="K1106" s="7" t="s">
        <v>419</v>
      </c>
      <c r="L1106" s="7" t="s">
        <v>991</v>
      </c>
      <c r="M1106" s="7" t="s">
        <v>3501</v>
      </c>
      <c r="N1106" s="7" t="s">
        <v>10730</v>
      </c>
      <c r="O1106" s="7" t="s">
        <v>10731</v>
      </c>
      <c r="P1106" s="7" t="s">
        <v>3513</v>
      </c>
      <c r="Q1106" s="7" t="s">
        <v>3514</v>
      </c>
    </row>
    <row r="1107">
      <c r="A1107" s="7" t="s">
        <v>10732</v>
      </c>
      <c r="B1107" s="7">
        <v>2300012.0</v>
      </c>
      <c r="C1107" s="7" t="s">
        <v>10733</v>
      </c>
      <c r="D1107" s="7" t="s">
        <v>10734</v>
      </c>
      <c r="E1107" s="7" t="s">
        <v>10735</v>
      </c>
      <c r="F1107" s="7" t="s">
        <v>3508</v>
      </c>
      <c r="G1107" s="7" t="s">
        <v>10736</v>
      </c>
      <c r="H1107" s="7" t="s">
        <v>10737</v>
      </c>
      <c r="I1107" s="119">
        <v>45292.0</v>
      </c>
      <c r="K1107" s="7" t="s">
        <v>419</v>
      </c>
      <c r="L1107" s="7" t="s">
        <v>991</v>
      </c>
      <c r="M1107" s="7" t="s">
        <v>3501</v>
      </c>
      <c r="N1107" s="7" t="s">
        <v>5420</v>
      </c>
      <c r="O1107" s="7" t="s">
        <v>5421</v>
      </c>
      <c r="P1107" s="7" t="s">
        <v>3493</v>
      </c>
      <c r="Q1107" s="7">
        <v>1.0</v>
      </c>
    </row>
    <row r="1108">
      <c r="A1108" s="7" t="s">
        <v>10738</v>
      </c>
      <c r="B1108" s="7">
        <v>11004.0</v>
      </c>
      <c r="C1108" s="7" t="s">
        <v>10733</v>
      </c>
      <c r="D1108" s="7" t="s">
        <v>10739</v>
      </c>
      <c r="E1108" s="7" t="s">
        <v>10735</v>
      </c>
      <c r="F1108" s="7" t="s">
        <v>10740</v>
      </c>
      <c r="G1108" s="7" t="s">
        <v>10741</v>
      </c>
      <c r="H1108" s="7" t="s">
        <v>10742</v>
      </c>
      <c r="I1108" s="119">
        <v>45292.0</v>
      </c>
      <c r="K1108" s="7" t="s">
        <v>419</v>
      </c>
      <c r="L1108" s="7" t="s">
        <v>991</v>
      </c>
      <c r="M1108" s="7" t="s">
        <v>3501</v>
      </c>
      <c r="N1108" s="7" t="s">
        <v>5411</v>
      </c>
      <c r="O1108" s="7" t="s">
        <v>5412</v>
      </c>
      <c r="P1108" s="7" t="s">
        <v>3843</v>
      </c>
      <c r="Q1108" s="7">
        <v>1.0</v>
      </c>
    </row>
    <row r="1109">
      <c r="A1109" s="7" t="s">
        <v>10743</v>
      </c>
      <c r="B1109" s="7">
        <v>2300037.0</v>
      </c>
      <c r="C1109" s="7" t="s">
        <v>10744</v>
      </c>
      <c r="D1109" s="7" t="s">
        <v>10745</v>
      </c>
      <c r="E1109" s="7" t="s">
        <v>10746</v>
      </c>
      <c r="F1109" s="7" t="s">
        <v>10747</v>
      </c>
      <c r="G1109" s="7" t="s">
        <v>10748</v>
      </c>
      <c r="H1109" s="7" t="s">
        <v>10749</v>
      </c>
      <c r="I1109" s="119">
        <v>45292.0</v>
      </c>
      <c r="K1109" s="7" t="s">
        <v>419</v>
      </c>
      <c r="L1109" s="7" t="s">
        <v>991</v>
      </c>
      <c r="M1109" s="7" t="s">
        <v>3531</v>
      </c>
      <c r="N1109" s="7" t="s">
        <v>5746</v>
      </c>
      <c r="O1109" s="7" t="s">
        <v>5747</v>
      </c>
      <c r="P1109" s="7" t="s">
        <v>3493</v>
      </c>
      <c r="Q1109" s="7">
        <v>1.0</v>
      </c>
    </row>
    <row r="1110">
      <c r="A1110" s="7" t="s">
        <v>10750</v>
      </c>
      <c r="B1110" s="7">
        <v>981.0</v>
      </c>
      <c r="C1110" s="7" t="s">
        <v>10751</v>
      </c>
      <c r="D1110" s="7" t="s">
        <v>7386</v>
      </c>
      <c r="E1110" s="7" t="s">
        <v>10752</v>
      </c>
      <c r="F1110" s="7" t="s">
        <v>4172</v>
      </c>
      <c r="G1110" s="7" t="s">
        <v>10753</v>
      </c>
      <c r="H1110" s="7" t="s">
        <v>10754</v>
      </c>
      <c r="I1110" s="119">
        <v>45292.0</v>
      </c>
      <c r="K1110" s="7" t="s">
        <v>419</v>
      </c>
      <c r="L1110" s="7" t="s">
        <v>991</v>
      </c>
      <c r="M1110" s="7" t="s">
        <v>3501</v>
      </c>
      <c r="N1110" s="7" t="s">
        <v>8583</v>
      </c>
      <c r="O1110" s="7" t="s">
        <v>8584</v>
      </c>
      <c r="P1110" s="7" t="s">
        <v>3493</v>
      </c>
      <c r="Q1110" s="7">
        <v>1.0</v>
      </c>
    </row>
    <row r="1111">
      <c r="A1111" s="7" t="s">
        <v>1589</v>
      </c>
      <c r="B1111" s="7">
        <v>350.0</v>
      </c>
      <c r="C1111" s="7" t="s">
        <v>10755</v>
      </c>
      <c r="D1111" s="7" t="s">
        <v>10756</v>
      </c>
      <c r="E1111" s="7" t="s">
        <v>10757</v>
      </c>
      <c r="F1111" s="7" t="s">
        <v>4632</v>
      </c>
      <c r="G1111" s="7" t="s">
        <v>10758</v>
      </c>
      <c r="H1111" s="7" t="s">
        <v>10759</v>
      </c>
      <c r="I1111" s="119">
        <v>45292.0</v>
      </c>
      <c r="K1111" s="7" t="s">
        <v>419</v>
      </c>
      <c r="L1111" s="7" t="s">
        <v>991</v>
      </c>
      <c r="M1111" s="7" t="s">
        <v>3501</v>
      </c>
      <c r="N1111" s="7" t="s">
        <v>5174</v>
      </c>
      <c r="O1111" s="7" t="s">
        <v>5175</v>
      </c>
      <c r="P1111" s="7" t="s">
        <v>3843</v>
      </c>
      <c r="Q1111" s="7">
        <v>1.0</v>
      </c>
    </row>
    <row r="1112">
      <c r="A1112" s="7" t="s">
        <v>10760</v>
      </c>
      <c r="B1112" s="7">
        <v>1150.0</v>
      </c>
      <c r="C1112" s="7" t="s">
        <v>10755</v>
      </c>
      <c r="D1112" s="7" t="s">
        <v>10761</v>
      </c>
      <c r="E1112" s="7" t="s">
        <v>10757</v>
      </c>
      <c r="F1112" s="7" t="s">
        <v>10762</v>
      </c>
      <c r="G1112" s="7" t="s">
        <v>10763</v>
      </c>
      <c r="H1112" s="7" t="s">
        <v>10764</v>
      </c>
      <c r="I1112" s="119">
        <v>45292.0</v>
      </c>
      <c r="K1112" s="7" t="s">
        <v>419</v>
      </c>
      <c r="L1112" s="7" t="s">
        <v>991</v>
      </c>
      <c r="M1112" s="7" t="s">
        <v>3501</v>
      </c>
      <c r="N1112" s="7" t="s">
        <v>5795</v>
      </c>
      <c r="O1112" s="7" t="s">
        <v>5796</v>
      </c>
      <c r="P1112" s="7" t="s">
        <v>3493</v>
      </c>
      <c r="Q1112" s="7">
        <v>1.0</v>
      </c>
    </row>
    <row r="1113">
      <c r="A1113" s="7" t="s">
        <v>10765</v>
      </c>
      <c r="B1113" s="7">
        <v>2300017.0</v>
      </c>
      <c r="C1113" s="7" t="s">
        <v>10766</v>
      </c>
      <c r="D1113" s="7" t="s">
        <v>10767</v>
      </c>
      <c r="E1113" s="7" t="s">
        <v>10768</v>
      </c>
      <c r="F1113" s="7" t="s">
        <v>7477</v>
      </c>
      <c r="G1113" s="7" t="s">
        <v>10769</v>
      </c>
      <c r="I1113" s="119">
        <v>45292.0</v>
      </c>
      <c r="K1113" s="7" t="s">
        <v>419</v>
      </c>
      <c r="L1113" s="7" t="s">
        <v>991</v>
      </c>
      <c r="M1113" s="7" t="s">
        <v>3531</v>
      </c>
      <c r="N1113" s="7" t="s">
        <v>3820</v>
      </c>
      <c r="O1113" s="7" t="s">
        <v>3821</v>
      </c>
      <c r="P1113" s="7" t="s">
        <v>3493</v>
      </c>
      <c r="Q1113" s="7">
        <v>1.0</v>
      </c>
    </row>
    <row r="1114">
      <c r="A1114" s="7" t="s">
        <v>10770</v>
      </c>
      <c r="B1114" s="7">
        <v>972.0</v>
      </c>
      <c r="C1114" s="7" t="s">
        <v>10771</v>
      </c>
      <c r="D1114" s="7" t="s">
        <v>10772</v>
      </c>
      <c r="E1114" s="7" t="s">
        <v>10773</v>
      </c>
      <c r="F1114" s="7" t="s">
        <v>4478</v>
      </c>
      <c r="G1114" s="7" t="s">
        <v>10774</v>
      </c>
      <c r="H1114" s="7" t="s">
        <v>10775</v>
      </c>
      <c r="I1114" s="119">
        <v>45292.0</v>
      </c>
      <c r="K1114" s="7" t="s">
        <v>419</v>
      </c>
      <c r="L1114" s="7" t="s">
        <v>991</v>
      </c>
      <c r="M1114" s="7" t="s">
        <v>3501</v>
      </c>
      <c r="N1114" s="7" t="s">
        <v>4134</v>
      </c>
      <c r="O1114" s="7" t="s">
        <v>4135</v>
      </c>
      <c r="P1114" s="7" t="s">
        <v>3843</v>
      </c>
      <c r="Q1114" s="7">
        <v>1.0</v>
      </c>
    </row>
    <row r="1115">
      <c r="A1115" s="7" t="s">
        <v>10776</v>
      </c>
      <c r="B1115" s="7">
        <v>12284.0</v>
      </c>
      <c r="C1115" s="7" t="s">
        <v>10771</v>
      </c>
      <c r="D1115" s="7" t="s">
        <v>10777</v>
      </c>
      <c r="E1115" s="7" t="s">
        <v>10773</v>
      </c>
      <c r="F1115" s="7" t="s">
        <v>10778</v>
      </c>
      <c r="G1115" s="7" t="s">
        <v>10779</v>
      </c>
      <c r="H1115" s="7" t="s">
        <v>10780</v>
      </c>
      <c r="I1115" s="119">
        <v>45292.0</v>
      </c>
      <c r="K1115" s="7" t="s">
        <v>419</v>
      </c>
      <c r="L1115" s="7" t="s">
        <v>991</v>
      </c>
      <c r="M1115" s="7" t="s">
        <v>3501</v>
      </c>
      <c r="N1115" s="7" t="s">
        <v>3996</v>
      </c>
      <c r="O1115" s="7" t="s">
        <v>3997</v>
      </c>
      <c r="P1115" s="7" t="s">
        <v>3843</v>
      </c>
      <c r="Q1115" s="7">
        <v>1.0</v>
      </c>
    </row>
    <row r="1116">
      <c r="A1116" s="7" t="s">
        <v>10781</v>
      </c>
      <c r="B1116" s="7">
        <v>13653.0</v>
      </c>
      <c r="C1116" s="7" t="s">
        <v>10782</v>
      </c>
      <c r="D1116" s="7" t="s">
        <v>10783</v>
      </c>
      <c r="E1116" s="7" t="s">
        <v>10784</v>
      </c>
      <c r="F1116" s="7" t="s">
        <v>8256</v>
      </c>
      <c r="G1116" s="7" t="s">
        <v>10785</v>
      </c>
      <c r="H1116" s="7" t="s">
        <v>10786</v>
      </c>
      <c r="I1116" s="119">
        <v>45292.0</v>
      </c>
      <c r="K1116" s="7" t="s">
        <v>3632</v>
      </c>
      <c r="L1116" s="7" t="s">
        <v>991</v>
      </c>
      <c r="M1116" s="7" t="s">
        <v>3501</v>
      </c>
      <c r="N1116" s="7" t="s">
        <v>10787</v>
      </c>
      <c r="O1116" s="7" t="s">
        <v>10788</v>
      </c>
      <c r="P1116" s="7" t="s">
        <v>10789</v>
      </c>
      <c r="Q1116" s="7" t="s">
        <v>4155</v>
      </c>
    </row>
    <row r="1117">
      <c r="A1117" s="7" t="s">
        <v>10790</v>
      </c>
      <c r="B1117" s="7">
        <v>2300083.0</v>
      </c>
      <c r="C1117" s="7" t="s">
        <v>10791</v>
      </c>
      <c r="D1117" s="7" t="s">
        <v>6156</v>
      </c>
      <c r="E1117" s="7" t="s">
        <v>10792</v>
      </c>
      <c r="F1117" s="7" t="s">
        <v>3486</v>
      </c>
      <c r="G1117" s="7" t="s">
        <v>10793</v>
      </c>
      <c r="I1117" s="119">
        <v>45292.0</v>
      </c>
      <c r="K1117" s="7" t="s">
        <v>419</v>
      </c>
      <c r="L1117" s="7" t="s">
        <v>991</v>
      </c>
      <c r="M1117" s="7" t="s">
        <v>3531</v>
      </c>
      <c r="N1117" s="7" t="s">
        <v>3820</v>
      </c>
      <c r="O1117" s="7" t="s">
        <v>3821</v>
      </c>
      <c r="P1117" s="7" t="s">
        <v>3493</v>
      </c>
      <c r="Q1117" s="7">
        <v>1.0</v>
      </c>
    </row>
    <row r="1118">
      <c r="A1118" s="7" t="s">
        <v>10794</v>
      </c>
      <c r="B1118" s="7">
        <v>2300246.0</v>
      </c>
      <c r="C1118" s="7" t="s">
        <v>10795</v>
      </c>
      <c r="D1118" s="7" t="s">
        <v>10796</v>
      </c>
      <c r="E1118" s="7" t="s">
        <v>10797</v>
      </c>
      <c r="F1118" s="7" t="s">
        <v>10798</v>
      </c>
      <c r="G1118" s="7" t="s">
        <v>10799</v>
      </c>
      <c r="H1118" s="7" t="s">
        <v>10800</v>
      </c>
      <c r="I1118" s="119">
        <v>45292.0</v>
      </c>
      <c r="K1118" s="7" t="s">
        <v>419</v>
      </c>
      <c r="L1118" s="7" t="s">
        <v>991</v>
      </c>
      <c r="M1118" s="7" t="s">
        <v>3501</v>
      </c>
      <c r="N1118" s="7" t="s">
        <v>10801</v>
      </c>
      <c r="O1118" s="7" t="s">
        <v>10802</v>
      </c>
      <c r="P1118" s="7" t="s">
        <v>3493</v>
      </c>
      <c r="Q1118" s="7">
        <v>1.0</v>
      </c>
    </row>
    <row r="1119">
      <c r="A1119" s="7" t="s">
        <v>10803</v>
      </c>
      <c r="B1119" s="7">
        <v>11545.0</v>
      </c>
      <c r="C1119" s="7" t="s">
        <v>10795</v>
      </c>
      <c r="D1119" s="7" t="s">
        <v>10804</v>
      </c>
      <c r="E1119" s="7" t="s">
        <v>10797</v>
      </c>
      <c r="F1119" s="7" t="s">
        <v>6166</v>
      </c>
      <c r="G1119" s="7" t="s">
        <v>10805</v>
      </c>
      <c r="H1119" s="7" t="s">
        <v>10806</v>
      </c>
      <c r="I1119" s="119">
        <v>45292.0</v>
      </c>
      <c r="K1119" s="7" t="s">
        <v>419</v>
      </c>
      <c r="L1119" s="7" t="s">
        <v>991</v>
      </c>
      <c r="M1119" s="7" t="s">
        <v>3501</v>
      </c>
      <c r="N1119" s="7" t="s">
        <v>4096</v>
      </c>
      <c r="O1119" s="7" t="s">
        <v>4097</v>
      </c>
      <c r="P1119" s="7" t="s">
        <v>3493</v>
      </c>
      <c r="Q1119" s="7">
        <v>1.0</v>
      </c>
    </row>
    <row r="1120">
      <c r="A1120" s="7" t="s">
        <v>10807</v>
      </c>
      <c r="B1120" s="7">
        <v>2300649.0</v>
      </c>
      <c r="C1120" s="7" t="s">
        <v>10808</v>
      </c>
      <c r="D1120" s="7" t="s">
        <v>10809</v>
      </c>
      <c r="E1120" s="7" t="s">
        <v>10810</v>
      </c>
      <c r="F1120" s="7" t="s">
        <v>10811</v>
      </c>
      <c r="G1120" s="7" t="s">
        <v>10812</v>
      </c>
      <c r="H1120" s="7" t="s">
        <v>10813</v>
      </c>
      <c r="I1120" s="119">
        <v>45292.0</v>
      </c>
      <c r="K1120" s="7" t="s">
        <v>419</v>
      </c>
      <c r="L1120" s="7" t="s">
        <v>991</v>
      </c>
      <c r="M1120" s="7" t="s">
        <v>3531</v>
      </c>
      <c r="N1120" s="7" t="s">
        <v>4140</v>
      </c>
      <c r="O1120" s="7" t="s">
        <v>4141</v>
      </c>
      <c r="P1120" s="7" t="s">
        <v>3493</v>
      </c>
      <c r="Q1120" s="7">
        <v>1.0</v>
      </c>
    </row>
    <row r="1121">
      <c r="A1121" s="7" t="s">
        <v>1391</v>
      </c>
      <c r="B1121" s="7">
        <v>552.0</v>
      </c>
      <c r="C1121" s="7" t="s">
        <v>10814</v>
      </c>
      <c r="D1121" s="7" t="s">
        <v>9973</v>
      </c>
      <c r="E1121" s="7" t="s">
        <v>10815</v>
      </c>
      <c r="F1121" s="7" t="s">
        <v>9975</v>
      </c>
      <c r="G1121" s="7" t="s">
        <v>10816</v>
      </c>
      <c r="H1121" s="7" t="s">
        <v>10817</v>
      </c>
      <c r="I1121" s="119">
        <v>45292.0</v>
      </c>
      <c r="K1121" s="7" t="s">
        <v>419</v>
      </c>
      <c r="L1121" s="7" t="s">
        <v>991</v>
      </c>
      <c r="M1121" s="7" t="s">
        <v>3501</v>
      </c>
      <c r="N1121" s="7" t="s">
        <v>10818</v>
      </c>
      <c r="O1121" s="7" t="s">
        <v>10819</v>
      </c>
      <c r="P1121" s="7" t="s">
        <v>3604</v>
      </c>
      <c r="Q1121" s="7">
        <v>1.0</v>
      </c>
    </row>
    <row r="1122">
      <c r="A1122" s="7" t="s">
        <v>10820</v>
      </c>
      <c r="B1122" s="7">
        <v>11401.0</v>
      </c>
      <c r="C1122" s="7" t="s">
        <v>10814</v>
      </c>
      <c r="D1122" s="7" t="s">
        <v>10821</v>
      </c>
      <c r="E1122" s="7" t="s">
        <v>10815</v>
      </c>
      <c r="F1122" s="7" t="s">
        <v>10822</v>
      </c>
      <c r="G1122" s="7" t="s">
        <v>10823</v>
      </c>
      <c r="H1122" s="7" t="s">
        <v>10824</v>
      </c>
      <c r="I1122" s="119">
        <v>45292.0</v>
      </c>
      <c r="K1122" s="7" t="s">
        <v>419</v>
      </c>
      <c r="L1122" s="7" t="s">
        <v>991</v>
      </c>
      <c r="M1122" s="7" t="s">
        <v>3501</v>
      </c>
      <c r="N1122" s="7" t="s">
        <v>6109</v>
      </c>
      <c r="O1122" s="7" t="s">
        <v>6110</v>
      </c>
      <c r="P1122" s="7" t="s">
        <v>3493</v>
      </c>
      <c r="Q1122" s="7">
        <v>1.0</v>
      </c>
    </row>
    <row r="1123">
      <c r="A1123" s="7" t="s">
        <v>10825</v>
      </c>
      <c r="B1123" s="7">
        <v>2200222.0</v>
      </c>
      <c r="C1123" s="7" t="s">
        <v>10814</v>
      </c>
      <c r="D1123" s="7" t="s">
        <v>10826</v>
      </c>
      <c r="E1123" s="7" t="s">
        <v>10815</v>
      </c>
      <c r="F1123" s="7" t="s">
        <v>10491</v>
      </c>
      <c r="G1123" s="7" t="s">
        <v>10827</v>
      </c>
      <c r="H1123" s="7" t="s">
        <v>10828</v>
      </c>
      <c r="I1123" s="119">
        <v>45292.0</v>
      </c>
      <c r="K1123" s="7" t="s">
        <v>419</v>
      </c>
      <c r="L1123" s="7" t="s">
        <v>991</v>
      </c>
      <c r="M1123" s="7" t="s">
        <v>3501</v>
      </c>
      <c r="N1123" s="7" t="s">
        <v>10829</v>
      </c>
      <c r="O1123" s="7" t="s">
        <v>10830</v>
      </c>
      <c r="P1123" s="7" t="s">
        <v>3843</v>
      </c>
      <c r="Q1123" s="7">
        <v>1.0</v>
      </c>
    </row>
    <row r="1124">
      <c r="A1124" s="7" t="s">
        <v>10831</v>
      </c>
      <c r="B1124" s="7">
        <v>2300778.0</v>
      </c>
      <c r="C1124" s="7" t="s">
        <v>10832</v>
      </c>
      <c r="D1124" s="7" t="s">
        <v>10833</v>
      </c>
      <c r="E1124" s="7" t="s">
        <v>10834</v>
      </c>
      <c r="F1124" s="7" t="s">
        <v>3926</v>
      </c>
      <c r="G1124" s="7" t="s">
        <v>10835</v>
      </c>
      <c r="H1124" s="7" t="s">
        <v>10836</v>
      </c>
      <c r="I1124" s="119">
        <v>45292.0</v>
      </c>
      <c r="K1124" s="7" t="s">
        <v>3642</v>
      </c>
      <c r="L1124" s="7" t="s">
        <v>991</v>
      </c>
      <c r="M1124" s="7" t="s">
        <v>3501</v>
      </c>
      <c r="N1124" s="7" t="s">
        <v>3643</v>
      </c>
      <c r="O1124" s="7" t="s">
        <v>3644</v>
      </c>
      <c r="P1124" s="7" t="s">
        <v>3493</v>
      </c>
      <c r="Q1124" s="7">
        <v>1.0</v>
      </c>
    </row>
    <row r="1125">
      <c r="A1125" s="7" t="s">
        <v>10837</v>
      </c>
      <c r="B1125" s="7">
        <v>2200703.0</v>
      </c>
      <c r="C1125" s="7" t="s">
        <v>10832</v>
      </c>
      <c r="D1125" s="7" t="s">
        <v>10838</v>
      </c>
      <c r="E1125" s="7" t="s">
        <v>10834</v>
      </c>
      <c r="F1125" s="7" t="s">
        <v>8058</v>
      </c>
      <c r="G1125" s="7" t="s">
        <v>10839</v>
      </c>
      <c r="H1125" s="7" t="s">
        <v>10840</v>
      </c>
      <c r="I1125" s="119">
        <v>45292.0</v>
      </c>
      <c r="K1125" s="7" t="s">
        <v>4042</v>
      </c>
      <c r="L1125" s="7" t="s">
        <v>991</v>
      </c>
      <c r="M1125" s="7" t="s">
        <v>3501</v>
      </c>
      <c r="N1125" s="7" t="s">
        <v>4043</v>
      </c>
      <c r="O1125" s="7" t="s">
        <v>4044</v>
      </c>
      <c r="P1125" s="7" t="s">
        <v>3493</v>
      </c>
      <c r="Q1125" s="7">
        <v>1.0</v>
      </c>
    </row>
    <row r="1126">
      <c r="A1126" s="7" t="s">
        <v>10841</v>
      </c>
      <c r="B1126" s="7">
        <v>2300266.0</v>
      </c>
      <c r="C1126" s="7" t="s">
        <v>10832</v>
      </c>
      <c r="D1126" s="7" t="s">
        <v>10842</v>
      </c>
      <c r="E1126" s="7" t="s">
        <v>10834</v>
      </c>
      <c r="F1126" s="7" t="s">
        <v>10843</v>
      </c>
      <c r="G1126" s="7" t="s">
        <v>10844</v>
      </c>
      <c r="H1126" s="7" t="s">
        <v>10845</v>
      </c>
      <c r="I1126" s="119">
        <v>45292.0</v>
      </c>
      <c r="K1126" s="7" t="s">
        <v>3632</v>
      </c>
      <c r="L1126" s="7" t="s">
        <v>991</v>
      </c>
      <c r="M1126" s="7" t="s">
        <v>3531</v>
      </c>
      <c r="N1126" s="7" t="s">
        <v>3633</v>
      </c>
      <c r="O1126" s="7" t="s">
        <v>10846</v>
      </c>
      <c r="P1126" s="7" t="s">
        <v>3493</v>
      </c>
      <c r="Q1126" s="7">
        <v>1.0</v>
      </c>
    </row>
    <row r="1127">
      <c r="A1127" s="7" t="s">
        <v>1492</v>
      </c>
      <c r="B1127" s="7">
        <v>1309.0</v>
      </c>
      <c r="C1127" s="7" t="s">
        <v>10832</v>
      </c>
      <c r="D1127" s="7" t="s">
        <v>10847</v>
      </c>
      <c r="E1127" s="7" t="s">
        <v>10834</v>
      </c>
      <c r="F1127" s="7" t="s">
        <v>10848</v>
      </c>
      <c r="G1127" s="7" t="s">
        <v>10849</v>
      </c>
      <c r="H1127" s="7" t="s">
        <v>10850</v>
      </c>
      <c r="I1127" s="119">
        <v>45292.0</v>
      </c>
      <c r="K1127" s="7" t="s">
        <v>10851</v>
      </c>
      <c r="L1127" s="7" t="s">
        <v>4406</v>
      </c>
      <c r="M1127" s="7" t="s">
        <v>4407</v>
      </c>
      <c r="N1127" s="7" t="s">
        <v>10852</v>
      </c>
      <c r="O1127" s="7" t="s">
        <v>10853</v>
      </c>
      <c r="P1127" s="7" t="s">
        <v>10854</v>
      </c>
      <c r="Q1127" s="7" t="s">
        <v>8273</v>
      </c>
    </row>
    <row r="1128">
      <c r="A1128" s="7" t="s">
        <v>10855</v>
      </c>
      <c r="B1128" s="7">
        <v>11705.0</v>
      </c>
      <c r="C1128" s="7" t="s">
        <v>10832</v>
      </c>
      <c r="D1128" s="7" t="s">
        <v>8948</v>
      </c>
      <c r="E1128" s="7" t="s">
        <v>10834</v>
      </c>
      <c r="F1128" s="7" t="s">
        <v>8756</v>
      </c>
      <c r="G1128" s="7" t="s">
        <v>10856</v>
      </c>
      <c r="H1128" s="7" t="s">
        <v>10857</v>
      </c>
      <c r="I1128" s="119">
        <v>45292.0</v>
      </c>
      <c r="K1128" s="7" t="s">
        <v>419</v>
      </c>
      <c r="L1128" s="7" t="s">
        <v>991</v>
      </c>
      <c r="M1128" s="7" t="s">
        <v>3501</v>
      </c>
      <c r="N1128" s="7" t="s">
        <v>10722</v>
      </c>
      <c r="O1128" s="7" t="s">
        <v>10723</v>
      </c>
      <c r="P1128" s="7" t="s">
        <v>3522</v>
      </c>
      <c r="Q1128" s="7" t="s">
        <v>3523</v>
      </c>
    </row>
    <row r="1129">
      <c r="A1129" s="7" t="s">
        <v>10858</v>
      </c>
      <c r="B1129" s="7">
        <v>2200929.0</v>
      </c>
      <c r="C1129" s="7" t="s">
        <v>10859</v>
      </c>
      <c r="D1129" s="7" t="s">
        <v>10860</v>
      </c>
      <c r="E1129" s="7" t="s">
        <v>10861</v>
      </c>
      <c r="F1129" s="7" t="s">
        <v>6279</v>
      </c>
      <c r="G1129" s="7" t="s">
        <v>10862</v>
      </c>
      <c r="H1129" s="7" t="s">
        <v>10863</v>
      </c>
      <c r="I1129" s="119">
        <v>45292.0</v>
      </c>
      <c r="K1129" s="7" t="s">
        <v>419</v>
      </c>
      <c r="L1129" s="7" t="s">
        <v>991</v>
      </c>
      <c r="M1129" s="7" t="s">
        <v>3531</v>
      </c>
      <c r="N1129" s="7" t="s">
        <v>6814</v>
      </c>
      <c r="O1129" s="7" t="s">
        <v>6815</v>
      </c>
      <c r="P1129" s="7" t="s">
        <v>3493</v>
      </c>
      <c r="Q1129" s="7">
        <v>1.0</v>
      </c>
    </row>
    <row r="1130">
      <c r="A1130" s="7" t="s">
        <v>10864</v>
      </c>
      <c r="B1130" s="7">
        <v>2300206.0</v>
      </c>
      <c r="C1130" s="7" t="s">
        <v>10865</v>
      </c>
      <c r="D1130" s="7" t="s">
        <v>10866</v>
      </c>
      <c r="E1130" s="7" t="s">
        <v>10867</v>
      </c>
      <c r="F1130" s="7" t="s">
        <v>10866</v>
      </c>
      <c r="G1130" s="7" t="s">
        <v>10868</v>
      </c>
      <c r="H1130" s="7" t="s">
        <v>10869</v>
      </c>
      <c r="I1130" s="119">
        <v>45292.0</v>
      </c>
      <c r="K1130" s="7" t="s">
        <v>4042</v>
      </c>
      <c r="L1130" s="7" t="s">
        <v>991</v>
      </c>
      <c r="M1130" s="7" t="s">
        <v>3531</v>
      </c>
      <c r="N1130" s="7" t="s">
        <v>4043</v>
      </c>
      <c r="O1130" s="7" t="s">
        <v>4044</v>
      </c>
      <c r="P1130" s="7" t="s">
        <v>3493</v>
      </c>
      <c r="Q1130" s="7">
        <v>1.0</v>
      </c>
    </row>
    <row r="1131">
      <c r="A1131" s="7" t="s">
        <v>10870</v>
      </c>
      <c r="B1131" s="7">
        <v>2400005.0</v>
      </c>
      <c r="C1131" s="7" t="s">
        <v>10865</v>
      </c>
      <c r="D1131" s="7" t="s">
        <v>6926</v>
      </c>
      <c r="E1131" s="7" t="s">
        <v>10867</v>
      </c>
      <c r="F1131" s="7" t="s">
        <v>6262</v>
      </c>
      <c r="G1131" s="7" t="s">
        <v>10871</v>
      </c>
      <c r="H1131" s="7" t="s">
        <v>10872</v>
      </c>
      <c r="I1131" s="119">
        <v>45292.0</v>
      </c>
      <c r="K1131" s="7" t="s">
        <v>419</v>
      </c>
      <c r="L1131" s="7" t="s">
        <v>991</v>
      </c>
      <c r="M1131" s="7" t="s">
        <v>3501</v>
      </c>
      <c r="N1131" s="7" t="s">
        <v>6949</v>
      </c>
      <c r="O1131" s="7" t="s">
        <v>10873</v>
      </c>
      <c r="P1131" s="7" t="s">
        <v>3522</v>
      </c>
      <c r="Q1131" s="7" t="s">
        <v>3523</v>
      </c>
    </row>
    <row r="1132">
      <c r="A1132" s="7" t="s">
        <v>10874</v>
      </c>
      <c r="B1132" s="7">
        <v>13545.0</v>
      </c>
      <c r="C1132" s="7" t="s">
        <v>10875</v>
      </c>
      <c r="D1132" s="7" t="s">
        <v>6003</v>
      </c>
      <c r="E1132" s="7" t="s">
        <v>10876</v>
      </c>
      <c r="F1132" s="7" t="s">
        <v>6004</v>
      </c>
      <c r="G1132" s="7" t="s">
        <v>10877</v>
      </c>
      <c r="H1132" s="7" t="s">
        <v>10878</v>
      </c>
      <c r="I1132" s="119">
        <v>45292.0</v>
      </c>
      <c r="K1132" s="7" t="s">
        <v>419</v>
      </c>
      <c r="L1132" s="7" t="s">
        <v>991</v>
      </c>
      <c r="M1132" s="7" t="s">
        <v>3501</v>
      </c>
      <c r="N1132" s="7" t="s">
        <v>8619</v>
      </c>
      <c r="O1132" s="7" t="s">
        <v>8620</v>
      </c>
      <c r="P1132" s="7" t="s">
        <v>3843</v>
      </c>
      <c r="Q1132" s="7">
        <v>1.0</v>
      </c>
    </row>
    <row r="1133">
      <c r="A1133" s="7" t="s">
        <v>10879</v>
      </c>
      <c r="B1133" s="7">
        <v>13730.0</v>
      </c>
      <c r="C1133" s="7" t="s">
        <v>10880</v>
      </c>
      <c r="D1133" s="7" t="s">
        <v>8948</v>
      </c>
      <c r="E1133" s="7" t="s">
        <v>10881</v>
      </c>
      <c r="F1133" s="7" t="s">
        <v>6806</v>
      </c>
      <c r="G1133" s="7" t="s">
        <v>10882</v>
      </c>
      <c r="H1133" s="7" t="s">
        <v>10883</v>
      </c>
      <c r="I1133" s="119">
        <v>45292.0</v>
      </c>
      <c r="K1133" s="7" t="s">
        <v>3632</v>
      </c>
      <c r="L1133" s="7" t="s">
        <v>991</v>
      </c>
      <c r="M1133" s="7" t="s">
        <v>3501</v>
      </c>
      <c r="N1133" s="7" t="s">
        <v>5052</v>
      </c>
      <c r="O1133" s="7" t="s">
        <v>5053</v>
      </c>
      <c r="P1133" s="7" t="s">
        <v>3522</v>
      </c>
      <c r="Q1133" s="7" t="s">
        <v>3523</v>
      </c>
    </row>
    <row r="1134">
      <c r="A1134" s="7" t="s">
        <v>10884</v>
      </c>
      <c r="B1134" s="7">
        <v>12029.0</v>
      </c>
      <c r="C1134" s="7" t="s">
        <v>10885</v>
      </c>
      <c r="D1134" s="7" t="s">
        <v>10886</v>
      </c>
      <c r="E1134" s="7" t="s">
        <v>10887</v>
      </c>
      <c r="F1134" s="7" t="s">
        <v>3580</v>
      </c>
      <c r="G1134" s="7" t="s">
        <v>10888</v>
      </c>
      <c r="H1134" s="7" t="s">
        <v>10889</v>
      </c>
      <c r="I1134" s="119">
        <v>45292.0</v>
      </c>
      <c r="K1134" s="7" t="s">
        <v>419</v>
      </c>
      <c r="L1134" s="7" t="s">
        <v>991</v>
      </c>
      <c r="M1134" s="7" t="s">
        <v>3501</v>
      </c>
      <c r="N1134" s="7" t="s">
        <v>6568</v>
      </c>
      <c r="O1134" s="7" t="s">
        <v>6569</v>
      </c>
      <c r="P1134" s="7" t="s">
        <v>3843</v>
      </c>
      <c r="Q1134" s="7">
        <v>1.0</v>
      </c>
    </row>
    <row r="1135">
      <c r="A1135" s="7" t="s">
        <v>10890</v>
      </c>
      <c r="B1135" s="7">
        <v>2200259.0</v>
      </c>
      <c r="C1135" s="7" t="s">
        <v>10885</v>
      </c>
      <c r="D1135" s="7" t="s">
        <v>10891</v>
      </c>
      <c r="E1135" s="7" t="s">
        <v>10887</v>
      </c>
      <c r="F1135" s="7" t="s">
        <v>10892</v>
      </c>
      <c r="G1135" s="7" t="s">
        <v>10893</v>
      </c>
      <c r="H1135" s="7" t="s">
        <v>10894</v>
      </c>
      <c r="I1135" s="119">
        <v>45292.0</v>
      </c>
      <c r="K1135" s="7" t="s">
        <v>419</v>
      </c>
      <c r="L1135" s="7" t="s">
        <v>991</v>
      </c>
      <c r="M1135" s="7" t="s">
        <v>3531</v>
      </c>
      <c r="N1135" s="7" t="s">
        <v>6487</v>
      </c>
      <c r="O1135" s="7" t="s">
        <v>6534</v>
      </c>
      <c r="P1135" s="7" t="s">
        <v>3493</v>
      </c>
      <c r="Q1135" s="7">
        <v>1.0</v>
      </c>
    </row>
    <row r="1136">
      <c r="A1136" s="7" t="s">
        <v>1717</v>
      </c>
      <c r="B1136" s="7">
        <v>11324.0</v>
      </c>
      <c r="C1136" s="7" t="s">
        <v>10885</v>
      </c>
      <c r="D1136" s="7" t="s">
        <v>10895</v>
      </c>
      <c r="E1136" s="7" t="s">
        <v>10887</v>
      </c>
      <c r="F1136" s="7" t="s">
        <v>10896</v>
      </c>
      <c r="G1136" s="7" t="s">
        <v>10897</v>
      </c>
      <c r="H1136" s="7" t="s">
        <v>10898</v>
      </c>
      <c r="I1136" s="119">
        <v>45292.0</v>
      </c>
      <c r="K1136" s="7" t="s">
        <v>419</v>
      </c>
      <c r="L1136" s="7" t="s">
        <v>991</v>
      </c>
      <c r="M1136" s="7" t="s">
        <v>3501</v>
      </c>
      <c r="N1136" s="7" t="s">
        <v>6274</v>
      </c>
      <c r="O1136" s="7" t="s">
        <v>8357</v>
      </c>
      <c r="P1136" s="7" t="s">
        <v>3493</v>
      </c>
      <c r="Q1136" s="7">
        <v>1.0</v>
      </c>
    </row>
    <row r="1137">
      <c r="A1137" s="7" t="s">
        <v>10899</v>
      </c>
      <c r="B1137" s="7">
        <v>14124.0</v>
      </c>
      <c r="C1137" s="7" t="s">
        <v>10900</v>
      </c>
      <c r="D1137" s="7" t="s">
        <v>3526</v>
      </c>
      <c r="E1137" s="7" t="s">
        <v>10901</v>
      </c>
      <c r="F1137" s="7" t="s">
        <v>3528</v>
      </c>
      <c r="G1137" s="7" t="s">
        <v>10902</v>
      </c>
      <c r="H1137" s="7" t="s">
        <v>10903</v>
      </c>
      <c r="I1137" s="119">
        <v>45292.0</v>
      </c>
      <c r="K1137" s="7" t="s">
        <v>419</v>
      </c>
      <c r="L1137" s="7" t="s">
        <v>991</v>
      </c>
      <c r="M1137" s="7" t="s">
        <v>3583</v>
      </c>
      <c r="N1137" s="7" t="s">
        <v>5888</v>
      </c>
      <c r="O1137" s="7" t="s">
        <v>5889</v>
      </c>
      <c r="P1137" s="7" t="s">
        <v>3493</v>
      </c>
      <c r="Q1137" s="7">
        <v>1.0</v>
      </c>
    </row>
    <row r="1138">
      <c r="A1138" s="7" t="s">
        <v>10904</v>
      </c>
      <c r="B1138" s="7">
        <v>2300397.0</v>
      </c>
      <c r="C1138" s="7" t="s">
        <v>10885</v>
      </c>
      <c r="D1138" s="7" t="s">
        <v>10905</v>
      </c>
      <c r="E1138" s="7" t="s">
        <v>10901</v>
      </c>
      <c r="F1138" s="7" t="s">
        <v>10906</v>
      </c>
      <c r="G1138" s="7" t="s">
        <v>10907</v>
      </c>
      <c r="H1138" s="7" t="s">
        <v>10908</v>
      </c>
      <c r="I1138" s="119">
        <v>45292.0</v>
      </c>
      <c r="K1138" s="7" t="s">
        <v>419</v>
      </c>
      <c r="L1138" s="7" t="s">
        <v>991</v>
      </c>
      <c r="M1138" s="7" t="s">
        <v>3531</v>
      </c>
      <c r="N1138" s="7" t="s">
        <v>10121</v>
      </c>
      <c r="O1138" s="7" t="s">
        <v>10122</v>
      </c>
      <c r="P1138" s="7" t="s">
        <v>3493</v>
      </c>
      <c r="Q1138" s="7">
        <v>1.0</v>
      </c>
    </row>
    <row r="1139">
      <c r="A1139" s="7" t="s">
        <v>10909</v>
      </c>
      <c r="B1139" s="7">
        <v>2200748.0</v>
      </c>
      <c r="C1139" s="7" t="s">
        <v>10885</v>
      </c>
      <c r="D1139" s="7" t="s">
        <v>10910</v>
      </c>
      <c r="E1139" s="7" t="s">
        <v>10901</v>
      </c>
      <c r="F1139" s="7" t="s">
        <v>10911</v>
      </c>
      <c r="G1139" s="7" t="s">
        <v>10912</v>
      </c>
      <c r="H1139" s="7" t="s">
        <v>10913</v>
      </c>
      <c r="I1139" s="119">
        <v>45292.0</v>
      </c>
      <c r="K1139" s="7" t="s">
        <v>419</v>
      </c>
      <c r="L1139" s="7" t="s">
        <v>991</v>
      </c>
      <c r="M1139" s="7" t="s">
        <v>3501</v>
      </c>
      <c r="N1139" s="7" t="s">
        <v>5420</v>
      </c>
      <c r="O1139" s="7" t="s">
        <v>10914</v>
      </c>
      <c r="P1139" s="7" t="s">
        <v>4154</v>
      </c>
      <c r="Q1139" s="7" t="s">
        <v>3555</v>
      </c>
    </row>
    <row r="1140">
      <c r="A1140" s="7" t="s">
        <v>10915</v>
      </c>
      <c r="B1140" s="7">
        <v>12520.0</v>
      </c>
      <c r="C1140" s="7" t="s">
        <v>10885</v>
      </c>
      <c r="D1140" s="7" t="s">
        <v>6650</v>
      </c>
      <c r="E1140" s="7" t="s">
        <v>10901</v>
      </c>
      <c r="F1140" s="7" t="s">
        <v>3517</v>
      </c>
      <c r="G1140" s="7" t="s">
        <v>10916</v>
      </c>
      <c r="H1140" s="7" t="s">
        <v>10917</v>
      </c>
      <c r="I1140" s="119">
        <v>45292.0</v>
      </c>
      <c r="K1140" s="7" t="s">
        <v>419</v>
      </c>
      <c r="L1140" s="7" t="s">
        <v>991</v>
      </c>
      <c r="M1140" s="7" t="s">
        <v>3583</v>
      </c>
      <c r="N1140" s="7" t="s">
        <v>4660</v>
      </c>
      <c r="O1140" s="7" t="s">
        <v>4661</v>
      </c>
      <c r="P1140" s="7" t="s">
        <v>3493</v>
      </c>
      <c r="Q1140" s="7">
        <v>1.0</v>
      </c>
    </row>
    <row r="1141">
      <c r="A1141" s="7" t="s">
        <v>10918</v>
      </c>
      <c r="B1141" s="7">
        <v>127.0</v>
      </c>
      <c r="C1141" s="7" t="s">
        <v>10919</v>
      </c>
      <c r="D1141" s="7" t="s">
        <v>5962</v>
      </c>
      <c r="E1141" s="7" t="s">
        <v>10920</v>
      </c>
      <c r="F1141" s="7" t="s">
        <v>5723</v>
      </c>
      <c r="G1141" s="7" t="s">
        <v>10921</v>
      </c>
      <c r="H1141" s="7" t="s">
        <v>10922</v>
      </c>
      <c r="I1141" s="119">
        <v>45292.0</v>
      </c>
      <c r="K1141" s="7" t="s">
        <v>419</v>
      </c>
      <c r="L1141" s="7" t="s">
        <v>991</v>
      </c>
      <c r="M1141" s="7" t="s">
        <v>3501</v>
      </c>
      <c r="N1141" s="7" t="s">
        <v>4514</v>
      </c>
      <c r="O1141" s="7" t="s">
        <v>4515</v>
      </c>
      <c r="P1141" s="7" t="s">
        <v>3843</v>
      </c>
      <c r="Q1141" s="7">
        <v>1.0</v>
      </c>
    </row>
    <row r="1142">
      <c r="A1142" s="7" t="s">
        <v>10923</v>
      </c>
      <c r="B1142" s="7">
        <v>2300001.0</v>
      </c>
      <c r="C1142" s="7" t="s">
        <v>10924</v>
      </c>
      <c r="D1142" s="7" t="s">
        <v>10925</v>
      </c>
      <c r="E1142" s="7" t="s">
        <v>10926</v>
      </c>
      <c r="F1142" s="7" t="s">
        <v>3903</v>
      </c>
      <c r="G1142" s="7" t="s">
        <v>10927</v>
      </c>
      <c r="H1142" s="7" t="s">
        <v>10928</v>
      </c>
      <c r="I1142" s="119">
        <v>45292.0</v>
      </c>
      <c r="J1142" s="7" t="s">
        <v>3929</v>
      </c>
      <c r="K1142" s="7" t="s">
        <v>419</v>
      </c>
      <c r="L1142" s="7" t="s">
        <v>991</v>
      </c>
      <c r="M1142" s="7" t="s">
        <v>3490</v>
      </c>
      <c r="N1142" s="7" t="s">
        <v>4161</v>
      </c>
      <c r="O1142" s="7" t="s">
        <v>9590</v>
      </c>
      <c r="P1142" s="7" t="s">
        <v>3493</v>
      </c>
      <c r="Q1142" s="7">
        <v>1.0</v>
      </c>
    </row>
    <row r="1143">
      <c r="A1143" s="7" t="s">
        <v>10929</v>
      </c>
      <c r="B1143" s="7">
        <v>2300801.0</v>
      </c>
      <c r="C1143" s="7" t="s">
        <v>10930</v>
      </c>
      <c r="D1143" s="7" t="s">
        <v>10931</v>
      </c>
      <c r="E1143" s="7" t="s">
        <v>10932</v>
      </c>
      <c r="F1143" s="7" t="s">
        <v>10933</v>
      </c>
      <c r="G1143" s="7" t="s">
        <v>10934</v>
      </c>
      <c r="H1143" s="7" t="s">
        <v>10935</v>
      </c>
      <c r="I1143" s="119">
        <v>45292.0</v>
      </c>
      <c r="K1143" s="7" t="s">
        <v>3642</v>
      </c>
      <c r="L1143" s="7" t="s">
        <v>991</v>
      </c>
      <c r="M1143" s="7" t="s">
        <v>3583</v>
      </c>
      <c r="N1143" s="7" t="s">
        <v>3643</v>
      </c>
      <c r="O1143" s="7" t="s">
        <v>3644</v>
      </c>
      <c r="P1143" s="7" t="s">
        <v>3493</v>
      </c>
      <c r="Q1143" s="7">
        <v>1.0</v>
      </c>
    </row>
    <row r="1144">
      <c r="A1144" s="7" t="s">
        <v>10936</v>
      </c>
      <c r="B1144" s="7">
        <v>2200618.0</v>
      </c>
      <c r="C1144" s="7" t="s">
        <v>10930</v>
      </c>
      <c r="D1144" s="7" t="s">
        <v>10937</v>
      </c>
      <c r="E1144" s="7" t="s">
        <v>10932</v>
      </c>
      <c r="F1144" s="7" t="s">
        <v>10938</v>
      </c>
      <c r="G1144" s="7" t="s">
        <v>10939</v>
      </c>
      <c r="H1144" s="7" t="s">
        <v>10940</v>
      </c>
      <c r="I1144" s="119">
        <v>45292.0</v>
      </c>
      <c r="K1144" s="7" t="s">
        <v>419</v>
      </c>
      <c r="L1144" s="7" t="s">
        <v>991</v>
      </c>
      <c r="M1144" s="7" t="s">
        <v>3531</v>
      </c>
      <c r="N1144" s="7" t="s">
        <v>5111</v>
      </c>
      <c r="O1144" s="7" t="s">
        <v>5112</v>
      </c>
      <c r="P1144" s="7" t="s">
        <v>3493</v>
      </c>
      <c r="Q1144" s="7">
        <v>1.0</v>
      </c>
    </row>
    <row r="1145">
      <c r="A1145" s="7" t="s">
        <v>10941</v>
      </c>
      <c r="B1145" s="7">
        <v>2200872.0</v>
      </c>
      <c r="C1145" s="7" t="s">
        <v>10930</v>
      </c>
      <c r="D1145" s="7" t="s">
        <v>10942</v>
      </c>
      <c r="E1145" s="7" t="s">
        <v>10932</v>
      </c>
      <c r="F1145" s="7" t="s">
        <v>10943</v>
      </c>
      <c r="G1145" s="7" t="s">
        <v>10944</v>
      </c>
      <c r="H1145" s="7" t="s">
        <v>10945</v>
      </c>
      <c r="I1145" s="119">
        <v>45292.0</v>
      </c>
      <c r="K1145" s="7" t="s">
        <v>3632</v>
      </c>
      <c r="L1145" s="7" t="s">
        <v>991</v>
      </c>
      <c r="M1145" s="7" t="s">
        <v>3866</v>
      </c>
      <c r="N1145" s="7" t="s">
        <v>4190</v>
      </c>
      <c r="O1145" s="7" t="s">
        <v>4191</v>
      </c>
      <c r="P1145" s="7" t="s">
        <v>3493</v>
      </c>
      <c r="Q1145" s="7">
        <v>1.0</v>
      </c>
    </row>
    <row r="1146">
      <c r="A1146" s="7" t="s">
        <v>10946</v>
      </c>
      <c r="B1146" s="7">
        <v>12289.0</v>
      </c>
      <c r="C1146" s="7" t="s">
        <v>10947</v>
      </c>
      <c r="D1146" s="7" t="s">
        <v>4247</v>
      </c>
      <c r="E1146" s="7" t="s">
        <v>10948</v>
      </c>
      <c r="F1146" s="7" t="s">
        <v>3818</v>
      </c>
      <c r="G1146" s="7" t="s">
        <v>10949</v>
      </c>
      <c r="H1146" s="7" t="s">
        <v>10950</v>
      </c>
      <c r="I1146" s="119">
        <v>45292.0</v>
      </c>
      <c r="K1146" s="7" t="s">
        <v>419</v>
      </c>
      <c r="L1146" s="7" t="s">
        <v>991</v>
      </c>
      <c r="M1146" s="7" t="s">
        <v>3501</v>
      </c>
      <c r="N1146" s="7" t="s">
        <v>7252</v>
      </c>
      <c r="O1146" s="7" t="s">
        <v>7253</v>
      </c>
      <c r="P1146" s="7" t="s">
        <v>3493</v>
      </c>
      <c r="Q1146" s="7">
        <v>1.0</v>
      </c>
    </row>
    <row r="1147">
      <c r="A1147" s="7" t="s">
        <v>10951</v>
      </c>
      <c r="B1147" s="7">
        <v>2300513.0</v>
      </c>
      <c r="C1147" s="7" t="s">
        <v>10952</v>
      </c>
      <c r="D1147" s="7" t="s">
        <v>6628</v>
      </c>
      <c r="E1147" s="7" t="s">
        <v>10953</v>
      </c>
      <c r="F1147" s="7" t="s">
        <v>6630</v>
      </c>
      <c r="G1147" s="7" t="s">
        <v>10954</v>
      </c>
      <c r="H1147" s="7" t="s">
        <v>10955</v>
      </c>
      <c r="I1147" s="119">
        <v>45292.0</v>
      </c>
      <c r="K1147" s="7" t="s">
        <v>419</v>
      </c>
      <c r="L1147" s="7" t="s">
        <v>991</v>
      </c>
      <c r="M1147" s="7" t="s">
        <v>3501</v>
      </c>
      <c r="N1147" s="7" t="s">
        <v>10569</v>
      </c>
      <c r="O1147" s="7" t="s">
        <v>10570</v>
      </c>
      <c r="P1147" s="7" t="s">
        <v>3493</v>
      </c>
      <c r="Q1147" s="7">
        <v>1.0</v>
      </c>
    </row>
    <row r="1148">
      <c r="A1148" s="7" t="s">
        <v>10956</v>
      </c>
      <c r="B1148" s="7">
        <v>989.0</v>
      </c>
      <c r="C1148" s="7" t="s">
        <v>10957</v>
      </c>
      <c r="D1148" s="7" t="s">
        <v>10958</v>
      </c>
      <c r="E1148" s="7" t="s">
        <v>10959</v>
      </c>
      <c r="F1148" s="7" t="s">
        <v>4234</v>
      </c>
      <c r="G1148" s="7" t="s">
        <v>10960</v>
      </c>
      <c r="H1148" s="7" t="s">
        <v>10961</v>
      </c>
      <c r="I1148" s="119">
        <v>45292.0</v>
      </c>
      <c r="K1148" s="7" t="s">
        <v>419</v>
      </c>
      <c r="L1148" s="7" t="s">
        <v>991</v>
      </c>
      <c r="M1148" s="7" t="s">
        <v>3501</v>
      </c>
      <c r="N1148" s="7" t="s">
        <v>10962</v>
      </c>
      <c r="O1148" s="7" t="s">
        <v>10963</v>
      </c>
      <c r="P1148" s="7" t="s">
        <v>5585</v>
      </c>
      <c r="Q1148" s="7">
        <v>1.0</v>
      </c>
    </row>
    <row r="1149">
      <c r="A1149" s="7" t="s">
        <v>10964</v>
      </c>
      <c r="B1149" s="7">
        <v>1153.0</v>
      </c>
      <c r="C1149" s="7" t="s">
        <v>10957</v>
      </c>
      <c r="D1149" s="7" t="s">
        <v>10965</v>
      </c>
      <c r="E1149" s="7" t="s">
        <v>10959</v>
      </c>
      <c r="F1149" s="7" t="s">
        <v>5312</v>
      </c>
      <c r="G1149" s="7" t="s">
        <v>10966</v>
      </c>
      <c r="H1149" s="7" t="s">
        <v>10967</v>
      </c>
      <c r="I1149" s="119">
        <v>45292.0</v>
      </c>
      <c r="K1149" s="7" t="s">
        <v>419</v>
      </c>
      <c r="L1149" s="7" t="s">
        <v>991</v>
      </c>
      <c r="M1149" s="7" t="s">
        <v>3501</v>
      </c>
      <c r="N1149" s="7" t="s">
        <v>3574</v>
      </c>
      <c r="O1149" s="7" t="s">
        <v>8483</v>
      </c>
      <c r="P1149" s="7" t="s">
        <v>3522</v>
      </c>
      <c r="Q1149" s="7" t="s">
        <v>3523</v>
      </c>
    </row>
    <row r="1150">
      <c r="A1150" s="7" t="s">
        <v>10968</v>
      </c>
      <c r="B1150" s="7">
        <v>13564.0</v>
      </c>
      <c r="C1150" s="7" t="s">
        <v>10957</v>
      </c>
      <c r="D1150" s="7" t="s">
        <v>10969</v>
      </c>
      <c r="E1150" s="7" t="s">
        <v>10959</v>
      </c>
      <c r="F1150" s="7" t="s">
        <v>10970</v>
      </c>
      <c r="G1150" s="7" t="s">
        <v>10971</v>
      </c>
      <c r="H1150" s="7" t="s">
        <v>10972</v>
      </c>
      <c r="I1150" s="119">
        <v>45292.0</v>
      </c>
      <c r="K1150" s="7" t="s">
        <v>3632</v>
      </c>
      <c r="L1150" s="7" t="s">
        <v>991</v>
      </c>
      <c r="M1150" s="7" t="s">
        <v>3501</v>
      </c>
      <c r="N1150" s="7" t="s">
        <v>6526</v>
      </c>
      <c r="O1150" s="7" t="s">
        <v>6527</v>
      </c>
      <c r="P1150" s="7" t="s">
        <v>3894</v>
      </c>
      <c r="Q1150" s="7" t="s">
        <v>3523</v>
      </c>
    </row>
    <row r="1151">
      <c r="A1151" s="7" t="s">
        <v>10973</v>
      </c>
      <c r="B1151" s="7">
        <v>2200636.0</v>
      </c>
      <c r="C1151" s="7" t="s">
        <v>10957</v>
      </c>
      <c r="D1151" s="7" t="s">
        <v>5881</v>
      </c>
      <c r="E1151" s="7" t="s">
        <v>10959</v>
      </c>
      <c r="F1151" s="7" t="s">
        <v>4546</v>
      </c>
      <c r="G1151" s="7" t="s">
        <v>10974</v>
      </c>
      <c r="H1151" s="7" t="s">
        <v>10975</v>
      </c>
      <c r="I1151" s="119">
        <v>45292.0</v>
      </c>
      <c r="K1151" s="7" t="s">
        <v>419</v>
      </c>
      <c r="L1151" s="7" t="s">
        <v>991</v>
      </c>
      <c r="M1151" s="7" t="s">
        <v>3501</v>
      </c>
      <c r="N1151" s="7" t="s">
        <v>4367</v>
      </c>
      <c r="O1151" s="7" t="s">
        <v>4368</v>
      </c>
      <c r="P1151" s="7" t="s">
        <v>3843</v>
      </c>
      <c r="Q1151" s="7">
        <v>1.0</v>
      </c>
    </row>
    <row r="1152">
      <c r="A1152" s="7" t="s">
        <v>10976</v>
      </c>
      <c r="B1152" s="7">
        <v>13560.0</v>
      </c>
      <c r="C1152" s="7" t="s">
        <v>10977</v>
      </c>
      <c r="D1152" s="7" t="s">
        <v>9723</v>
      </c>
      <c r="E1152" s="7" t="s">
        <v>10959</v>
      </c>
      <c r="F1152" s="7" t="s">
        <v>4093</v>
      </c>
      <c r="G1152" s="7" t="s">
        <v>10978</v>
      </c>
      <c r="H1152" s="7" t="s">
        <v>10979</v>
      </c>
      <c r="I1152" s="119">
        <v>45292.0</v>
      </c>
      <c r="K1152" s="7" t="s">
        <v>3632</v>
      </c>
      <c r="L1152" s="7" t="s">
        <v>991</v>
      </c>
      <c r="M1152" s="7" t="s">
        <v>3501</v>
      </c>
      <c r="N1152" s="7" t="s">
        <v>3633</v>
      </c>
      <c r="O1152" s="7" t="s">
        <v>3634</v>
      </c>
      <c r="P1152" s="7" t="s">
        <v>3522</v>
      </c>
      <c r="Q1152" s="7" t="s">
        <v>3514</v>
      </c>
    </row>
    <row r="1153">
      <c r="A1153" s="7" t="s">
        <v>10980</v>
      </c>
      <c r="B1153" s="7">
        <v>2200900.0</v>
      </c>
      <c r="C1153" s="7" t="s">
        <v>10981</v>
      </c>
      <c r="D1153" s="7" t="s">
        <v>10982</v>
      </c>
      <c r="E1153" s="7" t="s">
        <v>10983</v>
      </c>
      <c r="F1153" s="7" t="s">
        <v>10984</v>
      </c>
      <c r="G1153" s="7" t="s">
        <v>10985</v>
      </c>
      <c r="H1153" s="7" t="s">
        <v>10986</v>
      </c>
      <c r="I1153" s="119">
        <v>45292.0</v>
      </c>
      <c r="K1153" s="7" t="s">
        <v>419</v>
      </c>
      <c r="L1153" s="7" t="s">
        <v>991</v>
      </c>
      <c r="M1153" s="7" t="s">
        <v>3501</v>
      </c>
      <c r="N1153" s="7" t="s">
        <v>4535</v>
      </c>
      <c r="O1153" s="7" t="s">
        <v>10987</v>
      </c>
      <c r="P1153" s="7" t="s">
        <v>3522</v>
      </c>
      <c r="Q1153" s="7" t="s">
        <v>3523</v>
      </c>
    </row>
    <row r="1154">
      <c r="A1154" s="7" t="s">
        <v>10988</v>
      </c>
      <c r="B1154" s="7">
        <v>13685.0</v>
      </c>
      <c r="C1154" s="7" t="s">
        <v>10989</v>
      </c>
      <c r="D1154" s="7" t="s">
        <v>10990</v>
      </c>
      <c r="E1154" s="7" t="s">
        <v>10991</v>
      </c>
      <c r="F1154" s="7" t="s">
        <v>10938</v>
      </c>
      <c r="G1154" s="7" t="s">
        <v>10992</v>
      </c>
      <c r="H1154" s="7" t="s">
        <v>10993</v>
      </c>
      <c r="I1154" s="119">
        <v>45292.0</v>
      </c>
      <c r="K1154" s="7" t="s">
        <v>3632</v>
      </c>
      <c r="L1154" s="7" t="s">
        <v>991</v>
      </c>
      <c r="M1154" s="7" t="s">
        <v>3501</v>
      </c>
      <c r="N1154" s="7" t="s">
        <v>9234</v>
      </c>
      <c r="O1154" s="7" t="s">
        <v>10994</v>
      </c>
      <c r="P1154" s="7" t="s">
        <v>4154</v>
      </c>
      <c r="Q1154" s="7" t="s">
        <v>3566</v>
      </c>
    </row>
    <row r="1155">
      <c r="A1155" s="7" t="s">
        <v>10995</v>
      </c>
      <c r="B1155" s="7">
        <v>2300540.0</v>
      </c>
      <c r="C1155" s="7" t="s">
        <v>10996</v>
      </c>
      <c r="D1155" s="7" t="s">
        <v>10997</v>
      </c>
      <c r="E1155" s="7" t="s">
        <v>10991</v>
      </c>
      <c r="F1155" s="7" t="s">
        <v>10997</v>
      </c>
      <c r="G1155" s="7" t="s">
        <v>10998</v>
      </c>
      <c r="H1155" s="7" t="s">
        <v>10999</v>
      </c>
      <c r="I1155" s="119">
        <v>45292.0</v>
      </c>
      <c r="K1155" s="7" t="s">
        <v>419</v>
      </c>
      <c r="L1155" s="7" t="s">
        <v>991</v>
      </c>
      <c r="M1155" s="7" t="s">
        <v>3531</v>
      </c>
      <c r="N1155" s="7" t="s">
        <v>6624</v>
      </c>
      <c r="O1155" s="7" t="s">
        <v>9604</v>
      </c>
      <c r="P1155" s="7" t="s">
        <v>3493</v>
      </c>
      <c r="Q1155" s="7">
        <v>1.0</v>
      </c>
    </row>
    <row r="1156">
      <c r="A1156" s="7" t="s">
        <v>11000</v>
      </c>
      <c r="B1156" s="7">
        <v>8362.0</v>
      </c>
      <c r="C1156" s="7" t="s">
        <v>11001</v>
      </c>
      <c r="D1156" s="7" t="s">
        <v>8442</v>
      </c>
      <c r="E1156" s="7" t="s">
        <v>11002</v>
      </c>
      <c r="F1156" s="7" t="s">
        <v>4929</v>
      </c>
      <c r="G1156" s="7" t="s">
        <v>11003</v>
      </c>
      <c r="H1156" s="7" t="s">
        <v>11004</v>
      </c>
      <c r="I1156" s="119">
        <v>45292.0</v>
      </c>
      <c r="K1156" s="7" t="s">
        <v>419</v>
      </c>
      <c r="L1156" s="7" t="s">
        <v>991</v>
      </c>
      <c r="M1156" s="7" t="s">
        <v>3531</v>
      </c>
      <c r="N1156" s="7" t="s">
        <v>6988</v>
      </c>
      <c r="O1156" s="7" t="s">
        <v>11005</v>
      </c>
      <c r="P1156" s="7" t="s">
        <v>3493</v>
      </c>
      <c r="Q1156" s="7">
        <v>1.0</v>
      </c>
    </row>
    <row r="1157">
      <c r="A1157" s="7" t="s">
        <v>11006</v>
      </c>
      <c r="B1157" s="7">
        <v>1159.0</v>
      </c>
      <c r="C1157" s="7" t="s">
        <v>11007</v>
      </c>
      <c r="D1157" s="7" t="s">
        <v>7198</v>
      </c>
      <c r="E1157" s="7" t="s">
        <v>11008</v>
      </c>
      <c r="F1157" s="7" t="s">
        <v>4203</v>
      </c>
      <c r="G1157" s="7" t="s">
        <v>11009</v>
      </c>
      <c r="H1157" s="7" t="s">
        <v>11010</v>
      </c>
      <c r="I1157" s="119">
        <v>45292.0</v>
      </c>
      <c r="K1157" s="7" t="s">
        <v>419</v>
      </c>
      <c r="L1157" s="7" t="s">
        <v>991</v>
      </c>
      <c r="M1157" s="7" t="s">
        <v>3501</v>
      </c>
      <c r="N1157" s="7" t="s">
        <v>4796</v>
      </c>
      <c r="O1157" s="7" t="s">
        <v>11011</v>
      </c>
      <c r="P1157" s="7" t="s">
        <v>3522</v>
      </c>
      <c r="Q1157" s="7" t="s">
        <v>3523</v>
      </c>
    </row>
    <row r="1158">
      <c r="A1158" s="7" t="s">
        <v>11012</v>
      </c>
      <c r="B1158" s="7">
        <v>11813.0</v>
      </c>
      <c r="C1158" s="7" t="s">
        <v>11013</v>
      </c>
      <c r="D1158" s="7" t="s">
        <v>5301</v>
      </c>
      <c r="E1158" s="7" t="s">
        <v>11014</v>
      </c>
      <c r="F1158" s="7" t="s">
        <v>5295</v>
      </c>
      <c r="G1158" s="7" t="s">
        <v>11015</v>
      </c>
      <c r="H1158" s="7" t="s">
        <v>11016</v>
      </c>
      <c r="I1158" s="119">
        <v>45292.0</v>
      </c>
      <c r="K1158" s="7" t="s">
        <v>419</v>
      </c>
      <c r="L1158" s="7" t="s">
        <v>991</v>
      </c>
      <c r="M1158" s="7" t="s">
        <v>3501</v>
      </c>
      <c r="N1158" s="7" t="s">
        <v>8379</v>
      </c>
      <c r="O1158" s="7" t="s">
        <v>11017</v>
      </c>
      <c r="P1158" s="7" t="s">
        <v>3522</v>
      </c>
      <c r="Q1158" s="7" t="s">
        <v>3523</v>
      </c>
    </row>
    <row r="1159">
      <c r="A1159" s="7" t="s">
        <v>11018</v>
      </c>
      <c r="B1159" s="7">
        <v>2100496.0</v>
      </c>
      <c r="C1159" s="7" t="s">
        <v>11019</v>
      </c>
      <c r="D1159" s="7" t="s">
        <v>7978</v>
      </c>
      <c r="E1159" s="7" t="s">
        <v>11020</v>
      </c>
      <c r="F1159" s="7" t="s">
        <v>3691</v>
      </c>
      <c r="G1159" s="7" t="s">
        <v>11021</v>
      </c>
      <c r="H1159" s="7" t="s">
        <v>11022</v>
      </c>
      <c r="I1159" s="119">
        <v>45292.0</v>
      </c>
      <c r="K1159" s="7" t="s">
        <v>419</v>
      </c>
      <c r="L1159" s="7" t="s">
        <v>991</v>
      </c>
      <c r="M1159" s="7" t="s">
        <v>3501</v>
      </c>
      <c r="N1159" s="7" t="s">
        <v>8472</v>
      </c>
      <c r="O1159" s="7" t="s">
        <v>11023</v>
      </c>
      <c r="P1159" s="7" t="s">
        <v>4154</v>
      </c>
      <c r="Q1159" s="7" t="s">
        <v>3566</v>
      </c>
    </row>
    <row r="1160">
      <c r="A1160" s="7" t="s">
        <v>11024</v>
      </c>
      <c r="B1160" s="7">
        <v>12561.0</v>
      </c>
      <c r="C1160" s="7" t="s">
        <v>11019</v>
      </c>
      <c r="D1160" s="7" t="s">
        <v>11025</v>
      </c>
      <c r="E1160" s="7" t="s">
        <v>11020</v>
      </c>
      <c r="F1160" s="7" t="s">
        <v>5987</v>
      </c>
      <c r="G1160" s="7" t="s">
        <v>11026</v>
      </c>
      <c r="H1160" s="7" t="s">
        <v>11027</v>
      </c>
      <c r="I1160" s="119">
        <v>45292.0</v>
      </c>
      <c r="K1160" s="7" t="s">
        <v>419</v>
      </c>
      <c r="L1160" s="7" t="s">
        <v>991</v>
      </c>
      <c r="M1160" s="7" t="s">
        <v>3501</v>
      </c>
      <c r="N1160" s="7" t="s">
        <v>10018</v>
      </c>
      <c r="O1160" s="7" t="s">
        <v>10019</v>
      </c>
      <c r="P1160" s="7" t="s">
        <v>3493</v>
      </c>
      <c r="Q1160" s="7">
        <v>1.0</v>
      </c>
    </row>
    <row r="1161">
      <c r="A1161" s="7" t="s">
        <v>11028</v>
      </c>
      <c r="B1161" s="7">
        <v>12210.0</v>
      </c>
      <c r="C1161" s="7" t="s">
        <v>11019</v>
      </c>
      <c r="D1161" s="7" t="s">
        <v>11029</v>
      </c>
      <c r="E1161" s="7" t="s">
        <v>11020</v>
      </c>
      <c r="F1161" s="7" t="s">
        <v>4469</v>
      </c>
      <c r="G1161" s="7" t="s">
        <v>11030</v>
      </c>
      <c r="H1161" s="7" t="s">
        <v>11031</v>
      </c>
      <c r="I1161" s="119">
        <v>45292.0</v>
      </c>
      <c r="K1161" s="7" t="s">
        <v>419</v>
      </c>
      <c r="L1161" s="7" t="s">
        <v>991</v>
      </c>
      <c r="M1161" s="7" t="s">
        <v>3501</v>
      </c>
      <c r="N1161" s="7" t="s">
        <v>5320</v>
      </c>
      <c r="O1161" s="7" t="s">
        <v>5321</v>
      </c>
      <c r="P1161" s="7" t="s">
        <v>3493</v>
      </c>
      <c r="Q1161" s="7">
        <v>1.0</v>
      </c>
    </row>
    <row r="1162">
      <c r="A1162" s="7" t="s">
        <v>11032</v>
      </c>
      <c r="B1162" s="7">
        <v>8159.0</v>
      </c>
      <c r="C1162" s="7" t="s">
        <v>11019</v>
      </c>
      <c r="D1162" s="7" t="s">
        <v>3812</v>
      </c>
      <c r="E1162" s="7" t="s">
        <v>11020</v>
      </c>
      <c r="F1162" s="7" t="s">
        <v>3609</v>
      </c>
      <c r="G1162" s="7" t="s">
        <v>11033</v>
      </c>
      <c r="H1162" s="7" t="s">
        <v>11034</v>
      </c>
      <c r="I1162" s="119">
        <v>45292.0</v>
      </c>
      <c r="K1162" s="7" t="s">
        <v>419</v>
      </c>
      <c r="L1162" s="7" t="s">
        <v>991</v>
      </c>
      <c r="M1162" s="7" t="s">
        <v>3531</v>
      </c>
      <c r="N1162" s="7" t="s">
        <v>4481</v>
      </c>
      <c r="O1162" s="7" t="s">
        <v>4482</v>
      </c>
      <c r="P1162" s="7" t="s">
        <v>3493</v>
      </c>
      <c r="Q1162" s="7">
        <v>1.0</v>
      </c>
    </row>
    <row r="1163">
      <c r="A1163" s="7" t="s">
        <v>11035</v>
      </c>
      <c r="B1163" s="7">
        <v>2200199.0</v>
      </c>
      <c r="C1163" s="7" t="s">
        <v>11019</v>
      </c>
      <c r="D1163" s="7" t="s">
        <v>11036</v>
      </c>
      <c r="E1163" s="7" t="s">
        <v>11020</v>
      </c>
      <c r="F1163" s="7" t="s">
        <v>4109</v>
      </c>
      <c r="G1163" s="7" t="s">
        <v>11037</v>
      </c>
      <c r="H1163" s="7" t="s">
        <v>11038</v>
      </c>
      <c r="I1163" s="119">
        <v>45292.0</v>
      </c>
      <c r="K1163" s="7" t="s">
        <v>419</v>
      </c>
      <c r="L1163" s="7" t="s">
        <v>991</v>
      </c>
      <c r="M1163" s="7" t="s">
        <v>3501</v>
      </c>
      <c r="N1163" s="7" t="s">
        <v>11039</v>
      </c>
      <c r="O1163" s="7" t="s">
        <v>11040</v>
      </c>
      <c r="P1163" s="7" t="s">
        <v>3522</v>
      </c>
      <c r="Q1163" s="7" t="s">
        <v>3514</v>
      </c>
    </row>
    <row r="1164">
      <c r="A1164" s="7" t="s">
        <v>11041</v>
      </c>
      <c r="B1164" s="7">
        <v>10797.0</v>
      </c>
      <c r="C1164" s="7" t="s">
        <v>11019</v>
      </c>
      <c r="D1164" s="7" t="s">
        <v>11042</v>
      </c>
      <c r="E1164" s="7" t="s">
        <v>11020</v>
      </c>
      <c r="F1164" s="7" t="s">
        <v>10171</v>
      </c>
      <c r="G1164" s="7" t="s">
        <v>11043</v>
      </c>
      <c r="H1164" s="7" t="s">
        <v>11044</v>
      </c>
      <c r="I1164" s="119">
        <v>45292.0</v>
      </c>
      <c r="K1164" s="7" t="s">
        <v>419</v>
      </c>
      <c r="L1164" s="7" t="s">
        <v>991</v>
      </c>
      <c r="M1164" s="7" t="s">
        <v>3501</v>
      </c>
      <c r="N1164" s="7" t="s">
        <v>10722</v>
      </c>
      <c r="O1164" s="7" t="s">
        <v>11045</v>
      </c>
      <c r="P1164" s="7" t="s">
        <v>3493</v>
      </c>
      <c r="Q1164" s="7">
        <v>1.0</v>
      </c>
    </row>
    <row r="1165">
      <c r="A1165" s="7" t="s">
        <v>11046</v>
      </c>
      <c r="B1165" s="7">
        <v>1098.0</v>
      </c>
      <c r="C1165" s="7" t="s">
        <v>11047</v>
      </c>
      <c r="D1165" s="7" t="s">
        <v>5513</v>
      </c>
      <c r="E1165" s="7" t="s">
        <v>11048</v>
      </c>
      <c r="F1165" s="7" t="s">
        <v>5514</v>
      </c>
      <c r="G1165" s="7" t="s">
        <v>11049</v>
      </c>
      <c r="H1165" s="7" t="s">
        <v>11050</v>
      </c>
      <c r="I1165" s="119">
        <v>45292.0</v>
      </c>
      <c r="K1165" s="7" t="s">
        <v>419</v>
      </c>
      <c r="L1165" s="7" t="s">
        <v>991</v>
      </c>
      <c r="M1165" s="7" t="s">
        <v>3501</v>
      </c>
      <c r="N1165" s="7" t="s">
        <v>10577</v>
      </c>
      <c r="O1165" s="7" t="s">
        <v>10578</v>
      </c>
      <c r="P1165" s="7" t="s">
        <v>3493</v>
      </c>
      <c r="Q1165" s="7">
        <v>1.0</v>
      </c>
    </row>
    <row r="1166">
      <c r="A1166" s="7" t="s">
        <v>11051</v>
      </c>
      <c r="B1166" s="7">
        <v>2200440.0</v>
      </c>
      <c r="C1166" s="7" t="s">
        <v>11052</v>
      </c>
      <c r="D1166" s="7" t="s">
        <v>11053</v>
      </c>
      <c r="E1166" s="7" t="s">
        <v>11054</v>
      </c>
      <c r="F1166" s="7" t="s">
        <v>11055</v>
      </c>
      <c r="G1166" s="7" t="s">
        <v>11056</v>
      </c>
      <c r="H1166" s="7" t="s">
        <v>11057</v>
      </c>
      <c r="I1166" s="119">
        <v>45292.0</v>
      </c>
      <c r="K1166" s="7" t="s">
        <v>419</v>
      </c>
      <c r="L1166" s="7" t="s">
        <v>991</v>
      </c>
      <c r="M1166" s="7" t="s">
        <v>3501</v>
      </c>
      <c r="N1166" s="7" t="s">
        <v>5868</v>
      </c>
      <c r="O1166" s="7" t="s">
        <v>5869</v>
      </c>
      <c r="P1166" s="7" t="s">
        <v>3493</v>
      </c>
      <c r="Q1166" s="7">
        <v>1.0</v>
      </c>
    </row>
    <row r="1167">
      <c r="A1167" s="7" t="s">
        <v>11058</v>
      </c>
      <c r="B1167" s="7">
        <v>12154.0</v>
      </c>
      <c r="C1167" s="7" t="s">
        <v>11059</v>
      </c>
      <c r="D1167" s="7" t="s">
        <v>11060</v>
      </c>
      <c r="E1167" s="7" t="s">
        <v>11061</v>
      </c>
      <c r="F1167" s="7" t="s">
        <v>11062</v>
      </c>
      <c r="G1167" s="7" t="s">
        <v>11063</v>
      </c>
      <c r="H1167" s="7" t="s">
        <v>11064</v>
      </c>
      <c r="I1167" s="119">
        <v>45292.0</v>
      </c>
      <c r="K1167" s="7" t="s">
        <v>419</v>
      </c>
      <c r="L1167" s="7" t="s">
        <v>991</v>
      </c>
      <c r="M1167" s="7" t="s">
        <v>3501</v>
      </c>
      <c r="N1167" s="7" t="s">
        <v>10722</v>
      </c>
      <c r="O1167" s="7" t="s">
        <v>11045</v>
      </c>
      <c r="P1167" s="7" t="s">
        <v>3604</v>
      </c>
      <c r="Q1167" s="7">
        <v>1.0</v>
      </c>
    </row>
    <row r="1168">
      <c r="A1168" s="7" t="s">
        <v>11065</v>
      </c>
      <c r="B1168" s="7">
        <v>14275.0</v>
      </c>
      <c r="C1168" s="7" t="s">
        <v>11066</v>
      </c>
      <c r="D1168" s="7" t="s">
        <v>8202</v>
      </c>
      <c r="E1168" s="7" t="s">
        <v>11067</v>
      </c>
      <c r="F1168" s="7" t="s">
        <v>4314</v>
      </c>
      <c r="G1168" s="7" t="s">
        <v>11068</v>
      </c>
      <c r="H1168" s="7" t="s">
        <v>11069</v>
      </c>
      <c r="I1168" s="119">
        <v>45292.0</v>
      </c>
      <c r="K1168" s="7" t="s">
        <v>419</v>
      </c>
      <c r="L1168" s="7" t="s">
        <v>991</v>
      </c>
      <c r="M1168" s="7" t="s">
        <v>3501</v>
      </c>
      <c r="N1168" s="7" t="s">
        <v>4444</v>
      </c>
      <c r="O1168" s="7" t="s">
        <v>4445</v>
      </c>
      <c r="P1168" s="7" t="s">
        <v>3493</v>
      </c>
      <c r="Q1168" s="7">
        <v>1.0</v>
      </c>
    </row>
    <row r="1169">
      <c r="A1169" s="7" t="s">
        <v>11070</v>
      </c>
      <c r="B1169" s="7">
        <v>14276.0</v>
      </c>
      <c r="C1169" s="7" t="s">
        <v>11071</v>
      </c>
      <c r="D1169" s="7" t="s">
        <v>5632</v>
      </c>
      <c r="E1169" s="7" t="s">
        <v>11072</v>
      </c>
      <c r="F1169" s="7" t="s">
        <v>3508</v>
      </c>
      <c r="G1169" s="7" t="s">
        <v>11073</v>
      </c>
      <c r="H1169" s="7" t="s">
        <v>11074</v>
      </c>
      <c r="I1169" s="119">
        <v>45292.0</v>
      </c>
      <c r="K1169" s="7" t="s">
        <v>419</v>
      </c>
      <c r="L1169" s="7" t="s">
        <v>991</v>
      </c>
      <c r="M1169" s="7" t="s">
        <v>3531</v>
      </c>
      <c r="N1169" s="7" t="s">
        <v>3841</v>
      </c>
      <c r="O1169" s="7" t="s">
        <v>3842</v>
      </c>
      <c r="P1169" s="7" t="s">
        <v>3493</v>
      </c>
      <c r="Q1169" s="7">
        <v>1.0</v>
      </c>
    </row>
    <row r="1170">
      <c r="A1170" s="7" t="s">
        <v>11075</v>
      </c>
      <c r="B1170" s="7">
        <v>2300752.0</v>
      </c>
      <c r="C1170" s="7" t="s">
        <v>11071</v>
      </c>
      <c r="D1170" s="7" t="s">
        <v>11076</v>
      </c>
      <c r="E1170" s="7" t="s">
        <v>11072</v>
      </c>
      <c r="F1170" s="7" t="s">
        <v>11077</v>
      </c>
      <c r="G1170" s="7" t="s">
        <v>11078</v>
      </c>
      <c r="H1170" s="7" t="s">
        <v>11079</v>
      </c>
      <c r="I1170" s="119">
        <v>45292.0</v>
      </c>
      <c r="K1170" s="7" t="s">
        <v>419</v>
      </c>
      <c r="L1170" s="7" t="s">
        <v>991</v>
      </c>
      <c r="M1170" s="7" t="s">
        <v>3501</v>
      </c>
      <c r="N1170" s="7" t="s">
        <v>7093</v>
      </c>
      <c r="O1170" s="7" t="s">
        <v>7094</v>
      </c>
      <c r="P1170" s="7" t="s">
        <v>3843</v>
      </c>
      <c r="Q1170" s="7">
        <v>1.0</v>
      </c>
    </row>
    <row r="1171">
      <c r="A1171" s="7" t="s">
        <v>11080</v>
      </c>
      <c r="B1171" s="7">
        <v>2200741.0</v>
      </c>
      <c r="C1171" s="7" t="s">
        <v>11071</v>
      </c>
      <c r="D1171" s="7" t="s">
        <v>11081</v>
      </c>
      <c r="E1171" s="7" t="s">
        <v>11072</v>
      </c>
      <c r="F1171" s="7" t="s">
        <v>4478</v>
      </c>
      <c r="G1171" s="7" t="s">
        <v>11082</v>
      </c>
      <c r="H1171" s="7" t="s">
        <v>11083</v>
      </c>
      <c r="I1171" s="119">
        <v>45292.0</v>
      </c>
      <c r="K1171" s="7" t="s">
        <v>419</v>
      </c>
      <c r="L1171" s="7" t="s">
        <v>991</v>
      </c>
      <c r="M1171" s="7" t="s">
        <v>3501</v>
      </c>
      <c r="N1171" s="7" t="s">
        <v>6905</v>
      </c>
      <c r="O1171" s="7" t="s">
        <v>11084</v>
      </c>
      <c r="P1171" s="7" t="s">
        <v>3493</v>
      </c>
      <c r="Q1171" s="7">
        <v>1.0</v>
      </c>
    </row>
    <row r="1172">
      <c r="A1172" s="7" t="s">
        <v>11085</v>
      </c>
      <c r="B1172" s="7">
        <v>2400037.0</v>
      </c>
      <c r="C1172" s="7" t="s">
        <v>11086</v>
      </c>
      <c r="D1172" s="7" t="s">
        <v>11087</v>
      </c>
      <c r="E1172" s="7" t="s">
        <v>11088</v>
      </c>
      <c r="F1172" s="7" t="s">
        <v>11089</v>
      </c>
      <c r="G1172" s="7" t="s">
        <v>11090</v>
      </c>
      <c r="H1172" s="7" t="s">
        <v>11091</v>
      </c>
      <c r="I1172" s="119">
        <v>45292.0</v>
      </c>
      <c r="K1172" s="7" t="s">
        <v>419</v>
      </c>
      <c r="L1172" s="7" t="s">
        <v>991</v>
      </c>
      <c r="M1172" s="7" t="s">
        <v>3490</v>
      </c>
      <c r="N1172" s="7" t="s">
        <v>7662</v>
      </c>
      <c r="O1172" s="7" t="s">
        <v>7663</v>
      </c>
      <c r="P1172" s="7" t="s">
        <v>3493</v>
      </c>
      <c r="Q1172" s="7">
        <v>1.0</v>
      </c>
    </row>
    <row r="1173">
      <c r="A1173" s="7" t="s">
        <v>11092</v>
      </c>
      <c r="B1173" s="7">
        <v>13038.0</v>
      </c>
      <c r="C1173" s="7" t="s">
        <v>11093</v>
      </c>
      <c r="D1173" s="7" t="s">
        <v>11094</v>
      </c>
      <c r="E1173" s="7" t="s">
        <v>11095</v>
      </c>
      <c r="F1173" s="7" t="s">
        <v>8233</v>
      </c>
      <c r="G1173" s="7" t="s">
        <v>11096</v>
      </c>
      <c r="H1173" s="7" t="s">
        <v>11097</v>
      </c>
      <c r="I1173" s="119">
        <v>45292.0</v>
      </c>
      <c r="K1173" s="7" t="s">
        <v>419</v>
      </c>
      <c r="L1173" s="7" t="s">
        <v>991</v>
      </c>
      <c r="M1173" s="7" t="s">
        <v>3501</v>
      </c>
      <c r="N1173" s="7" t="s">
        <v>4224</v>
      </c>
      <c r="O1173" s="7" t="s">
        <v>4225</v>
      </c>
      <c r="P1173" s="7" t="s">
        <v>3604</v>
      </c>
      <c r="Q1173" s="7">
        <v>1.0</v>
      </c>
    </row>
    <row r="1174">
      <c r="A1174" s="7" t="s">
        <v>11098</v>
      </c>
      <c r="B1174" s="7">
        <v>1231.0</v>
      </c>
      <c r="C1174" s="7" t="s">
        <v>11099</v>
      </c>
      <c r="D1174" s="7" t="s">
        <v>4073</v>
      </c>
      <c r="E1174" s="7" t="s">
        <v>11100</v>
      </c>
      <c r="F1174" s="7" t="s">
        <v>4075</v>
      </c>
      <c r="G1174" s="7" t="s">
        <v>11101</v>
      </c>
      <c r="H1174" s="7" t="s">
        <v>11102</v>
      </c>
      <c r="I1174" s="119">
        <v>45292.0</v>
      </c>
      <c r="K1174" s="7" t="s">
        <v>419</v>
      </c>
      <c r="L1174" s="7" t="s">
        <v>991</v>
      </c>
      <c r="M1174" s="7" t="s">
        <v>3501</v>
      </c>
      <c r="N1174" s="7" t="s">
        <v>4317</v>
      </c>
      <c r="O1174" s="7" t="s">
        <v>7839</v>
      </c>
      <c r="P1174" s="7" t="s">
        <v>3522</v>
      </c>
      <c r="Q1174" s="7" t="s">
        <v>3523</v>
      </c>
    </row>
    <row r="1175">
      <c r="A1175" s="7" t="s">
        <v>11103</v>
      </c>
      <c r="B1175" s="7">
        <v>11527.0</v>
      </c>
      <c r="C1175" s="7" t="s">
        <v>11104</v>
      </c>
      <c r="D1175" s="7" t="s">
        <v>10891</v>
      </c>
      <c r="E1175" s="7" t="s">
        <v>11105</v>
      </c>
      <c r="F1175" s="7" t="s">
        <v>10892</v>
      </c>
      <c r="G1175" s="7" t="s">
        <v>11106</v>
      </c>
      <c r="H1175" s="7" t="s">
        <v>11107</v>
      </c>
      <c r="I1175" s="119">
        <v>45292.0</v>
      </c>
      <c r="K1175" s="7" t="s">
        <v>419</v>
      </c>
      <c r="L1175" s="7" t="s">
        <v>991</v>
      </c>
      <c r="M1175" s="7" t="s">
        <v>3501</v>
      </c>
      <c r="N1175" s="7" t="s">
        <v>8178</v>
      </c>
      <c r="O1175" s="7" t="s">
        <v>8179</v>
      </c>
      <c r="P1175" s="7" t="s">
        <v>3493</v>
      </c>
      <c r="Q1175" s="7">
        <v>1.0</v>
      </c>
    </row>
    <row r="1176">
      <c r="A1176" s="7" t="s">
        <v>11108</v>
      </c>
      <c r="B1176" s="7">
        <v>12757.0</v>
      </c>
      <c r="C1176" s="7" t="s">
        <v>11104</v>
      </c>
      <c r="D1176" s="7" t="s">
        <v>7508</v>
      </c>
      <c r="E1176" s="7" t="s">
        <v>11105</v>
      </c>
      <c r="F1176" s="7" t="s">
        <v>4478</v>
      </c>
      <c r="G1176" s="7" t="s">
        <v>11109</v>
      </c>
      <c r="H1176" s="7" t="s">
        <v>11110</v>
      </c>
      <c r="I1176" s="119">
        <v>45292.0</v>
      </c>
      <c r="K1176" s="7" t="s">
        <v>419</v>
      </c>
      <c r="L1176" s="7" t="s">
        <v>991</v>
      </c>
      <c r="M1176" s="7" t="s">
        <v>3501</v>
      </c>
      <c r="N1176" s="7" t="s">
        <v>8478</v>
      </c>
      <c r="O1176" s="7" t="s">
        <v>11111</v>
      </c>
      <c r="P1176" s="7" t="s">
        <v>3843</v>
      </c>
      <c r="Q1176" s="7">
        <v>1.0</v>
      </c>
    </row>
    <row r="1177">
      <c r="A1177" s="7" t="s">
        <v>11112</v>
      </c>
      <c r="B1177" s="7">
        <v>2300526.0</v>
      </c>
      <c r="C1177" s="7" t="s">
        <v>11113</v>
      </c>
      <c r="D1177" s="7" t="s">
        <v>11114</v>
      </c>
      <c r="E1177" s="7" t="s">
        <v>11115</v>
      </c>
      <c r="F1177" s="7" t="s">
        <v>11116</v>
      </c>
      <c r="G1177" s="7" t="s">
        <v>11117</v>
      </c>
      <c r="H1177" s="7" t="s">
        <v>11118</v>
      </c>
      <c r="I1177" s="119">
        <v>45292.0</v>
      </c>
      <c r="K1177" s="7" t="s">
        <v>419</v>
      </c>
      <c r="L1177" s="7" t="s">
        <v>991</v>
      </c>
      <c r="M1177" s="7" t="s">
        <v>3531</v>
      </c>
      <c r="N1177" s="7" t="s">
        <v>8503</v>
      </c>
      <c r="O1177" s="7" t="s">
        <v>8504</v>
      </c>
      <c r="P1177" s="7" t="s">
        <v>3493</v>
      </c>
      <c r="Q1177" s="7">
        <v>1.0</v>
      </c>
    </row>
    <row r="1178">
      <c r="A1178" s="7" t="s">
        <v>11119</v>
      </c>
      <c r="B1178" s="7">
        <v>2200899.0</v>
      </c>
      <c r="C1178" s="7" t="s">
        <v>11120</v>
      </c>
      <c r="D1178" s="7" t="s">
        <v>7508</v>
      </c>
      <c r="E1178" s="7" t="s">
        <v>11121</v>
      </c>
      <c r="F1178" s="7" t="s">
        <v>9094</v>
      </c>
      <c r="G1178" s="7" t="s">
        <v>11122</v>
      </c>
      <c r="H1178" s="7" t="s">
        <v>11123</v>
      </c>
      <c r="I1178" s="119">
        <v>45292.0</v>
      </c>
      <c r="K1178" s="7" t="s">
        <v>419</v>
      </c>
      <c r="L1178" s="7" t="s">
        <v>991</v>
      </c>
      <c r="M1178" s="7" t="s">
        <v>3501</v>
      </c>
      <c r="N1178" s="7" t="s">
        <v>4587</v>
      </c>
      <c r="O1178" s="7" t="s">
        <v>4588</v>
      </c>
      <c r="P1178" s="7" t="s">
        <v>3894</v>
      </c>
      <c r="Q1178" s="7" t="s">
        <v>3523</v>
      </c>
    </row>
    <row r="1179">
      <c r="A1179" s="7" t="s">
        <v>11124</v>
      </c>
      <c r="B1179" s="7">
        <v>12318.0</v>
      </c>
      <c r="C1179" s="7" t="s">
        <v>11125</v>
      </c>
      <c r="D1179" s="7" t="s">
        <v>6749</v>
      </c>
      <c r="E1179" s="7" t="s">
        <v>11126</v>
      </c>
      <c r="F1179" s="7" t="s">
        <v>6750</v>
      </c>
      <c r="G1179" s="7" t="s">
        <v>11127</v>
      </c>
      <c r="H1179" s="7" t="s">
        <v>11128</v>
      </c>
      <c r="I1179" s="119">
        <v>45292.0</v>
      </c>
      <c r="K1179" s="7" t="s">
        <v>419</v>
      </c>
      <c r="L1179" s="7" t="s">
        <v>991</v>
      </c>
      <c r="M1179" s="7" t="s">
        <v>3583</v>
      </c>
      <c r="N1179" s="7" t="s">
        <v>4265</v>
      </c>
      <c r="O1179" s="7" t="s">
        <v>4266</v>
      </c>
      <c r="P1179" s="7" t="s">
        <v>3493</v>
      </c>
      <c r="Q1179" s="7">
        <v>1.0</v>
      </c>
    </row>
    <row r="1180">
      <c r="A1180" s="7" t="s">
        <v>11129</v>
      </c>
      <c r="B1180" s="7">
        <v>2200187.0</v>
      </c>
      <c r="C1180" s="7" t="s">
        <v>11130</v>
      </c>
      <c r="D1180" s="7" t="s">
        <v>11131</v>
      </c>
      <c r="E1180" s="7" t="s">
        <v>11132</v>
      </c>
      <c r="F1180" s="7" t="s">
        <v>6245</v>
      </c>
      <c r="G1180" s="7" t="s">
        <v>11133</v>
      </c>
      <c r="H1180" s="7" t="s">
        <v>11134</v>
      </c>
      <c r="I1180" s="119">
        <v>45292.0</v>
      </c>
      <c r="K1180" s="7" t="s">
        <v>419</v>
      </c>
      <c r="L1180" s="7" t="s">
        <v>991</v>
      </c>
      <c r="M1180" s="7" t="s">
        <v>3501</v>
      </c>
      <c r="N1180" s="7" t="s">
        <v>10214</v>
      </c>
      <c r="O1180" s="7" t="s">
        <v>10215</v>
      </c>
      <c r="P1180" s="7" t="s">
        <v>3493</v>
      </c>
      <c r="Q1180" s="7">
        <v>1.0</v>
      </c>
    </row>
    <row r="1181">
      <c r="A1181" s="7" t="s">
        <v>11135</v>
      </c>
      <c r="B1181" s="7">
        <v>10023.0</v>
      </c>
      <c r="C1181" s="7" t="s">
        <v>11136</v>
      </c>
      <c r="D1181" s="7" t="s">
        <v>11137</v>
      </c>
      <c r="E1181" s="7" t="s">
        <v>11138</v>
      </c>
      <c r="F1181" s="7" t="s">
        <v>6335</v>
      </c>
      <c r="G1181" s="7" t="s">
        <v>11139</v>
      </c>
      <c r="H1181" s="7" t="s">
        <v>11140</v>
      </c>
      <c r="I1181" s="119">
        <v>45292.0</v>
      </c>
      <c r="J1181" s="7" t="s">
        <v>4216</v>
      </c>
      <c r="K1181" s="7" t="s">
        <v>419</v>
      </c>
      <c r="L1181" s="7" t="s">
        <v>991</v>
      </c>
      <c r="M1181" s="7" t="s">
        <v>3501</v>
      </c>
      <c r="N1181" s="7" t="s">
        <v>4127</v>
      </c>
      <c r="O1181" s="7" t="s">
        <v>4128</v>
      </c>
      <c r="P1181" s="7" t="s">
        <v>3493</v>
      </c>
      <c r="Q1181" s="7">
        <v>1.0</v>
      </c>
    </row>
    <row r="1182">
      <c r="A1182" s="7" t="s">
        <v>11141</v>
      </c>
      <c r="B1182" s="7">
        <v>13105.0</v>
      </c>
      <c r="C1182" s="7" t="s">
        <v>11136</v>
      </c>
      <c r="D1182" s="7" t="s">
        <v>5614</v>
      </c>
      <c r="E1182" s="7" t="s">
        <v>11138</v>
      </c>
      <c r="F1182" s="7" t="s">
        <v>3656</v>
      </c>
      <c r="G1182" s="7" t="s">
        <v>11142</v>
      </c>
      <c r="H1182" s="7" t="s">
        <v>11143</v>
      </c>
      <c r="I1182" s="119">
        <v>45292.0</v>
      </c>
      <c r="K1182" s="7" t="s">
        <v>419</v>
      </c>
      <c r="L1182" s="7" t="s">
        <v>991</v>
      </c>
      <c r="M1182" s="7" t="s">
        <v>3531</v>
      </c>
      <c r="N1182" s="7" t="s">
        <v>9953</v>
      </c>
      <c r="O1182" s="7" t="s">
        <v>9954</v>
      </c>
      <c r="P1182" s="7" t="s">
        <v>3493</v>
      </c>
      <c r="Q1182" s="7">
        <v>1.0</v>
      </c>
    </row>
    <row r="1183">
      <c r="A1183" s="7" t="s">
        <v>11144</v>
      </c>
      <c r="B1183" s="7">
        <v>14223.0</v>
      </c>
      <c r="C1183" s="7" t="s">
        <v>11145</v>
      </c>
      <c r="D1183" s="7" t="s">
        <v>11146</v>
      </c>
      <c r="E1183" s="7" t="s">
        <v>11147</v>
      </c>
      <c r="F1183" s="7" t="s">
        <v>4213</v>
      </c>
      <c r="G1183" s="7" t="s">
        <v>11148</v>
      </c>
      <c r="H1183" s="7" t="s">
        <v>11149</v>
      </c>
      <c r="I1183" s="119">
        <v>45292.0</v>
      </c>
      <c r="K1183" s="7" t="s">
        <v>3632</v>
      </c>
      <c r="L1183" s="7" t="s">
        <v>991</v>
      </c>
      <c r="M1183" s="7" t="s">
        <v>3531</v>
      </c>
      <c r="N1183" s="7" t="s">
        <v>4112</v>
      </c>
      <c r="O1183" s="7" t="s">
        <v>11150</v>
      </c>
      <c r="P1183" s="7" t="s">
        <v>3493</v>
      </c>
      <c r="Q1183" s="7">
        <v>1.0</v>
      </c>
    </row>
    <row r="1184">
      <c r="A1184" s="7" t="s">
        <v>2038</v>
      </c>
      <c r="B1184" s="7">
        <v>2200399.0</v>
      </c>
      <c r="C1184" s="7" t="s">
        <v>11145</v>
      </c>
      <c r="D1184" s="7" t="s">
        <v>11151</v>
      </c>
      <c r="E1184" s="7" t="s">
        <v>11147</v>
      </c>
      <c r="F1184" s="7" t="s">
        <v>4084</v>
      </c>
      <c r="G1184" s="7" t="s">
        <v>11152</v>
      </c>
      <c r="H1184" s="7" t="s">
        <v>11153</v>
      </c>
      <c r="I1184" s="119">
        <v>45292.0</v>
      </c>
      <c r="K1184" s="7" t="s">
        <v>419</v>
      </c>
      <c r="L1184" s="7" t="s">
        <v>991</v>
      </c>
      <c r="M1184" s="7" t="s">
        <v>3501</v>
      </c>
      <c r="N1184" s="7" t="s">
        <v>11154</v>
      </c>
      <c r="O1184" s="7" t="s">
        <v>11155</v>
      </c>
      <c r="P1184" s="7" t="s">
        <v>11156</v>
      </c>
      <c r="Q1184" s="7" t="s">
        <v>3514</v>
      </c>
    </row>
    <row r="1185">
      <c r="A1185" s="7" t="s">
        <v>11157</v>
      </c>
      <c r="B1185" s="7">
        <v>13166.0</v>
      </c>
      <c r="C1185" s="7" t="s">
        <v>11145</v>
      </c>
      <c r="D1185" s="7" t="s">
        <v>11158</v>
      </c>
      <c r="E1185" s="7" t="s">
        <v>11147</v>
      </c>
      <c r="F1185" s="7" t="s">
        <v>7477</v>
      </c>
      <c r="G1185" s="7" t="s">
        <v>11159</v>
      </c>
      <c r="H1185" s="7" t="s">
        <v>11160</v>
      </c>
      <c r="I1185" s="119">
        <v>45292.0</v>
      </c>
      <c r="K1185" s="7" t="s">
        <v>9317</v>
      </c>
      <c r="L1185" s="7" t="s">
        <v>9318</v>
      </c>
      <c r="M1185" s="7" t="s">
        <v>9319</v>
      </c>
      <c r="N1185" s="7" t="s">
        <v>7869</v>
      </c>
      <c r="O1185" s="7" t="s">
        <v>11161</v>
      </c>
      <c r="P1185" s="7" t="s">
        <v>4154</v>
      </c>
      <c r="Q1185" s="7" t="s">
        <v>3566</v>
      </c>
    </row>
    <row r="1186">
      <c r="A1186" s="7" t="s">
        <v>11162</v>
      </c>
      <c r="B1186" s="7">
        <v>2300709.0</v>
      </c>
      <c r="C1186" s="7" t="s">
        <v>11163</v>
      </c>
      <c r="D1186" s="7" t="s">
        <v>4286</v>
      </c>
      <c r="E1186" s="7" t="s">
        <v>6271</v>
      </c>
      <c r="F1186" s="7" t="s">
        <v>4287</v>
      </c>
      <c r="G1186" s="7" t="s">
        <v>11164</v>
      </c>
      <c r="H1186" s="7" t="s">
        <v>11165</v>
      </c>
      <c r="I1186" s="119">
        <v>45292.0</v>
      </c>
      <c r="K1186" s="7" t="s">
        <v>419</v>
      </c>
      <c r="L1186" s="7" t="s">
        <v>991</v>
      </c>
      <c r="M1186" s="7" t="s">
        <v>3490</v>
      </c>
      <c r="N1186" s="7" t="s">
        <v>7662</v>
      </c>
      <c r="O1186" s="7" t="s">
        <v>7663</v>
      </c>
      <c r="P1186" s="7" t="s">
        <v>3493</v>
      </c>
      <c r="Q1186" s="7">
        <v>1.0</v>
      </c>
    </row>
    <row r="1187">
      <c r="A1187" s="7" t="s">
        <v>11166</v>
      </c>
      <c r="B1187" s="7">
        <v>2300139.0</v>
      </c>
      <c r="C1187" s="7" t="s">
        <v>11167</v>
      </c>
      <c r="D1187" s="7" t="s">
        <v>11168</v>
      </c>
      <c r="E1187" s="7" t="s">
        <v>11169</v>
      </c>
      <c r="F1187" s="7" t="s">
        <v>7078</v>
      </c>
      <c r="G1187" s="7" t="s">
        <v>11170</v>
      </c>
      <c r="H1187" s="7" t="s">
        <v>11171</v>
      </c>
      <c r="I1187" s="119">
        <v>45292.0</v>
      </c>
      <c r="K1187" s="7" t="s">
        <v>419</v>
      </c>
      <c r="L1187" s="7" t="s">
        <v>991</v>
      </c>
      <c r="M1187" s="7" t="s">
        <v>3501</v>
      </c>
      <c r="N1187" s="7" t="s">
        <v>5298</v>
      </c>
      <c r="O1187" s="7" t="s">
        <v>8002</v>
      </c>
      <c r="P1187" s="7" t="s">
        <v>3493</v>
      </c>
      <c r="Q1187" s="7">
        <v>1.0</v>
      </c>
    </row>
    <row r="1188">
      <c r="A1188" s="7" t="s">
        <v>11172</v>
      </c>
      <c r="B1188" s="7">
        <v>11690.0</v>
      </c>
      <c r="C1188" s="7" t="s">
        <v>11173</v>
      </c>
      <c r="D1188" s="7" t="s">
        <v>11174</v>
      </c>
      <c r="E1188" s="7" t="s">
        <v>11175</v>
      </c>
      <c r="F1188" s="7" t="s">
        <v>3674</v>
      </c>
      <c r="G1188" s="7" t="s">
        <v>11176</v>
      </c>
      <c r="H1188" s="7" t="s">
        <v>11177</v>
      </c>
      <c r="I1188" s="119">
        <v>45338.0</v>
      </c>
      <c r="K1188" s="7" t="s">
        <v>419</v>
      </c>
      <c r="L1188" s="7" t="s">
        <v>991</v>
      </c>
      <c r="M1188" s="7" t="s">
        <v>3501</v>
      </c>
      <c r="N1188" s="7" t="s">
        <v>9686</v>
      </c>
      <c r="O1188" s="7" t="s">
        <v>11178</v>
      </c>
      <c r="P1188" s="7" t="s">
        <v>4183</v>
      </c>
      <c r="Q1188" s="7" t="s">
        <v>3555</v>
      </c>
    </row>
    <row r="1189">
      <c r="A1189" s="7" t="s">
        <v>11179</v>
      </c>
      <c r="B1189" s="7">
        <v>14173.0</v>
      </c>
      <c r="C1189" s="7" t="s">
        <v>11173</v>
      </c>
      <c r="D1189" s="7" t="s">
        <v>11180</v>
      </c>
      <c r="E1189" s="7" t="s">
        <v>11175</v>
      </c>
      <c r="F1189" s="7" t="s">
        <v>4469</v>
      </c>
      <c r="G1189" s="7" t="s">
        <v>11181</v>
      </c>
      <c r="H1189" s="7" t="s">
        <v>11182</v>
      </c>
      <c r="I1189" s="119">
        <v>45292.0</v>
      </c>
      <c r="K1189" s="7" t="s">
        <v>419</v>
      </c>
      <c r="L1189" s="7" t="s">
        <v>991</v>
      </c>
      <c r="M1189" s="7" t="s">
        <v>3531</v>
      </c>
      <c r="N1189" s="7" t="s">
        <v>4796</v>
      </c>
      <c r="O1189" s="7" t="s">
        <v>11011</v>
      </c>
      <c r="P1189" s="7" t="s">
        <v>3522</v>
      </c>
      <c r="Q1189" s="7" t="s">
        <v>3523</v>
      </c>
    </row>
    <row r="1190">
      <c r="A1190" s="7" t="s">
        <v>11183</v>
      </c>
      <c r="B1190" s="7">
        <v>8210.0</v>
      </c>
      <c r="C1190" s="7" t="s">
        <v>11184</v>
      </c>
      <c r="D1190" s="7" t="s">
        <v>11185</v>
      </c>
      <c r="E1190" s="7" t="s">
        <v>11186</v>
      </c>
      <c r="F1190" s="7" t="s">
        <v>3748</v>
      </c>
      <c r="G1190" s="7" t="s">
        <v>11187</v>
      </c>
      <c r="H1190" s="7" t="s">
        <v>11188</v>
      </c>
      <c r="I1190" s="119">
        <v>45292.0</v>
      </c>
      <c r="K1190" s="7" t="s">
        <v>419</v>
      </c>
      <c r="L1190" s="7" t="s">
        <v>991</v>
      </c>
      <c r="M1190" s="7" t="s">
        <v>3531</v>
      </c>
      <c r="N1190" s="7" t="s">
        <v>4834</v>
      </c>
      <c r="O1190" s="7" t="s">
        <v>4835</v>
      </c>
      <c r="P1190" s="7" t="s">
        <v>3493</v>
      </c>
      <c r="Q1190" s="7">
        <v>1.0</v>
      </c>
    </row>
    <row r="1191">
      <c r="A1191" s="7" t="s">
        <v>11189</v>
      </c>
      <c r="B1191" s="7">
        <v>2100394.0</v>
      </c>
      <c r="C1191" s="7" t="s">
        <v>11184</v>
      </c>
      <c r="D1191" s="7" t="s">
        <v>11190</v>
      </c>
      <c r="E1191" s="7" t="s">
        <v>11186</v>
      </c>
      <c r="F1191" s="7" t="s">
        <v>6902</v>
      </c>
      <c r="G1191" s="7" t="s">
        <v>11191</v>
      </c>
      <c r="H1191" s="7" t="s">
        <v>11192</v>
      </c>
      <c r="I1191" s="119">
        <v>45292.0</v>
      </c>
      <c r="K1191" s="7" t="s">
        <v>419</v>
      </c>
      <c r="L1191" s="7" t="s">
        <v>991</v>
      </c>
      <c r="M1191" s="7" t="s">
        <v>3501</v>
      </c>
      <c r="N1191" s="7" t="s">
        <v>6487</v>
      </c>
      <c r="O1191" s="7" t="s">
        <v>11193</v>
      </c>
      <c r="P1191" s="7" t="s">
        <v>4154</v>
      </c>
      <c r="Q1191" s="7" t="s">
        <v>3555</v>
      </c>
    </row>
    <row r="1192">
      <c r="A1192" s="7" t="s">
        <v>11194</v>
      </c>
      <c r="B1192" s="7">
        <v>13056.0</v>
      </c>
      <c r="C1192" s="7" t="s">
        <v>11195</v>
      </c>
      <c r="D1192" s="7" t="s">
        <v>11196</v>
      </c>
      <c r="E1192" s="7" t="s">
        <v>11197</v>
      </c>
      <c r="F1192" s="7" t="s">
        <v>10694</v>
      </c>
      <c r="G1192" s="7" t="s">
        <v>11198</v>
      </c>
      <c r="H1192" s="7" t="s">
        <v>11199</v>
      </c>
      <c r="I1192" s="119">
        <v>45292.0</v>
      </c>
      <c r="K1192" s="7" t="s">
        <v>419</v>
      </c>
      <c r="L1192" s="7" t="s">
        <v>991</v>
      </c>
      <c r="M1192" s="7" t="s">
        <v>3501</v>
      </c>
      <c r="N1192" s="7" t="s">
        <v>8972</v>
      </c>
      <c r="O1192" s="7" t="s">
        <v>8973</v>
      </c>
      <c r="P1192" s="7" t="s">
        <v>3604</v>
      </c>
      <c r="Q1192" s="7">
        <v>1.0</v>
      </c>
    </row>
    <row r="1193">
      <c r="A1193" s="7" t="s">
        <v>11200</v>
      </c>
      <c r="B1193" s="7">
        <v>2200253.0</v>
      </c>
      <c r="C1193" s="7" t="s">
        <v>11195</v>
      </c>
      <c r="D1193" s="7" t="s">
        <v>11201</v>
      </c>
      <c r="E1193" s="7" t="s">
        <v>11197</v>
      </c>
      <c r="F1193" s="7" t="s">
        <v>11202</v>
      </c>
      <c r="G1193" s="7" t="s">
        <v>11203</v>
      </c>
      <c r="H1193" s="7" t="s">
        <v>11204</v>
      </c>
      <c r="I1193" s="119">
        <v>45292.0</v>
      </c>
      <c r="K1193" s="7" t="s">
        <v>419</v>
      </c>
      <c r="L1193" s="7" t="s">
        <v>991</v>
      </c>
      <c r="M1193" s="7" t="s">
        <v>3501</v>
      </c>
      <c r="N1193" s="7" t="s">
        <v>4152</v>
      </c>
      <c r="O1193" s="7" t="s">
        <v>4153</v>
      </c>
      <c r="P1193" s="7" t="s">
        <v>4154</v>
      </c>
      <c r="Q1193" s="7" t="s">
        <v>4155</v>
      </c>
    </row>
    <row r="1194">
      <c r="A1194" s="7" t="s">
        <v>11205</v>
      </c>
      <c r="B1194" s="7">
        <v>13742.0</v>
      </c>
      <c r="C1194" s="7" t="s">
        <v>11195</v>
      </c>
      <c r="D1194" s="7" t="s">
        <v>10460</v>
      </c>
      <c r="E1194" s="7" t="s">
        <v>11197</v>
      </c>
      <c r="F1194" s="7" t="s">
        <v>4751</v>
      </c>
      <c r="G1194" s="7" t="s">
        <v>11206</v>
      </c>
      <c r="H1194" s="7" t="s">
        <v>11207</v>
      </c>
      <c r="I1194" s="119">
        <v>45292.0</v>
      </c>
      <c r="K1194" s="7" t="s">
        <v>419</v>
      </c>
      <c r="L1194" s="7" t="s">
        <v>991</v>
      </c>
      <c r="M1194" s="7" t="s">
        <v>3531</v>
      </c>
      <c r="N1194" s="7" t="s">
        <v>9262</v>
      </c>
      <c r="O1194" s="7" t="s">
        <v>11208</v>
      </c>
      <c r="P1194" s="7" t="s">
        <v>3522</v>
      </c>
      <c r="Q1194" s="7" t="s">
        <v>3523</v>
      </c>
    </row>
    <row r="1195">
      <c r="A1195" s="7" t="s">
        <v>11209</v>
      </c>
      <c r="B1195" s="7">
        <v>2200231.0</v>
      </c>
      <c r="C1195" s="7" t="s">
        <v>11195</v>
      </c>
      <c r="D1195" s="7" t="s">
        <v>11210</v>
      </c>
      <c r="E1195" s="7" t="s">
        <v>11197</v>
      </c>
      <c r="F1195" s="7" t="s">
        <v>4917</v>
      </c>
      <c r="G1195" s="7" t="s">
        <v>11211</v>
      </c>
      <c r="H1195" s="7" t="s">
        <v>11212</v>
      </c>
      <c r="I1195" s="119">
        <v>45292.0</v>
      </c>
      <c r="K1195" s="7" t="s">
        <v>419</v>
      </c>
      <c r="L1195" s="7" t="s">
        <v>991</v>
      </c>
      <c r="M1195" s="7" t="s">
        <v>3501</v>
      </c>
      <c r="N1195" s="7" t="s">
        <v>9397</v>
      </c>
      <c r="O1195" s="7" t="s">
        <v>9398</v>
      </c>
      <c r="P1195" s="7" t="s">
        <v>3785</v>
      </c>
      <c r="Q1195" s="7" t="s">
        <v>3523</v>
      </c>
    </row>
    <row r="1196">
      <c r="A1196" s="7" t="s">
        <v>11213</v>
      </c>
      <c r="B1196" s="7">
        <v>1109.0</v>
      </c>
      <c r="C1196" s="7" t="s">
        <v>11214</v>
      </c>
      <c r="D1196" s="7" t="s">
        <v>11215</v>
      </c>
      <c r="E1196" s="7" t="s">
        <v>11216</v>
      </c>
      <c r="F1196" s="7" t="s">
        <v>5860</v>
      </c>
      <c r="G1196" s="7" t="s">
        <v>11217</v>
      </c>
      <c r="H1196" s="7" t="s">
        <v>11218</v>
      </c>
      <c r="I1196" s="119">
        <v>45292.0</v>
      </c>
      <c r="K1196" s="7" t="s">
        <v>419</v>
      </c>
      <c r="L1196" s="7" t="s">
        <v>991</v>
      </c>
      <c r="M1196" s="7" t="s">
        <v>3501</v>
      </c>
      <c r="N1196" s="7" t="s">
        <v>4703</v>
      </c>
      <c r="O1196" s="7" t="s">
        <v>4704</v>
      </c>
      <c r="P1196" s="7" t="s">
        <v>3493</v>
      </c>
      <c r="Q1196" s="7">
        <v>1.0</v>
      </c>
    </row>
    <row r="1197">
      <c r="A1197" s="7" t="s">
        <v>11219</v>
      </c>
      <c r="B1197" s="7">
        <v>2100661.0</v>
      </c>
      <c r="C1197" s="7" t="s">
        <v>11220</v>
      </c>
      <c r="D1197" s="7" t="s">
        <v>11221</v>
      </c>
      <c r="E1197" s="7" t="s">
        <v>11222</v>
      </c>
      <c r="F1197" s="7" t="s">
        <v>11223</v>
      </c>
      <c r="G1197" s="7" t="s">
        <v>11224</v>
      </c>
      <c r="H1197" s="7" t="s">
        <v>11225</v>
      </c>
      <c r="I1197" s="119">
        <v>45292.0</v>
      </c>
      <c r="K1197" s="7" t="s">
        <v>419</v>
      </c>
      <c r="L1197" s="7" t="s">
        <v>991</v>
      </c>
      <c r="M1197" s="7" t="s">
        <v>3501</v>
      </c>
      <c r="N1197" s="7" t="s">
        <v>7178</v>
      </c>
      <c r="O1197" s="7" t="s">
        <v>7179</v>
      </c>
      <c r="P1197" s="7" t="s">
        <v>3493</v>
      </c>
      <c r="Q1197" s="7">
        <v>1.0</v>
      </c>
    </row>
    <row r="1198">
      <c r="A1198" s="7" t="s">
        <v>11226</v>
      </c>
      <c r="B1198" s="7">
        <v>13784.0</v>
      </c>
      <c r="C1198" s="7" t="s">
        <v>11220</v>
      </c>
      <c r="D1198" s="7" t="s">
        <v>11227</v>
      </c>
      <c r="E1198" s="7" t="s">
        <v>11222</v>
      </c>
      <c r="F1198" s="7" t="s">
        <v>11228</v>
      </c>
      <c r="G1198" s="7" t="s">
        <v>11229</v>
      </c>
      <c r="H1198" s="7" t="s">
        <v>11230</v>
      </c>
      <c r="I1198" s="119">
        <v>45292.0</v>
      </c>
      <c r="J1198" s="7" t="s">
        <v>4216</v>
      </c>
      <c r="K1198" s="7" t="s">
        <v>419</v>
      </c>
      <c r="L1198" s="7" t="s">
        <v>991</v>
      </c>
      <c r="M1198" s="7" t="s">
        <v>3501</v>
      </c>
      <c r="N1198" s="7" t="s">
        <v>4168</v>
      </c>
      <c r="O1198" s="7" t="s">
        <v>4169</v>
      </c>
      <c r="P1198" s="7" t="s">
        <v>3493</v>
      </c>
      <c r="Q1198" s="7">
        <v>1.0</v>
      </c>
    </row>
    <row r="1199">
      <c r="A1199" s="7" t="s">
        <v>11231</v>
      </c>
      <c r="B1199" s="7">
        <v>2300807.0</v>
      </c>
      <c r="C1199" s="7" t="s">
        <v>11232</v>
      </c>
      <c r="D1199" s="7" t="s">
        <v>11233</v>
      </c>
      <c r="E1199" s="7" t="s">
        <v>11234</v>
      </c>
      <c r="F1199" s="7" t="s">
        <v>11235</v>
      </c>
      <c r="G1199" s="7" t="s">
        <v>11236</v>
      </c>
      <c r="H1199" s="7" t="s">
        <v>11237</v>
      </c>
      <c r="I1199" s="119">
        <v>45292.0</v>
      </c>
      <c r="K1199" s="7" t="s">
        <v>419</v>
      </c>
      <c r="L1199" s="7" t="s">
        <v>991</v>
      </c>
      <c r="M1199" s="7" t="s">
        <v>3583</v>
      </c>
      <c r="N1199" s="7" t="s">
        <v>8044</v>
      </c>
      <c r="O1199" s="7" t="s">
        <v>11238</v>
      </c>
      <c r="P1199" s="7" t="s">
        <v>4551</v>
      </c>
      <c r="Q1199" s="7" t="s">
        <v>4552</v>
      </c>
    </row>
    <row r="1200">
      <c r="A1200" s="7" t="s">
        <v>11239</v>
      </c>
      <c r="B1200" s="7">
        <v>2300178.0</v>
      </c>
      <c r="C1200" s="7" t="s">
        <v>11240</v>
      </c>
      <c r="D1200" s="7" t="s">
        <v>7266</v>
      </c>
      <c r="E1200" s="7" t="s">
        <v>11241</v>
      </c>
      <c r="F1200" s="7" t="s">
        <v>7266</v>
      </c>
      <c r="G1200" s="7" t="s">
        <v>11242</v>
      </c>
      <c r="H1200" s="7" t="s">
        <v>11243</v>
      </c>
      <c r="I1200" s="119">
        <v>45292.0</v>
      </c>
      <c r="K1200" s="7" t="s">
        <v>4042</v>
      </c>
      <c r="L1200" s="7" t="s">
        <v>991</v>
      </c>
      <c r="M1200" s="7" t="s">
        <v>3501</v>
      </c>
      <c r="N1200" s="7" t="s">
        <v>4043</v>
      </c>
      <c r="O1200" s="7" t="s">
        <v>4044</v>
      </c>
      <c r="P1200" s="7" t="s">
        <v>3493</v>
      </c>
      <c r="Q1200" s="7">
        <v>1.0</v>
      </c>
    </row>
    <row r="1201">
      <c r="A1201" s="7" t="s">
        <v>11244</v>
      </c>
      <c r="B1201" s="7">
        <v>2300784.0</v>
      </c>
      <c r="C1201" s="7" t="s">
        <v>11245</v>
      </c>
      <c r="D1201" s="7" t="s">
        <v>11246</v>
      </c>
      <c r="E1201" s="7" t="s">
        <v>11247</v>
      </c>
      <c r="F1201" s="7" t="s">
        <v>11246</v>
      </c>
      <c r="G1201" s="7" t="s">
        <v>11248</v>
      </c>
      <c r="H1201" s="7" t="s">
        <v>11249</v>
      </c>
      <c r="I1201" s="119">
        <v>45292.0</v>
      </c>
      <c r="K1201" s="7" t="s">
        <v>3642</v>
      </c>
      <c r="L1201" s="7" t="s">
        <v>991</v>
      </c>
      <c r="M1201" s="7" t="s">
        <v>3501</v>
      </c>
      <c r="N1201" s="7" t="s">
        <v>3643</v>
      </c>
      <c r="O1201" s="7" t="s">
        <v>3644</v>
      </c>
      <c r="P1201" s="7" t="s">
        <v>3493</v>
      </c>
      <c r="Q1201" s="7">
        <v>1.0</v>
      </c>
    </row>
    <row r="1202">
      <c r="A1202" s="7" t="s">
        <v>11250</v>
      </c>
      <c r="B1202" s="7">
        <v>13507.0</v>
      </c>
      <c r="C1202" s="7" t="s">
        <v>11251</v>
      </c>
      <c r="D1202" s="7" t="s">
        <v>11252</v>
      </c>
      <c r="E1202" s="7" t="s">
        <v>11253</v>
      </c>
      <c r="F1202" s="7" t="s">
        <v>11254</v>
      </c>
      <c r="G1202" s="7" t="s">
        <v>11255</v>
      </c>
      <c r="H1202" s="7" t="s">
        <v>11256</v>
      </c>
      <c r="I1202" s="119">
        <v>45292.0</v>
      </c>
      <c r="J1202" s="7" t="s">
        <v>3929</v>
      </c>
      <c r="K1202" s="7" t="s">
        <v>419</v>
      </c>
      <c r="L1202" s="7" t="s">
        <v>991</v>
      </c>
      <c r="M1202" s="7" t="s">
        <v>3501</v>
      </c>
      <c r="N1202" s="7" t="s">
        <v>6896</v>
      </c>
      <c r="O1202" s="7" t="s">
        <v>6897</v>
      </c>
      <c r="P1202" s="7" t="s">
        <v>3493</v>
      </c>
      <c r="Q1202" s="7">
        <v>1.0</v>
      </c>
    </row>
    <row r="1203">
      <c r="A1203" s="7" t="s">
        <v>11257</v>
      </c>
      <c r="B1203" s="7">
        <v>11005.0</v>
      </c>
      <c r="C1203" s="7" t="s">
        <v>11258</v>
      </c>
      <c r="D1203" s="7" t="s">
        <v>11259</v>
      </c>
      <c r="E1203" s="7" t="s">
        <v>11260</v>
      </c>
      <c r="F1203" s="7" t="s">
        <v>11261</v>
      </c>
      <c r="G1203" s="7" t="s">
        <v>11262</v>
      </c>
      <c r="H1203" s="7" t="s">
        <v>11263</v>
      </c>
      <c r="I1203" s="119">
        <v>45292.0</v>
      </c>
      <c r="K1203" s="7" t="s">
        <v>419</v>
      </c>
      <c r="L1203" s="7" t="s">
        <v>991</v>
      </c>
      <c r="M1203" s="7" t="s">
        <v>3501</v>
      </c>
      <c r="N1203" s="7" t="s">
        <v>5461</v>
      </c>
      <c r="O1203" s="7" t="s">
        <v>5462</v>
      </c>
      <c r="P1203" s="7" t="s">
        <v>3493</v>
      </c>
      <c r="Q1203" s="7">
        <v>1.0</v>
      </c>
    </row>
    <row r="1204">
      <c r="A1204" s="7" t="s">
        <v>11264</v>
      </c>
      <c r="B1204" s="7">
        <v>2100656.0</v>
      </c>
      <c r="C1204" s="7" t="s">
        <v>11265</v>
      </c>
      <c r="D1204" s="7" t="s">
        <v>11266</v>
      </c>
      <c r="E1204" s="7" t="s">
        <v>11267</v>
      </c>
      <c r="F1204" s="7" t="s">
        <v>4751</v>
      </c>
      <c r="G1204" s="7" t="s">
        <v>11268</v>
      </c>
      <c r="H1204" s="7" t="s">
        <v>11269</v>
      </c>
      <c r="I1204" s="119">
        <v>45292.0</v>
      </c>
      <c r="K1204" s="7" t="s">
        <v>419</v>
      </c>
      <c r="L1204" s="7" t="s">
        <v>991</v>
      </c>
      <c r="M1204" s="7" t="s">
        <v>3501</v>
      </c>
      <c r="N1204" s="7" t="s">
        <v>8379</v>
      </c>
      <c r="O1204" s="7" t="s">
        <v>11270</v>
      </c>
      <c r="P1204" s="7" t="s">
        <v>3522</v>
      </c>
      <c r="Q1204" s="7" t="s">
        <v>3523</v>
      </c>
    </row>
    <row r="1205">
      <c r="A1205" s="7" t="s">
        <v>11271</v>
      </c>
      <c r="B1205" s="7">
        <v>13034.0</v>
      </c>
      <c r="C1205" s="7" t="s">
        <v>11265</v>
      </c>
      <c r="D1205" s="7" t="s">
        <v>11272</v>
      </c>
      <c r="E1205" s="7" t="s">
        <v>11267</v>
      </c>
      <c r="F1205" s="7" t="s">
        <v>3649</v>
      </c>
      <c r="G1205" s="7" t="s">
        <v>11273</v>
      </c>
      <c r="H1205" s="7" t="s">
        <v>11274</v>
      </c>
      <c r="I1205" s="119">
        <v>45292.0</v>
      </c>
      <c r="K1205" s="7" t="s">
        <v>419</v>
      </c>
      <c r="L1205" s="7" t="s">
        <v>991</v>
      </c>
      <c r="M1205" s="7" t="s">
        <v>4644</v>
      </c>
      <c r="N1205" s="7" t="s">
        <v>4906</v>
      </c>
      <c r="O1205" s="7" t="s">
        <v>4907</v>
      </c>
      <c r="P1205" s="7" t="s">
        <v>424</v>
      </c>
      <c r="Q1205" s="7">
        <v>1.0</v>
      </c>
    </row>
    <row r="1206">
      <c r="A1206" s="7" t="s">
        <v>11275</v>
      </c>
      <c r="B1206" s="7">
        <v>2300218.0</v>
      </c>
      <c r="C1206" s="7" t="s">
        <v>11276</v>
      </c>
      <c r="D1206" s="7" t="s">
        <v>11277</v>
      </c>
      <c r="E1206" s="7" t="s">
        <v>11278</v>
      </c>
      <c r="F1206" s="7" t="s">
        <v>11279</v>
      </c>
      <c r="G1206" s="7" t="s">
        <v>11280</v>
      </c>
      <c r="H1206" s="7" t="s">
        <v>11281</v>
      </c>
      <c r="I1206" s="119">
        <v>45292.0</v>
      </c>
      <c r="K1206" s="7" t="s">
        <v>419</v>
      </c>
      <c r="L1206" s="7" t="s">
        <v>991</v>
      </c>
      <c r="M1206" s="7" t="s">
        <v>3501</v>
      </c>
      <c r="N1206" s="7" t="s">
        <v>9255</v>
      </c>
      <c r="O1206" s="7" t="s">
        <v>9256</v>
      </c>
      <c r="P1206" s="7" t="s">
        <v>3785</v>
      </c>
      <c r="Q1206" s="7" t="s">
        <v>3523</v>
      </c>
    </row>
    <row r="1207">
      <c r="A1207" s="7" t="s">
        <v>11282</v>
      </c>
      <c r="B1207" s="7">
        <v>14045.0</v>
      </c>
      <c r="C1207" s="7" t="s">
        <v>11276</v>
      </c>
      <c r="D1207" s="7" t="s">
        <v>7721</v>
      </c>
      <c r="E1207" s="7" t="s">
        <v>11278</v>
      </c>
      <c r="F1207" s="7" t="s">
        <v>4751</v>
      </c>
      <c r="G1207" s="7" t="s">
        <v>11283</v>
      </c>
      <c r="H1207" s="7" t="s">
        <v>11284</v>
      </c>
      <c r="I1207" s="119">
        <v>45292.0</v>
      </c>
      <c r="K1207" s="7" t="s">
        <v>419</v>
      </c>
      <c r="L1207" s="7" t="s">
        <v>991</v>
      </c>
      <c r="M1207" s="7" t="s">
        <v>3501</v>
      </c>
      <c r="N1207" s="7" t="s">
        <v>11285</v>
      </c>
      <c r="O1207" s="7" t="s">
        <v>11286</v>
      </c>
      <c r="P1207" s="7" t="s">
        <v>3614</v>
      </c>
      <c r="Q1207" s="7" t="s">
        <v>3514</v>
      </c>
    </row>
    <row r="1208">
      <c r="A1208" s="7" t="s">
        <v>11287</v>
      </c>
      <c r="B1208" s="7">
        <v>12361.0</v>
      </c>
      <c r="C1208" s="7" t="s">
        <v>11288</v>
      </c>
      <c r="D1208" s="7" t="s">
        <v>11289</v>
      </c>
      <c r="E1208" s="7" t="s">
        <v>11290</v>
      </c>
      <c r="F1208" s="7" t="s">
        <v>7007</v>
      </c>
      <c r="G1208" s="7" t="s">
        <v>11291</v>
      </c>
      <c r="H1208" s="7" t="s">
        <v>11292</v>
      </c>
      <c r="I1208" s="119">
        <v>45292.0</v>
      </c>
      <c r="K1208" s="7" t="s">
        <v>3885</v>
      </c>
      <c r="L1208" s="7" t="s">
        <v>3542</v>
      </c>
      <c r="M1208" s="7" t="s">
        <v>3543</v>
      </c>
      <c r="N1208" s="7" t="s">
        <v>5253</v>
      </c>
      <c r="O1208" s="7" t="s">
        <v>5254</v>
      </c>
      <c r="P1208" s="7" t="s">
        <v>3522</v>
      </c>
      <c r="Q1208" s="7" t="s">
        <v>3514</v>
      </c>
    </row>
    <row r="1209">
      <c r="A1209" s="7" t="s">
        <v>11293</v>
      </c>
      <c r="B1209" s="7">
        <v>2200427.0</v>
      </c>
      <c r="C1209" s="7" t="s">
        <v>11294</v>
      </c>
      <c r="D1209" s="7" t="s">
        <v>11295</v>
      </c>
      <c r="E1209" s="7" t="s">
        <v>11296</v>
      </c>
      <c r="F1209" s="7" t="s">
        <v>9116</v>
      </c>
      <c r="G1209" s="7" t="s">
        <v>11297</v>
      </c>
      <c r="H1209" s="7" t="s">
        <v>11298</v>
      </c>
      <c r="I1209" s="119">
        <v>45292.0</v>
      </c>
      <c r="K1209" s="7" t="s">
        <v>419</v>
      </c>
      <c r="L1209" s="7" t="s">
        <v>991</v>
      </c>
      <c r="M1209" s="7" t="s">
        <v>3531</v>
      </c>
      <c r="N1209" s="7" t="s">
        <v>4738</v>
      </c>
      <c r="O1209" s="7" t="s">
        <v>4739</v>
      </c>
      <c r="P1209" s="7" t="s">
        <v>3493</v>
      </c>
      <c r="Q1209" s="7">
        <v>1.0</v>
      </c>
    </row>
    <row r="1210">
      <c r="A1210" s="7" t="s">
        <v>11299</v>
      </c>
      <c r="B1210" s="7">
        <v>2100393.0</v>
      </c>
      <c r="C1210" s="7" t="s">
        <v>11300</v>
      </c>
      <c r="D1210" s="7" t="s">
        <v>11301</v>
      </c>
      <c r="E1210" s="7" t="s">
        <v>11302</v>
      </c>
      <c r="F1210" s="7" t="s">
        <v>4068</v>
      </c>
      <c r="G1210" s="7" t="s">
        <v>11303</v>
      </c>
      <c r="H1210" s="7" t="s">
        <v>11304</v>
      </c>
      <c r="I1210" s="119">
        <v>45292.0</v>
      </c>
      <c r="K1210" s="7" t="s">
        <v>419</v>
      </c>
      <c r="L1210" s="7" t="s">
        <v>991</v>
      </c>
      <c r="M1210" s="7" t="s">
        <v>3501</v>
      </c>
      <c r="N1210" s="7" t="s">
        <v>11305</v>
      </c>
      <c r="O1210" s="7" t="s">
        <v>11306</v>
      </c>
      <c r="P1210" s="7" t="s">
        <v>3522</v>
      </c>
      <c r="Q1210" s="7" t="s">
        <v>3523</v>
      </c>
    </row>
    <row r="1211">
      <c r="A1211" s="7" t="s">
        <v>11307</v>
      </c>
      <c r="B1211" s="7">
        <v>13829.0</v>
      </c>
      <c r="C1211" s="7" t="s">
        <v>11308</v>
      </c>
      <c r="D1211" s="7" t="s">
        <v>11309</v>
      </c>
      <c r="E1211" s="7" t="s">
        <v>11310</v>
      </c>
      <c r="F1211" s="7" t="s">
        <v>5801</v>
      </c>
      <c r="G1211" s="7" t="s">
        <v>11311</v>
      </c>
      <c r="H1211" s="7" t="s">
        <v>11312</v>
      </c>
      <c r="I1211" s="119">
        <v>45292.0</v>
      </c>
      <c r="K1211" s="7" t="s">
        <v>419</v>
      </c>
      <c r="L1211" s="7" t="s">
        <v>991</v>
      </c>
      <c r="M1211" s="7" t="s">
        <v>3531</v>
      </c>
      <c r="N1211" s="7" t="s">
        <v>4557</v>
      </c>
      <c r="O1211" s="7" t="s">
        <v>4558</v>
      </c>
      <c r="P1211" s="7" t="s">
        <v>3493</v>
      </c>
      <c r="Q1211" s="7">
        <v>1.0</v>
      </c>
    </row>
    <row r="1212">
      <c r="A1212" s="7" t="s">
        <v>11313</v>
      </c>
      <c r="B1212" s="7">
        <v>2300779.0</v>
      </c>
      <c r="C1212" s="7" t="s">
        <v>11314</v>
      </c>
      <c r="D1212" s="7" t="s">
        <v>3854</v>
      </c>
      <c r="E1212" s="7" t="s">
        <v>11315</v>
      </c>
      <c r="F1212" s="7" t="s">
        <v>3580</v>
      </c>
      <c r="G1212" s="7" t="s">
        <v>11316</v>
      </c>
      <c r="H1212" s="7" t="s">
        <v>11317</v>
      </c>
      <c r="I1212" s="119">
        <v>45292.0</v>
      </c>
      <c r="K1212" s="7" t="s">
        <v>3642</v>
      </c>
      <c r="L1212" s="7" t="s">
        <v>991</v>
      </c>
      <c r="M1212" s="7" t="s">
        <v>3501</v>
      </c>
      <c r="N1212" s="7" t="s">
        <v>3643</v>
      </c>
      <c r="O1212" s="7" t="s">
        <v>3644</v>
      </c>
      <c r="P1212" s="7" t="s">
        <v>3493</v>
      </c>
      <c r="Q1212" s="7">
        <v>1.0</v>
      </c>
    </row>
    <row r="1213">
      <c r="A1213" s="7" t="s">
        <v>11318</v>
      </c>
      <c r="B1213" s="7">
        <v>2200637.0</v>
      </c>
      <c r="C1213" s="7" t="s">
        <v>11319</v>
      </c>
      <c r="D1213" s="7" t="s">
        <v>11320</v>
      </c>
      <c r="E1213" s="7" t="s">
        <v>11321</v>
      </c>
      <c r="F1213" s="7" t="s">
        <v>3609</v>
      </c>
      <c r="G1213" s="7" t="s">
        <v>11322</v>
      </c>
      <c r="H1213" s="7" t="s">
        <v>11323</v>
      </c>
      <c r="I1213" s="119">
        <v>45292.0</v>
      </c>
      <c r="K1213" s="7" t="s">
        <v>419</v>
      </c>
      <c r="L1213" s="7" t="s">
        <v>991</v>
      </c>
      <c r="M1213" s="7" t="s">
        <v>3501</v>
      </c>
      <c r="N1213" s="7" t="s">
        <v>11324</v>
      </c>
      <c r="O1213" s="7" t="s">
        <v>11325</v>
      </c>
      <c r="P1213" s="7" t="s">
        <v>3546</v>
      </c>
      <c r="Q1213" s="7" t="s">
        <v>3523</v>
      </c>
    </row>
    <row r="1214">
      <c r="A1214" s="7" t="s">
        <v>11326</v>
      </c>
      <c r="B1214" s="7">
        <v>12560.0</v>
      </c>
      <c r="C1214" s="7" t="s">
        <v>11327</v>
      </c>
      <c r="D1214" s="7" t="s">
        <v>11328</v>
      </c>
      <c r="E1214" s="7" t="s">
        <v>11329</v>
      </c>
      <c r="F1214" s="7" t="s">
        <v>11330</v>
      </c>
      <c r="G1214" s="7" t="s">
        <v>11331</v>
      </c>
      <c r="H1214" s="7" t="s">
        <v>11332</v>
      </c>
      <c r="I1214" s="119">
        <v>45292.0</v>
      </c>
      <c r="K1214" s="7" t="s">
        <v>3885</v>
      </c>
      <c r="L1214" s="7" t="s">
        <v>3542</v>
      </c>
      <c r="M1214" s="7" t="s">
        <v>3543</v>
      </c>
      <c r="N1214" s="7" t="s">
        <v>5253</v>
      </c>
      <c r="O1214" s="7" t="s">
        <v>5254</v>
      </c>
      <c r="P1214" s="7" t="s">
        <v>3522</v>
      </c>
      <c r="Q1214" s="7" t="s">
        <v>3514</v>
      </c>
    </row>
    <row r="1215">
      <c r="A1215" s="7" t="s">
        <v>11333</v>
      </c>
      <c r="B1215" s="7">
        <v>2100101.0</v>
      </c>
      <c r="C1215" s="7" t="s">
        <v>11334</v>
      </c>
      <c r="D1215" s="7" t="s">
        <v>11335</v>
      </c>
      <c r="E1215" s="7" t="s">
        <v>11336</v>
      </c>
      <c r="F1215" s="7" t="s">
        <v>11337</v>
      </c>
      <c r="G1215" s="7" t="s">
        <v>11338</v>
      </c>
      <c r="H1215" s="7" t="s">
        <v>11339</v>
      </c>
      <c r="I1215" s="119">
        <v>45292.0</v>
      </c>
      <c r="K1215" s="7" t="s">
        <v>419</v>
      </c>
      <c r="L1215" s="7" t="s">
        <v>991</v>
      </c>
      <c r="M1215" s="7" t="s">
        <v>3501</v>
      </c>
      <c r="N1215" s="7" t="s">
        <v>8472</v>
      </c>
      <c r="O1215" s="7" t="s">
        <v>9794</v>
      </c>
      <c r="P1215" s="7" t="s">
        <v>3493</v>
      </c>
      <c r="Q1215" s="7">
        <v>1.0</v>
      </c>
    </row>
    <row r="1216">
      <c r="A1216" s="7" t="s">
        <v>11340</v>
      </c>
      <c r="B1216" s="7">
        <v>2100321.0</v>
      </c>
      <c r="C1216" s="7" t="s">
        <v>11334</v>
      </c>
      <c r="D1216" s="7" t="s">
        <v>11341</v>
      </c>
      <c r="E1216" s="7" t="s">
        <v>11336</v>
      </c>
      <c r="F1216" s="7" t="s">
        <v>10522</v>
      </c>
      <c r="G1216" s="7" t="s">
        <v>11342</v>
      </c>
      <c r="H1216" s="7" t="s">
        <v>11343</v>
      </c>
      <c r="I1216" s="119">
        <v>45292.0</v>
      </c>
      <c r="K1216" s="7" t="s">
        <v>419</v>
      </c>
      <c r="L1216" s="7" t="s">
        <v>991</v>
      </c>
      <c r="M1216" s="7" t="s">
        <v>3501</v>
      </c>
      <c r="N1216" s="7" t="s">
        <v>11344</v>
      </c>
      <c r="O1216" s="7" t="s">
        <v>11345</v>
      </c>
      <c r="P1216" s="7" t="s">
        <v>3493</v>
      </c>
      <c r="Q1216" s="7">
        <v>1.0</v>
      </c>
    </row>
    <row r="1217">
      <c r="A1217" s="7" t="s">
        <v>11346</v>
      </c>
      <c r="B1217" s="7">
        <v>2300503.0</v>
      </c>
      <c r="C1217" s="7" t="s">
        <v>11347</v>
      </c>
      <c r="D1217" s="7" t="s">
        <v>11348</v>
      </c>
      <c r="E1217" s="7" t="s">
        <v>11349</v>
      </c>
      <c r="F1217" s="7" t="s">
        <v>11350</v>
      </c>
      <c r="G1217" s="7" t="s">
        <v>11351</v>
      </c>
      <c r="H1217" s="7" t="s">
        <v>11352</v>
      </c>
      <c r="I1217" s="119">
        <v>45292.0</v>
      </c>
      <c r="K1217" s="7" t="s">
        <v>419</v>
      </c>
      <c r="L1217" s="7" t="s">
        <v>991</v>
      </c>
      <c r="M1217" s="7" t="s">
        <v>3583</v>
      </c>
      <c r="N1217" s="7" t="s">
        <v>3920</v>
      </c>
      <c r="O1217" s="7" t="s">
        <v>3921</v>
      </c>
      <c r="P1217" s="7" t="s">
        <v>3493</v>
      </c>
      <c r="Q1217" s="7">
        <v>1.0</v>
      </c>
    </row>
    <row r="1218">
      <c r="A1218" s="7" t="s">
        <v>11353</v>
      </c>
      <c r="B1218" s="7">
        <v>12028.0</v>
      </c>
      <c r="C1218" s="7" t="s">
        <v>11354</v>
      </c>
      <c r="D1218" s="7" t="s">
        <v>11355</v>
      </c>
      <c r="E1218" s="7" t="s">
        <v>11356</v>
      </c>
      <c r="F1218" s="7" t="s">
        <v>11357</v>
      </c>
      <c r="G1218" s="7" t="s">
        <v>11358</v>
      </c>
      <c r="H1218" s="7" t="s">
        <v>11359</v>
      </c>
      <c r="I1218" s="119">
        <v>45292.0</v>
      </c>
      <c r="K1218" s="7" t="s">
        <v>419</v>
      </c>
      <c r="L1218" s="7" t="s">
        <v>991</v>
      </c>
      <c r="M1218" s="7" t="s">
        <v>3501</v>
      </c>
      <c r="N1218" s="7" t="s">
        <v>5655</v>
      </c>
      <c r="O1218" s="7" t="s">
        <v>11360</v>
      </c>
      <c r="P1218" s="7" t="s">
        <v>3522</v>
      </c>
      <c r="Q1218" s="7" t="s">
        <v>3523</v>
      </c>
    </row>
    <row r="1219">
      <c r="A1219" s="7" t="s">
        <v>1805</v>
      </c>
      <c r="B1219" s="7">
        <v>10427.0</v>
      </c>
      <c r="C1219" s="7" t="s">
        <v>11361</v>
      </c>
      <c r="D1219" s="7" t="s">
        <v>11362</v>
      </c>
      <c r="E1219" s="7" t="s">
        <v>11363</v>
      </c>
      <c r="F1219" s="7" t="s">
        <v>5155</v>
      </c>
      <c r="G1219" s="7" t="s">
        <v>11364</v>
      </c>
      <c r="H1219" s="7" t="s">
        <v>11365</v>
      </c>
      <c r="I1219" s="119">
        <v>45292.0</v>
      </c>
      <c r="K1219" s="7" t="s">
        <v>419</v>
      </c>
      <c r="L1219" s="7" t="s">
        <v>991</v>
      </c>
      <c r="M1219" s="7" t="s">
        <v>3501</v>
      </c>
      <c r="N1219" s="7" t="s">
        <v>5698</v>
      </c>
      <c r="O1219" s="7" t="s">
        <v>5699</v>
      </c>
      <c r="P1219" s="7" t="s">
        <v>3493</v>
      </c>
      <c r="Q1219" s="7">
        <v>1.0</v>
      </c>
    </row>
    <row r="1220">
      <c r="A1220" s="7" t="s">
        <v>11366</v>
      </c>
      <c r="B1220" s="7">
        <v>13660.0</v>
      </c>
      <c r="C1220" s="7" t="s">
        <v>11361</v>
      </c>
      <c r="D1220" s="7" t="s">
        <v>3812</v>
      </c>
      <c r="E1220" s="7" t="s">
        <v>11363</v>
      </c>
      <c r="F1220" s="7" t="s">
        <v>3609</v>
      </c>
      <c r="G1220" s="7" t="s">
        <v>11367</v>
      </c>
      <c r="H1220" s="7" t="s">
        <v>11368</v>
      </c>
      <c r="I1220" s="119">
        <v>45292.0</v>
      </c>
      <c r="K1220" s="7" t="s">
        <v>3632</v>
      </c>
      <c r="L1220" s="7" t="s">
        <v>991</v>
      </c>
      <c r="M1220" s="7" t="s">
        <v>3501</v>
      </c>
      <c r="N1220" s="7" t="s">
        <v>3633</v>
      </c>
      <c r="O1220" s="7" t="s">
        <v>3634</v>
      </c>
      <c r="P1220" s="7" t="s">
        <v>3522</v>
      </c>
      <c r="Q1220" s="7" t="s">
        <v>3514</v>
      </c>
    </row>
    <row r="1221">
      <c r="A1221" s="7" t="s">
        <v>11369</v>
      </c>
      <c r="B1221" s="7">
        <v>2200746.0</v>
      </c>
      <c r="C1221" s="7" t="s">
        <v>11361</v>
      </c>
      <c r="D1221" s="7" t="s">
        <v>11370</v>
      </c>
      <c r="E1221" s="7" t="s">
        <v>11363</v>
      </c>
      <c r="F1221" s="7" t="s">
        <v>5899</v>
      </c>
      <c r="G1221" s="7" t="s">
        <v>11371</v>
      </c>
      <c r="H1221" s="7" t="s">
        <v>11372</v>
      </c>
      <c r="I1221" s="119">
        <v>45292.0</v>
      </c>
      <c r="K1221" s="7" t="s">
        <v>419</v>
      </c>
      <c r="L1221" s="7" t="s">
        <v>991</v>
      </c>
      <c r="M1221" s="7" t="s">
        <v>3501</v>
      </c>
      <c r="N1221" s="7" t="s">
        <v>6274</v>
      </c>
      <c r="O1221" s="7" t="s">
        <v>8357</v>
      </c>
      <c r="P1221" s="7" t="s">
        <v>3843</v>
      </c>
      <c r="Q1221" s="7">
        <v>1.0</v>
      </c>
    </row>
    <row r="1222">
      <c r="A1222" s="7" t="s">
        <v>11373</v>
      </c>
      <c r="B1222" s="7">
        <v>2100056.0</v>
      </c>
      <c r="C1222" s="7" t="s">
        <v>11374</v>
      </c>
      <c r="D1222" s="7" t="s">
        <v>11375</v>
      </c>
      <c r="E1222" s="7" t="s">
        <v>11376</v>
      </c>
      <c r="F1222" s="7" t="s">
        <v>3721</v>
      </c>
      <c r="G1222" s="7" t="s">
        <v>11377</v>
      </c>
      <c r="H1222" s="7" t="s">
        <v>11378</v>
      </c>
      <c r="I1222" s="119">
        <v>45292.0</v>
      </c>
      <c r="K1222" s="7" t="s">
        <v>419</v>
      </c>
      <c r="L1222" s="7" t="s">
        <v>991</v>
      </c>
      <c r="M1222" s="7" t="s">
        <v>3501</v>
      </c>
      <c r="N1222" s="7" t="s">
        <v>4481</v>
      </c>
      <c r="O1222" s="7" t="s">
        <v>4482</v>
      </c>
      <c r="P1222" s="7" t="s">
        <v>3493</v>
      </c>
      <c r="Q1222" s="7">
        <v>1.0</v>
      </c>
    </row>
    <row r="1223">
      <c r="A1223" s="7" t="s">
        <v>11379</v>
      </c>
      <c r="B1223" s="7">
        <v>14056.0</v>
      </c>
      <c r="C1223" s="7" t="s">
        <v>11380</v>
      </c>
      <c r="D1223" s="7" t="s">
        <v>11381</v>
      </c>
      <c r="E1223" s="7" t="s">
        <v>11376</v>
      </c>
      <c r="F1223" s="7" t="s">
        <v>11382</v>
      </c>
      <c r="G1223" s="7" t="s">
        <v>11383</v>
      </c>
      <c r="H1223" s="7" t="s">
        <v>11384</v>
      </c>
      <c r="I1223" s="119">
        <v>45292.0</v>
      </c>
      <c r="K1223" s="7" t="s">
        <v>419</v>
      </c>
      <c r="L1223" s="7" t="s">
        <v>991</v>
      </c>
      <c r="M1223" s="7" t="s">
        <v>3501</v>
      </c>
      <c r="N1223" s="7" t="s">
        <v>11385</v>
      </c>
      <c r="O1223" s="7" t="s">
        <v>11386</v>
      </c>
      <c r="P1223" s="7" t="s">
        <v>8079</v>
      </c>
      <c r="Q1223" s="7" t="s">
        <v>8080</v>
      </c>
    </row>
    <row r="1224">
      <c r="A1224" s="7" t="s">
        <v>11387</v>
      </c>
      <c r="B1224" s="7">
        <v>14075.0</v>
      </c>
      <c r="C1224" s="7" t="s">
        <v>11388</v>
      </c>
      <c r="D1224" s="7" t="s">
        <v>11389</v>
      </c>
      <c r="E1224" s="7" t="s">
        <v>11390</v>
      </c>
      <c r="F1224" s="7" t="s">
        <v>11391</v>
      </c>
      <c r="G1224" s="7" t="s">
        <v>11392</v>
      </c>
      <c r="H1224" s="7" t="s">
        <v>11393</v>
      </c>
      <c r="I1224" s="119">
        <v>45292.0</v>
      </c>
      <c r="K1224" s="7" t="s">
        <v>419</v>
      </c>
      <c r="L1224" s="7" t="s">
        <v>991</v>
      </c>
      <c r="M1224" s="7" t="s">
        <v>3501</v>
      </c>
      <c r="N1224" s="7" t="s">
        <v>7343</v>
      </c>
      <c r="O1224" s="7" t="s">
        <v>7344</v>
      </c>
      <c r="P1224" s="7" t="s">
        <v>3493</v>
      </c>
      <c r="Q1224" s="7">
        <v>1.0</v>
      </c>
    </row>
    <row r="1225">
      <c r="A1225" s="7" t="s">
        <v>11394</v>
      </c>
      <c r="B1225" s="7">
        <v>11006.0</v>
      </c>
      <c r="C1225" s="7" t="s">
        <v>11395</v>
      </c>
      <c r="D1225" s="7" t="s">
        <v>10171</v>
      </c>
      <c r="E1225" s="7" t="s">
        <v>11396</v>
      </c>
      <c r="F1225" s="7" t="s">
        <v>10171</v>
      </c>
      <c r="G1225" s="7" t="s">
        <v>11397</v>
      </c>
      <c r="H1225" s="7" t="s">
        <v>11398</v>
      </c>
      <c r="I1225" s="119">
        <v>45292.0</v>
      </c>
      <c r="K1225" s="7" t="s">
        <v>419</v>
      </c>
      <c r="L1225" s="7" t="s">
        <v>991</v>
      </c>
      <c r="M1225" s="7" t="s">
        <v>3501</v>
      </c>
      <c r="N1225" s="7" t="s">
        <v>7131</v>
      </c>
      <c r="O1225" s="7" t="s">
        <v>11399</v>
      </c>
      <c r="P1225" s="7" t="s">
        <v>3522</v>
      </c>
      <c r="Q1225" s="7" t="s">
        <v>3523</v>
      </c>
    </row>
    <row r="1226">
      <c r="A1226" s="7" t="s">
        <v>11400</v>
      </c>
      <c r="B1226" s="7">
        <v>2200783.0</v>
      </c>
      <c r="C1226" s="7" t="s">
        <v>11401</v>
      </c>
      <c r="D1226" s="7" t="s">
        <v>11402</v>
      </c>
      <c r="E1226" s="7" t="s">
        <v>11403</v>
      </c>
      <c r="F1226" s="7" t="s">
        <v>11404</v>
      </c>
      <c r="G1226" s="7" t="s">
        <v>11405</v>
      </c>
      <c r="H1226" s="7" t="s">
        <v>11406</v>
      </c>
      <c r="I1226" s="119">
        <v>45292.0</v>
      </c>
      <c r="K1226" s="7" t="s">
        <v>419</v>
      </c>
      <c r="L1226" s="7" t="s">
        <v>991</v>
      </c>
      <c r="M1226" s="7" t="s">
        <v>3531</v>
      </c>
      <c r="N1226" s="7" t="s">
        <v>4256</v>
      </c>
      <c r="O1226" s="7" t="s">
        <v>4257</v>
      </c>
      <c r="P1226" s="7" t="s">
        <v>3493</v>
      </c>
      <c r="Q1226" s="7">
        <v>1.0</v>
      </c>
    </row>
    <row r="1227">
      <c r="A1227" s="7" t="s">
        <v>11407</v>
      </c>
      <c r="B1227" s="7">
        <v>10935.0</v>
      </c>
      <c r="C1227" s="7" t="s">
        <v>11408</v>
      </c>
      <c r="D1227" s="7" t="s">
        <v>11409</v>
      </c>
      <c r="E1227" s="7" t="s">
        <v>11410</v>
      </c>
      <c r="F1227" s="7" t="s">
        <v>3896</v>
      </c>
      <c r="G1227" s="7" t="s">
        <v>11411</v>
      </c>
      <c r="H1227" s="7" t="s">
        <v>11412</v>
      </c>
      <c r="I1227" s="119">
        <v>45292.0</v>
      </c>
      <c r="K1227" s="7" t="s">
        <v>419</v>
      </c>
      <c r="L1227" s="7" t="s">
        <v>991</v>
      </c>
      <c r="M1227" s="7" t="s">
        <v>3501</v>
      </c>
      <c r="N1227" s="7" t="s">
        <v>6402</v>
      </c>
      <c r="O1227" s="7" t="s">
        <v>6403</v>
      </c>
      <c r="P1227" s="7" t="s">
        <v>3493</v>
      </c>
      <c r="Q1227" s="7">
        <v>1.0</v>
      </c>
    </row>
    <row r="1228">
      <c r="A1228" s="7" t="s">
        <v>11413</v>
      </c>
      <c r="B1228" s="7">
        <v>13563.0</v>
      </c>
      <c r="C1228" s="7" t="s">
        <v>11414</v>
      </c>
      <c r="D1228" s="7" t="s">
        <v>11415</v>
      </c>
      <c r="E1228" s="7" t="s">
        <v>11416</v>
      </c>
      <c r="F1228" s="7" t="s">
        <v>4075</v>
      </c>
      <c r="G1228" s="7" t="s">
        <v>11417</v>
      </c>
      <c r="H1228" s="7" t="s">
        <v>11418</v>
      </c>
      <c r="I1228" s="119">
        <v>45292.0</v>
      </c>
      <c r="K1228" s="7" t="s">
        <v>3632</v>
      </c>
      <c r="L1228" s="7" t="s">
        <v>991</v>
      </c>
      <c r="M1228" s="7" t="s">
        <v>3501</v>
      </c>
      <c r="N1228" s="7" t="s">
        <v>11419</v>
      </c>
      <c r="O1228" s="7" t="s">
        <v>11420</v>
      </c>
      <c r="P1228" s="7" t="s">
        <v>11421</v>
      </c>
      <c r="Q1228" s="7" t="s">
        <v>3555</v>
      </c>
    </row>
    <row r="1229">
      <c r="A1229" s="7" t="s">
        <v>11422</v>
      </c>
      <c r="B1229" s="7">
        <v>873.0</v>
      </c>
      <c r="C1229" s="7" t="s">
        <v>11423</v>
      </c>
      <c r="D1229" s="7" t="s">
        <v>11424</v>
      </c>
      <c r="E1229" s="7" t="s">
        <v>11425</v>
      </c>
      <c r="F1229" s="7" t="s">
        <v>11426</v>
      </c>
      <c r="G1229" s="7" t="s">
        <v>11427</v>
      </c>
      <c r="H1229" s="7" t="s">
        <v>11428</v>
      </c>
      <c r="I1229" s="119">
        <v>45292.0</v>
      </c>
      <c r="K1229" s="7" t="s">
        <v>419</v>
      </c>
      <c r="L1229" s="7" t="s">
        <v>991</v>
      </c>
      <c r="M1229" s="7" t="s">
        <v>3501</v>
      </c>
      <c r="N1229" s="7" t="s">
        <v>11429</v>
      </c>
      <c r="O1229" s="7" t="s">
        <v>11430</v>
      </c>
      <c r="P1229" s="7" t="s">
        <v>4420</v>
      </c>
      <c r="Q1229" s="7" t="s">
        <v>3523</v>
      </c>
    </row>
    <row r="1230">
      <c r="A1230" s="7" t="s">
        <v>11431</v>
      </c>
      <c r="B1230" s="7">
        <v>11352.0</v>
      </c>
      <c r="C1230" s="7" t="s">
        <v>11432</v>
      </c>
      <c r="D1230" s="7" t="s">
        <v>11433</v>
      </c>
      <c r="E1230" s="7" t="s">
        <v>11434</v>
      </c>
      <c r="F1230" s="7" t="s">
        <v>4539</v>
      </c>
      <c r="G1230" s="7" t="s">
        <v>11435</v>
      </c>
      <c r="H1230" s="7" t="s">
        <v>11436</v>
      </c>
      <c r="I1230" s="119">
        <v>45292.0</v>
      </c>
      <c r="K1230" s="7" t="s">
        <v>419</v>
      </c>
      <c r="L1230" s="7" t="s">
        <v>991</v>
      </c>
      <c r="M1230" s="7" t="s">
        <v>3501</v>
      </c>
      <c r="N1230" s="7" t="s">
        <v>4564</v>
      </c>
      <c r="O1230" s="7" t="s">
        <v>4565</v>
      </c>
      <c r="P1230" s="7" t="s">
        <v>3493</v>
      </c>
      <c r="Q1230" s="7">
        <v>1.0</v>
      </c>
    </row>
    <row r="1231">
      <c r="A1231" s="7" t="s">
        <v>11437</v>
      </c>
      <c r="B1231" s="7">
        <v>11653.0</v>
      </c>
      <c r="C1231" s="7" t="s">
        <v>11432</v>
      </c>
      <c r="D1231" s="7" t="s">
        <v>11438</v>
      </c>
      <c r="E1231" s="7" t="s">
        <v>11434</v>
      </c>
      <c r="F1231" s="7" t="s">
        <v>4364</v>
      </c>
      <c r="G1231" s="7" t="s">
        <v>11439</v>
      </c>
      <c r="H1231" s="7" t="s">
        <v>11440</v>
      </c>
      <c r="I1231" s="119">
        <v>45292.0</v>
      </c>
      <c r="K1231" s="7" t="s">
        <v>419</v>
      </c>
      <c r="L1231" s="7" t="s">
        <v>991</v>
      </c>
      <c r="M1231" s="7" t="s">
        <v>3501</v>
      </c>
      <c r="N1231" s="7" t="s">
        <v>11441</v>
      </c>
      <c r="O1231" s="7" t="s">
        <v>11442</v>
      </c>
      <c r="P1231" s="7" t="s">
        <v>8086</v>
      </c>
      <c r="Q1231" s="7" t="s">
        <v>4973</v>
      </c>
    </row>
    <row r="1232">
      <c r="A1232" s="7" t="s">
        <v>11443</v>
      </c>
      <c r="B1232" s="7">
        <v>887.0</v>
      </c>
      <c r="C1232" s="7" t="s">
        <v>11444</v>
      </c>
      <c r="D1232" s="7" t="s">
        <v>11445</v>
      </c>
      <c r="E1232" s="7" t="s">
        <v>11446</v>
      </c>
      <c r="F1232" s="7" t="s">
        <v>10353</v>
      </c>
      <c r="G1232" s="7" t="s">
        <v>11447</v>
      </c>
      <c r="H1232" s="7" t="s">
        <v>11448</v>
      </c>
      <c r="I1232" s="119">
        <v>45292.0</v>
      </c>
      <c r="K1232" s="7" t="s">
        <v>419</v>
      </c>
      <c r="L1232" s="7" t="s">
        <v>991</v>
      </c>
      <c r="M1232" s="7" t="s">
        <v>3501</v>
      </c>
      <c r="N1232" s="7" t="s">
        <v>5304</v>
      </c>
      <c r="O1232" s="7" t="s">
        <v>11449</v>
      </c>
      <c r="P1232" s="7" t="s">
        <v>3493</v>
      </c>
      <c r="Q1232" s="7">
        <v>1.0</v>
      </c>
    </row>
    <row r="1233">
      <c r="A1233" s="7" t="s">
        <v>11450</v>
      </c>
      <c r="B1233" s="7">
        <v>2300395.0</v>
      </c>
      <c r="C1233" s="7" t="s">
        <v>11451</v>
      </c>
      <c r="D1233" s="7" t="s">
        <v>4943</v>
      </c>
      <c r="E1233" s="7" t="s">
        <v>11452</v>
      </c>
      <c r="F1233" s="7" t="s">
        <v>3792</v>
      </c>
      <c r="G1233" s="7" t="s">
        <v>11453</v>
      </c>
      <c r="H1233" s="7" t="s">
        <v>11454</v>
      </c>
      <c r="I1233" s="119">
        <v>45292.0</v>
      </c>
      <c r="K1233" s="7" t="s">
        <v>419</v>
      </c>
      <c r="L1233" s="7" t="s">
        <v>991</v>
      </c>
      <c r="M1233" s="7" t="s">
        <v>3531</v>
      </c>
      <c r="N1233" s="7" t="s">
        <v>3966</v>
      </c>
      <c r="O1233" s="7" t="s">
        <v>3967</v>
      </c>
      <c r="P1233" s="7" t="s">
        <v>3493</v>
      </c>
      <c r="Q1233" s="7">
        <v>1.0</v>
      </c>
    </row>
    <row r="1234">
      <c r="A1234" s="7" t="s">
        <v>11455</v>
      </c>
      <c r="B1234" s="7">
        <v>2300300.0</v>
      </c>
      <c r="C1234" s="7" t="s">
        <v>11456</v>
      </c>
      <c r="D1234" s="7" t="s">
        <v>11457</v>
      </c>
      <c r="E1234" s="7" t="s">
        <v>11458</v>
      </c>
      <c r="F1234" s="7" t="s">
        <v>4049</v>
      </c>
      <c r="G1234" s="7" t="s">
        <v>11459</v>
      </c>
      <c r="H1234" s="7" t="s">
        <v>11460</v>
      </c>
      <c r="I1234" s="119">
        <v>45292.0</v>
      </c>
      <c r="K1234" s="7" t="s">
        <v>419</v>
      </c>
      <c r="L1234" s="7" t="s">
        <v>991</v>
      </c>
      <c r="M1234" s="7" t="s">
        <v>3531</v>
      </c>
      <c r="N1234" s="7" t="s">
        <v>6141</v>
      </c>
      <c r="O1234" s="7" t="s">
        <v>6142</v>
      </c>
      <c r="P1234" s="7" t="s">
        <v>3493</v>
      </c>
      <c r="Q1234" s="7">
        <v>1.0</v>
      </c>
    </row>
    <row r="1235">
      <c r="A1235" s="7" t="s">
        <v>11461</v>
      </c>
      <c r="B1235" s="7">
        <v>12875.0</v>
      </c>
      <c r="C1235" s="7" t="s">
        <v>11462</v>
      </c>
      <c r="D1235" s="7" t="s">
        <v>11463</v>
      </c>
      <c r="E1235" s="7" t="s">
        <v>11464</v>
      </c>
      <c r="F1235" s="7" t="s">
        <v>8387</v>
      </c>
      <c r="G1235" s="7" t="s">
        <v>11465</v>
      </c>
      <c r="H1235" s="7" t="s">
        <v>11466</v>
      </c>
      <c r="I1235" s="119">
        <v>45292.0</v>
      </c>
      <c r="K1235" s="7" t="s">
        <v>419</v>
      </c>
      <c r="L1235" s="7" t="s">
        <v>991</v>
      </c>
      <c r="M1235" s="7" t="s">
        <v>3531</v>
      </c>
      <c r="N1235" s="7" t="s">
        <v>7883</v>
      </c>
      <c r="O1235" s="7" t="s">
        <v>7884</v>
      </c>
      <c r="P1235" s="7" t="s">
        <v>3493</v>
      </c>
      <c r="Q1235" s="7">
        <v>1.0</v>
      </c>
    </row>
    <row r="1236">
      <c r="A1236" s="7" t="s">
        <v>11467</v>
      </c>
      <c r="B1236" s="7">
        <v>2100513.0</v>
      </c>
      <c r="C1236" s="7" t="s">
        <v>11468</v>
      </c>
      <c r="D1236" s="7" t="s">
        <v>11469</v>
      </c>
      <c r="E1236" s="7" t="s">
        <v>11470</v>
      </c>
      <c r="F1236" s="7" t="s">
        <v>6262</v>
      </c>
      <c r="G1236" s="7" t="s">
        <v>11471</v>
      </c>
      <c r="H1236" s="7" t="s">
        <v>11472</v>
      </c>
      <c r="I1236" s="119">
        <v>45292.0</v>
      </c>
      <c r="K1236" s="7" t="s">
        <v>4206</v>
      </c>
      <c r="L1236" s="7" t="s">
        <v>3542</v>
      </c>
      <c r="M1236" s="7" t="s">
        <v>3543</v>
      </c>
      <c r="N1236" s="7" t="s">
        <v>4207</v>
      </c>
      <c r="O1236" s="7" t="s">
        <v>4208</v>
      </c>
      <c r="P1236" s="7" t="s">
        <v>3522</v>
      </c>
      <c r="Q1236" s="7" t="s">
        <v>3514</v>
      </c>
    </row>
    <row r="1237">
      <c r="A1237" s="7" t="s">
        <v>11473</v>
      </c>
      <c r="B1237" s="7">
        <v>10917.0</v>
      </c>
      <c r="C1237" s="7" t="s">
        <v>11468</v>
      </c>
      <c r="D1237" s="7" t="s">
        <v>11474</v>
      </c>
      <c r="E1237" s="7" t="s">
        <v>11475</v>
      </c>
      <c r="F1237" s="7" t="s">
        <v>6335</v>
      </c>
      <c r="G1237" s="7" t="s">
        <v>11476</v>
      </c>
      <c r="H1237" s="7" t="s">
        <v>11477</v>
      </c>
      <c r="I1237" s="119">
        <v>45292.0</v>
      </c>
      <c r="K1237" s="7" t="s">
        <v>419</v>
      </c>
      <c r="L1237" s="7" t="s">
        <v>991</v>
      </c>
      <c r="M1237" s="7" t="s">
        <v>3501</v>
      </c>
      <c r="N1237" s="7" t="s">
        <v>9137</v>
      </c>
      <c r="O1237" s="7" t="s">
        <v>9138</v>
      </c>
      <c r="P1237" s="7" t="s">
        <v>3843</v>
      </c>
      <c r="Q1237" s="7">
        <v>1.0</v>
      </c>
    </row>
    <row r="1238">
      <c r="A1238" s="7" t="s">
        <v>11478</v>
      </c>
      <c r="B1238" s="7">
        <v>12420.0</v>
      </c>
      <c r="C1238" s="7" t="s">
        <v>11479</v>
      </c>
      <c r="D1238" s="7" t="s">
        <v>11480</v>
      </c>
      <c r="E1238" s="7" t="s">
        <v>11481</v>
      </c>
      <c r="F1238" s="7" t="s">
        <v>7078</v>
      </c>
      <c r="G1238" s="7" t="s">
        <v>11482</v>
      </c>
      <c r="H1238" s="7" t="s">
        <v>11483</v>
      </c>
      <c r="I1238" s="119">
        <v>45292.0</v>
      </c>
      <c r="K1238" s="7" t="s">
        <v>419</v>
      </c>
      <c r="L1238" s="7" t="s">
        <v>991</v>
      </c>
      <c r="M1238" s="7" t="s">
        <v>3501</v>
      </c>
      <c r="N1238" s="7" t="s">
        <v>11484</v>
      </c>
      <c r="O1238" s="7" t="s">
        <v>11485</v>
      </c>
      <c r="P1238" s="7" t="s">
        <v>4429</v>
      </c>
      <c r="Q1238" s="7" t="s">
        <v>3555</v>
      </c>
    </row>
    <row r="1239">
      <c r="A1239" s="7" t="s">
        <v>11486</v>
      </c>
      <c r="B1239" s="7">
        <v>2200081.0</v>
      </c>
      <c r="C1239" s="7" t="s">
        <v>11487</v>
      </c>
      <c r="D1239" s="7" t="s">
        <v>11488</v>
      </c>
      <c r="E1239" s="7" t="s">
        <v>11489</v>
      </c>
      <c r="F1239" s="7" t="s">
        <v>11490</v>
      </c>
      <c r="G1239" s="7" t="s">
        <v>11491</v>
      </c>
      <c r="H1239" s="7" t="s">
        <v>11492</v>
      </c>
      <c r="I1239" s="119">
        <v>45292.0</v>
      </c>
      <c r="K1239" s="7" t="s">
        <v>419</v>
      </c>
      <c r="L1239" s="7" t="s">
        <v>991</v>
      </c>
      <c r="M1239" s="7" t="s">
        <v>3501</v>
      </c>
      <c r="N1239" s="7" t="s">
        <v>7093</v>
      </c>
      <c r="O1239" s="7" t="s">
        <v>7094</v>
      </c>
      <c r="P1239" s="7" t="s">
        <v>3493</v>
      </c>
      <c r="Q1239" s="7">
        <v>1.0</v>
      </c>
    </row>
    <row r="1240">
      <c r="A1240" s="7" t="s">
        <v>11493</v>
      </c>
      <c r="B1240" s="7">
        <v>789.0</v>
      </c>
      <c r="C1240" s="7" t="s">
        <v>11487</v>
      </c>
      <c r="D1240" s="7" t="s">
        <v>11494</v>
      </c>
      <c r="E1240" s="7" t="s">
        <v>11489</v>
      </c>
      <c r="F1240" s="7" t="s">
        <v>11495</v>
      </c>
      <c r="G1240" s="7" t="s">
        <v>11496</v>
      </c>
      <c r="H1240" s="7" t="s">
        <v>11497</v>
      </c>
      <c r="I1240" s="119">
        <v>45292.0</v>
      </c>
      <c r="K1240" s="7" t="s">
        <v>419</v>
      </c>
      <c r="L1240" s="7" t="s">
        <v>991</v>
      </c>
      <c r="M1240" s="7" t="s">
        <v>3501</v>
      </c>
      <c r="N1240" s="7" t="s">
        <v>10645</v>
      </c>
      <c r="O1240" s="7" t="s">
        <v>11498</v>
      </c>
      <c r="P1240" s="7" t="s">
        <v>3493</v>
      </c>
      <c r="Q1240" s="7">
        <v>1.0</v>
      </c>
    </row>
    <row r="1241">
      <c r="A1241" s="7" t="s">
        <v>11499</v>
      </c>
      <c r="B1241" s="7">
        <v>10414.0</v>
      </c>
      <c r="C1241" s="7" t="s">
        <v>11500</v>
      </c>
      <c r="D1241" s="7" t="s">
        <v>11501</v>
      </c>
      <c r="E1241" s="7" t="s">
        <v>11502</v>
      </c>
      <c r="F1241" s="7" t="s">
        <v>11503</v>
      </c>
      <c r="G1241" s="7" t="s">
        <v>11504</v>
      </c>
      <c r="H1241" s="7" t="s">
        <v>11505</v>
      </c>
      <c r="I1241" s="119">
        <v>45292.0</v>
      </c>
      <c r="K1241" s="7" t="s">
        <v>419</v>
      </c>
      <c r="L1241" s="7" t="s">
        <v>991</v>
      </c>
      <c r="M1241" s="7" t="s">
        <v>3501</v>
      </c>
      <c r="N1241" s="7" t="s">
        <v>4853</v>
      </c>
      <c r="O1241" s="7" t="s">
        <v>4854</v>
      </c>
      <c r="P1241" s="7" t="s">
        <v>3493</v>
      </c>
      <c r="Q1241" s="7">
        <v>1.0</v>
      </c>
    </row>
    <row r="1242">
      <c r="A1242" s="7" t="s">
        <v>11506</v>
      </c>
      <c r="B1242" s="7">
        <v>10024.0</v>
      </c>
      <c r="C1242" s="7" t="s">
        <v>11500</v>
      </c>
      <c r="D1242" s="7" t="s">
        <v>11507</v>
      </c>
      <c r="E1242" s="7" t="s">
        <v>11502</v>
      </c>
      <c r="F1242" s="7" t="s">
        <v>11508</v>
      </c>
      <c r="G1242" s="7" t="s">
        <v>11509</v>
      </c>
      <c r="H1242" s="7" t="s">
        <v>11510</v>
      </c>
      <c r="I1242" s="119">
        <v>45292.0</v>
      </c>
      <c r="K1242" s="7" t="s">
        <v>419</v>
      </c>
      <c r="L1242" s="7" t="s">
        <v>991</v>
      </c>
      <c r="M1242" s="7" t="s">
        <v>3501</v>
      </c>
      <c r="N1242" s="7" t="s">
        <v>4317</v>
      </c>
      <c r="O1242" s="7" t="s">
        <v>4318</v>
      </c>
      <c r="P1242" s="7" t="s">
        <v>4163</v>
      </c>
      <c r="Q1242" s="7" t="s">
        <v>3523</v>
      </c>
    </row>
    <row r="1243">
      <c r="A1243" s="7" t="s">
        <v>11511</v>
      </c>
      <c r="B1243" s="7">
        <v>790.0</v>
      </c>
      <c r="C1243" s="7" t="s">
        <v>11500</v>
      </c>
      <c r="D1243" s="7" t="s">
        <v>4510</v>
      </c>
      <c r="E1243" s="7" t="s">
        <v>11502</v>
      </c>
      <c r="F1243" s="7" t="s">
        <v>4511</v>
      </c>
      <c r="G1243" s="7" t="s">
        <v>11512</v>
      </c>
      <c r="H1243" s="7" t="s">
        <v>11513</v>
      </c>
      <c r="I1243" s="119">
        <v>45292.0</v>
      </c>
      <c r="K1243" s="7" t="s">
        <v>419</v>
      </c>
      <c r="L1243" s="7" t="s">
        <v>991</v>
      </c>
      <c r="M1243" s="7" t="s">
        <v>3501</v>
      </c>
      <c r="N1243" s="7" t="s">
        <v>11514</v>
      </c>
      <c r="O1243" s="7" t="s">
        <v>11515</v>
      </c>
      <c r="P1243" s="7" t="s">
        <v>3493</v>
      </c>
      <c r="Q1243" s="7">
        <v>1.0</v>
      </c>
    </row>
    <row r="1244">
      <c r="A1244" s="7" t="s">
        <v>11516</v>
      </c>
      <c r="B1244" s="7">
        <v>13691.0</v>
      </c>
      <c r="C1244" s="7" t="s">
        <v>11500</v>
      </c>
      <c r="D1244" s="7" t="s">
        <v>11517</v>
      </c>
      <c r="E1244" s="7" t="s">
        <v>11502</v>
      </c>
      <c r="F1244" s="7" t="s">
        <v>4525</v>
      </c>
      <c r="G1244" s="7" t="s">
        <v>11518</v>
      </c>
      <c r="H1244" s="7" t="s">
        <v>11519</v>
      </c>
      <c r="I1244" s="119">
        <v>45292.0</v>
      </c>
      <c r="K1244" s="7" t="s">
        <v>3632</v>
      </c>
      <c r="L1244" s="7" t="s">
        <v>991</v>
      </c>
      <c r="M1244" s="7" t="s">
        <v>3501</v>
      </c>
      <c r="N1244" s="7" t="s">
        <v>3717</v>
      </c>
      <c r="O1244" s="7" t="s">
        <v>11520</v>
      </c>
      <c r="P1244" s="7" t="s">
        <v>3894</v>
      </c>
      <c r="Q1244" s="7" t="s">
        <v>3523</v>
      </c>
    </row>
    <row r="1245">
      <c r="A1245" s="7" t="s">
        <v>11521</v>
      </c>
      <c r="B1245" s="7">
        <v>11918.0</v>
      </c>
      <c r="C1245" s="7" t="s">
        <v>11500</v>
      </c>
      <c r="D1245" s="7" t="s">
        <v>11522</v>
      </c>
      <c r="E1245" s="7" t="s">
        <v>11502</v>
      </c>
      <c r="F1245" s="7" t="s">
        <v>11523</v>
      </c>
      <c r="G1245" s="7" t="s">
        <v>11524</v>
      </c>
      <c r="H1245" s="7" t="s">
        <v>11525</v>
      </c>
      <c r="I1245" s="119">
        <v>45292.0</v>
      </c>
      <c r="K1245" s="7" t="s">
        <v>419</v>
      </c>
      <c r="L1245" s="7" t="s">
        <v>991</v>
      </c>
      <c r="M1245" s="7" t="s">
        <v>3501</v>
      </c>
      <c r="N1245" s="7" t="s">
        <v>4834</v>
      </c>
      <c r="O1245" s="7" t="s">
        <v>11526</v>
      </c>
      <c r="P1245" s="7" t="s">
        <v>3522</v>
      </c>
      <c r="Q1245" s="7" t="s">
        <v>3523</v>
      </c>
    </row>
    <row r="1246">
      <c r="A1246" s="7" t="s">
        <v>11527</v>
      </c>
      <c r="B1246" s="7">
        <v>10680.0</v>
      </c>
      <c r="C1246" s="7" t="s">
        <v>11500</v>
      </c>
      <c r="D1246" s="7" t="s">
        <v>11528</v>
      </c>
      <c r="E1246" s="7" t="s">
        <v>11502</v>
      </c>
      <c r="F1246" s="7" t="s">
        <v>6612</v>
      </c>
      <c r="G1246" s="7" t="s">
        <v>11529</v>
      </c>
      <c r="H1246" s="7" t="s">
        <v>11530</v>
      </c>
      <c r="I1246" s="119">
        <v>45292.0</v>
      </c>
      <c r="K1246" s="7" t="s">
        <v>419</v>
      </c>
      <c r="L1246" s="7" t="s">
        <v>991</v>
      </c>
      <c r="M1246" s="7" t="s">
        <v>3501</v>
      </c>
      <c r="N1246" s="7" t="s">
        <v>11531</v>
      </c>
      <c r="O1246" s="7" t="s">
        <v>11532</v>
      </c>
      <c r="P1246" s="7" t="s">
        <v>3604</v>
      </c>
      <c r="Q1246" s="7">
        <v>1.0</v>
      </c>
    </row>
    <row r="1247">
      <c r="A1247" s="7" t="s">
        <v>11533</v>
      </c>
      <c r="B1247" s="7">
        <v>13905.0</v>
      </c>
      <c r="C1247" s="7" t="s">
        <v>11500</v>
      </c>
      <c r="D1247" s="7" t="s">
        <v>5675</v>
      </c>
      <c r="E1247" s="7" t="s">
        <v>11502</v>
      </c>
      <c r="F1247" s="7" t="s">
        <v>4539</v>
      </c>
      <c r="G1247" s="7" t="s">
        <v>11534</v>
      </c>
      <c r="H1247" s="7" t="s">
        <v>11535</v>
      </c>
      <c r="I1247" s="119">
        <v>45292.0</v>
      </c>
      <c r="K1247" s="7" t="s">
        <v>419</v>
      </c>
      <c r="L1247" s="7" t="s">
        <v>991</v>
      </c>
      <c r="M1247" s="7" t="s">
        <v>3531</v>
      </c>
      <c r="N1247" s="7" t="s">
        <v>6117</v>
      </c>
      <c r="O1247" s="7" t="s">
        <v>8116</v>
      </c>
      <c r="P1247" s="7" t="s">
        <v>3493</v>
      </c>
      <c r="Q1247" s="7">
        <v>1.0</v>
      </c>
    </row>
    <row r="1248">
      <c r="A1248" s="7" t="s">
        <v>11536</v>
      </c>
      <c r="B1248" s="7">
        <v>14298.0</v>
      </c>
      <c r="C1248" s="7" t="s">
        <v>11500</v>
      </c>
      <c r="D1248" s="7" t="s">
        <v>11537</v>
      </c>
      <c r="E1248" s="7" t="s">
        <v>11502</v>
      </c>
      <c r="F1248" s="7" t="s">
        <v>5074</v>
      </c>
      <c r="G1248" s="7" t="s">
        <v>11538</v>
      </c>
      <c r="H1248" s="7" t="s">
        <v>11539</v>
      </c>
      <c r="I1248" s="119">
        <v>45292.0</v>
      </c>
      <c r="K1248" s="7" t="s">
        <v>419</v>
      </c>
      <c r="L1248" s="7" t="s">
        <v>991</v>
      </c>
      <c r="M1248" s="7" t="s">
        <v>3531</v>
      </c>
      <c r="N1248" s="7" t="s">
        <v>4237</v>
      </c>
      <c r="O1248" s="7" t="s">
        <v>4238</v>
      </c>
      <c r="P1248" s="7" t="s">
        <v>3493</v>
      </c>
      <c r="Q1248" s="7">
        <v>1.0</v>
      </c>
    </row>
    <row r="1249">
      <c r="A1249" s="7" t="s">
        <v>11540</v>
      </c>
      <c r="B1249" s="7">
        <v>1256.0</v>
      </c>
      <c r="C1249" s="7" t="s">
        <v>11541</v>
      </c>
      <c r="D1249" s="7" t="s">
        <v>11542</v>
      </c>
      <c r="E1249" s="7" t="s">
        <v>11543</v>
      </c>
      <c r="F1249" s="7" t="s">
        <v>11544</v>
      </c>
      <c r="G1249" s="7" t="s">
        <v>11545</v>
      </c>
      <c r="H1249" s="7" t="s">
        <v>11546</v>
      </c>
      <c r="I1249" s="119">
        <v>45292.0</v>
      </c>
      <c r="K1249" s="7" t="s">
        <v>419</v>
      </c>
      <c r="L1249" s="7" t="s">
        <v>991</v>
      </c>
      <c r="M1249" s="7" t="s">
        <v>3501</v>
      </c>
      <c r="N1249" s="7" t="s">
        <v>7093</v>
      </c>
      <c r="O1249" s="7" t="s">
        <v>7094</v>
      </c>
      <c r="P1249" s="7" t="s">
        <v>3493</v>
      </c>
      <c r="Q1249" s="7">
        <v>1.0</v>
      </c>
    </row>
    <row r="1250">
      <c r="A1250" s="7" t="s">
        <v>1379</v>
      </c>
      <c r="B1250" s="7">
        <v>231.0</v>
      </c>
      <c r="C1250" s="7" t="s">
        <v>11541</v>
      </c>
      <c r="D1250" s="7" t="s">
        <v>11547</v>
      </c>
      <c r="E1250" s="7" t="s">
        <v>11543</v>
      </c>
      <c r="F1250" s="7" t="s">
        <v>11548</v>
      </c>
      <c r="G1250" s="7" t="s">
        <v>11549</v>
      </c>
      <c r="H1250" s="7" t="s">
        <v>11550</v>
      </c>
      <c r="I1250" s="119">
        <v>45292.0</v>
      </c>
      <c r="K1250" s="7" t="s">
        <v>419</v>
      </c>
      <c r="L1250" s="7" t="s">
        <v>991</v>
      </c>
      <c r="M1250" s="7" t="s">
        <v>3501</v>
      </c>
      <c r="N1250" s="7" t="s">
        <v>11551</v>
      </c>
      <c r="O1250" s="7" t="s">
        <v>11552</v>
      </c>
      <c r="P1250" s="7" t="s">
        <v>3604</v>
      </c>
      <c r="Q1250" s="7">
        <v>1.0</v>
      </c>
    </row>
    <row r="1251">
      <c r="A1251" s="7" t="s">
        <v>11553</v>
      </c>
      <c r="B1251" s="7">
        <v>10898.0</v>
      </c>
      <c r="C1251" s="7" t="s">
        <v>11541</v>
      </c>
      <c r="D1251" s="7" t="s">
        <v>11554</v>
      </c>
      <c r="E1251" s="7" t="s">
        <v>11543</v>
      </c>
      <c r="F1251" s="7" t="s">
        <v>11555</v>
      </c>
      <c r="G1251" s="7" t="s">
        <v>11556</v>
      </c>
      <c r="H1251" s="7" t="s">
        <v>11557</v>
      </c>
      <c r="I1251" s="119">
        <v>45292.0</v>
      </c>
      <c r="K1251" s="7" t="s">
        <v>419</v>
      </c>
      <c r="L1251" s="7" t="s">
        <v>991</v>
      </c>
      <c r="M1251" s="7" t="s">
        <v>3501</v>
      </c>
      <c r="N1251" s="7" t="s">
        <v>11558</v>
      </c>
      <c r="O1251" s="7" t="s">
        <v>11559</v>
      </c>
      <c r="P1251" s="7" t="s">
        <v>3604</v>
      </c>
      <c r="Q1251" s="7">
        <v>1.0</v>
      </c>
    </row>
    <row r="1252">
      <c r="A1252" s="7" t="s">
        <v>11560</v>
      </c>
      <c r="B1252" s="7">
        <v>2200444.0</v>
      </c>
      <c r="C1252" s="7" t="s">
        <v>11541</v>
      </c>
      <c r="D1252" s="7" t="s">
        <v>11507</v>
      </c>
      <c r="E1252" s="7" t="s">
        <v>11543</v>
      </c>
      <c r="F1252" s="7" t="s">
        <v>4911</v>
      </c>
      <c r="G1252" s="7" t="s">
        <v>11561</v>
      </c>
      <c r="H1252" s="7" t="s">
        <v>11562</v>
      </c>
      <c r="I1252" s="119">
        <v>45292.0</v>
      </c>
      <c r="K1252" s="7" t="s">
        <v>419</v>
      </c>
      <c r="L1252" s="7" t="s">
        <v>991</v>
      </c>
      <c r="M1252" s="7" t="s">
        <v>3501</v>
      </c>
      <c r="N1252" s="7" t="s">
        <v>3769</v>
      </c>
      <c r="O1252" s="7" t="s">
        <v>11563</v>
      </c>
      <c r="P1252" s="7" t="s">
        <v>4154</v>
      </c>
      <c r="Q1252" s="7" t="s">
        <v>3555</v>
      </c>
    </row>
    <row r="1253">
      <c r="A1253" s="7" t="s">
        <v>11564</v>
      </c>
      <c r="B1253" s="7">
        <v>2300213.0</v>
      </c>
      <c r="C1253" s="7" t="s">
        <v>11541</v>
      </c>
      <c r="D1253" s="7" t="s">
        <v>5132</v>
      </c>
      <c r="E1253" s="7" t="s">
        <v>11543</v>
      </c>
      <c r="F1253" s="7" t="s">
        <v>5132</v>
      </c>
      <c r="G1253" s="7" t="s">
        <v>11565</v>
      </c>
      <c r="H1253" s="7" t="s">
        <v>11566</v>
      </c>
      <c r="I1253" s="119">
        <v>45292.0</v>
      </c>
      <c r="K1253" s="7" t="s">
        <v>6291</v>
      </c>
      <c r="L1253" s="7" t="s">
        <v>3542</v>
      </c>
      <c r="M1253" s="7" t="s">
        <v>3563</v>
      </c>
      <c r="N1253" s="7" t="s">
        <v>11567</v>
      </c>
      <c r="O1253" s="7" t="s">
        <v>11568</v>
      </c>
      <c r="P1253" s="7" t="s">
        <v>11569</v>
      </c>
      <c r="Q1253" s="7" t="s">
        <v>3514</v>
      </c>
    </row>
    <row r="1254">
      <c r="A1254" s="7" t="s">
        <v>11570</v>
      </c>
      <c r="B1254" s="7">
        <v>875.0</v>
      </c>
      <c r="C1254" s="7" t="s">
        <v>11541</v>
      </c>
      <c r="D1254" s="7" t="s">
        <v>11571</v>
      </c>
      <c r="E1254" s="7" t="s">
        <v>11543</v>
      </c>
      <c r="F1254" s="7" t="s">
        <v>3721</v>
      </c>
      <c r="G1254" s="7" t="s">
        <v>11572</v>
      </c>
      <c r="H1254" s="7" t="s">
        <v>11573</v>
      </c>
      <c r="I1254" s="119">
        <v>45292.0</v>
      </c>
      <c r="K1254" s="7" t="s">
        <v>419</v>
      </c>
      <c r="L1254" s="7" t="s">
        <v>991</v>
      </c>
      <c r="M1254" s="7" t="s">
        <v>3501</v>
      </c>
      <c r="N1254" s="7" t="s">
        <v>4330</v>
      </c>
      <c r="O1254" s="7" t="s">
        <v>4331</v>
      </c>
      <c r="P1254" s="7" t="s">
        <v>3493</v>
      </c>
      <c r="Q1254" s="7">
        <v>1.0</v>
      </c>
    </row>
    <row r="1255">
      <c r="A1255" s="7" t="s">
        <v>11574</v>
      </c>
      <c r="B1255" s="7">
        <v>2100682.0</v>
      </c>
      <c r="C1255" s="7" t="s">
        <v>11575</v>
      </c>
      <c r="D1255" s="7" t="s">
        <v>11576</v>
      </c>
      <c r="E1255" s="7" t="s">
        <v>11577</v>
      </c>
      <c r="F1255" s="7" t="s">
        <v>11578</v>
      </c>
      <c r="G1255" s="7" t="s">
        <v>11579</v>
      </c>
      <c r="H1255" s="7" t="s">
        <v>11580</v>
      </c>
      <c r="I1255" s="119">
        <v>45292.0</v>
      </c>
      <c r="K1255" s="7" t="s">
        <v>419</v>
      </c>
      <c r="L1255" s="7" t="s">
        <v>991</v>
      </c>
      <c r="M1255" s="7" t="s">
        <v>3531</v>
      </c>
      <c r="N1255" s="7" t="s">
        <v>7947</v>
      </c>
      <c r="O1255" s="7" t="s">
        <v>7948</v>
      </c>
      <c r="P1255" s="7" t="s">
        <v>3493</v>
      </c>
      <c r="Q1255" s="7">
        <v>1.0</v>
      </c>
    </row>
    <row r="1256">
      <c r="A1256" s="7" t="s">
        <v>11581</v>
      </c>
      <c r="B1256" s="7">
        <v>12728.0</v>
      </c>
      <c r="C1256" s="7" t="s">
        <v>11582</v>
      </c>
      <c r="D1256" s="7" t="s">
        <v>11583</v>
      </c>
      <c r="E1256" s="7" t="s">
        <v>11584</v>
      </c>
      <c r="F1256" s="7" t="s">
        <v>11585</v>
      </c>
      <c r="G1256" s="7" t="s">
        <v>11586</v>
      </c>
      <c r="H1256" s="7" t="s">
        <v>11587</v>
      </c>
      <c r="I1256" s="119">
        <v>45292.0</v>
      </c>
      <c r="K1256" s="7" t="s">
        <v>419</v>
      </c>
      <c r="L1256" s="7" t="s">
        <v>991</v>
      </c>
      <c r="M1256" s="7" t="s">
        <v>3501</v>
      </c>
      <c r="N1256" s="7" t="s">
        <v>6274</v>
      </c>
      <c r="O1256" s="7" t="s">
        <v>8357</v>
      </c>
      <c r="P1256" s="7" t="s">
        <v>3493</v>
      </c>
      <c r="Q1256" s="7">
        <v>1.0</v>
      </c>
    </row>
    <row r="1257">
      <c r="A1257" s="7" t="s">
        <v>11588</v>
      </c>
      <c r="B1257" s="7">
        <v>11647.0</v>
      </c>
      <c r="C1257" s="7" t="s">
        <v>11589</v>
      </c>
      <c r="D1257" s="7" t="s">
        <v>11590</v>
      </c>
      <c r="E1257" s="7" t="s">
        <v>11591</v>
      </c>
      <c r="F1257" s="7" t="s">
        <v>4478</v>
      </c>
      <c r="G1257" s="7" t="s">
        <v>11592</v>
      </c>
      <c r="H1257" s="7" t="s">
        <v>11593</v>
      </c>
      <c r="I1257" s="119">
        <v>45292.0</v>
      </c>
      <c r="K1257" s="7" t="s">
        <v>419</v>
      </c>
      <c r="L1257" s="7" t="s">
        <v>991</v>
      </c>
      <c r="M1257" s="7" t="s">
        <v>3501</v>
      </c>
      <c r="N1257" s="7" t="s">
        <v>5218</v>
      </c>
      <c r="O1257" s="7" t="s">
        <v>11594</v>
      </c>
      <c r="P1257" s="7" t="s">
        <v>3513</v>
      </c>
      <c r="Q1257" s="7" t="s">
        <v>3514</v>
      </c>
    </row>
    <row r="1258">
      <c r="A1258" s="7" t="s">
        <v>11595</v>
      </c>
      <c r="B1258" s="7">
        <v>2100363.0</v>
      </c>
      <c r="C1258" s="7" t="s">
        <v>11596</v>
      </c>
      <c r="D1258" s="7" t="s">
        <v>11597</v>
      </c>
      <c r="E1258" s="7" t="s">
        <v>11598</v>
      </c>
      <c r="F1258" s="7" t="s">
        <v>11599</v>
      </c>
      <c r="G1258" s="7" t="s">
        <v>11600</v>
      </c>
      <c r="H1258" s="7" t="s">
        <v>11601</v>
      </c>
      <c r="I1258" s="119">
        <v>45292.0</v>
      </c>
      <c r="K1258" s="7" t="s">
        <v>419</v>
      </c>
      <c r="L1258" s="7" t="s">
        <v>991</v>
      </c>
      <c r="M1258" s="7" t="s">
        <v>3531</v>
      </c>
      <c r="N1258" s="7" t="s">
        <v>4399</v>
      </c>
      <c r="O1258" s="7" t="s">
        <v>4400</v>
      </c>
      <c r="P1258" s="7" t="s">
        <v>3493</v>
      </c>
      <c r="Q1258" s="7">
        <v>1.0</v>
      </c>
    </row>
    <row r="1259">
      <c r="A1259" s="7" t="s">
        <v>11602</v>
      </c>
      <c r="B1259" s="7">
        <v>13548.0</v>
      </c>
      <c r="C1259" s="7" t="s">
        <v>11603</v>
      </c>
      <c r="D1259" s="7" t="s">
        <v>11604</v>
      </c>
      <c r="E1259" s="7" t="s">
        <v>11605</v>
      </c>
      <c r="F1259" s="7" t="s">
        <v>11606</v>
      </c>
      <c r="G1259" s="7" t="s">
        <v>11607</v>
      </c>
      <c r="H1259" s="7" t="s">
        <v>11608</v>
      </c>
      <c r="I1259" s="119">
        <v>45292.0</v>
      </c>
      <c r="K1259" s="7" t="s">
        <v>419</v>
      </c>
      <c r="L1259" s="7" t="s">
        <v>991</v>
      </c>
      <c r="M1259" s="7" t="s">
        <v>3501</v>
      </c>
      <c r="N1259" s="7" t="s">
        <v>4237</v>
      </c>
      <c r="O1259" s="7" t="s">
        <v>4238</v>
      </c>
      <c r="P1259" s="7" t="s">
        <v>3493</v>
      </c>
      <c r="Q1259" s="7">
        <v>1.0</v>
      </c>
    </row>
    <row r="1260">
      <c r="A1260" s="7" t="s">
        <v>11609</v>
      </c>
      <c r="B1260" s="7">
        <v>2300514.0</v>
      </c>
      <c r="C1260" s="7" t="s">
        <v>11610</v>
      </c>
      <c r="D1260" s="7" t="s">
        <v>11611</v>
      </c>
      <c r="E1260" s="7" t="s">
        <v>11612</v>
      </c>
      <c r="F1260" s="7" t="s">
        <v>3549</v>
      </c>
      <c r="G1260" s="7" t="s">
        <v>11613</v>
      </c>
      <c r="H1260" s="7" t="s">
        <v>11614</v>
      </c>
      <c r="I1260" s="119">
        <v>45292.0</v>
      </c>
      <c r="K1260" s="7" t="s">
        <v>419</v>
      </c>
      <c r="L1260" s="7" t="s">
        <v>991</v>
      </c>
      <c r="M1260" s="7" t="s">
        <v>3501</v>
      </c>
      <c r="N1260" s="7" t="s">
        <v>7694</v>
      </c>
      <c r="O1260" s="7" t="s">
        <v>7695</v>
      </c>
      <c r="P1260" s="7" t="s">
        <v>3843</v>
      </c>
      <c r="Q1260" s="7">
        <v>1.0</v>
      </c>
    </row>
    <row r="1261">
      <c r="A1261" s="7" t="s">
        <v>11615</v>
      </c>
      <c r="B1261" s="7">
        <v>11712.0</v>
      </c>
      <c r="C1261" s="7" t="s">
        <v>11616</v>
      </c>
      <c r="D1261" s="7" t="s">
        <v>11617</v>
      </c>
      <c r="E1261" s="7" t="s">
        <v>11612</v>
      </c>
      <c r="F1261" s="7" t="s">
        <v>11618</v>
      </c>
      <c r="G1261" s="7" t="s">
        <v>11619</v>
      </c>
      <c r="H1261" s="7" t="s">
        <v>11620</v>
      </c>
      <c r="I1261" s="119">
        <v>45292.0</v>
      </c>
      <c r="K1261" s="7" t="s">
        <v>419</v>
      </c>
      <c r="L1261" s="7" t="s">
        <v>991</v>
      </c>
      <c r="M1261" s="7" t="s">
        <v>3501</v>
      </c>
      <c r="N1261" s="7" t="s">
        <v>4605</v>
      </c>
      <c r="O1261" s="7" t="s">
        <v>4606</v>
      </c>
      <c r="P1261" s="7" t="s">
        <v>3843</v>
      </c>
      <c r="Q1261" s="7">
        <v>1.0</v>
      </c>
    </row>
    <row r="1262">
      <c r="A1262" s="7" t="s">
        <v>11621</v>
      </c>
      <c r="B1262" s="7">
        <v>13677.0</v>
      </c>
      <c r="C1262" s="7" t="s">
        <v>11622</v>
      </c>
      <c r="D1262" s="7" t="s">
        <v>11623</v>
      </c>
      <c r="E1262" s="7" t="s">
        <v>11624</v>
      </c>
      <c r="F1262" s="7" t="s">
        <v>6678</v>
      </c>
      <c r="G1262" s="7" t="s">
        <v>11625</v>
      </c>
      <c r="H1262" s="7" t="s">
        <v>11626</v>
      </c>
      <c r="I1262" s="119">
        <v>45292.0</v>
      </c>
      <c r="K1262" s="7" t="s">
        <v>3632</v>
      </c>
      <c r="L1262" s="7" t="s">
        <v>991</v>
      </c>
      <c r="M1262" s="7" t="s">
        <v>3501</v>
      </c>
      <c r="N1262" s="7" t="s">
        <v>9997</v>
      </c>
      <c r="O1262" s="7" t="s">
        <v>9998</v>
      </c>
      <c r="P1262" s="7" t="s">
        <v>3522</v>
      </c>
      <c r="Q1262" s="7" t="s">
        <v>3514</v>
      </c>
    </row>
    <row r="1263">
      <c r="A1263" s="7" t="s">
        <v>11627</v>
      </c>
      <c r="B1263" s="7">
        <v>2200531.0</v>
      </c>
      <c r="C1263" s="7" t="s">
        <v>11622</v>
      </c>
      <c r="D1263" s="7" t="s">
        <v>11628</v>
      </c>
      <c r="E1263" s="7" t="s">
        <v>11624</v>
      </c>
      <c r="F1263" s="7" t="s">
        <v>3714</v>
      </c>
      <c r="G1263" s="7" t="s">
        <v>11629</v>
      </c>
      <c r="H1263" s="7" t="s">
        <v>11630</v>
      </c>
      <c r="I1263" s="119">
        <v>45292.0</v>
      </c>
      <c r="K1263" s="7" t="s">
        <v>419</v>
      </c>
      <c r="L1263" s="7" t="s">
        <v>991</v>
      </c>
      <c r="M1263" s="7" t="s">
        <v>3531</v>
      </c>
      <c r="N1263" s="7" t="s">
        <v>4096</v>
      </c>
      <c r="O1263" s="7" t="s">
        <v>4097</v>
      </c>
      <c r="P1263" s="7" t="s">
        <v>3493</v>
      </c>
      <c r="Q1263" s="7">
        <v>1.0</v>
      </c>
    </row>
    <row r="1264">
      <c r="A1264" s="7" t="s">
        <v>11631</v>
      </c>
      <c r="B1264" s="7">
        <v>2200605.0</v>
      </c>
      <c r="C1264" s="7" t="s">
        <v>11622</v>
      </c>
      <c r="D1264" s="7" t="s">
        <v>11632</v>
      </c>
      <c r="E1264" s="7" t="s">
        <v>11624</v>
      </c>
      <c r="F1264" s="7" t="s">
        <v>11633</v>
      </c>
      <c r="G1264" s="7" t="s">
        <v>11634</v>
      </c>
      <c r="H1264" s="7" t="s">
        <v>11635</v>
      </c>
      <c r="I1264" s="119">
        <v>45292.0</v>
      </c>
      <c r="K1264" s="7" t="s">
        <v>419</v>
      </c>
      <c r="L1264" s="7" t="s">
        <v>991</v>
      </c>
      <c r="M1264" s="7" t="s">
        <v>3501</v>
      </c>
      <c r="N1264" s="7" t="s">
        <v>11636</v>
      </c>
      <c r="O1264" s="7" t="s">
        <v>11637</v>
      </c>
      <c r="P1264" s="7" t="s">
        <v>3522</v>
      </c>
      <c r="Q1264" s="7" t="s">
        <v>3514</v>
      </c>
    </row>
    <row r="1265">
      <c r="A1265" s="7" t="s">
        <v>11638</v>
      </c>
      <c r="B1265" s="7">
        <v>232.0</v>
      </c>
      <c r="C1265" s="7" t="s">
        <v>11639</v>
      </c>
      <c r="D1265" s="7" t="s">
        <v>11640</v>
      </c>
      <c r="E1265" s="7" t="s">
        <v>11641</v>
      </c>
      <c r="F1265" s="7" t="s">
        <v>3498</v>
      </c>
      <c r="G1265" s="7" t="s">
        <v>11642</v>
      </c>
      <c r="H1265" s="7" t="s">
        <v>11643</v>
      </c>
      <c r="I1265" s="119">
        <v>45292.0</v>
      </c>
      <c r="K1265" s="7" t="s">
        <v>419</v>
      </c>
      <c r="L1265" s="7" t="s">
        <v>991</v>
      </c>
      <c r="M1265" s="7" t="s">
        <v>3501</v>
      </c>
      <c r="N1265" s="7" t="s">
        <v>11644</v>
      </c>
      <c r="O1265" s="7" t="s">
        <v>11645</v>
      </c>
      <c r="P1265" s="7" t="s">
        <v>3843</v>
      </c>
      <c r="Q1265" s="7">
        <v>1.0</v>
      </c>
    </row>
    <row r="1266">
      <c r="A1266" s="7" t="s">
        <v>11646</v>
      </c>
      <c r="B1266" s="7">
        <v>14051.0</v>
      </c>
      <c r="C1266" s="7" t="s">
        <v>11647</v>
      </c>
      <c r="D1266" s="7" t="s">
        <v>11648</v>
      </c>
      <c r="E1266" s="7" t="s">
        <v>11649</v>
      </c>
      <c r="F1266" s="7" t="s">
        <v>11650</v>
      </c>
      <c r="G1266" s="7" t="s">
        <v>11651</v>
      </c>
      <c r="H1266" s="7" t="s">
        <v>11652</v>
      </c>
      <c r="I1266" s="119">
        <v>45292.0</v>
      </c>
      <c r="K1266" s="7" t="s">
        <v>419</v>
      </c>
      <c r="L1266" s="7" t="s">
        <v>991</v>
      </c>
      <c r="M1266" s="7" t="s">
        <v>3501</v>
      </c>
      <c r="N1266" s="7" t="s">
        <v>11653</v>
      </c>
      <c r="O1266" s="7" t="s">
        <v>11654</v>
      </c>
      <c r="P1266" s="7" t="s">
        <v>3604</v>
      </c>
      <c r="Q1266" s="7">
        <v>1.0</v>
      </c>
    </row>
    <row r="1267">
      <c r="A1267" s="7" t="s">
        <v>11655</v>
      </c>
      <c r="B1267" s="7">
        <v>2300460.0</v>
      </c>
      <c r="C1267" s="7" t="s">
        <v>11656</v>
      </c>
      <c r="D1267" s="7" t="s">
        <v>11657</v>
      </c>
      <c r="E1267" s="7" t="s">
        <v>11658</v>
      </c>
      <c r="F1267" s="7" t="s">
        <v>5917</v>
      </c>
      <c r="G1267" s="7" t="s">
        <v>11659</v>
      </c>
      <c r="H1267" s="7" t="s">
        <v>11660</v>
      </c>
      <c r="I1267" s="119">
        <v>45292.0</v>
      </c>
      <c r="K1267" s="7" t="s">
        <v>419</v>
      </c>
      <c r="L1267" s="7" t="s">
        <v>991</v>
      </c>
      <c r="M1267" s="7" t="s">
        <v>3531</v>
      </c>
      <c r="N1267" s="7" t="s">
        <v>4444</v>
      </c>
      <c r="O1267" s="7" t="s">
        <v>4445</v>
      </c>
      <c r="P1267" s="7" t="s">
        <v>3493</v>
      </c>
      <c r="Q1267" s="7">
        <v>1.0</v>
      </c>
    </row>
    <row r="1268">
      <c r="A1268" s="7" t="s">
        <v>11661</v>
      </c>
      <c r="B1268" s="7">
        <v>2300621.0</v>
      </c>
      <c r="C1268" s="7" t="s">
        <v>11662</v>
      </c>
      <c r="D1268" s="7" t="s">
        <v>6164</v>
      </c>
      <c r="E1268" s="7" t="s">
        <v>11663</v>
      </c>
      <c r="F1268" s="7" t="s">
        <v>6166</v>
      </c>
      <c r="G1268" s="7" t="s">
        <v>11664</v>
      </c>
      <c r="H1268" s="7" t="s">
        <v>11665</v>
      </c>
      <c r="I1268" s="119">
        <v>45292.0</v>
      </c>
      <c r="K1268" s="7" t="s">
        <v>419</v>
      </c>
      <c r="L1268" s="7" t="s">
        <v>991</v>
      </c>
      <c r="M1268" s="7" t="s">
        <v>3501</v>
      </c>
      <c r="N1268" s="7" t="s">
        <v>7131</v>
      </c>
      <c r="O1268" s="7" t="s">
        <v>11399</v>
      </c>
      <c r="P1268" s="7" t="s">
        <v>3894</v>
      </c>
      <c r="Q1268" s="7" t="s">
        <v>3523</v>
      </c>
    </row>
    <row r="1269">
      <c r="A1269" s="7" t="s">
        <v>11666</v>
      </c>
      <c r="B1269" s="7">
        <v>2300753.0</v>
      </c>
      <c r="C1269" s="7" t="s">
        <v>11662</v>
      </c>
      <c r="D1269" s="7" t="s">
        <v>11667</v>
      </c>
      <c r="E1269" s="7" t="s">
        <v>11663</v>
      </c>
      <c r="F1269" s="7" t="s">
        <v>3549</v>
      </c>
      <c r="G1269" s="7" t="s">
        <v>11668</v>
      </c>
      <c r="H1269" s="7" t="s">
        <v>11669</v>
      </c>
      <c r="I1269" s="119">
        <v>45292.0</v>
      </c>
      <c r="K1269" s="7" t="s">
        <v>419</v>
      </c>
      <c r="L1269" s="7" t="s">
        <v>991</v>
      </c>
      <c r="M1269" s="7" t="s">
        <v>3501</v>
      </c>
      <c r="N1269" s="7" t="s">
        <v>4587</v>
      </c>
      <c r="O1269" s="7" t="s">
        <v>4588</v>
      </c>
      <c r="P1269" s="7" t="s">
        <v>3522</v>
      </c>
      <c r="Q1269" s="7" t="s">
        <v>3523</v>
      </c>
    </row>
    <row r="1270">
      <c r="A1270" s="7" t="s">
        <v>11670</v>
      </c>
      <c r="B1270" s="7">
        <v>2300196.0</v>
      </c>
      <c r="C1270" s="7" t="s">
        <v>11671</v>
      </c>
      <c r="D1270" s="7" t="s">
        <v>11672</v>
      </c>
      <c r="E1270" s="7" t="s">
        <v>11663</v>
      </c>
      <c r="F1270" s="7" t="s">
        <v>3917</v>
      </c>
      <c r="G1270" s="7" t="s">
        <v>11673</v>
      </c>
      <c r="H1270" s="7" t="s">
        <v>11674</v>
      </c>
      <c r="I1270" s="119">
        <v>45292.0</v>
      </c>
      <c r="K1270" s="7" t="s">
        <v>419</v>
      </c>
      <c r="L1270" s="7" t="s">
        <v>991</v>
      </c>
      <c r="M1270" s="7" t="s">
        <v>3501</v>
      </c>
      <c r="N1270" s="7" t="s">
        <v>9485</v>
      </c>
      <c r="O1270" s="7" t="s">
        <v>11675</v>
      </c>
      <c r="P1270" s="7" t="s">
        <v>3493</v>
      </c>
      <c r="Q1270" s="7">
        <v>1.0</v>
      </c>
    </row>
    <row r="1271">
      <c r="A1271" s="7" t="s">
        <v>11676</v>
      </c>
      <c r="B1271" s="7">
        <v>2200566.0</v>
      </c>
      <c r="C1271" s="7" t="s">
        <v>11677</v>
      </c>
      <c r="D1271" s="7" t="s">
        <v>11678</v>
      </c>
      <c r="E1271" s="7" t="s">
        <v>11679</v>
      </c>
      <c r="F1271" s="7" t="s">
        <v>4068</v>
      </c>
      <c r="G1271" s="7" t="s">
        <v>11680</v>
      </c>
      <c r="H1271" s="7" t="s">
        <v>11681</v>
      </c>
      <c r="I1271" s="119">
        <v>45292.0</v>
      </c>
      <c r="K1271" s="7" t="s">
        <v>419</v>
      </c>
      <c r="L1271" s="7" t="s">
        <v>991</v>
      </c>
      <c r="M1271" s="7" t="s">
        <v>3531</v>
      </c>
      <c r="N1271" s="7" t="s">
        <v>10801</v>
      </c>
      <c r="O1271" s="7" t="s">
        <v>10802</v>
      </c>
      <c r="P1271" s="7" t="s">
        <v>3493</v>
      </c>
      <c r="Q1271" s="7">
        <v>1.0</v>
      </c>
    </row>
    <row r="1272">
      <c r="A1272" s="7" t="s">
        <v>11682</v>
      </c>
      <c r="B1272" s="7">
        <v>2100633.0</v>
      </c>
      <c r="C1272" s="7" t="s">
        <v>11677</v>
      </c>
      <c r="D1272" s="7" t="s">
        <v>8146</v>
      </c>
      <c r="E1272" s="7" t="s">
        <v>11679</v>
      </c>
      <c r="F1272" s="7" t="s">
        <v>3656</v>
      </c>
      <c r="G1272" s="7" t="s">
        <v>11683</v>
      </c>
      <c r="I1272" s="119">
        <v>45292.0</v>
      </c>
      <c r="K1272" s="7" t="s">
        <v>419</v>
      </c>
      <c r="L1272" s="7" t="s">
        <v>991</v>
      </c>
      <c r="M1272" s="7" t="s">
        <v>3531</v>
      </c>
      <c r="N1272" s="7" t="s">
        <v>4103</v>
      </c>
      <c r="O1272" s="7" t="s">
        <v>4104</v>
      </c>
      <c r="P1272" s="7" t="s">
        <v>3493</v>
      </c>
      <c r="Q1272" s="7">
        <v>1.0</v>
      </c>
    </row>
    <row r="1273">
      <c r="A1273" s="7" t="s">
        <v>11684</v>
      </c>
      <c r="B1273" s="7">
        <v>2100470.0</v>
      </c>
      <c r="C1273" s="7" t="s">
        <v>11685</v>
      </c>
      <c r="D1273" s="7" t="s">
        <v>11686</v>
      </c>
      <c r="E1273" s="7" t="s">
        <v>11687</v>
      </c>
      <c r="F1273" s="7" t="s">
        <v>11235</v>
      </c>
      <c r="G1273" s="7" t="s">
        <v>11688</v>
      </c>
      <c r="H1273" s="7" t="s">
        <v>11689</v>
      </c>
      <c r="I1273" s="119">
        <v>45292.0</v>
      </c>
      <c r="K1273" s="7" t="s">
        <v>419</v>
      </c>
      <c r="L1273" s="7" t="s">
        <v>991</v>
      </c>
      <c r="M1273" s="7" t="s">
        <v>3531</v>
      </c>
      <c r="N1273" s="7" t="s">
        <v>7373</v>
      </c>
      <c r="O1273" s="7" t="s">
        <v>7374</v>
      </c>
      <c r="P1273" s="7" t="s">
        <v>3493</v>
      </c>
      <c r="Q1273" s="7">
        <v>1.0</v>
      </c>
    </row>
    <row r="1274">
      <c r="A1274" s="7" t="s">
        <v>11690</v>
      </c>
      <c r="B1274" s="7">
        <v>2100068.0</v>
      </c>
      <c r="C1274" s="7" t="s">
        <v>11691</v>
      </c>
      <c r="D1274" s="7" t="s">
        <v>11692</v>
      </c>
      <c r="E1274" s="7" t="s">
        <v>11693</v>
      </c>
      <c r="F1274" s="7" t="s">
        <v>11694</v>
      </c>
      <c r="G1274" s="7" t="s">
        <v>11695</v>
      </c>
      <c r="H1274" s="7" t="s">
        <v>11696</v>
      </c>
      <c r="I1274" s="119">
        <v>45292.0</v>
      </c>
      <c r="J1274" s="7" t="s">
        <v>3929</v>
      </c>
      <c r="K1274" s="7" t="s">
        <v>419</v>
      </c>
      <c r="L1274" s="7" t="s">
        <v>991</v>
      </c>
      <c r="M1274" s="7" t="s">
        <v>3501</v>
      </c>
      <c r="N1274" s="7" t="s">
        <v>7343</v>
      </c>
      <c r="O1274" s="7" t="s">
        <v>7344</v>
      </c>
      <c r="P1274" s="7" t="s">
        <v>3493</v>
      </c>
      <c r="Q1274" s="7">
        <v>1.0</v>
      </c>
    </row>
    <row r="1275">
      <c r="A1275" s="7" t="s">
        <v>11697</v>
      </c>
      <c r="B1275" s="7">
        <v>14044.0</v>
      </c>
      <c r="C1275" s="7" t="s">
        <v>11698</v>
      </c>
      <c r="D1275" s="7" t="s">
        <v>9960</v>
      </c>
      <c r="E1275" s="7" t="s">
        <v>11699</v>
      </c>
      <c r="F1275" s="7" t="s">
        <v>3656</v>
      </c>
      <c r="G1275" s="7" t="s">
        <v>11700</v>
      </c>
      <c r="H1275" s="7" t="s">
        <v>11701</v>
      </c>
      <c r="I1275" s="119">
        <v>45292.0</v>
      </c>
      <c r="J1275" s="7" t="s">
        <v>3929</v>
      </c>
      <c r="K1275" s="7" t="s">
        <v>419</v>
      </c>
      <c r="L1275" s="7" t="s">
        <v>991</v>
      </c>
      <c r="M1275" s="7" t="s">
        <v>3501</v>
      </c>
      <c r="N1275" s="7" t="s">
        <v>7116</v>
      </c>
      <c r="O1275" s="7" t="s">
        <v>7117</v>
      </c>
      <c r="P1275" s="7" t="s">
        <v>3493</v>
      </c>
      <c r="Q1275" s="7">
        <v>1.0</v>
      </c>
    </row>
    <row r="1276">
      <c r="A1276" s="7" t="s">
        <v>11702</v>
      </c>
      <c r="B1276" s="7">
        <v>8426.0</v>
      </c>
      <c r="C1276" s="7" t="s">
        <v>11703</v>
      </c>
      <c r="D1276" s="7" t="s">
        <v>11704</v>
      </c>
      <c r="E1276" s="7" t="s">
        <v>11705</v>
      </c>
      <c r="F1276" s="7" t="s">
        <v>7477</v>
      </c>
      <c r="G1276" s="7" t="s">
        <v>11706</v>
      </c>
      <c r="H1276" s="7" t="s">
        <v>11707</v>
      </c>
      <c r="I1276" s="119">
        <v>45292.0</v>
      </c>
      <c r="K1276" s="7" t="s">
        <v>419</v>
      </c>
      <c r="L1276" s="7" t="s">
        <v>991</v>
      </c>
      <c r="M1276" s="7" t="s">
        <v>3531</v>
      </c>
      <c r="N1276" s="7" t="s">
        <v>8583</v>
      </c>
      <c r="O1276" s="7" t="s">
        <v>8584</v>
      </c>
      <c r="P1276" s="7" t="s">
        <v>3493</v>
      </c>
      <c r="Q1276" s="7">
        <v>1.0</v>
      </c>
    </row>
    <row r="1277">
      <c r="A1277" s="7" t="s">
        <v>11708</v>
      </c>
      <c r="B1277" s="7">
        <v>2200419.0</v>
      </c>
      <c r="C1277" s="7" t="s">
        <v>11709</v>
      </c>
      <c r="D1277" s="7" t="s">
        <v>11710</v>
      </c>
      <c r="E1277" s="7" t="s">
        <v>11711</v>
      </c>
      <c r="F1277" s="7" t="s">
        <v>5441</v>
      </c>
      <c r="G1277" s="7" t="s">
        <v>11712</v>
      </c>
      <c r="H1277" s="7" t="s">
        <v>11713</v>
      </c>
      <c r="I1277" s="119">
        <v>45292.0</v>
      </c>
      <c r="K1277" s="7" t="s">
        <v>419</v>
      </c>
      <c r="L1277" s="7" t="s">
        <v>991</v>
      </c>
      <c r="M1277" s="7" t="s">
        <v>3501</v>
      </c>
      <c r="N1277" s="7" t="s">
        <v>7487</v>
      </c>
      <c r="O1277" s="7" t="s">
        <v>10314</v>
      </c>
      <c r="P1277" s="7" t="s">
        <v>3493</v>
      </c>
      <c r="Q1277" s="7">
        <v>1.0</v>
      </c>
    </row>
    <row r="1278">
      <c r="A1278" s="7" t="s">
        <v>11714</v>
      </c>
      <c r="B1278" s="7">
        <v>2200850.0</v>
      </c>
      <c r="C1278" s="7" t="s">
        <v>11715</v>
      </c>
      <c r="D1278" s="7" t="s">
        <v>11716</v>
      </c>
      <c r="E1278" s="7" t="s">
        <v>11717</v>
      </c>
      <c r="F1278" s="7" t="s">
        <v>11718</v>
      </c>
      <c r="G1278" s="7" t="s">
        <v>11719</v>
      </c>
      <c r="H1278" s="7" t="s">
        <v>11720</v>
      </c>
      <c r="I1278" s="119">
        <v>45292.0</v>
      </c>
      <c r="K1278" s="7" t="s">
        <v>419</v>
      </c>
      <c r="L1278" s="7" t="s">
        <v>991</v>
      </c>
      <c r="M1278" s="7" t="s">
        <v>3531</v>
      </c>
      <c r="N1278" s="7" t="s">
        <v>5888</v>
      </c>
      <c r="O1278" s="7" t="s">
        <v>5889</v>
      </c>
      <c r="P1278" s="7" t="s">
        <v>3493</v>
      </c>
      <c r="Q1278" s="7">
        <v>1.0</v>
      </c>
    </row>
    <row r="1279">
      <c r="A1279" s="7" t="s">
        <v>11721</v>
      </c>
      <c r="B1279" s="7">
        <v>11559.0</v>
      </c>
      <c r="C1279" s="7" t="s">
        <v>11715</v>
      </c>
      <c r="D1279" s="7" t="s">
        <v>6749</v>
      </c>
      <c r="E1279" s="7" t="s">
        <v>11717</v>
      </c>
      <c r="F1279" s="7" t="s">
        <v>6750</v>
      </c>
      <c r="G1279" s="7" t="s">
        <v>11722</v>
      </c>
      <c r="H1279" s="7" t="s">
        <v>11723</v>
      </c>
      <c r="I1279" s="119">
        <v>45292.0</v>
      </c>
      <c r="K1279" s="7" t="s">
        <v>419</v>
      </c>
      <c r="L1279" s="7" t="s">
        <v>991</v>
      </c>
      <c r="M1279" s="7" t="s">
        <v>3501</v>
      </c>
      <c r="N1279" s="7" t="s">
        <v>5718</v>
      </c>
      <c r="O1279" s="7" t="s">
        <v>11724</v>
      </c>
      <c r="P1279" s="7" t="s">
        <v>3697</v>
      </c>
      <c r="Q1279" s="7" t="s">
        <v>3710</v>
      </c>
    </row>
    <row r="1280">
      <c r="A1280" s="7" t="s">
        <v>11725</v>
      </c>
      <c r="B1280" s="7">
        <v>12666.0</v>
      </c>
      <c r="C1280" s="7" t="s">
        <v>11715</v>
      </c>
      <c r="D1280" s="7" t="s">
        <v>4686</v>
      </c>
      <c r="E1280" s="7" t="s">
        <v>11717</v>
      </c>
      <c r="F1280" s="7" t="s">
        <v>4687</v>
      </c>
      <c r="G1280" s="7" t="s">
        <v>11726</v>
      </c>
      <c r="H1280" s="7" t="s">
        <v>11727</v>
      </c>
      <c r="I1280" s="119">
        <v>45292.0</v>
      </c>
      <c r="K1280" s="7" t="s">
        <v>419</v>
      </c>
      <c r="L1280" s="7" t="s">
        <v>991</v>
      </c>
      <c r="M1280" s="7" t="s">
        <v>3531</v>
      </c>
      <c r="N1280" s="7" t="s">
        <v>7883</v>
      </c>
      <c r="O1280" s="7" t="s">
        <v>7884</v>
      </c>
      <c r="P1280" s="7" t="s">
        <v>3493</v>
      </c>
      <c r="Q1280" s="7">
        <v>1.0</v>
      </c>
    </row>
    <row r="1281">
      <c r="A1281" s="7" t="s">
        <v>11728</v>
      </c>
      <c r="B1281" s="7">
        <v>13681.0</v>
      </c>
      <c r="C1281" s="7" t="s">
        <v>11715</v>
      </c>
      <c r="D1281" s="7" t="s">
        <v>11729</v>
      </c>
      <c r="E1281" s="7" t="s">
        <v>11717</v>
      </c>
      <c r="F1281" s="7" t="s">
        <v>4751</v>
      </c>
      <c r="G1281" s="7" t="s">
        <v>11730</v>
      </c>
      <c r="H1281" s="7" t="s">
        <v>11731</v>
      </c>
      <c r="I1281" s="119">
        <v>45292.0</v>
      </c>
      <c r="K1281" s="7" t="s">
        <v>3632</v>
      </c>
      <c r="L1281" s="7" t="s">
        <v>991</v>
      </c>
      <c r="M1281" s="7" t="s">
        <v>3501</v>
      </c>
      <c r="N1281" s="7" t="s">
        <v>4542</v>
      </c>
      <c r="O1281" s="7" t="s">
        <v>11732</v>
      </c>
      <c r="P1281" s="7" t="s">
        <v>4154</v>
      </c>
      <c r="Q1281" s="7" t="s">
        <v>3566</v>
      </c>
    </row>
    <row r="1282">
      <c r="A1282" s="7" t="s">
        <v>11733</v>
      </c>
      <c r="B1282" s="7">
        <v>1046.0</v>
      </c>
      <c r="C1282" s="7" t="s">
        <v>11715</v>
      </c>
      <c r="D1282" s="7" t="s">
        <v>11734</v>
      </c>
      <c r="E1282" s="7" t="s">
        <v>11717</v>
      </c>
      <c r="F1282" s="7" t="s">
        <v>11735</v>
      </c>
      <c r="G1282" s="7" t="s">
        <v>11736</v>
      </c>
      <c r="H1282" s="7" t="s">
        <v>11737</v>
      </c>
      <c r="I1282" s="119">
        <v>45292.0</v>
      </c>
      <c r="K1282" s="7" t="s">
        <v>419</v>
      </c>
      <c r="L1282" s="7" t="s">
        <v>991</v>
      </c>
      <c r="M1282" s="7" t="s">
        <v>3501</v>
      </c>
      <c r="N1282" s="7" t="s">
        <v>3724</v>
      </c>
      <c r="O1282" s="7" t="s">
        <v>3725</v>
      </c>
      <c r="P1282" s="7" t="s">
        <v>3604</v>
      </c>
      <c r="Q1282" s="7">
        <v>1.0</v>
      </c>
    </row>
    <row r="1283">
      <c r="A1283" s="7" t="s">
        <v>11738</v>
      </c>
      <c r="B1283" s="7">
        <v>1059.0</v>
      </c>
      <c r="C1283" s="7" t="s">
        <v>11715</v>
      </c>
      <c r="D1283" s="7" t="s">
        <v>11739</v>
      </c>
      <c r="E1283" s="7" t="s">
        <v>11717</v>
      </c>
      <c r="F1283" s="7" t="s">
        <v>11740</v>
      </c>
      <c r="G1283" s="7" t="s">
        <v>11741</v>
      </c>
      <c r="H1283" s="7" t="s">
        <v>11742</v>
      </c>
      <c r="I1283" s="119">
        <v>45292.0</v>
      </c>
      <c r="K1283" s="7" t="s">
        <v>6124</v>
      </c>
      <c r="L1283" s="7" t="s">
        <v>3542</v>
      </c>
      <c r="M1283" s="7" t="s">
        <v>4383</v>
      </c>
      <c r="N1283" s="7" t="s">
        <v>6125</v>
      </c>
      <c r="O1283" s="7" t="s">
        <v>6126</v>
      </c>
      <c r="P1283" s="7" t="s">
        <v>3522</v>
      </c>
      <c r="Q1283" s="7" t="s">
        <v>3514</v>
      </c>
    </row>
    <row r="1284">
      <c r="A1284" s="7" t="s">
        <v>11743</v>
      </c>
      <c r="B1284" s="7">
        <v>11348.0</v>
      </c>
      <c r="C1284" s="7" t="s">
        <v>11715</v>
      </c>
      <c r="D1284" s="7" t="s">
        <v>11744</v>
      </c>
      <c r="E1284" s="7" t="s">
        <v>11717</v>
      </c>
      <c r="F1284" s="7" t="s">
        <v>6262</v>
      </c>
      <c r="G1284" s="7" t="s">
        <v>11745</v>
      </c>
      <c r="H1284" s="7" t="s">
        <v>11746</v>
      </c>
      <c r="I1284" s="119">
        <v>45292.0</v>
      </c>
      <c r="K1284" s="7" t="s">
        <v>419</v>
      </c>
      <c r="L1284" s="7" t="s">
        <v>991</v>
      </c>
      <c r="M1284" s="7" t="s">
        <v>3501</v>
      </c>
      <c r="N1284" s="7" t="s">
        <v>4720</v>
      </c>
      <c r="O1284" s="7" t="s">
        <v>11747</v>
      </c>
      <c r="P1284" s="7" t="s">
        <v>4154</v>
      </c>
      <c r="Q1284" s="7" t="s">
        <v>3555</v>
      </c>
    </row>
    <row r="1285">
      <c r="A1285" s="7" t="s">
        <v>11748</v>
      </c>
      <c r="B1285" s="7">
        <v>2100483.0</v>
      </c>
      <c r="C1285" s="7" t="s">
        <v>11749</v>
      </c>
      <c r="D1285" s="7" t="s">
        <v>11750</v>
      </c>
      <c r="E1285" s="7" t="s">
        <v>11751</v>
      </c>
      <c r="F1285" s="7" t="s">
        <v>10071</v>
      </c>
      <c r="G1285" s="7" t="s">
        <v>11752</v>
      </c>
      <c r="H1285" s="7" t="s">
        <v>11753</v>
      </c>
      <c r="I1285" s="119">
        <v>45292.0</v>
      </c>
      <c r="K1285" s="7" t="s">
        <v>419</v>
      </c>
      <c r="L1285" s="7" t="s">
        <v>991</v>
      </c>
      <c r="M1285" s="7" t="s">
        <v>3501</v>
      </c>
      <c r="N1285" s="7" t="s">
        <v>5755</v>
      </c>
      <c r="O1285" s="7" t="s">
        <v>5756</v>
      </c>
      <c r="P1285" s="7" t="s">
        <v>3493</v>
      </c>
      <c r="Q1285" s="7">
        <v>1.0</v>
      </c>
    </row>
    <row r="1286">
      <c r="A1286" s="7" t="s">
        <v>11754</v>
      </c>
      <c r="B1286" s="7">
        <v>11016.0</v>
      </c>
      <c r="C1286" s="7" t="s">
        <v>11755</v>
      </c>
      <c r="D1286" s="7" t="s">
        <v>11756</v>
      </c>
      <c r="E1286" s="7" t="s">
        <v>11757</v>
      </c>
      <c r="F1286" s="7" t="s">
        <v>9981</v>
      </c>
      <c r="G1286" s="7" t="s">
        <v>11758</v>
      </c>
      <c r="H1286" s="7" t="s">
        <v>11759</v>
      </c>
      <c r="I1286" s="119">
        <v>45292.0</v>
      </c>
      <c r="K1286" s="7" t="s">
        <v>419</v>
      </c>
      <c r="L1286" s="7" t="s">
        <v>991</v>
      </c>
      <c r="M1286" s="7" t="s">
        <v>3501</v>
      </c>
      <c r="N1286" s="7" t="s">
        <v>6274</v>
      </c>
      <c r="O1286" s="7" t="s">
        <v>8357</v>
      </c>
      <c r="P1286" s="7" t="s">
        <v>3493</v>
      </c>
      <c r="Q1286" s="7">
        <v>1.0</v>
      </c>
    </row>
    <row r="1287">
      <c r="A1287" s="7" t="s">
        <v>11760</v>
      </c>
      <c r="B1287" s="7">
        <v>2200018.0</v>
      </c>
      <c r="C1287" s="7" t="s">
        <v>11755</v>
      </c>
      <c r="D1287" s="7" t="s">
        <v>5632</v>
      </c>
      <c r="E1287" s="7" t="s">
        <v>11757</v>
      </c>
      <c r="F1287" s="7" t="s">
        <v>3508</v>
      </c>
      <c r="G1287" s="7" t="s">
        <v>11761</v>
      </c>
      <c r="H1287" s="7" t="s">
        <v>11762</v>
      </c>
      <c r="I1287" s="119">
        <v>45292.0</v>
      </c>
      <c r="K1287" s="7" t="s">
        <v>419</v>
      </c>
      <c r="L1287" s="7" t="s">
        <v>991</v>
      </c>
      <c r="M1287" s="7" t="s">
        <v>3501</v>
      </c>
      <c r="N1287" s="7" t="s">
        <v>6265</v>
      </c>
      <c r="O1287" s="7" t="s">
        <v>6266</v>
      </c>
      <c r="P1287" s="7" t="s">
        <v>3493</v>
      </c>
      <c r="Q1287" s="7">
        <v>1.0</v>
      </c>
    </row>
    <row r="1288">
      <c r="A1288" s="7" t="s">
        <v>11763</v>
      </c>
      <c r="B1288" s="7">
        <v>13206.0</v>
      </c>
      <c r="C1288" s="7" t="s">
        <v>11755</v>
      </c>
      <c r="D1288" s="7" t="s">
        <v>11764</v>
      </c>
      <c r="E1288" s="7" t="s">
        <v>11757</v>
      </c>
      <c r="F1288" s="7" t="s">
        <v>4960</v>
      </c>
      <c r="G1288" s="7" t="s">
        <v>11765</v>
      </c>
      <c r="H1288" s="7" t="s">
        <v>11766</v>
      </c>
      <c r="I1288" s="119">
        <v>45292.0</v>
      </c>
      <c r="K1288" s="7" t="s">
        <v>419</v>
      </c>
      <c r="L1288" s="7" t="s">
        <v>991</v>
      </c>
      <c r="M1288" s="7" t="s">
        <v>3501</v>
      </c>
      <c r="N1288" s="7" t="s">
        <v>3733</v>
      </c>
      <c r="O1288" s="7" t="s">
        <v>3734</v>
      </c>
      <c r="P1288" s="7" t="s">
        <v>3493</v>
      </c>
      <c r="Q1288" s="7">
        <v>1.0</v>
      </c>
    </row>
    <row r="1289">
      <c r="A1289" s="7" t="s">
        <v>11767</v>
      </c>
      <c r="B1289" s="7">
        <v>2300519.0</v>
      </c>
      <c r="C1289" s="7" t="s">
        <v>11755</v>
      </c>
      <c r="D1289" s="7" t="s">
        <v>11768</v>
      </c>
      <c r="E1289" s="7" t="s">
        <v>11757</v>
      </c>
      <c r="F1289" s="7" t="s">
        <v>10306</v>
      </c>
      <c r="G1289" s="7" t="s">
        <v>11769</v>
      </c>
      <c r="I1289" s="119">
        <v>45292.0</v>
      </c>
      <c r="K1289" s="7" t="s">
        <v>419</v>
      </c>
      <c r="L1289" s="7" t="s">
        <v>991</v>
      </c>
      <c r="M1289" s="7" t="s">
        <v>3531</v>
      </c>
      <c r="N1289" s="7" t="s">
        <v>3820</v>
      </c>
      <c r="O1289" s="7" t="s">
        <v>3821</v>
      </c>
      <c r="P1289" s="7" t="s">
        <v>3493</v>
      </c>
      <c r="Q1289" s="7">
        <v>1.0</v>
      </c>
    </row>
    <row r="1290">
      <c r="A1290" s="7" t="s">
        <v>11770</v>
      </c>
      <c r="B1290" s="7">
        <v>11969.0</v>
      </c>
      <c r="C1290" s="7" t="s">
        <v>11755</v>
      </c>
      <c r="D1290" s="7" t="s">
        <v>11771</v>
      </c>
      <c r="E1290" s="7" t="s">
        <v>11757</v>
      </c>
      <c r="F1290" s="7" t="s">
        <v>11772</v>
      </c>
      <c r="G1290" s="7" t="s">
        <v>11773</v>
      </c>
      <c r="H1290" s="7" t="s">
        <v>11774</v>
      </c>
      <c r="I1290" s="119">
        <v>45292.0</v>
      </c>
      <c r="K1290" s="7" t="s">
        <v>3489</v>
      </c>
      <c r="L1290" s="7" t="s">
        <v>991</v>
      </c>
      <c r="M1290" s="7" t="s">
        <v>3490</v>
      </c>
      <c r="N1290" s="7" t="s">
        <v>3491</v>
      </c>
      <c r="O1290" s="7" t="s">
        <v>3492</v>
      </c>
      <c r="P1290" s="7" t="s">
        <v>3493</v>
      </c>
      <c r="Q1290" s="7">
        <v>1.0</v>
      </c>
    </row>
    <row r="1291">
      <c r="A1291" s="7" t="s">
        <v>11775</v>
      </c>
      <c r="B1291" s="7">
        <v>2200075.0</v>
      </c>
      <c r="C1291" s="7" t="s">
        <v>11755</v>
      </c>
      <c r="D1291" s="7" t="s">
        <v>11776</v>
      </c>
      <c r="E1291" s="7" t="s">
        <v>11757</v>
      </c>
      <c r="F1291" s="7" t="s">
        <v>10491</v>
      </c>
      <c r="G1291" s="7" t="s">
        <v>11777</v>
      </c>
      <c r="H1291" s="7" t="s">
        <v>11778</v>
      </c>
      <c r="I1291" s="119">
        <v>45292.0</v>
      </c>
      <c r="K1291" s="7" t="s">
        <v>419</v>
      </c>
      <c r="L1291" s="7" t="s">
        <v>991</v>
      </c>
      <c r="M1291" s="7" t="s">
        <v>3501</v>
      </c>
      <c r="N1291" s="7" t="s">
        <v>11779</v>
      </c>
      <c r="O1291" s="7" t="s">
        <v>11780</v>
      </c>
      <c r="P1291" s="7" t="s">
        <v>3493</v>
      </c>
      <c r="Q1291" s="7">
        <v>1.0</v>
      </c>
    </row>
    <row r="1292">
      <c r="A1292" s="7" t="s">
        <v>1743</v>
      </c>
      <c r="B1292" s="7">
        <v>10756.0</v>
      </c>
      <c r="C1292" s="7" t="s">
        <v>11755</v>
      </c>
      <c r="D1292" s="7" t="s">
        <v>11781</v>
      </c>
      <c r="E1292" s="7" t="s">
        <v>11757</v>
      </c>
      <c r="F1292" s="7" t="s">
        <v>10171</v>
      </c>
      <c r="G1292" s="7" t="s">
        <v>11782</v>
      </c>
      <c r="H1292" s="7" t="s">
        <v>11783</v>
      </c>
      <c r="I1292" s="119">
        <v>45292.0</v>
      </c>
      <c r="K1292" s="7" t="s">
        <v>419</v>
      </c>
      <c r="L1292" s="7" t="s">
        <v>991</v>
      </c>
      <c r="M1292" s="7" t="s">
        <v>3501</v>
      </c>
      <c r="N1292" s="7" t="s">
        <v>11784</v>
      </c>
      <c r="O1292" s="7" t="s">
        <v>11785</v>
      </c>
      <c r="P1292" s="7" t="s">
        <v>3843</v>
      </c>
      <c r="Q1292" s="7">
        <v>1.0</v>
      </c>
    </row>
    <row r="1293">
      <c r="A1293" s="7" t="s">
        <v>11786</v>
      </c>
      <c r="B1293" s="7">
        <v>199.0</v>
      </c>
      <c r="C1293" s="7" t="s">
        <v>11787</v>
      </c>
      <c r="D1293" s="7" t="s">
        <v>11788</v>
      </c>
      <c r="E1293" s="7" t="s">
        <v>11789</v>
      </c>
      <c r="F1293" s="7" t="s">
        <v>11790</v>
      </c>
      <c r="G1293" s="7" t="s">
        <v>11791</v>
      </c>
      <c r="H1293" s="7" t="s">
        <v>11792</v>
      </c>
      <c r="I1293" s="119">
        <v>45292.0</v>
      </c>
      <c r="K1293" s="7" t="s">
        <v>419</v>
      </c>
      <c r="L1293" s="7" t="s">
        <v>991</v>
      </c>
      <c r="M1293" s="7" t="s">
        <v>3501</v>
      </c>
      <c r="N1293" s="7" t="s">
        <v>11793</v>
      </c>
      <c r="O1293" s="7" t="s">
        <v>11794</v>
      </c>
      <c r="P1293" s="7" t="s">
        <v>3894</v>
      </c>
      <c r="Q1293" s="7" t="s">
        <v>3523</v>
      </c>
    </row>
    <row r="1294">
      <c r="A1294" s="7" t="s">
        <v>11795</v>
      </c>
      <c r="B1294" s="7">
        <v>2200254.0</v>
      </c>
      <c r="C1294" s="7" t="s">
        <v>11796</v>
      </c>
      <c r="D1294" s="7" t="s">
        <v>4066</v>
      </c>
      <c r="E1294" s="7" t="s">
        <v>11797</v>
      </c>
      <c r="F1294" s="7" t="s">
        <v>4068</v>
      </c>
      <c r="G1294" s="7" t="s">
        <v>11798</v>
      </c>
      <c r="H1294" s="7" t="s">
        <v>11799</v>
      </c>
      <c r="I1294" s="119">
        <v>45292.0</v>
      </c>
      <c r="K1294" s="7" t="s">
        <v>419</v>
      </c>
      <c r="L1294" s="7" t="s">
        <v>991</v>
      </c>
      <c r="M1294" s="7" t="s">
        <v>3501</v>
      </c>
      <c r="N1294" s="7" t="s">
        <v>4028</v>
      </c>
      <c r="O1294" s="7" t="s">
        <v>4029</v>
      </c>
      <c r="P1294" s="7" t="s">
        <v>3493</v>
      </c>
      <c r="Q1294" s="7">
        <v>1.0</v>
      </c>
    </row>
    <row r="1295">
      <c r="A1295" s="7" t="s">
        <v>11800</v>
      </c>
      <c r="B1295" s="7">
        <v>2200309.0</v>
      </c>
      <c r="C1295" s="7" t="s">
        <v>11801</v>
      </c>
      <c r="D1295" s="7" t="s">
        <v>11802</v>
      </c>
      <c r="E1295" s="7" t="s">
        <v>11803</v>
      </c>
      <c r="F1295" s="7" t="s">
        <v>11804</v>
      </c>
      <c r="G1295" s="7" t="s">
        <v>11805</v>
      </c>
      <c r="I1295" s="119">
        <v>45292.0</v>
      </c>
      <c r="K1295" s="7" t="s">
        <v>419</v>
      </c>
      <c r="L1295" s="7" t="s">
        <v>991</v>
      </c>
      <c r="M1295" s="7" t="s">
        <v>3531</v>
      </c>
      <c r="N1295" s="7" t="s">
        <v>3820</v>
      </c>
      <c r="O1295" s="7" t="s">
        <v>3821</v>
      </c>
      <c r="P1295" s="7" t="s">
        <v>3493</v>
      </c>
      <c r="Q1295" s="7">
        <v>1.0</v>
      </c>
    </row>
    <row r="1296">
      <c r="A1296" s="7" t="s">
        <v>11806</v>
      </c>
      <c r="B1296" s="7">
        <v>13860.0</v>
      </c>
      <c r="C1296" s="7" t="s">
        <v>11807</v>
      </c>
      <c r="D1296" s="7" t="s">
        <v>11808</v>
      </c>
      <c r="E1296" s="7" t="s">
        <v>11809</v>
      </c>
      <c r="F1296" s="7" t="s">
        <v>4677</v>
      </c>
      <c r="G1296" s="7" t="s">
        <v>11810</v>
      </c>
      <c r="H1296" s="7" t="s">
        <v>11811</v>
      </c>
      <c r="I1296" s="119">
        <v>45292.0</v>
      </c>
      <c r="K1296" s="7" t="s">
        <v>419</v>
      </c>
      <c r="L1296" s="7" t="s">
        <v>991</v>
      </c>
      <c r="M1296" s="7" t="s">
        <v>3531</v>
      </c>
      <c r="N1296" s="7" t="s">
        <v>10829</v>
      </c>
      <c r="O1296" s="7" t="s">
        <v>10830</v>
      </c>
      <c r="P1296" s="7" t="s">
        <v>3493</v>
      </c>
      <c r="Q1296" s="7">
        <v>1.0</v>
      </c>
    </row>
    <row r="1297">
      <c r="A1297" s="7" t="s">
        <v>11812</v>
      </c>
      <c r="B1297" s="7">
        <v>11956.0</v>
      </c>
      <c r="C1297" s="7" t="s">
        <v>11813</v>
      </c>
      <c r="D1297" s="7" t="s">
        <v>11814</v>
      </c>
      <c r="E1297" s="7" t="s">
        <v>11815</v>
      </c>
      <c r="F1297" s="7" t="s">
        <v>3665</v>
      </c>
      <c r="G1297" s="7" t="s">
        <v>11816</v>
      </c>
      <c r="H1297" s="7" t="s">
        <v>11817</v>
      </c>
      <c r="I1297" s="119">
        <v>45292.0</v>
      </c>
      <c r="K1297" s="7" t="s">
        <v>419</v>
      </c>
      <c r="L1297" s="7" t="s">
        <v>991</v>
      </c>
      <c r="M1297" s="7" t="s">
        <v>3501</v>
      </c>
      <c r="N1297" s="7" t="s">
        <v>4127</v>
      </c>
      <c r="O1297" s="7" t="s">
        <v>4128</v>
      </c>
      <c r="P1297" s="7" t="s">
        <v>3843</v>
      </c>
      <c r="Q1297" s="7">
        <v>1.0</v>
      </c>
    </row>
    <row r="1298">
      <c r="A1298" s="7" t="s">
        <v>11818</v>
      </c>
      <c r="B1298" s="7">
        <v>2300552.0</v>
      </c>
      <c r="C1298" s="7" t="s">
        <v>11819</v>
      </c>
      <c r="D1298" s="7" t="s">
        <v>11089</v>
      </c>
      <c r="E1298" s="7" t="s">
        <v>11820</v>
      </c>
      <c r="F1298" s="7" t="s">
        <v>11089</v>
      </c>
      <c r="G1298" s="7" t="s">
        <v>11821</v>
      </c>
      <c r="H1298" s="7" t="s">
        <v>11822</v>
      </c>
      <c r="I1298" s="119">
        <v>45292.0</v>
      </c>
      <c r="K1298" s="7" t="s">
        <v>419</v>
      </c>
      <c r="L1298" s="7" t="s">
        <v>991</v>
      </c>
      <c r="M1298" s="7" t="s">
        <v>3531</v>
      </c>
      <c r="N1298" s="7" t="s">
        <v>7131</v>
      </c>
      <c r="O1298" s="7" t="s">
        <v>7132</v>
      </c>
      <c r="P1298" s="7" t="s">
        <v>3493</v>
      </c>
      <c r="Q1298" s="7">
        <v>1.0</v>
      </c>
    </row>
    <row r="1299">
      <c r="A1299" s="7" t="s">
        <v>11823</v>
      </c>
      <c r="B1299" s="7">
        <v>2200012.0</v>
      </c>
      <c r="C1299" s="7" t="s">
        <v>11824</v>
      </c>
      <c r="D1299" s="7" t="s">
        <v>11825</v>
      </c>
      <c r="E1299" s="7" t="s">
        <v>11826</v>
      </c>
      <c r="F1299" s="7" t="s">
        <v>11827</v>
      </c>
      <c r="G1299" s="7" t="s">
        <v>11828</v>
      </c>
      <c r="H1299" s="7" t="s">
        <v>11829</v>
      </c>
      <c r="I1299" s="119">
        <v>45292.0</v>
      </c>
      <c r="K1299" s="7" t="s">
        <v>419</v>
      </c>
      <c r="L1299" s="7" t="s">
        <v>991</v>
      </c>
      <c r="M1299" s="7" t="s">
        <v>3501</v>
      </c>
      <c r="N1299" s="7" t="s">
        <v>8219</v>
      </c>
      <c r="O1299" s="7" t="s">
        <v>11830</v>
      </c>
      <c r="P1299" s="7" t="s">
        <v>3493</v>
      </c>
      <c r="Q1299" s="7">
        <v>1.0</v>
      </c>
    </row>
    <row r="1300">
      <c r="A1300" s="7" t="s">
        <v>11831</v>
      </c>
      <c r="B1300" s="7">
        <v>13596.0</v>
      </c>
      <c r="C1300" s="7" t="s">
        <v>11824</v>
      </c>
      <c r="D1300" s="7" t="s">
        <v>11832</v>
      </c>
      <c r="E1300" s="7" t="s">
        <v>11833</v>
      </c>
      <c r="F1300" s="7" t="s">
        <v>5514</v>
      </c>
      <c r="G1300" s="7" t="s">
        <v>11834</v>
      </c>
      <c r="H1300" s="7" t="s">
        <v>11835</v>
      </c>
      <c r="I1300" s="119">
        <v>45292.0</v>
      </c>
      <c r="K1300" s="7" t="s">
        <v>419</v>
      </c>
      <c r="L1300" s="7" t="s">
        <v>991</v>
      </c>
      <c r="M1300" s="7" t="s">
        <v>3501</v>
      </c>
      <c r="N1300" s="7" t="s">
        <v>6568</v>
      </c>
      <c r="O1300" s="7" t="s">
        <v>6569</v>
      </c>
      <c r="P1300" s="7" t="s">
        <v>3493</v>
      </c>
      <c r="Q1300" s="7">
        <v>1.0</v>
      </c>
    </row>
    <row r="1301">
      <c r="A1301" s="7" t="s">
        <v>11836</v>
      </c>
      <c r="B1301" s="7">
        <v>2100015.0</v>
      </c>
      <c r="C1301" s="7" t="s">
        <v>3727</v>
      </c>
      <c r="D1301" s="7" t="s">
        <v>7998</v>
      </c>
      <c r="E1301" s="7" t="s">
        <v>11837</v>
      </c>
      <c r="F1301" s="7" t="s">
        <v>6202</v>
      </c>
      <c r="G1301" s="7" t="s">
        <v>11838</v>
      </c>
      <c r="H1301" s="7" t="s">
        <v>11839</v>
      </c>
      <c r="I1301" s="119">
        <v>45292.0</v>
      </c>
      <c r="K1301" s="7" t="s">
        <v>419</v>
      </c>
      <c r="L1301" s="7" t="s">
        <v>991</v>
      </c>
      <c r="M1301" s="7" t="s">
        <v>3490</v>
      </c>
      <c r="N1301" s="7" t="s">
        <v>6345</v>
      </c>
      <c r="O1301" s="7" t="s">
        <v>6346</v>
      </c>
      <c r="P1301" s="7" t="s">
        <v>3493</v>
      </c>
      <c r="Q1301" s="7">
        <v>1.0</v>
      </c>
    </row>
    <row r="1302">
      <c r="A1302" s="7" t="s">
        <v>11840</v>
      </c>
      <c r="B1302" s="7">
        <v>2200421.0</v>
      </c>
      <c r="C1302" s="7" t="s">
        <v>11841</v>
      </c>
      <c r="D1302" s="7" t="s">
        <v>11842</v>
      </c>
      <c r="E1302" s="7" t="s">
        <v>11843</v>
      </c>
      <c r="F1302" s="7" t="s">
        <v>4677</v>
      </c>
      <c r="G1302" s="7" t="s">
        <v>11844</v>
      </c>
      <c r="H1302" s="7" t="s">
        <v>11845</v>
      </c>
      <c r="I1302" s="119">
        <v>45292.0</v>
      </c>
      <c r="K1302" s="7" t="s">
        <v>419</v>
      </c>
      <c r="L1302" s="7" t="s">
        <v>991</v>
      </c>
      <c r="M1302" s="7" t="s">
        <v>3531</v>
      </c>
      <c r="N1302" s="7" t="s">
        <v>4444</v>
      </c>
      <c r="O1302" s="7" t="s">
        <v>4445</v>
      </c>
      <c r="P1302" s="7" t="s">
        <v>3493</v>
      </c>
      <c r="Q1302" s="7">
        <v>1.0</v>
      </c>
    </row>
    <row r="1303">
      <c r="A1303" s="7" t="s">
        <v>11846</v>
      </c>
      <c r="B1303" s="7">
        <v>2200223.0</v>
      </c>
      <c r="C1303" s="7" t="s">
        <v>11847</v>
      </c>
      <c r="D1303" s="7" t="s">
        <v>11848</v>
      </c>
      <c r="E1303" s="7" t="s">
        <v>11849</v>
      </c>
      <c r="F1303" s="7" t="s">
        <v>11850</v>
      </c>
      <c r="G1303" s="7" t="s">
        <v>11851</v>
      </c>
      <c r="H1303" s="7" t="s">
        <v>11852</v>
      </c>
      <c r="I1303" s="119">
        <v>45292.0</v>
      </c>
      <c r="K1303" s="7" t="s">
        <v>419</v>
      </c>
      <c r="L1303" s="7" t="s">
        <v>991</v>
      </c>
      <c r="M1303" s="7" t="s">
        <v>3501</v>
      </c>
      <c r="N1303" s="7" t="s">
        <v>11344</v>
      </c>
      <c r="O1303" s="7" t="s">
        <v>11345</v>
      </c>
      <c r="P1303" s="7" t="s">
        <v>3493</v>
      </c>
      <c r="Q1303" s="7">
        <v>1.0</v>
      </c>
    </row>
    <row r="1304">
      <c r="A1304" s="7" t="s">
        <v>11853</v>
      </c>
      <c r="B1304" s="7">
        <v>12758.0</v>
      </c>
      <c r="C1304" s="7" t="s">
        <v>11854</v>
      </c>
      <c r="D1304" s="7" t="s">
        <v>11855</v>
      </c>
      <c r="E1304" s="7" t="s">
        <v>11856</v>
      </c>
      <c r="F1304" s="7" t="s">
        <v>9975</v>
      </c>
      <c r="G1304" s="7" t="s">
        <v>11857</v>
      </c>
      <c r="H1304" s="7" t="s">
        <v>11858</v>
      </c>
      <c r="I1304" s="119">
        <v>45292.0</v>
      </c>
      <c r="K1304" s="7" t="s">
        <v>419</v>
      </c>
      <c r="L1304" s="7" t="s">
        <v>991</v>
      </c>
      <c r="M1304" s="7" t="s">
        <v>3501</v>
      </c>
      <c r="N1304" s="7" t="s">
        <v>7883</v>
      </c>
      <c r="O1304" s="7" t="s">
        <v>7884</v>
      </c>
      <c r="P1304" s="7" t="s">
        <v>3493</v>
      </c>
      <c r="Q1304" s="7">
        <v>1.0</v>
      </c>
    </row>
    <row r="1305">
      <c r="A1305" s="7" t="s">
        <v>11859</v>
      </c>
      <c r="B1305" s="7">
        <v>13809.0</v>
      </c>
      <c r="C1305" s="7" t="s">
        <v>11860</v>
      </c>
      <c r="D1305" s="7" t="s">
        <v>11861</v>
      </c>
      <c r="E1305" s="7" t="s">
        <v>11862</v>
      </c>
      <c r="F1305" s="7" t="s">
        <v>3869</v>
      </c>
      <c r="G1305" s="7" t="s">
        <v>11863</v>
      </c>
      <c r="H1305" s="7" t="s">
        <v>11864</v>
      </c>
      <c r="I1305" s="119">
        <v>45292.0</v>
      </c>
      <c r="K1305" s="7" t="s">
        <v>419</v>
      </c>
      <c r="L1305" s="7" t="s">
        <v>991</v>
      </c>
      <c r="M1305" s="7" t="s">
        <v>3501</v>
      </c>
      <c r="N1305" s="7" t="s">
        <v>10135</v>
      </c>
      <c r="O1305" s="7" t="s">
        <v>11865</v>
      </c>
      <c r="P1305" s="7" t="s">
        <v>3493</v>
      </c>
      <c r="Q1305" s="7">
        <v>1.0</v>
      </c>
    </row>
    <row r="1306">
      <c r="A1306" s="7" t="s">
        <v>11866</v>
      </c>
      <c r="B1306" s="7">
        <v>2300624.0</v>
      </c>
      <c r="C1306" s="7" t="s">
        <v>11867</v>
      </c>
      <c r="D1306" s="7" t="s">
        <v>11868</v>
      </c>
      <c r="E1306" s="7" t="s">
        <v>11869</v>
      </c>
      <c r="F1306" s="7" t="s">
        <v>5155</v>
      </c>
      <c r="G1306" s="7" t="s">
        <v>11870</v>
      </c>
      <c r="H1306" s="7" t="s">
        <v>11871</v>
      </c>
      <c r="I1306" s="119">
        <v>45292.0</v>
      </c>
      <c r="K1306" s="7" t="s">
        <v>419</v>
      </c>
      <c r="L1306" s="7" t="s">
        <v>991</v>
      </c>
      <c r="M1306" s="7" t="s">
        <v>3501</v>
      </c>
      <c r="N1306" s="7" t="s">
        <v>10018</v>
      </c>
      <c r="O1306" s="7" t="s">
        <v>10019</v>
      </c>
      <c r="P1306" s="7" t="s">
        <v>3493</v>
      </c>
      <c r="Q1306" s="7">
        <v>1.0</v>
      </c>
    </row>
    <row r="1307">
      <c r="A1307" s="7" t="s">
        <v>11872</v>
      </c>
      <c r="B1307" s="7">
        <v>11620.0</v>
      </c>
      <c r="C1307" s="7" t="s">
        <v>11873</v>
      </c>
      <c r="D1307" s="7" t="s">
        <v>11874</v>
      </c>
      <c r="E1307" s="7" t="s">
        <v>11875</v>
      </c>
      <c r="F1307" s="7" t="s">
        <v>11876</v>
      </c>
      <c r="G1307" s="7" t="s">
        <v>11877</v>
      </c>
      <c r="H1307" s="7" t="s">
        <v>11878</v>
      </c>
      <c r="I1307" s="119">
        <v>45292.0</v>
      </c>
      <c r="K1307" s="7" t="s">
        <v>419</v>
      </c>
      <c r="L1307" s="7" t="s">
        <v>991</v>
      </c>
      <c r="M1307" s="7" t="s">
        <v>3501</v>
      </c>
      <c r="N1307" s="7" t="s">
        <v>5655</v>
      </c>
      <c r="O1307" s="7" t="s">
        <v>11879</v>
      </c>
      <c r="P1307" s="7" t="s">
        <v>3522</v>
      </c>
      <c r="Q1307" s="7" t="s">
        <v>3523</v>
      </c>
    </row>
    <row r="1308">
      <c r="A1308" s="7" t="s">
        <v>1754</v>
      </c>
      <c r="B1308" s="7">
        <v>10445.0</v>
      </c>
      <c r="C1308" s="7" t="s">
        <v>11880</v>
      </c>
      <c r="D1308" s="7" t="s">
        <v>5056</v>
      </c>
      <c r="E1308" s="7" t="s">
        <v>11881</v>
      </c>
      <c r="F1308" s="7" t="s">
        <v>9001</v>
      </c>
      <c r="G1308" s="7" t="s">
        <v>11882</v>
      </c>
      <c r="H1308" s="7" t="s">
        <v>11883</v>
      </c>
      <c r="I1308" s="119">
        <v>45292.0</v>
      </c>
      <c r="K1308" s="7" t="s">
        <v>419</v>
      </c>
      <c r="L1308" s="7" t="s">
        <v>991</v>
      </c>
      <c r="M1308" s="7" t="s">
        <v>3501</v>
      </c>
      <c r="N1308" s="7" t="s">
        <v>11884</v>
      </c>
      <c r="O1308" s="7" t="s">
        <v>11885</v>
      </c>
      <c r="P1308" s="7" t="s">
        <v>4420</v>
      </c>
      <c r="Q1308" s="7" t="s">
        <v>3523</v>
      </c>
    </row>
    <row r="1309">
      <c r="A1309" s="7" t="s">
        <v>11886</v>
      </c>
      <c r="B1309" s="7">
        <v>14358.0</v>
      </c>
      <c r="C1309" s="7" t="s">
        <v>11887</v>
      </c>
      <c r="D1309" s="7" t="s">
        <v>11888</v>
      </c>
      <c r="E1309" s="7" t="s">
        <v>11889</v>
      </c>
      <c r="F1309" s="7" t="s">
        <v>11890</v>
      </c>
      <c r="G1309" s="7" t="s">
        <v>11891</v>
      </c>
      <c r="H1309" s="7" t="s">
        <v>11892</v>
      </c>
      <c r="I1309" s="119">
        <v>45292.0</v>
      </c>
      <c r="K1309" s="7" t="s">
        <v>4206</v>
      </c>
      <c r="L1309" s="7" t="s">
        <v>3542</v>
      </c>
      <c r="M1309" s="7" t="s">
        <v>3543</v>
      </c>
      <c r="N1309" s="7" t="s">
        <v>4207</v>
      </c>
      <c r="O1309" s="7" t="s">
        <v>4208</v>
      </c>
      <c r="P1309" s="7" t="s">
        <v>3522</v>
      </c>
      <c r="Q1309" s="7" t="s">
        <v>3514</v>
      </c>
    </row>
    <row r="1310">
      <c r="A1310" s="7" t="s">
        <v>11893</v>
      </c>
      <c r="B1310" s="7">
        <v>2100314.0</v>
      </c>
      <c r="C1310" s="7" t="s">
        <v>11894</v>
      </c>
      <c r="D1310" s="7" t="s">
        <v>6749</v>
      </c>
      <c r="E1310" s="7" t="s">
        <v>11895</v>
      </c>
      <c r="F1310" s="7" t="s">
        <v>6750</v>
      </c>
      <c r="G1310" s="7" t="s">
        <v>11896</v>
      </c>
      <c r="H1310" s="7" t="s">
        <v>11897</v>
      </c>
      <c r="I1310" s="119">
        <v>45292.0</v>
      </c>
      <c r="K1310" s="7" t="s">
        <v>419</v>
      </c>
      <c r="L1310" s="7" t="s">
        <v>991</v>
      </c>
      <c r="M1310" s="7" t="s">
        <v>3501</v>
      </c>
      <c r="N1310" s="7" t="s">
        <v>11898</v>
      </c>
      <c r="O1310" s="7" t="s">
        <v>11899</v>
      </c>
      <c r="P1310" s="7" t="s">
        <v>3493</v>
      </c>
      <c r="Q1310" s="7">
        <v>1.0</v>
      </c>
    </row>
    <row r="1311">
      <c r="A1311" s="7" t="s">
        <v>11900</v>
      </c>
      <c r="B1311" s="7">
        <v>2300541.0</v>
      </c>
      <c r="C1311" s="7" t="s">
        <v>11901</v>
      </c>
      <c r="D1311" s="7" t="s">
        <v>4597</v>
      </c>
      <c r="E1311" s="7" t="s">
        <v>11895</v>
      </c>
      <c r="F1311" s="7" t="s">
        <v>4598</v>
      </c>
      <c r="G1311" s="7" t="s">
        <v>11902</v>
      </c>
      <c r="H1311" s="7" t="s">
        <v>11903</v>
      </c>
      <c r="I1311" s="119">
        <v>45292.0</v>
      </c>
      <c r="K1311" s="7" t="s">
        <v>419</v>
      </c>
      <c r="L1311" s="7" t="s">
        <v>991</v>
      </c>
      <c r="M1311" s="7" t="s">
        <v>3531</v>
      </c>
      <c r="N1311" s="7" t="s">
        <v>6624</v>
      </c>
      <c r="O1311" s="7" t="s">
        <v>9604</v>
      </c>
      <c r="P1311" s="7" t="s">
        <v>3493</v>
      </c>
      <c r="Q1311" s="7">
        <v>1.0</v>
      </c>
    </row>
    <row r="1312">
      <c r="A1312" s="7" t="s">
        <v>11904</v>
      </c>
      <c r="B1312" s="7">
        <v>2300452.0</v>
      </c>
      <c r="C1312" s="7" t="s">
        <v>11905</v>
      </c>
      <c r="D1312" s="7" t="s">
        <v>11906</v>
      </c>
      <c r="E1312" s="7" t="s">
        <v>11907</v>
      </c>
      <c r="F1312" s="7" t="s">
        <v>11906</v>
      </c>
      <c r="G1312" s="7" t="s">
        <v>11908</v>
      </c>
      <c r="H1312" s="7" t="s">
        <v>11909</v>
      </c>
      <c r="I1312" s="119">
        <v>45292.0</v>
      </c>
      <c r="K1312" s="7" t="s">
        <v>419</v>
      </c>
      <c r="L1312" s="7" t="s">
        <v>991</v>
      </c>
      <c r="M1312" s="7" t="s">
        <v>3531</v>
      </c>
      <c r="N1312" s="7" t="s">
        <v>3742</v>
      </c>
      <c r="O1312" s="7" t="s">
        <v>3743</v>
      </c>
      <c r="P1312" s="7" t="s">
        <v>3493</v>
      </c>
      <c r="Q1312" s="7">
        <v>1.0</v>
      </c>
    </row>
    <row r="1313">
      <c r="A1313" s="7" t="s">
        <v>11910</v>
      </c>
      <c r="B1313" s="7">
        <v>2200080.0</v>
      </c>
      <c r="C1313" s="7" t="s">
        <v>11905</v>
      </c>
      <c r="D1313" s="7" t="s">
        <v>11911</v>
      </c>
      <c r="E1313" s="7" t="s">
        <v>11907</v>
      </c>
      <c r="F1313" s="7" t="s">
        <v>11912</v>
      </c>
      <c r="G1313" s="7" t="s">
        <v>11913</v>
      </c>
      <c r="H1313" s="7" t="s">
        <v>11914</v>
      </c>
      <c r="I1313" s="119">
        <v>45292.0</v>
      </c>
      <c r="K1313" s="7" t="s">
        <v>419</v>
      </c>
      <c r="L1313" s="7" t="s">
        <v>991</v>
      </c>
      <c r="M1313" s="7" t="s">
        <v>3501</v>
      </c>
      <c r="N1313" s="7" t="s">
        <v>5868</v>
      </c>
      <c r="O1313" s="7" t="s">
        <v>5869</v>
      </c>
      <c r="P1313" s="7" t="s">
        <v>3493</v>
      </c>
      <c r="Q1313" s="7">
        <v>1.0</v>
      </c>
    </row>
    <row r="1314">
      <c r="A1314" s="7" t="s">
        <v>11915</v>
      </c>
      <c r="B1314" s="7">
        <v>11499.0</v>
      </c>
      <c r="C1314" s="7" t="s">
        <v>11916</v>
      </c>
      <c r="D1314" s="7" t="s">
        <v>11917</v>
      </c>
      <c r="E1314" s="7" t="s">
        <v>11918</v>
      </c>
      <c r="F1314" s="7" t="s">
        <v>11919</v>
      </c>
      <c r="G1314" s="7" t="s">
        <v>11920</v>
      </c>
      <c r="H1314" s="7" t="s">
        <v>11921</v>
      </c>
      <c r="I1314" s="119">
        <v>45292.0</v>
      </c>
      <c r="K1314" s="7" t="s">
        <v>419</v>
      </c>
      <c r="L1314" s="7" t="s">
        <v>991</v>
      </c>
      <c r="M1314" s="7" t="s">
        <v>3501</v>
      </c>
      <c r="N1314" s="7" t="s">
        <v>11922</v>
      </c>
      <c r="O1314" s="7" t="s">
        <v>11923</v>
      </c>
      <c r="P1314" s="7" t="s">
        <v>3604</v>
      </c>
      <c r="Q1314" s="7">
        <v>1.0</v>
      </c>
    </row>
    <row r="1315">
      <c r="A1315" s="7" t="s">
        <v>11924</v>
      </c>
      <c r="B1315" s="7">
        <v>2300074.0</v>
      </c>
      <c r="C1315" s="7" t="s">
        <v>11925</v>
      </c>
      <c r="D1315" s="7" t="s">
        <v>4672</v>
      </c>
      <c r="E1315" s="7" t="s">
        <v>11926</v>
      </c>
      <c r="F1315" s="7" t="s">
        <v>4673</v>
      </c>
      <c r="G1315" s="7" t="s">
        <v>11927</v>
      </c>
      <c r="H1315" s="7" t="s">
        <v>11928</v>
      </c>
      <c r="I1315" s="119">
        <v>45292.0</v>
      </c>
      <c r="K1315" s="7" t="s">
        <v>419</v>
      </c>
      <c r="L1315" s="7" t="s">
        <v>991</v>
      </c>
      <c r="M1315" s="7" t="s">
        <v>3501</v>
      </c>
      <c r="N1315" s="7" t="s">
        <v>8828</v>
      </c>
      <c r="O1315" s="7" t="s">
        <v>11929</v>
      </c>
      <c r="P1315" s="7" t="s">
        <v>3493</v>
      </c>
      <c r="Q1315" s="7">
        <v>1.0</v>
      </c>
    </row>
    <row r="1316">
      <c r="A1316" s="7" t="s">
        <v>1652</v>
      </c>
      <c r="B1316" s="7">
        <v>11393.0</v>
      </c>
      <c r="C1316" s="7" t="s">
        <v>11930</v>
      </c>
      <c r="D1316" s="7" t="s">
        <v>11931</v>
      </c>
      <c r="E1316" s="7" t="s">
        <v>11932</v>
      </c>
      <c r="F1316" s="7" t="s">
        <v>4234</v>
      </c>
      <c r="G1316" s="7" t="s">
        <v>11933</v>
      </c>
      <c r="H1316" s="7" t="s">
        <v>11934</v>
      </c>
      <c r="I1316" s="119">
        <v>45292.0</v>
      </c>
      <c r="K1316" s="7" t="s">
        <v>5973</v>
      </c>
      <c r="L1316" s="7" t="s">
        <v>3542</v>
      </c>
      <c r="M1316" s="7" t="s">
        <v>3563</v>
      </c>
      <c r="N1316" s="7" t="s">
        <v>4374</v>
      </c>
      <c r="O1316" s="7" t="s">
        <v>11935</v>
      </c>
      <c r="P1316" s="7" t="s">
        <v>11936</v>
      </c>
      <c r="Q1316" s="7" t="s">
        <v>3514</v>
      </c>
    </row>
    <row r="1317">
      <c r="A1317" s="7" t="s">
        <v>11937</v>
      </c>
      <c r="B1317" s="7">
        <v>2100327.0</v>
      </c>
      <c r="C1317" s="7" t="s">
        <v>11938</v>
      </c>
      <c r="D1317" s="7" t="s">
        <v>11939</v>
      </c>
      <c r="E1317" s="7" t="s">
        <v>11940</v>
      </c>
      <c r="F1317" s="7" t="s">
        <v>11941</v>
      </c>
      <c r="G1317" s="7" t="s">
        <v>11942</v>
      </c>
      <c r="H1317" s="7" t="s">
        <v>11943</v>
      </c>
      <c r="I1317" s="119">
        <v>45292.0</v>
      </c>
      <c r="K1317" s="7" t="s">
        <v>3632</v>
      </c>
      <c r="L1317" s="7" t="s">
        <v>991</v>
      </c>
      <c r="M1317" s="7" t="s">
        <v>3501</v>
      </c>
      <c r="N1317" s="7" t="s">
        <v>7202</v>
      </c>
      <c r="O1317" s="7" t="s">
        <v>7819</v>
      </c>
      <c r="P1317" s="7" t="s">
        <v>3522</v>
      </c>
      <c r="Q1317" s="7" t="s">
        <v>3514</v>
      </c>
    </row>
    <row r="1318">
      <c r="A1318" s="7" t="s">
        <v>11944</v>
      </c>
      <c r="B1318" s="7">
        <v>2300496.0</v>
      </c>
      <c r="C1318" s="7" t="s">
        <v>11945</v>
      </c>
      <c r="D1318" s="7" t="s">
        <v>11946</v>
      </c>
      <c r="E1318" s="7" t="s">
        <v>11947</v>
      </c>
      <c r="F1318" s="7" t="s">
        <v>11948</v>
      </c>
      <c r="G1318" s="7" t="s">
        <v>11949</v>
      </c>
      <c r="H1318" s="7" t="s">
        <v>11950</v>
      </c>
      <c r="I1318" s="119">
        <v>45292.0</v>
      </c>
      <c r="K1318" s="7" t="s">
        <v>419</v>
      </c>
      <c r="L1318" s="7" t="s">
        <v>991</v>
      </c>
      <c r="M1318" s="7" t="s">
        <v>3531</v>
      </c>
      <c r="N1318" s="7" t="s">
        <v>3858</v>
      </c>
      <c r="O1318" s="7" t="s">
        <v>11951</v>
      </c>
      <c r="P1318" s="7" t="s">
        <v>3493</v>
      </c>
      <c r="Q1318" s="7">
        <v>1.0</v>
      </c>
    </row>
    <row r="1319">
      <c r="A1319" s="7" t="s">
        <v>11952</v>
      </c>
      <c r="B1319" s="7">
        <v>2200766.0</v>
      </c>
      <c r="C1319" s="7" t="s">
        <v>11953</v>
      </c>
      <c r="D1319" s="7" t="s">
        <v>8462</v>
      </c>
      <c r="E1319" s="7" t="s">
        <v>11954</v>
      </c>
      <c r="F1319" s="7" t="s">
        <v>8463</v>
      </c>
      <c r="G1319" s="7" t="s">
        <v>11955</v>
      </c>
      <c r="H1319" s="7" t="s">
        <v>11956</v>
      </c>
      <c r="I1319" s="119">
        <v>45292.0</v>
      </c>
      <c r="K1319" s="7" t="s">
        <v>419</v>
      </c>
      <c r="L1319" s="7" t="s">
        <v>991</v>
      </c>
      <c r="M1319" s="7" t="s">
        <v>3501</v>
      </c>
      <c r="N1319" s="7" t="s">
        <v>11957</v>
      </c>
      <c r="O1319" s="7" t="s">
        <v>11958</v>
      </c>
      <c r="P1319" s="7" t="s">
        <v>3522</v>
      </c>
      <c r="Q1319" s="7" t="s">
        <v>3523</v>
      </c>
    </row>
    <row r="1320">
      <c r="A1320" s="7" t="s">
        <v>11959</v>
      </c>
      <c r="B1320" s="7">
        <v>2200453.0</v>
      </c>
      <c r="C1320" s="7" t="s">
        <v>11953</v>
      </c>
      <c r="D1320" s="7" t="s">
        <v>3526</v>
      </c>
      <c r="E1320" s="7" t="s">
        <v>11954</v>
      </c>
      <c r="F1320" s="7" t="s">
        <v>3528</v>
      </c>
      <c r="G1320" s="7" t="s">
        <v>11960</v>
      </c>
      <c r="H1320" s="7" t="s">
        <v>11961</v>
      </c>
      <c r="I1320" s="119">
        <v>45292.0</v>
      </c>
      <c r="K1320" s="7" t="s">
        <v>419</v>
      </c>
      <c r="L1320" s="7" t="s">
        <v>991</v>
      </c>
      <c r="M1320" s="7" t="s">
        <v>3501</v>
      </c>
      <c r="N1320" s="7" t="s">
        <v>3733</v>
      </c>
      <c r="O1320" s="7" t="s">
        <v>3734</v>
      </c>
      <c r="P1320" s="7" t="s">
        <v>3493</v>
      </c>
      <c r="Q1320" s="7">
        <v>1.0</v>
      </c>
    </row>
    <row r="1321">
      <c r="A1321" s="7" t="s">
        <v>11962</v>
      </c>
      <c r="B1321" s="7">
        <v>2200927.0</v>
      </c>
      <c r="C1321" s="7" t="s">
        <v>11953</v>
      </c>
      <c r="D1321" s="7" t="s">
        <v>11963</v>
      </c>
      <c r="E1321" s="7" t="s">
        <v>11954</v>
      </c>
      <c r="F1321" s="7" t="s">
        <v>11964</v>
      </c>
      <c r="G1321" s="7" t="s">
        <v>11965</v>
      </c>
      <c r="H1321" s="7" t="s">
        <v>11966</v>
      </c>
      <c r="I1321" s="119">
        <v>45292.0</v>
      </c>
      <c r="K1321" s="7" t="s">
        <v>419</v>
      </c>
      <c r="L1321" s="7" t="s">
        <v>991</v>
      </c>
      <c r="M1321" s="7" t="s">
        <v>3501</v>
      </c>
      <c r="N1321" s="7" t="s">
        <v>11967</v>
      </c>
      <c r="O1321" s="7" t="s">
        <v>11968</v>
      </c>
      <c r="P1321" s="7" t="s">
        <v>4788</v>
      </c>
      <c r="Q1321" s="7" t="s">
        <v>3555</v>
      </c>
    </row>
    <row r="1322">
      <c r="A1322" s="7" t="s">
        <v>11969</v>
      </c>
      <c r="B1322" s="7">
        <v>2300265.0</v>
      </c>
      <c r="C1322" s="7" t="s">
        <v>11970</v>
      </c>
      <c r="D1322" s="7" t="s">
        <v>5431</v>
      </c>
      <c r="E1322" s="7" t="s">
        <v>11971</v>
      </c>
      <c r="F1322" s="7" t="s">
        <v>5433</v>
      </c>
      <c r="G1322" s="7" t="s">
        <v>11972</v>
      </c>
      <c r="H1322" s="7" t="s">
        <v>11973</v>
      </c>
      <c r="I1322" s="119">
        <v>45292.0</v>
      </c>
      <c r="K1322" s="7" t="s">
        <v>11974</v>
      </c>
      <c r="L1322" s="7" t="s">
        <v>991</v>
      </c>
      <c r="M1322" s="7" t="s">
        <v>3501</v>
      </c>
      <c r="N1322" s="7" t="s">
        <v>11975</v>
      </c>
      <c r="O1322" s="7" t="s">
        <v>11976</v>
      </c>
      <c r="P1322" s="7" t="s">
        <v>3493</v>
      </c>
      <c r="Q1322" s="7">
        <v>1.0</v>
      </c>
    </row>
    <row r="1323">
      <c r="A1323" s="7" t="s">
        <v>11977</v>
      </c>
      <c r="B1323" s="7">
        <v>2100448.0</v>
      </c>
      <c r="C1323" s="7" t="s">
        <v>11970</v>
      </c>
      <c r="D1323" s="7" t="s">
        <v>4320</v>
      </c>
      <c r="E1323" s="7" t="s">
        <v>11971</v>
      </c>
      <c r="F1323" s="7" t="s">
        <v>4321</v>
      </c>
      <c r="G1323" s="7" t="s">
        <v>11978</v>
      </c>
      <c r="H1323" s="7" t="s">
        <v>11979</v>
      </c>
      <c r="I1323" s="119">
        <v>45292.0</v>
      </c>
      <c r="K1323" s="7" t="s">
        <v>419</v>
      </c>
      <c r="L1323" s="7" t="s">
        <v>991</v>
      </c>
      <c r="M1323" s="7" t="s">
        <v>3531</v>
      </c>
      <c r="N1323" s="7" t="s">
        <v>6117</v>
      </c>
      <c r="O1323" s="7" t="s">
        <v>8116</v>
      </c>
      <c r="P1323" s="7" t="s">
        <v>3493</v>
      </c>
      <c r="Q1323" s="7">
        <v>1.0</v>
      </c>
    </row>
    <row r="1324">
      <c r="A1324" s="7" t="s">
        <v>11980</v>
      </c>
      <c r="B1324" s="7">
        <v>964.0</v>
      </c>
      <c r="C1324" s="7" t="s">
        <v>11970</v>
      </c>
      <c r="D1324" s="7" t="s">
        <v>11981</v>
      </c>
      <c r="E1324" s="7" t="s">
        <v>11971</v>
      </c>
      <c r="F1324" s="7" t="s">
        <v>8407</v>
      </c>
      <c r="G1324" s="7" t="s">
        <v>11982</v>
      </c>
      <c r="H1324" s="7" t="s">
        <v>11983</v>
      </c>
      <c r="I1324" s="119">
        <v>45292.0</v>
      </c>
      <c r="K1324" s="7" t="s">
        <v>419</v>
      </c>
      <c r="L1324" s="7" t="s">
        <v>991</v>
      </c>
      <c r="M1324" s="7" t="s">
        <v>3501</v>
      </c>
      <c r="N1324" s="7" t="s">
        <v>3899</v>
      </c>
      <c r="O1324" s="7" t="s">
        <v>3900</v>
      </c>
      <c r="P1324" s="7" t="s">
        <v>3843</v>
      </c>
      <c r="Q1324" s="7">
        <v>1.0</v>
      </c>
    </row>
    <row r="1325">
      <c r="A1325" s="7" t="s">
        <v>11984</v>
      </c>
      <c r="B1325" s="7">
        <v>13806.0</v>
      </c>
      <c r="C1325" s="7" t="s">
        <v>11985</v>
      </c>
      <c r="D1325" s="7" t="s">
        <v>5962</v>
      </c>
      <c r="E1325" s="7" t="s">
        <v>11986</v>
      </c>
      <c r="F1325" s="7" t="s">
        <v>5723</v>
      </c>
      <c r="G1325" s="7" t="s">
        <v>11987</v>
      </c>
      <c r="I1325" s="119">
        <v>45292.0</v>
      </c>
      <c r="K1325" s="7" t="s">
        <v>3632</v>
      </c>
      <c r="L1325" s="7" t="s">
        <v>991</v>
      </c>
      <c r="M1325" s="7" t="s">
        <v>3531</v>
      </c>
      <c r="N1325" s="7" t="s">
        <v>11419</v>
      </c>
      <c r="O1325" s="7" t="s">
        <v>11988</v>
      </c>
      <c r="P1325" s="7" t="s">
        <v>3493</v>
      </c>
      <c r="Q1325" s="7">
        <v>1.0</v>
      </c>
    </row>
    <row r="1326">
      <c r="A1326" s="7" t="s">
        <v>11989</v>
      </c>
      <c r="B1326" s="7">
        <v>1162.0</v>
      </c>
      <c r="C1326" s="7" t="s">
        <v>11990</v>
      </c>
      <c r="D1326" s="7" t="s">
        <v>11991</v>
      </c>
      <c r="E1326" s="7" t="s">
        <v>11992</v>
      </c>
      <c r="F1326" s="7" t="s">
        <v>3629</v>
      </c>
      <c r="G1326" s="7" t="s">
        <v>11993</v>
      </c>
      <c r="H1326" s="7" t="s">
        <v>11994</v>
      </c>
      <c r="I1326" s="119">
        <v>45292.0</v>
      </c>
      <c r="K1326" s="7" t="s">
        <v>419</v>
      </c>
      <c r="L1326" s="7" t="s">
        <v>991</v>
      </c>
      <c r="M1326" s="7" t="s">
        <v>3501</v>
      </c>
      <c r="N1326" s="7" t="s">
        <v>6579</v>
      </c>
      <c r="O1326" s="7" t="s">
        <v>6580</v>
      </c>
      <c r="P1326" s="7" t="s">
        <v>3493</v>
      </c>
      <c r="Q1326" s="7">
        <v>1.0</v>
      </c>
    </row>
    <row r="1327">
      <c r="A1327" s="7" t="s">
        <v>11995</v>
      </c>
      <c r="B1327" s="7">
        <v>12615.0</v>
      </c>
      <c r="C1327" s="7" t="s">
        <v>11996</v>
      </c>
      <c r="D1327" s="7" t="s">
        <v>11861</v>
      </c>
      <c r="E1327" s="7" t="s">
        <v>11997</v>
      </c>
      <c r="F1327" s="7" t="s">
        <v>3869</v>
      </c>
      <c r="G1327" s="7" t="s">
        <v>11998</v>
      </c>
      <c r="H1327" s="7" t="s">
        <v>11999</v>
      </c>
      <c r="I1327" s="119">
        <v>45292.0</v>
      </c>
      <c r="K1327" s="7" t="s">
        <v>419</v>
      </c>
      <c r="L1327" s="7" t="s">
        <v>991</v>
      </c>
      <c r="M1327" s="7" t="s">
        <v>3583</v>
      </c>
      <c r="N1327" s="7" t="s">
        <v>12000</v>
      </c>
      <c r="O1327" s="7" t="s">
        <v>12001</v>
      </c>
      <c r="P1327" s="7" t="s">
        <v>7123</v>
      </c>
      <c r="Q1327" s="7" t="s">
        <v>12002</v>
      </c>
    </row>
    <row r="1328">
      <c r="A1328" s="7" t="s">
        <v>12003</v>
      </c>
      <c r="B1328" s="7">
        <v>2200304.0</v>
      </c>
      <c r="C1328" s="7" t="s">
        <v>11996</v>
      </c>
      <c r="D1328" s="7" t="s">
        <v>12004</v>
      </c>
      <c r="E1328" s="7" t="s">
        <v>11997</v>
      </c>
      <c r="F1328" s="7" t="s">
        <v>4751</v>
      </c>
      <c r="G1328" s="7" t="s">
        <v>12005</v>
      </c>
      <c r="I1328" s="119">
        <v>45292.0</v>
      </c>
      <c r="K1328" s="7" t="s">
        <v>419</v>
      </c>
      <c r="L1328" s="7" t="s">
        <v>991</v>
      </c>
      <c r="M1328" s="7" t="s">
        <v>3531</v>
      </c>
      <c r="N1328" s="7" t="s">
        <v>3820</v>
      </c>
      <c r="O1328" s="7" t="s">
        <v>3821</v>
      </c>
      <c r="P1328" s="7" t="s">
        <v>3493</v>
      </c>
      <c r="Q1328" s="7">
        <v>1.0</v>
      </c>
    </row>
    <row r="1329">
      <c r="A1329" s="7" t="s">
        <v>1595</v>
      </c>
      <c r="B1329" s="7">
        <v>1006.0</v>
      </c>
      <c r="C1329" s="7" t="s">
        <v>11996</v>
      </c>
      <c r="D1329" s="7" t="s">
        <v>12006</v>
      </c>
      <c r="E1329" s="7" t="s">
        <v>11997</v>
      </c>
      <c r="F1329" s="7" t="s">
        <v>8233</v>
      </c>
      <c r="G1329" s="7" t="s">
        <v>12007</v>
      </c>
      <c r="H1329" s="7" t="s">
        <v>12008</v>
      </c>
      <c r="I1329" s="119">
        <v>45292.0</v>
      </c>
      <c r="K1329" s="7" t="s">
        <v>419</v>
      </c>
      <c r="L1329" s="7" t="s">
        <v>991</v>
      </c>
      <c r="M1329" s="7" t="s">
        <v>3501</v>
      </c>
      <c r="N1329" s="7" t="s">
        <v>12009</v>
      </c>
      <c r="O1329" s="7" t="s">
        <v>12010</v>
      </c>
      <c r="P1329" s="7" t="s">
        <v>12011</v>
      </c>
      <c r="Q1329" s="7">
        <v>1.0</v>
      </c>
    </row>
    <row r="1330">
      <c r="A1330" s="7" t="s">
        <v>1557</v>
      </c>
      <c r="B1330" s="7">
        <v>12254.0</v>
      </c>
      <c r="C1330" s="7" t="s">
        <v>12012</v>
      </c>
      <c r="D1330" s="7" t="s">
        <v>12013</v>
      </c>
      <c r="E1330" s="7" t="s">
        <v>12014</v>
      </c>
      <c r="F1330" s="7" t="s">
        <v>4234</v>
      </c>
      <c r="G1330" s="7" t="s">
        <v>12015</v>
      </c>
      <c r="H1330" s="7" t="s">
        <v>12016</v>
      </c>
      <c r="I1330" s="119">
        <v>45292.0</v>
      </c>
      <c r="K1330" s="7" t="s">
        <v>419</v>
      </c>
      <c r="L1330" s="7" t="s">
        <v>991</v>
      </c>
      <c r="M1330" s="7" t="s">
        <v>3501</v>
      </c>
      <c r="N1330" s="7" t="s">
        <v>3948</v>
      </c>
      <c r="O1330" s="7" t="s">
        <v>3949</v>
      </c>
      <c r="P1330" s="7" t="s">
        <v>3493</v>
      </c>
      <c r="Q1330" s="7">
        <v>1.0</v>
      </c>
    </row>
    <row r="1331">
      <c r="A1331" s="7" t="s">
        <v>12017</v>
      </c>
      <c r="B1331" s="7">
        <v>2200701.0</v>
      </c>
      <c r="C1331" s="7" t="s">
        <v>12018</v>
      </c>
      <c r="D1331" s="7" t="s">
        <v>12019</v>
      </c>
      <c r="E1331" s="7" t="s">
        <v>12020</v>
      </c>
      <c r="F1331" s="7" t="s">
        <v>12021</v>
      </c>
      <c r="G1331" s="7" t="s">
        <v>12022</v>
      </c>
      <c r="H1331" s="7" t="s">
        <v>12023</v>
      </c>
      <c r="I1331" s="119">
        <v>45292.0</v>
      </c>
      <c r="K1331" s="7" t="s">
        <v>4042</v>
      </c>
      <c r="L1331" s="7" t="s">
        <v>991</v>
      </c>
      <c r="M1331" s="7" t="s">
        <v>3501</v>
      </c>
      <c r="N1331" s="7" t="s">
        <v>4043</v>
      </c>
      <c r="O1331" s="7" t="s">
        <v>4044</v>
      </c>
      <c r="P1331" s="7" t="s">
        <v>3493</v>
      </c>
      <c r="Q1331" s="7">
        <v>1.0</v>
      </c>
    </row>
    <row r="1332">
      <c r="A1332" s="7" t="s">
        <v>12024</v>
      </c>
      <c r="B1332" s="7">
        <v>2200305.0</v>
      </c>
      <c r="C1332" s="7" t="s">
        <v>12025</v>
      </c>
      <c r="D1332" s="7" t="s">
        <v>12026</v>
      </c>
      <c r="E1332" s="7" t="s">
        <v>12027</v>
      </c>
      <c r="F1332" s="7" t="s">
        <v>3508</v>
      </c>
      <c r="G1332" s="7" t="s">
        <v>12028</v>
      </c>
      <c r="I1332" s="119">
        <v>45292.0</v>
      </c>
      <c r="K1332" s="7" t="s">
        <v>419</v>
      </c>
      <c r="L1332" s="7" t="s">
        <v>991</v>
      </c>
      <c r="M1332" s="7" t="s">
        <v>3531</v>
      </c>
      <c r="N1332" s="7" t="s">
        <v>3820</v>
      </c>
      <c r="O1332" s="7" t="s">
        <v>3821</v>
      </c>
      <c r="P1332" s="7" t="s">
        <v>3493</v>
      </c>
      <c r="Q1332" s="7">
        <v>1.0</v>
      </c>
    </row>
    <row r="1333">
      <c r="A1333" s="7" t="s">
        <v>12029</v>
      </c>
      <c r="B1333" s="7">
        <v>14207.0</v>
      </c>
      <c r="C1333" s="7" t="s">
        <v>12025</v>
      </c>
      <c r="D1333" s="7" t="s">
        <v>12030</v>
      </c>
      <c r="E1333" s="7" t="s">
        <v>12027</v>
      </c>
      <c r="F1333" s="7" t="s">
        <v>12031</v>
      </c>
      <c r="G1333" s="7" t="s">
        <v>12032</v>
      </c>
      <c r="H1333" s="7" t="s">
        <v>12033</v>
      </c>
      <c r="I1333" s="119">
        <v>45292.0</v>
      </c>
      <c r="K1333" s="7" t="s">
        <v>419</v>
      </c>
      <c r="L1333" s="7" t="s">
        <v>991</v>
      </c>
      <c r="M1333" s="7" t="s">
        <v>3501</v>
      </c>
      <c r="N1333" s="7" t="s">
        <v>7590</v>
      </c>
      <c r="O1333" s="7" t="s">
        <v>7591</v>
      </c>
      <c r="P1333" s="7" t="s">
        <v>3493</v>
      </c>
      <c r="Q1333" s="7">
        <v>1.0</v>
      </c>
    </row>
    <row r="1334">
      <c r="A1334" s="7" t="s">
        <v>12034</v>
      </c>
      <c r="B1334" s="7">
        <v>2200361.0</v>
      </c>
      <c r="C1334" s="7" t="s">
        <v>12035</v>
      </c>
      <c r="D1334" s="7" t="s">
        <v>12036</v>
      </c>
      <c r="E1334" s="7" t="s">
        <v>12037</v>
      </c>
      <c r="F1334" s="7" t="s">
        <v>6175</v>
      </c>
      <c r="G1334" s="7" t="s">
        <v>12038</v>
      </c>
      <c r="H1334" s="7" t="s">
        <v>12039</v>
      </c>
      <c r="I1334" s="119">
        <v>45292.0</v>
      </c>
      <c r="K1334" s="7" t="s">
        <v>419</v>
      </c>
      <c r="L1334" s="7" t="s">
        <v>991</v>
      </c>
      <c r="M1334" s="7" t="s">
        <v>3531</v>
      </c>
      <c r="N1334" s="7" t="s">
        <v>4738</v>
      </c>
      <c r="O1334" s="7" t="s">
        <v>4739</v>
      </c>
      <c r="P1334" s="7" t="s">
        <v>3493</v>
      </c>
      <c r="Q1334" s="7">
        <v>1.0</v>
      </c>
    </row>
    <row r="1335">
      <c r="A1335" s="7" t="s">
        <v>12040</v>
      </c>
      <c r="B1335" s="7">
        <v>11330.0</v>
      </c>
      <c r="C1335" s="7" t="s">
        <v>12041</v>
      </c>
      <c r="D1335" s="7" t="s">
        <v>12042</v>
      </c>
      <c r="E1335" s="7" t="s">
        <v>12043</v>
      </c>
      <c r="F1335" s="7" t="s">
        <v>12044</v>
      </c>
      <c r="G1335" s="7" t="s">
        <v>12045</v>
      </c>
      <c r="H1335" s="7" t="s">
        <v>12046</v>
      </c>
      <c r="I1335" s="119">
        <v>45292.0</v>
      </c>
      <c r="K1335" s="7" t="s">
        <v>419</v>
      </c>
      <c r="L1335" s="7" t="s">
        <v>991</v>
      </c>
      <c r="M1335" s="7" t="s">
        <v>3501</v>
      </c>
      <c r="N1335" s="7" t="s">
        <v>5411</v>
      </c>
      <c r="O1335" s="7" t="s">
        <v>5412</v>
      </c>
      <c r="P1335" s="7" t="s">
        <v>3493</v>
      </c>
      <c r="Q1335" s="7">
        <v>1.0</v>
      </c>
    </row>
    <row r="1336">
      <c r="A1336" s="7" t="s">
        <v>12047</v>
      </c>
      <c r="B1336" s="7">
        <v>2300697.0</v>
      </c>
      <c r="C1336" s="7" t="s">
        <v>12048</v>
      </c>
      <c r="D1336" s="7" t="s">
        <v>9862</v>
      </c>
      <c r="E1336" s="7" t="s">
        <v>12049</v>
      </c>
      <c r="F1336" s="7" t="s">
        <v>9862</v>
      </c>
      <c r="G1336" s="7" t="s">
        <v>12050</v>
      </c>
      <c r="H1336" s="7" t="s">
        <v>12051</v>
      </c>
      <c r="I1336" s="119">
        <v>45292.0</v>
      </c>
      <c r="K1336" s="7" t="s">
        <v>8491</v>
      </c>
      <c r="L1336" s="7" t="s">
        <v>991</v>
      </c>
      <c r="M1336" s="7" t="s">
        <v>3490</v>
      </c>
      <c r="N1336" s="7" t="s">
        <v>8492</v>
      </c>
      <c r="O1336" s="7" t="s">
        <v>8493</v>
      </c>
      <c r="P1336" s="7" t="s">
        <v>3493</v>
      </c>
      <c r="Q1336" s="7">
        <v>1.0</v>
      </c>
    </row>
    <row r="1337">
      <c r="A1337" s="7" t="s">
        <v>12052</v>
      </c>
      <c r="B1337" s="7">
        <v>2300080.0</v>
      </c>
      <c r="C1337" s="7" t="s">
        <v>12053</v>
      </c>
      <c r="D1337" s="7" t="s">
        <v>5788</v>
      </c>
      <c r="E1337" s="7" t="s">
        <v>12054</v>
      </c>
      <c r="F1337" s="7" t="s">
        <v>5788</v>
      </c>
      <c r="G1337" s="7" t="s">
        <v>12055</v>
      </c>
      <c r="H1337" s="7" t="s">
        <v>12056</v>
      </c>
      <c r="I1337" s="119">
        <v>45292.0</v>
      </c>
      <c r="K1337" s="7" t="s">
        <v>419</v>
      </c>
      <c r="L1337" s="7" t="s">
        <v>991</v>
      </c>
      <c r="M1337" s="7" t="s">
        <v>3531</v>
      </c>
      <c r="N1337" s="7" t="s">
        <v>5026</v>
      </c>
      <c r="O1337" s="7" t="s">
        <v>5027</v>
      </c>
      <c r="P1337" s="7" t="s">
        <v>3493</v>
      </c>
      <c r="Q1337" s="7">
        <v>1.0</v>
      </c>
    </row>
    <row r="1338">
      <c r="A1338" s="7" t="s">
        <v>12057</v>
      </c>
      <c r="B1338" s="7">
        <v>2300390.0</v>
      </c>
      <c r="C1338" s="7" t="s">
        <v>12058</v>
      </c>
      <c r="D1338" s="7" t="s">
        <v>12059</v>
      </c>
      <c r="E1338" s="7" t="s">
        <v>12060</v>
      </c>
      <c r="F1338" s="7" t="s">
        <v>12061</v>
      </c>
      <c r="G1338" s="7" t="s">
        <v>12062</v>
      </c>
      <c r="H1338" s="7" t="s">
        <v>12063</v>
      </c>
      <c r="I1338" s="119">
        <v>45292.0</v>
      </c>
      <c r="K1338" s="7" t="s">
        <v>419</v>
      </c>
      <c r="L1338" s="7" t="s">
        <v>991</v>
      </c>
      <c r="M1338" s="7" t="s">
        <v>3501</v>
      </c>
      <c r="N1338" s="7" t="s">
        <v>5605</v>
      </c>
      <c r="O1338" s="7" t="s">
        <v>5606</v>
      </c>
      <c r="P1338" s="7" t="s">
        <v>3843</v>
      </c>
      <c r="Q1338" s="7">
        <v>1.0</v>
      </c>
    </row>
    <row r="1339">
      <c r="A1339" s="7" t="s">
        <v>12064</v>
      </c>
      <c r="B1339" s="7">
        <v>1210.0</v>
      </c>
      <c r="C1339" s="7" t="s">
        <v>12065</v>
      </c>
      <c r="D1339" s="7" t="s">
        <v>12066</v>
      </c>
      <c r="E1339" s="7" t="s">
        <v>12067</v>
      </c>
      <c r="F1339" s="7" t="s">
        <v>5155</v>
      </c>
      <c r="G1339" s="7" t="s">
        <v>12068</v>
      </c>
      <c r="H1339" s="7" t="s">
        <v>12069</v>
      </c>
      <c r="I1339" s="119">
        <v>45292.0</v>
      </c>
      <c r="K1339" s="7" t="s">
        <v>419</v>
      </c>
      <c r="L1339" s="7" t="s">
        <v>991</v>
      </c>
      <c r="M1339" s="7" t="s">
        <v>3501</v>
      </c>
      <c r="N1339" s="7" t="s">
        <v>4733</v>
      </c>
      <c r="O1339" s="7" t="s">
        <v>4734</v>
      </c>
      <c r="P1339" s="7" t="s">
        <v>3843</v>
      </c>
      <c r="Q1339" s="7">
        <v>1.0</v>
      </c>
    </row>
    <row r="1340">
      <c r="A1340" s="7" t="s">
        <v>12070</v>
      </c>
      <c r="B1340" s="7">
        <v>2200906.0</v>
      </c>
      <c r="C1340" s="7" t="s">
        <v>12065</v>
      </c>
      <c r="D1340" s="7" t="s">
        <v>12071</v>
      </c>
      <c r="E1340" s="7" t="s">
        <v>12067</v>
      </c>
      <c r="F1340" s="7" t="s">
        <v>9352</v>
      </c>
      <c r="G1340" s="7" t="s">
        <v>12072</v>
      </c>
      <c r="H1340" s="7" t="s">
        <v>12073</v>
      </c>
      <c r="I1340" s="119">
        <v>45292.0</v>
      </c>
      <c r="K1340" s="7" t="s">
        <v>3632</v>
      </c>
      <c r="L1340" s="7" t="s">
        <v>991</v>
      </c>
      <c r="M1340" s="7" t="s">
        <v>3866</v>
      </c>
      <c r="N1340" s="7" t="s">
        <v>4190</v>
      </c>
      <c r="O1340" s="7" t="s">
        <v>4191</v>
      </c>
      <c r="P1340" s="7" t="s">
        <v>3493</v>
      </c>
      <c r="Q1340" s="7">
        <v>1.0</v>
      </c>
    </row>
    <row r="1341">
      <c r="A1341" s="7" t="s">
        <v>12074</v>
      </c>
      <c r="B1341" s="7">
        <v>2300791.0</v>
      </c>
      <c r="C1341" s="7" t="s">
        <v>12065</v>
      </c>
      <c r="D1341" s="7" t="s">
        <v>3713</v>
      </c>
      <c r="E1341" s="7" t="s">
        <v>12067</v>
      </c>
      <c r="F1341" s="7" t="s">
        <v>3909</v>
      </c>
      <c r="G1341" s="7" t="s">
        <v>12075</v>
      </c>
      <c r="H1341" s="7" t="s">
        <v>12076</v>
      </c>
      <c r="I1341" s="119">
        <v>45292.0</v>
      </c>
      <c r="K1341" s="7" t="s">
        <v>3642</v>
      </c>
      <c r="L1341" s="7" t="s">
        <v>991</v>
      </c>
      <c r="M1341" s="7" t="s">
        <v>3501</v>
      </c>
      <c r="N1341" s="7" t="s">
        <v>3643</v>
      </c>
      <c r="O1341" s="7" t="s">
        <v>3644</v>
      </c>
      <c r="P1341" s="7" t="s">
        <v>3493</v>
      </c>
      <c r="Q1341" s="7">
        <v>1.0</v>
      </c>
    </row>
    <row r="1342">
      <c r="A1342" s="7" t="s">
        <v>12077</v>
      </c>
      <c r="B1342" s="7">
        <v>1147.0</v>
      </c>
      <c r="C1342" s="7" t="s">
        <v>12078</v>
      </c>
      <c r="D1342" s="7" t="s">
        <v>12079</v>
      </c>
      <c r="E1342" s="7" t="s">
        <v>12080</v>
      </c>
      <c r="F1342" s="7" t="s">
        <v>12081</v>
      </c>
      <c r="G1342" s="7" t="s">
        <v>12082</v>
      </c>
      <c r="H1342" s="7" t="s">
        <v>12083</v>
      </c>
      <c r="I1342" s="119">
        <v>45292.0</v>
      </c>
      <c r="K1342" s="7" t="s">
        <v>419</v>
      </c>
      <c r="L1342" s="7" t="s">
        <v>991</v>
      </c>
      <c r="M1342" s="7" t="s">
        <v>3501</v>
      </c>
      <c r="N1342" s="7" t="s">
        <v>5755</v>
      </c>
      <c r="O1342" s="7" t="s">
        <v>5756</v>
      </c>
      <c r="P1342" s="7" t="s">
        <v>3493</v>
      </c>
      <c r="Q1342" s="7">
        <v>1.0</v>
      </c>
    </row>
    <row r="1343">
      <c r="A1343" s="7" t="s">
        <v>12084</v>
      </c>
      <c r="B1343" s="7">
        <v>2300396.0</v>
      </c>
      <c r="C1343" s="7" t="s">
        <v>12078</v>
      </c>
      <c r="D1343" s="7" t="s">
        <v>12085</v>
      </c>
      <c r="E1343" s="7" t="s">
        <v>12080</v>
      </c>
      <c r="F1343" s="7" t="s">
        <v>12086</v>
      </c>
      <c r="G1343" s="7" t="s">
        <v>12087</v>
      </c>
      <c r="H1343" s="7" t="s">
        <v>12088</v>
      </c>
      <c r="I1343" s="119">
        <v>45292.0</v>
      </c>
      <c r="K1343" s="7" t="s">
        <v>419</v>
      </c>
      <c r="L1343" s="7" t="s">
        <v>991</v>
      </c>
      <c r="M1343" s="7" t="s">
        <v>3583</v>
      </c>
      <c r="N1343" s="7" t="s">
        <v>3724</v>
      </c>
      <c r="O1343" s="7" t="s">
        <v>3725</v>
      </c>
      <c r="P1343" s="7" t="s">
        <v>3493</v>
      </c>
      <c r="Q1343" s="7">
        <v>1.0</v>
      </c>
    </row>
    <row r="1344">
      <c r="A1344" s="7" t="s">
        <v>12089</v>
      </c>
      <c r="B1344" s="7">
        <v>1051.0</v>
      </c>
      <c r="C1344" s="7" t="s">
        <v>12078</v>
      </c>
      <c r="D1344" s="7" t="s">
        <v>12090</v>
      </c>
      <c r="E1344" s="7" t="s">
        <v>12080</v>
      </c>
      <c r="F1344" s="7" t="s">
        <v>3909</v>
      </c>
      <c r="G1344" s="7" t="s">
        <v>12091</v>
      </c>
      <c r="H1344" s="7" t="s">
        <v>12092</v>
      </c>
      <c r="I1344" s="119">
        <v>45292.0</v>
      </c>
      <c r="K1344" s="7" t="s">
        <v>419</v>
      </c>
      <c r="L1344" s="7" t="s">
        <v>991</v>
      </c>
      <c r="M1344" s="7" t="s">
        <v>3501</v>
      </c>
      <c r="N1344" s="7" t="s">
        <v>7694</v>
      </c>
      <c r="O1344" s="7" t="s">
        <v>7695</v>
      </c>
      <c r="P1344" s="7" t="s">
        <v>3493</v>
      </c>
      <c r="Q1344" s="7">
        <v>1.0</v>
      </c>
    </row>
    <row r="1345">
      <c r="A1345" s="7" t="s">
        <v>12093</v>
      </c>
      <c r="B1345" s="7">
        <v>12775.0</v>
      </c>
      <c r="C1345" s="7" t="s">
        <v>12078</v>
      </c>
      <c r="D1345" s="7" t="s">
        <v>12094</v>
      </c>
      <c r="E1345" s="7" t="s">
        <v>12080</v>
      </c>
      <c r="F1345" s="7" t="s">
        <v>6202</v>
      </c>
      <c r="G1345" s="7" t="s">
        <v>12095</v>
      </c>
      <c r="H1345" s="7" t="s">
        <v>12096</v>
      </c>
      <c r="I1345" s="119">
        <v>45292.0</v>
      </c>
      <c r="K1345" s="7" t="s">
        <v>419</v>
      </c>
      <c r="L1345" s="7" t="s">
        <v>991</v>
      </c>
      <c r="M1345" s="7" t="s">
        <v>3501</v>
      </c>
      <c r="N1345" s="7" t="s">
        <v>9594</v>
      </c>
      <c r="O1345" s="7" t="s">
        <v>9595</v>
      </c>
      <c r="P1345" s="7" t="s">
        <v>3843</v>
      </c>
      <c r="Q1345" s="7">
        <v>1.0</v>
      </c>
    </row>
    <row r="1346">
      <c r="A1346" s="7" t="s">
        <v>12097</v>
      </c>
      <c r="B1346" s="7">
        <v>2300158.0</v>
      </c>
      <c r="C1346" s="7" t="s">
        <v>12098</v>
      </c>
      <c r="D1346" s="7" t="s">
        <v>12099</v>
      </c>
      <c r="E1346" s="7" t="s">
        <v>12100</v>
      </c>
      <c r="F1346" s="7" t="s">
        <v>11827</v>
      </c>
      <c r="G1346" s="7" t="s">
        <v>12101</v>
      </c>
      <c r="H1346" s="7" t="s">
        <v>12102</v>
      </c>
      <c r="I1346" s="119">
        <v>45292.0</v>
      </c>
      <c r="K1346" s="7" t="s">
        <v>419</v>
      </c>
      <c r="L1346" s="7" t="s">
        <v>991</v>
      </c>
      <c r="M1346" s="7" t="s">
        <v>3501</v>
      </c>
      <c r="N1346" s="7" t="s">
        <v>5755</v>
      </c>
      <c r="O1346" s="7" t="s">
        <v>12103</v>
      </c>
      <c r="P1346" s="7" t="s">
        <v>3522</v>
      </c>
      <c r="Q1346" s="7" t="s">
        <v>3523</v>
      </c>
    </row>
    <row r="1347">
      <c r="A1347" s="7" t="s">
        <v>12104</v>
      </c>
      <c r="B1347" s="7">
        <v>2200138.0</v>
      </c>
      <c r="C1347" s="7" t="s">
        <v>12105</v>
      </c>
      <c r="D1347" s="7" t="s">
        <v>5935</v>
      </c>
      <c r="E1347" s="7" t="s">
        <v>12106</v>
      </c>
      <c r="F1347" s="7" t="s">
        <v>4700</v>
      </c>
      <c r="G1347" s="7" t="s">
        <v>12107</v>
      </c>
      <c r="H1347" s="7" t="s">
        <v>12108</v>
      </c>
      <c r="I1347" s="119">
        <v>45292.0</v>
      </c>
      <c r="K1347" s="7" t="s">
        <v>419</v>
      </c>
      <c r="L1347" s="7" t="s">
        <v>991</v>
      </c>
      <c r="M1347" s="7" t="s">
        <v>3501</v>
      </c>
      <c r="N1347" s="7" t="s">
        <v>4317</v>
      </c>
      <c r="O1347" s="7" t="s">
        <v>4318</v>
      </c>
      <c r="P1347" s="7" t="s">
        <v>3522</v>
      </c>
      <c r="Q1347" s="7" t="s">
        <v>3523</v>
      </c>
    </row>
    <row r="1348">
      <c r="A1348" s="7" t="s">
        <v>12109</v>
      </c>
      <c r="B1348" s="7">
        <v>10332.0</v>
      </c>
      <c r="C1348" s="7" t="s">
        <v>12110</v>
      </c>
      <c r="D1348" s="7" t="s">
        <v>12111</v>
      </c>
      <c r="E1348" s="7" t="s">
        <v>12112</v>
      </c>
      <c r="F1348" s="7" t="s">
        <v>3609</v>
      </c>
      <c r="G1348" s="7" t="s">
        <v>12113</v>
      </c>
      <c r="H1348" s="7" t="s">
        <v>12114</v>
      </c>
      <c r="I1348" s="119">
        <v>45292.0</v>
      </c>
      <c r="K1348" s="7" t="s">
        <v>419</v>
      </c>
      <c r="L1348" s="7" t="s">
        <v>991</v>
      </c>
      <c r="M1348" s="7" t="s">
        <v>3501</v>
      </c>
      <c r="N1348" s="7" t="s">
        <v>4549</v>
      </c>
      <c r="O1348" s="7" t="s">
        <v>12115</v>
      </c>
      <c r="P1348" s="7" t="s">
        <v>4420</v>
      </c>
      <c r="Q1348" s="7" t="s">
        <v>3523</v>
      </c>
    </row>
    <row r="1349">
      <c r="A1349" s="7" t="s">
        <v>12116</v>
      </c>
      <c r="B1349" s="7">
        <v>14332.0</v>
      </c>
      <c r="C1349" s="7" t="s">
        <v>12117</v>
      </c>
      <c r="D1349" s="7" t="s">
        <v>12118</v>
      </c>
      <c r="E1349" s="7" t="s">
        <v>12119</v>
      </c>
      <c r="F1349" s="7" t="s">
        <v>12120</v>
      </c>
      <c r="G1349" s="7" t="s">
        <v>12121</v>
      </c>
      <c r="H1349" s="7" t="s">
        <v>12122</v>
      </c>
      <c r="I1349" s="119">
        <v>45292.0</v>
      </c>
      <c r="K1349" s="7" t="s">
        <v>419</v>
      </c>
      <c r="L1349" s="7" t="s">
        <v>991</v>
      </c>
      <c r="M1349" s="7" t="s">
        <v>3501</v>
      </c>
      <c r="N1349" s="7" t="s">
        <v>8379</v>
      </c>
      <c r="O1349" s="7" t="s">
        <v>12123</v>
      </c>
      <c r="P1349" s="7" t="s">
        <v>12124</v>
      </c>
      <c r="Q1349" s="7" t="s">
        <v>3698</v>
      </c>
    </row>
    <row r="1350">
      <c r="A1350" s="7" t="s">
        <v>12125</v>
      </c>
      <c r="B1350" s="7">
        <v>2200669.0</v>
      </c>
      <c r="C1350" s="7" t="s">
        <v>12117</v>
      </c>
      <c r="D1350" s="7" t="s">
        <v>6554</v>
      </c>
      <c r="E1350" s="7" t="s">
        <v>12119</v>
      </c>
      <c r="F1350" s="7" t="s">
        <v>8311</v>
      </c>
      <c r="G1350" s="7" t="s">
        <v>12126</v>
      </c>
      <c r="H1350" s="7" t="s">
        <v>12127</v>
      </c>
      <c r="I1350" s="119">
        <v>45292.0</v>
      </c>
      <c r="K1350" s="7" t="s">
        <v>419</v>
      </c>
      <c r="L1350" s="7" t="s">
        <v>991</v>
      </c>
      <c r="M1350" s="7" t="s">
        <v>3531</v>
      </c>
      <c r="N1350" s="7" t="s">
        <v>4237</v>
      </c>
      <c r="O1350" s="7" t="s">
        <v>4238</v>
      </c>
      <c r="P1350" s="7" t="s">
        <v>3493</v>
      </c>
      <c r="Q1350" s="7">
        <v>1.0</v>
      </c>
    </row>
    <row r="1351">
      <c r="A1351" s="7" t="s">
        <v>12128</v>
      </c>
      <c r="B1351" s="7">
        <v>2200615.0</v>
      </c>
      <c r="C1351" s="7" t="s">
        <v>12129</v>
      </c>
      <c r="D1351" s="7" t="s">
        <v>12130</v>
      </c>
      <c r="E1351" s="7" t="s">
        <v>12131</v>
      </c>
      <c r="F1351" s="7" t="s">
        <v>12031</v>
      </c>
      <c r="G1351" s="7" t="s">
        <v>12132</v>
      </c>
      <c r="I1351" s="119">
        <v>45292.0</v>
      </c>
      <c r="K1351" s="7" t="s">
        <v>419</v>
      </c>
      <c r="L1351" s="7" t="s">
        <v>991</v>
      </c>
      <c r="M1351" s="7" t="s">
        <v>3531</v>
      </c>
      <c r="N1351" s="7" t="s">
        <v>3820</v>
      </c>
      <c r="O1351" s="7" t="s">
        <v>3821</v>
      </c>
      <c r="P1351" s="7" t="s">
        <v>3493</v>
      </c>
      <c r="Q1351" s="7">
        <v>1.0</v>
      </c>
    </row>
    <row r="1352">
      <c r="A1352" s="7" t="s">
        <v>12133</v>
      </c>
      <c r="B1352" s="7">
        <v>14242.0</v>
      </c>
      <c r="C1352" s="7" t="s">
        <v>12134</v>
      </c>
      <c r="D1352" s="7" t="s">
        <v>12135</v>
      </c>
      <c r="E1352" s="7" t="s">
        <v>12136</v>
      </c>
      <c r="F1352" s="7" t="s">
        <v>12137</v>
      </c>
      <c r="G1352" s="7" t="s">
        <v>12138</v>
      </c>
      <c r="I1352" s="119">
        <v>45292.0</v>
      </c>
      <c r="K1352" s="7" t="s">
        <v>419</v>
      </c>
      <c r="L1352" s="7" t="s">
        <v>991</v>
      </c>
      <c r="M1352" s="7" t="s">
        <v>3531</v>
      </c>
      <c r="N1352" s="7" t="s">
        <v>7883</v>
      </c>
      <c r="O1352" s="7" t="s">
        <v>7884</v>
      </c>
      <c r="P1352" s="7" t="s">
        <v>3493</v>
      </c>
      <c r="Q1352" s="7">
        <v>1.0</v>
      </c>
    </row>
    <row r="1353">
      <c r="A1353" s="7" t="s">
        <v>12139</v>
      </c>
      <c r="B1353" s="7">
        <v>2100512.0</v>
      </c>
      <c r="C1353" s="7" t="s">
        <v>12140</v>
      </c>
      <c r="D1353" s="7" t="s">
        <v>12141</v>
      </c>
      <c r="E1353" s="7" t="s">
        <v>12142</v>
      </c>
      <c r="F1353" s="7" t="s">
        <v>9975</v>
      </c>
      <c r="G1353" s="7" t="s">
        <v>12143</v>
      </c>
      <c r="H1353" s="7" t="s">
        <v>12144</v>
      </c>
      <c r="I1353" s="119">
        <v>45292.0</v>
      </c>
      <c r="K1353" s="7" t="s">
        <v>419</v>
      </c>
      <c r="L1353" s="7" t="s">
        <v>991</v>
      </c>
      <c r="M1353" s="7" t="s">
        <v>3501</v>
      </c>
      <c r="N1353" s="7" t="s">
        <v>4481</v>
      </c>
      <c r="O1353" s="7" t="s">
        <v>4482</v>
      </c>
      <c r="P1353" s="7" t="s">
        <v>3493</v>
      </c>
      <c r="Q1353" s="7">
        <v>1.0</v>
      </c>
    </row>
    <row r="1354">
      <c r="A1354" s="7" t="s">
        <v>12145</v>
      </c>
      <c r="B1354" s="7">
        <v>13424.0</v>
      </c>
      <c r="C1354" s="7" t="s">
        <v>12140</v>
      </c>
      <c r="D1354" s="7" t="s">
        <v>12146</v>
      </c>
      <c r="E1354" s="7" t="s">
        <v>12142</v>
      </c>
      <c r="F1354" s="7" t="s">
        <v>12147</v>
      </c>
      <c r="G1354" s="7" t="s">
        <v>12148</v>
      </c>
      <c r="H1354" s="7" t="s">
        <v>12149</v>
      </c>
      <c r="I1354" s="119">
        <v>45292.0</v>
      </c>
      <c r="K1354" s="7" t="s">
        <v>419</v>
      </c>
      <c r="L1354" s="7" t="s">
        <v>991</v>
      </c>
      <c r="M1354" s="7" t="s">
        <v>3501</v>
      </c>
      <c r="N1354" s="7" t="s">
        <v>4720</v>
      </c>
      <c r="O1354" s="7" t="s">
        <v>4721</v>
      </c>
      <c r="P1354" s="7" t="s">
        <v>3493</v>
      </c>
      <c r="Q1354" s="7">
        <v>1.0</v>
      </c>
    </row>
    <row r="1355">
      <c r="A1355" s="7" t="s">
        <v>12150</v>
      </c>
      <c r="B1355" s="7">
        <v>2100229.0</v>
      </c>
      <c r="C1355" s="7" t="s">
        <v>12140</v>
      </c>
      <c r="D1355" s="7" t="s">
        <v>12151</v>
      </c>
      <c r="E1355" s="7" t="s">
        <v>12142</v>
      </c>
      <c r="F1355" s="7" t="s">
        <v>12152</v>
      </c>
      <c r="G1355" s="7" t="s">
        <v>12153</v>
      </c>
      <c r="H1355" s="7" t="s">
        <v>12154</v>
      </c>
      <c r="I1355" s="119">
        <v>45292.0</v>
      </c>
      <c r="K1355" s="7" t="s">
        <v>419</v>
      </c>
      <c r="L1355" s="7" t="s">
        <v>991</v>
      </c>
      <c r="M1355" s="7" t="s">
        <v>3531</v>
      </c>
      <c r="N1355" s="7" t="s">
        <v>5795</v>
      </c>
      <c r="O1355" s="7" t="s">
        <v>5796</v>
      </c>
      <c r="P1355" s="7" t="s">
        <v>3493</v>
      </c>
      <c r="Q1355" s="7">
        <v>1.0</v>
      </c>
    </row>
    <row r="1356">
      <c r="A1356" s="7" t="s">
        <v>12155</v>
      </c>
      <c r="B1356" s="7">
        <v>2300192.0</v>
      </c>
      <c r="C1356" s="7" t="s">
        <v>12140</v>
      </c>
      <c r="D1356" s="7" t="s">
        <v>4313</v>
      </c>
      <c r="E1356" s="7" t="s">
        <v>12142</v>
      </c>
      <c r="F1356" s="7" t="s">
        <v>4314</v>
      </c>
      <c r="G1356" s="7" t="s">
        <v>12156</v>
      </c>
      <c r="H1356" s="7" t="s">
        <v>12157</v>
      </c>
      <c r="I1356" s="119">
        <v>45292.0</v>
      </c>
      <c r="K1356" s="7" t="s">
        <v>419</v>
      </c>
      <c r="L1356" s="7" t="s">
        <v>991</v>
      </c>
      <c r="M1356" s="7" t="s">
        <v>3501</v>
      </c>
      <c r="N1356" s="7" t="s">
        <v>8158</v>
      </c>
      <c r="O1356" s="7" t="s">
        <v>10691</v>
      </c>
      <c r="P1356" s="7" t="s">
        <v>3493</v>
      </c>
      <c r="Q1356" s="7">
        <v>1.0</v>
      </c>
    </row>
    <row r="1357">
      <c r="A1357" s="7" t="s">
        <v>12158</v>
      </c>
      <c r="B1357" s="7">
        <v>13130.0</v>
      </c>
      <c r="C1357" s="7" t="s">
        <v>12159</v>
      </c>
      <c r="D1357" s="7" t="s">
        <v>12160</v>
      </c>
      <c r="E1357" s="7" t="s">
        <v>12161</v>
      </c>
      <c r="F1357" s="7" t="s">
        <v>10234</v>
      </c>
      <c r="G1357" s="7" t="s">
        <v>12162</v>
      </c>
      <c r="H1357" s="7" t="s">
        <v>12163</v>
      </c>
      <c r="I1357" s="119">
        <v>45292.0</v>
      </c>
      <c r="K1357" s="7" t="s">
        <v>419</v>
      </c>
      <c r="L1357" s="7" t="s">
        <v>991</v>
      </c>
      <c r="M1357" s="7" t="s">
        <v>3583</v>
      </c>
      <c r="N1357" s="7" t="s">
        <v>4979</v>
      </c>
      <c r="O1357" s="7" t="s">
        <v>4980</v>
      </c>
      <c r="P1357" s="7" t="s">
        <v>3493</v>
      </c>
      <c r="Q1357" s="7">
        <v>1.0</v>
      </c>
    </row>
    <row r="1358">
      <c r="A1358" s="7" t="s">
        <v>12164</v>
      </c>
      <c r="B1358" s="7">
        <v>1265.0</v>
      </c>
      <c r="C1358" s="7" t="s">
        <v>12165</v>
      </c>
      <c r="D1358" s="7" t="s">
        <v>6693</v>
      </c>
      <c r="E1358" s="7" t="s">
        <v>12166</v>
      </c>
      <c r="F1358" s="7" t="s">
        <v>5203</v>
      </c>
      <c r="G1358" s="7" t="s">
        <v>12167</v>
      </c>
      <c r="H1358" s="7" t="s">
        <v>12168</v>
      </c>
      <c r="I1358" s="119">
        <v>45292.0</v>
      </c>
      <c r="K1358" s="7" t="s">
        <v>419</v>
      </c>
      <c r="L1358" s="7" t="s">
        <v>991</v>
      </c>
      <c r="M1358" s="7" t="s">
        <v>3501</v>
      </c>
      <c r="N1358" s="7" t="s">
        <v>8808</v>
      </c>
      <c r="O1358" s="7" t="s">
        <v>8809</v>
      </c>
      <c r="P1358" s="7" t="s">
        <v>3493</v>
      </c>
      <c r="Q1358" s="7">
        <v>1.0</v>
      </c>
    </row>
    <row r="1359">
      <c r="A1359" s="7" t="s">
        <v>12169</v>
      </c>
      <c r="B1359" s="7">
        <v>876.0</v>
      </c>
      <c r="C1359" s="7" t="s">
        <v>12170</v>
      </c>
      <c r="D1359" s="7" t="s">
        <v>12171</v>
      </c>
      <c r="E1359" s="7" t="s">
        <v>12172</v>
      </c>
      <c r="F1359" s="7" t="s">
        <v>12173</v>
      </c>
      <c r="G1359" s="7" t="s">
        <v>12174</v>
      </c>
      <c r="H1359" s="7" t="s">
        <v>12175</v>
      </c>
      <c r="I1359" s="119">
        <v>45292.0</v>
      </c>
      <c r="K1359" s="7" t="s">
        <v>419</v>
      </c>
      <c r="L1359" s="7" t="s">
        <v>991</v>
      </c>
      <c r="M1359" s="7" t="s">
        <v>3501</v>
      </c>
      <c r="N1359" s="7" t="s">
        <v>4754</v>
      </c>
      <c r="O1359" s="7" t="s">
        <v>4755</v>
      </c>
      <c r="P1359" s="7" t="s">
        <v>3493</v>
      </c>
      <c r="Q1359" s="7">
        <v>1.0</v>
      </c>
    </row>
    <row r="1360">
      <c r="A1360" s="7" t="s">
        <v>1395</v>
      </c>
      <c r="B1360" s="7">
        <v>204.0</v>
      </c>
      <c r="C1360" s="7" t="s">
        <v>12176</v>
      </c>
      <c r="D1360" s="7" t="s">
        <v>12177</v>
      </c>
      <c r="E1360" s="7" t="s">
        <v>12178</v>
      </c>
      <c r="F1360" s="7" t="s">
        <v>3498</v>
      </c>
      <c r="G1360" s="7" t="s">
        <v>12179</v>
      </c>
      <c r="H1360" s="7" t="s">
        <v>12180</v>
      </c>
      <c r="I1360" s="119">
        <v>45292.0</v>
      </c>
      <c r="K1360" s="7" t="s">
        <v>419</v>
      </c>
      <c r="L1360" s="7" t="s">
        <v>991</v>
      </c>
      <c r="M1360" s="7" t="s">
        <v>3501</v>
      </c>
      <c r="N1360" s="7" t="s">
        <v>4871</v>
      </c>
      <c r="O1360" s="7" t="s">
        <v>5002</v>
      </c>
      <c r="P1360" s="7" t="s">
        <v>3493</v>
      </c>
      <c r="Q1360" s="7">
        <v>1.0</v>
      </c>
    </row>
    <row r="1361">
      <c r="A1361" s="7" t="s">
        <v>12181</v>
      </c>
      <c r="B1361" s="7">
        <v>13311.0</v>
      </c>
      <c r="C1361" s="7" t="s">
        <v>12182</v>
      </c>
      <c r="D1361" s="7" t="s">
        <v>12183</v>
      </c>
      <c r="E1361" s="7" t="s">
        <v>12184</v>
      </c>
      <c r="F1361" s="7" t="s">
        <v>12185</v>
      </c>
      <c r="G1361" s="7" t="s">
        <v>12186</v>
      </c>
      <c r="H1361" s="7" t="s">
        <v>12187</v>
      </c>
      <c r="I1361" s="119">
        <v>45292.0</v>
      </c>
      <c r="K1361" s="7" t="s">
        <v>419</v>
      </c>
      <c r="L1361" s="7" t="s">
        <v>991</v>
      </c>
      <c r="M1361" s="7" t="s">
        <v>3501</v>
      </c>
      <c r="N1361" s="7" t="s">
        <v>3877</v>
      </c>
      <c r="O1361" s="7" t="s">
        <v>3878</v>
      </c>
      <c r="P1361" s="7" t="s">
        <v>3493</v>
      </c>
      <c r="Q1361" s="7">
        <v>1.0</v>
      </c>
    </row>
    <row r="1362">
      <c r="A1362" s="7" t="s">
        <v>12188</v>
      </c>
      <c r="B1362" s="7">
        <v>13880.0</v>
      </c>
      <c r="C1362" s="7" t="s">
        <v>12189</v>
      </c>
      <c r="D1362" s="7" t="s">
        <v>8105</v>
      </c>
      <c r="E1362" s="7" t="s">
        <v>12184</v>
      </c>
      <c r="F1362" s="7" t="s">
        <v>7066</v>
      </c>
      <c r="G1362" s="7" t="s">
        <v>12190</v>
      </c>
      <c r="H1362" s="7" t="s">
        <v>12191</v>
      </c>
      <c r="I1362" s="119">
        <v>45292.0</v>
      </c>
      <c r="K1362" s="7" t="s">
        <v>3632</v>
      </c>
      <c r="L1362" s="7" t="s">
        <v>991</v>
      </c>
      <c r="M1362" s="7" t="s">
        <v>3501</v>
      </c>
      <c r="N1362" s="7" t="s">
        <v>5052</v>
      </c>
      <c r="O1362" s="7" t="s">
        <v>12192</v>
      </c>
      <c r="P1362" s="7" t="s">
        <v>4154</v>
      </c>
      <c r="Q1362" s="7" t="s">
        <v>4155</v>
      </c>
    </row>
    <row r="1363">
      <c r="A1363" s="7" t="s">
        <v>12193</v>
      </c>
      <c r="B1363" s="7">
        <v>12896.0</v>
      </c>
      <c r="C1363" s="7" t="s">
        <v>12189</v>
      </c>
      <c r="D1363" s="7" t="s">
        <v>12194</v>
      </c>
      <c r="E1363" s="7" t="s">
        <v>12184</v>
      </c>
      <c r="F1363" s="7" t="s">
        <v>9012</v>
      </c>
      <c r="G1363" s="7" t="s">
        <v>12195</v>
      </c>
      <c r="H1363" s="7" t="s">
        <v>12196</v>
      </c>
      <c r="I1363" s="119">
        <v>45292.0</v>
      </c>
      <c r="K1363" s="7" t="s">
        <v>419</v>
      </c>
      <c r="L1363" s="7" t="s">
        <v>991</v>
      </c>
      <c r="M1363" s="7" t="s">
        <v>3501</v>
      </c>
      <c r="N1363" s="7" t="s">
        <v>10516</v>
      </c>
      <c r="O1363" s="7" t="s">
        <v>10517</v>
      </c>
      <c r="P1363" s="7" t="s">
        <v>3493</v>
      </c>
      <c r="Q1363" s="7">
        <v>1.0</v>
      </c>
    </row>
    <row r="1364">
      <c r="A1364" s="7" t="s">
        <v>12197</v>
      </c>
      <c r="B1364" s="7">
        <v>2200643.0</v>
      </c>
      <c r="C1364" s="7" t="s">
        <v>12198</v>
      </c>
      <c r="D1364" s="7" t="s">
        <v>12199</v>
      </c>
      <c r="E1364" s="7" t="s">
        <v>12200</v>
      </c>
      <c r="F1364" s="7" t="s">
        <v>12201</v>
      </c>
      <c r="G1364" s="7" t="s">
        <v>12202</v>
      </c>
      <c r="H1364" s="7" t="s">
        <v>12203</v>
      </c>
      <c r="I1364" s="119">
        <v>45292.0</v>
      </c>
      <c r="K1364" s="7" t="s">
        <v>419</v>
      </c>
      <c r="L1364" s="7" t="s">
        <v>991</v>
      </c>
      <c r="M1364" s="7" t="s">
        <v>3501</v>
      </c>
      <c r="N1364" s="7" t="s">
        <v>10370</v>
      </c>
      <c r="O1364" s="7" t="s">
        <v>10371</v>
      </c>
      <c r="P1364" s="7" t="s">
        <v>3493</v>
      </c>
      <c r="Q1364" s="7">
        <v>1.0</v>
      </c>
    </row>
    <row r="1365">
      <c r="A1365" s="7" t="s">
        <v>12204</v>
      </c>
      <c r="B1365" s="7">
        <v>2200446.0</v>
      </c>
      <c r="C1365" s="7" t="s">
        <v>12205</v>
      </c>
      <c r="D1365" s="7" t="s">
        <v>12206</v>
      </c>
      <c r="E1365" s="7" t="s">
        <v>12207</v>
      </c>
      <c r="F1365" s="7" t="s">
        <v>12208</v>
      </c>
      <c r="G1365" s="7" t="s">
        <v>12209</v>
      </c>
      <c r="I1365" s="119">
        <v>45292.0</v>
      </c>
      <c r="K1365" s="7" t="s">
        <v>419</v>
      </c>
      <c r="L1365" s="7" t="s">
        <v>991</v>
      </c>
      <c r="M1365" s="7" t="s">
        <v>4644</v>
      </c>
      <c r="N1365" s="7" t="s">
        <v>6293</v>
      </c>
      <c r="O1365" s="7" t="s">
        <v>12210</v>
      </c>
      <c r="P1365" s="7" t="s">
        <v>4908</v>
      </c>
      <c r="Q1365" s="7">
        <v>1.0</v>
      </c>
    </row>
    <row r="1366">
      <c r="A1366" s="7" t="s">
        <v>12211</v>
      </c>
      <c r="B1366" s="7">
        <v>13577.0</v>
      </c>
      <c r="C1366" s="7" t="s">
        <v>12205</v>
      </c>
      <c r="D1366" s="7" t="s">
        <v>12212</v>
      </c>
      <c r="E1366" s="7" t="s">
        <v>12207</v>
      </c>
      <c r="F1366" s="7" t="s">
        <v>4677</v>
      </c>
      <c r="G1366" s="7" t="s">
        <v>12213</v>
      </c>
      <c r="H1366" s="7" t="s">
        <v>12214</v>
      </c>
      <c r="I1366" s="119">
        <v>45292.0</v>
      </c>
      <c r="K1366" s="7" t="s">
        <v>419</v>
      </c>
      <c r="L1366" s="7" t="s">
        <v>991</v>
      </c>
      <c r="M1366" s="7" t="s">
        <v>3501</v>
      </c>
      <c r="N1366" s="7" t="s">
        <v>4127</v>
      </c>
      <c r="O1366" s="7" t="s">
        <v>4128</v>
      </c>
      <c r="P1366" s="7" t="s">
        <v>3493</v>
      </c>
      <c r="Q1366" s="7">
        <v>1.0</v>
      </c>
    </row>
    <row r="1367">
      <c r="A1367" s="7" t="s">
        <v>12215</v>
      </c>
      <c r="B1367" s="7">
        <v>2300212.0</v>
      </c>
      <c r="C1367" s="7" t="s">
        <v>12205</v>
      </c>
      <c r="D1367" s="7" t="s">
        <v>12216</v>
      </c>
      <c r="E1367" s="7" t="s">
        <v>12207</v>
      </c>
      <c r="F1367" s="7" t="s">
        <v>12217</v>
      </c>
      <c r="G1367" s="7" t="s">
        <v>12218</v>
      </c>
      <c r="H1367" s="7" t="s">
        <v>12219</v>
      </c>
      <c r="I1367" s="119">
        <v>45292.0</v>
      </c>
      <c r="K1367" s="7" t="s">
        <v>4042</v>
      </c>
      <c r="L1367" s="7" t="s">
        <v>991</v>
      </c>
      <c r="M1367" s="7" t="s">
        <v>3531</v>
      </c>
      <c r="N1367" s="7" t="s">
        <v>4043</v>
      </c>
      <c r="O1367" s="7" t="s">
        <v>4044</v>
      </c>
      <c r="P1367" s="7" t="s">
        <v>3493</v>
      </c>
      <c r="Q1367" s="7">
        <v>1.0</v>
      </c>
    </row>
    <row r="1368">
      <c r="A1368" s="7" t="s">
        <v>12220</v>
      </c>
      <c r="B1368" s="7">
        <v>13699.0</v>
      </c>
      <c r="C1368" s="7" t="s">
        <v>12221</v>
      </c>
      <c r="D1368" s="7" t="s">
        <v>12222</v>
      </c>
      <c r="E1368" s="7" t="s">
        <v>12223</v>
      </c>
      <c r="F1368" s="7" t="s">
        <v>12224</v>
      </c>
      <c r="G1368" s="7" t="s">
        <v>12225</v>
      </c>
      <c r="H1368" s="7" t="s">
        <v>12226</v>
      </c>
      <c r="I1368" s="119">
        <v>45292.0</v>
      </c>
      <c r="K1368" s="7" t="s">
        <v>3632</v>
      </c>
      <c r="L1368" s="7" t="s">
        <v>991</v>
      </c>
      <c r="M1368" s="7" t="s">
        <v>3501</v>
      </c>
      <c r="N1368" s="7" t="s">
        <v>9997</v>
      </c>
      <c r="O1368" s="7" t="s">
        <v>9998</v>
      </c>
      <c r="P1368" s="7" t="s">
        <v>3513</v>
      </c>
      <c r="Q1368" s="7" t="s">
        <v>3514</v>
      </c>
    </row>
    <row r="1369">
      <c r="A1369" s="7" t="s">
        <v>12227</v>
      </c>
      <c r="B1369" s="7">
        <v>13651.0</v>
      </c>
      <c r="C1369" s="7" t="s">
        <v>12228</v>
      </c>
      <c r="D1369" s="7" t="s">
        <v>12229</v>
      </c>
      <c r="E1369" s="7" t="s">
        <v>12230</v>
      </c>
      <c r="F1369" s="7" t="s">
        <v>12231</v>
      </c>
      <c r="G1369" s="7" t="s">
        <v>12232</v>
      </c>
      <c r="H1369" s="7" t="s">
        <v>12233</v>
      </c>
      <c r="I1369" s="119">
        <v>45292.0</v>
      </c>
      <c r="K1369" s="7" t="s">
        <v>3632</v>
      </c>
      <c r="L1369" s="7" t="s">
        <v>991</v>
      </c>
      <c r="M1369" s="7" t="s">
        <v>3501</v>
      </c>
      <c r="N1369" s="7" t="s">
        <v>12234</v>
      </c>
      <c r="O1369" s="7" t="s">
        <v>12235</v>
      </c>
      <c r="P1369" s="7" t="s">
        <v>4788</v>
      </c>
      <c r="Q1369" s="7" t="s">
        <v>3555</v>
      </c>
    </row>
    <row r="1370">
      <c r="A1370" s="7" t="s">
        <v>12236</v>
      </c>
      <c r="B1370" s="7">
        <v>2100505.0</v>
      </c>
      <c r="C1370" s="7" t="s">
        <v>12228</v>
      </c>
      <c r="D1370" s="7" t="s">
        <v>11151</v>
      </c>
      <c r="E1370" s="7" t="s">
        <v>12230</v>
      </c>
      <c r="F1370" s="7" t="s">
        <v>4084</v>
      </c>
      <c r="G1370" s="7" t="s">
        <v>12237</v>
      </c>
      <c r="H1370" s="7" t="s">
        <v>12238</v>
      </c>
      <c r="I1370" s="119">
        <v>45292.0</v>
      </c>
      <c r="K1370" s="7" t="s">
        <v>3489</v>
      </c>
      <c r="L1370" s="7" t="s">
        <v>991</v>
      </c>
      <c r="M1370" s="7" t="s">
        <v>3490</v>
      </c>
      <c r="N1370" s="7" t="s">
        <v>3491</v>
      </c>
      <c r="O1370" s="7" t="s">
        <v>3492</v>
      </c>
      <c r="P1370" s="7" t="s">
        <v>3493</v>
      </c>
      <c r="Q1370" s="7">
        <v>1.0</v>
      </c>
    </row>
    <row r="1371">
      <c r="A1371" s="7" t="s">
        <v>12239</v>
      </c>
      <c r="B1371" s="7">
        <v>2300170.0</v>
      </c>
      <c r="C1371" s="7" t="s">
        <v>12228</v>
      </c>
      <c r="D1371" s="7" t="s">
        <v>12240</v>
      </c>
      <c r="E1371" s="7" t="s">
        <v>12230</v>
      </c>
      <c r="F1371" s="7" t="s">
        <v>9001</v>
      </c>
      <c r="G1371" s="7" t="s">
        <v>12241</v>
      </c>
      <c r="H1371" s="7" t="s">
        <v>12242</v>
      </c>
      <c r="I1371" s="119">
        <v>45292.0</v>
      </c>
      <c r="K1371" s="7" t="s">
        <v>3632</v>
      </c>
      <c r="L1371" s="7" t="s">
        <v>991</v>
      </c>
      <c r="M1371" s="7" t="s">
        <v>3583</v>
      </c>
      <c r="N1371" s="7" t="s">
        <v>3633</v>
      </c>
      <c r="O1371" s="7" t="s">
        <v>10846</v>
      </c>
      <c r="P1371" s="7" t="s">
        <v>3493</v>
      </c>
      <c r="Q1371" s="7">
        <v>1.0</v>
      </c>
    </row>
    <row r="1372">
      <c r="A1372" s="7" t="s">
        <v>12243</v>
      </c>
      <c r="B1372" s="7">
        <v>2400007.0</v>
      </c>
      <c r="C1372" s="7" t="s">
        <v>12228</v>
      </c>
      <c r="D1372" s="7" t="s">
        <v>12244</v>
      </c>
      <c r="E1372" s="7" t="s">
        <v>12230</v>
      </c>
      <c r="F1372" s="7" t="s">
        <v>6738</v>
      </c>
      <c r="G1372" s="7" t="s">
        <v>12245</v>
      </c>
      <c r="H1372" s="7" t="s">
        <v>12246</v>
      </c>
      <c r="I1372" s="119">
        <v>45292.0</v>
      </c>
      <c r="K1372" s="7" t="s">
        <v>419</v>
      </c>
      <c r="L1372" s="7" t="s">
        <v>991</v>
      </c>
      <c r="M1372" s="7" t="s">
        <v>3501</v>
      </c>
      <c r="N1372" s="7" t="s">
        <v>7298</v>
      </c>
      <c r="O1372" s="7" t="s">
        <v>7299</v>
      </c>
      <c r="P1372" s="7" t="s">
        <v>3522</v>
      </c>
      <c r="Q1372" s="7" t="s">
        <v>3523</v>
      </c>
    </row>
    <row r="1373">
      <c r="A1373" s="7" t="s">
        <v>12247</v>
      </c>
      <c r="B1373" s="7">
        <v>13398.0</v>
      </c>
      <c r="C1373" s="7" t="s">
        <v>12228</v>
      </c>
      <c r="D1373" s="7" t="s">
        <v>12248</v>
      </c>
      <c r="E1373" s="7" t="s">
        <v>12230</v>
      </c>
      <c r="F1373" s="7" t="s">
        <v>8711</v>
      </c>
      <c r="G1373" s="7" t="s">
        <v>12249</v>
      </c>
      <c r="H1373" s="7" t="s">
        <v>12250</v>
      </c>
      <c r="I1373" s="119">
        <v>45292.0</v>
      </c>
      <c r="K1373" s="7" t="s">
        <v>419</v>
      </c>
      <c r="L1373" s="7" t="s">
        <v>991</v>
      </c>
      <c r="M1373" s="7" t="s">
        <v>3490</v>
      </c>
      <c r="N1373" s="7" t="s">
        <v>7662</v>
      </c>
      <c r="O1373" s="7" t="s">
        <v>7663</v>
      </c>
      <c r="P1373" s="7" t="s">
        <v>3493</v>
      </c>
      <c r="Q1373" s="7">
        <v>1.0</v>
      </c>
    </row>
    <row r="1374">
      <c r="A1374" s="7" t="s">
        <v>12251</v>
      </c>
      <c r="B1374" s="7">
        <v>2100578.0</v>
      </c>
      <c r="C1374" s="7" t="s">
        <v>12228</v>
      </c>
      <c r="D1374" s="7" t="s">
        <v>12252</v>
      </c>
      <c r="E1374" s="7" t="s">
        <v>12230</v>
      </c>
      <c r="F1374" s="7" t="s">
        <v>5250</v>
      </c>
      <c r="G1374" s="7" t="s">
        <v>12253</v>
      </c>
      <c r="H1374" s="7" t="s">
        <v>12254</v>
      </c>
      <c r="I1374" s="119">
        <v>45292.0</v>
      </c>
      <c r="K1374" s="7" t="s">
        <v>419</v>
      </c>
      <c r="L1374" s="7" t="s">
        <v>991</v>
      </c>
      <c r="M1374" s="7" t="s">
        <v>3501</v>
      </c>
      <c r="N1374" s="7" t="s">
        <v>10722</v>
      </c>
      <c r="O1374" s="7" t="s">
        <v>11045</v>
      </c>
      <c r="P1374" s="7" t="s">
        <v>3493</v>
      </c>
      <c r="Q1374" s="7">
        <v>1.0</v>
      </c>
    </row>
    <row r="1375">
      <c r="A1375" s="7" t="s">
        <v>12255</v>
      </c>
      <c r="B1375" s="7">
        <v>2200135.0</v>
      </c>
      <c r="C1375" s="7" t="s">
        <v>12228</v>
      </c>
      <c r="D1375" s="7" t="s">
        <v>12256</v>
      </c>
      <c r="E1375" s="7" t="s">
        <v>12230</v>
      </c>
      <c r="F1375" s="7" t="s">
        <v>3609</v>
      </c>
      <c r="G1375" s="7" t="s">
        <v>12257</v>
      </c>
      <c r="H1375" s="7" t="s">
        <v>12258</v>
      </c>
      <c r="I1375" s="119">
        <v>45292.0</v>
      </c>
      <c r="K1375" s="7" t="s">
        <v>419</v>
      </c>
      <c r="L1375" s="7" t="s">
        <v>991</v>
      </c>
      <c r="M1375" s="7" t="s">
        <v>3501</v>
      </c>
      <c r="N1375" s="7" t="s">
        <v>9727</v>
      </c>
      <c r="O1375" s="7" t="s">
        <v>9728</v>
      </c>
      <c r="P1375" s="7" t="s">
        <v>3604</v>
      </c>
      <c r="Q1375" s="7">
        <v>1.0</v>
      </c>
    </row>
    <row r="1376">
      <c r="A1376" s="7" t="s">
        <v>12259</v>
      </c>
      <c r="B1376" s="7">
        <v>2100150.0</v>
      </c>
      <c r="C1376" s="7" t="s">
        <v>12260</v>
      </c>
      <c r="D1376" s="7" t="s">
        <v>12261</v>
      </c>
      <c r="E1376" s="7" t="s">
        <v>12262</v>
      </c>
      <c r="F1376" s="7" t="s">
        <v>4546</v>
      </c>
      <c r="G1376" s="7" t="s">
        <v>12263</v>
      </c>
      <c r="H1376" s="7" t="s">
        <v>12264</v>
      </c>
      <c r="I1376" s="119">
        <v>45292.0</v>
      </c>
      <c r="K1376" s="7" t="s">
        <v>419</v>
      </c>
      <c r="L1376" s="7" t="s">
        <v>991</v>
      </c>
      <c r="M1376" s="7" t="s">
        <v>3531</v>
      </c>
      <c r="N1376" s="7" t="s">
        <v>5026</v>
      </c>
      <c r="O1376" s="7" t="s">
        <v>5027</v>
      </c>
      <c r="P1376" s="7" t="s">
        <v>3493</v>
      </c>
      <c r="Q1376" s="7">
        <v>1.0</v>
      </c>
    </row>
    <row r="1377">
      <c r="A1377" s="7" t="s">
        <v>1632</v>
      </c>
      <c r="B1377" s="7">
        <v>606.0</v>
      </c>
      <c r="C1377" s="7" t="s">
        <v>12265</v>
      </c>
      <c r="D1377" s="7" t="s">
        <v>9714</v>
      </c>
      <c r="E1377" s="7" t="s">
        <v>12266</v>
      </c>
      <c r="F1377" s="7" t="s">
        <v>4700</v>
      </c>
      <c r="G1377" s="7" t="s">
        <v>12267</v>
      </c>
      <c r="H1377" s="7" t="s">
        <v>12268</v>
      </c>
      <c r="I1377" s="119">
        <v>45292.0</v>
      </c>
      <c r="K1377" s="7" t="s">
        <v>3885</v>
      </c>
      <c r="L1377" s="7" t="s">
        <v>3542</v>
      </c>
      <c r="M1377" s="7" t="s">
        <v>3563</v>
      </c>
      <c r="N1377" s="7" t="s">
        <v>8863</v>
      </c>
      <c r="O1377" s="7" t="s">
        <v>12269</v>
      </c>
      <c r="P1377" s="7" t="s">
        <v>12270</v>
      </c>
      <c r="Q1377" s="7" t="s">
        <v>3698</v>
      </c>
    </row>
    <row r="1378">
      <c r="A1378" s="7" t="s">
        <v>12271</v>
      </c>
      <c r="B1378" s="7">
        <v>2300456.0</v>
      </c>
      <c r="C1378" s="7" t="s">
        <v>12272</v>
      </c>
      <c r="D1378" s="7" t="s">
        <v>4590</v>
      </c>
      <c r="E1378" s="7" t="s">
        <v>12273</v>
      </c>
      <c r="F1378" s="7" t="s">
        <v>4203</v>
      </c>
      <c r="G1378" s="7" t="s">
        <v>12274</v>
      </c>
      <c r="H1378" s="7" t="s">
        <v>12275</v>
      </c>
      <c r="I1378" s="119">
        <v>45292.0</v>
      </c>
      <c r="K1378" s="7" t="s">
        <v>419</v>
      </c>
      <c r="L1378" s="7" t="s">
        <v>991</v>
      </c>
      <c r="M1378" s="7" t="s">
        <v>3531</v>
      </c>
      <c r="N1378" s="7" t="s">
        <v>3742</v>
      </c>
      <c r="O1378" s="7" t="s">
        <v>3743</v>
      </c>
      <c r="P1378" s="7" t="s">
        <v>3493</v>
      </c>
      <c r="Q1378" s="7">
        <v>1.0</v>
      </c>
    </row>
    <row r="1379">
      <c r="A1379" s="7" t="s">
        <v>12276</v>
      </c>
      <c r="B1379" s="7">
        <v>12778.0</v>
      </c>
      <c r="C1379" s="7" t="s">
        <v>12277</v>
      </c>
      <c r="D1379" s="7" t="s">
        <v>12278</v>
      </c>
      <c r="E1379" s="7" t="s">
        <v>12279</v>
      </c>
      <c r="F1379" s="7" t="s">
        <v>12280</v>
      </c>
      <c r="G1379" s="7" t="s">
        <v>12281</v>
      </c>
      <c r="H1379" s="7" t="s">
        <v>12282</v>
      </c>
      <c r="I1379" s="119">
        <v>45292.0</v>
      </c>
      <c r="K1379" s="7" t="s">
        <v>419</v>
      </c>
      <c r="L1379" s="7" t="s">
        <v>991</v>
      </c>
      <c r="M1379" s="7" t="s">
        <v>3501</v>
      </c>
      <c r="N1379" s="7" t="s">
        <v>3877</v>
      </c>
      <c r="O1379" s="7" t="s">
        <v>3878</v>
      </c>
      <c r="P1379" s="7" t="s">
        <v>3604</v>
      </c>
      <c r="Q1379" s="7">
        <v>1.0</v>
      </c>
    </row>
    <row r="1380">
      <c r="A1380" s="7" t="s">
        <v>12283</v>
      </c>
      <c r="B1380" s="7">
        <v>2200205.0</v>
      </c>
      <c r="C1380" s="7" t="s">
        <v>12284</v>
      </c>
      <c r="D1380" s="7" t="s">
        <v>12285</v>
      </c>
      <c r="E1380" s="7" t="s">
        <v>12286</v>
      </c>
      <c r="F1380" s="7" t="s">
        <v>4357</v>
      </c>
      <c r="G1380" s="7" t="s">
        <v>12287</v>
      </c>
      <c r="H1380" s="7" t="s">
        <v>12288</v>
      </c>
      <c r="I1380" s="119">
        <v>45292.0</v>
      </c>
      <c r="K1380" s="7" t="s">
        <v>419</v>
      </c>
      <c r="L1380" s="7" t="s">
        <v>991</v>
      </c>
      <c r="M1380" s="7" t="s">
        <v>3583</v>
      </c>
      <c r="N1380" s="7" t="s">
        <v>4265</v>
      </c>
      <c r="O1380" s="7" t="s">
        <v>4266</v>
      </c>
      <c r="P1380" s="7" t="s">
        <v>3493</v>
      </c>
      <c r="Q1380" s="7">
        <v>1.0</v>
      </c>
    </row>
    <row r="1381">
      <c r="A1381" s="7" t="s">
        <v>12289</v>
      </c>
      <c r="B1381" s="7">
        <v>2200169.0</v>
      </c>
      <c r="C1381" s="7" t="s">
        <v>12290</v>
      </c>
      <c r="D1381" s="7" t="s">
        <v>12291</v>
      </c>
      <c r="E1381" s="7" t="s">
        <v>12292</v>
      </c>
      <c r="F1381" s="7" t="s">
        <v>4068</v>
      </c>
      <c r="G1381" s="7" t="s">
        <v>12293</v>
      </c>
      <c r="H1381" s="7" t="s">
        <v>12294</v>
      </c>
      <c r="I1381" s="119">
        <v>45292.0</v>
      </c>
      <c r="K1381" s="7" t="s">
        <v>419</v>
      </c>
      <c r="L1381" s="7" t="s">
        <v>991</v>
      </c>
      <c r="M1381" s="7" t="s">
        <v>3531</v>
      </c>
      <c r="N1381" s="7" t="s">
        <v>6487</v>
      </c>
      <c r="O1381" s="7" t="s">
        <v>6534</v>
      </c>
      <c r="P1381" s="7" t="s">
        <v>3493</v>
      </c>
      <c r="Q1381" s="7">
        <v>1.0</v>
      </c>
    </row>
    <row r="1382">
      <c r="A1382" s="7" t="s">
        <v>12295</v>
      </c>
      <c r="B1382" s="7">
        <v>2100517.0</v>
      </c>
      <c r="C1382" s="7" t="s">
        <v>12296</v>
      </c>
      <c r="D1382" s="7" t="s">
        <v>12297</v>
      </c>
      <c r="E1382" s="7" t="s">
        <v>12298</v>
      </c>
      <c r="F1382" s="7" t="s">
        <v>12299</v>
      </c>
      <c r="G1382" s="7" t="s">
        <v>12300</v>
      </c>
      <c r="H1382" s="7" t="s">
        <v>12301</v>
      </c>
      <c r="I1382" s="119">
        <v>45292.0</v>
      </c>
      <c r="K1382" s="7" t="s">
        <v>419</v>
      </c>
      <c r="L1382" s="7" t="s">
        <v>991</v>
      </c>
      <c r="M1382" s="7" t="s">
        <v>3531</v>
      </c>
      <c r="N1382" s="7" t="s">
        <v>7947</v>
      </c>
      <c r="O1382" s="7" t="s">
        <v>7948</v>
      </c>
      <c r="P1382" s="7" t="s">
        <v>3493</v>
      </c>
      <c r="Q1382" s="7">
        <v>1.0</v>
      </c>
    </row>
    <row r="1383">
      <c r="A1383" s="7" t="s">
        <v>12302</v>
      </c>
      <c r="B1383" s="7">
        <v>2300236.0</v>
      </c>
      <c r="C1383" s="7" t="s">
        <v>7708</v>
      </c>
      <c r="D1383" s="7" t="s">
        <v>12303</v>
      </c>
      <c r="E1383" s="7" t="s">
        <v>12304</v>
      </c>
      <c r="F1383" s="7" t="s">
        <v>3508</v>
      </c>
      <c r="G1383" s="7" t="s">
        <v>12305</v>
      </c>
      <c r="H1383" s="7" t="s">
        <v>12306</v>
      </c>
      <c r="I1383" s="119">
        <v>45292.0</v>
      </c>
      <c r="K1383" s="7" t="s">
        <v>3632</v>
      </c>
      <c r="L1383" s="7" t="s">
        <v>991</v>
      </c>
      <c r="M1383" s="7" t="s">
        <v>3866</v>
      </c>
      <c r="N1383" s="7" t="s">
        <v>3633</v>
      </c>
      <c r="O1383" s="7" t="s">
        <v>10846</v>
      </c>
      <c r="P1383" s="7" t="s">
        <v>3493</v>
      </c>
      <c r="Q1383" s="7">
        <v>1.0</v>
      </c>
    </row>
    <row r="1384">
      <c r="A1384" s="7" t="s">
        <v>12307</v>
      </c>
      <c r="B1384" s="7">
        <v>13265.0</v>
      </c>
      <c r="C1384" s="7" t="s">
        <v>7708</v>
      </c>
      <c r="D1384" s="7" t="s">
        <v>12308</v>
      </c>
      <c r="E1384" s="7" t="s">
        <v>12304</v>
      </c>
      <c r="F1384" s="7" t="s">
        <v>5049</v>
      </c>
      <c r="G1384" s="7" t="s">
        <v>12309</v>
      </c>
      <c r="H1384" s="7" t="s">
        <v>12310</v>
      </c>
      <c r="I1384" s="119">
        <v>45292.0</v>
      </c>
      <c r="K1384" s="7" t="s">
        <v>419</v>
      </c>
      <c r="L1384" s="7" t="s">
        <v>991</v>
      </c>
      <c r="M1384" s="7" t="s">
        <v>3501</v>
      </c>
      <c r="N1384" s="7" t="s">
        <v>12311</v>
      </c>
      <c r="O1384" s="7" t="s">
        <v>12312</v>
      </c>
      <c r="P1384" s="7" t="s">
        <v>3493</v>
      </c>
      <c r="Q1384" s="7">
        <v>1.0</v>
      </c>
    </row>
    <row r="1385">
      <c r="A1385" s="7" t="s">
        <v>12313</v>
      </c>
      <c r="B1385" s="7">
        <v>2200191.0</v>
      </c>
      <c r="C1385" s="7" t="s">
        <v>7708</v>
      </c>
      <c r="D1385" s="7" t="s">
        <v>8462</v>
      </c>
      <c r="E1385" s="7" t="s">
        <v>12304</v>
      </c>
      <c r="F1385" s="7" t="s">
        <v>8463</v>
      </c>
      <c r="G1385" s="7" t="s">
        <v>12314</v>
      </c>
      <c r="H1385" s="7" t="s">
        <v>12315</v>
      </c>
      <c r="I1385" s="119">
        <v>45292.0</v>
      </c>
      <c r="K1385" s="7" t="s">
        <v>419</v>
      </c>
      <c r="L1385" s="7" t="s">
        <v>991</v>
      </c>
      <c r="M1385" s="7" t="s">
        <v>3501</v>
      </c>
      <c r="N1385" s="7" t="s">
        <v>5868</v>
      </c>
      <c r="O1385" s="7" t="s">
        <v>5869</v>
      </c>
      <c r="P1385" s="7" t="s">
        <v>3843</v>
      </c>
      <c r="Q1385" s="7">
        <v>1.0</v>
      </c>
    </row>
    <row r="1386">
      <c r="A1386" s="7" t="s">
        <v>12316</v>
      </c>
      <c r="B1386" s="7">
        <v>10347.0</v>
      </c>
      <c r="C1386" s="7" t="s">
        <v>7708</v>
      </c>
      <c r="D1386" s="7" t="s">
        <v>5743</v>
      </c>
      <c r="E1386" s="7" t="s">
        <v>12304</v>
      </c>
      <c r="F1386" s="7" t="s">
        <v>5058</v>
      </c>
      <c r="G1386" s="7" t="s">
        <v>12317</v>
      </c>
      <c r="H1386" s="7" t="s">
        <v>12318</v>
      </c>
      <c r="I1386" s="119">
        <v>45292.0</v>
      </c>
      <c r="K1386" s="7" t="s">
        <v>419</v>
      </c>
      <c r="L1386" s="7" t="s">
        <v>991</v>
      </c>
      <c r="M1386" s="7" t="s">
        <v>3501</v>
      </c>
      <c r="N1386" s="7" t="s">
        <v>12319</v>
      </c>
      <c r="O1386" s="7" t="s">
        <v>12320</v>
      </c>
      <c r="P1386" s="7" t="s">
        <v>3894</v>
      </c>
      <c r="Q1386" s="7" t="s">
        <v>3523</v>
      </c>
    </row>
    <row r="1387">
      <c r="A1387" s="7" t="s">
        <v>2398</v>
      </c>
      <c r="B1387" s="7">
        <v>12755.0</v>
      </c>
      <c r="C1387" s="7" t="s">
        <v>12321</v>
      </c>
      <c r="D1387" s="7" t="s">
        <v>12322</v>
      </c>
      <c r="E1387" s="7" t="s">
        <v>12323</v>
      </c>
      <c r="F1387" s="7" t="s">
        <v>10938</v>
      </c>
      <c r="G1387" s="7" t="s">
        <v>12324</v>
      </c>
      <c r="H1387" s="7" t="s">
        <v>12325</v>
      </c>
      <c r="I1387" s="119">
        <v>45292.0</v>
      </c>
      <c r="K1387" s="7" t="s">
        <v>419</v>
      </c>
      <c r="L1387" s="7" t="s">
        <v>991</v>
      </c>
      <c r="M1387" s="7" t="s">
        <v>3501</v>
      </c>
      <c r="N1387" s="7" t="s">
        <v>12326</v>
      </c>
      <c r="O1387" s="7" t="s">
        <v>12327</v>
      </c>
      <c r="P1387" s="7" t="s">
        <v>3894</v>
      </c>
      <c r="Q1387" s="7" t="s">
        <v>3523</v>
      </c>
    </row>
    <row r="1388">
      <c r="A1388" s="7" t="s">
        <v>12328</v>
      </c>
      <c r="B1388" s="7">
        <v>2200713.0</v>
      </c>
      <c r="C1388" s="7" t="s">
        <v>12329</v>
      </c>
      <c r="D1388" s="7" t="s">
        <v>12330</v>
      </c>
      <c r="E1388" s="7" t="s">
        <v>12331</v>
      </c>
      <c r="F1388" s="7" t="s">
        <v>12332</v>
      </c>
      <c r="G1388" s="7" t="s">
        <v>12333</v>
      </c>
      <c r="H1388" s="7" t="s">
        <v>12334</v>
      </c>
      <c r="I1388" s="119">
        <v>45292.0</v>
      </c>
      <c r="K1388" s="7" t="s">
        <v>4042</v>
      </c>
      <c r="L1388" s="7" t="s">
        <v>991</v>
      </c>
      <c r="M1388" s="7" t="s">
        <v>3501</v>
      </c>
      <c r="N1388" s="7" t="s">
        <v>4043</v>
      </c>
      <c r="O1388" s="7" t="s">
        <v>4044</v>
      </c>
      <c r="P1388" s="7" t="s">
        <v>3493</v>
      </c>
      <c r="Q1388" s="7">
        <v>1.0</v>
      </c>
    </row>
    <row r="1389">
      <c r="A1389" s="7" t="s">
        <v>12335</v>
      </c>
      <c r="B1389" s="7">
        <v>2300181.0</v>
      </c>
      <c r="C1389" s="7" t="s">
        <v>12336</v>
      </c>
      <c r="D1389" s="7" t="s">
        <v>4943</v>
      </c>
      <c r="E1389" s="7" t="s">
        <v>12337</v>
      </c>
      <c r="F1389" s="7" t="s">
        <v>3792</v>
      </c>
      <c r="G1389" s="7" t="s">
        <v>12338</v>
      </c>
      <c r="H1389" s="7" t="s">
        <v>12339</v>
      </c>
      <c r="I1389" s="119">
        <v>45292.0</v>
      </c>
      <c r="K1389" s="7" t="s">
        <v>4042</v>
      </c>
      <c r="L1389" s="7" t="s">
        <v>991</v>
      </c>
      <c r="M1389" s="7" t="s">
        <v>3501</v>
      </c>
      <c r="N1389" s="7" t="s">
        <v>4043</v>
      </c>
      <c r="O1389" s="7" t="s">
        <v>4044</v>
      </c>
      <c r="P1389" s="7" t="s">
        <v>3493</v>
      </c>
      <c r="Q1389" s="7">
        <v>1.0</v>
      </c>
    </row>
    <row r="1390">
      <c r="A1390" s="7" t="s">
        <v>12340</v>
      </c>
      <c r="B1390" s="7">
        <v>2100367.0</v>
      </c>
      <c r="C1390" s="7" t="s">
        <v>12341</v>
      </c>
      <c r="D1390" s="7" t="s">
        <v>12342</v>
      </c>
      <c r="E1390" s="7" t="s">
        <v>12343</v>
      </c>
      <c r="F1390" s="7" t="s">
        <v>8580</v>
      </c>
      <c r="G1390" s="7" t="s">
        <v>12344</v>
      </c>
      <c r="H1390" s="7" t="s">
        <v>12345</v>
      </c>
      <c r="I1390" s="119">
        <v>45292.0</v>
      </c>
      <c r="K1390" s="7" t="s">
        <v>419</v>
      </c>
      <c r="L1390" s="7" t="s">
        <v>991</v>
      </c>
      <c r="M1390" s="7" t="s">
        <v>3531</v>
      </c>
      <c r="N1390" s="7" t="s">
        <v>3532</v>
      </c>
      <c r="O1390" s="7" t="s">
        <v>3533</v>
      </c>
      <c r="P1390" s="7" t="s">
        <v>3493</v>
      </c>
      <c r="Q1390" s="7">
        <v>1.0</v>
      </c>
    </row>
    <row r="1391">
      <c r="A1391" s="7" t="s">
        <v>12346</v>
      </c>
      <c r="B1391" s="7">
        <v>13680.0</v>
      </c>
      <c r="C1391" s="7" t="s">
        <v>12347</v>
      </c>
      <c r="D1391" s="7" t="s">
        <v>12348</v>
      </c>
      <c r="E1391" s="7" t="s">
        <v>12349</v>
      </c>
      <c r="F1391" s="7" t="s">
        <v>11827</v>
      </c>
      <c r="G1391" s="7" t="s">
        <v>12350</v>
      </c>
      <c r="H1391" s="7" t="s">
        <v>12351</v>
      </c>
      <c r="I1391" s="119">
        <v>45292.0</v>
      </c>
      <c r="K1391" s="7" t="s">
        <v>3632</v>
      </c>
      <c r="L1391" s="7" t="s">
        <v>991</v>
      </c>
      <c r="M1391" s="7" t="s">
        <v>3501</v>
      </c>
      <c r="N1391" s="7" t="s">
        <v>12352</v>
      </c>
      <c r="O1391" s="7" t="s">
        <v>12353</v>
      </c>
      <c r="P1391" s="7" t="s">
        <v>12354</v>
      </c>
      <c r="Q1391" s="7" t="s">
        <v>4155</v>
      </c>
    </row>
    <row r="1392">
      <c r="A1392" s="7" t="s">
        <v>12355</v>
      </c>
      <c r="B1392" s="7">
        <v>8361.0</v>
      </c>
      <c r="C1392" s="7" t="s">
        <v>12356</v>
      </c>
      <c r="D1392" s="7" t="s">
        <v>12357</v>
      </c>
      <c r="E1392" s="7" t="s">
        <v>12349</v>
      </c>
      <c r="F1392" s="7" t="s">
        <v>12358</v>
      </c>
      <c r="G1392" s="7" t="s">
        <v>12359</v>
      </c>
      <c r="H1392" s="7" t="s">
        <v>12360</v>
      </c>
      <c r="I1392" s="119">
        <v>45292.0</v>
      </c>
      <c r="K1392" s="7" t="s">
        <v>419</v>
      </c>
      <c r="L1392" s="7" t="s">
        <v>991</v>
      </c>
      <c r="M1392" s="7" t="s">
        <v>3531</v>
      </c>
      <c r="N1392" s="7" t="s">
        <v>6239</v>
      </c>
      <c r="O1392" s="7" t="s">
        <v>6240</v>
      </c>
      <c r="P1392" s="7" t="s">
        <v>3493</v>
      </c>
      <c r="Q1392" s="7">
        <v>1.0</v>
      </c>
    </row>
    <row r="1393">
      <c r="A1393" s="7" t="s">
        <v>12361</v>
      </c>
      <c r="B1393" s="7">
        <v>13503.0</v>
      </c>
      <c r="C1393" s="7" t="s">
        <v>12362</v>
      </c>
      <c r="D1393" s="7" t="s">
        <v>12363</v>
      </c>
      <c r="E1393" s="7" t="s">
        <v>12364</v>
      </c>
      <c r="F1393" s="7" t="s">
        <v>12365</v>
      </c>
      <c r="G1393" s="7" t="s">
        <v>12366</v>
      </c>
      <c r="H1393" s="7" t="s">
        <v>12367</v>
      </c>
      <c r="I1393" s="119">
        <v>45292.0</v>
      </c>
      <c r="K1393" s="7" t="s">
        <v>419</v>
      </c>
      <c r="L1393" s="7" t="s">
        <v>991</v>
      </c>
      <c r="M1393" s="7" t="s">
        <v>3501</v>
      </c>
      <c r="N1393" s="7" t="s">
        <v>4778</v>
      </c>
      <c r="O1393" s="7" t="s">
        <v>4779</v>
      </c>
      <c r="P1393" s="7" t="s">
        <v>3493</v>
      </c>
      <c r="Q1393" s="7">
        <v>1.0</v>
      </c>
    </row>
    <row r="1394">
      <c r="A1394" s="7" t="s">
        <v>12368</v>
      </c>
      <c r="B1394" s="7">
        <v>667.0</v>
      </c>
      <c r="C1394" s="7" t="s">
        <v>12369</v>
      </c>
      <c r="D1394" s="7" t="s">
        <v>12370</v>
      </c>
      <c r="E1394" s="7" t="s">
        <v>12371</v>
      </c>
      <c r="F1394" s="7" t="s">
        <v>12372</v>
      </c>
      <c r="G1394" s="7" t="s">
        <v>12373</v>
      </c>
      <c r="H1394" s="7" t="s">
        <v>12374</v>
      </c>
      <c r="I1394" s="119">
        <v>45292.0</v>
      </c>
      <c r="K1394" s="7" t="s">
        <v>419</v>
      </c>
      <c r="L1394" s="7" t="s">
        <v>991</v>
      </c>
      <c r="M1394" s="7" t="s">
        <v>3501</v>
      </c>
      <c r="N1394" s="7" t="s">
        <v>6117</v>
      </c>
      <c r="O1394" s="7" t="s">
        <v>12375</v>
      </c>
      <c r="P1394" s="7" t="s">
        <v>3522</v>
      </c>
      <c r="Q1394" s="7" t="s">
        <v>3523</v>
      </c>
    </row>
    <row r="1395">
      <c r="A1395" s="7" t="s">
        <v>12376</v>
      </c>
      <c r="B1395" s="7">
        <v>2100679.0</v>
      </c>
      <c r="C1395" s="7" t="s">
        <v>12377</v>
      </c>
      <c r="D1395" s="7" t="s">
        <v>12378</v>
      </c>
      <c r="E1395" s="7" t="s">
        <v>12379</v>
      </c>
      <c r="F1395" s="7" t="s">
        <v>12380</v>
      </c>
      <c r="G1395" s="7" t="s">
        <v>12381</v>
      </c>
      <c r="H1395" s="7" t="s">
        <v>12382</v>
      </c>
      <c r="I1395" s="119">
        <v>45292.0</v>
      </c>
      <c r="K1395" s="7" t="s">
        <v>419</v>
      </c>
      <c r="L1395" s="7" t="s">
        <v>991</v>
      </c>
      <c r="M1395" s="7" t="s">
        <v>3531</v>
      </c>
      <c r="N1395" s="7" t="s">
        <v>7947</v>
      </c>
      <c r="O1395" s="7" t="s">
        <v>7948</v>
      </c>
      <c r="P1395" s="7" t="s">
        <v>3493</v>
      </c>
      <c r="Q1395" s="7">
        <v>1.0</v>
      </c>
    </row>
    <row r="1396">
      <c r="A1396" s="7" t="s">
        <v>12383</v>
      </c>
      <c r="B1396" s="7">
        <v>2200813.0</v>
      </c>
      <c r="C1396" s="7" t="s">
        <v>12384</v>
      </c>
      <c r="D1396" s="7" t="s">
        <v>12385</v>
      </c>
      <c r="E1396" s="7" t="s">
        <v>12386</v>
      </c>
      <c r="F1396" s="7" t="s">
        <v>3498</v>
      </c>
      <c r="G1396" s="7" t="s">
        <v>12387</v>
      </c>
      <c r="H1396" s="7" t="s">
        <v>12388</v>
      </c>
      <c r="I1396" s="119">
        <v>45292.0</v>
      </c>
      <c r="K1396" s="7" t="s">
        <v>419</v>
      </c>
      <c r="L1396" s="7" t="s">
        <v>991</v>
      </c>
      <c r="M1396" s="7" t="s">
        <v>3501</v>
      </c>
      <c r="N1396" s="7" t="s">
        <v>7640</v>
      </c>
      <c r="O1396" s="7" t="s">
        <v>12389</v>
      </c>
      <c r="P1396" s="7" t="s">
        <v>3522</v>
      </c>
      <c r="Q1396" s="7" t="s">
        <v>3514</v>
      </c>
    </row>
    <row r="1397">
      <c r="A1397" s="7" t="s">
        <v>12390</v>
      </c>
      <c r="B1397" s="7">
        <v>12779.0</v>
      </c>
      <c r="C1397" s="7" t="s">
        <v>12391</v>
      </c>
      <c r="D1397" s="7" t="s">
        <v>12392</v>
      </c>
      <c r="E1397" s="7" t="s">
        <v>12393</v>
      </c>
      <c r="F1397" s="7" t="s">
        <v>5229</v>
      </c>
      <c r="G1397" s="7" t="s">
        <v>12394</v>
      </c>
      <c r="H1397" s="7" t="s">
        <v>12395</v>
      </c>
      <c r="I1397" s="119">
        <v>45292.0</v>
      </c>
      <c r="K1397" s="7" t="s">
        <v>419</v>
      </c>
      <c r="L1397" s="7" t="s">
        <v>991</v>
      </c>
      <c r="M1397" s="7" t="s">
        <v>3501</v>
      </c>
      <c r="N1397" s="7" t="s">
        <v>7343</v>
      </c>
      <c r="O1397" s="7" t="s">
        <v>7344</v>
      </c>
      <c r="P1397" s="7" t="s">
        <v>3493</v>
      </c>
      <c r="Q1397" s="7">
        <v>1.0</v>
      </c>
    </row>
    <row r="1398">
      <c r="A1398" s="7" t="s">
        <v>12396</v>
      </c>
      <c r="B1398" s="7">
        <v>2200902.0</v>
      </c>
      <c r="C1398" s="7" t="s">
        <v>12397</v>
      </c>
      <c r="D1398" s="7" t="s">
        <v>12398</v>
      </c>
      <c r="E1398" s="7" t="s">
        <v>12399</v>
      </c>
      <c r="F1398" s="7" t="s">
        <v>4525</v>
      </c>
      <c r="G1398" s="7" t="s">
        <v>12400</v>
      </c>
      <c r="H1398" s="7" t="s">
        <v>12401</v>
      </c>
      <c r="I1398" s="119">
        <v>45292.0</v>
      </c>
      <c r="K1398" s="7" t="s">
        <v>419</v>
      </c>
      <c r="L1398" s="7" t="s">
        <v>991</v>
      </c>
      <c r="M1398" s="7" t="s">
        <v>3501</v>
      </c>
      <c r="N1398" s="7" t="s">
        <v>4738</v>
      </c>
      <c r="O1398" s="7" t="s">
        <v>4739</v>
      </c>
      <c r="P1398" s="7" t="s">
        <v>3843</v>
      </c>
      <c r="Q1398" s="7">
        <v>1.0</v>
      </c>
    </row>
    <row r="1399">
      <c r="A1399" s="7" t="s">
        <v>12402</v>
      </c>
      <c r="B1399" s="7">
        <v>2200356.0</v>
      </c>
      <c r="C1399" s="7" t="s">
        <v>12403</v>
      </c>
      <c r="D1399" s="7" t="s">
        <v>4676</v>
      </c>
      <c r="E1399" s="7" t="s">
        <v>12404</v>
      </c>
      <c r="F1399" s="7" t="s">
        <v>4677</v>
      </c>
      <c r="G1399" s="7" t="s">
        <v>12405</v>
      </c>
      <c r="H1399" s="7" t="s">
        <v>12406</v>
      </c>
      <c r="I1399" s="119">
        <v>45292.0</v>
      </c>
      <c r="K1399" s="7" t="s">
        <v>419</v>
      </c>
      <c r="L1399" s="7" t="s">
        <v>991</v>
      </c>
      <c r="M1399" s="7" t="s">
        <v>3501</v>
      </c>
      <c r="N1399" s="7" t="s">
        <v>12407</v>
      </c>
      <c r="O1399" s="7" t="s">
        <v>12408</v>
      </c>
      <c r="P1399" s="7" t="s">
        <v>3493</v>
      </c>
      <c r="Q1399" s="7">
        <v>1.0</v>
      </c>
    </row>
    <row r="1400">
      <c r="A1400" s="7" t="s">
        <v>12409</v>
      </c>
      <c r="B1400" s="7">
        <v>10003.0</v>
      </c>
      <c r="C1400" s="7" t="s">
        <v>12410</v>
      </c>
      <c r="D1400" s="7" t="s">
        <v>12411</v>
      </c>
      <c r="E1400" s="7" t="s">
        <v>12412</v>
      </c>
      <c r="F1400" s="7" t="s">
        <v>12413</v>
      </c>
      <c r="G1400" s="7" t="s">
        <v>12414</v>
      </c>
      <c r="H1400" s="7" t="s">
        <v>12415</v>
      </c>
      <c r="I1400" s="119">
        <v>45292.0</v>
      </c>
      <c r="K1400" s="7" t="s">
        <v>419</v>
      </c>
      <c r="L1400" s="7" t="s">
        <v>991</v>
      </c>
      <c r="M1400" s="7" t="s">
        <v>3501</v>
      </c>
      <c r="N1400" s="7" t="s">
        <v>3851</v>
      </c>
      <c r="O1400" s="7" t="s">
        <v>3852</v>
      </c>
      <c r="P1400" s="7" t="s">
        <v>3493</v>
      </c>
      <c r="Q1400" s="7">
        <v>1.0</v>
      </c>
    </row>
    <row r="1401">
      <c r="A1401" s="7" t="s">
        <v>12416</v>
      </c>
      <c r="B1401" s="7">
        <v>11537.0</v>
      </c>
      <c r="C1401" s="7" t="s">
        <v>12410</v>
      </c>
      <c r="D1401" s="7" t="s">
        <v>8975</v>
      </c>
      <c r="E1401" s="7" t="s">
        <v>12412</v>
      </c>
      <c r="F1401" s="7" t="s">
        <v>4967</v>
      </c>
      <c r="G1401" s="7" t="s">
        <v>12417</v>
      </c>
      <c r="H1401" s="7" t="s">
        <v>12418</v>
      </c>
      <c r="I1401" s="119">
        <v>45292.0</v>
      </c>
      <c r="K1401" s="7" t="s">
        <v>419</v>
      </c>
      <c r="L1401" s="7" t="s">
        <v>991</v>
      </c>
      <c r="M1401" s="7" t="s">
        <v>3531</v>
      </c>
      <c r="N1401" s="7" t="s">
        <v>4256</v>
      </c>
      <c r="O1401" s="7" t="s">
        <v>4257</v>
      </c>
      <c r="P1401" s="7" t="s">
        <v>3493</v>
      </c>
      <c r="Q1401" s="7">
        <v>1.0</v>
      </c>
    </row>
    <row r="1402">
      <c r="A1402" s="7" t="s">
        <v>12419</v>
      </c>
      <c r="B1402" s="7">
        <v>1060.0</v>
      </c>
      <c r="C1402" s="7" t="s">
        <v>12420</v>
      </c>
      <c r="D1402" s="7" t="s">
        <v>12421</v>
      </c>
      <c r="E1402" s="7" t="s">
        <v>12422</v>
      </c>
      <c r="F1402" s="7" t="s">
        <v>5545</v>
      </c>
      <c r="G1402" s="7" t="s">
        <v>12423</v>
      </c>
      <c r="H1402" s="7" t="s">
        <v>12424</v>
      </c>
      <c r="I1402" s="119">
        <v>45292.0</v>
      </c>
      <c r="K1402" s="7" t="s">
        <v>419</v>
      </c>
      <c r="L1402" s="7" t="s">
        <v>991</v>
      </c>
      <c r="M1402" s="7" t="s">
        <v>3501</v>
      </c>
      <c r="N1402" s="7" t="s">
        <v>10545</v>
      </c>
      <c r="O1402" s="7" t="s">
        <v>10546</v>
      </c>
      <c r="P1402" s="7" t="s">
        <v>3493</v>
      </c>
      <c r="Q1402" s="7">
        <v>1.0</v>
      </c>
    </row>
    <row r="1403">
      <c r="A1403" s="7" t="s">
        <v>12425</v>
      </c>
      <c r="B1403" s="7">
        <v>2200688.0</v>
      </c>
      <c r="C1403" s="7" t="s">
        <v>12426</v>
      </c>
      <c r="D1403" s="7" t="s">
        <v>12427</v>
      </c>
      <c r="E1403" s="7" t="s">
        <v>12428</v>
      </c>
      <c r="F1403" s="7" t="s">
        <v>6166</v>
      </c>
      <c r="G1403" s="7" t="s">
        <v>12429</v>
      </c>
      <c r="H1403" s="7" t="s">
        <v>12430</v>
      </c>
      <c r="I1403" s="119">
        <v>45292.0</v>
      </c>
      <c r="K1403" s="7" t="s">
        <v>419</v>
      </c>
      <c r="L1403" s="7" t="s">
        <v>991</v>
      </c>
      <c r="M1403" s="7" t="s">
        <v>3501</v>
      </c>
      <c r="N1403" s="7" t="s">
        <v>5795</v>
      </c>
      <c r="O1403" s="7" t="s">
        <v>5796</v>
      </c>
      <c r="P1403" s="7" t="s">
        <v>3493</v>
      </c>
      <c r="Q1403" s="7">
        <v>1.0</v>
      </c>
    </row>
    <row r="1404">
      <c r="A1404" s="7" t="s">
        <v>12431</v>
      </c>
      <c r="B1404" s="7">
        <v>2200314.0</v>
      </c>
      <c r="C1404" s="7" t="s">
        <v>12432</v>
      </c>
      <c r="D1404" s="7" t="s">
        <v>12433</v>
      </c>
      <c r="E1404" s="7" t="s">
        <v>12434</v>
      </c>
      <c r="F1404" s="7" t="s">
        <v>12435</v>
      </c>
      <c r="G1404" s="7" t="s">
        <v>12436</v>
      </c>
      <c r="H1404" s="7" t="s">
        <v>12437</v>
      </c>
      <c r="I1404" s="119">
        <v>45292.0</v>
      </c>
      <c r="K1404" s="7" t="s">
        <v>419</v>
      </c>
      <c r="L1404" s="7" t="s">
        <v>991</v>
      </c>
      <c r="M1404" s="7" t="s">
        <v>3531</v>
      </c>
      <c r="N1404" s="7" t="s">
        <v>3511</v>
      </c>
      <c r="O1404" s="7" t="s">
        <v>7757</v>
      </c>
      <c r="P1404" s="7" t="s">
        <v>3493</v>
      </c>
      <c r="Q1404" s="7">
        <v>1.0</v>
      </c>
    </row>
    <row r="1405">
      <c r="A1405" s="7" t="s">
        <v>12438</v>
      </c>
      <c r="B1405" s="7">
        <v>1260.0</v>
      </c>
      <c r="C1405" s="7" t="s">
        <v>12439</v>
      </c>
      <c r="D1405" s="7" t="s">
        <v>12440</v>
      </c>
      <c r="E1405" s="7" t="s">
        <v>12441</v>
      </c>
      <c r="F1405" s="7" t="s">
        <v>3730</v>
      </c>
      <c r="G1405" s="7" t="s">
        <v>12442</v>
      </c>
      <c r="H1405" s="7" t="s">
        <v>12443</v>
      </c>
      <c r="I1405" s="119">
        <v>45292.0</v>
      </c>
      <c r="K1405" s="7" t="s">
        <v>419</v>
      </c>
      <c r="L1405" s="7" t="s">
        <v>991</v>
      </c>
      <c r="M1405" s="7" t="s">
        <v>3501</v>
      </c>
      <c r="N1405" s="7" t="s">
        <v>12444</v>
      </c>
      <c r="O1405" s="7" t="s">
        <v>12445</v>
      </c>
      <c r="P1405" s="7" t="s">
        <v>3493</v>
      </c>
      <c r="Q1405" s="7">
        <v>1.0</v>
      </c>
    </row>
    <row r="1406">
      <c r="A1406" s="7" t="s">
        <v>12446</v>
      </c>
      <c r="B1406" s="7">
        <v>10764.0</v>
      </c>
      <c r="C1406" s="7" t="s">
        <v>12447</v>
      </c>
      <c r="D1406" s="7" t="s">
        <v>12448</v>
      </c>
      <c r="E1406" s="7" t="s">
        <v>12449</v>
      </c>
      <c r="F1406" s="7" t="s">
        <v>5668</v>
      </c>
      <c r="G1406" s="7" t="s">
        <v>12450</v>
      </c>
      <c r="H1406" s="7" t="s">
        <v>12451</v>
      </c>
      <c r="I1406" s="119">
        <v>45292.0</v>
      </c>
      <c r="K1406" s="7" t="s">
        <v>419</v>
      </c>
      <c r="L1406" s="7" t="s">
        <v>991</v>
      </c>
      <c r="M1406" s="7" t="s">
        <v>3531</v>
      </c>
      <c r="N1406" s="7" t="s">
        <v>7883</v>
      </c>
      <c r="O1406" s="7" t="s">
        <v>7884</v>
      </c>
      <c r="P1406" s="7" t="s">
        <v>3493</v>
      </c>
      <c r="Q1406" s="7">
        <v>1.0</v>
      </c>
    </row>
    <row r="1407">
      <c r="A1407" s="7" t="s">
        <v>12452</v>
      </c>
      <c r="B1407" s="7">
        <v>2200299.0</v>
      </c>
      <c r="C1407" s="7" t="s">
        <v>12453</v>
      </c>
      <c r="D1407" s="7" t="s">
        <v>10756</v>
      </c>
      <c r="E1407" s="7" t="s">
        <v>12454</v>
      </c>
      <c r="F1407" s="7" t="s">
        <v>4632</v>
      </c>
      <c r="G1407" s="7" t="s">
        <v>12455</v>
      </c>
      <c r="H1407" s="7" t="s">
        <v>12456</v>
      </c>
      <c r="I1407" s="119">
        <v>45292.0</v>
      </c>
      <c r="K1407" s="7" t="s">
        <v>419</v>
      </c>
      <c r="L1407" s="7" t="s">
        <v>991</v>
      </c>
      <c r="M1407" s="7" t="s">
        <v>3501</v>
      </c>
      <c r="N1407" s="7" t="s">
        <v>4161</v>
      </c>
      <c r="O1407" s="7" t="s">
        <v>9590</v>
      </c>
      <c r="P1407" s="7" t="s">
        <v>3493</v>
      </c>
      <c r="Q1407" s="7">
        <v>1.0</v>
      </c>
    </row>
    <row r="1408">
      <c r="A1408" s="7" t="s">
        <v>12457</v>
      </c>
      <c r="B1408" s="7">
        <v>12240.0</v>
      </c>
      <c r="C1408" s="7" t="s">
        <v>12453</v>
      </c>
      <c r="D1408" s="7" t="s">
        <v>12458</v>
      </c>
      <c r="E1408" s="7" t="s">
        <v>12454</v>
      </c>
      <c r="F1408" s="7" t="s">
        <v>12459</v>
      </c>
      <c r="G1408" s="7" t="s">
        <v>12460</v>
      </c>
      <c r="H1408" s="7" t="s">
        <v>12461</v>
      </c>
      <c r="I1408" s="119">
        <v>45292.0</v>
      </c>
      <c r="K1408" s="7" t="s">
        <v>419</v>
      </c>
      <c r="L1408" s="7" t="s">
        <v>991</v>
      </c>
      <c r="M1408" s="7" t="s">
        <v>3501</v>
      </c>
      <c r="N1408" s="7" t="s">
        <v>12462</v>
      </c>
      <c r="O1408" s="7" t="s">
        <v>12463</v>
      </c>
      <c r="P1408" s="7" t="s">
        <v>4420</v>
      </c>
      <c r="Q1408" s="7" t="s">
        <v>3523</v>
      </c>
    </row>
    <row r="1409">
      <c r="A1409" s="7" t="s">
        <v>12464</v>
      </c>
      <c r="B1409" s="7">
        <v>8205.0</v>
      </c>
      <c r="C1409" s="7" t="s">
        <v>12453</v>
      </c>
      <c r="D1409" s="7" t="s">
        <v>12465</v>
      </c>
      <c r="E1409" s="7" t="s">
        <v>12454</v>
      </c>
      <c r="F1409" s="7" t="s">
        <v>12466</v>
      </c>
      <c r="G1409" s="7" t="s">
        <v>12467</v>
      </c>
      <c r="H1409" s="7" t="s">
        <v>12468</v>
      </c>
      <c r="I1409" s="119">
        <v>45292.0</v>
      </c>
      <c r="K1409" s="7" t="s">
        <v>419</v>
      </c>
      <c r="L1409" s="7" t="s">
        <v>991</v>
      </c>
      <c r="M1409" s="7" t="s">
        <v>3531</v>
      </c>
      <c r="N1409" s="7" t="s">
        <v>4834</v>
      </c>
      <c r="O1409" s="7" t="s">
        <v>4835</v>
      </c>
      <c r="P1409" s="7" t="s">
        <v>3493</v>
      </c>
      <c r="Q1409" s="7">
        <v>1.0</v>
      </c>
    </row>
    <row r="1410">
      <c r="A1410" s="7" t="s">
        <v>12469</v>
      </c>
      <c r="B1410" s="7">
        <v>12685.0</v>
      </c>
      <c r="C1410" s="7" t="s">
        <v>12470</v>
      </c>
      <c r="D1410" s="7" t="s">
        <v>3506</v>
      </c>
      <c r="E1410" s="7" t="s">
        <v>12471</v>
      </c>
      <c r="F1410" s="7" t="s">
        <v>3508</v>
      </c>
      <c r="G1410" s="7" t="s">
        <v>12472</v>
      </c>
      <c r="H1410" s="7" t="s">
        <v>12473</v>
      </c>
      <c r="I1410" s="119">
        <v>45292.0</v>
      </c>
      <c r="K1410" s="7" t="s">
        <v>419</v>
      </c>
      <c r="L1410" s="7" t="s">
        <v>991</v>
      </c>
      <c r="M1410" s="7" t="s">
        <v>3531</v>
      </c>
      <c r="N1410" s="7" t="s">
        <v>5505</v>
      </c>
      <c r="O1410" s="7" t="s">
        <v>12474</v>
      </c>
      <c r="P1410" s="7" t="s">
        <v>3522</v>
      </c>
      <c r="Q1410" s="7" t="s">
        <v>3523</v>
      </c>
    </row>
    <row r="1411">
      <c r="A1411" s="7" t="s">
        <v>1986</v>
      </c>
      <c r="B1411" s="7">
        <v>11017.0</v>
      </c>
      <c r="C1411" s="7" t="s">
        <v>12470</v>
      </c>
      <c r="D1411" s="7" t="s">
        <v>12475</v>
      </c>
      <c r="E1411" s="7" t="s">
        <v>12471</v>
      </c>
      <c r="F1411" s="7" t="s">
        <v>12476</v>
      </c>
      <c r="G1411" s="7" t="s">
        <v>12477</v>
      </c>
      <c r="H1411" s="7" t="s">
        <v>12478</v>
      </c>
      <c r="I1411" s="119">
        <v>45292.0</v>
      </c>
      <c r="K1411" s="7" t="s">
        <v>419</v>
      </c>
      <c r="L1411" s="7" t="s">
        <v>991</v>
      </c>
      <c r="M1411" s="7" t="s">
        <v>3501</v>
      </c>
      <c r="N1411" s="7" t="s">
        <v>9686</v>
      </c>
      <c r="O1411" s="7" t="s">
        <v>12479</v>
      </c>
      <c r="P1411" s="7" t="s">
        <v>3697</v>
      </c>
      <c r="Q1411" s="7" t="s">
        <v>3698</v>
      </c>
    </row>
    <row r="1412">
      <c r="A1412" s="7" t="s">
        <v>12480</v>
      </c>
      <c r="B1412" s="7">
        <v>1234.0</v>
      </c>
      <c r="C1412" s="7" t="s">
        <v>12481</v>
      </c>
      <c r="D1412" s="7" t="s">
        <v>12482</v>
      </c>
      <c r="E1412" s="7" t="s">
        <v>12483</v>
      </c>
      <c r="F1412" s="7" t="s">
        <v>12484</v>
      </c>
      <c r="G1412" s="7" t="s">
        <v>12485</v>
      </c>
      <c r="H1412" s="7" t="s">
        <v>12486</v>
      </c>
      <c r="I1412" s="119">
        <v>45292.0</v>
      </c>
      <c r="J1412" s="7" t="s">
        <v>3929</v>
      </c>
      <c r="K1412" s="7" t="s">
        <v>419</v>
      </c>
      <c r="L1412" s="7" t="s">
        <v>991</v>
      </c>
      <c r="M1412" s="7" t="s">
        <v>3501</v>
      </c>
      <c r="N1412" s="7" t="s">
        <v>4472</v>
      </c>
      <c r="O1412" s="7" t="s">
        <v>4473</v>
      </c>
      <c r="P1412" s="7" t="s">
        <v>3493</v>
      </c>
      <c r="Q1412" s="7">
        <v>1.0</v>
      </c>
    </row>
    <row r="1413">
      <c r="A1413" s="7" t="s">
        <v>12487</v>
      </c>
      <c r="B1413" s="7">
        <v>12034.0</v>
      </c>
      <c r="C1413" s="7" t="s">
        <v>12488</v>
      </c>
      <c r="D1413" s="7" t="s">
        <v>3837</v>
      </c>
      <c r="E1413" s="7" t="s">
        <v>12489</v>
      </c>
      <c r="F1413" s="7" t="s">
        <v>3838</v>
      </c>
      <c r="G1413" s="7" t="s">
        <v>12490</v>
      </c>
      <c r="H1413" s="7" t="s">
        <v>12491</v>
      </c>
      <c r="I1413" s="119">
        <v>45292.0</v>
      </c>
      <c r="K1413" s="7" t="s">
        <v>7069</v>
      </c>
      <c r="L1413" s="7" t="s">
        <v>4406</v>
      </c>
      <c r="M1413" s="7" t="s">
        <v>7070</v>
      </c>
      <c r="N1413" s="7" t="s">
        <v>12311</v>
      </c>
      <c r="O1413" s="7" t="s">
        <v>12492</v>
      </c>
      <c r="P1413" s="7" t="s">
        <v>4154</v>
      </c>
      <c r="Q1413" s="7" t="s">
        <v>3566</v>
      </c>
    </row>
    <row r="1414">
      <c r="A1414" s="7" t="s">
        <v>12493</v>
      </c>
      <c r="B1414" s="7">
        <v>13756.0</v>
      </c>
      <c r="C1414" s="7" t="s">
        <v>12494</v>
      </c>
      <c r="D1414" s="7" t="s">
        <v>4620</v>
      </c>
      <c r="E1414" s="7" t="s">
        <v>12495</v>
      </c>
      <c r="F1414" s="7" t="s">
        <v>3792</v>
      </c>
      <c r="G1414" s="7" t="s">
        <v>12496</v>
      </c>
      <c r="H1414" s="7" t="s">
        <v>12497</v>
      </c>
      <c r="I1414" s="119">
        <v>45292.0</v>
      </c>
      <c r="K1414" s="7" t="s">
        <v>419</v>
      </c>
      <c r="L1414" s="7" t="s">
        <v>991</v>
      </c>
      <c r="M1414" s="7" t="s">
        <v>3531</v>
      </c>
      <c r="N1414" s="7" t="s">
        <v>7947</v>
      </c>
      <c r="O1414" s="7" t="s">
        <v>7948</v>
      </c>
      <c r="P1414" s="7" t="s">
        <v>3493</v>
      </c>
      <c r="Q1414" s="7">
        <v>1.0</v>
      </c>
    </row>
    <row r="1415">
      <c r="A1415" s="7" t="s">
        <v>12498</v>
      </c>
      <c r="B1415" s="7">
        <v>2200809.0</v>
      </c>
      <c r="C1415" s="7" t="s">
        <v>12494</v>
      </c>
      <c r="D1415" s="7" t="s">
        <v>12499</v>
      </c>
      <c r="E1415" s="7" t="s">
        <v>12495</v>
      </c>
      <c r="F1415" s="7" t="s">
        <v>3792</v>
      </c>
      <c r="G1415" s="7" t="s">
        <v>12500</v>
      </c>
      <c r="H1415" s="7" t="s">
        <v>12501</v>
      </c>
      <c r="I1415" s="119">
        <v>45292.0</v>
      </c>
      <c r="K1415" s="7" t="s">
        <v>3622</v>
      </c>
      <c r="L1415" s="7" t="s">
        <v>991</v>
      </c>
      <c r="M1415" s="7" t="s">
        <v>4644</v>
      </c>
      <c r="N1415" s="7" t="s">
        <v>3623</v>
      </c>
      <c r="O1415" s="7" t="s">
        <v>3624</v>
      </c>
      <c r="P1415" s="7" t="s">
        <v>420</v>
      </c>
      <c r="Q1415" s="7">
        <v>1.0</v>
      </c>
    </row>
    <row r="1416">
      <c r="A1416" s="7" t="s">
        <v>12502</v>
      </c>
      <c r="B1416" s="7">
        <v>14209.0</v>
      </c>
      <c r="C1416" s="7" t="s">
        <v>12494</v>
      </c>
      <c r="D1416" s="7" t="s">
        <v>12503</v>
      </c>
      <c r="E1416" s="7" t="s">
        <v>12495</v>
      </c>
      <c r="F1416" s="7" t="s">
        <v>4002</v>
      </c>
      <c r="G1416" s="7" t="s">
        <v>12504</v>
      </c>
      <c r="H1416" s="7" t="s">
        <v>12505</v>
      </c>
      <c r="I1416" s="119">
        <v>45292.0</v>
      </c>
      <c r="K1416" s="7" t="s">
        <v>419</v>
      </c>
      <c r="L1416" s="7" t="s">
        <v>991</v>
      </c>
      <c r="M1416" s="7" t="s">
        <v>3501</v>
      </c>
      <c r="N1416" s="7" t="s">
        <v>5755</v>
      </c>
      <c r="O1416" s="7" t="s">
        <v>5756</v>
      </c>
      <c r="P1416" s="7" t="s">
        <v>3493</v>
      </c>
      <c r="Q1416" s="7">
        <v>1.0</v>
      </c>
    </row>
    <row r="1417">
      <c r="A1417" s="7" t="s">
        <v>12506</v>
      </c>
      <c r="B1417" s="7">
        <v>2200340.0</v>
      </c>
      <c r="C1417" s="7" t="s">
        <v>12494</v>
      </c>
      <c r="D1417" s="7" t="s">
        <v>12507</v>
      </c>
      <c r="E1417" s="7" t="s">
        <v>12495</v>
      </c>
      <c r="F1417" s="7" t="s">
        <v>12508</v>
      </c>
      <c r="G1417" s="7" t="s">
        <v>12509</v>
      </c>
      <c r="H1417" s="7" t="s">
        <v>12510</v>
      </c>
      <c r="I1417" s="119">
        <v>45292.0</v>
      </c>
      <c r="K1417" s="7" t="s">
        <v>419</v>
      </c>
      <c r="L1417" s="7" t="s">
        <v>991</v>
      </c>
      <c r="M1417" s="7" t="s">
        <v>3501</v>
      </c>
      <c r="N1417" s="7" t="s">
        <v>6047</v>
      </c>
      <c r="O1417" s="7" t="s">
        <v>6048</v>
      </c>
      <c r="P1417" s="7" t="s">
        <v>3894</v>
      </c>
      <c r="Q1417" s="7" t="s">
        <v>3523</v>
      </c>
    </row>
    <row r="1418">
      <c r="A1418" s="7" t="s">
        <v>12511</v>
      </c>
      <c r="B1418" s="7">
        <v>11755.0</v>
      </c>
      <c r="C1418" s="7" t="s">
        <v>12494</v>
      </c>
      <c r="D1418" s="7" t="s">
        <v>12512</v>
      </c>
      <c r="E1418" s="7" t="s">
        <v>12495</v>
      </c>
      <c r="F1418" s="7" t="s">
        <v>12513</v>
      </c>
      <c r="G1418" s="7" t="s">
        <v>12514</v>
      </c>
      <c r="H1418" s="7" t="s">
        <v>12515</v>
      </c>
      <c r="I1418" s="119">
        <v>45292.0</v>
      </c>
      <c r="K1418" s="7" t="s">
        <v>419</v>
      </c>
      <c r="L1418" s="7" t="s">
        <v>991</v>
      </c>
      <c r="M1418" s="7" t="s">
        <v>3501</v>
      </c>
      <c r="N1418" s="7" t="s">
        <v>12516</v>
      </c>
      <c r="O1418" s="7" t="s">
        <v>12517</v>
      </c>
      <c r="P1418" s="7" t="s">
        <v>12518</v>
      </c>
      <c r="Q1418" s="7" t="s">
        <v>3687</v>
      </c>
    </row>
    <row r="1419">
      <c r="A1419" s="7" t="s">
        <v>12519</v>
      </c>
      <c r="B1419" s="7">
        <v>8514.0</v>
      </c>
      <c r="C1419" s="7" t="s">
        <v>12494</v>
      </c>
      <c r="D1419" s="7" t="s">
        <v>12520</v>
      </c>
      <c r="E1419" s="7" t="s">
        <v>12495</v>
      </c>
      <c r="F1419" s="7" t="s">
        <v>12521</v>
      </c>
      <c r="G1419" s="7" t="s">
        <v>12522</v>
      </c>
      <c r="H1419" s="7" t="s">
        <v>12523</v>
      </c>
      <c r="I1419" s="119">
        <v>45292.0</v>
      </c>
      <c r="K1419" s="7" t="s">
        <v>419</v>
      </c>
      <c r="L1419" s="7" t="s">
        <v>991</v>
      </c>
      <c r="M1419" s="7" t="s">
        <v>3531</v>
      </c>
      <c r="N1419" s="7" t="s">
        <v>4481</v>
      </c>
      <c r="O1419" s="7" t="s">
        <v>4482</v>
      </c>
      <c r="P1419" s="7" t="s">
        <v>3493</v>
      </c>
      <c r="Q1419" s="7">
        <v>1.0</v>
      </c>
    </row>
    <row r="1420">
      <c r="A1420" s="7" t="s">
        <v>12524</v>
      </c>
      <c r="B1420" s="7">
        <v>798.0</v>
      </c>
      <c r="C1420" s="7" t="s">
        <v>12525</v>
      </c>
      <c r="D1420" s="7" t="s">
        <v>12526</v>
      </c>
      <c r="E1420" s="7" t="s">
        <v>12527</v>
      </c>
      <c r="F1420" s="7" t="s">
        <v>8834</v>
      </c>
      <c r="G1420" s="7" t="s">
        <v>12528</v>
      </c>
      <c r="H1420" s="7" t="s">
        <v>12529</v>
      </c>
      <c r="I1420" s="119">
        <v>45292.0</v>
      </c>
      <c r="K1420" s="7" t="s">
        <v>419</v>
      </c>
      <c r="L1420" s="7" t="s">
        <v>991</v>
      </c>
      <c r="M1420" s="7" t="s">
        <v>3501</v>
      </c>
      <c r="N1420" s="7" t="s">
        <v>4339</v>
      </c>
      <c r="O1420" s="7" t="s">
        <v>4340</v>
      </c>
      <c r="P1420" s="7" t="s">
        <v>3843</v>
      </c>
      <c r="Q1420" s="7">
        <v>1.0</v>
      </c>
    </row>
    <row r="1421">
      <c r="A1421" s="7" t="s">
        <v>12530</v>
      </c>
      <c r="B1421" s="7">
        <v>2100664.0</v>
      </c>
      <c r="C1421" s="7" t="s">
        <v>12531</v>
      </c>
      <c r="D1421" s="7" t="s">
        <v>5881</v>
      </c>
      <c r="E1421" s="7" t="s">
        <v>12532</v>
      </c>
      <c r="F1421" s="7" t="s">
        <v>4546</v>
      </c>
      <c r="G1421" s="7" t="s">
        <v>12533</v>
      </c>
      <c r="H1421" s="7" t="s">
        <v>12534</v>
      </c>
      <c r="I1421" s="119">
        <v>45292.0</v>
      </c>
      <c r="K1421" s="7" t="s">
        <v>5135</v>
      </c>
      <c r="L1421" s="7" t="s">
        <v>3706</v>
      </c>
      <c r="M1421" s="7" t="s">
        <v>3707</v>
      </c>
      <c r="N1421" s="7" t="s">
        <v>5136</v>
      </c>
      <c r="O1421" s="7" t="s">
        <v>5137</v>
      </c>
      <c r="P1421" s="7" t="s">
        <v>12535</v>
      </c>
      <c r="Q1421" s="7" t="s">
        <v>3710</v>
      </c>
    </row>
    <row r="1422">
      <c r="A1422" s="7" t="s">
        <v>12536</v>
      </c>
      <c r="B1422" s="7">
        <v>2200780.0</v>
      </c>
      <c r="C1422" s="7" t="s">
        <v>12537</v>
      </c>
      <c r="D1422" s="7" t="s">
        <v>12538</v>
      </c>
      <c r="E1422" s="7" t="s">
        <v>12539</v>
      </c>
      <c r="F1422" s="7" t="s">
        <v>9819</v>
      </c>
      <c r="G1422" s="7" t="s">
        <v>12540</v>
      </c>
      <c r="H1422" s="7" t="s">
        <v>12541</v>
      </c>
      <c r="I1422" s="119">
        <v>45292.0</v>
      </c>
      <c r="K1422" s="7" t="s">
        <v>3632</v>
      </c>
      <c r="L1422" s="7" t="s">
        <v>991</v>
      </c>
      <c r="M1422" s="7" t="s">
        <v>3501</v>
      </c>
      <c r="N1422" s="7" t="s">
        <v>5931</v>
      </c>
      <c r="O1422" s="7" t="s">
        <v>12542</v>
      </c>
      <c r="P1422" s="7" t="s">
        <v>3522</v>
      </c>
      <c r="Q1422" s="7" t="s">
        <v>3514</v>
      </c>
    </row>
    <row r="1423">
      <c r="A1423" s="7" t="s">
        <v>12543</v>
      </c>
      <c r="B1423" s="7">
        <v>2200224.0</v>
      </c>
      <c r="C1423" s="7" t="s">
        <v>12537</v>
      </c>
      <c r="D1423" s="7" t="s">
        <v>12544</v>
      </c>
      <c r="E1423" s="7" t="s">
        <v>12539</v>
      </c>
      <c r="F1423" s="7" t="s">
        <v>12545</v>
      </c>
      <c r="G1423" s="7" t="s">
        <v>12546</v>
      </c>
      <c r="H1423" s="7" t="s">
        <v>12547</v>
      </c>
      <c r="I1423" s="119">
        <v>45292.0</v>
      </c>
      <c r="K1423" s="7" t="s">
        <v>419</v>
      </c>
      <c r="L1423" s="7" t="s">
        <v>991</v>
      </c>
      <c r="M1423" s="7" t="s">
        <v>3501</v>
      </c>
      <c r="N1423" s="7" t="s">
        <v>10801</v>
      </c>
      <c r="O1423" s="7" t="s">
        <v>10802</v>
      </c>
      <c r="P1423" s="7" t="s">
        <v>3493</v>
      </c>
      <c r="Q1423" s="7">
        <v>1.0</v>
      </c>
    </row>
    <row r="1424">
      <c r="A1424" s="7" t="s">
        <v>12548</v>
      </c>
      <c r="B1424" s="7">
        <v>112.0</v>
      </c>
      <c r="C1424" s="7" t="s">
        <v>12537</v>
      </c>
      <c r="D1424" s="7" t="s">
        <v>6749</v>
      </c>
      <c r="E1424" s="7" t="s">
        <v>12539</v>
      </c>
      <c r="F1424" s="7" t="s">
        <v>6750</v>
      </c>
      <c r="G1424" s="7" t="s">
        <v>12549</v>
      </c>
      <c r="H1424" s="7" t="s">
        <v>12550</v>
      </c>
      <c r="I1424" s="119">
        <v>45292.0</v>
      </c>
      <c r="K1424" s="7" t="s">
        <v>419</v>
      </c>
      <c r="L1424" s="7" t="s">
        <v>991</v>
      </c>
      <c r="M1424" s="7" t="s">
        <v>3501</v>
      </c>
      <c r="N1424" s="7" t="s">
        <v>7676</v>
      </c>
      <c r="O1424" s="7" t="s">
        <v>12551</v>
      </c>
      <c r="P1424" s="7" t="s">
        <v>4163</v>
      </c>
      <c r="Q1424" s="7" t="s">
        <v>3514</v>
      </c>
    </row>
    <row r="1425">
      <c r="A1425" s="7" t="s">
        <v>12552</v>
      </c>
      <c r="B1425" s="7">
        <v>594.0</v>
      </c>
      <c r="C1425" s="7" t="s">
        <v>12537</v>
      </c>
      <c r="D1425" s="7" t="s">
        <v>12553</v>
      </c>
      <c r="E1425" s="7" t="s">
        <v>12539</v>
      </c>
      <c r="F1425" s="7" t="s">
        <v>12553</v>
      </c>
      <c r="G1425" s="7" t="s">
        <v>12554</v>
      </c>
      <c r="H1425" s="7" t="s">
        <v>12555</v>
      </c>
      <c r="I1425" s="119">
        <v>45292.0</v>
      </c>
      <c r="K1425" s="7" t="s">
        <v>419</v>
      </c>
      <c r="L1425" s="7" t="s">
        <v>991</v>
      </c>
      <c r="M1425" s="7" t="s">
        <v>3501</v>
      </c>
      <c r="N1425" s="7" t="s">
        <v>7784</v>
      </c>
      <c r="O1425" s="7" t="s">
        <v>8440</v>
      </c>
      <c r="P1425" s="7" t="s">
        <v>3493</v>
      </c>
      <c r="Q1425" s="7">
        <v>1.0</v>
      </c>
    </row>
    <row r="1426">
      <c r="A1426" s="7" t="s">
        <v>12556</v>
      </c>
      <c r="B1426" s="7">
        <v>13894.0</v>
      </c>
      <c r="C1426" s="7" t="s">
        <v>12537</v>
      </c>
      <c r="D1426" s="7" t="s">
        <v>12557</v>
      </c>
      <c r="E1426" s="7" t="s">
        <v>12539</v>
      </c>
      <c r="F1426" s="7" t="s">
        <v>12558</v>
      </c>
      <c r="G1426" s="7" t="s">
        <v>12559</v>
      </c>
      <c r="H1426" s="7" t="s">
        <v>12560</v>
      </c>
      <c r="I1426" s="119">
        <v>45292.0</v>
      </c>
      <c r="K1426" s="7" t="s">
        <v>419</v>
      </c>
      <c r="L1426" s="7" t="s">
        <v>991</v>
      </c>
      <c r="M1426" s="7" t="s">
        <v>3531</v>
      </c>
      <c r="N1426" s="7" t="s">
        <v>3920</v>
      </c>
      <c r="O1426" s="7" t="s">
        <v>3921</v>
      </c>
      <c r="P1426" s="7" t="s">
        <v>3493</v>
      </c>
      <c r="Q1426" s="7">
        <v>1.0</v>
      </c>
    </row>
    <row r="1427">
      <c r="A1427" s="7" t="s">
        <v>12561</v>
      </c>
      <c r="B1427" s="7">
        <v>1187.0</v>
      </c>
      <c r="C1427" s="7" t="s">
        <v>12562</v>
      </c>
      <c r="D1427" s="7" t="s">
        <v>3516</v>
      </c>
      <c r="E1427" s="7" t="s">
        <v>12563</v>
      </c>
      <c r="F1427" s="7" t="s">
        <v>3517</v>
      </c>
      <c r="G1427" s="7" t="s">
        <v>12564</v>
      </c>
      <c r="H1427" s="7" t="s">
        <v>12565</v>
      </c>
      <c r="I1427" s="119">
        <v>45292.0</v>
      </c>
      <c r="K1427" s="7" t="s">
        <v>419</v>
      </c>
      <c r="L1427" s="7" t="s">
        <v>991</v>
      </c>
      <c r="M1427" s="7" t="s">
        <v>3501</v>
      </c>
      <c r="N1427" s="7" t="s">
        <v>4979</v>
      </c>
      <c r="O1427" s="7" t="s">
        <v>4980</v>
      </c>
      <c r="P1427" s="7" t="s">
        <v>3843</v>
      </c>
      <c r="Q1427" s="7">
        <v>1.0</v>
      </c>
    </row>
    <row r="1428">
      <c r="A1428" s="7" t="s">
        <v>12566</v>
      </c>
      <c r="B1428" s="7">
        <v>12780.0</v>
      </c>
      <c r="C1428" s="7" t="s">
        <v>12567</v>
      </c>
      <c r="D1428" s="7" t="s">
        <v>5777</v>
      </c>
      <c r="E1428" s="7" t="s">
        <v>12568</v>
      </c>
      <c r="F1428" s="7" t="s">
        <v>4032</v>
      </c>
      <c r="G1428" s="7" t="s">
        <v>12569</v>
      </c>
      <c r="H1428" s="7" t="s">
        <v>12570</v>
      </c>
      <c r="I1428" s="119">
        <v>45292.0</v>
      </c>
      <c r="K1428" s="7" t="s">
        <v>419</v>
      </c>
      <c r="L1428" s="7" t="s">
        <v>991</v>
      </c>
      <c r="M1428" s="7" t="s">
        <v>3501</v>
      </c>
      <c r="N1428" s="7" t="s">
        <v>3912</v>
      </c>
      <c r="O1428" s="7" t="s">
        <v>3913</v>
      </c>
      <c r="P1428" s="7" t="s">
        <v>3493</v>
      </c>
      <c r="Q1428" s="7">
        <v>1.0</v>
      </c>
    </row>
    <row r="1429">
      <c r="A1429" s="7" t="s">
        <v>12571</v>
      </c>
      <c r="B1429" s="7">
        <v>102.0</v>
      </c>
      <c r="C1429" s="7" t="s">
        <v>12572</v>
      </c>
      <c r="D1429" s="7" t="s">
        <v>10076</v>
      </c>
      <c r="E1429" s="7" t="s">
        <v>12573</v>
      </c>
      <c r="F1429" s="7" t="s">
        <v>6811</v>
      </c>
      <c r="G1429" s="7" t="s">
        <v>12574</v>
      </c>
      <c r="H1429" s="7" t="s">
        <v>12575</v>
      </c>
      <c r="I1429" s="119">
        <v>45292.0</v>
      </c>
      <c r="K1429" s="7" t="s">
        <v>419</v>
      </c>
      <c r="L1429" s="7" t="s">
        <v>991</v>
      </c>
      <c r="M1429" s="7" t="s">
        <v>3501</v>
      </c>
      <c r="N1429" s="7" t="s">
        <v>4605</v>
      </c>
      <c r="O1429" s="7" t="s">
        <v>4606</v>
      </c>
      <c r="P1429" s="7" t="s">
        <v>3493</v>
      </c>
      <c r="Q1429" s="7">
        <v>1.0</v>
      </c>
    </row>
    <row r="1430">
      <c r="A1430" s="7" t="s">
        <v>12576</v>
      </c>
      <c r="B1430" s="7">
        <v>2300025.0</v>
      </c>
      <c r="C1430" s="7" t="s">
        <v>12577</v>
      </c>
      <c r="D1430" s="7" t="s">
        <v>12578</v>
      </c>
      <c r="E1430" s="7" t="s">
        <v>12579</v>
      </c>
      <c r="F1430" s="7" t="s">
        <v>8668</v>
      </c>
      <c r="G1430" s="7" t="s">
        <v>12580</v>
      </c>
      <c r="H1430" s="7" t="s">
        <v>12581</v>
      </c>
      <c r="I1430" s="119">
        <v>45292.0</v>
      </c>
      <c r="K1430" s="7" t="s">
        <v>419</v>
      </c>
      <c r="L1430" s="7" t="s">
        <v>991</v>
      </c>
      <c r="M1430" s="7" t="s">
        <v>3531</v>
      </c>
      <c r="N1430" s="7" t="s">
        <v>9953</v>
      </c>
      <c r="O1430" s="7" t="s">
        <v>9954</v>
      </c>
      <c r="P1430" s="7" t="s">
        <v>3493</v>
      </c>
      <c r="Q1430" s="7">
        <v>1.0</v>
      </c>
    </row>
    <row r="1431">
      <c r="A1431" s="7" t="s">
        <v>12582</v>
      </c>
      <c r="B1431" s="7">
        <v>14189.0</v>
      </c>
      <c r="C1431" s="7" t="s">
        <v>12583</v>
      </c>
      <c r="D1431" s="7" t="s">
        <v>12584</v>
      </c>
      <c r="E1431" s="7" t="s">
        <v>12585</v>
      </c>
      <c r="F1431" s="7" t="s">
        <v>9649</v>
      </c>
      <c r="G1431" s="7" t="s">
        <v>12586</v>
      </c>
      <c r="H1431" s="7" t="s">
        <v>12587</v>
      </c>
      <c r="I1431" s="119">
        <v>45292.0</v>
      </c>
      <c r="K1431" s="7" t="s">
        <v>3885</v>
      </c>
      <c r="L1431" s="7" t="s">
        <v>3542</v>
      </c>
      <c r="M1431" s="7" t="s">
        <v>3543</v>
      </c>
      <c r="N1431" s="7" t="s">
        <v>12588</v>
      </c>
      <c r="O1431" s="7" t="s">
        <v>12589</v>
      </c>
      <c r="P1431" s="7" t="s">
        <v>3522</v>
      </c>
      <c r="Q1431" s="7" t="s">
        <v>3523</v>
      </c>
    </row>
    <row r="1432">
      <c r="A1432" s="7" t="s">
        <v>12590</v>
      </c>
      <c r="B1432" s="7">
        <v>2300186.0</v>
      </c>
      <c r="C1432" s="7" t="s">
        <v>12591</v>
      </c>
      <c r="D1432" s="7" t="s">
        <v>12592</v>
      </c>
      <c r="E1432" s="7" t="s">
        <v>12593</v>
      </c>
      <c r="F1432" s="7" t="s">
        <v>3792</v>
      </c>
      <c r="G1432" s="7" t="s">
        <v>12594</v>
      </c>
      <c r="H1432" s="7" t="s">
        <v>12595</v>
      </c>
      <c r="I1432" s="119">
        <v>45292.0</v>
      </c>
      <c r="K1432" s="7" t="s">
        <v>4042</v>
      </c>
      <c r="L1432" s="7" t="s">
        <v>991</v>
      </c>
      <c r="M1432" s="7" t="s">
        <v>3501</v>
      </c>
      <c r="N1432" s="7" t="s">
        <v>4043</v>
      </c>
      <c r="O1432" s="7" t="s">
        <v>4044</v>
      </c>
      <c r="P1432" s="7" t="s">
        <v>3493</v>
      </c>
      <c r="Q1432" s="7">
        <v>1.0</v>
      </c>
    </row>
    <row r="1433">
      <c r="A1433" s="7" t="s">
        <v>12596</v>
      </c>
      <c r="B1433" s="7">
        <v>11708.0</v>
      </c>
      <c r="C1433" s="7" t="s">
        <v>12597</v>
      </c>
      <c r="D1433" s="7" t="s">
        <v>11320</v>
      </c>
      <c r="E1433" s="7" t="s">
        <v>12598</v>
      </c>
      <c r="F1433" s="7" t="s">
        <v>3609</v>
      </c>
      <c r="G1433" s="7" t="s">
        <v>12599</v>
      </c>
      <c r="H1433" s="7" t="s">
        <v>12600</v>
      </c>
      <c r="I1433" s="119">
        <v>45292.0</v>
      </c>
      <c r="K1433" s="7" t="s">
        <v>419</v>
      </c>
      <c r="L1433" s="7" t="s">
        <v>991</v>
      </c>
      <c r="M1433" s="7" t="s">
        <v>3501</v>
      </c>
      <c r="N1433" s="7" t="s">
        <v>12601</v>
      </c>
      <c r="O1433" s="7" t="s">
        <v>12602</v>
      </c>
      <c r="P1433" s="7" t="s">
        <v>3604</v>
      </c>
      <c r="Q1433" s="7">
        <v>1.0</v>
      </c>
    </row>
    <row r="1434">
      <c r="A1434" s="7" t="s">
        <v>1661</v>
      </c>
      <c r="B1434" s="7">
        <v>532.0</v>
      </c>
      <c r="C1434" s="7" t="s">
        <v>12603</v>
      </c>
      <c r="D1434" s="7" t="s">
        <v>12604</v>
      </c>
      <c r="E1434" s="7" t="s">
        <v>12605</v>
      </c>
      <c r="F1434" s="7" t="s">
        <v>12606</v>
      </c>
      <c r="G1434" s="7" t="s">
        <v>12607</v>
      </c>
      <c r="H1434" s="7" t="s">
        <v>12608</v>
      </c>
      <c r="I1434" s="119">
        <v>45292.0</v>
      </c>
      <c r="K1434" s="7" t="s">
        <v>419</v>
      </c>
      <c r="L1434" s="7" t="s">
        <v>991</v>
      </c>
      <c r="M1434" s="7" t="s">
        <v>3501</v>
      </c>
      <c r="N1434" s="7" t="s">
        <v>8466</v>
      </c>
      <c r="O1434" s="7" t="s">
        <v>12609</v>
      </c>
      <c r="P1434" s="7" t="s">
        <v>8086</v>
      </c>
      <c r="Q1434" s="7" t="s">
        <v>8087</v>
      </c>
    </row>
    <row r="1435">
      <c r="A1435" s="7" t="s">
        <v>2397</v>
      </c>
      <c r="B1435" s="7">
        <v>12253.0</v>
      </c>
      <c r="C1435" s="7" t="s">
        <v>12610</v>
      </c>
      <c r="D1435" s="7" t="s">
        <v>8442</v>
      </c>
      <c r="E1435" s="7" t="s">
        <v>12611</v>
      </c>
      <c r="F1435" s="7" t="s">
        <v>4929</v>
      </c>
      <c r="G1435" s="7" t="s">
        <v>12612</v>
      </c>
      <c r="H1435" s="7" t="s">
        <v>12613</v>
      </c>
      <c r="I1435" s="119">
        <v>45292.0</v>
      </c>
      <c r="K1435" s="7" t="s">
        <v>419</v>
      </c>
      <c r="L1435" s="7" t="s">
        <v>991</v>
      </c>
      <c r="M1435" s="7" t="s">
        <v>3501</v>
      </c>
      <c r="N1435" s="7" t="s">
        <v>10450</v>
      </c>
      <c r="O1435" s="7" t="s">
        <v>12614</v>
      </c>
      <c r="P1435" s="7" t="s">
        <v>8221</v>
      </c>
      <c r="Q1435" s="7" t="s">
        <v>3555</v>
      </c>
    </row>
    <row r="1436">
      <c r="A1436" s="7" t="s">
        <v>12615</v>
      </c>
      <c r="B1436" s="7">
        <v>13178.0</v>
      </c>
      <c r="C1436" s="7" t="s">
        <v>12616</v>
      </c>
      <c r="D1436" s="7" t="s">
        <v>12617</v>
      </c>
      <c r="E1436" s="7" t="s">
        <v>12618</v>
      </c>
      <c r="F1436" s="7" t="s">
        <v>10657</v>
      </c>
      <c r="G1436" s="7" t="s">
        <v>12619</v>
      </c>
      <c r="H1436" s="7" t="s">
        <v>12620</v>
      </c>
      <c r="I1436" s="119">
        <v>45292.0</v>
      </c>
      <c r="K1436" s="7" t="s">
        <v>419</v>
      </c>
      <c r="L1436" s="7" t="s">
        <v>991</v>
      </c>
      <c r="M1436" s="7" t="s">
        <v>3501</v>
      </c>
      <c r="N1436" s="7" t="s">
        <v>11385</v>
      </c>
      <c r="O1436" s="7" t="s">
        <v>12621</v>
      </c>
      <c r="P1436" s="7" t="s">
        <v>3843</v>
      </c>
      <c r="Q1436" s="7">
        <v>1.0</v>
      </c>
    </row>
    <row r="1437">
      <c r="A1437" s="7" t="s">
        <v>12622</v>
      </c>
      <c r="B1437" s="7">
        <v>12643.0</v>
      </c>
      <c r="C1437" s="7" t="s">
        <v>12623</v>
      </c>
      <c r="D1437" s="7" t="s">
        <v>12624</v>
      </c>
      <c r="E1437" s="7" t="s">
        <v>12625</v>
      </c>
      <c r="F1437" s="7" t="s">
        <v>10607</v>
      </c>
      <c r="G1437" s="7" t="s">
        <v>12626</v>
      </c>
      <c r="H1437" s="7" t="s">
        <v>12627</v>
      </c>
      <c r="I1437" s="119">
        <v>45292.0</v>
      </c>
      <c r="K1437" s="7" t="s">
        <v>419</v>
      </c>
      <c r="L1437" s="7" t="s">
        <v>991</v>
      </c>
      <c r="M1437" s="7" t="s">
        <v>3501</v>
      </c>
      <c r="N1437" s="7" t="s">
        <v>3574</v>
      </c>
      <c r="O1437" s="7" t="s">
        <v>12628</v>
      </c>
      <c r="P1437" s="7" t="s">
        <v>3522</v>
      </c>
      <c r="Q1437" s="7" t="s">
        <v>3514</v>
      </c>
    </row>
    <row r="1438">
      <c r="A1438" s="7" t="s">
        <v>12629</v>
      </c>
      <c r="B1438" s="7">
        <v>13650.0</v>
      </c>
      <c r="C1438" s="7" t="s">
        <v>12623</v>
      </c>
      <c r="D1438" s="7" t="s">
        <v>5153</v>
      </c>
      <c r="E1438" s="7" t="s">
        <v>12625</v>
      </c>
      <c r="F1438" s="7" t="s">
        <v>5155</v>
      </c>
      <c r="G1438" s="7" t="s">
        <v>12630</v>
      </c>
      <c r="H1438" s="7" t="s">
        <v>12631</v>
      </c>
      <c r="I1438" s="119">
        <v>45292.0</v>
      </c>
      <c r="K1438" s="7" t="s">
        <v>3632</v>
      </c>
      <c r="L1438" s="7" t="s">
        <v>991</v>
      </c>
      <c r="M1438" s="7" t="s">
        <v>3501</v>
      </c>
      <c r="N1438" s="7" t="s">
        <v>5037</v>
      </c>
      <c r="O1438" s="7" t="s">
        <v>12632</v>
      </c>
      <c r="P1438" s="7" t="s">
        <v>3894</v>
      </c>
      <c r="Q1438" s="7" t="s">
        <v>3523</v>
      </c>
    </row>
    <row r="1439">
      <c r="A1439" s="7" t="s">
        <v>12633</v>
      </c>
      <c r="B1439" s="7">
        <v>2300391.0</v>
      </c>
      <c r="C1439" s="7" t="s">
        <v>12623</v>
      </c>
      <c r="D1439" s="7" t="s">
        <v>12634</v>
      </c>
      <c r="E1439" s="7" t="s">
        <v>12625</v>
      </c>
      <c r="F1439" s="7" t="s">
        <v>10160</v>
      </c>
      <c r="G1439" s="7" t="s">
        <v>12635</v>
      </c>
      <c r="H1439" s="7" t="s">
        <v>12636</v>
      </c>
      <c r="I1439" s="119">
        <v>45292.0</v>
      </c>
      <c r="K1439" s="7" t="s">
        <v>419</v>
      </c>
      <c r="L1439" s="7" t="s">
        <v>991</v>
      </c>
      <c r="M1439" s="7" t="s">
        <v>3501</v>
      </c>
      <c r="N1439" s="7" t="s">
        <v>3769</v>
      </c>
      <c r="O1439" s="7" t="s">
        <v>5454</v>
      </c>
      <c r="P1439" s="7" t="s">
        <v>3493</v>
      </c>
      <c r="Q1439" s="7">
        <v>1.0</v>
      </c>
    </row>
    <row r="1440">
      <c r="A1440" s="7" t="s">
        <v>12637</v>
      </c>
      <c r="B1440" s="7">
        <v>10027.0</v>
      </c>
      <c r="C1440" s="7" t="s">
        <v>12638</v>
      </c>
      <c r="D1440" s="7" t="s">
        <v>12639</v>
      </c>
      <c r="E1440" s="7" t="s">
        <v>12640</v>
      </c>
      <c r="F1440" s="7" t="s">
        <v>3692</v>
      </c>
      <c r="G1440" s="7" t="s">
        <v>12641</v>
      </c>
      <c r="H1440" s="7" t="s">
        <v>12642</v>
      </c>
      <c r="I1440" s="119">
        <v>45292.0</v>
      </c>
      <c r="K1440" s="7" t="s">
        <v>419</v>
      </c>
      <c r="L1440" s="7" t="s">
        <v>991</v>
      </c>
      <c r="M1440" s="7" t="s">
        <v>3501</v>
      </c>
      <c r="N1440" s="7" t="s">
        <v>8314</v>
      </c>
      <c r="O1440" s="7" t="s">
        <v>8315</v>
      </c>
      <c r="P1440" s="7" t="s">
        <v>3894</v>
      </c>
      <c r="Q1440" s="7" t="s">
        <v>3523</v>
      </c>
    </row>
    <row r="1441">
      <c r="A1441" s="7" t="s">
        <v>12643</v>
      </c>
      <c r="B1441" s="7">
        <v>2200225.0</v>
      </c>
      <c r="C1441" s="7" t="s">
        <v>12644</v>
      </c>
      <c r="D1441" s="7" t="s">
        <v>12645</v>
      </c>
      <c r="E1441" s="7" t="s">
        <v>12646</v>
      </c>
      <c r="F1441" s="7" t="s">
        <v>12086</v>
      </c>
      <c r="G1441" s="7" t="s">
        <v>12647</v>
      </c>
      <c r="H1441" s="7" t="s">
        <v>12648</v>
      </c>
      <c r="I1441" s="119">
        <v>45292.0</v>
      </c>
      <c r="K1441" s="7" t="s">
        <v>419</v>
      </c>
      <c r="L1441" s="7" t="s">
        <v>991</v>
      </c>
      <c r="M1441" s="7" t="s">
        <v>3501</v>
      </c>
      <c r="N1441" s="7" t="s">
        <v>12649</v>
      </c>
      <c r="O1441" s="7" t="s">
        <v>12650</v>
      </c>
      <c r="P1441" s="7" t="s">
        <v>3493</v>
      </c>
      <c r="Q1441" s="7">
        <v>1.0</v>
      </c>
    </row>
    <row r="1442">
      <c r="A1442" s="7" t="s">
        <v>12651</v>
      </c>
      <c r="B1442" s="7">
        <v>2100638.0</v>
      </c>
      <c r="C1442" s="7" t="s">
        <v>12652</v>
      </c>
      <c r="D1442" s="7" t="s">
        <v>12653</v>
      </c>
      <c r="E1442" s="7" t="s">
        <v>12654</v>
      </c>
      <c r="F1442" s="7" t="s">
        <v>12201</v>
      </c>
      <c r="G1442" s="7" t="s">
        <v>12655</v>
      </c>
      <c r="H1442" s="7" t="s">
        <v>12656</v>
      </c>
      <c r="I1442" s="119">
        <v>45292.0</v>
      </c>
      <c r="K1442" s="7" t="s">
        <v>419</v>
      </c>
      <c r="L1442" s="7" t="s">
        <v>991</v>
      </c>
      <c r="M1442" s="7" t="s">
        <v>3501</v>
      </c>
      <c r="N1442" s="7" t="s">
        <v>4265</v>
      </c>
      <c r="O1442" s="7" t="s">
        <v>4266</v>
      </c>
      <c r="P1442" s="7" t="s">
        <v>3493</v>
      </c>
      <c r="Q1442" s="7">
        <v>1.0</v>
      </c>
    </row>
    <row r="1443">
      <c r="A1443" s="7" t="s">
        <v>12657</v>
      </c>
      <c r="B1443" s="7">
        <v>2300711.0</v>
      </c>
      <c r="C1443" s="7" t="s">
        <v>12652</v>
      </c>
      <c r="D1443" s="7" t="s">
        <v>5758</v>
      </c>
      <c r="E1443" s="7" t="s">
        <v>12654</v>
      </c>
      <c r="F1443" s="7" t="s">
        <v>5759</v>
      </c>
      <c r="G1443" s="7" t="s">
        <v>12658</v>
      </c>
      <c r="H1443" s="7" t="s">
        <v>12659</v>
      </c>
      <c r="I1443" s="119">
        <v>45292.0</v>
      </c>
      <c r="K1443" s="7" t="s">
        <v>419</v>
      </c>
      <c r="L1443" s="7" t="s">
        <v>991</v>
      </c>
      <c r="M1443" s="7" t="s">
        <v>3866</v>
      </c>
      <c r="N1443" s="7" t="s">
        <v>4587</v>
      </c>
      <c r="O1443" s="7" t="s">
        <v>12660</v>
      </c>
      <c r="P1443" s="7" t="s">
        <v>3493</v>
      </c>
      <c r="Q1443" s="7">
        <v>1.0</v>
      </c>
    </row>
    <row r="1444">
      <c r="A1444" s="7" t="s">
        <v>12661</v>
      </c>
      <c r="B1444" s="7">
        <v>1083.0</v>
      </c>
      <c r="C1444" s="7" t="s">
        <v>12652</v>
      </c>
      <c r="D1444" s="7" t="s">
        <v>12662</v>
      </c>
      <c r="E1444" s="7" t="s">
        <v>12654</v>
      </c>
      <c r="F1444" s="7" t="s">
        <v>4371</v>
      </c>
      <c r="G1444" s="7" t="s">
        <v>12663</v>
      </c>
      <c r="H1444" s="7" t="s">
        <v>12664</v>
      </c>
      <c r="I1444" s="119">
        <v>45292.0</v>
      </c>
      <c r="K1444" s="7" t="s">
        <v>419</v>
      </c>
      <c r="L1444" s="7" t="s">
        <v>991</v>
      </c>
      <c r="M1444" s="7" t="s">
        <v>3501</v>
      </c>
      <c r="N1444" s="7" t="s">
        <v>12665</v>
      </c>
      <c r="O1444" s="7" t="s">
        <v>12666</v>
      </c>
      <c r="P1444" s="7" t="s">
        <v>3604</v>
      </c>
      <c r="Q1444" s="7">
        <v>1.0</v>
      </c>
    </row>
    <row r="1445">
      <c r="A1445" s="7" t="s">
        <v>12667</v>
      </c>
      <c r="B1445" s="7">
        <v>2200393.0</v>
      </c>
      <c r="C1445" s="7" t="s">
        <v>12668</v>
      </c>
      <c r="D1445" s="7" t="s">
        <v>8598</v>
      </c>
      <c r="E1445" s="7" t="s">
        <v>12669</v>
      </c>
      <c r="F1445" s="7" t="s">
        <v>4598</v>
      </c>
      <c r="G1445" s="7" t="s">
        <v>12670</v>
      </c>
      <c r="H1445" s="7" t="s">
        <v>12671</v>
      </c>
      <c r="I1445" s="119">
        <v>45292.0</v>
      </c>
      <c r="K1445" s="7" t="s">
        <v>419</v>
      </c>
      <c r="L1445" s="7" t="s">
        <v>991</v>
      </c>
      <c r="M1445" s="7" t="s">
        <v>3501</v>
      </c>
      <c r="N1445" s="7" t="s">
        <v>10801</v>
      </c>
      <c r="O1445" s="7" t="s">
        <v>10802</v>
      </c>
      <c r="P1445" s="7" t="s">
        <v>3604</v>
      </c>
      <c r="Q1445" s="7">
        <v>1.0</v>
      </c>
    </row>
    <row r="1446">
      <c r="A1446" s="7" t="s">
        <v>12672</v>
      </c>
      <c r="B1446" s="7">
        <v>2300124.0</v>
      </c>
      <c r="C1446" s="7" t="s">
        <v>12673</v>
      </c>
      <c r="D1446" s="7" t="s">
        <v>12674</v>
      </c>
      <c r="E1446" s="7" t="s">
        <v>12675</v>
      </c>
      <c r="F1446" s="7" t="s">
        <v>10155</v>
      </c>
      <c r="G1446" s="7" t="s">
        <v>12676</v>
      </c>
      <c r="H1446" s="7" t="s">
        <v>12677</v>
      </c>
      <c r="I1446" s="119">
        <v>45292.0</v>
      </c>
      <c r="K1446" s="7" t="s">
        <v>419</v>
      </c>
      <c r="L1446" s="7" t="s">
        <v>991</v>
      </c>
      <c r="M1446" s="7" t="s">
        <v>3501</v>
      </c>
      <c r="N1446" s="7" t="s">
        <v>9963</v>
      </c>
      <c r="O1446" s="7" t="s">
        <v>9964</v>
      </c>
      <c r="P1446" s="7" t="s">
        <v>3493</v>
      </c>
      <c r="Q1446" s="7">
        <v>1.0</v>
      </c>
    </row>
    <row r="1447">
      <c r="A1447" s="7" t="s">
        <v>12678</v>
      </c>
      <c r="B1447" s="7">
        <v>2300703.0</v>
      </c>
      <c r="C1447" s="7" t="s">
        <v>12679</v>
      </c>
      <c r="D1447" s="7" t="s">
        <v>12680</v>
      </c>
      <c r="E1447" s="7" t="s">
        <v>12681</v>
      </c>
      <c r="F1447" s="7" t="s">
        <v>12682</v>
      </c>
      <c r="G1447" s="7" t="s">
        <v>12683</v>
      </c>
      <c r="H1447" s="7" t="s">
        <v>12684</v>
      </c>
      <c r="I1447" s="119">
        <v>45292.0</v>
      </c>
      <c r="K1447" s="7" t="s">
        <v>419</v>
      </c>
      <c r="L1447" s="7" t="s">
        <v>991</v>
      </c>
      <c r="M1447" s="7" t="s">
        <v>3501</v>
      </c>
      <c r="N1447" s="7" t="s">
        <v>3760</v>
      </c>
      <c r="O1447" s="7" t="s">
        <v>3761</v>
      </c>
      <c r="P1447" s="7" t="s">
        <v>3522</v>
      </c>
      <c r="Q1447" s="7" t="s">
        <v>3514</v>
      </c>
    </row>
    <row r="1448">
      <c r="A1448" s="7" t="s">
        <v>12685</v>
      </c>
      <c r="B1448" s="7">
        <v>12192.0</v>
      </c>
      <c r="C1448" s="7" t="s">
        <v>12686</v>
      </c>
      <c r="D1448" s="7" t="s">
        <v>12687</v>
      </c>
      <c r="E1448" s="7" t="s">
        <v>12681</v>
      </c>
      <c r="F1448" s="7" t="s">
        <v>3748</v>
      </c>
      <c r="G1448" s="7" t="s">
        <v>12688</v>
      </c>
      <c r="H1448" s="7" t="s">
        <v>12689</v>
      </c>
      <c r="I1448" s="119">
        <v>45292.0</v>
      </c>
      <c r="K1448" s="7" t="s">
        <v>419</v>
      </c>
      <c r="L1448" s="7" t="s">
        <v>991</v>
      </c>
      <c r="M1448" s="7" t="s">
        <v>3531</v>
      </c>
      <c r="N1448" s="7" t="s">
        <v>4161</v>
      </c>
      <c r="O1448" s="7" t="s">
        <v>9590</v>
      </c>
      <c r="P1448" s="7" t="s">
        <v>3493</v>
      </c>
      <c r="Q1448" s="7">
        <v>1.0</v>
      </c>
    </row>
    <row r="1449">
      <c r="A1449" s="7" t="s">
        <v>1611</v>
      </c>
      <c r="B1449" s="7">
        <v>13241.0</v>
      </c>
      <c r="C1449" s="7" t="s">
        <v>12686</v>
      </c>
      <c r="D1449" s="7" t="s">
        <v>12690</v>
      </c>
      <c r="E1449" s="7" t="s">
        <v>12681</v>
      </c>
      <c r="F1449" s="7" t="s">
        <v>7361</v>
      </c>
      <c r="G1449" s="7" t="s">
        <v>12691</v>
      </c>
      <c r="H1449" s="7" t="s">
        <v>12692</v>
      </c>
      <c r="I1449" s="119">
        <v>45292.0</v>
      </c>
      <c r="K1449" s="7" t="s">
        <v>419</v>
      </c>
      <c r="L1449" s="7" t="s">
        <v>991</v>
      </c>
      <c r="M1449" s="7" t="s">
        <v>3501</v>
      </c>
      <c r="N1449" s="7" t="s">
        <v>5556</v>
      </c>
      <c r="O1449" s="7" t="s">
        <v>5557</v>
      </c>
      <c r="P1449" s="7" t="s">
        <v>12693</v>
      </c>
      <c r="Q1449" s="7" t="s">
        <v>5559</v>
      </c>
    </row>
    <row r="1450">
      <c r="A1450" s="7" t="s">
        <v>12694</v>
      </c>
      <c r="B1450" s="7">
        <v>12564.0</v>
      </c>
      <c r="C1450" s="7" t="s">
        <v>12695</v>
      </c>
      <c r="D1450" s="7" t="s">
        <v>12696</v>
      </c>
      <c r="E1450" s="7" t="s">
        <v>12697</v>
      </c>
      <c r="F1450" s="7" t="s">
        <v>3656</v>
      </c>
      <c r="G1450" s="7" t="s">
        <v>12698</v>
      </c>
      <c r="H1450" s="7" t="s">
        <v>12699</v>
      </c>
      <c r="I1450" s="119">
        <v>45292.0</v>
      </c>
      <c r="K1450" s="7" t="s">
        <v>419</v>
      </c>
      <c r="L1450" s="7" t="s">
        <v>991</v>
      </c>
      <c r="M1450" s="7" t="s">
        <v>3501</v>
      </c>
      <c r="N1450" s="7" t="s">
        <v>4499</v>
      </c>
      <c r="O1450" s="7" t="s">
        <v>4500</v>
      </c>
      <c r="P1450" s="7" t="s">
        <v>3493</v>
      </c>
      <c r="Q1450" s="7">
        <v>1.0</v>
      </c>
    </row>
    <row r="1451">
      <c r="A1451" s="7" t="s">
        <v>12700</v>
      </c>
      <c r="B1451" s="7">
        <v>13675.0</v>
      </c>
      <c r="C1451" s="7" t="s">
        <v>12701</v>
      </c>
      <c r="D1451" s="7" t="s">
        <v>12702</v>
      </c>
      <c r="E1451" s="7" t="s">
        <v>12703</v>
      </c>
      <c r="F1451" s="7" t="s">
        <v>10220</v>
      </c>
      <c r="G1451" s="7" t="s">
        <v>12704</v>
      </c>
      <c r="H1451" s="7" t="s">
        <v>12705</v>
      </c>
      <c r="I1451" s="119">
        <v>45292.0</v>
      </c>
      <c r="K1451" s="7" t="s">
        <v>3632</v>
      </c>
      <c r="L1451" s="7" t="s">
        <v>991</v>
      </c>
      <c r="M1451" s="7" t="s">
        <v>3501</v>
      </c>
      <c r="N1451" s="7" t="s">
        <v>6214</v>
      </c>
      <c r="O1451" s="7" t="s">
        <v>8628</v>
      </c>
      <c r="P1451" s="7" t="s">
        <v>3522</v>
      </c>
      <c r="Q1451" s="7" t="s">
        <v>3523</v>
      </c>
    </row>
    <row r="1452">
      <c r="A1452" s="7" t="s">
        <v>12706</v>
      </c>
      <c r="B1452" s="7">
        <v>2300685.0</v>
      </c>
      <c r="C1452" s="7" t="s">
        <v>12707</v>
      </c>
      <c r="D1452" s="7" t="s">
        <v>12708</v>
      </c>
      <c r="E1452" s="7" t="s">
        <v>12709</v>
      </c>
      <c r="F1452" s="7" t="s">
        <v>12710</v>
      </c>
      <c r="G1452" s="7" t="s">
        <v>12711</v>
      </c>
      <c r="I1452" s="119">
        <v>45292.0</v>
      </c>
      <c r="K1452" s="7" t="s">
        <v>419</v>
      </c>
      <c r="L1452" s="7" t="s">
        <v>991</v>
      </c>
      <c r="M1452" s="7" t="s">
        <v>3531</v>
      </c>
      <c r="N1452" s="7" t="s">
        <v>5197</v>
      </c>
      <c r="O1452" s="7" t="s">
        <v>5198</v>
      </c>
      <c r="P1452" s="7" t="s">
        <v>3493</v>
      </c>
      <c r="Q1452" s="7">
        <v>1.0</v>
      </c>
    </row>
    <row r="1453">
      <c r="A1453" s="7" t="s">
        <v>12712</v>
      </c>
      <c r="B1453" s="7">
        <v>2300207.0</v>
      </c>
      <c r="C1453" s="7" t="s">
        <v>12707</v>
      </c>
      <c r="D1453" s="7" t="s">
        <v>12713</v>
      </c>
      <c r="E1453" s="7" t="s">
        <v>12709</v>
      </c>
      <c r="F1453" s="7" t="s">
        <v>6859</v>
      </c>
      <c r="G1453" s="7" t="s">
        <v>12714</v>
      </c>
      <c r="H1453" s="7" t="s">
        <v>12715</v>
      </c>
      <c r="I1453" s="119">
        <v>45292.0</v>
      </c>
      <c r="K1453" s="7" t="s">
        <v>4042</v>
      </c>
      <c r="L1453" s="7" t="s">
        <v>991</v>
      </c>
      <c r="M1453" s="7" t="s">
        <v>3531</v>
      </c>
      <c r="N1453" s="7" t="s">
        <v>4043</v>
      </c>
      <c r="O1453" s="7" t="s">
        <v>4044</v>
      </c>
      <c r="P1453" s="7" t="s">
        <v>3493</v>
      </c>
      <c r="Q1453" s="7">
        <v>1.0</v>
      </c>
    </row>
    <row r="1454">
      <c r="A1454" s="7" t="s">
        <v>12716</v>
      </c>
      <c r="B1454" s="7">
        <v>2100277.0</v>
      </c>
      <c r="C1454" s="7" t="s">
        <v>12707</v>
      </c>
      <c r="D1454" s="7" t="s">
        <v>12717</v>
      </c>
      <c r="E1454" s="7" t="s">
        <v>12709</v>
      </c>
      <c r="F1454" s="7" t="s">
        <v>3714</v>
      </c>
      <c r="G1454" s="7" t="s">
        <v>12718</v>
      </c>
      <c r="H1454" s="7" t="s">
        <v>12719</v>
      </c>
      <c r="I1454" s="119">
        <v>45292.0</v>
      </c>
      <c r="K1454" s="7" t="s">
        <v>419</v>
      </c>
      <c r="L1454" s="7" t="s">
        <v>991</v>
      </c>
      <c r="M1454" s="7" t="s">
        <v>3501</v>
      </c>
      <c r="N1454" s="7" t="s">
        <v>5605</v>
      </c>
      <c r="O1454" s="7" t="s">
        <v>5606</v>
      </c>
      <c r="P1454" s="7" t="s">
        <v>3493</v>
      </c>
      <c r="Q1454" s="7">
        <v>1.0</v>
      </c>
    </row>
    <row r="1455">
      <c r="A1455" s="7" t="s">
        <v>12720</v>
      </c>
      <c r="B1455" s="7">
        <v>13579.0</v>
      </c>
      <c r="C1455" s="7" t="s">
        <v>12721</v>
      </c>
      <c r="D1455" s="7" t="s">
        <v>12722</v>
      </c>
      <c r="E1455" s="7" t="s">
        <v>12723</v>
      </c>
      <c r="F1455" s="7" t="s">
        <v>12724</v>
      </c>
      <c r="G1455" s="7" t="s">
        <v>12725</v>
      </c>
      <c r="H1455" s="7" t="s">
        <v>12726</v>
      </c>
      <c r="I1455" s="119">
        <v>45292.0</v>
      </c>
      <c r="K1455" s="7" t="s">
        <v>419</v>
      </c>
      <c r="L1455" s="7" t="s">
        <v>991</v>
      </c>
      <c r="M1455" s="7" t="s">
        <v>3501</v>
      </c>
      <c r="N1455" s="7" t="s">
        <v>3751</v>
      </c>
      <c r="O1455" s="7" t="s">
        <v>3752</v>
      </c>
      <c r="P1455" s="7" t="s">
        <v>3493</v>
      </c>
      <c r="Q1455" s="7">
        <v>1.0</v>
      </c>
    </row>
    <row r="1456">
      <c r="A1456" s="7" t="s">
        <v>12727</v>
      </c>
      <c r="B1456" s="7">
        <v>13580.0</v>
      </c>
      <c r="C1456" s="7" t="s">
        <v>12728</v>
      </c>
      <c r="D1456" s="7" t="s">
        <v>12729</v>
      </c>
      <c r="E1456" s="7" t="s">
        <v>12730</v>
      </c>
      <c r="F1456" s="7" t="s">
        <v>12731</v>
      </c>
      <c r="G1456" s="7" t="s">
        <v>12732</v>
      </c>
      <c r="H1456" s="7" t="s">
        <v>12733</v>
      </c>
      <c r="I1456" s="119">
        <v>45292.0</v>
      </c>
      <c r="K1456" s="7" t="s">
        <v>419</v>
      </c>
      <c r="L1456" s="7" t="s">
        <v>991</v>
      </c>
      <c r="M1456" s="7" t="s">
        <v>3501</v>
      </c>
      <c r="N1456" s="7" t="s">
        <v>6402</v>
      </c>
      <c r="O1456" s="7" t="s">
        <v>6403</v>
      </c>
      <c r="P1456" s="7" t="s">
        <v>3493</v>
      </c>
      <c r="Q1456" s="7">
        <v>1.0</v>
      </c>
    </row>
    <row r="1457">
      <c r="A1457" s="7" t="s">
        <v>12734</v>
      </c>
      <c r="B1457" s="7">
        <v>2200041.0</v>
      </c>
      <c r="C1457" s="7" t="s">
        <v>12735</v>
      </c>
      <c r="D1457" s="7" t="s">
        <v>4485</v>
      </c>
      <c r="E1457" s="7" t="s">
        <v>12736</v>
      </c>
      <c r="F1457" s="7" t="s">
        <v>4487</v>
      </c>
      <c r="G1457" s="7" t="s">
        <v>12737</v>
      </c>
      <c r="H1457" s="7" t="s">
        <v>12738</v>
      </c>
      <c r="I1457" s="119">
        <v>45292.0</v>
      </c>
      <c r="K1457" s="7" t="s">
        <v>419</v>
      </c>
      <c r="L1457" s="7" t="s">
        <v>991</v>
      </c>
      <c r="M1457" s="7" t="s">
        <v>3531</v>
      </c>
      <c r="N1457" s="7" t="s">
        <v>12739</v>
      </c>
      <c r="O1457" s="7" t="s">
        <v>12740</v>
      </c>
      <c r="P1457" s="7" t="s">
        <v>3493</v>
      </c>
      <c r="Q1457" s="7">
        <v>1.0</v>
      </c>
    </row>
    <row r="1458">
      <c r="A1458" s="7" t="s">
        <v>12741</v>
      </c>
      <c r="B1458" s="7">
        <v>10514.0</v>
      </c>
      <c r="C1458" s="7" t="s">
        <v>12735</v>
      </c>
      <c r="D1458" s="7" t="s">
        <v>12742</v>
      </c>
      <c r="E1458" s="7" t="s">
        <v>12736</v>
      </c>
      <c r="F1458" s="7" t="s">
        <v>12743</v>
      </c>
      <c r="G1458" s="7" t="s">
        <v>12744</v>
      </c>
      <c r="H1458" s="7" t="s">
        <v>12745</v>
      </c>
      <c r="I1458" s="119">
        <v>45292.0</v>
      </c>
      <c r="K1458" s="7" t="s">
        <v>419</v>
      </c>
      <c r="L1458" s="7" t="s">
        <v>991</v>
      </c>
      <c r="M1458" s="7" t="s">
        <v>3501</v>
      </c>
      <c r="N1458" s="7" t="s">
        <v>5732</v>
      </c>
      <c r="O1458" s="7" t="s">
        <v>7042</v>
      </c>
      <c r="P1458" s="7" t="s">
        <v>3843</v>
      </c>
      <c r="Q1458" s="7">
        <v>1.0</v>
      </c>
    </row>
    <row r="1459">
      <c r="A1459" s="7" t="s">
        <v>12746</v>
      </c>
      <c r="B1459" s="7">
        <v>2200523.0</v>
      </c>
      <c r="C1459" s="7" t="s">
        <v>12747</v>
      </c>
      <c r="D1459" s="7" t="s">
        <v>5987</v>
      </c>
      <c r="E1459" s="7" t="s">
        <v>12748</v>
      </c>
      <c r="F1459" s="7" t="s">
        <v>5987</v>
      </c>
      <c r="G1459" s="7" t="s">
        <v>12749</v>
      </c>
      <c r="H1459" s="7" t="s">
        <v>12750</v>
      </c>
      <c r="I1459" s="119">
        <v>45292.0</v>
      </c>
      <c r="J1459" s="7" t="s">
        <v>3929</v>
      </c>
      <c r="K1459" s="7" t="s">
        <v>419</v>
      </c>
      <c r="L1459" s="7" t="s">
        <v>991</v>
      </c>
      <c r="M1459" s="7" t="s">
        <v>3501</v>
      </c>
      <c r="N1459" s="7" t="s">
        <v>5671</v>
      </c>
      <c r="O1459" s="7" t="s">
        <v>5672</v>
      </c>
      <c r="P1459" s="7" t="s">
        <v>3493</v>
      </c>
      <c r="Q1459" s="7">
        <v>1.0</v>
      </c>
    </row>
    <row r="1460">
      <c r="A1460" s="7" t="s">
        <v>12751</v>
      </c>
      <c r="B1460" s="7">
        <v>14269.0</v>
      </c>
      <c r="C1460" s="7" t="s">
        <v>12747</v>
      </c>
      <c r="D1460" s="7" t="s">
        <v>12752</v>
      </c>
      <c r="E1460" s="7" t="s">
        <v>12748</v>
      </c>
      <c r="F1460" s="7" t="s">
        <v>3748</v>
      </c>
      <c r="G1460" s="7" t="s">
        <v>12753</v>
      </c>
      <c r="H1460" s="7" t="s">
        <v>12754</v>
      </c>
      <c r="I1460" s="119">
        <v>45292.0</v>
      </c>
      <c r="K1460" s="7" t="s">
        <v>419</v>
      </c>
      <c r="L1460" s="7" t="s">
        <v>991</v>
      </c>
      <c r="M1460" s="7" t="s">
        <v>3501</v>
      </c>
      <c r="N1460" s="7" t="s">
        <v>12755</v>
      </c>
      <c r="O1460" s="7" t="s">
        <v>12756</v>
      </c>
      <c r="P1460" s="7" t="s">
        <v>3604</v>
      </c>
      <c r="Q1460" s="7">
        <v>1.0</v>
      </c>
    </row>
    <row r="1461">
      <c r="A1461" s="7" t="s">
        <v>12757</v>
      </c>
      <c r="B1461" s="7">
        <v>11756.0</v>
      </c>
      <c r="C1461" s="7" t="s">
        <v>12747</v>
      </c>
      <c r="D1461" s="7" t="s">
        <v>12758</v>
      </c>
      <c r="E1461" s="7" t="s">
        <v>12748</v>
      </c>
      <c r="F1461" s="7" t="s">
        <v>12759</v>
      </c>
      <c r="G1461" s="7" t="s">
        <v>12760</v>
      </c>
      <c r="H1461" s="7" t="s">
        <v>12761</v>
      </c>
      <c r="I1461" s="119">
        <v>45292.0</v>
      </c>
      <c r="K1461" s="7" t="s">
        <v>419</v>
      </c>
      <c r="L1461" s="7" t="s">
        <v>991</v>
      </c>
      <c r="M1461" s="7" t="s">
        <v>3501</v>
      </c>
      <c r="N1461" s="7" t="s">
        <v>4012</v>
      </c>
      <c r="O1461" s="7" t="s">
        <v>4013</v>
      </c>
      <c r="P1461" s="7" t="s">
        <v>3493</v>
      </c>
      <c r="Q1461" s="7">
        <v>1.0</v>
      </c>
    </row>
    <row r="1462">
      <c r="A1462" s="7" t="s">
        <v>12762</v>
      </c>
      <c r="B1462" s="7">
        <v>2300195.0</v>
      </c>
      <c r="C1462" s="7" t="s">
        <v>12763</v>
      </c>
      <c r="D1462" s="7" t="s">
        <v>12764</v>
      </c>
      <c r="E1462" s="7" t="s">
        <v>12765</v>
      </c>
      <c r="F1462" s="7" t="s">
        <v>4068</v>
      </c>
      <c r="G1462" s="7" t="s">
        <v>12766</v>
      </c>
      <c r="H1462" s="7" t="s">
        <v>12767</v>
      </c>
      <c r="I1462" s="119">
        <v>45292.0</v>
      </c>
      <c r="J1462" s="7" t="s">
        <v>4216</v>
      </c>
      <c r="K1462" s="7" t="s">
        <v>419</v>
      </c>
      <c r="L1462" s="7" t="s">
        <v>991</v>
      </c>
      <c r="M1462" s="7" t="s">
        <v>3501</v>
      </c>
      <c r="N1462" s="7" t="s">
        <v>12768</v>
      </c>
      <c r="O1462" s="7" t="s">
        <v>12769</v>
      </c>
      <c r="P1462" s="7" t="s">
        <v>3493</v>
      </c>
      <c r="Q1462" s="7">
        <v>1.0</v>
      </c>
    </row>
    <row r="1463">
      <c r="A1463" s="7" t="s">
        <v>12770</v>
      </c>
      <c r="B1463" s="7">
        <v>14129.0</v>
      </c>
      <c r="C1463" s="7" t="s">
        <v>12771</v>
      </c>
      <c r="D1463" s="7" t="s">
        <v>12772</v>
      </c>
      <c r="E1463" s="7" t="s">
        <v>12765</v>
      </c>
      <c r="F1463" s="7" t="s">
        <v>5451</v>
      </c>
      <c r="G1463" s="7" t="s">
        <v>12773</v>
      </c>
      <c r="H1463" s="7" t="s">
        <v>12774</v>
      </c>
      <c r="I1463" s="119">
        <v>45292.0</v>
      </c>
      <c r="K1463" s="7" t="s">
        <v>3632</v>
      </c>
      <c r="L1463" s="7" t="s">
        <v>991</v>
      </c>
      <c r="M1463" s="7" t="s">
        <v>3501</v>
      </c>
      <c r="N1463" s="7" t="s">
        <v>4112</v>
      </c>
      <c r="O1463" s="7" t="s">
        <v>4113</v>
      </c>
      <c r="P1463" s="7" t="s">
        <v>3522</v>
      </c>
      <c r="Q1463" s="7" t="s">
        <v>3523</v>
      </c>
    </row>
    <row r="1464">
      <c r="A1464" s="7" t="s">
        <v>12775</v>
      </c>
      <c r="B1464" s="7">
        <v>793.0</v>
      </c>
      <c r="C1464" s="7" t="s">
        <v>12771</v>
      </c>
      <c r="D1464" s="7" t="s">
        <v>12776</v>
      </c>
      <c r="E1464" s="7" t="s">
        <v>12765</v>
      </c>
      <c r="F1464" s="7" t="s">
        <v>12777</v>
      </c>
      <c r="G1464" s="7" t="s">
        <v>12778</v>
      </c>
      <c r="H1464" s="7" t="s">
        <v>12779</v>
      </c>
      <c r="I1464" s="119">
        <v>45292.0</v>
      </c>
      <c r="K1464" s="7" t="s">
        <v>3885</v>
      </c>
      <c r="L1464" s="7" t="s">
        <v>3542</v>
      </c>
      <c r="M1464" s="7" t="s">
        <v>3543</v>
      </c>
      <c r="N1464" s="7" t="s">
        <v>3695</v>
      </c>
      <c r="O1464" s="7" t="s">
        <v>12780</v>
      </c>
      <c r="P1464" s="7" t="s">
        <v>3697</v>
      </c>
      <c r="Q1464" s="7" t="s">
        <v>3698</v>
      </c>
    </row>
    <row r="1465">
      <c r="A1465" s="7" t="s">
        <v>12781</v>
      </c>
      <c r="B1465" s="7">
        <v>12288.0</v>
      </c>
      <c r="C1465" s="7" t="s">
        <v>12771</v>
      </c>
      <c r="D1465" s="7" t="s">
        <v>12782</v>
      </c>
      <c r="E1465" s="7" t="s">
        <v>12765</v>
      </c>
      <c r="F1465" s="7" t="s">
        <v>3748</v>
      </c>
      <c r="G1465" s="7" t="s">
        <v>12783</v>
      </c>
      <c r="H1465" s="7" t="s">
        <v>12784</v>
      </c>
      <c r="I1465" s="119">
        <v>45292.0</v>
      </c>
      <c r="K1465" s="7" t="s">
        <v>419</v>
      </c>
      <c r="L1465" s="7" t="s">
        <v>991</v>
      </c>
      <c r="M1465" s="7" t="s">
        <v>3501</v>
      </c>
      <c r="N1465" s="7" t="s">
        <v>7313</v>
      </c>
      <c r="O1465" s="7" t="s">
        <v>7314</v>
      </c>
      <c r="P1465" s="7" t="s">
        <v>5585</v>
      </c>
      <c r="Q1465" s="7">
        <v>1.0</v>
      </c>
    </row>
    <row r="1466">
      <c r="A1466" s="7" t="s">
        <v>12785</v>
      </c>
      <c r="B1466" s="7">
        <v>2200716.0</v>
      </c>
      <c r="C1466" s="7" t="s">
        <v>12771</v>
      </c>
      <c r="D1466" s="7" t="s">
        <v>11210</v>
      </c>
      <c r="E1466" s="7" t="s">
        <v>12765</v>
      </c>
      <c r="F1466" s="7" t="s">
        <v>5490</v>
      </c>
      <c r="G1466" s="7" t="s">
        <v>12786</v>
      </c>
      <c r="H1466" s="7" t="s">
        <v>12787</v>
      </c>
      <c r="I1466" s="119">
        <v>45292.0</v>
      </c>
      <c r="K1466" s="7" t="s">
        <v>4042</v>
      </c>
      <c r="L1466" s="7" t="s">
        <v>991</v>
      </c>
      <c r="M1466" s="7" t="s">
        <v>3501</v>
      </c>
      <c r="N1466" s="7" t="s">
        <v>4043</v>
      </c>
      <c r="O1466" s="7" t="s">
        <v>4044</v>
      </c>
      <c r="P1466" s="7" t="s">
        <v>3493</v>
      </c>
      <c r="Q1466" s="7">
        <v>1.0</v>
      </c>
    </row>
    <row r="1467">
      <c r="A1467" s="7" t="s">
        <v>12788</v>
      </c>
      <c r="B1467" s="7">
        <v>2200928.0</v>
      </c>
      <c r="C1467" s="7" t="s">
        <v>12771</v>
      </c>
      <c r="D1467" s="7" t="s">
        <v>12789</v>
      </c>
      <c r="E1467" s="7" t="s">
        <v>12765</v>
      </c>
      <c r="F1467" s="7" t="s">
        <v>12790</v>
      </c>
      <c r="G1467" s="7" t="s">
        <v>12791</v>
      </c>
      <c r="H1467" s="7" t="s">
        <v>12792</v>
      </c>
      <c r="I1467" s="119">
        <v>45292.0</v>
      </c>
      <c r="K1467" s="7" t="s">
        <v>419</v>
      </c>
      <c r="L1467" s="7" t="s">
        <v>991</v>
      </c>
      <c r="M1467" s="7" t="s">
        <v>3583</v>
      </c>
      <c r="N1467" s="7" t="s">
        <v>12793</v>
      </c>
      <c r="O1467" s="7" t="s">
        <v>12794</v>
      </c>
      <c r="P1467" s="7" t="s">
        <v>3493</v>
      </c>
      <c r="Q1467" s="7">
        <v>1.0</v>
      </c>
    </row>
    <row r="1468">
      <c r="A1468" s="7" t="s">
        <v>12795</v>
      </c>
      <c r="B1468" s="7">
        <v>2300650.0</v>
      </c>
      <c r="C1468" s="7" t="s">
        <v>12771</v>
      </c>
      <c r="D1468" s="7" t="s">
        <v>4982</v>
      </c>
      <c r="E1468" s="7" t="s">
        <v>12765</v>
      </c>
      <c r="F1468" s="7" t="s">
        <v>4984</v>
      </c>
      <c r="G1468" s="7" t="s">
        <v>12796</v>
      </c>
      <c r="H1468" s="7" t="s">
        <v>12797</v>
      </c>
      <c r="I1468" s="119">
        <v>45292.0</v>
      </c>
      <c r="K1468" s="7" t="s">
        <v>419</v>
      </c>
      <c r="L1468" s="7" t="s">
        <v>991</v>
      </c>
      <c r="M1468" s="7" t="s">
        <v>3501</v>
      </c>
      <c r="N1468" s="7" t="s">
        <v>5461</v>
      </c>
      <c r="O1468" s="7" t="s">
        <v>5462</v>
      </c>
      <c r="P1468" s="7" t="s">
        <v>3493</v>
      </c>
      <c r="Q1468" s="7">
        <v>1.0</v>
      </c>
    </row>
    <row r="1469">
      <c r="A1469" s="7" t="s">
        <v>12798</v>
      </c>
      <c r="B1469" s="7">
        <v>12364.0</v>
      </c>
      <c r="C1469" s="7" t="s">
        <v>12771</v>
      </c>
      <c r="D1469" s="7" t="s">
        <v>12799</v>
      </c>
      <c r="E1469" s="7" t="s">
        <v>12765</v>
      </c>
      <c r="F1469" s="7" t="s">
        <v>12800</v>
      </c>
      <c r="G1469" s="7" t="s">
        <v>12801</v>
      </c>
      <c r="H1469" s="7" t="s">
        <v>12802</v>
      </c>
      <c r="I1469" s="119">
        <v>45292.0</v>
      </c>
      <c r="K1469" s="7" t="s">
        <v>419</v>
      </c>
      <c r="L1469" s="7" t="s">
        <v>991</v>
      </c>
      <c r="M1469" s="7" t="s">
        <v>3501</v>
      </c>
      <c r="N1469" s="7" t="s">
        <v>3858</v>
      </c>
      <c r="O1469" s="7" t="s">
        <v>3859</v>
      </c>
      <c r="P1469" s="7" t="s">
        <v>3522</v>
      </c>
      <c r="Q1469" s="7" t="s">
        <v>3523</v>
      </c>
    </row>
    <row r="1470">
      <c r="A1470" s="7" t="s">
        <v>12803</v>
      </c>
      <c r="B1470" s="7">
        <v>11707.0</v>
      </c>
      <c r="C1470" s="7" t="s">
        <v>12771</v>
      </c>
      <c r="D1470" s="7" t="s">
        <v>12804</v>
      </c>
      <c r="E1470" s="7" t="s">
        <v>12765</v>
      </c>
      <c r="F1470" s="7" t="s">
        <v>3517</v>
      </c>
      <c r="G1470" s="7" t="s">
        <v>12805</v>
      </c>
      <c r="H1470" s="7" t="s">
        <v>12806</v>
      </c>
      <c r="I1470" s="119">
        <v>45292.0</v>
      </c>
      <c r="K1470" s="7" t="s">
        <v>419</v>
      </c>
      <c r="L1470" s="7" t="s">
        <v>991</v>
      </c>
      <c r="M1470" s="7" t="s">
        <v>3501</v>
      </c>
      <c r="N1470" s="7" t="s">
        <v>8178</v>
      </c>
      <c r="O1470" s="7" t="s">
        <v>8179</v>
      </c>
      <c r="P1470" s="7" t="s">
        <v>3843</v>
      </c>
      <c r="Q1470" s="7">
        <v>1.0</v>
      </c>
    </row>
    <row r="1471">
      <c r="A1471" s="7" t="s">
        <v>12807</v>
      </c>
      <c r="B1471" s="7">
        <v>2100511.0</v>
      </c>
      <c r="C1471" s="7" t="s">
        <v>12808</v>
      </c>
      <c r="D1471" s="7" t="s">
        <v>4233</v>
      </c>
      <c r="E1471" s="7" t="s">
        <v>12809</v>
      </c>
      <c r="F1471" s="7" t="s">
        <v>4234</v>
      </c>
      <c r="G1471" s="7" t="s">
        <v>12810</v>
      </c>
      <c r="H1471" s="7" t="s">
        <v>12811</v>
      </c>
      <c r="I1471" s="119">
        <v>45292.0</v>
      </c>
      <c r="K1471" s="7" t="s">
        <v>419</v>
      </c>
      <c r="L1471" s="7" t="s">
        <v>991</v>
      </c>
      <c r="M1471" s="7" t="s">
        <v>3501</v>
      </c>
      <c r="N1471" s="7" t="s">
        <v>3760</v>
      </c>
      <c r="O1471" s="7" t="s">
        <v>3761</v>
      </c>
      <c r="P1471" s="7" t="s">
        <v>3522</v>
      </c>
      <c r="Q1471" s="7" t="s">
        <v>3514</v>
      </c>
    </row>
    <row r="1472">
      <c r="A1472" s="7" t="s">
        <v>12812</v>
      </c>
      <c r="B1472" s="7">
        <v>2300566.0</v>
      </c>
      <c r="C1472" s="7" t="s">
        <v>12813</v>
      </c>
      <c r="D1472" s="7" t="s">
        <v>12814</v>
      </c>
      <c r="E1472" s="7" t="s">
        <v>12809</v>
      </c>
      <c r="F1472" s="7" t="s">
        <v>12815</v>
      </c>
      <c r="G1472" s="7" t="s">
        <v>12816</v>
      </c>
      <c r="H1472" s="7" t="s">
        <v>12817</v>
      </c>
      <c r="I1472" s="119">
        <v>45292.0</v>
      </c>
      <c r="K1472" s="7" t="s">
        <v>419</v>
      </c>
      <c r="L1472" s="7" t="s">
        <v>991</v>
      </c>
      <c r="M1472" s="7" t="s">
        <v>3501</v>
      </c>
      <c r="N1472" s="7" t="s">
        <v>4437</v>
      </c>
      <c r="O1472" s="7" t="s">
        <v>12818</v>
      </c>
      <c r="P1472" s="7" t="s">
        <v>4154</v>
      </c>
      <c r="Q1472" s="7" t="s">
        <v>3555</v>
      </c>
    </row>
    <row r="1473">
      <c r="A1473" s="7" t="s">
        <v>12819</v>
      </c>
      <c r="B1473" s="7">
        <v>12494.0</v>
      </c>
      <c r="C1473" s="7" t="s">
        <v>12820</v>
      </c>
      <c r="D1473" s="7" t="s">
        <v>12821</v>
      </c>
      <c r="E1473" s="7" t="s">
        <v>12822</v>
      </c>
      <c r="F1473" s="7" t="s">
        <v>12823</v>
      </c>
      <c r="G1473" s="7" t="s">
        <v>12824</v>
      </c>
      <c r="H1473" s="7" t="s">
        <v>12825</v>
      </c>
      <c r="I1473" s="119">
        <v>45292.0</v>
      </c>
      <c r="K1473" s="7" t="s">
        <v>419</v>
      </c>
      <c r="L1473" s="7" t="s">
        <v>991</v>
      </c>
      <c r="M1473" s="7" t="s">
        <v>3501</v>
      </c>
      <c r="N1473" s="7" t="s">
        <v>8379</v>
      </c>
      <c r="O1473" s="7" t="s">
        <v>10267</v>
      </c>
      <c r="P1473" s="7" t="s">
        <v>3522</v>
      </c>
      <c r="Q1473" s="7" t="s">
        <v>3523</v>
      </c>
    </row>
    <row r="1474">
      <c r="A1474" s="7" t="s">
        <v>12826</v>
      </c>
      <c r="B1474" s="7">
        <v>2200100.0</v>
      </c>
      <c r="C1474" s="7" t="s">
        <v>12827</v>
      </c>
      <c r="D1474" s="7" t="s">
        <v>12828</v>
      </c>
      <c r="E1474" s="7" t="s">
        <v>12829</v>
      </c>
      <c r="F1474" s="7" t="s">
        <v>4241</v>
      </c>
      <c r="G1474" s="7" t="s">
        <v>12830</v>
      </c>
      <c r="H1474" s="7" t="s">
        <v>12831</v>
      </c>
      <c r="I1474" s="119">
        <v>45292.0</v>
      </c>
      <c r="K1474" s="7" t="s">
        <v>419</v>
      </c>
      <c r="L1474" s="7" t="s">
        <v>991</v>
      </c>
      <c r="M1474" s="7" t="s">
        <v>3501</v>
      </c>
      <c r="N1474" s="7" t="s">
        <v>12832</v>
      </c>
      <c r="O1474" s="7" t="s">
        <v>12833</v>
      </c>
      <c r="P1474" s="7" t="s">
        <v>3604</v>
      </c>
      <c r="Q1474" s="7">
        <v>1.0</v>
      </c>
    </row>
    <row r="1475">
      <c r="A1475" s="7" t="s">
        <v>12834</v>
      </c>
      <c r="B1475" s="7">
        <v>2300634.0</v>
      </c>
      <c r="C1475" s="7" t="s">
        <v>12835</v>
      </c>
      <c r="D1475" s="7" t="s">
        <v>12836</v>
      </c>
      <c r="E1475" s="7" t="s">
        <v>12837</v>
      </c>
      <c r="F1475" s="7" t="s">
        <v>4084</v>
      </c>
      <c r="G1475" s="7" t="s">
        <v>12838</v>
      </c>
      <c r="H1475" s="7" t="s">
        <v>12839</v>
      </c>
      <c r="I1475" s="119">
        <v>45292.0</v>
      </c>
      <c r="K1475" s="7" t="s">
        <v>3632</v>
      </c>
      <c r="L1475" s="7" t="s">
        <v>991</v>
      </c>
      <c r="M1475" s="7" t="s">
        <v>3531</v>
      </c>
      <c r="N1475" s="7" t="s">
        <v>6214</v>
      </c>
      <c r="O1475" s="7" t="s">
        <v>12840</v>
      </c>
      <c r="P1475" s="7" t="s">
        <v>3493</v>
      </c>
      <c r="Q1475" s="7">
        <v>1.0</v>
      </c>
    </row>
    <row r="1476">
      <c r="A1476" s="7" t="s">
        <v>12841</v>
      </c>
      <c r="B1476" s="7">
        <v>2300568.0</v>
      </c>
      <c r="C1476" s="7" t="s">
        <v>12842</v>
      </c>
      <c r="D1476" s="7" t="s">
        <v>4066</v>
      </c>
      <c r="E1476" s="7" t="s">
        <v>12843</v>
      </c>
      <c r="F1476" s="7" t="s">
        <v>4068</v>
      </c>
      <c r="G1476" s="7" t="s">
        <v>12844</v>
      </c>
      <c r="H1476" s="7" t="s">
        <v>12845</v>
      </c>
      <c r="I1476" s="119">
        <v>45292.0</v>
      </c>
      <c r="K1476" s="7" t="s">
        <v>419</v>
      </c>
      <c r="L1476" s="7" t="s">
        <v>991</v>
      </c>
      <c r="M1476" s="7" t="s">
        <v>3501</v>
      </c>
      <c r="N1476" s="7" t="s">
        <v>8281</v>
      </c>
      <c r="O1476" s="7" t="s">
        <v>8282</v>
      </c>
      <c r="P1476" s="7" t="s">
        <v>3493</v>
      </c>
      <c r="Q1476" s="7">
        <v>1.0</v>
      </c>
    </row>
    <row r="1477">
      <c r="A1477" s="7" t="s">
        <v>12846</v>
      </c>
      <c r="B1477" s="7">
        <v>632.0</v>
      </c>
      <c r="C1477" s="7" t="s">
        <v>12847</v>
      </c>
      <c r="D1477" s="7" t="s">
        <v>12848</v>
      </c>
      <c r="E1477" s="7" t="s">
        <v>12849</v>
      </c>
      <c r="F1477" s="7" t="s">
        <v>4336</v>
      </c>
      <c r="G1477" s="7" t="s">
        <v>12850</v>
      </c>
      <c r="H1477" s="7" t="s">
        <v>12851</v>
      </c>
      <c r="I1477" s="119">
        <v>45307.0</v>
      </c>
      <c r="K1477" s="7" t="s">
        <v>3885</v>
      </c>
      <c r="L1477" s="7" t="s">
        <v>3542</v>
      </c>
      <c r="M1477" s="7" t="s">
        <v>3543</v>
      </c>
      <c r="N1477" s="7" t="s">
        <v>5253</v>
      </c>
      <c r="O1477" s="7" t="s">
        <v>5254</v>
      </c>
      <c r="P1477" s="7" t="s">
        <v>3614</v>
      </c>
      <c r="Q1477" s="7" t="s">
        <v>3514</v>
      </c>
    </row>
    <row r="1478">
      <c r="A1478" s="7" t="s">
        <v>12852</v>
      </c>
      <c r="B1478" s="7">
        <v>12703.0</v>
      </c>
      <c r="C1478" s="7" t="s">
        <v>12853</v>
      </c>
      <c r="D1478" s="7" t="s">
        <v>12854</v>
      </c>
      <c r="E1478" s="7" t="s">
        <v>12855</v>
      </c>
      <c r="F1478" s="7" t="s">
        <v>8319</v>
      </c>
      <c r="G1478" s="7" t="s">
        <v>12856</v>
      </c>
      <c r="H1478" s="7" t="s">
        <v>12857</v>
      </c>
      <c r="I1478" s="119">
        <v>45292.0</v>
      </c>
      <c r="K1478" s="7" t="s">
        <v>419</v>
      </c>
      <c r="L1478" s="7" t="s">
        <v>991</v>
      </c>
      <c r="M1478" s="7" t="s">
        <v>3501</v>
      </c>
      <c r="N1478" s="7" t="s">
        <v>4481</v>
      </c>
      <c r="O1478" s="7" t="s">
        <v>4482</v>
      </c>
      <c r="P1478" s="7" t="s">
        <v>3843</v>
      </c>
      <c r="Q1478" s="7">
        <v>1.0</v>
      </c>
    </row>
    <row r="1479">
      <c r="A1479" s="7" t="s">
        <v>12858</v>
      </c>
      <c r="B1479" s="7">
        <v>2200774.0</v>
      </c>
      <c r="C1479" s="7" t="s">
        <v>12853</v>
      </c>
      <c r="D1479" s="7" t="s">
        <v>4100</v>
      </c>
      <c r="E1479" s="7" t="s">
        <v>12855</v>
      </c>
      <c r="F1479" s="7" t="s">
        <v>3486</v>
      </c>
      <c r="G1479" s="7" t="s">
        <v>12859</v>
      </c>
      <c r="H1479" s="7" t="s">
        <v>12860</v>
      </c>
      <c r="I1479" s="119">
        <v>45292.0</v>
      </c>
      <c r="K1479" s="7" t="s">
        <v>419</v>
      </c>
      <c r="L1479" s="7" t="s">
        <v>991</v>
      </c>
      <c r="M1479" s="7" t="s">
        <v>3583</v>
      </c>
      <c r="N1479" s="7" t="s">
        <v>5888</v>
      </c>
      <c r="O1479" s="7" t="s">
        <v>5889</v>
      </c>
      <c r="P1479" s="7" t="s">
        <v>3493</v>
      </c>
      <c r="Q1479" s="7">
        <v>1.0</v>
      </c>
    </row>
    <row r="1480">
      <c r="A1480" s="7" t="s">
        <v>12861</v>
      </c>
      <c r="B1480" s="7">
        <v>2100630.0</v>
      </c>
      <c r="C1480" s="7" t="s">
        <v>12862</v>
      </c>
      <c r="D1480" s="7" t="s">
        <v>12863</v>
      </c>
      <c r="E1480" s="7" t="s">
        <v>12864</v>
      </c>
      <c r="F1480" s="7" t="s">
        <v>12865</v>
      </c>
      <c r="G1480" s="7" t="s">
        <v>12866</v>
      </c>
      <c r="I1480" s="119">
        <v>45292.0</v>
      </c>
      <c r="K1480" s="7" t="s">
        <v>419</v>
      </c>
      <c r="L1480" s="7" t="s">
        <v>991</v>
      </c>
      <c r="M1480" s="7" t="s">
        <v>3531</v>
      </c>
      <c r="N1480" s="7" t="s">
        <v>4103</v>
      </c>
      <c r="O1480" s="7" t="s">
        <v>4104</v>
      </c>
      <c r="P1480" s="7" t="s">
        <v>3493</v>
      </c>
      <c r="Q1480" s="7">
        <v>1.0</v>
      </c>
    </row>
    <row r="1481">
      <c r="A1481" s="7" t="s">
        <v>12867</v>
      </c>
      <c r="B1481" s="7">
        <v>2300071.0</v>
      </c>
      <c r="C1481" s="7" t="s">
        <v>12862</v>
      </c>
      <c r="D1481" s="7" t="s">
        <v>12868</v>
      </c>
      <c r="E1481" s="7" t="s">
        <v>12864</v>
      </c>
      <c r="F1481" s="7" t="s">
        <v>12459</v>
      </c>
      <c r="G1481" s="7" t="s">
        <v>12869</v>
      </c>
      <c r="H1481" s="7" t="s">
        <v>12870</v>
      </c>
      <c r="I1481" s="119">
        <v>45292.0</v>
      </c>
      <c r="K1481" s="7" t="s">
        <v>3632</v>
      </c>
      <c r="L1481" s="7" t="s">
        <v>991</v>
      </c>
      <c r="M1481" s="7" t="s">
        <v>3501</v>
      </c>
      <c r="N1481" s="7" t="s">
        <v>4324</v>
      </c>
      <c r="O1481" s="7" t="s">
        <v>5618</v>
      </c>
      <c r="P1481" s="7" t="s">
        <v>3522</v>
      </c>
      <c r="Q1481" s="7" t="s">
        <v>3514</v>
      </c>
    </row>
    <row r="1482">
      <c r="A1482" s="7" t="s">
        <v>12871</v>
      </c>
      <c r="B1482" s="7">
        <v>13683.0</v>
      </c>
      <c r="C1482" s="7" t="s">
        <v>12862</v>
      </c>
      <c r="D1482" s="7" t="s">
        <v>12872</v>
      </c>
      <c r="E1482" s="7" t="s">
        <v>12864</v>
      </c>
      <c r="F1482" s="7" t="s">
        <v>11544</v>
      </c>
      <c r="G1482" s="7" t="s">
        <v>12873</v>
      </c>
      <c r="H1482" s="7" t="s">
        <v>12874</v>
      </c>
      <c r="I1482" s="119">
        <v>45292.0</v>
      </c>
      <c r="K1482" s="7" t="s">
        <v>3632</v>
      </c>
      <c r="L1482" s="7" t="s">
        <v>991</v>
      </c>
      <c r="M1482" s="7" t="s">
        <v>3501</v>
      </c>
      <c r="N1482" s="7" t="s">
        <v>3633</v>
      </c>
      <c r="O1482" s="7" t="s">
        <v>3634</v>
      </c>
      <c r="P1482" s="7" t="s">
        <v>3522</v>
      </c>
      <c r="Q1482" s="7" t="s">
        <v>3514</v>
      </c>
    </row>
    <row r="1483">
      <c r="A1483" s="7" t="s">
        <v>12875</v>
      </c>
      <c r="B1483" s="7">
        <v>2100548.0</v>
      </c>
      <c r="C1483" s="7" t="s">
        <v>12862</v>
      </c>
      <c r="D1483" s="7" t="s">
        <v>12876</v>
      </c>
      <c r="E1483" s="7" t="s">
        <v>12864</v>
      </c>
      <c r="F1483" s="7" t="s">
        <v>7637</v>
      </c>
      <c r="G1483" s="7" t="s">
        <v>12877</v>
      </c>
      <c r="H1483" s="7" t="s">
        <v>12878</v>
      </c>
      <c r="I1483" s="119">
        <v>45292.0</v>
      </c>
      <c r="K1483" s="7" t="s">
        <v>3632</v>
      </c>
      <c r="L1483" s="7" t="s">
        <v>991</v>
      </c>
      <c r="M1483" s="7" t="s">
        <v>3531</v>
      </c>
      <c r="N1483" s="7" t="s">
        <v>9997</v>
      </c>
      <c r="O1483" s="7" t="s">
        <v>12879</v>
      </c>
      <c r="P1483" s="7" t="s">
        <v>3493</v>
      </c>
      <c r="Q1483" s="7">
        <v>1.0</v>
      </c>
    </row>
    <row r="1484">
      <c r="A1484" s="7" t="s">
        <v>12880</v>
      </c>
      <c r="B1484" s="7">
        <v>14077.0</v>
      </c>
      <c r="C1484" s="7" t="s">
        <v>12862</v>
      </c>
      <c r="D1484" s="7" t="s">
        <v>12881</v>
      </c>
      <c r="E1484" s="7" t="s">
        <v>12864</v>
      </c>
      <c r="F1484" s="7" t="s">
        <v>4478</v>
      </c>
      <c r="G1484" s="7" t="s">
        <v>12882</v>
      </c>
      <c r="H1484" s="7" t="s">
        <v>12883</v>
      </c>
      <c r="I1484" s="119">
        <v>45292.0</v>
      </c>
      <c r="K1484" s="7" t="s">
        <v>419</v>
      </c>
      <c r="L1484" s="7" t="s">
        <v>991</v>
      </c>
      <c r="M1484" s="7" t="s">
        <v>3531</v>
      </c>
      <c r="N1484" s="7" t="s">
        <v>4028</v>
      </c>
      <c r="O1484" s="7" t="s">
        <v>4029</v>
      </c>
      <c r="P1484" s="7" t="s">
        <v>3493</v>
      </c>
      <c r="Q1484" s="7">
        <v>1.0</v>
      </c>
    </row>
    <row r="1485">
      <c r="A1485" s="7" t="s">
        <v>12884</v>
      </c>
      <c r="B1485" s="7">
        <v>2300331.0</v>
      </c>
      <c r="C1485" s="7" t="s">
        <v>12885</v>
      </c>
      <c r="D1485" s="7" t="s">
        <v>12886</v>
      </c>
      <c r="E1485" s="7" t="s">
        <v>12887</v>
      </c>
      <c r="F1485" s="7" t="s">
        <v>12888</v>
      </c>
      <c r="G1485" s="7" t="s">
        <v>12889</v>
      </c>
      <c r="H1485" s="7" t="s">
        <v>12890</v>
      </c>
      <c r="I1485" s="119">
        <v>45292.0</v>
      </c>
      <c r="K1485" s="7" t="s">
        <v>419</v>
      </c>
      <c r="L1485" s="7" t="s">
        <v>991</v>
      </c>
      <c r="M1485" s="7" t="s">
        <v>3531</v>
      </c>
      <c r="N1485" s="7" t="s">
        <v>4796</v>
      </c>
      <c r="O1485" s="7" t="s">
        <v>4797</v>
      </c>
      <c r="P1485" s="7" t="s">
        <v>3493</v>
      </c>
      <c r="Q1485" s="7">
        <v>1.0</v>
      </c>
    </row>
    <row r="1486">
      <c r="A1486" s="7" t="s">
        <v>12891</v>
      </c>
      <c r="B1486" s="7">
        <v>2100400.0</v>
      </c>
      <c r="C1486" s="7" t="s">
        <v>12885</v>
      </c>
      <c r="D1486" s="7" t="s">
        <v>12892</v>
      </c>
      <c r="E1486" s="7" t="s">
        <v>12887</v>
      </c>
      <c r="F1486" s="7" t="s">
        <v>9184</v>
      </c>
      <c r="G1486" s="7" t="s">
        <v>12893</v>
      </c>
      <c r="H1486" s="7" t="s">
        <v>12894</v>
      </c>
      <c r="I1486" s="119">
        <v>45292.0</v>
      </c>
      <c r="K1486" s="7" t="s">
        <v>419</v>
      </c>
      <c r="L1486" s="7" t="s">
        <v>991</v>
      </c>
      <c r="M1486" s="7" t="s">
        <v>3501</v>
      </c>
      <c r="N1486" s="7" t="s">
        <v>5637</v>
      </c>
      <c r="O1486" s="7" t="s">
        <v>12895</v>
      </c>
      <c r="P1486" s="7" t="s">
        <v>3522</v>
      </c>
      <c r="Q1486" s="7" t="s">
        <v>3523</v>
      </c>
    </row>
    <row r="1487">
      <c r="A1487" s="7" t="s">
        <v>12896</v>
      </c>
      <c r="B1487" s="7">
        <v>12249.0</v>
      </c>
      <c r="C1487" s="7" t="s">
        <v>12885</v>
      </c>
      <c r="D1487" s="7" t="s">
        <v>12897</v>
      </c>
      <c r="E1487" s="7" t="s">
        <v>12887</v>
      </c>
      <c r="F1487" s="7" t="s">
        <v>3806</v>
      </c>
      <c r="G1487" s="7" t="s">
        <v>12898</v>
      </c>
      <c r="H1487" s="7" t="s">
        <v>12899</v>
      </c>
      <c r="I1487" s="119">
        <v>45292.0</v>
      </c>
      <c r="K1487" s="7" t="s">
        <v>419</v>
      </c>
      <c r="L1487" s="7" t="s">
        <v>991</v>
      </c>
      <c r="M1487" s="7" t="s">
        <v>3501</v>
      </c>
      <c r="N1487" s="7" t="s">
        <v>12900</v>
      </c>
      <c r="O1487" s="7" t="s">
        <v>12901</v>
      </c>
      <c r="P1487" s="7" t="s">
        <v>3522</v>
      </c>
      <c r="Q1487" s="7" t="s">
        <v>3523</v>
      </c>
    </row>
    <row r="1488">
      <c r="A1488" s="7" t="s">
        <v>12902</v>
      </c>
      <c r="B1488" s="7">
        <v>13054.0</v>
      </c>
      <c r="C1488" s="7" t="s">
        <v>12903</v>
      </c>
      <c r="D1488" s="7" t="s">
        <v>12904</v>
      </c>
      <c r="E1488" s="7" t="s">
        <v>11585</v>
      </c>
      <c r="F1488" s="7" t="s">
        <v>5229</v>
      </c>
      <c r="G1488" s="7" t="s">
        <v>12905</v>
      </c>
      <c r="H1488" s="7" t="s">
        <v>12906</v>
      </c>
      <c r="I1488" s="119">
        <v>45292.0</v>
      </c>
      <c r="K1488" s="7" t="s">
        <v>419</v>
      </c>
      <c r="L1488" s="7" t="s">
        <v>991</v>
      </c>
      <c r="M1488" s="7" t="s">
        <v>3531</v>
      </c>
      <c r="N1488" s="7" t="s">
        <v>4256</v>
      </c>
      <c r="O1488" s="7" t="s">
        <v>4257</v>
      </c>
      <c r="P1488" s="7" t="s">
        <v>3493</v>
      </c>
      <c r="Q1488" s="7">
        <v>1.0</v>
      </c>
    </row>
    <row r="1489">
      <c r="A1489" s="7" t="s">
        <v>12907</v>
      </c>
      <c r="B1489" s="7">
        <v>11331.0</v>
      </c>
      <c r="C1489" s="7" t="s">
        <v>12908</v>
      </c>
      <c r="D1489" s="7" t="s">
        <v>12909</v>
      </c>
      <c r="E1489" s="7" t="s">
        <v>12910</v>
      </c>
      <c r="F1489" s="7" t="s">
        <v>3748</v>
      </c>
      <c r="G1489" s="7" t="s">
        <v>12911</v>
      </c>
      <c r="H1489" s="7" t="s">
        <v>12912</v>
      </c>
      <c r="I1489" s="119">
        <v>45292.0</v>
      </c>
      <c r="K1489" s="7" t="s">
        <v>419</v>
      </c>
      <c r="L1489" s="7" t="s">
        <v>991</v>
      </c>
      <c r="M1489" s="7" t="s">
        <v>3501</v>
      </c>
      <c r="N1489" s="7" t="s">
        <v>12913</v>
      </c>
      <c r="O1489" s="7" t="s">
        <v>12914</v>
      </c>
      <c r="P1489" s="7" t="s">
        <v>3894</v>
      </c>
      <c r="Q1489" s="7" t="s">
        <v>3523</v>
      </c>
    </row>
    <row r="1490">
      <c r="A1490" s="7" t="s">
        <v>12915</v>
      </c>
      <c r="B1490" s="7">
        <v>396.0</v>
      </c>
      <c r="C1490" s="7" t="s">
        <v>12908</v>
      </c>
      <c r="D1490" s="7" t="s">
        <v>12916</v>
      </c>
      <c r="E1490" s="7" t="s">
        <v>12910</v>
      </c>
      <c r="F1490" s="7" t="s">
        <v>5155</v>
      </c>
      <c r="G1490" s="7" t="s">
        <v>12917</v>
      </c>
      <c r="H1490" s="7" t="s">
        <v>12918</v>
      </c>
      <c r="I1490" s="119">
        <v>45292.0</v>
      </c>
      <c r="K1490" s="7" t="s">
        <v>419</v>
      </c>
      <c r="L1490" s="7" t="s">
        <v>991</v>
      </c>
      <c r="M1490" s="7" t="s">
        <v>3501</v>
      </c>
      <c r="N1490" s="7" t="s">
        <v>3511</v>
      </c>
      <c r="O1490" s="7" t="s">
        <v>12919</v>
      </c>
      <c r="P1490" s="7" t="s">
        <v>4154</v>
      </c>
      <c r="Q1490" s="7" t="s">
        <v>4155</v>
      </c>
    </row>
    <row r="1491">
      <c r="A1491" s="7" t="s">
        <v>12920</v>
      </c>
      <c r="B1491" s="7">
        <v>10443.0</v>
      </c>
      <c r="C1491" s="7" t="s">
        <v>12921</v>
      </c>
      <c r="D1491" s="7" t="s">
        <v>11710</v>
      </c>
      <c r="E1491" s="7" t="s">
        <v>12922</v>
      </c>
      <c r="F1491" s="7" t="s">
        <v>5441</v>
      </c>
      <c r="G1491" s="7" t="s">
        <v>12923</v>
      </c>
      <c r="H1491" s="7" t="s">
        <v>12924</v>
      </c>
      <c r="I1491" s="119">
        <v>45292.0</v>
      </c>
      <c r="K1491" s="7" t="s">
        <v>419</v>
      </c>
      <c r="L1491" s="7" t="s">
        <v>991</v>
      </c>
      <c r="M1491" s="7" t="s">
        <v>3501</v>
      </c>
      <c r="N1491" s="7" t="s">
        <v>12444</v>
      </c>
      <c r="O1491" s="7" t="s">
        <v>12445</v>
      </c>
      <c r="P1491" s="7" t="s">
        <v>3843</v>
      </c>
      <c r="Q1491" s="7">
        <v>1.0</v>
      </c>
    </row>
    <row r="1492">
      <c r="A1492" s="7" t="s">
        <v>1911</v>
      </c>
      <c r="B1492" s="7">
        <v>10607.0</v>
      </c>
      <c r="C1492" s="7" t="s">
        <v>12925</v>
      </c>
      <c r="D1492" s="7" t="s">
        <v>12926</v>
      </c>
      <c r="E1492" s="7" t="s">
        <v>12922</v>
      </c>
      <c r="F1492" s="7" t="s">
        <v>4929</v>
      </c>
      <c r="G1492" s="7" t="s">
        <v>12927</v>
      </c>
      <c r="H1492" s="7" t="s">
        <v>12928</v>
      </c>
      <c r="I1492" s="119">
        <v>45292.0</v>
      </c>
      <c r="K1492" s="7" t="s">
        <v>419</v>
      </c>
      <c r="L1492" s="7" t="s">
        <v>991</v>
      </c>
      <c r="M1492" s="7" t="s">
        <v>3501</v>
      </c>
      <c r="N1492" s="7" t="s">
        <v>8132</v>
      </c>
      <c r="O1492" s="7" t="s">
        <v>8133</v>
      </c>
      <c r="P1492" s="7" t="s">
        <v>9236</v>
      </c>
      <c r="Q1492" s="7" t="s">
        <v>8134</v>
      </c>
    </row>
    <row r="1493">
      <c r="A1493" s="7" t="s">
        <v>12929</v>
      </c>
      <c r="B1493" s="7">
        <v>829.0</v>
      </c>
      <c r="C1493" s="7" t="s">
        <v>12921</v>
      </c>
      <c r="D1493" s="7" t="s">
        <v>12930</v>
      </c>
      <c r="E1493" s="7" t="s">
        <v>12922</v>
      </c>
      <c r="F1493" s="7" t="s">
        <v>4960</v>
      </c>
      <c r="G1493" s="7" t="s">
        <v>12931</v>
      </c>
      <c r="H1493" s="7" t="s">
        <v>12932</v>
      </c>
      <c r="I1493" s="119">
        <v>45292.0</v>
      </c>
      <c r="K1493" s="7" t="s">
        <v>419</v>
      </c>
      <c r="L1493" s="7" t="s">
        <v>991</v>
      </c>
      <c r="M1493" s="7" t="s">
        <v>3501</v>
      </c>
      <c r="N1493" s="7" t="s">
        <v>12933</v>
      </c>
      <c r="O1493" s="7" t="s">
        <v>12934</v>
      </c>
      <c r="P1493" s="7" t="s">
        <v>12935</v>
      </c>
      <c r="Q1493" s="7">
        <v>1.0</v>
      </c>
    </row>
    <row r="1494">
      <c r="A1494" s="7" t="s">
        <v>12936</v>
      </c>
      <c r="B1494" s="7">
        <v>2300358.0</v>
      </c>
      <c r="C1494" s="7" t="s">
        <v>12937</v>
      </c>
      <c r="D1494" s="7" t="s">
        <v>12938</v>
      </c>
      <c r="E1494" s="7" t="s">
        <v>12939</v>
      </c>
      <c r="F1494" s="7" t="s">
        <v>8834</v>
      </c>
      <c r="G1494" s="7" t="s">
        <v>12940</v>
      </c>
      <c r="H1494" s="7" t="s">
        <v>12941</v>
      </c>
      <c r="I1494" s="119">
        <v>45292.0</v>
      </c>
      <c r="K1494" s="7" t="s">
        <v>3632</v>
      </c>
      <c r="L1494" s="7" t="s">
        <v>991</v>
      </c>
      <c r="M1494" s="7" t="s">
        <v>3531</v>
      </c>
      <c r="N1494" s="7" t="s">
        <v>6526</v>
      </c>
      <c r="O1494" s="7" t="s">
        <v>12942</v>
      </c>
      <c r="P1494" s="7" t="s">
        <v>3493</v>
      </c>
      <c r="Q1494" s="7">
        <v>1.0</v>
      </c>
    </row>
    <row r="1495">
      <c r="A1495" s="7" t="s">
        <v>12943</v>
      </c>
      <c r="B1495" s="7">
        <v>2100388.0</v>
      </c>
      <c r="C1495" s="7" t="s">
        <v>12944</v>
      </c>
      <c r="D1495" s="7" t="s">
        <v>12945</v>
      </c>
      <c r="E1495" s="7" t="s">
        <v>12946</v>
      </c>
      <c r="F1495" s="7" t="s">
        <v>10491</v>
      </c>
      <c r="G1495" s="7" t="s">
        <v>12947</v>
      </c>
      <c r="H1495" s="7" t="s">
        <v>12948</v>
      </c>
      <c r="I1495" s="119">
        <v>45292.0</v>
      </c>
      <c r="K1495" s="7" t="s">
        <v>419</v>
      </c>
      <c r="L1495" s="7" t="s">
        <v>991</v>
      </c>
      <c r="M1495" s="7" t="s">
        <v>3531</v>
      </c>
      <c r="N1495" s="7" t="s">
        <v>4738</v>
      </c>
      <c r="O1495" s="7" t="s">
        <v>4739</v>
      </c>
      <c r="P1495" s="7" t="s">
        <v>3493</v>
      </c>
      <c r="Q1495" s="7">
        <v>1.0</v>
      </c>
    </row>
    <row r="1496">
      <c r="A1496" s="7" t="s">
        <v>12949</v>
      </c>
      <c r="B1496" s="7">
        <v>2300458.0</v>
      </c>
      <c r="C1496" s="7" t="s">
        <v>12950</v>
      </c>
      <c r="D1496" s="7" t="s">
        <v>12951</v>
      </c>
      <c r="E1496" s="7" t="s">
        <v>12952</v>
      </c>
      <c r="F1496" s="7" t="s">
        <v>5475</v>
      </c>
      <c r="G1496" s="7" t="s">
        <v>12953</v>
      </c>
      <c r="H1496" s="7" t="s">
        <v>12954</v>
      </c>
      <c r="I1496" s="119">
        <v>45292.0</v>
      </c>
      <c r="K1496" s="7" t="s">
        <v>419</v>
      </c>
      <c r="L1496" s="7" t="s">
        <v>991</v>
      </c>
      <c r="M1496" s="7" t="s">
        <v>3531</v>
      </c>
      <c r="N1496" s="7" t="s">
        <v>3742</v>
      </c>
      <c r="O1496" s="7" t="s">
        <v>3743</v>
      </c>
      <c r="P1496" s="7" t="s">
        <v>3493</v>
      </c>
      <c r="Q1496" s="7">
        <v>1.0</v>
      </c>
    </row>
    <row r="1497">
      <c r="A1497" s="7" t="s">
        <v>12955</v>
      </c>
      <c r="B1497" s="7">
        <v>2400003.0</v>
      </c>
      <c r="C1497" s="7" t="s">
        <v>12956</v>
      </c>
      <c r="D1497" s="7" t="s">
        <v>8029</v>
      </c>
      <c r="E1497" s="7" t="s">
        <v>12957</v>
      </c>
      <c r="F1497" s="7" t="s">
        <v>4929</v>
      </c>
      <c r="G1497" s="7" t="s">
        <v>12958</v>
      </c>
      <c r="H1497" s="7" t="s">
        <v>12959</v>
      </c>
      <c r="I1497" s="119">
        <v>45292.0</v>
      </c>
      <c r="K1497" s="7" t="s">
        <v>419</v>
      </c>
      <c r="L1497" s="7" t="s">
        <v>991</v>
      </c>
      <c r="M1497" s="7" t="s">
        <v>3501</v>
      </c>
      <c r="N1497" s="7" t="s">
        <v>5304</v>
      </c>
      <c r="O1497" s="7" t="s">
        <v>5305</v>
      </c>
      <c r="P1497" s="7" t="s">
        <v>3522</v>
      </c>
      <c r="Q1497" s="7" t="s">
        <v>3523</v>
      </c>
    </row>
    <row r="1498">
      <c r="A1498" s="7" t="s">
        <v>12960</v>
      </c>
      <c r="B1498" s="7">
        <v>2300159.0</v>
      </c>
      <c r="C1498" s="7" t="s">
        <v>12956</v>
      </c>
      <c r="D1498" s="7" t="s">
        <v>12961</v>
      </c>
      <c r="E1498" s="7" t="s">
        <v>12957</v>
      </c>
      <c r="F1498" s="7" t="s">
        <v>3739</v>
      </c>
      <c r="G1498" s="7" t="s">
        <v>12962</v>
      </c>
      <c r="H1498" s="7" t="s">
        <v>12963</v>
      </c>
      <c r="I1498" s="119">
        <v>45292.0</v>
      </c>
      <c r="K1498" s="7" t="s">
        <v>419</v>
      </c>
      <c r="L1498" s="7" t="s">
        <v>991</v>
      </c>
      <c r="M1498" s="7" t="s">
        <v>3531</v>
      </c>
      <c r="N1498" s="7" t="s">
        <v>4720</v>
      </c>
      <c r="O1498" s="7" t="s">
        <v>4721</v>
      </c>
      <c r="P1498" s="7" t="s">
        <v>3493</v>
      </c>
      <c r="Q1498" s="7">
        <v>1.0</v>
      </c>
    </row>
    <row r="1499">
      <c r="A1499" s="7" t="s">
        <v>12964</v>
      </c>
      <c r="B1499" s="7">
        <v>2100049.0</v>
      </c>
      <c r="C1499" s="7" t="s">
        <v>12965</v>
      </c>
      <c r="D1499" s="7" t="s">
        <v>12199</v>
      </c>
      <c r="E1499" s="7" t="s">
        <v>12966</v>
      </c>
      <c r="F1499" s="7" t="s">
        <v>12201</v>
      </c>
      <c r="G1499" s="7" t="s">
        <v>12967</v>
      </c>
      <c r="H1499" s="7" t="s">
        <v>12968</v>
      </c>
      <c r="I1499" s="119">
        <v>45292.0</v>
      </c>
      <c r="K1499" s="7" t="s">
        <v>419</v>
      </c>
      <c r="L1499" s="7" t="s">
        <v>991</v>
      </c>
      <c r="M1499" s="7" t="s">
        <v>3501</v>
      </c>
      <c r="N1499" s="7" t="s">
        <v>3668</v>
      </c>
      <c r="O1499" s="7" t="s">
        <v>3669</v>
      </c>
      <c r="P1499" s="7" t="s">
        <v>3843</v>
      </c>
      <c r="Q1499" s="7">
        <v>1.0</v>
      </c>
    </row>
    <row r="1500">
      <c r="A1500" s="7" t="s">
        <v>12969</v>
      </c>
      <c r="B1500" s="7">
        <v>11215.0</v>
      </c>
      <c r="C1500" s="7" t="s">
        <v>12965</v>
      </c>
      <c r="D1500" s="7" t="s">
        <v>12194</v>
      </c>
      <c r="E1500" s="7" t="s">
        <v>12966</v>
      </c>
      <c r="F1500" s="7" t="s">
        <v>12970</v>
      </c>
      <c r="G1500" s="7" t="s">
        <v>12971</v>
      </c>
      <c r="H1500" s="7" t="s">
        <v>12972</v>
      </c>
      <c r="I1500" s="119">
        <v>45292.0</v>
      </c>
      <c r="K1500" s="7" t="s">
        <v>3885</v>
      </c>
      <c r="L1500" s="7" t="s">
        <v>3542</v>
      </c>
      <c r="M1500" s="7" t="s">
        <v>3543</v>
      </c>
      <c r="N1500" s="7" t="s">
        <v>5333</v>
      </c>
      <c r="O1500" s="7" t="s">
        <v>5334</v>
      </c>
      <c r="P1500" s="7" t="s">
        <v>3522</v>
      </c>
      <c r="Q1500" s="7" t="s">
        <v>3514</v>
      </c>
    </row>
    <row r="1501">
      <c r="A1501" s="7" t="s">
        <v>12973</v>
      </c>
      <c r="B1501" s="7">
        <v>2300451.0</v>
      </c>
      <c r="C1501" s="7" t="s">
        <v>12965</v>
      </c>
      <c r="D1501" s="7" t="s">
        <v>12130</v>
      </c>
      <c r="E1501" s="7" t="s">
        <v>12966</v>
      </c>
      <c r="F1501" s="7" t="s">
        <v>12031</v>
      </c>
      <c r="G1501" s="7" t="s">
        <v>12974</v>
      </c>
      <c r="H1501" s="7" t="s">
        <v>12975</v>
      </c>
      <c r="I1501" s="119">
        <v>45292.0</v>
      </c>
      <c r="K1501" s="7" t="s">
        <v>419</v>
      </c>
      <c r="L1501" s="7" t="s">
        <v>991</v>
      </c>
      <c r="M1501" s="7" t="s">
        <v>3531</v>
      </c>
      <c r="N1501" s="7" t="s">
        <v>3742</v>
      </c>
      <c r="O1501" s="7" t="s">
        <v>3743</v>
      </c>
      <c r="P1501" s="7" t="s">
        <v>3493</v>
      </c>
      <c r="Q1501" s="7">
        <v>1.0</v>
      </c>
    </row>
    <row r="1502">
      <c r="A1502" s="7" t="s">
        <v>12976</v>
      </c>
      <c r="B1502" s="7">
        <v>2100031.0</v>
      </c>
      <c r="C1502" s="7" t="s">
        <v>12977</v>
      </c>
      <c r="D1502" s="7" t="s">
        <v>4699</v>
      </c>
      <c r="E1502" s="7" t="s">
        <v>12978</v>
      </c>
      <c r="F1502" s="7" t="s">
        <v>4700</v>
      </c>
      <c r="G1502" s="7" t="s">
        <v>12979</v>
      </c>
      <c r="H1502" s="7" t="s">
        <v>12980</v>
      </c>
      <c r="I1502" s="119">
        <v>45292.0</v>
      </c>
      <c r="K1502" s="7" t="s">
        <v>419</v>
      </c>
      <c r="L1502" s="7" t="s">
        <v>991</v>
      </c>
      <c r="M1502" s="7" t="s">
        <v>3531</v>
      </c>
      <c r="N1502" s="7" t="s">
        <v>3996</v>
      </c>
      <c r="O1502" s="7" t="s">
        <v>3997</v>
      </c>
      <c r="P1502" s="7" t="s">
        <v>3493</v>
      </c>
      <c r="Q1502" s="7">
        <v>1.0</v>
      </c>
    </row>
    <row r="1503">
      <c r="A1503" s="7" t="s">
        <v>12981</v>
      </c>
      <c r="B1503" s="7">
        <v>2100691.0</v>
      </c>
      <c r="C1503" s="7" t="s">
        <v>12982</v>
      </c>
      <c r="D1503" s="7" t="s">
        <v>12983</v>
      </c>
      <c r="E1503" s="7" t="s">
        <v>12984</v>
      </c>
      <c r="F1503" s="7" t="s">
        <v>5943</v>
      </c>
      <c r="G1503" s="7" t="s">
        <v>12985</v>
      </c>
      <c r="H1503" s="7" t="s">
        <v>12986</v>
      </c>
      <c r="I1503" s="119">
        <v>45292.0</v>
      </c>
      <c r="K1503" s="7" t="s">
        <v>419</v>
      </c>
      <c r="L1503" s="7" t="s">
        <v>991</v>
      </c>
      <c r="M1503" s="7" t="s">
        <v>3501</v>
      </c>
      <c r="N1503" s="7" t="s">
        <v>12987</v>
      </c>
      <c r="O1503" s="7" t="s">
        <v>12988</v>
      </c>
      <c r="P1503" s="7" t="s">
        <v>3522</v>
      </c>
      <c r="Q1503" s="7" t="s">
        <v>3514</v>
      </c>
    </row>
    <row r="1504">
      <c r="A1504" s="7" t="s">
        <v>12989</v>
      </c>
      <c r="B1504" s="7">
        <v>13679.0</v>
      </c>
      <c r="C1504" s="7" t="s">
        <v>12982</v>
      </c>
      <c r="D1504" s="7" t="s">
        <v>3780</v>
      </c>
      <c r="E1504" s="7" t="s">
        <v>12984</v>
      </c>
      <c r="F1504" s="7" t="s">
        <v>3781</v>
      </c>
      <c r="G1504" s="7" t="s">
        <v>12990</v>
      </c>
      <c r="H1504" s="7" t="s">
        <v>12991</v>
      </c>
      <c r="I1504" s="119">
        <v>45292.0</v>
      </c>
      <c r="K1504" s="7" t="s">
        <v>3632</v>
      </c>
      <c r="L1504" s="7" t="s">
        <v>991</v>
      </c>
      <c r="M1504" s="7" t="s">
        <v>3501</v>
      </c>
      <c r="N1504" s="7" t="s">
        <v>3633</v>
      </c>
      <c r="O1504" s="7" t="s">
        <v>12992</v>
      </c>
      <c r="P1504" s="7" t="s">
        <v>3522</v>
      </c>
      <c r="Q1504" s="7" t="s">
        <v>3523</v>
      </c>
    </row>
    <row r="1505">
      <c r="A1505" s="7" t="s">
        <v>12993</v>
      </c>
      <c r="B1505" s="7">
        <v>2300781.0</v>
      </c>
      <c r="C1505" s="7" t="s">
        <v>12982</v>
      </c>
      <c r="D1505" s="7" t="s">
        <v>12330</v>
      </c>
      <c r="E1505" s="7" t="s">
        <v>12984</v>
      </c>
      <c r="F1505" s="7" t="s">
        <v>12994</v>
      </c>
      <c r="G1505" s="7" t="s">
        <v>12995</v>
      </c>
      <c r="H1505" s="7" t="s">
        <v>12996</v>
      </c>
      <c r="I1505" s="119">
        <v>45292.0</v>
      </c>
      <c r="K1505" s="7" t="s">
        <v>3642</v>
      </c>
      <c r="L1505" s="7" t="s">
        <v>991</v>
      </c>
      <c r="M1505" s="7" t="s">
        <v>3501</v>
      </c>
      <c r="N1505" s="7" t="s">
        <v>3643</v>
      </c>
      <c r="O1505" s="7" t="s">
        <v>3644</v>
      </c>
      <c r="P1505" s="7" t="s">
        <v>3493</v>
      </c>
      <c r="Q1505" s="7">
        <v>1.0</v>
      </c>
    </row>
    <row r="1506">
      <c r="A1506" s="7" t="s">
        <v>12997</v>
      </c>
      <c r="B1506" s="7">
        <v>13244.0</v>
      </c>
      <c r="C1506" s="7" t="s">
        <v>12998</v>
      </c>
      <c r="D1506" s="7" t="s">
        <v>12999</v>
      </c>
      <c r="E1506" s="7" t="s">
        <v>13000</v>
      </c>
      <c r="F1506" s="7" t="s">
        <v>13001</v>
      </c>
      <c r="G1506" s="7" t="s">
        <v>13002</v>
      </c>
      <c r="H1506" s="7" t="s">
        <v>13003</v>
      </c>
      <c r="I1506" s="119">
        <v>45292.0</v>
      </c>
      <c r="K1506" s="7" t="s">
        <v>419</v>
      </c>
      <c r="L1506" s="7" t="s">
        <v>991</v>
      </c>
      <c r="M1506" s="7" t="s">
        <v>3501</v>
      </c>
      <c r="N1506" s="7" t="s">
        <v>13004</v>
      </c>
      <c r="O1506" s="7" t="s">
        <v>13005</v>
      </c>
      <c r="P1506" s="7" t="s">
        <v>3604</v>
      </c>
      <c r="Q1506" s="7">
        <v>1.0</v>
      </c>
    </row>
    <row r="1507">
      <c r="A1507" s="7" t="s">
        <v>13006</v>
      </c>
      <c r="B1507" s="7">
        <v>13602.0</v>
      </c>
      <c r="C1507" s="7" t="s">
        <v>13007</v>
      </c>
      <c r="D1507" s="7" t="s">
        <v>5431</v>
      </c>
      <c r="E1507" s="7" t="s">
        <v>13008</v>
      </c>
      <c r="F1507" s="7" t="s">
        <v>5433</v>
      </c>
      <c r="G1507" s="7" t="s">
        <v>13009</v>
      </c>
      <c r="H1507" s="7" t="s">
        <v>13010</v>
      </c>
      <c r="I1507" s="119">
        <v>45292.0</v>
      </c>
      <c r="K1507" s="7" t="s">
        <v>419</v>
      </c>
      <c r="L1507" s="7" t="s">
        <v>991</v>
      </c>
      <c r="M1507" s="7" t="s">
        <v>3501</v>
      </c>
      <c r="N1507" s="7" t="s">
        <v>12987</v>
      </c>
      <c r="O1507" s="7" t="s">
        <v>13011</v>
      </c>
      <c r="P1507" s="7" t="s">
        <v>3614</v>
      </c>
      <c r="Q1507" s="7" t="s">
        <v>3514</v>
      </c>
    </row>
    <row r="1508">
      <c r="A1508" s="7" t="s">
        <v>13012</v>
      </c>
      <c r="B1508" s="7">
        <v>2400019.0</v>
      </c>
      <c r="C1508" s="7" t="s">
        <v>13013</v>
      </c>
      <c r="D1508" s="7" t="s">
        <v>13014</v>
      </c>
      <c r="E1508" s="7" t="s">
        <v>13015</v>
      </c>
      <c r="F1508" s="7" t="s">
        <v>9490</v>
      </c>
      <c r="G1508" s="7" t="s">
        <v>13016</v>
      </c>
      <c r="H1508" s="7" t="s">
        <v>13017</v>
      </c>
      <c r="I1508" s="119">
        <v>45292.0</v>
      </c>
      <c r="K1508" s="7" t="s">
        <v>419</v>
      </c>
      <c r="L1508" s="7" t="s">
        <v>991</v>
      </c>
      <c r="M1508" s="7" t="s">
        <v>3583</v>
      </c>
      <c r="N1508" s="7" t="s">
        <v>4265</v>
      </c>
      <c r="O1508" s="7" t="s">
        <v>4266</v>
      </c>
      <c r="P1508" s="7" t="s">
        <v>3493</v>
      </c>
      <c r="Q1508" s="7">
        <v>1.0</v>
      </c>
    </row>
    <row r="1509">
      <c r="A1509" s="7" t="s">
        <v>13018</v>
      </c>
      <c r="B1509" s="7">
        <v>11043.0</v>
      </c>
      <c r="C1509" s="7" t="s">
        <v>13019</v>
      </c>
      <c r="D1509" s="7" t="s">
        <v>10171</v>
      </c>
      <c r="E1509" s="7" t="s">
        <v>13020</v>
      </c>
      <c r="F1509" s="7" t="s">
        <v>10171</v>
      </c>
      <c r="G1509" s="7" t="s">
        <v>13021</v>
      </c>
      <c r="H1509" s="7" t="s">
        <v>13022</v>
      </c>
      <c r="I1509" s="119">
        <v>45292.0</v>
      </c>
      <c r="K1509" s="7" t="s">
        <v>419</v>
      </c>
      <c r="L1509" s="7" t="s">
        <v>991</v>
      </c>
      <c r="M1509" s="7" t="s">
        <v>3501</v>
      </c>
      <c r="N1509" s="7" t="s">
        <v>4954</v>
      </c>
      <c r="O1509" s="7" t="s">
        <v>4955</v>
      </c>
      <c r="P1509" s="7" t="s">
        <v>3493</v>
      </c>
      <c r="Q1509" s="7">
        <v>1.0</v>
      </c>
    </row>
    <row r="1510">
      <c r="A1510" s="7" t="s">
        <v>13023</v>
      </c>
      <c r="B1510" s="7">
        <v>13303.0</v>
      </c>
      <c r="C1510" s="7" t="s">
        <v>13024</v>
      </c>
      <c r="D1510" s="7" t="s">
        <v>13025</v>
      </c>
      <c r="E1510" s="7" t="s">
        <v>13026</v>
      </c>
      <c r="F1510" s="7" t="s">
        <v>13027</v>
      </c>
      <c r="G1510" s="7" t="s">
        <v>13028</v>
      </c>
      <c r="H1510" s="7" t="s">
        <v>13029</v>
      </c>
      <c r="I1510" s="119">
        <v>45292.0</v>
      </c>
      <c r="K1510" s="7" t="s">
        <v>419</v>
      </c>
      <c r="L1510" s="7" t="s">
        <v>991</v>
      </c>
      <c r="M1510" s="7" t="s">
        <v>3531</v>
      </c>
      <c r="N1510" s="7" t="s">
        <v>4810</v>
      </c>
      <c r="O1510" s="7" t="s">
        <v>4811</v>
      </c>
      <c r="P1510" s="7" t="s">
        <v>3493</v>
      </c>
      <c r="Q1510" s="7">
        <v>1.0</v>
      </c>
    </row>
    <row r="1511">
      <c r="A1511" s="7" t="s">
        <v>13030</v>
      </c>
      <c r="B1511" s="7">
        <v>12701.0</v>
      </c>
      <c r="C1511" s="7" t="s">
        <v>13031</v>
      </c>
      <c r="D1511" s="7" t="s">
        <v>13032</v>
      </c>
      <c r="E1511" s="7" t="s">
        <v>13033</v>
      </c>
      <c r="F1511" s="7" t="s">
        <v>4751</v>
      </c>
      <c r="G1511" s="7" t="s">
        <v>13034</v>
      </c>
      <c r="H1511" s="7" t="s">
        <v>13035</v>
      </c>
      <c r="I1511" s="119">
        <v>45292.0</v>
      </c>
      <c r="K1511" s="7" t="s">
        <v>419</v>
      </c>
      <c r="L1511" s="7" t="s">
        <v>991</v>
      </c>
      <c r="M1511" s="7" t="s">
        <v>3501</v>
      </c>
      <c r="N1511" s="7" t="s">
        <v>6980</v>
      </c>
      <c r="O1511" s="7" t="s">
        <v>6981</v>
      </c>
      <c r="P1511" s="7" t="s">
        <v>3493</v>
      </c>
      <c r="Q1511" s="7">
        <v>1.0</v>
      </c>
    </row>
    <row r="1512">
      <c r="A1512" s="7" t="s">
        <v>13036</v>
      </c>
      <c r="B1512" s="7">
        <v>2100132.0</v>
      </c>
      <c r="C1512" s="7" t="s">
        <v>13037</v>
      </c>
      <c r="D1512" s="7" t="s">
        <v>13038</v>
      </c>
      <c r="E1512" s="7" t="s">
        <v>13039</v>
      </c>
      <c r="F1512" s="7" t="s">
        <v>3806</v>
      </c>
      <c r="G1512" s="7" t="s">
        <v>13040</v>
      </c>
      <c r="H1512" s="7" t="s">
        <v>13041</v>
      </c>
      <c r="I1512" s="119">
        <v>45292.0</v>
      </c>
      <c r="K1512" s="7" t="s">
        <v>419</v>
      </c>
      <c r="L1512" s="7" t="s">
        <v>991</v>
      </c>
      <c r="M1512" s="7" t="s">
        <v>3501</v>
      </c>
      <c r="N1512" s="7" t="s">
        <v>3877</v>
      </c>
      <c r="O1512" s="7" t="s">
        <v>3878</v>
      </c>
      <c r="P1512" s="7" t="s">
        <v>3493</v>
      </c>
      <c r="Q1512" s="7">
        <v>1.0</v>
      </c>
    </row>
    <row r="1513">
      <c r="A1513" s="7" t="s">
        <v>13042</v>
      </c>
      <c r="B1513" s="7">
        <v>13504.0</v>
      </c>
      <c r="C1513" s="7" t="s">
        <v>13043</v>
      </c>
      <c r="D1513" s="7" t="s">
        <v>13044</v>
      </c>
      <c r="E1513" s="7" t="s">
        <v>13045</v>
      </c>
      <c r="F1513" s="7" t="s">
        <v>4213</v>
      </c>
      <c r="G1513" s="7" t="s">
        <v>13046</v>
      </c>
      <c r="H1513" s="7" t="s">
        <v>13047</v>
      </c>
      <c r="I1513" s="119">
        <v>45292.0</v>
      </c>
      <c r="K1513" s="7" t="s">
        <v>419</v>
      </c>
      <c r="L1513" s="7" t="s">
        <v>991</v>
      </c>
      <c r="M1513" s="7" t="s">
        <v>3501</v>
      </c>
      <c r="N1513" s="7" t="s">
        <v>13048</v>
      </c>
      <c r="O1513" s="7" t="s">
        <v>13049</v>
      </c>
      <c r="P1513" s="7" t="s">
        <v>3604</v>
      </c>
      <c r="Q1513" s="7">
        <v>1.0</v>
      </c>
    </row>
    <row r="1514">
      <c r="A1514" s="7" t="s">
        <v>13050</v>
      </c>
      <c r="B1514" s="7">
        <v>2300156.0</v>
      </c>
      <c r="C1514" s="7" t="s">
        <v>13051</v>
      </c>
      <c r="D1514" s="7" t="s">
        <v>13052</v>
      </c>
      <c r="E1514" s="7" t="s">
        <v>7600</v>
      </c>
      <c r="F1514" s="7" t="s">
        <v>8119</v>
      </c>
      <c r="G1514" s="7" t="s">
        <v>13053</v>
      </c>
      <c r="H1514" s="7" t="s">
        <v>13054</v>
      </c>
      <c r="I1514" s="119">
        <v>45292.0</v>
      </c>
      <c r="K1514" s="7" t="s">
        <v>419</v>
      </c>
      <c r="L1514" s="7" t="s">
        <v>991</v>
      </c>
      <c r="M1514" s="7" t="s">
        <v>3501</v>
      </c>
      <c r="N1514" s="7" t="s">
        <v>6473</v>
      </c>
      <c r="O1514" s="7" t="s">
        <v>6474</v>
      </c>
      <c r="P1514" s="7" t="s">
        <v>3493</v>
      </c>
      <c r="Q1514" s="7">
        <v>1.0</v>
      </c>
    </row>
    <row r="1515">
      <c r="A1515" s="7" t="s">
        <v>13055</v>
      </c>
      <c r="B1515" s="7">
        <v>10539.0</v>
      </c>
      <c r="C1515" s="7" t="s">
        <v>13056</v>
      </c>
      <c r="D1515" s="7" t="s">
        <v>13057</v>
      </c>
      <c r="E1515" s="7" t="s">
        <v>13058</v>
      </c>
      <c r="F1515" s="7" t="s">
        <v>13059</v>
      </c>
      <c r="G1515" s="7" t="s">
        <v>13060</v>
      </c>
      <c r="H1515" s="7" t="s">
        <v>13061</v>
      </c>
      <c r="I1515" s="119">
        <v>45292.0</v>
      </c>
      <c r="K1515" s="7" t="s">
        <v>6681</v>
      </c>
      <c r="L1515" s="7" t="s">
        <v>3542</v>
      </c>
      <c r="M1515" s="7" t="s">
        <v>4383</v>
      </c>
      <c r="N1515" s="7" t="s">
        <v>8518</v>
      </c>
      <c r="O1515" s="7" t="s">
        <v>13062</v>
      </c>
      <c r="P1515" s="7" t="s">
        <v>4551</v>
      </c>
      <c r="Q1515" s="7" t="s">
        <v>13063</v>
      </c>
    </row>
    <row r="1516">
      <c r="A1516" s="7" t="s">
        <v>13064</v>
      </c>
      <c r="B1516" s="7">
        <v>10775.0</v>
      </c>
      <c r="C1516" s="7" t="s">
        <v>13065</v>
      </c>
      <c r="D1516" s="7" t="s">
        <v>13066</v>
      </c>
      <c r="E1516" s="7" t="s">
        <v>13067</v>
      </c>
      <c r="F1516" s="7" t="s">
        <v>13068</v>
      </c>
      <c r="G1516" s="7" t="s">
        <v>13069</v>
      </c>
      <c r="H1516" s="7" t="s">
        <v>13070</v>
      </c>
      <c r="I1516" s="119">
        <v>45292.0</v>
      </c>
      <c r="K1516" s="7" t="s">
        <v>419</v>
      </c>
      <c r="L1516" s="7" t="s">
        <v>991</v>
      </c>
      <c r="M1516" s="7" t="s">
        <v>3501</v>
      </c>
      <c r="N1516" s="7" t="s">
        <v>13071</v>
      </c>
      <c r="O1516" s="7" t="s">
        <v>13072</v>
      </c>
      <c r="P1516" s="7" t="s">
        <v>8086</v>
      </c>
      <c r="Q1516" s="7" t="s">
        <v>4973</v>
      </c>
    </row>
    <row r="1517">
      <c r="A1517" s="7" t="s">
        <v>13073</v>
      </c>
      <c r="B1517" s="7">
        <v>439.0</v>
      </c>
      <c r="C1517" s="7" t="s">
        <v>13074</v>
      </c>
      <c r="D1517" s="7" t="s">
        <v>13075</v>
      </c>
      <c r="E1517" s="7" t="s">
        <v>13076</v>
      </c>
      <c r="F1517" s="7" t="s">
        <v>4194</v>
      </c>
      <c r="G1517" s="7" t="s">
        <v>13077</v>
      </c>
      <c r="H1517" s="7" t="s">
        <v>13078</v>
      </c>
      <c r="I1517" s="119">
        <v>45292.0</v>
      </c>
      <c r="K1517" s="7" t="s">
        <v>419</v>
      </c>
      <c r="L1517" s="7" t="s">
        <v>991</v>
      </c>
      <c r="M1517" s="7" t="s">
        <v>3501</v>
      </c>
      <c r="N1517" s="7" t="s">
        <v>5026</v>
      </c>
      <c r="O1517" s="7" t="s">
        <v>5027</v>
      </c>
      <c r="P1517" s="7" t="s">
        <v>3843</v>
      </c>
      <c r="Q1517" s="7">
        <v>1.0</v>
      </c>
    </row>
    <row r="1518">
      <c r="A1518" s="7" t="s">
        <v>13079</v>
      </c>
      <c r="B1518" s="7">
        <v>13511.0</v>
      </c>
      <c r="C1518" s="7" t="s">
        <v>13080</v>
      </c>
      <c r="D1518" s="7" t="s">
        <v>13081</v>
      </c>
      <c r="E1518" s="7" t="s">
        <v>13082</v>
      </c>
      <c r="F1518" s="7" t="s">
        <v>8682</v>
      </c>
      <c r="G1518" s="7" t="s">
        <v>13083</v>
      </c>
      <c r="H1518" s="7" t="s">
        <v>13084</v>
      </c>
      <c r="I1518" s="119">
        <v>45292.0</v>
      </c>
      <c r="K1518" s="7" t="s">
        <v>419</v>
      </c>
      <c r="L1518" s="7" t="s">
        <v>991</v>
      </c>
      <c r="M1518" s="7" t="s">
        <v>3501</v>
      </c>
      <c r="N1518" s="7" t="s">
        <v>4120</v>
      </c>
      <c r="O1518" s="7" t="s">
        <v>4121</v>
      </c>
      <c r="P1518" s="7" t="s">
        <v>3493</v>
      </c>
      <c r="Q1518" s="7">
        <v>1.0</v>
      </c>
    </row>
    <row r="1519">
      <c r="A1519" s="7" t="s">
        <v>13085</v>
      </c>
      <c r="B1519" s="7">
        <v>2300656.0</v>
      </c>
      <c r="C1519" s="7" t="s">
        <v>13086</v>
      </c>
      <c r="D1519" s="7" t="s">
        <v>10344</v>
      </c>
      <c r="E1519" s="7" t="s">
        <v>13087</v>
      </c>
      <c r="F1519" s="7" t="s">
        <v>3549</v>
      </c>
      <c r="G1519" s="7" t="s">
        <v>13088</v>
      </c>
      <c r="I1519" s="119">
        <v>45292.0</v>
      </c>
      <c r="K1519" s="7" t="s">
        <v>419</v>
      </c>
      <c r="L1519" s="7" t="s">
        <v>991</v>
      </c>
      <c r="M1519" s="7" t="s">
        <v>3531</v>
      </c>
      <c r="N1519" s="7" t="s">
        <v>5197</v>
      </c>
      <c r="O1519" s="7" t="s">
        <v>5198</v>
      </c>
      <c r="P1519" s="7" t="s">
        <v>3493</v>
      </c>
      <c r="Q1519" s="7">
        <v>1.0</v>
      </c>
    </row>
    <row r="1520">
      <c r="A1520" s="7" t="s">
        <v>13089</v>
      </c>
      <c r="B1520" s="7">
        <v>2200247.0</v>
      </c>
      <c r="C1520" s="7" t="s">
        <v>13086</v>
      </c>
      <c r="D1520" s="7" t="s">
        <v>13090</v>
      </c>
      <c r="E1520" s="7" t="s">
        <v>13087</v>
      </c>
      <c r="F1520" s="7" t="s">
        <v>13090</v>
      </c>
      <c r="G1520" s="7" t="s">
        <v>13091</v>
      </c>
      <c r="H1520" s="7" t="s">
        <v>13092</v>
      </c>
      <c r="I1520" s="119">
        <v>45292.0</v>
      </c>
      <c r="K1520" s="7" t="s">
        <v>419</v>
      </c>
      <c r="L1520" s="7" t="s">
        <v>991</v>
      </c>
      <c r="M1520" s="7" t="s">
        <v>3501</v>
      </c>
      <c r="N1520" s="7" t="s">
        <v>5500</v>
      </c>
      <c r="O1520" s="7" t="s">
        <v>13093</v>
      </c>
      <c r="P1520" s="7" t="s">
        <v>3522</v>
      </c>
      <c r="Q1520" s="7" t="s">
        <v>3523</v>
      </c>
    </row>
    <row r="1521">
      <c r="A1521" s="7" t="s">
        <v>13094</v>
      </c>
      <c r="B1521" s="7">
        <v>2300453.0</v>
      </c>
      <c r="C1521" s="7" t="s">
        <v>13095</v>
      </c>
      <c r="D1521" s="7" t="s">
        <v>13096</v>
      </c>
      <c r="E1521" s="7" t="s">
        <v>13097</v>
      </c>
      <c r="F1521" s="7" t="s">
        <v>13098</v>
      </c>
      <c r="G1521" s="7" t="s">
        <v>13099</v>
      </c>
      <c r="H1521" s="7" t="s">
        <v>13100</v>
      </c>
      <c r="I1521" s="119">
        <v>45292.0</v>
      </c>
      <c r="K1521" s="7" t="s">
        <v>419</v>
      </c>
      <c r="L1521" s="7" t="s">
        <v>991</v>
      </c>
      <c r="M1521" s="7" t="s">
        <v>3531</v>
      </c>
      <c r="N1521" s="7" t="s">
        <v>3742</v>
      </c>
      <c r="O1521" s="7" t="s">
        <v>3743</v>
      </c>
      <c r="P1521" s="7" t="s">
        <v>3493</v>
      </c>
      <c r="Q1521" s="7">
        <v>1.0</v>
      </c>
    </row>
    <row r="1522">
      <c r="A1522" s="7" t="s">
        <v>13101</v>
      </c>
      <c r="B1522" s="7">
        <v>2400231.0</v>
      </c>
      <c r="C1522" s="7" t="s">
        <v>13095</v>
      </c>
      <c r="D1522" s="7" t="s">
        <v>10076</v>
      </c>
      <c r="E1522" s="7" t="s">
        <v>13097</v>
      </c>
      <c r="F1522" s="7" t="s">
        <v>6811</v>
      </c>
      <c r="G1522" s="7" t="s">
        <v>13102</v>
      </c>
      <c r="H1522" s="7" t="s">
        <v>13103</v>
      </c>
      <c r="I1522" s="119">
        <v>45383.0</v>
      </c>
      <c r="K1522" s="7" t="s">
        <v>419</v>
      </c>
      <c r="L1522" s="7" t="s">
        <v>991</v>
      </c>
      <c r="M1522" s="7" t="s">
        <v>3501</v>
      </c>
      <c r="N1522" s="7" t="s">
        <v>8390</v>
      </c>
      <c r="O1522" s="7" t="s">
        <v>8391</v>
      </c>
      <c r="P1522" s="7" t="s">
        <v>3493</v>
      </c>
      <c r="Q1522" s="7">
        <v>1.0</v>
      </c>
    </row>
    <row r="1523">
      <c r="A1523" s="7" t="s">
        <v>13104</v>
      </c>
      <c r="B1523" s="7">
        <v>2200145.0</v>
      </c>
      <c r="C1523" s="7" t="s">
        <v>13105</v>
      </c>
      <c r="D1523" s="7" t="s">
        <v>13106</v>
      </c>
      <c r="E1523" s="7" t="s">
        <v>13107</v>
      </c>
      <c r="F1523" s="7" t="s">
        <v>13108</v>
      </c>
      <c r="G1523" s="7" t="s">
        <v>13109</v>
      </c>
      <c r="H1523" s="7" t="s">
        <v>13110</v>
      </c>
      <c r="I1523" s="119">
        <v>45292.0</v>
      </c>
      <c r="K1523" s="7" t="s">
        <v>419</v>
      </c>
      <c r="L1523" s="7" t="s">
        <v>991</v>
      </c>
      <c r="M1523" s="7" t="s">
        <v>3501</v>
      </c>
      <c r="N1523" s="7" t="s">
        <v>5823</v>
      </c>
      <c r="O1523" s="7" t="s">
        <v>13111</v>
      </c>
      <c r="P1523" s="7" t="s">
        <v>3493</v>
      </c>
      <c r="Q1523" s="7">
        <v>1.0</v>
      </c>
    </row>
    <row r="1524">
      <c r="A1524" s="7" t="s">
        <v>13112</v>
      </c>
      <c r="B1524" s="7">
        <v>2300226.0</v>
      </c>
      <c r="C1524" s="7" t="s">
        <v>13113</v>
      </c>
      <c r="D1524" s="7" t="s">
        <v>13114</v>
      </c>
      <c r="E1524" s="7" t="s">
        <v>13115</v>
      </c>
      <c r="F1524" s="7" t="s">
        <v>13116</v>
      </c>
      <c r="G1524" s="7" t="s">
        <v>13117</v>
      </c>
      <c r="H1524" s="7" t="s">
        <v>13118</v>
      </c>
      <c r="I1524" s="119">
        <v>45292.0</v>
      </c>
      <c r="K1524" s="7" t="s">
        <v>3632</v>
      </c>
      <c r="L1524" s="7" t="s">
        <v>991</v>
      </c>
      <c r="M1524" s="7" t="s">
        <v>3501</v>
      </c>
      <c r="N1524" s="7" t="s">
        <v>8574</v>
      </c>
      <c r="O1524" s="7" t="s">
        <v>8575</v>
      </c>
      <c r="P1524" s="7" t="s">
        <v>3522</v>
      </c>
      <c r="Q1524" s="7" t="s">
        <v>3523</v>
      </c>
    </row>
    <row r="1525">
      <c r="A1525" s="7" t="s">
        <v>13119</v>
      </c>
      <c r="B1525" s="7">
        <v>2300474.0</v>
      </c>
      <c r="C1525" s="7" t="s">
        <v>13120</v>
      </c>
      <c r="D1525" s="7" t="s">
        <v>13121</v>
      </c>
      <c r="E1525" s="7" t="s">
        <v>13122</v>
      </c>
      <c r="F1525" s="7" t="s">
        <v>13123</v>
      </c>
      <c r="G1525" s="7" t="s">
        <v>13124</v>
      </c>
      <c r="H1525" s="7" t="s">
        <v>13125</v>
      </c>
      <c r="I1525" s="119">
        <v>45292.0</v>
      </c>
      <c r="K1525" s="7" t="s">
        <v>3632</v>
      </c>
      <c r="L1525" s="7" t="s">
        <v>991</v>
      </c>
      <c r="M1525" s="7" t="s">
        <v>3501</v>
      </c>
      <c r="N1525" s="7" t="s">
        <v>5931</v>
      </c>
      <c r="O1525" s="7" t="s">
        <v>5932</v>
      </c>
      <c r="P1525" s="7" t="s">
        <v>3522</v>
      </c>
      <c r="Q1525" s="7" t="s">
        <v>3523</v>
      </c>
    </row>
    <row r="1526">
      <c r="A1526" s="7" t="s">
        <v>13126</v>
      </c>
      <c r="B1526" s="7">
        <v>2300726.0</v>
      </c>
      <c r="C1526" s="7" t="s">
        <v>13127</v>
      </c>
      <c r="D1526" s="7" t="s">
        <v>13128</v>
      </c>
      <c r="E1526" s="7" t="s">
        <v>13129</v>
      </c>
      <c r="F1526" s="7" t="s">
        <v>3909</v>
      </c>
      <c r="G1526" s="7" t="s">
        <v>13130</v>
      </c>
      <c r="H1526" s="7" t="s">
        <v>13131</v>
      </c>
      <c r="I1526" s="119">
        <v>45292.0</v>
      </c>
      <c r="K1526" s="7" t="s">
        <v>419</v>
      </c>
      <c r="L1526" s="7" t="s">
        <v>991</v>
      </c>
      <c r="M1526" s="7" t="s">
        <v>3501</v>
      </c>
      <c r="N1526" s="7" t="s">
        <v>7131</v>
      </c>
      <c r="O1526" s="7" t="s">
        <v>7132</v>
      </c>
      <c r="P1526" s="7" t="s">
        <v>3493</v>
      </c>
      <c r="Q1526" s="7">
        <v>1.0</v>
      </c>
    </row>
    <row r="1527">
      <c r="A1527" s="7" t="s">
        <v>13132</v>
      </c>
      <c r="B1527" s="7">
        <v>2200596.0</v>
      </c>
      <c r="C1527" s="7" t="s">
        <v>13133</v>
      </c>
      <c r="D1527" s="7" t="s">
        <v>13134</v>
      </c>
      <c r="E1527" s="7" t="s">
        <v>13135</v>
      </c>
      <c r="F1527" s="7" t="s">
        <v>13136</v>
      </c>
      <c r="G1527" s="7" t="s">
        <v>13137</v>
      </c>
      <c r="H1527" s="7" t="s">
        <v>13138</v>
      </c>
      <c r="I1527" s="119">
        <v>45292.0</v>
      </c>
      <c r="K1527" s="7" t="s">
        <v>3622</v>
      </c>
      <c r="L1527" s="7" t="s">
        <v>991</v>
      </c>
      <c r="M1527" s="7" t="s">
        <v>3531</v>
      </c>
      <c r="N1527" s="7" t="s">
        <v>3623</v>
      </c>
      <c r="O1527" s="7" t="s">
        <v>3624</v>
      </c>
      <c r="P1527" s="7" t="s">
        <v>3493</v>
      </c>
      <c r="Q1527" s="7">
        <v>1.0</v>
      </c>
    </row>
    <row r="1528">
      <c r="A1528" s="7" t="s">
        <v>13139</v>
      </c>
      <c r="B1528" s="7">
        <v>2200506.0</v>
      </c>
      <c r="C1528" s="7" t="s">
        <v>13140</v>
      </c>
      <c r="D1528" s="7" t="s">
        <v>7586</v>
      </c>
      <c r="E1528" s="7" t="s">
        <v>13141</v>
      </c>
      <c r="F1528" s="7" t="s">
        <v>5426</v>
      </c>
      <c r="G1528" s="7" t="s">
        <v>13142</v>
      </c>
      <c r="H1528" s="7" t="s">
        <v>13143</v>
      </c>
      <c r="I1528" s="119">
        <v>45292.0</v>
      </c>
      <c r="K1528" s="7" t="s">
        <v>419</v>
      </c>
      <c r="L1528" s="7" t="s">
        <v>991</v>
      </c>
      <c r="M1528" s="7" t="s">
        <v>3531</v>
      </c>
      <c r="N1528" s="7" t="s">
        <v>8264</v>
      </c>
      <c r="O1528" s="7" t="s">
        <v>8265</v>
      </c>
      <c r="P1528" s="7" t="s">
        <v>3493</v>
      </c>
      <c r="Q1528" s="7">
        <v>1.0</v>
      </c>
    </row>
    <row r="1529">
      <c r="A1529" s="7" t="s">
        <v>13144</v>
      </c>
      <c r="B1529" s="7">
        <v>2200397.0</v>
      </c>
      <c r="C1529" s="7" t="s">
        <v>13140</v>
      </c>
      <c r="D1529" s="7" t="s">
        <v>5269</v>
      </c>
      <c r="E1529" s="7" t="s">
        <v>13141</v>
      </c>
      <c r="F1529" s="7" t="s">
        <v>3889</v>
      </c>
      <c r="G1529" s="7" t="s">
        <v>13145</v>
      </c>
      <c r="H1529" s="7" t="s">
        <v>13146</v>
      </c>
      <c r="I1529" s="119">
        <v>45292.0</v>
      </c>
      <c r="K1529" s="7" t="s">
        <v>419</v>
      </c>
      <c r="L1529" s="7" t="s">
        <v>991</v>
      </c>
      <c r="M1529" s="7" t="s">
        <v>3501</v>
      </c>
      <c r="N1529" s="7" t="s">
        <v>8039</v>
      </c>
      <c r="O1529" s="7" t="s">
        <v>13147</v>
      </c>
      <c r="P1529" s="7" t="s">
        <v>3785</v>
      </c>
      <c r="Q1529" s="7" t="s">
        <v>3523</v>
      </c>
    </row>
    <row r="1530">
      <c r="A1530" s="7" t="s">
        <v>13148</v>
      </c>
      <c r="B1530" s="7">
        <v>12976.0</v>
      </c>
      <c r="C1530" s="7" t="s">
        <v>13140</v>
      </c>
      <c r="D1530" s="7" t="s">
        <v>13149</v>
      </c>
      <c r="E1530" s="7" t="s">
        <v>13141</v>
      </c>
      <c r="F1530" s="7" t="s">
        <v>6301</v>
      </c>
      <c r="G1530" s="7" t="s">
        <v>13150</v>
      </c>
      <c r="H1530" s="7" t="s">
        <v>13151</v>
      </c>
      <c r="I1530" s="119">
        <v>45292.0</v>
      </c>
      <c r="K1530" s="7" t="s">
        <v>419</v>
      </c>
      <c r="L1530" s="7" t="s">
        <v>991</v>
      </c>
      <c r="M1530" s="7" t="s">
        <v>3501</v>
      </c>
      <c r="N1530" s="7" t="s">
        <v>9837</v>
      </c>
      <c r="O1530" s="7" t="s">
        <v>9838</v>
      </c>
      <c r="P1530" s="7" t="s">
        <v>3522</v>
      </c>
      <c r="Q1530" s="7" t="s">
        <v>3523</v>
      </c>
    </row>
    <row r="1531">
      <c r="A1531" s="7" t="s">
        <v>13152</v>
      </c>
      <c r="B1531" s="7">
        <v>12382.0</v>
      </c>
      <c r="C1531" s="7" t="s">
        <v>13153</v>
      </c>
      <c r="D1531" s="7" t="s">
        <v>8598</v>
      </c>
      <c r="E1531" s="7" t="s">
        <v>13141</v>
      </c>
      <c r="F1531" s="7" t="s">
        <v>4598</v>
      </c>
      <c r="G1531" s="7" t="s">
        <v>13154</v>
      </c>
      <c r="H1531" s="7" t="s">
        <v>13155</v>
      </c>
      <c r="I1531" s="119">
        <v>45292.0</v>
      </c>
      <c r="K1531" s="7" t="s">
        <v>419</v>
      </c>
      <c r="L1531" s="7" t="s">
        <v>991</v>
      </c>
      <c r="M1531" s="7" t="s">
        <v>3531</v>
      </c>
      <c r="N1531" s="7" t="s">
        <v>7536</v>
      </c>
      <c r="O1531" s="7" t="s">
        <v>7537</v>
      </c>
      <c r="P1531" s="7" t="s">
        <v>3493</v>
      </c>
      <c r="Q1531" s="7">
        <v>1.0</v>
      </c>
    </row>
    <row r="1532">
      <c r="A1532" s="7" t="s">
        <v>13156</v>
      </c>
      <c r="B1532" s="7">
        <v>2100250.0</v>
      </c>
      <c r="C1532" s="7" t="s">
        <v>13157</v>
      </c>
      <c r="D1532" s="7" t="s">
        <v>13158</v>
      </c>
      <c r="E1532" s="7" t="s">
        <v>13159</v>
      </c>
      <c r="F1532" s="7" t="s">
        <v>10938</v>
      </c>
      <c r="G1532" s="7" t="s">
        <v>13160</v>
      </c>
      <c r="H1532" s="7" t="s">
        <v>13161</v>
      </c>
      <c r="I1532" s="119">
        <v>45292.0</v>
      </c>
      <c r="K1532" s="7" t="s">
        <v>419</v>
      </c>
      <c r="L1532" s="7" t="s">
        <v>991</v>
      </c>
      <c r="M1532" s="7" t="s">
        <v>3531</v>
      </c>
      <c r="N1532" s="7" t="s">
        <v>7373</v>
      </c>
      <c r="O1532" s="7" t="s">
        <v>7374</v>
      </c>
      <c r="P1532" s="7" t="s">
        <v>3493</v>
      </c>
      <c r="Q1532" s="7">
        <v>1.0</v>
      </c>
    </row>
    <row r="1533">
      <c r="A1533" s="7" t="s">
        <v>13162</v>
      </c>
      <c r="B1533" s="7">
        <v>2300361.0</v>
      </c>
      <c r="C1533" s="7" t="s">
        <v>13157</v>
      </c>
      <c r="D1533" s="7" t="s">
        <v>13163</v>
      </c>
      <c r="E1533" s="7" t="s">
        <v>13159</v>
      </c>
      <c r="F1533" s="7" t="s">
        <v>4561</v>
      </c>
      <c r="G1533" s="7" t="s">
        <v>13164</v>
      </c>
      <c r="H1533" s="7" t="s">
        <v>13165</v>
      </c>
      <c r="I1533" s="119">
        <v>45292.0</v>
      </c>
      <c r="K1533" s="7" t="s">
        <v>419</v>
      </c>
      <c r="L1533" s="7" t="s">
        <v>991</v>
      </c>
      <c r="M1533" s="7" t="s">
        <v>3531</v>
      </c>
      <c r="N1533" s="7" t="s">
        <v>5875</v>
      </c>
      <c r="O1533" s="7" t="s">
        <v>5876</v>
      </c>
      <c r="P1533" s="7" t="s">
        <v>3493</v>
      </c>
      <c r="Q1533" s="7">
        <v>1.0</v>
      </c>
    </row>
    <row r="1534">
      <c r="A1534" s="7" t="s">
        <v>13166</v>
      </c>
      <c r="B1534" s="7">
        <v>10475.0</v>
      </c>
      <c r="C1534" s="7" t="s">
        <v>13157</v>
      </c>
      <c r="D1534" s="7" t="s">
        <v>13167</v>
      </c>
      <c r="E1534" s="7" t="s">
        <v>13159</v>
      </c>
      <c r="F1534" s="7" t="s">
        <v>3517</v>
      </c>
      <c r="G1534" s="7" t="s">
        <v>13168</v>
      </c>
      <c r="H1534" s="7" t="s">
        <v>13169</v>
      </c>
      <c r="I1534" s="119">
        <v>45292.0</v>
      </c>
      <c r="K1534" s="7" t="s">
        <v>419</v>
      </c>
      <c r="L1534" s="7" t="s">
        <v>991</v>
      </c>
      <c r="M1534" s="7" t="s">
        <v>3501</v>
      </c>
      <c r="N1534" s="7" t="s">
        <v>4256</v>
      </c>
      <c r="O1534" s="7" t="s">
        <v>4257</v>
      </c>
      <c r="P1534" s="7" t="s">
        <v>3843</v>
      </c>
      <c r="Q1534" s="7">
        <v>1.0</v>
      </c>
    </row>
    <row r="1535">
      <c r="A1535" s="7" t="s">
        <v>13170</v>
      </c>
      <c r="B1535" s="7">
        <v>2100685.0</v>
      </c>
      <c r="C1535" s="7" t="s">
        <v>13171</v>
      </c>
      <c r="D1535" s="7" t="s">
        <v>13172</v>
      </c>
      <c r="E1535" s="7" t="s">
        <v>13173</v>
      </c>
      <c r="F1535" s="7" t="s">
        <v>13174</v>
      </c>
      <c r="G1535" s="7" t="s">
        <v>13175</v>
      </c>
      <c r="H1535" s="7" t="s">
        <v>13176</v>
      </c>
      <c r="I1535" s="119">
        <v>45292.0</v>
      </c>
      <c r="K1535" s="7" t="s">
        <v>419</v>
      </c>
      <c r="L1535" s="7" t="s">
        <v>991</v>
      </c>
      <c r="M1535" s="7" t="s">
        <v>3501</v>
      </c>
      <c r="N1535" s="7" t="s">
        <v>4834</v>
      </c>
      <c r="O1535" s="7" t="s">
        <v>4835</v>
      </c>
      <c r="P1535" s="7" t="s">
        <v>3493</v>
      </c>
      <c r="Q1535" s="7">
        <v>1.0</v>
      </c>
    </row>
    <row r="1536">
      <c r="A1536" s="7" t="s">
        <v>13177</v>
      </c>
      <c r="B1536" s="7">
        <v>2400242.0</v>
      </c>
      <c r="C1536" s="7" t="s">
        <v>13171</v>
      </c>
      <c r="D1536" s="7" t="s">
        <v>13178</v>
      </c>
      <c r="E1536" s="7" t="s">
        <v>13173</v>
      </c>
      <c r="F1536" s="7" t="s">
        <v>4321</v>
      </c>
      <c r="G1536" s="7" t="s">
        <v>13179</v>
      </c>
      <c r="H1536" s="7" t="s">
        <v>13180</v>
      </c>
      <c r="I1536" s="119">
        <v>45383.0</v>
      </c>
      <c r="K1536" s="7" t="s">
        <v>419</v>
      </c>
      <c r="L1536" s="7" t="s">
        <v>991</v>
      </c>
      <c r="M1536" s="7" t="s">
        <v>3501</v>
      </c>
      <c r="N1536" s="7" t="s">
        <v>8550</v>
      </c>
      <c r="O1536" s="7" t="s">
        <v>8551</v>
      </c>
      <c r="P1536" s="7" t="s">
        <v>3493</v>
      </c>
      <c r="Q1536" s="7">
        <v>1.0</v>
      </c>
    </row>
    <row r="1537">
      <c r="A1537" s="7" t="s">
        <v>13181</v>
      </c>
      <c r="B1537" s="7">
        <v>2100580.0</v>
      </c>
      <c r="C1537" s="7" t="s">
        <v>13182</v>
      </c>
      <c r="D1537" s="7" t="s">
        <v>13183</v>
      </c>
      <c r="E1537" s="7" t="s">
        <v>13184</v>
      </c>
      <c r="F1537" s="7" t="s">
        <v>11599</v>
      </c>
      <c r="G1537" s="7" t="s">
        <v>13185</v>
      </c>
      <c r="H1537" s="7" t="s">
        <v>13186</v>
      </c>
      <c r="I1537" s="119">
        <v>45292.0</v>
      </c>
      <c r="K1537" s="7" t="s">
        <v>419</v>
      </c>
      <c r="L1537" s="7" t="s">
        <v>991</v>
      </c>
      <c r="M1537" s="7" t="s">
        <v>3501</v>
      </c>
      <c r="N1537" s="7" t="s">
        <v>4660</v>
      </c>
      <c r="O1537" s="7" t="s">
        <v>4661</v>
      </c>
      <c r="P1537" s="7" t="s">
        <v>3843</v>
      </c>
      <c r="Q1537" s="7">
        <v>1.0</v>
      </c>
    </row>
    <row r="1538">
      <c r="A1538" s="7" t="s">
        <v>13187</v>
      </c>
      <c r="B1538" s="7">
        <v>2200339.0</v>
      </c>
      <c r="C1538" s="7" t="s">
        <v>13188</v>
      </c>
      <c r="D1538" s="7" t="s">
        <v>5675</v>
      </c>
      <c r="E1538" s="7" t="s">
        <v>13189</v>
      </c>
      <c r="F1538" s="7" t="s">
        <v>4539</v>
      </c>
      <c r="G1538" s="7" t="s">
        <v>13190</v>
      </c>
      <c r="H1538" s="7" t="s">
        <v>13191</v>
      </c>
      <c r="I1538" s="119">
        <v>45292.0</v>
      </c>
      <c r="J1538" s="7" t="s">
        <v>3929</v>
      </c>
      <c r="K1538" s="7" t="s">
        <v>419</v>
      </c>
      <c r="L1538" s="7" t="s">
        <v>991</v>
      </c>
      <c r="M1538" s="7" t="s">
        <v>3501</v>
      </c>
      <c r="N1538" s="7" t="s">
        <v>4317</v>
      </c>
      <c r="O1538" s="7" t="s">
        <v>4318</v>
      </c>
      <c r="P1538" s="7" t="s">
        <v>3522</v>
      </c>
      <c r="Q1538" s="7" t="s">
        <v>3523</v>
      </c>
    </row>
    <row r="1539">
      <c r="A1539" s="7" t="s">
        <v>13192</v>
      </c>
      <c r="B1539" s="7">
        <v>1185.0</v>
      </c>
      <c r="C1539" s="7" t="s">
        <v>13193</v>
      </c>
      <c r="D1539" s="7" t="s">
        <v>13194</v>
      </c>
      <c r="E1539" s="7" t="s">
        <v>13195</v>
      </c>
      <c r="F1539" s="7" t="s">
        <v>13196</v>
      </c>
      <c r="G1539" s="7" t="s">
        <v>13197</v>
      </c>
      <c r="H1539" s="7" t="s">
        <v>13198</v>
      </c>
      <c r="I1539" s="119">
        <v>45292.0</v>
      </c>
      <c r="K1539" s="7" t="s">
        <v>13199</v>
      </c>
      <c r="L1539" s="7" t="s">
        <v>3542</v>
      </c>
      <c r="M1539" s="7" t="s">
        <v>3543</v>
      </c>
      <c r="N1539" s="7" t="s">
        <v>5671</v>
      </c>
      <c r="O1539" s="7" t="s">
        <v>13200</v>
      </c>
      <c r="P1539" s="7" t="s">
        <v>3522</v>
      </c>
      <c r="Q1539" s="7" t="s">
        <v>3514</v>
      </c>
    </row>
    <row r="1540">
      <c r="A1540" s="7" t="s">
        <v>13201</v>
      </c>
      <c r="B1540" s="7">
        <v>10326.0</v>
      </c>
      <c r="C1540" s="7" t="s">
        <v>13202</v>
      </c>
      <c r="D1540" s="7" t="s">
        <v>13203</v>
      </c>
      <c r="E1540" s="7" t="s">
        <v>13204</v>
      </c>
      <c r="F1540" s="7" t="s">
        <v>4213</v>
      </c>
      <c r="G1540" s="7" t="s">
        <v>13205</v>
      </c>
      <c r="H1540" s="7" t="s">
        <v>13206</v>
      </c>
      <c r="I1540" s="119">
        <v>45292.0</v>
      </c>
      <c r="K1540" s="7" t="s">
        <v>419</v>
      </c>
      <c r="L1540" s="7" t="s">
        <v>991</v>
      </c>
      <c r="M1540" s="7" t="s">
        <v>3501</v>
      </c>
      <c r="N1540" s="7" t="s">
        <v>5755</v>
      </c>
      <c r="O1540" s="7" t="s">
        <v>5756</v>
      </c>
      <c r="P1540" s="7" t="s">
        <v>3493</v>
      </c>
      <c r="Q1540" s="7">
        <v>1.0</v>
      </c>
    </row>
    <row r="1541">
      <c r="A1541" s="7" t="s">
        <v>13207</v>
      </c>
      <c r="B1541" s="7">
        <v>13816.0</v>
      </c>
      <c r="C1541" s="7" t="s">
        <v>13208</v>
      </c>
      <c r="D1541" s="7" t="s">
        <v>13209</v>
      </c>
      <c r="E1541" s="7" t="s">
        <v>13210</v>
      </c>
      <c r="F1541" s="7" t="s">
        <v>13211</v>
      </c>
      <c r="G1541" s="7" t="s">
        <v>13212</v>
      </c>
      <c r="H1541" s="7" t="s">
        <v>13213</v>
      </c>
      <c r="I1541" s="119">
        <v>45292.0</v>
      </c>
      <c r="K1541" s="7" t="s">
        <v>419</v>
      </c>
      <c r="L1541" s="7" t="s">
        <v>991</v>
      </c>
      <c r="M1541" s="7" t="s">
        <v>3501</v>
      </c>
      <c r="N1541" s="7" t="s">
        <v>13214</v>
      </c>
      <c r="O1541" s="7" t="s">
        <v>13215</v>
      </c>
      <c r="P1541" s="7" t="s">
        <v>3604</v>
      </c>
      <c r="Q1541" s="7">
        <v>1.0</v>
      </c>
    </row>
    <row r="1542">
      <c r="A1542" s="7" t="s">
        <v>13216</v>
      </c>
      <c r="B1542" s="7">
        <v>2100609.0</v>
      </c>
      <c r="C1542" s="7" t="s">
        <v>13217</v>
      </c>
      <c r="D1542" s="7" t="s">
        <v>13218</v>
      </c>
      <c r="E1542" s="7" t="s">
        <v>13219</v>
      </c>
      <c r="F1542" s="7" t="s">
        <v>13220</v>
      </c>
      <c r="G1542" s="7" t="s">
        <v>13221</v>
      </c>
      <c r="H1542" s="7" t="s">
        <v>13222</v>
      </c>
      <c r="I1542" s="119">
        <v>45292.0</v>
      </c>
      <c r="K1542" s="7" t="s">
        <v>419</v>
      </c>
      <c r="L1542" s="7" t="s">
        <v>991</v>
      </c>
      <c r="M1542" s="7" t="s">
        <v>3531</v>
      </c>
      <c r="N1542" s="7" t="s">
        <v>13223</v>
      </c>
      <c r="O1542" s="7" t="s">
        <v>13224</v>
      </c>
      <c r="P1542" s="7" t="s">
        <v>3493</v>
      </c>
      <c r="Q1542" s="7">
        <v>1.0</v>
      </c>
    </row>
    <row r="1543">
      <c r="A1543" s="7" t="s">
        <v>13225</v>
      </c>
      <c r="B1543" s="7">
        <v>2100305.0</v>
      </c>
      <c r="C1543" s="7" t="s">
        <v>13217</v>
      </c>
      <c r="D1543" s="7" t="s">
        <v>5153</v>
      </c>
      <c r="E1543" s="7" t="s">
        <v>13219</v>
      </c>
      <c r="F1543" s="7" t="s">
        <v>5155</v>
      </c>
      <c r="G1543" s="7" t="s">
        <v>13226</v>
      </c>
      <c r="H1543" s="7" t="s">
        <v>13227</v>
      </c>
      <c r="I1543" s="119">
        <v>45292.0</v>
      </c>
      <c r="K1543" s="7" t="s">
        <v>419</v>
      </c>
      <c r="L1543" s="7" t="s">
        <v>991</v>
      </c>
      <c r="M1543" s="7" t="s">
        <v>3531</v>
      </c>
      <c r="N1543" s="7" t="s">
        <v>3532</v>
      </c>
      <c r="O1543" s="7" t="s">
        <v>3533</v>
      </c>
      <c r="P1543" s="7" t="s">
        <v>3493</v>
      </c>
      <c r="Q1543" s="7">
        <v>1.0</v>
      </c>
    </row>
    <row r="1544">
      <c r="A1544" s="7" t="s">
        <v>1792</v>
      </c>
      <c r="B1544" s="7">
        <v>359.0</v>
      </c>
      <c r="C1544" s="7" t="s">
        <v>13217</v>
      </c>
      <c r="D1544" s="7" t="s">
        <v>13228</v>
      </c>
      <c r="E1544" s="7" t="s">
        <v>13219</v>
      </c>
      <c r="F1544" s="7" t="s">
        <v>13229</v>
      </c>
      <c r="G1544" s="7" t="s">
        <v>13230</v>
      </c>
      <c r="H1544" s="7" t="s">
        <v>13231</v>
      </c>
      <c r="I1544" s="119">
        <v>45292.0</v>
      </c>
      <c r="K1544" s="7" t="s">
        <v>419</v>
      </c>
      <c r="L1544" s="7" t="s">
        <v>991</v>
      </c>
      <c r="M1544" s="7" t="s">
        <v>3501</v>
      </c>
      <c r="N1544" s="7" t="s">
        <v>7373</v>
      </c>
      <c r="O1544" s="7" t="s">
        <v>7374</v>
      </c>
      <c r="P1544" s="7" t="s">
        <v>6078</v>
      </c>
      <c r="Q1544" s="7">
        <v>1.0</v>
      </c>
    </row>
    <row r="1545">
      <c r="A1545" s="7" t="s">
        <v>13232</v>
      </c>
      <c r="B1545" s="7">
        <v>2300574.0</v>
      </c>
      <c r="C1545" s="7" t="s">
        <v>13217</v>
      </c>
      <c r="D1545" s="7" t="s">
        <v>13233</v>
      </c>
      <c r="E1545" s="7" t="s">
        <v>13219</v>
      </c>
      <c r="F1545" s="7" t="s">
        <v>13234</v>
      </c>
      <c r="G1545" s="7" t="s">
        <v>13235</v>
      </c>
      <c r="H1545" s="7" t="s">
        <v>13236</v>
      </c>
      <c r="I1545" s="119">
        <v>45292.0</v>
      </c>
      <c r="K1545" s="7" t="s">
        <v>419</v>
      </c>
      <c r="L1545" s="7" t="s">
        <v>991</v>
      </c>
      <c r="M1545" s="7" t="s">
        <v>3531</v>
      </c>
      <c r="N1545" s="7" t="s">
        <v>3724</v>
      </c>
      <c r="O1545" s="7" t="s">
        <v>3725</v>
      </c>
      <c r="P1545" s="7" t="s">
        <v>3493</v>
      </c>
      <c r="Q1545" s="7">
        <v>1.0</v>
      </c>
    </row>
    <row r="1546">
      <c r="A1546" s="7" t="s">
        <v>13237</v>
      </c>
      <c r="B1546" s="7">
        <v>2100021.0</v>
      </c>
      <c r="C1546" s="7" t="s">
        <v>13217</v>
      </c>
      <c r="D1546" s="7" t="s">
        <v>13238</v>
      </c>
      <c r="E1546" s="7" t="s">
        <v>13219</v>
      </c>
      <c r="F1546" s="7" t="s">
        <v>13239</v>
      </c>
      <c r="G1546" s="7" t="s">
        <v>13240</v>
      </c>
      <c r="H1546" s="7" t="s">
        <v>13241</v>
      </c>
      <c r="I1546" s="119">
        <v>45292.0</v>
      </c>
      <c r="K1546" s="7" t="s">
        <v>419</v>
      </c>
      <c r="L1546" s="7" t="s">
        <v>991</v>
      </c>
      <c r="M1546" s="7" t="s">
        <v>3531</v>
      </c>
      <c r="N1546" s="7" t="s">
        <v>6329</v>
      </c>
      <c r="O1546" s="7" t="s">
        <v>6330</v>
      </c>
      <c r="P1546" s="7" t="s">
        <v>3493</v>
      </c>
      <c r="Q1546" s="7">
        <v>1.0</v>
      </c>
    </row>
    <row r="1547">
      <c r="A1547" s="7" t="s">
        <v>13242</v>
      </c>
      <c r="B1547" s="7">
        <v>2100166.0</v>
      </c>
      <c r="C1547" s="7" t="s">
        <v>13217</v>
      </c>
      <c r="D1547" s="7" t="s">
        <v>13243</v>
      </c>
      <c r="E1547" s="7" t="s">
        <v>13219</v>
      </c>
      <c r="F1547" s="7" t="s">
        <v>6175</v>
      </c>
      <c r="G1547" s="7" t="s">
        <v>13244</v>
      </c>
      <c r="H1547" s="7" t="s">
        <v>13245</v>
      </c>
      <c r="I1547" s="119">
        <v>45292.0</v>
      </c>
      <c r="K1547" s="7" t="s">
        <v>419</v>
      </c>
      <c r="L1547" s="7" t="s">
        <v>991</v>
      </c>
      <c r="M1547" s="7" t="s">
        <v>3531</v>
      </c>
      <c r="N1547" s="7" t="s">
        <v>4738</v>
      </c>
      <c r="O1547" s="7" t="s">
        <v>4739</v>
      </c>
      <c r="P1547" s="7" t="s">
        <v>3493</v>
      </c>
      <c r="Q1547" s="7">
        <v>1.0</v>
      </c>
    </row>
    <row r="1548">
      <c r="A1548" s="7" t="s">
        <v>13246</v>
      </c>
      <c r="B1548" s="7">
        <v>13403.0</v>
      </c>
      <c r="C1548" s="7" t="s">
        <v>13247</v>
      </c>
      <c r="D1548" s="7" t="s">
        <v>9683</v>
      </c>
      <c r="E1548" s="7" t="s">
        <v>13248</v>
      </c>
      <c r="F1548" s="7" t="s">
        <v>3486</v>
      </c>
      <c r="G1548" s="7" t="s">
        <v>13249</v>
      </c>
      <c r="H1548" s="7" t="s">
        <v>13250</v>
      </c>
      <c r="I1548" s="119">
        <v>45292.0</v>
      </c>
      <c r="K1548" s="7" t="s">
        <v>419</v>
      </c>
      <c r="L1548" s="7" t="s">
        <v>991</v>
      </c>
      <c r="M1548" s="7" t="s">
        <v>3501</v>
      </c>
      <c r="N1548" s="7" t="s">
        <v>10645</v>
      </c>
      <c r="O1548" s="7" t="s">
        <v>11498</v>
      </c>
      <c r="P1548" s="7" t="s">
        <v>3493</v>
      </c>
      <c r="Q1548" s="7">
        <v>1.0</v>
      </c>
    </row>
    <row r="1549">
      <c r="A1549" s="7" t="s">
        <v>13251</v>
      </c>
      <c r="B1549" s="7">
        <v>12693.0</v>
      </c>
      <c r="C1549" s="7" t="s">
        <v>13252</v>
      </c>
      <c r="D1549" s="7" t="s">
        <v>13253</v>
      </c>
      <c r="E1549" s="7" t="s">
        <v>13254</v>
      </c>
      <c r="F1549" s="7" t="s">
        <v>8580</v>
      </c>
      <c r="G1549" s="7" t="s">
        <v>13255</v>
      </c>
      <c r="H1549" s="7" t="s">
        <v>13256</v>
      </c>
      <c r="I1549" s="119">
        <v>45292.0</v>
      </c>
      <c r="K1549" s="7" t="s">
        <v>419</v>
      </c>
      <c r="L1549" s="7" t="s">
        <v>991</v>
      </c>
      <c r="M1549" s="7" t="s">
        <v>3501</v>
      </c>
      <c r="N1549" s="7" t="s">
        <v>7060</v>
      </c>
      <c r="O1549" s="7" t="s">
        <v>7061</v>
      </c>
      <c r="P1549" s="7" t="s">
        <v>3493</v>
      </c>
      <c r="Q1549" s="7">
        <v>1.0</v>
      </c>
    </row>
    <row r="1550">
      <c r="A1550" s="7" t="s">
        <v>1796</v>
      </c>
      <c r="B1550" s="7">
        <v>233.0</v>
      </c>
      <c r="C1550" s="7" t="s">
        <v>13257</v>
      </c>
      <c r="D1550" s="7" t="s">
        <v>13258</v>
      </c>
      <c r="E1550" s="7" t="s">
        <v>13259</v>
      </c>
      <c r="F1550" s="7" t="s">
        <v>3549</v>
      </c>
      <c r="G1550" s="7" t="s">
        <v>13260</v>
      </c>
      <c r="H1550" s="7" t="s">
        <v>13261</v>
      </c>
      <c r="I1550" s="119">
        <v>45292.0</v>
      </c>
      <c r="K1550" s="7" t="s">
        <v>419</v>
      </c>
      <c r="L1550" s="7" t="s">
        <v>991</v>
      </c>
      <c r="M1550" s="7" t="s">
        <v>3501</v>
      </c>
      <c r="N1550" s="7" t="s">
        <v>5875</v>
      </c>
      <c r="O1550" s="7" t="s">
        <v>5876</v>
      </c>
      <c r="P1550" s="7" t="s">
        <v>3493</v>
      </c>
      <c r="Q1550" s="7">
        <v>1.0</v>
      </c>
    </row>
    <row r="1551">
      <c r="A1551" s="7" t="s">
        <v>13262</v>
      </c>
      <c r="B1551" s="7">
        <v>13557.0</v>
      </c>
      <c r="C1551" s="7" t="s">
        <v>13263</v>
      </c>
      <c r="D1551" s="7" t="s">
        <v>13264</v>
      </c>
      <c r="E1551" s="7" t="s">
        <v>13265</v>
      </c>
      <c r="F1551" s="7" t="s">
        <v>10093</v>
      </c>
      <c r="G1551" s="7" t="s">
        <v>13266</v>
      </c>
      <c r="H1551" s="7" t="s">
        <v>13267</v>
      </c>
      <c r="I1551" s="119">
        <v>45292.0</v>
      </c>
      <c r="K1551" s="7" t="s">
        <v>3632</v>
      </c>
      <c r="L1551" s="7" t="s">
        <v>991</v>
      </c>
      <c r="M1551" s="7" t="s">
        <v>4644</v>
      </c>
      <c r="N1551" s="7" t="s">
        <v>8890</v>
      </c>
      <c r="O1551" s="7" t="s">
        <v>13268</v>
      </c>
      <c r="P1551" s="7" t="s">
        <v>13269</v>
      </c>
      <c r="Q1551" s="7" t="s">
        <v>3523</v>
      </c>
    </row>
    <row r="1552">
      <c r="A1552" s="7" t="s">
        <v>13270</v>
      </c>
      <c r="B1552" s="7">
        <v>2200718.0</v>
      </c>
      <c r="C1552" s="7" t="s">
        <v>13271</v>
      </c>
      <c r="D1552" s="7" t="s">
        <v>13272</v>
      </c>
      <c r="E1552" s="7" t="s">
        <v>13273</v>
      </c>
      <c r="F1552" s="7" t="s">
        <v>5569</v>
      </c>
      <c r="G1552" s="7" t="s">
        <v>13274</v>
      </c>
      <c r="H1552" s="7" t="s">
        <v>13275</v>
      </c>
      <c r="I1552" s="119">
        <v>45292.0</v>
      </c>
      <c r="K1552" s="7" t="s">
        <v>4042</v>
      </c>
      <c r="L1552" s="7" t="s">
        <v>991</v>
      </c>
      <c r="M1552" s="7" t="s">
        <v>3531</v>
      </c>
      <c r="N1552" s="7" t="s">
        <v>4043</v>
      </c>
      <c r="O1552" s="7" t="s">
        <v>4044</v>
      </c>
      <c r="P1552" s="7" t="s">
        <v>3493</v>
      </c>
      <c r="Q1552" s="7">
        <v>1.0</v>
      </c>
    </row>
    <row r="1553">
      <c r="A1553" s="7" t="s">
        <v>13276</v>
      </c>
      <c r="B1553" s="7">
        <v>2200645.0</v>
      </c>
      <c r="C1553" s="7" t="s">
        <v>13277</v>
      </c>
      <c r="D1553" s="7" t="s">
        <v>13278</v>
      </c>
      <c r="E1553" s="7" t="s">
        <v>13279</v>
      </c>
      <c r="F1553" s="7" t="s">
        <v>7802</v>
      </c>
      <c r="G1553" s="7" t="s">
        <v>13280</v>
      </c>
      <c r="H1553" s="7" t="s">
        <v>13281</v>
      </c>
      <c r="I1553" s="119">
        <v>45292.0</v>
      </c>
      <c r="K1553" s="7" t="s">
        <v>419</v>
      </c>
      <c r="L1553" s="7" t="s">
        <v>991</v>
      </c>
      <c r="M1553" s="7" t="s">
        <v>3501</v>
      </c>
      <c r="N1553" s="7" t="s">
        <v>10121</v>
      </c>
      <c r="O1553" s="7" t="s">
        <v>10122</v>
      </c>
      <c r="P1553" s="7" t="s">
        <v>3493</v>
      </c>
      <c r="Q1553" s="7">
        <v>1.0</v>
      </c>
    </row>
    <row r="1554">
      <c r="A1554" s="7" t="s">
        <v>13282</v>
      </c>
      <c r="B1554" s="7">
        <v>2200226.0</v>
      </c>
      <c r="C1554" s="7" t="s">
        <v>13283</v>
      </c>
      <c r="D1554" s="7" t="s">
        <v>4881</v>
      </c>
      <c r="E1554" s="7" t="s">
        <v>13284</v>
      </c>
      <c r="F1554" s="7" t="s">
        <v>4883</v>
      </c>
      <c r="G1554" s="7" t="s">
        <v>13285</v>
      </c>
      <c r="H1554" s="7" t="s">
        <v>13286</v>
      </c>
      <c r="I1554" s="119">
        <v>45292.0</v>
      </c>
      <c r="K1554" s="7" t="s">
        <v>419</v>
      </c>
      <c r="L1554" s="7" t="s">
        <v>991</v>
      </c>
      <c r="M1554" s="7" t="s">
        <v>3501</v>
      </c>
      <c r="N1554" s="7" t="s">
        <v>4834</v>
      </c>
      <c r="O1554" s="7" t="s">
        <v>4835</v>
      </c>
      <c r="P1554" s="7" t="s">
        <v>3493</v>
      </c>
      <c r="Q1554" s="7">
        <v>1.0</v>
      </c>
    </row>
    <row r="1555">
      <c r="A1555" s="7" t="s">
        <v>13287</v>
      </c>
      <c r="B1555" s="7">
        <v>2300522.0</v>
      </c>
      <c r="C1555" s="7" t="s">
        <v>13288</v>
      </c>
      <c r="D1555" s="7" t="s">
        <v>10055</v>
      </c>
      <c r="E1555" s="7" t="s">
        <v>13289</v>
      </c>
      <c r="F1555" s="7" t="s">
        <v>13290</v>
      </c>
      <c r="G1555" s="7" t="s">
        <v>13291</v>
      </c>
      <c r="H1555" s="7" t="s">
        <v>13292</v>
      </c>
      <c r="I1555" s="119">
        <v>45292.0</v>
      </c>
      <c r="K1555" s="7" t="s">
        <v>419</v>
      </c>
      <c r="L1555" s="7" t="s">
        <v>991</v>
      </c>
      <c r="M1555" s="7" t="s">
        <v>3501</v>
      </c>
      <c r="N1555" s="7" t="s">
        <v>7623</v>
      </c>
      <c r="O1555" s="7" t="s">
        <v>7624</v>
      </c>
      <c r="P1555" s="7" t="s">
        <v>3522</v>
      </c>
      <c r="Q1555" s="7" t="s">
        <v>3523</v>
      </c>
    </row>
    <row r="1556">
      <c r="A1556" s="7" t="s">
        <v>13293</v>
      </c>
      <c r="B1556" s="7">
        <v>11921.0</v>
      </c>
      <c r="C1556" s="7" t="s">
        <v>13294</v>
      </c>
      <c r="D1556" s="7" t="s">
        <v>8442</v>
      </c>
      <c r="E1556" s="7" t="s">
        <v>13295</v>
      </c>
      <c r="F1556" s="7" t="s">
        <v>4929</v>
      </c>
      <c r="G1556" s="7" t="s">
        <v>13296</v>
      </c>
      <c r="H1556" s="7" t="s">
        <v>13297</v>
      </c>
      <c r="I1556" s="119">
        <v>45292.0</v>
      </c>
      <c r="K1556" s="7" t="s">
        <v>419</v>
      </c>
      <c r="L1556" s="7" t="s">
        <v>991</v>
      </c>
      <c r="M1556" s="7" t="s">
        <v>3501</v>
      </c>
      <c r="N1556" s="7" t="s">
        <v>8229</v>
      </c>
      <c r="O1556" s="7" t="s">
        <v>13298</v>
      </c>
      <c r="P1556" s="7" t="s">
        <v>3697</v>
      </c>
      <c r="Q1556" s="7" t="s">
        <v>3687</v>
      </c>
    </row>
    <row r="1557">
      <c r="A1557" s="7" t="s">
        <v>13299</v>
      </c>
      <c r="B1557" s="7">
        <v>11310.0</v>
      </c>
      <c r="C1557" s="7" t="s">
        <v>13294</v>
      </c>
      <c r="D1557" s="7" t="s">
        <v>6701</v>
      </c>
      <c r="E1557" s="7" t="s">
        <v>13295</v>
      </c>
      <c r="F1557" s="7" t="s">
        <v>6703</v>
      </c>
      <c r="G1557" s="7" t="s">
        <v>13300</v>
      </c>
      <c r="H1557" s="7" t="s">
        <v>13301</v>
      </c>
      <c r="I1557" s="119">
        <v>45292.0</v>
      </c>
      <c r="K1557" s="7" t="s">
        <v>419</v>
      </c>
      <c r="L1557" s="7" t="s">
        <v>991</v>
      </c>
      <c r="M1557" s="7" t="s">
        <v>3501</v>
      </c>
      <c r="N1557" s="7" t="s">
        <v>4834</v>
      </c>
      <c r="O1557" s="7" t="s">
        <v>4835</v>
      </c>
      <c r="P1557" s="7" t="s">
        <v>3493</v>
      </c>
      <c r="Q1557" s="7">
        <v>1.0</v>
      </c>
    </row>
    <row r="1558">
      <c r="A1558" s="7" t="s">
        <v>13302</v>
      </c>
      <c r="B1558" s="7">
        <v>1241.0</v>
      </c>
      <c r="C1558" s="7" t="s">
        <v>13294</v>
      </c>
      <c r="D1558" s="7" t="s">
        <v>13303</v>
      </c>
      <c r="E1558" s="7" t="s">
        <v>13295</v>
      </c>
      <c r="F1558" s="7" t="s">
        <v>3986</v>
      </c>
      <c r="G1558" s="7" t="s">
        <v>13304</v>
      </c>
      <c r="H1558" s="7" t="s">
        <v>13305</v>
      </c>
      <c r="I1558" s="119">
        <v>45292.0</v>
      </c>
      <c r="J1558" s="7" t="s">
        <v>3929</v>
      </c>
      <c r="K1558" s="7" t="s">
        <v>419</v>
      </c>
      <c r="L1558" s="7" t="s">
        <v>991</v>
      </c>
      <c r="M1558" s="7" t="s">
        <v>3501</v>
      </c>
      <c r="N1558" s="7" t="s">
        <v>3520</v>
      </c>
      <c r="O1558" s="7" t="s">
        <v>8093</v>
      </c>
      <c r="P1558" s="7" t="s">
        <v>3493</v>
      </c>
      <c r="Q1558" s="7">
        <v>1.0</v>
      </c>
    </row>
    <row r="1559">
      <c r="A1559" s="7" t="s">
        <v>13306</v>
      </c>
      <c r="B1559" s="7">
        <v>2100309.0</v>
      </c>
      <c r="C1559" s="7" t="s">
        <v>13294</v>
      </c>
      <c r="D1559" s="7" t="s">
        <v>13307</v>
      </c>
      <c r="E1559" s="7" t="s">
        <v>13295</v>
      </c>
      <c r="F1559" s="7" t="s">
        <v>4158</v>
      </c>
      <c r="G1559" s="7" t="s">
        <v>13308</v>
      </c>
      <c r="H1559" s="7" t="s">
        <v>13309</v>
      </c>
      <c r="I1559" s="119">
        <v>45292.0</v>
      </c>
      <c r="K1559" s="7" t="s">
        <v>419</v>
      </c>
      <c r="L1559" s="7" t="s">
        <v>991</v>
      </c>
      <c r="M1559" s="7" t="s">
        <v>3501</v>
      </c>
      <c r="N1559" s="7" t="s">
        <v>11957</v>
      </c>
      <c r="O1559" s="7" t="s">
        <v>13310</v>
      </c>
      <c r="P1559" s="7" t="s">
        <v>3604</v>
      </c>
      <c r="Q1559" s="7">
        <v>1.0</v>
      </c>
    </row>
    <row r="1560">
      <c r="A1560" s="7" t="s">
        <v>13311</v>
      </c>
      <c r="B1560" s="7">
        <v>11010.0</v>
      </c>
      <c r="C1560" s="7" t="s">
        <v>13294</v>
      </c>
      <c r="D1560" s="7" t="s">
        <v>13312</v>
      </c>
      <c r="E1560" s="7" t="s">
        <v>13295</v>
      </c>
      <c r="F1560" s="7" t="s">
        <v>6101</v>
      </c>
      <c r="G1560" s="7" t="s">
        <v>13313</v>
      </c>
      <c r="H1560" s="7" t="s">
        <v>13314</v>
      </c>
      <c r="I1560" s="119">
        <v>45292.0</v>
      </c>
      <c r="K1560" s="7" t="s">
        <v>419</v>
      </c>
      <c r="L1560" s="7" t="s">
        <v>991</v>
      </c>
      <c r="M1560" s="7" t="s">
        <v>3501</v>
      </c>
      <c r="N1560" s="7" t="s">
        <v>6814</v>
      </c>
      <c r="O1560" s="7" t="s">
        <v>6815</v>
      </c>
      <c r="P1560" s="7" t="s">
        <v>3493</v>
      </c>
      <c r="Q1560" s="7">
        <v>1.0</v>
      </c>
    </row>
    <row r="1561">
      <c r="A1561" s="7" t="s">
        <v>13315</v>
      </c>
      <c r="B1561" s="7">
        <v>977.0</v>
      </c>
      <c r="C1561" s="7" t="s">
        <v>13294</v>
      </c>
      <c r="D1561" s="7" t="s">
        <v>13316</v>
      </c>
      <c r="E1561" s="7" t="s">
        <v>13295</v>
      </c>
      <c r="F1561" s="7" t="s">
        <v>5395</v>
      </c>
      <c r="G1561" s="7" t="s">
        <v>13317</v>
      </c>
      <c r="H1561" s="7" t="s">
        <v>13318</v>
      </c>
      <c r="I1561" s="119">
        <v>45292.0</v>
      </c>
      <c r="K1561" s="7" t="s">
        <v>419</v>
      </c>
      <c r="L1561" s="7" t="s">
        <v>991</v>
      </c>
      <c r="M1561" s="7" t="s">
        <v>3501</v>
      </c>
      <c r="N1561" s="7" t="s">
        <v>11898</v>
      </c>
      <c r="O1561" s="7" t="s">
        <v>11899</v>
      </c>
      <c r="P1561" s="7" t="s">
        <v>3843</v>
      </c>
      <c r="Q1561" s="7">
        <v>1.0</v>
      </c>
    </row>
    <row r="1562">
      <c r="A1562" s="7" t="s">
        <v>13319</v>
      </c>
      <c r="B1562" s="7">
        <v>13678.0</v>
      </c>
      <c r="C1562" s="7" t="s">
        <v>13294</v>
      </c>
      <c r="D1562" s="7" t="s">
        <v>13320</v>
      </c>
      <c r="E1562" s="7" t="s">
        <v>13295</v>
      </c>
      <c r="F1562" s="7" t="s">
        <v>13321</v>
      </c>
      <c r="G1562" s="7" t="s">
        <v>13322</v>
      </c>
      <c r="H1562" s="7" t="s">
        <v>13323</v>
      </c>
      <c r="I1562" s="119">
        <v>45292.0</v>
      </c>
      <c r="K1562" s="7" t="s">
        <v>3632</v>
      </c>
      <c r="L1562" s="7" t="s">
        <v>991</v>
      </c>
      <c r="M1562" s="7" t="s">
        <v>3501</v>
      </c>
      <c r="N1562" s="7" t="s">
        <v>13324</v>
      </c>
      <c r="O1562" s="7" t="s">
        <v>13325</v>
      </c>
      <c r="P1562" s="7" t="s">
        <v>12011</v>
      </c>
      <c r="Q1562" s="7">
        <v>1.0</v>
      </c>
    </row>
    <row r="1563">
      <c r="A1563" s="7" t="s">
        <v>13326</v>
      </c>
      <c r="B1563" s="7">
        <v>2200517.0</v>
      </c>
      <c r="C1563" s="7" t="s">
        <v>13294</v>
      </c>
      <c r="D1563" s="7" t="s">
        <v>8598</v>
      </c>
      <c r="E1563" s="7" t="s">
        <v>13295</v>
      </c>
      <c r="F1563" s="7" t="s">
        <v>4598</v>
      </c>
      <c r="G1563" s="7" t="s">
        <v>13327</v>
      </c>
      <c r="H1563" s="7" t="s">
        <v>13328</v>
      </c>
      <c r="I1563" s="119">
        <v>45292.0</v>
      </c>
      <c r="K1563" s="7" t="s">
        <v>419</v>
      </c>
      <c r="L1563" s="7" t="s">
        <v>991</v>
      </c>
      <c r="M1563" s="7" t="s">
        <v>3501</v>
      </c>
      <c r="N1563" s="7" t="s">
        <v>7131</v>
      </c>
      <c r="O1563" s="7" t="s">
        <v>13329</v>
      </c>
      <c r="P1563" s="7" t="s">
        <v>4154</v>
      </c>
      <c r="Q1563" s="7" t="s">
        <v>3566</v>
      </c>
    </row>
    <row r="1564">
      <c r="A1564" s="7" t="s">
        <v>13330</v>
      </c>
      <c r="B1564" s="7">
        <v>2200898.0</v>
      </c>
      <c r="C1564" s="7" t="s">
        <v>13331</v>
      </c>
      <c r="D1564" s="7" t="s">
        <v>13332</v>
      </c>
      <c r="E1564" s="7" t="s">
        <v>13333</v>
      </c>
      <c r="F1564" s="7" t="s">
        <v>9724</v>
      </c>
      <c r="G1564" s="7" t="s">
        <v>13334</v>
      </c>
      <c r="H1564" s="7" t="s">
        <v>13335</v>
      </c>
      <c r="I1564" s="119">
        <v>45292.0</v>
      </c>
      <c r="K1564" s="7" t="s">
        <v>419</v>
      </c>
      <c r="L1564" s="7" t="s">
        <v>991</v>
      </c>
      <c r="M1564" s="7" t="s">
        <v>3501</v>
      </c>
      <c r="N1564" s="7" t="s">
        <v>13336</v>
      </c>
      <c r="O1564" s="7" t="s">
        <v>13337</v>
      </c>
      <c r="P1564" s="7" t="s">
        <v>3493</v>
      </c>
      <c r="Q1564" s="7">
        <v>1.0</v>
      </c>
    </row>
    <row r="1565">
      <c r="A1565" s="7" t="s">
        <v>2402</v>
      </c>
      <c r="B1565" s="7">
        <v>846.0</v>
      </c>
      <c r="C1565" s="7" t="s">
        <v>13338</v>
      </c>
      <c r="D1565" s="7" t="s">
        <v>11328</v>
      </c>
      <c r="E1565" s="7" t="s">
        <v>13333</v>
      </c>
      <c r="F1565" s="7" t="s">
        <v>13339</v>
      </c>
      <c r="G1565" s="7" t="s">
        <v>13340</v>
      </c>
      <c r="H1565" s="7" t="s">
        <v>13341</v>
      </c>
      <c r="I1565" s="119">
        <v>45292.0</v>
      </c>
      <c r="K1565" s="7" t="s">
        <v>419</v>
      </c>
      <c r="L1565" s="7" t="s">
        <v>991</v>
      </c>
      <c r="M1565" s="7" t="s">
        <v>4644</v>
      </c>
      <c r="N1565" s="7" t="s">
        <v>6293</v>
      </c>
      <c r="O1565" s="7" t="s">
        <v>7242</v>
      </c>
      <c r="P1565" s="7" t="s">
        <v>13342</v>
      </c>
      <c r="Q1565" s="7" t="s">
        <v>3523</v>
      </c>
    </row>
    <row r="1566">
      <c r="A1566" s="7" t="s">
        <v>13343</v>
      </c>
      <c r="B1566" s="7">
        <v>8330.0</v>
      </c>
      <c r="C1566" s="7" t="s">
        <v>13331</v>
      </c>
      <c r="D1566" s="7" t="s">
        <v>8146</v>
      </c>
      <c r="E1566" s="7" t="s">
        <v>13333</v>
      </c>
      <c r="F1566" s="7" t="s">
        <v>3656</v>
      </c>
      <c r="G1566" s="7" t="s">
        <v>13344</v>
      </c>
      <c r="H1566" s="7" t="s">
        <v>13345</v>
      </c>
      <c r="I1566" s="119">
        <v>45292.0</v>
      </c>
      <c r="K1566" s="7" t="s">
        <v>419</v>
      </c>
      <c r="L1566" s="7" t="s">
        <v>991</v>
      </c>
      <c r="M1566" s="7" t="s">
        <v>3531</v>
      </c>
      <c r="N1566" s="7" t="s">
        <v>3511</v>
      </c>
      <c r="O1566" s="7" t="s">
        <v>7757</v>
      </c>
      <c r="P1566" s="7" t="s">
        <v>3493</v>
      </c>
      <c r="Q1566" s="7">
        <v>1.0</v>
      </c>
    </row>
    <row r="1567">
      <c r="A1567" s="7" t="s">
        <v>13346</v>
      </c>
      <c r="B1567" s="7">
        <v>13757.0</v>
      </c>
      <c r="C1567" s="7" t="s">
        <v>13347</v>
      </c>
      <c r="D1567" s="7" t="s">
        <v>13348</v>
      </c>
      <c r="E1567" s="7" t="s">
        <v>13349</v>
      </c>
      <c r="F1567" s="7" t="s">
        <v>10657</v>
      </c>
      <c r="G1567" s="7" t="s">
        <v>13350</v>
      </c>
      <c r="H1567" s="7" t="s">
        <v>13351</v>
      </c>
      <c r="I1567" s="119">
        <v>45292.0</v>
      </c>
      <c r="K1567" s="7" t="s">
        <v>419</v>
      </c>
      <c r="L1567" s="7" t="s">
        <v>991</v>
      </c>
      <c r="M1567" s="7" t="s">
        <v>3531</v>
      </c>
      <c r="N1567" s="7" t="s">
        <v>7947</v>
      </c>
      <c r="O1567" s="7" t="s">
        <v>7948</v>
      </c>
      <c r="P1567" s="7" t="s">
        <v>3493</v>
      </c>
      <c r="Q1567" s="7">
        <v>1.0</v>
      </c>
    </row>
    <row r="1568">
      <c r="A1568" s="7" t="s">
        <v>13352</v>
      </c>
      <c r="B1568" s="7">
        <v>2200811.0</v>
      </c>
      <c r="C1568" s="7" t="s">
        <v>13347</v>
      </c>
      <c r="D1568" s="7" t="s">
        <v>13353</v>
      </c>
      <c r="E1568" s="7" t="s">
        <v>13349</v>
      </c>
      <c r="F1568" s="7" t="s">
        <v>10657</v>
      </c>
      <c r="G1568" s="7" t="s">
        <v>13354</v>
      </c>
      <c r="H1568" s="7" t="s">
        <v>13355</v>
      </c>
      <c r="I1568" s="119">
        <v>45292.0</v>
      </c>
      <c r="K1568" s="7" t="s">
        <v>3622</v>
      </c>
      <c r="L1568" s="7" t="s">
        <v>991</v>
      </c>
      <c r="M1568" s="7" t="s">
        <v>3501</v>
      </c>
      <c r="N1568" s="7" t="s">
        <v>3623</v>
      </c>
      <c r="O1568" s="7" t="s">
        <v>3624</v>
      </c>
      <c r="P1568" s="7" t="s">
        <v>3493</v>
      </c>
      <c r="Q1568" s="7">
        <v>1.0</v>
      </c>
    </row>
    <row r="1569">
      <c r="A1569" s="7" t="s">
        <v>13356</v>
      </c>
      <c r="B1569" s="7">
        <v>2200335.0</v>
      </c>
      <c r="C1569" s="7" t="s">
        <v>13347</v>
      </c>
      <c r="D1569" s="7" t="s">
        <v>13357</v>
      </c>
      <c r="E1569" s="7" t="s">
        <v>13349</v>
      </c>
      <c r="F1569" s="7" t="s">
        <v>7477</v>
      </c>
      <c r="G1569" s="7" t="s">
        <v>13358</v>
      </c>
      <c r="H1569" s="7" t="s">
        <v>13359</v>
      </c>
      <c r="I1569" s="119">
        <v>45292.0</v>
      </c>
      <c r="K1569" s="7" t="s">
        <v>419</v>
      </c>
      <c r="L1569" s="7" t="s">
        <v>991</v>
      </c>
      <c r="M1569" s="7" t="s">
        <v>3501</v>
      </c>
      <c r="N1569" s="7" t="s">
        <v>4444</v>
      </c>
      <c r="O1569" s="7" t="s">
        <v>4445</v>
      </c>
      <c r="P1569" s="7" t="s">
        <v>3493</v>
      </c>
      <c r="Q1569" s="7">
        <v>1.0</v>
      </c>
    </row>
    <row r="1570">
      <c r="A1570" s="7" t="s">
        <v>1383</v>
      </c>
      <c r="B1570" s="7">
        <v>630.0</v>
      </c>
      <c r="C1570" s="7" t="s">
        <v>13360</v>
      </c>
      <c r="D1570" s="7" t="s">
        <v>13361</v>
      </c>
      <c r="E1570" s="7" t="s">
        <v>13362</v>
      </c>
      <c r="F1570" s="7" t="s">
        <v>13363</v>
      </c>
      <c r="G1570" s="7" t="s">
        <v>13364</v>
      </c>
      <c r="H1570" s="7" t="s">
        <v>13365</v>
      </c>
      <c r="I1570" s="119">
        <v>45292.0</v>
      </c>
      <c r="K1570" s="7" t="s">
        <v>419</v>
      </c>
      <c r="L1570" s="7" t="s">
        <v>991</v>
      </c>
      <c r="M1570" s="7" t="s">
        <v>3501</v>
      </c>
      <c r="N1570" s="7" t="s">
        <v>3659</v>
      </c>
      <c r="O1570" s="7" t="s">
        <v>3660</v>
      </c>
      <c r="P1570" s="7" t="s">
        <v>3604</v>
      </c>
      <c r="Q1570" s="7">
        <v>1.0</v>
      </c>
    </row>
    <row r="1571">
      <c r="A1571" s="7" t="s">
        <v>13366</v>
      </c>
      <c r="B1571" s="7">
        <v>2100502.0</v>
      </c>
      <c r="C1571" s="7" t="s">
        <v>13367</v>
      </c>
      <c r="D1571" s="7" t="s">
        <v>13368</v>
      </c>
      <c r="E1571" s="7" t="s">
        <v>13369</v>
      </c>
      <c r="F1571" s="7" t="s">
        <v>7169</v>
      </c>
      <c r="G1571" s="7" t="s">
        <v>13370</v>
      </c>
      <c r="H1571" s="7" t="s">
        <v>13371</v>
      </c>
      <c r="I1571" s="119">
        <v>45292.0</v>
      </c>
      <c r="K1571" s="7" t="s">
        <v>419</v>
      </c>
      <c r="L1571" s="7" t="s">
        <v>991</v>
      </c>
      <c r="M1571" s="7" t="s">
        <v>3501</v>
      </c>
      <c r="N1571" s="7" t="s">
        <v>8390</v>
      </c>
      <c r="O1571" s="7" t="s">
        <v>8391</v>
      </c>
      <c r="P1571" s="7" t="s">
        <v>3493</v>
      </c>
      <c r="Q1571" s="7">
        <v>1.0</v>
      </c>
    </row>
    <row r="1572">
      <c r="A1572" s="7" t="s">
        <v>13372</v>
      </c>
      <c r="B1572" s="7">
        <v>2300773.0</v>
      </c>
      <c r="C1572" s="7" t="s">
        <v>13373</v>
      </c>
      <c r="D1572" s="7" t="s">
        <v>13374</v>
      </c>
      <c r="E1572" s="7" t="s">
        <v>13375</v>
      </c>
      <c r="F1572" s="7" t="s">
        <v>13058</v>
      </c>
      <c r="G1572" s="7" t="s">
        <v>13376</v>
      </c>
      <c r="H1572" s="7" t="s">
        <v>13377</v>
      </c>
      <c r="I1572" s="119">
        <v>45292.0</v>
      </c>
      <c r="K1572" s="7" t="s">
        <v>419</v>
      </c>
      <c r="L1572" s="7" t="s">
        <v>991</v>
      </c>
      <c r="M1572" s="7" t="s">
        <v>3531</v>
      </c>
      <c r="N1572" s="7" t="s">
        <v>5755</v>
      </c>
      <c r="O1572" s="7" t="s">
        <v>5756</v>
      </c>
      <c r="P1572" s="7" t="s">
        <v>3493</v>
      </c>
      <c r="Q1572" s="7">
        <v>1.0</v>
      </c>
    </row>
    <row r="1573">
      <c r="A1573" s="7" t="s">
        <v>13378</v>
      </c>
      <c r="B1573" s="7">
        <v>2100261.0</v>
      </c>
      <c r="C1573" s="7" t="s">
        <v>13379</v>
      </c>
      <c r="D1573" s="7" t="s">
        <v>13380</v>
      </c>
      <c r="E1573" s="7" t="s">
        <v>13381</v>
      </c>
      <c r="F1573" s="7" t="s">
        <v>5860</v>
      </c>
      <c r="G1573" s="7" t="s">
        <v>13382</v>
      </c>
      <c r="H1573" s="7" t="s">
        <v>13383</v>
      </c>
      <c r="I1573" s="119">
        <v>45292.0</v>
      </c>
      <c r="K1573" s="7" t="s">
        <v>419</v>
      </c>
      <c r="L1573" s="7" t="s">
        <v>991</v>
      </c>
      <c r="M1573" s="7" t="s">
        <v>3583</v>
      </c>
      <c r="N1573" s="7" t="s">
        <v>5888</v>
      </c>
      <c r="O1573" s="7" t="s">
        <v>5889</v>
      </c>
      <c r="P1573" s="7" t="s">
        <v>3493</v>
      </c>
      <c r="Q1573" s="7">
        <v>1.0</v>
      </c>
    </row>
    <row r="1574">
      <c r="A1574" s="7" t="s">
        <v>13384</v>
      </c>
      <c r="B1574" s="7">
        <v>2300157.0</v>
      </c>
      <c r="C1574" s="7" t="s">
        <v>13379</v>
      </c>
      <c r="D1574" s="7" t="s">
        <v>8105</v>
      </c>
      <c r="E1574" s="7" t="s">
        <v>13381</v>
      </c>
      <c r="F1574" s="7" t="s">
        <v>7066</v>
      </c>
      <c r="G1574" s="7" t="s">
        <v>13385</v>
      </c>
      <c r="H1574" s="7" t="s">
        <v>13386</v>
      </c>
      <c r="I1574" s="119">
        <v>45292.0</v>
      </c>
      <c r="K1574" s="7" t="s">
        <v>419</v>
      </c>
      <c r="L1574" s="7" t="s">
        <v>991</v>
      </c>
      <c r="M1574" s="7" t="s">
        <v>3501</v>
      </c>
      <c r="N1574" s="7" t="s">
        <v>13387</v>
      </c>
      <c r="O1574" s="7" t="s">
        <v>13388</v>
      </c>
      <c r="P1574" s="7" t="s">
        <v>3604</v>
      </c>
      <c r="Q1574" s="7">
        <v>1.0</v>
      </c>
    </row>
    <row r="1575">
      <c r="A1575" s="7" t="s">
        <v>13389</v>
      </c>
      <c r="B1575" s="7">
        <v>2100009.0</v>
      </c>
      <c r="C1575" s="7" t="s">
        <v>13379</v>
      </c>
      <c r="D1575" s="7" t="s">
        <v>13390</v>
      </c>
      <c r="E1575" s="7" t="s">
        <v>13381</v>
      </c>
      <c r="F1575" s="7" t="s">
        <v>8306</v>
      </c>
      <c r="G1575" s="7" t="s">
        <v>13391</v>
      </c>
      <c r="H1575" s="7" t="s">
        <v>13392</v>
      </c>
      <c r="I1575" s="119">
        <v>45292.0</v>
      </c>
      <c r="K1575" s="7" t="s">
        <v>3489</v>
      </c>
      <c r="L1575" s="7" t="s">
        <v>991</v>
      </c>
      <c r="M1575" s="7" t="s">
        <v>3490</v>
      </c>
      <c r="N1575" s="7" t="s">
        <v>3491</v>
      </c>
      <c r="O1575" s="7" t="s">
        <v>3492</v>
      </c>
      <c r="P1575" s="7" t="s">
        <v>3493</v>
      </c>
      <c r="Q1575" s="7">
        <v>1.0</v>
      </c>
    </row>
    <row r="1576">
      <c r="A1576" s="7" t="s">
        <v>1827</v>
      </c>
      <c r="B1576" s="7">
        <v>10774.0</v>
      </c>
      <c r="C1576" s="7" t="s">
        <v>13393</v>
      </c>
      <c r="D1576" s="7" t="s">
        <v>12459</v>
      </c>
      <c r="E1576" s="7" t="s">
        <v>13394</v>
      </c>
      <c r="F1576" s="7" t="s">
        <v>12459</v>
      </c>
      <c r="G1576" s="7" t="s">
        <v>13395</v>
      </c>
      <c r="H1576" s="7" t="s">
        <v>13396</v>
      </c>
      <c r="I1576" s="119">
        <v>45292.0</v>
      </c>
      <c r="K1576" s="7" t="s">
        <v>419</v>
      </c>
      <c r="L1576" s="7" t="s">
        <v>991</v>
      </c>
      <c r="M1576" s="7" t="s">
        <v>3501</v>
      </c>
      <c r="N1576" s="7" t="s">
        <v>7590</v>
      </c>
      <c r="O1576" s="7" t="s">
        <v>13397</v>
      </c>
      <c r="P1576" s="7" t="s">
        <v>3522</v>
      </c>
      <c r="Q1576" s="7" t="s">
        <v>3523</v>
      </c>
    </row>
    <row r="1577">
      <c r="A1577" s="7" t="s">
        <v>13398</v>
      </c>
      <c r="B1577" s="7">
        <v>2300625.0</v>
      </c>
      <c r="C1577" s="7" t="s">
        <v>13393</v>
      </c>
      <c r="D1577" s="7" t="s">
        <v>7733</v>
      </c>
      <c r="E1577" s="7" t="s">
        <v>13394</v>
      </c>
      <c r="F1577" s="7" t="s">
        <v>5514</v>
      </c>
      <c r="G1577" s="7" t="s">
        <v>13399</v>
      </c>
      <c r="H1577" s="7" t="s">
        <v>13400</v>
      </c>
      <c r="I1577" s="119">
        <v>45292.0</v>
      </c>
      <c r="K1577" s="7" t="s">
        <v>419</v>
      </c>
      <c r="L1577" s="7" t="s">
        <v>991</v>
      </c>
      <c r="M1577" s="7" t="s">
        <v>3501</v>
      </c>
      <c r="N1577" s="7" t="s">
        <v>13401</v>
      </c>
      <c r="O1577" s="7" t="s">
        <v>13402</v>
      </c>
      <c r="P1577" s="7" t="s">
        <v>3894</v>
      </c>
      <c r="Q1577" s="7" t="s">
        <v>3523</v>
      </c>
    </row>
    <row r="1578">
      <c r="A1578" s="7" t="s">
        <v>13403</v>
      </c>
      <c r="B1578" s="7">
        <v>13418.0</v>
      </c>
      <c r="C1578" s="7" t="s">
        <v>13404</v>
      </c>
      <c r="D1578" s="7" t="s">
        <v>13405</v>
      </c>
      <c r="E1578" s="7" t="s">
        <v>13406</v>
      </c>
      <c r="F1578" s="7" t="s">
        <v>13407</v>
      </c>
      <c r="G1578" s="7" t="s">
        <v>13408</v>
      </c>
      <c r="H1578" s="7" t="s">
        <v>13409</v>
      </c>
      <c r="I1578" s="119">
        <v>45292.0</v>
      </c>
      <c r="K1578" s="7" t="s">
        <v>419</v>
      </c>
      <c r="L1578" s="7" t="s">
        <v>991</v>
      </c>
      <c r="M1578" s="7" t="s">
        <v>3531</v>
      </c>
      <c r="N1578" s="7" t="s">
        <v>8270</v>
      </c>
      <c r="O1578" s="7" t="s">
        <v>13410</v>
      </c>
      <c r="P1578" s="7" t="s">
        <v>3493</v>
      </c>
      <c r="Q1578" s="7">
        <v>1.0</v>
      </c>
    </row>
    <row r="1579">
      <c r="A1579" s="7" t="s">
        <v>13411</v>
      </c>
      <c r="B1579" s="7">
        <v>2300641.0</v>
      </c>
      <c r="C1579" s="7" t="s">
        <v>13412</v>
      </c>
      <c r="D1579" s="7" t="s">
        <v>13413</v>
      </c>
      <c r="E1579" s="7" t="s">
        <v>13414</v>
      </c>
      <c r="F1579" s="7" t="s">
        <v>13415</v>
      </c>
      <c r="G1579" s="7" t="s">
        <v>13416</v>
      </c>
      <c r="H1579" s="7" t="s">
        <v>13417</v>
      </c>
      <c r="I1579" s="119">
        <v>45292.0</v>
      </c>
      <c r="K1579" s="7" t="s">
        <v>419</v>
      </c>
      <c r="L1579" s="7" t="s">
        <v>991</v>
      </c>
      <c r="M1579" s="7" t="s">
        <v>3531</v>
      </c>
      <c r="N1579" s="7" t="s">
        <v>4778</v>
      </c>
      <c r="O1579" s="7" t="s">
        <v>4779</v>
      </c>
      <c r="P1579" s="7" t="s">
        <v>3493</v>
      </c>
      <c r="Q1579" s="7">
        <v>1.0</v>
      </c>
    </row>
    <row r="1580">
      <c r="A1580" s="7" t="s">
        <v>13418</v>
      </c>
      <c r="B1580" s="7">
        <v>13636.0</v>
      </c>
      <c r="C1580" s="7" t="s">
        <v>13419</v>
      </c>
      <c r="D1580" s="7" t="s">
        <v>8353</v>
      </c>
      <c r="E1580" s="7" t="s">
        <v>13420</v>
      </c>
      <c r="F1580" s="7" t="s">
        <v>6800</v>
      </c>
      <c r="G1580" s="7" t="s">
        <v>13421</v>
      </c>
      <c r="H1580" s="7" t="s">
        <v>13422</v>
      </c>
      <c r="I1580" s="119">
        <v>45292.0</v>
      </c>
      <c r="K1580" s="7" t="s">
        <v>419</v>
      </c>
      <c r="L1580" s="7" t="s">
        <v>991</v>
      </c>
      <c r="M1580" s="7" t="s">
        <v>3501</v>
      </c>
      <c r="N1580" s="7" t="s">
        <v>13423</v>
      </c>
      <c r="O1580" s="7" t="s">
        <v>13424</v>
      </c>
      <c r="P1580" s="7" t="s">
        <v>13425</v>
      </c>
      <c r="Q1580" s="7" t="s">
        <v>3566</v>
      </c>
    </row>
    <row r="1581">
      <c r="A1581" s="7" t="s">
        <v>1481</v>
      </c>
      <c r="B1581" s="7">
        <v>11392.0</v>
      </c>
      <c r="C1581" s="7" t="s">
        <v>13426</v>
      </c>
      <c r="D1581" s="7" t="s">
        <v>4699</v>
      </c>
      <c r="E1581" s="7" t="s">
        <v>13427</v>
      </c>
      <c r="F1581" s="7" t="s">
        <v>4700</v>
      </c>
      <c r="G1581" s="7" t="s">
        <v>13428</v>
      </c>
      <c r="H1581" s="7" t="s">
        <v>13429</v>
      </c>
      <c r="I1581" s="119">
        <v>45292.0</v>
      </c>
      <c r="K1581" s="7" t="s">
        <v>3541</v>
      </c>
      <c r="L1581" s="7" t="s">
        <v>3542</v>
      </c>
      <c r="M1581" s="7" t="s">
        <v>3563</v>
      </c>
      <c r="N1581" s="7" t="s">
        <v>13430</v>
      </c>
      <c r="O1581" s="7" t="s">
        <v>13431</v>
      </c>
      <c r="P1581" s="7" t="s">
        <v>11936</v>
      </c>
      <c r="Q1581" s="7" t="s">
        <v>3514</v>
      </c>
    </row>
    <row r="1582">
      <c r="A1582" s="7" t="s">
        <v>13432</v>
      </c>
      <c r="B1582" s="7">
        <v>13446.0</v>
      </c>
      <c r="C1582" s="7" t="s">
        <v>13426</v>
      </c>
      <c r="D1582" s="7" t="s">
        <v>13433</v>
      </c>
      <c r="E1582" s="7" t="s">
        <v>13427</v>
      </c>
      <c r="F1582" s="7" t="s">
        <v>11495</v>
      </c>
      <c r="G1582" s="7" t="s">
        <v>13434</v>
      </c>
      <c r="H1582" s="7" t="s">
        <v>13435</v>
      </c>
      <c r="I1582" s="119">
        <v>45292.0</v>
      </c>
      <c r="K1582" s="7" t="s">
        <v>419</v>
      </c>
      <c r="L1582" s="7" t="s">
        <v>991</v>
      </c>
      <c r="M1582" s="7" t="s">
        <v>3501</v>
      </c>
      <c r="N1582" s="7" t="s">
        <v>13436</v>
      </c>
      <c r="O1582" s="7" t="s">
        <v>13437</v>
      </c>
      <c r="P1582" s="7" t="s">
        <v>3604</v>
      </c>
      <c r="Q1582" s="7">
        <v>1.0</v>
      </c>
    </row>
    <row r="1583">
      <c r="A1583" s="7" t="s">
        <v>1587</v>
      </c>
      <c r="B1583" s="7">
        <v>116.0</v>
      </c>
      <c r="C1583" s="7" t="s">
        <v>13426</v>
      </c>
      <c r="D1583" s="7" t="s">
        <v>13438</v>
      </c>
      <c r="E1583" s="7" t="s">
        <v>13427</v>
      </c>
      <c r="F1583" s="7" t="s">
        <v>13439</v>
      </c>
      <c r="G1583" s="7" t="s">
        <v>13440</v>
      </c>
      <c r="H1583" s="7" t="s">
        <v>13441</v>
      </c>
      <c r="I1583" s="119">
        <v>45292.0</v>
      </c>
      <c r="K1583" s="7" t="s">
        <v>419</v>
      </c>
      <c r="L1583" s="7" t="s">
        <v>991</v>
      </c>
      <c r="M1583" s="7" t="s">
        <v>3501</v>
      </c>
      <c r="N1583" s="7" t="s">
        <v>4636</v>
      </c>
      <c r="O1583" s="7" t="s">
        <v>4637</v>
      </c>
      <c r="P1583" s="7" t="s">
        <v>3493</v>
      </c>
      <c r="Q1583" s="7">
        <v>1.0</v>
      </c>
    </row>
    <row r="1584">
      <c r="A1584" s="7" t="s">
        <v>13442</v>
      </c>
      <c r="B1584" s="7">
        <v>11024.0</v>
      </c>
      <c r="C1584" s="7" t="s">
        <v>13443</v>
      </c>
      <c r="D1584" s="7" t="s">
        <v>12926</v>
      </c>
      <c r="E1584" s="7" t="s">
        <v>13444</v>
      </c>
      <c r="F1584" s="7" t="s">
        <v>4929</v>
      </c>
      <c r="G1584" s="7" t="s">
        <v>13445</v>
      </c>
      <c r="H1584" s="7" t="s">
        <v>13446</v>
      </c>
      <c r="I1584" s="119">
        <v>45292.0</v>
      </c>
      <c r="K1584" s="7" t="s">
        <v>419</v>
      </c>
      <c r="L1584" s="7" t="s">
        <v>991</v>
      </c>
      <c r="M1584" s="7" t="s">
        <v>3501</v>
      </c>
      <c r="N1584" s="7" t="s">
        <v>6602</v>
      </c>
      <c r="O1584" s="7" t="s">
        <v>6603</v>
      </c>
      <c r="P1584" s="7" t="s">
        <v>3493</v>
      </c>
      <c r="Q1584" s="7">
        <v>1.0</v>
      </c>
    </row>
    <row r="1585">
      <c r="A1585" s="7" t="s">
        <v>13447</v>
      </c>
      <c r="B1585" s="7">
        <v>892.0</v>
      </c>
      <c r="C1585" s="7" t="s">
        <v>13448</v>
      </c>
      <c r="D1585" s="7" t="s">
        <v>13449</v>
      </c>
      <c r="E1585" s="7" t="s">
        <v>13450</v>
      </c>
      <c r="F1585" s="7" t="s">
        <v>13451</v>
      </c>
      <c r="G1585" s="7" t="s">
        <v>13452</v>
      </c>
      <c r="H1585" s="7" t="s">
        <v>13453</v>
      </c>
      <c r="I1585" s="119">
        <v>45292.0</v>
      </c>
      <c r="K1585" s="7" t="s">
        <v>419</v>
      </c>
      <c r="L1585" s="7" t="s">
        <v>991</v>
      </c>
      <c r="M1585" s="7" t="s">
        <v>3501</v>
      </c>
      <c r="N1585" s="7" t="s">
        <v>4152</v>
      </c>
      <c r="O1585" s="7" t="s">
        <v>8837</v>
      </c>
      <c r="P1585" s="7" t="s">
        <v>3522</v>
      </c>
      <c r="Q1585" s="7" t="s">
        <v>3523</v>
      </c>
    </row>
    <row r="1586">
      <c r="A1586" s="7" t="s">
        <v>1823</v>
      </c>
      <c r="B1586" s="7">
        <v>10827.0</v>
      </c>
      <c r="C1586" s="7" t="s">
        <v>13454</v>
      </c>
      <c r="D1586" s="7" t="s">
        <v>13455</v>
      </c>
      <c r="E1586" s="7" t="s">
        <v>13456</v>
      </c>
      <c r="F1586" s="7" t="s">
        <v>13059</v>
      </c>
      <c r="G1586" s="7" t="s">
        <v>13457</v>
      </c>
      <c r="H1586" s="7" t="s">
        <v>13458</v>
      </c>
      <c r="I1586" s="119">
        <v>45292.0</v>
      </c>
      <c r="K1586" s="7" t="s">
        <v>419</v>
      </c>
      <c r="L1586" s="7" t="s">
        <v>991</v>
      </c>
      <c r="M1586" s="7" t="s">
        <v>3501</v>
      </c>
      <c r="N1586" s="7" t="s">
        <v>12649</v>
      </c>
      <c r="O1586" s="7" t="s">
        <v>12650</v>
      </c>
      <c r="P1586" s="7" t="s">
        <v>3843</v>
      </c>
      <c r="Q1586" s="7">
        <v>1.0</v>
      </c>
    </row>
    <row r="1587">
      <c r="A1587" s="7" t="s">
        <v>13459</v>
      </c>
      <c r="B1587" s="7">
        <v>11950.0</v>
      </c>
      <c r="C1587" s="7" t="s">
        <v>13460</v>
      </c>
      <c r="D1587" s="7" t="s">
        <v>13461</v>
      </c>
      <c r="E1587" s="7" t="s">
        <v>13462</v>
      </c>
      <c r="F1587" s="7" t="s">
        <v>6089</v>
      </c>
      <c r="G1587" s="7" t="s">
        <v>13463</v>
      </c>
      <c r="H1587" s="7" t="s">
        <v>13464</v>
      </c>
      <c r="I1587" s="119">
        <v>45292.0</v>
      </c>
      <c r="K1587" s="7" t="s">
        <v>419</v>
      </c>
      <c r="L1587" s="7" t="s">
        <v>991</v>
      </c>
      <c r="M1587" s="7" t="s">
        <v>3501</v>
      </c>
      <c r="N1587" s="7" t="s">
        <v>3877</v>
      </c>
      <c r="O1587" s="7" t="s">
        <v>3878</v>
      </c>
      <c r="P1587" s="7" t="s">
        <v>3493</v>
      </c>
      <c r="Q1587" s="7">
        <v>1.0</v>
      </c>
    </row>
    <row r="1588">
      <c r="A1588" s="7" t="s">
        <v>13465</v>
      </c>
      <c r="B1588" s="7">
        <v>2300707.0</v>
      </c>
      <c r="C1588" s="7" t="s">
        <v>13460</v>
      </c>
      <c r="D1588" s="7" t="s">
        <v>13466</v>
      </c>
      <c r="E1588" s="7" t="s">
        <v>13462</v>
      </c>
      <c r="F1588" s="7" t="s">
        <v>8129</v>
      </c>
      <c r="G1588" s="7" t="s">
        <v>13467</v>
      </c>
      <c r="H1588" s="7" t="s">
        <v>13468</v>
      </c>
      <c r="I1588" s="119">
        <v>45292.0</v>
      </c>
      <c r="K1588" s="7" t="s">
        <v>419</v>
      </c>
      <c r="L1588" s="7" t="s">
        <v>991</v>
      </c>
      <c r="M1588" s="7" t="s">
        <v>3501</v>
      </c>
      <c r="N1588" s="7" t="s">
        <v>9953</v>
      </c>
      <c r="O1588" s="7" t="s">
        <v>9954</v>
      </c>
      <c r="P1588" s="7" t="s">
        <v>3843</v>
      </c>
      <c r="Q1588" s="7">
        <v>1.0</v>
      </c>
    </row>
    <row r="1589">
      <c r="A1589" s="7" t="s">
        <v>13469</v>
      </c>
      <c r="B1589" s="7">
        <v>1042.0</v>
      </c>
      <c r="C1589" s="7" t="s">
        <v>13460</v>
      </c>
      <c r="D1589" s="7" t="s">
        <v>13470</v>
      </c>
      <c r="E1589" s="7" t="s">
        <v>13462</v>
      </c>
      <c r="F1589" s="7" t="s">
        <v>3714</v>
      </c>
      <c r="G1589" s="7" t="s">
        <v>13471</v>
      </c>
      <c r="H1589" s="7" t="s">
        <v>13472</v>
      </c>
      <c r="I1589" s="119">
        <v>45292.0</v>
      </c>
      <c r="K1589" s="7" t="s">
        <v>419</v>
      </c>
      <c r="L1589" s="7" t="s">
        <v>991</v>
      </c>
      <c r="M1589" s="7" t="s">
        <v>3501</v>
      </c>
      <c r="N1589" s="7" t="s">
        <v>5755</v>
      </c>
      <c r="O1589" s="7" t="s">
        <v>5756</v>
      </c>
      <c r="P1589" s="7" t="s">
        <v>3493</v>
      </c>
      <c r="Q1589" s="7">
        <v>1.0</v>
      </c>
    </row>
    <row r="1590">
      <c r="A1590" s="7" t="s">
        <v>13473</v>
      </c>
      <c r="B1590" s="7">
        <v>2300623.0</v>
      </c>
      <c r="C1590" s="7" t="s">
        <v>13460</v>
      </c>
      <c r="D1590" s="7" t="s">
        <v>13474</v>
      </c>
      <c r="E1590" s="7" t="s">
        <v>13462</v>
      </c>
      <c r="F1590" s="7" t="s">
        <v>5369</v>
      </c>
      <c r="G1590" s="7" t="s">
        <v>13475</v>
      </c>
      <c r="H1590" s="7" t="s">
        <v>13476</v>
      </c>
      <c r="I1590" s="119">
        <v>45292.0</v>
      </c>
      <c r="K1590" s="7" t="s">
        <v>419</v>
      </c>
      <c r="L1590" s="7" t="s">
        <v>991</v>
      </c>
      <c r="M1590" s="7" t="s">
        <v>3501</v>
      </c>
      <c r="N1590" s="7" t="s">
        <v>13477</v>
      </c>
      <c r="O1590" s="7" t="s">
        <v>13478</v>
      </c>
      <c r="P1590" s="7" t="s">
        <v>3493</v>
      </c>
      <c r="Q1590" s="7">
        <v>1.0</v>
      </c>
    </row>
    <row r="1591">
      <c r="A1591" s="7" t="s">
        <v>13479</v>
      </c>
      <c r="B1591" s="7">
        <v>2300049.0</v>
      </c>
      <c r="C1591" s="7" t="s">
        <v>13480</v>
      </c>
      <c r="D1591" s="7" t="s">
        <v>13481</v>
      </c>
      <c r="E1591" s="7" t="s">
        <v>13482</v>
      </c>
      <c r="F1591" s="7" t="s">
        <v>13483</v>
      </c>
      <c r="G1591" s="7" t="s">
        <v>13484</v>
      </c>
      <c r="H1591" s="7" t="s">
        <v>13485</v>
      </c>
      <c r="I1591" s="119">
        <v>45292.0</v>
      </c>
      <c r="K1591" s="7" t="s">
        <v>3622</v>
      </c>
      <c r="L1591" s="7" t="s">
        <v>991</v>
      </c>
      <c r="M1591" s="7" t="s">
        <v>3531</v>
      </c>
      <c r="N1591" s="7" t="s">
        <v>3623</v>
      </c>
      <c r="O1591" s="7" t="s">
        <v>3624</v>
      </c>
      <c r="P1591" s="7" t="s">
        <v>3493</v>
      </c>
      <c r="Q1591" s="7">
        <v>1.0</v>
      </c>
    </row>
    <row r="1592">
      <c r="A1592" s="7" t="s">
        <v>13486</v>
      </c>
      <c r="B1592" s="7">
        <v>2100151.0</v>
      </c>
      <c r="C1592" s="7" t="s">
        <v>13487</v>
      </c>
      <c r="D1592" s="7" t="s">
        <v>13488</v>
      </c>
      <c r="E1592" s="7" t="s">
        <v>13482</v>
      </c>
      <c r="F1592" s="7" t="s">
        <v>4144</v>
      </c>
      <c r="G1592" s="7" t="s">
        <v>13489</v>
      </c>
      <c r="H1592" s="7" t="s">
        <v>13490</v>
      </c>
      <c r="I1592" s="119">
        <v>45292.0</v>
      </c>
      <c r="K1592" s="7" t="s">
        <v>419</v>
      </c>
      <c r="L1592" s="7" t="s">
        <v>991</v>
      </c>
      <c r="M1592" s="7" t="s">
        <v>3501</v>
      </c>
      <c r="N1592" s="7" t="s">
        <v>12793</v>
      </c>
      <c r="O1592" s="7" t="s">
        <v>13491</v>
      </c>
      <c r="P1592" s="7" t="s">
        <v>4154</v>
      </c>
      <c r="Q1592" s="7" t="s">
        <v>3555</v>
      </c>
    </row>
    <row r="1593">
      <c r="A1593" s="7" t="s">
        <v>13492</v>
      </c>
      <c r="B1593" s="7">
        <v>2200717.0</v>
      </c>
      <c r="C1593" s="7" t="s">
        <v>13493</v>
      </c>
      <c r="D1593" s="7" t="s">
        <v>9146</v>
      </c>
      <c r="E1593" s="7" t="s">
        <v>13494</v>
      </c>
      <c r="F1593" s="7" t="s">
        <v>4068</v>
      </c>
      <c r="G1593" s="7" t="s">
        <v>13495</v>
      </c>
      <c r="H1593" s="7" t="s">
        <v>13496</v>
      </c>
      <c r="I1593" s="119">
        <v>45292.0</v>
      </c>
      <c r="K1593" s="7" t="s">
        <v>4042</v>
      </c>
      <c r="L1593" s="7" t="s">
        <v>991</v>
      </c>
      <c r="M1593" s="7" t="s">
        <v>3501</v>
      </c>
      <c r="N1593" s="7" t="s">
        <v>4043</v>
      </c>
      <c r="O1593" s="7" t="s">
        <v>4044</v>
      </c>
      <c r="P1593" s="7" t="s">
        <v>3493</v>
      </c>
      <c r="Q1593" s="7">
        <v>1.0</v>
      </c>
    </row>
    <row r="1594">
      <c r="A1594" s="7" t="s">
        <v>13497</v>
      </c>
      <c r="B1594" s="7">
        <v>11844.0</v>
      </c>
      <c r="C1594" s="7" t="s">
        <v>13493</v>
      </c>
      <c r="D1594" s="7" t="s">
        <v>13498</v>
      </c>
      <c r="E1594" s="7" t="s">
        <v>13494</v>
      </c>
      <c r="F1594" s="7" t="s">
        <v>13499</v>
      </c>
      <c r="G1594" s="7" t="s">
        <v>13500</v>
      </c>
      <c r="H1594" s="7" t="s">
        <v>13501</v>
      </c>
      <c r="I1594" s="119">
        <v>45292.0</v>
      </c>
      <c r="K1594" s="7" t="s">
        <v>419</v>
      </c>
      <c r="L1594" s="7" t="s">
        <v>991</v>
      </c>
      <c r="M1594" s="7" t="s">
        <v>3501</v>
      </c>
      <c r="N1594" s="7" t="s">
        <v>4290</v>
      </c>
      <c r="O1594" s="7" t="s">
        <v>4291</v>
      </c>
      <c r="P1594" s="7" t="s">
        <v>3493</v>
      </c>
      <c r="Q1594" s="7">
        <v>1.0</v>
      </c>
    </row>
    <row r="1595">
      <c r="A1595" s="7" t="s">
        <v>13502</v>
      </c>
      <c r="B1595" s="7">
        <v>2200459.0</v>
      </c>
      <c r="C1595" s="7" t="s">
        <v>13503</v>
      </c>
      <c r="D1595" s="7" t="s">
        <v>7284</v>
      </c>
      <c r="E1595" s="7" t="s">
        <v>13504</v>
      </c>
      <c r="F1595" s="7" t="s">
        <v>4032</v>
      </c>
      <c r="G1595" s="7" t="s">
        <v>13505</v>
      </c>
      <c r="I1595" s="119">
        <v>45292.0</v>
      </c>
      <c r="K1595" s="7" t="s">
        <v>419</v>
      </c>
      <c r="L1595" s="7" t="s">
        <v>991</v>
      </c>
      <c r="M1595" s="7" t="s">
        <v>3531</v>
      </c>
      <c r="N1595" s="7" t="s">
        <v>3820</v>
      </c>
      <c r="O1595" s="7" t="s">
        <v>3821</v>
      </c>
      <c r="P1595" s="7" t="s">
        <v>3493</v>
      </c>
      <c r="Q1595" s="7">
        <v>1.0</v>
      </c>
    </row>
    <row r="1596">
      <c r="A1596" s="7" t="s">
        <v>13506</v>
      </c>
      <c r="B1596" s="7">
        <v>12760.0</v>
      </c>
      <c r="C1596" s="7" t="s">
        <v>13503</v>
      </c>
      <c r="D1596" s="7" t="s">
        <v>11227</v>
      </c>
      <c r="E1596" s="7" t="s">
        <v>13504</v>
      </c>
      <c r="F1596" s="7" t="s">
        <v>3549</v>
      </c>
      <c r="G1596" s="7" t="s">
        <v>13507</v>
      </c>
      <c r="H1596" s="7" t="s">
        <v>13508</v>
      </c>
      <c r="I1596" s="119">
        <v>45292.0</v>
      </c>
      <c r="K1596" s="7" t="s">
        <v>3885</v>
      </c>
      <c r="L1596" s="7" t="s">
        <v>3542</v>
      </c>
      <c r="M1596" s="7" t="s">
        <v>3563</v>
      </c>
      <c r="N1596" s="7" t="s">
        <v>13509</v>
      </c>
      <c r="O1596" s="7" t="s">
        <v>13510</v>
      </c>
      <c r="P1596" s="7" t="s">
        <v>6683</v>
      </c>
      <c r="Q1596" s="7" t="s">
        <v>4155</v>
      </c>
    </row>
    <row r="1597">
      <c r="A1597" s="7" t="s">
        <v>13511</v>
      </c>
      <c r="B1597" s="7">
        <v>2300203.0</v>
      </c>
      <c r="C1597" s="7" t="s">
        <v>13503</v>
      </c>
      <c r="D1597" s="7" t="s">
        <v>13512</v>
      </c>
      <c r="E1597" s="7" t="s">
        <v>13504</v>
      </c>
      <c r="F1597" s="7" t="s">
        <v>4518</v>
      </c>
      <c r="G1597" s="7" t="s">
        <v>13513</v>
      </c>
      <c r="H1597" s="7" t="s">
        <v>13514</v>
      </c>
      <c r="I1597" s="119">
        <v>45292.0</v>
      </c>
      <c r="K1597" s="7" t="s">
        <v>419</v>
      </c>
      <c r="L1597" s="7" t="s">
        <v>991</v>
      </c>
      <c r="M1597" s="7" t="s">
        <v>3501</v>
      </c>
      <c r="N1597" s="7" t="s">
        <v>4754</v>
      </c>
      <c r="O1597" s="7" t="s">
        <v>4755</v>
      </c>
      <c r="P1597" s="7" t="s">
        <v>3493</v>
      </c>
      <c r="Q1597" s="7">
        <v>1.0</v>
      </c>
    </row>
    <row r="1598">
      <c r="A1598" s="7" t="s">
        <v>13515</v>
      </c>
      <c r="B1598" s="7">
        <v>12727.0</v>
      </c>
      <c r="C1598" s="7" t="s">
        <v>13503</v>
      </c>
      <c r="D1598" s="7" t="s">
        <v>13516</v>
      </c>
      <c r="E1598" s="7" t="s">
        <v>13504</v>
      </c>
      <c r="F1598" s="7" t="s">
        <v>13517</v>
      </c>
      <c r="G1598" s="7" t="s">
        <v>13518</v>
      </c>
      <c r="H1598" s="7" t="s">
        <v>13519</v>
      </c>
      <c r="I1598" s="119">
        <v>45292.0</v>
      </c>
      <c r="K1598" s="7" t="s">
        <v>419</v>
      </c>
      <c r="L1598" s="7" t="s">
        <v>991</v>
      </c>
      <c r="M1598" s="7" t="s">
        <v>3501</v>
      </c>
      <c r="N1598" s="7" t="s">
        <v>13520</v>
      </c>
      <c r="O1598" s="7" t="s">
        <v>13521</v>
      </c>
      <c r="P1598" s="7" t="s">
        <v>4420</v>
      </c>
      <c r="Q1598" s="7" t="s">
        <v>3523</v>
      </c>
    </row>
    <row r="1599">
      <c r="A1599" s="7" t="s">
        <v>13522</v>
      </c>
      <c r="B1599" s="7">
        <v>12039.0</v>
      </c>
      <c r="C1599" s="7" t="s">
        <v>13523</v>
      </c>
      <c r="D1599" s="7" t="s">
        <v>13524</v>
      </c>
      <c r="E1599" s="7" t="s">
        <v>13525</v>
      </c>
      <c r="F1599" s="7" t="s">
        <v>4321</v>
      </c>
      <c r="G1599" s="7" t="s">
        <v>13526</v>
      </c>
      <c r="H1599" s="7" t="s">
        <v>13527</v>
      </c>
      <c r="I1599" s="119">
        <v>45292.0</v>
      </c>
      <c r="K1599" s="7" t="s">
        <v>419</v>
      </c>
      <c r="L1599" s="7" t="s">
        <v>991</v>
      </c>
      <c r="M1599" s="7" t="s">
        <v>3501</v>
      </c>
      <c r="N1599" s="7" t="s">
        <v>13528</v>
      </c>
      <c r="O1599" s="7" t="s">
        <v>13529</v>
      </c>
      <c r="P1599" s="7" t="s">
        <v>3604</v>
      </c>
      <c r="Q1599" s="7">
        <v>1.0</v>
      </c>
    </row>
    <row r="1600">
      <c r="A1600" s="7" t="s">
        <v>13530</v>
      </c>
      <c r="B1600" s="7">
        <v>2100534.0</v>
      </c>
      <c r="C1600" s="7" t="s">
        <v>13531</v>
      </c>
      <c r="D1600" s="7" t="s">
        <v>13532</v>
      </c>
      <c r="E1600" s="7" t="s">
        <v>13533</v>
      </c>
      <c r="F1600" s="7" t="s">
        <v>13534</v>
      </c>
      <c r="G1600" s="7" t="s">
        <v>13535</v>
      </c>
      <c r="H1600" s="7" t="s">
        <v>13536</v>
      </c>
      <c r="I1600" s="119">
        <v>45292.0</v>
      </c>
      <c r="K1600" s="7" t="s">
        <v>419</v>
      </c>
      <c r="L1600" s="7" t="s">
        <v>991</v>
      </c>
      <c r="M1600" s="7" t="s">
        <v>3501</v>
      </c>
      <c r="N1600" s="7" t="s">
        <v>3574</v>
      </c>
      <c r="O1600" s="7" t="s">
        <v>13537</v>
      </c>
      <c r="P1600" s="7" t="s">
        <v>3522</v>
      </c>
      <c r="Q1600" s="7" t="s">
        <v>3523</v>
      </c>
    </row>
    <row r="1601">
      <c r="A1601" s="7" t="s">
        <v>13538</v>
      </c>
      <c r="B1601" s="7">
        <v>12640.0</v>
      </c>
      <c r="C1601" s="7" t="s">
        <v>13539</v>
      </c>
      <c r="D1601" s="7" t="s">
        <v>13540</v>
      </c>
      <c r="E1601" s="7" t="s">
        <v>13541</v>
      </c>
      <c r="F1601" s="7" t="s">
        <v>7673</v>
      </c>
      <c r="G1601" s="7" t="s">
        <v>13542</v>
      </c>
      <c r="H1601" s="7" t="s">
        <v>13543</v>
      </c>
      <c r="I1601" s="119">
        <v>45292.0</v>
      </c>
      <c r="K1601" s="7" t="s">
        <v>3885</v>
      </c>
      <c r="L1601" s="7" t="s">
        <v>3542</v>
      </c>
      <c r="M1601" s="7" t="s">
        <v>3543</v>
      </c>
      <c r="N1601" s="7" t="s">
        <v>3973</v>
      </c>
      <c r="O1601" s="7" t="s">
        <v>3974</v>
      </c>
      <c r="P1601" s="7" t="s">
        <v>3614</v>
      </c>
      <c r="Q1601" s="7" t="s">
        <v>3514</v>
      </c>
    </row>
    <row r="1602">
      <c r="A1602" s="7" t="s">
        <v>1964</v>
      </c>
      <c r="B1602" s="7">
        <v>175.0</v>
      </c>
      <c r="C1602" s="7" t="s">
        <v>13544</v>
      </c>
      <c r="D1602" s="7" t="s">
        <v>8105</v>
      </c>
      <c r="E1602" s="7" t="s">
        <v>13545</v>
      </c>
      <c r="F1602" s="7" t="s">
        <v>7066</v>
      </c>
      <c r="G1602" s="7" t="s">
        <v>13546</v>
      </c>
      <c r="H1602" s="7" t="s">
        <v>13547</v>
      </c>
      <c r="I1602" s="119">
        <v>45292.0</v>
      </c>
      <c r="K1602" s="7" t="s">
        <v>419</v>
      </c>
      <c r="L1602" s="7" t="s">
        <v>991</v>
      </c>
      <c r="M1602" s="7" t="s">
        <v>3501</v>
      </c>
      <c r="N1602" s="7" t="s">
        <v>9752</v>
      </c>
      <c r="O1602" s="7" t="s">
        <v>9753</v>
      </c>
      <c r="P1602" s="7" t="s">
        <v>3604</v>
      </c>
      <c r="Q1602" s="7">
        <v>1.0</v>
      </c>
    </row>
    <row r="1603">
      <c r="A1603" s="7" t="s">
        <v>13548</v>
      </c>
      <c r="B1603" s="7">
        <v>2400012.0</v>
      </c>
      <c r="C1603" s="7" t="s">
        <v>13544</v>
      </c>
      <c r="D1603" s="7" t="s">
        <v>13549</v>
      </c>
      <c r="E1603" s="7" t="s">
        <v>13545</v>
      </c>
      <c r="F1603" s="7" t="s">
        <v>4511</v>
      </c>
      <c r="G1603" s="7" t="s">
        <v>13550</v>
      </c>
      <c r="H1603" s="7" t="s">
        <v>13551</v>
      </c>
      <c r="I1603" s="119">
        <v>45292.0</v>
      </c>
      <c r="K1603" s="7" t="s">
        <v>419</v>
      </c>
      <c r="L1603" s="7" t="s">
        <v>991</v>
      </c>
      <c r="M1603" s="7" t="s">
        <v>5110</v>
      </c>
      <c r="N1603" s="7" t="s">
        <v>13552</v>
      </c>
      <c r="O1603" s="7" t="s">
        <v>13553</v>
      </c>
      <c r="P1603" s="7" t="s">
        <v>3522</v>
      </c>
      <c r="Q1603" s="7" t="s">
        <v>3523</v>
      </c>
    </row>
    <row r="1604">
      <c r="A1604" s="7" t="s">
        <v>13554</v>
      </c>
      <c r="B1604" s="7">
        <v>2200287.0</v>
      </c>
      <c r="C1604" s="7" t="s">
        <v>13555</v>
      </c>
      <c r="D1604" s="7" t="s">
        <v>4107</v>
      </c>
      <c r="E1604" s="7" t="s">
        <v>13545</v>
      </c>
      <c r="F1604" s="7" t="s">
        <v>4109</v>
      </c>
      <c r="G1604" s="7" t="s">
        <v>13556</v>
      </c>
      <c r="H1604" s="7" t="s">
        <v>13557</v>
      </c>
      <c r="I1604" s="119">
        <v>45292.0</v>
      </c>
      <c r="K1604" s="7" t="s">
        <v>419</v>
      </c>
      <c r="L1604" s="7" t="s">
        <v>991</v>
      </c>
      <c r="M1604" s="7" t="s">
        <v>3501</v>
      </c>
      <c r="N1604" s="7" t="s">
        <v>9072</v>
      </c>
      <c r="O1604" s="7" t="s">
        <v>9073</v>
      </c>
      <c r="P1604" s="7" t="s">
        <v>3843</v>
      </c>
      <c r="Q1604" s="7">
        <v>1.0</v>
      </c>
    </row>
    <row r="1605">
      <c r="A1605" s="7" t="s">
        <v>13558</v>
      </c>
      <c r="B1605" s="7">
        <v>12883.0</v>
      </c>
      <c r="C1605" s="7" t="s">
        <v>13544</v>
      </c>
      <c r="D1605" s="7" t="s">
        <v>13559</v>
      </c>
      <c r="E1605" s="7" t="s">
        <v>13545</v>
      </c>
      <c r="F1605" s="7" t="s">
        <v>13136</v>
      </c>
      <c r="G1605" s="7" t="s">
        <v>13560</v>
      </c>
      <c r="H1605" s="7" t="s">
        <v>13561</v>
      </c>
      <c r="I1605" s="119">
        <v>45292.0</v>
      </c>
      <c r="K1605" s="7" t="s">
        <v>419</v>
      </c>
      <c r="L1605" s="7" t="s">
        <v>991</v>
      </c>
      <c r="M1605" s="7" t="s">
        <v>3490</v>
      </c>
      <c r="N1605" s="7" t="s">
        <v>7662</v>
      </c>
      <c r="O1605" s="7" t="s">
        <v>7663</v>
      </c>
      <c r="P1605" s="7" t="s">
        <v>3493</v>
      </c>
      <c r="Q1605" s="7">
        <v>1.0</v>
      </c>
    </row>
    <row r="1606">
      <c r="A1606" s="7" t="s">
        <v>13562</v>
      </c>
      <c r="B1606" s="7">
        <v>2100405.0</v>
      </c>
      <c r="C1606" s="7" t="s">
        <v>13563</v>
      </c>
      <c r="D1606" s="7" t="s">
        <v>10826</v>
      </c>
      <c r="E1606" s="7" t="s">
        <v>13564</v>
      </c>
      <c r="F1606" s="7" t="s">
        <v>10491</v>
      </c>
      <c r="G1606" s="7" t="s">
        <v>13565</v>
      </c>
      <c r="H1606" s="7" t="s">
        <v>13566</v>
      </c>
      <c r="I1606" s="119">
        <v>45292.0</v>
      </c>
      <c r="K1606" s="7" t="s">
        <v>419</v>
      </c>
      <c r="L1606" s="7" t="s">
        <v>991</v>
      </c>
      <c r="M1606" s="7" t="s">
        <v>3501</v>
      </c>
      <c r="N1606" s="7" t="s">
        <v>11305</v>
      </c>
      <c r="O1606" s="7" t="s">
        <v>13567</v>
      </c>
      <c r="P1606" s="7" t="s">
        <v>3785</v>
      </c>
      <c r="Q1606" s="7" t="s">
        <v>3523</v>
      </c>
    </row>
    <row r="1607">
      <c r="A1607" s="7" t="s">
        <v>13568</v>
      </c>
      <c r="B1607" s="7">
        <v>2200227.0</v>
      </c>
      <c r="C1607" s="7" t="s">
        <v>13569</v>
      </c>
      <c r="D1607" s="7" t="s">
        <v>13570</v>
      </c>
      <c r="E1607" s="7" t="s">
        <v>13571</v>
      </c>
      <c r="F1607" s="7" t="s">
        <v>13572</v>
      </c>
      <c r="G1607" s="7" t="s">
        <v>13573</v>
      </c>
      <c r="H1607" s="7" t="s">
        <v>13574</v>
      </c>
      <c r="I1607" s="119">
        <v>45292.0</v>
      </c>
      <c r="K1607" s="7" t="s">
        <v>419</v>
      </c>
      <c r="L1607" s="7" t="s">
        <v>991</v>
      </c>
      <c r="M1607" s="7" t="s">
        <v>3501</v>
      </c>
      <c r="N1607" s="7" t="s">
        <v>4490</v>
      </c>
      <c r="O1607" s="7" t="s">
        <v>13575</v>
      </c>
      <c r="P1607" s="7" t="s">
        <v>3522</v>
      </c>
      <c r="Q1607" s="7" t="s">
        <v>3514</v>
      </c>
    </row>
    <row r="1608">
      <c r="A1608" s="7" t="s">
        <v>1517</v>
      </c>
      <c r="B1608" s="7">
        <v>987.0</v>
      </c>
      <c r="C1608" s="7" t="s">
        <v>13576</v>
      </c>
      <c r="D1608" s="7" t="s">
        <v>5041</v>
      </c>
      <c r="E1608" s="7" t="s">
        <v>13577</v>
      </c>
      <c r="F1608" s="7" t="s">
        <v>5723</v>
      </c>
      <c r="G1608" s="7" t="s">
        <v>13578</v>
      </c>
      <c r="H1608" s="7" t="s">
        <v>13579</v>
      </c>
      <c r="I1608" s="119">
        <v>45292.0</v>
      </c>
      <c r="K1608" s="7" t="s">
        <v>419</v>
      </c>
      <c r="L1608" s="7" t="s">
        <v>991</v>
      </c>
      <c r="M1608" s="7" t="s">
        <v>3501</v>
      </c>
      <c r="N1608" s="7" t="s">
        <v>9137</v>
      </c>
      <c r="O1608" s="7" t="s">
        <v>9138</v>
      </c>
      <c r="P1608" s="7" t="s">
        <v>3493</v>
      </c>
      <c r="Q1608" s="7">
        <v>1.0</v>
      </c>
    </row>
    <row r="1609">
      <c r="A1609" s="7" t="s">
        <v>13580</v>
      </c>
      <c r="B1609" s="7">
        <v>2300426.0</v>
      </c>
      <c r="C1609" s="7" t="s">
        <v>13581</v>
      </c>
      <c r="D1609" s="7" t="s">
        <v>13582</v>
      </c>
      <c r="E1609" s="7" t="s">
        <v>13583</v>
      </c>
      <c r="F1609" s="7" t="s">
        <v>5132</v>
      </c>
      <c r="G1609" s="7" t="s">
        <v>13584</v>
      </c>
      <c r="H1609" s="7" t="s">
        <v>13585</v>
      </c>
      <c r="I1609" s="119">
        <v>45292.0</v>
      </c>
      <c r="K1609" s="7" t="s">
        <v>6439</v>
      </c>
      <c r="L1609" s="7" t="s">
        <v>991</v>
      </c>
      <c r="M1609" s="7" t="s">
        <v>3531</v>
      </c>
      <c r="N1609" s="7" t="s">
        <v>6440</v>
      </c>
      <c r="O1609" s="7" t="s">
        <v>6441</v>
      </c>
      <c r="P1609" s="7" t="s">
        <v>3493</v>
      </c>
      <c r="Q1609" s="7">
        <v>1.0</v>
      </c>
    </row>
    <row r="1610">
      <c r="A1610" s="7" t="s">
        <v>13586</v>
      </c>
      <c r="B1610" s="7">
        <v>2200054.0</v>
      </c>
      <c r="C1610" s="7" t="s">
        <v>13581</v>
      </c>
      <c r="D1610" s="7" t="s">
        <v>13587</v>
      </c>
      <c r="E1610" s="7" t="s">
        <v>13583</v>
      </c>
      <c r="F1610" s="7" t="s">
        <v>5132</v>
      </c>
      <c r="G1610" s="7" t="s">
        <v>13588</v>
      </c>
      <c r="H1610" s="7" t="s">
        <v>13589</v>
      </c>
      <c r="I1610" s="119">
        <v>45292.0</v>
      </c>
      <c r="K1610" s="7" t="s">
        <v>419</v>
      </c>
      <c r="L1610" s="7" t="s">
        <v>991</v>
      </c>
      <c r="M1610" s="7" t="s">
        <v>3866</v>
      </c>
      <c r="N1610" s="7" t="s">
        <v>5111</v>
      </c>
      <c r="O1610" s="7" t="s">
        <v>5112</v>
      </c>
      <c r="P1610" s="7" t="s">
        <v>3493</v>
      </c>
      <c r="Q1610" s="7">
        <v>1.0</v>
      </c>
    </row>
    <row r="1611">
      <c r="A1611" s="7" t="s">
        <v>13590</v>
      </c>
      <c r="B1611" s="7">
        <v>13318.0</v>
      </c>
      <c r="C1611" s="7" t="s">
        <v>13591</v>
      </c>
      <c r="D1611" s="7" t="s">
        <v>13592</v>
      </c>
      <c r="E1611" s="7" t="s">
        <v>13593</v>
      </c>
      <c r="F1611" s="7" t="s">
        <v>3721</v>
      </c>
      <c r="G1611" s="7" t="s">
        <v>13594</v>
      </c>
      <c r="H1611" s="7" t="s">
        <v>13595</v>
      </c>
      <c r="I1611" s="119">
        <v>45292.0</v>
      </c>
      <c r="K1611" s="7" t="s">
        <v>419</v>
      </c>
      <c r="L1611" s="7" t="s">
        <v>991</v>
      </c>
      <c r="M1611" s="7" t="s">
        <v>3501</v>
      </c>
      <c r="N1611" s="7" t="s">
        <v>6602</v>
      </c>
      <c r="O1611" s="7" t="s">
        <v>13596</v>
      </c>
      <c r="P1611" s="7" t="s">
        <v>3522</v>
      </c>
      <c r="Q1611" s="7" t="s">
        <v>3523</v>
      </c>
    </row>
    <row r="1612">
      <c r="A1612" s="7" t="s">
        <v>13597</v>
      </c>
      <c r="B1612" s="7">
        <v>13989.0</v>
      </c>
      <c r="C1612" s="7" t="s">
        <v>13598</v>
      </c>
      <c r="D1612" s="7" t="s">
        <v>13599</v>
      </c>
      <c r="E1612" s="7" t="s">
        <v>13600</v>
      </c>
      <c r="F1612" s="7" t="s">
        <v>13601</v>
      </c>
      <c r="G1612" s="7" t="s">
        <v>13602</v>
      </c>
      <c r="H1612" s="7" t="s">
        <v>13603</v>
      </c>
      <c r="I1612" s="119">
        <v>45292.0</v>
      </c>
      <c r="K1612" s="7" t="s">
        <v>3632</v>
      </c>
      <c r="L1612" s="7" t="s">
        <v>991</v>
      </c>
      <c r="M1612" s="7" t="s">
        <v>3501</v>
      </c>
      <c r="N1612" s="7" t="s">
        <v>5052</v>
      </c>
      <c r="O1612" s="7" t="s">
        <v>5053</v>
      </c>
      <c r="P1612" s="7" t="s">
        <v>3522</v>
      </c>
      <c r="Q1612" s="7" t="s">
        <v>3523</v>
      </c>
    </row>
    <row r="1613">
      <c r="A1613" s="7" t="s">
        <v>13604</v>
      </c>
      <c r="B1613" s="7">
        <v>11759.0</v>
      </c>
      <c r="C1613" s="7" t="s">
        <v>13605</v>
      </c>
      <c r="D1613" s="7" t="s">
        <v>13606</v>
      </c>
      <c r="E1613" s="7" t="s">
        <v>13607</v>
      </c>
      <c r="F1613" s="7" t="s">
        <v>13059</v>
      </c>
      <c r="G1613" s="7" t="s">
        <v>13608</v>
      </c>
      <c r="H1613" s="7" t="s">
        <v>13609</v>
      </c>
      <c r="I1613" s="119">
        <v>45292.0</v>
      </c>
      <c r="K1613" s="7" t="s">
        <v>419</v>
      </c>
      <c r="L1613" s="7" t="s">
        <v>991</v>
      </c>
      <c r="M1613" s="7" t="s">
        <v>3501</v>
      </c>
      <c r="N1613" s="7" t="s">
        <v>4871</v>
      </c>
      <c r="O1613" s="7" t="s">
        <v>5002</v>
      </c>
      <c r="P1613" s="7" t="s">
        <v>3493</v>
      </c>
      <c r="Q1613" s="7">
        <v>1.0</v>
      </c>
    </row>
    <row r="1614">
      <c r="A1614" s="7" t="s">
        <v>13610</v>
      </c>
      <c r="B1614" s="7">
        <v>13581.0</v>
      </c>
      <c r="C1614" s="7" t="s">
        <v>13605</v>
      </c>
      <c r="D1614" s="7" t="s">
        <v>13611</v>
      </c>
      <c r="E1614" s="7" t="s">
        <v>13607</v>
      </c>
      <c r="F1614" s="7" t="s">
        <v>3692</v>
      </c>
      <c r="G1614" s="7" t="s">
        <v>13612</v>
      </c>
      <c r="H1614" s="7" t="s">
        <v>13613</v>
      </c>
      <c r="I1614" s="119">
        <v>45292.0</v>
      </c>
      <c r="K1614" s="7" t="s">
        <v>419</v>
      </c>
      <c r="L1614" s="7" t="s">
        <v>991</v>
      </c>
      <c r="M1614" s="7" t="s">
        <v>3501</v>
      </c>
      <c r="N1614" s="7" t="s">
        <v>6487</v>
      </c>
      <c r="O1614" s="7" t="s">
        <v>13614</v>
      </c>
      <c r="P1614" s="7" t="s">
        <v>3522</v>
      </c>
      <c r="Q1614" s="7" t="s">
        <v>3523</v>
      </c>
    </row>
    <row r="1615">
      <c r="A1615" s="7" t="s">
        <v>13615</v>
      </c>
      <c r="B1615" s="7">
        <v>2100156.0</v>
      </c>
      <c r="C1615" s="7" t="s">
        <v>13605</v>
      </c>
      <c r="D1615" s="7" t="s">
        <v>13616</v>
      </c>
      <c r="E1615" s="7" t="s">
        <v>13607</v>
      </c>
      <c r="F1615" s="7" t="s">
        <v>13617</v>
      </c>
      <c r="G1615" s="7" t="s">
        <v>13618</v>
      </c>
      <c r="H1615" s="7" t="s">
        <v>13619</v>
      </c>
      <c r="I1615" s="119">
        <v>45292.0</v>
      </c>
      <c r="K1615" s="7" t="s">
        <v>419</v>
      </c>
      <c r="L1615" s="7" t="s">
        <v>991</v>
      </c>
      <c r="M1615" s="7" t="s">
        <v>3531</v>
      </c>
      <c r="N1615" s="7" t="s">
        <v>8111</v>
      </c>
      <c r="O1615" s="7" t="s">
        <v>10303</v>
      </c>
      <c r="P1615" s="7" t="s">
        <v>3493</v>
      </c>
      <c r="Q1615" s="7">
        <v>1.0</v>
      </c>
    </row>
    <row r="1616">
      <c r="A1616" s="7" t="s">
        <v>1758</v>
      </c>
      <c r="B1616" s="7">
        <v>2100547.0</v>
      </c>
      <c r="C1616" s="7" t="s">
        <v>13605</v>
      </c>
      <c r="D1616" s="7" t="s">
        <v>13620</v>
      </c>
      <c r="E1616" s="7" t="s">
        <v>13607</v>
      </c>
      <c r="F1616" s="7" t="s">
        <v>3792</v>
      </c>
      <c r="G1616" s="7" t="s">
        <v>13621</v>
      </c>
      <c r="H1616" s="7" t="s">
        <v>13622</v>
      </c>
      <c r="I1616" s="119">
        <v>45292.0</v>
      </c>
      <c r="K1616" s="7" t="s">
        <v>419</v>
      </c>
      <c r="L1616" s="7" t="s">
        <v>991</v>
      </c>
      <c r="M1616" s="7" t="s">
        <v>3501</v>
      </c>
      <c r="N1616" s="7" t="s">
        <v>13623</v>
      </c>
      <c r="O1616" s="7" t="s">
        <v>13624</v>
      </c>
      <c r="P1616" s="7" t="s">
        <v>3604</v>
      </c>
      <c r="Q1616" s="7">
        <v>1.0</v>
      </c>
    </row>
    <row r="1617">
      <c r="A1617" s="7" t="s">
        <v>13625</v>
      </c>
      <c r="B1617" s="7">
        <v>13711.0</v>
      </c>
      <c r="C1617" s="7" t="s">
        <v>13605</v>
      </c>
      <c r="D1617" s="7" t="s">
        <v>13626</v>
      </c>
      <c r="E1617" s="7" t="s">
        <v>13607</v>
      </c>
      <c r="F1617" s="7" t="s">
        <v>3665</v>
      </c>
      <c r="G1617" s="7" t="s">
        <v>13627</v>
      </c>
      <c r="H1617" s="7" t="s">
        <v>13628</v>
      </c>
      <c r="I1617" s="119">
        <v>45292.0</v>
      </c>
      <c r="K1617" s="7" t="s">
        <v>3632</v>
      </c>
      <c r="L1617" s="7" t="s">
        <v>991</v>
      </c>
      <c r="M1617" s="7" t="s">
        <v>3531</v>
      </c>
      <c r="N1617" s="7" t="s">
        <v>4576</v>
      </c>
      <c r="O1617" s="7" t="s">
        <v>4577</v>
      </c>
      <c r="P1617" s="7" t="s">
        <v>3493</v>
      </c>
      <c r="Q1617" s="7">
        <v>1.0</v>
      </c>
    </row>
    <row r="1618">
      <c r="A1618" s="7" t="s">
        <v>13629</v>
      </c>
      <c r="B1618" s="7">
        <v>2300704.0</v>
      </c>
      <c r="C1618" s="7" t="s">
        <v>13630</v>
      </c>
      <c r="D1618" s="7" t="s">
        <v>13631</v>
      </c>
      <c r="E1618" s="7" t="s">
        <v>13632</v>
      </c>
      <c r="F1618" s="7" t="s">
        <v>6089</v>
      </c>
      <c r="G1618" s="7" t="s">
        <v>13633</v>
      </c>
      <c r="H1618" s="7" t="s">
        <v>13634</v>
      </c>
      <c r="I1618" s="119">
        <v>45292.0</v>
      </c>
      <c r="K1618" s="7" t="s">
        <v>419</v>
      </c>
      <c r="L1618" s="7" t="s">
        <v>991</v>
      </c>
      <c r="M1618" s="7" t="s">
        <v>3501</v>
      </c>
      <c r="N1618" s="7" t="s">
        <v>13635</v>
      </c>
      <c r="O1618" s="7" t="s">
        <v>13636</v>
      </c>
      <c r="P1618" s="7" t="s">
        <v>3493</v>
      </c>
      <c r="Q1618" s="7">
        <v>1.0</v>
      </c>
    </row>
    <row r="1619">
      <c r="A1619" s="7" t="s">
        <v>13637</v>
      </c>
      <c r="B1619" s="7">
        <v>10748.0</v>
      </c>
      <c r="C1619" s="7" t="s">
        <v>13638</v>
      </c>
      <c r="D1619" s="7" t="s">
        <v>10692</v>
      </c>
      <c r="E1619" s="7" t="s">
        <v>13639</v>
      </c>
      <c r="F1619" s="7" t="s">
        <v>10694</v>
      </c>
      <c r="G1619" s="7" t="s">
        <v>13640</v>
      </c>
      <c r="H1619" s="7" t="s">
        <v>13641</v>
      </c>
      <c r="I1619" s="119">
        <v>45292.0</v>
      </c>
      <c r="K1619" s="7" t="s">
        <v>419</v>
      </c>
      <c r="L1619" s="7" t="s">
        <v>991</v>
      </c>
      <c r="M1619" s="7" t="s">
        <v>3531</v>
      </c>
      <c r="N1619" s="7" t="s">
        <v>5816</v>
      </c>
      <c r="O1619" s="7" t="s">
        <v>5817</v>
      </c>
      <c r="P1619" s="7" t="s">
        <v>3493</v>
      </c>
      <c r="Q1619" s="7">
        <v>1.0</v>
      </c>
    </row>
    <row r="1620">
      <c r="A1620" s="7" t="s">
        <v>13642</v>
      </c>
      <c r="B1620" s="7">
        <v>2100564.0</v>
      </c>
      <c r="C1620" s="7" t="s">
        <v>13643</v>
      </c>
      <c r="D1620" s="7" t="s">
        <v>13644</v>
      </c>
      <c r="E1620" s="7" t="s">
        <v>13645</v>
      </c>
      <c r="F1620" s="7" t="s">
        <v>3945</v>
      </c>
      <c r="G1620" s="7" t="s">
        <v>13646</v>
      </c>
      <c r="I1620" s="119">
        <v>45292.0</v>
      </c>
      <c r="K1620" s="7" t="s">
        <v>419</v>
      </c>
      <c r="L1620" s="7" t="s">
        <v>991</v>
      </c>
      <c r="M1620" s="7" t="s">
        <v>3531</v>
      </c>
      <c r="N1620" s="7" t="s">
        <v>4103</v>
      </c>
      <c r="O1620" s="7" t="s">
        <v>4104</v>
      </c>
      <c r="P1620" s="7" t="s">
        <v>3493</v>
      </c>
      <c r="Q1620" s="7">
        <v>1.0</v>
      </c>
    </row>
    <row r="1621">
      <c r="A1621" s="7" t="s">
        <v>13647</v>
      </c>
      <c r="B1621" s="7">
        <v>2300087.0</v>
      </c>
      <c r="C1621" s="7" t="s">
        <v>13643</v>
      </c>
      <c r="D1621" s="7" t="s">
        <v>7672</v>
      </c>
      <c r="E1621" s="7" t="s">
        <v>13645</v>
      </c>
      <c r="F1621" s="7" t="s">
        <v>7673</v>
      </c>
      <c r="G1621" s="7" t="s">
        <v>13648</v>
      </c>
      <c r="H1621" s="7" t="s">
        <v>13649</v>
      </c>
      <c r="I1621" s="119">
        <v>45292.0</v>
      </c>
      <c r="K1621" s="7" t="s">
        <v>419</v>
      </c>
      <c r="L1621" s="7" t="s">
        <v>991</v>
      </c>
      <c r="M1621" s="7" t="s">
        <v>3583</v>
      </c>
      <c r="N1621" s="7" t="s">
        <v>5469</v>
      </c>
      <c r="O1621" s="7" t="s">
        <v>5470</v>
      </c>
      <c r="P1621" s="7" t="s">
        <v>3493</v>
      </c>
      <c r="Q1621" s="7">
        <v>1.0</v>
      </c>
    </row>
    <row r="1622">
      <c r="A1622" s="7" t="s">
        <v>13650</v>
      </c>
      <c r="B1622" s="7">
        <v>978.0</v>
      </c>
      <c r="C1622" s="7" t="s">
        <v>13651</v>
      </c>
      <c r="D1622" s="7" t="s">
        <v>13652</v>
      </c>
      <c r="E1622" s="7" t="s">
        <v>13653</v>
      </c>
      <c r="F1622" s="7" t="s">
        <v>13654</v>
      </c>
      <c r="G1622" s="7" t="s">
        <v>13655</v>
      </c>
      <c r="H1622" s="7" t="s">
        <v>13656</v>
      </c>
      <c r="I1622" s="119">
        <v>45292.0</v>
      </c>
      <c r="K1622" s="7" t="s">
        <v>419</v>
      </c>
      <c r="L1622" s="7" t="s">
        <v>991</v>
      </c>
      <c r="M1622" s="7" t="s">
        <v>3501</v>
      </c>
      <c r="N1622" s="7" t="s">
        <v>5755</v>
      </c>
      <c r="O1622" s="7" t="s">
        <v>13657</v>
      </c>
      <c r="P1622" s="7" t="s">
        <v>3522</v>
      </c>
      <c r="Q1622" s="7" t="s">
        <v>3523</v>
      </c>
    </row>
    <row r="1623">
      <c r="A1623" s="7" t="s">
        <v>1676</v>
      </c>
      <c r="B1623" s="7">
        <v>11112.0</v>
      </c>
      <c r="C1623" s="7" t="s">
        <v>13658</v>
      </c>
      <c r="D1623" s="7" t="s">
        <v>11667</v>
      </c>
      <c r="E1623" s="7" t="s">
        <v>13659</v>
      </c>
      <c r="F1623" s="7" t="s">
        <v>3549</v>
      </c>
      <c r="G1623" s="7" t="s">
        <v>13660</v>
      </c>
      <c r="H1623" s="7" t="s">
        <v>13661</v>
      </c>
      <c r="I1623" s="119">
        <v>45292.0</v>
      </c>
      <c r="K1623" s="7" t="s">
        <v>419</v>
      </c>
      <c r="L1623" s="7" t="s">
        <v>991</v>
      </c>
      <c r="M1623" s="7" t="s">
        <v>3501</v>
      </c>
      <c r="N1623" s="7" t="s">
        <v>10024</v>
      </c>
      <c r="O1623" s="7" t="s">
        <v>10025</v>
      </c>
      <c r="P1623" s="7" t="s">
        <v>6078</v>
      </c>
      <c r="Q1623" s="7">
        <v>1.0</v>
      </c>
    </row>
    <row r="1624">
      <c r="A1624" s="7" t="s">
        <v>13662</v>
      </c>
      <c r="B1624" s="7">
        <v>12460.0</v>
      </c>
      <c r="C1624" s="7" t="s">
        <v>13663</v>
      </c>
      <c r="D1624" s="7" t="s">
        <v>13664</v>
      </c>
      <c r="E1624" s="7" t="s">
        <v>13665</v>
      </c>
      <c r="F1624" s="7" t="s">
        <v>13666</v>
      </c>
      <c r="G1624" s="7" t="s">
        <v>13667</v>
      </c>
      <c r="H1624" s="7" t="s">
        <v>13668</v>
      </c>
      <c r="I1624" s="119">
        <v>45292.0</v>
      </c>
      <c r="K1624" s="7" t="s">
        <v>419</v>
      </c>
      <c r="L1624" s="7" t="s">
        <v>991</v>
      </c>
      <c r="M1624" s="7" t="s">
        <v>3501</v>
      </c>
      <c r="N1624" s="7" t="s">
        <v>13669</v>
      </c>
      <c r="O1624" s="7" t="s">
        <v>13670</v>
      </c>
      <c r="P1624" s="7" t="s">
        <v>3604</v>
      </c>
      <c r="Q1624" s="7">
        <v>1.0</v>
      </c>
    </row>
    <row r="1625">
      <c r="A1625" s="7" t="s">
        <v>13671</v>
      </c>
      <c r="B1625" s="7">
        <v>2300389.0</v>
      </c>
      <c r="C1625" s="7" t="s">
        <v>13672</v>
      </c>
      <c r="D1625" s="7" t="s">
        <v>13673</v>
      </c>
      <c r="E1625" s="7" t="s">
        <v>13674</v>
      </c>
      <c r="F1625" s="7" t="s">
        <v>3792</v>
      </c>
      <c r="G1625" s="7" t="s">
        <v>13675</v>
      </c>
      <c r="H1625" s="7" t="s">
        <v>13676</v>
      </c>
      <c r="I1625" s="119">
        <v>45292.0</v>
      </c>
      <c r="K1625" s="7" t="s">
        <v>419</v>
      </c>
      <c r="L1625" s="7" t="s">
        <v>991</v>
      </c>
      <c r="M1625" s="7" t="s">
        <v>3501</v>
      </c>
      <c r="N1625" s="7" t="s">
        <v>11305</v>
      </c>
      <c r="O1625" s="7" t="s">
        <v>13677</v>
      </c>
      <c r="P1625" s="7" t="s">
        <v>3493</v>
      </c>
      <c r="Q1625" s="7">
        <v>1.0</v>
      </c>
    </row>
    <row r="1626">
      <c r="A1626" s="7" t="s">
        <v>1873</v>
      </c>
      <c r="B1626" s="7">
        <v>12416.0</v>
      </c>
      <c r="C1626" s="7" t="s">
        <v>13672</v>
      </c>
      <c r="D1626" s="7" t="s">
        <v>13678</v>
      </c>
      <c r="E1626" s="7" t="s">
        <v>13674</v>
      </c>
      <c r="F1626" s="7" t="s">
        <v>3486</v>
      </c>
      <c r="G1626" s="7" t="s">
        <v>13679</v>
      </c>
      <c r="H1626" s="7" t="s">
        <v>13680</v>
      </c>
      <c r="I1626" s="119">
        <v>45292.0</v>
      </c>
      <c r="K1626" s="7" t="s">
        <v>419</v>
      </c>
      <c r="L1626" s="7" t="s">
        <v>991</v>
      </c>
      <c r="M1626" s="7" t="s">
        <v>3501</v>
      </c>
      <c r="N1626" s="7" t="s">
        <v>13681</v>
      </c>
      <c r="O1626" s="7" t="s">
        <v>13682</v>
      </c>
      <c r="P1626" s="7" t="s">
        <v>3604</v>
      </c>
      <c r="Q1626" s="7">
        <v>1.0</v>
      </c>
    </row>
    <row r="1627">
      <c r="A1627" s="7" t="s">
        <v>13683</v>
      </c>
      <c r="B1627" s="7">
        <v>11560.0</v>
      </c>
      <c r="C1627" s="7" t="s">
        <v>13684</v>
      </c>
      <c r="D1627" s="7" t="s">
        <v>11094</v>
      </c>
      <c r="E1627" s="7" t="s">
        <v>13685</v>
      </c>
      <c r="F1627" s="7" t="s">
        <v>8233</v>
      </c>
      <c r="G1627" s="7" t="s">
        <v>13686</v>
      </c>
      <c r="H1627" s="7" t="s">
        <v>13687</v>
      </c>
      <c r="I1627" s="119">
        <v>45292.0</v>
      </c>
      <c r="K1627" s="7" t="s">
        <v>419</v>
      </c>
      <c r="L1627" s="7" t="s">
        <v>991</v>
      </c>
      <c r="M1627" s="7" t="s">
        <v>3501</v>
      </c>
      <c r="N1627" s="7" t="s">
        <v>3948</v>
      </c>
      <c r="O1627" s="7" t="s">
        <v>3949</v>
      </c>
      <c r="P1627" s="7" t="s">
        <v>3604</v>
      </c>
      <c r="Q1627" s="7">
        <v>1.0</v>
      </c>
    </row>
    <row r="1628">
      <c r="A1628" s="7" t="s">
        <v>13688</v>
      </c>
      <c r="B1628" s="7">
        <v>2200697.0</v>
      </c>
      <c r="C1628" s="7" t="s">
        <v>13689</v>
      </c>
      <c r="D1628" s="7" t="s">
        <v>7984</v>
      </c>
      <c r="E1628" s="7" t="s">
        <v>13690</v>
      </c>
      <c r="F1628" s="7" t="s">
        <v>4960</v>
      </c>
      <c r="G1628" s="7" t="s">
        <v>13691</v>
      </c>
      <c r="H1628" s="7" t="s">
        <v>13692</v>
      </c>
      <c r="I1628" s="119">
        <v>45292.0</v>
      </c>
      <c r="K1628" s="7" t="s">
        <v>13693</v>
      </c>
      <c r="L1628" s="7" t="s">
        <v>13694</v>
      </c>
      <c r="M1628" s="7" t="s">
        <v>13695</v>
      </c>
      <c r="N1628" s="7" t="s">
        <v>4043</v>
      </c>
      <c r="O1628" s="7" t="s">
        <v>13696</v>
      </c>
      <c r="P1628" s="7" t="s">
        <v>13697</v>
      </c>
      <c r="Q1628" s="7" t="s">
        <v>3523</v>
      </c>
    </row>
    <row r="1629">
      <c r="A1629" s="7" t="s">
        <v>13698</v>
      </c>
      <c r="B1629" s="7">
        <v>2200722.0</v>
      </c>
      <c r="C1629" s="7" t="s">
        <v>13689</v>
      </c>
      <c r="D1629" s="7" t="s">
        <v>13699</v>
      </c>
      <c r="E1629" s="7" t="s">
        <v>13690</v>
      </c>
      <c r="F1629" s="7" t="s">
        <v>3739</v>
      </c>
      <c r="G1629" s="7" t="s">
        <v>13700</v>
      </c>
      <c r="H1629" s="7" t="s">
        <v>13701</v>
      </c>
      <c r="I1629" s="119">
        <v>45292.0</v>
      </c>
      <c r="K1629" s="7" t="s">
        <v>4042</v>
      </c>
      <c r="L1629" s="7" t="s">
        <v>991</v>
      </c>
      <c r="M1629" s="7" t="s">
        <v>3531</v>
      </c>
      <c r="N1629" s="7" t="s">
        <v>4043</v>
      </c>
      <c r="O1629" s="7" t="s">
        <v>4044</v>
      </c>
      <c r="P1629" s="7" t="s">
        <v>3493</v>
      </c>
      <c r="Q1629" s="7">
        <v>1.0</v>
      </c>
    </row>
    <row r="1630">
      <c r="A1630" s="7" t="s">
        <v>13702</v>
      </c>
      <c r="B1630" s="7">
        <v>2200192.0</v>
      </c>
      <c r="C1630" s="7" t="s">
        <v>13703</v>
      </c>
      <c r="D1630" s="7" t="s">
        <v>7508</v>
      </c>
      <c r="E1630" s="7" t="s">
        <v>13704</v>
      </c>
      <c r="F1630" s="7" t="s">
        <v>4478</v>
      </c>
      <c r="G1630" s="7" t="s">
        <v>13705</v>
      </c>
      <c r="H1630" s="7" t="s">
        <v>13706</v>
      </c>
      <c r="I1630" s="119">
        <v>45292.0</v>
      </c>
      <c r="K1630" s="7" t="s">
        <v>419</v>
      </c>
      <c r="L1630" s="7" t="s">
        <v>991</v>
      </c>
      <c r="M1630" s="7" t="s">
        <v>3501</v>
      </c>
      <c r="N1630" s="7" t="s">
        <v>4853</v>
      </c>
      <c r="O1630" s="7" t="s">
        <v>4854</v>
      </c>
      <c r="P1630" s="7" t="s">
        <v>3493</v>
      </c>
      <c r="Q1630" s="7">
        <v>1.0</v>
      </c>
    </row>
    <row r="1631">
      <c r="A1631" s="7" t="s">
        <v>13707</v>
      </c>
      <c r="B1631" s="7">
        <v>2200430.0</v>
      </c>
      <c r="C1631" s="7" t="s">
        <v>13708</v>
      </c>
      <c r="D1631" s="7" t="s">
        <v>13709</v>
      </c>
      <c r="E1631" s="7" t="s">
        <v>13710</v>
      </c>
      <c r="F1631" s="7" t="s">
        <v>3781</v>
      </c>
      <c r="G1631" s="7" t="s">
        <v>13711</v>
      </c>
      <c r="H1631" s="7" t="s">
        <v>13712</v>
      </c>
      <c r="I1631" s="119">
        <v>45292.0</v>
      </c>
      <c r="K1631" s="7" t="s">
        <v>419</v>
      </c>
      <c r="L1631" s="7" t="s">
        <v>991</v>
      </c>
      <c r="M1631" s="7" t="s">
        <v>3531</v>
      </c>
      <c r="N1631" s="7" t="s">
        <v>6624</v>
      </c>
      <c r="O1631" s="7" t="s">
        <v>9604</v>
      </c>
      <c r="P1631" s="7" t="s">
        <v>3493</v>
      </c>
      <c r="Q1631" s="7">
        <v>1.0</v>
      </c>
    </row>
    <row r="1632">
      <c r="A1632" s="7" t="s">
        <v>13713</v>
      </c>
      <c r="B1632" s="7">
        <v>2300227.0</v>
      </c>
      <c r="C1632" s="7" t="s">
        <v>13714</v>
      </c>
      <c r="D1632" s="7" t="s">
        <v>13715</v>
      </c>
      <c r="E1632" s="7" t="s">
        <v>13716</v>
      </c>
      <c r="F1632" s="7" t="s">
        <v>3486</v>
      </c>
      <c r="G1632" s="7" t="s">
        <v>13717</v>
      </c>
      <c r="H1632" s="7" t="s">
        <v>13718</v>
      </c>
      <c r="I1632" s="119">
        <v>45292.0</v>
      </c>
      <c r="K1632" s="7" t="s">
        <v>3632</v>
      </c>
      <c r="L1632" s="7" t="s">
        <v>991</v>
      </c>
      <c r="M1632" s="7" t="s">
        <v>3501</v>
      </c>
      <c r="N1632" s="7" t="s">
        <v>6526</v>
      </c>
      <c r="O1632" s="7" t="s">
        <v>6527</v>
      </c>
      <c r="P1632" s="7" t="s">
        <v>3522</v>
      </c>
      <c r="Q1632" s="7" t="s">
        <v>3523</v>
      </c>
    </row>
    <row r="1633">
      <c r="A1633" s="7" t="s">
        <v>13719</v>
      </c>
      <c r="B1633" s="7">
        <v>2300759.0</v>
      </c>
      <c r="C1633" s="7" t="s">
        <v>13720</v>
      </c>
      <c r="D1633" s="7" t="s">
        <v>13721</v>
      </c>
      <c r="E1633" s="7" t="s">
        <v>13722</v>
      </c>
      <c r="F1633" s="7" t="s">
        <v>8233</v>
      </c>
      <c r="G1633" s="7" t="s">
        <v>13723</v>
      </c>
      <c r="H1633" s="7" t="s">
        <v>13724</v>
      </c>
      <c r="I1633" s="119">
        <v>45292.0</v>
      </c>
      <c r="K1633" s="7" t="s">
        <v>419</v>
      </c>
      <c r="L1633" s="7" t="s">
        <v>991</v>
      </c>
      <c r="M1633" s="7" t="s">
        <v>3531</v>
      </c>
      <c r="N1633" s="7" t="s">
        <v>4310</v>
      </c>
      <c r="O1633" s="7" t="s">
        <v>4311</v>
      </c>
      <c r="P1633" s="7" t="s">
        <v>3493</v>
      </c>
      <c r="Q1633" s="7">
        <v>1.0</v>
      </c>
    </row>
    <row r="1634">
      <c r="A1634" s="7" t="s">
        <v>13725</v>
      </c>
      <c r="B1634" s="7">
        <v>2100582.0</v>
      </c>
      <c r="C1634" s="7" t="s">
        <v>13726</v>
      </c>
      <c r="D1634" s="7" t="s">
        <v>13727</v>
      </c>
      <c r="E1634" s="7" t="s">
        <v>13728</v>
      </c>
      <c r="F1634" s="7" t="s">
        <v>13729</v>
      </c>
      <c r="G1634" s="7" t="s">
        <v>13730</v>
      </c>
      <c r="H1634" s="7" t="s">
        <v>13731</v>
      </c>
      <c r="I1634" s="119">
        <v>45292.0</v>
      </c>
      <c r="K1634" s="7" t="s">
        <v>419</v>
      </c>
      <c r="L1634" s="7" t="s">
        <v>991</v>
      </c>
      <c r="M1634" s="7" t="s">
        <v>3501</v>
      </c>
      <c r="N1634" s="7" t="s">
        <v>8828</v>
      </c>
      <c r="O1634" s="7" t="s">
        <v>8829</v>
      </c>
      <c r="P1634" s="7" t="s">
        <v>3894</v>
      </c>
      <c r="Q1634" s="7" t="s">
        <v>3523</v>
      </c>
    </row>
    <row r="1635">
      <c r="A1635" s="7" t="s">
        <v>1990</v>
      </c>
      <c r="B1635" s="7">
        <v>331.0</v>
      </c>
      <c r="C1635" s="7" t="s">
        <v>13732</v>
      </c>
      <c r="D1635" s="7" t="s">
        <v>8565</v>
      </c>
      <c r="E1635" s="7" t="s">
        <v>13733</v>
      </c>
      <c r="F1635" s="7" t="s">
        <v>7066</v>
      </c>
      <c r="G1635" s="7" t="s">
        <v>13734</v>
      </c>
      <c r="H1635" s="7" t="s">
        <v>13735</v>
      </c>
      <c r="I1635" s="119">
        <v>45292.0</v>
      </c>
      <c r="K1635" s="7" t="s">
        <v>419</v>
      </c>
      <c r="L1635" s="7" t="s">
        <v>991</v>
      </c>
      <c r="M1635" s="7" t="s">
        <v>3501</v>
      </c>
      <c r="N1635" s="7" t="s">
        <v>13736</v>
      </c>
      <c r="O1635" s="7" t="s">
        <v>13737</v>
      </c>
      <c r="P1635" s="7" t="s">
        <v>8692</v>
      </c>
      <c r="Q1635" s="7" t="s">
        <v>3523</v>
      </c>
    </row>
    <row r="1636">
      <c r="A1636" s="7" t="s">
        <v>13738</v>
      </c>
      <c r="B1636" s="7">
        <v>13582.0</v>
      </c>
      <c r="C1636" s="7" t="s">
        <v>13739</v>
      </c>
      <c r="D1636" s="7" t="s">
        <v>13740</v>
      </c>
      <c r="E1636" s="7" t="s">
        <v>13741</v>
      </c>
      <c r="F1636" s="7" t="s">
        <v>13742</v>
      </c>
      <c r="G1636" s="7" t="s">
        <v>13743</v>
      </c>
      <c r="H1636" s="7" t="s">
        <v>13744</v>
      </c>
      <c r="I1636" s="119">
        <v>45292.0</v>
      </c>
      <c r="J1636" s="7" t="s">
        <v>3929</v>
      </c>
      <c r="K1636" s="7" t="s">
        <v>419</v>
      </c>
      <c r="L1636" s="7" t="s">
        <v>991</v>
      </c>
      <c r="M1636" s="7" t="s">
        <v>3501</v>
      </c>
      <c r="N1636" s="7" t="s">
        <v>9161</v>
      </c>
      <c r="O1636" s="7" t="s">
        <v>9162</v>
      </c>
      <c r="P1636" s="7" t="s">
        <v>3493</v>
      </c>
      <c r="Q1636" s="7">
        <v>1.0</v>
      </c>
    </row>
    <row r="1637">
      <c r="A1637" s="7" t="s">
        <v>13745</v>
      </c>
      <c r="B1637" s="7">
        <v>2100515.0</v>
      </c>
      <c r="C1637" s="7" t="s">
        <v>13739</v>
      </c>
      <c r="D1637" s="7" t="s">
        <v>13746</v>
      </c>
      <c r="E1637" s="7" t="s">
        <v>13741</v>
      </c>
      <c r="F1637" s="7" t="s">
        <v>4172</v>
      </c>
      <c r="G1637" s="7" t="s">
        <v>13747</v>
      </c>
      <c r="H1637" s="7" t="s">
        <v>13748</v>
      </c>
      <c r="I1637" s="119">
        <v>45292.0</v>
      </c>
      <c r="K1637" s="7" t="s">
        <v>419</v>
      </c>
      <c r="L1637" s="7" t="s">
        <v>991</v>
      </c>
      <c r="M1637" s="7" t="s">
        <v>3531</v>
      </c>
      <c r="N1637" s="7" t="s">
        <v>7947</v>
      </c>
      <c r="O1637" s="7" t="s">
        <v>7948</v>
      </c>
      <c r="P1637" s="7" t="s">
        <v>3493</v>
      </c>
      <c r="Q1637" s="7">
        <v>1.0</v>
      </c>
    </row>
    <row r="1638">
      <c r="A1638" s="7" t="s">
        <v>13749</v>
      </c>
      <c r="B1638" s="7">
        <v>11850.0</v>
      </c>
      <c r="C1638" s="7" t="s">
        <v>13750</v>
      </c>
      <c r="D1638" s="7" t="s">
        <v>4100</v>
      </c>
      <c r="E1638" s="7" t="s">
        <v>13751</v>
      </c>
      <c r="F1638" s="7" t="s">
        <v>3486</v>
      </c>
      <c r="G1638" s="7" t="s">
        <v>13752</v>
      </c>
      <c r="H1638" s="7" t="s">
        <v>13753</v>
      </c>
      <c r="I1638" s="119">
        <v>45292.0</v>
      </c>
      <c r="K1638" s="7" t="s">
        <v>419</v>
      </c>
      <c r="L1638" s="7" t="s">
        <v>991</v>
      </c>
      <c r="M1638" s="7" t="s">
        <v>3531</v>
      </c>
      <c r="N1638" s="7" t="s">
        <v>4810</v>
      </c>
      <c r="O1638" s="7" t="s">
        <v>4811</v>
      </c>
      <c r="P1638" s="7" t="s">
        <v>3493</v>
      </c>
      <c r="Q1638" s="7">
        <v>1.0</v>
      </c>
    </row>
    <row r="1639">
      <c r="A1639" s="7" t="s">
        <v>13754</v>
      </c>
      <c r="B1639" s="7">
        <v>133.0</v>
      </c>
      <c r="C1639" s="7" t="s">
        <v>13755</v>
      </c>
      <c r="D1639" s="7" t="s">
        <v>13756</v>
      </c>
      <c r="E1639" s="7" t="s">
        <v>13757</v>
      </c>
      <c r="F1639" s="7" t="s">
        <v>11599</v>
      </c>
      <c r="G1639" s="7" t="s">
        <v>13758</v>
      </c>
      <c r="H1639" s="7" t="s">
        <v>13759</v>
      </c>
      <c r="I1639" s="119">
        <v>45292.0</v>
      </c>
      <c r="K1639" s="7" t="s">
        <v>419</v>
      </c>
      <c r="L1639" s="7" t="s">
        <v>991</v>
      </c>
      <c r="M1639" s="7" t="s">
        <v>3501</v>
      </c>
      <c r="N1639" s="7" t="s">
        <v>13760</v>
      </c>
      <c r="O1639" s="7" t="s">
        <v>13761</v>
      </c>
      <c r="P1639" s="7" t="s">
        <v>13762</v>
      </c>
      <c r="Q1639" s="7" t="s">
        <v>4155</v>
      </c>
    </row>
    <row r="1640">
      <c r="A1640" s="7" t="s">
        <v>13763</v>
      </c>
      <c r="B1640" s="7">
        <v>319.0</v>
      </c>
      <c r="C1640" s="7" t="s">
        <v>13764</v>
      </c>
      <c r="D1640" s="7" t="s">
        <v>13765</v>
      </c>
      <c r="E1640" s="7" t="s">
        <v>13766</v>
      </c>
      <c r="F1640" s="7" t="s">
        <v>13767</v>
      </c>
      <c r="G1640" s="7" t="s">
        <v>13768</v>
      </c>
      <c r="H1640" s="7" t="s">
        <v>13769</v>
      </c>
      <c r="I1640" s="119">
        <v>45292.0</v>
      </c>
      <c r="K1640" s="7" t="s">
        <v>419</v>
      </c>
      <c r="L1640" s="7" t="s">
        <v>991</v>
      </c>
      <c r="M1640" s="7" t="s">
        <v>3501</v>
      </c>
      <c r="N1640" s="7" t="s">
        <v>5671</v>
      </c>
      <c r="O1640" s="7" t="s">
        <v>5672</v>
      </c>
      <c r="P1640" s="7" t="s">
        <v>3493</v>
      </c>
      <c r="Q1640" s="7">
        <v>1.0</v>
      </c>
    </row>
    <row r="1641">
      <c r="A1641" s="7" t="s">
        <v>13770</v>
      </c>
      <c r="B1641" s="7">
        <v>2300298.0</v>
      </c>
      <c r="C1641" s="7" t="s">
        <v>13771</v>
      </c>
      <c r="D1641" s="7" t="s">
        <v>13772</v>
      </c>
      <c r="E1641" s="7" t="s">
        <v>13773</v>
      </c>
      <c r="F1641" s="7" t="s">
        <v>13774</v>
      </c>
      <c r="G1641" s="7" t="s">
        <v>13775</v>
      </c>
      <c r="H1641" s="7" t="s">
        <v>13776</v>
      </c>
      <c r="I1641" s="119">
        <v>45292.0</v>
      </c>
      <c r="K1641" s="7" t="s">
        <v>5973</v>
      </c>
      <c r="L1641" s="7" t="s">
        <v>3542</v>
      </c>
      <c r="M1641" s="7" t="s">
        <v>4383</v>
      </c>
      <c r="N1641" s="7" t="s">
        <v>7869</v>
      </c>
      <c r="O1641" s="7" t="s">
        <v>13777</v>
      </c>
      <c r="P1641" s="7" t="s">
        <v>3522</v>
      </c>
      <c r="Q1641" s="7" t="s">
        <v>3514</v>
      </c>
    </row>
    <row r="1642">
      <c r="A1642" s="7" t="s">
        <v>13778</v>
      </c>
      <c r="B1642" s="7">
        <v>2300123.0</v>
      </c>
      <c r="C1642" s="7" t="s">
        <v>13771</v>
      </c>
      <c r="D1642" s="7" t="s">
        <v>13779</v>
      </c>
      <c r="E1642" s="7" t="s">
        <v>13773</v>
      </c>
      <c r="F1642" s="7" t="s">
        <v>3739</v>
      </c>
      <c r="G1642" s="7" t="s">
        <v>13780</v>
      </c>
      <c r="H1642" s="7" t="s">
        <v>13781</v>
      </c>
      <c r="I1642" s="119">
        <v>45292.0</v>
      </c>
      <c r="K1642" s="7" t="s">
        <v>3632</v>
      </c>
      <c r="L1642" s="7" t="s">
        <v>991</v>
      </c>
      <c r="M1642" s="7" t="s">
        <v>3501</v>
      </c>
      <c r="N1642" s="7" t="s">
        <v>5037</v>
      </c>
      <c r="O1642" s="7" t="s">
        <v>12632</v>
      </c>
      <c r="P1642" s="7" t="s">
        <v>3522</v>
      </c>
      <c r="Q1642" s="7" t="s">
        <v>3523</v>
      </c>
    </row>
    <row r="1643">
      <c r="A1643" s="7" t="s">
        <v>13782</v>
      </c>
      <c r="B1643" s="7">
        <v>13666.0</v>
      </c>
      <c r="C1643" s="7" t="s">
        <v>13783</v>
      </c>
      <c r="D1643" s="7" t="s">
        <v>13784</v>
      </c>
      <c r="E1643" s="7" t="s">
        <v>13785</v>
      </c>
      <c r="F1643" s="7" t="s">
        <v>3896</v>
      </c>
      <c r="G1643" s="7" t="s">
        <v>13786</v>
      </c>
      <c r="H1643" s="7" t="s">
        <v>13787</v>
      </c>
      <c r="I1643" s="119">
        <v>45292.0</v>
      </c>
      <c r="K1643" s="7" t="s">
        <v>3632</v>
      </c>
      <c r="L1643" s="7" t="s">
        <v>991</v>
      </c>
      <c r="M1643" s="7" t="s">
        <v>3501</v>
      </c>
      <c r="N1643" s="7" t="s">
        <v>4190</v>
      </c>
      <c r="O1643" s="7" t="s">
        <v>7052</v>
      </c>
      <c r="P1643" s="7" t="s">
        <v>3522</v>
      </c>
      <c r="Q1643" s="7" t="s">
        <v>3523</v>
      </c>
    </row>
    <row r="1644">
      <c r="A1644" s="7" t="s">
        <v>13788</v>
      </c>
      <c r="B1644" s="7">
        <v>2300652.0</v>
      </c>
      <c r="C1644" s="7" t="s">
        <v>13783</v>
      </c>
      <c r="D1644" s="7" t="s">
        <v>13789</v>
      </c>
      <c r="E1644" s="7" t="s">
        <v>13785</v>
      </c>
      <c r="F1644" s="7" t="s">
        <v>13790</v>
      </c>
      <c r="G1644" s="7" t="s">
        <v>13791</v>
      </c>
      <c r="H1644" s="7" t="s">
        <v>13792</v>
      </c>
      <c r="I1644" s="119">
        <v>45292.0</v>
      </c>
      <c r="K1644" s="7" t="s">
        <v>419</v>
      </c>
      <c r="L1644" s="7" t="s">
        <v>991</v>
      </c>
      <c r="M1644" s="7" t="s">
        <v>3531</v>
      </c>
      <c r="N1644" s="7" t="s">
        <v>4738</v>
      </c>
      <c r="O1644" s="7" t="s">
        <v>4739</v>
      </c>
      <c r="P1644" s="7" t="s">
        <v>3493</v>
      </c>
      <c r="Q1644" s="7">
        <v>1.0</v>
      </c>
    </row>
    <row r="1645">
      <c r="A1645" s="7" t="s">
        <v>13793</v>
      </c>
      <c r="B1645" s="7">
        <v>11797.0</v>
      </c>
      <c r="C1645" s="7" t="s">
        <v>13794</v>
      </c>
      <c r="D1645" s="7" t="s">
        <v>13795</v>
      </c>
      <c r="E1645" s="7" t="s">
        <v>13796</v>
      </c>
      <c r="F1645" s="7" t="s">
        <v>13797</v>
      </c>
      <c r="G1645" s="7" t="s">
        <v>13798</v>
      </c>
      <c r="H1645" s="7" t="s">
        <v>13799</v>
      </c>
      <c r="I1645" s="119">
        <v>45292.0</v>
      </c>
      <c r="J1645" s="7" t="s">
        <v>3929</v>
      </c>
      <c r="K1645" s="7" t="s">
        <v>419</v>
      </c>
      <c r="L1645" s="7" t="s">
        <v>991</v>
      </c>
      <c r="M1645" s="7" t="s">
        <v>3501</v>
      </c>
      <c r="N1645" s="7" t="s">
        <v>5795</v>
      </c>
      <c r="O1645" s="7" t="s">
        <v>5796</v>
      </c>
      <c r="P1645" s="7" t="s">
        <v>3843</v>
      </c>
      <c r="Q1645" s="7">
        <v>1.0</v>
      </c>
    </row>
    <row r="1646">
      <c r="A1646" s="7" t="s">
        <v>13800</v>
      </c>
      <c r="B1646" s="7">
        <v>2300696.0</v>
      </c>
      <c r="C1646" s="7" t="s">
        <v>13801</v>
      </c>
      <c r="D1646" s="7" t="s">
        <v>13802</v>
      </c>
      <c r="E1646" s="7" t="s">
        <v>13803</v>
      </c>
      <c r="F1646" s="7" t="s">
        <v>13804</v>
      </c>
      <c r="G1646" s="7" t="s">
        <v>13805</v>
      </c>
      <c r="H1646" s="7" t="s">
        <v>13806</v>
      </c>
      <c r="I1646" s="119">
        <v>45292.0</v>
      </c>
      <c r="K1646" s="7" t="s">
        <v>8491</v>
      </c>
      <c r="L1646" s="7" t="s">
        <v>991</v>
      </c>
      <c r="M1646" s="7" t="s">
        <v>3501</v>
      </c>
      <c r="N1646" s="7" t="s">
        <v>8492</v>
      </c>
      <c r="O1646" s="7" t="s">
        <v>8493</v>
      </c>
      <c r="P1646" s="7" t="s">
        <v>3493</v>
      </c>
      <c r="Q1646" s="7">
        <v>1.0</v>
      </c>
    </row>
    <row r="1647">
      <c r="A1647" s="7" t="s">
        <v>13807</v>
      </c>
      <c r="B1647" s="7">
        <v>2200709.0</v>
      </c>
      <c r="C1647" s="7" t="s">
        <v>13801</v>
      </c>
      <c r="D1647" s="7" t="s">
        <v>13808</v>
      </c>
      <c r="E1647" s="7" t="s">
        <v>13803</v>
      </c>
      <c r="F1647" s="7" t="s">
        <v>3498</v>
      </c>
      <c r="G1647" s="7" t="s">
        <v>13809</v>
      </c>
      <c r="H1647" s="7" t="s">
        <v>13810</v>
      </c>
      <c r="I1647" s="119">
        <v>45292.0</v>
      </c>
      <c r="K1647" s="7" t="s">
        <v>4042</v>
      </c>
      <c r="L1647" s="7" t="s">
        <v>991</v>
      </c>
      <c r="M1647" s="7" t="s">
        <v>3501</v>
      </c>
      <c r="N1647" s="7" t="s">
        <v>4043</v>
      </c>
      <c r="O1647" s="7" t="s">
        <v>4044</v>
      </c>
      <c r="P1647" s="7" t="s">
        <v>3493</v>
      </c>
      <c r="Q1647" s="7">
        <v>1.0</v>
      </c>
    </row>
    <row r="1648">
      <c r="A1648" s="7" t="s">
        <v>1503</v>
      </c>
      <c r="B1648" s="7">
        <v>12294.0</v>
      </c>
      <c r="C1648" s="7" t="s">
        <v>13801</v>
      </c>
      <c r="D1648" s="7" t="s">
        <v>5681</v>
      </c>
      <c r="E1648" s="7" t="s">
        <v>13803</v>
      </c>
      <c r="F1648" s="7" t="s">
        <v>6231</v>
      </c>
      <c r="G1648" s="7" t="s">
        <v>13811</v>
      </c>
      <c r="H1648" s="7" t="s">
        <v>13812</v>
      </c>
      <c r="I1648" s="119">
        <v>45292.0</v>
      </c>
      <c r="K1648" s="7" t="s">
        <v>419</v>
      </c>
      <c r="L1648" s="7" t="s">
        <v>991</v>
      </c>
      <c r="M1648" s="7" t="s">
        <v>3501</v>
      </c>
      <c r="N1648" s="7" t="s">
        <v>8699</v>
      </c>
      <c r="O1648" s="7" t="s">
        <v>13813</v>
      </c>
      <c r="P1648" s="7" t="s">
        <v>3522</v>
      </c>
      <c r="Q1648" s="7" t="s">
        <v>3523</v>
      </c>
    </row>
    <row r="1649">
      <c r="A1649" s="7" t="s">
        <v>13814</v>
      </c>
      <c r="B1649" s="7">
        <v>2200401.0</v>
      </c>
      <c r="C1649" s="7" t="s">
        <v>13801</v>
      </c>
      <c r="D1649" s="7" t="s">
        <v>13815</v>
      </c>
      <c r="E1649" s="7" t="s">
        <v>13803</v>
      </c>
      <c r="F1649" s="7" t="s">
        <v>13816</v>
      </c>
      <c r="G1649" s="7" t="s">
        <v>13817</v>
      </c>
      <c r="H1649" s="7" t="s">
        <v>13818</v>
      </c>
      <c r="I1649" s="119">
        <v>45292.0</v>
      </c>
      <c r="K1649" s="7" t="s">
        <v>419</v>
      </c>
      <c r="L1649" s="7" t="s">
        <v>991</v>
      </c>
      <c r="M1649" s="7" t="s">
        <v>3531</v>
      </c>
      <c r="N1649" s="7" t="s">
        <v>4161</v>
      </c>
      <c r="O1649" s="7" t="s">
        <v>9590</v>
      </c>
      <c r="P1649" s="7" t="s">
        <v>3493</v>
      </c>
      <c r="Q1649" s="7">
        <v>1.0</v>
      </c>
    </row>
    <row r="1650">
      <c r="A1650" s="7" t="s">
        <v>13819</v>
      </c>
      <c r="B1650" s="7">
        <v>2200045.0</v>
      </c>
      <c r="C1650" s="7" t="s">
        <v>13801</v>
      </c>
      <c r="D1650" s="7" t="s">
        <v>13820</v>
      </c>
      <c r="E1650" s="7" t="s">
        <v>13803</v>
      </c>
      <c r="F1650" s="7" t="s">
        <v>9094</v>
      </c>
      <c r="G1650" s="7" t="s">
        <v>13821</v>
      </c>
      <c r="H1650" s="7" t="s">
        <v>13822</v>
      </c>
      <c r="I1650" s="119">
        <v>45307.0</v>
      </c>
      <c r="K1650" s="7" t="s">
        <v>13199</v>
      </c>
      <c r="L1650" s="7" t="s">
        <v>3542</v>
      </c>
      <c r="M1650" s="7" t="s">
        <v>3563</v>
      </c>
      <c r="N1650" s="7" t="s">
        <v>11957</v>
      </c>
      <c r="O1650" s="7" t="s">
        <v>13823</v>
      </c>
      <c r="P1650" s="7" t="s">
        <v>13824</v>
      </c>
      <c r="Q1650" s="7" t="s">
        <v>4155</v>
      </c>
    </row>
    <row r="1651">
      <c r="A1651" s="7" t="s">
        <v>1616</v>
      </c>
      <c r="B1651" s="7">
        <v>754.0</v>
      </c>
      <c r="C1651" s="7" t="s">
        <v>13801</v>
      </c>
      <c r="D1651" s="7" t="s">
        <v>13825</v>
      </c>
      <c r="E1651" s="7" t="s">
        <v>13803</v>
      </c>
      <c r="F1651" s="7" t="s">
        <v>9094</v>
      </c>
      <c r="G1651" s="7" t="s">
        <v>13826</v>
      </c>
      <c r="H1651" s="7" t="s">
        <v>13827</v>
      </c>
      <c r="I1651" s="119">
        <v>45292.0</v>
      </c>
      <c r="J1651" s="7" t="s">
        <v>3929</v>
      </c>
      <c r="K1651" s="7" t="s">
        <v>419</v>
      </c>
      <c r="L1651" s="7" t="s">
        <v>991</v>
      </c>
      <c r="M1651" s="7" t="s">
        <v>3501</v>
      </c>
      <c r="N1651" s="7" t="s">
        <v>9620</v>
      </c>
      <c r="O1651" s="7" t="s">
        <v>13828</v>
      </c>
      <c r="P1651" s="7" t="s">
        <v>9450</v>
      </c>
      <c r="Q1651" s="7" t="s">
        <v>13829</v>
      </c>
    </row>
    <row r="1652">
      <c r="A1652" s="7" t="s">
        <v>13830</v>
      </c>
      <c r="B1652" s="7">
        <v>13659.0</v>
      </c>
      <c r="C1652" s="7" t="s">
        <v>13801</v>
      </c>
      <c r="D1652" s="7" t="s">
        <v>13831</v>
      </c>
      <c r="E1652" s="7" t="s">
        <v>13803</v>
      </c>
      <c r="F1652" s="7" t="s">
        <v>13832</v>
      </c>
      <c r="G1652" s="7" t="s">
        <v>13833</v>
      </c>
      <c r="H1652" s="7" t="s">
        <v>13834</v>
      </c>
      <c r="I1652" s="119">
        <v>45292.0</v>
      </c>
      <c r="K1652" s="7" t="s">
        <v>3632</v>
      </c>
      <c r="L1652" s="7" t="s">
        <v>991</v>
      </c>
      <c r="M1652" s="7" t="s">
        <v>3501</v>
      </c>
      <c r="N1652" s="7" t="s">
        <v>5052</v>
      </c>
      <c r="O1652" s="7" t="s">
        <v>5053</v>
      </c>
      <c r="P1652" s="7" t="s">
        <v>3522</v>
      </c>
      <c r="Q1652" s="7" t="s">
        <v>3523</v>
      </c>
    </row>
    <row r="1653">
      <c r="A1653" s="7" t="s">
        <v>13835</v>
      </c>
      <c r="B1653" s="7">
        <v>2300796.0</v>
      </c>
      <c r="C1653" s="7" t="s">
        <v>13801</v>
      </c>
      <c r="D1653" s="7" t="s">
        <v>13836</v>
      </c>
      <c r="E1653" s="7" t="s">
        <v>13803</v>
      </c>
      <c r="F1653" s="7" t="s">
        <v>6902</v>
      </c>
      <c r="G1653" s="7" t="s">
        <v>13837</v>
      </c>
      <c r="H1653" s="7" t="s">
        <v>13838</v>
      </c>
      <c r="I1653" s="119">
        <v>45292.0</v>
      </c>
      <c r="K1653" s="7" t="s">
        <v>419</v>
      </c>
      <c r="L1653" s="7" t="s">
        <v>991</v>
      </c>
      <c r="M1653" s="7" t="s">
        <v>3501</v>
      </c>
      <c r="N1653" s="7" t="s">
        <v>5888</v>
      </c>
      <c r="O1653" s="7" t="s">
        <v>5889</v>
      </c>
      <c r="P1653" s="7" t="s">
        <v>3493</v>
      </c>
      <c r="Q1653" s="7">
        <v>1.0</v>
      </c>
    </row>
    <row r="1654">
      <c r="A1654" s="7" t="s">
        <v>13839</v>
      </c>
      <c r="B1654" s="7">
        <v>2100294.0</v>
      </c>
      <c r="C1654" s="7" t="s">
        <v>13840</v>
      </c>
      <c r="D1654" s="7" t="s">
        <v>11210</v>
      </c>
      <c r="E1654" s="7" t="s">
        <v>13841</v>
      </c>
      <c r="F1654" s="7" t="s">
        <v>5490</v>
      </c>
      <c r="G1654" s="7" t="s">
        <v>13842</v>
      </c>
      <c r="I1654" s="119">
        <v>45292.0</v>
      </c>
      <c r="K1654" s="7" t="s">
        <v>419</v>
      </c>
      <c r="L1654" s="7" t="s">
        <v>991</v>
      </c>
      <c r="M1654" s="7" t="s">
        <v>3531</v>
      </c>
      <c r="N1654" s="7" t="s">
        <v>5197</v>
      </c>
      <c r="O1654" s="7" t="s">
        <v>5198</v>
      </c>
      <c r="P1654" s="7" t="s">
        <v>3493</v>
      </c>
      <c r="Q1654" s="7">
        <v>1.0</v>
      </c>
    </row>
    <row r="1655">
      <c r="A1655" s="7" t="s">
        <v>13843</v>
      </c>
      <c r="B1655" s="7">
        <v>10382.0</v>
      </c>
      <c r="C1655" s="7" t="s">
        <v>13844</v>
      </c>
      <c r="D1655" s="7" t="s">
        <v>13845</v>
      </c>
      <c r="E1655" s="7" t="s">
        <v>13846</v>
      </c>
      <c r="F1655" s="7" t="s">
        <v>13847</v>
      </c>
      <c r="G1655" s="7" t="s">
        <v>13848</v>
      </c>
      <c r="H1655" s="7" t="s">
        <v>13849</v>
      </c>
      <c r="I1655" s="119">
        <v>45292.0</v>
      </c>
      <c r="K1655" s="7" t="s">
        <v>419</v>
      </c>
      <c r="L1655" s="7" t="s">
        <v>991</v>
      </c>
      <c r="M1655" s="7" t="s">
        <v>3501</v>
      </c>
      <c r="N1655" s="7" t="s">
        <v>5769</v>
      </c>
      <c r="O1655" s="7" t="s">
        <v>5770</v>
      </c>
      <c r="P1655" s="7" t="s">
        <v>3493</v>
      </c>
      <c r="Q1655" s="7">
        <v>1.0</v>
      </c>
    </row>
    <row r="1656">
      <c r="A1656" s="7" t="s">
        <v>13850</v>
      </c>
      <c r="B1656" s="7">
        <v>2300184.0</v>
      </c>
      <c r="C1656" s="7" t="s">
        <v>13851</v>
      </c>
      <c r="D1656" s="7" t="s">
        <v>13852</v>
      </c>
      <c r="E1656" s="7" t="s">
        <v>13853</v>
      </c>
      <c r="F1656" s="7" t="s">
        <v>7039</v>
      </c>
      <c r="G1656" s="7" t="s">
        <v>13854</v>
      </c>
      <c r="H1656" s="7" t="s">
        <v>13855</v>
      </c>
      <c r="I1656" s="119">
        <v>45292.0</v>
      </c>
      <c r="K1656" s="7" t="s">
        <v>4042</v>
      </c>
      <c r="L1656" s="7" t="s">
        <v>991</v>
      </c>
      <c r="M1656" s="7" t="s">
        <v>3501</v>
      </c>
      <c r="N1656" s="7" t="s">
        <v>4043</v>
      </c>
      <c r="O1656" s="7" t="s">
        <v>4044</v>
      </c>
      <c r="P1656" s="7" t="s">
        <v>3493</v>
      </c>
      <c r="Q1656" s="7">
        <v>1.0</v>
      </c>
    </row>
    <row r="1657">
      <c r="A1657" s="7" t="s">
        <v>13856</v>
      </c>
      <c r="B1657" s="7">
        <v>12905.0</v>
      </c>
      <c r="C1657" s="7" t="s">
        <v>13857</v>
      </c>
      <c r="D1657" s="7" t="s">
        <v>13858</v>
      </c>
      <c r="E1657" s="7" t="s">
        <v>13853</v>
      </c>
      <c r="F1657" s="7" t="s">
        <v>7612</v>
      </c>
      <c r="G1657" s="7" t="s">
        <v>13859</v>
      </c>
      <c r="H1657" s="7" t="s">
        <v>13860</v>
      </c>
      <c r="I1657" s="119">
        <v>45292.0</v>
      </c>
      <c r="K1657" s="7" t="s">
        <v>419</v>
      </c>
      <c r="L1657" s="7" t="s">
        <v>991</v>
      </c>
      <c r="M1657" s="7" t="s">
        <v>3531</v>
      </c>
      <c r="N1657" s="7" t="s">
        <v>4844</v>
      </c>
      <c r="O1657" s="7" t="s">
        <v>4845</v>
      </c>
      <c r="P1657" s="7" t="s">
        <v>3493</v>
      </c>
      <c r="Q1657" s="7">
        <v>1.0</v>
      </c>
    </row>
    <row r="1658">
      <c r="A1658" s="7" t="s">
        <v>13861</v>
      </c>
      <c r="B1658" s="7">
        <v>2200742.0</v>
      </c>
      <c r="C1658" s="7" t="s">
        <v>13857</v>
      </c>
      <c r="D1658" s="7" t="s">
        <v>8660</v>
      </c>
      <c r="E1658" s="7" t="s">
        <v>13853</v>
      </c>
      <c r="F1658" s="7" t="s">
        <v>4234</v>
      </c>
      <c r="G1658" s="7" t="s">
        <v>13862</v>
      </c>
      <c r="H1658" s="7" t="s">
        <v>13863</v>
      </c>
      <c r="I1658" s="119">
        <v>45292.0</v>
      </c>
      <c r="K1658" s="7" t="s">
        <v>4206</v>
      </c>
      <c r="L1658" s="7" t="s">
        <v>3542</v>
      </c>
      <c r="M1658" s="7" t="s">
        <v>3543</v>
      </c>
      <c r="N1658" s="7" t="s">
        <v>4207</v>
      </c>
      <c r="O1658" s="7" t="s">
        <v>4208</v>
      </c>
      <c r="P1658" s="7" t="s">
        <v>3522</v>
      </c>
      <c r="Q1658" s="7" t="s">
        <v>3514</v>
      </c>
    </row>
    <row r="1659">
      <c r="A1659" s="7" t="s">
        <v>13864</v>
      </c>
      <c r="B1659" s="7">
        <v>2400013.0</v>
      </c>
      <c r="C1659" s="7" t="s">
        <v>13857</v>
      </c>
      <c r="D1659" s="7" t="s">
        <v>13865</v>
      </c>
      <c r="E1659" s="7" t="s">
        <v>13853</v>
      </c>
      <c r="F1659" s="7" t="s">
        <v>9227</v>
      </c>
      <c r="G1659" s="7" t="s">
        <v>13866</v>
      </c>
      <c r="H1659" s="7" t="s">
        <v>13867</v>
      </c>
      <c r="I1659" s="119">
        <v>45292.0</v>
      </c>
      <c r="K1659" s="7" t="s">
        <v>3632</v>
      </c>
      <c r="L1659" s="7" t="s">
        <v>991</v>
      </c>
      <c r="M1659" s="7" t="s">
        <v>3531</v>
      </c>
      <c r="N1659" s="7" t="s">
        <v>5965</v>
      </c>
      <c r="O1659" s="7" t="s">
        <v>13868</v>
      </c>
      <c r="P1659" s="7" t="s">
        <v>3493</v>
      </c>
      <c r="Q1659" s="7">
        <v>1.0</v>
      </c>
    </row>
    <row r="1660">
      <c r="A1660" s="7" t="s">
        <v>13869</v>
      </c>
      <c r="B1660" s="7">
        <v>1054.0</v>
      </c>
      <c r="C1660" s="7" t="s">
        <v>13857</v>
      </c>
      <c r="D1660" s="7" t="s">
        <v>5962</v>
      </c>
      <c r="E1660" s="7" t="s">
        <v>13853</v>
      </c>
      <c r="F1660" s="7" t="s">
        <v>5723</v>
      </c>
      <c r="G1660" s="7" t="s">
        <v>13870</v>
      </c>
      <c r="H1660" s="7" t="s">
        <v>13871</v>
      </c>
      <c r="I1660" s="119">
        <v>45292.0</v>
      </c>
      <c r="K1660" s="7" t="s">
        <v>419</v>
      </c>
      <c r="L1660" s="7" t="s">
        <v>991</v>
      </c>
      <c r="M1660" s="7" t="s">
        <v>3501</v>
      </c>
      <c r="N1660" s="7" t="s">
        <v>10214</v>
      </c>
      <c r="O1660" s="7" t="s">
        <v>10215</v>
      </c>
      <c r="P1660" s="7" t="s">
        <v>3843</v>
      </c>
      <c r="Q1660" s="7">
        <v>1.0</v>
      </c>
    </row>
    <row r="1661">
      <c r="A1661" s="7" t="s">
        <v>13872</v>
      </c>
      <c r="B1661" s="7">
        <v>8190.0</v>
      </c>
      <c r="C1661" s="7" t="s">
        <v>13873</v>
      </c>
      <c r="D1661" s="7" t="s">
        <v>13874</v>
      </c>
      <c r="E1661" s="7" t="s">
        <v>13875</v>
      </c>
      <c r="F1661" s="7" t="s">
        <v>13876</v>
      </c>
      <c r="G1661" s="7" t="s">
        <v>13877</v>
      </c>
      <c r="H1661" s="7" t="s">
        <v>13878</v>
      </c>
      <c r="I1661" s="119">
        <v>45292.0</v>
      </c>
      <c r="K1661" s="7" t="s">
        <v>419</v>
      </c>
      <c r="L1661" s="7" t="s">
        <v>991</v>
      </c>
      <c r="M1661" s="7" t="s">
        <v>3531</v>
      </c>
      <c r="N1661" s="7" t="s">
        <v>3724</v>
      </c>
      <c r="O1661" s="7" t="s">
        <v>3725</v>
      </c>
      <c r="P1661" s="7" t="s">
        <v>3493</v>
      </c>
      <c r="Q1661" s="7">
        <v>1.0</v>
      </c>
    </row>
    <row r="1662">
      <c r="A1662" s="7" t="s">
        <v>13879</v>
      </c>
      <c r="B1662" s="7">
        <v>2200001.0</v>
      </c>
      <c r="C1662" s="7" t="s">
        <v>13880</v>
      </c>
      <c r="D1662" s="7" t="s">
        <v>11710</v>
      </c>
      <c r="E1662" s="7" t="s">
        <v>13881</v>
      </c>
      <c r="F1662" s="7" t="s">
        <v>5441</v>
      </c>
      <c r="G1662" s="7" t="s">
        <v>13882</v>
      </c>
      <c r="H1662" s="7" t="s">
        <v>13883</v>
      </c>
      <c r="I1662" s="119">
        <v>45292.0</v>
      </c>
      <c r="K1662" s="7" t="s">
        <v>419</v>
      </c>
      <c r="L1662" s="7" t="s">
        <v>991</v>
      </c>
      <c r="M1662" s="7" t="s">
        <v>3501</v>
      </c>
      <c r="N1662" s="7" t="s">
        <v>4168</v>
      </c>
      <c r="O1662" s="7" t="s">
        <v>4169</v>
      </c>
      <c r="P1662" s="7" t="s">
        <v>3493</v>
      </c>
      <c r="Q1662" s="7">
        <v>1.0</v>
      </c>
    </row>
    <row r="1663">
      <c r="A1663" s="7" t="s">
        <v>13884</v>
      </c>
      <c r="B1663" s="7">
        <v>12370.0</v>
      </c>
      <c r="C1663" s="7" t="s">
        <v>13880</v>
      </c>
      <c r="D1663" s="7" t="s">
        <v>13885</v>
      </c>
      <c r="E1663" s="7" t="s">
        <v>13881</v>
      </c>
      <c r="F1663" s="7" t="s">
        <v>4049</v>
      </c>
      <c r="G1663" s="7" t="s">
        <v>13886</v>
      </c>
      <c r="H1663" s="7" t="s">
        <v>13887</v>
      </c>
      <c r="I1663" s="119">
        <v>45292.0</v>
      </c>
      <c r="K1663" s="7" t="s">
        <v>419</v>
      </c>
      <c r="L1663" s="7" t="s">
        <v>991</v>
      </c>
      <c r="M1663" s="7" t="s">
        <v>3501</v>
      </c>
      <c r="N1663" s="7" t="s">
        <v>13888</v>
      </c>
      <c r="O1663" s="7" t="s">
        <v>13889</v>
      </c>
      <c r="P1663" s="7" t="s">
        <v>3493</v>
      </c>
      <c r="Q1663" s="7">
        <v>1.0</v>
      </c>
    </row>
    <row r="1664">
      <c r="A1664" s="7" t="s">
        <v>13890</v>
      </c>
      <c r="B1664" s="7">
        <v>2200206.0</v>
      </c>
      <c r="C1664" s="7" t="s">
        <v>13880</v>
      </c>
      <c r="D1664" s="7" t="s">
        <v>13891</v>
      </c>
      <c r="E1664" s="7" t="s">
        <v>13881</v>
      </c>
      <c r="F1664" s="7" t="s">
        <v>4525</v>
      </c>
      <c r="G1664" s="7" t="s">
        <v>13892</v>
      </c>
      <c r="H1664" s="7" t="s">
        <v>13893</v>
      </c>
      <c r="I1664" s="119">
        <v>45292.0</v>
      </c>
      <c r="J1664" s="7" t="s">
        <v>3929</v>
      </c>
      <c r="K1664" s="7" t="s">
        <v>419</v>
      </c>
      <c r="L1664" s="7" t="s">
        <v>991</v>
      </c>
      <c r="M1664" s="7" t="s">
        <v>3501</v>
      </c>
      <c r="N1664" s="7" t="s">
        <v>4796</v>
      </c>
      <c r="O1664" s="7" t="s">
        <v>4797</v>
      </c>
      <c r="P1664" s="7" t="s">
        <v>3493</v>
      </c>
      <c r="Q1664" s="7">
        <v>1.0</v>
      </c>
    </row>
    <row r="1665">
      <c r="A1665" s="7" t="s">
        <v>13894</v>
      </c>
      <c r="B1665" s="7">
        <v>2200049.0</v>
      </c>
      <c r="C1665" s="7" t="s">
        <v>13880</v>
      </c>
      <c r="D1665" s="7" t="s">
        <v>13772</v>
      </c>
      <c r="E1665" s="7" t="s">
        <v>13881</v>
      </c>
      <c r="F1665" s="7" t="s">
        <v>13774</v>
      </c>
      <c r="G1665" s="7" t="s">
        <v>13895</v>
      </c>
      <c r="H1665" s="7" t="s">
        <v>13896</v>
      </c>
      <c r="I1665" s="119">
        <v>45292.0</v>
      </c>
      <c r="K1665" s="7" t="s">
        <v>419</v>
      </c>
      <c r="L1665" s="7" t="s">
        <v>991</v>
      </c>
      <c r="M1665" s="7" t="s">
        <v>3501</v>
      </c>
      <c r="N1665" s="7" t="s">
        <v>4669</v>
      </c>
      <c r="O1665" s="7" t="s">
        <v>4670</v>
      </c>
      <c r="P1665" s="7" t="s">
        <v>3493</v>
      </c>
      <c r="Q1665" s="7">
        <v>1.0</v>
      </c>
    </row>
    <row r="1666">
      <c r="A1666" s="7" t="s">
        <v>13897</v>
      </c>
      <c r="B1666" s="7">
        <v>1099.0</v>
      </c>
      <c r="C1666" s="7" t="s">
        <v>13898</v>
      </c>
      <c r="D1666" s="7" t="s">
        <v>13899</v>
      </c>
      <c r="E1666" s="7" t="s">
        <v>13900</v>
      </c>
      <c r="F1666" s="7" t="s">
        <v>13901</v>
      </c>
      <c r="G1666" s="7" t="s">
        <v>13902</v>
      </c>
      <c r="H1666" s="7" t="s">
        <v>13903</v>
      </c>
      <c r="I1666" s="119">
        <v>45292.0</v>
      </c>
      <c r="K1666" s="7" t="s">
        <v>419</v>
      </c>
      <c r="L1666" s="7" t="s">
        <v>991</v>
      </c>
      <c r="M1666" s="7" t="s">
        <v>3501</v>
      </c>
      <c r="N1666" s="7" t="s">
        <v>5505</v>
      </c>
      <c r="O1666" s="7" t="s">
        <v>12474</v>
      </c>
      <c r="P1666" s="7" t="s">
        <v>3522</v>
      </c>
      <c r="Q1666" s="7" t="s">
        <v>3523</v>
      </c>
    </row>
    <row r="1667">
      <c r="A1667" s="7" t="s">
        <v>13904</v>
      </c>
      <c r="B1667" s="7">
        <v>2300177.0</v>
      </c>
      <c r="C1667" s="7" t="s">
        <v>13898</v>
      </c>
      <c r="D1667" s="7" t="s">
        <v>11221</v>
      </c>
      <c r="E1667" s="7" t="s">
        <v>13900</v>
      </c>
      <c r="F1667" s="7" t="s">
        <v>11223</v>
      </c>
      <c r="G1667" s="7" t="s">
        <v>13905</v>
      </c>
      <c r="H1667" s="7" t="s">
        <v>13906</v>
      </c>
      <c r="I1667" s="119">
        <v>45292.0</v>
      </c>
      <c r="K1667" s="7" t="s">
        <v>419</v>
      </c>
      <c r="L1667" s="7" t="s">
        <v>991</v>
      </c>
      <c r="M1667" s="7" t="s">
        <v>3501</v>
      </c>
      <c r="N1667" s="7" t="s">
        <v>3695</v>
      </c>
      <c r="O1667" s="7" t="s">
        <v>5350</v>
      </c>
      <c r="P1667" s="7" t="s">
        <v>3493</v>
      </c>
      <c r="Q1667" s="7">
        <v>1.0</v>
      </c>
    </row>
    <row r="1668">
      <c r="A1668" s="7" t="s">
        <v>13907</v>
      </c>
      <c r="B1668" s="7">
        <v>1049.0</v>
      </c>
      <c r="C1668" s="7" t="s">
        <v>13898</v>
      </c>
      <c r="D1668" s="7" t="s">
        <v>13908</v>
      </c>
      <c r="E1668" s="7" t="s">
        <v>13900</v>
      </c>
      <c r="F1668" s="7" t="s">
        <v>4960</v>
      </c>
      <c r="G1668" s="7" t="s">
        <v>13909</v>
      </c>
      <c r="H1668" s="7" t="s">
        <v>13910</v>
      </c>
      <c r="I1668" s="119">
        <v>45292.0</v>
      </c>
      <c r="K1668" s="7" t="s">
        <v>419</v>
      </c>
      <c r="L1668" s="7" t="s">
        <v>991</v>
      </c>
      <c r="M1668" s="7" t="s">
        <v>3501</v>
      </c>
      <c r="N1668" s="7" t="s">
        <v>4317</v>
      </c>
      <c r="O1668" s="7" t="s">
        <v>7839</v>
      </c>
      <c r="P1668" s="7" t="s">
        <v>3522</v>
      </c>
      <c r="Q1668" s="7" t="s">
        <v>3523</v>
      </c>
    </row>
    <row r="1669">
      <c r="A1669" s="7" t="s">
        <v>13911</v>
      </c>
      <c r="B1669" s="7">
        <v>2200013.0</v>
      </c>
      <c r="C1669" s="7" t="s">
        <v>13898</v>
      </c>
      <c r="D1669" s="7" t="s">
        <v>10153</v>
      </c>
      <c r="E1669" s="7" t="s">
        <v>13900</v>
      </c>
      <c r="F1669" s="7" t="s">
        <v>10155</v>
      </c>
      <c r="G1669" s="7" t="s">
        <v>13912</v>
      </c>
      <c r="H1669" s="7" t="s">
        <v>13913</v>
      </c>
      <c r="I1669" s="119">
        <v>45292.0</v>
      </c>
      <c r="K1669" s="7" t="s">
        <v>419</v>
      </c>
      <c r="L1669" s="7" t="s">
        <v>991</v>
      </c>
      <c r="M1669" s="7" t="s">
        <v>3501</v>
      </c>
      <c r="N1669" s="7" t="s">
        <v>3593</v>
      </c>
      <c r="O1669" s="7" t="s">
        <v>3594</v>
      </c>
      <c r="P1669" s="7" t="s">
        <v>3493</v>
      </c>
      <c r="Q1669" s="7">
        <v>1.0</v>
      </c>
    </row>
    <row r="1670">
      <c r="A1670" s="7" t="s">
        <v>13914</v>
      </c>
      <c r="B1670" s="7">
        <v>794.0</v>
      </c>
      <c r="C1670" s="7" t="s">
        <v>13898</v>
      </c>
      <c r="D1670" s="7" t="s">
        <v>3526</v>
      </c>
      <c r="E1670" s="7" t="s">
        <v>13900</v>
      </c>
      <c r="F1670" s="7" t="s">
        <v>3528</v>
      </c>
      <c r="G1670" s="7" t="s">
        <v>13915</v>
      </c>
      <c r="H1670" s="7" t="s">
        <v>13916</v>
      </c>
      <c r="I1670" s="119">
        <v>45292.0</v>
      </c>
      <c r="K1670" s="7" t="s">
        <v>419</v>
      </c>
      <c r="L1670" s="7" t="s">
        <v>991</v>
      </c>
      <c r="M1670" s="7" t="s">
        <v>3501</v>
      </c>
      <c r="N1670" s="7" t="s">
        <v>7116</v>
      </c>
      <c r="O1670" s="7" t="s">
        <v>7117</v>
      </c>
      <c r="P1670" s="7" t="s">
        <v>3493</v>
      </c>
      <c r="Q1670" s="7">
        <v>1.0</v>
      </c>
    </row>
    <row r="1671">
      <c r="A1671" s="7" t="s">
        <v>13917</v>
      </c>
      <c r="B1671" s="7">
        <v>11798.0</v>
      </c>
      <c r="C1671" s="7" t="s">
        <v>13898</v>
      </c>
      <c r="D1671" s="7" t="s">
        <v>13845</v>
      </c>
      <c r="E1671" s="7" t="s">
        <v>13900</v>
      </c>
      <c r="F1671" s="7" t="s">
        <v>13918</v>
      </c>
      <c r="G1671" s="7" t="s">
        <v>13919</v>
      </c>
      <c r="H1671" s="7" t="s">
        <v>13920</v>
      </c>
      <c r="I1671" s="119">
        <v>45292.0</v>
      </c>
      <c r="K1671" s="7" t="s">
        <v>419</v>
      </c>
      <c r="L1671" s="7" t="s">
        <v>991</v>
      </c>
      <c r="M1671" s="7" t="s">
        <v>3501</v>
      </c>
      <c r="N1671" s="7" t="s">
        <v>3511</v>
      </c>
      <c r="O1671" s="7" t="s">
        <v>3512</v>
      </c>
      <c r="P1671" s="7" t="s">
        <v>3522</v>
      </c>
      <c r="Q1671" s="7" t="s">
        <v>3514</v>
      </c>
    </row>
    <row r="1672">
      <c r="A1672" s="7" t="s">
        <v>13921</v>
      </c>
      <c r="B1672" s="7">
        <v>10455.0</v>
      </c>
      <c r="C1672" s="7" t="s">
        <v>13898</v>
      </c>
      <c r="D1672" s="7" t="s">
        <v>13922</v>
      </c>
      <c r="E1672" s="7" t="s">
        <v>13900</v>
      </c>
      <c r="F1672" s="7" t="s">
        <v>4539</v>
      </c>
      <c r="G1672" s="7" t="s">
        <v>13923</v>
      </c>
      <c r="H1672" s="7" t="s">
        <v>13924</v>
      </c>
      <c r="I1672" s="119">
        <v>45292.0</v>
      </c>
      <c r="J1672" s="7" t="s">
        <v>3929</v>
      </c>
      <c r="K1672" s="7" t="s">
        <v>419</v>
      </c>
      <c r="L1672" s="7" t="s">
        <v>991</v>
      </c>
      <c r="M1672" s="7" t="s">
        <v>3501</v>
      </c>
      <c r="N1672" s="7" t="s">
        <v>7139</v>
      </c>
      <c r="O1672" s="7" t="s">
        <v>7140</v>
      </c>
      <c r="P1672" s="7" t="s">
        <v>3493</v>
      </c>
      <c r="Q1672" s="7">
        <v>1.0</v>
      </c>
    </row>
    <row r="1673">
      <c r="A1673" s="7" t="s">
        <v>13925</v>
      </c>
      <c r="B1673" s="7">
        <v>13855.0</v>
      </c>
      <c r="C1673" s="7" t="s">
        <v>13926</v>
      </c>
      <c r="D1673" s="7" t="s">
        <v>13927</v>
      </c>
      <c r="E1673" s="7" t="s">
        <v>13928</v>
      </c>
      <c r="F1673" s="7" t="s">
        <v>3656</v>
      </c>
      <c r="G1673" s="7" t="s">
        <v>13929</v>
      </c>
      <c r="H1673" s="7" t="s">
        <v>13930</v>
      </c>
      <c r="I1673" s="119">
        <v>45292.0</v>
      </c>
      <c r="K1673" s="7" t="s">
        <v>419</v>
      </c>
      <c r="L1673" s="7" t="s">
        <v>991</v>
      </c>
      <c r="M1673" s="7" t="s">
        <v>3501</v>
      </c>
      <c r="N1673" s="7" t="s">
        <v>4796</v>
      </c>
      <c r="O1673" s="7" t="s">
        <v>4797</v>
      </c>
      <c r="P1673" s="7" t="s">
        <v>3843</v>
      </c>
      <c r="Q1673" s="7">
        <v>1.0</v>
      </c>
    </row>
    <row r="1674">
      <c r="A1674" s="7" t="s">
        <v>13931</v>
      </c>
      <c r="B1674" s="7">
        <v>1211.0</v>
      </c>
      <c r="C1674" s="7" t="s">
        <v>13932</v>
      </c>
      <c r="D1674" s="7" t="s">
        <v>13933</v>
      </c>
      <c r="E1674" s="7" t="s">
        <v>13934</v>
      </c>
      <c r="F1674" s="7" t="s">
        <v>13935</v>
      </c>
      <c r="G1674" s="7" t="s">
        <v>13936</v>
      </c>
      <c r="H1674" s="7" t="s">
        <v>13937</v>
      </c>
      <c r="I1674" s="119">
        <v>45292.0</v>
      </c>
      <c r="K1674" s="7" t="s">
        <v>419</v>
      </c>
      <c r="L1674" s="7" t="s">
        <v>991</v>
      </c>
      <c r="M1674" s="7" t="s">
        <v>3501</v>
      </c>
      <c r="N1674" s="7" t="s">
        <v>7551</v>
      </c>
      <c r="O1674" s="7" t="s">
        <v>13938</v>
      </c>
      <c r="P1674" s="7" t="s">
        <v>3522</v>
      </c>
      <c r="Q1674" s="7" t="s">
        <v>3523</v>
      </c>
    </row>
    <row r="1675">
      <c r="A1675" s="7" t="s">
        <v>13939</v>
      </c>
      <c r="B1675" s="7">
        <v>985.0</v>
      </c>
      <c r="C1675" s="7" t="s">
        <v>13932</v>
      </c>
      <c r="D1675" s="7" t="s">
        <v>11233</v>
      </c>
      <c r="E1675" s="7" t="s">
        <v>13934</v>
      </c>
      <c r="F1675" s="7" t="s">
        <v>11235</v>
      </c>
      <c r="G1675" s="7" t="s">
        <v>13940</v>
      </c>
      <c r="H1675" s="7" t="s">
        <v>13941</v>
      </c>
      <c r="I1675" s="119">
        <v>45292.0</v>
      </c>
      <c r="K1675" s="7" t="s">
        <v>419</v>
      </c>
      <c r="L1675" s="7" t="s">
        <v>991</v>
      </c>
      <c r="M1675" s="7" t="s">
        <v>3501</v>
      </c>
      <c r="N1675" s="7" t="s">
        <v>4303</v>
      </c>
      <c r="O1675" s="7" t="s">
        <v>4304</v>
      </c>
      <c r="P1675" s="7" t="s">
        <v>3493</v>
      </c>
      <c r="Q1675" s="7">
        <v>1.0</v>
      </c>
    </row>
    <row r="1676">
      <c r="A1676" s="7" t="s">
        <v>13942</v>
      </c>
      <c r="B1676" s="7">
        <v>755.0</v>
      </c>
      <c r="C1676" s="7" t="s">
        <v>13943</v>
      </c>
      <c r="D1676" s="7" t="s">
        <v>13944</v>
      </c>
      <c r="E1676" s="7" t="s">
        <v>13945</v>
      </c>
      <c r="F1676" s="7" t="s">
        <v>13946</v>
      </c>
      <c r="G1676" s="7" t="s">
        <v>13947</v>
      </c>
      <c r="H1676" s="7" t="s">
        <v>13948</v>
      </c>
      <c r="I1676" s="119">
        <v>45292.0</v>
      </c>
      <c r="K1676" s="7" t="s">
        <v>419</v>
      </c>
      <c r="L1676" s="7" t="s">
        <v>991</v>
      </c>
      <c r="M1676" s="7" t="s">
        <v>3501</v>
      </c>
      <c r="N1676" s="7" t="s">
        <v>7857</v>
      </c>
      <c r="O1676" s="7" t="s">
        <v>7858</v>
      </c>
      <c r="P1676" s="7" t="s">
        <v>3843</v>
      </c>
      <c r="Q1676" s="7">
        <v>1.0</v>
      </c>
    </row>
    <row r="1677">
      <c r="A1677" s="7" t="s">
        <v>13949</v>
      </c>
      <c r="B1677" s="7">
        <v>2300194.0</v>
      </c>
      <c r="C1677" s="7" t="s">
        <v>13943</v>
      </c>
      <c r="D1677" s="7" t="s">
        <v>13950</v>
      </c>
      <c r="E1677" s="7" t="s">
        <v>13945</v>
      </c>
      <c r="F1677" s="7" t="s">
        <v>5759</v>
      </c>
      <c r="G1677" s="7" t="s">
        <v>13951</v>
      </c>
      <c r="H1677" s="7" t="s">
        <v>13952</v>
      </c>
      <c r="I1677" s="119">
        <v>45292.0</v>
      </c>
      <c r="K1677" s="7" t="s">
        <v>419</v>
      </c>
      <c r="L1677" s="7" t="s">
        <v>991</v>
      </c>
      <c r="M1677" s="7" t="s">
        <v>3501</v>
      </c>
      <c r="N1677" s="7" t="s">
        <v>7827</v>
      </c>
      <c r="O1677" s="7" t="s">
        <v>7828</v>
      </c>
      <c r="P1677" s="7" t="s">
        <v>3493</v>
      </c>
      <c r="Q1677" s="7">
        <v>1.0</v>
      </c>
    </row>
    <row r="1678">
      <c r="A1678" s="7" t="s">
        <v>13953</v>
      </c>
      <c r="B1678" s="7">
        <v>12546.0</v>
      </c>
      <c r="C1678" s="7" t="s">
        <v>13943</v>
      </c>
      <c r="D1678" s="7" t="s">
        <v>5722</v>
      </c>
      <c r="E1678" s="7" t="s">
        <v>13945</v>
      </c>
      <c r="F1678" s="7" t="s">
        <v>13954</v>
      </c>
      <c r="G1678" s="7" t="s">
        <v>13955</v>
      </c>
      <c r="H1678" s="7" t="s">
        <v>13956</v>
      </c>
      <c r="I1678" s="119">
        <v>45292.0</v>
      </c>
      <c r="K1678" s="7" t="s">
        <v>419</v>
      </c>
      <c r="L1678" s="7" t="s">
        <v>991</v>
      </c>
      <c r="M1678" s="7" t="s">
        <v>3531</v>
      </c>
      <c r="N1678" s="7" t="s">
        <v>4920</v>
      </c>
      <c r="O1678" s="7" t="s">
        <v>4921</v>
      </c>
      <c r="P1678" s="7" t="s">
        <v>3493</v>
      </c>
      <c r="Q1678" s="7">
        <v>1.0</v>
      </c>
    </row>
    <row r="1679">
      <c r="A1679" s="7" t="s">
        <v>1979</v>
      </c>
      <c r="B1679" s="7">
        <v>11475.0</v>
      </c>
      <c r="C1679" s="7" t="s">
        <v>13943</v>
      </c>
      <c r="D1679" s="7" t="s">
        <v>13957</v>
      </c>
      <c r="E1679" s="7" t="s">
        <v>13945</v>
      </c>
      <c r="F1679" s="7" t="s">
        <v>13958</v>
      </c>
      <c r="G1679" s="7" t="s">
        <v>13959</v>
      </c>
      <c r="H1679" s="7" t="s">
        <v>13960</v>
      </c>
      <c r="I1679" s="119">
        <v>45292.0</v>
      </c>
      <c r="K1679" s="7" t="s">
        <v>419</v>
      </c>
      <c r="L1679" s="7" t="s">
        <v>991</v>
      </c>
      <c r="M1679" s="7" t="s">
        <v>3501</v>
      </c>
      <c r="N1679" s="7" t="s">
        <v>13961</v>
      </c>
      <c r="O1679" s="7" t="s">
        <v>13962</v>
      </c>
      <c r="P1679" s="7" t="s">
        <v>3604</v>
      </c>
      <c r="Q1679" s="7">
        <v>1.0</v>
      </c>
    </row>
    <row r="1680">
      <c r="A1680" s="7" t="s">
        <v>2424</v>
      </c>
      <c r="B1680" s="7">
        <v>962.0</v>
      </c>
      <c r="C1680" s="7" t="s">
        <v>13943</v>
      </c>
      <c r="D1680" s="7" t="s">
        <v>12916</v>
      </c>
      <c r="E1680" s="7" t="s">
        <v>13945</v>
      </c>
      <c r="F1680" s="7" t="s">
        <v>5155</v>
      </c>
      <c r="G1680" s="7" t="s">
        <v>13963</v>
      </c>
      <c r="H1680" s="7" t="s">
        <v>13964</v>
      </c>
      <c r="I1680" s="119">
        <v>45292.0</v>
      </c>
      <c r="K1680" s="7" t="s">
        <v>419</v>
      </c>
      <c r="L1680" s="7" t="s">
        <v>991</v>
      </c>
      <c r="M1680" s="7" t="s">
        <v>3501</v>
      </c>
      <c r="N1680" s="7" t="s">
        <v>3957</v>
      </c>
      <c r="O1680" s="7" t="s">
        <v>3958</v>
      </c>
      <c r="P1680" s="7" t="s">
        <v>3604</v>
      </c>
      <c r="Q1680" s="7">
        <v>1.0</v>
      </c>
    </row>
    <row r="1681">
      <c r="A1681" s="7" t="s">
        <v>13965</v>
      </c>
      <c r="B1681" s="7">
        <v>13991.0</v>
      </c>
      <c r="C1681" s="7" t="s">
        <v>13943</v>
      </c>
      <c r="D1681" s="7" t="s">
        <v>13966</v>
      </c>
      <c r="E1681" s="7" t="s">
        <v>13945</v>
      </c>
      <c r="F1681" s="7" t="s">
        <v>4271</v>
      </c>
      <c r="G1681" s="7" t="s">
        <v>13967</v>
      </c>
      <c r="H1681" s="7" t="s">
        <v>13968</v>
      </c>
      <c r="I1681" s="119">
        <v>45292.0</v>
      </c>
      <c r="K1681" s="7" t="s">
        <v>3632</v>
      </c>
      <c r="L1681" s="7" t="s">
        <v>991</v>
      </c>
      <c r="M1681" s="7" t="s">
        <v>3501</v>
      </c>
      <c r="N1681" s="7" t="s">
        <v>7046</v>
      </c>
      <c r="O1681" s="7" t="s">
        <v>7047</v>
      </c>
      <c r="P1681" s="7" t="s">
        <v>3522</v>
      </c>
      <c r="Q1681" s="7" t="s">
        <v>3514</v>
      </c>
    </row>
    <row r="1682">
      <c r="A1682" s="7" t="s">
        <v>13969</v>
      </c>
      <c r="B1682" s="7">
        <v>2300536.0</v>
      </c>
      <c r="C1682" s="7" t="s">
        <v>13943</v>
      </c>
      <c r="D1682" s="7" t="s">
        <v>13970</v>
      </c>
      <c r="E1682" s="7" t="s">
        <v>13945</v>
      </c>
      <c r="F1682" s="7" t="s">
        <v>3909</v>
      </c>
      <c r="G1682" s="7" t="s">
        <v>13971</v>
      </c>
      <c r="H1682" s="7" t="s">
        <v>13972</v>
      </c>
      <c r="I1682" s="119">
        <v>45292.0</v>
      </c>
      <c r="K1682" s="7" t="s">
        <v>419</v>
      </c>
      <c r="L1682" s="7" t="s">
        <v>991</v>
      </c>
      <c r="M1682" s="7" t="s">
        <v>3531</v>
      </c>
      <c r="N1682" s="7" t="s">
        <v>4399</v>
      </c>
      <c r="O1682" s="7" t="s">
        <v>4400</v>
      </c>
      <c r="P1682" s="7" t="s">
        <v>3493</v>
      </c>
      <c r="Q1682" s="7">
        <v>1.0</v>
      </c>
    </row>
    <row r="1683">
      <c r="A1683" s="7" t="s">
        <v>13973</v>
      </c>
      <c r="B1683" s="7">
        <v>2200905.0</v>
      </c>
      <c r="C1683" s="7" t="s">
        <v>13943</v>
      </c>
      <c r="D1683" s="7" t="s">
        <v>13974</v>
      </c>
      <c r="E1683" s="7" t="s">
        <v>13945</v>
      </c>
      <c r="F1683" s="7" t="s">
        <v>13975</v>
      </c>
      <c r="G1683" s="7" t="s">
        <v>13976</v>
      </c>
      <c r="H1683" s="7" t="s">
        <v>13977</v>
      </c>
      <c r="I1683" s="119">
        <v>45292.0</v>
      </c>
      <c r="K1683" s="7" t="s">
        <v>10207</v>
      </c>
      <c r="L1683" s="7" t="s">
        <v>4406</v>
      </c>
      <c r="M1683" s="7" t="s">
        <v>7791</v>
      </c>
      <c r="N1683" s="7" t="s">
        <v>5333</v>
      </c>
      <c r="O1683" s="7" t="s">
        <v>13978</v>
      </c>
      <c r="P1683" s="7" t="s">
        <v>4530</v>
      </c>
      <c r="Q1683" s="7" t="s">
        <v>3566</v>
      </c>
    </row>
    <row r="1684">
      <c r="A1684" s="7" t="s">
        <v>1688</v>
      </c>
      <c r="B1684" s="7">
        <v>10439.0</v>
      </c>
      <c r="C1684" s="7" t="s">
        <v>13943</v>
      </c>
      <c r="D1684" s="7" t="s">
        <v>13979</v>
      </c>
      <c r="E1684" s="7" t="s">
        <v>13945</v>
      </c>
      <c r="F1684" s="7" t="s">
        <v>3639</v>
      </c>
      <c r="G1684" s="7" t="s">
        <v>13980</v>
      </c>
      <c r="H1684" s="7" t="s">
        <v>13981</v>
      </c>
      <c r="I1684" s="119">
        <v>45292.0</v>
      </c>
      <c r="K1684" s="7" t="s">
        <v>419</v>
      </c>
      <c r="L1684" s="7" t="s">
        <v>991</v>
      </c>
      <c r="M1684" s="7" t="s">
        <v>3501</v>
      </c>
      <c r="N1684" s="7" t="s">
        <v>13982</v>
      </c>
      <c r="O1684" s="7" t="s">
        <v>13983</v>
      </c>
      <c r="P1684" s="7" t="s">
        <v>6763</v>
      </c>
      <c r="Q1684" s="7" t="s">
        <v>3523</v>
      </c>
    </row>
    <row r="1685">
      <c r="A1685" s="7" t="s">
        <v>13984</v>
      </c>
      <c r="B1685" s="7">
        <v>12209.0</v>
      </c>
      <c r="C1685" s="7" t="s">
        <v>13985</v>
      </c>
      <c r="D1685" s="7" t="s">
        <v>13986</v>
      </c>
      <c r="E1685" s="7" t="s">
        <v>13987</v>
      </c>
      <c r="F1685" s="7" t="s">
        <v>10272</v>
      </c>
      <c r="G1685" s="7" t="s">
        <v>13988</v>
      </c>
      <c r="H1685" s="7" t="s">
        <v>13989</v>
      </c>
      <c r="I1685" s="119">
        <v>45292.0</v>
      </c>
      <c r="K1685" s="7" t="s">
        <v>419</v>
      </c>
      <c r="L1685" s="7" t="s">
        <v>991</v>
      </c>
      <c r="M1685" s="7" t="s">
        <v>3501</v>
      </c>
      <c r="N1685" s="7" t="s">
        <v>4152</v>
      </c>
      <c r="O1685" s="7" t="s">
        <v>8837</v>
      </c>
      <c r="P1685" s="7" t="s">
        <v>3522</v>
      </c>
      <c r="Q1685" s="7" t="s">
        <v>3523</v>
      </c>
    </row>
    <row r="1686">
      <c r="A1686" s="7" t="s">
        <v>13990</v>
      </c>
      <c r="B1686" s="7">
        <v>1166.0</v>
      </c>
      <c r="C1686" s="7" t="s">
        <v>13991</v>
      </c>
      <c r="D1686" s="7" t="s">
        <v>5047</v>
      </c>
      <c r="E1686" s="7" t="s">
        <v>13992</v>
      </c>
      <c r="F1686" s="7" t="s">
        <v>5312</v>
      </c>
      <c r="G1686" s="7" t="s">
        <v>13993</v>
      </c>
      <c r="H1686" s="7" t="s">
        <v>13994</v>
      </c>
      <c r="I1686" s="119">
        <v>45292.0</v>
      </c>
      <c r="K1686" s="7" t="s">
        <v>419</v>
      </c>
      <c r="L1686" s="7" t="s">
        <v>991</v>
      </c>
      <c r="M1686" s="7" t="s">
        <v>3501</v>
      </c>
      <c r="N1686" s="7" t="s">
        <v>4834</v>
      </c>
      <c r="O1686" s="7" t="s">
        <v>4835</v>
      </c>
      <c r="P1686" s="7" t="s">
        <v>3493</v>
      </c>
      <c r="Q1686" s="7">
        <v>1.0</v>
      </c>
    </row>
    <row r="1687">
      <c r="A1687" s="7" t="s">
        <v>13995</v>
      </c>
      <c r="B1687" s="7">
        <v>13852.0</v>
      </c>
      <c r="C1687" s="7" t="s">
        <v>13996</v>
      </c>
      <c r="D1687" s="7" t="s">
        <v>13997</v>
      </c>
      <c r="E1687" s="7" t="s">
        <v>13998</v>
      </c>
      <c r="F1687" s="7" t="s">
        <v>13999</v>
      </c>
      <c r="G1687" s="7" t="s">
        <v>14000</v>
      </c>
      <c r="H1687" s="7" t="s">
        <v>14001</v>
      </c>
      <c r="I1687" s="119">
        <v>45292.0</v>
      </c>
      <c r="K1687" s="7" t="s">
        <v>419</v>
      </c>
      <c r="L1687" s="7" t="s">
        <v>991</v>
      </c>
      <c r="M1687" s="7" t="s">
        <v>3501</v>
      </c>
      <c r="N1687" s="7" t="s">
        <v>5755</v>
      </c>
      <c r="O1687" s="7" t="s">
        <v>5756</v>
      </c>
      <c r="P1687" s="7" t="s">
        <v>3493</v>
      </c>
      <c r="Q1687" s="7">
        <v>1.0</v>
      </c>
    </row>
    <row r="1688">
      <c r="A1688" s="7" t="s">
        <v>14002</v>
      </c>
      <c r="B1688" s="7">
        <v>2200640.0</v>
      </c>
      <c r="C1688" s="7" t="s">
        <v>14003</v>
      </c>
      <c r="D1688" s="7" t="s">
        <v>7508</v>
      </c>
      <c r="E1688" s="7" t="s">
        <v>14004</v>
      </c>
      <c r="F1688" s="7" t="s">
        <v>9094</v>
      </c>
      <c r="G1688" s="7" t="s">
        <v>14005</v>
      </c>
      <c r="H1688" s="7" t="s">
        <v>14006</v>
      </c>
      <c r="I1688" s="119">
        <v>45292.0</v>
      </c>
      <c r="K1688" s="7" t="s">
        <v>419</v>
      </c>
      <c r="L1688" s="7" t="s">
        <v>991</v>
      </c>
      <c r="M1688" s="7" t="s">
        <v>3501</v>
      </c>
      <c r="N1688" s="7" t="s">
        <v>7487</v>
      </c>
      <c r="O1688" s="7" t="s">
        <v>10314</v>
      </c>
      <c r="P1688" s="7" t="s">
        <v>3493</v>
      </c>
      <c r="Q1688" s="7">
        <v>1.0</v>
      </c>
    </row>
    <row r="1689">
      <c r="A1689" s="7" t="s">
        <v>14007</v>
      </c>
      <c r="B1689" s="7">
        <v>12527.0</v>
      </c>
      <c r="C1689" s="7" t="s">
        <v>14008</v>
      </c>
      <c r="D1689" s="7" t="s">
        <v>10384</v>
      </c>
      <c r="E1689" s="7" t="s">
        <v>14009</v>
      </c>
      <c r="F1689" s="7" t="s">
        <v>4049</v>
      </c>
      <c r="G1689" s="7" t="s">
        <v>14010</v>
      </c>
      <c r="H1689" s="7" t="s">
        <v>14011</v>
      </c>
      <c r="I1689" s="119">
        <v>45292.0</v>
      </c>
      <c r="K1689" s="7" t="s">
        <v>419</v>
      </c>
      <c r="L1689" s="7" t="s">
        <v>991</v>
      </c>
      <c r="M1689" s="7" t="s">
        <v>3501</v>
      </c>
      <c r="N1689" s="7" t="s">
        <v>6971</v>
      </c>
      <c r="O1689" s="7" t="s">
        <v>14012</v>
      </c>
      <c r="P1689" s="7" t="s">
        <v>3522</v>
      </c>
      <c r="Q1689" s="7" t="s">
        <v>3523</v>
      </c>
    </row>
    <row r="1690">
      <c r="A1690" s="7" t="s">
        <v>14013</v>
      </c>
      <c r="B1690" s="7">
        <v>11359.0</v>
      </c>
      <c r="C1690" s="7" t="s">
        <v>14014</v>
      </c>
      <c r="D1690" s="7" t="s">
        <v>7032</v>
      </c>
      <c r="E1690" s="7" t="s">
        <v>3909</v>
      </c>
      <c r="F1690" s="7" t="s">
        <v>7032</v>
      </c>
      <c r="G1690" s="7" t="s">
        <v>14015</v>
      </c>
      <c r="H1690" s="7" t="s">
        <v>14016</v>
      </c>
      <c r="I1690" s="119">
        <v>45292.0</v>
      </c>
      <c r="K1690" s="7" t="s">
        <v>419</v>
      </c>
      <c r="L1690" s="7" t="s">
        <v>991</v>
      </c>
      <c r="M1690" s="7" t="s">
        <v>3501</v>
      </c>
      <c r="N1690" s="7" t="s">
        <v>7060</v>
      </c>
      <c r="O1690" s="7" t="s">
        <v>8685</v>
      </c>
      <c r="P1690" s="7" t="s">
        <v>3614</v>
      </c>
      <c r="Q1690" s="7" t="s">
        <v>3514</v>
      </c>
    </row>
    <row r="1691">
      <c r="A1691" s="7" t="s">
        <v>14017</v>
      </c>
      <c r="B1691" s="7">
        <v>2200787.0</v>
      </c>
      <c r="C1691" s="7" t="s">
        <v>8629</v>
      </c>
      <c r="D1691" s="7" t="s">
        <v>14018</v>
      </c>
      <c r="E1691" s="7" t="s">
        <v>3909</v>
      </c>
      <c r="F1691" s="7" t="s">
        <v>14018</v>
      </c>
      <c r="G1691" s="7" t="s">
        <v>14019</v>
      </c>
      <c r="H1691" s="7" t="s">
        <v>14020</v>
      </c>
      <c r="I1691" s="119">
        <v>45292.0</v>
      </c>
      <c r="K1691" s="7" t="s">
        <v>419</v>
      </c>
      <c r="L1691" s="7" t="s">
        <v>991</v>
      </c>
      <c r="M1691" s="7" t="s">
        <v>3531</v>
      </c>
      <c r="N1691" s="7" t="s">
        <v>8583</v>
      </c>
      <c r="O1691" s="7" t="s">
        <v>8584</v>
      </c>
      <c r="P1691" s="7" t="s">
        <v>3493</v>
      </c>
      <c r="Q1691" s="7">
        <v>1.0</v>
      </c>
    </row>
    <row r="1692">
      <c r="A1692" s="7" t="s">
        <v>14021</v>
      </c>
      <c r="B1692" s="7">
        <v>2200595.0</v>
      </c>
      <c r="C1692" s="7" t="s">
        <v>14022</v>
      </c>
      <c r="D1692" s="7" t="s">
        <v>14023</v>
      </c>
      <c r="E1692" s="7" t="s">
        <v>14024</v>
      </c>
      <c r="F1692" s="7" t="s">
        <v>14025</v>
      </c>
      <c r="G1692" s="7" t="s">
        <v>14026</v>
      </c>
      <c r="H1692" s="7" t="s">
        <v>14027</v>
      </c>
      <c r="I1692" s="119">
        <v>45292.0</v>
      </c>
      <c r="K1692" s="7" t="s">
        <v>3622</v>
      </c>
      <c r="L1692" s="7" t="s">
        <v>991</v>
      </c>
      <c r="M1692" s="7" t="s">
        <v>3531</v>
      </c>
      <c r="N1692" s="7" t="s">
        <v>3623</v>
      </c>
      <c r="O1692" s="7" t="s">
        <v>3624</v>
      </c>
      <c r="P1692" s="7" t="s">
        <v>3493</v>
      </c>
      <c r="Q1692" s="7">
        <v>1.0</v>
      </c>
    </row>
    <row r="1693">
      <c r="A1693" s="7" t="s">
        <v>14028</v>
      </c>
      <c r="B1693" s="7">
        <v>2200133.0</v>
      </c>
      <c r="C1693" s="7" t="s">
        <v>14029</v>
      </c>
      <c r="D1693" s="7" t="s">
        <v>14030</v>
      </c>
      <c r="E1693" s="7" t="s">
        <v>14031</v>
      </c>
      <c r="F1693" s="7" t="s">
        <v>4049</v>
      </c>
      <c r="G1693" s="7" t="s">
        <v>14032</v>
      </c>
      <c r="H1693" s="7" t="s">
        <v>14033</v>
      </c>
      <c r="I1693" s="119">
        <v>45292.0</v>
      </c>
      <c r="K1693" s="7" t="s">
        <v>419</v>
      </c>
      <c r="L1693" s="7" t="s">
        <v>991</v>
      </c>
      <c r="M1693" s="7" t="s">
        <v>3531</v>
      </c>
      <c r="N1693" s="7" t="s">
        <v>4720</v>
      </c>
      <c r="O1693" s="7" t="s">
        <v>4721</v>
      </c>
      <c r="P1693" s="7" t="s">
        <v>3493</v>
      </c>
      <c r="Q1693" s="7">
        <v>1.0</v>
      </c>
    </row>
    <row r="1694">
      <c r="A1694" s="7" t="s">
        <v>14034</v>
      </c>
      <c r="B1694" s="7">
        <v>2300052.0</v>
      </c>
      <c r="C1694" s="7" t="s">
        <v>14029</v>
      </c>
      <c r="D1694" s="7" t="s">
        <v>14035</v>
      </c>
      <c r="E1694" s="7" t="s">
        <v>14031</v>
      </c>
      <c r="F1694" s="7" t="s">
        <v>4539</v>
      </c>
      <c r="G1694" s="7" t="s">
        <v>14036</v>
      </c>
      <c r="H1694" s="7" t="s">
        <v>14037</v>
      </c>
      <c r="I1694" s="119">
        <v>45292.0</v>
      </c>
      <c r="K1694" s="7" t="s">
        <v>3632</v>
      </c>
      <c r="L1694" s="7" t="s">
        <v>991</v>
      </c>
      <c r="M1694" s="7" t="s">
        <v>3583</v>
      </c>
      <c r="N1694" s="7" t="s">
        <v>4274</v>
      </c>
      <c r="O1694" s="7" t="s">
        <v>4275</v>
      </c>
      <c r="P1694" s="7" t="s">
        <v>3522</v>
      </c>
      <c r="Q1694" s="7" t="s">
        <v>3523</v>
      </c>
    </row>
    <row r="1695">
      <c r="A1695" s="7" t="s">
        <v>14038</v>
      </c>
      <c r="B1695" s="7">
        <v>2400023.0</v>
      </c>
      <c r="C1695" s="7" t="s">
        <v>14039</v>
      </c>
      <c r="D1695" s="7" t="s">
        <v>14040</v>
      </c>
      <c r="E1695" s="7" t="s">
        <v>14041</v>
      </c>
      <c r="F1695" s="7" t="s">
        <v>14042</v>
      </c>
      <c r="G1695" s="7" t="s">
        <v>14043</v>
      </c>
      <c r="H1695" s="7" t="s">
        <v>14044</v>
      </c>
      <c r="I1695" s="119">
        <v>45292.0</v>
      </c>
      <c r="J1695" s="7" t="s">
        <v>4216</v>
      </c>
      <c r="K1695" s="7" t="s">
        <v>419</v>
      </c>
      <c r="L1695" s="7" t="s">
        <v>991</v>
      </c>
      <c r="M1695" s="7" t="s">
        <v>3501</v>
      </c>
      <c r="N1695" s="7" t="s">
        <v>5655</v>
      </c>
      <c r="O1695" s="7" t="s">
        <v>9922</v>
      </c>
      <c r="P1695" s="7" t="s">
        <v>3493</v>
      </c>
      <c r="Q1695" s="7">
        <v>1.0</v>
      </c>
    </row>
    <row r="1696">
      <c r="A1696" s="7" t="s">
        <v>14045</v>
      </c>
      <c r="B1696" s="7">
        <v>2300705.0</v>
      </c>
      <c r="C1696" s="7" t="s">
        <v>14046</v>
      </c>
      <c r="D1696" s="7" t="s">
        <v>14047</v>
      </c>
      <c r="E1696" s="7" t="s">
        <v>14048</v>
      </c>
      <c r="F1696" s="7" t="s">
        <v>14049</v>
      </c>
      <c r="G1696" s="7" t="s">
        <v>14050</v>
      </c>
      <c r="H1696" s="7" t="s">
        <v>14051</v>
      </c>
      <c r="I1696" s="119">
        <v>45292.0</v>
      </c>
      <c r="K1696" s="7" t="s">
        <v>419</v>
      </c>
      <c r="L1696" s="7" t="s">
        <v>991</v>
      </c>
      <c r="M1696" s="7" t="s">
        <v>3501</v>
      </c>
      <c r="N1696" s="7" t="s">
        <v>8366</v>
      </c>
      <c r="O1696" s="7" t="s">
        <v>8367</v>
      </c>
      <c r="P1696" s="7" t="s">
        <v>3522</v>
      </c>
      <c r="Q1696" s="7" t="s">
        <v>3523</v>
      </c>
    </row>
    <row r="1697">
      <c r="A1697" s="7" t="s">
        <v>14052</v>
      </c>
      <c r="B1697" s="7">
        <v>11934.0</v>
      </c>
      <c r="C1697" s="7" t="s">
        <v>14053</v>
      </c>
      <c r="D1697" s="7" t="s">
        <v>14054</v>
      </c>
      <c r="E1697" s="7" t="s">
        <v>9626</v>
      </c>
      <c r="F1697" s="7" t="s">
        <v>14055</v>
      </c>
      <c r="G1697" s="7" t="s">
        <v>14056</v>
      </c>
      <c r="H1697" s="7" t="s">
        <v>14057</v>
      </c>
      <c r="I1697" s="119">
        <v>45292.0</v>
      </c>
      <c r="K1697" s="7" t="s">
        <v>419</v>
      </c>
      <c r="L1697" s="7" t="s">
        <v>991</v>
      </c>
      <c r="M1697" s="7" t="s">
        <v>3501</v>
      </c>
      <c r="N1697" s="7" t="s">
        <v>8753</v>
      </c>
      <c r="O1697" s="7" t="s">
        <v>8754</v>
      </c>
      <c r="P1697" s="7" t="s">
        <v>3493</v>
      </c>
      <c r="Q1697" s="7">
        <v>1.0</v>
      </c>
    </row>
    <row r="1698">
      <c r="A1698" s="7" t="s">
        <v>14058</v>
      </c>
      <c r="B1698" s="7">
        <v>2100312.0</v>
      </c>
      <c r="C1698" s="7" t="s">
        <v>14059</v>
      </c>
      <c r="D1698" s="7" t="s">
        <v>3817</v>
      </c>
      <c r="E1698" s="7" t="s">
        <v>14060</v>
      </c>
      <c r="F1698" s="7" t="s">
        <v>3896</v>
      </c>
      <c r="G1698" s="7" t="s">
        <v>14061</v>
      </c>
      <c r="H1698" s="7" t="s">
        <v>14062</v>
      </c>
      <c r="I1698" s="119">
        <v>45292.0</v>
      </c>
      <c r="K1698" s="7" t="s">
        <v>419</v>
      </c>
      <c r="L1698" s="7" t="s">
        <v>991</v>
      </c>
      <c r="M1698" s="7" t="s">
        <v>3501</v>
      </c>
      <c r="N1698" s="7" t="s">
        <v>6345</v>
      </c>
      <c r="O1698" s="7" t="s">
        <v>6346</v>
      </c>
      <c r="P1698" s="7" t="s">
        <v>3493</v>
      </c>
      <c r="Q1698" s="7">
        <v>1.0</v>
      </c>
    </row>
    <row r="1699">
      <c r="A1699" s="7" t="s">
        <v>14063</v>
      </c>
      <c r="B1699" s="7">
        <v>12419.0</v>
      </c>
      <c r="C1699" s="7" t="s">
        <v>14064</v>
      </c>
      <c r="D1699" s="7" t="s">
        <v>14065</v>
      </c>
      <c r="E1699" s="7" t="s">
        <v>14066</v>
      </c>
      <c r="F1699" s="7" t="s">
        <v>9184</v>
      </c>
      <c r="G1699" s="7" t="s">
        <v>14067</v>
      </c>
      <c r="H1699" s="7" t="s">
        <v>14068</v>
      </c>
      <c r="I1699" s="119">
        <v>45292.0</v>
      </c>
      <c r="K1699" s="7" t="s">
        <v>7069</v>
      </c>
      <c r="L1699" s="7" t="s">
        <v>4406</v>
      </c>
      <c r="M1699" s="7" t="s">
        <v>7070</v>
      </c>
      <c r="N1699" s="7" t="s">
        <v>14069</v>
      </c>
      <c r="O1699" s="7" t="s">
        <v>14070</v>
      </c>
      <c r="P1699" s="7" t="s">
        <v>14071</v>
      </c>
      <c r="Q1699" s="7" t="s">
        <v>3566</v>
      </c>
    </row>
    <row r="1700">
      <c r="A1700" s="7" t="s">
        <v>14072</v>
      </c>
      <c r="B1700" s="7">
        <v>13648.0</v>
      </c>
      <c r="C1700" s="7" t="s">
        <v>14073</v>
      </c>
      <c r="D1700" s="7" t="s">
        <v>5234</v>
      </c>
      <c r="E1700" s="7" t="s">
        <v>14074</v>
      </c>
      <c r="F1700" s="7" t="s">
        <v>5235</v>
      </c>
      <c r="G1700" s="7" t="s">
        <v>14075</v>
      </c>
      <c r="H1700" s="7" t="s">
        <v>14076</v>
      </c>
      <c r="I1700" s="119">
        <v>45292.0</v>
      </c>
      <c r="K1700" s="7" t="s">
        <v>3632</v>
      </c>
      <c r="L1700" s="7" t="s">
        <v>991</v>
      </c>
      <c r="M1700" s="7" t="s">
        <v>3501</v>
      </c>
      <c r="N1700" s="7" t="s">
        <v>5931</v>
      </c>
      <c r="O1700" s="7" t="s">
        <v>12542</v>
      </c>
      <c r="P1700" s="7" t="s">
        <v>3522</v>
      </c>
      <c r="Q1700" s="7" t="s">
        <v>3514</v>
      </c>
    </row>
    <row r="1701">
      <c r="A1701" s="7" t="s">
        <v>14077</v>
      </c>
      <c r="B1701" s="7">
        <v>1288.0</v>
      </c>
      <c r="C1701" s="7" t="s">
        <v>14078</v>
      </c>
      <c r="D1701" s="7" t="s">
        <v>14079</v>
      </c>
      <c r="E1701" s="7" t="s">
        <v>14080</v>
      </c>
      <c r="F1701" s="7" t="s">
        <v>6166</v>
      </c>
      <c r="G1701" s="7" t="s">
        <v>14081</v>
      </c>
      <c r="H1701" s="7" t="s">
        <v>14082</v>
      </c>
      <c r="I1701" s="119">
        <v>45292.0</v>
      </c>
      <c r="K1701" s="7" t="s">
        <v>419</v>
      </c>
      <c r="L1701" s="7" t="s">
        <v>991</v>
      </c>
      <c r="M1701" s="7" t="s">
        <v>3501</v>
      </c>
      <c r="N1701" s="7" t="s">
        <v>4256</v>
      </c>
      <c r="O1701" s="7" t="s">
        <v>4257</v>
      </c>
      <c r="P1701" s="7" t="s">
        <v>3493</v>
      </c>
      <c r="Q1701" s="7">
        <v>1.0</v>
      </c>
    </row>
    <row r="1702">
      <c r="A1702" s="7" t="s">
        <v>14083</v>
      </c>
      <c r="B1702" s="7">
        <v>11760.0</v>
      </c>
      <c r="C1702" s="7" t="s">
        <v>14084</v>
      </c>
      <c r="D1702" s="7" t="s">
        <v>8182</v>
      </c>
      <c r="E1702" s="7" t="s">
        <v>14085</v>
      </c>
      <c r="F1702" s="7" t="s">
        <v>8183</v>
      </c>
      <c r="G1702" s="7" t="s">
        <v>14086</v>
      </c>
      <c r="H1702" s="7" t="s">
        <v>14087</v>
      </c>
      <c r="I1702" s="119">
        <v>45292.0</v>
      </c>
      <c r="K1702" s="7" t="s">
        <v>419</v>
      </c>
      <c r="L1702" s="7" t="s">
        <v>991</v>
      </c>
      <c r="M1702" s="7" t="s">
        <v>3501</v>
      </c>
      <c r="N1702" s="7" t="s">
        <v>6814</v>
      </c>
      <c r="O1702" s="7" t="s">
        <v>14088</v>
      </c>
      <c r="P1702" s="7" t="s">
        <v>3785</v>
      </c>
      <c r="Q1702" s="7" t="s">
        <v>3523</v>
      </c>
    </row>
    <row r="1703">
      <c r="A1703" s="7" t="s">
        <v>1510</v>
      </c>
      <c r="B1703" s="7">
        <v>12638.0</v>
      </c>
      <c r="C1703" s="7" t="s">
        <v>14084</v>
      </c>
      <c r="D1703" s="7" t="s">
        <v>14089</v>
      </c>
      <c r="E1703" s="7" t="s">
        <v>14085</v>
      </c>
      <c r="F1703" s="7" t="s">
        <v>6037</v>
      </c>
      <c r="G1703" s="7" t="s">
        <v>14090</v>
      </c>
      <c r="H1703" s="7" t="s">
        <v>14091</v>
      </c>
      <c r="I1703" s="119">
        <v>45292.0</v>
      </c>
      <c r="K1703" s="7" t="s">
        <v>419</v>
      </c>
      <c r="L1703" s="7" t="s">
        <v>991</v>
      </c>
      <c r="M1703" s="7" t="s">
        <v>3501</v>
      </c>
      <c r="N1703" s="7" t="s">
        <v>6971</v>
      </c>
      <c r="O1703" s="7" t="s">
        <v>14092</v>
      </c>
      <c r="P1703" s="7" t="s">
        <v>14093</v>
      </c>
      <c r="Q1703" s="7" t="s">
        <v>3523</v>
      </c>
    </row>
    <row r="1704">
      <c r="A1704" s="7" t="s">
        <v>14094</v>
      </c>
      <c r="B1704" s="7">
        <v>2200420.0</v>
      </c>
      <c r="C1704" s="7" t="s">
        <v>14084</v>
      </c>
      <c r="D1704" s="7" t="s">
        <v>14095</v>
      </c>
      <c r="E1704" s="7" t="s">
        <v>14085</v>
      </c>
      <c r="F1704" s="7" t="s">
        <v>3838</v>
      </c>
      <c r="G1704" s="7" t="s">
        <v>14096</v>
      </c>
      <c r="H1704" s="7" t="s">
        <v>14097</v>
      </c>
      <c r="I1704" s="119">
        <v>45292.0</v>
      </c>
      <c r="K1704" s="7" t="s">
        <v>3632</v>
      </c>
      <c r="L1704" s="7" t="s">
        <v>991</v>
      </c>
      <c r="M1704" s="7" t="s">
        <v>3531</v>
      </c>
      <c r="N1704" s="7" t="s">
        <v>3633</v>
      </c>
      <c r="O1704" s="7" t="s">
        <v>10846</v>
      </c>
      <c r="P1704" s="7" t="s">
        <v>3493</v>
      </c>
      <c r="Q1704" s="7">
        <v>1.0</v>
      </c>
    </row>
    <row r="1705">
      <c r="A1705" s="7" t="s">
        <v>14098</v>
      </c>
      <c r="B1705" s="7">
        <v>878.0</v>
      </c>
      <c r="C1705" s="7" t="s">
        <v>14084</v>
      </c>
      <c r="D1705" s="7" t="s">
        <v>3837</v>
      </c>
      <c r="E1705" s="7" t="s">
        <v>14085</v>
      </c>
      <c r="F1705" s="7" t="s">
        <v>3838</v>
      </c>
      <c r="G1705" s="7" t="s">
        <v>14099</v>
      </c>
      <c r="H1705" s="7" t="s">
        <v>14100</v>
      </c>
      <c r="I1705" s="119">
        <v>45292.0</v>
      </c>
      <c r="K1705" s="7" t="s">
        <v>419</v>
      </c>
      <c r="L1705" s="7" t="s">
        <v>991</v>
      </c>
      <c r="M1705" s="7" t="s">
        <v>3501</v>
      </c>
      <c r="N1705" s="7" t="s">
        <v>8647</v>
      </c>
      <c r="O1705" s="7" t="s">
        <v>8648</v>
      </c>
      <c r="P1705" s="7" t="s">
        <v>3604</v>
      </c>
      <c r="Q1705" s="7">
        <v>1.0</v>
      </c>
    </row>
    <row r="1706">
      <c r="A1706" s="7" t="s">
        <v>14101</v>
      </c>
      <c r="B1706" s="7">
        <v>2300432.0</v>
      </c>
      <c r="C1706" s="7" t="s">
        <v>14102</v>
      </c>
      <c r="D1706" s="7" t="s">
        <v>9805</v>
      </c>
      <c r="E1706" s="7" t="s">
        <v>14103</v>
      </c>
      <c r="F1706" s="7" t="s">
        <v>4598</v>
      </c>
      <c r="G1706" s="7" t="s">
        <v>14104</v>
      </c>
      <c r="H1706" s="7" t="s">
        <v>14105</v>
      </c>
      <c r="I1706" s="119">
        <v>45292.0</v>
      </c>
      <c r="K1706" s="7" t="s">
        <v>419</v>
      </c>
      <c r="L1706" s="7" t="s">
        <v>991</v>
      </c>
      <c r="M1706" s="7" t="s">
        <v>3501</v>
      </c>
      <c r="N1706" s="7" t="s">
        <v>5637</v>
      </c>
      <c r="O1706" s="7" t="s">
        <v>5638</v>
      </c>
      <c r="P1706" s="7" t="s">
        <v>3604</v>
      </c>
      <c r="Q1706" s="7">
        <v>1.0</v>
      </c>
    </row>
    <row r="1707">
      <c r="A1707" s="7" t="s">
        <v>14106</v>
      </c>
      <c r="B1707" s="7">
        <v>1039.0</v>
      </c>
      <c r="C1707" s="7" t="s">
        <v>14107</v>
      </c>
      <c r="D1707" s="7" t="s">
        <v>14108</v>
      </c>
      <c r="E1707" s="7" t="s">
        <v>14109</v>
      </c>
      <c r="F1707" s="7" t="s">
        <v>14110</v>
      </c>
      <c r="G1707" s="7" t="s">
        <v>14111</v>
      </c>
      <c r="H1707" s="7" t="s">
        <v>14112</v>
      </c>
      <c r="I1707" s="119">
        <v>45292.0</v>
      </c>
      <c r="K1707" s="7" t="s">
        <v>419</v>
      </c>
      <c r="L1707" s="7" t="s">
        <v>991</v>
      </c>
      <c r="M1707" s="7" t="s">
        <v>3501</v>
      </c>
      <c r="N1707" s="7" t="s">
        <v>9150</v>
      </c>
      <c r="O1707" s="7" t="s">
        <v>14113</v>
      </c>
      <c r="P1707" s="7" t="s">
        <v>3493</v>
      </c>
      <c r="Q1707" s="7">
        <v>1.0</v>
      </c>
    </row>
    <row r="1708">
      <c r="A1708" s="7" t="s">
        <v>14114</v>
      </c>
      <c r="B1708" s="7">
        <v>2200396.0</v>
      </c>
      <c r="C1708" s="7" t="s">
        <v>14107</v>
      </c>
      <c r="D1708" s="7" t="s">
        <v>3780</v>
      </c>
      <c r="E1708" s="7" t="s">
        <v>14109</v>
      </c>
      <c r="F1708" s="7" t="s">
        <v>3781</v>
      </c>
      <c r="G1708" s="7" t="s">
        <v>14115</v>
      </c>
      <c r="H1708" s="7" t="s">
        <v>14116</v>
      </c>
      <c r="I1708" s="119">
        <v>45292.0</v>
      </c>
      <c r="K1708" s="7" t="s">
        <v>419</v>
      </c>
      <c r="L1708" s="7" t="s">
        <v>991</v>
      </c>
      <c r="M1708" s="7" t="s">
        <v>3501</v>
      </c>
      <c r="N1708" s="7" t="s">
        <v>14117</v>
      </c>
      <c r="O1708" s="7" t="s">
        <v>14118</v>
      </c>
      <c r="P1708" s="7" t="s">
        <v>3894</v>
      </c>
      <c r="Q1708" s="7" t="s">
        <v>3523</v>
      </c>
    </row>
    <row r="1709">
      <c r="A1709" s="7" t="s">
        <v>14119</v>
      </c>
      <c r="B1709" s="7">
        <v>13343.0</v>
      </c>
      <c r="C1709" s="7" t="s">
        <v>14107</v>
      </c>
      <c r="D1709" s="7" t="s">
        <v>14120</v>
      </c>
      <c r="E1709" s="7" t="s">
        <v>14109</v>
      </c>
      <c r="F1709" s="7" t="s">
        <v>3792</v>
      </c>
      <c r="G1709" s="7" t="s">
        <v>14121</v>
      </c>
      <c r="H1709" s="7" t="s">
        <v>14122</v>
      </c>
      <c r="I1709" s="119">
        <v>45292.0</v>
      </c>
      <c r="K1709" s="7" t="s">
        <v>419</v>
      </c>
      <c r="L1709" s="7" t="s">
        <v>991</v>
      </c>
      <c r="M1709" s="7" t="s">
        <v>3531</v>
      </c>
      <c r="N1709" s="7" t="s">
        <v>14123</v>
      </c>
      <c r="O1709" s="7" t="s">
        <v>14124</v>
      </c>
      <c r="P1709" s="7" t="s">
        <v>3493</v>
      </c>
      <c r="Q1709" s="7">
        <v>1.0</v>
      </c>
    </row>
    <row r="1710">
      <c r="A1710" s="7" t="s">
        <v>14125</v>
      </c>
      <c r="B1710" s="7">
        <v>91.0</v>
      </c>
      <c r="C1710" s="7" t="s">
        <v>14107</v>
      </c>
      <c r="D1710" s="7" t="s">
        <v>14126</v>
      </c>
      <c r="E1710" s="7" t="s">
        <v>14109</v>
      </c>
      <c r="F1710" s="7" t="s">
        <v>12435</v>
      </c>
      <c r="G1710" s="7" t="s">
        <v>14127</v>
      </c>
      <c r="H1710" s="7" t="s">
        <v>14128</v>
      </c>
      <c r="I1710" s="119">
        <v>45292.0</v>
      </c>
      <c r="K1710" s="7" t="s">
        <v>419</v>
      </c>
      <c r="L1710" s="7" t="s">
        <v>991</v>
      </c>
      <c r="M1710" s="7" t="s">
        <v>3501</v>
      </c>
      <c r="N1710" s="7" t="s">
        <v>4871</v>
      </c>
      <c r="O1710" s="7" t="s">
        <v>5002</v>
      </c>
      <c r="P1710" s="7" t="s">
        <v>3493</v>
      </c>
      <c r="Q1710" s="7">
        <v>1.0</v>
      </c>
    </row>
    <row r="1711">
      <c r="A1711" s="7" t="s">
        <v>14129</v>
      </c>
      <c r="B1711" s="7">
        <v>11761.0</v>
      </c>
      <c r="C1711" s="7" t="s">
        <v>14107</v>
      </c>
      <c r="D1711" s="7" t="s">
        <v>14130</v>
      </c>
      <c r="E1711" s="7" t="s">
        <v>14109</v>
      </c>
      <c r="F1711" s="7" t="s">
        <v>5203</v>
      </c>
      <c r="G1711" s="7" t="s">
        <v>14131</v>
      </c>
      <c r="H1711" s="7" t="s">
        <v>14132</v>
      </c>
      <c r="I1711" s="119">
        <v>45292.0</v>
      </c>
      <c r="K1711" s="7" t="s">
        <v>419</v>
      </c>
      <c r="L1711" s="7" t="s">
        <v>991</v>
      </c>
      <c r="M1711" s="7" t="s">
        <v>3501</v>
      </c>
      <c r="N1711" s="7" t="s">
        <v>4557</v>
      </c>
      <c r="O1711" s="7" t="s">
        <v>14133</v>
      </c>
      <c r="P1711" s="7" t="s">
        <v>9646</v>
      </c>
      <c r="Q1711" s="7" t="s">
        <v>3523</v>
      </c>
    </row>
    <row r="1712">
      <c r="A1712" s="7" t="s">
        <v>14134</v>
      </c>
      <c r="B1712" s="7">
        <v>13093.0</v>
      </c>
      <c r="C1712" s="7" t="s">
        <v>14135</v>
      </c>
      <c r="D1712" s="7" t="s">
        <v>12916</v>
      </c>
      <c r="E1712" s="7" t="s">
        <v>14136</v>
      </c>
      <c r="F1712" s="7" t="s">
        <v>5155</v>
      </c>
      <c r="G1712" s="7" t="s">
        <v>14137</v>
      </c>
      <c r="H1712" s="7" t="s">
        <v>14138</v>
      </c>
      <c r="I1712" s="119">
        <v>45292.0</v>
      </c>
      <c r="K1712" s="7" t="s">
        <v>419</v>
      </c>
      <c r="L1712" s="7" t="s">
        <v>991</v>
      </c>
      <c r="M1712" s="7" t="s">
        <v>3583</v>
      </c>
      <c r="N1712" s="7" t="s">
        <v>6265</v>
      </c>
      <c r="O1712" s="7" t="s">
        <v>6266</v>
      </c>
      <c r="P1712" s="7" t="s">
        <v>3493</v>
      </c>
      <c r="Q1712" s="7">
        <v>1.0</v>
      </c>
    </row>
    <row r="1713">
      <c r="A1713" s="7" t="s">
        <v>14139</v>
      </c>
      <c r="B1713" s="7">
        <v>2300016.0</v>
      </c>
      <c r="C1713" s="7" t="s">
        <v>14140</v>
      </c>
      <c r="D1713" s="7" t="s">
        <v>7644</v>
      </c>
      <c r="E1713" s="7" t="s">
        <v>14141</v>
      </c>
      <c r="F1713" s="7" t="s">
        <v>7645</v>
      </c>
      <c r="G1713" s="7" t="s">
        <v>14142</v>
      </c>
      <c r="H1713" s="7" t="s">
        <v>14143</v>
      </c>
      <c r="I1713" s="119">
        <v>45292.0</v>
      </c>
      <c r="K1713" s="7" t="s">
        <v>419</v>
      </c>
      <c r="L1713" s="7" t="s">
        <v>991</v>
      </c>
      <c r="M1713" s="7" t="s">
        <v>3531</v>
      </c>
      <c r="N1713" s="7" t="s">
        <v>3724</v>
      </c>
      <c r="O1713" s="7" t="s">
        <v>3725</v>
      </c>
      <c r="P1713" s="7" t="s">
        <v>3493</v>
      </c>
      <c r="Q1713" s="7">
        <v>1.0</v>
      </c>
    </row>
    <row r="1714">
      <c r="A1714" s="7" t="s">
        <v>14144</v>
      </c>
      <c r="B1714" s="7">
        <v>2200522.0</v>
      </c>
      <c r="C1714" s="7" t="s">
        <v>14145</v>
      </c>
      <c r="D1714" s="7" t="s">
        <v>14146</v>
      </c>
      <c r="E1714" s="7" t="s">
        <v>14147</v>
      </c>
      <c r="F1714" s="7" t="s">
        <v>10272</v>
      </c>
      <c r="G1714" s="7" t="s">
        <v>14148</v>
      </c>
      <c r="H1714" s="7" t="s">
        <v>14149</v>
      </c>
      <c r="I1714" s="119">
        <v>45292.0</v>
      </c>
      <c r="K1714" s="7" t="s">
        <v>3632</v>
      </c>
      <c r="L1714" s="7" t="s">
        <v>991</v>
      </c>
      <c r="M1714" s="7" t="s">
        <v>3501</v>
      </c>
      <c r="N1714" s="7" t="s">
        <v>3633</v>
      </c>
      <c r="O1714" s="7" t="s">
        <v>5960</v>
      </c>
      <c r="P1714" s="7" t="s">
        <v>4154</v>
      </c>
      <c r="Q1714" s="7" t="s">
        <v>3566</v>
      </c>
    </row>
    <row r="1715">
      <c r="A1715" s="7" t="s">
        <v>2404</v>
      </c>
      <c r="B1715" s="7">
        <v>10659.0</v>
      </c>
      <c r="C1715" s="7" t="s">
        <v>14145</v>
      </c>
      <c r="D1715" s="7" t="s">
        <v>14150</v>
      </c>
      <c r="E1715" s="7" t="s">
        <v>14147</v>
      </c>
      <c r="F1715" s="7" t="s">
        <v>10272</v>
      </c>
      <c r="G1715" s="7" t="s">
        <v>14151</v>
      </c>
      <c r="H1715" s="7" t="s">
        <v>14152</v>
      </c>
      <c r="I1715" s="119">
        <v>45292.0</v>
      </c>
      <c r="K1715" s="7" t="s">
        <v>419</v>
      </c>
      <c r="L1715" s="7" t="s">
        <v>991</v>
      </c>
      <c r="M1715" s="7" t="s">
        <v>3501</v>
      </c>
      <c r="N1715" s="7" t="s">
        <v>3574</v>
      </c>
      <c r="O1715" s="7" t="s">
        <v>14153</v>
      </c>
      <c r="P1715" s="7" t="s">
        <v>3894</v>
      </c>
      <c r="Q1715" s="7" t="s">
        <v>3523</v>
      </c>
    </row>
    <row r="1716">
      <c r="A1716" s="7" t="s">
        <v>14154</v>
      </c>
      <c r="B1716" s="7">
        <v>11762.0</v>
      </c>
      <c r="C1716" s="7" t="s">
        <v>14145</v>
      </c>
      <c r="D1716" s="7" t="s">
        <v>14155</v>
      </c>
      <c r="E1716" s="7" t="s">
        <v>14147</v>
      </c>
      <c r="F1716" s="7" t="s">
        <v>14156</v>
      </c>
      <c r="G1716" s="7" t="s">
        <v>14157</v>
      </c>
      <c r="H1716" s="7" t="s">
        <v>14158</v>
      </c>
      <c r="I1716" s="119">
        <v>45292.0</v>
      </c>
      <c r="K1716" s="7" t="s">
        <v>419</v>
      </c>
      <c r="L1716" s="7" t="s">
        <v>991</v>
      </c>
      <c r="M1716" s="7" t="s">
        <v>3501</v>
      </c>
      <c r="N1716" s="7" t="s">
        <v>3802</v>
      </c>
      <c r="O1716" s="7" t="s">
        <v>3803</v>
      </c>
      <c r="P1716" s="7" t="s">
        <v>3493</v>
      </c>
      <c r="Q1716" s="7">
        <v>1.0</v>
      </c>
    </row>
    <row r="1717">
      <c r="A1717" s="7" t="s">
        <v>14159</v>
      </c>
      <c r="B1717" s="7">
        <v>2200901.0</v>
      </c>
      <c r="C1717" s="7" t="s">
        <v>14145</v>
      </c>
      <c r="D1717" s="7" t="s">
        <v>14160</v>
      </c>
      <c r="E1717" s="7" t="s">
        <v>14147</v>
      </c>
      <c r="F1717" s="7" t="s">
        <v>3549</v>
      </c>
      <c r="G1717" s="7" t="s">
        <v>14161</v>
      </c>
      <c r="H1717" s="7" t="s">
        <v>14162</v>
      </c>
      <c r="I1717" s="119">
        <v>45292.0</v>
      </c>
      <c r="K1717" s="7" t="s">
        <v>419</v>
      </c>
      <c r="L1717" s="7" t="s">
        <v>991</v>
      </c>
      <c r="M1717" s="7" t="s">
        <v>3501</v>
      </c>
      <c r="N1717" s="7" t="s">
        <v>4437</v>
      </c>
      <c r="O1717" s="7" t="s">
        <v>4438</v>
      </c>
      <c r="P1717" s="7" t="s">
        <v>3493</v>
      </c>
      <c r="Q1717" s="7">
        <v>1.0</v>
      </c>
    </row>
    <row r="1718">
      <c r="A1718" s="7" t="s">
        <v>14163</v>
      </c>
      <c r="B1718" s="7">
        <v>13701.0</v>
      </c>
      <c r="C1718" s="7" t="s">
        <v>14145</v>
      </c>
      <c r="D1718" s="7" t="s">
        <v>11667</v>
      </c>
      <c r="E1718" s="7" t="s">
        <v>14147</v>
      </c>
      <c r="F1718" s="7" t="s">
        <v>3549</v>
      </c>
      <c r="G1718" s="7" t="s">
        <v>14164</v>
      </c>
      <c r="H1718" s="7" t="s">
        <v>14165</v>
      </c>
      <c r="I1718" s="119">
        <v>45292.0</v>
      </c>
      <c r="K1718" s="7" t="s">
        <v>3632</v>
      </c>
      <c r="L1718" s="7" t="s">
        <v>991</v>
      </c>
      <c r="M1718" s="7" t="s">
        <v>3501</v>
      </c>
      <c r="N1718" s="7" t="s">
        <v>14166</v>
      </c>
      <c r="O1718" s="7" t="s">
        <v>14167</v>
      </c>
      <c r="P1718" s="7" t="s">
        <v>14168</v>
      </c>
      <c r="Q1718" s="7" t="s">
        <v>3698</v>
      </c>
    </row>
    <row r="1719">
      <c r="A1719" s="7" t="s">
        <v>14169</v>
      </c>
      <c r="B1719" s="7">
        <v>2200050.0</v>
      </c>
      <c r="C1719" s="7" t="s">
        <v>14145</v>
      </c>
      <c r="D1719" s="7" t="s">
        <v>14170</v>
      </c>
      <c r="E1719" s="7" t="s">
        <v>14147</v>
      </c>
      <c r="F1719" s="7" t="s">
        <v>11548</v>
      </c>
      <c r="G1719" s="7" t="s">
        <v>14171</v>
      </c>
      <c r="H1719" s="7" t="s">
        <v>14172</v>
      </c>
      <c r="I1719" s="119">
        <v>45292.0</v>
      </c>
      <c r="K1719" s="7" t="s">
        <v>3632</v>
      </c>
      <c r="L1719" s="7" t="s">
        <v>991</v>
      </c>
      <c r="M1719" s="7" t="s">
        <v>3583</v>
      </c>
      <c r="N1719" s="7" t="s">
        <v>9442</v>
      </c>
      <c r="O1719" s="7" t="s">
        <v>14173</v>
      </c>
      <c r="P1719" s="7" t="s">
        <v>3493</v>
      </c>
      <c r="Q1719" s="7">
        <v>1.0</v>
      </c>
    </row>
    <row r="1720">
      <c r="A1720" s="7" t="s">
        <v>14174</v>
      </c>
      <c r="B1720" s="7">
        <v>13512.0</v>
      </c>
      <c r="C1720" s="7" t="s">
        <v>14145</v>
      </c>
      <c r="D1720" s="7" t="s">
        <v>14175</v>
      </c>
      <c r="E1720" s="7" t="s">
        <v>14147</v>
      </c>
      <c r="F1720" s="7" t="s">
        <v>4441</v>
      </c>
      <c r="G1720" s="7" t="s">
        <v>14176</v>
      </c>
      <c r="H1720" s="7" t="s">
        <v>14177</v>
      </c>
      <c r="I1720" s="119">
        <v>45292.0</v>
      </c>
      <c r="K1720" s="7" t="s">
        <v>419</v>
      </c>
      <c r="L1720" s="7" t="s">
        <v>991</v>
      </c>
      <c r="M1720" s="7" t="s">
        <v>3501</v>
      </c>
      <c r="N1720" s="7" t="s">
        <v>10121</v>
      </c>
      <c r="O1720" s="7" t="s">
        <v>10122</v>
      </c>
      <c r="P1720" s="7" t="s">
        <v>3843</v>
      </c>
      <c r="Q1720" s="7">
        <v>1.0</v>
      </c>
    </row>
    <row r="1721">
      <c r="A1721" s="7" t="s">
        <v>14178</v>
      </c>
      <c r="B1721" s="7">
        <v>2400209.0</v>
      </c>
      <c r="C1721" s="7" t="s">
        <v>14145</v>
      </c>
      <c r="D1721" s="7" t="s">
        <v>14179</v>
      </c>
      <c r="E1721" s="7" t="s">
        <v>14147</v>
      </c>
      <c r="F1721" s="7" t="s">
        <v>14180</v>
      </c>
      <c r="G1721" s="7" t="s">
        <v>14181</v>
      </c>
      <c r="H1721" s="7" t="s">
        <v>14182</v>
      </c>
      <c r="I1721" s="119">
        <v>45383.0</v>
      </c>
      <c r="K1721" s="7" t="s">
        <v>419</v>
      </c>
      <c r="L1721" s="7" t="s">
        <v>991</v>
      </c>
      <c r="M1721" s="7" t="s">
        <v>3501</v>
      </c>
      <c r="N1721" s="7" t="s">
        <v>6402</v>
      </c>
      <c r="O1721" s="7" t="s">
        <v>6403</v>
      </c>
      <c r="P1721" s="7" t="s">
        <v>3493</v>
      </c>
      <c r="Q1721" s="7">
        <v>1.0</v>
      </c>
    </row>
    <row r="1722">
      <c r="A1722" s="7" t="s">
        <v>14183</v>
      </c>
      <c r="B1722" s="7">
        <v>10537.0</v>
      </c>
      <c r="C1722" s="7" t="s">
        <v>14145</v>
      </c>
      <c r="D1722" s="7" t="s">
        <v>12804</v>
      </c>
      <c r="E1722" s="7" t="s">
        <v>14147</v>
      </c>
      <c r="F1722" s="7" t="s">
        <v>3909</v>
      </c>
      <c r="G1722" s="7" t="s">
        <v>14184</v>
      </c>
      <c r="H1722" s="7" t="s">
        <v>14185</v>
      </c>
      <c r="I1722" s="119">
        <v>45292.0</v>
      </c>
      <c r="K1722" s="7" t="s">
        <v>419</v>
      </c>
      <c r="L1722" s="7" t="s">
        <v>991</v>
      </c>
      <c r="M1722" s="7" t="s">
        <v>3501</v>
      </c>
      <c r="N1722" s="7" t="s">
        <v>6672</v>
      </c>
      <c r="O1722" s="7" t="s">
        <v>14186</v>
      </c>
      <c r="P1722" s="7" t="s">
        <v>8221</v>
      </c>
      <c r="Q1722" s="7" t="s">
        <v>4155</v>
      </c>
    </row>
    <row r="1723">
      <c r="A1723" s="7" t="s">
        <v>14187</v>
      </c>
      <c r="B1723" s="7">
        <v>10858.0</v>
      </c>
      <c r="C1723" s="7" t="s">
        <v>14145</v>
      </c>
      <c r="D1723" s="7" t="s">
        <v>9683</v>
      </c>
      <c r="E1723" s="7" t="s">
        <v>14147</v>
      </c>
      <c r="F1723" s="7" t="s">
        <v>3486</v>
      </c>
      <c r="G1723" s="7" t="s">
        <v>14188</v>
      </c>
      <c r="H1723" s="7" t="s">
        <v>14189</v>
      </c>
      <c r="I1723" s="119">
        <v>45292.0</v>
      </c>
      <c r="K1723" s="7" t="s">
        <v>419</v>
      </c>
      <c r="L1723" s="7" t="s">
        <v>991</v>
      </c>
      <c r="M1723" s="7" t="s">
        <v>3531</v>
      </c>
      <c r="N1723" s="7" t="s">
        <v>5166</v>
      </c>
      <c r="O1723" s="7" t="s">
        <v>5167</v>
      </c>
      <c r="P1723" s="7" t="s">
        <v>3493</v>
      </c>
      <c r="Q1723" s="7">
        <v>1.0</v>
      </c>
    </row>
    <row r="1724">
      <c r="A1724" s="7" t="s">
        <v>14190</v>
      </c>
      <c r="B1724" s="7">
        <v>39.0</v>
      </c>
      <c r="C1724" s="7" t="s">
        <v>14145</v>
      </c>
      <c r="D1724" s="7" t="s">
        <v>5962</v>
      </c>
      <c r="E1724" s="7" t="s">
        <v>14147</v>
      </c>
      <c r="F1724" s="7" t="s">
        <v>5723</v>
      </c>
      <c r="G1724" s="7" t="s">
        <v>14191</v>
      </c>
      <c r="H1724" s="7" t="s">
        <v>14192</v>
      </c>
      <c r="I1724" s="119">
        <v>45292.0</v>
      </c>
      <c r="K1724" s="7" t="s">
        <v>419</v>
      </c>
      <c r="L1724" s="7" t="s">
        <v>991</v>
      </c>
      <c r="M1724" s="7" t="s">
        <v>3501</v>
      </c>
      <c r="N1724" s="7" t="s">
        <v>3980</v>
      </c>
      <c r="O1724" s="7" t="s">
        <v>3981</v>
      </c>
      <c r="P1724" s="7" t="s">
        <v>3843</v>
      </c>
      <c r="Q1724" s="7">
        <v>1.0</v>
      </c>
    </row>
    <row r="1725">
      <c r="A1725" s="7" t="s">
        <v>14193</v>
      </c>
      <c r="B1725" s="7">
        <v>2300674.0</v>
      </c>
      <c r="C1725" s="7" t="s">
        <v>14194</v>
      </c>
      <c r="D1725" s="7" t="s">
        <v>14195</v>
      </c>
      <c r="E1725" s="7" t="s">
        <v>14196</v>
      </c>
      <c r="F1725" s="7" t="s">
        <v>14197</v>
      </c>
      <c r="G1725" s="7" t="s">
        <v>14198</v>
      </c>
      <c r="H1725" s="7" t="s">
        <v>14199</v>
      </c>
      <c r="I1725" s="119">
        <v>45292.0</v>
      </c>
      <c r="K1725" s="7" t="s">
        <v>11974</v>
      </c>
      <c r="L1725" s="7" t="s">
        <v>991</v>
      </c>
      <c r="M1725" s="7" t="s">
        <v>4644</v>
      </c>
      <c r="N1725" s="7" t="s">
        <v>14200</v>
      </c>
      <c r="O1725" s="7" t="s">
        <v>14201</v>
      </c>
      <c r="P1725" s="7" t="s">
        <v>420</v>
      </c>
      <c r="Q1725" s="7">
        <v>1.0</v>
      </c>
    </row>
    <row r="1726">
      <c r="A1726" s="7" t="s">
        <v>14202</v>
      </c>
      <c r="B1726" s="7">
        <v>756.0</v>
      </c>
      <c r="C1726" s="7" t="s">
        <v>14203</v>
      </c>
      <c r="D1726" s="7" t="s">
        <v>10581</v>
      </c>
      <c r="E1726" s="7" t="s">
        <v>14204</v>
      </c>
      <c r="F1726" s="7" t="s">
        <v>10583</v>
      </c>
      <c r="G1726" s="7" t="s">
        <v>14205</v>
      </c>
      <c r="H1726" s="7" t="s">
        <v>14206</v>
      </c>
      <c r="I1726" s="119">
        <v>45292.0</v>
      </c>
      <c r="K1726" s="7" t="s">
        <v>419</v>
      </c>
      <c r="L1726" s="7" t="s">
        <v>991</v>
      </c>
      <c r="M1726" s="7" t="s">
        <v>3501</v>
      </c>
      <c r="N1726" s="7" t="s">
        <v>14207</v>
      </c>
      <c r="O1726" s="7" t="s">
        <v>14208</v>
      </c>
      <c r="P1726" s="7" t="s">
        <v>5585</v>
      </c>
      <c r="Q1726" s="7">
        <v>1.0</v>
      </c>
    </row>
    <row r="1727">
      <c r="A1727" s="7" t="s">
        <v>14209</v>
      </c>
      <c r="B1727" s="7">
        <v>321.0</v>
      </c>
      <c r="C1727" s="7" t="s">
        <v>14210</v>
      </c>
      <c r="D1727" s="7" t="s">
        <v>5626</v>
      </c>
      <c r="E1727" s="7" t="s">
        <v>6499</v>
      </c>
      <c r="F1727" s="7" t="s">
        <v>5627</v>
      </c>
      <c r="G1727" s="7" t="s">
        <v>14211</v>
      </c>
      <c r="H1727" s="7" t="s">
        <v>14212</v>
      </c>
      <c r="I1727" s="119">
        <v>45292.0</v>
      </c>
      <c r="K1727" s="7" t="s">
        <v>419</v>
      </c>
      <c r="L1727" s="7" t="s">
        <v>991</v>
      </c>
      <c r="M1727" s="7" t="s">
        <v>3501</v>
      </c>
      <c r="N1727" s="7" t="s">
        <v>9102</v>
      </c>
      <c r="O1727" s="7" t="s">
        <v>9103</v>
      </c>
      <c r="P1727" s="7" t="s">
        <v>12935</v>
      </c>
      <c r="Q1727" s="7">
        <v>1.0</v>
      </c>
    </row>
    <row r="1728">
      <c r="A1728" s="7" t="s">
        <v>14213</v>
      </c>
      <c r="B1728" s="7">
        <v>2300215.0</v>
      </c>
      <c r="C1728" s="7" t="s">
        <v>14210</v>
      </c>
      <c r="D1728" s="7" t="s">
        <v>14214</v>
      </c>
      <c r="E1728" s="7" t="s">
        <v>6499</v>
      </c>
      <c r="F1728" s="7" t="s">
        <v>9184</v>
      </c>
      <c r="G1728" s="7" t="s">
        <v>14215</v>
      </c>
      <c r="H1728" s="7" t="s">
        <v>14216</v>
      </c>
      <c r="I1728" s="119">
        <v>45292.0</v>
      </c>
      <c r="K1728" s="7" t="s">
        <v>419</v>
      </c>
      <c r="L1728" s="7" t="s">
        <v>991</v>
      </c>
      <c r="M1728" s="7" t="s">
        <v>3501</v>
      </c>
      <c r="N1728" s="7" t="s">
        <v>8314</v>
      </c>
      <c r="O1728" s="7" t="s">
        <v>8315</v>
      </c>
      <c r="P1728" s="7" t="s">
        <v>3522</v>
      </c>
      <c r="Q1728" s="7" t="s">
        <v>3523</v>
      </c>
    </row>
    <row r="1729">
      <c r="A1729" s="7" t="s">
        <v>14217</v>
      </c>
      <c r="B1729" s="7">
        <v>2100572.0</v>
      </c>
      <c r="C1729" s="7" t="s">
        <v>14210</v>
      </c>
      <c r="D1729" s="7" t="s">
        <v>14218</v>
      </c>
      <c r="E1729" s="7" t="s">
        <v>6499</v>
      </c>
      <c r="F1729" s="7" t="s">
        <v>3909</v>
      </c>
      <c r="G1729" s="7" t="s">
        <v>14219</v>
      </c>
      <c r="H1729" s="7" t="s">
        <v>14220</v>
      </c>
      <c r="I1729" s="119">
        <v>45292.0</v>
      </c>
      <c r="K1729" s="7" t="s">
        <v>419</v>
      </c>
      <c r="L1729" s="7" t="s">
        <v>991</v>
      </c>
      <c r="M1729" s="7" t="s">
        <v>3501</v>
      </c>
      <c r="N1729" s="7" t="s">
        <v>6646</v>
      </c>
      <c r="O1729" s="7" t="s">
        <v>8015</v>
      </c>
      <c r="P1729" s="7" t="s">
        <v>3493</v>
      </c>
      <c r="Q1729" s="7">
        <v>1.0</v>
      </c>
    </row>
    <row r="1730">
      <c r="A1730" s="7" t="s">
        <v>14221</v>
      </c>
      <c r="B1730" s="7">
        <v>2200699.0</v>
      </c>
      <c r="C1730" s="7" t="s">
        <v>14210</v>
      </c>
      <c r="D1730" s="7" t="s">
        <v>3713</v>
      </c>
      <c r="E1730" s="7" t="s">
        <v>6499</v>
      </c>
      <c r="F1730" s="7" t="s">
        <v>3909</v>
      </c>
      <c r="G1730" s="7" t="s">
        <v>14222</v>
      </c>
      <c r="H1730" s="7" t="s">
        <v>14223</v>
      </c>
      <c r="I1730" s="119">
        <v>45292.0</v>
      </c>
      <c r="K1730" s="7" t="s">
        <v>4042</v>
      </c>
      <c r="L1730" s="7" t="s">
        <v>991</v>
      </c>
      <c r="M1730" s="7" t="s">
        <v>3501</v>
      </c>
      <c r="N1730" s="7" t="s">
        <v>4043</v>
      </c>
      <c r="O1730" s="7" t="s">
        <v>4044</v>
      </c>
      <c r="P1730" s="7" t="s">
        <v>3493</v>
      </c>
      <c r="Q1730" s="7">
        <v>1.0</v>
      </c>
    </row>
    <row r="1731">
      <c r="A1731" s="7" t="s">
        <v>14224</v>
      </c>
      <c r="B1731" s="7">
        <v>10810.0</v>
      </c>
      <c r="C1731" s="7" t="s">
        <v>14210</v>
      </c>
      <c r="D1731" s="7" t="s">
        <v>14225</v>
      </c>
      <c r="E1731" s="7" t="s">
        <v>6499</v>
      </c>
      <c r="F1731" s="7" t="s">
        <v>4203</v>
      </c>
      <c r="G1731" s="7" t="s">
        <v>14226</v>
      </c>
      <c r="H1731" s="7" t="s">
        <v>14227</v>
      </c>
      <c r="I1731" s="119">
        <v>45292.0</v>
      </c>
      <c r="K1731" s="7" t="s">
        <v>419</v>
      </c>
      <c r="L1731" s="7" t="s">
        <v>991</v>
      </c>
      <c r="M1731" s="7" t="s">
        <v>3501</v>
      </c>
      <c r="N1731" s="7" t="s">
        <v>14228</v>
      </c>
      <c r="O1731" s="7" t="s">
        <v>14229</v>
      </c>
      <c r="P1731" s="7" t="s">
        <v>3604</v>
      </c>
      <c r="Q1731" s="7">
        <v>1.0</v>
      </c>
    </row>
    <row r="1732">
      <c r="A1732" s="7" t="s">
        <v>14230</v>
      </c>
      <c r="B1732" s="7">
        <v>2200642.0</v>
      </c>
      <c r="C1732" s="7" t="s">
        <v>14231</v>
      </c>
      <c r="D1732" s="7" t="s">
        <v>14232</v>
      </c>
      <c r="E1732" s="7" t="s">
        <v>14233</v>
      </c>
      <c r="F1732" s="7" t="s">
        <v>4262</v>
      </c>
      <c r="G1732" s="7" t="s">
        <v>14234</v>
      </c>
      <c r="H1732" s="7" t="s">
        <v>14235</v>
      </c>
      <c r="I1732" s="119">
        <v>45292.0</v>
      </c>
      <c r="K1732" s="7" t="s">
        <v>419</v>
      </c>
      <c r="L1732" s="7" t="s">
        <v>991</v>
      </c>
      <c r="M1732" s="7" t="s">
        <v>3501</v>
      </c>
      <c r="N1732" s="7" t="s">
        <v>7147</v>
      </c>
      <c r="O1732" s="7" t="s">
        <v>7148</v>
      </c>
      <c r="P1732" s="7" t="s">
        <v>3493</v>
      </c>
      <c r="Q1732" s="7">
        <v>1.0</v>
      </c>
    </row>
    <row r="1733">
      <c r="A1733" s="7" t="s">
        <v>14236</v>
      </c>
      <c r="B1733" s="7">
        <v>2300569.0</v>
      </c>
      <c r="C1733" s="7" t="s">
        <v>14237</v>
      </c>
      <c r="D1733" s="7" t="s">
        <v>14238</v>
      </c>
      <c r="E1733" s="7" t="s">
        <v>14239</v>
      </c>
      <c r="F1733" s="7" t="s">
        <v>3986</v>
      </c>
      <c r="G1733" s="7" t="s">
        <v>14240</v>
      </c>
      <c r="H1733" s="7" t="s">
        <v>14241</v>
      </c>
      <c r="I1733" s="119">
        <v>45292.0</v>
      </c>
      <c r="K1733" s="7" t="s">
        <v>419</v>
      </c>
      <c r="L1733" s="7" t="s">
        <v>991</v>
      </c>
      <c r="M1733" s="7" t="s">
        <v>3501</v>
      </c>
      <c r="N1733" s="7" t="s">
        <v>13048</v>
      </c>
      <c r="O1733" s="7" t="s">
        <v>13049</v>
      </c>
      <c r="P1733" s="7" t="s">
        <v>3493</v>
      </c>
      <c r="Q1733" s="7">
        <v>1.0</v>
      </c>
    </row>
    <row r="1734">
      <c r="A1734" s="7" t="s">
        <v>14242</v>
      </c>
      <c r="B1734" s="7">
        <v>13672.0</v>
      </c>
      <c r="C1734" s="7" t="s">
        <v>14243</v>
      </c>
      <c r="D1734" s="7" t="s">
        <v>14244</v>
      </c>
      <c r="E1734" s="7" t="s">
        <v>14245</v>
      </c>
      <c r="F1734" s="7" t="s">
        <v>14246</v>
      </c>
      <c r="G1734" s="7" t="s">
        <v>14247</v>
      </c>
      <c r="H1734" s="7" t="s">
        <v>14248</v>
      </c>
      <c r="I1734" s="119">
        <v>45292.0</v>
      </c>
      <c r="K1734" s="7" t="s">
        <v>3632</v>
      </c>
      <c r="L1734" s="7" t="s">
        <v>991</v>
      </c>
      <c r="M1734" s="7" t="s">
        <v>3501</v>
      </c>
      <c r="N1734" s="7" t="s">
        <v>14249</v>
      </c>
      <c r="O1734" s="7" t="s">
        <v>14250</v>
      </c>
      <c r="P1734" s="7" t="s">
        <v>14251</v>
      </c>
      <c r="Q1734" s="7" t="s">
        <v>3555</v>
      </c>
    </row>
    <row r="1735">
      <c r="A1735" s="7" t="s">
        <v>14252</v>
      </c>
      <c r="B1735" s="7">
        <v>10371.0</v>
      </c>
      <c r="C1735" s="7" t="s">
        <v>14253</v>
      </c>
      <c r="D1735" s="7" t="s">
        <v>6209</v>
      </c>
      <c r="E1735" s="7" t="s">
        <v>14254</v>
      </c>
      <c r="F1735" s="7" t="s">
        <v>6211</v>
      </c>
      <c r="G1735" s="7" t="s">
        <v>14255</v>
      </c>
      <c r="H1735" s="7" t="s">
        <v>14256</v>
      </c>
      <c r="I1735" s="119">
        <v>45292.0</v>
      </c>
      <c r="K1735" s="7" t="s">
        <v>419</v>
      </c>
      <c r="L1735" s="7" t="s">
        <v>991</v>
      </c>
      <c r="M1735" s="7" t="s">
        <v>3531</v>
      </c>
      <c r="N1735" s="7" t="s">
        <v>4549</v>
      </c>
      <c r="O1735" s="7" t="s">
        <v>14257</v>
      </c>
      <c r="P1735" s="7" t="s">
        <v>3493</v>
      </c>
      <c r="Q1735" s="7">
        <v>1.0</v>
      </c>
    </row>
    <row r="1736">
      <c r="A1736" s="7" t="s">
        <v>14258</v>
      </c>
      <c r="B1736" s="7">
        <v>8543.0</v>
      </c>
      <c r="C1736" s="7" t="s">
        <v>14259</v>
      </c>
      <c r="D1736" s="7" t="s">
        <v>3727</v>
      </c>
      <c r="E1736" s="7" t="s">
        <v>14260</v>
      </c>
      <c r="F1736" s="7" t="s">
        <v>3729</v>
      </c>
      <c r="G1736" s="7" t="s">
        <v>14261</v>
      </c>
      <c r="H1736" s="7" t="s">
        <v>14262</v>
      </c>
      <c r="I1736" s="119">
        <v>45292.0</v>
      </c>
      <c r="K1736" s="7" t="s">
        <v>419</v>
      </c>
      <c r="L1736" s="7" t="s">
        <v>991</v>
      </c>
      <c r="M1736" s="7" t="s">
        <v>3531</v>
      </c>
      <c r="N1736" s="7" t="s">
        <v>4557</v>
      </c>
      <c r="O1736" s="7" t="s">
        <v>4558</v>
      </c>
      <c r="P1736" s="7" t="s">
        <v>3493</v>
      </c>
      <c r="Q1736" s="7">
        <v>1.0</v>
      </c>
    </row>
    <row r="1737">
      <c r="A1737" s="7" t="s">
        <v>14263</v>
      </c>
      <c r="B1737" s="7">
        <v>994.0</v>
      </c>
      <c r="C1737" s="7" t="s">
        <v>7983</v>
      </c>
      <c r="D1737" s="7" t="s">
        <v>6575</v>
      </c>
      <c r="E1737" s="7" t="s">
        <v>14264</v>
      </c>
      <c r="F1737" s="7" t="s">
        <v>6576</v>
      </c>
      <c r="G1737" s="7" t="s">
        <v>14265</v>
      </c>
      <c r="H1737" s="7" t="s">
        <v>14266</v>
      </c>
      <c r="I1737" s="119">
        <v>45292.0</v>
      </c>
      <c r="K1737" s="7" t="s">
        <v>419</v>
      </c>
      <c r="L1737" s="7" t="s">
        <v>991</v>
      </c>
      <c r="M1737" s="7" t="s">
        <v>3501</v>
      </c>
      <c r="N1737" s="7" t="s">
        <v>7139</v>
      </c>
      <c r="O1737" s="7" t="s">
        <v>7140</v>
      </c>
      <c r="P1737" s="7" t="s">
        <v>3493</v>
      </c>
      <c r="Q1737" s="7">
        <v>1.0</v>
      </c>
    </row>
    <row r="1738">
      <c r="A1738" s="7" t="s">
        <v>14267</v>
      </c>
      <c r="B1738" s="7">
        <v>848.0</v>
      </c>
      <c r="C1738" s="7" t="s">
        <v>14268</v>
      </c>
      <c r="D1738" s="7" t="s">
        <v>13986</v>
      </c>
      <c r="E1738" s="7" t="s">
        <v>14269</v>
      </c>
      <c r="F1738" s="7" t="s">
        <v>10272</v>
      </c>
      <c r="G1738" s="7" t="s">
        <v>14270</v>
      </c>
      <c r="H1738" s="7" t="s">
        <v>14271</v>
      </c>
      <c r="I1738" s="119">
        <v>45292.0</v>
      </c>
      <c r="K1738" s="7" t="s">
        <v>419</v>
      </c>
      <c r="L1738" s="7" t="s">
        <v>991</v>
      </c>
      <c r="M1738" s="7" t="s">
        <v>3501</v>
      </c>
      <c r="N1738" s="7" t="s">
        <v>3980</v>
      </c>
      <c r="O1738" s="7" t="s">
        <v>3981</v>
      </c>
      <c r="P1738" s="7" t="s">
        <v>3493</v>
      </c>
      <c r="Q1738" s="7">
        <v>1.0</v>
      </c>
    </row>
    <row r="1739">
      <c r="A1739" s="7" t="s">
        <v>14272</v>
      </c>
      <c r="B1739" s="7">
        <v>2300542.0</v>
      </c>
      <c r="C1739" s="7" t="s">
        <v>14273</v>
      </c>
      <c r="D1739" s="7" t="s">
        <v>14274</v>
      </c>
      <c r="E1739" s="7" t="s">
        <v>14275</v>
      </c>
      <c r="F1739" s="7" t="s">
        <v>14276</v>
      </c>
      <c r="G1739" s="7" t="s">
        <v>14277</v>
      </c>
      <c r="H1739" s="7" t="s">
        <v>14278</v>
      </c>
      <c r="I1739" s="119">
        <v>45292.0</v>
      </c>
      <c r="K1739" s="7" t="s">
        <v>419</v>
      </c>
      <c r="L1739" s="7" t="s">
        <v>991</v>
      </c>
      <c r="M1739" s="7" t="s">
        <v>3501</v>
      </c>
      <c r="N1739" s="7" t="s">
        <v>10258</v>
      </c>
      <c r="O1739" s="7" t="s">
        <v>10259</v>
      </c>
      <c r="P1739" s="7" t="s">
        <v>3493</v>
      </c>
      <c r="Q1739" s="7">
        <v>1.0</v>
      </c>
    </row>
    <row r="1740">
      <c r="A1740" s="7" t="s">
        <v>14279</v>
      </c>
      <c r="B1740" s="7">
        <v>10508.0</v>
      </c>
      <c r="C1740" s="7" t="s">
        <v>14280</v>
      </c>
      <c r="D1740" s="7" t="s">
        <v>14281</v>
      </c>
      <c r="E1740" s="7" t="s">
        <v>14282</v>
      </c>
      <c r="F1740" s="7" t="s">
        <v>14283</v>
      </c>
      <c r="G1740" s="7" t="s">
        <v>14284</v>
      </c>
      <c r="H1740" s="7" t="s">
        <v>14285</v>
      </c>
      <c r="I1740" s="119">
        <v>45292.0</v>
      </c>
      <c r="K1740" s="7" t="s">
        <v>419</v>
      </c>
      <c r="L1740" s="7" t="s">
        <v>991</v>
      </c>
      <c r="M1740" s="7" t="s">
        <v>3501</v>
      </c>
      <c r="N1740" s="7" t="s">
        <v>14286</v>
      </c>
      <c r="O1740" s="7" t="s">
        <v>14287</v>
      </c>
      <c r="P1740" s="7" t="s">
        <v>3843</v>
      </c>
      <c r="Q1740" s="7">
        <v>1.0</v>
      </c>
    </row>
    <row r="1741">
      <c r="A1741" s="7" t="s">
        <v>14288</v>
      </c>
      <c r="B1741" s="7">
        <v>1102.0</v>
      </c>
      <c r="C1741" s="7" t="s">
        <v>3990</v>
      </c>
      <c r="D1741" s="7" t="s">
        <v>14289</v>
      </c>
      <c r="E1741" s="7" t="s">
        <v>14290</v>
      </c>
      <c r="F1741" s="7" t="s">
        <v>14291</v>
      </c>
      <c r="G1741" s="7" t="s">
        <v>14292</v>
      </c>
      <c r="H1741" s="7" t="s">
        <v>14293</v>
      </c>
      <c r="I1741" s="119">
        <v>45292.0</v>
      </c>
      <c r="K1741" s="7" t="s">
        <v>419</v>
      </c>
      <c r="L1741" s="7" t="s">
        <v>991</v>
      </c>
      <c r="M1741" s="7" t="s">
        <v>3501</v>
      </c>
      <c r="N1741" s="7" t="s">
        <v>8933</v>
      </c>
      <c r="O1741" s="7" t="s">
        <v>8934</v>
      </c>
      <c r="P1741" s="7" t="s">
        <v>3843</v>
      </c>
      <c r="Q1741" s="7">
        <v>1.0</v>
      </c>
    </row>
    <row r="1742">
      <c r="A1742" s="7" t="s">
        <v>14294</v>
      </c>
      <c r="B1742" s="7">
        <v>2300086.0</v>
      </c>
      <c r="C1742" s="7" t="s">
        <v>14295</v>
      </c>
      <c r="D1742" s="7" t="s">
        <v>14296</v>
      </c>
      <c r="E1742" s="7" t="s">
        <v>14297</v>
      </c>
      <c r="F1742" s="7" t="s">
        <v>3580</v>
      </c>
      <c r="G1742" s="7" t="s">
        <v>14298</v>
      </c>
      <c r="H1742" s="7" t="s">
        <v>14299</v>
      </c>
      <c r="I1742" s="119">
        <v>45292.0</v>
      </c>
      <c r="K1742" s="7" t="s">
        <v>419</v>
      </c>
      <c r="L1742" s="7" t="s">
        <v>991</v>
      </c>
      <c r="M1742" s="7" t="s">
        <v>3531</v>
      </c>
      <c r="N1742" s="7" t="s">
        <v>10801</v>
      </c>
      <c r="O1742" s="7" t="s">
        <v>10802</v>
      </c>
      <c r="P1742" s="7" t="s">
        <v>3493</v>
      </c>
      <c r="Q1742" s="7">
        <v>1.0</v>
      </c>
    </row>
    <row r="1743">
      <c r="A1743" s="7" t="s">
        <v>14300</v>
      </c>
      <c r="B1743" s="7">
        <v>11422.0</v>
      </c>
      <c r="C1743" s="7" t="s">
        <v>14301</v>
      </c>
      <c r="D1743" s="7" t="s">
        <v>14302</v>
      </c>
      <c r="E1743" s="7" t="s">
        <v>6592</v>
      </c>
      <c r="F1743" s="7" t="s">
        <v>14303</v>
      </c>
      <c r="G1743" s="7" t="s">
        <v>14304</v>
      </c>
      <c r="H1743" s="7" t="s">
        <v>14305</v>
      </c>
      <c r="I1743" s="119">
        <v>45292.0</v>
      </c>
      <c r="K1743" s="7" t="s">
        <v>419</v>
      </c>
      <c r="L1743" s="7" t="s">
        <v>991</v>
      </c>
      <c r="M1743" s="7" t="s">
        <v>3501</v>
      </c>
      <c r="N1743" s="7" t="s">
        <v>6056</v>
      </c>
      <c r="O1743" s="7" t="s">
        <v>6057</v>
      </c>
      <c r="P1743" s="7" t="s">
        <v>3493</v>
      </c>
      <c r="Q1743" s="7">
        <v>1.0</v>
      </c>
    </row>
    <row r="1744">
      <c r="A1744" s="7" t="s">
        <v>14306</v>
      </c>
      <c r="B1744" s="7">
        <v>1282.0</v>
      </c>
      <c r="C1744" s="7" t="s">
        <v>11715</v>
      </c>
      <c r="D1744" s="7" t="s">
        <v>9656</v>
      </c>
      <c r="E1744" s="7" t="s">
        <v>6592</v>
      </c>
      <c r="F1744" s="7" t="s">
        <v>14307</v>
      </c>
      <c r="G1744" s="7" t="s">
        <v>14308</v>
      </c>
      <c r="H1744" s="7" t="s">
        <v>14309</v>
      </c>
      <c r="I1744" s="119">
        <v>45292.0</v>
      </c>
      <c r="K1744" s="7" t="s">
        <v>419</v>
      </c>
      <c r="L1744" s="7" t="s">
        <v>991</v>
      </c>
      <c r="M1744" s="7" t="s">
        <v>3501</v>
      </c>
      <c r="N1744" s="7" t="s">
        <v>3777</v>
      </c>
      <c r="O1744" s="7" t="s">
        <v>3778</v>
      </c>
      <c r="P1744" s="7" t="s">
        <v>3493</v>
      </c>
      <c r="Q1744" s="7">
        <v>1.0</v>
      </c>
    </row>
    <row r="1745">
      <c r="A1745" s="7" t="s">
        <v>14310</v>
      </c>
      <c r="B1745" s="7">
        <v>13583.0</v>
      </c>
      <c r="C1745" s="7" t="s">
        <v>14311</v>
      </c>
      <c r="D1745" s="7" t="s">
        <v>14312</v>
      </c>
      <c r="E1745" s="7" t="s">
        <v>14313</v>
      </c>
      <c r="F1745" s="7" t="s">
        <v>14314</v>
      </c>
      <c r="G1745" s="7" t="s">
        <v>14315</v>
      </c>
      <c r="H1745" s="7" t="s">
        <v>14316</v>
      </c>
      <c r="I1745" s="119">
        <v>45292.0</v>
      </c>
      <c r="K1745" s="7" t="s">
        <v>419</v>
      </c>
      <c r="L1745" s="7" t="s">
        <v>991</v>
      </c>
      <c r="M1745" s="7" t="s">
        <v>3501</v>
      </c>
      <c r="N1745" s="7" t="s">
        <v>4120</v>
      </c>
      <c r="O1745" s="7" t="s">
        <v>4121</v>
      </c>
      <c r="P1745" s="7" t="s">
        <v>3843</v>
      </c>
      <c r="Q1745" s="7">
        <v>1.0</v>
      </c>
    </row>
    <row r="1746">
      <c r="A1746" s="7" t="s">
        <v>14317</v>
      </c>
      <c r="B1746" s="7">
        <v>2100681.0</v>
      </c>
      <c r="C1746" s="7" t="s">
        <v>14318</v>
      </c>
      <c r="D1746" s="7" t="s">
        <v>14319</v>
      </c>
      <c r="E1746" s="7" t="s">
        <v>14320</v>
      </c>
      <c r="F1746" s="7" t="s">
        <v>14321</v>
      </c>
      <c r="G1746" s="7" t="s">
        <v>14322</v>
      </c>
      <c r="H1746" s="7" t="s">
        <v>14323</v>
      </c>
      <c r="I1746" s="119">
        <v>45292.0</v>
      </c>
      <c r="K1746" s="7" t="s">
        <v>419</v>
      </c>
      <c r="L1746" s="7" t="s">
        <v>991</v>
      </c>
      <c r="M1746" s="7" t="s">
        <v>3531</v>
      </c>
      <c r="N1746" s="7" t="s">
        <v>7947</v>
      </c>
      <c r="O1746" s="7" t="s">
        <v>7948</v>
      </c>
      <c r="P1746" s="7" t="s">
        <v>3493</v>
      </c>
      <c r="Q1746" s="7">
        <v>1.0</v>
      </c>
    </row>
    <row r="1747">
      <c r="A1747" s="7" t="s">
        <v>14324</v>
      </c>
      <c r="B1747" s="7">
        <v>2300630.0</v>
      </c>
      <c r="C1747" s="7" t="s">
        <v>14325</v>
      </c>
      <c r="D1747" s="7" t="s">
        <v>8442</v>
      </c>
      <c r="E1747" s="7" t="s">
        <v>14326</v>
      </c>
      <c r="F1747" s="7" t="s">
        <v>4929</v>
      </c>
      <c r="G1747" s="7" t="s">
        <v>14327</v>
      </c>
      <c r="H1747" s="7" t="s">
        <v>14328</v>
      </c>
      <c r="I1747" s="119">
        <v>45292.0</v>
      </c>
      <c r="K1747" s="7" t="s">
        <v>419</v>
      </c>
      <c r="L1747" s="7" t="s">
        <v>991</v>
      </c>
      <c r="M1747" s="7" t="s">
        <v>3501</v>
      </c>
      <c r="N1747" s="7" t="s">
        <v>6753</v>
      </c>
      <c r="O1747" s="7" t="s">
        <v>6754</v>
      </c>
      <c r="P1747" s="7" t="s">
        <v>3604</v>
      </c>
      <c r="Q1747" s="7">
        <v>1.0</v>
      </c>
    </row>
    <row r="1748">
      <c r="A1748" s="7" t="s">
        <v>14329</v>
      </c>
      <c r="B1748" s="7">
        <v>2200483.0</v>
      </c>
      <c r="C1748" s="7" t="s">
        <v>14330</v>
      </c>
      <c r="D1748" s="7" t="s">
        <v>10171</v>
      </c>
      <c r="E1748" s="7" t="s">
        <v>14331</v>
      </c>
      <c r="F1748" s="7" t="s">
        <v>10171</v>
      </c>
      <c r="G1748" s="7" t="s">
        <v>14332</v>
      </c>
      <c r="H1748" s="7" t="s">
        <v>14333</v>
      </c>
      <c r="I1748" s="119">
        <v>45292.0</v>
      </c>
      <c r="K1748" s="7" t="s">
        <v>419</v>
      </c>
      <c r="L1748" s="7" t="s">
        <v>991</v>
      </c>
      <c r="M1748" s="7" t="s">
        <v>3501</v>
      </c>
      <c r="N1748" s="7" t="s">
        <v>6083</v>
      </c>
      <c r="O1748" s="7" t="s">
        <v>6084</v>
      </c>
      <c r="P1748" s="7" t="s">
        <v>3493</v>
      </c>
      <c r="Q1748" s="7">
        <v>1.0</v>
      </c>
    </row>
    <row r="1749">
      <c r="A1749" s="7" t="s">
        <v>14334</v>
      </c>
      <c r="B1749" s="7">
        <v>12845.0</v>
      </c>
      <c r="C1749" s="7" t="s">
        <v>14335</v>
      </c>
      <c r="D1749" s="7" t="s">
        <v>14336</v>
      </c>
      <c r="E1749" s="7" t="s">
        <v>14337</v>
      </c>
      <c r="F1749" s="7" t="s">
        <v>13027</v>
      </c>
      <c r="G1749" s="7" t="s">
        <v>14338</v>
      </c>
      <c r="H1749" s="7" t="s">
        <v>14339</v>
      </c>
      <c r="I1749" s="119">
        <v>45292.0</v>
      </c>
      <c r="K1749" s="7" t="s">
        <v>419</v>
      </c>
      <c r="L1749" s="7" t="s">
        <v>991</v>
      </c>
      <c r="M1749" s="7" t="s">
        <v>3501</v>
      </c>
      <c r="N1749" s="7" t="s">
        <v>9037</v>
      </c>
      <c r="O1749" s="7" t="s">
        <v>9038</v>
      </c>
      <c r="P1749" s="7" t="s">
        <v>3522</v>
      </c>
      <c r="Q1749" s="7" t="s">
        <v>3523</v>
      </c>
    </row>
    <row r="1750">
      <c r="A1750" s="7" t="s">
        <v>14340</v>
      </c>
      <c r="B1750" s="7">
        <v>2300301.0</v>
      </c>
      <c r="C1750" s="7" t="s">
        <v>14341</v>
      </c>
      <c r="D1750" s="7" t="s">
        <v>14342</v>
      </c>
      <c r="E1750" s="7" t="s">
        <v>14343</v>
      </c>
      <c r="F1750" s="7" t="s">
        <v>9456</v>
      </c>
      <c r="G1750" s="7" t="s">
        <v>14344</v>
      </c>
      <c r="I1750" s="119">
        <v>45292.0</v>
      </c>
      <c r="K1750" s="7" t="s">
        <v>419</v>
      </c>
      <c r="L1750" s="7" t="s">
        <v>991</v>
      </c>
      <c r="M1750" s="7" t="s">
        <v>3531</v>
      </c>
      <c r="N1750" s="7" t="s">
        <v>3820</v>
      </c>
      <c r="O1750" s="7" t="s">
        <v>3821</v>
      </c>
      <c r="P1750" s="7" t="s">
        <v>3493</v>
      </c>
      <c r="Q1750" s="7">
        <v>1.0</v>
      </c>
    </row>
    <row r="1751">
      <c r="A1751" s="7" t="s">
        <v>14345</v>
      </c>
      <c r="B1751" s="7">
        <v>2300190.0</v>
      </c>
      <c r="C1751" s="7" t="s">
        <v>14346</v>
      </c>
      <c r="D1751" s="7" t="s">
        <v>14347</v>
      </c>
      <c r="E1751" s="7" t="s">
        <v>14348</v>
      </c>
      <c r="F1751" s="7" t="s">
        <v>14349</v>
      </c>
      <c r="G1751" s="7" t="s">
        <v>14350</v>
      </c>
      <c r="H1751" s="7" t="s">
        <v>14351</v>
      </c>
      <c r="I1751" s="119">
        <v>45292.0</v>
      </c>
      <c r="K1751" s="7" t="s">
        <v>419</v>
      </c>
      <c r="L1751" s="7" t="s">
        <v>991</v>
      </c>
      <c r="M1751" s="7" t="s">
        <v>3501</v>
      </c>
      <c r="N1751" s="7" t="s">
        <v>3760</v>
      </c>
      <c r="O1751" s="7" t="s">
        <v>6965</v>
      </c>
      <c r="P1751" s="7" t="s">
        <v>3493</v>
      </c>
      <c r="Q1751" s="7">
        <v>1.0</v>
      </c>
    </row>
    <row r="1752">
      <c r="A1752" s="7" t="s">
        <v>14352</v>
      </c>
      <c r="B1752" s="7">
        <v>10317.0</v>
      </c>
      <c r="C1752" s="7" t="s">
        <v>14346</v>
      </c>
      <c r="D1752" s="7" t="s">
        <v>9805</v>
      </c>
      <c r="E1752" s="7" t="s">
        <v>14348</v>
      </c>
      <c r="F1752" s="7" t="s">
        <v>4598</v>
      </c>
      <c r="G1752" s="7" t="s">
        <v>14353</v>
      </c>
      <c r="H1752" s="7" t="s">
        <v>14354</v>
      </c>
      <c r="I1752" s="119">
        <v>45292.0</v>
      </c>
      <c r="K1752" s="7" t="s">
        <v>419</v>
      </c>
      <c r="L1752" s="7" t="s">
        <v>991</v>
      </c>
      <c r="M1752" s="7" t="s">
        <v>3501</v>
      </c>
      <c r="N1752" s="7" t="s">
        <v>12000</v>
      </c>
      <c r="O1752" s="7" t="s">
        <v>12001</v>
      </c>
      <c r="P1752" s="7" t="s">
        <v>14355</v>
      </c>
      <c r="Q1752" s="7" t="s">
        <v>12002</v>
      </c>
    </row>
    <row r="1753">
      <c r="A1753" s="7" t="s">
        <v>14356</v>
      </c>
      <c r="B1753" s="7">
        <v>1041.0</v>
      </c>
      <c r="C1753" s="7" t="s">
        <v>14357</v>
      </c>
      <c r="D1753" s="7" t="s">
        <v>14358</v>
      </c>
      <c r="E1753" s="7" t="s">
        <v>14359</v>
      </c>
      <c r="F1753" s="7" t="s">
        <v>3909</v>
      </c>
      <c r="G1753" s="7" t="s">
        <v>14360</v>
      </c>
      <c r="H1753" s="7" t="s">
        <v>14361</v>
      </c>
      <c r="I1753" s="119">
        <v>45292.0</v>
      </c>
      <c r="K1753" s="7" t="s">
        <v>419</v>
      </c>
      <c r="L1753" s="7" t="s">
        <v>991</v>
      </c>
      <c r="M1753" s="7" t="s">
        <v>3501</v>
      </c>
      <c r="N1753" s="7" t="s">
        <v>5755</v>
      </c>
      <c r="O1753" s="7" t="s">
        <v>5756</v>
      </c>
      <c r="P1753" s="7" t="s">
        <v>3493</v>
      </c>
      <c r="Q1753" s="7">
        <v>1.0</v>
      </c>
    </row>
    <row r="1754">
      <c r="A1754" s="7" t="s">
        <v>14362</v>
      </c>
      <c r="B1754" s="7">
        <v>13814.0</v>
      </c>
      <c r="C1754" s="7" t="s">
        <v>14363</v>
      </c>
      <c r="D1754" s="7" t="s">
        <v>4943</v>
      </c>
      <c r="E1754" s="7" t="s">
        <v>14364</v>
      </c>
      <c r="F1754" s="7" t="s">
        <v>3792</v>
      </c>
      <c r="G1754" s="7" t="s">
        <v>14365</v>
      </c>
      <c r="H1754" s="7" t="s">
        <v>14366</v>
      </c>
      <c r="I1754" s="119">
        <v>45292.0</v>
      </c>
      <c r="K1754" s="7" t="s">
        <v>419</v>
      </c>
      <c r="L1754" s="7" t="s">
        <v>991</v>
      </c>
      <c r="M1754" s="7" t="s">
        <v>3501</v>
      </c>
      <c r="N1754" s="7" t="s">
        <v>7623</v>
      </c>
      <c r="O1754" s="7" t="s">
        <v>7624</v>
      </c>
      <c r="P1754" s="7" t="s">
        <v>3522</v>
      </c>
      <c r="Q1754" s="7" t="s">
        <v>3523</v>
      </c>
    </row>
    <row r="1755">
      <c r="A1755" s="7" t="s">
        <v>14367</v>
      </c>
      <c r="B1755" s="7">
        <v>2200428.0</v>
      </c>
      <c r="C1755" s="7" t="s">
        <v>14368</v>
      </c>
      <c r="D1755" s="7" t="s">
        <v>5041</v>
      </c>
      <c r="E1755" s="7" t="s">
        <v>14369</v>
      </c>
      <c r="F1755" s="7" t="s">
        <v>4314</v>
      </c>
      <c r="G1755" s="7" t="s">
        <v>14370</v>
      </c>
      <c r="H1755" s="7" t="s">
        <v>14371</v>
      </c>
      <c r="I1755" s="119">
        <v>45292.0</v>
      </c>
      <c r="K1755" s="7" t="s">
        <v>419</v>
      </c>
      <c r="L1755" s="7" t="s">
        <v>991</v>
      </c>
      <c r="M1755" s="7" t="s">
        <v>3531</v>
      </c>
      <c r="N1755" s="7" t="s">
        <v>5197</v>
      </c>
      <c r="O1755" s="7" t="s">
        <v>5198</v>
      </c>
      <c r="P1755" s="7" t="s">
        <v>3493</v>
      </c>
      <c r="Q1755" s="7">
        <v>1.0</v>
      </c>
    </row>
    <row r="1756">
      <c r="A1756" s="7" t="s">
        <v>14372</v>
      </c>
      <c r="B1756" s="7">
        <v>2200613.0</v>
      </c>
      <c r="C1756" s="7" t="s">
        <v>14373</v>
      </c>
      <c r="D1756" s="7" t="s">
        <v>5284</v>
      </c>
      <c r="E1756" s="7" t="s">
        <v>14374</v>
      </c>
      <c r="F1756" s="7" t="s">
        <v>5286</v>
      </c>
      <c r="G1756" s="7" t="s">
        <v>14375</v>
      </c>
      <c r="H1756" s="7" t="s">
        <v>14376</v>
      </c>
      <c r="I1756" s="119">
        <v>45292.0</v>
      </c>
      <c r="K1756" s="7" t="s">
        <v>419</v>
      </c>
      <c r="L1756" s="7" t="s">
        <v>991</v>
      </c>
      <c r="M1756" s="7" t="s">
        <v>3531</v>
      </c>
      <c r="N1756" s="7" t="s">
        <v>3996</v>
      </c>
      <c r="O1756" s="7" t="s">
        <v>3997</v>
      </c>
      <c r="P1756" s="7" t="s">
        <v>3493</v>
      </c>
      <c r="Q1756" s="7">
        <v>1.0</v>
      </c>
    </row>
    <row r="1757">
      <c r="A1757" s="7" t="s">
        <v>14377</v>
      </c>
      <c r="B1757" s="7">
        <v>348.0</v>
      </c>
      <c r="C1757" s="7" t="s">
        <v>14373</v>
      </c>
      <c r="D1757" s="7" t="s">
        <v>14378</v>
      </c>
      <c r="E1757" s="7" t="s">
        <v>14374</v>
      </c>
      <c r="F1757" s="7" t="s">
        <v>14379</v>
      </c>
      <c r="G1757" s="7" t="s">
        <v>14380</v>
      </c>
      <c r="H1757" s="7" t="s">
        <v>14381</v>
      </c>
      <c r="I1757" s="119">
        <v>45292.0</v>
      </c>
      <c r="K1757" s="7" t="s">
        <v>419</v>
      </c>
      <c r="L1757" s="7" t="s">
        <v>991</v>
      </c>
      <c r="M1757" s="7" t="s">
        <v>3501</v>
      </c>
      <c r="N1757" s="7" t="s">
        <v>7252</v>
      </c>
      <c r="O1757" s="7" t="s">
        <v>7253</v>
      </c>
      <c r="P1757" s="7" t="s">
        <v>3493</v>
      </c>
      <c r="Q1757" s="7">
        <v>1.0</v>
      </c>
    </row>
    <row r="1758">
      <c r="A1758" s="7" t="s">
        <v>14382</v>
      </c>
      <c r="B1758" s="7">
        <v>2300069.0</v>
      </c>
      <c r="C1758" s="7" t="s">
        <v>14373</v>
      </c>
      <c r="D1758" s="7" t="s">
        <v>14383</v>
      </c>
      <c r="E1758" s="7" t="s">
        <v>14374</v>
      </c>
      <c r="F1758" s="7" t="s">
        <v>9501</v>
      </c>
      <c r="G1758" s="7" t="s">
        <v>14384</v>
      </c>
      <c r="H1758" s="7" t="s">
        <v>14385</v>
      </c>
      <c r="I1758" s="119">
        <v>45292.0</v>
      </c>
      <c r="K1758" s="7" t="s">
        <v>419</v>
      </c>
      <c r="L1758" s="7" t="s">
        <v>991</v>
      </c>
      <c r="M1758" s="7" t="s">
        <v>3531</v>
      </c>
      <c r="N1758" s="7" t="s">
        <v>4096</v>
      </c>
      <c r="O1758" s="7" t="s">
        <v>4097</v>
      </c>
      <c r="P1758" s="7" t="s">
        <v>3493</v>
      </c>
      <c r="Q1758" s="7">
        <v>1.0</v>
      </c>
    </row>
    <row r="1759">
      <c r="A1759" s="7" t="s">
        <v>14386</v>
      </c>
      <c r="B1759" s="7">
        <v>11683.0</v>
      </c>
      <c r="C1759" s="7" t="s">
        <v>14387</v>
      </c>
      <c r="D1759" s="7" t="s">
        <v>9805</v>
      </c>
      <c r="E1759" s="7" t="s">
        <v>14388</v>
      </c>
      <c r="F1759" s="7" t="s">
        <v>4598</v>
      </c>
      <c r="G1759" s="7" t="s">
        <v>14389</v>
      </c>
      <c r="H1759" s="7" t="s">
        <v>14390</v>
      </c>
      <c r="I1759" s="119">
        <v>45292.0</v>
      </c>
      <c r="K1759" s="7" t="s">
        <v>419</v>
      </c>
      <c r="L1759" s="7" t="s">
        <v>991</v>
      </c>
      <c r="M1759" s="7" t="s">
        <v>3501</v>
      </c>
      <c r="N1759" s="7" t="s">
        <v>8647</v>
      </c>
      <c r="O1759" s="7" t="s">
        <v>8648</v>
      </c>
      <c r="P1759" s="7" t="s">
        <v>3493</v>
      </c>
      <c r="Q1759" s="7">
        <v>1.0</v>
      </c>
    </row>
    <row r="1760">
      <c r="A1760" s="7" t="s">
        <v>14391</v>
      </c>
      <c r="B1760" s="7">
        <v>2200298.0</v>
      </c>
      <c r="C1760" s="7" t="s">
        <v>14392</v>
      </c>
      <c r="D1760" s="7" t="s">
        <v>14393</v>
      </c>
      <c r="E1760" s="7" t="s">
        <v>14394</v>
      </c>
      <c r="F1760" s="7" t="s">
        <v>4068</v>
      </c>
      <c r="G1760" s="7" t="s">
        <v>14395</v>
      </c>
      <c r="H1760" s="7" t="s">
        <v>14396</v>
      </c>
      <c r="I1760" s="119">
        <v>45292.0</v>
      </c>
      <c r="K1760" s="7" t="s">
        <v>419</v>
      </c>
      <c r="L1760" s="7" t="s">
        <v>991</v>
      </c>
      <c r="M1760" s="7" t="s">
        <v>3501</v>
      </c>
      <c r="N1760" s="7" t="s">
        <v>14397</v>
      </c>
      <c r="O1760" s="7" t="s">
        <v>14398</v>
      </c>
      <c r="P1760" s="7" t="s">
        <v>4420</v>
      </c>
      <c r="Q1760" s="7" t="s">
        <v>3523</v>
      </c>
    </row>
    <row r="1761">
      <c r="A1761" s="7" t="s">
        <v>2029</v>
      </c>
      <c r="B1761" s="7">
        <v>884.0</v>
      </c>
      <c r="C1761" s="7" t="s">
        <v>14399</v>
      </c>
      <c r="D1761" s="7" t="s">
        <v>8604</v>
      </c>
      <c r="E1761" s="7" t="s">
        <v>14394</v>
      </c>
      <c r="F1761" s="7" t="s">
        <v>8606</v>
      </c>
      <c r="G1761" s="7" t="s">
        <v>14400</v>
      </c>
      <c r="H1761" s="7" t="s">
        <v>14401</v>
      </c>
      <c r="I1761" s="119">
        <v>45292.0</v>
      </c>
      <c r="K1761" s="7" t="s">
        <v>14402</v>
      </c>
      <c r="L1761" s="7" t="s">
        <v>3542</v>
      </c>
      <c r="M1761" s="7" t="s">
        <v>3563</v>
      </c>
      <c r="N1761" s="7" t="s">
        <v>10666</v>
      </c>
      <c r="O1761" s="7" t="s">
        <v>14403</v>
      </c>
      <c r="P1761" s="7" t="s">
        <v>14404</v>
      </c>
      <c r="Q1761" s="7" t="s">
        <v>3555</v>
      </c>
    </row>
    <row r="1762">
      <c r="A1762" s="7" t="s">
        <v>14405</v>
      </c>
      <c r="B1762" s="7">
        <v>13146.0</v>
      </c>
      <c r="C1762" s="7" t="s">
        <v>14406</v>
      </c>
      <c r="D1762" s="7" t="s">
        <v>14407</v>
      </c>
      <c r="E1762" s="7" t="s">
        <v>14394</v>
      </c>
      <c r="F1762" s="7" t="s">
        <v>6806</v>
      </c>
      <c r="G1762" s="7" t="s">
        <v>14408</v>
      </c>
      <c r="H1762" s="7" t="s">
        <v>14409</v>
      </c>
      <c r="I1762" s="119">
        <v>45292.0</v>
      </c>
      <c r="K1762" s="7" t="s">
        <v>419</v>
      </c>
      <c r="L1762" s="7" t="s">
        <v>991</v>
      </c>
      <c r="M1762" s="7" t="s">
        <v>3531</v>
      </c>
      <c r="N1762" s="7" t="s">
        <v>8478</v>
      </c>
      <c r="O1762" s="7" t="s">
        <v>11111</v>
      </c>
      <c r="P1762" s="7" t="s">
        <v>3493</v>
      </c>
      <c r="Q1762" s="7">
        <v>1.0</v>
      </c>
    </row>
    <row r="1763">
      <c r="A1763" s="7" t="s">
        <v>14410</v>
      </c>
      <c r="B1763" s="7">
        <v>2100563.0</v>
      </c>
      <c r="C1763" s="7" t="s">
        <v>14411</v>
      </c>
      <c r="D1763" s="7" t="s">
        <v>14412</v>
      </c>
      <c r="E1763" s="7" t="s">
        <v>14394</v>
      </c>
      <c r="F1763" s="7" t="s">
        <v>6431</v>
      </c>
      <c r="G1763" s="7" t="s">
        <v>14413</v>
      </c>
      <c r="H1763" s="7" t="s">
        <v>14414</v>
      </c>
      <c r="I1763" s="119">
        <v>45292.0</v>
      </c>
      <c r="K1763" s="7" t="s">
        <v>419</v>
      </c>
      <c r="L1763" s="7" t="s">
        <v>991</v>
      </c>
      <c r="M1763" s="7" t="s">
        <v>3531</v>
      </c>
      <c r="N1763" s="7" t="s">
        <v>7623</v>
      </c>
      <c r="O1763" s="7" t="s">
        <v>8908</v>
      </c>
      <c r="P1763" s="7" t="s">
        <v>3493</v>
      </c>
      <c r="Q1763" s="7">
        <v>1.0</v>
      </c>
    </row>
    <row r="1764">
      <c r="A1764" s="7" t="s">
        <v>14415</v>
      </c>
      <c r="B1764" s="7">
        <v>2300009.0</v>
      </c>
      <c r="C1764" s="7" t="s">
        <v>14399</v>
      </c>
      <c r="D1764" s="7" t="s">
        <v>14416</v>
      </c>
      <c r="E1764" s="7" t="s">
        <v>14394</v>
      </c>
      <c r="F1764" s="7" t="s">
        <v>14417</v>
      </c>
      <c r="G1764" s="7" t="s">
        <v>14418</v>
      </c>
      <c r="H1764" s="7" t="s">
        <v>14419</v>
      </c>
      <c r="I1764" s="119">
        <v>45292.0</v>
      </c>
      <c r="K1764" s="7" t="s">
        <v>419</v>
      </c>
      <c r="L1764" s="7" t="s">
        <v>991</v>
      </c>
      <c r="M1764" s="7" t="s">
        <v>3531</v>
      </c>
      <c r="N1764" s="7" t="s">
        <v>9072</v>
      </c>
      <c r="O1764" s="7" t="s">
        <v>9073</v>
      </c>
      <c r="P1764" s="7" t="s">
        <v>3493</v>
      </c>
      <c r="Q1764" s="7">
        <v>1.0</v>
      </c>
    </row>
    <row r="1765">
      <c r="A1765" s="7" t="s">
        <v>14420</v>
      </c>
      <c r="B1765" s="7">
        <v>13584.0</v>
      </c>
      <c r="C1765" s="7" t="s">
        <v>14399</v>
      </c>
      <c r="D1765" s="7" t="s">
        <v>14421</v>
      </c>
      <c r="E1765" s="7" t="s">
        <v>14394</v>
      </c>
      <c r="F1765" s="7" t="s">
        <v>14422</v>
      </c>
      <c r="G1765" s="7" t="s">
        <v>14423</v>
      </c>
      <c r="H1765" s="7" t="s">
        <v>14424</v>
      </c>
      <c r="I1765" s="119">
        <v>45292.0</v>
      </c>
      <c r="K1765" s="7" t="s">
        <v>419</v>
      </c>
      <c r="L1765" s="7" t="s">
        <v>991</v>
      </c>
      <c r="M1765" s="7" t="s">
        <v>3501</v>
      </c>
      <c r="N1765" s="7" t="s">
        <v>7147</v>
      </c>
      <c r="O1765" s="7" t="s">
        <v>7148</v>
      </c>
      <c r="P1765" s="7" t="s">
        <v>3843</v>
      </c>
      <c r="Q1765" s="7">
        <v>1.0</v>
      </c>
    </row>
    <row r="1766">
      <c r="A1766" s="7" t="s">
        <v>14425</v>
      </c>
      <c r="B1766" s="7">
        <v>1258.0</v>
      </c>
      <c r="C1766" s="7" t="s">
        <v>14392</v>
      </c>
      <c r="D1766" s="7" t="s">
        <v>5694</v>
      </c>
      <c r="E1766" s="7" t="s">
        <v>14394</v>
      </c>
      <c r="F1766" s="7" t="s">
        <v>4707</v>
      </c>
      <c r="G1766" s="7" t="s">
        <v>14426</v>
      </c>
      <c r="H1766" s="7" t="s">
        <v>14427</v>
      </c>
      <c r="I1766" s="119">
        <v>45292.0</v>
      </c>
      <c r="K1766" s="7" t="s">
        <v>419</v>
      </c>
      <c r="L1766" s="7" t="s">
        <v>991</v>
      </c>
      <c r="M1766" s="7" t="s">
        <v>3501</v>
      </c>
      <c r="N1766" s="7" t="s">
        <v>12768</v>
      </c>
      <c r="O1766" s="7" t="s">
        <v>12769</v>
      </c>
      <c r="P1766" s="7" t="s">
        <v>3843</v>
      </c>
      <c r="Q1766" s="7">
        <v>1.0</v>
      </c>
    </row>
    <row r="1767">
      <c r="A1767" s="7" t="s">
        <v>14428</v>
      </c>
      <c r="B1767" s="7">
        <v>13310.0</v>
      </c>
      <c r="C1767" s="7" t="s">
        <v>14399</v>
      </c>
      <c r="D1767" s="7" t="s">
        <v>10055</v>
      </c>
      <c r="E1767" s="7" t="s">
        <v>14394</v>
      </c>
      <c r="F1767" s="7" t="s">
        <v>10057</v>
      </c>
      <c r="G1767" s="7" t="s">
        <v>14429</v>
      </c>
      <c r="H1767" s="7" t="s">
        <v>14430</v>
      </c>
      <c r="I1767" s="119">
        <v>45292.0</v>
      </c>
      <c r="K1767" s="7" t="s">
        <v>3489</v>
      </c>
      <c r="L1767" s="7" t="s">
        <v>991</v>
      </c>
      <c r="M1767" s="7" t="s">
        <v>3490</v>
      </c>
      <c r="N1767" s="7" t="s">
        <v>3491</v>
      </c>
      <c r="O1767" s="7" t="s">
        <v>3492</v>
      </c>
      <c r="P1767" s="7" t="s">
        <v>3493</v>
      </c>
      <c r="Q1767" s="7">
        <v>1.0</v>
      </c>
    </row>
    <row r="1768">
      <c r="A1768" s="7" t="s">
        <v>14431</v>
      </c>
      <c r="B1768" s="7">
        <v>895.0</v>
      </c>
      <c r="C1768" s="7" t="s">
        <v>14399</v>
      </c>
      <c r="D1768" s="7" t="s">
        <v>14432</v>
      </c>
      <c r="E1768" s="7" t="s">
        <v>14394</v>
      </c>
      <c r="F1768" s="7" t="s">
        <v>8877</v>
      </c>
      <c r="G1768" s="7" t="s">
        <v>14433</v>
      </c>
      <c r="H1768" s="7" t="s">
        <v>14434</v>
      </c>
      <c r="I1768" s="119">
        <v>45292.0</v>
      </c>
      <c r="K1768" s="7" t="s">
        <v>419</v>
      </c>
      <c r="L1768" s="7" t="s">
        <v>991</v>
      </c>
      <c r="M1768" s="7" t="s">
        <v>3501</v>
      </c>
      <c r="N1768" s="7" t="s">
        <v>11967</v>
      </c>
      <c r="O1768" s="7" t="s">
        <v>14435</v>
      </c>
      <c r="P1768" s="7" t="s">
        <v>4154</v>
      </c>
      <c r="Q1768" s="7" t="s">
        <v>3555</v>
      </c>
    </row>
    <row r="1769">
      <c r="A1769" s="7" t="s">
        <v>14436</v>
      </c>
      <c r="B1769" s="7">
        <v>2100334.0</v>
      </c>
      <c r="C1769" s="7" t="s">
        <v>14406</v>
      </c>
      <c r="D1769" s="7" t="s">
        <v>14437</v>
      </c>
      <c r="E1769" s="7" t="s">
        <v>14394</v>
      </c>
      <c r="F1769" s="7" t="s">
        <v>14438</v>
      </c>
      <c r="G1769" s="7" t="s">
        <v>14439</v>
      </c>
      <c r="H1769" s="7" t="s">
        <v>14440</v>
      </c>
      <c r="I1769" s="119">
        <v>45292.0</v>
      </c>
      <c r="J1769" s="7" t="s">
        <v>3929</v>
      </c>
      <c r="K1769" s="7" t="s">
        <v>419</v>
      </c>
      <c r="L1769" s="7" t="s">
        <v>991</v>
      </c>
      <c r="M1769" s="7" t="s">
        <v>3501</v>
      </c>
      <c r="N1769" s="7" t="s">
        <v>4994</v>
      </c>
      <c r="O1769" s="7" t="s">
        <v>4995</v>
      </c>
      <c r="P1769" s="7" t="s">
        <v>3493</v>
      </c>
      <c r="Q1769" s="7">
        <v>1.0</v>
      </c>
    </row>
    <row r="1770">
      <c r="A1770" s="7" t="s">
        <v>14441</v>
      </c>
      <c r="B1770" s="7">
        <v>11955.0</v>
      </c>
      <c r="C1770" s="7" t="s">
        <v>14406</v>
      </c>
      <c r="D1770" s="7" t="s">
        <v>8796</v>
      </c>
      <c r="E1770" s="7" t="s">
        <v>14394</v>
      </c>
      <c r="F1770" s="7" t="s">
        <v>11585</v>
      </c>
      <c r="G1770" s="7" t="s">
        <v>14442</v>
      </c>
      <c r="H1770" s="7" t="s">
        <v>14443</v>
      </c>
      <c r="I1770" s="119">
        <v>45292.0</v>
      </c>
      <c r="K1770" s="7" t="s">
        <v>419</v>
      </c>
      <c r="L1770" s="7" t="s">
        <v>991</v>
      </c>
      <c r="M1770" s="7" t="s">
        <v>3501</v>
      </c>
      <c r="N1770" s="7" t="s">
        <v>3930</v>
      </c>
      <c r="O1770" s="7" t="s">
        <v>3931</v>
      </c>
      <c r="P1770" s="7" t="s">
        <v>3843</v>
      </c>
      <c r="Q1770" s="7">
        <v>1.0</v>
      </c>
    </row>
    <row r="1771">
      <c r="A1771" s="7" t="s">
        <v>14444</v>
      </c>
      <c r="B1771" s="7">
        <v>12291.0</v>
      </c>
      <c r="C1771" s="7" t="s">
        <v>14392</v>
      </c>
      <c r="D1771" s="7" t="s">
        <v>14445</v>
      </c>
      <c r="E1771" s="7" t="s">
        <v>14394</v>
      </c>
      <c r="F1771" s="7" t="s">
        <v>9116</v>
      </c>
      <c r="G1771" s="7" t="s">
        <v>14446</v>
      </c>
      <c r="H1771" s="7" t="s">
        <v>14447</v>
      </c>
      <c r="I1771" s="119">
        <v>45292.0</v>
      </c>
      <c r="K1771" s="7" t="s">
        <v>419</v>
      </c>
      <c r="L1771" s="7" t="s">
        <v>991</v>
      </c>
      <c r="M1771" s="7" t="s">
        <v>3501</v>
      </c>
      <c r="N1771" s="7" t="s">
        <v>6637</v>
      </c>
      <c r="O1771" s="7" t="s">
        <v>6638</v>
      </c>
      <c r="P1771" s="7" t="s">
        <v>3493</v>
      </c>
      <c r="Q1771" s="7">
        <v>1.0</v>
      </c>
    </row>
    <row r="1772">
      <c r="A1772" s="7" t="s">
        <v>14448</v>
      </c>
      <c r="B1772" s="7">
        <v>2100141.0</v>
      </c>
      <c r="C1772" s="7" t="s">
        <v>14399</v>
      </c>
      <c r="D1772" s="7" t="s">
        <v>14449</v>
      </c>
      <c r="E1772" s="7" t="s">
        <v>14394</v>
      </c>
      <c r="F1772" s="7" t="s">
        <v>7673</v>
      </c>
      <c r="G1772" s="7" t="s">
        <v>14450</v>
      </c>
      <c r="H1772" s="7" t="s">
        <v>14451</v>
      </c>
      <c r="I1772" s="119">
        <v>45292.0</v>
      </c>
      <c r="K1772" s="7" t="s">
        <v>419</v>
      </c>
      <c r="L1772" s="7" t="s">
        <v>991</v>
      </c>
      <c r="M1772" s="7" t="s">
        <v>3501</v>
      </c>
      <c r="N1772" s="7" t="s">
        <v>4296</v>
      </c>
      <c r="O1772" s="7" t="s">
        <v>4896</v>
      </c>
      <c r="P1772" s="7" t="s">
        <v>3522</v>
      </c>
      <c r="Q1772" s="7" t="s">
        <v>3514</v>
      </c>
    </row>
    <row r="1773">
      <c r="A1773" s="7" t="s">
        <v>1423</v>
      </c>
      <c r="B1773" s="7">
        <v>597.0</v>
      </c>
      <c r="C1773" s="7" t="s">
        <v>14411</v>
      </c>
      <c r="D1773" s="7" t="s">
        <v>14452</v>
      </c>
      <c r="E1773" s="7" t="s">
        <v>14394</v>
      </c>
      <c r="F1773" s="7" t="s">
        <v>3954</v>
      </c>
      <c r="G1773" s="7" t="s">
        <v>14453</v>
      </c>
      <c r="H1773" s="7" t="s">
        <v>14454</v>
      </c>
      <c r="I1773" s="119">
        <v>45292.0</v>
      </c>
      <c r="K1773" s="7" t="s">
        <v>419</v>
      </c>
      <c r="L1773" s="7" t="s">
        <v>991</v>
      </c>
      <c r="M1773" s="7" t="s">
        <v>3501</v>
      </c>
      <c r="N1773" s="7" t="s">
        <v>10545</v>
      </c>
      <c r="O1773" s="7" t="s">
        <v>10546</v>
      </c>
      <c r="P1773" s="7" t="s">
        <v>5585</v>
      </c>
      <c r="Q1773" s="7">
        <v>1.0</v>
      </c>
    </row>
    <row r="1774">
      <c r="A1774" s="7" t="s">
        <v>14455</v>
      </c>
      <c r="B1774" s="7">
        <v>11841.0</v>
      </c>
      <c r="C1774" s="7" t="s">
        <v>14399</v>
      </c>
      <c r="D1774" s="7" t="s">
        <v>6059</v>
      </c>
      <c r="E1774" s="7" t="s">
        <v>14394</v>
      </c>
      <c r="F1774" s="7" t="s">
        <v>6061</v>
      </c>
      <c r="G1774" s="7" t="s">
        <v>14456</v>
      </c>
      <c r="H1774" s="7" t="s">
        <v>14457</v>
      </c>
      <c r="I1774" s="119">
        <v>45292.0</v>
      </c>
      <c r="K1774" s="7" t="s">
        <v>419</v>
      </c>
      <c r="L1774" s="7" t="s">
        <v>991</v>
      </c>
      <c r="M1774" s="7" t="s">
        <v>3501</v>
      </c>
      <c r="N1774" s="7" t="s">
        <v>3809</v>
      </c>
      <c r="O1774" s="7" t="s">
        <v>14458</v>
      </c>
      <c r="P1774" s="7" t="s">
        <v>3522</v>
      </c>
      <c r="Q1774" s="7" t="s">
        <v>3514</v>
      </c>
    </row>
    <row r="1775">
      <c r="A1775" s="7" t="s">
        <v>14459</v>
      </c>
      <c r="B1775" s="7">
        <v>11765.0</v>
      </c>
      <c r="C1775" s="7" t="s">
        <v>14399</v>
      </c>
      <c r="D1775" s="7" t="s">
        <v>14460</v>
      </c>
      <c r="E1775" s="7" t="s">
        <v>14394</v>
      </c>
      <c r="F1775" s="7" t="s">
        <v>14461</v>
      </c>
      <c r="G1775" s="7" t="s">
        <v>14462</v>
      </c>
      <c r="H1775" s="7" t="s">
        <v>14463</v>
      </c>
      <c r="I1775" s="119">
        <v>45292.0</v>
      </c>
      <c r="K1775" s="7" t="s">
        <v>419</v>
      </c>
      <c r="L1775" s="7" t="s">
        <v>991</v>
      </c>
      <c r="M1775" s="7" t="s">
        <v>3501</v>
      </c>
      <c r="N1775" s="7" t="s">
        <v>10645</v>
      </c>
      <c r="O1775" s="7" t="s">
        <v>11498</v>
      </c>
      <c r="P1775" s="7" t="s">
        <v>3604</v>
      </c>
      <c r="Q1775" s="7">
        <v>1.0</v>
      </c>
    </row>
    <row r="1776">
      <c r="A1776" s="7" t="s">
        <v>14464</v>
      </c>
      <c r="B1776" s="7">
        <v>11688.0</v>
      </c>
      <c r="C1776" s="7" t="s">
        <v>14465</v>
      </c>
      <c r="D1776" s="7" t="s">
        <v>4320</v>
      </c>
      <c r="E1776" s="7" t="s">
        <v>14466</v>
      </c>
      <c r="F1776" s="7" t="s">
        <v>4321</v>
      </c>
      <c r="G1776" s="7" t="s">
        <v>14467</v>
      </c>
      <c r="H1776" s="7" t="s">
        <v>14468</v>
      </c>
      <c r="I1776" s="119">
        <v>45292.0</v>
      </c>
      <c r="K1776" s="7" t="s">
        <v>419</v>
      </c>
      <c r="L1776" s="7" t="s">
        <v>991</v>
      </c>
      <c r="M1776" s="7" t="s">
        <v>3501</v>
      </c>
      <c r="N1776" s="7" t="s">
        <v>6402</v>
      </c>
      <c r="O1776" s="7" t="s">
        <v>6403</v>
      </c>
      <c r="P1776" s="7" t="s">
        <v>3604</v>
      </c>
      <c r="Q1776" s="7">
        <v>1.0</v>
      </c>
    </row>
    <row r="1777">
      <c r="A1777" s="7" t="s">
        <v>14469</v>
      </c>
      <c r="B1777" s="7">
        <v>185.0</v>
      </c>
      <c r="C1777" s="7" t="s">
        <v>14411</v>
      </c>
      <c r="D1777" s="7" t="s">
        <v>14470</v>
      </c>
      <c r="E1777" s="7" t="s">
        <v>14471</v>
      </c>
      <c r="F1777" s="7" t="s">
        <v>6089</v>
      </c>
      <c r="G1777" s="7" t="s">
        <v>14472</v>
      </c>
      <c r="H1777" s="7" t="s">
        <v>14473</v>
      </c>
      <c r="I1777" s="119">
        <v>45292.0</v>
      </c>
      <c r="K1777" s="7" t="s">
        <v>419</v>
      </c>
      <c r="L1777" s="7" t="s">
        <v>991</v>
      </c>
      <c r="M1777" s="7" t="s">
        <v>3501</v>
      </c>
      <c r="N1777" s="7" t="s">
        <v>4303</v>
      </c>
      <c r="O1777" s="7" t="s">
        <v>4304</v>
      </c>
      <c r="P1777" s="7" t="s">
        <v>3493</v>
      </c>
      <c r="Q1777" s="7">
        <v>1.0</v>
      </c>
    </row>
    <row r="1778">
      <c r="A1778" s="7" t="s">
        <v>14474</v>
      </c>
      <c r="B1778" s="7">
        <v>2200438.0</v>
      </c>
      <c r="C1778" s="7" t="s">
        <v>14411</v>
      </c>
      <c r="D1778" s="7" t="s">
        <v>14475</v>
      </c>
      <c r="E1778" s="7" t="s">
        <v>14471</v>
      </c>
      <c r="F1778" s="7" t="s">
        <v>4598</v>
      </c>
      <c r="G1778" s="7" t="s">
        <v>14476</v>
      </c>
      <c r="H1778" s="7" t="s">
        <v>14477</v>
      </c>
      <c r="I1778" s="119">
        <v>45292.0</v>
      </c>
      <c r="K1778" s="7" t="s">
        <v>419</v>
      </c>
      <c r="L1778" s="7" t="s">
        <v>991</v>
      </c>
      <c r="M1778" s="7" t="s">
        <v>3501</v>
      </c>
      <c r="N1778" s="7" t="s">
        <v>14478</v>
      </c>
      <c r="O1778" s="7" t="s">
        <v>14479</v>
      </c>
      <c r="P1778" s="7" t="s">
        <v>3843</v>
      </c>
      <c r="Q1778" s="7">
        <v>1.0</v>
      </c>
    </row>
    <row r="1779">
      <c r="A1779" s="7" t="s">
        <v>14480</v>
      </c>
      <c r="B1779" s="7">
        <v>2400072.0</v>
      </c>
      <c r="C1779" s="7" t="s">
        <v>3727</v>
      </c>
      <c r="D1779" s="7" t="s">
        <v>14481</v>
      </c>
      <c r="E1779" s="7" t="s">
        <v>3729</v>
      </c>
      <c r="F1779" s="7" t="s">
        <v>5514</v>
      </c>
      <c r="G1779" s="7" t="s">
        <v>14482</v>
      </c>
      <c r="I1779" s="119">
        <v>45307.0</v>
      </c>
      <c r="K1779" s="7" t="s">
        <v>419</v>
      </c>
      <c r="L1779" s="7" t="s">
        <v>991</v>
      </c>
      <c r="M1779" s="7" t="s">
        <v>3531</v>
      </c>
      <c r="N1779" s="7" t="s">
        <v>9102</v>
      </c>
      <c r="O1779" s="7" t="s">
        <v>9103</v>
      </c>
      <c r="P1779" s="7" t="s">
        <v>3493</v>
      </c>
      <c r="Q1779" s="7">
        <v>1.0</v>
      </c>
    </row>
    <row r="1780">
      <c r="A1780" s="7" t="s">
        <v>14483</v>
      </c>
      <c r="B1780" s="7">
        <v>2400064.0</v>
      </c>
      <c r="C1780" s="7" t="s">
        <v>14484</v>
      </c>
      <c r="D1780" s="7" t="s">
        <v>4510</v>
      </c>
      <c r="E1780" s="7" t="s">
        <v>14485</v>
      </c>
      <c r="F1780" s="7" t="s">
        <v>4511</v>
      </c>
      <c r="G1780" s="7" t="s">
        <v>14486</v>
      </c>
      <c r="H1780" s="7" t="s">
        <v>14487</v>
      </c>
      <c r="I1780" s="119">
        <v>45307.0</v>
      </c>
      <c r="K1780" s="7" t="s">
        <v>419</v>
      </c>
      <c r="L1780" s="7" t="s">
        <v>991</v>
      </c>
      <c r="M1780" s="7" t="s">
        <v>3583</v>
      </c>
      <c r="N1780" s="7" t="s">
        <v>11305</v>
      </c>
      <c r="O1780" s="7" t="s">
        <v>13677</v>
      </c>
      <c r="P1780" s="7" t="s">
        <v>3493</v>
      </c>
      <c r="Q1780" s="7">
        <v>1.0</v>
      </c>
    </row>
    <row r="1781">
      <c r="A1781" s="7" t="s">
        <v>14488</v>
      </c>
      <c r="B1781" s="7">
        <v>2400058.0</v>
      </c>
      <c r="C1781" s="7" t="s">
        <v>14489</v>
      </c>
      <c r="D1781" s="7" t="s">
        <v>14490</v>
      </c>
      <c r="E1781" s="7" t="s">
        <v>14491</v>
      </c>
      <c r="F1781" s="7" t="s">
        <v>14492</v>
      </c>
      <c r="G1781" s="7" t="s">
        <v>14493</v>
      </c>
      <c r="H1781" s="7" t="s">
        <v>14494</v>
      </c>
      <c r="I1781" s="119">
        <v>45307.0</v>
      </c>
      <c r="K1781" s="7" t="s">
        <v>419</v>
      </c>
      <c r="L1781" s="7" t="s">
        <v>991</v>
      </c>
      <c r="M1781" s="7" t="s">
        <v>3501</v>
      </c>
      <c r="N1781" s="7" t="s">
        <v>3769</v>
      </c>
      <c r="O1781" s="7" t="s">
        <v>5454</v>
      </c>
      <c r="P1781" s="7" t="s">
        <v>3493</v>
      </c>
      <c r="Q1781" s="7">
        <v>1.0</v>
      </c>
    </row>
    <row r="1782">
      <c r="A1782" s="7" t="s">
        <v>14495</v>
      </c>
      <c r="B1782" s="7">
        <v>2400041.0</v>
      </c>
      <c r="C1782" s="7" t="s">
        <v>14496</v>
      </c>
      <c r="D1782" s="7" t="s">
        <v>14497</v>
      </c>
      <c r="E1782" s="7" t="s">
        <v>14498</v>
      </c>
      <c r="F1782" s="7" t="s">
        <v>14499</v>
      </c>
      <c r="G1782" s="7" t="s">
        <v>14500</v>
      </c>
      <c r="H1782" s="7" t="s">
        <v>14501</v>
      </c>
      <c r="I1782" s="119">
        <v>45307.0</v>
      </c>
      <c r="K1782" s="7" t="s">
        <v>3642</v>
      </c>
      <c r="L1782" s="7" t="s">
        <v>991</v>
      </c>
      <c r="M1782" s="7" t="s">
        <v>3501</v>
      </c>
      <c r="N1782" s="7" t="s">
        <v>3643</v>
      </c>
      <c r="O1782" s="7" t="s">
        <v>3644</v>
      </c>
      <c r="P1782" s="7" t="s">
        <v>3493</v>
      </c>
      <c r="Q1782" s="7">
        <v>1.0</v>
      </c>
    </row>
    <row r="1783">
      <c r="A1783" s="7" t="s">
        <v>14502</v>
      </c>
      <c r="B1783" s="7">
        <v>2400047.0</v>
      </c>
      <c r="C1783" s="7" t="s">
        <v>5976</v>
      </c>
      <c r="D1783" s="7" t="s">
        <v>13825</v>
      </c>
      <c r="E1783" s="7" t="s">
        <v>5977</v>
      </c>
      <c r="F1783" s="7" t="s">
        <v>14503</v>
      </c>
      <c r="G1783" s="7" t="s">
        <v>14504</v>
      </c>
      <c r="H1783" s="7" t="s">
        <v>14505</v>
      </c>
      <c r="I1783" s="119">
        <v>45307.0</v>
      </c>
      <c r="K1783" s="7" t="s">
        <v>3642</v>
      </c>
      <c r="L1783" s="7" t="s">
        <v>991</v>
      </c>
      <c r="M1783" s="7" t="s">
        <v>3501</v>
      </c>
      <c r="N1783" s="7" t="s">
        <v>3643</v>
      </c>
      <c r="O1783" s="7" t="s">
        <v>3644</v>
      </c>
      <c r="P1783" s="7" t="s">
        <v>3493</v>
      </c>
      <c r="Q1783" s="7">
        <v>1.0</v>
      </c>
    </row>
    <row r="1784">
      <c r="A1784" s="7" t="s">
        <v>14506</v>
      </c>
      <c r="B1784" s="7">
        <v>2400060.0</v>
      </c>
      <c r="C1784" s="7" t="s">
        <v>14507</v>
      </c>
      <c r="D1784" s="7" t="s">
        <v>14508</v>
      </c>
      <c r="E1784" s="7" t="s">
        <v>14509</v>
      </c>
      <c r="F1784" s="7" t="s">
        <v>14510</v>
      </c>
      <c r="G1784" s="7" t="s">
        <v>14511</v>
      </c>
      <c r="H1784" s="7" t="s">
        <v>14512</v>
      </c>
      <c r="I1784" s="119">
        <v>45307.0</v>
      </c>
      <c r="K1784" s="7" t="s">
        <v>3632</v>
      </c>
      <c r="L1784" s="7" t="s">
        <v>991</v>
      </c>
      <c r="M1784" s="7" t="s">
        <v>3583</v>
      </c>
      <c r="N1784" s="7" t="s">
        <v>5052</v>
      </c>
      <c r="O1784" s="7" t="s">
        <v>5053</v>
      </c>
      <c r="P1784" s="7" t="s">
        <v>3522</v>
      </c>
      <c r="Q1784" s="7" t="s">
        <v>3523</v>
      </c>
    </row>
    <row r="1785">
      <c r="A1785" s="7" t="s">
        <v>14513</v>
      </c>
      <c r="B1785" s="7">
        <v>2400049.0</v>
      </c>
      <c r="C1785" s="7" t="s">
        <v>14514</v>
      </c>
      <c r="D1785" s="7" t="s">
        <v>14515</v>
      </c>
      <c r="E1785" s="7" t="s">
        <v>14516</v>
      </c>
      <c r="F1785" s="7" t="s">
        <v>5312</v>
      </c>
      <c r="G1785" s="7" t="s">
        <v>14517</v>
      </c>
      <c r="H1785" s="7" t="s">
        <v>14518</v>
      </c>
      <c r="I1785" s="119">
        <v>45307.0</v>
      </c>
      <c r="K1785" s="7" t="s">
        <v>3642</v>
      </c>
      <c r="L1785" s="7" t="s">
        <v>991</v>
      </c>
      <c r="M1785" s="7" t="s">
        <v>3501</v>
      </c>
      <c r="N1785" s="7" t="s">
        <v>3643</v>
      </c>
      <c r="O1785" s="7" t="s">
        <v>3644</v>
      </c>
      <c r="P1785" s="7" t="s">
        <v>3493</v>
      </c>
      <c r="Q1785" s="7">
        <v>1.0</v>
      </c>
    </row>
    <row r="1786">
      <c r="A1786" s="7" t="s">
        <v>14519</v>
      </c>
      <c r="B1786" s="7">
        <v>2400056.0</v>
      </c>
      <c r="C1786" s="7" t="s">
        <v>7234</v>
      </c>
      <c r="D1786" s="7" t="s">
        <v>3720</v>
      </c>
      <c r="E1786" s="7" t="s">
        <v>7236</v>
      </c>
      <c r="F1786" s="7" t="s">
        <v>3721</v>
      </c>
      <c r="G1786" s="7" t="s">
        <v>14520</v>
      </c>
      <c r="H1786" s="7" t="s">
        <v>14521</v>
      </c>
      <c r="I1786" s="119">
        <v>45307.0</v>
      </c>
      <c r="K1786" s="7" t="s">
        <v>3642</v>
      </c>
      <c r="L1786" s="7" t="s">
        <v>991</v>
      </c>
      <c r="M1786" s="7" t="s">
        <v>3501</v>
      </c>
      <c r="N1786" s="7" t="s">
        <v>3643</v>
      </c>
      <c r="O1786" s="7" t="s">
        <v>3644</v>
      </c>
      <c r="P1786" s="7" t="s">
        <v>3493</v>
      </c>
      <c r="Q1786" s="7">
        <v>1.0</v>
      </c>
    </row>
    <row r="1787">
      <c r="A1787" s="7" t="s">
        <v>14522</v>
      </c>
      <c r="B1787" s="7">
        <v>2400053.0</v>
      </c>
      <c r="C1787" s="7" t="s">
        <v>14523</v>
      </c>
      <c r="D1787" s="7" t="s">
        <v>9960</v>
      </c>
      <c r="E1787" s="7" t="s">
        <v>7619</v>
      </c>
      <c r="F1787" s="7" t="s">
        <v>3656</v>
      </c>
      <c r="G1787" s="7" t="s">
        <v>14524</v>
      </c>
      <c r="H1787" s="7" t="s">
        <v>14525</v>
      </c>
      <c r="I1787" s="119">
        <v>45307.0</v>
      </c>
      <c r="K1787" s="7" t="s">
        <v>3642</v>
      </c>
      <c r="L1787" s="7" t="s">
        <v>991</v>
      </c>
      <c r="M1787" s="7" t="s">
        <v>3501</v>
      </c>
      <c r="N1787" s="7" t="s">
        <v>3643</v>
      </c>
      <c r="O1787" s="7" t="s">
        <v>3644</v>
      </c>
      <c r="P1787" s="7" t="s">
        <v>3493</v>
      </c>
      <c r="Q1787" s="7">
        <v>1.0</v>
      </c>
    </row>
    <row r="1788">
      <c r="A1788" s="7" t="s">
        <v>14526</v>
      </c>
      <c r="B1788" s="7">
        <v>2400059.0</v>
      </c>
      <c r="C1788" s="7" t="s">
        <v>14527</v>
      </c>
      <c r="D1788" s="7" t="s">
        <v>14528</v>
      </c>
      <c r="E1788" s="7" t="s">
        <v>14529</v>
      </c>
      <c r="F1788" s="7" t="s">
        <v>3874</v>
      </c>
      <c r="G1788" s="7" t="s">
        <v>14530</v>
      </c>
      <c r="H1788" s="7" t="s">
        <v>14531</v>
      </c>
      <c r="I1788" s="119">
        <v>45307.0</v>
      </c>
      <c r="K1788" s="7" t="s">
        <v>419</v>
      </c>
      <c r="L1788" s="7" t="s">
        <v>991</v>
      </c>
      <c r="M1788" s="7" t="s">
        <v>3501</v>
      </c>
      <c r="N1788" s="7" t="s">
        <v>8808</v>
      </c>
      <c r="O1788" s="7" t="s">
        <v>14532</v>
      </c>
      <c r="P1788" s="7" t="s">
        <v>3522</v>
      </c>
      <c r="Q1788" s="7" t="s">
        <v>3523</v>
      </c>
    </row>
    <row r="1789">
      <c r="A1789" s="7" t="s">
        <v>14533</v>
      </c>
      <c r="B1789" s="7">
        <v>2400061.0</v>
      </c>
      <c r="C1789" s="7" t="s">
        <v>8284</v>
      </c>
      <c r="D1789" s="7" t="s">
        <v>14534</v>
      </c>
      <c r="E1789" s="7" t="s">
        <v>8285</v>
      </c>
      <c r="F1789" s="7" t="s">
        <v>4357</v>
      </c>
      <c r="G1789" s="7" t="s">
        <v>14535</v>
      </c>
      <c r="H1789" s="7" t="s">
        <v>14536</v>
      </c>
      <c r="I1789" s="119">
        <v>45307.0</v>
      </c>
      <c r="K1789" s="7" t="s">
        <v>419</v>
      </c>
      <c r="L1789" s="7" t="s">
        <v>991</v>
      </c>
      <c r="M1789" s="7" t="s">
        <v>3501</v>
      </c>
      <c r="N1789" s="7" t="s">
        <v>7518</v>
      </c>
      <c r="O1789" s="7" t="s">
        <v>7519</v>
      </c>
      <c r="P1789" s="7" t="s">
        <v>3522</v>
      </c>
      <c r="Q1789" s="7" t="s">
        <v>3523</v>
      </c>
    </row>
    <row r="1790">
      <c r="A1790" s="7" t="s">
        <v>14537</v>
      </c>
      <c r="B1790" s="7">
        <v>2400063.0</v>
      </c>
      <c r="C1790" s="7" t="s">
        <v>14538</v>
      </c>
      <c r="D1790" s="7" t="s">
        <v>14539</v>
      </c>
      <c r="E1790" s="7" t="s">
        <v>14540</v>
      </c>
      <c r="F1790" s="7" t="s">
        <v>12081</v>
      </c>
      <c r="G1790" s="7" t="s">
        <v>14541</v>
      </c>
      <c r="H1790" s="7" t="s">
        <v>14542</v>
      </c>
      <c r="I1790" s="119">
        <v>45307.0</v>
      </c>
      <c r="K1790" s="7" t="s">
        <v>3642</v>
      </c>
      <c r="L1790" s="7" t="s">
        <v>991</v>
      </c>
      <c r="M1790" s="7" t="s">
        <v>3501</v>
      </c>
      <c r="N1790" s="7" t="s">
        <v>3643</v>
      </c>
      <c r="O1790" s="7" t="s">
        <v>3644</v>
      </c>
      <c r="P1790" s="7" t="s">
        <v>3493</v>
      </c>
      <c r="Q1790" s="7">
        <v>1.0</v>
      </c>
    </row>
    <row r="1791">
      <c r="A1791" s="7" t="s">
        <v>14543</v>
      </c>
      <c r="B1791" s="7">
        <v>2400073.0</v>
      </c>
      <c r="C1791" s="7" t="s">
        <v>14544</v>
      </c>
      <c r="D1791" s="7" t="s">
        <v>14545</v>
      </c>
      <c r="E1791" s="7" t="s">
        <v>14546</v>
      </c>
      <c r="F1791" s="7" t="s">
        <v>9614</v>
      </c>
      <c r="G1791" s="7" t="s">
        <v>14547</v>
      </c>
      <c r="I1791" s="119">
        <v>45307.0</v>
      </c>
      <c r="K1791" s="7" t="s">
        <v>419</v>
      </c>
      <c r="L1791" s="7" t="s">
        <v>991</v>
      </c>
      <c r="M1791" s="7" t="s">
        <v>3531</v>
      </c>
      <c r="N1791" s="7" t="s">
        <v>3820</v>
      </c>
      <c r="O1791" s="7" t="s">
        <v>3821</v>
      </c>
      <c r="P1791" s="7" t="s">
        <v>3493</v>
      </c>
      <c r="Q1791" s="7">
        <v>1.0</v>
      </c>
    </row>
    <row r="1792">
      <c r="A1792" s="7" t="s">
        <v>14548</v>
      </c>
      <c r="B1792" s="7">
        <v>2400065.0</v>
      </c>
      <c r="C1792" s="7" t="s">
        <v>14549</v>
      </c>
      <c r="D1792" s="7" t="s">
        <v>14550</v>
      </c>
      <c r="E1792" s="7" t="s">
        <v>14551</v>
      </c>
      <c r="F1792" s="7" t="s">
        <v>3580</v>
      </c>
      <c r="G1792" s="7" t="s">
        <v>14552</v>
      </c>
      <c r="H1792" s="7" t="s">
        <v>14553</v>
      </c>
      <c r="I1792" s="119">
        <v>45307.0</v>
      </c>
      <c r="K1792" s="7" t="s">
        <v>419</v>
      </c>
      <c r="L1792" s="7" t="s">
        <v>991</v>
      </c>
      <c r="M1792" s="7" t="s">
        <v>3531</v>
      </c>
      <c r="N1792" s="7" t="s">
        <v>11784</v>
      </c>
      <c r="O1792" s="7" t="s">
        <v>11785</v>
      </c>
      <c r="P1792" s="7" t="s">
        <v>3493</v>
      </c>
      <c r="Q1792" s="7">
        <v>1.0</v>
      </c>
    </row>
    <row r="1793">
      <c r="A1793" s="7" t="s">
        <v>14554</v>
      </c>
      <c r="B1793" s="7">
        <v>2400052.0</v>
      </c>
      <c r="C1793" s="7" t="s">
        <v>9907</v>
      </c>
      <c r="D1793" s="7" t="s">
        <v>14555</v>
      </c>
      <c r="E1793" s="7" t="s">
        <v>9909</v>
      </c>
      <c r="F1793" s="7" t="s">
        <v>14556</v>
      </c>
      <c r="G1793" s="7" t="s">
        <v>14557</v>
      </c>
      <c r="H1793" s="7" t="s">
        <v>14558</v>
      </c>
      <c r="I1793" s="119">
        <v>45307.0</v>
      </c>
      <c r="K1793" s="7" t="s">
        <v>3642</v>
      </c>
      <c r="L1793" s="7" t="s">
        <v>991</v>
      </c>
      <c r="M1793" s="7" t="s">
        <v>3501</v>
      </c>
      <c r="N1793" s="7" t="s">
        <v>3643</v>
      </c>
      <c r="O1793" s="7" t="s">
        <v>3644</v>
      </c>
      <c r="P1793" s="7" t="s">
        <v>3493</v>
      </c>
      <c r="Q1793" s="7">
        <v>1.0</v>
      </c>
    </row>
    <row r="1794">
      <c r="A1794" s="7" t="s">
        <v>14559</v>
      </c>
      <c r="B1794" s="7">
        <v>2400040.0</v>
      </c>
      <c r="C1794" s="7" t="s">
        <v>14560</v>
      </c>
      <c r="D1794" s="7" t="s">
        <v>14561</v>
      </c>
      <c r="E1794" s="7" t="s">
        <v>14562</v>
      </c>
      <c r="F1794" s="7" t="s">
        <v>14563</v>
      </c>
      <c r="G1794" s="7" t="s">
        <v>14564</v>
      </c>
      <c r="H1794" s="7" t="s">
        <v>14565</v>
      </c>
      <c r="I1794" s="119">
        <v>45307.0</v>
      </c>
      <c r="K1794" s="7" t="s">
        <v>3642</v>
      </c>
      <c r="L1794" s="7" t="s">
        <v>991</v>
      </c>
      <c r="M1794" s="7" t="s">
        <v>3501</v>
      </c>
      <c r="N1794" s="7" t="s">
        <v>3643</v>
      </c>
      <c r="O1794" s="7" t="s">
        <v>3644</v>
      </c>
      <c r="P1794" s="7" t="s">
        <v>3493</v>
      </c>
      <c r="Q1794" s="7">
        <v>1.0</v>
      </c>
    </row>
    <row r="1795">
      <c r="A1795" s="7" t="s">
        <v>14566</v>
      </c>
      <c r="B1795" s="7">
        <v>2400046.0</v>
      </c>
      <c r="C1795" s="7" t="s">
        <v>14567</v>
      </c>
      <c r="D1795" s="7" t="s">
        <v>14568</v>
      </c>
      <c r="E1795" s="7" t="s">
        <v>14569</v>
      </c>
      <c r="F1795" s="7" t="s">
        <v>14568</v>
      </c>
      <c r="G1795" s="7" t="s">
        <v>14570</v>
      </c>
      <c r="H1795" s="7" t="s">
        <v>14571</v>
      </c>
      <c r="I1795" s="119">
        <v>45307.0</v>
      </c>
      <c r="K1795" s="7" t="s">
        <v>3642</v>
      </c>
      <c r="L1795" s="7" t="s">
        <v>991</v>
      </c>
      <c r="M1795" s="7" t="s">
        <v>3501</v>
      </c>
      <c r="N1795" s="7" t="s">
        <v>3643</v>
      </c>
      <c r="O1795" s="7" t="s">
        <v>3644</v>
      </c>
      <c r="P1795" s="7" t="s">
        <v>3493</v>
      </c>
      <c r="Q1795" s="7">
        <v>1.0</v>
      </c>
    </row>
    <row r="1796">
      <c r="A1796" s="7" t="s">
        <v>14572</v>
      </c>
      <c r="B1796" s="7">
        <v>2400051.0</v>
      </c>
      <c r="C1796" s="7" t="s">
        <v>14573</v>
      </c>
      <c r="D1796" s="7" t="s">
        <v>14574</v>
      </c>
      <c r="E1796" s="7" t="s">
        <v>14575</v>
      </c>
      <c r="F1796" s="7" t="s">
        <v>5347</v>
      </c>
      <c r="G1796" s="7" t="s">
        <v>14576</v>
      </c>
      <c r="H1796" s="7" t="s">
        <v>14577</v>
      </c>
      <c r="I1796" s="119">
        <v>45307.0</v>
      </c>
      <c r="K1796" s="7" t="s">
        <v>3642</v>
      </c>
      <c r="L1796" s="7" t="s">
        <v>991</v>
      </c>
      <c r="M1796" s="7" t="s">
        <v>3501</v>
      </c>
      <c r="N1796" s="7" t="s">
        <v>3643</v>
      </c>
      <c r="O1796" s="7" t="s">
        <v>3644</v>
      </c>
      <c r="P1796" s="7" t="s">
        <v>3493</v>
      </c>
      <c r="Q1796" s="7">
        <v>1.0</v>
      </c>
    </row>
    <row r="1797">
      <c r="A1797" s="7" t="s">
        <v>14578</v>
      </c>
      <c r="B1797" s="7">
        <v>2400057.0</v>
      </c>
      <c r="C1797" s="7" t="s">
        <v>14579</v>
      </c>
      <c r="D1797" s="7" t="s">
        <v>4826</v>
      </c>
      <c r="E1797" s="7" t="s">
        <v>12386</v>
      </c>
      <c r="F1797" s="7" t="s">
        <v>3609</v>
      </c>
      <c r="G1797" s="7" t="s">
        <v>14580</v>
      </c>
      <c r="H1797" s="7" t="s">
        <v>14581</v>
      </c>
      <c r="I1797" s="119">
        <v>45307.0</v>
      </c>
      <c r="K1797" s="7" t="s">
        <v>3642</v>
      </c>
      <c r="L1797" s="7" t="s">
        <v>991</v>
      </c>
      <c r="M1797" s="7" t="s">
        <v>3501</v>
      </c>
      <c r="N1797" s="7" t="s">
        <v>3643</v>
      </c>
      <c r="O1797" s="7" t="s">
        <v>3644</v>
      </c>
      <c r="P1797" s="7" t="s">
        <v>3493</v>
      </c>
      <c r="Q1797" s="7">
        <v>1.0</v>
      </c>
    </row>
    <row r="1798">
      <c r="A1798" s="7" t="s">
        <v>14582</v>
      </c>
      <c r="B1798" s="7">
        <v>2400042.0</v>
      </c>
      <c r="C1798" s="7" t="s">
        <v>14583</v>
      </c>
      <c r="D1798" s="7" t="s">
        <v>14584</v>
      </c>
      <c r="E1798" s="7" t="s">
        <v>12489</v>
      </c>
      <c r="F1798" s="7" t="s">
        <v>3896</v>
      </c>
      <c r="G1798" s="7" t="s">
        <v>14585</v>
      </c>
      <c r="H1798" s="7" t="s">
        <v>14586</v>
      </c>
      <c r="I1798" s="119">
        <v>45307.0</v>
      </c>
      <c r="K1798" s="7" t="s">
        <v>3642</v>
      </c>
      <c r="L1798" s="7" t="s">
        <v>991</v>
      </c>
      <c r="M1798" s="7" t="s">
        <v>3531</v>
      </c>
      <c r="N1798" s="7" t="s">
        <v>3643</v>
      </c>
      <c r="O1798" s="7" t="s">
        <v>3644</v>
      </c>
      <c r="P1798" s="7" t="s">
        <v>3493</v>
      </c>
      <c r="Q1798" s="7">
        <v>1.0</v>
      </c>
    </row>
    <row r="1799">
      <c r="A1799" s="7" t="s">
        <v>14587</v>
      </c>
      <c r="B1799" s="7">
        <v>2400043.0</v>
      </c>
      <c r="C1799" s="7" t="s">
        <v>14588</v>
      </c>
      <c r="D1799" s="7" t="s">
        <v>14589</v>
      </c>
      <c r="E1799" s="7" t="s">
        <v>14590</v>
      </c>
      <c r="F1799" s="7" t="s">
        <v>14591</v>
      </c>
      <c r="G1799" s="7" t="s">
        <v>14592</v>
      </c>
      <c r="H1799" s="7" t="s">
        <v>14593</v>
      </c>
      <c r="I1799" s="119">
        <v>45307.0</v>
      </c>
      <c r="K1799" s="7" t="s">
        <v>3642</v>
      </c>
      <c r="L1799" s="7" t="s">
        <v>991</v>
      </c>
      <c r="M1799" s="7" t="s">
        <v>3501</v>
      </c>
      <c r="N1799" s="7" t="s">
        <v>3643</v>
      </c>
      <c r="O1799" s="7" t="s">
        <v>3644</v>
      </c>
      <c r="P1799" s="7" t="s">
        <v>3493</v>
      </c>
      <c r="Q1799" s="7">
        <v>1.0</v>
      </c>
    </row>
    <row r="1800">
      <c r="A1800" s="7" t="s">
        <v>14594</v>
      </c>
      <c r="B1800" s="7">
        <v>2400045.0</v>
      </c>
      <c r="C1800" s="7" t="s">
        <v>13294</v>
      </c>
      <c r="D1800" s="7" t="s">
        <v>14595</v>
      </c>
      <c r="E1800" s="7" t="s">
        <v>13295</v>
      </c>
      <c r="F1800" s="7" t="s">
        <v>5569</v>
      </c>
      <c r="G1800" s="7" t="s">
        <v>14596</v>
      </c>
      <c r="H1800" s="7" t="s">
        <v>14597</v>
      </c>
      <c r="I1800" s="119">
        <v>45307.0</v>
      </c>
      <c r="K1800" s="7" t="s">
        <v>3642</v>
      </c>
      <c r="L1800" s="7" t="s">
        <v>991</v>
      </c>
      <c r="M1800" s="7" t="s">
        <v>3501</v>
      </c>
      <c r="N1800" s="7" t="s">
        <v>3643</v>
      </c>
      <c r="O1800" s="7" t="s">
        <v>3644</v>
      </c>
      <c r="P1800" s="7" t="s">
        <v>3493</v>
      </c>
      <c r="Q1800" s="7">
        <v>1.0</v>
      </c>
    </row>
    <row r="1801">
      <c r="A1801" s="7" t="s">
        <v>14598</v>
      </c>
      <c r="B1801" s="7">
        <v>2400050.0</v>
      </c>
      <c r="C1801" s="7" t="s">
        <v>13294</v>
      </c>
      <c r="D1801" s="7" t="s">
        <v>3915</v>
      </c>
      <c r="E1801" s="7" t="s">
        <v>13295</v>
      </c>
      <c r="F1801" s="7" t="s">
        <v>3917</v>
      </c>
      <c r="G1801" s="7" t="s">
        <v>14599</v>
      </c>
      <c r="H1801" s="7" t="s">
        <v>14600</v>
      </c>
      <c r="I1801" s="119">
        <v>45307.0</v>
      </c>
      <c r="K1801" s="7" t="s">
        <v>3642</v>
      </c>
      <c r="L1801" s="7" t="s">
        <v>991</v>
      </c>
      <c r="M1801" s="7" t="s">
        <v>3501</v>
      </c>
      <c r="N1801" s="7" t="s">
        <v>3643</v>
      </c>
      <c r="O1801" s="7" t="s">
        <v>3644</v>
      </c>
      <c r="P1801" s="7" t="s">
        <v>3493</v>
      </c>
      <c r="Q1801" s="7">
        <v>1.0</v>
      </c>
    </row>
    <row r="1802">
      <c r="A1802" s="7" t="s">
        <v>14601</v>
      </c>
      <c r="B1802" s="7">
        <v>2400055.0</v>
      </c>
      <c r="C1802" s="7" t="s">
        <v>13367</v>
      </c>
      <c r="D1802" s="7" t="s">
        <v>14602</v>
      </c>
      <c r="E1802" s="7" t="s">
        <v>13369</v>
      </c>
      <c r="F1802" s="7" t="s">
        <v>8949</v>
      </c>
      <c r="G1802" s="7" t="s">
        <v>14603</v>
      </c>
      <c r="H1802" s="7" t="s">
        <v>14604</v>
      </c>
      <c r="I1802" s="119">
        <v>45307.0</v>
      </c>
      <c r="K1802" s="7" t="s">
        <v>3642</v>
      </c>
      <c r="L1802" s="7" t="s">
        <v>991</v>
      </c>
      <c r="M1802" s="7" t="s">
        <v>3501</v>
      </c>
      <c r="N1802" s="7" t="s">
        <v>3643</v>
      </c>
      <c r="O1802" s="7" t="s">
        <v>3644</v>
      </c>
      <c r="P1802" s="7" t="s">
        <v>3493</v>
      </c>
      <c r="Q1802" s="7">
        <v>1.0</v>
      </c>
    </row>
    <row r="1803">
      <c r="A1803" s="7" t="s">
        <v>14605</v>
      </c>
      <c r="B1803" s="7">
        <v>2400062.0</v>
      </c>
      <c r="C1803" s="7" t="s">
        <v>14606</v>
      </c>
      <c r="D1803" s="7" t="s">
        <v>14607</v>
      </c>
      <c r="E1803" s="7" t="s">
        <v>14608</v>
      </c>
      <c r="F1803" s="7" t="s">
        <v>9013</v>
      </c>
      <c r="G1803" s="7" t="s">
        <v>14609</v>
      </c>
      <c r="I1803" s="119">
        <v>45307.0</v>
      </c>
      <c r="K1803" s="7" t="s">
        <v>4042</v>
      </c>
      <c r="L1803" s="7" t="s">
        <v>991</v>
      </c>
      <c r="M1803" s="7" t="s">
        <v>3531</v>
      </c>
      <c r="N1803" s="7" t="s">
        <v>4043</v>
      </c>
      <c r="O1803" s="7" t="s">
        <v>4044</v>
      </c>
      <c r="P1803" s="7" t="s">
        <v>3493</v>
      </c>
      <c r="Q1803" s="7">
        <v>1.0</v>
      </c>
    </row>
    <row r="1804">
      <c r="A1804" s="7" t="s">
        <v>14610</v>
      </c>
      <c r="B1804" s="7">
        <v>2400066.0</v>
      </c>
      <c r="C1804" s="7" t="s">
        <v>14611</v>
      </c>
      <c r="D1804" s="7" t="s">
        <v>5675</v>
      </c>
      <c r="E1804" s="7" t="s">
        <v>14612</v>
      </c>
      <c r="F1804" s="7" t="s">
        <v>4539</v>
      </c>
      <c r="G1804" s="7" t="s">
        <v>14613</v>
      </c>
      <c r="H1804" s="7" t="s">
        <v>14614</v>
      </c>
      <c r="I1804" s="119">
        <v>45307.0</v>
      </c>
      <c r="K1804" s="7" t="s">
        <v>4042</v>
      </c>
      <c r="L1804" s="7" t="s">
        <v>991</v>
      </c>
      <c r="M1804" s="7" t="s">
        <v>3501</v>
      </c>
      <c r="N1804" s="7" t="s">
        <v>4043</v>
      </c>
      <c r="O1804" s="7" t="s">
        <v>4044</v>
      </c>
      <c r="P1804" s="7" t="s">
        <v>3493</v>
      </c>
      <c r="Q1804" s="7">
        <v>1.0</v>
      </c>
    </row>
    <row r="1805">
      <c r="A1805" s="7" t="s">
        <v>14615</v>
      </c>
      <c r="B1805" s="7">
        <v>2400100.0</v>
      </c>
      <c r="C1805" s="7" t="s">
        <v>14616</v>
      </c>
      <c r="D1805" s="7" t="s">
        <v>14617</v>
      </c>
      <c r="E1805" s="7" t="s">
        <v>14618</v>
      </c>
      <c r="F1805" s="7" t="s">
        <v>14619</v>
      </c>
      <c r="G1805" s="7" t="s">
        <v>14620</v>
      </c>
      <c r="H1805" s="7" t="s">
        <v>14621</v>
      </c>
      <c r="I1805" s="119">
        <v>45323.0</v>
      </c>
      <c r="K1805" s="7" t="s">
        <v>419</v>
      </c>
      <c r="L1805" s="7" t="s">
        <v>991</v>
      </c>
      <c r="M1805" s="7" t="s">
        <v>3501</v>
      </c>
      <c r="N1805" s="7" t="s">
        <v>14622</v>
      </c>
      <c r="O1805" s="7" t="s">
        <v>14623</v>
      </c>
      <c r="P1805" s="7" t="s">
        <v>3522</v>
      </c>
      <c r="Q1805" s="7" t="s">
        <v>3523</v>
      </c>
    </row>
    <row r="1806">
      <c r="A1806" s="7" t="s">
        <v>14624</v>
      </c>
      <c r="B1806" s="7">
        <v>2400097.0</v>
      </c>
      <c r="C1806" s="7" t="s">
        <v>4502</v>
      </c>
      <c r="D1806" s="7" t="s">
        <v>14625</v>
      </c>
      <c r="E1806" s="7" t="s">
        <v>4504</v>
      </c>
      <c r="F1806" s="7" t="s">
        <v>4632</v>
      </c>
      <c r="G1806" s="7" t="s">
        <v>14626</v>
      </c>
      <c r="I1806" s="119">
        <v>45323.0</v>
      </c>
      <c r="K1806" s="7" t="s">
        <v>3489</v>
      </c>
      <c r="L1806" s="7" t="s">
        <v>991</v>
      </c>
      <c r="M1806" s="7" t="s">
        <v>3490</v>
      </c>
      <c r="N1806" s="7" t="s">
        <v>3491</v>
      </c>
      <c r="O1806" s="7" t="s">
        <v>3492</v>
      </c>
      <c r="P1806" s="7" t="s">
        <v>3493</v>
      </c>
      <c r="Q1806" s="7">
        <v>1.0</v>
      </c>
    </row>
    <row r="1807">
      <c r="A1807" s="7" t="s">
        <v>14627</v>
      </c>
      <c r="B1807" s="7">
        <v>2400110.0</v>
      </c>
      <c r="C1807" s="7" t="s">
        <v>14628</v>
      </c>
      <c r="D1807" s="7" t="s">
        <v>14629</v>
      </c>
      <c r="E1807" s="7" t="s">
        <v>14630</v>
      </c>
      <c r="F1807" s="7" t="s">
        <v>6806</v>
      </c>
      <c r="G1807" s="7" t="s">
        <v>14631</v>
      </c>
      <c r="H1807" s="7" t="s">
        <v>14632</v>
      </c>
      <c r="I1807" s="119">
        <v>45323.0</v>
      </c>
      <c r="K1807" s="7" t="s">
        <v>419</v>
      </c>
      <c r="L1807" s="7" t="s">
        <v>991</v>
      </c>
      <c r="M1807" s="7" t="s">
        <v>3531</v>
      </c>
      <c r="N1807" s="7" t="s">
        <v>4096</v>
      </c>
      <c r="O1807" s="7" t="s">
        <v>4097</v>
      </c>
      <c r="P1807" s="7" t="s">
        <v>3493</v>
      </c>
      <c r="Q1807" s="7">
        <v>1.0</v>
      </c>
    </row>
    <row r="1808">
      <c r="A1808" s="7" t="s">
        <v>14633</v>
      </c>
      <c r="B1808" s="7">
        <v>2400117.0</v>
      </c>
      <c r="C1808" s="7" t="s">
        <v>14634</v>
      </c>
      <c r="D1808" s="7" t="s">
        <v>14635</v>
      </c>
      <c r="E1808" s="7" t="s">
        <v>5179</v>
      </c>
      <c r="F1808" s="7" t="s">
        <v>4068</v>
      </c>
      <c r="G1808" s="7" t="s">
        <v>14636</v>
      </c>
      <c r="H1808" s="7" t="s">
        <v>14637</v>
      </c>
      <c r="I1808" s="119">
        <v>45323.0</v>
      </c>
      <c r="K1808" s="7" t="s">
        <v>419</v>
      </c>
      <c r="L1808" s="7" t="s">
        <v>991</v>
      </c>
      <c r="M1808" s="7" t="s">
        <v>3531</v>
      </c>
      <c r="N1808" s="7" t="s">
        <v>14117</v>
      </c>
      <c r="O1808" s="7" t="s">
        <v>14638</v>
      </c>
      <c r="P1808" s="7" t="s">
        <v>3493</v>
      </c>
      <c r="Q1808" s="7">
        <v>1.0</v>
      </c>
    </row>
    <row r="1809">
      <c r="A1809" s="7" t="s">
        <v>14639</v>
      </c>
      <c r="B1809" s="7">
        <v>2400080.0</v>
      </c>
      <c r="C1809" s="7" t="s">
        <v>5763</v>
      </c>
      <c r="D1809" s="7" t="s">
        <v>14640</v>
      </c>
      <c r="E1809" s="7" t="s">
        <v>5765</v>
      </c>
      <c r="F1809" s="7" t="s">
        <v>8319</v>
      </c>
      <c r="G1809" s="7" t="s">
        <v>14641</v>
      </c>
      <c r="H1809" s="7" t="s">
        <v>14642</v>
      </c>
      <c r="I1809" s="119">
        <v>45323.0</v>
      </c>
      <c r="K1809" s="7" t="s">
        <v>14643</v>
      </c>
      <c r="L1809" s="7" t="s">
        <v>13694</v>
      </c>
      <c r="M1809" s="7" t="s">
        <v>13695</v>
      </c>
      <c r="N1809" s="7" t="s">
        <v>3643</v>
      </c>
      <c r="O1809" s="7" t="s">
        <v>14644</v>
      </c>
      <c r="P1809" s="7" t="s">
        <v>14645</v>
      </c>
      <c r="Q1809" s="7" t="s">
        <v>3523</v>
      </c>
    </row>
    <row r="1810">
      <c r="A1810" s="7" t="s">
        <v>14646</v>
      </c>
      <c r="B1810" s="7">
        <v>2400078.0</v>
      </c>
      <c r="C1810" s="7" t="s">
        <v>14647</v>
      </c>
      <c r="D1810" s="7" t="s">
        <v>14648</v>
      </c>
      <c r="E1810" s="7" t="s">
        <v>14649</v>
      </c>
      <c r="F1810" s="7" t="s">
        <v>3806</v>
      </c>
      <c r="G1810" s="7" t="s">
        <v>14650</v>
      </c>
      <c r="H1810" s="7" t="s">
        <v>14651</v>
      </c>
      <c r="I1810" s="119">
        <v>45323.0</v>
      </c>
      <c r="K1810" s="7" t="s">
        <v>3642</v>
      </c>
      <c r="L1810" s="7" t="s">
        <v>991</v>
      </c>
      <c r="M1810" s="7" t="s">
        <v>3501</v>
      </c>
      <c r="N1810" s="7" t="s">
        <v>3643</v>
      </c>
      <c r="O1810" s="7" t="s">
        <v>3644</v>
      </c>
      <c r="P1810" s="7" t="s">
        <v>3493</v>
      </c>
      <c r="Q1810" s="7">
        <v>1.0</v>
      </c>
    </row>
    <row r="1811">
      <c r="A1811" s="7" t="s">
        <v>14652</v>
      </c>
      <c r="B1811" s="7">
        <v>2400118.0</v>
      </c>
      <c r="C1811" s="7" t="s">
        <v>14653</v>
      </c>
      <c r="D1811" s="7" t="s">
        <v>14654</v>
      </c>
      <c r="E1811" s="7" t="s">
        <v>7229</v>
      </c>
      <c r="F1811" s="7" t="s">
        <v>14655</v>
      </c>
      <c r="G1811" s="7" t="s">
        <v>14656</v>
      </c>
      <c r="H1811" s="7" t="s">
        <v>14657</v>
      </c>
      <c r="I1811" s="119">
        <v>45323.0</v>
      </c>
      <c r="K1811" s="7" t="s">
        <v>419</v>
      </c>
      <c r="L1811" s="7" t="s">
        <v>991</v>
      </c>
      <c r="M1811" s="7" t="s">
        <v>3531</v>
      </c>
      <c r="N1811" s="7" t="s">
        <v>14117</v>
      </c>
      <c r="O1811" s="7" t="s">
        <v>14638</v>
      </c>
      <c r="P1811" s="7" t="s">
        <v>3493</v>
      </c>
      <c r="Q1811" s="7">
        <v>1.0</v>
      </c>
    </row>
    <row r="1812">
      <c r="A1812" s="7" t="s">
        <v>14658</v>
      </c>
      <c r="B1812" s="7">
        <v>2400115.0</v>
      </c>
      <c r="C1812" s="7" t="s">
        <v>14659</v>
      </c>
      <c r="D1812" s="7" t="s">
        <v>5885</v>
      </c>
      <c r="E1812" s="7" t="s">
        <v>14660</v>
      </c>
      <c r="F1812" s="7" t="s">
        <v>3766</v>
      </c>
      <c r="G1812" s="7" t="s">
        <v>14661</v>
      </c>
      <c r="H1812" s="7" t="s">
        <v>14662</v>
      </c>
      <c r="I1812" s="119">
        <v>45323.0</v>
      </c>
      <c r="K1812" s="7" t="s">
        <v>419</v>
      </c>
      <c r="L1812" s="7" t="s">
        <v>991</v>
      </c>
      <c r="M1812" s="7" t="s">
        <v>3531</v>
      </c>
      <c r="N1812" s="7" t="s">
        <v>11285</v>
      </c>
      <c r="O1812" s="7" t="s">
        <v>14663</v>
      </c>
      <c r="P1812" s="7" t="s">
        <v>3493</v>
      </c>
      <c r="Q1812" s="7">
        <v>1.0</v>
      </c>
    </row>
    <row r="1813">
      <c r="A1813" s="7" t="s">
        <v>14664</v>
      </c>
      <c r="B1813" s="7">
        <v>2400094.0</v>
      </c>
      <c r="C1813" s="7" t="s">
        <v>7599</v>
      </c>
      <c r="D1813" s="7" t="s">
        <v>14665</v>
      </c>
      <c r="E1813" s="7" t="s">
        <v>7601</v>
      </c>
      <c r="F1813" s="7" t="s">
        <v>14666</v>
      </c>
      <c r="G1813" s="7" t="s">
        <v>14667</v>
      </c>
      <c r="I1813" s="119">
        <v>45323.0</v>
      </c>
      <c r="K1813" s="7" t="s">
        <v>3489</v>
      </c>
      <c r="L1813" s="7" t="s">
        <v>991</v>
      </c>
      <c r="M1813" s="7" t="s">
        <v>3490</v>
      </c>
      <c r="N1813" s="7" t="s">
        <v>3491</v>
      </c>
      <c r="O1813" s="7" t="s">
        <v>3492</v>
      </c>
      <c r="P1813" s="7" t="s">
        <v>3493</v>
      </c>
      <c r="Q1813" s="7">
        <v>1.0</v>
      </c>
    </row>
    <row r="1814">
      <c r="A1814" s="7" t="s">
        <v>14668</v>
      </c>
      <c r="B1814" s="7">
        <v>2400101.0</v>
      </c>
      <c r="C1814" s="7" t="s">
        <v>7649</v>
      </c>
      <c r="D1814" s="7" t="s">
        <v>14669</v>
      </c>
      <c r="E1814" s="7" t="s">
        <v>7651</v>
      </c>
      <c r="F1814" s="7" t="s">
        <v>4241</v>
      </c>
      <c r="G1814" s="7" t="s">
        <v>14670</v>
      </c>
      <c r="H1814" s="7" t="s">
        <v>14671</v>
      </c>
      <c r="I1814" s="119">
        <v>45323.0</v>
      </c>
      <c r="K1814" s="7" t="s">
        <v>419</v>
      </c>
      <c r="L1814" s="7" t="s">
        <v>991</v>
      </c>
      <c r="M1814" s="7" t="s">
        <v>3531</v>
      </c>
      <c r="N1814" s="7" t="s">
        <v>13401</v>
      </c>
      <c r="O1814" s="7" t="s">
        <v>14672</v>
      </c>
      <c r="P1814" s="7" t="s">
        <v>3493</v>
      </c>
      <c r="Q1814" s="7">
        <v>1.0</v>
      </c>
    </row>
    <row r="1815">
      <c r="A1815" s="7" t="s">
        <v>14673</v>
      </c>
      <c r="B1815" s="7">
        <v>2400093.0</v>
      </c>
      <c r="C1815" s="7" t="s">
        <v>7853</v>
      </c>
      <c r="D1815" s="7" t="s">
        <v>14674</v>
      </c>
      <c r="E1815" s="7" t="s">
        <v>7854</v>
      </c>
      <c r="F1815" s="7" t="s">
        <v>14675</v>
      </c>
      <c r="G1815" s="7" t="s">
        <v>14676</v>
      </c>
      <c r="H1815" s="7" t="s">
        <v>14677</v>
      </c>
      <c r="I1815" s="119">
        <v>45323.0</v>
      </c>
      <c r="K1815" s="7" t="s">
        <v>419</v>
      </c>
      <c r="L1815" s="7" t="s">
        <v>991</v>
      </c>
      <c r="M1815" s="7" t="s">
        <v>3501</v>
      </c>
      <c r="N1815" s="7" t="s">
        <v>14678</v>
      </c>
      <c r="O1815" s="7" t="s">
        <v>14679</v>
      </c>
      <c r="P1815" s="7" t="s">
        <v>14680</v>
      </c>
      <c r="Q1815" s="7" t="s">
        <v>3555</v>
      </c>
    </row>
    <row r="1816">
      <c r="A1816" s="7" t="s">
        <v>14681</v>
      </c>
      <c r="B1816" s="7">
        <v>2400107.0</v>
      </c>
      <c r="C1816" s="7" t="s">
        <v>8072</v>
      </c>
      <c r="D1816" s="7" t="s">
        <v>14682</v>
      </c>
      <c r="E1816" s="7" t="s">
        <v>8074</v>
      </c>
      <c r="F1816" s="7" t="s">
        <v>4314</v>
      </c>
      <c r="G1816" s="7" t="s">
        <v>14683</v>
      </c>
      <c r="H1816" s="7" t="s">
        <v>14684</v>
      </c>
      <c r="I1816" s="119">
        <v>45323.0</v>
      </c>
      <c r="K1816" s="7" t="s">
        <v>419</v>
      </c>
      <c r="L1816" s="7" t="s">
        <v>991</v>
      </c>
      <c r="M1816" s="7" t="s">
        <v>3501</v>
      </c>
      <c r="N1816" s="7" t="s">
        <v>6473</v>
      </c>
      <c r="O1816" s="7" t="s">
        <v>14685</v>
      </c>
      <c r="P1816" s="7" t="s">
        <v>3785</v>
      </c>
      <c r="Q1816" s="7" t="s">
        <v>3523</v>
      </c>
    </row>
    <row r="1817">
      <c r="A1817" s="7" t="s">
        <v>14686</v>
      </c>
      <c r="B1817" s="7">
        <v>2400085.0</v>
      </c>
      <c r="C1817" s="7" t="s">
        <v>8352</v>
      </c>
      <c r="D1817" s="7" t="s">
        <v>14687</v>
      </c>
      <c r="E1817" s="7" t="s">
        <v>8354</v>
      </c>
      <c r="F1817" s="7" t="s">
        <v>4084</v>
      </c>
      <c r="G1817" s="7" t="s">
        <v>14688</v>
      </c>
      <c r="H1817" s="7" t="s">
        <v>14689</v>
      </c>
      <c r="I1817" s="119">
        <v>45323.0</v>
      </c>
      <c r="K1817" s="7" t="s">
        <v>3642</v>
      </c>
      <c r="L1817" s="7" t="s">
        <v>991</v>
      </c>
      <c r="M1817" s="7" t="s">
        <v>3501</v>
      </c>
      <c r="N1817" s="7" t="s">
        <v>3643</v>
      </c>
      <c r="O1817" s="7" t="s">
        <v>3644</v>
      </c>
      <c r="P1817" s="7" t="s">
        <v>3493</v>
      </c>
      <c r="Q1817" s="7">
        <v>1.0</v>
      </c>
    </row>
    <row r="1818">
      <c r="A1818" s="7" t="s">
        <v>14690</v>
      </c>
      <c r="B1818" s="7">
        <v>2400084.0</v>
      </c>
      <c r="C1818" s="7" t="s">
        <v>8429</v>
      </c>
      <c r="D1818" s="7" t="s">
        <v>12130</v>
      </c>
      <c r="E1818" s="7" t="s">
        <v>8431</v>
      </c>
      <c r="F1818" s="7" t="s">
        <v>12031</v>
      </c>
      <c r="G1818" s="7" t="s">
        <v>14691</v>
      </c>
      <c r="H1818" s="7" t="s">
        <v>14692</v>
      </c>
      <c r="I1818" s="119">
        <v>45323.0</v>
      </c>
      <c r="K1818" s="7" t="s">
        <v>3642</v>
      </c>
      <c r="L1818" s="7" t="s">
        <v>991</v>
      </c>
      <c r="M1818" s="7" t="s">
        <v>3501</v>
      </c>
      <c r="N1818" s="7" t="s">
        <v>3643</v>
      </c>
      <c r="O1818" s="7" t="s">
        <v>3644</v>
      </c>
      <c r="P1818" s="7" t="s">
        <v>3493</v>
      </c>
      <c r="Q1818" s="7">
        <v>1.0</v>
      </c>
    </row>
    <row r="1819">
      <c r="A1819" s="7" t="s">
        <v>14693</v>
      </c>
      <c r="B1819" s="7">
        <v>2400116.0</v>
      </c>
      <c r="C1819" s="7" t="s">
        <v>8429</v>
      </c>
      <c r="D1819" s="7" t="s">
        <v>14694</v>
      </c>
      <c r="E1819" s="7" t="s">
        <v>8431</v>
      </c>
      <c r="F1819" s="7" t="s">
        <v>14695</v>
      </c>
      <c r="G1819" s="7" t="s">
        <v>14696</v>
      </c>
      <c r="H1819" s="7" t="s">
        <v>14697</v>
      </c>
      <c r="I1819" s="119">
        <v>45323.0</v>
      </c>
      <c r="K1819" s="7" t="s">
        <v>419</v>
      </c>
      <c r="L1819" s="7" t="s">
        <v>991</v>
      </c>
      <c r="M1819" s="7" t="s">
        <v>3531</v>
      </c>
      <c r="N1819" s="7" t="s">
        <v>4310</v>
      </c>
      <c r="O1819" s="7" t="s">
        <v>4311</v>
      </c>
      <c r="P1819" s="7" t="s">
        <v>3493</v>
      </c>
      <c r="Q1819" s="7">
        <v>1.0</v>
      </c>
    </row>
    <row r="1820">
      <c r="A1820" s="7" t="s">
        <v>14698</v>
      </c>
      <c r="B1820" s="7">
        <v>2400106.0</v>
      </c>
      <c r="C1820" s="7" t="s">
        <v>8852</v>
      </c>
      <c r="D1820" s="7" t="s">
        <v>14699</v>
      </c>
      <c r="E1820" s="7" t="s">
        <v>8854</v>
      </c>
      <c r="F1820" s="7" t="s">
        <v>3517</v>
      </c>
      <c r="G1820" s="7" t="s">
        <v>14700</v>
      </c>
      <c r="H1820" s="7" t="s">
        <v>14701</v>
      </c>
      <c r="I1820" s="119">
        <v>45323.0</v>
      </c>
      <c r="K1820" s="7" t="s">
        <v>419</v>
      </c>
      <c r="L1820" s="7" t="s">
        <v>991</v>
      </c>
      <c r="M1820" s="7" t="s">
        <v>3531</v>
      </c>
      <c r="N1820" s="7" t="s">
        <v>5795</v>
      </c>
      <c r="O1820" s="7" t="s">
        <v>5796</v>
      </c>
      <c r="P1820" s="7" t="s">
        <v>3493</v>
      </c>
      <c r="Q1820" s="7">
        <v>1.0</v>
      </c>
    </row>
    <row r="1821">
      <c r="A1821" s="7" t="s">
        <v>14702</v>
      </c>
      <c r="B1821" s="7">
        <v>2400099.0</v>
      </c>
      <c r="C1821" s="7" t="s">
        <v>14703</v>
      </c>
      <c r="D1821" s="7" t="s">
        <v>8734</v>
      </c>
      <c r="E1821" s="7" t="s">
        <v>14704</v>
      </c>
      <c r="F1821" s="7" t="s">
        <v>8734</v>
      </c>
      <c r="G1821" s="7" t="s">
        <v>14705</v>
      </c>
      <c r="H1821" s="7" t="s">
        <v>14706</v>
      </c>
      <c r="I1821" s="119">
        <v>45323.0</v>
      </c>
      <c r="K1821" s="7" t="s">
        <v>419</v>
      </c>
      <c r="L1821" s="7" t="s">
        <v>991</v>
      </c>
      <c r="M1821" s="7" t="s">
        <v>3583</v>
      </c>
      <c r="N1821" s="7" t="s">
        <v>4669</v>
      </c>
      <c r="O1821" s="7" t="s">
        <v>4670</v>
      </c>
      <c r="P1821" s="7" t="s">
        <v>3493</v>
      </c>
      <c r="Q1821" s="7">
        <v>1.0</v>
      </c>
    </row>
    <row r="1822">
      <c r="A1822" s="7" t="s">
        <v>14707</v>
      </c>
      <c r="B1822" s="7">
        <v>2400091.0</v>
      </c>
      <c r="C1822" s="7" t="s">
        <v>10459</v>
      </c>
      <c r="D1822" s="7" t="s">
        <v>14708</v>
      </c>
      <c r="E1822" s="7" t="s">
        <v>10461</v>
      </c>
      <c r="F1822" s="7" t="s">
        <v>5229</v>
      </c>
      <c r="G1822" s="7" t="s">
        <v>14709</v>
      </c>
      <c r="H1822" s="7" t="s">
        <v>14710</v>
      </c>
      <c r="I1822" s="119">
        <v>45323.0</v>
      </c>
      <c r="K1822" s="7" t="s">
        <v>419</v>
      </c>
      <c r="L1822" s="7" t="s">
        <v>991</v>
      </c>
      <c r="M1822" s="7" t="s">
        <v>3501</v>
      </c>
      <c r="N1822" s="7" t="s">
        <v>3593</v>
      </c>
      <c r="O1822" s="7" t="s">
        <v>3594</v>
      </c>
      <c r="P1822" s="7" t="s">
        <v>3843</v>
      </c>
      <c r="Q1822" s="7">
        <v>1.0</v>
      </c>
    </row>
    <row r="1823">
      <c r="A1823" s="7" t="s">
        <v>14711</v>
      </c>
      <c r="B1823" s="7">
        <v>2400082.0</v>
      </c>
      <c r="C1823" s="7" t="s">
        <v>10604</v>
      </c>
      <c r="D1823" s="7" t="s">
        <v>14712</v>
      </c>
      <c r="E1823" s="7" t="s">
        <v>10606</v>
      </c>
      <c r="F1823" s="7" t="s">
        <v>11089</v>
      </c>
      <c r="G1823" s="7" t="s">
        <v>14713</v>
      </c>
      <c r="H1823" s="7" t="s">
        <v>14714</v>
      </c>
      <c r="I1823" s="119">
        <v>45323.0</v>
      </c>
      <c r="K1823" s="7" t="s">
        <v>3642</v>
      </c>
      <c r="L1823" s="7" t="s">
        <v>991</v>
      </c>
      <c r="M1823" s="7" t="s">
        <v>3583</v>
      </c>
      <c r="N1823" s="7" t="s">
        <v>3643</v>
      </c>
      <c r="O1823" s="7" t="s">
        <v>3644</v>
      </c>
      <c r="P1823" s="7" t="s">
        <v>3493</v>
      </c>
      <c r="Q1823" s="7">
        <v>1.0</v>
      </c>
    </row>
    <row r="1824">
      <c r="A1824" s="7" t="s">
        <v>14715</v>
      </c>
      <c r="B1824" s="7">
        <v>2400096.0</v>
      </c>
      <c r="C1824" s="7" t="s">
        <v>14716</v>
      </c>
      <c r="D1824" s="7" t="s">
        <v>11547</v>
      </c>
      <c r="E1824" s="7" t="s">
        <v>10784</v>
      </c>
      <c r="F1824" s="7" t="s">
        <v>11548</v>
      </c>
      <c r="G1824" s="7" t="s">
        <v>14717</v>
      </c>
      <c r="I1824" s="119">
        <v>45323.0</v>
      </c>
      <c r="K1824" s="7" t="s">
        <v>3489</v>
      </c>
      <c r="L1824" s="7" t="s">
        <v>991</v>
      </c>
      <c r="M1824" s="7" t="s">
        <v>3866</v>
      </c>
      <c r="N1824" s="7" t="s">
        <v>3491</v>
      </c>
      <c r="O1824" s="7" t="s">
        <v>3492</v>
      </c>
      <c r="P1824" s="7" t="s">
        <v>3493</v>
      </c>
      <c r="Q1824" s="7">
        <v>1.0</v>
      </c>
    </row>
    <row r="1825">
      <c r="A1825" s="7" t="s">
        <v>14718</v>
      </c>
      <c r="B1825" s="7">
        <v>2400095.0</v>
      </c>
      <c r="C1825" s="7" t="s">
        <v>10885</v>
      </c>
      <c r="D1825" s="7" t="s">
        <v>8674</v>
      </c>
      <c r="E1825" s="7" t="s">
        <v>10901</v>
      </c>
      <c r="F1825" s="7" t="s">
        <v>5074</v>
      </c>
      <c r="G1825" s="7" t="s">
        <v>14719</v>
      </c>
      <c r="I1825" s="119">
        <v>45323.0</v>
      </c>
      <c r="K1825" s="7" t="s">
        <v>3489</v>
      </c>
      <c r="L1825" s="7" t="s">
        <v>991</v>
      </c>
      <c r="M1825" s="7" t="s">
        <v>3490</v>
      </c>
      <c r="N1825" s="7" t="s">
        <v>3491</v>
      </c>
      <c r="O1825" s="7" t="s">
        <v>3492</v>
      </c>
      <c r="P1825" s="7" t="s">
        <v>3493</v>
      </c>
      <c r="Q1825" s="7">
        <v>1.0</v>
      </c>
    </row>
    <row r="1826">
      <c r="A1826" s="7" t="s">
        <v>14720</v>
      </c>
      <c r="B1826" s="7">
        <v>2400203.0</v>
      </c>
      <c r="C1826" s="7" t="s">
        <v>10957</v>
      </c>
      <c r="D1826" s="7" t="s">
        <v>14721</v>
      </c>
      <c r="E1826" s="7" t="s">
        <v>10959</v>
      </c>
      <c r="F1826" s="7" t="s">
        <v>14722</v>
      </c>
      <c r="G1826" s="7" t="s">
        <v>14723</v>
      </c>
      <c r="H1826" s="7" t="s">
        <v>14724</v>
      </c>
      <c r="I1826" s="119">
        <v>45383.0</v>
      </c>
      <c r="K1826" s="7" t="s">
        <v>419</v>
      </c>
      <c r="L1826" s="7" t="s">
        <v>991</v>
      </c>
      <c r="M1826" s="7" t="s">
        <v>3501</v>
      </c>
      <c r="N1826" s="7" t="s">
        <v>3858</v>
      </c>
      <c r="O1826" s="7" t="s">
        <v>11951</v>
      </c>
      <c r="P1826" s="7" t="s">
        <v>3493</v>
      </c>
      <c r="Q1826" s="7">
        <v>1.0</v>
      </c>
    </row>
    <row r="1827">
      <c r="A1827" s="7" t="s">
        <v>14725</v>
      </c>
      <c r="B1827" s="7">
        <v>2400090.0</v>
      </c>
      <c r="C1827" s="7" t="s">
        <v>11500</v>
      </c>
      <c r="D1827" s="7" t="s">
        <v>4082</v>
      </c>
      <c r="E1827" s="7" t="s">
        <v>11502</v>
      </c>
      <c r="F1827" s="7" t="s">
        <v>3549</v>
      </c>
      <c r="G1827" s="7" t="s">
        <v>14726</v>
      </c>
      <c r="H1827" s="7" t="s">
        <v>14727</v>
      </c>
      <c r="I1827" s="119">
        <v>45323.0</v>
      </c>
      <c r="K1827" s="7" t="s">
        <v>419</v>
      </c>
      <c r="L1827" s="7" t="s">
        <v>991</v>
      </c>
      <c r="M1827" s="7" t="s">
        <v>3501</v>
      </c>
      <c r="N1827" s="7" t="s">
        <v>8366</v>
      </c>
      <c r="O1827" s="7" t="s">
        <v>14728</v>
      </c>
      <c r="P1827" s="7" t="s">
        <v>8981</v>
      </c>
      <c r="Q1827" s="7" t="s">
        <v>3555</v>
      </c>
    </row>
    <row r="1828">
      <c r="A1828" s="7" t="s">
        <v>14729</v>
      </c>
      <c r="B1828" s="7">
        <v>2400088.0</v>
      </c>
      <c r="C1828" s="7" t="s">
        <v>14730</v>
      </c>
      <c r="D1828" s="7" t="s">
        <v>6879</v>
      </c>
      <c r="E1828" s="7" t="s">
        <v>14731</v>
      </c>
      <c r="F1828" s="7" t="s">
        <v>4321</v>
      </c>
      <c r="G1828" s="7" t="s">
        <v>14732</v>
      </c>
      <c r="H1828" s="7" t="s">
        <v>14733</v>
      </c>
      <c r="I1828" s="119">
        <v>45323.0</v>
      </c>
      <c r="K1828" s="7" t="s">
        <v>3642</v>
      </c>
      <c r="L1828" s="7" t="s">
        <v>991</v>
      </c>
      <c r="M1828" s="7" t="s">
        <v>3501</v>
      </c>
      <c r="N1828" s="7" t="s">
        <v>3643</v>
      </c>
      <c r="O1828" s="7" t="s">
        <v>3644</v>
      </c>
      <c r="P1828" s="7" t="s">
        <v>3493</v>
      </c>
      <c r="Q1828" s="7">
        <v>1.0</v>
      </c>
    </row>
    <row r="1829">
      <c r="A1829" s="7" t="s">
        <v>14734</v>
      </c>
      <c r="B1829" s="7">
        <v>2400089.0</v>
      </c>
      <c r="C1829" s="7" t="s">
        <v>12078</v>
      </c>
      <c r="D1829" s="7" t="s">
        <v>14735</v>
      </c>
      <c r="E1829" s="7" t="s">
        <v>12080</v>
      </c>
      <c r="F1829" s="7" t="s">
        <v>3806</v>
      </c>
      <c r="G1829" s="7" t="s">
        <v>14736</v>
      </c>
      <c r="H1829" s="7" t="s">
        <v>14737</v>
      </c>
      <c r="I1829" s="119">
        <v>45323.0</v>
      </c>
      <c r="K1829" s="7" t="s">
        <v>3642</v>
      </c>
      <c r="L1829" s="7" t="s">
        <v>991</v>
      </c>
      <c r="M1829" s="7" t="s">
        <v>3583</v>
      </c>
      <c r="N1829" s="7" t="s">
        <v>3643</v>
      </c>
      <c r="O1829" s="7" t="s">
        <v>3644</v>
      </c>
      <c r="P1829" s="7" t="s">
        <v>3493</v>
      </c>
      <c r="Q1829" s="7">
        <v>1.0</v>
      </c>
    </row>
    <row r="1830">
      <c r="A1830" s="7" t="s">
        <v>14738</v>
      </c>
      <c r="B1830" s="7">
        <v>2400086.0</v>
      </c>
      <c r="C1830" s="7" t="s">
        <v>12140</v>
      </c>
      <c r="D1830" s="7" t="s">
        <v>14739</v>
      </c>
      <c r="E1830" s="7" t="s">
        <v>12142</v>
      </c>
      <c r="F1830" s="7" t="s">
        <v>14740</v>
      </c>
      <c r="G1830" s="7" t="s">
        <v>14741</v>
      </c>
      <c r="H1830" s="7" t="s">
        <v>14742</v>
      </c>
      <c r="I1830" s="119">
        <v>45323.0</v>
      </c>
      <c r="K1830" s="7" t="s">
        <v>3642</v>
      </c>
      <c r="L1830" s="7" t="s">
        <v>991</v>
      </c>
      <c r="M1830" s="7" t="s">
        <v>3501</v>
      </c>
      <c r="N1830" s="7" t="s">
        <v>3643</v>
      </c>
      <c r="O1830" s="7" t="s">
        <v>3644</v>
      </c>
      <c r="P1830" s="7" t="s">
        <v>3493</v>
      </c>
      <c r="Q1830" s="7">
        <v>1.0</v>
      </c>
    </row>
    <row r="1831">
      <c r="A1831" s="7" t="s">
        <v>14743</v>
      </c>
      <c r="B1831" s="7">
        <v>2400092.0</v>
      </c>
      <c r="C1831" s="7" t="s">
        <v>12170</v>
      </c>
      <c r="D1831" s="7" t="s">
        <v>4699</v>
      </c>
      <c r="E1831" s="7" t="s">
        <v>12172</v>
      </c>
      <c r="F1831" s="7" t="s">
        <v>4700</v>
      </c>
      <c r="G1831" s="7" t="s">
        <v>14744</v>
      </c>
      <c r="H1831" s="7" t="s">
        <v>14745</v>
      </c>
      <c r="I1831" s="119">
        <v>45323.0</v>
      </c>
      <c r="K1831" s="7" t="s">
        <v>3642</v>
      </c>
      <c r="L1831" s="7" t="s">
        <v>991</v>
      </c>
      <c r="M1831" s="7" t="s">
        <v>3501</v>
      </c>
      <c r="N1831" s="7" t="s">
        <v>3643</v>
      </c>
      <c r="O1831" s="7" t="s">
        <v>3644</v>
      </c>
      <c r="P1831" s="7" t="s">
        <v>3493</v>
      </c>
      <c r="Q1831" s="7">
        <v>1.0</v>
      </c>
    </row>
    <row r="1832">
      <c r="A1832" s="7" t="s">
        <v>14746</v>
      </c>
      <c r="B1832" s="7">
        <v>2400079.0</v>
      </c>
      <c r="C1832" s="7" t="s">
        <v>14747</v>
      </c>
      <c r="D1832" s="7" t="s">
        <v>14748</v>
      </c>
      <c r="E1832" s="7" t="s">
        <v>14749</v>
      </c>
      <c r="F1832" s="7" t="s">
        <v>5049</v>
      </c>
      <c r="G1832" s="7" t="s">
        <v>14750</v>
      </c>
      <c r="H1832" s="7" t="s">
        <v>14751</v>
      </c>
      <c r="I1832" s="119">
        <v>45323.0</v>
      </c>
      <c r="K1832" s="7" t="s">
        <v>3642</v>
      </c>
      <c r="L1832" s="7" t="s">
        <v>991</v>
      </c>
      <c r="M1832" s="7" t="s">
        <v>3501</v>
      </c>
      <c r="N1832" s="7" t="s">
        <v>3643</v>
      </c>
      <c r="O1832" s="7" t="s">
        <v>3644</v>
      </c>
      <c r="P1832" s="7" t="s">
        <v>3493</v>
      </c>
      <c r="Q1832" s="7">
        <v>1.0</v>
      </c>
    </row>
    <row r="1833">
      <c r="A1833" s="7" t="s">
        <v>14752</v>
      </c>
      <c r="B1833" s="7">
        <v>2400120.0</v>
      </c>
      <c r="C1833" s="7" t="s">
        <v>14753</v>
      </c>
      <c r="D1833" s="7" t="s">
        <v>14754</v>
      </c>
      <c r="E1833" s="7" t="s">
        <v>14755</v>
      </c>
      <c r="F1833" s="7" t="s">
        <v>4271</v>
      </c>
      <c r="G1833" s="7" t="s">
        <v>14756</v>
      </c>
      <c r="I1833" s="119">
        <v>45323.0</v>
      </c>
      <c r="K1833" s="7" t="s">
        <v>419</v>
      </c>
      <c r="L1833" s="7" t="s">
        <v>991</v>
      </c>
      <c r="M1833" s="7" t="s">
        <v>3531</v>
      </c>
      <c r="N1833" s="7" t="s">
        <v>5197</v>
      </c>
      <c r="O1833" s="7" t="s">
        <v>5198</v>
      </c>
      <c r="P1833" s="7" t="s">
        <v>3493</v>
      </c>
      <c r="Q1833" s="7">
        <v>1.0</v>
      </c>
    </row>
    <row r="1834">
      <c r="A1834" s="7" t="s">
        <v>14757</v>
      </c>
      <c r="B1834" s="7">
        <v>2400098.0</v>
      </c>
      <c r="C1834" s="7" t="s">
        <v>14758</v>
      </c>
      <c r="D1834" s="7" t="s">
        <v>5513</v>
      </c>
      <c r="E1834" s="7" t="s">
        <v>12579</v>
      </c>
      <c r="F1834" s="7" t="s">
        <v>5514</v>
      </c>
      <c r="G1834" s="7" t="s">
        <v>14759</v>
      </c>
      <c r="H1834" s="7" t="s">
        <v>14760</v>
      </c>
      <c r="I1834" s="119">
        <v>45323.0</v>
      </c>
      <c r="K1834" s="7" t="s">
        <v>419</v>
      </c>
      <c r="L1834" s="7" t="s">
        <v>991</v>
      </c>
      <c r="M1834" s="7" t="s">
        <v>3501</v>
      </c>
      <c r="N1834" s="7" t="s">
        <v>4669</v>
      </c>
      <c r="O1834" s="7" t="s">
        <v>4670</v>
      </c>
      <c r="P1834" s="7" t="s">
        <v>3493</v>
      </c>
      <c r="Q1834" s="7">
        <v>1.0</v>
      </c>
    </row>
    <row r="1835">
      <c r="A1835" s="7" t="s">
        <v>14761</v>
      </c>
      <c r="B1835" s="7">
        <v>2400077.0</v>
      </c>
      <c r="C1835" s="7" t="s">
        <v>12623</v>
      </c>
      <c r="D1835" s="7" t="s">
        <v>14762</v>
      </c>
      <c r="E1835" s="7" t="s">
        <v>12625</v>
      </c>
      <c r="F1835" s="7" t="s">
        <v>14763</v>
      </c>
      <c r="G1835" s="7" t="s">
        <v>14764</v>
      </c>
      <c r="H1835" s="7" t="s">
        <v>14765</v>
      </c>
      <c r="I1835" s="119">
        <v>45323.0</v>
      </c>
      <c r="K1835" s="7" t="s">
        <v>3642</v>
      </c>
      <c r="L1835" s="7" t="s">
        <v>991</v>
      </c>
      <c r="M1835" s="7" t="s">
        <v>3501</v>
      </c>
      <c r="N1835" s="7" t="s">
        <v>3643</v>
      </c>
      <c r="O1835" s="7" t="s">
        <v>3644</v>
      </c>
      <c r="P1835" s="7" t="s">
        <v>3493</v>
      </c>
      <c r="Q1835" s="7">
        <v>1.0</v>
      </c>
    </row>
    <row r="1836">
      <c r="A1836" s="7" t="s">
        <v>14766</v>
      </c>
      <c r="B1836" s="7">
        <v>2400111.0</v>
      </c>
      <c r="C1836" s="7" t="s">
        <v>13794</v>
      </c>
      <c r="D1836" s="7" t="s">
        <v>14767</v>
      </c>
      <c r="E1836" s="7" t="s">
        <v>13796</v>
      </c>
      <c r="F1836" s="7" t="s">
        <v>14768</v>
      </c>
      <c r="G1836" s="7" t="s">
        <v>14769</v>
      </c>
      <c r="H1836" s="7" t="s">
        <v>14770</v>
      </c>
      <c r="I1836" s="119">
        <v>45323.0</v>
      </c>
      <c r="K1836" s="7" t="s">
        <v>419</v>
      </c>
      <c r="L1836" s="7" t="s">
        <v>991</v>
      </c>
      <c r="M1836" s="7" t="s">
        <v>3531</v>
      </c>
      <c r="N1836" s="7" t="s">
        <v>5341</v>
      </c>
      <c r="O1836" s="7" t="s">
        <v>5342</v>
      </c>
      <c r="P1836" s="7" t="s">
        <v>3493</v>
      </c>
      <c r="Q1836" s="7">
        <v>1.0</v>
      </c>
    </row>
    <row r="1837">
      <c r="A1837" s="7" t="s">
        <v>14771</v>
      </c>
      <c r="B1837" s="7">
        <v>2400081.0</v>
      </c>
      <c r="C1837" s="7" t="s">
        <v>14392</v>
      </c>
      <c r="D1837" s="7" t="s">
        <v>14772</v>
      </c>
      <c r="E1837" s="7" t="s">
        <v>14394</v>
      </c>
      <c r="F1837" s="7" t="s">
        <v>14666</v>
      </c>
      <c r="G1837" s="7" t="s">
        <v>14773</v>
      </c>
      <c r="H1837" s="7" t="s">
        <v>14774</v>
      </c>
      <c r="I1837" s="119">
        <v>45323.0</v>
      </c>
      <c r="K1837" s="7" t="s">
        <v>3642</v>
      </c>
      <c r="L1837" s="7" t="s">
        <v>991</v>
      </c>
      <c r="M1837" s="7" t="s">
        <v>3501</v>
      </c>
      <c r="N1837" s="7" t="s">
        <v>3643</v>
      </c>
      <c r="O1837" s="7" t="s">
        <v>3644</v>
      </c>
      <c r="P1837" s="7" t="s">
        <v>3493</v>
      </c>
      <c r="Q1837" s="7">
        <v>1.0</v>
      </c>
    </row>
    <row r="1838">
      <c r="A1838" s="7" t="s">
        <v>14775</v>
      </c>
      <c r="B1838" s="7">
        <v>2400133.0</v>
      </c>
      <c r="C1838" s="7" t="s">
        <v>14776</v>
      </c>
      <c r="D1838" s="7" t="s">
        <v>14777</v>
      </c>
      <c r="E1838" s="7" t="s">
        <v>14778</v>
      </c>
      <c r="F1838" s="7" t="s">
        <v>3848</v>
      </c>
      <c r="G1838" s="7" t="s">
        <v>14779</v>
      </c>
      <c r="H1838" s="7" t="s">
        <v>14780</v>
      </c>
      <c r="I1838" s="119">
        <v>45338.0</v>
      </c>
      <c r="K1838" s="7" t="s">
        <v>3642</v>
      </c>
      <c r="L1838" s="7" t="s">
        <v>991</v>
      </c>
      <c r="M1838" s="7" t="s">
        <v>3501</v>
      </c>
      <c r="N1838" s="7" t="s">
        <v>3643</v>
      </c>
      <c r="O1838" s="7" t="s">
        <v>3644</v>
      </c>
      <c r="P1838" s="7" t="s">
        <v>3493</v>
      </c>
      <c r="Q1838" s="7">
        <v>1.0</v>
      </c>
    </row>
    <row r="1839">
      <c r="A1839" s="7" t="s">
        <v>14781</v>
      </c>
      <c r="B1839" s="7">
        <v>2400149.0</v>
      </c>
      <c r="C1839" s="7" t="s">
        <v>14782</v>
      </c>
      <c r="D1839" s="7" t="s">
        <v>14783</v>
      </c>
      <c r="E1839" s="7" t="s">
        <v>14784</v>
      </c>
      <c r="F1839" s="7" t="s">
        <v>3818</v>
      </c>
      <c r="G1839" s="7" t="s">
        <v>14785</v>
      </c>
      <c r="H1839" s="7" t="s">
        <v>14786</v>
      </c>
      <c r="I1839" s="119">
        <v>45338.0</v>
      </c>
      <c r="K1839" s="7" t="s">
        <v>3622</v>
      </c>
      <c r="L1839" s="7" t="s">
        <v>991</v>
      </c>
      <c r="M1839" s="7" t="s">
        <v>3531</v>
      </c>
      <c r="N1839" s="7" t="s">
        <v>3623</v>
      </c>
      <c r="O1839" s="7" t="s">
        <v>3624</v>
      </c>
      <c r="P1839" s="7" t="s">
        <v>3493</v>
      </c>
      <c r="Q1839" s="7">
        <v>1.0</v>
      </c>
    </row>
    <row r="1840">
      <c r="A1840" s="7" t="s">
        <v>14787</v>
      </c>
      <c r="B1840" s="7">
        <v>2400142.0</v>
      </c>
      <c r="C1840" s="7" t="s">
        <v>4502</v>
      </c>
      <c r="D1840" s="7" t="s">
        <v>5284</v>
      </c>
      <c r="E1840" s="7" t="s">
        <v>4504</v>
      </c>
      <c r="F1840" s="7" t="s">
        <v>5286</v>
      </c>
      <c r="G1840" s="7" t="s">
        <v>14788</v>
      </c>
      <c r="H1840" s="7" t="s">
        <v>14789</v>
      </c>
      <c r="I1840" s="119">
        <v>45338.0</v>
      </c>
      <c r="K1840" s="7" t="s">
        <v>419</v>
      </c>
      <c r="L1840" s="7" t="s">
        <v>991</v>
      </c>
      <c r="M1840" s="7" t="s">
        <v>3531</v>
      </c>
      <c r="N1840" s="7" t="s">
        <v>4720</v>
      </c>
      <c r="O1840" s="7" t="s">
        <v>4721</v>
      </c>
      <c r="P1840" s="7" t="s">
        <v>3493</v>
      </c>
      <c r="Q1840" s="7">
        <v>1.0</v>
      </c>
    </row>
    <row r="1841">
      <c r="A1841" s="7" t="s">
        <v>14790</v>
      </c>
      <c r="B1841" s="7">
        <v>2400138.0</v>
      </c>
      <c r="C1841" s="7" t="s">
        <v>4663</v>
      </c>
      <c r="D1841" s="7" t="s">
        <v>14791</v>
      </c>
      <c r="E1841" s="7" t="s">
        <v>4665</v>
      </c>
      <c r="F1841" s="7" t="s">
        <v>13229</v>
      </c>
      <c r="G1841" s="7" t="s">
        <v>14792</v>
      </c>
      <c r="H1841" s="7" t="s">
        <v>14793</v>
      </c>
      <c r="I1841" s="119">
        <v>45338.0</v>
      </c>
      <c r="K1841" s="7" t="s">
        <v>419</v>
      </c>
      <c r="L1841" s="7" t="s">
        <v>991</v>
      </c>
      <c r="M1841" s="7" t="s">
        <v>3501</v>
      </c>
      <c r="N1841" s="7" t="s">
        <v>3802</v>
      </c>
      <c r="O1841" s="7" t="s">
        <v>3803</v>
      </c>
      <c r="P1841" s="7" t="s">
        <v>3493</v>
      </c>
      <c r="Q1841" s="7">
        <v>1.0</v>
      </c>
    </row>
    <row r="1842">
      <c r="A1842" s="7" t="s">
        <v>14794</v>
      </c>
      <c r="B1842" s="7">
        <v>2400122.0</v>
      </c>
      <c r="C1842" s="7" t="s">
        <v>14795</v>
      </c>
      <c r="D1842" s="7" t="s">
        <v>14796</v>
      </c>
      <c r="E1842" s="7" t="s">
        <v>14797</v>
      </c>
      <c r="F1842" s="7" t="s">
        <v>14798</v>
      </c>
      <c r="G1842" s="7" t="s">
        <v>14799</v>
      </c>
      <c r="H1842" s="7" t="s">
        <v>14800</v>
      </c>
      <c r="I1842" s="119">
        <v>45338.0</v>
      </c>
      <c r="K1842" s="7" t="s">
        <v>3642</v>
      </c>
      <c r="L1842" s="7" t="s">
        <v>991</v>
      </c>
      <c r="M1842" s="7" t="s">
        <v>3501</v>
      </c>
      <c r="N1842" s="7" t="s">
        <v>3643</v>
      </c>
      <c r="O1842" s="7" t="s">
        <v>3644</v>
      </c>
      <c r="P1842" s="7" t="s">
        <v>3493</v>
      </c>
      <c r="Q1842" s="7">
        <v>1.0</v>
      </c>
    </row>
    <row r="1843">
      <c r="A1843" s="7" t="s">
        <v>14801</v>
      </c>
      <c r="B1843" s="7">
        <v>2400129.0</v>
      </c>
      <c r="C1843" s="7" t="s">
        <v>14802</v>
      </c>
      <c r="D1843" s="7" t="s">
        <v>14803</v>
      </c>
      <c r="E1843" s="7" t="s">
        <v>14804</v>
      </c>
      <c r="F1843" s="7" t="s">
        <v>14805</v>
      </c>
      <c r="G1843" s="7" t="s">
        <v>14806</v>
      </c>
      <c r="H1843" s="7" t="s">
        <v>14807</v>
      </c>
      <c r="I1843" s="119">
        <v>45338.0</v>
      </c>
      <c r="K1843" s="7" t="s">
        <v>3642</v>
      </c>
      <c r="L1843" s="7" t="s">
        <v>991</v>
      </c>
      <c r="M1843" s="7" t="s">
        <v>3501</v>
      </c>
      <c r="N1843" s="7" t="s">
        <v>3643</v>
      </c>
      <c r="O1843" s="7" t="s">
        <v>3644</v>
      </c>
      <c r="P1843" s="7" t="s">
        <v>3493</v>
      </c>
      <c r="Q1843" s="7">
        <v>1.0</v>
      </c>
    </row>
    <row r="1844">
      <c r="A1844" s="7" t="s">
        <v>14808</v>
      </c>
      <c r="B1844" s="7">
        <v>2400147.0</v>
      </c>
      <c r="C1844" s="7" t="s">
        <v>14809</v>
      </c>
      <c r="D1844" s="7" t="s">
        <v>14810</v>
      </c>
      <c r="E1844" s="7" t="s">
        <v>14811</v>
      </c>
      <c r="F1844" s="7" t="s">
        <v>14812</v>
      </c>
      <c r="G1844" s="7" t="s">
        <v>14813</v>
      </c>
      <c r="H1844" s="7" t="s">
        <v>14814</v>
      </c>
      <c r="I1844" s="119">
        <v>45338.0</v>
      </c>
      <c r="K1844" s="7" t="s">
        <v>3642</v>
      </c>
      <c r="L1844" s="7" t="s">
        <v>991</v>
      </c>
      <c r="M1844" s="7" t="s">
        <v>3531</v>
      </c>
      <c r="N1844" s="7" t="s">
        <v>3643</v>
      </c>
      <c r="O1844" s="7" t="s">
        <v>3644</v>
      </c>
      <c r="P1844" s="7" t="s">
        <v>3493</v>
      </c>
      <c r="Q1844" s="7">
        <v>1.0</v>
      </c>
    </row>
    <row r="1845">
      <c r="A1845" s="7" t="s">
        <v>14815</v>
      </c>
      <c r="B1845" s="7">
        <v>2400134.0</v>
      </c>
      <c r="C1845" s="7" t="s">
        <v>6765</v>
      </c>
      <c r="D1845" s="7" t="s">
        <v>14816</v>
      </c>
      <c r="E1845" s="7" t="s">
        <v>6766</v>
      </c>
      <c r="F1845" s="7" t="s">
        <v>3739</v>
      </c>
      <c r="G1845" s="7" t="s">
        <v>14817</v>
      </c>
      <c r="H1845" s="7" t="s">
        <v>14818</v>
      </c>
      <c r="I1845" s="119">
        <v>45338.0</v>
      </c>
      <c r="K1845" s="7" t="s">
        <v>3642</v>
      </c>
      <c r="L1845" s="7" t="s">
        <v>991</v>
      </c>
      <c r="M1845" s="7" t="s">
        <v>3501</v>
      </c>
      <c r="N1845" s="7" t="s">
        <v>3643</v>
      </c>
      <c r="O1845" s="7" t="s">
        <v>3644</v>
      </c>
      <c r="P1845" s="7" t="s">
        <v>3493</v>
      </c>
      <c r="Q1845" s="7">
        <v>1.0</v>
      </c>
    </row>
    <row r="1846">
      <c r="A1846" s="7" t="s">
        <v>14819</v>
      </c>
      <c r="B1846" s="7">
        <v>2400137.0</v>
      </c>
      <c r="C1846" s="7" t="s">
        <v>14820</v>
      </c>
      <c r="D1846" s="7" t="s">
        <v>14821</v>
      </c>
      <c r="E1846" s="7" t="s">
        <v>7144</v>
      </c>
      <c r="F1846" s="7" t="s">
        <v>7014</v>
      </c>
      <c r="G1846" s="7" t="s">
        <v>14822</v>
      </c>
      <c r="H1846" s="7" t="s">
        <v>14823</v>
      </c>
      <c r="I1846" s="119">
        <v>45338.0</v>
      </c>
      <c r="K1846" s="7" t="s">
        <v>419</v>
      </c>
      <c r="L1846" s="7" t="s">
        <v>991</v>
      </c>
      <c r="M1846" s="7" t="s">
        <v>3501</v>
      </c>
      <c r="N1846" s="7" t="s">
        <v>3858</v>
      </c>
      <c r="O1846" s="7" t="s">
        <v>3859</v>
      </c>
      <c r="P1846" s="7" t="s">
        <v>3522</v>
      </c>
      <c r="Q1846" s="7" t="s">
        <v>3523</v>
      </c>
    </row>
    <row r="1847">
      <c r="A1847" s="7" t="s">
        <v>14824</v>
      </c>
      <c r="B1847" s="7">
        <v>2400150.0</v>
      </c>
      <c r="C1847" s="7" t="s">
        <v>8743</v>
      </c>
      <c r="D1847" s="7" t="s">
        <v>14825</v>
      </c>
      <c r="E1847" s="7" t="s">
        <v>8745</v>
      </c>
      <c r="F1847" s="7" t="s">
        <v>8756</v>
      </c>
      <c r="G1847" s="7" t="s">
        <v>14826</v>
      </c>
      <c r="H1847" s="7" t="s">
        <v>14827</v>
      </c>
      <c r="I1847" s="119">
        <v>45338.0</v>
      </c>
      <c r="K1847" s="7" t="s">
        <v>6439</v>
      </c>
      <c r="L1847" s="7" t="s">
        <v>991</v>
      </c>
      <c r="M1847" s="7" t="s">
        <v>3501</v>
      </c>
      <c r="N1847" s="7" t="s">
        <v>6440</v>
      </c>
      <c r="O1847" s="7" t="s">
        <v>6441</v>
      </c>
      <c r="P1847" s="7" t="s">
        <v>3493</v>
      </c>
      <c r="Q1847" s="7">
        <v>1.0</v>
      </c>
    </row>
    <row r="1848">
      <c r="A1848" s="7" t="s">
        <v>14828</v>
      </c>
      <c r="B1848" s="7">
        <v>2400123.0</v>
      </c>
      <c r="C1848" s="7" t="s">
        <v>14829</v>
      </c>
      <c r="D1848" s="7" t="s">
        <v>14830</v>
      </c>
      <c r="E1848" s="7" t="s">
        <v>8778</v>
      </c>
      <c r="F1848" s="7" t="s">
        <v>4271</v>
      </c>
      <c r="G1848" s="7" t="s">
        <v>14831</v>
      </c>
      <c r="H1848" s="7" t="s">
        <v>14832</v>
      </c>
      <c r="I1848" s="119">
        <v>45338.0</v>
      </c>
      <c r="K1848" s="7" t="s">
        <v>3642</v>
      </c>
      <c r="L1848" s="7" t="s">
        <v>991</v>
      </c>
      <c r="M1848" s="7" t="s">
        <v>3501</v>
      </c>
      <c r="N1848" s="7" t="s">
        <v>3643</v>
      </c>
      <c r="O1848" s="7" t="s">
        <v>3644</v>
      </c>
      <c r="P1848" s="7" t="s">
        <v>3493</v>
      </c>
      <c r="Q1848" s="7">
        <v>1.0</v>
      </c>
    </row>
    <row r="1849">
      <c r="A1849" s="7" t="s">
        <v>14833</v>
      </c>
      <c r="B1849" s="7">
        <v>2400151.0</v>
      </c>
      <c r="C1849" s="7" t="s">
        <v>9505</v>
      </c>
      <c r="D1849" s="7" t="s">
        <v>7205</v>
      </c>
      <c r="E1849" s="7" t="s">
        <v>9500</v>
      </c>
      <c r="F1849" s="7" t="s">
        <v>7574</v>
      </c>
      <c r="G1849" s="7" t="s">
        <v>14834</v>
      </c>
      <c r="I1849" s="119">
        <v>45338.0</v>
      </c>
      <c r="K1849" s="7" t="s">
        <v>3632</v>
      </c>
      <c r="L1849" s="7" t="s">
        <v>991</v>
      </c>
      <c r="M1849" s="7" t="s">
        <v>3531</v>
      </c>
      <c r="N1849" s="7" t="s">
        <v>14835</v>
      </c>
      <c r="O1849" s="7" t="s">
        <v>14836</v>
      </c>
      <c r="P1849" s="7" t="s">
        <v>3493</v>
      </c>
      <c r="Q1849" s="7">
        <v>1.0</v>
      </c>
    </row>
    <row r="1850">
      <c r="A1850" s="7" t="s">
        <v>14837</v>
      </c>
      <c r="B1850" s="7">
        <v>2400140.0</v>
      </c>
      <c r="C1850" s="7" t="s">
        <v>9570</v>
      </c>
      <c r="D1850" s="7" t="s">
        <v>14838</v>
      </c>
      <c r="E1850" s="7" t="s">
        <v>9572</v>
      </c>
      <c r="F1850" s="7" t="s">
        <v>14839</v>
      </c>
      <c r="G1850" s="7" t="s">
        <v>14840</v>
      </c>
      <c r="H1850" s="7" t="s">
        <v>14841</v>
      </c>
      <c r="I1850" s="119">
        <v>45338.0</v>
      </c>
      <c r="K1850" s="7" t="s">
        <v>419</v>
      </c>
      <c r="L1850" s="7" t="s">
        <v>991</v>
      </c>
      <c r="M1850" s="7" t="s">
        <v>3583</v>
      </c>
      <c r="N1850" s="7" t="s">
        <v>4535</v>
      </c>
      <c r="O1850" s="7" t="s">
        <v>4536</v>
      </c>
      <c r="P1850" s="7" t="s">
        <v>3493</v>
      </c>
      <c r="Q1850" s="7">
        <v>1.0</v>
      </c>
    </row>
    <row r="1851">
      <c r="A1851" s="7" t="s">
        <v>14842</v>
      </c>
      <c r="B1851" s="7">
        <v>2400131.0</v>
      </c>
      <c r="C1851" s="7" t="s">
        <v>11019</v>
      </c>
      <c r="D1851" s="7" t="s">
        <v>8260</v>
      </c>
      <c r="E1851" s="7" t="s">
        <v>11020</v>
      </c>
      <c r="F1851" s="7" t="s">
        <v>8261</v>
      </c>
      <c r="G1851" s="7" t="s">
        <v>14843</v>
      </c>
      <c r="H1851" s="7" t="s">
        <v>14844</v>
      </c>
      <c r="I1851" s="119">
        <v>45338.0</v>
      </c>
      <c r="K1851" s="7" t="s">
        <v>3642</v>
      </c>
      <c r="L1851" s="7" t="s">
        <v>991</v>
      </c>
      <c r="M1851" s="7" t="s">
        <v>3501</v>
      </c>
      <c r="N1851" s="7" t="s">
        <v>3643</v>
      </c>
      <c r="O1851" s="7" t="s">
        <v>3644</v>
      </c>
      <c r="P1851" s="7" t="s">
        <v>3493</v>
      </c>
      <c r="Q1851" s="7">
        <v>1.0</v>
      </c>
    </row>
    <row r="1852">
      <c r="A1852" s="7" t="s">
        <v>14845</v>
      </c>
      <c r="B1852" s="7">
        <v>2400126.0</v>
      </c>
      <c r="C1852" s="7" t="s">
        <v>11184</v>
      </c>
      <c r="D1852" s="7" t="s">
        <v>7284</v>
      </c>
      <c r="E1852" s="7" t="s">
        <v>11186</v>
      </c>
      <c r="F1852" s="7" t="s">
        <v>4032</v>
      </c>
      <c r="G1852" s="7" t="s">
        <v>14846</v>
      </c>
      <c r="H1852" s="7" t="s">
        <v>14847</v>
      </c>
      <c r="I1852" s="119">
        <v>45338.0</v>
      </c>
      <c r="K1852" s="7" t="s">
        <v>3642</v>
      </c>
      <c r="L1852" s="7" t="s">
        <v>991</v>
      </c>
      <c r="M1852" s="7" t="s">
        <v>3501</v>
      </c>
      <c r="N1852" s="7" t="s">
        <v>3643</v>
      </c>
      <c r="O1852" s="7" t="s">
        <v>3644</v>
      </c>
      <c r="P1852" s="7" t="s">
        <v>3493</v>
      </c>
      <c r="Q1852" s="7">
        <v>1.0</v>
      </c>
    </row>
    <row r="1853">
      <c r="A1853" s="7" t="s">
        <v>14848</v>
      </c>
      <c r="B1853" s="7">
        <v>2400139.0</v>
      </c>
      <c r="C1853" s="7" t="s">
        <v>14849</v>
      </c>
      <c r="D1853" s="7" t="s">
        <v>12030</v>
      </c>
      <c r="E1853" s="7" t="s">
        <v>14850</v>
      </c>
      <c r="F1853" s="7" t="s">
        <v>12031</v>
      </c>
      <c r="G1853" s="7" t="s">
        <v>14851</v>
      </c>
      <c r="H1853" s="7" t="s">
        <v>14852</v>
      </c>
      <c r="I1853" s="119">
        <v>45338.0</v>
      </c>
      <c r="K1853" s="7" t="s">
        <v>3642</v>
      </c>
      <c r="L1853" s="7" t="s">
        <v>991</v>
      </c>
      <c r="M1853" s="7" t="s">
        <v>3501</v>
      </c>
      <c r="N1853" s="7" t="s">
        <v>3643</v>
      </c>
      <c r="O1853" s="7" t="s">
        <v>3644</v>
      </c>
      <c r="P1853" s="7" t="s">
        <v>3493</v>
      </c>
      <c r="Q1853" s="7">
        <v>1.0</v>
      </c>
    </row>
    <row r="1854">
      <c r="A1854" s="7" t="s">
        <v>14853</v>
      </c>
      <c r="B1854" s="7">
        <v>2400128.0</v>
      </c>
      <c r="C1854" s="7" t="s">
        <v>14854</v>
      </c>
      <c r="D1854" s="7" t="s">
        <v>5269</v>
      </c>
      <c r="E1854" s="7" t="s">
        <v>14855</v>
      </c>
      <c r="F1854" s="7" t="s">
        <v>3889</v>
      </c>
      <c r="G1854" s="7" t="s">
        <v>14856</v>
      </c>
      <c r="H1854" s="7" t="s">
        <v>14857</v>
      </c>
      <c r="I1854" s="119">
        <v>45338.0</v>
      </c>
      <c r="K1854" s="7" t="s">
        <v>3642</v>
      </c>
      <c r="L1854" s="7" t="s">
        <v>991</v>
      </c>
      <c r="M1854" s="7" t="s">
        <v>3501</v>
      </c>
      <c r="N1854" s="7" t="s">
        <v>3643</v>
      </c>
      <c r="O1854" s="7" t="s">
        <v>3644</v>
      </c>
      <c r="P1854" s="7" t="s">
        <v>3493</v>
      </c>
      <c r="Q1854" s="7">
        <v>1.0</v>
      </c>
    </row>
    <row r="1855">
      <c r="A1855" s="7" t="s">
        <v>14858</v>
      </c>
      <c r="B1855" s="7">
        <v>2400132.0</v>
      </c>
      <c r="C1855" s="7" t="s">
        <v>13898</v>
      </c>
      <c r="D1855" s="7" t="s">
        <v>14859</v>
      </c>
      <c r="E1855" s="7" t="s">
        <v>13900</v>
      </c>
      <c r="F1855" s="7" t="s">
        <v>14860</v>
      </c>
      <c r="G1855" s="7" t="s">
        <v>14861</v>
      </c>
      <c r="H1855" s="7" t="s">
        <v>14862</v>
      </c>
      <c r="I1855" s="119">
        <v>45338.0</v>
      </c>
      <c r="K1855" s="7" t="s">
        <v>3642</v>
      </c>
      <c r="L1855" s="7" t="s">
        <v>991</v>
      </c>
      <c r="M1855" s="7" t="s">
        <v>3501</v>
      </c>
      <c r="N1855" s="7" t="s">
        <v>3643</v>
      </c>
      <c r="O1855" s="7" t="s">
        <v>3644</v>
      </c>
      <c r="P1855" s="7" t="s">
        <v>3493</v>
      </c>
      <c r="Q1855" s="7">
        <v>1.0</v>
      </c>
    </row>
    <row r="1856">
      <c r="A1856" s="7" t="s">
        <v>14863</v>
      </c>
      <c r="B1856" s="7">
        <v>2400124.0</v>
      </c>
      <c r="C1856" s="7" t="s">
        <v>14864</v>
      </c>
      <c r="D1856" s="7" t="s">
        <v>14865</v>
      </c>
      <c r="E1856" s="7" t="s">
        <v>14866</v>
      </c>
      <c r="F1856" s="7" t="s">
        <v>4478</v>
      </c>
      <c r="G1856" s="7" t="s">
        <v>14867</v>
      </c>
      <c r="H1856" s="7" t="s">
        <v>14868</v>
      </c>
      <c r="I1856" s="119">
        <v>45338.0</v>
      </c>
      <c r="K1856" s="7" t="s">
        <v>3642</v>
      </c>
      <c r="L1856" s="7" t="s">
        <v>991</v>
      </c>
      <c r="M1856" s="7" t="s">
        <v>3501</v>
      </c>
      <c r="N1856" s="7" t="s">
        <v>3643</v>
      </c>
      <c r="O1856" s="7" t="s">
        <v>3644</v>
      </c>
      <c r="P1856" s="7" t="s">
        <v>3493</v>
      </c>
      <c r="Q1856" s="7">
        <v>1.0</v>
      </c>
    </row>
    <row r="1857">
      <c r="A1857" s="7" t="s">
        <v>14869</v>
      </c>
      <c r="B1857" s="7">
        <v>2400145.0</v>
      </c>
      <c r="C1857" s="7" t="s">
        <v>14406</v>
      </c>
      <c r="D1857" s="7" t="s">
        <v>14421</v>
      </c>
      <c r="E1857" s="7" t="s">
        <v>14394</v>
      </c>
      <c r="F1857" s="7" t="s">
        <v>9094</v>
      </c>
      <c r="G1857" s="7" t="s">
        <v>14870</v>
      </c>
      <c r="H1857" s="7" t="s">
        <v>14871</v>
      </c>
      <c r="I1857" s="119">
        <v>45338.0</v>
      </c>
      <c r="K1857" s="7" t="s">
        <v>3642</v>
      </c>
      <c r="L1857" s="7" t="s">
        <v>991</v>
      </c>
      <c r="M1857" s="7" t="s">
        <v>3501</v>
      </c>
      <c r="N1857" s="7" t="s">
        <v>3643</v>
      </c>
      <c r="O1857" s="7" t="s">
        <v>3644</v>
      </c>
      <c r="P1857" s="7" t="s">
        <v>3493</v>
      </c>
      <c r="Q1857" s="7">
        <v>1.0</v>
      </c>
    </row>
    <row r="1858">
      <c r="A1858" s="7" t="s">
        <v>14872</v>
      </c>
      <c r="B1858" s="7">
        <v>2400148.0</v>
      </c>
      <c r="C1858" s="7" t="s">
        <v>14399</v>
      </c>
      <c r="D1858" s="7" t="s">
        <v>14873</v>
      </c>
      <c r="E1858" s="7" t="s">
        <v>14394</v>
      </c>
      <c r="F1858" s="7" t="s">
        <v>14874</v>
      </c>
      <c r="G1858" s="7" t="s">
        <v>14875</v>
      </c>
      <c r="H1858" s="7" t="s">
        <v>14876</v>
      </c>
      <c r="I1858" s="119">
        <v>45338.0</v>
      </c>
      <c r="K1858" s="7" t="s">
        <v>419</v>
      </c>
      <c r="L1858" s="7" t="s">
        <v>991</v>
      </c>
      <c r="M1858" s="7" t="s">
        <v>3501</v>
      </c>
      <c r="N1858" s="7" t="s">
        <v>4444</v>
      </c>
      <c r="O1858" s="7" t="s">
        <v>14877</v>
      </c>
      <c r="P1858" s="7" t="s">
        <v>3522</v>
      </c>
      <c r="Q1858" s="7" t="s">
        <v>3523</v>
      </c>
    </row>
    <row r="1859">
      <c r="A1859" s="7" t="s">
        <v>14878</v>
      </c>
      <c r="B1859" s="7">
        <v>2400162.0</v>
      </c>
      <c r="C1859" s="7" t="s">
        <v>14879</v>
      </c>
      <c r="D1859" s="7" t="s">
        <v>9665</v>
      </c>
      <c r="E1859" s="7" t="s">
        <v>14880</v>
      </c>
      <c r="F1859" s="7" t="s">
        <v>4641</v>
      </c>
      <c r="G1859" s="7" t="s">
        <v>14881</v>
      </c>
      <c r="I1859" s="119">
        <v>45352.0</v>
      </c>
      <c r="K1859" s="7" t="s">
        <v>419</v>
      </c>
      <c r="L1859" s="7" t="s">
        <v>991</v>
      </c>
      <c r="M1859" s="7" t="s">
        <v>3531</v>
      </c>
      <c r="N1859" s="7" t="s">
        <v>4103</v>
      </c>
      <c r="O1859" s="7" t="s">
        <v>4104</v>
      </c>
      <c r="P1859" s="7" t="s">
        <v>3493</v>
      </c>
      <c r="Q1859" s="7">
        <v>1.0</v>
      </c>
    </row>
    <row r="1860">
      <c r="A1860" s="7" t="s">
        <v>14882</v>
      </c>
      <c r="B1860" s="7">
        <v>2400183.0</v>
      </c>
      <c r="C1860" s="7" t="s">
        <v>14883</v>
      </c>
      <c r="D1860" s="7" t="s">
        <v>14884</v>
      </c>
      <c r="E1860" s="7" t="s">
        <v>14885</v>
      </c>
      <c r="F1860" s="7" t="s">
        <v>14886</v>
      </c>
      <c r="G1860" s="7" t="s">
        <v>14887</v>
      </c>
      <c r="H1860" s="7" t="s">
        <v>14888</v>
      </c>
      <c r="I1860" s="119">
        <v>45352.0</v>
      </c>
      <c r="K1860" s="7" t="s">
        <v>419</v>
      </c>
      <c r="L1860" s="7" t="s">
        <v>991</v>
      </c>
      <c r="M1860" s="7" t="s">
        <v>3531</v>
      </c>
      <c r="N1860" s="7" t="s">
        <v>3652</v>
      </c>
      <c r="O1860" s="7" t="s">
        <v>3653</v>
      </c>
      <c r="P1860" s="7" t="s">
        <v>3493</v>
      </c>
      <c r="Q1860" s="7">
        <v>1.0</v>
      </c>
    </row>
    <row r="1861">
      <c r="A1861" s="7" t="s">
        <v>14889</v>
      </c>
      <c r="B1861" s="7">
        <v>2400173.0</v>
      </c>
      <c r="C1861" s="7" t="s">
        <v>14890</v>
      </c>
      <c r="D1861" s="7" t="s">
        <v>12026</v>
      </c>
      <c r="E1861" s="7" t="s">
        <v>14891</v>
      </c>
      <c r="F1861" s="7" t="s">
        <v>3508</v>
      </c>
      <c r="G1861" s="7" t="s">
        <v>14892</v>
      </c>
      <c r="H1861" s="7" t="s">
        <v>14893</v>
      </c>
      <c r="I1861" s="119">
        <v>45352.0</v>
      </c>
      <c r="K1861" s="7" t="s">
        <v>3642</v>
      </c>
      <c r="L1861" s="7" t="s">
        <v>991</v>
      </c>
      <c r="M1861" s="7" t="s">
        <v>3583</v>
      </c>
      <c r="N1861" s="7" t="s">
        <v>3643</v>
      </c>
      <c r="O1861" s="7" t="s">
        <v>3644</v>
      </c>
      <c r="P1861" s="7" t="s">
        <v>3493</v>
      </c>
      <c r="Q1861" s="7">
        <v>1.0</v>
      </c>
    </row>
    <row r="1862">
      <c r="A1862" s="7" t="s">
        <v>14894</v>
      </c>
      <c r="B1862" s="7">
        <v>2400168.0</v>
      </c>
      <c r="C1862" s="7" t="s">
        <v>6559</v>
      </c>
      <c r="D1862" s="7" t="s">
        <v>14895</v>
      </c>
      <c r="E1862" s="7" t="s">
        <v>6561</v>
      </c>
      <c r="F1862" s="7" t="s">
        <v>11235</v>
      </c>
      <c r="G1862" s="7" t="s">
        <v>14896</v>
      </c>
      <c r="H1862" s="7" t="s">
        <v>14897</v>
      </c>
      <c r="I1862" s="119">
        <v>45352.0</v>
      </c>
      <c r="K1862" s="7" t="s">
        <v>419</v>
      </c>
      <c r="L1862" s="7" t="s">
        <v>991</v>
      </c>
      <c r="M1862" s="7" t="s">
        <v>3531</v>
      </c>
      <c r="N1862" s="7" t="s">
        <v>4310</v>
      </c>
      <c r="O1862" s="7" t="s">
        <v>4311</v>
      </c>
      <c r="P1862" s="7" t="s">
        <v>3493</v>
      </c>
      <c r="Q1862" s="7">
        <v>1.0</v>
      </c>
    </row>
    <row r="1863">
      <c r="A1863" s="7" t="s">
        <v>14898</v>
      </c>
      <c r="B1863" s="7">
        <v>2400171.0</v>
      </c>
      <c r="C1863" s="7" t="s">
        <v>14899</v>
      </c>
      <c r="D1863" s="7" t="s">
        <v>5153</v>
      </c>
      <c r="E1863" s="7" t="s">
        <v>14900</v>
      </c>
      <c r="F1863" s="7" t="s">
        <v>5155</v>
      </c>
      <c r="G1863" s="7" t="s">
        <v>14901</v>
      </c>
      <c r="H1863" s="7" t="s">
        <v>14902</v>
      </c>
      <c r="I1863" s="119">
        <v>45352.0</v>
      </c>
      <c r="K1863" s="7" t="s">
        <v>3642</v>
      </c>
      <c r="L1863" s="7" t="s">
        <v>991</v>
      </c>
      <c r="M1863" s="7" t="s">
        <v>3501</v>
      </c>
      <c r="N1863" s="7" t="s">
        <v>3643</v>
      </c>
      <c r="O1863" s="7" t="s">
        <v>3644</v>
      </c>
      <c r="P1863" s="7" t="s">
        <v>3493</v>
      </c>
      <c r="Q1863" s="7">
        <v>1.0</v>
      </c>
    </row>
    <row r="1864">
      <c r="A1864" s="7" t="s">
        <v>14903</v>
      </c>
      <c r="B1864" s="7">
        <v>2400156.0</v>
      </c>
      <c r="C1864" s="7" t="s">
        <v>14904</v>
      </c>
      <c r="D1864" s="7" t="s">
        <v>4597</v>
      </c>
      <c r="E1864" s="7" t="s">
        <v>14905</v>
      </c>
      <c r="F1864" s="7" t="s">
        <v>4598</v>
      </c>
      <c r="G1864" s="7" t="s">
        <v>14906</v>
      </c>
      <c r="H1864" s="7" t="s">
        <v>14907</v>
      </c>
      <c r="I1864" s="119">
        <v>45352.0</v>
      </c>
      <c r="K1864" s="7" t="s">
        <v>419</v>
      </c>
      <c r="L1864" s="7" t="s">
        <v>991</v>
      </c>
      <c r="M1864" s="7" t="s">
        <v>3501</v>
      </c>
      <c r="N1864" s="7" t="s">
        <v>14908</v>
      </c>
      <c r="O1864" s="7" t="s">
        <v>14909</v>
      </c>
      <c r="P1864" s="7" t="s">
        <v>3522</v>
      </c>
      <c r="Q1864" s="7" t="s">
        <v>3523</v>
      </c>
    </row>
    <row r="1865">
      <c r="A1865" s="7" t="s">
        <v>14910</v>
      </c>
      <c r="B1865" s="7">
        <v>2400185.0</v>
      </c>
      <c r="C1865" s="7" t="s">
        <v>14911</v>
      </c>
      <c r="D1865" s="7" t="s">
        <v>14912</v>
      </c>
      <c r="E1865" s="7" t="s">
        <v>14913</v>
      </c>
      <c r="F1865" s="7" t="s">
        <v>10155</v>
      </c>
      <c r="G1865" s="7" t="s">
        <v>14914</v>
      </c>
      <c r="H1865" s="7" t="s">
        <v>14915</v>
      </c>
      <c r="I1865" s="119">
        <v>45352.0</v>
      </c>
      <c r="K1865" s="7" t="s">
        <v>419</v>
      </c>
      <c r="L1865" s="7" t="s">
        <v>991</v>
      </c>
      <c r="M1865" s="7" t="s">
        <v>3531</v>
      </c>
      <c r="N1865" s="7" t="s">
        <v>6386</v>
      </c>
      <c r="O1865" s="7" t="s">
        <v>6387</v>
      </c>
      <c r="P1865" s="7" t="s">
        <v>3493</v>
      </c>
      <c r="Q1865" s="7">
        <v>1.0</v>
      </c>
    </row>
    <row r="1866">
      <c r="A1866" s="7" t="s">
        <v>14916</v>
      </c>
      <c r="B1866" s="7">
        <v>2400159.0</v>
      </c>
      <c r="C1866" s="7" t="s">
        <v>7853</v>
      </c>
      <c r="D1866" s="7" t="s">
        <v>7508</v>
      </c>
      <c r="E1866" s="7" t="s">
        <v>7854</v>
      </c>
      <c r="F1866" s="7" t="s">
        <v>4478</v>
      </c>
      <c r="G1866" s="7" t="s">
        <v>14917</v>
      </c>
      <c r="H1866" s="7" t="s">
        <v>14918</v>
      </c>
      <c r="I1866" s="119">
        <v>45352.0</v>
      </c>
      <c r="K1866" s="7" t="s">
        <v>419</v>
      </c>
      <c r="L1866" s="7" t="s">
        <v>991</v>
      </c>
      <c r="M1866" s="7" t="s">
        <v>3501</v>
      </c>
      <c r="N1866" s="7" t="s">
        <v>7178</v>
      </c>
      <c r="O1866" s="7" t="s">
        <v>7179</v>
      </c>
      <c r="P1866" s="7" t="s">
        <v>3493</v>
      </c>
      <c r="Q1866" s="7">
        <v>1.0</v>
      </c>
    </row>
    <row r="1867">
      <c r="A1867" s="7" t="s">
        <v>14919</v>
      </c>
      <c r="B1867" s="7">
        <v>2400169.0</v>
      </c>
      <c r="C1867" s="7" t="s">
        <v>14920</v>
      </c>
      <c r="D1867" s="7" t="s">
        <v>14921</v>
      </c>
      <c r="E1867" s="7" t="s">
        <v>14922</v>
      </c>
      <c r="F1867" s="7" t="s">
        <v>4707</v>
      </c>
      <c r="G1867" s="7" t="s">
        <v>14923</v>
      </c>
      <c r="H1867" s="7" t="s">
        <v>14924</v>
      </c>
      <c r="I1867" s="119">
        <v>45352.0</v>
      </c>
      <c r="K1867" s="7" t="s">
        <v>3642</v>
      </c>
      <c r="L1867" s="7" t="s">
        <v>991</v>
      </c>
      <c r="M1867" s="7" t="s">
        <v>3501</v>
      </c>
      <c r="N1867" s="7" t="s">
        <v>3643</v>
      </c>
      <c r="O1867" s="7" t="s">
        <v>3644</v>
      </c>
      <c r="P1867" s="7" t="s">
        <v>3493</v>
      </c>
      <c r="Q1867" s="7">
        <v>1.0</v>
      </c>
    </row>
    <row r="1868">
      <c r="A1868" s="7" t="s">
        <v>14925</v>
      </c>
      <c r="B1868" s="7">
        <v>2400155.0</v>
      </c>
      <c r="C1868" s="7" t="s">
        <v>8743</v>
      </c>
      <c r="D1868" s="7" t="s">
        <v>14926</v>
      </c>
      <c r="E1868" s="7" t="s">
        <v>8745</v>
      </c>
      <c r="F1868" s="7" t="s">
        <v>10866</v>
      </c>
      <c r="G1868" s="7" t="s">
        <v>14927</v>
      </c>
      <c r="H1868" s="7" t="s">
        <v>14928</v>
      </c>
      <c r="I1868" s="119">
        <v>45352.0</v>
      </c>
      <c r="K1868" s="7" t="s">
        <v>419</v>
      </c>
      <c r="L1868" s="7" t="s">
        <v>991</v>
      </c>
      <c r="M1868" s="7" t="s">
        <v>3501</v>
      </c>
      <c r="N1868" s="7" t="s">
        <v>7726</v>
      </c>
      <c r="O1868" s="7" t="s">
        <v>7727</v>
      </c>
      <c r="P1868" s="7" t="s">
        <v>3493</v>
      </c>
      <c r="Q1868" s="7">
        <v>1.0</v>
      </c>
    </row>
    <row r="1869">
      <c r="A1869" s="7" t="s">
        <v>14929</v>
      </c>
      <c r="B1869" s="7">
        <v>2400157.0</v>
      </c>
      <c r="C1869" s="7" t="s">
        <v>14930</v>
      </c>
      <c r="D1869" s="7" t="s">
        <v>14931</v>
      </c>
      <c r="E1869" s="7" t="s">
        <v>14932</v>
      </c>
      <c r="F1869" s="7" t="s">
        <v>14933</v>
      </c>
      <c r="G1869" s="7" t="s">
        <v>14934</v>
      </c>
      <c r="H1869" s="7" t="s">
        <v>14935</v>
      </c>
      <c r="I1869" s="119">
        <v>45352.0</v>
      </c>
      <c r="K1869" s="7" t="s">
        <v>419</v>
      </c>
      <c r="L1869" s="7" t="s">
        <v>991</v>
      </c>
      <c r="M1869" s="7" t="s">
        <v>3501</v>
      </c>
      <c r="N1869" s="7" t="s">
        <v>3652</v>
      </c>
      <c r="O1869" s="7" t="s">
        <v>3653</v>
      </c>
      <c r="P1869" s="7" t="s">
        <v>3493</v>
      </c>
      <c r="Q1869" s="7">
        <v>1.0</v>
      </c>
    </row>
    <row r="1870">
      <c r="A1870" s="7" t="s">
        <v>14936</v>
      </c>
      <c r="B1870" s="7">
        <v>2400170.0</v>
      </c>
      <c r="C1870" s="7" t="s">
        <v>8852</v>
      </c>
      <c r="D1870" s="7" t="s">
        <v>14937</v>
      </c>
      <c r="E1870" s="7" t="s">
        <v>8854</v>
      </c>
      <c r="F1870" s="7" t="s">
        <v>4371</v>
      </c>
      <c r="G1870" s="7" t="s">
        <v>14938</v>
      </c>
      <c r="H1870" s="7" t="s">
        <v>14939</v>
      </c>
      <c r="I1870" s="119">
        <v>45352.0</v>
      </c>
      <c r="K1870" s="7" t="s">
        <v>3642</v>
      </c>
      <c r="L1870" s="7" t="s">
        <v>991</v>
      </c>
      <c r="M1870" s="7" t="s">
        <v>3501</v>
      </c>
      <c r="N1870" s="7" t="s">
        <v>3643</v>
      </c>
      <c r="O1870" s="7" t="s">
        <v>3644</v>
      </c>
      <c r="P1870" s="7" t="s">
        <v>3493</v>
      </c>
      <c r="Q1870" s="7">
        <v>1.0</v>
      </c>
    </row>
    <row r="1871">
      <c r="A1871" s="7" t="s">
        <v>14940</v>
      </c>
      <c r="B1871" s="7">
        <v>2400181.0</v>
      </c>
      <c r="C1871" s="7" t="s">
        <v>9713</v>
      </c>
      <c r="D1871" s="7" t="s">
        <v>13927</v>
      </c>
      <c r="E1871" s="7" t="s">
        <v>9715</v>
      </c>
      <c r="F1871" s="7" t="s">
        <v>3656</v>
      </c>
      <c r="G1871" s="7" t="s">
        <v>14941</v>
      </c>
      <c r="H1871" s="7" t="s">
        <v>14942</v>
      </c>
      <c r="I1871" s="119">
        <v>45352.0</v>
      </c>
      <c r="K1871" s="7" t="s">
        <v>3642</v>
      </c>
      <c r="L1871" s="7" t="s">
        <v>991</v>
      </c>
      <c r="M1871" s="7" t="s">
        <v>3501</v>
      </c>
      <c r="N1871" s="7" t="s">
        <v>3643</v>
      </c>
      <c r="O1871" s="7" t="s">
        <v>3644</v>
      </c>
      <c r="P1871" s="7" t="s">
        <v>3493</v>
      </c>
      <c r="Q1871" s="7">
        <v>1.0</v>
      </c>
    </row>
    <row r="1872">
      <c r="A1872" s="7" t="s">
        <v>14943</v>
      </c>
      <c r="B1872" s="7">
        <v>2400172.0</v>
      </c>
      <c r="C1872" s="7" t="s">
        <v>14944</v>
      </c>
      <c r="D1872" s="7" t="s">
        <v>5743</v>
      </c>
      <c r="E1872" s="7" t="s">
        <v>9779</v>
      </c>
      <c r="F1872" s="7" t="s">
        <v>5058</v>
      </c>
      <c r="G1872" s="7" t="s">
        <v>14945</v>
      </c>
      <c r="H1872" s="7" t="s">
        <v>14946</v>
      </c>
      <c r="I1872" s="119">
        <v>45352.0</v>
      </c>
      <c r="K1872" s="7" t="s">
        <v>3642</v>
      </c>
      <c r="L1872" s="7" t="s">
        <v>991</v>
      </c>
      <c r="M1872" s="7" t="s">
        <v>3501</v>
      </c>
      <c r="N1872" s="7" t="s">
        <v>3643</v>
      </c>
      <c r="O1872" s="7" t="s">
        <v>3644</v>
      </c>
      <c r="P1872" s="7" t="s">
        <v>3493</v>
      </c>
      <c r="Q1872" s="7">
        <v>1.0</v>
      </c>
    </row>
    <row r="1873">
      <c r="A1873" s="7" t="s">
        <v>14947</v>
      </c>
      <c r="B1873" s="7">
        <v>2400178.0</v>
      </c>
      <c r="C1873" s="7" t="s">
        <v>9907</v>
      </c>
      <c r="D1873" s="7" t="s">
        <v>14948</v>
      </c>
      <c r="E1873" s="7" t="s">
        <v>9909</v>
      </c>
      <c r="F1873" s="7" t="s">
        <v>14949</v>
      </c>
      <c r="G1873" s="7" t="s">
        <v>14950</v>
      </c>
      <c r="H1873" s="7" t="s">
        <v>14951</v>
      </c>
      <c r="I1873" s="119">
        <v>45352.0</v>
      </c>
      <c r="K1873" s="7" t="s">
        <v>419</v>
      </c>
      <c r="L1873" s="7" t="s">
        <v>991</v>
      </c>
      <c r="M1873" s="7" t="s">
        <v>3501</v>
      </c>
      <c r="N1873" s="7" t="s">
        <v>10645</v>
      </c>
      <c r="O1873" s="7" t="s">
        <v>11498</v>
      </c>
      <c r="P1873" s="7" t="s">
        <v>3493</v>
      </c>
      <c r="Q1873" s="7">
        <v>1.0</v>
      </c>
    </row>
    <row r="1874">
      <c r="A1874" s="7" t="s">
        <v>14952</v>
      </c>
      <c r="B1874" s="7">
        <v>2400182.0</v>
      </c>
      <c r="C1874" s="7" t="s">
        <v>10957</v>
      </c>
      <c r="D1874" s="7" t="s">
        <v>12194</v>
      </c>
      <c r="E1874" s="7" t="s">
        <v>10959</v>
      </c>
      <c r="F1874" s="7" t="s">
        <v>8724</v>
      </c>
      <c r="G1874" s="7" t="s">
        <v>14953</v>
      </c>
      <c r="H1874" s="7" t="s">
        <v>14954</v>
      </c>
      <c r="I1874" s="119">
        <v>45352.0</v>
      </c>
      <c r="K1874" s="7" t="s">
        <v>419</v>
      </c>
      <c r="L1874" s="7" t="s">
        <v>991</v>
      </c>
      <c r="M1874" s="7" t="s">
        <v>3531</v>
      </c>
      <c r="N1874" s="7" t="s">
        <v>3652</v>
      </c>
      <c r="O1874" s="7" t="s">
        <v>3653</v>
      </c>
      <c r="P1874" s="7" t="s">
        <v>3493</v>
      </c>
      <c r="Q1874" s="7">
        <v>1.0</v>
      </c>
    </row>
    <row r="1875">
      <c r="A1875" s="7" t="s">
        <v>14955</v>
      </c>
      <c r="B1875" s="7">
        <v>2400164.0</v>
      </c>
      <c r="C1875" s="7" t="s">
        <v>11755</v>
      </c>
      <c r="D1875" s="7" t="s">
        <v>14956</v>
      </c>
      <c r="E1875" s="7" t="s">
        <v>11757</v>
      </c>
      <c r="F1875" s="7" t="s">
        <v>3656</v>
      </c>
      <c r="G1875" s="7" t="s">
        <v>14957</v>
      </c>
      <c r="H1875" s="7" t="s">
        <v>14958</v>
      </c>
      <c r="I1875" s="119">
        <v>45352.0</v>
      </c>
      <c r="K1875" s="7" t="s">
        <v>419</v>
      </c>
      <c r="L1875" s="7" t="s">
        <v>991</v>
      </c>
      <c r="M1875" s="7" t="s">
        <v>3531</v>
      </c>
      <c r="N1875" s="7" t="s">
        <v>5605</v>
      </c>
      <c r="O1875" s="7" t="s">
        <v>5606</v>
      </c>
      <c r="P1875" s="7" t="s">
        <v>3493</v>
      </c>
      <c r="Q1875" s="7">
        <v>1.0</v>
      </c>
    </row>
    <row r="1876">
      <c r="A1876" s="7" t="s">
        <v>14959</v>
      </c>
      <c r="B1876" s="7">
        <v>2400158.0</v>
      </c>
      <c r="C1876" s="7" t="s">
        <v>14960</v>
      </c>
      <c r="D1876" s="7" t="s">
        <v>8988</v>
      </c>
      <c r="E1876" s="7" t="s">
        <v>14961</v>
      </c>
      <c r="F1876" s="7" t="s">
        <v>3656</v>
      </c>
      <c r="G1876" s="7" t="s">
        <v>14962</v>
      </c>
      <c r="H1876" s="7" t="s">
        <v>14963</v>
      </c>
      <c r="I1876" s="119">
        <v>45352.0</v>
      </c>
      <c r="K1876" s="7" t="s">
        <v>419</v>
      </c>
      <c r="L1876" s="7" t="s">
        <v>991</v>
      </c>
      <c r="M1876" s="7" t="s">
        <v>3501</v>
      </c>
      <c r="N1876" s="7" t="s">
        <v>14964</v>
      </c>
      <c r="O1876" s="7" t="s">
        <v>14965</v>
      </c>
      <c r="P1876" s="7" t="s">
        <v>4154</v>
      </c>
      <c r="Q1876" s="7" t="s">
        <v>3555</v>
      </c>
    </row>
    <row r="1877">
      <c r="A1877" s="7" t="s">
        <v>14966</v>
      </c>
      <c r="B1877" s="7">
        <v>2400154.0</v>
      </c>
      <c r="C1877" s="7" t="s">
        <v>12735</v>
      </c>
      <c r="D1877" s="7" t="s">
        <v>14967</v>
      </c>
      <c r="E1877" s="7" t="s">
        <v>12736</v>
      </c>
      <c r="F1877" s="7" t="s">
        <v>14968</v>
      </c>
      <c r="G1877" s="7" t="s">
        <v>14969</v>
      </c>
      <c r="H1877" s="7" t="s">
        <v>14970</v>
      </c>
      <c r="I1877" s="119">
        <v>45352.0</v>
      </c>
      <c r="K1877" s="7" t="s">
        <v>419</v>
      </c>
      <c r="L1877" s="7" t="s">
        <v>991</v>
      </c>
      <c r="M1877" s="7" t="s">
        <v>3501</v>
      </c>
      <c r="N1877" s="7" t="s">
        <v>7726</v>
      </c>
      <c r="O1877" s="7" t="s">
        <v>7727</v>
      </c>
      <c r="P1877" s="7" t="s">
        <v>3493</v>
      </c>
      <c r="Q1877" s="7">
        <v>1.0</v>
      </c>
    </row>
    <row r="1878">
      <c r="A1878" s="7" t="s">
        <v>14971</v>
      </c>
      <c r="B1878" s="7">
        <v>2400175.0</v>
      </c>
      <c r="C1878" s="7" t="s">
        <v>13031</v>
      </c>
      <c r="D1878" s="7" t="s">
        <v>4453</v>
      </c>
      <c r="E1878" s="7" t="s">
        <v>13033</v>
      </c>
      <c r="F1878" s="7" t="s">
        <v>4455</v>
      </c>
      <c r="G1878" s="7" t="s">
        <v>14972</v>
      </c>
      <c r="H1878" s="7" t="s">
        <v>14973</v>
      </c>
      <c r="I1878" s="119">
        <v>45352.0</v>
      </c>
      <c r="K1878" s="7" t="s">
        <v>3642</v>
      </c>
      <c r="L1878" s="7" t="s">
        <v>991</v>
      </c>
      <c r="M1878" s="7" t="s">
        <v>3501</v>
      </c>
      <c r="N1878" s="7" t="s">
        <v>3643</v>
      </c>
      <c r="O1878" s="7" t="s">
        <v>3644</v>
      </c>
      <c r="P1878" s="7" t="s">
        <v>3493</v>
      </c>
      <c r="Q1878" s="7">
        <v>1.0</v>
      </c>
    </row>
    <row r="1879">
      <c r="A1879" s="7" t="s">
        <v>14974</v>
      </c>
      <c r="B1879" s="7">
        <v>2400177.0</v>
      </c>
      <c r="C1879" s="7" t="s">
        <v>13217</v>
      </c>
      <c r="D1879" s="7" t="s">
        <v>14975</v>
      </c>
      <c r="E1879" s="7" t="s">
        <v>13219</v>
      </c>
      <c r="F1879" s="7" t="s">
        <v>11508</v>
      </c>
      <c r="G1879" s="7" t="s">
        <v>14976</v>
      </c>
      <c r="H1879" s="7" t="s">
        <v>14977</v>
      </c>
      <c r="I1879" s="119">
        <v>45352.0</v>
      </c>
      <c r="K1879" s="7" t="s">
        <v>5973</v>
      </c>
      <c r="L1879" s="7" t="s">
        <v>3542</v>
      </c>
      <c r="M1879" s="7" t="s">
        <v>3543</v>
      </c>
      <c r="N1879" s="7" t="s">
        <v>4290</v>
      </c>
      <c r="O1879" s="7" t="s">
        <v>14978</v>
      </c>
      <c r="P1879" s="7" t="s">
        <v>3522</v>
      </c>
      <c r="Q1879" s="7" t="s">
        <v>3514</v>
      </c>
    </row>
    <row r="1880">
      <c r="A1880" s="7" t="s">
        <v>14979</v>
      </c>
      <c r="B1880" s="7">
        <v>2400174.0</v>
      </c>
      <c r="C1880" s="7" t="s">
        <v>13426</v>
      </c>
      <c r="D1880" s="7" t="s">
        <v>14980</v>
      </c>
      <c r="E1880" s="7" t="s">
        <v>14981</v>
      </c>
      <c r="F1880" s="7" t="s">
        <v>14982</v>
      </c>
      <c r="G1880" s="7" t="s">
        <v>14983</v>
      </c>
      <c r="H1880" s="7" t="s">
        <v>14984</v>
      </c>
      <c r="I1880" s="119">
        <v>45352.0</v>
      </c>
      <c r="K1880" s="7" t="s">
        <v>3642</v>
      </c>
      <c r="L1880" s="7" t="s">
        <v>991</v>
      </c>
      <c r="M1880" s="7" t="s">
        <v>3501</v>
      </c>
      <c r="N1880" s="7" t="s">
        <v>3643</v>
      </c>
      <c r="O1880" s="7" t="s">
        <v>3644</v>
      </c>
      <c r="P1880" s="7" t="s">
        <v>3493</v>
      </c>
      <c r="Q1880" s="7">
        <v>1.0</v>
      </c>
    </row>
    <row r="1881">
      <c r="A1881" s="7" t="s">
        <v>14985</v>
      </c>
      <c r="B1881" s="7">
        <v>2400196.0</v>
      </c>
      <c r="C1881" s="7" t="s">
        <v>4115</v>
      </c>
      <c r="D1881" s="7" t="s">
        <v>14986</v>
      </c>
      <c r="E1881" s="7" t="s">
        <v>4117</v>
      </c>
      <c r="F1881" s="7" t="s">
        <v>9307</v>
      </c>
      <c r="G1881" s="7" t="s">
        <v>14987</v>
      </c>
      <c r="H1881" s="7" t="s">
        <v>14988</v>
      </c>
      <c r="I1881" s="119">
        <v>45367.0</v>
      </c>
      <c r="K1881" s="7" t="s">
        <v>419</v>
      </c>
      <c r="L1881" s="7" t="s">
        <v>991</v>
      </c>
      <c r="M1881" s="7" t="s">
        <v>3531</v>
      </c>
      <c r="N1881" s="7" t="s">
        <v>6624</v>
      </c>
      <c r="O1881" s="7" t="s">
        <v>9604</v>
      </c>
      <c r="P1881" s="7" t="s">
        <v>3493</v>
      </c>
      <c r="Q1881" s="7">
        <v>1.0</v>
      </c>
    </row>
    <row r="1882">
      <c r="A1882" s="7" t="s">
        <v>14989</v>
      </c>
      <c r="B1882" s="7">
        <v>2400194.0</v>
      </c>
      <c r="C1882" s="7" t="s">
        <v>14990</v>
      </c>
      <c r="D1882" s="7" t="s">
        <v>14991</v>
      </c>
      <c r="E1882" s="7" t="s">
        <v>14992</v>
      </c>
      <c r="F1882" s="7" t="s">
        <v>4068</v>
      </c>
      <c r="G1882" s="7" t="s">
        <v>14993</v>
      </c>
      <c r="H1882" s="7" t="s">
        <v>14994</v>
      </c>
      <c r="I1882" s="119">
        <v>45367.0</v>
      </c>
      <c r="K1882" s="7" t="s">
        <v>419</v>
      </c>
      <c r="L1882" s="7" t="s">
        <v>991</v>
      </c>
      <c r="M1882" s="7" t="s">
        <v>3501</v>
      </c>
      <c r="N1882" s="7" t="s">
        <v>10801</v>
      </c>
      <c r="O1882" s="7" t="s">
        <v>10802</v>
      </c>
      <c r="P1882" s="7" t="s">
        <v>3493</v>
      </c>
      <c r="Q1882" s="7">
        <v>1.0</v>
      </c>
    </row>
    <row r="1883">
      <c r="A1883" s="7" t="s">
        <v>14995</v>
      </c>
      <c r="B1883" s="7">
        <v>2400195.0</v>
      </c>
      <c r="C1883" s="7" t="s">
        <v>14996</v>
      </c>
      <c r="D1883" s="7" t="s">
        <v>14997</v>
      </c>
      <c r="E1883" s="7" t="s">
        <v>14998</v>
      </c>
      <c r="F1883" s="7" t="s">
        <v>14997</v>
      </c>
      <c r="G1883" s="7" t="s">
        <v>14999</v>
      </c>
      <c r="H1883" s="7" t="s">
        <v>15000</v>
      </c>
      <c r="I1883" s="119">
        <v>45292.0</v>
      </c>
      <c r="K1883" s="7" t="s">
        <v>419</v>
      </c>
      <c r="L1883" s="7" t="s">
        <v>991</v>
      </c>
      <c r="M1883" s="7" t="s">
        <v>3501</v>
      </c>
      <c r="N1883" s="7" t="s">
        <v>4317</v>
      </c>
      <c r="O1883" s="7" t="s">
        <v>4318</v>
      </c>
      <c r="P1883" s="7" t="s">
        <v>3522</v>
      </c>
      <c r="Q1883" s="7" t="s">
        <v>3523</v>
      </c>
    </row>
    <row r="1884">
      <c r="A1884" s="7" t="s">
        <v>15001</v>
      </c>
      <c r="B1884" s="7">
        <v>2400186.0</v>
      </c>
      <c r="C1884" s="7" t="s">
        <v>15002</v>
      </c>
      <c r="D1884" s="7" t="s">
        <v>15003</v>
      </c>
      <c r="E1884" s="7" t="s">
        <v>15004</v>
      </c>
      <c r="F1884" s="7" t="s">
        <v>15005</v>
      </c>
      <c r="G1884" s="7" t="s">
        <v>15006</v>
      </c>
      <c r="H1884" s="7" t="s">
        <v>15007</v>
      </c>
      <c r="I1884" s="119">
        <v>45367.0</v>
      </c>
      <c r="K1884" s="7" t="s">
        <v>3642</v>
      </c>
      <c r="L1884" s="7" t="s">
        <v>991</v>
      </c>
      <c r="M1884" s="7" t="s">
        <v>3501</v>
      </c>
      <c r="N1884" s="7" t="s">
        <v>3643</v>
      </c>
      <c r="O1884" s="7" t="s">
        <v>3644</v>
      </c>
      <c r="P1884" s="7" t="s">
        <v>3493</v>
      </c>
      <c r="Q1884" s="7">
        <v>1.0</v>
      </c>
    </row>
    <row r="1885">
      <c r="A1885" s="7" t="s">
        <v>15008</v>
      </c>
      <c r="B1885" s="7">
        <v>2400193.0</v>
      </c>
      <c r="C1885" s="7" t="s">
        <v>8429</v>
      </c>
      <c r="D1885" s="7" t="s">
        <v>15009</v>
      </c>
      <c r="E1885" s="7" t="s">
        <v>8431</v>
      </c>
      <c r="F1885" s="7" t="s">
        <v>4478</v>
      </c>
      <c r="G1885" s="7" t="s">
        <v>15010</v>
      </c>
      <c r="I1885" s="119">
        <v>45367.0</v>
      </c>
      <c r="K1885" s="7" t="s">
        <v>419</v>
      </c>
      <c r="L1885" s="7" t="s">
        <v>991</v>
      </c>
      <c r="M1885" s="7" t="s">
        <v>3531</v>
      </c>
      <c r="N1885" s="7" t="s">
        <v>4103</v>
      </c>
      <c r="O1885" s="7" t="s">
        <v>4104</v>
      </c>
      <c r="P1885" s="7" t="s">
        <v>3493</v>
      </c>
      <c r="Q1885" s="7">
        <v>1.0</v>
      </c>
    </row>
    <row r="1886">
      <c r="A1886" s="7" t="s">
        <v>15011</v>
      </c>
      <c r="B1886" s="7">
        <v>2400187.0</v>
      </c>
      <c r="C1886" s="7" t="s">
        <v>10299</v>
      </c>
      <c r="D1886" s="7" t="s">
        <v>8988</v>
      </c>
      <c r="E1886" s="7" t="s">
        <v>10300</v>
      </c>
      <c r="F1886" s="7" t="s">
        <v>3656</v>
      </c>
      <c r="G1886" s="7" t="s">
        <v>15012</v>
      </c>
      <c r="H1886" s="7" t="s">
        <v>15013</v>
      </c>
      <c r="I1886" s="119">
        <v>45367.0</v>
      </c>
      <c r="K1886" s="7" t="s">
        <v>3642</v>
      </c>
      <c r="L1886" s="7" t="s">
        <v>991</v>
      </c>
      <c r="M1886" s="7" t="s">
        <v>3501</v>
      </c>
      <c r="N1886" s="7" t="s">
        <v>3643</v>
      </c>
      <c r="O1886" s="7" t="s">
        <v>3644</v>
      </c>
      <c r="P1886" s="7" t="s">
        <v>3493</v>
      </c>
      <c r="Q1886" s="7">
        <v>1.0</v>
      </c>
    </row>
    <row r="1887">
      <c r="A1887" s="7" t="s">
        <v>15014</v>
      </c>
      <c r="B1887" s="7">
        <v>2400189.0</v>
      </c>
      <c r="C1887" s="7" t="s">
        <v>12221</v>
      </c>
      <c r="D1887" s="7" t="s">
        <v>15015</v>
      </c>
      <c r="E1887" s="7" t="s">
        <v>12223</v>
      </c>
      <c r="F1887" s="7" t="s">
        <v>4287</v>
      </c>
      <c r="G1887" s="7" t="s">
        <v>15016</v>
      </c>
      <c r="H1887" s="7" t="s">
        <v>15017</v>
      </c>
      <c r="I1887" s="119">
        <v>45367.0</v>
      </c>
      <c r="K1887" s="7" t="s">
        <v>419</v>
      </c>
      <c r="L1887" s="7" t="s">
        <v>991</v>
      </c>
      <c r="M1887" s="7" t="s">
        <v>3501</v>
      </c>
      <c r="N1887" s="7" t="s">
        <v>13401</v>
      </c>
      <c r="O1887" s="7" t="s">
        <v>14672</v>
      </c>
      <c r="P1887" s="7" t="s">
        <v>3493</v>
      </c>
      <c r="Q1887" s="7">
        <v>1.0</v>
      </c>
    </row>
    <row r="1888">
      <c r="A1888" s="7" t="s">
        <v>15018</v>
      </c>
      <c r="B1888" s="7">
        <v>2400188.0</v>
      </c>
      <c r="C1888" s="7" t="s">
        <v>15019</v>
      </c>
      <c r="D1888" s="7" t="s">
        <v>15020</v>
      </c>
      <c r="E1888" s="7" t="s">
        <v>15021</v>
      </c>
      <c r="F1888" s="7" t="s">
        <v>3909</v>
      </c>
      <c r="G1888" s="7" t="s">
        <v>15022</v>
      </c>
      <c r="H1888" s="7" t="s">
        <v>15023</v>
      </c>
      <c r="I1888" s="119">
        <v>45367.0</v>
      </c>
      <c r="K1888" s="7" t="s">
        <v>3642</v>
      </c>
      <c r="L1888" s="7" t="s">
        <v>991</v>
      </c>
      <c r="M1888" s="7" t="s">
        <v>3501</v>
      </c>
      <c r="N1888" s="7" t="s">
        <v>3643</v>
      </c>
      <c r="O1888" s="7" t="s">
        <v>3644</v>
      </c>
      <c r="P1888" s="7" t="s">
        <v>3493</v>
      </c>
      <c r="Q1888" s="7">
        <v>1.0</v>
      </c>
    </row>
    <row r="1889">
      <c r="A1889" s="7" t="s">
        <v>15024</v>
      </c>
      <c r="B1889" s="7">
        <v>2400192.0</v>
      </c>
      <c r="C1889" s="7" t="s">
        <v>14392</v>
      </c>
      <c r="D1889" s="7" t="s">
        <v>15025</v>
      </c>
      <c r="E1889" s="7" t="s">
        <v>14394</v>
      </c>
      <c r="F1889" s="7" t="s">
        <v>4109</v>
      </c>
      <c r="G1889" s="7" t="s">
        <v>15026</v>
      </c>
      <c r="H1889" s="7" t="s">
        <v>15027</v>
      </c>
      <c r="I1889" s="119">
        <v>45367.0</v>
      </c>
      <c r="K1889" s="7" t="s">
        <v>419</v>
      </c>
      <c r="L1889" s="7" t="s">
        <v>991</v>
      </c>
      <c r="M1889" s="7" t="s">
        <v>3531</v>
      </c>
      <c r="N1889" s="7" t="s">
        <v>4237</v>
      </c>
      <c r="O1889" s="7" t="s">
        <v>4238</v>
      </c>
      <c r="P1889" s="7" t="s">
        <v>3493</v>
      </c>
      <c r="Q1889" s="7">
        <v>1.0</v>
      </c>
    </row>
    <row r="1890">
      <c r="A1890" s="7" t="s">
        <v>15028</v>
      </c>
      <c r="B1890" s="7">
        <v>2400250.0</v>
      </c>
      <c r="C1890" s="7" t="s">
        <v>3771</v>
      </c>
      <c r="D1890" s="7" t="s">
        <v>6628</v>
      </c>
      <c r="E1890" s="7" t="s">
        <v>3773</v>
      </c>
      <c r="F1890" s="7" t="s">
        <v>6630</v>
      </c>
      <c r="G1890" s="7" t="s">
        <v>15029</v>
      </c>
      <c r="H1890" s="7" t="s">
        <v>15030</v>
      </c>
      <c r="I1890" s="119">
        <v>45383.0</v>
      </c>
      <c r="K1890" s="7" t="s">
        <v>3489</v>
      </c>
      <c r="L1890" s="7" t="s">
        <v>991</v>
      </c>
      <c r="M1890" s="7" t="s">
        <v>3490</v>
      </c>
      <c r="N1890" s="7" t="s">
        <v>3491</v>
      </c>
      <c r="O1890" s="7" t="s">
        <v>3492</v>
      </c>
      <c r="P1890" s="7" t="s">
        <v>3493</v>
      </c>
      <c r="Q1890" s="7">
        <v>1.0</v>
      </c>
    </row>
    <row r="1891">
      <c r="A1891" s="7" t="s">
        <v>15031</v>
      </c>
      <c r="B1891" s="7">
        <v>2400267.0</v>
      </c>
      <c r="C1891" s="7" t="s">
        <v>4006</v>
      </c>
      <c r="D1891" s="7" t="s">
        <v>5056</v>
      </c>
      <c r="E1891" s="7" t="s">
        <v>4008</v>
      </c>
      <c r="F1891" s="7" t="s">
        <v>5058</v>
      </c>
      <c r="G1891" s="7" t="s">
        <v>15032</v>
      </c>
      <c r="H1891" s="7" t="s">
        <v>15033</v>
      </c>
      <c r="I1891" s="119">
        <v>45383.0</v>
      </c>
      <c r="K1891" s="7" t="s">
        <v>419</v>
      </c>
      <c r="L1891" s="7" t="s">
        <v>991</v>
      </c>
      <c r="M1891" s="7" t="s">
        <v>3531</v>
      </c>
      <c r="N1891" s="7" t="s">
        <v>3652</v>
      </c>
      <c r="O1891" s="7" t="s">
        <v>3653</v>
      </c>
      <c r="P1891" s="7" t="s">
        <v>3493</v>
      </c>
      <c r="Q1891" s="7">
        <v>1.0</v>
      </c>
    </row>
    <row r="1892">
      <c r="A1892" s="7" t="s">
        <v>15034</v>
      </c>
      <c r="B1892" s="7">
        <v>2400244.0</v>
      </c>
      <c r="C1892" s="7" t="s">
        <v>4421</v>
      </c>
      <c r="D1892" s="7" t="s">
        <v>15035</v>
      </c>
      <c r="E1892" s="7" t="s">
        <v>4423</v>
      </c>
      <c r="F1892" s="7" t="s">
        <v>15036</v>
      </c>
      <c r="G1892" s="7" t="s">
        <v>15037</v>
      </c>
      <c r="H1892" s="7" t="s">
        <v>15038</v>
      </c>
      <c r="I1892" s="119">
        <v>45383.0</v>
      </c>
      <c r="K1892" s="7" t="s">
        <v>3632</v>
      </c>
      <c r="L1892" s="7" t="s">
        <v>991</v>
      </c>
      <c r="M1892" s="7" t="s">
        <v>3501</v>
      </c>
      <c r="N1892" s="7" t="s">
        <v>7046</v>
      </c>
      <c r="O1892" s="7" t="s">
        <v>7047</v>
      </c>
      <c r="P1892" s="7" t="s">
        <v>3522</v>
      </c>
      <c r="Q1892" s="7" t="s">
        <v>3514</v>
      </c>
    </row>
    <row r="1893">
      <c r="A1893" s="7" t="s">
        <v>15039</v>
      </c>
      <c r="B1893" s="7">
        <v>2400247.0</v>
      </c>
      <c r="C1893" s="7" t="s">
        <v>15040</v>
      </c>
      <c r="D1893" s="7" t="s">
        <v>15041</v>
      </c>
      <c r="E1893" s="7" t="s">
        <v>15042</v>
      </c>
      <c r="F1893" s="7" t="s">
        <v>5034</v>
      </c>
      <c r="G1893" s="7" t="s">
        <v>15043</v>
      </c>
      <c r="H1893" s="7" t="s">
        <v>15044</v>
      </c>
      <c r="I1893" s="119">
        <v>45383.0</v>
      </c>
      <c r="K1893" s="7" t="s">
        <v>3489</v>
      </c>
      <c r="L1893" s="7" t="s">
        <v>991</v>
      </c>
      <c r="M1893" s="7" t="s">
        <v>3490</v>
      </c>
      <c r="N1893" s="7" t="s">
        <v>3491</v>
      </c>
      <c r="O1893" s="7" t="s">
        <v>3492</v>
      </c>
      <c r="P1893" s="7" t="s">
        <v>3493</v>
      </c>
      <c r="Q1893" s="7">
        <v>1.0</v>
      </c>
    </row>
    <row r="1894">
      <c r="A1894" s="7" t="s">
        <v>15045</v>
      </c>
      <c r="B1894" s="7">
        <v>2400236.0</v>
      </c>
      <c r="C1894" s="7" t="s">
        <v>15046</v>
      </c>
      <c r="D1894" s="7" t="s">
        <v>15047</v>
      </c>
      <c r="E1894" s="7" t="s">
        <v>15048</v>
      </c>
      <c r="F1894" s="7" t="s">
        <v>15049</v>
      </c>
      <c r="G1894" s="7" t="s">
        <v>15050</v>
      </c>
      <c r="H1894" s="7" t="s">
        <v>15051</v>
      </c>
      <c r="I1894" s="119">
        <v>45383.0</v>
      </c>
      <c r="K1894" s="7" t="s">
        <v>419</v>
      </c>
      <c r="L1894" s="7" t="s">
        <v>991</v>
      </c>
      <c r="M1894" s="7" t="s">
        <v>3531</v>
      </c>
      <c r="N1894" s="7" t="s">
        <v>9422</v>
      </c>
      <c r="O1894" s="7" t="s">
        <v>15052</v>
      </c>
      <c r="P1894" s="7" t="s">
        <v>3493</v>
      </c>
      <c r="Q1894" s="7">
        <v>1.0</v>
      </c>
    </row>
    <row r="1895">
      <c r="A1895" s="7" t="s">
        <v>15053</v>
      </c>
      <c r="B1895" s="7">
        <v>2400219.0</v>
      </c>
      <c r="C1895" s="7" t="s">
        <v>15054</v>
      </c>
      <c r="D1895" s="7" t="s">
        <v>10170</v>
      </c>
      <c r="E1895" s="7" t="s">
        <v>15055</v>
      </c>
      <c r="F1895" s="7" t="s">
        <v>10171</v>
      </c>
      <c r="G1895" s="7" t="s">
        <v>15056</v>
      </c>
      <c r="H1895" s="7" t="s">
        <v>15057</v>
      </c>
      <c r="I1895" s="119">
        <v>45383.0</v>
      </c>
      <c r="K1895" s="7" t="s">
        <v>419</v>
      </c>
      <c r="L1895" s="7" t="s">
        <v>991</v>
      </c>
      <c r="M1895" s="7" t="s">
        <v>3501</v>
      </c>
      <c r="N1895" s="7" t="s">
        <v>4612</v>
      </c>
      <c r="O1895" s="7" t="s">
        <v>4613</v>
      </c>
      <c r="P1895" s="7" t="s">
        <v>3522</v>
      </c>
      <c r="Q1895" s="7" t="s">
        <v>3523</v>
      </c>
    </row>
    <row r="1896">
      <c r="A1896" s="7" t="s">
        <v>15058</v>
      </c>
      <c r="B1896" s="7">
        <v>2400241.0</v>
      </c>
      <c r="C1896" s="7" t="s">
        <v>15059</v>
      </c>
      <c r="D1896" s="7" t="s">
        <v>15060</v>
      </c>
      <c r="E1896" s="7" t="s">
        <v>15061</v>
      </c>
      <c r="F1896" s="7" t="s">
        <v>8855</v>
      </c>
      <c r="G1896" s="7" t="s">
        <v>15062</v>
      </c>
      <c r="H1896" s="7" t="s">
        <v>15063</v>
      </c>
      <c r="I1896" s="119">
        <v>45383.0</v>
      </c>
      <c r="K1896" s="7" t="s">
        <v>419</v>
      </c>
      <c r="L1896" s="7" t="s">
        <v>991</v>
      </c>
      <c r="M1896" s="7" t="s">
        <v>3531</v>
      </c>
      <c r="N1896" s="7" t="s">
        <v>10666</v>
      </c>
      <c r="O1896" s="7" t="s">
        <v>10667</v>
      </c>
      <c r="P1896" s="7" t="s">
        <v>3493</v>
      </c>
      <c r="Q1896" s="7">
        <v>1.0</v>
      </c>
    </row>
    <row r="1897">
      <c r="A1897" s="7" t="s">
        <v>15064</v>
      </c>
      <c r="B1897" s="7">
        <v>2400249.0</v>
      </c>
      <c r="C1897" s="7" t="s">
        <v>15065</v>
      </c>
      <c r="D1897" s="7" t="s">
        <v>14948</v>
      </c>
      <c r="E1897" s="7" t="s">
        <v>15066</v>
      </c>
      <c r="F1897" s="7" t="s">
        <v>14949</v>
      </c>
      <c r="G1897" s="7" t="s">
        <v>15067</v>
      </c>
      <c r="H1897" s="7" t="s">
        <v>15068</v>
      </c>
      <c r="I1897" s="119">
        <v>45383.0</v>
      </c>
      <c r="K1897" s="7" t="s">
        <v>3489</v>
      </c>
      <c r="L1897" s="7" t="s">
        <v>991</v>
      </c>
      <c r="M1897" s="7" t="s">
        <v>3490</v>
      </c>
      <c r="N1897" s="7" t="s">
        <v>3491</v>
      </c>
      <c r="O1897" s="7" t="s">
        <v>3492</v>
      </c>
      <c r="P1897" s="7" t="s">
        <v>3493</v>
      </c>
      <c r="Q1897" s="7">
        <v>1.0</v>
      </c>
    </row>
    <row r="1898">
      <c r="A1898" s="7" t="s">
        <v>15069</v>
      </c>
      <c r="B1898" s="7">
        <v>2400199.0</v>
      </c>
      <c r="C1898" s="7" t="s">
        <v>5481</v>
      </c>
      <c r="D1898" s="7" t="s">
        <v>15070</v>
      </c>
      <c r="E1898" s="7" t="s">
        <v>5483</v>
      </c>
      <c r="F1898" s="7" t="s">
        <v>15071</v>
      </c>
      <c r="G1898" s="7" t="s">
        <v>15072</v>
      </c>
      <c r="H1898" s="7" t="s">
        <v>15073</v>
      </c>
      <c r="I1898" s="119">
        <v>45383.0</v>
      </c>
      <c r="K1898" s="7" t="s">
        <v>419</v>
      </c>
      <c r="L1898" s="7" t="s">
        <v>991</v>
      </c>
      <c r="M1898" s="7" t="s">
        <v>3501</v>
      </c>
      <c r="N1898" s="7" t="s">
        <v>10121</v>
      </c>
      <c r="O1898" s="7" t="s">
        <v>10122</v>
      </c>
      <c r="P1898" s="7" t="s">
        <v>3493</v>
      </c>
      <c r="Q1898" s="7">
        <v>1.0</v>
      </c>
    </row>
    <row r="1899">
      <c r="A1899" s="7" t="s">
        <v>15074</v>
      </c>
      <c r="B1899" s="7">
        <v>2400255.0</v>
      </c>
      <c r="C1899" s="7" t="s">
        <v>5712</v>
      </c>
      <c r="D1899" s="7" t="s">
        <v>15075</v>
      </c>
      <c r="E1899" s="7" t="s">
        <v>5714</v>
      </c>
      <c r="F1899" s="7" t="s">
        <v>5132</v>
      </c>
      <c r="G1899" s="7" t="s">
        <v>15076</v>
      </c>
      <c r="H1899" s="7" t="s">
        <v>15077</v>
      </c>
      <c r="I1899" s="119">
        <v>45383.0</v>
      </c>
      <c r="K1899" s="7" t="s">
        <v>419</v>
      </c>
      <c r="L1899" s="7" t="s">
        <v>991</v>
      </c>
      <c r="M1899" s="7" t="s">
        <v>3490</v>
      </c>
      <c r="N1899" s="7" t="s">
        <v>7662</v>
      </c>
      <c r="O1899" s="7" t="s">
        <v>7663</v>
      </c>
      <c r="P1899" s="7" t="s">
        <v>3493</v>
      </c>
      <c r="Q1899" s="7">
        <v>1.0</v>
      </c>
    </row>
    <row r="1900">
      <c r="A1900" s="7" t="s">
        <v>15078</v>
      </c>
      <c r="B1900" s="7">
        <v>2400213.0</v>
      </c>
      <c r="C1900" s="7" t="s">
        <v>15079</v>
      </c>
      <c r="D1900" s="7" t="s">
        <v>15080</v>
      </c>
      <c r="E1900" s="7" t="s">
        <v>15081</v>
      </c>
      <c r="F1900" s="7" t="s">
        <v>4695</v>
      </c>
      <c r="G1900" s="7" t="s">
        <v>15082</v>
      </c>
      <c r="H1900" s="7" t="s">
        <v>15083</v>
      </c>
      <c r="I1900" s="119">
        <v>45383.0</v>
      </c>
      <c r="J1900" s="7" t="s">
        <v>4216</v>
      </c>
      <c r="K1900" s="7" t="s">
        <v>419</v>
      </c>
      <c r="L1900" s="7" t="s">
        <v>991</v>
      </c>
      <c r="M1900" s="7" t="s">
        <v>3501</v>
      </c>
      <c r="N1900" s="7" t="s">
        <v>4147</v>
      </c>
      <c r="O1900" s="7" t="s">
        <v>4148</v>
      </c>
      <c r="P1900" s="7" t="s">
        <v>3493</v>
      </c>
      <c r="Q1900" s="7">
        <v>1.0</v>
      </c>
    </row>
    <row r="1901">
      <c r="A1901" s="7" t="s">
        <v>15084</v>
      </c>
      <c r="B1901" s="7">
        <v>2400257.0</v>
      </c>
      <c r="C1901" s="7" t="s">
        <v>15085</v>
      </c>
      <c r="D1901" s="7" t="s">
        <v>7540</v>
      </c>
      <c r="E1901" s="7" t="s">
        <v>6634</v>
      </c>
      <c r="F1901" s="7" t="s">
        <v>7542</v>
      </c>
      <c r="G1901" s="7" t="s">
        <v>15086</v>
      </c>
      <c r="H1901" s="7" t="s">
        <v>15087</v>
      </c>
      <c r="I1901" s="119">
        <v>45383.0</v>
      </c>
      <c r="K1901" s="7" t="s">
        <v>3632</v>
      </c>
      <c r="L1901" s="7" t="s">
        <v>991</v>
      </c>
      <c r="M1901" s="7" t="s">
        <v>3866</v>
      </c>
      <c r="N1901" s="7" t="s">
        <v>4190</v>
      </c>
      <c r="O1901" s="7" t="s">
        <v>4191</v>
      </c>
      <c r="P1901" s="7" t="s">
        <v>3493</v>
      </c>
      <c r="Q1901" s="7">
        <v>1.0</v>
      </c>
    </row>
    <row r="1902">
      <c r="A1902" s="7" t="s">
        <v>15088</v>
      </c>
      <c r="B1902" s="7">
        <v>2400214.0</v>
      </c>
      <c r="C1902" s="7" t="s">
        <v>15089</v>
      </c>
      <c r="D1902" s="7" t="s">
        <v>7559</v>
      </c>
      <c r="E1902" s="7" t="s">
        <v>6668</v>
      </c>
      <c r="F1902" s="7" t="s">
        <v>3909</v>
      </c>
      <c r="G1902" s="7" t="s">
        <v>15090</v>
      </c>
      <c r="H1902" s="7" t="s">
        <v>15091</v>
      </c>
      <c r="I1902" s="119">
        <v>45383.0</v>
      </c>
      <c r="K1902" s="7" t="s">
        <v>419</v>
      </c>
      <c r="L1902" s="7" t="s">
        <v>991</v>
      </c>
      <c r="M1902" s="7" t="s">
        <v>3501</v>
      </c>
      <c r="N1902" s="7" t="s">
        <v>4127</v>
      </c>
      <c r="O1902" s="7" t="s">
        <v>4128</v>
      </c>
      <c r="P1902" s="7" t="s">
        <v>3493</v>
      </c>
      <c r="Q1902" s="7">
        <v>1.0</v>
      </c>
    </row>
    <row r="1903">
      <c r="A1903" s="7" t="s">
        <v>15092</v>
      </c>
      <c r="B1903" s="7">
        <v>2400218.0</v>
      </c>
      <c r="C1903" s="7" t="s">
        <v>15093</v>
      </c>
      <c r="D1903" s="7" t="s">
        <v>15094</v>
      </c>
      <c r="E1903" s="7" t="s">
        <v>6910</v>
      </c>
      <c r="F1903" s="7" t="s">
        <v>5759</v>
      </c>
      <c r="G1903" s="7" t="s">
        <v>15095</v>
      </c>
      <c r="H1903" s="7" t="s">
        <v>15096</v>
      </c>
      <c r="I1903" s="119">
        <v>45383.0</v>
      </c>
      <c r="K1903" s="7" t="s">
        <v>3622</v>
      </c>
      <c r="L1903" s="7" t="s">
        <v>991</v>
      </c>
      <c r="M1903" s="7" t="s">
        <v>3501</v>
      </c>
      <c r="N1903" s="7" t="s">
        <v>3623</v>
      </c>
      <c r="O1903" s="7" t="s">
        <v>3624</v>
      </c>
      <c r="P1903" s="7" t="s">
        <v>3493</v>
      </c>
      <c r="Q1903" s="7">
        <v>1.0</v>
      </c>
    </row>
    <row r="1904">
      <c r="A1904" s="7" t="s">
        <v>15097</v>
      </c>
      <c r="B1904" s="7">
        <v>3000001.0</v>
      </c>
      <c r="C1904" s="7" t="s">
        <v>6974</v>
      </c>
      <c r="D1904" s="7" t="s">
        <v>15098</v>
      </c>
      <c r="E1904" s="7" t="s">
        <v>6976</v>
      </c>
      <c r="F1904" s="7" t="s">
        <v>15099</v>
      </c>
      <c r="G1904" s="7" t="s">
        <v>15100</v>
      </c>
      <c r="H1904" s="7" t="s">
        <v>15101</v>
      </c>
      <c r="I1904" s="119">
        <v>45413.0</v>
      </c>
      <c r="K1904" s="7" t="s">
        <v>419</v>
      </c>
      <c r="L1904" s="7" t="s">
        <v>991</v>
      </c>
      <c r="M1904" s="7" t="s">
        <v>3501</v>
      </c>
      <c r="N1904" s="7" t="s">
        <v>4499</v>
      </c>
      <c r="O1904" s="7" t="s">
        <v>4500</v>
      </c>
      <c r="P1904" s="7" t="s">
        <v>3493</v>
      </c>
      <c r="Q1904" s="7">
        <v>1.0</v>
      </c>
    </row>
    <row r="1905">
      <c r="A1905" s="7" t="s">
        <v>15102</v>
      </c>
      <c r="B1905" s="7">
        <v>2400201.0</v>
      </c>
      <c r="C1905" s="7" t="s">
        <v>15103</v>
      </c>
      <c r="D1905" s="7" t="s">
        <v>15104</v>
      </c>
      <c r="E1905" s="7" t="s">
        <v>15105</v>
      </c>
      <c r="F1905" s="7" t="s">
        <v>3748</v>
      </c>
      <c r="G1905" s="7" t="s">
        <v>15106</v>
      </c>
      <c r="H1905" s="7" t="s">
        <v>15107</v>
      </c>
      <c r="I1905" s="119">
        <v>45383.0</v>
      </c>
      <c r="K1905" s="7" t="s">
        <v>419</v>
      </c>
      <c r="L1905" s="7" t="s">
        <v>991</v>
      </c>
      <c r="M1905" s="7" t="s">
        <v>3501</v>
      </c>
      <c r="N1905" s="7" t="s">
        <v>8314</v>
      </c>
      <c r="O1905" s="7" t="s">
        <v>8315</v>
      </c>
      <c r="P1905" s="7" t="s">
        <v>3522</v>
      </c>
      <c r="Q1905" s="7" t="s">
        <v>3523</v>
      </c>
    </row>
    <row r="1906">
      <c r="A1906" s="7" t="s">
        <v>15108</v>
      </c>
      <c r="B1906" s="7">
        <v>2400204.0</v>
      </c>
      <c r="C1906" s="7" t="s">
        <v>7411</v>
      </c>
      <c r="D1906" s="7" t="s">
        <v>15109</v>
      </c>
      <c r="E1906" s="7" t="s">
        <v>7413</v>
      </c>
      <c r="F1906" s="7" t="s">
        <v>3909</v>
      </c>
      <c r="G1906" s="7" t="s">
        <v>15110</v>
      </c>
      <c r="H1906" s="7" t="s">
        <v>15111</v>
      </c>
      <c r="I1906" s="119">
        <v>45383.0</v>
      </c>
      <c r="K1906" s="7" t="s">
        <v>419</v>
      </c>
      <c r="L1906" s="7" t="s">
        <v>991</v>
      </c>
      <c r="M1906" s="7" t="s">
        <v>3501</v>
      </c>
      <c r="N1906" s="7" t="s">
        <v>9485</v>
      </c>
      <c r="O1906" s="7" t="s">
        <v>11675</v>
      </c>
      <c r="P1906" s="7" t="s">
        <v>3493</v>
      </c>
      <c r="Q1906" s="7">
        <v>1.0</v>
      </c>
    </row>
    <row r="1907">
      <c r="A1907" s="7" t="s">
        <v>15112</v>
      </c>
      <c r="B1907" s="7">
        <v>2400259.0</v>
      </c>
      <c r="C1907" s="7" t="s">
        <v>15113</v>
      </c>
      <c r="D1907" s="7" t="s">
        <v>15114</v>
      </c>
      <c r="E1907" s="7" t="s">
        <v>15115</v>
      </c>
      <c r="F1907" s="7" t="s">
        <v>13059</v>
      </c>
      <c r="G1907" s="7" t="s">
        <v>15116</v>
      </c>
      <c r="H1907" s="7" t="s">
        <v>15117</v>
      </c>
      <c r="I1907" s="119">
        <v>45383.0</v>
      </c>
      <c r="K1907" s="7" t="s">
        <v>419</v>
      </c>
      <c r="L1907" s="7" t="s">
        <v>991</v>
      </c>
      <c r="M1907" s="7" t="s">
        <v>3583</v>
      </c>
      <c r="N1907" s="7" t="s">
        <v>5746</v>
      </c>
      <c r="O1907" s="7" t="s">
        <v>5747</v>
      </c>
      <c r="P1907" s="7" t="s">
        <v>3493</v>
      </c>
      <c r="Q1907" s="7">
        <v>1.0</v>
      </c>
    </row>
    <row r="1908">
      <c r="A1908" s="7" t="s">
        <v>15118</v>
      </c>
      <c r="B1908" s="7">
        <v>2400278.0</v>
      </c>
      <c r="C1908" s="7" t="s">
        <v>15119</v>
      </c>
      <c r="D1908" s="7" t="s">
        <v>15120</v>
      </c>
      <c r="E1908" s="7" t="s">
        <v>15121</v>
      </c>
      <c r="F1908" s="7" t="s">
        <v>6977</v>
      </c>
      <c r="G1908" s="7" t="s">
        <v>15122</v>
      </c>
      <c r="H1908" s="7" t="s">
        <v>15123</v>
      </c>
      <c r="I1908" s="119">
        <v>45383.0</v>
      </c>
      <c r="K1908" s="7" t="s">
        <v>11974</v>
      </c>
      <c r="L1908" s="7" t="s">
        <v>991</v>
      </c>
      <c r="M1908" s="7" t="s">
        <v>3501</v>
      </c>
      <c r="N1908" s="7" t="s">
        <v>15124</v>
      </c>
      <c r="O1908" s="7" t="s">
        <v>15125</v>
      </c>
      <c r="P1908" s="7" t="s">
        <v>12011</v>
      </c>
      <c r="Q1908" s="7">
        <v>1.0</v>
      </c>
    </row>
    <row r="1909">
      <c r="A1909" s="7" t="s">
        <v>15126</v>
      </c>
      <c r="B1909" s="7">
        <v>2400228.0</v>
      </c>
      <c r="C1909" s="7" t="s">
        <v>8352</v>
      </c>
      <c r="D1909" s="7" t="s">
        <v>4620</v>
      </c>
      <c r="E1909" s="7" t="s">
        <v>8354</v>
      </c>
      <c r="F1909" s="7" t="s">
        <v>3792</v>
      </c>
      <c r="G1909" s="7" t="s">
        <v>15127</v>
      </c>
      <c r="H1909" s="7" t="s">
        <v>15128</v>
      </c>
      <c r="I1909" s="119">
        <v>45383.0</v>
      </c>
      <c r="K1909" s="7" t="s">
        <v>419</v>
      </c>
      <c r="L1909" s="7" t="s">
        <v>991</v>
      </c>
      <c r="M1909" s="7" t="s">
        <v>3501</v>
      </c>
      <c r="N1909" s="7" t="s">
        <v>14908</v>
      </c>
      <c r="O1909" s="7" t="s">
        <v>14909</v>
      </c>
      <c r="P1909" s="7" t="s">
        <v>3522</v>
      </c>
      <c r="Q1909" s="7" t="s">
        <v>3523</v>
      </c>
    </row>
    <row r="1910">
      <c r="A1910" s="7" t="s">
        <v>15129</v>
      </c>
      <c r="B1910" s="7">
        <v>2400251.0</v>
      </c>
      <c r="C1910" s="7" t="s">
        <v>8429</v>
      </c>
      <c r="D1910" s="7" t="s">
        <v>8881</v>
      </c>
      <c r="E1910" s="7" t="s">
        <v>8431</v>
      </c>
      <c r="F1910" s="7" t="s">
        <v>4321</v>
      </c>
      <c r="G1910" s="7" t="s">
        <v>15130</v>
      </c>
      <c r="H1910" s="7" t="s">
        <v>15131</v>
      </c>
      <c r="I1910" s="119">
        <v>45383.0</v>
      </c>
      <c r="K1910" s="7" t="s">
        <v>3489</v>
      </c>
      <c r="L1910" s="7" t="s">
        <v>991</v>
      </c>
      <c r="M1910" s="7" t="s">
        <v>3490</v>
      </c>
      <c r="N1910" s="7" t="s">
        <v>3491</v>
      </c>
      <c r="O1910" s="7" t="s">
        <v>3492</v>
      </c>
      <c r="P1910" s="7" t="s">
        <v>3493</v>
      </c>
      <c r="Q1910" s="7">
        <v>1.0</v>
      </c>
    </row>
    <row r="1911">
      <c r="A1911" s="7" t="s">
        <v>15132</v>
      </c>
      <c r="B1911" s="7">
        <v>2400234.0</v>
      </c>
      <c r="C1911" s="7" t="s">
        <v>15133</v>
      </c>
      <c r="D1911" s="7" t="s">
        <v>15134</v>
      </c>
      <c r="E1911" s="7" t="s">
        <v>15135</v>
      </c>
      <c r="F1911" s="7" t="s">
        <v>10612</v>
      </c>
      <c r="G1911" s="7" t="s">
        <v>15136</v>
      </c>
      <c r="H1911" s="7" t="s">
        <v>15137</v>
      </c>
      <c r="I1911" s="119">
        <v>45383.0</v>
      </c>
      <c r="K1911" s="7" t="s">
        <v>419</v>
      </c>
      <c r="L1911" s="7" t="s">
        <v>991</v>
      </c>
      <c r="M1911" s="7" t="s">
        <v>3501</v>
      </c>
      <c r="N1911" s="7" t="s">
        <v>5289</v>
      </c>
      <c r="O1911" s="7" t="s">
        <v>5290</v>
      </c>
      <c r="P1911" s="7" t="s">
        <v>3843</v>
      </c>
      <c r="Q1911" s="7">
        <v>1.0</v>
      </c>
    </row>
    <row r="1912">
      <c r="A1912" s="7" t="s">
        <v>15138</v>
      </c>
      <c r="B1912" s="7">
        <v>2400252.0</v>
      </c>
      <c r="C1912" s="7" t="s">
        <v>15139</v>
      </c>
      <c r="D1912" s="7" t="s">
        <v>15140</v>
      </c>
      <c r="E1912" s="7" t="s">
        <v>15141</v>
      </c>
      <c r="F1912" s="7" t="s">
        <v>9819</v>
      </c>
      <c r="G1912" s="7" t="s">
        <v>15142</v>
      </c>
      <c r="H1912" s="7" t="s">
        <v>15143</v>
      </c>
      <c r="I1912" s="119">
        <v>45383.0</v>
      </c>
      <c r="K1912" s="7" t="s">
        <v>419</v>
      </c>
      <c r="L1912" s="7" t="s">
        <v>991</v>
      </c>
      <c r="M1912" s="7" t="s">
        <v>3490</v>
      </c>
      <c r="N1912" s="7" t="s">
        <v>7662</v>
      </c>
      <c r="O1912" s="7" t="s">
        <v>7663</v>
      </c>
      <c r="P1912" s="7" t="s">
        <v>3493</v>
      </c>
      <c r="Q1912" s="7">
        <v>1.0</v>
      </c>
    </row>
    <row r="1913">
      <c r="A1913" s="7" t="s">
        <v>15144</v>
      </c>
      <c r="B1913" s="7">
        <v>2400237.0</v>
      </c>
      <c r="C1913" s="7" t="s">
        <v>15145</v>
      </c>
      <c r="D1913" s="7" t="s">
        <v>15146</v>
      </c>
      <c r="E1913" s="7" t="s">
        <v>14932</v>
      </c>
      <c r="F1913" s="7" t="s">
        <v>3692</v>
      </c>
      <c r="G1913" s="7" t="s">
        <v>15147</v>
      </c>
      <c r="H1913" s="7" t="s">
        <v>15148</v>
      </c>
      <c r="I1913" s="119">
        <v>45383.0</v>
      </c>
      <c r="K1913" s="7" t="s">
        <v>3632</v>
      </c>
      <c r="L1913" s="7" t="s">
        <v>991</v>
      </c>
      <c r="M1913" s="7" t="s">
        <v>3531</v>
      </c>
      <c r="N1913" s="7" t="s">
        <v>5052</v>
      </c>
      <c r="O1913" s="7" t="s">
        <v>15149</v>
      </c>
      <c r="P1913" s="7" t="s">
        <v>3493</v>
      </c>
      <c r="Q1913" s="7">
        <v>1.0</v>
      </c>
    </row>
    <row r="1914">
      <c r="A1914" s="7" t="s">
        <v>15150</v>
      </c>
      <c r="B1914" s="7">
        <v>2400220.0</v>
      </c>
      <c r="C1914" s="7" t="s">
        <v>15151</v>
      </c>
      <c r="D1914" s="7" t="s">
        <v>15152</v>
      </c>
      <c r="E1914" s="7" t="s">
        <v>15153</v>
      </c>
      <c r="F1914" s="7" t="s">
        <v>14461</v>
      </c>
      <c r="G1914" s="7" t="s">
        <v>15154</v>
      </c>
      <c r="H1914" s="7" t="s">
        <v>15155</v>
      </c>
      <c r="I1914" s="119">
        <v>45383.0</v>
      </c>
      <c r="K1914" s="7" t="s">
        <v>419</v>
      </c>
      <c r="L1914" s="7" t="s">
        <v>991</v>
      </c>
      <c r="M1914" s="7" t="s">
        <v>3531</v>
      </c>
      <c r="N1914" s="7" t="s">
        <v>3724</v>
      </c>
      <c r="O1914" s="7" t="s">
        <v>3725</v>
      </c>
      <c r="P1914" s="7" t="s">
        <v>3493</v>
      </c>
      <c r="Q1914" s="7">
        <v>1.0</v>
      </c>
    </row>
    <row r="1915">
      <c r="A1915" s="7" t="s">
        <v>15156</v>
      </c>
      <c r="B1915" s="7">
        <v>2400223.0</v>
      </c>
      <c r="C1915" s="7" t="s">
        <v>9145</v>
      </c>
      <c r="D1915" s="7" t="s">
        <v>15157</v>
      </c>
      <c r="E1915" s="7" t="s">
        <v>9147</v>
      </c>
      <c r="F1915" s="7" t="s">
        <v>4960</v>
      </c>
      <c r="G1915" s="7" t="s">
        <v>15158</v>
      </c>
      <c r="H1915" s="7" t="s">
        <v>15159</v>
      </c>
      <c r="I1915" s="119">
        <v>45383.0</v>
      </c>
      <c r="K1915" s="7" t="s">
        <v>3642</v>
      </c>
      <c r="L1915" s="7" t="s">
        <v>991</v>
      </c>
      <c r="M1915" s="7" t="s">
        <v>3501</v>
      </c>
      <c r="N1915" s="7" t="s">
        <v>3643</v>
      </c>
      <c r="O1915" s="7" t="s">
        <v>3644</v>
      </c>
      <c r="P1915" s="7" t="s">
        <v>3493</v>
      </c>
      <c r="Q1915" s="7">
        <v>1.0</v>
      </c>
    </row>
    <row r="1916">
      <c r="A1916" s="7" t="s">
        <v>15160</v>
      </c>
      <c r="B1916" s="7">
        <v>2400215.0</v>
      </c>
      <c r="C1916" s="7" t="s">
        <v>9606</v>
      </c>
      <c r="D1916" s="7" t="s">
        <v>15161</v>
      </c>
      <c r="E1916" s="7" t="s">
        <v>9572</v>
      </c>
      <c r="F1916" s="7" t="s">
        <v>12201</v>
      </c>
      <c r="G1916" s="7" t="s">
        <v>15162</v>
      </c>
      <c r="H1916" s="7" t="s">
        <v>15163</v>
      </c>
      <c r="I1916" s="119">
        <v>45383.0</v>
      </c>
      <c r="K1916" s="7" t="s">
        <v>419</v>
      </c>
      <c r="L1916" s="7" t="s">
        <v>991</v>
      </c>
      <c r="M1916" s="7" t="s">
        <v>3501</v>
      </c>
      <c r="N1916" s="7" t="s">
        <v>6027</v>
      </c>
      <c r="O1916" s="7" t="s">
        <v>6028</v>
      </c>
      <c r="P1916" s="7" t="s">
        <v>3493</v>
      </c>
      <c r="Q1916" s="7">
        <v>1.0</v>
      </c>
    </row>
    <row r="1917">
      <c r="A1917" s="7" t="s">
        <v>15164</v>
      </c>
      <c r="B1917" s="7">
        <v>2400226.0</v>
      </c>
      <c r="C1917" s="7" t="s">
        <v>9570</v>
      </c>
      <c r="D1917" s="7" t="s">
        <v>14589</v>
      </c>
      <c r="E1917" s="7" t="s">
        <v>9572</v>
      </c>
      <c r="F1917" s="7" t="s">
        <v>14591</v>
      </c>
      <c r="G1917" s="7" t="s">
        <v>15165</v>
      </c>
      <c r="H1917" s="7" t="s">
        <v>15166</v>
      </c>
      <c r="I1917" s="119">
        <v>45383.0</v>
      </c>
      <c r="K1917" s="7" t="s">
        <v>419</v>
      </c>
      <c r="L1917" s="7" t="s">
        <v>991</v>
      </c>
      <c r="M1917" s="7" t="s">
        <v>3501</v>
      </c>
      <c r="N1917" s="7" t="s">
        <v>15167</v>
      </c>
      <c r="O1917" s="7" t="s">
        <v>15168</v>
      </c>
      <c r="P1917" s="7" t="s">
        <v>3785</v>
      </c>
      <c r="Q1917" s="7" t="s">
        <v>3523</v>
      </c>
    </row>
    <row r="1918">
      <c r="A1918" s="7" t="s">
        <v>15169</v>
      </c>
      <c r="B1918" s="7">
        <v>2400211.0</v>
      </c>
      <c r="C1918" s="7" t="s">
        <v>10269</v>
      </c>
      <c r="D1918" s="7" t="s">
        <v>15170</v>
      </c>
      <c r="E1918" s="7" t="s">
        <v>10271</v>
      </c>
      <c r="F1918" s="7" t="s">
        <v>3508</v>
      </c>
      <c r="G1918" s="7" t="s">
        <v>15171</v>
      </c>
      <c r="H1918" s="7" t="s">
        <v>15172</v>
      </c>
      <c r="I1918" s="119">
        <v>45383.0</v>
      </c>
      <c r="K1918" s="7" t="s">
        <v>419</v>
      </c>
      <c r="L1918" s="7" t="s">
        <v>991</v>
      </c>
      <c r="M1918" s="7" t="s">
        <v>3501</v>
      </c>
      <c r="N1918" s="7" t="s">
        <v>10722</v>
      </c>
      <c r="O1918" s="7" t="s">
        <v>11045</v>
      </c>
      <c r="P1918" s="7" t="s">
        <v>3493</v>
      </c>
      <c r="Q1918" s="7">
        <v>1.0</v>
      </c>
    </row>
    <row r="1919">
      <c r="A1919" s="7" t="s">
        <v>15173</v>
      </c>
      <c r="B1919" s="7">
        <v>2400208.0</v>
      </c>
      <c r="C1919" s="7" t="s">
        <v>15174</v>
      </c>
      <c r="D1919" s="7" t="s">
        <v>15175</v>
      </c>
      <c r="E1919" s="7" t="s">
        <v>15176</v>
      </c>
      <c r="F1919" s="7" t="s">
        <v>6279</v>
      </c>
      <c r="G1919" s="7" t="s">
        <v>15177</v>
      </c>
      <c r="H1919" s="7" t="s">
        <v>15178</v>
      </c>
      <c r="I1919" s="119">
        <v>45383.0</v>
      </c>
      <c r="K1919" s="7" t="s">
        <v>419</v>
      </c>
      <c r="L1919" s="7" t="s">
        <v>991</v>
      </c>
      <c r="M1919" s="7" t="s">
        <v>3501</v>
      </c>
      <c r="N1919" s="7" t="s">
        <v>11957</v>
      </c>
      <c r="O1919" s="7" t="s">
        <v>15179</v>
      </c>
      <c r="P1919" s="7" t="s">
        <v>4154</v>
      </c>
      <c r="Q1919" s="7" t="s">
        <v>3555</v>
      </c>
    </row>
    <row r="1920">
      <c r="A1920" s="7" t="s">
        <v>15180</v>
      </c>
      <c r="B1920" s="7">
        <v>2400280.0</v>
      </c>
      <c r="C1920" s="7" t="s">
        <v>15181</v>
      </c>
      <c r="D1920" s="7" t="s">
        <v>15182</v>
      </c>
      <c r="E1920" s="7" t="s">
        <v>15183</v>
      </c>
      <c r="F1920" s="7" t="s">
        <v>10306</v>
      </c>
      <c r="G1920" s="7" t="s">
        <v>15184</v>
      </c>
      <c r="H1920" s="7" t="s">
        <v>15185</v>
      </c>
      <c r="I1920" s="119">
        <v>45383.0</v>
      </c>
      <c r="K1920" s="7" t="s">
        <v>11974</v>
      </c>
      <c r="L1920" s="7" t="s">
        <v>991</v>
      </c>
      <c r="M1920" s="7" t="s">
        <v>3501</v>
      </c>
      <c r="N1920" s="7" t="s">
        <v>15186</v>
      </c>
      <c r="O1920" s="7" t="s">
        <v>15187</v>
      </c>
      <c r="P1920" s="7" t="s">
        <v>3493</v>
      </c>
      <c r="Q1920" s="7">
        <v>1.0</v>
      </c>
    </row>
    <row r="1921">
      <c r="A1921" s="7" t="s">
        <v>15188</v>
      </c>
      <c r="B1921" s="7">
        <v>2400279.0</v>
      </c>
      <c r="C1921" s="7" t="s">
        <v>15189</v>
      </c>
      <c r="D1921" s="7" t="s">
        <v>15190</v>
      </c>
      <c r="E1921" s="7" t="s">
        <v>15191</v>
      </c>
      <c r="F1921" s="7" t="s">
        <v>15192</v>
      </c>
      <c r="G1921" s="7" t="s">
        <v>15193</v>
      </c>
      <c r="H1921" s="7" t="s">
        <v>15194</v>
      </c>
      <c r="I1921" s="119">
        <v>45383.0</v>
      </c>
      <c r="K1921" s="7" t="s">
        <v>11974</v>
      </c>
      <c r="L1921" s="7" t="s">
        <v>991</v>
      </c>
      <c r="M1921" s="7" t="s">
        <v>3501</v>
      </c>
      <c r="N1921" s="7" t="s">
        <v>11975</v>
      </c>
      <c r="O1921" s="7" t="s">
        <v>11976</v>
      </c>
      <c r="P1921" s="7" t="s">
        <v>3493</v>
      </c>
      <c r="Q1921" s="7">
        <v>1.0</v>
      </c>
    </row>
    <row r="1922">
      <c r="A1922" s="7" t="s">
        <v>15195</v>
      </c>
      <c r="B1922" s="7">
        <v>2400224.0</v>
      </c>
      <c r="C1922" s="7" t="s">
        <v>15196</v>
      </c>
      <c r="D1922" s="7" t="s">
        <v>15197</v>
      </c>
      <c r="E1922" s="7" t="s">
        <v>10920</v>
      </c>
      <c r="F1922" s="7" t="s">
        <v>9116</v>
      </c>
      <c r="G1922" s="7" t="s">
        <v>15198</v>
      </c>
      <c r="H1922" s="7" t="s">
        <v>15199</v>
      </c>
      <c r="I1922" s="119">
        <v>45383.0</v>
      </c>
      <c r="K1922" s="7" t="s">
        <v>419</v>
      </c>
      <c r="L1922" s="7" t="s">
        <v>991</v>
      </c>
      <c r="M1922" s="7" t="s">
        <v>3501</v>
      </c>
      <c r="N1922" s="7" t="s">
        <v>4535</v>
      </c>
      <c r="O1922" s="7" t="s">
        <v>4536</v>
      </c>
      <c r="P1922" s="7" t="s">
        <v>3493</v>
      </c>
      <c r="Q1922" s="7">
        <v>1.0</v>
      </c>
    </row>
    <row r="1923">
      <c r="A1923" s="7" t="s">
        <v>15200</v>
      </c>
      <c r="B1923" s="7">
        <v>2400207.0</v>
      </c>
      <c r="C1923" s="7" t="s">
        <v>15201</v>
      </c>
      <c r="D1923" s="7" t="s">
        <v>15202</v>
      </c>
      <c r="E1923" s="7" t="s">
        <v>15203</v>
      </c>
      <c r="F1923" s="7" t="s">
        <v>10843</v>
      </c>
      <c r="G1923" s="7" t="s">
        <v>15204</v>
      </c>
      <c r="H1923" s="7" t="s">
        <v>15205</v>
      </c>
      <c r="I1923" s="119">
        <v>45383.0</v>
      </c>
      <c r="K1923" s="7" t="s">
        <v>13199</v>
      </c>
      <c r="L1923" s="7" t="s">
        <v>3542</v>
      </c>
      <c r="M1923" s="7" t="s">
        <v>3543</v>
      </c>
      <c r="N1923" s="7" t="s">
        <v>5671</v>
      </c>
      <c r="O1923" s="7" t="s">
        <v>13200</v>
      </c>
      <c r="P1923" s="7" t="s">
        <v>3522</v>
      </c>
      <c r="Q1923" s="7" t="s">
        <v>3514</v>
      </c>
    </row>
    <row r="1924">
      <c r="A1924" s="7" t="s">
        <v>15206</v>
      </c>
      <c r="B1924" s="7">
        <v>2400222.0</v>
      </c>
      <c r="C1924" s="7" t="s">
        <v>11354</v>
      </c>
      <c r="D1924" s="7" t="s">
        <v>15207</v>
      </c>
      <c r="E1924" s="7" t="s">
        <v>11356</v>
      </c>
      <c r="F1924" s="7" t="s">
        <v>15208</v>
      </c>
      <c r="G1924" s="7" t="s">
        <v>15209</v>
      </c>
      <c r="H1924" s="7" t="s">
        <v>15210</v>
      </c>
      <c r="I1924" s="119">
        <v>45383.0</v>
      </c>
      <c r="K1924" s="7" t="s">
        <v>3632</v>
      </c>
      <c r="L1924" s="7" t="s">
        <v>991</v>
      </c>
      <c r="M1924" s="7" t="s">
        <v>3866</v>
      </c>
      <c r="N1924" s="7" t="s">
        <v>4190</v>
      </c>
      <c r="O1924" s="7" t="s">
        <v>4191</v>
      </c>
      <c r="P1924" s="7" t="s">
        <v>3493</v>
      </c>
      <c r="Q1924" s="7">
        <v>1.0</v>
      </c>
    </row>
    <row r="1925">
      <c r="A1925" s="7" t="s">
        <v>15211</v>
      </c>
      <c r="B1925" s="7">
        <v>2400253.0</v>
      </c>
      <c r="C1925" s="7" t="s">
        <v>11662</v>
      </c>
      <c r="D1925" s="7" t="s">
        <v>15212</v>
      </c>
      <c r="E1925" s="7" t="s">
        <v>11663</v>
      </c>
      <c r="F1925" s="7" t="s">
        <v>9094</v>
      </c>
      <c r="G1925" s="7" t="s">
        <v>15213</v>
      </c>
      <c r="H1925" s="7" t="s">
        <v>15214</v>
      </c>
      <c r="I1925" s="119">
        <v>45383.0</v>
      </c>
      <c r="K1925" s="7" t="s">
        <v>419</v>
      </c>
      <c r="L1925" s="7" t="s">
        <v>991</v>
      </c>
      <c r="M1925" s="7" t="s">
        <v>3501</v>
      </c>
      <c r="N1925" s="7" t="s">
        <v>15215</v>
      </c>
      <c r="O1925" s="7" t="s">
        <v>15216</v>
      </c>
      <c r="P1925" s="7" t="s">
        <v>15217</v>
      </c>
      <c r="Q1925" s="7" t="s">
        <v>8134</v>
      </c>
    </row>
    <row r="1926">
      <c r="A1926" s="7" t="s">
        <v>15218</v>
      </c>
      <c r="B1926" s="7">
        <v>2400243.0</v>
      </c>
      <c r="C1926" s="7" t="s">
        <v>15219</v>
      </c>
      <c r="D1926" s="7" t="s">
        <v>15220</v>
      </c>
      <c r="E1926" s="7" t="s">
        <v>15221</v>
      </c>
      <c r="F1926" s="7" t="s">
        <v>15222</v>
      </c>
      <c r="G1926" s="7" t="s">
        <v>15223</v>
      </c>
      <c r="H1926" s="7" t="s">
        <v>15224</v>
      </c>
      <c r="I1926" s="119">
        <v>45383.0</v>
      </c>
      <c r="K1926" s="7" t="s">
        <v>3632</v>
      </c>
      <c r="L1926" s="7" t="s">
        <v>991</v>
      </c>
      <c r="M1926" s="7" t="s">
        <v>3501</v>
      </c>
      <c r="N1926" s="7" t="s">
        <v>5931</v>
      </c>
      <c r="O1926" s="7" t="s">
        <v>12542</v>
      </c>
      <c r="P1926" s="7" t="s">
        <v>3522</v>
      </c>
      <c r="Q1926" s="7" t="s">
        <v>3514</v>
      </c>
    </row>
    <row r="1927">
      <c r="A1927" s="7" t="s">
        <v>15225</v>
      </c>
      <c r="B1927" s="7">
        <v>2400281.0</v>
      </c>
      <c r="C1927" s="7" t="s">
        <v>15226</v>
      </c>
      <c r="D1927" s="7" t="s">
        <v>15227</v>
      </c>
      <c r="E1927" s="7" t="s">
        <v>15228</v>
      </c>
      <c r="F1927" s="7" t="s">
        <v>13935</v>
      </c>
      <c r="G1927" s="7" t="s">
        <v>15229</v>
      </c>
      <c r="I1927" s="119">
        <v>45383.0</v>
      </c>
      <c r="K1927" s="7" t="s">
        <v>3489</v>
      </c>
      <c r="L1927" s="7" t="s">
        <v>991</v>
      </c>
      <c r="M1927" s="7" t="s">
        <v>3866</v>
      </c>
      <c r="N1927" s="7" t="s">
        <v>3491</v>
      </c>
      <c r="O1927" s="7" t="s">
        <v>3492</v>
      </c>
      <c r="P1927" s="7" t="s">
        <v>3493</v>
      </c>
      <c r="Q1927" s="7">
        <v>1.0</v>
      </c>
    </row>
    <row r="1928">
      <c r="A1928" s="7" t="s">
        <v>15230</v>
      </c>
      <c r="B1928" s="7">
        <v>2400210.0</v>
      </c>
      <c r="C1928" s="7" t="s">
        <v>12321</v>
      </c>
      <c r="D1928" s="7" t="s">
        <v>15231</v>
      </c>
      <c r="E1928" s="7" t="s">
        <v>15232</v>
      </c>
      <c r="F1928" s="7" t="s">
        <v>8311</v>
      </c>
      <c r="G1928" s="7" t="s">
        <v>15233</v>
      </c>
      <c r="H1928" s="7" t="s">
        <v>15234</v>
      </c>
      <c r="I1928" s="119">
        <v>45383.0</v>
      </c>
      <c r="K1928" s="7" t="s">
        <v>419</v>
      </c>
      <c r="L1928" s="7" t="s">
        <v>991</v>
      </c>
      <c r="M1928" s="7" t="s">
        <v>3501</v>
      </c>
      <c r="N1928" s="7" t="s">
        <v>7433</v>
      </c>
      <c r="O1928" s="7" t="s">
        <v>7434</v>
      </c>
      <c r="P1928" s="7" t="s">
        <v>3493</v>
      </c>
      <c r="Q1928" s="7">
        <v>1.0</v>
      </c>
    </row>
    <row r="1929">
      <c r="A1929" s="7" t="s">
        <v>15235</v>
      </c>
      <c r="B1929" s="7">
        <v>2400240.0</v>
      </c>
      <c r="C1929" s="7" t="s">
        <v>14579</v>
      </c>
      <c r="D1929" s="7" t="s">
        <v>15236</v>
      </c>
      <c r="E1929" s="7" t="s">
        <v>12386</v>
      </c>
      <c r="F1929" s="7" t="s">
        <v>8756</v>
      </c>
      <c r="G1929" s="7" t="s">
        <v>15237</v>
      </c>
      <c r="H1929" s="7" t="s">
        <v>15238</v>
      </c>
      <c r="I1929" s="119">
        <v>45383.0</v>
      </c>
      <c r="K1929" s="7" t="s">
        <v>3642</v>
      </c>
      <c r="L1929" s="7" t="s">
        <v>991</v>
      </c>
      <c r="M1929" s="7" t="s">
        <v>3501</v>
      </c>
      <c r="N1929" s="7" t="s">
        <v>3643</v>
      </c>
      <c r="O1929" s="7" t="s">
        <v>3644</v>
      </c>
      <c r="P1929" s="7" t="s">
        <v>3493</v>
      </c>
      <c r="Q1929" s="7">
        <v>1.0</v>
      </c>
    </row>
    <row r="1930">
      <c r="A1930" s="7" t="s">
        <v>15239</v>
      </c>
      <c r="B1930" s="7">
        <v>2400229.0</v>
      </c>
      <c r="C1930" s="7" t="s">
        <v>12410</v>
      </c>
      <c r="D1930" s="7" t="s">
        <v>15240</v>
      </c>
      <c r="E1930" s="7" t="s">
        <v>12412</v>
      </c>
      <c r="F1930" s="7" t="s">
        <v>8814</v>
      </c>
      <c r="G1930" s="7" t="s">
        <v>15241</v>
      </c>
      <c r="H1930" s="7" t="s">
        <v>15242</v>
      </c>
      <c r="I1930" s="119">
        <v>45383.0</v>
      </c>
      <c r="K1930" s="7" t="s">
        <v>419</v>
      </c>
      <c r="L1930" s="7" t="s">
        <v>991</v>
      </c>
      <c r="M1930" s="7" t="s">
        <v>3501</v>
      </c>
      <c r="N1930" s="7" t="s">
        <v>14908</v>
      </c>
      <c r="O1930" s="7" t="s">
        <v>14909</v>
      </c>
      <c r="P1930" s="7" t="s">
        <v>3894</v>
      </c>
      <c r="Q1930" s="7" t="s">
        <v>3523</v>
      </c>
    </row>
    <row r="1931">
      <c r="A1931" s="7" t="s">
        <v>15243</v>
      </c>
      <c r="B1931" s="7">
        <v>2400235.0</v>
      </c>
      <c r="C1931" s="7" t="s">
        <v>15244</v>
      </c>
      <c r="D1931" s="7" t="s">
        <v>15245</v>
      </c>
      <c r="E1931" s="7" t="s">
        <v>15246</v>
      </c>
      <c r="F1931" s="7" t="s">
        <v>6253</v>
      </c>
      <c r="G1931" s="7" t="s">
        <v>15247</v>
      </c>
      <c r="H1931" s="7" t="s">
        <v>15248</v>
      </c>
      <c r="I1931" s="119">
        <v>45383.0</v>
      </c>
      <c r="K1931" s="7" t="s">
        <v>3642</v>
      </c>
      <c r="L1931" s="7" t="s">
        <v>991</v>
      </c>
      <c r="M1931" s="7" t="s">
        <v>3501</v>
      </c>
      <c r="N1931" s="7" t="s">
        <v>3643</v>
      </c>
      <c r="O1931" s="7" t="s">
        <v>3644</v>
      </c>
      <c r="P1931" s="7" t="s">
        <v>3493</v>
      </c>
      <c r="Q1931" s="7">
        <v>1.0</v>
      </c>
    </row>
    <row r="1932">
      <c r="A1932" s="7" t="s">
        <v>15249</v>
      </c>
      <c r="B1932" s="7">
        <v>2400205.0</v>
      </c>
      <c r="C1932" s="7" t="s">
        <v>12862</v>
      </c>
      <c r="D1932" s="7" t="s">
        <v>15250</v>
      </c>
      <c r="E1932" s="7" t="s">
        <v>12864</v>
      </c>
      <c r="F1932" s="7" t="s">
        <v>11382</v>
      </c>
      <c r="G1932" s="7" t="s">
        <v>15251</v>
      </c>
      <c r="H1932" s="7" t="s">
        <v>15252</v>
      </c>
      <c r="I1932" s="119">
        <v>45383.0</v>
      </c>
      <c r="K1932" s="7" t="s">
        <v>419</v>
      </c>
      <c r="L1932" s="7" t="s">
        <v>991</v>
      </c>
      <c r="M1932" s="7" t="s">
        <v>3501</v>
      </c>
      <c r="N1932" s="7" t="s">
        <v>4367</v>
      </c>
      <c r="O1932" s="7" t="s">
        <v>4368</v>
      </c>
      <c r="P1932" s="7" t="s">
        <v>3493</v>
      </c>
      <c r="Q1932" s="7">
        <v>1.0</v>
      </c>
    </row>
    <row r="1933">
      <c r="A1933" s="7" t="s">
        <v>15253</v>
      </c>
      <c r="B1933" s="7">
        <v>2400227.0</v>
      </c>
      <c r="C1933" s="7" t="s">
        <v>15254</v>
      </c>
      <c r="D1933" s="7" t="s">
        <v>5130</v>
      </c>
      <c r="E1933" s="7" t="s">
        <v>13564</v>
      </c>
      <c r="F1933" s="7" t="s">
        <v>5132</v>
      </c>
      <c r="G1933" s="7" t="s">
        <v>15255</v>
      </c>
      <c r="H1933" s="7" t="s">
        <v>15256</v>
      </c>
      <c r="I1933" s="119">
        <v>45383.0</v>
      </c>
      <c r="K1933" s="7" t="s">
        <v>419</v>
      </c>
      <c r="L1933" s="7" t="s">
        <v>991</v>
      </c>
      <c r="M1933" s="7" t="s">
        <v>3501</v>
      </c>
      <c r="N1933" s="7" t="s">
        <v>12588</v>
      </c>
      <c r="O1933" s="7" t="s">
        <v>15257</v>
      </c>
      <c r="P1933" s="7" t="s">
        <v>3493</v>
      </c>
      <c r="Q1933" s="7">
        <v>1.0</v>
      </c>
    </row>
    <row r="1934">
      <c r="A1934" s="7" t="s">
        <v>15258</v>
      </c>
      <c r="B1934" s="7">
        <v>2400230.0</v>
      </c>
      <c r="C1934" s="7" t="s">
        <v>13569</v>
      </c>
      <c r="D1934" s="7" t="s">
        <v>11678</v>
      </c>
      <c r="E1934" s="7" t="s">
        <v>13571</v>
      </c>
      <c r="F1934" s="7" t="s">
        <v>4068</v>
      </c>
      <c r="G1934" s="7" t="s">
        <v>15259</v>
      </c>
      <c r="H1934" s="7" t="s">
        <v>15260</v>
      </c>
      <c r="I1934" s="119">
        <v>45383.0</v>
      </c>
      <c r="K1934" s="7" t="s">
        <v>419</v>
      </c>
      <c r="L1934" s="7" t="s">
        <v>991</v>
      </c>
      <c r="M1934" s="7" t="s">
        <v>3501</v>
      </c>
      <c r="N1934" s="7" t="s">
        <v>5469</v>
      </c>
      <c r="O1934" s="7" t="s">
        <v>5470</v>
      </c>
      <c r="P1934" s="7" t="s">
        <v>3493</v>
      </c>
      <c r="Q1934" s="7">
        <v>1.0</v>
      </c>
    </row>
    <row r="1935">
      <c r="A1935" s="7" t="s">
        <v>15261</v>
      </c>
      <c r="B1935" s="7">
        <v>2400260.0</v>
      </c>
      <c r="C1935" s="7" t="s">
        <v>13672</v>
      </c>
      <c r="D1935" s="7" t="s">
        <v>14699</v>
      </c>
      <c r="E1935" s="7" t="s">
        <v>13674</v>
      </c>
      <c r="F1935" s="7" t="s">
        <v>3517</v>
      </c>
      <c r="G1935" s="7" t="s">
        <v>15262</v>
      </c>
      <c r="H1935" s="7" t="s">
        <v>15263</v>
      </c>
      <c r="I1935" s="119">
        <v>45383.0</v>
      </c>
      <c r="K1935" s="7" t="s">
        <v>419</v>
      </c>
      <c r="L1935" s="7" t="s">
        <v>991</v>
      </c>
      <c r="M1935" s="7" t="s">
        <v>3583</v>
      </c>
      <c r="N1935" s="7" t="s">
        <v>8550</v>
      </c>
      <c r="O1935" s="7" t="s">
        <v>8551</v>
      </c>
      <c r="P1935" s="7" t="s">
        <v>3493</v>
      </c>
      <c r="Q1935" s="7">
        <v>1.0</v>
      </c>
    </row>
    <row r="1936">
      <c r="A1936" s="7" t="s">
        <v>15264</v>
      </c>
      <c r="B1936" s="7">
        <v>2400246.0</v>
      </c>
      <c r="C1936" s="7" t="s">
        <v>13739</v>
      </c>
      <c r="D1936" s="7" t="s">
        <v>10937</v>
      </c>
      <c r="E1936" s="7" t="s">
        <v>13741</v>
      </c>
      <c r="F1936" s="7" t="s">
        <v>10938</v>
      </c>
      <c r="G1936" s="7" t="s">
        <v>15265</v>
      </c>
      <c r="H1936" s="7" t="s">
        <v>15266</v>
      </c>
      <c r="I1936" s="119">
        <v>45383.0</v>
      </c>
      <c r="K1936" s="7" t="s">
        <v>419</v>
      </c>
      <c r="L1936" s="7" t="s">
        <v>991</v>
      </c>
      <c r="M1936" s="7" t="s">
        <v>3531</v>
      </c>
      <c r="N1936" s="7" t="s">
        <v>5655</v>
      </c>
      <c r="O1936" s="7" t="s">
        <v>15267</v>
      </c>
      <c r="P1936" s="7" t="s">
        <v>3522</v>
      </c>
      <c r="Q1936" s="7" t="s">
        <v>3514</v>
      </c>
    </row>
    <row r="1937">
      <c r="A1937" s="7" t="s">
        <v>15268</v>
      </c>
      <c r="B1937" s="7">
        <v>2400206.0</v>
      </c>
      <c r="C1937" s="7" t="s">
        <v>13898</v>
      </c>
      <c r="D1937" s="7" t="s">
        <v>15269</v>
      </c>
      <c r="E1937" s="7" t="s">
        <v>13900</v>
      </c>
      <c r="F1937" s="7" t="s">
        <v>15270</v>
      </c>
      <c r="G1937" s="7" t="s">
        <v>15271</v>
      </c>
      <c r="H1937" s="7" t="s">
        <v>15272</v>
      </c>
      <c r="I1937" s="119">
        <v>45383.0</v>
      </c>
      <c r="K1937" s="7" t="s">
        <v>419</v>
      </c>
      <c r="L1937" s="7" t="s">
        <v>991</v>
      </c>
      <c r="M1937" s="7" t="s">
        <v>3501</v>
      </c>
      <c r="N1937" s="7" t="s">
        <v>5605</v>
      </c>
      <c r="O1937" s="7" t="s">
        <v>5606</v>
      </c>
      <c r="P1937" s="7" t="s">
        <v>3493</v>
      </c>
      <c r="Q1937" s="7">
        <v>1.0</v>
      </c>
    </row>
    <row r="1938">
      <c r="A1938" s="7" t="s">
        <v>15273</v>
      </c>
      <c r="B1938" s="7">
        <v>2400202.0</v>
      </c>
      <c r="C1938" s="7" t="s">
        <v>14053</v>
      </c>
      <c r="D1938" s="7" t="s">
        <v>14407</v>
      </c>
      <c r="E1938" s="7" t="s">
        <v>9626</v>
      </c>
      <c r="F1938" s="7" t="s">
        <v>6806</v>
      </c>
      <c r="G1938" s="7" t="s">
        <v>15274</v>
      </c>
      <c r="H1938" s="7" t="s">
        <v>15275</v>
      </c>
      <c r="I1938" s="119">
        <v>45383.0</v>
      </c>
      <c r="K1938" s="7" t="s">
        <v>419</v>
      </c>
      <c r="L1938" s="7" t="s">
        <v>991</v>
      </c>
      <c r="M1938" s="7" t="s">
        <v>3501</v>
      </c>
      <c r="N1938" s="7" t="s">
        <v>10645</v>
      </c>
      <c r="O1938" s="7" t="s">
        <v>11498</v>
      </c>
      <c r="P1938" s="7" t="s">
        <v>3493</v>
      </c>
      <c r="Q1938" s="7">
        <v>1.0</v>
      </c>
    </row>
    <row r="1939">
      <c r="A1939" s="7" t="s">
        <v>15276</v>
      </c>
      <c r="B1939" s="7">
        <v>2400233.0</v>
      </c>
      <c r="C1939" s="7" t="s">
        <v>15277</v>
      </c>
      <c r="D1939" s="7" t="s">
        <v>14470</v>
      </c>
      <c r="E1939" s="7" t="s">
        <v>15278</v>
      </c>
      <c r="F1939" s="7" t="s">
        <v>6089</v>
      </c>
      <c r="G1939" s="7" t="s">
        <v>15279</v>
      </c>
      <c r="H1939" s="7" t="s">
        <v>15280</v>
      </c>
      <c r="I1939" s="119">
        <v>45383.0</v>
      </c>
      <c r="K1939" s="7" t="s">
        <v>3632</v>
      </c>
      <c r="L1939" s="7" t="s">
        <v>991</v>
      </c>
      <c r="M1939" s="7" t="s">
        <v>3583</v>
      </c>
      <c r="N1939" s="7" t="s">
        <v>3633</v>
      </c>
      <c r="O1939" s="7" t="s">
        <v>10846</v>
      </c>
      <c r="P1939" s="7" t="s">
        <v>3493</v>
      </c>
      <c r="Q1939" s="7">
        <v>1.0</v>
      </c>
    </row>
    <row r="1940">
      <c r="A1940" s="7" t="s">
        <v>15281</v>
      </c>
      <c r="B1940" s="7">
        <v>2400268.0</v>
      </c>
      <c r="C1940" s="7" t="s">
        <v>14341</v>
      </c>
      <c r="D1940" s="7" t="s">
        <v>15282</v>
      </c>
      <c r="E1940" s="7" t="s">
        <v>14343</v>
      </c>
      <c r="F1940" s="7" t="s">
        <v>6806</v>
      </c>
      <c r="G1940" s="7" t="s">
        <v>15283</v>
      </c>
      <c r="H1940" s="7" t="s">
        <v>15284</v>
      </c>
      <c r="I1940" s="119">
        <v>45383.0</v>
      </c>
      <c r="K1940" s="7" t="s">
        <v>419</v>
      </c>
      <c r="L1940" s="7" t="s">
        <v>991</v>
      </c>
      <c r="M1940" s="7" t="s">
        <v>3531</v>
      </c>
      <c r="N1940" s="7" t="s">
        <v>3652</v>
      </c>
      <c r="O1940" s="7" t="s">
        <v>3653</v>
      </c>
      <c r="P1940" s="7" t="s">
        <v>3493</v>
      </c>
      <c r="Q1940" s="7">
        <v>1.0</v>
      </c>
    </row>
    <row r="1941">
      <c r="A1941" s="7" t="s">
        <v>15285</v>
      </c>
      <c r="B1941" s="7">
        <v>2400248.0</v>
      </c>
      <c r="C1941" s="7" t="s">
        <v>14406</v>
      </c>
      <c r="D1941" s="7" t="s">
        <v>5032</v>
      </c>
      <c r="E1941" s="7" t="s">
        <v>14394</v>
      </c>
      <c r="F1941" s="7" t="s">
        <v>5034</v>
      </c>
      <c r="G1941" s="7" t="s">
        <v>15286</v>
      </c>
      <c r="H1941" s="7" t="s">
        <v>15287</v>
      </c>
      <c r="I1941" s="119">
        <v>45383.0</v>
      </c>
      <c r="K1941" s="7" t="s">
        <v>3489</v>
      </c>
      <c r="L1941" s="7" t="s">
        <v>991</v>
      </c>
      <c r="M1941" s="7" t="s">
        <v>3490</v>
      </c>
      <c r="N1941" s="7" t="s">
        <v>3491</v>
      </c>
      <c r="O1941" s="7" t="s">
        <v>3492</v>
      </c>
      <c r="P1941" s="7" t="s">
        <v>3493</v>
      </c>
      <c r="Q1941" s="7">
        <v>1.0</v>
      </c>
    </row>
    <row r="1942">
      <c r="A1942" s="7" t="s">
        <v>15288</v>
      </c>
      <c r="B1942" s="7">
        <v>2400293.0</v>
      </c>
      <c r="C1942" s="7" t="s">
        <v>15289</v>
      </c>
      <c r="D1942" s="7" t="s">
        <v>15290</v>
      </c>
      <c r="E1942" s="7" t="s">
        <v>15291</v>
      </c>
      <c r="F1942" s="7" t="s">
        <v>9561</v>
      </c>
      <c r="G1942" s="7" t="s">
        <v>15292</v>
      </c>
      <c r="H1942" s="7" t="s">
        <v>15293</v>
      </c>
      <c r="I1942" s="119">
        <v>45398.0</v>
      </c>
      <c r="K1942" s="7" t="s">
        <v>3632</v>
      </c>
      <c r="L1942" s="7" t="s">
        <v>991</v>
      </c>
      <c r="M1942" s="7" t="s">
        <v>3583</v>
      </c>
      <c r="N1942" s="7" t="s">
        <v>4190</v>
      </c>
      <c r="O1942" s="7" t="s">
        <v>4191</v>
      </c>
      <c r="P1942" s="7" t="s">
        <v>3493</v>
      </c>
      <c r="Q1942" s="7">
        <v>1.0</v>
      </c>
    </row>
    <row r="1943">
      <c r="A1943" s="7" t="s">
        <v>15294</v>
      </c>
      <c r="B1943" s="7">
        <v>2400287.0</v>
      </c>
      <c r="C1943" s="7" t="s">
        <v>15295</v>
      </c>
      <c r="D1943" s="7" t="s">
        <v>15296</v>
      </c>
      <c r="E1943" s="7" t="s">
        <v>15297</v>
      </c>
      <c r="F1943" s="7" t="s">
        <v>3739</v>
      </c>
      <c r="G1943" s="7" t="s">
        <v>15298</v>
      </c>
      <c r="I1943" s="119">
        <v>45398.0</v>
      </c>
      <c r="K1943" s="7" t="s">
        <v>419</v>
      </c>
      <c r="L1943" s="7" t="s">
        <v>991</v>
      </c>
      <c r="M1943" s="7" t="s">
        <v>3531</v>
      </c>
      <c r="N1943" s="7" t="s">
        <v>3820</v>
      </c>
      <c r="O1943" s="7" t="s">
        <v>3821</v>
      </c>
      <c r="P1943" s="7" t="s">
        <v>3493</v>
      </c>
      <c r="Q1943" s="7">
        <v>1.0</v>
      </c>
    </row>
    <row r="1944">
      <c r="A1944" s="7" t="s">
        <v>15299</v>
      </c>
      <c r="B1944" s="7">
        <v>2400291.0</v>
      </c>
      <c r="C1944" s="7" t="s">
        <v>15300</v>
      </c>
      <c r="D1944" s="7" t="s">
        <v>5527</v>
      </c>
      <c r="E1944" s="7" t="s">
        <v>9500</v>
      </c>
      <c r="F1944" s="7" t="s">
        <v>5529</v>
      </c>
      <c r="G1944" s="7" t="s">
        <v>15301</v>
      </c>
      <c r="H1944" s="7" t="s">
        <v>15302</v>
      </c>
      <c r="I1944" s="119">
        <v>45398.0</v>
      </c>
      <c r="K1944" s="7" t="s">
        <v>3632</v>
      </c>
      <c r="L1944" s="7" t="s">
        <v>991</v>
      </c>
      <c r="M1944" s="7" t="s">
        <v>3531</v>
      </c>
      <c r="N1944" s="7" t="s">
        <v>4112</v>
      </c>
      <c r="O1944" s="7" t="s">
        <v>11150</v>
      </c>
      <c r="P1944" s="7" t="s">
        <v>3493</v>
      </c>
      <c r="Q1944" s="7">
        <v>1.0</v>
      </c>
    </row>
    <row r="1945">
      <c r="A1945" s="7" t="s">
        <v>15303</v>
      </c>
      <c r="B1945" s="7">
        <v>2400294.0</v>
      </c>
      <c r="C1945" s="7" t="s">
        <v>10328</v>
      </c>
      <c r="D1945" s="7" t="s">
        <v>15304</v>
      </c>
      <c r="E1945" s="7" t="s">
        <v>10330</v>
      </c>
      <c r="F1945" s="7" t="s">
        <v>10306</v>
      </c>
      <c r="G1945" s="7" t="s">
        <v>15305</v>
      </c>
      <c r="H1945" s="7" t="s">
        <v>15306</v>
      </c>
      <c r="I1945" s="119">
        <v>45398.0</v>
      </c>
      <c r="K1945" s="7" t="s">
        <v>419</v>
      </c>
      <c r="L1945" s="7" t="s">
        <v>991</v>
      </c>
      <c r="M1945" s="7" t="s">
        <v>3531</v>
      </c>
      <c r="N1945" s="7" t="s">
        <v>6473</v>
      </c>
      <c r="O1945" s="7" t="s">
        <v>6474</v>
      </c>
      <c r="P1945" s="7" t="s">
        <v>3493</v>
      </c>
      <c r="Q1945" s="7">
        <v>1.0</v>
      </c>
    </row>
    <row r="1946">
      <c r="A1946" s="7" t="s">
        <v>15307</v>
      </c>
      <c r="B1946" s="7">
        <v>2400296.0</v>
      </c>
      <c r="C1946" s="7" t="s">
        <v>10733</v>
      </c>
      <c r="D1946" s="7" t="s">
        <v>15308</v>
      </c>
      <c r="E1946" s="7" t="s">
        <v>10735</v>
      </c>
      <c r="F1946" s="7" t="s">
        <v>15309</v>
      </c>
      <c r="G1946" s="7" t="s">
        <v>15310</v>
      </c>
      <c r="H1946" s="7" t="s">
        <v>15311</v>
      </c>
      <c r="I1946" s="119">
        <v>45398.0</v>
      </c>
      <c r="K1946" s="7" t="s">
        <v>3622</v>
      </c>
      <c r="L1946" s="7" t="s">
        <v>991</v>
      </c>
      <c r="M1946" s="7" t="s">
        <v>3531</v>
      </c>
      <c r="N1946" s="7" t="s">
        <v>3623</v>
      </c>
      <c r="O1946" s="7" t="s">
        <v>3624</v>
      </c>
      <c r="P1946" s="7" t="s">
        <v>3493</v>
      </c>
      <c r="Q1946" s="7">
        <v>1.0</v>
      </c>
    </row>
    <row r="1947">
      <c r="A1947" s="7" t="s">
        <v>15312</v>
      </c>
      <c r="B1947" s="7">
        <v>2400295.0</v>
      </c>
      <c r="C1947" s="7" t="s">
        <v>11691</v>
      </c>
      <c r="D1947" s="7" t="s">
        <v>5713</v>
      </c>
      <c r="E1947" s="7" t="s">
        <v>11693</v>
      </c>
      <c r="F1947" s="7" t="s">
        <v>5715</v>
      </c>
      <c r="G1947" s="7" t="s">
        <v>15313</v>
      </c>
      <c r="I1947" s="119">
        <v>45398.0</v>
      </c>
      <c r="K1947" s="7" t="s">
        <v>419</v>
      </c>
      <c r="L1947" s="7" t="s">
        <v>991</v>
      </c>
      <c r="M1947" s="7" t="s">
        <v>3531</v>
      </c>
      <c r="N1947" s="7" t="s">
        <v>5197</v>
      </c>
      <c r="O1947" s="7" t="s">
        <v>5198</v>
      </c>
      <c r="P1947" s="7" t="s">
        <v>3493</v>
      </c>
      <c r="Q1947" s="7">
        <v>1.0</v>
      </c>
    </row>
    <row r="1948">
      <c r="A1948" s="7" t="s">
        <v>15314</v>
      </c>
      <c r="B1948" s="7">
        <v>2400288.0</v>
      </c>
      <c r="C1948" s="7" t="s">
        <v>15315</v>
      </c>
      <c r="D1948" s="7" t="s">
        <v>15316</v>
      </c>
      <c r="E1948" s="7" t="s">
        <v>15317</v>
      </c>
      <c r="F1948" s="7" t="s">
        <v>9910</v>
      </c>
      <c r="G1948" s="7" t="s">
        <v>15318</v>
      </c>
      <c r="H1948" s="7" t="s">
        <v>15319</v>
      </c>
      <c r="I1948" s="119">
        <v>45398.0</v>
      </c>
      <c r="K1948" s="7" t="s">
        <v>419</v>
      </c>
      <c r="L1948" s="7" t="s">
        <v>991</v>
      </c>
      <c r="M1948" s="7" t="s">
        <v>3531</v>
      </c>
      <c r="N1948" s="7" t="s">
        <v>4727</v>
      </c>
      <c r="O1948" s="7" t="s">
        <v>4728</v>
      </c>
      <c r="P1948" s="7" t="s">
        <v>3493</v>
      </c>
      <c r="Q1948" s="7">
        <v>1.0</v>
      </c>
    </row>
    <row r="1949">
      <c r="A1949" s="7" t="s">
        <v>15320</v>
      </c>
      <c r="B1949" s="7">
        <v>3000019.0</v>
      </c>
      <c r="C1949" s="7" t="s">
        <v>15321</v>
      </c>
      <c r="D1949" s="7" t="s">
        <v>8452</v>
      </c>
      <c r="E1949" s="7" t="s">
        <v>15322</v>
      </c>
      <c r="F1949" s="7" t="s">
        <v>6089</v>
      </c>
      <c r="G1949" s="7" t="s">
        <v>15323</v>
      </c>
      <c r="H1949" s="7" t="s">
        <v>15324</v>
      </c>
      <c r="I1949" s="119">
        <v>45413.0</v>
      </c>
      <c r="K1949" s="7" t="s">
        <v>3622</v>
      </c>
      <c r="L1949" s="7" t="s">
        <v>991</v>
      </c>
      <c r="M1949" s="7" t="s">
        <v>3531</v>
      </c>
      <c r="N1949" s="7" t="s">
        <v>3623</v>
      </c>
      <c r="O1949" s="7" t="s">
        <v>3624</v>
      </c>
      <c r="P1949" s="7" t="s">
        <v>3493</v>
      </c>
      <c r="Q1949" s="7">
        <v>1.0</v>
      </c>
    </row>
    <row r="1950">
      <c r="A1950" s="7" t="s">
        <v>15325</v>
      </c>
      <c r="B1950" s="7">
        <v>3000024.0</v>
      </c>
      <c r="C1950" s="7" t="s">
        <v>15326</v>
      </c>
      <c r="D1950" s="7" t="s">
        <v>8565</v>
      </c>
      <c r="E1950" s="7" t="s">
        <v>15327</v>
      </c>
      <c r="F1950" s="7" t="s">
        <v>7066</v>
      </c>
      <c r="G1950" s="7" t="s">
        <v>15328</v>
      </c>
      <c r="H1950" s="7" t="s">
        <v>15329</v>
      </c>
      <c r="I1950" s="119">
        <v>45413.0</v>
      </c>
      <c r="K1950" s="7" t="s">
        <v>3642</v>
      </c>
      <c r="L1950" s="7" t="s">
        <v>991</v>
      </c>
      <c r="M1950" s="7" t="s">
        <v>3501</v>
      </c>
      <c r="N1950" s="7" t="s">
        <v>3643</v>
      </c>
      <c r="O1950" s="7" t="s">
        <v>3644</v>
      </c>
      <c r="P1950" s="7" t="s">
        <v>3493</v>
      </c>
      <c r="Q1950" s="7">
        <v>1.0</v>
      </c>
    </row>
    <row r="1951">
      <c r="A1951" s="7" t="s">
        <v>15330</v>
      </c>
      <c r="B1951" s="7">
        <v>3000023.0</v>
      </c>
      <c r="C1951" s="7" t="s">
        <v>15331</v>
      </c>
      <c r="D1951" s="7" t="s">
        <v>10287</v>
      </c>
      <c r="E1951" s="7" t="s">
        <v>15332</v>
      </c>
      <c r="F1951" s="7" t="s">
        <v>4751</v>
      </c>
      <c r="G1951" s="7" t="s">
        <v>15333</v>
      </c>
      <c r="H1951" s="7" t="s">
        <v>15334</v>
      </c>
      <c r="I1951" s="119">
        <v>45413.0</v>
      </c>
      <c r="K1951" s="7" t="s">
        <v>3642</v>
      </c>
      <c r="L1951" s="7" t="s">
        <v>991</v>
      </c>
      <c r="M1951" s="7" t="s">
        <v>3501</v>
      </c>
      <c r="N1951" s="7" t="s">
        <v>3643</v>
      </c>
      <c r="O1951" s="7" t="s">
        <v>3644</v>
      </c>
      <c r="P1951" s="7" t="s">
        <v>3493</v>
      </c>
      <c r="Q1951" s="7">
        <v>1.0</v>
      </c>
    </row>
    <row r="1952">
      <c r="A1952" s="7" t="s">
        <v>15335</v>
      </c>
      <c r="B1952" s="7">
        <v>3000021.0</v>
      </c>
      <c r="C1952" s="7" t="s">
        <v>15336</v>
      </c>
      <c r="D1952" s="7" t="s">
        <v>5153</v>
      </c>
      <c r="E1952" s="7" t="s">
        <v>15337</v>
      </c>
      <c r="F1952" s="7" t="s">
        <v>5155</v>
      </c>
      <c r="G1952" s="7" t="s">
        <v>15338</v>
      </c>
      <c r="H1952" s="7" t="s">
        <v>15339</v>
      </c>
      <c r="I1952" s="119">
        <v>45413.0</v>
      </c>
      <c r="K1952" s="7" t="s">
        <v>3642</v>
      </c>
      <c r="L1952" s="7" t="s">
        <v>991</v>
      </c>
      <c r="M1952" s="7" t="s">
        <v>3501</v>
      </c>
      <c r="N1952" s="7" t="s">
        <v>3643</v>
      </c>
      <c r="O1952" s="7" t="s">
        <v>3644</v>
      </c>
      <c r="P1952" s="7" t="s">
        <v>3493</v>
      </c>
      <c r="Q1952" s="7">
        <v>1.0</v>
      </c>
    </row>
    <row r="1953">
      <c r="A1953" s="7" t="s">
        <v>15340</v>
      </c>
      <c r="B1953" s="7">
        <v>3000011.0</v>
      </c>
      <c r="C1953" s="7" t="s">
        <v>7853</v>
      </c>
      <c r="D1953" s="7" t="s">
        <v>15341</v>
      </c>
      <c r="E1953" s="7" t="s">
        <v>7854</v>
      </c>
      <c r="F1953" s="7" t="s">
        <v>5229</v>
      </c>
      <c r="G1953" s="7" t="s">
        <v>15342</v>
      </c>
      <c r="H1953" s="7" t="s">
        <v>15343</v>
      </c>
      <c r="I1953" s="119">
        <v>45413.0</v>
      </c>
      <c r="K1953" s="7" t="s">
        <v>419</v>
      </c>
      <c r="L1953" s="7" t="s">
        <v>991</v>
      </c>
      <c r="M1953" s="7" t="s">
        <v>3501</v>
      </c>
      <c r="N1953" s="7" t="s">
        <v>8390</v>
      </c>
      <c r="O1953" s="7" t="s">
        <v>8391</v>
      </c>
      <c r="P1953" s="7" t="s">
        <v>3493</v>
      </c>
      <c r="Q1953" s="7">
        <v>1.0</v>
      </c>
    </row>
    <row r="1954">
      <c r="A1954" s="7" t="s">
        <v>15344</v>
      </c>
      <c r="B1954" s="7">
        <v>3000018.0</v>
      </c>
      <c r="C1954" s="7" t="s">
        <v>8089</v>
      </c>
      <c r="D1954" s="7" t="s">
        <v>15345</v>
      </c>
      <c r="E1954" s="7" t="s">
        <v>8074</v>
      </c>
      <c r="F1954" s="7" t="s">
        <v>15346</v>
      </c>
      <c r="G1954" s="7" t="s">
        <v>15347</v>
      </c>
      <c r="H1954" s="7" t="s">
        <v>15348</v>
      </c>
      <c r="I1954" s="119">
        <v>45413.0</v>
      </c>
      <c r="K1954" s="7" t="s">
        <v>419</v>
      </c>
      <c r="L1954" s="7" t="s">
        <v>991</v>
      </c>
      <c r="M1954" s="7" t="s">
        <v>3531</v>
      </c>
      <c r="N1954" s="7" t="s">
        <v>8102</v>
      </c>
      <c r="O1954" s="7" t="s">
        <v>8103</v>
      </c>
      <c r="P1954" s="7" t="s">
        <v>3493</v>
      </c>
      <c r="Q1954" s="7">
        <v>1.0</v>
      </c>
    </row>
    <row r="1955">
      <c r="A1955" s="7" t="s">
        <v>15349</v>
      </c>
      <c r="B1955" s="7">
        <v>3000022.0</v>
      </c>
      <c r="C1955" s="7" t="s">
        <v>11787</v>
      </c>
      <c r="D1955" s="7" t="s">
        <v>15350</v>
      </c>
      <c r="E1955" s="7" t="s">
        <v>11789</v>
      </c>
      <c r="F1955" s="7" t="s">
        <v>3799</v>
      </c>
      <c r="G1955" s="7" t="s">
        <v>15351</v>
      </c>
      <c r="H1955" s="7" t="s">
        <v>15352</v>
      </c>
      <c r="I1955" s="119">
        <v>45413.0</v>
      </c>
      <c r="K1955" s="7" t="s">
        <v>3642</v>
      </c>
      <c r="L1955" s="7" t="s">
        <v>991</v>
      </c>
      <c r="M1955" s="7" t="s">
        <v>3501</v>
      </c>
      <c r="N1955" s="7" t="s">
        <v>3643</v>
      </c>
      <c r="O1955" s="7" t="s">
        <v>3644</v>
      </c>
      <c r="P1955" s="7" t="s">
        <v>3493</v>
      </c>
      <c r="Q1955" s="7">
        <v>1.0</v>
      </c>
    </row>
    <row r="1956">
      <c r="A1956" s="7" t="s">
        <v>15353</v>
      </c>
      <c r="B1956" s="7">
        <v>3000020.0</v>
      </c>
      <c r="C1956" s="7" t="s">
        <v>12078</v>
      </c>
      <c r="D1956" s="7" t="s">
        <v>15354</v>
      </c>
      <c r="E1956" s="7" t="s">
        <v>12080</v>
      </c>
      <c r="F1956" s="7" t="s">
        <v>15355</v>
      </c>
      <c r="G1956" s="7" t="s">
        <v>15356</v>
      </c>
      <c r="H1956" s="7" t="s">
        <v>15357</v>
      </c>
      <c r="I1956" s="119">
        <v>45413.0</v>
      </c>
      <c r="K1956" s="7" t="s">
        <v>3642</v>
      </c>
      <c r="L1956" s="7" t="s">
        <v>991</v>
      </c>
      <c r="M1956" s="7" t="s">
        <v>3501</v>
      </c>
      <c r="N1956" s="7" t="s">
        <v>3643</v>
      </c>
      <c r="O1956" s="7" t="s">
        <v>3644</v>
      </c>
      <c r="P1956" s="7" t="s">
        <v>3493</v>
      </c>
      <c r="Q1956" s="7">
        <v>1.0</v>
      </c>
    </row>
    <row r="1957">
      <c r="A1957" s="7" t="s">
        <v>15358</v>
      </c>
      <c r="B1957" s="7">
        <v>3000026.0</v>
      </c>
      <c r="C1957" s="7" t="s">
        <v>15359</v>
      </c>
      <c r="D1957" s="7" t="s">
        <v>15360</v>
      </c>
      <c r="E1957" s="7" t="s">
        <v>9626</v>
      </c>
      <c r="F1957" s="7" t="s">
        <v>15361</v>
      </c>
      <c r="G1957" s="7" t="s">
        <v>15362</v>
      </c>
      <c r="H1957" s="7" t="s">
        <v>15363</v>
      </c>
      <c r="I1957" s="119">
        <v>45413.0</v>
      </c>
      <c r="K1957" s="7" t="s">
        <v>419</v>
      </c>
      <c r="L1957" s="7" t="s">
        <v>991</v>
      </c>
      <c r="M1957" s="7" t="s">
        <v>3531</v>
      </c>
      <c r="N1957" s="7" t="s">
        <v>14286</v>
      </c>
      <c r="O1957" s="7" t="s">
        <v>14287</v>
      </c>
      <c r="P1957" s="7" t="s">
        <v>3493</v>
      </c>
      <c r="Q1957" s="7">
        <v>1.0</v>
      </c>
    </row>
    <row r="1958">
      <c r="A1958" s="7" t="s">
        <v>15364</v>
      </c>
      <c r="B1958" s="7">
        <v>3000036.0</v>
      </c>
      <c r="C1958" s="7" t="s">
        <v>15365</v>
      </c>
      <c r="D1958" s="7" t="s">
        <v>15366</v>
      </c>
      <c r="E1958" s="7" t="s">
        <v>15367</v>
      </c>
      <c r="F1958" s="7" t="s">
        <v>15368</v>
      </c>
      <c r="G1958" s="7" t="s">
        <v>15369</v>
      </c>
      <c r="H1958" s="7" t="s">
        <v>15370</v>
      </c>
      <c r="I1958" s="119">
        <v>45428.0</v>
      </c>
      <c r="K1958" s="7" t="s">
        <v>3642</v>
      </c>
      <c r="L1958" s="7" t="s">
        <v>991</v>
      </c>
      <c r="M1958" s="7" t="s">
        <v>3501</v>
      </c>
      <c r="N1958" s="7" t="s">
        <v>3643</v>
      </c>
      <c r="O1958" s="7" t="s">
        <v>3644</v>
      </c>
      <c r="P1958" s="7" t="s">
        <v>3493</v>
      </c>
      <c r="Q1958" s="7">
        <v>1.0</v>
      </c>
    </row>
    <row r="1959">
      <c r="A1959" s="7" t="s">
        <v>15371</v>
      </c>
      <c r="B1959" s="7">
        <v>3000039.0</v>
      </c>
      <c r="C1959" s="7" t="s">
        <v>7853</v>
      </c>
      <c r="D1959" s="7" t="s">
        <v>15372</v>
      </c>
      <c r="E1959" s="7" t="s">
        <v>7854</v>
      </c>
      <c r="F1959" s="7" t="s">
        <v>15373</v>
      </c>
      <c r="G1959" s="7" t="s">
        <v>15374</v>
      </c>
      <c r="H1959" s="7" t="s">
        <v>15375</v>
      </c>
      <c r="I1959" s="119">
        <v>45428.0</v>
      </c>
      <c r="K1959" s="7" t="s">
        <v>3642</v>
      </c>
      <c r="L1959" s="7" t="s">
        <v>991</v>
      </c>
      <c r="M1959" s="7" t="s">
        <v>3583</v>
      </c>
      <c r="N1959" s="7" t="s">
        <v>3643</v>
      </c>
      <c r="O1959" s="7" t="s">
        <v>3644</v>
      </c>
      <c r="P1959" s="7" t="s">
        <v>3493</v>
      </c>
      <c r="Q1959" s="7">
        <v>1.0</v>
      </c>
    </row>
    <row r="1960">
      <c r="A1960" s="7" t="s">
        <v>15376</v>
      </c>
      <c r="B1960" s="7">
        <v>3000041.0</v>
      </c>
      <c r="C1960" s="7" t="s">
        <v>8766</v>
      </c>
      <c r="D1960" s="7" t="s">
        <v>15377</v>
      </c>
      <c r="E1960" s="7" t="s">
        <v>8768</v>
      </c>
      <c r="F1960" s="7" t="s">
        <v>15378</v>
      </c>
      <c r="G1960" s="7" t="s">
        <v>15379</v>
      </c>
      <c r="H1960" s="7" t="s">
        <v>15380</v>
      </c>
      <c r="I1960" s="119">
        <v>45428.0</v>
      </c>
      <c r="K1960" s="7" t="s">
        <v>15381</v>
      </c>
      <c r="L1960" s="7" t="s">
        <v>991</v>
      </c>
      <c r="M1960" s="7" t="s">
        <v>4644</v>
      </c>
      <c r="N1960" s="7" t="s">
        <v>15382</v>
      </c>
      <c r="O1960" s="7" t="s">
        <v>15383</v>
      </c>
      <c r="P1960" s="7" t="s">
        <v>420</v>
      </c>
      <c r="Q1960" s="7">
        <v>1.0</v>
      </c>
    </row>
    <row r="1961">
      <c r="A1961" s="7" t="s">
        <v>15384</v>
      </c>
      <c r="B1961" s="7">
        <v>3000042.0</v>
      </c>
      <c r="C1961" s="7" t="s">
        <v>9833</v>
      </c>
      <c r="D1961" s="7" t="s">
        <v>15385</v>
      </c>
      <c r="E1961" s="7" t="s">
        <v>9834</v>
      </c>
      <c r="F1961" s="7" t="s">
        <v>15386</v>
      </c>
      <c r="G1961" s="7" t="s">
        <v>15387</v>
      </c>
      <c r="H1961" s="7" t="s">
        <v>15388</v>
      </c>
      <c r="I1961" s="119">
        <v>45428.0</v>
      </c>
      <c r="K1961" s="7" t="s">
        <v>15381</v>
      </c>
      <c r="L1961" s="7" t="s">
        <v>991</v>
      </c>
      <c r="M1961" s="7" t="s">
        <v>3501</v>
      </c>
      <c r="N1961" s="7" t="s">
        <v>15382</v>
      </c>
      <c r="O1961" s="7" t="s">
        <v>15383</v>
      </c>
      <c r="P1961" s="7" t="s">
        <v>3493</v>
      </c>
      <c r="Q1961" s="7">
        <v>1.0</v>
      </c>
    </row>
    <row r="1962">
      <c r="A1962" s="7" t="s">
        <v>15389</v>
      </c>
      <c r="B1962" s="7">
        <v>3000008.0</v>
      </c>
      <c r="C1962" s="7" t="s">
        <v>15390</v>
      </c>
      <c r="D1962" s="7" t="s">
        <v>15391</v>
      </c>
      <c r="E1962" s="7" t="s">
        <v>15392</v>
      </c>
      <c r="F1962" s="7" t="s">
        <v>15393</v>
      </c>
      <c r="G1962" s="7" t="s">
        <v>15394</v>
      </c>
      <c r="H1962" s="7" t="s">
        <v>15395</v>
      </c>
      <c r="I1962" s="119">
        <v>45428.0</v>
      </c>
      <c r="K1962" s="7" t="s">
        <v>419</v>
      </c>
      <c r="L1962" s="7" t="s">
        <v>991</v>
      </c>
      <c r="M1962" s="7" t="s">
        <v>3501</v>
      </c>
      <c r="N1962" s="7" t="s">
        <v>12768</v>
      </c>
      <c r="O1962" s="7" t="s">
        <v>15396</v>
      </c>
      <c r="P1962" s="7" t="s">
        <v>3522</v>
      </c>
      <c r="Q1962" s="7" t="s">
        <v>3523</v>
      </c>
    </row>
    <row r="1963">
      <c r="A1963" s="7" t="s">
        <v>15397</v>
      </c>
      <c r="B1963" s="7">
        <v>3000040.0</v>
      </c>
      <c r="C1963" s="7" t="s">
        <v>13801</v>
      </c>
      <c r="D1963" s="7" t="s">
        <v>15398</v>
      </c>
      <c r="E1963" s="7" t="s">
        <v>13803</v>
      </c>
      <c r="F1963" s="7" t="s">
        <v>15399</v>
      </c>
      <c r="G1963" s="7" t="s">
        <v>15400</v>
      </c>
      <c r="H1963" s="7" t="s">
        <v>15401</v>
      </c>
      <c r="I1963" s="119">
        <v>45428.0</v>
      </c>
      <c r="K1963" s="7" t="s">
        <v>15381</v>
      </c>
      <c r="L1963" s="7" t="s">
        <v>991</v>
      </c>
      <c r="M1963" s="7" t="s">
        <v>4644</v>
      </c>
      <c r="N1963" s="7" t="s">
        <v>15382</v>
      </c>
      <c r="O1963" s="7" t="s">
        <v>15383</v>
      </c>
      <c r="P1963" s="7" t="s">
        <v>7953</v>
      </c>
      <c r="Q1963" s="7">
        <v>1.0</v>
      </c>
    </row>
    <row r="1964">
      <c r="A1964" s="7" t="s">
        <v>15402</v>
      </c>
      <c r="B1964" s="7">
        <v>3000060.0</v>
      </c>
      <c r="C1964" s="7" t="s">
        <v>15403</v>
      </c>
      <c r="D1964" s="7" t="s">
        <v>15404</v>
      </c>
      <c r="E1964" s="7" t="s">
        <v>15405</v>
      </c>
      <c r="F1964" s="7" t="s">
        <v>15406</v>
      </c>
      <c r="G1964" s="7" t="s">
        <v>15407</v>
      </c>
      <c r="H1964" s="7" t="s">
        <v>15408</v>
      </c>
      <c r="I1964" s="119">
        <v>45444.0</v>
      </c>
      <c r="K1964" s="7" t="s">
        <v>3632</v>
      </c>
      <c r="L1964" s="7" t="s">
        <v>991</v>
      </c>
      <c r="M1964" s="7" t="s">
        <v>3583</v>
      </c>
      <c r="N1964" s="7" t="s">
        <v>9234</v>
      </c>
      <c r="O1964" s="7" t="s">
        <v>15409</v>
      </c>
      <c r="P1964" s="7" t="s">
        <v>3522</v>
      </c>
      <c r="Q1964" s="7" t="s">
        <v>3514</v>
      </c>
    </row>
    <row r="1965">
      <c r="A1965" s="7" t="s">
        <v>15410</v>
      </c>
      <c r="B1965" s="7">
        <v>3000006.0</v>
      </c>
      <c r="C1965" s="7" t="s">
        <v>5976</v>
      </c>
      <c r="D1965" s="7" t="s">
        <v>15411</v>
      </c>
      <c r="E1965" s="7" t="s">
        <v>5977</v>
      </c>
      <c r="F1965" s="7" t="s">
        <v>5049</v>
      </c>
      <c r="G1965" s="7" t="s">
        <v>15412</v>
      </c>
      <c r="H1965" s="7" t="s">
        <v>15413</v>
      </c>
      <c r="I1965" s="119">
        <v>45444.0</v>
      </c>
      <c r="K1965" s="7" t="s">
        <v>419</v>
      </c>
      <c r="L1965" s="7" t="s">
        <v>991</v>
      </c>
      <c r="M1965" s="7" t="s">
        <v>3501</v>
      </c>
      <c r="N1965" s="7" t="s">
        <v>6197</v>
      </c>
      <c r="O1965" s="7" t="s">
        <v>15414</v>
      </c>
      <c r="P1965" s="7" t="s">
        <v>3493</v>
      </c>
      <c r="Q1965" s="7">
        <v>1.0</v>
      </c>
    </row>
    <row r="1966">
      <c r="A1966" s="7" t="s">
        <v>15415</v>
      </c>
      <c r="B1966" s="7">
        <v>3000234.0</v>
      </c>
      <c r="C1966" s="7" t="s">
        <v>15416</v>
      </c>
      <c r="D1966" s="7" t="s">
        <v>9805</v>
      </c>
      <c r="E1966" s="7" t="s">
        <v>15417</v>
      </c>
      <c r="F1966" s="7" t="s">
        <v>4598</v>
      </c>
      <c r="G1966" s="7" t="s">
        <v>15418</v>
      </c>
      <c r="H1966" s="7" t="s">
        <v>15419</v>
      </c>
      <c r="I1966" s="119">
        <v>45536.0</v>
      </c>
      <c r="K1966" s="7" t="s">
        <v>11974</v>
      </c>
      <c r="L1966" s="7" t="s">
        <v>991</v>
      </c>
      <c r="M1966" s="7" t="s">
        <v>3501</v>
      </c>
      <c r="N1966" s="7" t="s">
        <v>11975</v>
      </c>
      <c r="O1966" s="7" t="s">
        <v>11976</v>
      </c>
      <c r="P1966" s="7" t="s">
        <v>3493</v>
      </c>
      <c r="Q1966" s="7">
        <v>1.0</v>
      </c>
    </row>
    <row r="1967">
      <c r="A1967" s="7" t="s">
        <v>15420</v>
      </c>
      <c r="B1967" s="7">
        <v>3000043.0</v>
      </c>
      <c r="C1967" s="7" t="s">
        <v>15421</v>
      </c>
      <c r="D1967" s="7" t="s">
        <v>15422</v>
      </c>
      <c r="E1967" s="7" t="s">
        <v>6806</v>
      </c>
      <c r="F1967" s="7" t="s">
        <v>10131</v>
      </c>
      <c r="G1967" s="7" t="s">
        <v>15423</v>
      </c>
      <c r="H1967" s="7" t="s">
        <v>15424</v>
      </c>
      <c r="I1967" s="119">
        <v>45444.0</v>
      </c>
      <c r="K1967" s="7" t="s">
        <v>419</v>
      </c>
      <c r="L1967" s="7" t="s">
        <v>991</v>
      </c>
      <c r="M1967" s="7" t="s">
        <v>3501</v>
      </c>
      <c r="N1967" s="7" t="s">
        <v>8919</v>
      </c>
      <c r="O1967" s="7" t="s">
        <v>8920</v>
      </c>
      <c r="P1967" s="7" t="s">
        <v>3493</v>
      </c>
      <c r="Q1967" s="7">
        <v>1.0</v>
      </c>
    </row>
    <row r="1968">
      <c r="A1968" s="7" t="s">
        <v>15425</v>
      </c>
      <c r="B1968" s="7">
        <v>3000062.0</v>
      </c>
      <c r="C1968" s="7" t="s">
        <v>7626</v>
      </c>
      <c r="D1968" s="7" t="s">
        <v>15426</v>
      </c>
      <c r="E1968" s="7" t="s">
        <v>7628</v>
      </c>
      <c r="F1968" s="7" t="s">
        <v>8129</v>
      </c>
      <c r="G1968" s="7" t="s">
        <v>15427</v>
      </c>
      <c r="H1968" s="7" t="s">
        <v>15428</v>
      </c>
      <c r="I1968" s="119">
        <v>45444.0</v>
      </c>
      <c r="K1968" s="7" t="s">
        <v>3622</v>
      </c>
      <c r="L1968" s="7" t="s">
        <v>991</v>
      </c>
      <c r="M1968" s="7" t="s">
        <v>3531</v>
      </c>
      <c r="N1968" s="7" t="s">
        <v>3623</v>
      </c>
      <c r="O1968" s="7" t="s">
        <v>3624</v>
      </c>
      <c r="P1968" s="7" t="s">
        <v>3493</v>
      </c>
      <c r="Q1968" s="7">
        <v>1.0</v>
      </c>
    </row>
    <row r="1969">
      <c r="A1969" s="7" t="s">
        <v>15429</v>
      </c>
      <c r="B1969" s="7">
        <v>3000005.0</v>
      </c>
      <c r="C1969" s="7" t="s">
        <v>8564</v>
      </c>
      <c r="D1969" s="7" t="s">
        <v>15430</v>
      </c>
      <c r="E1969" s="7" t="s">
        <v>8566</v>
      </c>
      <c r="F1969" s="7" t="s">
        <v>13059</v>
      </c>
      <c r="G1969" s="7" t="s">
        <v>15431</v>
      </c>
      <c r="H1969" s="7" t="s">
        <v>15432</v>
      </c>
      <c r="I1969" s="119">
        <v>45444.0</v>
      </c>
      <c r="K1969" s="7" t="s">
        <v>419</v>
      </c>
      <c r="L1969" s="7" t="s">
        <v>991</v>
      </c>
      <c r="M1969" s="7" t="s">
        <v>3501</v>
      </c>
      <c r="N1969" s="7" t="s">
        <v>13336</v>
      </c>
      <c r="O1969" s="7" t="s">
        <v>13337</v>
      </c>
      <c r="P1969" s="7" t="s">
        <v>3843</v>
      </c>
      <c r="Q1969" s="7">
        <v>1.0</v>
      </c>
    </row>
    <row r="1970">
      <c r="A1970" s="7" t="s">
        <v>15433</v>
      </c>
      <c r="B1970" s="7">
        <v>3000004.0</v>
      </c>
      <c r="C1970" s="7" t="s">
        <v>10957</v>
      </c>
      <c r="D1970" s="7" t="s">
        <v>15434</v>
      </c>
      <c r="E1970" s="7" t="s">
        <v>10959</v>
      </c>
      <c r="F1970" s="7" t="s">
        <v>3498</v>
      </c>
      <c r="G1970" s="7" t="s">
        <v>15435</v>
      </c>
      <c r="H1970" s="7" t="s">
        <v>15436</v>
      </c>
      <c r="I1970" s="119">
        <v>45444.0</v>
      </c>
      <c r="K1970" s="7" t="s">
        <v>419</v>
      </c>
      <c r="L1970" s="7" t="s">
        <v>991</v>
      </c>
      <c r="M1970" s="7" t="s">
        <v>3501</v>
      </c>
      <c r="N1970" s="7" t="s">
        <v>7623</v>
      </c>
      <c r="O1970" s="7" t="s">
        <v>15437</v>
      </c>
      <c r="P1970" s="7" t="s">
        <v>8981</v>
      </c>
      <c r="Q1970" s="7" t="s">
        <v>3555</v>
      </c>
    </row>
    <row r="1971">
      <c r="A1971" s="7" t="s">
        <v>15438</v>
      </c>
      <c r="B1971" s="7">
        <v>3000017.0</v>
      </c>
      <c r="C1971" s="7" t="s">
        <v>15439</v>
      </c>
      <c r="D1971" s="7" t="s">
        <v>15440</v>
      </c>
      <c r="E1971" s="7" t="s">
        <v>15441</v>
      </c>
      <c r="F1971" s="7" t="s">
        <v>5417</v>
      </c>
      <c r="G1971" s="7" t="s">
        <v>15442</v>
      </c>
      <c r="H1971" s="7" t="s">
        <v>15443</v>
      </c>
      <c r="I1971" s="119">
        <v>45444.0</v>
      </c>
      <c r="K1971" s="7" t="s">
        <v>419</v>
      </c>
      <c r="L1971" s="7" t="s">
        <v>991</v>
      </c>
      <c r="M1971" s="7" t="s">
        <v>3501</v>
      </c>
      <c r="N1971" s="7" t="s">
        <v>13401</v>
      </c>
      <c r="O1971" s="7" t="s">
        <v>14672</v>
      </c>
      <c r="P1971" s="7" t="s">
        <v>3493</v>
      </c>
      <c r="Q1971" s="7">
        <v>1.0</v>
      </c>
    </row>
    <row r="1972">
      <c r="A1972" s="7" t="s">
        <v>15444</v>
      </c>
      <c r="B1972" s="7">
        <v>3000012.0</v>
      </c>
      <c r="C1972" s="7" t="s">
        <v>15445</v>
      </c>
      <c r="D1972" s="7" t="s">
        <v>9271</v>
      </c>
      <c r="E1972" s="7" t="s">
        <v>15446</v>
      </c>
      <c r="F1972" s="7" t="s">
        <v>9273</v>
      </c>
      <c r="G1972" s="7" t="s">
        <v>15447</v>
      </c>
      <c r="H1972" s="7" t="s">
        <v>15448</v>
      </c>
      <c r="I1972" s="119">
        <v>45444.0</v>
      </c>
      <c r="K1972" s="7" t="s">
        <v>419</v>
      </c>
      <c r="L1972" s="7" t="s">
        <v>991</v>
      </c>
      <c r="M1972" s="7" t="s">
        <v>3501</v>
      </c>
      <c r="N1972" s="7" t="s">
        <v>10722</v>
      </c>
      <c r="O1972" s="7" t="s">
        <v>15449</v>
      </c>
      <c r="P1972" s="7" t="s">
        <v>3522</v>
      </c>
      <c r="Q1972" s="7" t="s">
        <v>3523</v>
      </c>
    </row>
    <row r="1973">
      <c r="A1973" s="7" t="s">
        <v>15450</v>
      </c>
      <c r="B1973" s="7">
        <v>3000056.0</v>
      </c>
      <c r="C1973" s="7" t="s">
        <v>13898</v>
      </c>
      <c r="D1973" s="7" t="s">
        <v>15451</v>
      </c>
      <c r="E1973" s="7" t="s">
        <v>13900</v>
      </c>
      <c r="F1973" s="7" t="s">
        <v>15452</v>
      </c>
      <c r="G1973" s="7" t="s">
        <v>15453</v>
      </c>
      <c r="H1973" s="7" t="s">
        <v>15454</v>
      </c>
      <c r="I1973" s="119">
        <v>45444.0</v>
      </c>
      <c r="K1973" s="7" t="s">
        <v>419</v>
      </c>
      <c r="L1973" s="7" t="s">
        <v>991</v>
      </c>
      <c r="M1973" s="7" t="s">
        <v>3531</v>
      </c>
      <c r="N1973" s="7" t="s">
        <v>4738</v>
      </c>
      <c r="O1973" s="7" t="s">
        <v>4739</v>
      </c>
      <c r="P1973" s="7" t="s">
        <v>3493</v>
      </c>
      <c r="Q1973" s="7">
        <v>1.0</v>
      </c>
    </row>
    <row r="1974">
      <c r="A1974" s="7" t="s">
        <v>15455</v>
      </c>
      <c r="B1974" s="7">
        <v>3000071.0</v>
      </c>
      <c r="C1974" s="7" t="s">
        <v>15456</v>
      </c>
      <c r="D1974" s="7" t="s">
        <v>15457</v>
      </c>
      <c r="E1974" s="7" t="s">
        <v>15458</v>
      </c>
      <c r="F1974" s="7" t="s">
        <v>15459</v>
      </c>
      <c r="G1974" s="7" t="s">
        <v>15460</v>
      </c>
      <c r="H1974" s="7" t="s">
        <v>15461</v>
      </c>
      <c r="I1974" s="119">
        <v>45444.0</v>
      </c>
      <c r="K1974" s="7" t="s">
        <v>3632</v>
      </c>
      <c r="L1974" s="7" t="s">
        <v>991</v>
      </c>
      <c r="M1974" s="7" t="s">
        <v>3531</v>
      </c>
      <c r="N1974" s="7" t="s">
        <v>4714</v>
      </c>
      <c r="O1974" s="7" t="s">
        <v>15462</v>
      </c>
      <c r="P1974" s="7" t="s">
        <v>3493</v>
      </c>
      <c r="Q1974" s="7">
        <v>1.0</v>
      </c>
    </row>
    <row r="1975">
      <c r="A1975" s="7" t="s">
        <v>15463</v>
      </c>
      <c r="B1975" s="7">
        <v>3000015.0</v>
      </c>
      <c r="C1975" s="7" t="s">
        <v>15464</v>
      </c>
      <c r="D1975" s="7" t="s">
        <v>9183</v>
      </c>
      <c r="E1975" s="7" t="s">
        <v>15465</v>
      </c>
      <c r="F1975" s="7" t="s">
        <v>7477</v>
      </c>
      <c r="G1975" s="7" t="s">
        <v>15466</v>
      </c>
      <c r="H1975" s="7" t="s">
        <v>15467</v>
      </c>
      <c r="I1975" s="119">
        <v>45459.0</v>
      </c>
      <c r="K1975" s="7" t="s">
        <v>419</v>
      </c>
      <c r="L1975" s="7" t="s">
        <v>991</v>
      </c>
      <c r="M1975" s="7" t="s">
        <v>3501</v>
      </c>
      <c r="N1975" s="7" t="s">
        <v>15468</v>
      </c>
      <c r="O1975" s="7" t="s">
        <v>15469</v>
      </c>
      <c r="P1975" s="7" t="s">
        <v>3522</v>
      </c>
      <c r="Q1975" s="7" t="s">
        <v>3514</v>
      </c>
    </row>
    <row r="1976">
      <c r="A1976" s="7" t="s">
        <v>15470</v>
      </c>
      <c r="B1976" s="7">
        <v>3000080.0</v>
      </c>
      <c r="C1976" s="7" t="s">
        <v>15471</v>
      </c>
      <c r="D1976" s="7" t="s">
        <v>3780</v>
      </c>
      <c r="E1976" s="7" t="s">
        <v>15472</v>
      </c>
      <c r="F1976" s="7" t="s">
        <v>3781</v>
      </c>
      <c r="G1976" s="7" t="s">
        <v>15473</v>
      </c>
      <c r="H1976" s="7" t="s">
        <v>15474</v>
      </c>
      <c r="I1976" s="119">
        <v>45459.0</v>
      </c>
      <c r="K1976" s="7" t="s">
        <v>419</v>
      </c>
      <c r="L1976" s="7" t="s">
        <v>991</v>
      </c>
      <c r="M1976" s="7" t="s">
        <v>3583</v>
      </c>
      <c r="N1976" s="7" t="s">
        <v>5755</v>
      </c>
      <c r="O1976" s="7" t="s">
        <v>5756</v>
      </c>
      <c r="P1976" s="7" t="s">
        <v>3493</v>
      </c>
      <c r="Q1976" s="7">
        <v>1.0</v>
      </c>
    </row>
    <row r="1977">
      <c r="A1977" s="7" t="s">
        <v>15475</v>
      </c>
      <c r="B1977" s="7">
        <v>3000007.0</v>
      </c>
      <c r="C1977" s="7" t="s">
        <v>5414</v>
      </c>
      <c r="D1977" s="7" t="s">
        <v>15476</v>
      </c>
      <c r="E1977" s="7" t="s">
        <v>5416</v>
      </c>
      <c r="F1977" s="7" t="s">
        <v>15477</v>
      </c>
      <c r="G1977" s="7" t="s">
        <v>15478</v>
      </c>
      <c r="H1977" s="7" t="s">
        <v>15479</v>
      </c>
      <c r="I1977" s="119">
        <v>45459.0</v>
      </c>
      <c r="K1977" s="7" t="s">
        <v>419</v>
      </c>
      <c r="L1977" s="7" t="s">
        <v>991</v>
      </c>
      <c r="M1977" s="7" t="s">
        <v>3501</v>
      </c>
      <c r="N1977" s="7" t="s">
        <v>10801</v>
      </c>
      <c r="O1977" s="7" t="s">
        <v>10802</v>
      </c>
      <c r="P1977" s="7" t="s">
        <v>3493</v>
      </c>
      <c r="Q1977" s="7">
        <v>1.0</v>
      </c>
    </row>
    <row r="1978">
      <c r="A1978" s="7" t="s">
        <v>15480</v>
      </c>
      <c r="B1978" s="7">
        <v>3000196.0</v>
      </c>
      <c r="C1978" s="7" t="s">
        <v>5680</v>
      </c>
      <c r="D1978" s="7" t="s">
        <v>15481</v>
      </c>
      <c r="E1978" s="7" t="s">
        <v>5682</v>
      </c>
      <c r="F1978" s="7" t="s">
        <v>15482</v>
      </c>
      <c r="G1978" s="7" t="s">
        <v>15483</v>
      </c>
      <c r="H1978" s="7" t="s">
        <v>15484</v>
      </c>
      <c r="I1978" s="119">
        <v>45505.0</v>
      </c>
      <c r="K1978" s="7" t="s">
        <v>15381</v>
      </c>
      <c r="L1978" s="7" t="s">
        <v>991</v>
      </c>
      <c r="M1978" s="7" t="s">
        <v>3490</v>
      </c>
      <c r="N1978" s="7" t="s">
        <v>15382</v>
      </c>
      <c r="O1978" s="7" t="s">
        <v>15383</v>
      </c>
      <c r="P1978" s="7" t="s">
        <v>3493</v>
      </c>
      <c r="Q1978" s="7">
        <v>1.0</v>
      </c>
    </row>
    <row r="1979">
      <c r="A1979" s="7" t="s">
        <v>15485</v>
      </c>
      <c r="B1979" s="7">
        <v>3000092.0</v>
      </c>
      <c r="C1979" s="7" t="s">
        <v>15486</v>
      </c>
      <c r="D1979" s="7" t="s">
        <v>4247</v>
      </c>
      <c r="E1979" s="7" t="s">
        <v>15487</v>
      </c>
      <c r="F1979" s="7" t="s">
        <v>3818</v>
      </c>
      <c r="G1979" s="7" t="s">
        <v>15488</v>
      </c>
      <c r="H1979" s="7" t="s">
        <v>15489</v>
      </c>
      <c r="I1979" s="119">
        <v>45459.0</v>
      </c>
      <c r="K1979" s="7" t="s">
        <v>419</v>
      </c>
      <c r="L1979" s="7" t="s">
        <v>991</v>
      </c>
      <c r="M1979" s="7" t="s">
        <v>3531</v>
      </c>
      <c r="N1979" s="7" t="s">
        <v>13336</v>
      </c>
      <c r="O1979" s="7" t="s">
        <v>13337</v>
      </c>
      <c r="P1979" s="7" t="s">
        <v>3493</v>
      </c>
      <c r="Q1979" s="7">
        <v>1.0</v>
      </c>
    </row>
    <row r="1980">
      <c r="A1980" s="7" t="s">
        <v>15490</v>
      </c>
      <c r="B1980" s="7">
        <v>3000055.0</v>
      </c>
      <c r="C1980" s="7" t="s">
        <v>15491</v>
      </c>
      <c r="D1980" s="7" t="s">
        <v>6685</v>
      </c>
      <c r="E1980" s="7" t="s">
        <v>15492</v>
      </c>
      <c r="F1980" s="7" t="s">
        <v>3977</v>
      </c>
      <c r="G1980" s="7" t="s">
        <v>15493</v>
      </c>
      <c r="H1980" s="7" t="s">
        <v>15494</v>
      </c>
      <c r="I1980" s="119">
        <v>45459.0</v>
      </c>
      <c r="K1980" s="7" t="s">
        <v>419</v>
      </c>
      <c r="L1980" s="7" t="s">
        <v>991</v>
      </c>
      <c r="M1980" s="7" t="s">
        <v>3501</v>
      </c>
      <c r="N1980" s="7" t="s">
        <v>6402</v>
      </c>
      <c r="O1980" s="7" t="s">
        <v>6403</v>
      </c>
      <c r="P1980" s="7" t="s">
        <v>3493</v>
      </c>
      <c r="Q1980" s="7">
        <v>1.0</v>
      </c>
    </row>
    <row r="1981">
      <c r="A1981" s="7" t="s">
        <v>15495</v>
      </c>
      <c r="B1981" s="7">
        <v>3000077.0</v>
      </c>
      <c r="C1981" s="7" t="s">
        <v>8429</v>
      </c>
      <c r="D1981" s="7" t="s">
        <v>15496</v>
      </c>
      <c r="E1981" s="7" t="s">
        <v>8431</v>
      </c>
      <c r="F1981" s="7" t="s">
        <v>5987</v>
      </c>
      <c r="G1981" s="7" t="s">
        <v>15497</v>
      </c>
      <c r="H1981" s="7" t="s">
        <v>15498</v>
      </c>
      <c r="I1981" s="119">
        <v>45459.0</v>
      </c>
      <c r="K1981" s="7" t="s">
        <v>419</v>
      </c>
      <c r="L1981" s="7" t="s">
        <v>991</v>
      </c>
      <c r="M1981" s="7" t="s">
        <v>3583</v>
      </c>
      <c r="N1981" s="7" t="s">
        <v>7355</v>
      </c>
      <c r="O1981" s="7" t="s">
        <v>7356</v>
      </c>
      <c r="P1981" s="7" t="s">
        <v>3697</v>
      </c>
      <c r="Q1981" s="7" t="s">
        <v>3698</v>
      </c>
    </row>
    <row r="1982">
      <c r="A1982" s="7" t="s">
        <v>15499</v>
      </c>
      <c r="B1982" s="7">
        <v>3000090.0</v>
      </c>
      <c r="C1982" s="7" t="s">
        <v>8564</v>
      </c>
      <c r="D1982" s="7" t="s">
        <v>15500</v>
      </c>
      <c r="E1982" s="7" t="s">
        <v>8566</v>
      </c>
      <c r="F1982" s="7" t="s">
        <v>5522</v>
      </c>
      <c r="G1982" s="7" t="s">
        <v>15501</v>
      </c>
      <c r="H1982" s="7" t="s">
        <v>15502</v>
      </c>
      <c r="I1982" s="119">
        <v>45459.0</v>
      </c>
      <c r="K1982" s="7" t="s">
        <v>3622</v>
      </c>
      <c r="L1982" s="7" t="s">
        <v>991</v>
      </c>
      <c r="M1982" s="7" t="s">
        <v>3531</v>
      </c>
      <c r="N1982" s="7" t="s">
        <v>3623</v>
      </c>
      <c r="O1982" s="7" t="s">
        <v>3624</v>
      </c>
      <c r="P1982" s="7" t="s">
        <v>3493</v>
      </c>
      <c r="Q1982" s="7">
        <v>1.0</v>
      </c>
    </row>
    <row r="1983">
      <c r="A1983" s="7" t="s">
        <v>15503</v>
      </c>
      <c r="B1983" s="7">
        <v>3000009.0</v>
      </c>
      <c r="C1983" s="7" t="s">
        <v>15504</v>
      </c>
      <c r="D1983" s="7" t="s">
        <v>15505</v>
      </c>
      <c r="E1983" s="7" t="s">
        <v>15506</v>
      </c>
      <c r="F1983" s="7" t="s">
        <v>15507</v>
      </c>
      <c r="G1983" s="7" t="s">
        <v>15508</v>
      </c>
      <c r="H1983" s="7" t="s">
        <v>15509</v>
      </c>
      <c r="I1983" s="119">
        <v>45459.0</v>
      </c>
      <c r="K1983" s="7" t="s">
        <v>419</v>
      </c>
      <c r="L1983" s="7" t="s">
        <v>991</v>
      </c>
      <c r="M1983" s="7" t="s">
        <v>3501</v>
      </c>
      <c r="N1983" s="7" t="s">
        <v>3751</v>
      </c>
      <c r="O1983" s="7" t="s">
        <v>3752</v>
      </c>
      <c r="P1983" s="7" t="s">
        <v>3493</v>
      </c>
      <c r="Q1983" s="7">
        <v>1.0</v>
      </c>
    </row>
    <row r="1984">
      <c r="A1984" s="7" t="s">
        <v>15510</v>
      </c>
      <c r="B1984" s="7">
        <v>3000049.0</v>
      </c>
      <c r="C1984" s="7" t="s">
        <v>15511</v>
      </c>
      <c r="D1984" s="7" t="s">
        <v>15512</v>
      </c>
      <c r="E1984" s="7" t="s">
        <v>9679</v>
      </c>
      <c r="F1984" s="7" t="s">
        <v>15513</v>
      </c>
      <c r="G1984" s="7" t="s">
        <v>15514</v>
      </c>
      <c r="I1984" s="119">
        <v>45459.0</v>
      </c>
      <c r="K1984" s="7" t="s">
        <v>419</v>
      </c>
      <c r="L1984" s="7" t="s">
        <v>991</v>
      </c>
      <c r="M1984" s="7" t="s">
        <v>4644</v>
      </c>
      <c r="N1984" s="7" t="s">
        <v>4906</v>
      </c>
      <c r="O1984" s="7" t="s">
        <v>4907</v>
      </c>
      <c r="P1984" s="7" t="s">
        <v>4908</v>
      </c>
      <c r="Q1984" s="7">
        <v>1.0</v>
      </c>
    </row>
    <row r="1985">
      <c r="A1985" s="7" t="s">
        <v>15515</v>
      </c>
      <c r="B1985" s="7">
        <v>3000076.0</v>
      </c>
      <c r="C1985" s="7" t="s">
        <v>15516</v>
      </c>
      <c r="D1985" s="7" t="s">
        <v>15517</v>
      </c>
      <c r="E1985" s="7" t="s">
        <v>15518</v>
      </c>
      <c r="F1985" s="7" t="s">
        <v>4627</v>
      </c>
      <c r="G1985" s="7" t="s">
        <v>15519</v>
      </c>
      <c r="H1985" s="7" t="s">
        <v>15520</v>
      </c>
      <c r="I1985" s="119">
        <v>45459.0</v>
      </c>
      <c r="K1985" s="7" t="s">
        <v>419</v>
      </c>
      <c r="L1985" s="7" t="s">
        <v>991</v>
      </c>
      <c r="M1985" s="7" t="s">
        <v>3501</v>
      </c>
      <c r="N1985" s="7" t="s">
        <v>5539</v>
      </c>
      <c r="O1985" s="7" t="s">
        <v>5540</v>
      </c>
      <c r="P1985" s="7" t="s">
        <v>3493</v>
      </c>
      <c r="Q1985" s="7">
        <v>1.0</v>
      </c>
    </row>
    <row r="1986">
      <c r="A1986" s="7" t="s">
        <v>15521</v>
      </c>
      <c r="B1986" s="7">
        <v>3000075.0</v>
      </c>
      <c r="C1986" s="7" t="s">
        <v>15522</v>
      </c>
      <c r="D1986" s="7" t="s">
        <v>15523</v>
      </c>
      <c r="E1986" s="7" t="s">
        <v>15524</v>
      </c>
      <c r="F1986" s="7" t="s">
        <v>15525</v>
      </c>
      <c r="G1986" s="7" t="s">
        <v>15526</v>
      </c>
      <c r="H1986" s="7" t="s">
        <v>15527</v>
      </c>
      <c r="I1986" s="119">
        <v>45459.0</v>
      </c>
      <c r="K1986" s="7" t="s">
        <v>419</v>
      </c>
      <c r="L1986" s="7" t="s">
        <v>991</v>
      </c>
      <c r="M1986" s="7" t="s">
        <v>3531</v>
      </c>
      <c r="N1986" s="7" t="s">
        <v>6083</v>
      </c>
      <c r="O1986" s="7" t="s">
        <v>6084</v>
      </c>
      <c r="P1986" s="7" t="s">
        <v>3493</v>
      </c>
      <c r="Q1986" s="7">
        <v>1.0</v>
      </c>
    </row>
    <row r="1987">
      <c r="A1987" s="7" t="s">
        <v>15528</v>
      </c>
      <c r="B1987" s="7">
        <v>3000084.0</v>
      </c>
      <c r="C1987" s="7" t="s">
        <v>15529</v>
      </c>
      <c r="D1987" s="7" t="s">
        <v>15530</v>
      </c>
      <c r="E1987" s="7" t="s">
        <v>15531</v>
      </c>
      <c r="F1987" s="7" t="s">
        <v>4241</v>
      </c>
      <c r="G1987" s="7" t="s">
        <v>15532</v>
      </c>
      <c r="H1987" s="7" t="s">
        <v>15533</v>
      </c>
      <c r="I1987" s="119">
        <v>45459.0</v>
      </c>
      <c r="K1987" s="7" t="s">
        <v>419</v>
      </c>
      <c r="L1987" s="7" t="s">
        <v>991</v>
      </c>
      <c r="M1987" s="7" t="s">
        <v>3531</v>
      </c>
      <c r="N1987" s="7" t="s">
        <v>3996</v>
      </c>
      <c r="O1987" s="7" t="s">
        <v>3997</v>
      </c>
      <c r="P1987" s="7" t="s">
        <v>3493</v>
      </c>
      <c r="Q1987" s="7">
        <v>1.0</v>
      </c>
    </row>
    <row r="1988">
      <c r="A1988" s="7" t="s">
        <v>15534</v>
      </c>
      <c r="B1988" s="7">
        <v>3000048.0</v>
      </c>
      <c r="C1988" s="7" t="s">
        <v>15535</v>
      </c>
      <c r="D1988" s="7" t="s">
        <v>5074</v>
      </c>
      <c r="E1988" s="7" t="s">
        <v>15536</v>
      </c>
      <c r="F1988" s="7" t="s">
        <v>5074</v>
      </c>
      <c r="G1988" s="7" t="s">
        <v>15537</v>
      </c>
      <c r="I1988" s="119">
        <v>45459.0</v>
      </c>
      <c r="K1988" s="7" t="s">
        <v>419</v>
      </c>
      <c r="L1988" s="7" t="s">
        <v>991</v>
      </c>
      <c r="M1988" s="7" t="s">
        <v>4644</v>
      </c>
      <c r="N1988" s="7" t="s">
        <v>6293</v>
      </c>
      <c r="O1988" s="7" t="s">
        <v>12210</v>
      </c>
      <c r="P1988" s="7" t="s">
        <v>4908</v>
      </c>
      <c r="Q1988" s="7">
        <v>1.0</v>
      </c>
    </row>
    <row r="1989">
      <c r="A1989" s="7" t="s">
        <v>15538</v>
      </c>
      <c r="B1989" s="7">
        <v>3000109.0</v>
      </c>
      <c r="C1989" s="7" t="s">
        <v>3525</v>
      </c>
      <c r="D1989" s="7" t="s">
        <v>15539</v>
      </c>
      <c r="E1989" s="7" t="s">
        <v>3527</v>
      </c>
      <c r="F1989" s="7" t="s">
        <v>6288</v>
      </c>
      <c r="G1989" s="7" t="s">
        <v>15540</v>
      </c>
      <c r="H1989" s="7" t="s">
        <v>15541</v>
      </c>
      <c r="I1989" s="119">
        <v>45474.0</v>
      </c>
      <c r="K1989" s="7" t="s">
        <v>3642</v>
      </c>
      <c r="L1989" s="7" t="s">
        <v>991</v>
      </c>
      <c r="M1989" s="7" t="s">
        <v>3501</v>
      </c>
      <c r="N1989" s="7" t="s">
        <v>3643</v>
      </c>
      <c r="O1989" s="7" t="s">
        <v>3644</v>
      </c>
      <c r="P1989" s="7" t="s">
        <v>3493</v>
      </c>
      <c r="Q1989" s="7">
        <v>1.0</v>
      </c>
    </row>
    <row r="1990">
      <c r="A1990" s="7" t="s">
        <v>15542</v>
      </c>
      <c r="B1990" s="7">
        <v>3000132.0</v>
      </c>
      <c r="C1990" s="7" t="s">
        <v>15543</v>
      </c>
      <c r="D1990" s="7" t="s">
        <v>15544</v>
      </c>
      <c r="E1990" s="7" t="s">
        <v>15545</v>
      </c>
      <c r="F1990" s="7" t="s">
        <v>12459</v>
      </c>
      <c r="G1990" s="7" t="s">
        <v>15546</v>
      </c>
      <c r="H1990" s="7" t="s">
        <v>15547</v>
      </c>
      <c r="I1990" s="119">
        <v>45474.0</v>
      </c>
      <c r="K1990" s="7" t="s">
        <v>419</v>
      </c>
      <c r="L1990" s="7" t="s">
        <v>991</v>
      </c>
      <c r="M1990" s="7" t="s">
        <v>3531</v>
      </c>
      <c r="N1990" s="7" t="s">
        <v>5461</v>
      </c>
      <c r="O1990" s="7" t="s">
        <v>5462</v>
      </c>
      <c r="P1990" s="7" t="s">
        <v>3493</v>
      </c>
      <c r="Q1990" s="7">
        <v>1.0</v>
      </c>
    </row>
    <row r="1991">
      <c r="A1991" s="7" t="s">
        <v>15548</v>
      </c>
      <c r="B1991" s="7">
        <v>3000122.0</v>
      </c>
      <c r="C1991" s="7" t="s">
        <v>6098</v>
      </c>
      <c r="D1991" s="7" t="s">
        <v>15549</v>
      </c>
      <c r="E1991" s="7" t="s">
        <v>6100</v>
      </c>
      <c r="F1991" s="7" t="s">
        <v>8243</v>
      </c>
      <c r="G1991" s="7" t="s">
        <v>15550</v>
      </c>
      <c r="H1991" s="7" t="s">
        <v>15551</v>
      </c>
      <c r="I1991" s="119">
        <v>45474.0</v>
      </c>
      <c r="K1991" s="7" t="s">
        <v>4042</v>
      </c>
      <c r="L1991" s="7" t="s">
        <v>991</v>
      </c>
      <c r="M1991" s="7" t="s">
        <v>3531</v>
      </c>
      <c r="N1991" s="7" t="s">
        <v>4043</v>
      </c>
      <c r="O1991" s="7" t="s">
        <v>4044</v>
      </c>
      <c r="P1991" s="7" t="s">
        <v>3493</v>
      </c>
      <c r="Q1991" s="7">
        <v>1.0</v>
      </c>
    </row>
    <row r="1992">
      <c r="A1992" s="7" t="s">
        <v>15552</v>
      </c>
      <c r="B1992" s="7">
        <v>3000131.0</v>
      </c>
      <c r="C1992" s="7" t="s">
        <v>15553</v>
      </c>
      <c r="D1992" s="7" t="s">
        <v>5722</v>
      </c>
      <c r="E1992" s="7" t="s">
        <v>15554</v>
      </c>
      <c r="F1992" s="7" t="s">
        <v>13954</v>
      </c>
      <c r="G1992" s="7" t="s">
        <v>15555</v>
      </c>
      <c r="H1992" s="7" t="s">
        <v>15556</v>
      </c>
      <c r="I1992" s="119">
        <v>45474.0</v>
      </c>
      <c r="J1992" s="7" t="s">
        <v>4216</v>
      </c>
      <c r="K1992" s="7" t="s">
        <v>419</v>
      </c>
      <c r="L1992" s="7" t="s">
        <v>991</v>
      </c>
      <c r="M1992" s="7" t="s">
        <v>3501</v>
      </c>
      <c r="N1992" s="7" t="s">
        <v>4168</v>
      </c>
      <c r="O1992" s="7" t="s">
        <v>4169</v>
      </c>
      <c r="P1992" s="7" t="s">
        <v>3493</v>
      </c>
      <c r="Q1992" s="7">
        <v>1.0</v>
      </c>
    </row>
    <row r="1993">
      <c r="A1993" s="7" t="s">
        <v>15557</v>
      </c>
      <c r="B1993" s="7">
        <v>3000101.0</v>
      </c>
      <c r="C1993" s="7" t="s">
        <v>7481</v>
      </c>
      <c r="D1993" s="7" t="s">
        <v>15558</v>
      </c>
      <c r="E1993" s="7" t="s">
        <v>15559</v>
      </c>
      <c r="F1993" s="7" t="s">
        <v>10740</v>
      </c>
      <c r="G1993" s="7" t="s">
        <v>15560</v>
      </c>
      <c r="H1993" s="7" t="s">
        <v>15561</v>
      </c>
      <c r="I1993" s="119">
        <v>45474.0</v>
      </c>
      <c r="K1993" s="7" t="s">
        <v>3622</v>
      </c>
      <c r="L1993" s="7" t="s">
        <v>991</v>
      </c>
      <c r="M1993" s="7" t="s">
        <v>3531</v>
      </c>
      <c r="N1993" s="7" t="s">
        <v>3623</v>
      </c>
      <c r="O1993" s="7" t="s">
        <v>3624</v>
      </c>
      <c r="P1993" s="7" t="s">
        <v>3493</v>
      </c>
      <c r="Q1993" s="7">
        <v>1.0</v>
      </c>
    </row>
    <row r="1994">
      <c r="A1994" s="7" t="s">
        <v>15562</v>
      </c>
      <c r="B1994" s="7">
        <v>3000099.0</v>
      </c>
      <c r="C1994" s="7" t="s">
        <v>8127</v>
      </c>
      <c r="D1994" s="7" t="s">
        <v>3506</v>
      </c>
      <c r="E1994" s="7" t="s">
        <v>8074</v>
      </c>
      <c r="F1994" s="7" t="s">
        <v>3508</v>
      </c>
      <c r="G1994" s="7" t="s">
        <v>15563</v>
      </c>
      <c r="H1994" s="7" t="s">
        <v>15564</v>
      </c>
      <c r="I1994" s="119">
        <v>45474.0</v>
      </c>
      <c r="K1994" s="7" t="s">
        <v>419</v>
      </c>
      <c r="L1994" s="7" t="s">
        <v>991</v>
      </c>
      <c r="M1994" s="7" t="s">
        <v>3583</v>
      </c>
      <c r="N1994" s="7" t="s">
        <v>4399</v>
      </c>
      <c r="O1994" s="7" t="s">
        <v>4400</v>
      </c>
      <c r="P1994" s="7" t="s">
        <v>3493</v>
      </c>
      <c r="Q1994" s="7">
        <v>1.0</v>
      </c>
    </row>
    <row r="1995">
      <c r="A1995" s="7" t="s">
        <v>15565</v>
      </c>
      <c r="B1995" s="7">
        <v>3000035.0</v>
      </c>
      <c r="C1995" s="7" t="s">
        <v>8558</v>
      </c>
      <c r="D1995" s="7" t="s">
        <v>15566</v>
      </c>
      <c r="E1995" s="7" t="s">
        <v>8560</v>
      </c>
      <c r="F1995" s="7" t="s">
        <v>11827</v>
      </c>
      <c r="G1995" s="7" t="s">
        <v>15567</v>
      </c>
      <c r="H1995" s="7" t="s">
        <v>15568</v>
      </c>
      <c r="I1995" s="119">
        <v>45474.0</v>
      </c>
      <c r="K1995" s="7" t="s">
        <v>419</v>
      </c>
      <c r="L1995" s="7" t="s">
        <v>991</v>
      </c>
      <c r="M1995" s="7" t="s">
        <v>3501</v>
      </c>
      <c r="N1995" s="7" t="s">
        <v>12601</v>
      </c>
      <c r="O1995" s="7" t="s">
        <v>12602</v>
      </c>
      <c r="P1995" s="7" t="s">
        <v>3493</v>
      </c>
      <c r="Q1995" s="7">
        <v>1.0</v>
      </c>
    </row>
    <row r="1996">
      <c r="A1996" s="7" t="s">
        <v>15569</v>
      </c>
      <c r="B1996" s="7">
        <v>3000106.0</v>
      </c>
      <c r="C1996" s="7" t="s">
        <v>15145</v>
      </c>
      <c r="D1996" s="7" t="s">
        <v>14432</v>
      </c>
      <c r="E1996" s="7" t="s">
        <v>14932</v>
      </c>
      <c r="F1996" s="7" t="s">
        <v>8877</v>
      </c>
      <c r="G1996" s="7" t="s">
        <v>15570</v>
      </c>
      <c r="H1996" s="7" t="s">
        <v>15571</v>
      </c>
      <c r="I1996" s="119">
        <v>45474.0</v>
      </c>
      <c r="K1996" s="7" t="s">
        <v>3642</v>
      </c>
      <c r="L1996" s="7" t="s">
        <v>991</v>
      </c>
      <c r="M1996" s="7" t="s">
        <v>3501</v>
      </c>
      <c r="N1996" s="7" t="s">
        <v>3643</v>
      </c>
      <c r="O1996" s="7" t="s">
        <v>3644</v>
      </c>
      <c r="P1996" s="7" t="s">
        <v>3493</v>
      </c>
      <c r="Q1996" s="7">
        <v>1.0</v>
      </c>
    </row>
    <row r="1997">
      <c r="A1997" s="7" t="s">
        <v>15572</v>
      </c>
      <c r="B1997" s="7">
        <v>3000120.0</v>
      </c>
      <c r="C1997" s="7" t="s">
        <v>9078</v>
      </c>
      <c r="D1997" s="7" t="s">
        <v>4982</v>
      </c>
      <c r="E1997" s="7" t="s">
        <v>15573</v>
      </c>
      <c r="F1997" s="7" t="s">
        <v>4984</v>
      </c>
      <c r="G1997" s="7" t="s">
        <v>15574</v>
      </c>
      <c r="H1997" s="7" t="s">
        <v>15575</v>
      </c>
      <c r="I1997" s="119">
        <v>45474.0</v>
      </c>
      <c r="K1997" s="7" t="s">
        <v>419</v>
      </c>
      <c r="L1997" s="7" t="s">
        <v>991</v>
      </c>
      <c r="M1997" s="7" t="s">
        <v>3531</v>
      </c>
      <c r="N1997" s="7" t="s">
        <v>6329</v>
      </c>
      <c r="O1997" s="7" t="s">
        <v>6330</v>
      </c>
      <c r="P1997" s="7" t="s">
        <v>3493</v>
      </c>
      <c r="Q1997" s="7">
        <v>1.0</v>
      </c>
    </row>
    <row r="1998">
      <c r="A1998" s="7" t="s">
        <v>15576</v>
      </c>
      <c r="B1998" s="7">
        <v>3000102.0</v>
      </c>
      <c r="C1998" s="7" t="s">
        <v>15577</v>
      </c>
      <c r="D1998" s="7" t="s">
        <v>15578</v>
      </c>
      <c r="E1998" s="7" t="s">
        <v>15579</v>
      </c>
      <c r="F1998" s="7" t="s">
        <v>15580</v>
      </c>
      <c r="G1998" s="7" t="s">
        <v>15581</v>
      </c>
      <c r="H1998" s="7" t="s">
        <v>15582</v>
      </c>
      <c r="I1998" s="119">
        <v>45474.0</v>
      </c>
      <c r="K1998" s="7" t="s">
        <v>3622</v>
      </c>
      <c r="L1998" s="7" t="s">
        <v>991</v>
      </c>
      <c r="M1998" s="7" t="s">
        <v>3531</v>
      </c>
      <c r="N1998" s="7" t="s">
        <v>3623</v>
      </c>
      <c r="O1998" s="7" t="s">
        <v>3624</v>
      </c>
      <c r="P1998" s="7" t="s">
        <v>3493</v>
      </c>
      <c r="Q1998" s="7">
        <v>1.0</v>
      </c>
    </row>
    <row r="1999">
      <c r="A1999" s="7" t="s">
        <v>15583</v>
      </c>
      <c r="B1999" s="7">
        <v>3000127.0</v>
      </c>
      <c r="C1999" s="7" t="s">
        <v>9833</v>
      </c>
      <c r="D1999" s="7" t="s">
        <v>15584</v>
      </c>
      <c r="E1999" s="7" t="s">
        <v>9834</v>
      </c>
      <c r="F1999" s="7" t="s">
        <v>9205</v>
      </c>
      <c r="G1999" s="7" t="s">
        <v>15585</v>
      </c>
      <c r="H1999" s="7" t="s">
        <v>15586</v>
      </c>
      <c r="I1999" s="119">
        <v>45474.0</v>
      </c>
      <c r="K1999" s="7" t="s">
        <v>419</v>
      </c>
      <c r="L1999" s="7" t="s">
        <v>991</v>
      </c>
      <c r="M1999" s="7" t="s">
        <v>3531</v>
      </c>
      <c r="N1999" s="7" t="s">
        <v>4175</v>
      </c>
      <c r="O1999" s="7" t="s">
        <v>4176</v>
      </c>
      <c r="P1999" s="7" t="s">
        <v>3493</v>
      </c>
      <c r="Q1999" s="7">
        <v>1.0</v>
      </c>
    </row>
    <row r="2000">
      <c r="A2000" s="7" t="s">
        <v>15587</v>
      </c>
      <c r="B2000" s="7">
        <v>3000100.0</v>
      </c>
      <c r="C2000" s="7" t="s">
        <v>15588</v>
      </c>
      <c r="D2000" s="7" t="s">
        <v>15589</v>
      </c>
      <c r="E2000" s="7" t="s">
        <v>15590</v>
      </c>
      <c r="F2000" s="7" t="s">
        <v>4203</v>
      </c>
      <c r="G2000" s="7" t="s">
        <v>15591</v>
      </c>
      <c r="H2000" s="7" t="s">
        <v>15592</v>
      </c>
      <c r="I2000" s="119">
        <v>45474.0</v>
      </c>
      <c r="K2000" s="7" t="s">
        <v>419</v>
      </c>
      <c r="L2000" s="7" t="s">
        <v>991</v>
      </c>
      <c r="M2000" s="7" t="s">
        <v>3501</v>
      </c>
      <c r="N2000" s="7" t="s">
        <v>4871</v>
      </c>
      <c r="O2000" s="7" t="s">
        <v>15593</v>
      </c>
      <c r="P2000" s="7" t="s">
        <v>3522</v>
      </c>
      <c r="Q2000" s="7" t="s">
        <v>3523</v>
      </c>
    </row>
    <row r="2001">
      <c r="A2001" s="7" t="s">
        <v>15594</v>
      </c>
      <c r="B2001" s="7">
        <v>3000107.0</v>
      </c>
      <c r="C2001" s="7" t="s">
        <v>15595</v>
      </c>
      <c r="D2001" s="7" t="s">
        <v>15596</v>
      </c>
      <c r="E2001" s="7" t="s">
        <v>10092</v>
      </c>
      <c r="F2001" s="7" t="s">
        <v>5155</v>
      </c>
      <c r="G2001" s="7" t="s">
        <v>15597</v>
      </c>
      <c r="H2001" s="7" t="s">
        <v>15598</v>
      </c>
      <c r="I2001" s="119">
        <v>45474.0</v>
      </c>
      <c r="K2001" s="7" t="s">
        <v>3642</v>
      </c>
      <c r="L2001" s="7" t="s">
        <v>991</v>
      </c>
      <c r="M2001" s="7" t="s">
        <v>3501</v>
      </c>
      <c r="N2001" s="7" t="s">
        <v>3643</v>
      </c>
      <c r="O2001" s="7" t="s">
        <v>3644</v>
      </c>
      <c r="P2001" s="7" t="s">
        <v>3493</v>
      </c>
      <c r="Q2001" s="7">
        <v>1.0</v>
      </c>
    </row>
    <row r="2002">
      <c r="A2002" s="7" t="s">
        <v>15599</v>
      </c>
      <c r="B2002" s="7">
        <v>3000108.0</v>
      </c>
      <c r="C2002" s="7" t="s">
        <v>15600</v>
      </c>
      <c r="D2002" s="7" t="s">
        <v>15601</v>
      </c>
      <c r="E2002" s="7" t="s">
        <v>15602</v>
      </c>
      <c r="F2002" s="7" t="s">
        <v>15603</v>
      </c>
      <c r="G2002" s="7" t="s">
        <v>15604</v>
      </c>
      <c r="H2002" s="7" t="s">
        <v>15605</v>
      </c>
      <c r="I2002" s="119">
        <v>45474.0</v>
      </c>
      <c r="K2002" s="7" t="s">
        <v>3642</v>
      </c>
      <c r="L2002" s="7" t="s">
        <v>991</v>
      </c>
      <c r="M2002" s="7" t="s">
        <v>3583</v>
      </c>
      <c r="N2002" s="7" t="s">
        <v>3643</v>
      </c>
      <c r="O2002" s="7" t="s">
        <v>3644</v>
      </c>
      <c r="P2002" s="7" t="s">
        <v>3493</v>
      </c>
      <c r="Q2002" s="7">
        <v>1.0</v>
      </c>
    </row>
    <row r="2003">
      <c r="A2003" s="7" t="s">
        <v>15606</v>
      </c>
      <c r="B2003" s="7">
        <v>3000124.0</v>
      </c>
      <c r="C2003" s="7" t="s">
        <v>10316</v>
      </c>
      <c r="D2003" s="7" t="s">
        <v>15607</v>
      </c>
      <c r="E2003" s="7" t="s">
        <v>10318</v>
      </c>
      <c r="F2003" s="7" t="s">
        <v>8129</v>
      </c>
      <c r="G2003" s="7" t="s">
        <v>15608</v>
      </c>
      <c r="H2003" s="7" t="s">
        <v>15609</v>
      </c>
      <c r="I2003" s="119">
        <v>45474.0</v>
      </c>
      <c r="K2003" s="7" t="s">
        <v>419</v>
      </c>
      <c r="L2003" s="7" t="s">
        <v>991</v>
      </c>
      <c r="M2003" s="7" t="s">
        <v>3531</v>
      </c>
      <c r="N2003" s="7" t="s">
        <v>14964</v>
      </c>
      <c r="O2003" s="7" t="s">
        <v>15610</v>
      </c>
      <c r="P2003" s="7" t="s">
        <v>3493</v>
      </c>
      <c r="Q2003" s="7">
        <v>1.0</v>
      </c>
    </row>
    <row r="2004">
      <c r="A2004" s="7" t="s">
        <v>15611</v>
      </c>
      <c r="B2004" s="7">
        <v>3000105.0</v>
      </c>
      <c r="C2004" s="7" t="s">
        <v>10548</v>
      </c>
      <c r="D2004" s="7" t="s">
        <v>15612</v>
      </c>
      <c r="E2004" s="7" t="s">
        <v>10550</v>
      </c>
      <c r="F2004" s="7" t="s">
        <v>4032</v>
      </c>
      <c r="G2004" s="7" t="s">
        <v>15613</v>
      </c>
      <c r="H2004" s="7" t="s">
        <v>15614</v>
      </c>
      <c r="I2004" s="119">
        <v>45474.0</v>
      </c>
      <c r="K2004" s="7" t="s">
        <v>3632</v>
      </c>
      <c r="L2004" s="7" t="s">
        <v>991</v>
      </c>
      <c r="M2004" s="7" t="s">
        <v>3531</v>
      </c>
      <c r="N2004" s="7" t="s">
        <v>3717</v>
      </c>
      <c r="O2004" s="7" t="s">
        <v>3718</v>
      </c>
      <c r="P2004" s="7" t="s">
        <v>3493</v>
      </c>
      <c r="Q2004" s="7">
        <v>1.0</v>
      </c>
    </row>
    <row r="2005">
      <c r="A2005" s="7" t="s">
        <v>15615</v>
      </c>
      <c r="B2005" s="7">
        <v>3000133.0</v>
      </c>
      <c r="C2005" s="7" t="s">
        <v>11019</v>
      </c>
      <c r="D2005" s="7" t="s">
        <v>15616</v>
      </c>
      <c r="E2005" s="7" t="s">
        <v>11020</v>
      </c>
      <c r="F2005" s="7" t="s">
        <v>4084</v>
      </c>
      <c r="G2005" s="7" t="s">
        <v>15617</v>
      </c>
      <c r="H2005" s="7" t="s">
        <v>15618</v>
      </c>
      <c r="I2005" s="119">
        <v>45474.0</v>
      </c>
      <c r="K2005" s="7" t="s">
        <v>419</v>
      </c>
      <c r="L2005" s="7" t="s">
        <v>991</v>
      </c>
      <c r="M2005" s="7" t="s">
        <v>3531</v>
      </c>
      <c r="N2005" s="7" t="s">
        <v>13223</v>
      </c>
      <c r="O2005" s="7" t="s">
        <v>13224</v>
      </c>
      <c r="P2005" s="7" t="s">
        <v>3493</v>
      </c>
      <c r="Q2005" s="7">
        <v>1.0</v>
      </c>
    </row>
    <row r="2006">
      <c r="A2006" s="7" t="s">
        <v>15619</v>
      </c>
      <c r="B2006" s="7">
        <v>3000093.0</v>
      </c>
      <c r="C2006" s="7" t="s">
        <v>11071</v>
      </c>
      <c r="D2006" s="7" t="s">
        <v>15620</v>
      </c>
      <c r="E2006" s="7" t="s">
        <v>11072</v>
      </c>
      <c r="F2006" s="7" t="s">
        <v>11116</v>
      </c>
      <c r="G2006" s="7" t="s">
        <v>15621</v>
      </c>
      <c r="H2006" s="7" t="s">
        <v>15622</v>
      </c>
      <c r="I2006" s="119">
        <v>45474.0</v>
      </c>
      <c r="K2006" s="7" t="s">
        <v>419</v>
      </c>
      <c r="L2006" s="7" t="s">
        <v>991</v>
      </c>
      <c r="M2006" s="7" t="s">
        <v>3583</v>
      </c>
      <c r="N2006" s="7" t="s">
        <v>12000</v>
      </c>
      <c r="O2006" s="7" t="s">
        <v>12001</v>
      </c>
      <c r="P2006" s="7" t="s">
        <v>7123</v>
      </c>
      <c r="Q2006" s="7" t="s">
        <v>12002</v>
      </c>
    </row>
    <row r="2007">
      <c r="A2007" s="7" t="s">
        <v>15623</v>
      </c>
      <c r="B2007" s="7">
        <v>3000079.0</v>
      </c>
      <c r="C2007" s="7" t="s">
        <v>15624</v>
      </c>
      <c r="D2007" s="7" t="s">
        <v>15625</v>
      </c>
      <c r="E2007" s="7" t="s">
        <v>15626</v>
      </c>
      <c r="F2007" s="7" t="s">
        <v>3656</v>
      </c>
      <c r="G2007" s="7" t="s">
        <v>15627</v>
      </c>
      <c r="H2007" s="7" t="s">
        <v>15628</v>
      </c>
      <c r="I2007" s="119">
        <v>45474.0</v>
      </c>
      <c r="K2007" s="7" t="s">
        <v>419</v>
      </c>
      <c r="L2007" s="7" t="s">
        <v>991</v>
      </c>
      <c r="M2007" s="7" t="s">
        <v>3501</v>
      </c>
      <c r="N2007" s="7" t="s">
        <v>4168</v>
      </c>
      <c r="O2007" s="7" t="s">
        <v>4169</v>
      </c>
      <c r="P2007" s="7" t="s">
        <v>3493</v>
      </c>
      <c r="Q2007" s="7">
        <v>1.0</v>
      </c>
    </row>
    <row r="2008">
      <c r="A2008" s="7" t="s">
        <v>15629</v>
      </c>
      <c r="B2008" s="7">
        <v>3000070.0</v>
      </c>
      <c r="C2008" s="7" t="s">
        <v>15630</v>
      </c>
      <c r="D2008" s="7" t="s">
        <v>15631</v>
      </c>
      <c r="E2008" s="7" t="s">
        <v>15632</v>
      </c>
      <c r="F2008" s="7" t="s">
        <v>11202</v>
      </c>
      <c r="G2008" s="7" t="s">
        <v>15633</v>
      </c>
      <c r="H2008" s="7" t="s">
        <v>15634</v>
      </c>
      <c r="I2008" s="119">
        <v>45474.0</v>
      </c>
      <c r="K2008" s="7" t="s">
        <v>419</v>
      </c>
      <c r="L2008" s="7" t="s">
        <v>991</v>
      </c>
      <c r="M2008" s="7" t="s">
        <v>3501</v>
      </c>
      <c r="N2008" s="7" t="s">
        <v>6027</v>
      </c>
      <c r="O2008" s="7" t="s">
        <v>15635</v>
      </c>
      <c r="P2008" s="7" t="s">
        <v>3522</v>
      </c>
      <c r="Q2008" s="7" t="s">
        <v>3514</v>
      </c>
    </row>
    <row r="2009">
      <c r="A2009" s="7" t="s">
        <v>15636</v>
      </c>
      <c r="B2009" s="7">
        <v>3000121.0</v>
      </c>
      <c r="C2009" s="7" t="s">
        <v>15637</v>
      </c>
      <c r="D2009" s="7" t="s">
        <v>15638</v>
      </c>
      <c r="E2009" s="7" t="s">
        <v>15639</v>
      </c>
      <c r="F2009" s="7" t="s">
        <v>7014</v>
      </c>
      <c r="G2009" s="7" t="s">
        <v>15640</v>
      </c>
      <c r="H2009" s="7" t="s">
        <v>15641</v>
      </c>
      <c r="I2009" s="119">
        <v>45474.0</v>
      </c>
      <c r="K2009" s="7" t="s">
        <v>4042</v>
      </c>
      <c r="L2009" s="7" t="s">
        <v>991</v>
      </c>
      <c r="M2009" s="7" t="s">
        <v>3501</v>
      </c>
      <c r="N2009" s="7" t="s">
        <v>4043</v>
      </c>
      <c r="O2009" s="7" t="s">
        <v>4044</v>
      </c>
      <c r="P2009" s="7" t="s">
        <v>3493</v>
      </c>
      <c r="Q2009" s="7">
        <v>1.0</v>
      </c>
    </row>
    <row r="2010">
      <c r="A2010" s="7" t="s">
        <v>15642</v>
      </c>
      <c r="B2010" s="7">
        <v>3000114.0</v>
      </c>
      <c r="C2010" s="7" t="s">
        <v>15643</v>
      </c>
      <c r="D2010" s="7" t="s">
        <v>15644</v>
      </c>
      <c r="E2010" s="7" t="s">
        <v>15645</v>
      </c>
      <c r="F2010" s="7" t="s">
        <v>15646</v>
      </c>
      <c r="G2010" s="7" t="s">
        <v>15647</v>
      </c>
      <c r="H2010" s="7" t="s">
        <v>15648</v>
      </c>
      <c r="I2010" s="119">
        <v>45474.0</v>
      </c>
      <c r="K2010" s="7" t="s">
        <v>419</v>
      </c>
      <c r="L2010" s="7" t="s">
        <v>991</v>
      </c>
      <c r="M2010" s="7" t="s">
        <v>3531</v>
      </c>
      <c r="N2010" s="7" t="s">
        <v>11514</v>
      </c>
      <c r="O2010" s="7" t="s">
        <v>11515</v>
      </c>
      <c r="P2010" s="7" t="s">
        <v>3493</v>
      </c>
      <c r="Q2010" s="7">
        <v>1.0</v>
      </c>
    </row>
    <row r="2011">
      <c r="A2011" s="7" t="s">
        <v>15649</v>
      </c>
      <c r="B2011" s="7">
        <v>3000136.0</v>
      </c>
      <c r="C2011" s="7" t="s">
        <v>12065</v>
      </c>
      <c r="D2011" s="7" t="s">
        <v>5987</v>
      </c>
      <c r="E2011" s="7" t="s">
        <v>12067</v>
      </c>
      <c r="F2011" s="7" t="s">
        <v>5987</v>
      </c>
      <c r="G2011" s="7" t="s">
        <v>15650</v>
      </c>
      <c r="H2011" s="7" t="s">
        <v>15651</v>
      </c>
      <c r="I2011" s="119">
        <v>45474.0</v>
      </c>
      <c r="K2011" s="7" t="s">
        <v>419</v>
      </c>
      <c r="L2011" s="7" t="s">
        <v>991</v>
      </c>
      <c r="M2011" s="7" t="s">
        <v>3583</v>
      </c>
      <c r="N2011" s="7" t="s">
        <v>6473</v>
      </c>
      <c r="O2011" s="7" t="s">
        <v>15652</v>
      </c>
      <c r="P2011" s="7" t="s">
        <v>3697</v>
      </c>
      <c r="Q2011" s="7" t="s">
        <v>3698</v>
      </c>
    </row>
    <row r="2012">
      <c r="A2012" s="7" t="s">
        <v>15653</v>
      </c>
      <c r="B2012" s="7">
        <v>3000118.0</v>
      </c>
      <c r="C2012" s="7" t="s">
        <v>15654</v>
      </c>
      <c r="D2012" s="7" t="s">
        <v>15655</v>
      </c>
      <c r="E2012" s="7" t="s">
        <v>15656</v>
      </c>
      <c r="F2012" s="7" t="s">
        <v>15657</v>
      </c>
      <c r="G2012" s="7" t="s">
        <v>15658</v>
      </c>
      <c r="H2012" s="7" t="s">
        <v>15659</v>
      </c>
      <c r="I2012" s="119">
        <v>45474.0</v>
      </c>
      <c r="K2012" s="7" t="s">
        <v>419</v>
      </c>
      <c r="L2012" s="7" t="s">
        <v>991</v>
      </c>
      <c r="M2012" s="7" t="s">
        <v>3531</v>
      </c>
      <c r="N2012" s="7" t="s">
        <v>6568</v>
      </c>
      <c r="O2012" s="7" t="s">
        <v>6569</v>
      </c>
      <c r="P2012" s="7" t="s">
        <v>3493</v>
      </c>
      <c r="Q2012" s="7">
        <v>1.0</v>
      </c>
    </row>
    <row r="2013">
      <c r="A2013" s="7" t="s">
        <v>15660</v>
      </c>
      <c r="B2013" s="7">
        <v>3000044.0</v>
      </c>
      <c r="C2013" s="7" t="s">
        <v>15661</v>
      </c>
      <c r="D2013" s="7" t="s">
        <v>15662</v>
      </c>
      <c r="E2013" s="7" t="s">
        <v>15663</v>
      </c>
      <c r="F2013" s="7" t="s">
        <v>15664</v>
      </c>
      <c r="G2013" s="7" t="s">
        <v>15665</v>
      </c>
      <c r="H2013" s="7" t="s">
        <v>15666</v>
      </c>
      <c r="I2013" s="119">
        <v>45474.0</v>
      </c>
      <c r="K2013" s="7" t="s">
        <v>419</v>
      </c>
      <c r="L2013" s="7" t="s">
        <v>991</v>
      </c>
      <c r="M2013" s="7" t="s">
        <v>3501</v>
      </c>
      <c r="N2013" s="7" t="s">
        <v>7857</v>
      </c>
      <c r="O2013" s="7" t="s">
        <v>7858</v>
      </c>
      <c r="P2013" s="7" t="s">
        <v>3493</v>
      </c>
      <c r="Q2013" s="7">
        <v>1.0</v>
      </c>
    </row>
    <row r="2014">
      <c r="A2014" s="7" t="s">
        <v>15667</v>
      </c>
      <c r="B2014" s="7">
        <v>3000112.0</v>
      </c>
      <c r="C2014" s="7" t="s">
        <v>13133</v>
      </c>
      <c r="D2014" s="7" t="s">
        <v>5881</v>
      </c>
      <c r="E2014" s="7" t="s">
        <v>13135</v>
      </c>
      <c r="F2014" s="7" t="s">
        <v>4546</v>
      </c>
      <c r="G2014" s="7" t="s">
        <v>15668</v>
      </c>
      <c r="H2014" s="7" t="s">
        <v>15669</v>
      </c>
      <c r="I2014" s="119">
        <v>45474.0</v>
      </c>
      <c r="K2014" s="7" t="s">
        <v>419</v>
      </c>
      <c r="L2014" s="7" t="s">
        <v>991</v>
      </c>
      <c r="M2014" s="7" t="s">
        <v>3501</v>
      </c>
      <c r="N2014" s="7" t="s">
        <v>4987</v>
      </c>
      <c r="O2014" s="7" t="s">
        <v>15670</v>
      </c>
      <c r="P2014" s="7" t="s">
        <v>3785</v>
      </c>
      <c r="Q2014" s="7" t="s">
        <v>3523</v>
      </c>
    </row>
    <row r="2015">
      <c r="A2015" s="7" t="s">
        <v>15671</v>
      </c>
      <c r="B2015" s="7">
        <v>3000154.0</v>
      </c>
      <c r="C2015" s="7" t="s">
        <v>4452</v>
      </c>
      <c r="D2015" s="7" t="s">
        <v>15672</v>
      </c>
      <c r="E2015" s="7" t="s">
        <v>4454</v>
      </c>
      <c r="F2015" s="7" t="s">
        <v>5203</v>
      </c>
      <c r="G2015" s="7" t="s">
        <v>15673</v>
      </c>
      <c r="H2015" s="7" t="s">
        <v>15674</v>
      </c>
      <c r="I2015" s="119">
        <v>45489.0</v>
      </c>
      <c r="K2015" s="7" t="s">
        <v>4042</v>
      </c>
      <c r="L2015" s="7" t="s">
        <v>991</v>
      </c>
      <c r="M2015" s="7" t="s">
        <v>3866</v>
      </c>
      <c r="N2015" s="7" t="s">
        <v>4043</v>
      </c>
      <c r="O2015" s="7" t="s">
        <v>4044</v>
      </c>
      <c r="P2015" s="7" t="s">
        <v>3493</v>
      </c>
      <c r="Q2015" s="7">
        <v>1.0</v>
      </c>
    </row>
    <row r="2016">
      <c r="A2016" s="7" t="s">
        <v>15675</v>
      </c>
      <c r="B2016" s="7">
        <v>3000157.0</v>
      </c>
      <c r="C2016" s="7" t="s">
        <v>15676</v>
      </c>
      <c r="D2016" s="7" t="s">
        <v>13587</v>
      </c>
      <c r="E2016" s="7" t="s">
        <v>15677</v>
      </c>
      <c r="F2016" s="7" t="s">
        <v>5132</v>
      </c>
      <c r="G2016" s="7" t="s">
        <v>15678</v>
      </c>
      <c r="H2016" s="7" t="s">
        <v>15679</v>
      </c>
      <c r="I2016" s="119">
        <v>45489.0</v>
      </c>
      <c r="K2016" s="7" t="s">
        <v>3622</v>
      </c>
      <c r="L2016" s="7" t="s">
        <v>991</v>
      </c>
      <c r="M2016" s="7" t="s">
        <v>3531</v>
      </c>
      <c r="N2016" s="7" t="s">
        <v>3623</v>
      </c>
      <c r="O2016" s="7" t="s">
        <v>3624</v>
      </c>
      <c r="P2016" s="7" t="s">
        <v>3493</v>
      </c>
      <c r="Q2016" s="7">
        <v>1.0</v>
      </c>
    </row>
    <row r="2017">
      <c r="A2017" s="7" t="s">
        <v>15680</v>
      </c>
      <c r="B2017" s="7">
        <v>3000142.0</v>
      </c>
      <c r="C2017" s="7" t="s">
        <v>8352</v>
      </c>
      <c r="D2017" s="7" t="s">
        <v>9683</v>
      </c>
      <c r="E2017" s="7" t="s">
        <v>8354</v>
      </c>
      <c r="F2017" s="7" t="s">
        <v>3486</v>
      </c>
      <c r="G2017" s="7" t="s">
        <v>15681</v>
      </c>
      <c r="H2017" s="7" t="s">
        <v>15682</v>
      </c>
      <c r="I2017" s="119">
        <v>45489.0</v>
      </c>
      <c r="K2017" s="7" t="s">
        <v>419</v>
      </c>
      <c r="L2017" s="7" t="s">
        <v>991</v>
      </c>
      <c r="M2017" s="7" t="s">
        <v>3501</v>
      </c>
      <c r="N2017" s="7" t="s">
        <v>15683</v>
      </c>
      <c r="O2017" s="7" t="s">
        <v>15684</v>
      </c>
      <c r="P2017" s="7" t="s">
        <v>4420</v>
      </c>
      <c r="Q2017" s="7" t="s">
        <v>3523</v>
      </c>
    </row>
    <row r="2018">
      <c r="A2018" s="7" t="s">
        <v>15685</v>
      </c>
      <c r="B2018" s="7">
        <v>3000146.0</v>
      </c>
      <c r="C2018" s="7" t="s">
        <v>15686</v>
      </c>
      <c r="D2018" s="7" t="s">
        <v>15687</v>
      </c>
      <c r="E2018" s="7" t="s">
        <v>15688</v>
      </c>
      <c r="F2018" s="7" t="s">
        <v>15689</v>
      </c>
      <c r="G2018" s="7" t="s">
        <v>15690</v>
      </c>
      <c r="H2018" s="7" t="s">
        <v>15691</v>
      </c>
      <c r="I2018" s="119">
        <v>45489.0</v>
      </c>
      <c r="K2018" s="7" t="s">
        <v>419</v>
      </c>
      <c r="L2018" s="7" t="s">
        <v>991</v>
      </c>
      <c r="M2018" s="7" t="s">
        <v>3531</v>
      </c>
      <c r="N2018" s="7" t="s">
        <v>6487</v>
      </c>
      <c r="O2018" s="7" t="s">
        <v>6534</v>
      </c>
      <c r="P2018" s="7" t="s">
        <v>3493</v>
      </c>
      <c r="Q2018" s="7">
        <v>1.0</v>
      </c>
    </row>
    <row r="2019">
      <c r="A2019" s="7" t="s">
        <v>15692</v>
      </c>
      <c r="B2019" s="7">
        <v>3000014.0</v>
      </c>
      <c r="C2019" s="7" t="s">
        <v>9145</v>
      </c>
      <c r="D2019" s="7" t="s">
        <v>15693</v>
      </c>
      <c r="E2019" s="7" t="s">
        <v>9147</v>
      </c>
      <c r="F2019" s="7" t="s">
        <v>5074</v>
      </c>
      <c r="G2019" s="7" t="s">
        <v>15694</v>
      </c>
      <c r="H2019" s="7" t="s">
        <v>15695</v>
      </c>
      <c r="I2019" s="119">
        <v>45489.0</v>
      </c>
      <c r="K2019" s="7" t="s">
        <v>419</v>
      </c>
      <c r="L2019" s="7" t="s">
        <v>991</v>
      </c>
      <c r="M2019" s="7" t="s">
        <v>3490</v>
      </c>
      <c r="N2019" s="7" t="s">
        <v>12793</v>
      </c>
      <c r="O2019" s="7" t="s">
        <v>12794</v>
      </c>
      <c r="P2019" s="7" t="s">
        <v>3493</v>
      </c>
      <c r="Q2019" s="7">
        <v>1.0</v>
      </c>
    </row>
    <row r="2020">
      <c r="A2020" s="7" t="s">
        <v>15696</v>
      </c>
      <c r="B2020" s="7">
        <v>3000156.0</v>
      </c>
      <c r="C2020" s="7" t="s">
        <v>10832</v>
      </c>
      <c r="D2020" s="7" t="s">
        <v>15697</v>
      </c>
      <c r="E2020" s="7" t="s">
        <v>10834</v>
      </c>
      <c r="F2020" s="7" t="s">
        <v>15698</v>
      </c>
      <c r="G2020" s="7" t="s">
        <v>15699</v>
      </c>
      <c r="H2020" s="7" t="s">
        <v>15700</v>
      </c>
      <c r="I2020" s="119">
        <v>45489.0</v>
      </c>
      <c r="K2020" s="7" t="s">
        <v>3642</v>
      </c>
      <c r="L2020" s="7" t="s">
        <v>991</v>
      </c>
      <c r="M2020" s="7" t="s">
        <v>3501</v>
      </c>
      <c r="N2020" s="7" t="s">
        <v>3643</v>
      </c>
      <c r="O2020" s="7" t="s">
        <v>3644</v>
      </c>
      <c r="P2020" s="7" t="s">
        <v>3493</v>
      </c>
      <c r="Q2020" s="7">
        <v>1.0</v>
      </c>
    </row>
    <row r="2021">
      <c r="A2021" s="7" t="s">
        <v>15701</v>
      </c>
      <c r="B2021" s="7">
        <v>3000150.0</v>
      </c>
      <c r="C2021" s="7" t="s">
        <v>15702</v>
      </c>
      <c r="D2021" s="7" t="s">
        <v>15703</v>
      </c>
      <c r="E2021" s="7" t="s">
        <v>15704</v>
      </c>
      <c r="F2021" s="7" t="s">
        <v>15705</v>
      </c>
      <c r="G2021" s="7" t="s">
        <v>15706</v>
      </c>
      <c r="H2021" s="7" t="s">
        <v>15707</v>
      </c>
      <c r="I2021" s="119">
        <v>45489.0</v>
      </c>
      <c r="K2021" s="7" t="s">
        <v>419</v>
      </c>
      <c r="L2021" s="7" t="s">
        <v>991</v>
      </c>
      <c r="M2021" s="7" t="s">
        <v>3531</v>
      </c>
      <c r="N2021" s="7" t="s">
        <v>4810</v>
      </c>
      <c r="O2021" s="7" t="s">
        <v>4811</v>
      </c>
      <c r="P2021" s="7" t="s">
        <v>3493</v>
      </c>
      <c r="Q2021" s="7">
        <v>1.0</v>
      </c>
    </row>
    <row r="2022">
      <c r="A2022" s="7" t="s">
        <v>15708</v>
      </c>
      <c r="B2022" s="7">
        <v>3000158.0</v>
      </c>
      <c r="C2022" s="7" t="s">
        <v>15709</v>
      </c>
      <c r="D2022" s="7" t="s">
        <v>5948</v>
      </c>
      <c r="E2022" s="7" t="s">
        <v>15710</v>
      </c>
      <c r="F2022" s="7" t="s">
        <v>4511</v>
      </c>
      <c r="G2022" s="7" t="s">
        <v>15711</v>
      </c>
      <c r="H2022" s="7" t="s">
        <v>15712</v>
      </c>
      <c r="I2022" s="119">
        <v>45489.0</v>
      </c>
      <c r="K2022" s="7" t="s">
        <v>419</v>
      </c>
      <c r="L2022" s="7" t="s">
        <v>991</v>
      </c>
      <c r="M2022" s="7" t="s">
        <v>3531</v>
      </c>
      <c r="N2022" s="7" t="s">
        <v>12739</v>
      </c>
      <c r="O2022" s="7" t="s">
        <v>12740</v>
      </c>
      <c r="P2022" s="7" t="s">
        <v>3493</v>
      </c>
      <c r="Q2022" s="7">
        <v>1.0</v>
      </c>
    </row>
    <row r="2023">
      <c r="A2023" s="7" t="s">
        <v>15713</v>
      </c>
      <c r="B2023" s="7">
        <v>3000078.0</v>
      </c>
      <c r="C2023" s="7" t="s">
        <v>15714</v>
      </c>
      <c r="D2023" s="7" t="s">
        <v>3578</v>
      </c>
      <c r="E2023" s="7" t="s">
        <v>15715</v>
      </c>
      <c r="F2023" s="7" t="s">
        <v>3580</v>
      </c>
      <c r="G2023" s="7" t="s">
        <v>15716</v>
      </c>
      <c r="H2023" s="7" t="s">
        <v>15717</v>
      </c>
      <c r="I2023" s="119">
        <v>45505.0</v>
      </c>
      <c r="K2023" s="7" t="s">
        <v>419</v>
      </c>
      <c r="L2023" s="7" t="s">
        <v>991</v>
      </c>
      <c r="M2023" s="7" t="s">
        <v>3501</v>
      </c>
      <c r="N2023" s="7" t="s">
        <v>13477</v>
      </c>
      <c r="O2023" s="7" t="s">
        <v>13478</v>
      </c>
      <c r="P2023" s="7" t="s">
        <v>3843</v>
      </c>
      <c r="Q2023" s="7">
        <v>1.0</v>
      </c>
    </row>
    <row r="2024">
      <c r="A2024" s="7" t="s">
        <v>15718</v>
      </c>
      <c r="B2024" s="7">
        <v>3000198.0</v>
      </c>
      <c r="C2024" s="7" t="s">
        <v>15719</v>
      </c>
      <c r="D2024" s="7" t="s">
        <v>15720</v>
      </c>
      <c r="E2024" s="7" t="s">
        <v>3962</v>
      </c>
      <c r="F2024" s="7" t="s">
        <v>15721</v>
      </c>
      <c r="G2024" s="7" t="s">
        <v>15722</v>
      </c>
      <c r="H2024" s="7" t="s">
        <v>15723</v>
      </c>
      <c r="I2024" s="119">
        <v>45505.0</v>
      </c>
      <c r="K2024" s="7" t="s">
        <v>3622</v>
      </c>
      <c r="L2024" s="7" t="s">
        <v>991</v>
      </c>
      <c r="M2024" s="7" t="s">
        <v>3531</v>
      </c>
      <c r="N2024" s="7" t="s">
        <v>3623</v>
      </c>
      <c r="O2024" s="7" t="s">
        <v>3624</v>
      </c>
      <c r="P2024" s="7" t="s">
        <v>3493</v>
      </c>
      <c r="Q2024" s="7">
        <v>1.0</v>
      </c>
    </row>
    <row r="2025">
      <c r="A2025" s="7" t="s">
        <v>15724</v>
      </c>
      <c r="B2025" s="7">
        <v>3000194.0</v>
      </c>
      <c r="C2025" s="7" t="s">
        <v>15725</v>
      </c>
      <c r="D2025" s="7" t="s">
        <v>12194</v>
      </c>
      <c r="E2025" s="7" t="s">
        <v>15726</v>
      </c>
      <c r="F2025" s="7" t="s">
        <v>9012</v>
      </c>
      <c r="G2025" s="7" t="s">
        <v>15727</v>
      </c>
      <c r="H2025" s="7" t="s">
        <v>15728</v>
      </c>
      <c r="I2025" s="119">
        <v>45505.0</v>
      </c>
      <c r="K2025" s="7" t="s">
        <v>419</v>
      </c>
      <c r="L2025" s="7" t="s">
        <v>991</v>
      </c>
      <c r="M2025" s="7" t="s">
        <v>3531</v>
      </c>
      <c r="N2025" s="7" t="s">
        <v>9752</v>
      </c>
      <c r="O2025" s="7" t="s">
        <v>9753</v>
      </c>
      <c r="P2025" s="7" t="s">
        <v>3493</v>
      </c>
      <c r="Q2025" s="7">
        <v>1.0</v>
      </c>
    </row>
    <row r="2026">
      <c r="A2026" s="7" t="s">
        <v>15729</v>
      </c>
      <c r="B2026" s="7">
        <v>3000177.0</v>
      </c>
      <c r="C2026" s="7" t="s">
        <v>6188</v>
      </c>
      <c r="D2026" s="7" t="s">
        <v>6571</v>
      </c>
      <c r="E2026" s="7" t="s">
        <v>5752</v>
      </c>
      <c r="F2026" s="7" t="s">
        <v>3909</v>
      </c>
      <c r="G2026" s="7" t="s">
        <v>15730</v>
      </c>
      <c r="H2026" s="7" t="s">
        <v>15731</v>
      </c>
      <c r="I2026" s="119">
        <v>45505.0</v>
      </c>
      <c r="K2026" s="7" t="s">
        <v>3632</v>
      </c>
      <c r="L2026" s="7" t="s">
        <v>991</v>
      </c>
      <c r="M2026" s="7" t="s">
        <v>3501</v>
      </c>
      <c r="N2026" s="7" t="s">
        <v>7202</v>
      </c>
      <c r="O2026" s="7" t="s">
        <v>15732</v>
      </c>
      <c r="P2026" s="7" t="s">
        <v>4154</v>
      </c>
      <c r="Q2026" s="7" t="s">
        <v>3566</v>
      </c>
    </row>
    <row r="2027">
      <c r="A2027" s="7" t="s">
        <v>15733</v>
      </c>
      <c r="B2027" s="7">
        <v>3000165.0</v>
      </c>
      <c r="C2027" s="7" t="s">
        <v>15734</v>
      </c>
      <c r="D2027" s="7" t="s">
        <v>8812</v>
      </c>
      <c r="E2027" s="7" t="s">
        <v>15735</v>
      </c>
      <c r="F2027" s="7" t="s">
        <v>8278</v>
      </c>
      <c r="G2027" s="7" t="s">
        <v>15736</v>
      </c>
      <c r="H2027" s="7" t="s">
        <v>15737</v>
      </c>
      <c r="I2027" s="119">
        <v>45505.0</v>
      </c>
      <c r="K2027" s="7" t="s">
        <v>419</v>
      </c>
      <c r="L2027" s="7" t="s">
        <v>991</v>
      </c>
      <c r="M2027" s="7" t="s">
        <v>3501</v>
      </c>
      <c r="N2027" s="7" t="s">
        <v>7518</v>
      </c>
      <c r="O2027" s="7" t="s">
        <v>7519</v>
      </c>
      <c r="P2027" s="7" t="s">
        <v>3522</v>
      </c>
      <c r="Q2027" s="7" t="s">
        <v>3523</v>
      </c>
    </row>
    <row r="2028">
      <c r="A2028" s="7" t="s">
        <v>15738</v>
      </c>
      <c r="B2028" s="7">
        <v>3000186.0</v>
      </c>
      <c r="C2028" s="7" t="s">
        <v>7104</v>
      </c>
      <c r="D2028" s="7" t="s">
        <v>15739</v>
      </c>
      <c r="E2028" s="7" t="s">
        <v>7106</v>
      </c>
      <c r="F2028" s="7" t="s">
        <v>12152</v>
      </c>
      <c r="G2028" s="7" t="s">
        <v>15740</v>
      </c>
      <c r="H2028" s="7" t="s">
        <v>15741</v>
      </c>
      <c r="I2028" s="119">
        <v>45505.0</v>
      </c>
      <c r="K2028" s="7" t="s">
        <v>419</v>
      </c>
      <c r="L2028" s="7" t="s">
        <v>991</v>
      </c>
      <c r="M2028" s="7" t="s">
        <v>3531</v>
      </c>
      <c r="N2028" s="7" t="s">
        <v>7487</v>
      </c>
      <c r="O2028" s="7" t="s">
        <v>10314</v>
      </c>
      <c r="P2028" s="7" t="s">
        <v>3493</v>
      </c>
      <c r="Q2028" s="7">
        <v>1.0</v>
      </c>
    </row>
    <row r="2029">
      <c r="A2029" s="7" t="s">
        <v>15742</v>
      </c>
      <c r="B2029" s="7">
        <v>3000180.0</v>
      </c>
      <c r="C2029" s="7" t="s">
        <v>7368</v>
      </c>
      <c r="D2029" s="7" t="s">
        <v>15743</v>
      </c>
      <c r="E2029" s="7" t="s">
        <v>7370</v>
      </c>
      <c r="F2029" s="7" t="s">
        <v>4158</v>
      </c>
      <c r="G2029" s="7" t="s">
        <v>15744</v>
      </c>
      <c r="H2029" s="7" t="s">
        <v>15745</v>
      </c>
      <c r="I2029" s="119">
        <v>45505.0</v>
      </c>
      <c r="K2029" s="7" t="s">
        <v>3632</v>
      </c>
      <c r="L2029" s="7" t="s">
        <v>991</v>
      </c>
      <c r="M2029" s="7" t="s">
        <v>3531</v>
      </c>
      <c r="N2029" s="7" t="s">
        <v>6526</v>
      </c>
      <c r="O2029" s="7" t="s">
        <v>12942</v>
      </c>
      <c r="P2029" s="7" t="s">
        <v>3493</v>
      </c>
      <c r="Q2029" s="7">
        <v>1.0</v>
      </c>
    </row>
    <row r="2030">
      <c r="A2030" s="7" t="s">
        <v>15746</v>
      </c>
      <c r="B2030" s="7">
        <v>3000185.0</v>
      </c>
      <c r="C2030" s="7" t="s">
        <v>7853</v>
      </c>
      <c r="D2030" s="7" t="s">
        <v>15747</v>
      </c>
      <c r="E2030" s="7" t="s">
        <v>7854</v>
      </c>
      <c r="F2030" s="7" t="s">
        <v>9205</v>
      </c>
      <c r="G2030" s="7" t="s">
        <v>15748</v>
      </c>
      <c r="H2030" s="7" t="s">
        <v>15749</v>
      </c>
      <c r="I2030" s="119">
        <v>45505.0</v>
      </c>
      <c r="K2030" s="7" t="s">
        <v>419</v>
      </c>
      <c r="L2030" s="7" t="s">
        <v>991</v>
      </c>
      <c r="M2030" s="7" t="s">
        <v>3531</v>
      </c>
      <c r="N2030" s="7" t="s">
        <v>8583</v>
      </c>
      <c r="O2030" s="7" t="s">
        <v>8584</v>
      </c>
      <c r="P2030" s="7" t="s">
        <v>3493</v>
      </c>
      <c r="Q2030" s="7">
        <v>1.0</v>
      </c>
    </row>
    <row r="2031">
      <c r="A2031" s="7" t="s">
        <v>15750</v>
      </c>
      <c r="B2031" s="7">
        <v>3000082.0</v>
      </c>
      <c r="C2031" s="7" t="s">
        <v>8336</v>
      </c>
      <c r="D2031" s="7" t="s">
        <v>15751</v>
      </c>
      <c r="E2031" s="7" t="s">
        <v>8338</v>
      </c>
      <c r="F2031" s="7" t="s">
        <v>8194</v>
      </c>
      <c r="G2031" s="7" t="s">
        <v>15752</v>
      </c>
      <c r="H2031" s="7" t="s">
        <v>15753</v>
      </c>
      <c r="I2031" s="119">
        <v>45505.0</v>
      </c>
      <c r="K2031" s="7" t="s">
        <v>419</v>
      </c>
      <c r="L2031" s="7" t="s">
        <v>991</v>
      </c>
      <c r="M2031" s="7" t="s">
        <v>3490</v>
      </c>
      <c r="N2031" s="7" t="s">
        <v>12311</v>
      </c>
      <c r="O2031" s="7" t="s">
        <v>12312</v>
      </c>
      <c r="P2031" s="7" t="s">
        <v>3493</v>
      </c>
      <c r="Q2031" s="7">
        <v>1.0</v>
      </c>
    </row>
    <row r="2032">
      <c r="A2032" s="7" t="s">
        <v>15754</v>
      </c>
      <c r="B2032" s="7">
        <v>3000181.0</v>
      </c>
      <c r="C2032" s="7" t="s">
        <v>8429</v>
      </c>
      <c r="D2032" s="7" t="s">
        <v>15755</v>
      </c>
      <c r="E2032" s="7" t="s">
        <v>8431</v>
      </c>
      <c r="F2032" s="7" t="s">
        <v>15756</v>
      </c>
      <c r="G2032" s="7" t="s">
        <v>15757</v>
      </c>
      <c r="H2032" s="7" t="s">
        <v>15758</v>
      </c>
      <c r="I2032" s="119">
        <v>45505.0</v>
      </c>
      <c r="K2032" s="7" t="s">
        <v>419</v>
      </c>
      <c r="L2032" s="7" t="s">
        <v>991</v>
      </c>
      <c r="M2032" s="7" t="s">
        <v>3531</v>
      </c>
      <c r="N2032" s="7" t="s">
        <v>6624</v>
      </c>
      <c r="O2032" s="7" t="s">
        <v>9604</v>
      </c>
      <c r="P2032" s="7" t="s">
        <v>3493</v>
      </c>
      <c r="Q2032" s="7">
        <v>1.0</v>
      </c>
    </row>
    <row r="2033">
      <c r="A2033" s="7" t="s">
        <v>15759</v>
      </c>
      <c r="B2033" s="7">
        <v>3000179.0</v>
      </c>
      <c r="C2033" s="7" t="s">
        <v>15760</v>
      </c>
      <c r="D2033" s="7" t="s">
        <v>5383</v>
      </c>
      <c r="E2033" s="7" t="s">
        <v>15761</v>
      </c>
      <c r="F2033" s="7" t="s">
        <v>3486</v>
      </c>
      <c r="G2033" s="7" t="s">
        <v>15762</v>
      </c>
      <c r="H2033" s="7" t="s">
        <v>15763</v>
      </c>
      <c r="I2033" s="119">
        <v>45505.0</v>
      </c>
      <c r="K2033" s="7" t="s">
        <v>3632</v>
      </c>
      <c r="L2033" s="7" t="s">
        <v>991</v>
      </c>
      <c r="M2033" s="7" t="s">
        <v>3501</v>
      </c>
      <c r="N2033" s="7" t="s">
        <v>4576</v>
      </c>
      <c r="O2033" s="7" t="s">
        <v>9599</v>
      </c>
      <c r="P2033" s="7" t="s">
        <v>3522</v>
      </c>
      <c r="Q2033" s="7" t="s">
        <v>3514</v>
      </c>
    </row>
    <row r="2034">
      <c r="A2034" s="7" t="s">
        <v>15764</v>
      </c>
      <c r="B2034" s="7">
        <v>3000134.0</v>
      </c>
      <c r="C2034" s="7" t="s">
        <v>9606</v>
      </c>
      <c r="D2034" s="7" t="s">
        <v>15765</v>
      </c>
      <c r="E2034" s="7" t="s">
        <v>9572</v>
      </c>
      <c r="F2034" s="7" t="s">
        <v>6859</v>
      </c>
      <c r="G2034" s="7" t="s">
        <v>15766</v>
      </c>
      <c r="H2034" s="7" t="s">
        <v>15767</v>
      </c>
      <c r="I2034" s="119">
        <v>45505.0</v>
      </c>
      <c r="K2034" s="7" t="s">
        <v>419</v>
      </c>
      <c r="L2034" s="7" t="s">
        <v>991</v>
      </c>
      <c r="M2034" s="7" t="s">
        <v>3501</v>
      </c>
      <c r="N2034" s="7" t="s">
        <v>4168</v>
      </c>
      <c r="O2034" s="7" t="s">
        <v>4169</v>
      </c>
      <c r="P2034" s="7" t="s">
        <v>3493</v>
      </c>
      <c r="Q2034" s="7">
        <v>1.0</v>
      </c>
    </row>
    <row r="2035">
      <c r="A2035" s="7" t="s">
        <v>15768</v>
      </c>
      <c r="B2035" s="7">
        <v>3000138.0</v>
      </c>
      <c r="C2035" s="7" t="s">
        <v>10164</v>
      </c>
      <c r="D2035" s="7" t="s">
        <v>15769</v>
      </c>
      <c r="E2035" s="7" t="s">
        <v>10166</v>
      </c>
      <c r="F2035" s="7" t="s">
        <v>15770</v>
      </c>
      <c r="G2035" s="7" t="s">
        <v>15771</v>
      </c>
      <c r="H2035" s="7" t="s">
        <v>15772</v>
      </c>
      <c r="I2035" s="119">
        <v>45505.0</v>
      </c>
      <c r="K2035" s="7" t="s">
        <v>3622</v>
      </c>
      <c r="L2035" s="7" t="s">
        <v>991</v>
      </c>
      <c r="M2035" s="7" t="s">
        <v>3501</v>
      </c>
      <c r="N2035" s="7" t="s">
        <v>3623</v>
      </c>
      <c r="O2035" s="7" t="s">
        <v>3624</v>
      </c>
      <c r="P2035" s="7" t="s">
        <v>3493</v>
      </c>
      <c r="Q2035" s="7">
        <v>1.0</v>
      </c>
    </row>
    <row r="2036">
      <c r="A2036" s="7" t="s">
        <v>15773</v>
      </c>
      <c r="B2036" s="7">
        <v>3000164.0</v>
      </c>
      <c r="C2036" s="7" t="s">
        <v>12410</v>
      </c>
      <c r="D2036" s="7" t="s">
        <v>15774</v>
      </c>
      <c r="E2036" s="7" t="s">
        <v>12412</v>
      </c>
      <c r="F2036" s="7" t="s">
        <v>4960</v>
      </c>
      <c r="G2036" s="7" t="s">
        <v>15775</v>
      </c>
      <c r="H2036" s="7" t="s">
        <v>15776</v>
      </c>
      <c r="I2036" s="119">
        <v>45505.0</v>
      </c>
      <c r="K2036" s="7" t="s">
        <v>419</v>
      </c>
      <c r="L2036" s="7" t="s">
        <v>991</v>
      </c>
      <c r="M2036" s="7" t="s">
        <v>3501</v>
      </c>
      <c r="N2036" s="7" t="s">
        <v>7280</v>
      </c>
      <c r="O2036" s="7" t="s">
        <v>15777</v>
      </c>
      <c r="P2036" s="7" t="s">
        <v>3522</v>
      </c>
      <c r="Q2036" s="7" t="s">
        <v>3514</v>
      </c>
    </row>
    <row r="2037">
      <c r="A2037" s="7" t="s">
        <v>15778</v>
      </c>
      <c r="B2037" s="7">
        <v>3000187.0</v>
      </c>
      <c r="C2037" s="7" t="s">
        <v>15779</v>
      </c>
      <c r="D2037" s="7" t="s">
        <v>5956</v>
      </c>
      <c r="E2037" s="7" t="s">
        <v>3714</v>
      </c>
      <c r="F2037" s="7" t="s">
        <v>4687</v>
      </c>
      <c r="G2037" s="7" t="s">
        <v>15780</v>
      </c>
      <c r="H2037" s="7" t="s">
        <v>15781</v>
      </c>
      <c r="I2037" s="119">
        <v>45505.0</v>
      </c>
      <c r="K2037" s="7" t="s">
        <v>3642</v>
      </c>
      <c r="L2037" s="7" t="s">
        <v>991</v>
      </c>
      <c r="M2037" s="7" t="s">
        <v>3501</v>
      </c>
      <c r="N2037" s="7" t="s">
        <v>3643</v>
      </c>
      <c r="O2037" s="7" t="s">
        <v>3644</v>
      </c>
      <c r="P2037" s="7" t="s">
        <v>3493</v>
      </c>
      <c r="Q2037" s="7">
        <v>1.0</v>
      </c>
    </row>
    <row r="2038">
      <c r="A2038" s="7" t="s">
        <v>15782</v>
      </c>
      <c r="B2038" s="7">
        <v>3000183.0</v>
      </c>
      <c r="C2038" s="7" t="s">
        <v>15783</v>
      </c>
      <c r="D2038" s="7" t="s">
        <v>8975</v>
      </c>
      <c r="E2038" s="7" t="s">
        <v>15784</v>
      </c>
      <c r="F2038" s="7" t="s">
        <v>4967</v>
      </c>
      <c r="G2038" s="7" t="s">
        <v>15785</v>
      </c>
      <c r="H2038" s="7" t="s">
        <v>15786</v>
      </c>
      <c r="I2038" s="119">
        <v>45505.0</v>
      </c>
      <c r="K2038" s="7" t="s">
        <v>3622</v>
      </c>
      <c r="L2038" s="7" t="s">
        <v>991</v>
      </c>
      <c r="M2038" s="7" t="s">
        <v>3531</v>
      </c>
      <c r="N2038" s="7" t="s">
        <v>3623</v>
      </c>
      <c r="O2038" s="7" t="s">
        <v>3624</v>
      </c>
      <c r="P2038" s="7" t="s">
        <v>3493</v>
      </c>
      <c r="Q2038" s="7">
        <v>1.0</v>
      </c>
    </row>
    <row r="2039">
      <c r="A2039" s="7" t="s">
        <v>15787</v>
      </c>
      <c r="B2039" s="7">
        <v>3000192.0</v>
      </c>
      <c r="C2039" s="7" t="s">
        <v>12965</v>
      </c>
      <c r="D2039" s="7" t="s">
        <v>15788</v>
      </c>
      <c r="E2039" s="7" t="s">
        <v>12966</v>
      </c>
      <c r="F2039" s="7" t="s">
        <v>15789</v>
      </c>
      <c r="G2039" s="7" t="s">
        <v>15790</v>
      </c>
      <c r="H2039" s="7" t="s">
        <v>15791</v>
      </c>
      <c r="I2039" s="119">
        <v>45505.0</v>
      </c>
      <c r="K2039" s="7" t="s">
        <v>419</v>
      </c>
      <c r="L2039" s="7" t="s">
        <v>991</v>
      </c>
      <c r="M2039" s="7" t="s">
        <v>3531</v>
      </c>
      <c r="N2039" s="7" t="s">
        <v>5273</v>
      </c>
      <c r="O2039" s="7" t="s">
        <v>5274</v>
      </c>
      <c r="P2039" s="7" t="s">
        <v>3493</v>
      </c>
      <c r="Q2039" s="7">
        <v>1.0</v>
      </c>
    </row>
    <row r="2040">
      <c r="A2040" s="7" t="s">
        <v>15792</v>
      </c>
      <c r="B2040" s="7">
        <v>3000184.0</v>
      </c>
      <c r="C2040" s="7" t="s">
        <v>13569</v>
      </c>
      <c r="D2040" s="7" t="s">
        <v>15793</v>
      </c>
      <c r="E2040" s="7" t="s">
        <v>13571</v>
      </c>
      <c r="F2040" s="7" t="s">
        <v>5514</v>
      </c>
      <c r="G2040" s="7" t="s">
        <v>15794</v>
      </c>
      <c r="H2040" s="7" t="s">
        <v>15795</v>
      </c>
      <c r="I2040" s="119">
        <v>45505.0</v>
      </c>
      <c r="K2040" s="7" t="s">
        <v>419</v>
      </c>
      <c r="L2040" s="7" t="s">
        <v>991</v>
      </c>
      <c r="M2040" s="7" t="s">
        <v>3531</v>
      </c>
      <c r="N2040" s="7" t="s">
        <v>5605</v>
      </c>
      <c r="O2040" s="7" t="s">
        <v>5606</v>
      </c>
      <c r="P2040" s="7" t="s">
        <v>3493</v>
      </c>
      <c r="Q2040" s="7">
        <v>1.0</v>
      </c>
    </row>
    <row r="2041">
      <c r="A2041" s="7" t="s">
        <v>15796</v>
      </c>
      <c r="B2041" s="7">
        <v>3000129.0</v>
      </c>
      <c r="C2041" s="7" t="s">
        <v>13605</v>
      </c>
      <c r="D2041" s="7" t="s">
        <v>15797</v>
      </c>
      <c r="E2041" s="7" t="s">
        <v>13607</v>
      </c>
      <c r="F2041" s="7" t="s">
        <v>15798</v>
      </c>
      <c r="G2041" s="7" t="s">
        <v>15799</v>
      </c>
      <c r="H2041" s="7" t="s">
        <v>15800</v>
      </c>
      <c r="I2041" s="119">
        <v>45505.0</v>
      </c>
      <c r="K2041" s="7" t="s">
        <v>419</v>
      </c>
      <c r="L2041" s="7" t="s">
        <v>991</v>
      </c>
      <c r="M2041" s="7" t="s">
        <v>3501</v>
      </c>
      <c r="N2041" s="7" t="s">
        <v>7280</v>
      </c>
      <c r="O2041" s="7" t="s">
        <v>15801</v>
      </c>
      <c r="P2041" s="7" t="s">
        <v>3493</v>
      </c>
      <c r="Q2041" s="7">
        <v>1.0</v>
      </c>
    </row>
    <row r="2042">
      <c r="A2042" s="7" t="s">
        <v>15802</v>
      </c>
      <c r="B2042" s="7">
        <v>3000215.0</v>
      </c>
      <c r="C2042" s="7" t="s">
        <v>13801</v>
      </c>
      <c r="D2042" s="7" t="s">
        <v>15803</v>
      </c>
      <c r="E2042" s="7" t="s">
        <v>13803</v>
      </c>
      <c r="F2042" s="7" t="s">
        <v>15803</v>
      </c>
      <c r="G2042" s="7" t="s">
        <v>15804</v>
      </c>
      <c r="H2042" s="7" t="s">
        <v>15805</v>
      </c>
      <c r="I2042" s="119">
        <v>45536.0</v>
      </c>
      <c r="K2042" s="7" t="s">
        <v>419</v>
      </c>
      <c r="L2042" s="7" t="s">
        <v>991</v>
      </c>
      <c r="M2042" s="7" t="s">
        <v>3501</v>
      </c>
      <c r="N2042" s="7" t="s">
        <v>3957</v>
      </c>
      <c r="O2042" s="7" t="s">
        <v>15806</v>
      </c>
      <c r="P2042" s="7" t="s">
        <v>3522</v>
      </c>
      <c r="Q2042" s="7" t="s">
        <v>3523</v>
      </c>
    </row>
    <row r="2043">
      <c r="A2043" s="7" t="s">
        <v>15807</v>
      </c>
      <c r="B2043" s="7">
        <v>3000193.0</v>
      </c>
      <c r="C2043" s="7" t="s">
        <v>13857</v>
      </c>
      <c r="D2043" s="7" t="s">
        <v>15808</v>
      </c>
      <c r="E2043" s="7" t="s">
        <v>13853</v>
      </c>
      <c r="F2043" s="7" t="s">
        <v>14591</v>
      </c>
      <c r="G2043" s="7" t="s">
        <v>15809</v>
      </c>
      <c r="H2043" s="7" t="s">
        <v>15810</v>
      </c>
      <c r="I2043" s="119">
        <v>45505.0</v>
      </c>
      <c r="K2043" s="7" t="s">
        <v>419</v>
      </c>
      <c r="L2043" s="7" t="s">
        <v>991</v>
      </c>
      <c r="M2043" s="7" t="s">
        <v>3531</v>
      </c>
      <c r="N2043" s="7" t="s">
        <v>3684</v>
      </c>
      <c r="O2043" s="7" t="s">
        <v>15811</v>
      </c>
      <c r="P2043" s="7" t="s">
        <v>3493</v>
      </c>
      <c r="Q2043" s="7">
        <v>1.0</v>
      </c>
    </row>
    <row r="2044">
      <c r="A2044" s="7" t="s">
        <v>15812</v>
      </c>
      <c r="B2044" s="7">
        <v>3000211.0</v>
      </c>
      <c r="C2044" s="7" t="s">
        <v>3969</v>
      </c>
      <c r="D2044" s="7" t="s">
        <v>15282</v>
      </c>
      <c r="E2044" s="7" t="s">
        <v>3970</v>
      </c>
      <c r="F2044" s="7" t="s">
        <v>6806</v>
      </c>
      <c r="G2044" s="7" t="s">
        <v>15813</v>
      </c>
      <c r="H2044" s="7" t="s">
        <v>15814</v>
      </c>
      <c r="I2044" s="119">
        <v>45520.0</v>
      </c>
      <c r="K2044" s="7" t="s">
        <v>3642</v>
      </c>
      <c r="L2044" s="7" t="s">
        <v>991</v>
      </c>
      <c r="M2044" s="7" t="s">
        <v>3501</v>
      </c>
      <c r="N2044" s="7" t="s">
        <v>3643</v>
      </c>
      <c r="O2044" s="7" t="s">
        <v>3644</v>
      </c>
      <c r="P2044" s="7" t="s">
        <v>3493</v>
      </c>
      <c r="Q2044" s="7">
        <v>1.0</v>
      </c>
    </row>
    <row r="2045">
      <c r="A2045" s="7" t="s">
        <v>15815</v>
      </c>
      <c r="B2045" s="7">
        <v>3000170.0</v>
      </c>
      <c r="C2045" s="7" t="s">
        <v>4502</v>
      </c>
      <c r="D2045" s="7" t="s">
        <v>15816</v>
      </c>
      <c r="E2045" s="7" t="s">
        <v>4504</v>
      </c>
      <c r="F2045" s="7" t="s">
        <v>6467</v>
      </c>
      <c r="G2045" s="7" t="s">
        <v>15817</v>
      </c>
      <c r="H2045" s="7" t="s">
        <v>15818</v>
      </c>
      <c r="I2045" s="119">
        <v>45520.0</v>
      </c>
      <c r="K2045" s="7" t="s">
        <v>419</v>
      </c>
      <c r="L2045" s="7" t="s">
        <v>991</v>
      </c>
      <c r="M2045" s="7" t="s">
        <v>3501</v>
      </c>
      <c r="N2045" s="7" t="s">
        <v>8158</v>
      </c>
      <c r="O2045" s="7" t="s">
        <v>15819</v>
      </c>
      <c r="P2045" s="7" t="s">
        <v>4154</v>
      </c>
      <c r="Q2045" s="7" t="s">
        <v>4155</v>
      </c>
    </row>
    <row r="2046">
      <c r="A2046" s="7" t="s">
        <v>15820</v>
      </c>
      <c r="B2046" s="7">
        <v>3000160.0</v>
      </c>
      <c r="C2046" s="7" t="s">
        <v>15821</v>
      </c>
      <c r="D2046" s="7" t="s">
        <v>15822</v>
      </c>
      <c r="E2046" s="7" t="s">
        <v>15823</v>
      </c>
      <c r="F2046" s="7" t="s">
        <v>8834</v>
      </c>
      <c r="G2046" s="7" t="s">
        <v>15824</v>
      </c>
      <c r="H2046" s="7" t="s">
        <v>15825</v>
      </c>
      <c r="I2046" s="119">
        <v>45520.0</v>
      </c>
      <c r="K2046" s="7" t="s">
        <v>419</v>
      </c>
      <c r="L2046" s="7" t="s">
        <v>991</v>
      </c>
      <c r="M2046" s="7" t="s">
        <v>3501</v>
      </c>
      <c r="N2046" s="7" t="s">
        <v>8379</v>
      </c>
      <c r="O2046" s="7" t="s">
        <v>11270</v>
      </c>
      <c r="P2046" s="7" t="s">
        <v>3522</v>
      </c>
      <c r="Q2046" s="7" t="s">
        <v>3523</v>
      </c>
    </row>
    <row r="2047">
      <c r="A2047" s="7" t="s">
        <v>15826</v>
      </c>
      <c r="B2047" s="7">
        <v>3000203.0</v>
      </c>
      <c r="C2047" s="7" t="s">
        <v>15827</v>
      </c>
      <c r="D2047" s="7" t="s">
        <v>15828</v>
      </c>
      <c r="E2047" s="7" t="s">
        <v>15829</v>
      </c>
      <c r="F2047" s="7" t="s">
        <v>3889</v>
      </c>
      <c r="G2047" s="7" t="s">
        <v>15830</v>
      </c>
      <c r="H2047" s="7" t="s">
        <v>15831</v>
      </c>
      <c r="I2047" s="119">
        <v>45520.0</v>
      </c>
      <c r="K2047" s="7" t="s">
        <v>419</v>
      </c>
      <c r="L2047" s="7" t="s">
        <v>991</v>
      </c>
      <c r="M2047" s="7" t="s">
        <v>3501</v>
      </c>
      <c r="N2047" s="7" t="s">
        <v>3593</v>
      </c>
      <c r="O2047" s="7" t="s">
        <v>3594</v>
      </c>
      <c r="P2047" s="7" t="s">
        <v>3493</v>
      </c>
      <c r="Q2047" s="7">
        <v>1.0</v>
      </c>
    </row>
    <row r="2048">
      <c r="A2048" s="7" t="s">
        <v>15832</v>
      </c>
      <c r="B2048" s="7">
        <v>3000212.0</v>
      </c>
      <c r="C2048" s="7" t="s">
        <v>8429</v>
      </c>
      <c r="D2048" s="7" t="s">
        <v>15833</v>
      </c>
      <c r="E2048" s="7" t="s">
        <v>8431</v>
      </c>
      <c r="F2048" s="7" t="s">
        <v>12435</v>
      </c>
      <c r="G2048" s="7" t="s">
        <v>15834</v>
      </c>
      <c r="H2048" s="7" t="s">
        <v>15835</v>
      </c>
      <c r="I2048" s="119">
        <v>45520.0</v>
      </c>
      <c r="K2048" s="7" t="s">
        <v>419</v>
      </c>
      <c r="L2048" s="7" t="s">
        <v>991</v>
      </c>
      <c r="M2048" s="7" t="s">
        <v>3531</v>
      </c>
      <c r="N2048" s="7" t="s">
        <v>5755</v>
      </c>
      <c r="O2048" s="7" t="s">
        <v>5756</v>
      </c>
      <c r="P2048" s="7" t="s">
        <v>3493</v>
      </c>
      <c r="Q2048" s="7">
        <v>1.0</v>
      </c>
    </row>
    <row r="2049">
      <c r="A2049" s="7" t="s">
        <v>15836</v>
      </c>
      <c r="B2049" s="7">
        <v>3000207.0</v>
      </c>
      <c r="C2049" s="7" t="s">
        <v>15837</v>
      </c>
      <c r="D2049" s="7" t="s">
        <v>15838</v>
      </c>
      <c r="E2049" s="7" t="s">
        <v>8294</v>
      </c>
      <c r="F2049" s="7" t="s">
        <v>4144</v>
      </c>
      <c r="G2049" s="7" t="s">
        <v>15839</v>
      </c>
      <c r="H2049" s="7" t="s">
        <v>15840</v>
      </c>
      <c r="I2049" s="119">
        <v>45520.0</v>
      </c>
      <c r="K2049" s="7" t="s">
        <v>3632</v>
      </c>
      <c r="L2049" s="7" t="s">
        <v>991</v>
      </c>
      <c r="M2049" s="7" t="s">
        <v>3583</v>
      </c>
      <c r="N2049" s="7" t="s">
        <v>4324</v>
      </c>
      <c r="O2049" s="7" t="s">
        <v>15841</v>
      </c>
      <c r="P2049" s="7" t="s">
        <v>3522</v>
      </c>
      <c r="Q2049" s="7" t="s">
        <v>3523</v>
      </c>
    </row>
    <row r="2050">
      <c r="A2050" s="7" t="s">
        <v>15842</v>
      </c>
      <c r="B2050" s="7">
        <v>3000218.0</v>
      </c>
      <c r="C2050" s="7" t="s">
        <v>15843</v>
      </c>
      <c r="D2050" s="7" t="s">
        <v>15844</v>
      </c>
      <c r="E2050" s="7" t="s">
        <v>15845</v>
      </c>
      <c r="F2050" s="7" t="s">
        <v>15846</v>
      </c>
      <c r="G2050" s="7" t="s">
        <v>15847</v>
      </c>
      <c r="H2050" s="7" t="s">
        <v>15848</v>
      </c>
      <c r="I2050" s="119">
        <v>45520.0</v>
      </c>
      <c r="K2050" s="7" t="s">
        <v>6439</v>
      </c>
      <c r="L2050" s="7" t="s">
        <v>991</v>
      </c>
      <c r="M2050" s="7" t="s">
        <v>3531</v>
      </c>
      <c r="N2050" s="7" t="s">
        <v>6440</v>
      </c>
      <c r="O2050" s="7" t="s">
        <v>6441</v>
      </c>
      <c r="P2050" s="7" t="s">
        <v>3493</v>
      </c>
      <c r="Q2050" s="7">
        <v>1.0</v>
      </c>
    </row>
    <row r="2051">
      <c r="A2051" s="7" t="s">
        <v>15849</v>
      </c>
      <c r="B2051" s="7">
        <v>3000219.0</v>
      </c>
      <c r="C2051" s="7" t="s">
        <v>15843</v>
      </c>
      <c r="D2051" s="7" t="s">
        <v>15850</v>
      </c>
      <c r="E2051" s="7" t="s">
        <v>15845</v>
      </c>
      <c r="F2051" s="7" t="s">
        <v>15846</v>
      </c>
      <c r="G2051" s="7" t="s">
        <v>15851</v>
      </c>
      <c r="H2051" s="7" t="s">
        <v>15852</v>
      </c>
      <c r="I2051" s="119">
        <v>45520.0</v>
      </c>
      <c r="K2051" s="7" t="s">
        <v>419</v>
      </c>
      <c r="L2051" s="7" t="s">
        <v>991</v>
      </c>
      <c r="M2051" s="7" t="s">
        <v>3531</v>
      </c>
      <c r="N2051" s="7" t="s">
        <v>7947</v>
      </c>
      <c r="O2051" s="7" t="s">
        <v>7948</v>
      </c>
      <c r="P2051" s="7" t="s">
        <v>3493</v>
      </c>
      <c r="Q2051" s="7">
        <v>1.0</v>
      </c>
    </row>
    <row r="2052">
      <c r="A2052" s="7" t="s">
        <v>15853</v>
      </c>
      <c r="B2052" s="7">
        <v>3000216.0</v>
      </c>
      <c r="C2052" s="7" t="s">
        <v>13801</v>
      </c>
      <c r="D2052" s="7" t="s">
        <v>6650</v>
      </c>
      <c r="E2052" s="7" t="s">
        <v>13803</v>
      </c>
      <c r="F2052" s="7" t="s">
        <v>3909</v>
      </c>
      <c r="G2052" s="7" t="s">
        <v>15854</v>
      </c>
      <c r="H2052" s="7" t="s">
        <v>15855</v>
      </c>
      <c r="I2052" s="119">
        <v>45520.0</v>
      </c>
      <c r="K2052" s="7" t="s">
        <v>3642</v>
      </c>
      <c r="L2052" s="7" t="s">
        <v>991</v>
      </c>
      <c r="M2052" s="7" t="s">
        <v>3583</v>
      </c>
      <c r="N2052" s="7" t="s">
        <v>3643</v>
      </c>
      <c r="O2052" s="7" t="s">
        <v>3644</v>
      </c>
      <c r="P2052" s="7" t="s">
        <v>3493</v>
      </c>
      <c r="Q2052" s="7">
        <v>1.0</v>
      </c>
    </row>
    <row r="2053">
      <c r="A2053" s="7" t="s">
        <v>15856</v>
      </c>
      <c r="B2053" s="7">
        <v>3000244.0</v>
      </c>
      <c r="C2053" s="7" t="s">
        <v>15040</v>
      </c>
      <c r="D2053" s="7" t="s">
        <v>15857</v>
      </c>
      <c r="E2053" s="7" t="s">
        <v>15042</v>
      </c>
      <c r="F2053" s="7" t="s">
        <v>3869</v>
      </c>
      <c r="G2053" s="7" t="s">
        <v>15858</v>
      </c>
      <c r="H2053" s="7" t="s">
        <v>15859</v>
      </c>
      <c r="I2053" s="119">
        <v>45536.0</v>
      </c>
      <c r="K2053" s="7" t="s">
        <v>419</v>
      </c>
      <c r="L2053" s="7" t="s">
        <v>991</v>
      </c>
      <c r="M2053" s="7" t="s">
        <v>3531</v>
      </c>
      <c r="N2053" s="7" t="s">
        <v>12768</v>
      </c>
      <c r="O2053" s="7" t="s">
        <v>12769</v>
      </c>
      <c r="P2053" s="7" t="s">
        <v>3493</v>
      </c>
      <c r="Q2053" s="7">
        <v>1.0</v>
      </c>
    </row>
    <row r="2054">
      <c r="A2054" s="7" t="s">
        <v>15860</v>
      </c>
      <c r="B2054" s="7">
        <v>3000139.0</v>
      </c>
      <c r="C2054" s="7" t="s">
        <v>15861</v>
      </c>
      <c r="D2054" s="7" t="s">
        <v>14555</v>
      </c>
      <c r="E2054" s="7" t="s">
        <v>15862</v>
      </c>
      <c r="F2054" s="7" t="s">
        <v>3714</v>
      </c>
      <c r="G2054" s="7" t="s">
        <v>15863</v>
      </c>
      <c r="H2054" s="7" t="s">
        <v>15864</v>
      </c>
      <c r="I2054" s="119">
        <v>45536.0</v>
      </c>
      <c r="K2054" s="7" t="s">
        <v>419</v>
      </c>
      <c r="L2054" s="7" t="s">
        <v>991</v>
      </c>
      <c r="M2054" s="7" t="s">
        <v>3501</v>
      </c>
      <c r="N2054" s="7" t="s">
        <v>5411</v>
      </c>
      <c r="O2054" s="7" t="s">
        <v>5412</v>
      </c>
      <c r="P2054" s="7" t="s">
        <v>3493</v>
      </c>
      <c r="Q2054" s="7">
        <v>1.0</v>
      </c>
    </row>
    <row r="2055">
      <c r="A2055" s="7" t="s">
        <v>15865</v>
      </c>
      <c r="B2055" s="7">
        <v>3000233.0</v>
      </c>
      <c r="C2055" s="7" t="s">
        <v>8247</v>
      </c>
      <c r="D2055" s="7" t="s">
        <v>15866</v>
      </c>
      <c r="E2055" s="7" t="s">
        <v>8249</v>
      </c>
      <c r="F2055" s="7" t="s">
        <v>15867</v>
      </c>
      <c r="G2055" s="7" t="s">
        <v>15868</v>
      </c>
      <c r="H2055" s="7" t="s">
        <v>15869</v>
      </c>
      <c r="I2055" s="119">
        <v>45536.0</v>
      </c>
      <c r="K2055" s="7" t="s">
        <v>11974</v>
      </c>
      <c r="L2055" s="7" t="s">
        <v>991</v>
      </c>
      <c r="M2055" s="7" t="s">
        <v>3583</v>
      </c>
      <c r="N2055" s="7" t="s">
        <v>15870</v>
      </c>
      <c r="O2055" s="7" t="s">
        <v>15871</v>
      </c>
      <c r="P2055" s="7" t="s">
        <v>4154</v>
      </c>
      <c r="Q2055" s="7" t="s">
        <v>3555</v>
      </c>
    </row>
    <row r="2056">
      <c r="A2056" s="7" t="s">
        <v>15872</v>
      </c>
      <c r="B2056" s="7">
        <v>3000243.0</v>
      </c>
      <c r="C2056" s="7" t="s">
        <v>15873</v>
      </c>
      <c r="D2056" s="7" t="s">
        <v>15874</v>
      </c>
      <c r="E2056" s="7" t="s">
        <v>15875</v>
      </c>
      <c r="F2056" s="7" t="s">
        <v>15876</v>
      </c>
      <c r="G2056" s="7" t="s">
        <v>15877</v>
      </c>
      <c r="H2056" s="7" t="s">
        <v>15878</v>
      </c>
      <c r="I2056" s="119">
        <v>45536.0</v>
      </c>
      <c r="K2056" s="7" t="s">
        <v>419</v>
      </c>
      <c r="L2056" s="7" t="s">
        <v>991</v>
      </c>
      <c r="M2056" s="7" t="s">
        <v>3531</v>
      </c>
      <c r="N2056" s="7" t="s">
        <v>13635</v>
      </c>
      <c r="O2056" s="7" t="s">
        <v>13636</v>
      </c>
      <c r="P2056" s="7" t="s">
        <v>3493</v>
      </c>
      <c r="Q2056" s="7">
        <v>1.0</v>
      </c>
    </row>
    <row r="2057">
      <c r="A2057" s="7" t="s">
        <v>15879</v>
      </c>
      <c r="B2057" s="7">
        <v>3000225.0</v>
      </c>
      <c r="C2057" s="7" t="s">
        <v>15880</v>
      </c>
      <c r="D2057" s="7" t="s">
        <v>15881</v>
      </c>
      <c r="E2057" s="7" t="s">
        <v>15882</v>
      </c>
      <c r="F2057" s="7" t="s">
        <v>5683</v>
      </c>
      <c r="G2057" s="7" t="s">
        <v>15883</v>
      </c>
      <c r="H2057" s="7" t="s">
        <v>15884</v>
      </c>
      <c r="I2057" s="119">
        <v>45536.0</v>
      </c>
      <c r="K2057" s="7" t="s">
        <v>419</v>
      </c>
      <c r="L2057" s="7" t="s">
        <v>991</v>
      </c>
      <c r="M2057" s="7" t="s">
        <v>3583</v>
      </c>
      <c r="N2057" s="7" t="s">
        <v>3532</v>
      </c>
      <c r="O2057" s="7" t="s">
        <v>3533</v>
      </c>
      <c r="P2057" s="7" t="s">
        <v>3493</v>
      </c>
      <c r="Q2057" s="7">
        <v>1.0</v>
      </c>
    </row>
    <row r="2058">
      <c r="A2058" s="7" t="s">
        <v>15885</v>
      </c>
      <c r="B2058" s="7">
        <v>3000241.0</v>
      </c>
      <c r="C2058" s="7" t="s">
        <v>9570</v>
      </c>
      <c r="D2058" s="7" t="s">
        <v>15886</v>
      </c>
      <c r="E2058" s="7" t="s">
        <v>9572</v>
      </c>
      <c r="F2058" s="7" t="s">
        <v>15887</v>
      </c>
      <c r="G2058" s="7" t="s">
        <v>15888</v>
      </c>
      <c r="H2058" s="7" t="s">
        <v>15889</v>
      </c>
      <c r="I2058" s="119">
        <v>45536.0</v>
      </c>
      <c r="K2058" s="7" t="s">
        <v>15381</v>
      </c>
      <c r="L2058" s="7" t="s">
        <v>991</v>
      </c>
      <c r="M2058" s="7" t="s">
        <v>3531</v>
      </c>
      <c r="N2058" s="7" t="s">
        <v>15382</v>
      </c>
      <c r="O2058" s="7" t="s">
        <v>15383</v>
      </c>
      <c r="P2058" s="7" t="s">
        <v>3493</v>
      </c>
      <c r="Q2058" s="7">
        <v>1.0</v>
      </c>
    </row>
    <row r="2059">
      <c r="A2059" s="7" t="s">
        <v>15890</v>
      </c>
      <c r="B2059" s="7">
        <v>3000209.0</v>
      </c>
      <c r="C2059" s="7" t="s">
        <v>9648</v>
      </c>
      <c r="D2059" s="7" t="s">
        <v>15891</v>
      </c>
      <c r="E2059" s="7" t="s">
        <v>9649</v>
      </c>
      <c r="F2059" s="7" t="s">
        <v>8119</v>
      </c>
      <c r="G2059" s="7" t="s">
        <v>15892</v>
      </c>
      <c r="H2059" s="7" t="s">
        <v>15893</v>
      </c>
      <c r="I2059" s="119">
        <v>45520.0</v>
      </c>
      <c r="K2059" s="7" t="s">
        <v>3632</v>
      </c>
      <c r="L2059" s="7" t="s">
        <v>991</v>
      </c>
      <c r="M2059" s="7" t="s">
        <v>3501</v>
      </c>
      <c r="N2059" s="7" t="s">
        <v>4576</v>
      </c>
      <c r="O2059" s="7" t="s">
        <v>9599</v>
      </c>
      <c r="P2059" s="7" t="s">
        <v>3522</v>
      </c>
      <c r="Q2059" s="7" t="s">
        <v>3514</v>
      </c>
    </row>
    <row r="2060">
      <c r="A2060" s="7" t="s">
        <v>15894</v>
      </c>
      <c r="B2060" s="7">
        <v>3000237.0</v>
      </c>
      <c r="C2060" s="7" t="s">
        <v>15895</v>
      </c>
      <c r="D2060" s="7" t="s">
        <v>15896</v>
      </c>
      <c r="E2060" s="7" t="s">
        <v>15897</v>
      </c>
      <c r="F2060" s="7" t="s">
        <v>4616</v>
      </c>
      <c r="G2060" s="7" t="s">
        <v>15898</v>
      </c>
      <c r="H2060" s="7" t="s">
        <v>15899</v>
      </c>
      <c r="I2060" s="119">
        <v>45536.0</v>
      </c>
      <c r="K2060" s="7" t="s">
        <v>3642</v>
      </c>
      <c r="L2060" s="7" t="s">
        <v>991</v>
      </c>
      <c r="M2060" s="7" t="s">
        <v>3501</v>
      </c>
      <c r="N2060" s="7" t="s">
        <v>3643</v>
      </c>
      <c r="O2060" s="7" t="s">
        <v>3644</v>
      </c>
      <c r="P2060" s="7" t="s">
        <v>3493</v>
      </c>
      <c r="Q2060" s="7">
        <v>1.0</v>
      </c>
    </row>
    <row r="2061">
      <c r="A2061" s="7" t="s">
        <v>15900</v>
      </c>
      <c r="B2061" s="7">
        <v>3000239.0</v>
      </c>
      <c r="C2061" s="7" t="s">
        <v>15901</v>
      </c>
      <c r="D2061" s="7" t="s">
        <v>13044</v>
      </c>
      <c r="E2061" s="7" t="s">
        <v>15902</v>
      </c>
      <c r="F2061" s="7" t="s">
        <v>4213</v>
      </c>
      <c r="G2061" s="7" t="s">
        <v>15903</v>
      </c>
      <c r="H2061" s="7" t="s">
        <v>15904</v>
      </c>
      <c r="I2061" s="119">
        <v>45536.0</v>
      </c>
      <c r="K2061" s="7" t="s">
        <v>3642</v>
      </c>
      <c r="L2061" s="7" t="s">
        <v>991</v>
      </c>
      <c r="M2061" s="7" t="s">
        <v>3501</v>
      </c>
      <c r="N2061" s="7" t="s">
        <v>3643</v>
      </c>
      <c r="O2061" s="7" t="s">
        <v>3644</v>
      </c>
      <c r="P2061" s="7" t="s">
        <v>3493</v>
      </c>
      <c r="Q2061" s="7">
        <v>1.0</v>
      </c>
    </row>
    <row r="2062">
      <c r="A2062" s="7" t="s">
        <v>15905</v>
      </c>
      <c r="B2062" s="7">
        <v>3000232.0</v>
      </c>
      <c r="C2062" s="7" t="s">
        <v>10782</v>
      </c>
      <c r="D2062" s="7" t="s">
        <v>5962</v>
      </c>
      <c r="E2062" s="7" t="s">
        <v>10784</v>
      </c>
      <c r="F2062" s="7" t="s">
        <v>5723</v>
      </c>
      <c r="G2062" s="7" t="s">
        <v>15906</v>
      </c>
      <c r="H2062" s="7" t="s">
        <v>15907</v>
      </c>
      <c r="I2062" s="119">
        <v>45536.0</v>
      </c>
      <c r="K2062" s="7" t="s">
        <v>4042</v>
      </c>
      <c r="L2062" s="7" t="s">
        <v>991</v>
      </c>
      <c r="M2062" s="7" t="s">
        <v>3501</v>
      </c>
      <c r="N2062" s="7" t="s">
        <v>4043</v>
      </c>
      <c r="O2062" s="7" t="s">
        <v>4044</v>
      </c>
      <c r="P2062" s="7" t="s">
        <v>3493</v>
      </c>
      <c r="Q2062" s="7">
        <v>1.0</v>
      </c>
    </row>
    <row r="2063">
      <c r="A2063" s="7" t="s">
        <v>15908</v>
      </c>
      <c r="B2063" s="7">
        <v>3000201.0</v>
      </c>
      <c r="C2063" s="7" t="s">
        <v>15909</v>
      </c>
      <c r="D2063" s="7" t="s">
        <v>15910</v>
      </c>
      <c r="E2063" s="7" t="s">
        <v>15911</v>
      </c>
      <c r="F2063" s="7" t="s">
        <v>15912</v>
      </c>
      <c r="G2063" s="7" t="s">
        <v>15913</v>
      </c>
      <c r="H2063" s="7" t="s">
        <v>15914</v>
      </c>
      <c r="I2063" s="119">
        <v>45536.0</v>
      </c>
      <c r="J2063" s="7" t="s">
        <v>3929</v>
      </c>
      <c r="K2063" s="7" t="s">
        <v>419</v>
      </c>
      <c r="L2063" s="7" t="s">
        <v>991</v>
      </c>
      <c r="M2063" s="7" t="s">
        <v>3501</v>
      </c>
      <c r="N2063" s="7" t="s">
        <v>7487</v>
      </c>
      <c r="O2063" s="7" t="s">
        <v>10314</v>
      </c>
      <c r="P2063" s="7" t="s">
        <v>3493</v>
      </c>
      <c r="Q2063" s="7">
        <v>1.0</v>
      </c>
    </row>
    <row r="2064">
      <c r="A2064" s="7" t="s">
        <v>15915</v>
      </c>
      <c r="B2064" s="7">
        <v>3000240.0</v>
      </c>
      <c r="C2064" s="7" t="s">
        <v>11715</v>
      </c>
      <c r="D2064" s="7" t="s">
        <v>15916</v>
      </c>
      <c r="E2064" s="7" t="s">
        <v>11717</v>
      </c>
      <c r="F2064" s="7" t="s">
        <v>3649</v>
      </c>
      <c r="G2064" s="7" t="s">
        <v>15917</v>
      </c>
      <c r="H2064" s="7" t="s">
        <v>15918</v>
      </c>
      <c r="I2064" s="119">
        <v>45536.0</v>
      </c>
      <c r="K2064" s="7" t="s">
        <v>3642</v>
      </c>
      <c r="L2064" s="7" t="s">
        <v>991</v>
      </c>
      <c r="M2064" s="7" t="s">
        <v>3531</v>
      </c>
      <c r="N2064" s="7" t="s">
        <v>3643</v>
      </c>
      <c r="O2064" s="7" t="s">
        <v>3644</v>
      </c>
      <c r="P2064" s="7" t="s">
        <v>3493</v>
      </c>
      <c r="Q2064" s="7">
        <v>1.0</v>
      </c>
    </row>
    <row r="2065">
      <c r="A2065" s="7" t="s">
        <v>15919</v>
      </c>
      <c r="B2065" s="7">
        <v>3000228.0</v>
      </c>
      <c r="C2065" s="7" t="s">
        <v>15920</v>
      </c>
      <c r="D2065" s="7" t="s">
        <v>15921</v>
      </c>
      <c r="E2065" s="7" t="s">
        <v>15922</v>
      </c>
      <c r="F2065" s="7" t="s">
        <v>11599</v>
      </c>
      <c r="G2065" s="7" t="s">
        <v>15923</v>
      </c>
      <c r="H2065" s="7" t="s">
        <v>15924</v>
      </c>
      <c r="I2065" s="119">
        <v>45536.0</v>
      </c>
      <c r="K2065" s="7" t="s">
        <v>3632</v>
      </c>
      <c r="L2065" s="7" t="s">
        <v>991</v>
      </c>
      <c r="M2065" s="7" t="s">
        <v>3531</v>
      </c>
      <c r="N2065" s="7" t="s">
        <v>9997</v>
      </c>
      <c r="O2065" s="7" t="s">
        <v>12879</v>
      </c>
      <c r="P2065" s="7" t="s">
        <v>3493</v>
      </c>
      <c r="Q2065" s="7">
        <v>1.0</v>
      </c>
    </row>
    <row r="2066">
      <c r="A2066" s="7" t="s">
        <v>15925</v>
      </c>
      <c r="B2066" s="7">
        <v>3000238.0</v>
      </c>
      <c r="C2066" s="7" t="s">
        <v>15019</v>
      </c>
      <c r="D2066" s="7" t="s">
        <v>4676</v>
      </c>
      <c r="E2066" s="7" t="s">
        <v>15021</v>
      </c>
      <c r="F2066" s="7" t="s">
        <v>4677</v>
      </c>
      <c r="G2066" s="7" t="s">
        <v>15926</v>
      </c>
      <c r="H2066" s="7" t="s">
        <v>15927</v>
      </c>
      <c r="I2066" s="119">
        <v>45536.0</v>
      </c>
      <c r="K2066" s="7" t="s">
        <v>3642</v>
      </c>
      <c r="L2066" s="7" t="s">
        <v>991</v>
      </c>
      <c r="M2066" s="7" t="s">
        <v>3501</v>
      </c>
      <c r="N2066" s="7" t="s">
        <v>3643</v>
      </c>
      <c r="O2066" s="7" t="s">
        <v>3644</v>
      </c>
      <c r="P2066" s="7" t="s">
        <v>3493</v>
      </c>
      <c r="Q2066" s="7">
        <v>1.0</v>
      </c>
    </row>
    <row r="2067">
      <c r="A2067" s="7" t="s">
        <v>15928</v>
      </c>
      <c r="B2067" s="7">
        <v>3000130.0</v>
      </c>
      <c r="C2067" s="7" t="s">
        <v>15929</v>
      </c>
      <c r="D2067" s="7" t="s">
        <v>15930</v>
      </c>
      <c r="E2067" s="7" t="s">
        <v>15931</v>
      </c>
      <c r="F2067" s="7" t="s">
        <v>13666</v>
      </c>
      <c r="G2067" s="7" t="s">
        <v>15932</v>
      </c>
      <c r="H2067" s="7" t="s">
        <v>15933</v>
      </c>
      <c r="I2067" s="119">
        <v>45536.0</v>
      </c>
      <c r="K2067" s="7" t="s">
        <v>419</v>
      </c>
      <c r="L2067" s="7" t="s">
        <v>991</v>
      </c>
      <c r="M2067" s="7" t="s">
        <v>3501</v>
      </c>
      <c r="N2067" s="7" t="s">
        <v>15934</v>
      </c>
      <c r="O2067" s="7" t="s">
        <v>15935</v>
      </c>
      <c r="P2067" s="7" t="s">
        <v>4154</v>
      </c>
      <c r="Q2067" s="7" t="s">
        <v>4155</v>
      </c>
    </row>
    <row r="2068">
      <c r="A2068" s="7" t="s">
        <v>15936</v>
      </c>
      <c r="B2068" s="7">
        <v>3000230.0</v>
      </c>
      <c r="C2068" s="7" t="s">
        <v>15937</v>
      </c>
      <c r="D2068" s="7" t="s">
        <v>15938</v>
      </c>
      <c r="E2068" s="7" t="s">
        <v>15939</v>
      </c>
      <c r="F2068" s="7" t="s">
        <v>15940</v>
      </c>
      <c r="G2068" s="7" t="s">
        <v>15941</v>
      </c>
      <c r="H2068" s="7" t="s">
        <v>15942</v>
      </c>
      <c r="I2068" s="119">
        <v>45536.0</v>
      </c>
      <c r="K2068" s="7" t="s">
        <v>15381</v>
      </c>
      <c r="L2068" s="7" t="s">
        <v>991</v>
      </c>
      <c r="M2068" s="7" t="s">
        <v>3531</v>
      </c>
      <c r="N2068" s="7" t="s">
        <v>15382</v>
      </c>
      <c r="O2068" s="7" t="s">
        <v>15383</v>
      </c>
      <c r="P2068" s="7" t="s">
        <v>3493</v>
      </c>
      <c r="Q2068" s="7">
        <v>1.0</v>
      </c>
    </row>
    <row r="2069">
      <c r="A2069" s="7" t="s">
        <v>15943</v>
      </c>
      <c r="B2069" s="7">
        <v>3000171.0</v>
      </c>
      <c r="C2069" s="7" t="s">
        <v>13898</v>
      </c>
      <c r="D2069" s="7" t="s">
        <v>12892</v>
      </c>
      <c r="E2069" s="7" t="s">
        <v>13900</v>
      </c>
      <c r="F2069" s="7" t="s">
        <v>9184</v>
      </c>
      <c r="G2069" s="7" t="s">
        <v>15944</v>
      </c>
      <c r="H2069" s="7" t="s">
        <v>15945</v>
      </c>
      <c r="I2069" s="119">
        <v>45536.0</v>
      </c>
      <c r="K2069" s="7" t="s">
        <v>419</v>
      </c>
      <c r="L2069" s="7" t="s">
        <v>991</v>
      </c>
      <c r="M2069" s="7" t="s">
        <v>3501</v>
      </c>
      <c r="N2069" s="7" t="s">
        <v>10577</v>
      </c>
      <c r="O2069" s="7" t="s">
        <v>10578</v>
      </c>
      <c r="P2069" s="7" t="s">
        <v>3493</v>
      </c>
      <c r="Q2069" s="7">
        <v>1.0</v>
      </c>
    </row>
    <row r="2070">
      <c r="A2070" s="7" t="s">
        <v>15946</v>
      </c>
      <c r="B2070" s="7">
        <v>3000249.0</v>
      </c>
      <c r="C2070" s="7" t="s">
        <v>15947</v>
      </c>
      <c r="D2070" s="7" t="s">
        <v>7089</v>
      </c>
      <c r="E2070" s="7" t="s">
        <v>15948</v>
      </c>
      <c r="F2070" s="7" t="s">
        <v>6262</v>
      </c>
      <c r="G2070" s="7" t="s">
        <v>15949</v>
      </c>
      <c r="H2070" s="7" t="s">
        <v>15950</v>
      </c>
      <c r="I2070" s="119">
        <v>45551.0</v>
      </c>
      <c r="K2070" s="7" t="s">
        <v>3622</v>
      </c>
      <c r="L2070" s="7" t="s">
        <v>991</v>
      </c>
      <c r="M2070" s="7" t="s">
        <v>3866</v>
      </c>
      <c r="N2070" s="7" t="s">
        <v>3623</v>
      </c>
      <c r="O2070" s="7" t="s">
        <v>3624</v>
      </c>
      <c r="P2070" s="7" t="s">
        <v>3493</v>
      </c>
      <c r="Q2070" s="7">
        <v>1.0</v>
      </c>
    </row>
    <row r="2071">
      <c r="A2071" s="7" t="s">
        <v>15951</v>
      </c>
      <c r="B2071" s="7">
        <v>3000255.0</v>
      </c>
      <c r="C2071" s="7" t="s">
        <v>4268</v>
      </c>
      <c r="D2071" s="7" t="s">
        <v>15952</v>
      </c>
      <c r="E2071" s="7" t="s">
        <v>4270</v>
      </c>
      <c r="F2071" s="7" t="s">
        <v>8949</v>
      </c>
      <c r="G2071" s="7" t="s">
        <v>15953</v>
      </c>
      <c r="H2071" s="7" t="s">
        <v>15954</v>
      </c>
      <c r="I2071" s="119">
        <v>45551.0</v>
      </c>
      <c r="K2071" s="7" t="s">
        <v>419</v>
      </c>
      <c r="L2071" s="7" t="s">
        <v>991</v>
      </c>
      <c r="M2071" s="7" t="s">
        <v>3531</v>
      </c>
      <c r="N2071" s="7" t="s">
        <v>5755</v>
      </c>
      <c r="O2071" s="7" t="s">
        <v>5756</v>
      </c>
      <c r="P2071" s="7" t="s">
        <v>3493</v>
      </c>
      <c r="Q2071" s="7">
        <v>1.0</v>
      </c>
    </row>
    <row r="2072">
      <c r="A2072" s="7" t="s">
        <v>15955</v>
      </c>
      <c r="B2072" s="7">
        <v>3000254.0</v>
      </c>
      <c r="C2072" s="7" t="s">
        <v>4387</v>
      </c>
      <c r="D2072" s="7" t="s">
        <v>15956</v>
      </c>
      <c r="E2072" s="7" t="s">
        <v>4389</v>
      </c>
      <c r="F2072" s="7" t="s">
        <v>15957</v>
      </c>
      <c r="G2072" s="7" t="s">
        <v>15958</v>
      </c>
      <c r="H2072" s="7" t="s">
        <v>15959</v>
      </c>
      <c r="I2072" s="119">
        <v>45551.0</v>
      </c>
      <c r="K2072" s="7" t="s">
        <v>419</v>
      </c>
      <c r="L2072" s="7" t="s">
        <v>991</v>
      </c>
      <c r="M2072" s="7" t="s">
        <v>3531</v>
      </c>
      <c r="N2072" s="7" t="s">
        <v>3733</v>
      </c>
      <c r="O2072" s="7" t="s">
        <v>3734</v>
      </c>
      <c r="P2072" s="7" t="s">
        <v>3493</v>
      </c>
      <c r="Q2072" s="7">
        <v>1.0</v>
      </c>
    </row>
    <row r="2073">
      <c r="A2073" s="7" t="s">
        <v>15960</v>
      </c>
      <c r="B2073" s="7">
        <v>3000253.0</v>
      </c>
      <c r="C2073" s="7" t="s">
        <v>4663</v>
      </c>
      <c r="D2073" s="7" t="s">
        <v>15961</v>
      </c>
      <c r="E2073" s="7" t="s">
        <v>4665</v>
      </c>
      <c r="F2073" s="7" t="s">
        <v>10071</v>
      </c>
      <c r="G2073" s="7" t="s">
        <v>15962</v>
      </c>
      <c r="H2073" s="7" t="s">
        <v>15963</v>
      </c>
      <c r="I2073" s="119">
        <v>45551.0</v>
      </c>
      <c r="K2073" s="7" t="s">
        <v>3632</v>
      </c>
      <c r="L2073" s="7" t="s">
        <v>991</v>
      </c>
      <c r="M2073" s="7" t="s">
        <v>3531</v>
      </c>
      <c r="N2073" s="7" t="s">
        <v>5965</v>
      </c>
      <c r="O2073" s="7" t="s">
        <v>13868</v>
      </c>
      <c r="P2073" s="7" t="s">
        <v>3493</v>
      </c>
      <c r="Q2073" s="7">
        <v>1.0</v>
      </c>
    </row>
    <row r="2074">
      <c r="A2074" s="7" t="s">
        <v>15964</v>
      </c>
      <c r="B2074" s="7">
        <v>3000213.0</v>
      </c>
      <c r="C2074" s="7" t="s">
        <v>15965</v>
      </c>
      <c r="D2074" s="7" t="s">
        <v>3873</v>
      </c>
      <c r="E2074" s="7" t="s">
        <v>15966</v>
      </c>
      <c r="F2074" s="7" t="s">
        <v>3874</v>
      </c>
      <c r="G2074" s="7" t="s">
        <v>15967</v>
      </c>
      <c r="H2074" s="7" t="s">
        <v>15968</v>
      </c>
      <c r="I2074" s="119">
        <v>45551.0</v>
      </c>
      <c r="K2074" s="7" t="s">
        <v>419</v>
      </c>
      <c r="L2074" s="7" t="s">
        <v>991</v>
      </c>
      <c r="M2074" s="7" t="s">
        <v>3501</v>
      </c>
      <c r="N2074" s="7" t="s">
        <v>10370</v>
      </c>
      <c r="O2074" s="7" t="s">
        <v>10371</v>
      </c>
      <c r="P2074" s="7" t="s">
        <v>3493</v>
      </c>
      <c r="Q2074" s="7">
        <v>1.0</v>
      </c>
    </row>
    <row r="2075">
      <c r="A2075" s="7" t="s">
        <v>15969</v>
      </c>
      <c r="B2075" s="7">
        <v>3000251.0</v>
      </c>
      <c r="C2075" s="7" t="s">
        <v>15970</v>
      </c>
      <c r="D2075" s="7" t="s">
        <v>12141</v>
      </c>
      <c r="E2075" s="7" t="s">
        <v>15971</v>
      </c>
      <c r="F2075" s="7" t="s">
        <v>4598</v>
      </c>
      <c r="G2075" s="7" t="s">
        <v>15972</v>
      </c>
      <c r="H2075" s="7" t="s">
        <v>15973</v>
      </c>
      <c r="I2075" s="119">
        <v>45551.0</v>
      </c>
      <c r="K2075" s="7" t="s">
        <v>419</v>
      </c>
      <c r="L2075" s="7" t="s">
        <v>991</v>
      </c>
      <c r="M2075" s="7" t="s">
        <v>3531</v>
      </c>
      <c r="N2075" s="7" t="s">
        <v>14478</v>
      </c>
      <c r="O2075" s="7" t="s">
        <v>14479</v>
      </c>
      <c r="P2075" s="7" t="s">
        <v>3493</v>
      </c>
      <c r="Q2075" s="7">
        <v>1.0</v>
      </c>
    </row>
    <row r="2076">
      <c r="A2076" s="7" t="s">
        <v>15974</v>
      </c>
      <c r="B2076" s="7">
        <v>3000260.0</v>
      </c>
      <c r="C2076" s="7" t="s">
        <v>15975</v>
      </c>
      <c r="D2076" s="7" t="s">
        <v>15976</v>
      </c>
      <c r="E2076" s="7" t="s">
        <v>15977</v>
      </c>
      <c r="F2076" s="7" t="s">
        <v>5155</v>
      </c>
      <c r="G2076" s="7" t="s">
        <v>15978</v>
      </c>
      <c r="H2076" s="7" t="s">
        <v>15979</v>
      </c>
      <c r="I2076" s="119">
        <v>45551.0</v>
      </c>
      <c r="K2076" s="7" t="s">
        <v>419</v>
      </c>
      <c r="L2076" s="7" t="s">
        <v>991</v>
      </c>
      <c r="M2076" s="7" t="s">
        <v>3531</v>
      </c>
      <c r="N2076" s="7" t="s">
        <v>7883</v>
      </c>
      <c r="O2076" s="7" t="s">
        <v>7884</v>
      </c>
      <c r="P2076" s="7" t="s">
        <v>3493</v>
      </c>
      <c r="Q2076" s="7">
        <v>1.0</v>
      </c>
    </row>
    <row r="2077">
      <c r="A2077" s="7" t="s">
        <v>15980</v>
      </c>
      <c r="B2077" s="7">
        <v>3000264.0</v>
      </c>
      <c r="C2077" s="7" t="s">
        <v>15981</v>
      </c>
      <c r="D2077" s="7" t="s">
        <v>15982</v>
      </c>
      <c r="E2077" s="7" t="s">
        <v>15983</v>
      </c>
      <c r="F2077" s="7" t="s">
        <v>9799</v>
      </c>
      <c r="G2077" s="7" t="s">
        <v>15984</v>
      </c>
      <c r="H2077" s="7" t="s">
        <v>15985</v>
      </c>
      <c r="I2077" s="119">
        <v>45551.0</v>
      </c>
      <c r="K2077" s="7" t="s">
        <v>419</v>
      </c>
      <c r="L2077" s="7" t="s">
        <v>991</v>
      </c>
      <c r="M2077" s="7" t="s">
        <v>3531</v>
      </c>
      <c r="N2077" s="7" t="s">
        <v>6624</v>
      </c>
      <c r="O2077" s="7" t="s">
        <v>9604</v>
      </c>
      <c r="P2077" s="7" t="s">
        <v>3493</v>
      </c>
      <c r="Q2077" s="7">
        <v>1.0</v>
      </c>
    </row>
    <row r="2078">
      <c r="A2078" s="7" t="s">
        <v>15986</v>
      </c>
      <c r="B2078" s="7">
        <v>3000261.0</v>
      </c>
      <c r="C2078" s="7" t="s">
        <v>15987</v>
      </c>
      <c r="D2078" s="7" t="s">
        <v>15988</v>
      </c>
      <c r="E2078" s="7" t="s">
        <v>15989</v>
      </c>
      <c r="F2078" s="7" t="s">
        <v>15990</v>
      </c>
      <c r="G2078" s="7" t="s">
        <v>15991</v>
      </c>
      <c r="H2078" s="7" t="s">
        <v>15992</v>
      </c>
      <c r="I2078" s="119">
        <v>45551.0</v>
      </c>
      <c r="K2078" s="7" t="s">
        <v>419</v>
      </c>
      <c r="L2078" s="7" t="s">
        <v>991</v>
      </c>
      <c r="M2078" s="7" t="s">
        <v>3583</v>
      </c>
      <c r="N2078" s="7" t="s">
        <v>6706</v>
      </c>
      <c r="O2078" s="7" t="s">
        <v>6707</v>
      </c>
      <c r="P2078" s="7" t="s">
        <v>3493</v>
      </c>
      <c r="Q2078" s="7">
        <v>1.0</v>
      </c>
    </row>
    <row r="2079">
      <c r="A2079" s="7" t="s">
        <v>15993</v>
      </c>
      <c r="B2079" s="7">
        <v>3000265.0</v>
      </c>
      <c r="C2079" s="7" t="s">
        <v>13943</v>
      </c>
      <c r="D2079" s="7" t="s">
        <v>15994</v>
      </c>
      <c r="E2079" s="7" t="s">
        <v>13945</v>
      </c>
      <c r="F2079" s="7" t="s">
        <v>15995</v>
      </c>
      <c r="G2079" s="7" t="s">
        <v>15996</v>
      </c>
      <c r="H2079" s="7" t="s">
        <v>15997</v>
      </c>
      <c r="I2079" s="119">
        <v>45551.0</v>
      </c>
      <c r="K2079" s="7" t="s">
        <v>419</v>
      </c>
      <c r="L2079" s="7" t="s">
        <v>991</v>
      </c>
      <c r="M2079" s="7" t="s">
        <v>3531</v>
      </c>
      <c r="N2079" s="7" t="s">
        <v>6473</v>
      </c>
      <c r="O2079" s="7" t="s">
        <v>6474</v>
      </c>
      <c r="P2079" s="7" t="s">
        <v>3493</v>
      </c>
      <c r="Q2079" s="7">
        <v>1.0</v>
      </c>
    </row>
    <row r="2080">
      <c r="A2080" s="7" t="s">
        <v>15998</v>
      </c>
      <c r="B2080" s="7">
        <v>3000285.0</v>
      </c>
      <c r="C2080" s="7" t="s">
        <v>15999</v>
      </c>
      <c r="D2080" s="7" t="s">
        <v>16000</v>
      </c>
      <c r="E2080" s="7" t="s">
        <v>16001</v>
      </c>
      <c r="F2080" s="7" t="s">
        <v>15513</v>
      </c>
      <c r="G2080" s="7" t="s">
        <v>16002</v>
      </c>
      <c r="H2080" s="7" t="s">
        <v>16003</v>
      </c>
      <c r="I2080" s="119">
        <v>45566.0</v>
      </c>
      <c r="K2080" s="7" t="s">
        <v>3642</v>
      </c>
      <c r="L2080" s="7" t="s">
        <v>991</v>
      </c>
      <c r="M2080" s="7" t="s">
        <v>3583</v>
      </c>
      <c r="N2080" s="7" t="s">
        <v>3643</v>
      </c>
      <c r="O2080" s="7" t="s">
        <v>3644</v>
      </c>
      <c r="P2080" s="7" t="s">
        <v>3493</v>
      </c>
      <c r="Q2080" s="7">
        <v>1.0</v>
      </c>
    </row>
    <row r="2081">
      <c r="A2081" s="7" t="s">
        <v>16004</v>
      </c>
      <c r="B2081" s="7">
        <v>3000297.0</v>
      </c>
      <c r="C2081" s="7" t="s">
        <v>16005</v>
      </c>
      <c r="D2081" s="7" t="s">
        <v>8529</v>
      </c>
      <c r="E2081" s="7" t="s">
        <v>16006</v>
      </c>
      <c r="F2081" s="7" t="s">
        <v>3909</v>
      </c>
      <c r="G2081" s="7" t="s">
        <v>16007</v>
      </c>
      <c r="H2081" s="7" t="s">
        <v>16008</v>
      </c>
      <c r="I2081" s="119">
        <v>45566.0</v>
      </c>
      <c r="K2081" s="7" t="s">
        <v>3632</v>
      </c>
      <c r="L2081" s="7" t="s">
        <v>991</v>
      </c>
      <c r="M2081" s="7" t="s">
        <v>3501</v>
      </c>
      <c r="N2081" s="7" t="s">
        <v>5037</v>
      </c>
      <c r="O2081" s="7" t="s">
        <v>12632</v>
      </c>
      <c r="P2081" s="7" t="s">
        <v>3522</v>
      </c>
      <c r="Q2081" s="7" t="s">
        <v>3523</v>
      </c>
    </row>
    <row r="2082">
      <c r="A2082" s="7" t="s">
        <v>16009</v>
      </c>
      <c r="B2082" s="7">
        <v>3000279.0</v>
      </c>
      <c r="C2082" s="7" t="s">
        <v>5247</v>
      </c>
      <c r="D2082" s="7" t="s">
        <v>14859</v>
      </c>
      <c r="E2082" s="7" t="s">
        <v>5249</v>
      </c>
      <c r="F2082" s="7" t="s">
        <v>14860</v>
      </c>
      <c r="G2082" s="7" t="s">
        <v>16010</v>
      </c>
      <c r="H2082" s="7" t="s">
        <v>16011</v>
      </c>
      <c r="I2082" s="119">
        <v>45566.0</v>
      </c>
      <c r="K2082" s="7" t="s">
        <v>419</v>
      </c>
      <c r="L2082" s="7" t="s">
        <v>991</v>
      </c>
      <c r="M2082" s="7" t="s">
        <v>3531</v>
      </c>
      <c r="N2082" s="7" t="s">
        <v>3966</v>
      </c>
      <c r="O2082" s="7" t="s">
        <v>3967</v>
      </c>
      <c r="P2082" s="7" t="s">
        <v>3493</v>
      </c>
      <c r="Q2082" s="7">
        <v>1.0</v>
      </c>
    </row>
    <row r="2083">
      <c r="A2083" s="7" t="s">
        <v>16012</v>
      </c>
      <c r="B2083" s="7">
        <v>3000290.0</v>
      </c>
      <c r="C2083" s="7" t="s">
        <v>16013</v>
      </c>
      <c r="D2083" s="7" t="s">
        <v>7359</v>
      </c>
      <c r="E2083" s="7" t="s">
        <v>16014</v>
      </c>
      <c r="F2083" s="7" t="s">
        <v>7361</v>
      </c>
      <c r="G2083" s="7" t="s">
        <v>16015</v>
      </c>
      <c r="H2083" s="7" t="s">
        <v>16016</v>
      </c>
      <c r="I2083" s="119">
        <v>45566.0</v>
      </c>
      <c r="K2083" s="7" t="s">
        <v>419</v>
      </c>
      <c r="L2083" s="7" t="s">
        <v>991</v>
      </c>
      <c r="M2083" s="7" t="s">
        <v>3531</v>
      </c>
      <c r="N2083" s="7" t="s">
        <v>4844</v>
      </c>
      <c r="O2083" s="7" t="s">
        <v>4845</v>
      </c>
      <c r="P2083" s="7" t="s">
        <v>3493</v>
      </c>
      <c r="Q2083" s="7">
        <v>1.0</v>
      </c>
    </row>
    <row r="2084">
      <c r="A2084" s="7" t="s">
        <v>16017</v>
      </c>
      <c r="B2084" s="7">
        <v>3000258.0</v>
      </c>
      <c r="C2084" s="7" t="s">
        <v>16018</v>
      </c>
      <c r="D2084" s="7" t="s">
        <v>11227</v>
      </c>
      <c r="E2084" s="7" t="s">
        <v>16019</v>
      </c>
      <c r="F2084" s="7" t="s">
        <v>3549</v>
      </c>
      <c r="G2084" s="7" t="s">
        <v>16020</v>
      </c>
      <c r="H2084" s="7" t="s">
        <v>16021</v>
      </c>
      <c r="I2084" s="119">
        <v>45566.0</v>
      </c>
      <c r="K2084" s="7" t="s">
        <v>419</v>
      </c>
      <c r="L2084" s="7" t="s">
        <v>991</v>
      </c>
      <c r="M2084" s="7" t="s">
        <v>3501</v>
      </c>
      <c r="N2084" s="7" t="s">
        <v>3827</v>
      </c>
      <c r="O2084" s="7" t="s">
        <v>3828</v>
      </c>
      <c r="P2084" s="7" t="s">
        <v>3522</v>
      </c>
      <c r="Q2084" s="7" t="s">
        <v>3523</v>
      </c>
    </row>
    <row r="2085">
      <c r="A2085" s="7" t="s">
        <v>16022</v>
      </c>
      <c r="B2085" s="7">
        <v>3000271.0</v>
      </c>
      <c r="C2085" s="7" t="s">
        <v>6559</v>
      </c>
      <c r="D2085" s="7" t="s">
        <v>5400</v>
      </c>
      <c r="E2085" s="7" t="s">
        <v>6561</v>
      </c>
      <c r="F2085" s="7" t="s">
        <v>4546</v>
      </c>
      <c r="G2085" s="7" t="s">
        <v>16023</v>
      </c>
      <c r="H2085" s="7" t="s">
        <v>16024</v>
      </c>
      <c r="I2085" s="119">
        <v>45566.0</v>
      </c>
      <c r="K2085" s="7" t="s">
        <v>419</v>
      </c>
      <c r="L2085" s="7" t="s">
        <v>991</v>
      </c>
      <c r="M2085" s="7" t="s">
        <v>3583</v>
      </c>
      <c r="N2085" s="7" t="s">
        <v>4549</v>
      </c>
      <c r="O2085" s="7" t="s">
        <v>16025</v>
      </c>
      <c r="P2085" s="7" t="s">
        <v>4551</v>
      </c>
      <c r="Q2085" s="7" t="s">
        <v>4552</v>
      </c>
    </row>
    <row r="2086">
      <c r="A2086" s="7" t="s">
        <v>16026</v>
      </c>
      <c r="B2086" s="7">
        <v>3000272.0</v>
      </c>
      <c r="C2086" s="7" t="s">
        <v>16027</v>
      </c>
      <c r="D2086" s="7" t="s">
        <v>9805</v>
      </c>
      <c r="E2086" s="7" t="s">
        <v>16028</v>
      </c>
      <c r="F2086" s="7" t="s">
        <v>4598</v>
      </c>
      <c r="G2086" s="7" t="s">
        <v>16029</v>
      </c>
      <c r="H2086" s="7" t="s">
        <v>16030</v>
      </c>
      <c r="I2086" s="119">
        <v>45566.0</v>
      </c>
      <c r="K2086" s="7" t="s">
        <v>419</v>
      </c>
      <c r="L2086" s="7" t="s">
        <v>991</v>
      </c>
      <c r="M2086" s="7" t="s">
        <v>3583</v>
      </c>
      <c r="N2086" s="7" t="s">
        <v>4549</v>
      </c>
      <c r="O2086" s="7" t="s">
        <v>16025</v>
      </c>
      <c r="P2086" s="7" t="s">
        <v>4551</v>
      </c>
      <c r="Q2086" s="7" t="s">
        <v>4552</v>
      </c>
    </row>
    <row r="2087">
      <c r="A2087" s="7" t="s">
        <v>16031</v>
      </c>
      <c r="B2087" s="7">
        <v>3000291.0</v>
      </c>
      <c r="C2087" s="7" t="s">
        <v>7204</v>
      </c>
      <c r="D2087" s="7" t="s">
        <v>16032</v>
      </c>
      <c r="E2087" s="7" t="s">
        <v>7206</v>
      </c>
      <c r="F2087" s="7" t="s">
        <v>16033</v>
      </c>
      <c r="G2087" s="7" t="s">
        <v>16034</v>
      </c>
      <c r="H2087" s="7" t="s">
        <v>16035</v>
      </c>
      <c r="I2087" s="119">
        <v>45566.0</v>
      </c>
      <c r="K2087" s="7" t="s">
        <v>419</v>
      </c>
      <c r="L2087" s="7" t="s">
        <v>991</v>
      </c>
      <c r="M2087" s="7" t="s">
        <v>3531</v>
      </c>
      <c r="N2087" s="7" t="s">
        <v>4844</v>
      </c>
      <c r="O2087" s="7" t="s">
        <v>4845</v>
      </c>
      <c r="P2087" s="7" t="s">
        <v>3493</v>
      </c>
      <c r="Q2087" s="7">
        <v>1.0</v>
      </c>
    </row>
    <row r="2088">
      <c r="A2088" s="7" t="s">
        <v>16036</v>
      </c>
      <c r="B2088" s="7">
        <v>3000282.0</v>
      </c>
      <c r="C2088" s="7" t="s">
        <v>16037</v>
      </c>
      <c r="D2088" s="7" t="s">
        <v>16038</v>
      </c>
      <c r="E2088" s="7" t="s">
        <v>16039</v>
      </c>
      <c r="F2088" s="7" t="s">
        <v>3692</v>
      </c>
      <c r="G2088" s="7" t="s">
        <v>16040</v>
      </c>
      <c r="H2088" s="7" t="s">
        <v>16041</v>
      </c>
      <c r="I2088" s="119">
        <v>45566.0</v>
      </c>
      <c r="K2088" s="7" t="s">
        <v>419</v>
      </c>
      <c r="L2088" s="7" t="s">
        <v>991</v>
      </c>
      <c r="M2088" s="7" t="s">
        <v>3531</v>
      </c>
      <c r="N2088" s="7" t="s">
        <v>3733</v>
      </c>
      <c r="O2088" s="7" t="s">
        <v>3734</v>
      </c>
      <c r="P2088" s="7" t="s">
        <v>3493</v>
      </c>
      <c r="Q2088" s="7">
        <v>1.0</v>
      </c>
    </row>
    <row r="2089">
      <c r="A2089" s="7" t="s">
        <v>16042</v>
      </c>
      <c r="B2089" s="7">
        <v>3000298.0</v>
      </c>
      <c r="C2089" s="7" t="s">
        <v>8336</v>
      </c>
      <c r="D2089" s="7" t="s">
        <v>14432</v>
      </c>
      <c r="E2089" s="7" t="s">
        <v>8338</v>
      </c>
      <c r="F2089" s="7" t="s">
        <v>8877</v>
      </c>
      <c r="G2089" s="7" t="s">
        <v>16043</v>
      </c>
      <c r="H2089" s="7" t="s">
        <v>16044</v>
      </c>
      <c r="I2089" s="119">
        <v>45566.0</v>
      </c>
      <c r="K2089" s="7" t="s">
        <v>419</v>
      </c>
      <c r="L2089" s="7" t="s">
        <v>991</v>
      </c>
      <c r="M2089" s="7" t="s">
        <v>3531</v>
      </c>
      <c r="N2089" s="7" t="s">
        <v>4256</v>
      </c>
      <c r="O2089" s="7" t="s">
        <v>4257</v>
      </c>
      <c r="P2089" s="7" t="s">
        <v>3493</v>
      </c>
      <c r="Q2089" s="7">
        <v>1.0</v>
      </c>
    </row>
    <row r="2090">
      <c r="A2090" s="7" t="s">
        <v>16045</v>
      </c>
      <c r="B2090" s="7">
        <v>3000289.0</v>
      </c>
      <c r="C2090" s="7" t="s">
        <v>8429</v>
      </c>
      <c r="D2090" s="7" t="s">
        <v>13874</v>
      </c>
      <c r="E2090" s="7" t="s">
        <v>8431</v>
      </c>
      <c r="F2090" s="7" t="s">
        <v>13876</v>
      </c>
      <c r="G2090" s="7" t="s">
        <v>16046</v>
      </c>
      <c r="H2090" s="7" t="s">
        <v>16047</v>
      </c>
      <c r="I2090" s="119">
        <v>45566.0</v>
      </c>
      <c r="K2090" s="7" t="s">
        <v>419</v>
      </c>
      <c r="L2090" s="7" t="s">
        <v>991</v>
      </c>
      <c r="M2090" s="7" t="s">
        <v>3531</v>
      </c>
      <c r="N2090" s="7" t="s">
        <v>4738</v>
      </c>
      <c r="O2090" s="7" t="s">
        <v>4739</v>
      </c>
      <c r="P2090" s="7" t="s">
        <v>3493</v>
      </c>
      <c r="Q2090" s="7">
        <v>1.0</v>
      </c>
    </row>
    <row r="2091">
      <c r="A2091" s="7" t="s">
        <v>16048</v>
      </c>
      <c r="B2091" s="7">
        <v>3000300.0</v>
      </c>
      <c r="C2091" s="7" t="s">
        <v>8728</v>
      </c>
      <c r="D2091" s="7" t="s">
        <v>16049</v>
      </c>
      <c r="E2091" s="7" t="s">
        <v>8729</v>
      </c>
      <c r="F2091" s="7" t="s">
        <v>16050</v>
      </c>
      <c r="G2091" s="7" t="s">
        <v>16051</v>
      </c>
      <c r="H2091" s="7" t="s">
        <v>16052</v>
      </c>
      <c r="I2091" s="119">
        <v>45566.0</v>
      </c>
      <c r="K2091" s="7" t="s">
        <v>419</v>
      </c>
      <c r="L2091" s="7" t="s">
        <v>991</v>
      </c>
      <c r="M2091" s="7" t="s">
        <v>3531</v>
      </c>
      <c r="N2091" s="7" t="s">
        <v>5077</v>
      </c>
      <c r="O2091" s="7" t="s">
        <v>5078</v>
      </c>
      <c r="P2091" s="7" t="s">
        <v>3493</v>
      </c>
      <c r="Q2091" s="7">
        <v>1.0</v>
      </c>
    </row>
    <row r="2092">
      <c r="A2092" s="7" t="s">
        <v>16053</v>
      </c>
      <c r="B2092" s="7">
        <v>3000205.0</v>
      </c>
      <c r="C2092" s="7" t="s">
        <v>16054</v>
      </c>
      <c r="D2092" s="7" t="s">
        <v>16055</v>
      </c>
      <c r="E2092" s="7" t="s">
        <v>16056</v>
      </c>
      <c r="F2092" s="7" t="s">
        <v>16057</v>
      </c>
      <c r="G2092" s="7" t="s">
        <v>16058</v>
      </c>
      <c r="H2092" s="7" t="s">
        <v>16059</v>
      </c>
      <c r="I2092" s="119">
        <v>45566.0</v>
      </c>
      <c r="K2092" s="7" t="s">
        <v>419</v>
      </c>
      <c r="L2092" s="7" t="s">
        <v>991</v>
      </c>
      <c r="M2092" s="7" t="s">
        <v>3501</v>
      </c>
      <c r="N2092" s="7" t="s">
        <v>11957</v>
      </c>
      <c r="O2092" s="7" t="s">
        <v>11958</v>
      </c>
      <c r="P2092" s="7" t="s">
        <v>3522</v>
      </c>
      <c r="Q2092" s="7" t="s">
        <v>3523</v>
      </c>
    </row>
    <row r="2093">
      <c r="A2093" s="7" t="s">
        <v>16060</v>
      </c>
      <c r="B2093" s="7">
        <v>3000246.0</v>
      </c>
      <c r="C2093" s="7" t="s">
        <v>9078</v>
      </c>
      <c r="D2093" s="7" t="s">
        <v>14432</v>
      </c>
      <c r="E2093" s="7" t="s">
        <v>15573</v>
      </c>
      <c r="F2093" s="7" t="s">
        <v>8877</v>
      </c>
      <c r="G2093" s="7" t="s">
        <v>16061</v>
      </c>
      <c r="H2093" s="7" t="s">
        <v>16062</v>
      </c>
      <c r="I2093" s="119">
        <v>45566.0</v>
      </c>
      <c r="K2093" s="7" t="s">
        <v>419</v>
      </c>
      <c r="L2093" s="7" t="s">
        <v>991</v>
      </c>
      <c r="M2093" s="7" t="s">
        <v>3501</v>
      </c>
      <c r="N2093" s="7" t="s">
        <v>9485</v>
      </c>
      <c r="O2093" s="7" t="s">
        <v>11675</v>
      </c>
      <c r="P2093" s="7" t="s">
        <v>3843</v>
      </c>
      <c r="Q2093" s="7">
        <v>1.0</v>
      </c>
    </row>
    <row r="2094">
      <c r="A2094" s="7" t="s">
        <v>16063</v>
      </c>
      <c r="B2094" s="7">
        <v>3000257.0</v>
      </c>
      <c r="C2094" s="7" t="s">
        <v>16064</v>
      </c>
      <c r="D2094" s="7" t="s">
        <v>16065</v>
      </c>
      <c r="E2094" s="7" t="s">
        <v>9248</v>
      </c>
      <c r="F2094" s="7" t="s">
        <v>4234</v>
      </c>
      <c r="G2094" s="7" t="s">
        <v>16066</v>
      </c>
      <c r="H2094" s="7" t="s">
        <v>16067</v>
      </c>
      <c r="I2094" s="119">
        <v>45566.0</v>
      </c>
      <c r="K2094" s="7" t="s">
        <v>419</v>
      </c>
      <c r="L2094" s="7" t="s">
        <v>991</v>
      </c>
      <c r="M2094" s="7" t="s">
        <v>3501</v>
      </c>
      <c r="N2094" s="7" t="s">
        <v>3695</v>
      </c>
      <c r="O2094" s="7" t="s">
        <v>9459</v>
      </c>
      <c r="P2094" s="7" t="s">
        <v>3522</v>
      </c>
      <c r="Q2094" s="7" t="s">
        <v>3523</v>
      </c>
    </row>
    <row r="2095">
      <c r="A2095" s="7" t="s">
        <v>16068</v>
      </c>
      <c r="B2095" s="7">
        <v>3000295.0</v>
      </c>
      <c r="C2095" s="7" t="s">
        <v>16069</v>
      </c>
      <c r="D2095" s="7" t="s">
        <v>16070</v>
      </c>
      <c r="E2095" s="7" t="s">
        <v>16071</v>
      </c>
      <c r="F2095" s="7" t="s">
        <v>5569</v>
      </c>
      <c r="G2095" s="7" t="s">
        <v>16072</v>
      </c>
      <c r="H2095" s="7" t="s">
        <v>16073</v>
      </c>
      <c r="I2095" s="119">
        <v>45566.0</v>
      </c>
      <c r="K2095" s="7" t="s">
        <v>419</v>
      </c>
      <c r="L2095" s="7" t="s">
        <v>991</v>
      </c>
      <c r="M2095" s="7" t="s">
        <v>3531</v>
      </c>
      <c r="N2095" s="7" t="s">
        <v>3652</v>
      </c>
      <c r="O2095" s="7" t="s">
        <v>3653</v>
      </c>
      <c r="P2095" s="7" t="s">
        <v>3493</v>
      </c>
      <c r="Q2095" s="7">
        <v>1.0</v>
      </c>
    </row>
    <row r="2096">
      <c r="A2096" s="7" t="s">
        <v>16074</v>
      </c>
      <c r="B2096" s="7">
        <v>3000275.0</v>
      </c>
      <c r="C2096" s="7" t="s">
        <v>10459</v>
      </c>
      <c r="D2096" s="7" t="s">
        <v>16075</v>
      </c>
      <c r="E2096" s="7" t="s">
        <v>10461</v>
      </c>
      <c r="F2096" s="7" t="s">
        <v>5987</v>
      </c>
      <c r="G2096" s="7" t="s">
        <v>16076</v>
      </c>
      <c r="H2096" s="7" t="s">
        <v>16077</v>
      </c>
      <c r="I2096" s="119">
        <v>45566.0</v>
      </c>
      <c r="K2096" s="7" t="s">
        <v>419</v>
      </c>
      <c r="L2096" s="7" t="s">
        <v>991</v>
      </c>
      <c r="M2096" s="7" t="s">
        <v>3531</v>
      </c>
      <c r="N2096" s="7" t="s">
        <v>5816</v>
      </c>
      <c r="O2096" s="7" t="s">
        <v>5817</v>
      </c>
      <c r="P2096" s="7" t="s">
        <v>3493</v>
      </c>
      <c r="Q2096" s="7">
        <v>1.0</v>
      </c>
    </row>
    <row r="2097">
      <c r="A2097" s="7" t="s">
        <v>16078</v>
      </c>
      <c r="B2097" s="7">
        <v>3000284.0</v>
      </c>
      <c r="C2097" s="7" t="s">
        <v>16079</v>
      </c>
      <c r="D2097" s="7" t="s">
        <v>5743</v>
      </c>
      <c r="E2097" s="7" t="s">
        <v>16080</v>
      </c>
      <c r="F2097" s="7" t="s">
        <v>5058</v>
      </c>
      <c r="G2097" s="7" t="s">
        <v>16081</v>
      </c>
      <c r="H2097" s="7" t="s">
        <v>16082</v>
      </c>
      <c r="I2097" s="119">
        <v>45566.0</v>
      </c>
      <c r="K2097" s="7" t="s">
        <v>3642</v>
      </c>
      <c r="L2097" s="7" t="s">
        <v>991</v>
      </c>
      <c r="M2097" s="7" t="s">
        <v>3501</v>
      </c>
      <c r="N2097" s="7" t="s">
        <v>3643</v>
      </c>
      <c r="O2097" s="7" t="s">
        <v>3644</v>
      </c>
      <c r="P2097" s="7" t="s">
        <v>3493</v>
      </c>
      <c r="Q2097" s="7">
        <v>1.0</v>
      </c>
    </row>
    <row r="2098">
      <c r="A2098" s="7" t="s">
        <v>16083</v>
      </c>
      <c r="B2098" s="7">
        <v>3000276.0</v>
      </c>
      <c r="C2098" s="7" t="s">
        <v>16084</v>
      </c>
      <c r="D2098" s="7" t="s">
        <v>8506</v>
      </c>
      <c r="E2098" s="7" t="s">
        <v>16085</v>
      </c>
      <c r="F2098" s="7" t="s">
        <v>5250</v>
      </c>
      <c r="G2098" s="7" t="s">
        <v>16086</v>
      </c>
      <c r="H2098" s="7" t="s">
        <v>16087</v>
      </c>
      <c r="I2098" s="119">
        <v>45566.0</v>
      </c>
      <c r="K2098" s="7" t="s">
        <v>419</v>
      </c>
      <c r="L2098" s="7" t="s">
        <v>991</v>
      </c>
      <c r="M2098" s="7" t="s">
        <v>3531</v>
      </c>
      <c r="N2098" s="7" t="s">
        <v>4738</v>
      </c>
      <c r="O2098" s="7" t="s">
        <v>4739</v>
      </c>
      <c r="P2098" s="7" t="s">
        <v>3493</v>
      </c>
      <c r="Q2098" s="7">
        <v>1.0</v>
      </c>
    </row>
    <row r="2099">
      <c r="A2099" s="7" t="s">
        <v>16088</v>
      </c>
      <c r="B2099" s="7">
        <v>3000197.0</v>
      </c>
      <c r="C2099" s="7" t="s">
        <v>16089</v>
      </c>
      <c r="D2099" s="7" t="s">
        <v>5513</v>
      </c>
      <c r="E2099" s="7" t="s">
        <v>16090</v>
      </c>
      <c r="F2099" s="7" t="s">
        <v>5514</v>
      </c>
      <c r="G2099" s="7" t="s">
        <v>16091</v>
      </c>
      <c r="H2099" s="7" t="s">
        <v>16092</v>
      </c>
      <c r="I2099" s="119">
        <v>45566.0</v>
      </c>
      <c r="K2099" s="7" t="s">
        <v>419</v>
      </c>
      <c r="L2099" s="7" t="s">
        <v>991</v>
      </c>
      <c r="M2099" s="7" t="s">
        <v>3501</v>
      </c>
      <c r="N2099" s="7" t="s">
        <v>6458</v>
      </c>
      <c r="O2099" s="7" t="s">
        <v>6459</v>
      </c>
      <c r="P2099" s="7" t="s">
        <v>3493</v>
      </c>
      <c r="Q2099" s="7">
        <v>1.0</v>
      </c>
    </row>
    <row r="2100">
      <c r="A2100" s="7" t="s">
        <v>16093</v>
      </c>
      <c r="B2100" s="7">
        <v>3000269.0</v>
      </c>
      <c r="C2100" s="7" t="s">
        <v>16094</v>
      </c>
      <c r="D2100" s="7" t="s">
        <v>4260</v>
      </c>
      <c r="E2100" s="7" t="s">
        <v>16095</v>
      </c>
      <c r="F2100" s="7" t="s">
        <v>4262</v>
      </c>
      <c r="G2100" s="7" t="s">
        <v>16096</v>
      </c>
      <c r="H2100" s="7" t="s">
        <v>16097</v>
      </c>
      <c r="I2100" s="119">
        <v>45566.0</v>
      </c>
      <c r="K2100" s="7" t="s">
        <v>419</v>
      </c>
      <c r="L2100" s="7" t="s">
        <v>991</v>
      </c>
      <c r="M2100" s="7" t="s">
        <v>3501</v>
      </c>
      <c r="N2100" s="7" t="s">
        <v>6624</v>
      </c>
      <c r="O2100" s="7" t="s">
        <v>9604</v>
      </c>
      <c r="P2100" s="7" t="s">
        <v>3493</v>
      </c>
      <c r="Q2100" s="7">
        <v>1.0</v>
      </c>
    </row>
    <row r="2101">
      <c r="A2101" s="7" t="s">
        <v>16098</v>
      </c>
      <c r="B2101" s="7">
        <v>3000281.0</v>
      </c>
      <c r="C2101" s="7" t="s">
        <v>13943</v>
      </c>
      <c r="D2101" s="7" t="s">
        <v>16099</v>
      </c>
      <c r="E2101" s="7" t="s">
        <v>13945</v>
      </c>
      <c r="F2101" s="7" t="s">
        <v>12970</v>
      </c>
      <c r="G2101" s="7" t="s">
        <v>16100</v>
      </c>
      <c r="H2101" s="7" t="s">
        <v>16101</v>
      </c>
      <c r="I2101" s="119">
        <v>45566.0</v>
      </c>
      <c r="K2101" s="7" t="s">
        <v>419</v>
      </c>
      <c r="L2101" s="7" t="s">
        <v>991</v>
      </c>
      <c r="M2101" s="7" t="s">
        <v>3531</v>
      </c>
      <c r="N2101" s="7" t="s">
        <v>3652</v>
      </c>
      <c r="O2101" s="7" t="s">
        <v>3653</v>
      </c>
      <c r="P2101" s="7" t="s">
        <v>3493</v>
      </c>
      <c r="Q2101" s="7">
        <v>1.0</v>
      </c>
    </row>
    <row r="2102">
      <c r="A2102" s="7" t="s">
        <v>16102</v>
      </c>
      <c r="B2102" s="7">
        <v>3000308.0</v>
      </c>
      <c r="C2102" s="7" t="s">
        <v>3771</v>
      </c>
      <c r="D2102" s="7" t="s">
        <v>16103</v>
      </c>
      <c r="E2102" s="7" t="s">
        <v>3773</v>
      </c>
      <c r="F2102" s="7" t="s">
        <v>15525</v>
      </c>
      <c r="G2102" s="7" t="s">
        <v>16104</v>
      </c>
      <c r="H2102" s="7" t="s">
        <v>16105</v>
      </c>
      <c r="I2102" s="119">
        <v>45581.0</v>
      </c>
      <c r="K2102" s="7" t="s">
        <v>3622</v>
      </c>
      <c r="L2102" s="7" t="s">
        <v>991</v>
      </c>
      <c r="M2102" s="7" t="s">
        <v>3531</v>
      </c>
      <c r="N2102" s="7" t="s">
        <v>3623</v>
      </c>
      <c r="O2102" s="7" t="s">
        <v>3624</v>
      </c>
      <c r="P2102" s="7" t="s">
        <v>3493</v>
      </c>
      <c r="Q2102" s="7">
        <v>1.0</v>
      </c>
    </row>
    <row r="2103">
      <c r="A2103" s="7" t="s">
        <v>16106</v>
      </c>
      <c r="B2103" s="7">
        <v>3000317.0</v>
      </c>
      <c r="C2103" s="7" t="s">
        <v>8429</v>
      </c>
      <c r="D2103" s="7" t="s">
        <v>11825</v>
      </c>
      <c r="E2103" s="7" t="s">
        <v>8431</v>
      </c>
      <c r="F2103" s="7" t="s">
        <v>11827</v>
      </c>
      <c r="G2103" s="7" t="s">
        <v>16107</v>
      </c>
      <c r="H2103" s="7" t="s">
        <v>16108</v>
      </c>
      <c r="I2103" s="119">
        <v>45581.0</v>
      </c>
      <c r="K2103" s="7" t="s">
        <v>419</v>
      </c>
      <c r="L2103" s="7" t="s">
        <v>991</v>
      </c>
      <c r="M2103" s="7" t="s">
        <v>3531</v>
      </c>
      <c r="N2103" s="7" t="s">
        <v>5868</v>
      </c>
      <c r="O2103" s="7" t="s">
        <v>5869</v>
      </c>
      <c r="P2103" s="7" t="s">
        <v>3493</v>
      </c>
      <c r="Q2103" s="7">
        <v>1.0</v>
      </c>
    </row>
    <row r="2104">
      <c r="A2104" s="7" t="s">
        <v>16109</v>
      </c>
      <c r="B2104" s="7">
        <v>3000318.0</v>
      </c>
      <c r="C2104" s="7" t="s">
        <v>16110</v>
      </c>
      <c r="D2104" s="7" t="s">
        <v>7406</v>
      </c>
      <c r="E2104" s="7" t="s">
        <v>16111</v>
      </c>
      <c r="F2104" s="7" t="s">
        <v>4598</v>
      </c>
      <c r="G2104" s="7" t="s">
        <v>16112</v>
      </c>
      <c r="H2104" s="7" t="s">
        <v>16113</v>
      </c>
      <c r="I2104" s="119">
        <v>45581.0</v>
      </c>
      <c r="K2104" s="7" t="s">
        <v>419</v>
      </c>
      <c r="L2104" s="7" t="s">
        <v>991</v>
      </c>
      <c r="M2104" s="7" t="s">
        <v>3501</v>
      </c>
      <c r="N2104" s="7" t="s">
        <v>13336</v>
      </c>
      <c r="O2104" s="7" t="s">
        <v>13337</v>
      </c>
      <c r="P2104" s="7" t="s">
        <v>3493</v>
      </c>
      <c r="Q2104" s="7">
        <v>1.0</v>
      </c>
    </row>
    <row r="2105">
      <c r="A2105" s="7" t="s">
        <v>16114</v>
      </c>
      <c r="B2105" s="7">
        <v>3000312.0</v>
      </c>
      <c r="C2105" s="7" t="s">
        <v>16115</v>
      </c>
      <c r="D2105" s="7" t="s">
        <v>16116</v>
      </c>
      <c r="E2105" s="7" t="s">
        <v>16117</v>
      </c>
      <c r="F2105" s="7" t="s">
        <v>16118</v>
      </c>
      <c r="G2105" s="7" t="s">
        <v>16119</v>
      </c>
      <c r="H2105" s="7" t="s">
        <v>16120</v>
      </c>
      <c r="I2105" s="119">
        <v>45581.0</v>
      </c>
      <c r="K2105" s="7" t="s">
        <v>419</v>
      </c>
      <c r="L2105" s="7" t="s">
        <v>991</v>
      </c>
      <c r="M2105" s="7" t="s">
        <v>3531</v>
      </c>
      <c r="N2105" s="7" t="s">
        <v>6896</v>
      </c>
      <c r="O2105" s="7" t="s">
        <v>6897</v>
      </c>
      <c r="P2105" s="7" t="s">
        <v>3493</v>
      </c>
      <c r="Q2105" s="7">
        <v>1.0</v>
      </c>
    </row>
    <row r="2106">
      <c r="A2106" s="7" t="s">
        <v>16121</v>
      </c>
      <c r="B2106" s="7">
        <v>3000307.0</v>
      </c>
      <c r="C2106" s="7" t="s">
        <v>8967</v>
      </c>
      <c r="D2106" s="7" t="s">
        <v>16122</v>
      </c>
      <c r="E2106" s="7" t="s">
        <v>8969</v>
      </c>
      <c r="F2106" s="7" t="s">
        <v>13001</v>
      </c>
      <c r="G2106" s="7" t="s">
        <v>16123</v>
      </c>
      <c r="H2106" s="7" t="s">
        <v>16124</v>
      </c>
      <c r="I2106" s="119">
        <v>45581.0</v>
      </c>
      <c r="K2106" s="7" t="s">
        <v>419</v>
      </c>
      <c r="L2106" s="7" t="s">
        <v>991</v>
      </c>
      <c r="M2106" s="7" t="s">
        <v>3531</v>
      </c>
      <c r="N2106" s="7" t="s">
        <v>6847</v>
      </c>
      <c r="O2106" s="7" t="s">
        <v>16125</v>
      </c>
      <c r="P2106" s="7" t="s">
        <v>3493</v>
      </c>
      <c r="Q2106" s="7">
        <v>1.0</v>
      </c>
    </row>
    <row r="2107">
      <c r="A2107" s="7" t="s">
        <v>16126</v>
      </c>
      <c r="B2107" s="7">
        <v>3000301.0</v>
      </c>
      <c r="C2107" s="7" t="s">
        <v>9104</v>
      </c>
      <c r="D2107" s="7" t="s">
        <v>16127</v>
      </c>
      <c r="E2107" s="7" t="s">
        <v>9105</v>
      </c>
      <c r="F2107" s="7" t="s">
        <v>8877</v>
      </c>
      <c r="G2107" s="7" t="s">
        <v>16128</v>
      </c>
      <c r="H2107" s="7" t="s">
        <v>16129</v>
      </c>
      <c r="I2107" s="119">
        <v>45581.0</v>
      </c>
      <c r="K2107" s="7" t="s">
        <v>419</v>
      </c>
      <c r="L2107" s="7" t="s">
        <v>991</v>
      </c>
      <c r="M2107" s="7" t="s">
        <v>3501</v>
      </c>
      <c r="N2107" s="7" t="s">
        <v>7883</v>
      </c>
      <c r="O2107" s="7" t="s">
        <v>7884</v>
      </c>
      <c r="P2107" s="7" t="s">
        <v>3493</v>
      </c>
      <c r="Q2107" s="7">
        <v>1.0</v>
      </c>
    </row>
    <row r="2108">
      <c r="A2108" s="7" t="s">
        <v>16130</v>
      </c>
      <c r="B2108" s="7">
        <v>3000303.0</v>
      </c>
      <c r="C2108" s="7" t="s">
        <v>16131</v>
      </c>
      <c r="D2108" s="7" t="s">
        <v>12926</v>
      </c>
      <c r="E2108" s="7" t="s">
        <v>16132</v>
      </c>
      <c r="F2108" s="7" t="s">
        <v>4929</v>
      </c>
      <c r="G2108" s="7" t="s">
        <v>16133</v>
      </c>
      <c r="H2108" s="7" t="s">
        <v>16134</v>
      </c>
      <c r="I2108" s="119">
        <v>45581.0</v>
      </c>
      <c r="K2108" s="7" t="s">
        <v>419</v>
      </c>
      <c r="L2108" s="7" t="s">
        <v>991</v>
      </c>
      <c r="M2108" s="7" t="s">
        <v>3866</v>
      </c>
      <c r="N2108" s="7" t="s">
        <v>6169</v>
      </c>
      <c r="O2108" s="7" t="s">
        <v>16135</v>
      </c>
      <c r="P2108" s="7" t="s">
        <v>3493</v>
      </c>
      <c r="Q2108" s="7">
        <v>1.0</v>
      </c>
    </row>
    <row r="2109">
      <c r="A2109" s="7" t="s">
        <v>16136</v>
      </c>
      <c r="B2109" s="7">
        <v>3000316.0</v>
      </c>
      <c r="C2109" s="7" t="s">
        <v>16137</v>
      </c>
      <c r="D2109" s="7" t="s">
        <v>16138</v>
      </c>
      <c r="E2109" s="7" t="s">
        <v>16139</v>
      </c>
      <c r="F2109" s="7" t="s">
        <v>5569</v>
      </c>
      <c r="G2109" s="7" t="s">
        <v>16140</v>
      </c>
      <c r="H2109" s="7" t="s">
        <v>16141</v>
      </c>
      <c r="I2109" s="119">
        <v>45581.0</v>
      </c>
      <c r="K2109" s="7" t="s">
        <v>419</v>
      </c>
      <c r="L2109" s="7" t="s">
        <v>991</v>
      </c>
      <c r="M2109" s="7" t="s">
        <v>3531</v>
      </c>
      <c r="N2109" s="7" t="s">
        <v>4481</v>
      </c>
      <c r="O2109" s="7" t="s">
        <v>4482</v>
      </c>
      <c r="P2109" s="7" t="s">
        <v>3493</v>
      </c>
      <c r="Q2109" s="7">
        <v>1.0</v>
      </c>
    </row>
    <row r="2110">
      <c r="A2110" s="7" t="s">
        <v>16142</v>
      </c>
      <c r="B2110" s="7">
        <v>3000310.0</v>
      </c>
      <c r="C2110" s="7" t="s">
        <v>11985</v>
      </c>
      <c r="D2110" s="7" t="s">
        <v>16143</v>
      </c>
      <c r="E2110" s="7" t="s">
        <v>11986</v>
      </c>
      <c r="F2110" s="7" t="s">
        <v>16144</v>
      </c>
      <c r="G2110" s="7" t="s">
        <v>16145</v>
      </c>
      <c r="H2110" s="7" t="s">
        <v>16146</v>
      </c>
      <c r="I2110" s="119">
        <v>45581.0</v>
      </c>
      <c r="K2110" s="7" t="s">
        <v>419</v>
      </c>
      <c r="L2110" s="7" t="s">
        <v>991</v>
      </c>
      <c r="M2110" s="7" t="s">
        <v>3531</v>
      </c>
      <c r="N2110" s="7" t="s">
        <v>6896</v>
      </c>
      <c r="O2110" s="7" t="s">
        <v>6897</v>
      </c>
      <c r="P2110" s="7" t="s">
        <v>3493</v>
      </c>
      <c r="Q2110" s="7">
        <v>1.0</v>
      </c>
    </row>
    <row r="2111">
      <c r="A2111" s="7" t="s">
        <v>16147</v>
      </c>
      <c r="B2111" s="7">
        <v>3000315.0</v>
      </c>
      <c r="C2111" s="7" t="s">
        <v>16148</v>
      </c>
      <c r="D2111" s="7" t="s">
        <v>16149</v>
      </c>
      <c r="E2111" s="7" t="s">
        <v>16150</v>
      </c>
      <c r="F2111" s="7" t="s">
        <v>13239</v>
      </c>
      <c r="G2111" s="7" t="s">
        <v>16151</v>
      </c>
      <c r="H2111" s="7" t="s">
        <v>16152</v>
      </c>
      <c r="I2111" s="119">
        <v>45581.0</v>
      </c>
      <c r="K2111" s="7" t="s">
        <v>419</v>
      </c>
      <c r="L2111" s="7" t="s">
        <v>991</v>
      </c>
      <c r="M2111" s="7" t="s">
        <v>3531</v>
      </c>
      <c r="N2111" s="7" t="s">
        <v>3532</v>
      </c>
      <c r="O2111" s="7" t="s">
        <v>3533</v>
      </c>
      <c r="P2111" s="7" t="s">
        <v>3493</v>
      </c>
      <c r="Q2111" s="7">
        <v>1.0</v>
      </c>
    </row>
    <row r="2112">
      <c r="A2112" s="7" t="s">
        <v>16153</v>
      </c>
      <c r="B2112" s="7">
        <v>3000311.0</v>
      </c>
      <c r="C2112" s="7" t="s">
        <v>14399</v>
      </c>
      <c r="D2112" s="7" t="s">
        <v>16154</v>
      </c>
      <c r="E2112" s="7" t="s">
        <v>14394</v>
      </c>
      <c r="F2112" s="7" t="s">
        <v>16155</v>
      </c>
      <c r="G2112" s="7" t="s">
        <v>16156</v>
      </c>
      <c r="H2112" s="7" t="s">
        <v>16157</v>
      </c>
      <c r="I2112" s="119">
        <v>45581.0</v>
      </c>
      <c r="K2112" s="7" t="s">
        <v>419</v>
      </c>
      <c r="L2112" s="7" t="s">
        <v>991</v>
      </c>
      <c r="M2112" s="7" t="s">
        <v>3531</v>
      </c>
      <c r="N2112" s="7" t="s">
        <v>6896</v>
      </c>
      <c r="O2112" s="7" t="s">
        <v>6897</v>
      </c>
      <c r="P2112" s="7" t="s">
        <v>3493</v>
      </c>
      <c r="Q2112" s="7">
        <v>1.0</v>
      </c>
    </row>
    <row r="2113">
      <c r="A2113" s="7" t="s">
        <v>16158</v>
      </c>
      <c r="B2113" s="7">
        <v>3000345.0</v>
      </c>
      <c r="C2113" s="7" t="s">
        <v>3923</v>
      </c>
      <c r="D2113" s="7" t="s">
        <v>16159</v>
      </c>
      <c r="E2113" s="7" t="s">
        <v>3925</v>
      </c>
      <c r="F2113" s="7" t="s">
        <v>5788</v>
      </c>
      <c r="G2113" s="7" t="s">
        <v>16160</v>
      </c>
      <c r="H2113" s="7" t="s">
        <v>16161</v>
      </c>
      <c r="I2113" s="119">
        <v>45597.0</v>
      </c>
      <c r="K2113" s="7" t="s">
        <v>419</v>
      </c>
      <c r="L2113" s="7" t="s">
        <v>991</v>
      </c>
      <c r="M2113" s="7" t="s">
        <v>3531</v>
      </c>
      <c r="N2113" s="7" t="s">
        <v>8379</v>
      </c>
      <c r="O2113" s="7" t="s">
        <v>16162</v>
      </c>
      <c r="P2113" s="7" t="s">
        <v>3493</v>
      </c>
      <c r="Q2113" s="7">
        <v>1.0</v>
      </c>
    </row>
    <row r="2114">
      <c r="A2114" s="7" t="s">
        <v>16163</v>
      </c>
      <c r="B2114" s="7">
        <v>3000305.0</v>
      </c>
      <c r="C2114" s="7" t="s">
        <v>16164</v>
      </c>
      <c r="D2114" s="7" t="s">
        <v>16165</v>
      </c>
      <c r="E2114" s="7" t="s">
        <v>16166</v>
      </c>
      <c r="F2114" s="7" t="s">
        <v>10740</v>
      </c>
      <c r="G2114" s="7" t="s">
        <v>16167</v>
      </c>
      <c r="H2114" s="7" t="s">
        <v>16168</v>
      </c>
      <c r="I2114" s="119">
        <v>45597.0</v>
      </c>
      <c r="K2114" s="7" t="s">
        <v>419</v>
      </c>
      <c r="L2114" s="7" t="s">
        <v>991</v>
      </c>
      <c r="M2114" s="7" t="s">
        <v>3583</v>
      </c>
      <c r="N2114" s="7" t="s">
        <v>4669</v>
      </c>
      <c r="O2114" s="7" t="s">
        <v>4670</v>
      </c>
      <c r="P2114" s="7" t="s">
        <v>3493</v>
      </c>
      <c r="Q2114" s="7">
        <v>1.0</v>
      </c>
    </row>
    <row r="2115">
      <c r="A2115" s="7" t="s">
        <v>16169</v>
      </c>
      <c r="B2115" s="7">
        <v>3000357.0</v>
      </c>
      <c r="C2115" s="7" t="s">
        <v>16170</v>
      </c>
      <c r="D2115" s="7" t="s">
        <v>16171</v>
      </c>
      <c r="E2115" s="7" t="s">
        <v>16172</v>
      </c>
      <c r="F2115" s="7" t="s">
        <v>15368</v>
      </c>
      <c r="G2115" s="7" t="s">
        <v>16173</v>
      </c>
      <c r="H2115" s="7" t="s">
        <v>16174</v>
      </c>
      <c r="I2115" s="119">
        <v>45597.0</v>
      </c>
      <c r="K2115" s="7" t="s">
        <v>419</v>
      </c>
      <c r="L2115" s="7" t="s">
        <v>991</v>
      </c>
      <c r="M2115" s="7" t="s">
        <v>3501</v>
      </c>
      <c r="N2115" s="7" t="s">
        <v>6949</v>
      </c>
      <c r="O2115" s="7" t="s">
        <v>6950</v>
      </c>
      <c r="P2115" s="7" t="s">
        <v>3493</v>
      </c>
      <c r="Q2115" s="7">
        <v>1.0</v>
      </c>
    </row>
    <row r="2116">
      <c r="A2116" s="7" t="s">
        <v>16175</v>
      </c>
      <c r="B2116" s="7">
        <v>3000334.0</v>
      </c>
      <c r="C2116" s="7" t="s">
        <v>4887</v>
      </c>
      <c r="D2116" s="7" t="s">
        <v>16176</v>
      </c>
      <c r="E2116" s="7" t="s">
        <v>4888</v>
      </c>
      <c r="F2116" s="7" t="s">
        <v>10848</v>
      </c>
      <c r="G2116" s="7" t="s">
        <v>16177</v>
      </c>
      <c r="H2116" s="7" t="s">
        <v>16178</v>
      </c>
      <c r="I2116" s="119">
        <v>45597.0</v>
      </c>
      <c r="K2116" s="7" t="s">
        <v>3632</v>
      </c>
      <c r="L2116" s="7" t="s">
        <v>991</v>
      </c>
      <c r="M2116" s="7" t="s">
        <v>3531</v>
      </c>
      <c r="N2116" s="7" t="s">
        <v>5037</v>
      </c>
      <c r="O2116" s="7" t="s">
        <v>5038</v>
      </c>
      <c r="P2116" s="7" t="s">
        <v>3493</v>
      </c>
      <c r="Q2116" s="7">
        <v>1.0</v>
      </c>
    </row>
    <row r="2117">
      <c r="A2117" s="7" t="s">
        <v>16179</v>
      </c>
      <c r="B2117" s="7">
        <v>3000324.0</v>
      </c>
      <c r="C2117" s="7" t="s">
        <v>16180</v>
      </c>
      <c r="D2117" s="7" t="s">
        <v>16181</v>
      </c>
      <c r="E2117" s="7" t="s">
        <v>16182</v>
      </c>
      <c r="F2117" s="7" t="s">
        <v>4039</v>
      </c>
      <c r="G2117" s="7" t="s">
        <v>16183</v>
      </c>
      <c r="H2117" s="7" t="s">
        <v>16184</v>
      </c>
      <c r="I2117" s="119">
        <v>45597.0</v>
      </c>
      <c r="K2117" s="7" t="s">
        <v>419</v>
      </c>
      <c r="L2117" s="7" t="s">
        <v>991</v>
      </c>
      <c r="M2117" s="7" t="s">
        <v>3501</v>
      </c>
      <c r="N2117" s="7" t="s">
        <v>7694</v>
      </c>
      <c r="O2117" s="7" t="s">
        <v>7695</v>
      </c>
      <c r="P2117" s="7" t="s">
        <v>3493</v>
      </c>
      <c r="Q2117" s="7">
        <v>1.0</v>
      </c>
    </row>
    <row r="2118">
      <c r="A2118" s="7" t="s">
        <v>16185</v>
      </c>
      <c r="B2118" s="7">
        <v>3000299.0</v>
      </c>
      <c r="C2118" s="7" t="s">
        <v>16186</v>
      </c>
      <c r="D2118" s="7" t="s">
        <v>9298</v>
      </c>
      <c r="E2118" s="7" t="s">
        <v>16187</v>
      </c>
      <c r="F2118" s="7" t="s">
        <v>12777</v>
      </c>
      <c r="G2118" s="7" t="s">
        <v>16188</v>
      </c>
      <c r="H2118" s="7" t="s">
        <v>16189</v>
      </c>
      <c r="I2118" s="119">
        <v>45597.0</v>
      </c>
      <c r="K2118" s="7" t="s">
        <v>419</v>
      </c>
      <c r="L2118" s="7" t="s">
        <v>991</v>
      </c>
      <c r="M2118" s="7" t="s">
        <v>3501</v>
      </c>
      <c r="N2118" s="7" t="s">
        <v>14964</v>
      </c>
      <c r="O2118" s="7" t="s">
        <v>16190</v>
      </c>
      <c r="P2118" s="7" t="s">
        <v>3546</v>
      </c>
      <c r="Q2118" s="7" t="s">
        <v>3523</v>
      </c>
    </row>
    <row r="2119">
      <c r="A2119" s="7" t="s">
        <v>16191</v>
      </c>
      <c r="B2119" s="7">
        <v>3000364.0</v>
      </c>
      <c r="C2119" s="7" t="s">
        <v>16192</v>
      </c>
      <c r="D2119" s="7" t="s">
        <v>16193</v>
      </c>
      <c r="E2119" s="7" t="s">
        <v>16194</v>
      </c>
      <c r="F2119" s="7" t="s">
        <v>16195</v>
      </c>
      <c r="G2119" s="7" t="s">
        <v>16196</v>
      </c>
      <c r="H2119" s="7" t="s">
        <v>16197</v>
      </c>
      <c r="I2119" s="119">
        <v>45597.0</v>
      </c>
      <c r="K2119" s="7" t="s">
        <v>3642</v>
      </c>
      <c r="L2119" s="7" t="s">
        <v>991</v>
      </c>
      <c r="M2119" s="7" t="s">
        <v>3531</v>
      </c>
      <c r="N2119" s="7" t="s">
        <v>3643</v>
      </c>
      <c r="O2119" s="7" t="s">
        <v>3644</v>
      </c>
      <c r="P2119" s="7" t="s">
        <v>3493</v>
      </c>
      <c r="Q2119" s="7">
        <v>1.0</v>
      </c>
    </row>
    <row r="2120">
      <c r="A2120" s="7" t="s">
        <v>16198</v>
      </c>
      <c r="B2120" s="7">
        <v>3000322.0</v>
      </c>
      <c r="C2120" s="7" t="s">
        <v>16199</v>
      </c>
      <c r="D2120" s="7" t="s">
        <v>16200</v>
      </c>
      <c r="E2120" s="7" t="s">
        <v>16201</v>
      </c>
      <c r="F2120" s="7" t="s">
        <v>6253</v>
      </c>
      <c r="G2120" s="7" t="s">
        <v>16202</v>
      </c>
      <c r="H2120" s="7" t="s">
        <v>16203</v>
      </c>
      <c r="I2120" s="119">
        <v>45597.0</v>
      </c>
      <c r="K2120" s="7" t="s">
        <v>419</v>
      </c>
      <c r="L2120" s="7" t="s">
        <v>991</v>
      </c>
      <c r="M2120" s="7" t="s">
        <v>3583</v>
      </c>
      <c r="N2120" s="7" t="s">
        <v>6706</v>
      </c>
      <c r="O2120" s="7" t="s">
        <v>6707</v>
      </c>
      <c r="P2120" s="7" t="s">
        <v>3493</v>
      </c>
      <c r="Q2120" s="7">
        <v>1.0</v>
      </c>
    </row>
    <row r="2121">
      <c r="A2121" s="7" t="s">
        <v>16204</v>
      </c>
      <c r="B2121" s="7">
        <v>3000356.0</v>
      </c>
      <c r="C2121" s="7" t="s">
        <v>7968</v>
      </c>
      <c r="D2121" s="7" t="s">
        <v>16205</v>
      </c>
      <c r="E2121" s="7" t="s">
        <v>7970</v>
      </c>
      <c r="F2121" s="7" t="s">
        <v>3517</v>
      </c>
      <c r="G2121" s="7" t="s">
        <v>16206</v>
      </c>
      <c r="H2121" s="7" t="s">
        <v>16207</v>
      </c>
      <c r="I2121" s="119">
        <v>45597.0</v>
      </c>
      <c r="K2121" s="7" t="s">
        <v>419</v>
      </c>
      <c r="L2121" s="7" t="s">
        <v>991</v>
      </c>
      <c r="M2121" s="7" t="s">
        <v>3501</v>
      </c>
      <c r="N2121" s="7" t="s">
        <v>5469</v>
      </c>
      <c r="O2121" s="7" t="s">
        <v>5470</v>
      </c>
      <c r="P2121" s="7" t="s">
        <v>3493</v>
      </c>
      <c r="Q2121" s="7">
        <v>1.0</v>
      </c>
    </row>
    <row r="2122">
      <c r="A2122" s="7" t="s">
        <v>16208</v>
      </c>
      <c r="B2122" s="7">
        <v>3000362.0</v>
      </c>
      <c r="C2122" s="7" t="s">
        <v>8004</v>
      </c>
      <c r="D2122" s="7" t="s">
        <v>16209</v>
      </c>
      <c r="E2122" s="7" t="s">
        <v>8006</v>
      </c>
      <c r="F2122" s="7" t="s">
        <v>8007</v>
      </c>
      <c r="G2122" s="7" t="s">
        <v>16210</v>
      </c>
      <c r="H2122" s="7" t="s">
        <v>16211</v>
      </c>
      <c r="I2122" s="119">
        <v>45597.0</v>
      </c>
      <c r="K2122" s="7" t="s">
        <v>419</v>
      </c>
      <c r="L2122" s="7" t="s">
        <v>991</v>
      </c>
      <c r="M2122" s="7" t="s">
        <v>16212</v>
      </c>
      <c r="N2122" s="7" t="s">
        <v>10208</v>
      </c>
      <c r="O2122" s="7" t="s">
        <v>16213</v>
      </c>
      <c r="P2122" s="7" t="s">
        <v>3493</v>
      </c>
      <c r="Q2122" s="7">
        <v>1.0</v>
      </c>
    </row>
    <row r="2123">
      <c r="A2123" s="7" t="s">
        <v>16214</v>
      </c>
      <c r="B2123" s="7">
        <v>3000302.0</v>
      </c>
      <c r="C2123" s="7" t="s">
        <v>16215</v>
      </c>
      <c r="D2123" s="7" t="s">
        <v>16216</v>
      </c>
      <c r="E2123" s="7" t="s">
        <v>16217</v>
      </c>
      <c r="F2123" s="7" t="s">
        <v>16218</v>
      </c>
      <c r="G2123" s="7" t="s">
        <v>16219</v>
      </c>
      <c r="H2123" s="7" t="s">
        <v>16220</v>
      </c>
      <c r="I2123" s="119">
        <v>45597.0</v>
      </c>
      <c r="K2123" s="7" t="s">
        <v>419</v>
      </c>
      <c r="L2123" s="7" t="s">
        <v>991</v>
      </c>
      <c r="M2123" s="7" t="s">
        <v>3501</v>
      </c>
      <c r="N2123" s="7" t="s">
        <v>4499</v>
      </c>
      <c r="O2123" s="7" t="s">
        <v>4500</v>
      </c>
      <c r="P2123" s="7" t="s">
        <v>3493</v>
      </c>
      <c r="Q2123" s="7">
        <v>1.0</v>
      </c>
    </row>
    <row r="2124">
      <c r="A2124" s="7" t="s">
        <v>16221</v>
      </c>
      <c r="B2124" s="7">
        <v>3000351.0</v>
      </c>
      <c r="C2124" s="7" t="s">
        <v>8247</v>
      </c>
      <c r="D2124" s="7" t="s">
        <v>16222</v>
      </c>
      <c r="E2124" s="7" t="s">
        <v>8249</v>
      </c>
      <c r="F2124" s="7" t="s">
        <v>16223</v>
      </c>
      <c r="G2124" s="7" t="s">
        <v>16224</v>
      </c>
      <c r="H2124" s="7" t="s">
        <v>16225</v>
      </c>
      <c r="I2124" s="119">
        <v>45597.0</v>
      </c>
      <c r="K2124" s="7" t="s">
        <v>419</v>
      </c>
      <c r="L2124" s="7" t="s">
        <v>991</v>
      </c>
      <c r="M2124" s="7" t="s">
        <v>3531</v>
      </c>
      <c r="N2124" s="7" t="s">
        <v>8478</v>
      </c>
      <c r="O2124" s="7" t="s">
        <v>11111</v>
      </c>
      <c r="P2124" s="7" t="s">
        <v>3493</v>
      </c>
      <c r="Q2124" s="7">
        <v>1.0</v>
      </c>
    </row>
    <row r="2125">
      <c r="A2125" s="7" t="s">
        <v>16226</v>
      </c>
      <c r="B2125" s="7">
        <v>3000327.0</v>
      </c>
      <c r="C2125" s="7" t="s">
        <v>9570</v>
      </c>
      <c r="D2125" s="7" t="s">
        <v>16227</v>
      </c>
      <c r="E2125" s="7" t="s">
        <v>9572</v>
      </c>
      <c r="F2125" s="7" t="s">
        <v>16228</v>
      </c>
      <c r="G2125" s="7" t="s">
        <v>16229</v>
      </c>
      <c r="H2125" s="7" t="s">
        <v>16230</v>
      </c>
      <c r="I2125" s="119">
        <v>45597.0</v>
      </c>
      <c r="K2125" s="7" t="s">
        <v>419</v>
      </c>
      <c r="L2125" s="7" t="s">
        <v>991</v>
      </c>
      <c r="M2125" s="7" t="s">
        <v>3583</v>
      </c>
      <c r="N2125" s="7" t="s">
        <v>6169</v>
      </c>
      <c r="O2125" s="7" t="s">
        <v>6170</v>
      </c>
      <c r="P2125" s="7" t="s">
        <v>3697</v>
      </c>
      <c r="Q2125" s="7" t="s">
        <v>3710</v>
      </c>
    </row>
    <row r="2126">
      <c r="A2126" s="7" t="s">
        <v>16231</v>
      </c>
      <c r="B2126" s="7">
        <v>3000353.0</v>
      </c>
      <c r="C2126" s="7" t="s">
        <v>16232</v>
      </c>
      <c r="D2126" s="7" t="s">
        <v>16233</v>
      </c>
      <c r="E2126" s="7" t="s">
        <v>16234</v>
      </c>
      <c r="F2126" s="7" t="s">
        <v>4677</v>
      </c>
      <c r="G2126" s="7" t="s">
        <v>16235</v>
      </c>
      <c r="H2126" s="7" t="s">
        <v>16236</v>
      </c>
      <c r="I2126" s="119">
        <v>45597.0</v>
      </c>
      <c r="K2126" s="7" t="s">
        <v>419</v>
      </c>
      <c r="L2126" s="7" t="s">
        <v>991</v>
      </c>
      <c r="M2126" s="7" t="s">
        <v>3501</v>
      </c>
      <c r="N2126" s="7" t="s">
        <v>6458</v>
      </c>
      <c r="O2126" s="7" t="s">
        <v>6459</v>
      </c>
      <c r="P2126" s="7" t="s">
        <v>3493</v>
      </c>
      <c r="Q2126" s="7">
        <v>1.0</v>
      </c>
    </row>
    <row r="2127">
      <c r="A2127" s="7" t="s">
        <v>16237</v>
      </c>
      <c r="B2127" s="7">
        <v>3000304.0</v>
      </c>
      <c r="C2127" s="7" t="s">
        <v>8954</v>
      </c>
      <c r="D2127" s="7" t="s">
        <v>16238</v>
      </c>
      <c r="E2127" s="7" t="s">
        <v>16239</v>
      </c>
      <c r="F2127" s="7" t="s">
        <v>16240</v>
      </c>
      <c r="G2127" s="7" t="s">
        <v>16241</v>
      </c>
      <c r="H2127" s="7" t="s">
        <v>16242</v>
      </c>
      <c r="I2127" s="119">
        <v>45597.0</v>
      </c>
      <c r="K2127" s="7" t="s">
        <v>419</v>
      </c>
      <c r="L2127" s="7" t="s">
        <v>991</v>
      </c>
      <c r="M2127" s="7" t="s">
        <v>3501</v>
      </c>
      <c r="N2127" s="7" t="s">
        <v>4317</v>
      </c>
      <c r="O2127" s="7" t="s">
        <v>4318</v>
      </c>
      <c r="P2127" s="7" t="s">
        <v>3522</v>
      </c>
      <c r="Q2127" s="7" t="s">
        <v>3523</v>
      </c>
    </row>
    <row r="2128">
      <c r="A2128" s="7" t="s">
        <v>16243</v>
      </c>
      <c r="B2128" s="7">
        <v>3000343.0</v>
      </c>
      <c r="C2128" s="7" t="s">
        <v>16244</v>
      </c>
      <c r="D2128" s="7" t="s">
        <v>16245</v>
      </c>
      <c r="E2128" s="7" t="s">
        <v>16246</v>
      </c>
      <c r="F2128" s="7" t="s">
        <v>16247</v>
      </c>
      <c r="G2128" s="7" t="s">
        <v>16248</v>
      </c>
      <c r="H2128" s="7" t="s">
        <v>16249</v>
      </c>
      <c r="I2128" s="119">
        <v>45597.0</v>
      </c>
      <c r="K2128" s="7" t="s">
        <v>419</v>
      </c>
      <c r="L2128" s="7" t="s">
        <v>991</v>
      </c>
      <c r="M2128" s="7" t="s">
        <v>3531</v>
      </c>
      <c r="N2128" s="7" t="s">
        <v>8379</v>
      </c>
      <c r="O2128" s="7" t="s">
        <v>16162</v>
      </c>
      <c r="P2128" s="7" t="s">
        <v>3493</v>
      </c>
      <c r="Q2128" s="7">
        <v>1.0</v>
      </c>
    </row>
    <row r="2129">
      <c r="A2129" s="7" t="s">
        <v>16250</v>
      </c>
      <c r="B2129" s="7">
        <v>3000340.0</v>
      </c>
      <c r="C2129" s="7" t="s">
        <v>16251</v>
      </c>
      <c r="D2129" s="7" t="s">
        <v>15584</v>
      </c>
      <c r="E2129" s="7" t="s">
        <v>16252</v>
      </c>
      <c r="F2129" s="7" t="s">
        <v>9205</v>
      </c>
      <c r="G2129" s="7" t="s">
        <v>16253</v>
      </c>
      <c r="H2129" s="7" t="s">
        <v>16254</v>
      </c>
      <c r="I2129" s="119">
        <v>45597.0</v>
      </c>
      <c r="K2129" s="7" t="s">
        <v>3632</v>
      </c>
      <c r="L2129" s="7" t="s">
        <v>991</v>
      </c>
      <c r="M2129" s="7" t="s">
        <v>3583</v>
      </c>
      <c r="N2129" s="7" t="s">
        <v>5037</v>
      </c>
      <c r="O2129" s="7" t="s">
        <v>5038</v>
      </c>
      <c r="P2129" s="7" t="s">
        <v>3493</v>
      </c>
      <c r="Q2129" s="7">
        <v>1.0</v>
      </c>
    </row>
    <row r="2130">
      <c r="A2130" s="7" t="s">
        <v>16255</v>
      </c>
      <c r="B2130" s="7">
        <v>3000361.0</v>
      </c>
      <c r="C2130" s="7" t="s">
        <v>10654</v>
      </c>
      <c r="D2130" s="7" t="s">
        <v>5969</v>
      </c>
      <c r="E2130" s="7" t="s">
        <v>10656</v>
      </c>
      <c r="F2130" s="7" t="s">
        <v>3909</v>
      </c>
      <c r="G2130" s="7" t="s">
        <v>16256</v>
      </c>
      <c r="H2130" s="7" t="s">
        <v>16257</v>
      </c>
      <c r="I2130" s="119">
        <v>45597.0</v>
      </c>
      <c r="K2130" s="7" t="s">
        <v>4042</v>
      </c>
      <c r="L2130" s="7" t="s">
        <v>991</v>
      </c>
      <c r="M2130" s="7" t="s">
        <v>3501</v>
      </c>
      <c r="N2130" s="7" t="s">
        <v>4043</v>
      </c>
      <c r="O2130" s="7" t="s">
        <v>4044</v>
      </c>
      <c r="P2130" s="7" t="s">
        <v>3493</v>
      </c>
      <c r="Q2130" s="7">
        <v>1.0</v>
      </c>
    </row>
    <row r="2131">
      <c r="A2131" s="7" t="s">
        <v>16258</v>
      </c>
      <c r="B2131" s="7">
        <v>3000342.0</v>
      </c>
      <c r="C2131" s="7" t="s">
        <v>10900</v>
      </c>
      <c r="D2131" s="7" t="s">
        <v>16259</v>
      </c>
      <c r="E2131" s="7" t="s">
        <v>10901</v>
      </c>
      <c r="F2131" s="7" t="s">
        <v>3909</v>
      </c>
      <c r="G2131" s="7" t="s">
        <v>16260</v>
      </c>
      <c r="H2131" s="7" t="s">
        <v>16261</v>
      </c>
      <c r="I2131" s="119">
        <v>45597.0</v>
      </c>
      <c r="K2131" s="7" t="s">
        <v>419</v>
      </c>
      <c r="L2131" s="7" t="s">
        <v>991</v>
      </c>
      <c r="M2131" s="7" t="s">
        <v>3531</v>
      </c>
      <c r="N2131" s="7" t="s">
        <v>4834</v>
      </c>
      <c r="O2131" s="7" t="s">
        <v>4835</v>
      </c>
      <c r="P2131" s="7" t="s">
        <v>3493</v>
      </c>
      <c r="Q2131" s="7">
        <v>1.0</v>
      </c>
    </row>
    <row r="2132">
      <c r="A2132" s="7" t="s">
        <v>16262</v>
      </c>
      <c r="B2132" s="7">
        <v>3000337.0</v>
      </c>
      <c r="C2132" s="7" t="s">
        <v>16263</v>
      </c>
      <c r="D2132" s="7" t="s">
        <v>16264</v>
      </c>
      <c r="E2132" s="7" t="s">
        <v>16265</v>
      </c>
      <c r="F2132" s="7" t="s">
        <v>16266</v>
      </c>
      <c r="G2132" s="7" t="s">
        <v>16267</v>
      </c>
      <c r="H2132" s="7" t="s">
        <v>16268</v>
      </c>
      <c r="I2132" s="119">
        <v>45597.0</v>
      </c>
      <c r="K2132" s="7" t="s">
        <v>419</v>
      </c>
      <c r="L2132" s="7" t="s">
        <v>991</v>
      </c>
      <c r="M2132" s="7" t="s">
        <v>3531</v>
      </c>
      <c r="N2132" s="7" t="s">
        <v>3502</v>
      </c>
      <c r="O2132" s="7" t="s">
        <v>3503</v>
      </c>
      <c r="P2132" s="7" t="s">
        <v>3493</v>
      </c>
      <c r="Q2132" s="7">
        <v>1.0</v>
      </c>
    </row>
    <row r="2133">
      <c r="A2133" s="7" t="s">
        <v>16269</v>
      </c>
      <c r="B2133" s="7">
        <v>3000349.0</v>
      </c>
      <c r="C2133" s="7" t="s">
        <v>16270</v>
      </c>
      <c r="D2133" s="7" t="s">
        <v>16271</v>
      </c>
      <c r="E2133" s="7" t="s">
        <v>16272</v>
      </c>
      <c r="F2133" s="7" t="s">
        <v>6101</v>
      </c>
      <c r="G2133" s="7" t="s">
        <v>16273</v>
      </c>
      <c r="H2133" s="7" t="s">
        <v>16274</v>
      </c>
      <c r="I2133" s="119">
        <v>45597.0</v>
      </c>
      <c r="K2133" s="7" t="s">
        <v>419</v>
      </c>
      <c r="L2133" s="7" t="s">
        <v>991</v>
      </c>
      <c r="M2133" s="7" t="s">
        <v>3531</v>
      </c>
      <c r="N2133" s="7" t="s">
        <v>7883</v>
      </c>
      <c r="O2133" s="7" t="s">
        <v>7884</v>
      </c>
      <c r="P2133" s="7" t="s">
        <v>3493</v>
      </c>
      <c r="Q2133" s="7">
        <v>1.0</v>
      </c>
    </row>
    <row r="2134">
      <c r="A2134" s="7" t="s">
        <v>16275</v>
      </c>
      <c r="B2134" s="7">
        <v>3000348.0</v>
      </c>
      <c r="C2134" s="7" t="s">
        <v>16276</v>
      </c>
      <c r="D2134" s="7" t="s">
        <v>16277</v>
      </c>
      <c r="E2134" s="7" t="s">
        <v>16278</v>
      </c>
      <c r="F2134" s="7" t="s">
        <v>16279</v>
      </c>
      <c r="G2134" s="7" t="s">
        <v>16280</v>
      </c>
      <c r="H2134" s="7" t="s">
        <v>16281</v>
      </c>
      <c r="I2134" s="119">
        <v>45597.0</v>
      </c>
      <c r="K2134" s="7" t="s">
        <v>419</v>
      </c>
      <c r="L2134" s="7" t="s">
        <v>991</v>
      </c>
      <c r="M2134" s="7" t="s">
        <v>3531</v>
      </c>
      <c r="N2134" s="7" t="s">
        <v>7883</v>
      </c>
      <c r="O2134" s="7" t="s">
        <v>7884</v>
      </c>
      <c r="P2134" s="7" t="s">
        <v>3493</v>
      </c>
      <c r="Q2134" s="7">
        <v>1.0</v>
      </c>
    </row>
    <row r="2135">
      <c r="A2135" s="7" t="s">
        <v>16282</v>
      </c>
      <c r="B2135" s="7">
        <v>3000363.0</v>
      </c>
      <c r="C2135" s="7" t="s">
        <v>13857</v>
      </c>
      <c r="D2135" s="7" t="s">
        <v>16283</v>
      </c>
      <c r="E2135" s="7" t="s">
        <v>13853</v>
      </c>
      <c r="F2135" s="7" t="s">
        <v>12086</v>
      </c>
      <c r="G2135" s="7" t="s">
        <v>16284</v>
      </c>
      <c r="I2135" s="119">
        <v>45597.0</v>
      </c>
      <c r="K2135" s="7" t="s">
        <v>419</v>
      </c>
      <c r="L2135" s="7" t="s">
        <v>991</v>
      </c>
      <c r="M2135" s="7" t="s">
        <v>3531</v>
      </c>
      <c r="N2135" s="7" t="s">
        <v>9218</v>
      </c>
      <c r="O2135" s="7" t="s">
        <v>9219</v>
      </c>
      <c r="P2135" s="7" t="s">
        <v>3493</v>
      </c>
      <c r="Q2135" s="7">
        <v>1.0</v>
      </c>
    </row>
    <row r="2136">
      <c r="A2136" s="7" t="s">
        <v>16285</v>
      </c>
      <c r="B2136" s="7">
        <v>3000226.0</v>
      </c>
      <c r="C2136" s="7" t="s">
        <v>14135</v>
      </c>
      <c r="D2136" s="7" t="s">
        <v>16286</v>
      </c>
      <c r="E2136" s="7" t="s">
        <v>14136</v>
      </c>
      <c r="F2136" s="7" t="s">
        <v>16287</v>
      </c>
      <c r="G2136" s="7" t="s">
        <v>16288</v>
      </c>
      <c r="H2136" s="7" t="s">
        <v>16289</v>
      </c>
      <c r="I2136" s="119">
        <v>45597.0</v>
      </c>
      <c r="K2136" s="7" t="s">
        <v>419</v>
      </c>
      <c r="L2136" s="7" t="s">
        <v>991</v>
      </c>
      <c r="M2136" s="7" t="s">
        <v>3501</v>
      </c>
      <c r="N2136" s="7" t="s">
        <v>8518</v>
      </c>
      <c r="O2136" s="7" t="s">
        <v>16290</v>
      </c>
      <c r="P2136" s="7" t="s">
        <v>3843</v>
      </c>
      <c r="Q2136" s="7">
        <v>1.0</v>
      </c>
    </row>
    <row r="2137">
      <c r="A2137" s="7" t="s">
        <v>16291</v>
      </c>
      <c r="B2137" s="7">
        <v>3000496.0</v>
      </c>
      <c r="C2137" s="7" t="s">
        <v>14341</v>
      </c>
      <c r="D2137" s="7" t="s">
        <v>16292</v>
      </c>
      <c r="E2137" s="7" t="s">
        <v>14343</v>
      </c>
      <c r="F2137" s="7" t="s">
        <v>16293</v>
      </c>
      <c r="G2137" s="7" t="s">
        <v>16294</v>
      </c>
      <c r="H2137" s="7" t="s">
        <v>16295</v>
      </c>
      <c r="I2137" s="119">
        <v>45689.0</v>
      </c>
      <c r="K2137" s="7" t="s">
        <v>419</v>
      </c>
      <c r="L2137" s="7" t="s">
        <v>991</v>
      </c>
      <c r="M2137" s="7" t="s">
        <v>3501</v>
      </c>
      <c r="N2137" s="7" t="s">
        <v>8379</v>
      </c>
      <c r="O2137" s="7" t="s">
        <v>16162</v>
      </c>
      <c r="P2137" s="7" t="s">
        <v>3493</v>
      </c>
      <c r="Q2137" s="7">
        <v>1.0</v>
      </c>
    </row>
    <row r="2138">
      <c r="A2138" s="7" t="s">
        <v>16296</v>
      </c>
      <c r="B2138" s="7">
        <v>3000369.0</v>
      </c>
      <c r="C2138" s="7" t="s">
        <v>3999</v>
      </c>
      <c r="D2138" s="7" t="s">
        <v>16297</v>
      </c>
      <c r="E2138" s="7" t="s">
        <v>4001</v>
      </c>
      <c r="F2138" s="7" t="s">
        <v>4262</v>
      </c>
      <c r="G2138" s="7" t="s">
        <v>16298</v>
      </c>
      <c r="H2138" s="7" t="s">
        <v>16299</v>
      </c>
      <c r="I2138" s="119">
        <v>45612.0</v>
      </c>
      <c r="K2138" s="7" t="s">
        <v>419</v>
      </c>
      <c r="L2138" s="7" t="s">
        <v>991</v>
      </c>
      <c r="M2138" s="7" t="s">
        <v>3531</v>
      </c>
      <c r="N2138" s="7" t="s">
        <v>4399</v>
      </c>
      <c r="O2138" s="7" t="s">
        <v>4400</v>
      </c>
      <c r="P2138" s="7" t="s">
        <v>3493</v>
      </c>
      <c r="Q2138" s="7">
        <v>1.0</v>
      </c>
    </row>
    <row r="2139">
      <c r="A2139" s="7" t="s">
        <v>16300</v>
      </c>
      <c r="B2139" s="7">
        <v>3000380.0</v>
      </c>
      <c r="C2139" s="7" t="s">
        <v>16301</v>
      </c>
      <c r="D2139" s="7" t="s">
        <v>16302</v>
      </c>
      <c r="E2139" s="7" t="s">
        <v>16303</v>
      </c>
      <c r="F2139" s="7" t="s">
        <v>16304</v>
      </c>
      <c r="G2139" s="7" t="s">
        <v>16305</v>
      </c>
      <c r="H2139" s="7" t="s">
        <v>16306</v>
      </c>
      <c r="I2139" s="119">
        <v>45612.0</v>
      </c>
      <c r="K2139" s="7" t="s">
        <v>3622</v>
      </c>
      <c r="L2139" s="7" t="s">
        <v>991</v>
      </c>
      <c r="M2139" s="7" t="s">
        <v>3866</v>
      </c>
      <c r="N2139" s="7" t="s">
        <v>3623</v>
      </c>
      <c r="O2139" s="7" t="s">
        <v>3624</v>
      </c>
      <c r="P2139" s="7" t="s">
        <v>3493</v>
      </c>
      <c r="Q2139" s="7">
        <v>1.0</v>
      </c>
    </row>
    <row r="2140">
      <c r="A2140" s="7" t="s">
        <v>16307</v>
      </c>
      <c r="B2140" s="7">
        <v>3000375.0</v>
      </c>
      <c r="C2140" s="7" t="s">
        <v>7075</v>
      </c>
      <c r="D2140" s="7" t="s">
        <v>16308</v>
      </c>
      <c r="E2140" s="7" t="s">
        <v>7077</v>
      </c>
      <c r="F2140" s="7" t="s">
        <v>7078</v>
      </c>
      <c r="G2140" s="7" t="s">
        <v>16309</v>
      </c>
      <c r="H2140" s="7" t="s">
        <v>16310</v>
      </c>
      <c r="I2140" s="119">
        <v>45612.0</v>
      </c>
      <c r="K2140" s="7" t="s">
        <v>3632</v>
      </c>
      <c r="L2140" s="7" t="s">
        <v>991</v>
      </c>
      <c r="M2140" s="7" t="s">
        <v>3531</v>
      </c>
      <c r="N2140" s="7" t="s">
        <v>4274</v>
      </c>
      <c r="O2140" s="7" t="s">
        <v>4275</v>
      </c>
      <c r="P2140" s="7" t="s">
        <v>3522</v>
      </c>
      <c r="Q2140" s="7" t="s">
        <v>3523</v>
      </c>
    </row>
    <row r="2141">
      <c r="A2141" s="7" t="s">
        <v>16311</v>
      </c>
      <c r="B2141" s="7">
        <v>3000372.0</v>
      </c>
      <c r="C2141" s="7" t="s">
        <v>16312</v>
      </c>
      <c r="D2141" s="7" t="s">
        <v>11522</v>
      </c>
      <c r="E2141" s="7" t="s">
        <v>16313</v>
      </c>
      <c r="F2141" s="7" t="s">
        <v>9001</v>
      </c>
      <c r="G2141" s="7" t="s">
        <v>16314</v>
      </c>
      <c r="H2141" s="7" t="s">
        <v>16315</v>
      </c>
      <c r="I2141" s="119">
        <v>45612.0</v>
      </c>
      <c r="K2141" s="7" t="s">
        <v>419</v>
      </c>
      <c r="L2141" s="7" t="s">
        <v>991</v>
      </c>
      <c r="M2141" s="7" t="s">
        <v>3531</v>
      </c>
      <c r="N2141" s="7" t="s">
        <v>4754</v>
      </c>
      <c r="O2141" s="7" t="s">
        <v>4755</v>
      </c>
      <c r="P2141" s="7" t="s">
        <v>3493</v>
      </c>
      <c r="Q2141" s="7">
        <v>1.0</v>
      </c>
    </row>
    <row r="2142">
      <c r="A2142" s="7" t="s">
        <v>16316</v>
      </c>
      <c r="B2142" s="7">
        <v>3000358.0</v>
      </c>
      <c r="C2142" s="7" t="s">
        <v>16317</v>
      </c>
      <c r="D2142" s="7" t="s">
        <v>16318</v>
      </c>
      <c r="E2142" s="7" t="s">
        <v>16319</v>
      </c>
      <c r="F2142" s="7" t="s">
        <v>16320</v>
      </c>
      <c r="G2142" s="7" t="s">
        <v>16321</v>
      </c>
      <c r="H2142" s="7" t="s">
        <v>16322</v>
      </c>
      <c r="I2142" s="119">
        <v>45612.0</v>
      </c>
      <c r="K2142" s="7" t="s">
        <v>419</v>
      </c>
      <c r="L2142" s="7" t="s">
        <v>991</v>
      </c>
      <c r="M2142" s="7" t="s">
        <v>3501</v>
      </c>
      <c r="N2142" s="7" t="s">
        <v>4660</v>
      </c>
      <c r="O2142" s="7" t="s">
        <v>4661</v>
      </c>
      <c r="P2142" s="7" t="s">
        <v>3493</v>
      </c>
      <c r="Q2142" s="7">
        <v>1.0</v>
      </c>
    </row>
    <row r="2143">
      <c r="A2143" s="7" t="s">
        <v>16323</v>
      </c>
      <c r="B2143" s="7">
        <v>3000368.0</v>
      </c>
      <c r="C2143" s="7" t="s">
        <v>9991</v>
      </c>
      <c r="D2143" s="7" t="s">
        <v>16324</v>
      </c>
      <c r="E2143" s="7" t="s">
        <v>9993</v>
      </c>
      <c r="F2143" s="7" t="s">
        <v>7637</v>
      </c>
      <c r="G2143" s="7" t="s">
        <v>16325</v>
      </c>
      <c r="H2143" s="7" t="s">
        <v>16326</v>
      </c>
      <c r="I2143" s="119">
        <v>45612.0</v>
      </c>
      <c r="K2143" s="7" t="s">
        <v>419</v>
      </c>
      <c r="L2143" s="7" t="s">
        <v>991</v>
      </c>
      <c r="M2143" s="7" t="s">
        <v>3866</v>
      </c>
      <c r="N2143" s="7" t="s">
        <v>16327</v>
      </c>
      <c r="O2143" s="7" t="s">
        <v>16328</v>
      </c>
      <c r="P2143" s="7" t="s">
        <v>3522</v>
      </c>
      <c r="Q2143" s="7" t="s">
        <v>3523</v>
      </c>
    </row>
    <row r="2144">
      <c r="A2144" s="7" t="s">
        <v>16329</v>
      </c>
      <c r="B2144" s="7">
        <v>3000365.0</v>
      </c>
      <c r="C2144" s="7" t="s">
        <v>16330</v>
      </c>
      <c r="D2144" s="7" t="s">
        <v>8554</v>
      </c>
      <c r="E2144" s="7" t="s">
        <v>10926</v>
      </c>
      <c r="F2144" s="7" t="s">
        <v>8554</v>
      </c>
      <c r="G2144" s="7" t="s">
        <v>16331</v>
      </c>
      <c r="H2144" s="7" t="s">
        <v>16332</v>
      </c>
      <c r="I2144" s="119">
        <v>45612.0</v>
      </c>
      <c r="K2144" s="7" t="s">
        <v>419</v>
      </c>
      <c r="L2144" s="7" t="s">
        <v>991</v>
      </c>
      <c r="M2144" s="7" t="s">
        <v>3501</v>
      </c>
      <c r="N2144" s="7" t="s">
        <v>5174</v>
      </c>
      <c r="O2144" s="7" t="s">
        <v>5175</v>
      </c>
      <c r="P2144" s="7" t="s">
        <v>3493</v>
      </c>
      <c r="Q2144" s="7">
        <v>1.0</v>
      </c>
    </row>
    <row r="2145">
      <c r="A2145" s="7" t="s">
        <v>16333</v>
      </c>
      <c r="B2145" s="7">
        <v>3000370.0</v>
      </c>
      <c r="C2145" s="7" t="s">
        <v>15970</v>
      </c>
      <c r="D2145" s="7" t="s">
        <v>13891</v>
      </c>
      <c r="E2145" s="7" t="s">
        <v>15971</v>
      </c>
      <c r="F2145" s="7" t="s">
        <v>4525</v>
      </c>
      <c r="G2145" s="7" t="s">
        <v>16334</v>
      </c>
      <c r="H2145" s="7" t="s">
        <v>16335</v>
      </c>
      <c r="I2145" s="119">
        <v>45612.0</v>
      </c>
      <c r="K2145" s="7" t="s">
        <v>419</v>
      </c>
      <c r="L2145" s="7" t="s">
        <v>991</v>
      </c>
      <c r="M2145" s="7" t="s">
        <v>3531</v>
      </c>
      <c r="N2145" s="7" t="s">
        <v>7536</v>
      </c>
      <c r="O2145" s="7" t="s">
        <v>7537</v>
      </c>
      <c r="P2145" s="7" t="s">
        <v>3493</v>
      </c>
      <c r="Q2145" s="7">
        <v>1.0</v>
      </c>
    </row>
    <row r="2146">
      <c r="A2146" s="7" t="s">
        <v>16336</v>
      </c>
      <c r="B2146" s="7">
        <v>3000374.0</v>
      </c>
      <c r="C2146" s="7" t="s">
        <v>16337</v>
      </c>
      <c r="D2146" s="7" t="s">
        <v>11729</v>
      </c>
      <c r="E2146" s="7" t="s">
        <v>16338</v>
      </c>
      <c r="F2146" s="7" t="s">
        <v>4751</v>
      </c>
      <c r="G2146" s="7" t="s">
        <v>16339</v>
      </c>
      <c r="H2146" s="7" t="s">
        <v>16340</v>
      </c>
      <c r="I2146" s="119">
        <v>45612.0</v>
      </c>
      <c r="K2146" s="7" t="s">
        <v>419</v>
      </c>
      <c r="L2146" s="7" t="s">
        <v>991</v>
      </c>
      <c r="M2146" s="7" t="s">
        <v>3531</v>
      </c>
      <c r="N2146" s="7" t="s">
        <v>7373</v>
      </c>
      <c r="O2146" s="7" t="s">
        <v>7374</v>
      </c>
      <c r="P2146" s="7" t="s">
        <v>3493</v>
      </c>
      <c r="Q2146" s="7">
        <v>1.0</v>
      </c>
    </row>
    <row r="2147">
      <c r="A2147" s="7" t="s">
        <v>16341</v>
      </c>
      <c r="B2147" s="7">
        <v>3000359.0</v>
      </c>
      <c r="C2147" s="7" t="s">
        <v>16342</v>
      </c>
      <c r="D2147" s="7" t="s">
        <v>5301</v>
      </c>
      <c r="E2147" s="7" t="s">
        <v>16343</v>
      </c>
      <c r="F2147" s="7" t="s">
        <v>5295</v>
      </c>
      <c r="G2147" s="7" t="s">
        <v>16344</v>
      </c>
      <c r="H2147" s="7" t="s">
        <v>16345</v>
      </c>
      <c r="I2147" s="119">
        <v>45612.0</v>
      </c>
      <c r="K2147" s="7" t="s">
        <v>419</v>
      </c>
      <c r="L2147" s="7" t="s">
        <v>991</v>
      </c>
      <c r="M2147" s="7" t="s">
        <v>3501</v>
      </c>
      <c r="N2147" s="7" t="s">
        <v>8503</v>
      </c>
      <c r="O2147" s="7" t="s">
        <v>8504</v>
      </c>
      <c r="P2147" s="7" t="s">
        <v>3493</v>
      </c>
      <c r="Q2147" s="7">
        <v>1.0</v>
      </c>
    </row>
    <row r="2148">
      <c r="A2148" s="7" t="s">
        <v>16346</v>
      </c>
      <c r="B2148" s="7">
        <v>3000378.0</v>
      </c>
      <c r="C2148" s="7" t="s">
        <v>13801</v>
      </c>
      <c r="D2148" s="7" t="s">
        <v>15765</v>
      </c>
      <c r="E2148" s="7" t="s">
        <v>13803</v>
      </c>
      <c r="F2148" s="7" t="s">
        <v>6859</v>
      </c>
      <c r="G2148" s="7" t="s">
        <v>16347</v>
      </c>
      <c r="H2148" s="7" t="s">
        <v>16348</v>
      </c>
      <c r="I2148" s="119">
        <v>45612.0</v>
      </c>
      <c r="K2148" s="7" t="s">
        <v>3642</v>
      </c>
      <c r="L2148" s="7" t="s">
        <v>991</v>
      </c>
      <c r="M2148" s="7" t="s">
        <v>3490</v>
      </c>
      <c r="N2148" s="7" t="s">
        <v>3643</v>
      </c>
      <c r="O2148" s="7" t="s">
        <v>3644</v>
      </c>
      <c r="P2148" s="7" t="s">
        <v>3493</v>
      </c>
      <c r="Q2148" s="7">
        <v>1.0</v>
      </c>
    </row>
    <row r="2149">
      <c r="A2149" s="7" t="s">
        <v>16349</v>
      </c>
      <c r="B2149" s="7">
        <v>3000398.0</v>
      </c>
      <c r="C2149" s="7" t="s">
        <v>4115</v>
      </c>
      <c r="D2149" s="7" t="s">
        <v>16350</v>
      </c>
      <c r="E2149" s="7" t="s">
        <v>4117</v>
      </c>
      <c r="F2149" s="7" t="s">
        <v>16050</v>
      </c>
      <c r="G2149" s="7" t="s">
        <v>16351</v>
      </c>
      <c r="H2149" s="7" t="s">
        <v>16352</v>
      </c>
      <c r="I2149" s="119">
        <v>45627.0</v>
      </c>
      <c r="K2149" s="7" t="s">
        <v>419</v>
      </c>
      <c r="L2149" s="7" t="s">
        <v>991</v>
      </c>
      <c r="M2149" s="7" t="s">
        <v>3531</v>
      </c>
      <c r="N2149" s="7" t="s">
        <v>4168</v>
      </c>
      <c r="O2149" s="7" t="s">
        <v>4169</v>
      </c>
      <c r="P2149" s="7" t="s">
        <v>3493</v>
      </c>
      <c r="Q2149" s="7">
        <v>1.0</v>
      </c>
    </row>
    <row r="2150">
      <c r="A2150" s="7" t="s">
        <v>16353</v>
      </c>
      <c r="B2150" s="7">
        <v>3000406.0</v>
      </c>
      <c r="C2150" s="7" t="s">
        <v>16354</v>
      </c>
      <c r="D2150" s="7" t="s">
        <v>16355</v>
      </c>
      <c r="E2150" s="7" t="s">
        <v>16356</v>
      </c>
      <c r="F2150" s="7" t="s">
        <v>8194</v>
      </c>
      <c r="G2150" s="7" t="s">
        <v>16357</v>
      </c>
      <c r="H2150" s="7" t="s">
        <v>16358</v>
      </c>
      <c r="I2150" s="119">
        <v>45627.0</v>
      </c>
      <c r="K2150" s="7" t="s">
        <v>3642</v>
      </c>
      <c r="L2150" s="7" t="s">
        <v>991</v>
      </c>
      <c r="M2150" s="7" t="s">
        <v>3531</v>
      </c>
      <c r="N2150" s="7" t="s">
        <v>3643</v>
      </c>
      <c r="O2150" s="7" t="s">
        <v>3644</v>
      </c>
      <c r="P2150" s="7" t="s">
        <v>3493</v>
      </c>
      <c r="Q2150" s="7">
        <v>1.0</v>
      </c>
    </row>
    <row r="2151">
      <c r="A2151" s="7" t="s">
        <v>16359</v>
      </c>
      <c r="B2151" s="7">
        <v>3000395.0</v>
      </c>
      <c r="C2151" s="7" t="s">
        <v>4596</v>
      </c>
      <c r="D2151" s="7" t="s">
        <v>16360</v>
      </c>
      <c r="E2151" s="7" t="s">
        <v>4504</v>
      </c>
      <c r="F2151" s="7" t="s">
        <v>16361</v>
      </c>
      <c r="G2151" s="7" t="s">
        <v>16362</v>
      </c>
      <c r="H2151" s="7" t="s">
        <v>16363</v>
      </c>
      <c r="I2151" s="119">
        <v>45627.0</v>
      </c>
      <c r="K2151" s="7" t="s">
        <v>3642</v>
      </c>
      <c r="L2151" s="7" t="s">
        <v>991</v>
      </c>
      <c r="M2151" s="7" t="s">
        <v>3501</v>
      </c>
      <c r="N2151" s="7" t="s">
        <v>3643</v>
      </c>
      <c r="O2151" s="7" t="s">
        <v>3644</v>
      </c>
      <c r="P2151" s="7" t="s">
        <v>3493</v>
      </c>
      <c r="Q2151" s="7">
        <v>1.0</v>
      </c>
    </row>
    <row r="2152">
      <c r="A2152" s="7" t="s">
        <v>16364</v>
      </c>
      <c r="B2152" s="7">
        <v>3000402.0</v>
      </c>
      <c r="C2152" s="7" t="s">
        <v>16365</v>
      </c>
      <c r="D2152" s="7" t="s">
        <v>4109</v>
      </c>
      <c r="E2152" s="7" t="s">
        <v>16366</v>
      </c>
      <c r="F2152" s="7" t="s">
        <v>4109</v>
      </c>
      <c r="G2152" s="7" t="s">
        <v>16367</v>
      </c>
      <c r="H2152" s="7" t="s">
        <v>16368</v>
      </c>
      <c r="I2152" s="119">
        <v>45627.0</v>
      </c>
      <c r="K2152" s="7" t="s">
        <v>419</v>
      </c>
      <c r="L2152" s="7" t="s">
        <v>991</v>
      </c>
      <c r="M2152" s="7" t="s">
        <v>3531</v>
      </c>
      <c r="N2152" s="7" t="s">
        <v>13223</v>
      </c>
      <c r="O2152" s="7" t="s">
        <v>13224</v>
      </c>
      <c r="P2152" s="7" t="s">
        <v>3493</v>
      </c>
      <c r="Q2152" s="7">
        <v>1.0</v>
      </c>
    </row>
    <row r="2153">
      <c r="A2153" s="7" t="s">
        <v>16369</v>
      </c>
      <c r="B2153" s="7">
        <v>3000399.0</v>
      </c>
      <c r="C2153" s="7" t="s">
        <v>5830</v>
      </c>
      <c r="D2153" s="7" t="s">
        <v>16370</v>
      </c>
      <c r="E2153" s="7" t="s">
        <v>5832</v>
      </c>
      <c r="F2153" s="7" t="s">
        <v>3486</v>
      </c>
      <c r="G2153" s="7" t="s">
        <v>16371</v>
      </c>
      <c r="H2153" s="7" t="s">
        <v>16372</v>
      </c>
      <c r="I2153" s="119">
        <v>45627.0</v>
      </c>
      <c r="K2153" s="7" t="s">
        <v>419</v>
      </c>
      <c r="L2153" s="7" t="s">
        <v>991</v>
      </c>
      <c r="M2153" s="7" t="s">
        <v>3531</v>
      </c>
      <c r="N2153" s="7" t="s">
        <v>8379</v>
      </c>
      <c r="O2153" s="7" t="s">
        <v>16162</v>
      </c>
      <c r="P2153" s="7" t="s">
        <v>3493</v>
      </c>
      <c r="Q2153" s="7">
        <v>1.0</v>
      </c>
    </row>
    <row r="2154">
      <c r="A2154" s="7" t="s">
        <v>16373</v>
      </c>
      <c r="B2154" s="7">
        <v>3000390.0</v>
      </c>
      <c r="C2154" s="7" t="s">
        <v>16374</v>
      </c>
      <c r="D2154" s="7" t="s">
        <v>16375</v>
      </c>
      <c r="E2154" s="7" t="s">
        <v>16376</v>
      </c>
      <c r="F2154" s="7" t="s">
        <v>7401</v>
      </c>
      <c r="G2154" s="7" t="s">
        <v>16377</v>
      </c>
      <c r="H2154" s="7" t="s">
        <v>16378</v>
      </c>
      <c r="I2154" s="119">
        <v>45627.0</v>
      </c>
      <c r="K2154" s="7" t="s">
        <v>419</v>
      </c>
      <c r="L2154" s="7" t="s">
        <v>991</v>
      </c>
      <c r="M2154" s="7" t="s">
        <v>3501</v>
      </c>
      <c r="N2154" s="7" t="s">
        <v>10018</v>
      </c>
      <c r="O2154" s="7" t="s">
        <v>10019</v>
      </c>
      <c r="P2154" s="7" t="s">
        <v>3493</v>
      </c>
      <c r="Q2154" s="7">
        <v>1.0</v>
      </c>
    </row>
    <row r="2155">
      <c r="A2155" s="7" t="s">
        <v>16379</v>
      </c>
      <c r="B2155" s="7">
        <v>3000325.0</v>
      </c>
      <c r="C2155" s="7" t="s">
        <v>7411</v>
      </c>
      <c r="D2155" s="7" t="s">
        <v>16380</v>
      </c>
      <c r="E2155" s="7" t="s">
        <v>7413</v>
      </c>
      <c r="F2155" s="7" t="s">
        <v>7007</v>
      </c>
      <c r="G2155" s="7" t="s">
        <v>16381</v>
      </c>
      <c r="H2155" s="7" t="s">
        <v>16382</v>
      </c>
      <c r="I2155" s="119">
        <v>45627.0</v>
      </c>
      <c r="K2155" s="7" t="s">
        <v>419</v>
      </c>
      <c r="L2155" s="7" t="s">
        <v>991</v>
      </c>
      <c r="M2155" s="7" t="s">
        <v>3501</v>
      </c>
      <c r="N2155" s="7" t="s">
        <v>4021</v>
      </c>
      <c r="O2155" s="7" t="s">
        <v>7835</v>
      </c>
      <c r="P2155" s="7" t="s">
        <v>3493</v>
      </c>
      <c r="Q2155" s="7">
        <v>1.0</v>
      </c>
    </row>
    <row r="2156">
      <c r="A2156" s="7" t="s">
        <v>16383</v>
      </c>
      <c r="B2156" s="7">
        <v>3000366.0</v>
      </c>
      <c r="C2156" s="7" t="s">
        <v>8089</v>
      </c>
      <c r="D2156" s="7" t="s">
        <v>6164</v>
      </c>
      <c r="E2156" s="7" t="s">
        <v>8074</v>
      </c>
      <c r="F2156" s="7" t="s">
        <v>6166</v>
      </c>
      <c r="G2156" s="7" t="s">
        <v>16384</v>
      </c>
      <c r="H2156" s="7" t="s">
        <v>16385</v>
      </c>
      <c r="I2156" s="119">
        <v>45627.0</v>
      </c>
      <c r="K2156" s="7" t="s">
        <v>419</v>
      </c>
      <c r="L2156" s="7" t="s">
        <v>991</v>
      </c>
      <c r="M2156" s="7" t="s">
        <v>3583</v>
      </c>
      <c r="N2156" s="7" t="s">
        <v>5500</v>
      </c>
      <c r="O2156" s="7" t="s">
        <v>13093</v>
      </c>
      <c r="P2156" s="7" t="s">
        <v>3522</v>
      </c>
      <c r="Q2156" s="7" t="s">
        <v>3523</v>
      </c>
    </row>
    <row r="2157">
      <c r="A2157" s="7" t="s">
        <v>16386</v>
      </c>
      <c r="B2157" s="7">
        <v>3000392.0</v>
      </c>
      <c r="C2157" s="7" t="s">
        <v>8247</v>
      </c>
      <c r="D2157" s="7" t="s">
        <v>7097</v>
      </c>
      <c r="E2157" s="7" t="s">
        <v>8249</v>
      </c>
      <c r="F2157" s="7" t="s">
        <v>7099</v>
      </c>
      <c r="G2157" s="7" t="s">
        <v>16387</v>
      </c>
      <c r="H2157" s="7" t="s">
        <v>16388</v>
      </c>
      <c r="I2157" s="119">
        <v>45627.0</v>
      </c>
      <c r="K2157" s="7" t="s">
        <v>3632</v>
      </c>
      <c r="L2157" s="7" t="s">
        <v>991</v>
      </c>
      <c r="M2157" s="7" t="s">
        <v>3501</v>
      </c>
      <c r="N2157" s="7" t="s">
        <v>7046</v>
      </c>
      <c r="O2157" s="7" t="s">
        <v>7047</v>
      </c>
      <c r="P2157" s="7" t="s">
        <v>3522</v>
      </c>
      <c r="Q2157" s="7" t="s">
        <v>3514</v>
      </c>
    </row>
    <row r="2158">
      <c r="A2158" s="7" t="s">
        <v>16389</v>
      </c>
      <c r="B2158" s="7">
        <v>3000306.0</v>
      </c>
      <c r="C2158" s="7" t="s">
        <v>16390</v>
      </c>
      <c r="D2158" s="7" t="s">
        <v>14358</v>
      </c>
      <c r="E2158" s="7" t="s">
        <v>8820</v>
      </c>
      <c r="F2158" s="7" t="s">
        <v>3909</v>
      </c>
      <c r="G2158" s="7" t="s">
        <v>16391</v>
      </c>
      <c r="H2158" s="7" t="s">
        <v>16392</v>
      </c>
      <c r="I2158" s="119">
        <v>45627.0</v>
      </c>
      <c r="K2158" s="7" t="s">
        <v>419</v>
      </c>
      <c r="L2158" s="7" t="s">
        <v>991</v>
      </c>
      <c r="M2158" s="7" t="s">
        <v>3501</v>
      </c>
      <c r="N2158" s="7" t="s">
        <v>7343</v>
      </c>
      <c r="O2158" s="7" t="s">
        <v>7344</v>
      </c>
      <c r="P2158" s="7" t="s">
        <v>3493</v>
      </c>
      <c r="Q2158" s="7">
        <v>1.0</v>
      </c>
    </row>
    <row r="2159">
      <c r="A2159" s="7" t="s">
        <v>16393</v>
      </c>
      <c r="B2159" s="7">
        <v>3000360.0</v>
      </c>
      <c r="C2159" s="7" t="s">
        <v>8818</v>
      </c>
      <c r="D2159" s="7" t="s">
        <v>16394</v>
      </c>
      <c r="E2159" s="7" t="s">
        <v>8820</v>
      </c>
      <c r="F2159" s="7" t="s">
        <v>16395</v>
      </c>
      <c r="G2159" s="7" t="s">
        <v>16396</v>
      </c>
      <c r="H2159" s="7" t="s">
        <v>16397</v>
      </c>
      <c r="I2159" s="119">
        <v>45627.0</v>
      </c>
      <c r="K2159" s="7" t="s">
        <v>419</v>
      </c>
      <c r="L2159" s="7" t="s">
        <v>991</v>
      </c>
      <c r="M2159" s="7" t="s">
        <v>3501</v>
      </c>
      <c r="N2159" s="7" t="s">
        <v>8379</v>
      </c>
      <c r="O2159" s="7" t="s">
        <v>16398</v>
      </c>
      <c r="P2159" s="7" t="s">
        <v>3522</v>
      </c>
      <c r="Q2159" s="7" t="s">
        <v>3523</v>
      </c>
    </row>
    <row r="2160">
      <c r="A2160" s="7" t="s">
        <v>16399</v>
      </c>
      <c r="B2160" s="7">
        <v>3000387.0</v>
      </c>
      <c r="C2160" s="7" t="s">
        <v>9517</v>
      </c>
      <c r="D2160" s="7" t="s">
        <v>16400</v>
      </c>
      <c r="E2160" s="7" t="s">
        <v>9519</v>
      </c>
      <c r="F2160" s="7" t="s">
        <v>15452</v>
      </c>
      <c r="G2160" s="7" t="s">
        <v>16401</v>
      </c>
      <c r="H2160" s="7" t="s">
        <v>16402</v>
      </c>
      <c r="I2160" s="119">
        <v>45627.0</v>
      </c>
      <c r="K2160" s="7" t="s">
        <v>419</v>
      </c>
      <c r="L2160" s="7" t="s">
        <v>991</v>
      </c>
      <c r="M2160" s="7" t="s">
        <v>3501</v>
      </c>
      <c r="N2160" s="7" t="s">
        <v>4120</v>
      </c>
      <c r="O2160" s="7" t="s">
        <v>4121</v>
      </c>
      <c r="P2160" s="7" t="s">
        <v>3493</v>
      </c>
      <c r="Q2160" s="7">
        <v>1.0</v>
      </c>
    </row>
    <row r="2161">
      <c r="A2161" s="7" t="s">
        <v>16403</v>
      </c>
      <c r="B2161" s="7">
        <v>3000391.0</v>
      </c>
      <c r="C2161" s="7" t="s">
        <v>9713</v>
      </c>
      <c r="D2161" s="7" t="s">
        <v>16404</v>
      </c>
      <c r="E2161" s="7" t="s">
        <v>9715</v>
      </c>
      <c r="F2161" s="7" t="s">
        <v>16405</v>
      </c>
      <c r="G2161" s="7" t="s">
        <v>16406</v>
      </c>
      <c r="H2161" s="7" t="s">
        <v>16407</v>
      </c>
      <c r="I2161" s="119">
        <v>45627.0</v>
      </c>
      <c r="K2161" s="7" t="s">
        <v>419</v>
      </c>
      <c r="L2161" s="7" t="s">
        <v>991</v>
      </c>
      <c r="M2161" s="7" t="s">
        <v>3583</v>
      </c>
      <c r="N2161" s="7" t="s">
        <v>4862</v>
      </c>
      <c r="O2161" s="7" t="s">
        <v>4863</v>
      </c>
      <c r="P2161" s="7" t="s">
        <v>3493</v>
      </c>
      <c r="Q2161" s="7">
        <v>1.0</v>
      </c>
    </row>
    <row r="2162">
      <c r="A2162" s="7" t="s">
        <v>16408</v>
      </c>
      <c r="B2162" s="7">
        <v>3000404.0</v>
      </c>
      <c r="C2162" s="7" t="s">
        <v>11787</v>
      </c>
      <c r="D2162" s="7" t="s">
        <v>4699</v>
      </c>
      <c r="E2162" s="7" t="s">
        <v>11789</v>
      </c>
      <c r="F2162" s="7" t="s">
        <v>4700</v>
      </c>
      <c r="G2162" s="7" t="s">
        <v>16409</v>
      </c>
      <c r="H2162" s="7" t="s">
        <v>16410</v>
      </c>
      <c r="I2162" s="119">
        <v>45627.0</v>
      </c>
      <c r="K2162" s="7" t="s">
        <v>3642</v>
      </c>
      <c r="L2162" s="7" t="s">
        <v>991</v>
      </c>
      <c r="M2162" s="7" t="s">
        <v>3531</v>
      </c>
      <c r="N2162" s="7" t="s">
        <v>3643</v>
      </c>
      <c r="O2162" s="7" t="s">
        <v>3644</v>
      </c>
      <c r="P2162" s="7" t="s">
        <v>3493</v>
      </c>
      <c r="Q2162" s="7">
        <v>1.0</v>
      </c>
    </row>
    <row r="2163">
      <c r="A2163" s="7" t="s">
        <v>16411</v>
      </c>
      <c r="B2163" s="7">
        <v>3000401.0</v>
      </c>
      <c r="C2163" s="7" t="s">
        <v>12537</v>
      </c>
      <c r="D2163" s="7" t="s">
        <v>16412</v>
      </c>
      <c r="E2163" s="7" t="s">
        <v>12539</v>
      </c>
      <c r="F2163" s="7" t="s">
        <v>5235</v>
      </c>
      <c r="G2163" s="7" t="s">
        <v>16413</v>
      </c>
      <c r="H2163" s="7" t="s">
        <v>16414</v>
      </c>
      <c r="I2163" s="119">
        <v>45627.0</v>
      </c>
      <c r="K2163" s="7" t="s">
        <v>419</v>
      </c>
      <c r="L2163" s="7" t="s">
        <v>991</v>
      </c>
      <c r="M2163" s="7" t="s">
        <v>3531</v>
      </c>
      <c r="N2163" s="7" t="s">
        <v>9610</v>
      </c>
      <c r="O2163" s="7" t="s">
        <v>16415</v>
      </c>
      <c r="P2163" s="7" t="s">
        <v>3493</v>
      </c>
      <c r="Q2163" s="7">
        <v>1.0</v>
      </c>
    </row>
    <row r="2164">
      <c r="A2164" s="7" t="s">
        <v>16416</v>
      </c>
      <c r="B2164" s="7">
        <v>3000396.0</v>
      </c>
      <c r="C2164" s="7" t="s">
        <v>13007</v>
      </c>
      <c r="D2164" s="7" t="s">
        <v>4676</v>
      </c>
      <c r="E2164" s="7" t="s">
        <v>13008</v>
      </c>
      <c r="F2164" s="7" t="s">
        <v>4677</v>
      </c>
      <c r="G2164" s="7" t="s">
        <v>16417</v>
      </c>
      <c r="H2164" s="7" t="s">
        <v>16418</v>
      </c>
      <c r="I2164" s="119">
        <v>45627.0</v>
      </c>
      <c r="K2164" s="7" t="s">
        <v>3642</v>
      </c>
      <c r="L2164" s="7" t="s">
        <v>991</v>
      </c>
      <c r="M2164" s="7" t="s">
        <v>3501</v>
      </c>
      <c r="N2164" s="7" t="s">
        <v>3643</v>
      </c>
      <c r="O2164" s="7" t="s">
        <v>3644</v>
      </c>
      <c r="P2164" s="7" t="s">
        <v>3493</v>
      </c>
      <c r="Q2164" s="7">
        <v>1.0</v>
      </c>
    </row>
    <row r="2165">
      <c r="A2165" s="7" t="s">
        <v>16419</v>
      </c>
      <c r="B2165" s="7">
        <v>3000405.0</v>
      </c>
      <c r="C2165" s="7" t="s">
        <v>13217</v>
      </c>
      <c r="D2165" s="7" t="s">
        <v>16420</v>
      </c>
      <c r="E2165" s="7" t="s">
        <v>13219</v>
      </c>
      <c r="F2165" s="7" t="s">
        <v>4677</v>
      </c>
      <c r="G2165" s="7" t="s">
        <v>16421</v>
      </c>
      <c r="H2165" s="7" t="s">
        <v>16422</v>
      </c>
      <c r="I2165" s="119">
        <v>45627.0</v>
      </c>
      <c r="K2165" s="7" t="s">
        <v>3642</v>
      </c>
      <c r="L2165" s="7" t="s">
        <v>991</v>
      </c>
      <c r="M2165" s="7" t="s">
        <v>3531</v>
      </c>
      <c r="N2165" s="7" t="s">
        <v>3643</v>
      </c>
      <c r="O2165" s="7" t="s">
        <v>3644</v>
      </c>
      <c r="P2165" s="7" t="s">
        <v>3493</v>
      </c>
      <c r="Q2165" s="7">
        <v>1.0</v>
      </c>
    </row>
    <row r="2166">
      <c r="A2166" s="7" t="s">
        <v>16423</v>
      </c>
      <c r="B2166" s="7">
        <v>3000385.0</v>
      </c>
      <c r="C2166" s="7" t="s">
        <v>16424</v>
      </c>
      <c r="D2166" s="7" t="s">
        <v>16425</v>
      </c>
      <c r="E2166" s="7" t="s">
        <v>16426</v>
      </c>
      <c r="F2166" s="7" t="s">
        <v>4539</v>
      </c>
      <c r="G2166" s="7" t="s">
        <v>16427</v>
      </c>
      <c r="H2166" s="7" t="s">
        <v>16428</v>
      </c>
      <c r="I2166" s="119">
        <v>45627.0</v>
      </c>
      <c r="K2166" s="7" t="s">
        <v>419</v>
      </c>
      <c r="L2166" s="7" t="s">
        <v>991</v>
      </c>
      <c r="M2166" s="7" t="s">
        <v>3501</v>
      </c>
      <c r="N2166" s="7" t="s">
        <v>4651</v>
      </c>
      <c r="O2166" s="7" t="s">
        <v>4652</v>
      </c>
      <c r="P2166" s="7" t="s">
        <v>3493</v>
      </c>
      <c r="Q2166" s="7">
        <v>1.0</v>
      </c>
    </row>
    <row r="2167">
      <c r="A2167" s="7" t="s">
        <v>16429</v>
      </c>
      <c r="B2167" s="7">
        <v>3000321.0</v>
      </c>
      <c r="C2167" s="7" t="s">
        <v>16430</v>
      </c>
      <c r="D2167" s="7" t="s">
        <v>5153</v>
      </c>
      <c r="E2167" s="7" t="s">
        <v>16431</v>
      </c>
      <c r="F2167" s="7" t="s">
        <v>5155</v>
      </c>
      <c r="G2167" s="7" t="s">
        <v>16432</v>
      </c>
      <c r="H2167" s="7" t="s">
        <v>16433</v>
      </c>
      <c r="I2167" s="119">
        <v>45627.0</v>
      </c>
      <c r="K2167" s="7" t="s">
        <v>419</v>
      </c>
      <c r="L2167" s="7" t="s">
        <v>991</v>
      </c>
      <c r="M2167" s="7" t="s">
        <v>3501</v>
      </c>
      <c r="N2167" s="7" t="s">
        <v>4168</v>
      </c>
      <c r="O2167" s="7" t="s">
        <v>4169</v>
      </c>
      <c r="P2167" s="7" t="s">
        <v>3493</v>
      </c>
      <c r="Q2167" s="7">
        <v>1.0</v>
      </c>
    </row>
    <row r="2168">
      <c r="A2168" s="7" t="s">
        <v>16434</v>
      </c>
      <c r="B2168" s="7">
        <v>3000418.0</v>
      </c>
      <c r="C2168" s="7" t="s">
        <v>16435</v>
      </c>
      <c r="D2168" s="7" t="s">
        <v>16436</v>
      </c>
      <c r="E2168" s="7" t="s">
        <v>16437</v>
      </c>
      <c r="F2168" s="7" t="s">
        <v>16438</v>
      </c>
      <c r="G2168" s="7" t="s">
        <v>16439</v>
      </c>
      <c r="H2168" s="7" t="s">
        <v>16440</v>
      </c>
      <c r="I2168" s="119">
        <v>45642.0</v>
      </c>
      <c r="K2168" s="7" t="s">
        <v>3632</v>
      </c>
      <c r="L2168" s="7" t="s">
        <v>991</v>
      </c>
      <c r="M2168" s="7" t="s">
        <v>3583</v>
      </c>
      <c r="N2168" s="7" t="s">
        <v>4274</v>
      </c>
      <c r="O2168" s="7" t="s">
        <v>4275</v>
      </c>
      <c r="P2168" s="7" t="s">
        <v>3522</v>
      </c>
      <c r="Q2168" s="7" t="s">
        <v>3523</v>
      </c>
    </row>
    <row r="2169">
      <c r="A2169" s="7" t="s">
        <v>16441</v>
      </c>
      <c r="B2169" s="7">
        <v>3000419.0</v>
      </c>
      <c r="C2169" s="7" t="s">
        <v>4218</v>
      </c>
      <c r="D2169" s="7" t="s">
        <v>16442</v>
      </c>
      <c r="E2169" s="7" t="s">
        <v>4220</v>
      </c>
      <c r="F2169" s="7" t="s">
        <v>5860</v>
      </c>
      <c r="G2169" s="7" t="s">
        <v>16443</v>
      </c>
      <c r="H2169" s="7" t="s">
        <v>16444</v>
      </c>
      <c r="I2169" s="119">
        <v>45642.0</v>
      </c>
      <c r="K2169" s="7" t="s">
        <v>3632</v>
      </c>
      <c r="L2169" s="7" t="s">
        <v>991</v>
      </c>
      <c r="M2169" s="7" t="s">
        <v>3531</v>
      </c>
      <c r="N2169" s="7" t="s">
        <v>5931</v>
      </c>
      <c r="O2169" s="7" t="s">
        <v>6924</v>
      </c>
      <c r="P2169" s="7" t="s">
        <v>3493</v>
      </c>
      <c r="Q2169" s="7">
        <v>1.0</v>
      </c>
    </row>
    <row r="2170">
      <c r="A2170" s="7" t="s">
        <v>16445</v>
      </c>
      <c r="B2170" s="7">
        <v>3000424.0</v>
      </c>
      <c r="C2170" s="7" t="s">
        <v>16446</v>
      </c>
      <c r="D2170" s="7" t="s">
        <v>16447</v>
      </c>
      <c r="E2170" s="7" t="s">
        <v>16448</v>
      </c>
      <c r="F2170" s="7" t="s">
        <v>6262</v>
      </c>
      <c r="G2170" s="7" t="s">
        <v>16449</v>
      </c>
      <c r="H2170" s="7" t="s">
        <v>16450</v>
      </c>
      <c r="I2170" s="119">
        <v>45642.0</v>
      </c>
      <c r="K2170" s="7" t="s">
        <v>419</v>
      </c>
      <c r="L2170" s="7" t="s">
        <v>991</v>
      </c>
      <c r="M2170" s="7" t="s">
        <v>3531</v>
      </c>
      <c r="N2170" s="7" t="s">
        <v>5605</v>
      </c>
      <c r="O2170" s="7" t="s">
        <v>5606</v>
      </c>
      <c r="P2170" s="7" t="s">
        <v>3493</v>
      </c>
      <c r="Q2170" s="7">
        <v>1.0</v>
      </c>
    </row>
    <row r="2171">
      <c r="A2171" s="7" t="s">
        <v>16451</v>
      </c>
      <c r="B2171" s="7">
        <v>3000417.0</v>
      </c>
      <c r="C2171" s="7" t="s">
        <v>16452</v>
      </c>
      <c r="D2171" s="7" t="s">
        <v>16453</v>
      </c>
      <c r="E2171" s="7" t="s">
        <v>4687</v>
      </c>
      <c r="F2171" s="7" t="s">
        <v>11599</v>
      </c>
      <c r="G2171" s="7" t="s">
        <v>16454</v>
      </c>
      <c r="H2171" s="7" t="s">
        <v>16455</v>
      </c>
      <c r="I2171" s="119">
        <v>45642.0</v>
      </c>
      <c r="K2171" s="7" t="s">
        <v>419</v>
      </c>
      <c r="L2171" s="7" t="s">
        <v>991</v>
      </c>
      <c r="M2171" s="7" t="s">
        <v>3531</v>
      </c>
      <c r="N2171" s="7" t="s">
        <v>6117</v>
      </c>
      <c r="O2171" s="7" t="s">
        <v>8116</v>
      </c>
      <c r="P2171" s="7" t="s">
        <v>3493</v>
      </c>
      <c r="Q2171" s="7">
        <v>1.0</v>
      </c>
    </row>
    <row r="2172">
      <c r="A2172" s="7" t="s">
        <v>16456</v>
      </c>
      <c r="B2172" s="7">
        <v>3000430.0</v>
      </c>
      <c r="C2172" s="7" t="s">
        <v>16457</v>
      </c>
      <c r="D2172" s="7" t="s">
        <v>16458</v>
      </c>
      <c r="E2172" s="7" t="s">
        <v>16459</v>
      </c>
      <c r="F2172" s="7" t="s">
        <v>16460</v>
      </c>
      <c r="G2172" s="7" t="s">
        <v>16461</v>
      </c>
      <c r="H2172" s="7" t="s">
        <v>16462</v>
      </c>
      <c r="I2172" s="119">
        <v>45642.0</v>
      </c>
      <c r="K2172" s="7" t="s">
        <v>419</v>
      </c>
      <c r="L2172" s="7" t="s">
        <v>991</v>
      </c>
      <c r="M2172" s="7" t="s">
        <v>3531</v>
      </c>
      <c r="N2172" s="7" t="s">
        <v>13982</v>
      </c>
      <c r="O2172" s="7" t="s">
        <v>16463</v>
      </c>
      <c r="P2172" s="7" t="s">
        <v>3493</v>
      </c>
      <c r="Q2172" s="7">
        <v>1.0</v>
      </c>
    </row>
    <row r="2173">
      <c r="A2173" s="7" t="s">
        <v>16464</v>
      </c>
      <c r="B2173" s="7">
        <v>3000421.0</v>
      </c>
      <c r="C2173" s="7" t="s">
        <v>16465</v>
      </c>
      <c r="D2173" s="7" t="s">
        <v>9683</v>
      </c>
      <c r="E2173" s="7" t="s">
        <v>16466</v>
      </c>
      <c r="F2173" s="7" t="s">
        <v>3486</v>
      </c>
      <c r="G2173" s="7" t="s">
        <v>16467</v>
      </c>
      <c r="H2173" s="7" t="s">
        <v>16468</v>
      </c>
      <c r="I2173" s="119">
        <v>45642.0</v>
      </c>
      <c r="K2173" s="7" t="s">
        <v>3632</v>
      </c>
      <c r="L2173" s="7" t="s">
        <v>991</v>
      </c>
      <c r="M2173" s="7" t="s">
        <v>3583</v>
      </c>
      <c r="N2173" s="7" t="s">
        <v>4190</v>
      </c>
      <c r="O2173" s="7" t="s">
        <v>4191</v>
      </c>
      <c r="P2173" s="7" t="s">
        <v>3493</v>
      </c>
      <c r="Q2173" s="7">
        <v>1.0</v>
      </c>
    </row>
    <row r="2174">
      <c r="A2174" s="7" t="s">
        <v>16469</v>
      </c>
      <c r="B2174" s="7">
        <v>3000422.0</v>
      </c>
      <c r="C2174" s="7" t="s">
        <v>12771</v>
      </c>
      <c r="D2174" s="7" t="s">
        <v>3837</v>
      </c>
      <c r="E2174" s="7" t="s">
        <v>12765</v>
      </c>
      <c r="F2174" s="7" t="s">
        <v>3838</v>
      </c>
      <c r="G2174" s="7" t="s">
        <v>16470</v>
      </c>
      <c r="H2174" s="7" t="s">
        <v>16471</v>
      </c>
      <c r="I2174" s="119">
        <v>45642.0</v>
      </c>
      <c r="K2174" s="7" t="s">
        <v>3632</v>
      </c>
      <c r="L2174" s="7" t="s">
        <v>991</v>
      </c>
      <c r="M2174" s="7" t="s">
        <v>3583</v>
      </c>
      <c r="N2174" s="7" t="s">
        <v>4190</v>
      </c>
      <c r="O2174" s="7" t="s">
        <v>4191</v>
      </c>
      <c r="P2174" s="7" t="s">
        <v>3493</v>
      </c>
      <c r="Q2174" s="7">
        <v>1.0</v>
      </c>
    </row>
    <row r="2175">
      <c r="A2175" s="7" t="s">
        <v>16472</v>
      </c>
      <c r="B2175" s="7">
        <v>3000409.0</v>
      </c>
      <c r="C2175" s="7" t="s">
        <v>12862</v>
      </c>
      <c r="D2175" s="7" t="s">
        <v>16473</v>
      </c>
      <c r="E2175" s="7" t="s">
        <v>12864</v>
      </c>
      <c r="F2175" s="7" t="s">
        <v>16474</v>
      </c>
      <c r="G2175" s="7" t="s">
        <v>16475</v>
      </c>
      <c r="H2175" s="7" t="s">
        <v>16476</v>
      </c>
      <c r="I2175" s="119">
        <v>45642.0</v>
      </c>
      <c r="K2175" s="7" t="s">
        <v>419</v>
      </c>
      <c r="L2175" s="7" t="s">
        <v>991</v>
      </c>
      <c r="M2175" s="7" t="s">
        <v>3583</v>
      </c>
      <c r="N2175" s="7" t="s">
        <v>12793</v>
      </c>
      <c r="O2175" s="7" t="s">
        <v>12794</v>
      </c>
      <c r="P2175" s="7" t="s">
        <v>3493</v>
      </c>
      <c r="Q2175" s="7">
        <v>1.0</v>
      </c>
    </row>
    <row r="2176">
      <c r="A2176" s="7" t="s">
        <v>16477</v>
      </c>
      <c r="B2176" s="7">
        <v>3000415.0</v>
      </c>
      <c r="C2176" s="7" t="s">
        <v>14373</v>
      </c>
      <c r="D2176" s="7" t="s">
        <v>16478</v>
      </c>
      <c r="E2176" s="7" t="s">
        <v>14374</v>
      </c>
      <c r="F2176" s="7" t="s">
        <v>14949</v>
      </c>
      <c r="G2176" s="7" t="s">
        <v>16479</v>
      </c>
      <c r="H2176" s="7" t="s">
        <v>16480</v>
      </c>
      <c r="I2176" s="119">
        <v>45642.0</v>
      </c>
      <c r="K2176" s="7" t="s">
        <v>419</v>
      </c>
      <c r="L2176" s="7" t="s">
        <v>991</v>
      </c>
      <c r="M2176" s="7" t="s">
        <v>3583</v>
      </c>
      <c r="N2176" s="7" t="s">
        <v>4168</v>
      </c>
      <c r="O2176" s="7" t="s">
        <v>4169</v>
      </c>
      <c r="P2176" s="7" t="s">
        <v>3493</v>
      </c>
      <c r="Q2176" s="7">
        <v>1.0</v>
      </c>
    </row>
    <row r="2177">
      <c r="A2177" s="7" t="s">
        <v>16481</v>
      </c>
      <c r="B2177" s="7">
        <v>3000435.0</v>
      </c>
      <c r="C2177" s="7" t="s">
        <v>16482</v>
      </c>
      <c r="D2177" s="7" t="s">
        <v>16483</v>
      </c>
      <c r="E2177" s="7" t="s">
        <v>16484</v>
      </c>
      <c r="F2177" s="7" t="s">
        <v>3656</v>
      </c>
      <c r="G2177" s="7" t="s">
        <v>16485</v>
      </c>
      <c r="H2177" s="7" t="s">
        <v>16486</v>
      </c>
      <c r="I2177" s="119">
        <v>45658.0</v>
      </c>
      <c r="K2177" s="7" t="s">
        <v>419</v>
      </c>
      <c r="L2177" s="7" t="s">
        <v>991</v>
      </c>
      <c r="M2177" s="7" t="s">
        <v>3501</v>
      </c>
      <c r="N2177" s="7" t="s">
        <v>6083</v>
      </c>
      <c r="O2177" s="7" t="s">
        <v>6084</v>
      </c>
      <c r="P2177" s="7" t="s">
        <v>3493</v>
      </c>
      <c r="Q2177" s="7">
        <v>1.0</v>
      </c>
    </row>
    <row r="2178">
      <c r="A2178" s="7" t="s">
        <v>16487</v>
      </c>
      <c r="B2178" s="7">
        <v>3000444.0</v>
      </c>
      <c r="C2178" s="7" t="s">
        <v>4268</v>
      </c>
      <c r="D2178" s="7" t="s">
        <v>16488</v>
      </c>
      <c r="E2178" s="7" t="s">
        <v>4270</v>
      </c>
      <c r="F2178" s="7" t="s">
        <v>4271</v>
      </c>
      <c r="G2178" s="7" t="s">
        <v>16489</v>
      </c>
      <c r="H2178" s="7" t="s">
        <v>16490</v>
      </c>
      <c r="I2178" s="119">
        <v>45658.0</v>
      </c>
      <c r="K2178" s="7" t="s">
        <v>419</v>
      </c>
      <c r="L2178" s="7" t="s">
        <v>991</v>
      </c>
      <c r="M2178" s="7" t="s">
        <v>16212</v>
      </c>
      <c r="N2178" s="7" t="s">
        <v>15215</v>
      </c>
      <c r="O2178" s="7" t="s">
        <v>16491</v>
      </c>
      <c r="P2178" s="7" t="s">
        <v>3522</v>
      </c>
      <c r="Q2178" s="7" t="s">
        <v>3523</v>
      </c>
    </row>
    <row r="2179">
      <c r="A2179" s="7" t="s">
        <v>16492</v>
      </c>
      <c r="B2179" s="7">
        <v>3000439.0</v>
      </c>
      <c r="C2179" s="7" t="s">
        <v>16493</v>
      </c>
      <c r="D2179" s="7" t="s">
        <v>16494</v>
      </c>
      <c r="E2179" s="7" t="s">
        <v>16495</v>
      </c>
      <c r="F2179" s="7" t="s">
        <v>14024</v>
      </c>
      <c r="G2179" s="7" t="s">
        <v>16496</v>
      </c>
      <c r="H2179" s="7" t="s">
        <v>16497</v>
      </c>
      <c r="I2179" s="119">
        <v>45658.0</v>
      </c>
      <c r="K2179" s="7" t="s">
        <v>419</v>
      </c>
      <c r="L2179" s="7" t="s">
        <v>991</v>
      </c>
      <c r="M2179" s="7" t="s">
        <v>3866</v>
      </c>
      <c r="N2179" s="7" t="s">
        <v>16327</v>
      </c>
      <c r="O2179" s="7" t="s">
        <v>16498</v>
      </c>
      <c r="P2179" s="7" t="s">
        <v>3522</v>
      </c>
      <c r="Q2179" s="7" t="s">
        <v>3514</v>
      </c>
    </row>
    <row r="2180">
      <c r="A2180" s="7" t="s">
        <v>16499</v>
      </c>
      <c r="B2180" s="7">
        <v>3000449.0</v>
      </c>
      <c r="C2180" s="7" t="s">
        <v>5701</v>
      </c>
      <c r="D2180" s="7" t="s">
        <v>4219</v>
      </c>
      <c r="E2180" s="7" t="s">
        <v>5703</v>
      </c>
      <c r="F2180" s="7" t="s">
        <v>4221</v>
      </c>
      <c r="G2180" s="7" t="s">
        <v>16500</v>
      </c>
      <c r="H2180" s="7" t="s">
        <v>16501</v>
      </c>
      <c r="I2180" s="119">
        <v>45658.0</v>
      </c>
      <c r="K2180" s="7" t="s">
        <v>419</v>
      </c>
      <c r="L2180" s="7" t="s">
        <v>991</v>
      </c>
      <c r="M2180" s="7" t="s">
        <v>3583</v>
      </c>
      <c r="N2180" s="7" t="s">
        <v>3520</v>
      </c>
      <c r="O2180" s="7" t="s">
        <v>16502</v>
      </c>
      <c r="P2180" s="7" t="s">
        <v>4551</v>
      </c>
      <c r="Q2180" s="7" t="s">
        <v>16503</v>
      </c>
    </row>
    <row r="2181">
      <c r="A2181" s="7" t="s">
        <v>16504</v>
      </c>
      <c r="B2181" s="7">
        <v>3000453.0</v>
      </c>
      <c r="C2181" s="7" t="s">
        <v>6098</v>
      </c>
      <c r="D2181" s="7" t="s">
        <v>5248</v>
      </c>
      <c r="E2181" s="7" t="s">
        <v>6100</v>
      </c>
      <c r="F2181" s="7" t="s">
        <v>5250</v>
      </c>
      <c r="G2181" s="7" t="s">
        <v>16505</v>
      </c>
      <c r="H2181" s="7" t="s">
        <v>16506</v>
      </c>
      <c r="I2181" s="119">
        <v>45658.0</v>
      </c>
      <c r="K2181" s="7" t="s">
        <v>419</v>
      </c>
      <c r="L2181" s="7" t="s">
        <v>991</v>
      </c>
      <c r="M2181" s="7" t="s">
        <v>3531</v>
      </c>
      <c r="N2181" s="7" t="s">
        <v>11285</v>
      </c>
      <c r="O2181" s="7" t="s">
        <v>14663</v>
      </c>
      <c r="P2181" s="7" t="s">
        <v>3493</v>
      </c>
      <c r="Q2181" s="7">
        <v>1.0</v>
      </c>
    </row>
    <row r="2182">
      <c r="A2182" s="7" t="s">
        <v>16507</v>
      </c>
      <c r="B2182" s="7">
        <v>3000320.0</v>
      </c>
      <c r="C2182" s="7" t="s">
        <v>16508</v>
      </c>
      <c r="D2182" s="7" t="s">
        <v>16509</v>
      </c>
      <c r="E2182" s="7" t="s">
        <v>16510</v>
      </c>
      <c r="F2182" s="7" t="s">
        <v>7414</v>
      </c>
      <c r="G2182" s="7" t="s">
        <v>16511</v>
      </c>
      <c r="H2182" s="7" t="s">
        <v>16512</v>
      </c>
      <c r="I2182" s="119">
        <v>45658.0</v>
      </c>
      <c r="K2182" s="7" t="s">
        <v>419</v>
      </c>
      <c r="L2182" s="7" t="s">
        <v>991</v>
      </c>
      <c r="M2182" s="7" t="s">
        <v>3501</v>
      </c>
      <c r="N2182" s="7" t="s">
        <v>4296</v>
      </c>
      <c r="O2182" s="7" t="s">
        <v>4896</v>
      </c>
      <c r="P2182" s="7" t="s">
        <v>3513</v>
      </c>
      <c r="Q2182" s="7" t="s">
        <v>3514</v>
      </c>
    </row>
    <row r="2183">
      <c r="A2183" s="7" t="s">
        <v>16513</v>
      </c>
      <c r="B2183" s="7">
        <v>3000443.0</v>
      </c>
      <c r="C2183" s="7" t="s">
        <v>8429</v>
      </c>
      <c r="D2183" s="7" t="s">
        <v>16514</v>
      </c>
      <c r="E2183" s="7" t="s">
        <v>8431</v>
      </c>
      <c r="F2183" s="7" t="s">
        <v>16515</v>
      </c>
      <c r="G2183" s="7" t="s">
        <v>16516</v>
      </c>
      <c r="H2183" s="7" t="s">
        <v>16517</v>
      </c>
      <c r="I2183" s="119">
        <v>45658.0</v>
      </c>
      <c r="K2183" s="7" t="s">
        <v>3622</v>
      </c>
      <c r="L2183" s="7" t="s">
        <v>991</v>
      </c>
      <c r="M2183" s="7" t="s">
        <v>3866</v>
      </c>
      <c r="N2183" s="7" t="s">
        <v>3623</v>
      </c>
      <c r="O2183" s="7" t="s">
        <v>3624</v>
      </c>
      <c r="P2183" s="7" t="s">
        <v>3493</v>
      </c>
      <c r="Q2183" s="7">
        <v>1.0</v>
      </c>
    </row>
    <row r="2184">
      <c r="A2184" s="7" t="s">
        <v>16518</v>
      </c>
      <c r="B2184" s="7">
        <v>3000381.0</v>
      </c>
      <c r="C2184" s="7" t="s">
        <v>9606</v>
      </c>
      <c r="D2184" s="7" t="s">
        <v>16519</v>
      </c>
      <c r="E2184" s="7" t="s">
        <v>9572</v>
      </c>
      <c r="F2184" s="7" t="s">
        <v>3909</v>
      </c>
      <c r="G2184" s="7" t="s">
        <v>16520</v>
      </c>
      <c r="H2184" s="7" t="s">
        <v>16521</v>
      </c>
      <c r="I2184" s="119">
        <v>45658.0</v>
      </c>
      <c r="K2184" s="7" t="s">
        <v>419</v>
      </c>
      <c r="L2184" s="7" t="s">
        <v>991</v>
      </c>
      <c r="M2184" s="7" t="s">
        <v>3501</v>
      </c>
      <c r="N2184" s="7" t="s">
        <v>6047</v>
      </c>
      <c r="O2184" s="7" t="s">
        <v>6048</v>
      </c>
      <c r="P2184" s="7" t="s">
        <v>3522</v>
      </c>
      <c r="Q2184" s="7" t="s">
        <v>3523</v>
      </c>
    </row>
    <row r="2185">
      <c r="A2185" s="7" t="s">
        <v>16522</v>
      </c>
      <c r="B2185" s="7">
        <v>3000448.0</v>
      </c>
      <c r="C2185" s="7" t="s">
        <v>16523</v>
      </c>
      <c r="D2185" s="7" t="s">
        <v>16524</v>
      </c>
      <c r="E2185" s="7" t="s">
        <v>16525</v>
      </c>
      <c r="F2185" s="7" t="s">
        <v>8256</v>
      </c>
      <c r="G2185" s="7" t="s">
        <v>16526</v>
      </c>
      <c r="H2185" s="7" t="s">
        <v>16527</v>
      </c>
      <c r="I2185" s="119">
        <v>45658.0</v>
      </c>
      <c r="K2185" s="7" t="s">
        <v>419</v>
      </c>
      <c r="L2185" s="7" t="s">
        <v>991</v>
      </c>
      <c r="M2185" s="7" t="s">
        <v>3531</v>
      </c>
      <c r="N2185" s="7" t="s">
        <v>10121</v>
      </c>
      <c r="O2185" s="7" t="s">
        <v>10122</v>
      </c>
      <c r="P2185" s="7" t="s">
        <v>3493</v>
      </c>
      <c r="Q2185" s="7">
        <v>1.0</v>
      </c>
    </row>
    <row r="2186">
      <c r="A2186" s="7" t="s">
        <v>16528</v>
      </c>
      <c r="B2186" s="7">
        <v>3000462.0</v>
      </c>
      <c r="C2186" s="7" t="s">
        <v>10005</v>
      </c>
      <c r="D2186" s="7" t="s">
        <v>16529</v>
      </c>
      <c r="E2186" s="7" t="s">
        <v>10006</v>
      </c>
      <c r="F2186" s="7" t="s">
        <v>11382</v>
      </c>
      <c r="G2186" s="7" t="s">
        <v>16530</v>
      </c>
      <c r="H2186" s="7" t="s">
        <v>16531</v>
      </c>
      <c r="I2186" s="119">
        <v>45658.0</v>
      </c>
      <c r="K2186" s="7" t="s">
        <v>4042</v>
      </c>
      <c r="L2186" s="7" t="s">
        <v>991</v>
      </c>
      <c r="M2186" s="7" t="s">
        <v>3501</v>
      </c>
      <c r="N2186" s="7" t="s">
        <v>4043</v>
      </c>
      <c r="O2186" s="7" t="s">
        <v>4044</v>
      </c>
      <c r="P2186" s="7" t="s">
        <v>3493</v>
      </c>
      <c r="Q2186" s="7">
        <v>1.0</v>
      </c>
    </row>
    <row r="2187">
      <c r="A2187" s="7" t="s">
        <v>16532</v>
      </c>
      <c r="B2187" s="7">
        <v>3000326.0</v>
      </c>
      <c r="C2187" s="7" t="s">
        <v>16533</v>
      </c>
      <c r="D2187" s="7" t="s">
        <v>16534</v>
      </c>
      <c r="E2187" s="7" t="s">
        <v>16535</v>
      </c>
      <c r="F2187" s="7" t="s">
        <v>5849</v>
      </c>
      <c r="G2187" s="7" t="s">
        <v>16536</v>
      </c>
      <c r="H2187" s="7" t="s">
        <v>16537</v>
      </c>
      <c r="I2187" s="119">
        <v>45658.0</v>
      </c>
      <c r="K2187" s="7" t="s">
        <v>419</v>
      </c>
      <c r="L2187" s="7" t="s">
        <v>991</v>
      </c>
      <c r="M2187" s="7" t="s">
        <v>3501</v>
      </c>
      <c r="N2187" s="7" t="s">
        <v>8229</v>
      </c>
      <c r="O2187" s="7" t="s">
        <v>8230</v>
      </c>
      <c r="P2187" s="7" t="s">
        <v>3522</v>
      </c>
      <c r="Q2187" s="7" t="s">
        <v>3523</v>
      </c>
    </row>
    <row r="2188">
      <c r="A2188" s="7" t="s">
        <v>16538</v>
      </c>
      <c r="B2188" s="7">
        <v>3000447.0</v>
      </c>
      <c r="C2188" s="7" t="s">
        <v>15970</v>
      </c>
      <c r="D2188" s="7" t="s">
        <v>16539</v>
      </c>
      <c r="E2188" s="7" t="s">
        <v>15971</v>
      </c>
      <c r="F2188" s="7" t="s">
        <v>16540</v>
      </c>
      <c r="G2188" s="7" t="s">
        <v>16541</v>
      </c>
      <c r="I2188" s="119">
        <v>45658.0</v>
      </c>
      <c r="K2188" s="7" t="s">
        <v>419</v>
      </c>
      <c r="L2188" s="7" t="s">
        <v>991</v>
      </c>
      <c r="M2188" s="7" t="s">
        <v>3531</v>
      </c>
      <c r="N2188" s="7" t="s">
        <v>9102</v>
      </c>
      <c r="O2188" s="7" t="s">
        <v>9103</v>
      </c>
      <c r="P2188" s="7" t="s">
        <v>3493</v>
      </c>
      <c r="Q2188" s="7">
        <v>1.0</v>
      </c>
    </row>
    <row r="2189">
      <c r="A2189" s="7" t="s">
        <v>16542</v>
      </c>
      <c r="B2189" s="7">
        <v>3000446.0</v>
      </c>
      <c r="C2189" s="7" t="s">
        <v>16543</v>
      </c>
      <c r="D2189" s="7" t="s">
        <v>12868</v>
      </c>
      <c r="E2189" s="7" t="s">
        <v>16544</v>
      </c>
      <c r="F2189" s="7" t="s">
        <v>12459</v>
      </c>
      <c r="G2189" s="7" t="s">
        <v>16545</v>
      </c>
      <c r="H2189" s="7" t="s">
        <v>16546</v>
      </c>
      <c r="I2189" s="119">
        <v>45658.0</v>
      </c>
      <c r="K2189" s="7" t="s">
        <v>419</v>
      </c>
      <c r="L2189" s="7" t="s">
        <v>991</v>
      </c>
      <c r="M2189" s="7" t="s">
        <v>3583</v>
      </c>
      <c r="N2189" s="7" t="s">
        <v>7348</v>
      </c>
      <c r="O2189" s="7" t="s">
        <v>7349</v>
      </c>
      <c r="P2189" s="7" t="s">
        <v>3493</v>
      </c>
      <c r="Q2189" s="7">
        <v>1.0</v>
      </c>
    </row>
    <row r="2190">
      <c r="A2190" s="7" t="s">
        <v>16547</v>
      </c>
      <c r="B2190" s="7">
        <v>3000412.0</v>
      </c>
      <c r="C2190" s="7" t="s">
        <v>16548</v>
      </c>
      <c r="D2190" s="7" t="s">
        <v>16549</v>
      </c>
      <c r="E2190" s="7" t="s">
        <v>16550</v>
      </c>
      <c r="F2190" s="7" t="s">
        <v>16551</v>
      </c>
      <c r="G2190" s="7" t="s">
        <v>16552</v>
      </c>
      <c r="H2190" s="7" t="s">
        <v>16553</v>
      </c>
      <c r="I2190" s="119">
        <v>45658.0</v>
      </c>
      <c r="K2190" s="7" t="s">
        <v>419</v>
      </c>
      <c r="L2190" s="7" t="s">
        <v>991</v>
      </c>
      <c r="M2190" s="7" t="s">
        <v>3501</v>
      </c>
      <c r="N2190" s="7" t="s">
        <v>4612</v>
      </c>
      <c r="O2190" s="7" t="s">
        <v>4613</v>
      </c>
      <c r="P2190" s="7" t="s">
        <v>3522</v>
      </c>
      <c r="Q2190" s="7" t="s">
        <v>3523</v>
      </c>
    </row>
    <row r="2191">
      <c r="A2191" s="7" t="s">
        <v>16554</v>
      </c>
      <c r="B2191" s="7">
        <v>3000451.0</v>
      </c>
      <c r="C2191" s="7" t="s">
        <v>11468</v>
      </c>
      <c r="D2191" s="7" t="s">
        <v>16555</v>
      </c>
      <c r="E2191" s="7" t="s">
        <v>11475</v>
      </c>
      <c r="F2191" s="7" t="s">
        <v>5627</v>
      </c>
      <c r="G2191" s="7" t="s">
        <v>16556</v>
      </c>
      <c r="H2191" s="7" t="s">
        <v>16557</v>
      </c>
      <c r="I2191" s="119">
        <v>45658.0</v>
      </c>
      <c r="K2191" s="7" t="s">
        <v>419</v>
      </c>
      <c r="L2191" s="7" t="s">
        <v>991</v>
      </c>
      <c r="M2191" s="7" t="s">
        <v>3531</v>
      </c>
      <c r="N2191" s="7" t="s">
        <v>6957</v>
      </c>
      <c r="O2191" s="7" t="s">
        <v>6958</v>
      </c>
      <c r="P2191" s="7" t="s">
        <v>3493</v>
      </c>
      <c r="Q2191" s="7">
        <v>1.0</v>
      </c>
    </row>
    <row r="2192">
      <c r="A2192" s="7" t="s">
        <v>16558</v>
      </c>
      <c r="B2192" s="7">
        <v>3000427.0</v>
      </c>
      <c r="C2192" s="7" t="s">
        <v>16559</v>
      </c>
      <c r="D2192" s="7" t="s">
        <v>16560</v>
      </c>
      <c r="E2192" s="7" t="s">
        <v>16561</v>
      </c>
      <c r="F2192" s="7" t="s">
        <v>4213</v>
      </c>
      <c r="G2192" s="7" t="s">
        <v>16562</v>
      </c>
      <c r="H2192" s="7" t="s">
        <v>16563</v>
      </c>
      <c r="I2192" s="119">
        <v>45658.0</v>
      </c>
      <c r="K2192" s="7" t="s">
        <v>419</v>
      </c>
      <c r="L2192" s="7" t="s">
        <v>991</v>
      </c>
      <c r="M2192" s="7" t="s">
        <v>3501</v>
      </c>
      <c r="N2192" s="7" t="s">
        <v>8264</v>
      </c>
      <c r="O2192" s="7" t="s">
        <v>16564</v>
      </c>
      <c r="P2192" s="7" t="s">
        <v>3522</v>
      </c>
      <c r="Q2192" s="7" t="s">
        <v>3523</v>
      </c>
    </row>
    <row r="2193">
      <c r="A2193" s="7" t="s">
        <v>16565</v>
      </c>
      <c r="B2193" s="7">
        <v>3000442.0</v>
      </c>
      <c r="C2193" s="7" t="s">
        <v>12228</v>
      </c>
      <c r="D2193" s="7" t="s">
        <v>13243</v>
      </c>
      <c r="E2193" s="7" t="s">
        <v>16566</v>
      </c>
      <c r="F2193" s="7" t="s">
        <v>6175</v>
      </c>
      <c r="G2193" s="7" t="s">
        <v>16567</v>
      </c>
      <c r="H2193" s="7" t="s">
        <v>16568</v>
      </c>
      <c r="I2193" s="119">
        <v>45658.0</v>
      </c>
      <c r="K2193" s="7" t="s">
        <v>419</v>
      </c>
      <c r="L2193" s="7" t="s">
        <v>991</v>
      </c>
      <c r="M2193" s="7" t="s">
        <v>3531</v>
      </c>
      <c r="N2193" s="7" t="s">
        <v>7116</v>
      </c>
      <c r="O2193" s="7" t="s">
        <v>7117</v>
      </c>
      <c r="P2193" s="7" t="s">
        <v>3493</v>
      </c>
      <c r="Q2193" s="7">
        <v>1.0</v>
      </c>
    </row>
    <row r="2194">
      <c r="A2194" s="7" t="s">
        <v>16569</v>
      </c>
      <c r="B2194" s="7">
        <v>3000441.0</v>
      </c>
      <c r="C2194" s="7" t="s">
        <v>12347</v>
      </c>
      <c r="D2194" s="7" t="s">
        <v>4597</v>
      </c>
      <c r="E2194" s="7" t="s">
        <v>12349</v>
      </c>
      <c r="F2194" s="7" t="s">
        <v>4598</v>
      </c>
      <c r="G2194" s="7" t="s">
        <v>16570</v>
      </c>
      <c r="H2194" s="7" t="s">
        <v>16571</v>
      </c>
      <c r="I2194" s="119">
        <v>45658.0</v>
      </c>
      <c r="K2194" s="7" t="s">
        <v>3642</v>
      </c>
      <c r="L2194" s="7" t="s">
        <v>991</v>
      </c>
      <c r="M2194" s="7" t="s">
        <v>3501</v>
      </c>
      <c r="N2194" s="7" t="s">
        <v>3643</v>
      </c>
      <c r="O2194" s="7" t="s">
        <v>3644</v>
      </c>
      <c r="P2194" s="7" t="s">
        <v>3493</v>
      </c>
      <c r="Q2194" s="7">
        <v>1.0</v>
      </c>
    </row>
    <row r="2195">
      <c r="A2195" s="7" t="s">
        <v>16572</v>
      </c>
      <c r="B2195" s="7">
        <v>3000328.0</v>
      </c>
      <c r="C2195" s="7" t="s">
        <v>12862</v>
      </c>
      <c r="D2195" s="7" t="s">
        <v>8353</v>
      </c>
      <c r="E2195" s="7" t="s">
        <v>12864</v>
      </c>
      <c r="F2195" s="7" t="s">
        <v>6800</v>
      </c>
      <c r="G2195" s="7" t="s">
        <v>16573</v>
      </c>
      <c r="H2195" s="7" t="s">
        <v>16574</v>
      </c>
      <c r="I2195" s="119">
        <v>45658.0</v>
      </c>
      <c r="K2195" s="7" t="s">
        <v>419</v>
      </c>
      <c r="L2195" s="7" t="s">
        <v>991</v>
      </c>
      <c r="M2195" s="7" t="s">
        <v>3501</v>
      </c>
      <c r="N2195" s="7" t="s">
        <v>7457</v>
      </c>
      <c r="O2195" s="7" t="s">
        <v>9355</v>
      </c>
      <c r="P2195" s="7" t="s">
        <v>3493</v>
      </c>
      <c r="Q2195" s="7">
        <v>1.0</v>
      </c>
    </row>
    <row r="2196">
      <c r="A2196" s="7" t="s">
        <v>16575</v>
      </c>
      <c r="B2196" s="7">
        <v>3000323.0</v>
      </c>
      <c r="C2196" s="7" t="s">
        <v>13379</v>
      </c>
      <c r="D2196" s="7" t="s">
        <v>3739</v>
      </c>
      <c r="E2196" s="7" t="s">
        <v>13381</v>
      </c>
      <c r="F2196" s="7" t="s">
        <v>3739</v>
      </c>
      <c r="G2196" s="7" t="s">
        <v>16576</v>
      </c>
      <c r="H2196" s="7" t="s">
        <v>16577</v>
      </c>
      <c r="I2196" s="119">
        <v>45658.0</v>
      </c>
      <c r="K2196" s="7" t="s">
        <v>419</v>
      </c>
      <c r="L2196" s="7" t="s">
        <v>991</v>
      </c>
      <c r="M2196" s="7" t="s">
        <v>3501</v>
      </c>
      <c r="N2196" s="7" t="s">
        <v>7343</v>
      </c>
      <c r="O2196" s="7" t="s">
        <v>7344</v>
      </c>
      <c r="P2196" s="7" t="s">
        <v>3493</v>
      </c>
      <c r="Q2196" s="7">
        <v>1.0</v>
      </c>
    </row>
    <row r="2197">
      <c r="A2197" s="7" t="s">
        <v>16578</v>
      </c>
      <c r="B2197" s="7">
        <v>3000455.0</v>
      </c>
      <c r="C2197" s="7" t="s">
        <v>16579</v>
      </c>
      <c r="D2197" s="7" t="s">
        <v>16580</v>
      </c>
      <c r="E2197" s="7" t="s">
        <v>16581</v>
      </c>
      <c r="F2197" s="7" t="s">
        <v>16582</v>
      </c>
      <c r="G2197" s="7" t="s">
        <v>16583</v>
      </c>
      <c r="H2197" s="7" t="s">
        <v>16584</v>
      </c>
      <c r="I2197" s="119">
        <v>45658.0</v>
      </c>
      <c r="K2197" s="7" t="s">
        <v>3622</v>
      </c>
      <c r="L2197" s="7" t="s">
        <v>991</v>
      </c>
      <c r="M2197" s="7" t="s">
        <v>3501</v>
      </c>
      <c r="N2197" s="7" t="s">
        <v>3623</v>
      </c>
      <c r="O2197" s="7" t="s">
        <v>3624</v>
      </c>
      <c r="P2197" s="7" t="s">
        <v>3493</v>
      </c>
      <c r="Q2197" s="7">
        <v>1.0</v>
      </c>
    </row>
    <row r="2198">
      <c r="A2198" s="7" t="s">
        <v>16585</v>
      </c>
      <c r="B2198" s="7">
        <v>3000413.0</v>
      </c>
      <c r="C2198" s="7" t="s">
        <v>16586</v>
      </c>
      <c r="D2198" s="7" t="s">
        <v>16587</v>
      </c>
      <c r="E2198" s="7" t="s">
        <v>16588</v>
      </c>
      <c r="F2198" s="7" t="s">
        <v>4321</v>
      </c>
      <c r="G2198" s="7" t="s">
        <v>16589</v>
      </c>
      <c r="H2198" s="7" t="s">
        <v>16590</v>
      </c>
      <c r="I2198" s="119">
        <v>45658.0</v>
      </c>
      <c r="K2198" s="7" t="s">
        <v>419</v>
      </c>
      <c r="L2198" s="7" t="s">
        <v>991</v>
      </c>
      <c r="M2198" s="7" t="s">
        <v>3501</v>
      </c>
      <c r="N2198" s="7" t="s">
        <v>14478</v>
      </c>
      <c r="O2198" s="7" t="s">
        <v>14479</v>
      </c>
      <c r="P2198" s="7" t="s">
        <v>3493</v>
      </c>
      <c r="Q2198" s="7">
        <v>1.0</v>
      </c>
    </row>
    <row r="2199">
      <c r="A2199" s="7" t="s">
        <v>16591</v>
      </c>
      <c r="B2199" s="7">
        <v>3000452.0</v>
      </c>
      <c r="C2199" s="7" t="s">
        <v>13581</v>
      </c>
      <c r="D2199" s="7" t="s">
        <v>3933</v>
      </c>
      <c r="E2199" s="7" t="s">
        <v>13583</v>
      </c>
      <c r="F2199" s="7" t="s">
        <v>5235</v>
      </c>
      <c r="G2199" s="7" t="s">
        <v>16592</v>
      </c>
      <c r="H2199" s="7" t="s">
        <v>16593</v>
      </c>
      <c r="I2199" s="119">
        <v>45658.0</v>
      </c>
      <c r="K2199" s="7" t="s">
        <v>3642</v>
      </c>
      <c r="L2199" s="7" t="s">
        <v>991</v>
      </c>
      <c r="M2199" s="7" t="s">
        <v>3583</v>
      </c>
      <c r="N2199" s="7" t="s">
        <v>3643</v>
      </c>
      <c r="O2199" s="7" t="s">
        <v>3644</v>
      </c>
      <c r="P2199" s="7" t="s">
        <v>3493</v>
      </c>
      <c r="Q2199" s="7">
        <v>1.0</v>
      </c>
    </row>
    <row r="2200">
      <c r="A2200" s="7" t="s">
        <v>16594</v>
      </c>
      <c r="B2200" s="7">
        <v>3000440.0</v>
      </c>
      <c r="C2200" s="7" t="s">
        <v>16595</v>
      </c>
      <c r="D2200" s="7" t="s">
        <v>16596</v>
      </c>
      <c r="E2200" s="7" t="s">
        <v>3517</v>
      </c>
      <c r="F2200" s="7" t="s">
        <v>16597</v>
      </c>
      <c r="G2200" s="7" t="s">
        <v>16598</v>
      </c>
      <c r="H2200" s="7" t="s">
        <v>16599</v>
      </c>
      <c r="I2200" s="119">
        <v>45658.0</v>
      </c>
      <c r="K2200" s="7" t="s">
        <v>3622</v>
      </c>
      <c r="L2200" s="7" t="s">
        <v>991</v>
      </c>
      <c r="M2200" s="7" t="s">
        <v>3501</v>
      </c>
      <c r="N2200" s="7" t="s">
        <v>3623</v>
      </c>
      <c r="O2200" s="7" t="s">
        <v>3624</v>
      </c>
      <c r="P2200" s="7" t="s">
        <v>3493</v>
      </c>
      <c r="Q2200" s="7">
        <v>1.0</v>
      </c>
    </row>
    <row r="2201">
      <c r="A2201" s="7" t="s">
        <v>16600</v>
      </c>
      <c r="B2201" s="7">
        <v>3000445.0</v>
      </c>
      <c r="C2201" s="7" t="s">
        <v>14399</v>
      </c>
      <c r="D2201" s="7" t="s">
        <v>16601</v>
      </c>
      <c r="E2201" s="7" t="s">
        <v>14394</v>
      </c>
      <c r="F2201" s="7" t="s">
        <v>6669</v>
      </c>
      <c r="G2201" s="7" t="s">
        <v>16602</v>
      </c>
      <c r="H2201" s="7" t="s">
        <v>16603</v>
      </c>
      <c r="I2201" s="119">
        <v>45658.0</v>
      </c>
      <c r="K2201" s="7" t="s">
        <v>419</v>
      </c>
      <c r="L2201" s="7" t="s">
        <v>991</v>
      </c>
      <c r="M2201" s="7" t="s">
        <v>3531</v>
      </c>
      <c r="N2201" s="7" t="s">
        <v>3724</v>
      </c>
      <c r="O2201" s="7" t="s">
        <v>3725</v>
      </c>
      <c r="P2201" s="7" t="s">
        <v>3493</v>
      </c>
      <c r="Q2201" s="7">
        <v>1.0</v>
      </c>
    </row>
    <row r="2202">
      <c r="A2202" s="7" t="s">
        <v>16604</v>
      </c>
      <c r="B2202" s="7">
        <v>3000450.0</v>
      </c>
      <c r="C2202" s="7" t="s">
        <v>14399</v>
      </c>
      <c r="D2202" s="7" t="s">
        <v>13772</v>
      </c>
      <c r="E2202" s="7" t="s">
        <v>14394</v>
      </c>
      <c r="F2202" s="7" t="s">
        <v>13774</v>
      </c>
      <c r="G2202" s="7" t="s">
        <v>16605</v>
      </c>
      <c r="H2202" s="7" t="s">
        <v>16606</v>
      </c>
      <c r="I2202" s="119">
        <v>45658.0</v>
      </c>
      <c r="K2202" s="7" t="s">
        <v>3632</v>
      </c>
      <c r="L2202" s="7" t="s">
        <v>991</v>
      </c>
      <c r="M2202" s="7" t="s">
        <v>3583</v>
      </c>
      <c r="N2202" s="7" t="s">
        <v>5052</v>
      </c>
      <c r="O2202" s="7" t="s">
        <v>5053</v>
      </c>
      <c r="P2202" s="7" t="s">
        <v>3522</v>
      </c>
      <c r="Q2202" s="7" t="s">
        <v>3523</v>
      </c>
    </row>
    <row r="2203">
      <c r="A2203" s="7" t="s">
        <v>16607</v>
      </c>
      <c r="B2203" s="7">
        <v>3000478.0</v>
      </c>
      <c r="C2203" s="7" t="s">
        <v>16608</v>
      </c>
      <c r="D2203" s="7" t="s">
        <v>16609</v>
      </c>
      <c r="E2203" s="7" t="s">
        <v>16610</v>
      </c>
      <c r="F2203" s="7" t="s">
        <v>16611</v>
      </c>
      <c r="G2203" s="7" t="s">
        <v>16612</v>
      </c>
      <c r="H2203" s="7" t="s">
        <v>16613</v>
      </c>
      <c r="I2203" s="119">
        <v>45673.0</v>
      </c>
      <c r="K2203" s="7" t="s">
        <v>419</v>
      </c>
      <c r="L2203" s="7" t="s">
        <v>991</v>
      </c>
      <c r="M2203" s="7" t="s">
        <v>3531</v>
      </c>
      <c r="N2203" s="7" t="s">
        <v>3659</v>
      </c>
      <c r="O2203" s="7" t="s">
        <v>3660</v>
      </c>
      <c r="P2203" s="7" t="s">
        <v>3493</v>
      </c>
      <c r="Q2203" s="7">
        <v>1.0</v>
      </c>
    </row>
    <row r="2204">
      <c r="A2204" s="7" t="s">
        <v>16614</v>
      </c>
      <c r="B2204" s="7">
        <v>3000469.0</v>
      </c>
      <c r="C2204" s="7" t="s">
        <v>4502</v>
      </c>
      <c r="D2204" s="7" t="s">
        <v>16615</v>
      </c>
      <c r="E2204" s="7" t="s">
        <v>4504</v>
      </c>
      <c r="F2204" s="7" t="s">
        <v>16616</v>
      </c>
      <c r="G2204" s="7" t="s">
        <v>16617</v>
      </c>
      <c r="H2204" s="7" t="s">
        <v>16618</v>
      </c>
      <c r="I2204" s="119">
        <v>45673.0</v>
      </c>
      <c r="K2204" s="7" t="s">
        <v>419</v>
      </c>
      <c r="L2204" s="7" t="s">
        <v>991</v>
      </c>
      <c r="M2204" s="7" t="s">
        <v>3531</v>
      </c>
      <c r="N2204" s="7" t="s">
        <v>4720</v>
      </c>
      <c r="O2204" s="7" t="s">
        <v>4721</v>
      </c>
      <c r="P2204" s="7" t="s">
        <v>3493</v>
      </c>
      <c r="Q2204" s="7">
        <v>1.0</v>
      </c>
    </row>
    <row r="2205">
      <c r="A2205" s="7" t="s">
        <v>16619</v>
      </c>
      <c r="B2205" s="7">
        <v>3000484.0</v>
      </c>
      <c r="C2205" s="7" t="s">
        <v>4663</v>
      </c>
      <c r="D2205" s="7" t="s">
        <v>12687</v>
      </c>
      <c r="E2205" s="7" t="s">
        <v>4665</v>
      </c>
      <c r="F2205" s="7" t="s">
        <v>3748</v>
      </c>
      <c r="G2205" s="7" t="s">
        <v>16620</v>
      </c>
      <c r="I2205" s="119">
        <v>45673.0</v>
      </c>
      <c r="K2205" s="7" t="s">
        <v>419</v>
      </c>
      <c r="L2205" s="7" t="s">
        <v>991</v>
      </c>
      <c r="M2205" s="7" t="s">
        <v>3531</v>
      </c>
      <c r="N2205" s="7" t="s">
        <v>3659</v>
      </c>
      <c r="O2205" s="7" t="s">
        <v>3660</v>
      </c>
      <c r="P2205" s="7" t="s">
        <v>3493</v>
      </c>
      <c r="Q2205" s="7">
        <v>1.0</v>
      </c>
    </row>
    <row r="2206">
      <c r="A2206" s="7" t="s">
        <v>16621</v>
      </c>
      <c r="B2206" s="7">
        <v>3000479.0</v>
      </c>
      <c r="C2206" s="7" t="s">
        <v>16622</v>
      </c>
      <c r="D2206" s="7" t="s">
        <v>4676</v>
      </c>
      <c r="E2206" s="7" t="s">
        <v>16623</v>
      </c>
      <c r="F2206" s="7" t="s">
        <v>4677</v>
      </c>
      <c r="G2206" s="7" t="s">
        <v>16624</v>
      </c>
      <c r="H2206" s="7" t="s">
        <v>16625</v>
      </c>
      <c r="I2206" s="119">
        <v>45673.0</v>
      </c>
      <c r="K2206" s="7" t="s">
        <v>419</v>
      </c>
      <c r="L2206" s="7" t="s">
        <v>991</v>
      </c>
      <c r="M2206" s="7" t="s">
        <v>3531</v>
      </c>
      <c r="N2206" s="7" t="s">
        <v>3659</v>
      </c>
      <c r="O2206" s="7" t="s">
        <v>3660</v>
      </c>
      <c r="P2206" s="7" t="s">
        <v>3493</v>
      </c>
      <c r="Q2206" s="7">
        <v>1.0</v>
      </c>
    </row>
    <row r="2207">
      <c r="A2207" s="7" t="s">
        <v>16626</v>
      </c>
      <c r="B2207" s="7">
        <v>3000473.0</v>
      </c>
      <c r="C2207" s="7" t="s">
        <v>7563</v>
      </c>
      <c r="D2207" s="7" t="s">
        <v>16627</v>
      </c>
      <c r="E2207" s="7" t="s">
        <v>7565</v>
      </c>
      <c r="F2207" s="7" t="s">
        <v>5369</v>
      </c>
      <c r="G2207" s="7" t="s">
        <v>16628</v>
      </c>
      <c r="H2207" s="7" t="s">
        <v>16629</v>
      </c>
      <c r="I2207" s="119">
        <v>45673.0</v>
      </c>
      <c r="K2207" s="7" t="s">
        <v>419</v>
      </c>
      <c r="L2207" s="7" t="s">
        <v>991</v>
      </c>
      <c r="M2207" s="7" t="s">
        <v>3531</v>
      </c>
      <c r="N2207" s="7" t="s">
        <v>7417</v>
      </c>
      <c r="O2207" s="7" t="s">
        <v>7418</v>
      </c>
      <c r="P2207" s="7" t="s">
        <v>3493</v>
      </c>
      <c r="Q2207" s="7">
        <v>1.0</v>
      </c>
    </row>
    <row r="2208">
      <c r="A2208" s="7" t="s">
        <v>16630</v>
      </c>
      <c r="B2208" s="7">
        <v>3000483.0</v>
      </c>
      <c r="C2208" s="7" t="s">
        <v>16631</v>
      </c>
      <c r="D2208" s="7" t="s">
        <v>16632</v>
      </c>
      <c r="E2208" s="7" t="s">
        <v>16633</v>
      </c>
      <c r="F2208" s="7" t="s">
        <v>16634</v>
      </c>
      <c r="G2208" s="7" t="s">
        <v>16635</v>
      </c>
      <c r="I2208" s="119">
        <v>45673.0</v>
      </c>
      <c r="K2208" s="7" t="s">
        <v>419</v>
      </c>
      <c r="L2208" s="7" t="s">
        <v>991</v>
      </c>
      <c r="M2208" s="7" t="s">
        <v>3531</v>
      </c>
      <c r="N2208" s="7" t="s">
        <v>3659</v>
      </c>
      <c r="O2208" s="7" t="s">
        <v>3660</v>
      </c>
      <c r="P2208" s="7" t="s">
        <v>3493</v>
      </c>
      <c r="Q2208" s="7">
        <v>1.0</v>
      </c>
    </row>
    <row r="2209">
      <c r="A2209" s="7" t="s">
        <v>16636</v>
      </c>
      <c r="B2209" s="7">
        <v>3000470.0</v>
      </c>
      <c r="C2209" s="7" t="s">
        <v>16637</v>
      </c>
      <c r="D2209" s="7" t="s">
        <v>16638</v>
      </c>
      <c r="E2209" s="7" t="s">
        <v>16639</v>
      </c>
      <c r="F2209" s="7" t="s">
        <v>16640</v>
      </c>
      <c r="G2209" s="7" t="s">
        <v>16641</v>
      </c>
      <c r="H2209" s="7" t="s">
        <v>16642</v>
      </c>
      <c r="I2209" s="119">
        <v>45673.0</v>
      </c>
      <c r="K2209" s="7" t="s">
        <v>419</v>
      </c>
      <c r="L2209" s="7" t="s">
        <v>991</v>
      </c>
      <c r="M2209" s="7" t="s">
        <v>3531</v>
      </c>
      <c r="N2209" s="7" t="s">
        <v>4127</v>
      </c>
      <c r="O2209" s="7" t="s">
        <v>4128</v>
      </c>
      <c r="P2209" s="7" t="s">
        <v>3493</v>
      </c>
      <c r="Q2209" s="7">
        <v>1.0</v>
      </c>
    </row>
    <row r="2210">
      <c r="A2210" s="7" t="s">
        <v>16643</v>
      </c>
      <c r="B2210" s="7">
        <v>3000481.0</v>
      </c>
      <c r="C2210" s="7" t="s">
        <v>9145</v>
      </c>
      <c r="D2210" s="7" t="s">
        <v>16644</v>
      </c>
      <c r="E2210" s="7" t="s">
        <v>9147</v>
      </c>
      <c r="F2210" s="7" t="s">
        <v>4546</v>
      </c>
      <c r="G2210" s="7" t="s">
        <v>16645</v>
      </c>
      <c r="H2210" s="7" t="s">
        <v>16646</v>
      </c>
      <c r="I2210" s="119">
        <v>45673.0</v>
      </c>
      <c r="K2210" s="7" t="s">
        <v>419</v>
      </c>
      <c r="L2210" s="7" t="s">
        <v>991</v>
      </c>
      <c r="M2210" s="7" t="s">
        <v>3531</v>
      </c>
      <c r="N2210" s="7" t="s">
        <v>3659</v>
      </c>
      <c r="O2210" s="7" t="s">
        <v>3660</v>
      </c>
      <c r="P2210" s="7" t="s">
        <v>3493</v>
      </c>
      <c r="Q2210" s="7">
        <v>1.0</v>
      </c>
    </row>
    <row r="2211">
      <c r="A2211" s="7" t="s">
        <v>16647</v>
      </c>
      <c r="B2211" s="7">
        <v>3000480.0</v>
      </c>
      <c r="C2211" s="7" t="s">
        <v>16648</v>
      </c>
      <c r="D2211" s="7" t="s">
        <v>16649</v>
      </c>
      <c r="E2211" s="7" t="s">
        <v>16650</v>
      </c>
      <c r="F2211" s="7" t="s">
        <v>3571</v>
      </c>
      <c r="G2211" s="7" t="s">
        <v>16651</v>
      </c>
      <c r="H2211" s="7" t="s">
        <v>16652</v>
      </c>
      <c r="I2211" s="119">
        <v>45673.0</v>
      </c>
      <c r="K2211" s="7" t="s">
        <v>419</v>
      </c>
      <c r="L2211" s="7" t="s">
        <v>991</v>
      </c>
      <c r="M2211" s="7" t="s">
        <v>3531</v>
      </c>
      <c r="N2211" s="7" t="s">
        <v>3659</v>
      </c>
      <c r="O2211" s="7" t="s">
        <v>3660</v>
      </c>
      <c r="P2211" s="7" t="s">
        <v>3493</v>
      </c>
      <c r="Q2211" s="7">
        <v>1.0</v>
      </c>
    </row>
    <row r="2212">
      <c r="A2212" s="7" t="s">
        <v>16653</v>
      </c>
      <c r="B2212" s="7">
        <v>3000471.0</v>
      </c>
      <c r="C2212" s="7" t="s">
        <v>16654</v>
      </c>
      <c r="D2212" s="7" t="s">
        <v>8767</v>
      </c>
      <c r="E2212" s="7" t="s">
        <v>16655</v>
      </c>
      <c r="F2212" s="7" t="s">
        <v>4032</v>
      </c>
      <c r="G2212" s="7" t="s">
        <v>16656</v>
      </c>
      <c r="H2212" s="7" t="s">
        <v>16657</v>
      </c>
      <c r="I2212" s="119">
        <v>45673.0</v>
      </c>
      <c r="K2212" s="7" t="s">
        <v>3632</v>
      </c>
      <c r="L2212" s="7" t="s">
        <v>991</v>
      </c>
      <c r="M2212" s="7" t="s">
        <v>3583</v>
      </c>
      <c r="N2212" s="7" t="s">
        <v>4190</v>
      </c>
      <c r="O2212" s="7" t="s">
        <v>4191</v>
      </c>
      <c r="P2212" s="7" t="s">
        <v>3493</v>
      </c>
      <c r="Q2212" s="7">
        <v>1.0</v>
      </c>
    </row>
    <row r="2213">
      <c r="A2213" s="7" t="s">
        <v>16658</v>
      </c>
      <c r="B2213" s="7">
        <v>3000476.0</v>
      </c>
      <c r="C2213" s="7" t="s">
        <v>16659</v>
      </c>
      <c r="D2213" s="7" t="s">
        <v>16447</v>
      </c>
      <c r="E2213" s="7" t="s">
        <v>16660</v>
      </c>
      <c r="F2213" s="7" t="s">
        <v>6262</v>
      </c>
      <c r="G2213" s="7" t="s">
        <v>16661</v>
      </c>
      <c r="H2213" s="7" t="s">
        <v>16662</v>
      </c>
      <c r="I2213" s="119">
        <v>45673.0</v>
      </c>
      <c r="K2213" s="7" t="s">
        <v>419</v>
      </c>
      <c r="L2213" s="7" t="s">
        <v>991</v>
      </c>
      <c r="M2213" s="7" t="s">
        <v>3531</v>
      </c>
      <c r="N2213" s="7" t="s">
        <v>4587</v>
      </c>
      <c r="O2213" s="7" t="s">
        <v>12660</v>
      </c>
      <c r="P2213" s="7" t="s">
        <v>3493</v>
      </c>
      <c r="Q2213" s="7">
        <v>1.0</v>
      </c>
    </row>
    <row r="2214">
      <c r="A2214" s="7" t="s">
        <v>16663</v>
      </c>
      <c r="B2214" s="7">
        <v>3000472.0</v>
      </c>
      <c r="C2214" s="7" t="s">
        <v>16664</v>
      </c>
      <c r="D2214" s="7" t="s">
        <v>16665</v>
      </c>
      <c r="E2214" s="7" t="s">
        <v>13504</v>
      </c>
      <c r="F2214" s="7" t="s">
        <v>5514</v>
      </c>
      <c r="G2214" s="7" t="s">
        <v>16666</v>
      </c>
      <c r="H2214" s="7" t="s">
        <v>16667</v>
      </c>
      <c r="I2214" s="119">
        <v>45673.0</v>
      </c>
      <c r="K2214" s="7" t="s">
        <v>419</v>
      </c>
      <c r="L2214" s="7" t="s">
        <v>991</v>
      </c>
      <c r="M2214" s="7" t="s">
        <v>3531</v>
      </c>
      <c r="N2214" s="7" t="s">
        <v>5273</v>
      </c>
      <c r="O2214" s="7" t="s">
        <v>5274</v>
      </c>
      <c r="P2214" s="7" t="s">
        <v>3493</v>
      </c>
      <c r="Q2214" s="7">
        <v>1.0</v>
      </c>
    </row>
    <row r="2215">
      <c r="A2215" s="7" t="s">
        <v>16668</v>
      </c>
      <c r="B2215" s="7">
        <v>3000513.0</v>
      </c>
      <c r="C2215" s="7" t="s">
        <v>3771</v>
      </c>
      <c r="D2215" s="7" t="s">
        <v>16669</v>
      </c>
      <c r="E2215" s="7" t="s">
        <v>3773</v>
      </c>
      <c r="F2215" s="7" t="s">
        <v>9950</v>
      </c>
      <c r="G2215" s="7" t="s">
        <v>16670</v>
      </c>
      <c r="H2215" s="7" t="s">
        <v>16671</v>
      </c>
      <c r="I2215" s="119">
        <v>45689.0</v>
      </c>
      <c r="K2215" s="7" t="s">
        <v>419</v>
      </c>
      <c r="L2215" s="7" t="s">
        <v>991</v>
      </c>
      <c r="M2215" s="7" t="s">
        <v>3531</v>
      </c>
      <c r="N2215" s="7" t="s">
        <v>4444</v>
      </c>
      <c r="O2215" s="7" t="s">
        <v>4445</v>
      </c>
      <c r="P2215" s="7" t="s">
        <v>3493</v>
      </c>
      <c r="Q2215" s="7">
        <v>1.0</v>
      </c>
    </row>
    <row r="2216">
      <c r="A2216" s="7" t="s">
        <v>16672</v>
      </c>
      <c r="B2216" s="7">
        <v>3000491.0</v>
      </c>
      <c r="C2216" s="7" t="s">
        <v>4218</v>
      </c>
      <c r="D2216" s="7" t="s">
        <v>16673</v>
      </c>
      <c r="E2216" s="7" t="s">
        <v>4220</v>
      </c>
      <c r="F2216" s="7" t="s">
        <v>16674</v>
      </c>
      <c r="G2216" s="7" t="s">
        <v>16675</v>
      </c>
      <c r="H2216" s="7" t="s">
        <v>16676</v>
      </c>
      <c r="I2216" s="119">
        <v>45689.0</v>
      </c>
      <c r="K2216" s="7" t="s">
        <v>419</v>
      </c>
      <c r="L2216" s="7" t="s">
        <v>991</v>
      </c>
      <c r="M2216" s="7" t="s">
        <v>3501</v>
      </c>
      <c r="N2216" s="7" t="s">
        <v>9102</v>
      </c>
      <c r="O2216" s="7" t="s">
        <v>9103</v>
      </c>
      <c r="P2216" s="7" t="s">
        <v>3493</v>
      </c>
      <c r="Q2216" s="7">
        <v>1.0</v>
      </c>
    </row>
    <row r="2217">
      <c r="A2217" s="7" t="s">
        <v>16677</v>
      </c>
      <c r="B2217" s="7">
        <v>3000512.0</v>
      </c>
      <c r="C2217" s="7" t="s">
        <v>16678</v>
      </c>
      <c r="D2217" s="7" t="s">
        <v>16679</v>
      </c>
      <c r="E2217" s="7" t="s">
        <v>16680</v>
      </c>
      <c r="F2217" s="7" t="s">
        <v>16681</v>
      </c>
      <c r="G2217" s="7" t="s">
        <v>16682</v>
      </c>
      <c r="H2217" s="7" t="s">
        <v>16683</v>
      </c>
      <c r="I2217" s="119">
        <v>45689.0</v>
      </c>
      <c r="K2217" s="7" t="s">
        <v>419</v>
      </c>
      <c r="L2217" s="7" t="s">
        <v>991</v>
      </c>
      <c r="M2217" s="7" t="s">
        <v>3531</v>
      </c>
      <c r="N2217" s="7" t="s">
        <v>7373</v>
      </c>
      <c r="O2217" s="7" t="s">
        <v>7374</v>
      </c>
      <c r="P2217" s="7" t="s">
        <v>3493</v>
      </c>
      <c r="Q2217" s="7">
        <v>1.0</v>
      </c>
    </row>
    <row r="2218">
      <c r="A2218" s="7" t="s">
        <v>16684</v>
      </c>
      <c r="B2218" s="7">
        <v>3000515.0</v>
      </c>
      <c r="C2218" s="7" t="s">
        <v>16685</v>
      </c>
      <c r="D2218" s="7" t="s">
        <v>16686</v>
      </c>
      <c r="E2218" s="7" t="s">
        <v>16687</v>
      </c>
      <c r="F2218" s="7" t="s">
        <v>7771</v>
      </c>
      <c r="G2218" s="7" t="s">
        <v>16688</v>
      </c>
      <c r="H2218" s="7" t="s">
        <v>16689</v>
      </c>
      <c r="I2218" s="119">
        <v>45689.0</v>
      </c>
      <c r="K2218" s="7" t="s">
        <v>419</v>
      </c>
      <c r="L2218" s="7" t="s">
        <v>991</v>
      </c>
      <c r="M2218" s="7" t="s">
        <v>3531</v>
      </c>
      <c r="N2218" s="7" t="s">
        <v>5746</v>
      </c>
      <c r="O2218" s="7" t="s">
        <v>5747</v>
      </c>
      <c r="P2218" s="7" t="s">
        <v>3493</v>
      </c>
      <c r="Q2218" s="7">
        <v>1.0</v>
      </c>
    </row>
    <row r="2219">
      <c r="A2219" s="7" t="s">
        <v>16690</v>
      </c>
      <c r="B2219" s="7">
        <v>3000438.0</v>
      </c>
      <c r="C2219" s="7" t="s">
        <v>16691</v>
      </c>
      <c r="D2219" s="7" t="s">
        <v>5153</v>
      </c>
      <c r="E2219" s="7" t="s">
        <v>16692</v>
      </c>
      <c r="F2219" s="7" t="s">
        <v>5155</v>
      </c>
      <c r="G2219" s="7" t="s">
        <v>16693</v>
      </c>
      <c r="H2219" s="7" t="s">
        <v>16694</v>
      </c>
      <c r="I2219" s="119">
        <v>45689.0</v>
      </c>
      <c r="K2219" s="7" t="s">
        <v>419</v>
      </c>
      <c r="L2219" s="7" t="s">
        <v>991</v>
      </c>
      <c r="M2219" s="7" t="s">
        <v>3501</v>
      </c>
      <c r="N2219" s="7" t="s">
        <v>3827</v>
      </c>
      <c r="O2219" s="7" t="s">
        <v>3828</v>
      </c>
      <c r="P2219" s="7" t="s">
        <v>3522</v>
      </c>
      <c r="Q2219" s="7" t="s">
        <v>3523</v>
      </c>
    </row>
    <row r="2220">
      <c r="A2220" s="7" t="s">
        <v>16695</v>
      </c>
      <c r="B2220" s="7">
        <v>3000465.0</v>
      </c>
      <c r="C2220" s="7" t="s">
        <v>16696</v>
      </c>
      <c r="D2220" s="7" t="s">
        <v>16697</v>
      </c>
      <c r="E2220" s="7" t="s">
        <v>6073</v>
      </c>
      <c r="F2220" s="7" t="s">
        <v>8199</v>
      </c>
      <c r="G2220" s="7" t="s">
        <v>16698</v>
      </c>
      <c r="H2220" s="7" t="s">
        <v>16699</v>
      </c>
      <c r="I2220" s="119">
        <v>45689.0</v>
      </c>
      <c r="K2220" s="7" t="s">
        <v>419</v>
      </c>
      <c r="L2220" s="7" t="s">
        <v>991</v>
      </c>
      <c r="M2220" s="7" t="s">
        <v>3501</v>
      </c>
      <c r="N2220" s="7" t="s">
        <v>16700</v>
      </c>
      <c r="O2220" s="7" t="s">
        <v>16701</v>
      </c>
      <c r="P2220" s="7" t="s">
        <v>3493</v>
      </c>
      <c r="Q2220" s="7">
        <v>1.0</v>
      </c>
    </row>
    <row r="2221">
      <c r="A2221" s="7" t="s">
        <v>16702</v>
      </c>
      <c r="B2221" s="7">
        <v>3000501.0</v>
      </c>
      <c r="C2221" s="7" t="s">
        <v>6098</v>
      </c>
      <c r="D2221" s="7" t="s">
        <v>16703</v>
      </c>
      <c r="E2221" s="7" t="s">
        <v>6100</v>
      </c>
      <c r="F2221" s="7" t="s">
        <v>8605</v>
      </c>
      <c r="G2221" s="7" t="s">
        <v>16704</v>
      </c>
      <c r="H2221" s="7" t="s">
        <v>16705</v>
      </c>
      <c r="I2221" s="119">
        <v>45689.0</v>
      </c>
      <c r="K2221" s="7" t="s">
        <v>419</v>
      </c>
      <c r="L2221" s="7" t="s">
        <v>991</v>
      </c>
      <c r="M2221" s="7" t="s">
        <v>3583</v>
      </c>
      <c r="N2221" s="7" t="s">
        <v>4862</v>
      </c>
      <c r="O2221" s="7" t="s">
        <v>4863</v>
      </c>
      <c r="P2221" s="7" t="s">
        <v>3493</v>
      </c>
      <c r="Q2221" s="7">
        <v>1.0</v>
      </c>
    </row>
    <row r="2222">
      <c r="A2222" s="7" t="s">
        <v>16706</v>
      </c>
      <c r="B2222" s="7">
        <v>3000514.0</v>
      </c>
      <c r="C2222" s="7" t="s">
        <v>16707</v>
      </c>
      <c r="D2222" s="7" t="s">
        <v>11554</v>
      </c>
      <c r="E2222" s="7" t="s">
        <v>16708</v>
      </c>
      <c r="F2222" s="7" t="s">
        <v>11555</v>
      </c>
      <c r="G2222" s="7" t="s">
        <v>16709</v>
      </c>
      <c r="H2222" s="7" t="s">
        <v>16710</v>
      </c>
      <c r="I2222" s="119">
        <v>45689.0</v>
      </c>
      <c r="K2222" s="7" t="s">
        <v>419</v>
      </c>
      <c r="L2222" s="7" t="s">
        <v>991</v>
      </c>
      <c r="M2222" s="7" t="s">
        <v>3531</v>
      </c>
      <c r="N2222" s="7" t="s">
        <v>7883</v>
      </c>
      <c r="O2222" s="7" t="s">
        <v>7884</v>
      </c>
      <c r="P2222" s="7" t="s">
        <v>3493</v>
      </c>
      <c r="Q2222" s="7">
        <v>1.0</v>
      </c>
    </row>
    <row r="2223">
      <c r="A2223" s="7" t="s">
        <v>16711</v>
      </c>
      <c r="B2223" s="7">
        <v>3000508.0</v>
      </c>
      <c r="C2223" s="7" t="s">
        <v>6598</v>
      </c>
      <c r="D2223" s="7" t="s">
        <v>16712</v>
      </c>
      <c r="E2223" s="7" t="s">
        <v>6599</v>
      </c>
      <c r="F2223" s="7" t="s">
        <v>16713</v>
      </c>
      <c r="G2223" s="7" t="s">
        <v>16714</v>
      </c>
      <c r="H2223" s="7" t="s">
        <v>16715</v>
      </c>
      <c r="I2223" s="119">
        <v>45689.0</v>
      </c>
      <c r="K2223" s="7" t="s">
        <v>3642</v>
      </c>
      <c r="L2223" s="7" t="s">
        <v>991</v>
      </c>
      <c r="M2223" s="7" t="s">
        <v>3501</v>
      </c>
      <c r="N2223" s="7" t="s">
        <v>3643</v>
      </c>
      <c r="O2223" s="7" t="s">
        <v>3644</v>
      </c>
      <c r="P2223" s="7" t="s">
        <v>3493</v>
      </c>
      <c r="Q2223" s="7">
        <v>1.0</v>
      </c>
    </row>
    <row r="2224">
      <c r="A2224" s="7" t="s">
        <v>16716</v>
      </c>
      <c r="B2224" s="7">
        <v>3000433.0</v>
      </c>
      <c r="C2224" s="7" t="s">
        <v>16717</v>
      </c>
      <c r="D2224" s="7" t="s">
        <v>16718</v>
      </c>
      <c r="E2224" s="7" t="s">
        <v>16719</v>
      </c>
      <c r="F2224" s="7" t="s">
        <v>4917</v>
      </c>
      <c r="G2224" s="7" t="s">
        <v>16720</v>
      </c>
      <c r="H2224" s="7" t="s">
        <v>16721</v>
      </c>
      <c r="I2224" s="119">
        <v>45689.0</v>
      </c>
      <c r="K2224" s="7" t="s">
        <v>419</v>
      </c>
      <c r="L2224" s="7" t="s">
        <v>991</v>
      </c>
      <c r="M2224" s="7" t="s">
        <v>3501</v>
      </c>
      <c r="N2224" s="7" t="s">
        <v>4103</v>
      </c>
      <c r="O2224" s="7" t="s">
        <v>4104</v>
      </c>
      <c r="P2224" s="7" t="s">
        <v>3493</v>
      </c>
      <c r="Q2224" s="7">
        <v>1.0</v>
      </c>
    </row>
    <row r="2225">
      <c r="A2225" s="7" t="s">
        <v>16722</v>
      </c>
      <c r="B2225" s="7">
        <v>3000507.0</v>
      </c>
      <c r="C2225" s="7" t="s">
        <v>8429</v>
      </c>
      <c r="D2225" s="7" t="s">
        <v>16723</v>
      </c>
      <c r="E2225" s="7" t="s">
        <v>8431</v>
      </c>
      <c r="F2225" s="7" t="s">
        <v>3909</v>
      </c>
      <c r="G2225" s="7" t="s">
        <v>16724</v>
      </c>
      <c r="H2225" s="7" t="s">
        <v>16725</v>
      </c>
      <c r="I2225" s="119">
        <v>45689.0</v>
      </c>
      <c r="K2225" s="7" t="s">
        <v>3642</v>
      </c>
      <c r="L2225" s="7" t="s">
        <v>991</v>
      </c>
      <c r="M2225" s="7" t="s">
        <v>3501</v>
      </c>
      <c r="N2225" s="7" t="s">
        <v>3643</v>
      </c>
      <c r="O2225" s="7" t="s">
        <v>3644</v>
      </c>
      <c r="P2225" s="7" t="s">
        <v>3493</v>
      </c>
      <c r="Q2225" s="7">
        <v>1.0</v>
      </c>
    </row>
    <row r="2226">
      <c r="A2226" s="7" t="s">
        <v>16726</v>
      </c>
      <c r="B2226" s="7">
        <v>3000467.0</v>
      </c>
      <c r="C2226" s="7" t="s">
        <v>9334</v>
      </c>
      <c r="D2226" s="7" t="s">
        <v>14926</v>
      </c>
      <c r="E2226" s="7" t="s">
        <v>9335</v>
      </c>
      <c r="F2226" s="7" t="s">
        <v>10866</v>
      </c>
      <c r="G2226" s="7" t="s">
        <v>16727</v>
      </c>
      <c r="H2226" s="7" t="s">
        <v>16728</v>
      </c>
      <c r="I2226" s="119">
        <v>45689.0</v>
      </c>
      <c r="K2226" s="7" t="s">
        <v>419</v>
      </c>
      <c r="L2226" s="7" t="s">
        <v>991</v>
      </c>
      <c r="M2226" s="7" t="s">
        <v>3501</v>
      </c>
      <c r="N2226" s="7" t="s">
        <v>5326</v>
      </c>
      <c r="O2226" s="7" t="s">
        <v>5327</v>
      </c>
      <c r="P2226" s="7" t="s">
        <v>3493</v>
      </c>
      <c r="Q2226" s="7">
        <v>1.0</v>
      </c>
    </row>
    <row r="2227">
      <c r="A2227" s="7" t="s">
        <v>16729</v>
      </c>
      <c r="B2227" s="7">
        <v>3000505.0</v>
      </c>
      <c r="C2227" s="7" t="s">
        <v>9549</v>
      </c>
      <c r="D2227" s="7" t="s">
        <v>10344</v>
      </c>
      <c r="E2227" s="7" t="s">
        <v>9551</v>
      </c>
      <c r="F2227" s="7" t="s">
        <v>6806</v>
      </c>
      <c r="G2227" s="7" t="s">
        <v>16730</v>
      </c>
      <c r="H2227" s="7" t="s">
        <v>16731</v>
      </c>
      <c r="I2227" s="119">
        <v>45689.0</v>
      </c>
      <c r="K2227" s="7" t="s">
        <v>3642</v>
      </c>
      <c r="L2227" s="7" t="s">
        <v>991</v>
      </c>
      <c r="M2227" s="7" t="s">
        <v>3501</v>
      </c>
      <c r="N2227" s="7" t="s">
        <v>3643</v>
      </c>
      <c r="O2227" s="7" t="s">
        <v>3644</v>
      </c>
      <c r="P2227" s="7" t="s">
        <v>3493</v>
      </c>
      <c r="Q2227" s="7">
        <v>1.0</v>
      </c>
    </row>
    <row r="2228">
      <c r="A2228" s="7" t="s">
        <v>16732</v>
      </c>
      <c r="B2228" s="7">
        <v>3000510.0</v>
      </c>
      <c r="C2228" s="7" t="s">
        <v>9570</v>
      </c>
      <c r="D2228" s="7" t="s">
        <v>4892</v>
      </c>
      <c r="E2228" s="7" t="s">
        <v>9572</v>
      </c>
      <c r="F2228" s="7" t="s">
        <v>4893</v>
      </c>
      <c r="G2228" s="7" t="s">
        <v>16733</v>
      </c>
      <c r="H2228" s="7" t="s">
        <v>16734</v>
      </c>
      <c r="I2228" s="119">
        <v>45689.0</v>
      </c>
      <c r="K2228" s="7" t="s">
        <v>419</v>
      </c>
      <c r="L2228" s="7" t="s">
        <v>991</v>
      </c>
      <c r="M2228" s="7" t="s">
        <v>3531</v>
      </c>
      <c r="N2228" s="7" t="s">
        <v>4834</v>
      </c>
      <c r="O2228" s="7" t="s">
        <v>4835</v>
      </c>
      <c r="P2228" s="7" t="s">
        <v>3493</v>
      </c>
      <c r="Q2228" s="7">
        <v>1.0</v>
      </c>
    </row>
    <row r="2229">
      <c r="A2229" s="7" t="s">
        <v>16735</v>
      </c>
      <c r="B2229" s="7">
        <v>3000506.0</v>
      </c>
      <c r="C2229" s="7" t="s">
        <v>16736</v>
      </c>
      <c r="D2229" s="7" t="s">
        <v>4247</v>
      </c>
      <c r="E2229" s="7" t="s">
        <v>9974</v>
      </c>
      <c r="F2229" s="7" t="s">
        <v>3818</v>
      </c>
      <c r="G2229" s="7" t="s">
        <v>16737</v>
      </c>
      <c r="H2229" s="7" t="s">
        <v>16738</v>
      </c>
      <c r="I2229" s="119">
        <v>45689.0</v>
      </c>
      <c r="K2229" s="7" t="s">
        <v>3642</v>
      </c>
      <c r="L2229" s="7" t="s">
        <v>991</v>
      </c>
      <c r="M2229" s="7" t="s">
        <v>3583</v>
      </c>
      <c r="N2229" s="7" t="s">
        <v>3643</v>
      </c>
      <c r="O2229" s="7" t="s">
        <v>3644</v>
      </c>
      <c r="P2229" s="7" t="s">
        <v>3493</v>
      </c>
      <c r="Q2229" s="7">
        <v>1.0</v>
      </c>
    </row>
    <row r="2230">
      <c r="A2230" s="7" t="s">
        <v>16739</v>
      </c>
      <c r="B2230" s="7">
        <v>3000500.0</v>
      </c>
      <c r="C2230" s="7" t="s">
        <v>16740</v>
      </c>
      <c r="D2230" s="7" t="s">
        <v>16741</v>
      </c>
      <c r="E2230" s="7" t="s">
        <v>16740</v>
      </c>
      <c r="F2230" s="7" t="s">
        <v>16741</v>
      </c>
      <c r="G2230" s="7" t="s">
        <v>16742</v>
      </c>
      <c r="H2230" s="7" t="s">
        <v>16743</v>
      </c>
      <c r="I2230" s="119">
        <v>45689.0</v>
      </c>
      <c r="K2230" s="7" t="s">
        <v>419</v>
      </c>
      <c r="L2230" s="7" t="s">
        <v>991</v>
      </c>
      <c r="M2230" s="7" t="s">
        <v>3583</v>
      </c>
      <c r="N2230" s="7" t="s">
        <v>4862</v>
      </c>
      <c r="O2230" s="7" t="s">
        <v>4863</v>
      </c>
      <c r="P2230" s="7" t="s">
        <v>3493</v>
      </c>
      <c r="Q2230" s="7">
        <v>1.0</v>
      </c>
    </row>
    <row r="2231">
      <c r="A2231" s="7" t="s">
        <v>16744</v>
      </c>
      <c r="B2231" s="7">
        <v>3000434.0</v>
      </c>
      <c r="C2231" s="7" t="s">
        <v>10594</v>
      </c>
      <c r="D2231" s="7" t="s">
        <v>16745</v>
      </c>
      <c r="E2231" s="7" t="s">
        <v>10595</v>
      </c>
      <c r="F2231" s="7" t="s">
        <v>8877</v>
      </c>
      <c r="G2231" s="7" t="s">
        <v>16746</v>
      </c>
      <c r="H2231" s="7" t="s">
        <v>16747</v>
      </c>
      <c r="I2231" s="119">
        <v>45689.0</v>
      </c>
      <c r="K2231" s="7" t="s">
        <v>419</v>
      </c>
      <c r="L2231" s="7" t="s">
        <v>991</v>
      </c>
      <c r="M2231" s="7" t="s">
        <v>3501</v>
      </c>
      <c r="N2231" s="7" t="s">
        <v>5320</v>
      </c>
      <c r="O2231" s="7" t="s">
        <v>5321</v>
      </c>
      <c r="P2231" s="7" t="s">
        <v>3493</v>
      </c>
      <c r="Q2231" s="7">
        <v>1.0</v>
      </c>
    </row>
    <row r="2232">
      <c r="A2232" s="7" t="s">
        <v>16748</v>
      </c>
      <c r="B2232" s="7">
        <v>3000386.0</v>
      </c>
      <c r="C2232" s="7" t="s">
        <v>16749</v>
      </c>
      <c r="D2232" s="7" t="s">
        <v>16750</v>
      </c>
      <c r="E2232" s="7" t="s">
        <v>16751</v>
      </c>
      <c r="F2232" s="7" t="s">
        <v>3739</v>
      </c>
      <c r="G2232" s="7" t="s">
        <v>16752</v>
      </c>
      <c r="H2232" s="7" t="s">
        <v>16753</v>
      </c>
      <c r="I2232" s="119">
        <v>45689.0</v>
      </c>
      <c r="K2232" s="7" t="s">
        <v>419</v>
      </c>
      <c r="L2232" s="7" t="s">
        <v>991</v>
      </c>
      <c r="M2232" s="7" t="s">
        <v>3490</v>
      </c>
      <c r="N2232" s="7" t="s">
        <v>7662</v>
      </c>
      <c r="O2232" s="7" t="s">
        <v>7663</v>
      </c>
      <c r="P2232" s="7" t="s">
        <v>3493</v>
      </c>
      <c r="Q2232" s="7">
        <v>1.0</v>
      </c>
    </row>
    <row r="2233">
      <c r="A2233" s="7" t="s">
        <v>16754</v>
      </c>
      <c r="B2233" s="7">
        <v>3000498.0</v>
      </c>
      <c r="C2233" s="7" t="s">
        <v>16755</v>
      </c>
      <c r="D2233" s="7" t="s">
        <v>16756</v>
      </c>
      <c r="E2233" s="7" t="s">
        <v>16757</v>
      </c>
      <c r="F2233" s="7" t="s">
        <v>16758</v>
      </c>
      <c r="G2233" s="7" t="s">
        <v>16759</v>
      </c>
      <c r="H2233" s="7" t="s">
        <v>16760</v>
      </c>
      <c r="I2233" s="119">
        <v>45689.0</v>
      </c>
      <c r="K2233" s="7" t="s">
        <v>419</v>
      </c>
      <c r="L2233" s="7" t="s">
        <v>991</v>
      </c>
      <c r="M2233" s="7" t="s">
        <v>3583</v>
      </c>
      <c r="N2233" s="7" t="s">
        <v>4021</v>
      </c>
      <c r="O2233" s="7" t="s">
        <v>16761</v>
      </c>
      <c r="P2233" s="7" t="s">
        <v>3522</v>
      </c>
      <c r="Q2233" s="7" t="s">
        <v>3523</v>
      </c>
    </row>
    <row r="2234">
      <c r="A2234" s="7" t="s">
        <v>16762</v>
      </c>
      <c r="B2234" s="7">
        <v>3000497.0</v>
      </c>
      <c r="C2234" s="7" t="s">
        <v>16763</v>
      </c>
      <c r="D2234" s="7" t="s">
        <v>16764</v>
      </c>
      <c r="E2234" s="7" t="s">
        <v>16765</v>
      </c>
      <c r="F2234" s="7" t="s">
        <v>4478</v>
      </c>
      <c r="G2234" s="7" t="s">
        <v>16766</v>
      </c>
      <c r="H2234" s="7" t="s">
        <v>16767</v>
      </c>
      <c r="I2234" s="119">
        <v>45689.0</v>
      </c>
      <c r="K2234" s="7" t="s">
        <v>419</v>
      </c>
      <c r="L2234" s="7" t="s">
        <v>991</v>
      </c>
      <c r="M2234" s="7" t="s">
        <v>3501</v>
      </c>
      <c r="N2234" s="7" t="s">
        <v>4096</v>
      </c>
      <c r="O2234" s="7" t="s">
        <v>4097</v>
      </c>
      <c r="P2234" s="7" t="s">
        <v>3493</v>
      </c>
      <c r="Q2234" s="7">
        <v>1.0</v>
      </c>
    </row>
    <row r="2235">
      <c r="A2235" s="7" t="s">
        <v>16768</v>
      </c>
      <c r="B2235" s="7">
        <v>3000494.0</v>
      </c>
      <c r="C2235" s="7" t="s">
        <v>16769</v>
      </c>
      <c r="D2235" s="7" t="s">
        <v>16770</v>
      </c>
      <c r="E2235" s="7" t="s">
        <v>13141</v>
      </c>
      <c r="F2235" s="7" t="s">
        <v>4917</v>
      </c>
      <c r="G2235" s="7" t="s">
        <v>16771</v>
      </c>
      <c r="H2235" s="7" t="s">
        <v>16772</v>
      </c>
      <c r="I2235" s="119">
        <v>45689.0</v>
      </c>
      <c r="K2235" s="7" t="s">
        <v>419</v>
      </c>
      <c r="L2235" s="7" t="s">
        <v>991</v>
      </c>
      <c r="M2235" s="7" t="s">
        <v>3501</v>
      </c>
      <c r="N2235" s="7" t="s">
        <v>7139</v>
      </c>
      <c r="O2235" s="7" t="s">
        <v>7140</v>
      </c>
      <c r="P2235" s="7" t="s">
        <v>3493</v>
      </c>
      <c r="Q2235" s="7">
        <v>1.0</v>
      </c>
    </row>
    <row r="2236">
      <c r="A2236" s="7" t="s">
        <v>16773</v>
      </c>
      <c r="B2236" s="7">
        <v>3000534.0</v>
      </c>
      <c r="C2236" s="7" t="s">
        <v>6804</v>
      </c>
      <c r="D2236" s="7" t="s">
        <v>10195</v>
      </c>
      <c r="E2236" s="7" t="s">
        <v>6799</v>
      </c>
      <c r="F2236" s="7" t="s">
        <v>3874</v>
      </c>
      <c r="G2236" s="7" t="s">
        <v>16774</v>
      </c>
      <c r="I2236" s="119">
        <v>45704.0</v>
      </c>
      <c r="K2236" s="7" t="s">
        <v>419</v>
      </c>
      <c r="L2236" s="7" t="s">
        <v>991</v>
      </c>
      <c r="M2236" s="7" t="s">
        <v>3531</v>
      </c>
      <c r="N2236" s="7" t="s">
        <v>9102</v>
      </c>
      <c r="O2236" s="7" t="s">
        <v>9103</v>
      </c>
      <c r="P2236" s="7" t="s">
        <v>3493</v>
      </c>
      <c r="Q2236" s="7">
        <v>1.0</v>
      </c>
    </row>
    <row r="2237">
      <c r="A2237" s="7" t="s">
        <v>16775</v>
      </c>
      <c r="B2237" s="7">
        <v>3000538.0</v>
      </c>
      <c r="C2237" s="7" t="s">
        <v>16776</v>
      </c>
      <c r="D2237" s="7" t="s">
        <v>16777</v>
      </c>
      <c r="E2237" s="7" t="s">
        <v>16778</v>
      </c>
      <c r="F2237" s="7" t="s">
        <v>16779</v>
      </c>
      <c r="G2237" s="7" t="s">
        <v>16780</v>
      </c>
      <c r="H2237" s="7" t="s">
        <v>16781</v>
      </c>
      <c r="I2237" s="119">
        <v>45704.0</v>
      </c>
      <c r="K2237" s="7" t="s">
        <v>3622</v>
      </c>
      <c r="L2237" s="7" t="s">
        <v>991</v>
      </c>
      <c r="M2237" s="7" t="s">
        <v>3531</v>
      </c>
      <c r="N2237" s="7" t="s">
        <v>3623</v>
      </c>
      <c r="O2237" s="7" t="s">
        <v>3624</v>
      </c>
      <c r="P2237" s="7" t="s">
        <v>3493</v>
      </c>
      <c r="Q2237" s="7">
        <v>1.0</v>
      </c>
    </row>
    <row r="2238">
      <c r="A2238" s="7" t="s">
        <v>16782</v>
      </c>
      <c r="B2238" s="7">
        <v>3000410.0</v>
      </c>
      <c r="C2238" s="7" t="s">
        <v>8429</v>
      </c>
      <c r="D2238" s="7" t="s">
        <v>16783</v>
      </c>
      <c r="E2238" s="7" t="s">
        <v>8431</v>
      </c>
      <c r="F2238" s="7" t="s">
        <v>5049</v>
      </c>
      <c r="G2238" s="7" t="s">
        <v>16784</v>
      </c>
      <c r="H2238" s="7" t="s">
        <v>16785</v>
      </c>
      <c r="I2238" s="119">
        <v>45704.0</v>
      </c>
      <c r="K2238" s="7" t="s">
        <v>419</v>
      </c>
      <c r="L2238" s="7" t="s">
        <v>991</v>
      </c>
      <c r="M2238" s="7" t="s">
        <v>3501</v>
      </c>
      <c r="N2238" s="7" t="s">
        <v>7623</v>
      </c>
      <c r="O2238" s="7" t="s">
        <v>7624</v>
      </c>
      <c r="P2238" s="7" t="s">
        <v>3522</v>
      </c>
      <c r="Q2238" s="7" t="s">
        <v>3523</v>
      </c>
    </row>
    <row r="2239">
      <c r="A2239" s="7" t="s">
        <v>16786</v>
      </c>
      <c r="B2239" s="7">
        <v>3000490.0</v>
      </c>
      <c r="C2239" s="7" t="s">
        <v>8429</v>
      </c>
      <c r="D2239" s="7" t="s">
        <v>16787</v>
      </c>
      <c r="E2239" s="7" t="s">
        <v>8431</v>
      </c>
      <c r="F2239" s="7" t="s">
        <v>16788</v>
      </c>
      <c r="G2239" s="7" t="s">
        <v>16789</v>
      </c>
      <c r="H2239" s="7" t="s">
        <v>16790</v>
      </c>
      <c r="I2239" s="119">
        <v>45704.0</v>
      </c>
      <c r="K2239" s="7" t="s">
        <v>419</v>
      </c>
      <c r="L2239" s="7" t="s">
        <v>991</v>
      </c>
      <c r="M2239" s="7" t="s">
        <v>3501</v>
      </c>
      <c r="N2239" s="7" t="s">
        <v>5780</v>
      </c>
      <c r="O2239" s="7" t="s">
        <v>5781</v>
      </c>
      <c r="P2239" s="7" t="s">
        <v>3493</v>
      </c>
      <c r="Q2239" s="7">
        <v>1.0</v>
      </c>
    </row>
    <row r="2240">
      <c r="A2240" s="7" t="s">
        <v>16791</v>
      </c>
      <c r="B2240" s="7">
        <v>3000540.0</v>
      </c>
      <c r="C2240" s="7" t="s">
        <v>9339</v>
      </c>
      <c r="D2240" s="7" t="s">
        <v>16792</v>
      </c>
      <c r="E2240" s="7" t="s">
        <v>9341</v>
      </c>
      <c r="F2240" s="7" t="s">
        <v>9975</v>
      </c>
      <c r="G2240" s="7" t="s">
        <v>16793</v>
      </c>
      <c r="H2240" s="7" t="s">
        <v>16794</v>
      </c>
      <c r="I2240" s="119">
        <v>45704.0</v>
      </c>
      <c r="K2240" s="7" t="s">
        <v>419</v>
      </c>
      <c r="L2240" s="7" t="s">
        <v>991</v>
      </c>
      <c r="M2240" s="7" t="s">
        <v>3531</v>
      </c>
      <c r="N2240" s="7" t="s">
        <v>4834</v>
      </c>
      <c r="O2240" s="7" t="s">
        <v>4835</v>
      </c>
      <c r="P2240" s="7" t="s">
        <v>3493</v>
      </c>
      <c r="Q2240" s="7">
        <v>1.0</v>
      </c>
    </row>
    <row r="2241">
      <c r="A2241" s="7" t="s">
        <v>16795</v>
      </c>
      <c r="B2241" s="7">
        <v>3000543.0</v>
      </c>
      <c r="C2241" s="7" t="s">
        <v>16796</v>
      </c>
      <c r="D2241" s="7" t="s">
        <v>16797</v>
      </c>
      <c r="E2241" s="7" t="s">
        <v>16798</v>
      </c>
      <c r="F2241" s="7" t="s">
        <v>9672</v>
      </c>
      <c r="G2241" s="7" t="s">
        <v>16799</v>
      </c>
      <c r="H2241" s="7" t="s">
        <v>16800</v>
      </c>
      <c r="I2241" s="119">
        <v>45704.0</v>
      </c>
      <c r="K2241" s="7" t="s">
        <v>419</v>
      </c>
      <c r="L2241" s="7" t="s">
        <v>991</v>
      </c>
      <c r="M2241" s="7" t="s">
        <v>3531</v>
      </c>
      <c r="N2241" s="7" t="s">
        <v>6506</v>
      </c>
      <c r="O2241" s="7" t="s">
        <v>16801</v>
      </c>
      <c r="P2241" s="7" t="s">
        <v>3493</v>
      </c>
      <c r="Q2241" s="7">
        <v>1.0</v>
      </c>
    </row>
    <row r="2242">
      <c r="A2242" s="7" t="s">
        <v>16802</v>
      </c>
      <c r="B2242" s="7">
        <v>3000541.0</v>
      </c>
      <c r="C2242" s="7" t="s">
        <v>16457</v>
      </c>
      <c r="D2242" s="7" t="s">
        <v>16803</v>
      </c>
      <c r="E2242" s="7" t="s">
        <v>16459</v>
      </c>
      <c r="F2242" s="7" t="s">
        <v>8036</v>
      </c>
      <c r="G2242" s="7" t="s">
        <v>16804</v>
      </c>
      <c r="H2242" s="7" t="s">
        <v>16805</v>
      </c>
      <c r="I2242" s="119">
        <v>45704.0</v>
      </c>
      <c r="K2242" s="7" t="s">
        <v>3642</v>
      </c>
      <c r="L2242" s="7" t="s">
        <v>991</v>
      </c>
      <c r="M2242" s="7" t="s">
        <v>3531</v>
      </c>
      <c r="N2242" s="7" t="s">
        <v>3643</v>
      </c>
      <c r="O2242" s="7" t="s">
        <v>3644</v>
      </c>
      <c r="P2242" s="7" t="s">
        <v>3493</v>
      </c>
      <c r="Q2242" s="7">
        <v>1.0</v>
      </c>
    </row>
    <row r="2243">
      <c r="A2243" s="7" t="s">
        <v>16806</v>
      </c>
      <c r="B2243" s="7">
        <v>3000542.0</v>
      </c>
      <c r="C2243" s="7" t="s">
        <v>16807</v>
      </c>
      <c r="D2243" s="7" t="s">
        <v>16808</v>
      </c>
      <c r="E2243" s="7" t="s">
        <v>16809</v>
      </c>
      <c r="F2243" s="7" t="s">
        <v>5849</v>
      </c>
      <c r="G2243" s="7" t="s">
        <v>16810</v>
      </c>
      <c r="H2243" s="7" t="s">
        <v>16811</v>
      </c>
      <c r="I2243" s="119">
        <v>45704.0</v>
      </c>
      <c r="K2243" s="7" t="s">
        <v>3642</v>
      </c>
      <c r="L2243" s="7" t="s">
        <v>991</v>
      </c>
      <c r="M2243" s="7" t="s">
        <v>3501</v>
      </c>
      <c r="N2243" s="7" t="s">
        <v>3643</v>
      </c>
      <c r="O2243" s="7" t="s">
        <v>3644</v>
      </c>
      <c r="P2243" s="7" t="s">
        <v>3493</v>
      </c>
      <c r="Q2243" s="7">
        <v>1.0</v>
      </c>
    </row>
    <row r="2244">
      <c r="A2244" s="7" t="s">
        <v>16812</v>
      </c>
      <c r="B2244" s="7">
        <v>3000530.0</v>
      </c>
      <c r="C2244" s="7" t="s">
        <v>13898</v>
      </c>
      <c r="D2244" s="7" t="s">
        <v>10965</v>
      </c>
      <c r="E2244" s="7" t="s">
        <v>13900</v>
      </c>
      <c r="F2244" s="7" t="s">
        <v>5312</v>
      </c>
      <c r="G2244" s="7" t="s">
        <v>16813</v>
      </c>
      <c r="H2244" s="7" t="s">
        <v>16814</v>
      </c>
      <c r="I2244" s="119">
        <v>45704.0</v>
      </c>
      <c r="K2244" s="7" t="s">
        <v>419</v>
      </c>
      <c r="L2244" s="7" t="s">
        <v>991</v>
      </c>
      <c r="M2244" s="7" t="s">
        <v>3531</v>
      </c>
      <c r="N2244" s="7" t="s">
        <v>8390</v>
      </c>
      <c r="O2244" s="7" t="s">
        <v>8391</v>
      </c>
      <c r="P2244" s="7" t="s">
        <v>3493</v>
      </c>
      <c r="Q2244" s="7">
        <v>1.0</v>
      </c>
    </row>
    <row r="2245">
      <c r="A2245" s="7" t="s">
        <v>16815</v>
      </c>
      <c r="B2245" s="7">
        <v>3000545.0</v>
      </c>
      <c r="C2245" s="7" t="s">
        <v>14145</v>
      </c>
      <c r="D2245" s="7" t="s">
        <v>16816</v>
      </c>
      <c r="E2245" s="7" t="s">
        <v>14147</v>
      </c>
      <c r="F2245" s="7" t="s">
        <v>5908</v>
      </c>
      <c r="G2245" s="7" t="s">
        <v>16817</v>
      </c>
      <c r="H2245" s="7" t="s">
        <v>16818</v>
      </c>
      <c r="I2245" s="119">
        <v>45704.0</v>
      </c>
      <c r="K2245" s="7" t="s">
        <v>3642</v>
      </c>
      <c r="L2245" s="7" t="s">
        <v>991</v>
      </c>
      <c r="M2245" s="7" t="s">
        <v>3501</v>
      </c>
      <c r="N2245" s="7" t="s">
        <v>3643</v>
      </c>
      <c r="O2245" s="7" t="s">
        <v>3644</v>
      </c>
      <c r="P2245" s="7" t="s">
        <v>3493</v>
      </c>
      <c r="Q2245" s="7">
        <v>1.0</v>
      </c>
    </row>
    <row r="2246">
      <c r="A2246" s="7" t="s">
        <v>16819</v>
      </c>
      <c r="B2246" s="7">
        <v>3000569.0</v>
      </c>
      <c r="C2246" s="7" t="s">
        <v>16820</v>
      </c>
      <c r="D2246" s="7" t="s">
        <v>4260</v>
      </c>
      <c r="E2246" s="7" t="s">
        <v>16821</v>
      </c>
      <c r="F2246" s="7" t="s">
        <v>4262</v>
      </c>
      <c r="G2246" s="7" t="s">
        <v>16822</v>
      </c>
      <c r="H2246" s="7" t="s">
        <v>16823</v>
      </c>
      <c r="I2246" s="119">
        <v>45717.0</v>
      </c>
      <c r="K2246" s="7" t="s">
        <v>3632</v>
      </c>
      <c r="L2246" s="7" t="s">
        <v>991</v>
      </c>
      <c r="M2246" s="7" t="s">
        <v>3531</v>
      </c>
      <c r="N2246" s="7" t="s">
        <v>6214</v>
      </c>
      <c r="O2246" s="7" t="s">
        <v>12840</v>
      </c>
      <c r="P2246" s="7" t="s">
        <v>3493</v>
      </c>
      <c r="Q2246" s="7">
        <v>1.0</v>
      </c>
    </row>
    <row r="2247">
      <c r="A2247" s="7" t="s">
        <v>16824</v>
      </c>
      <c r="B2247" s="7">
        <v>3000414.0</v>
      </c>
      <c r="C2247" s="7" t="s">
        <v>16825</v>
      </c>
      <c r="D2247" s="7" t="s">
        <v>16826</v>
      </c>
      <c r="E2247" s="7" t="s">
        <v>16827</v>
      </c>
      <c r="F2247" s="7" t="s">
        <v>9975</v>
      </c>
      <c r="G2247" s="7" t="s">
        <v>16828</v>
      </c>
      <c r="H2247" s="7" t="s">
        <v>16829</v>
      </c>
      <c r="I2247" s="119">
        <v>45717.0</v>
      </c>
      <c r="K2247" s="7" t="s">
        <v>419</v>
      </c>
      <c r="L2247" s="7" t="s">
        <v>991</v>
      </c>
      <c r="M2247" s="7" t="s">
        <v>3501</v>
      </c>
      <c r="N2247" s="7" t="s">
        <v>16830</v>
      </c>
      <c r="O2247" s="7" t="s">
        <v>16831</v>
      </c>
      <c r="P2247" s="7" t="s">
        <v>4420</v>
      </c>
      <c r="Q2247" s="7" t="s">
        <v>3523</v>
      </c>
    </row>
    <row r="2248">
      <c r="A2248" s="7" t="s">
        <v>16832</v>
      </c>
      <c r="B2248" s="7">
        <v>3000575.0</v>
      </c>
      <c r="C2248" s="7" t="s">
        <v>16833</v>
      </c>
      <c r="D2248" s="7" t="s">
        <v>16834</v>
      </c>
      <c r="E2248" s="7" t="s">
        <v>16835</v>
      </c>
      <c r="F2248" s="7" t="s">
        <v>16836</v>
      </c>
      <c r="G2248" s="7" t="s">
        <v>16837</v>
      </c>
      <c r="H2248" s="7" t="s">
        <v>16838</v>
      </c>
      <c r="I2248" s="119">
        <v>45717.0</v>
      </c>
      <c r="K2248" s="7" t="s">
        <v>419</v>
      </c>
      <c r="L2248" s="7" t="s">
        <v>991</v>
      </c>
      <c r="M2248" s="7" t="s">
        <v>3531</v>
      </c>
      <c r="N2248" s="7" t="s">
        <v>5780</v>
      </c>
      <c r="O2248" s="7" t="s">
        <v>5781</v>
      </c>
      <c r="P2248" s="7" t="s">
        <v>3493</v>
      </c>
      <c r="Q2248" s="7">
        <v>1.0</v>
      </c>
    </row>
    <row r="2249">
      <c r="A2249" s="7" t="s">
        <v>16839</v>
      </c>
      <c r="B2249" s="7">
        <v>3000565.0</v>
      </c>
      <c r="C2249" s="7" t="s">
        <v>16840</v>
      </c>
      <c r="D2249" s="7" t="s">
        <v>16841</v>
      </c>
      <c r="E2249" s="7" t="s">
        <v>16842</v>
      </c>
      <c r="F2249" s="7" t="s">
        <v>16843</v>
      </c>
      <c r="G2249" s="7" t="s">
        <v>16844</v>
      </c>
      <c r="H2249" s="7" t="s">
        <v>16845</v>
      </c>
      <c r="I2249" s="119">
        <v>45717.0</v>
      </c>
      <c r="K2249" s="7" t="s">
        <v>419</v>
      </c>
      <c r="L2249" s="7" t="s">
        <v>991</v>
      </c>
      <c r="M2249" s="7" t="s">
        <v>3531</v>
      </c>
      <c r="N2249" s="7" t="s">
        <v>4834</v>
      </c>
      <c r="O2249" s="7" t="s">
        <v>4835</v>
      </c>
      <c r="P2249" s="7" t="s">
        <v>3493</v>
      </c>
      <c r="Q2249" s="7">
        <v>1.0</v>
      </c>
    </row>
    <row r="2250">
      <c r="A2250" s="7" t="s">
        <v>16846</v>
      </c>
      <c r="B2250" s="7">
        <v>3000561.0</v>
      </c>
      <c r="C2250" s="7" t="s">
        <v>16847</v>
      </c>
      <c r="D2250" s="7" t="s">
        <v>16848</v>
      </c>
      <c r="E2250" s="7" t="s">
        <v>16849</v>
      </c>
      <c r="F2250" s="7" t="s">
        <v>9380</v>
      </c>
      <c r="G2250" s="7" t="s">
        <v>16850</v>
      </c>
      <c r="H2250" s="7" t="s">
        <v>16851</v>
      </c>
      <c r="I2250" s="119">
        <v>45717.0</v>
      </c>
      <c r="K2250" s="7" t="s">
        <v>3642</v>
      </c>
      <c r="L2250" s="7" t="s">
        <v>991</v>
      </c>
      <c r="M2250" s="7" t="s">
        <v>3501</v>
      </c>
      <c r="N2250" s="7" t="s">
        <v>3643</v>
      </c>
      <c r="O2250" s="7" t="s">
        <v>3644</v>
      </c>
      <c r="P2250" s="7" t="s">
        <v>3493</v>
      </c>
      <c r="Q2250" s="7">
        <v>1.0</v>
      </c>
    </row>
    <row r="2251">
      <c r="A2251" s="7" t="s">
        <v>16852</v>
      </c>
      <c r="B2251" s="7">
        <v>3000551.0</v>
      </c>
      <c r="C2251" s="7" t="s">
        <v>5292</v>
      </c>
      <c r="D2251" s="7" t="s">
        <v>16853</v>
      </c>
      <c r="E2251" s="7" t="s">
        <v>5294</v>
      </c>
      <c r="F2251" s="7" t="s">
        <v>3721</v>
      </c>
      <c r="G2251" s="7" t="s">
        <v>16854</v>
      </c>
      <c r="I2251" s="119">
        <v>45717.0</v>
      </c>
      <c r="K2251" s="7" t="s">
        <v>419</v>
      </c>
      <c r="L2251" s="7" t="s">
        <v>991</v>
      </c>
      <c r="M2251" s="7" t="s">
        <v>3531</v>
      </c>
      <c r="N2251" s="7" t="s">
        <v>7883</v>
      </c>
      <c r="O2251" s="7" t="s">
        <v>7884</v>
      </c>
      <c r="P2251" s="7" t="s">
        <v>3493</v>
      </c>
      <c r="Q2251" s="7">
        <v>1.0</v>
      </c>
    </row>
    <row r="2252">
      <c r="A2252" s="7" t="s">
        <v>16855</v>
      </c>
      <c r="B2252" s="7">
        <v>3000550.0</v>
      </c>
      <c r="C2252" s="7" t="s">
        <v>16856</v>
      </c>
      <c r="D2252" s="7" t="s">
        <v>13474</v>
      </c>
      <c r="E2252" s="7" t="s">
        <v>16857</v>
      </c>
      <c r="F2252" s="7" t="s">
        <v>5369</v>
      </c>
      <c r="G2252" s="7" t="s">
        <v>16858</v>
      </c>
      <c r="H2252" s="7" t="s">
        <v>16859</v>
      </c>
      <c r="I2252" s="119">
        <v>45717.0</v>
      </c>
      <c r="K2252" s="7" t="s">
        <v>3632</v>
      </c>
      <c r="L2252" s="7" t="s">
        <v>991</v>
      </c>
      <c r="M2252" s="7" t="s">
        <v>3583</v>
      </c>
      <c r="N2252" s="7" t="s">
        <v>4190</v>
      </c>
      <c r="O2252" s="7" t="s">
        <v>4191</v>
      </c>
      <c r="P2252" s="7" t="s">
        <v>3493</v>
      </c>
      <c r="Q2252" s="7">
        <v>1.0</v>
      </c>
    </row>
    <row r="2253">
      <c r="A2253" s="7" t="s">
        <v>16860</v>
      </c>
      <c r="B2253" s="7">
        <v>3000552.0</v>
      </c>
      <c r="C2253" s="7" t="s">
        <v>6991</v>
      </c>
      <c r="D2253" s="7" t="s">
        <v>16861</v>
      </c>
      <c r="E2253" s="7" t="s">
        <v>6993</v>
      </c>
      <c r="F2253" s="7" t="s">
        <v>5522</v>
      </c>
      <c r="G2253" s="7" t="s">
        <v>16862</v>
      </c>
      <c r="H2253" s="7" t="s">
        <v>16863</v>
      </c>
      <c r="I2253" s="119">
        <v>45717.0</v>
      </c>
      <c r="K2253" s="7" t="s">
        <v>3632</v>
      </c>
      <c r="L2253" s="7" t="s">
        <v>991</v>
      </c>
      <c r="M2253" s="7" t="s">
        <v>3583</v>
      </c>
      <c r="N2253" s="7" t="s">
        <v>5990</v>
      </c>
      <c r="O2253" s="7" t="s">
        <v>16864</v>
      </c>
      <c r="P2253" s="7" t="s">
        <v>3522</v>
      </c>
      <c r="Q2253" s="7" t="s">
        <v>3523</v>
      </c>
    </row>
    <row r="2254">
      <c r="A2254" s="7" t="s">
        <v>16865</v>
      </c>
      <c r="B2254" s="7">
        <v>3000574.0</v>
      </c>
      <c r="C2254" s="7" t="s">
        <v>7031</v>
      </c>
      <c r="D2254" s="7" t="s">
        <v>8437</v>
      </c>
      <c r="E2254" s="7" t="s">
        <v>7033</v>
      </c>
      <c r="F2254" s="7" t="s">
        <v>5441</v>
      </c>
      <c r="G2254" s="7" t="s">
        <v>16866</v>
      </c>
      <c r="H2254" s="7" t="s">
        <v>16867</v>
      </c>
      <c r="I2254" s="119">
        <v>45717.0</v>
      </c>
      <c r="K2254" s="7" t="s">
        <v>419</v>
      </c>
      <c r="L2254" s="7" t="s">
        <v>991</v>
      </c>
      <c r="M2254" s="7" t="s">
        <v>3531</v>
      </c>
      <c r="N2254" s="7" t="s">
        <v>5780</v>
      </c>
      <c r="O2254" s="7" t="s">
        <v>5781</v>
      </c>
      <c r="P2254" s="7" t="s">
        <v>3493</v>
      </c>
      <c r="Q2254" s="7">
        <v>1.0</v>
      </c>
    </row>
    <row r="2255">
      <c r="A2255" s="7" t="s">
        <v>16868</v>
      </c>
      <c r="B2255" s="7">
        <v>3000585.0</v>
      </c>
      <c r="C2255" s="7" t="s">
        <v>7126</v>
      </c>
      <c r="D2255" s="7" t="s">
        <v>16869</v>
      </c>
      <c r="E2255" s="7" t="s">
        <v>7128</v>
      </c>
      <c r="F2255" s="7" t="s">
        <v>5441</v>
      </c>
      <c r="G2255" s="7" t="s">
        <v>16870</v>
      </c>
      <c r="H2255" s="7" t="s">
        <v>16871</v>
      </c>
      <c r="I2255" s="119">
        <v>45717.0</v>
      </c>
      <c r="K2255" s="7" t="s">
        <v>419</v>
      </c>
      <c r="L2255" s="7" t="s">
        <v>991</v>
      </c>
      <c r="M2255" s="7" t="s">
        <v>3531</v>
      </c>
      <c r="N2255" s="7" t="s">
        <v>7551</v>
      </c>
      <c r="O2255" s="7" t="s">
        <v>7552</v>
      </c>
      <c r="P2255" s="7" t="s">
        <v>3493</v>
      </c>
      <c r="Q2255" s="7">
        <v>1.0</v>
      </c>
    </row>
    <row r="2256">
      <c r="A2256" s="7" t="s">
        <v>16872</v>
      </c>
      <c r="B2256" s="7">
        <v>3000516.0</v>
      </c>
      <c r="C2256" s="7" t="s">
        <v>7554</v>
      </c>
      <c r="D2256" s="7" t="s">
        <v>8716</v>
      </c>
      <c r="E2256" s="7" t="s">
        <v>16873</v>
      </c>
      <c r="F2256" s="7" t="s">
        <v>5132</v>
      </c>
      <c r="G2256" s="7" t="s">
        <v>16874</v>
      </c>
      <c r="H2256" s="7" t="s">
        <v>16875</v>
      </c>
      <c r="I2256" s="119">
        <v>45717.0</v>
      </c>
      <c r="K2256" s="7" t="s">
        <v>419</v>
      </c>
      <c r="L2256" s="7" t="s">
        <v>991</v>
      </c>
      <c r="M2256" s="7" t="s">
        <v>3501</v>
      </c>
      <c r="N2256" s="7" t="s">
        <v>8478</v>
      </c>
      <c r="O2256" s="7" t="s">
        <v>11111</v>
      </c>
      <c r="P2256" s="7" t="s">
        <v>3493</v>
      </c>
      <c r="Q2256" s="7">
        <v>1.0</v>
      </c>
    </row>
    <row r="2257">
      <c r="A2257" s="7" t="s">
        <v>16876</v>
      </c>
      <c r="B2257" s="7">
        <v>3000556.0</v>
      </c>
      <c r="C2257" s="7" t="s">
        <v>16877</v>
      </c>
      <c r="D2257" s="7" t="s">
        <v>16878</v>
      </c>
      <c r="E2257" s="7" t="s">
        <v>16879</v>
      </c>
      <c r="F2257" s="7" t="s">
        <v>16293</v>
      </c>
      <c r="G2257" s="7" t="s">
        <v>16880</v>
      </c>
      <c r="H2257" s="7" t="s">
        <v>16881</v>
      </c>
      <c r="I2257" s="119">
        <v>45717.0</v>
      </c>
      <c r="K2257" s="7" t="s">
        <v>419</v>
      </c>
      <c r="L2257" s="7" t="s">
        <v>991</v>
      </c>
      <c r="M2257" s="7" t="s">
        <v>3531</v>
      </c>
      <c r="N2257" s="7" t="s">
        <v>10801</v>
      </c>
      <c r="O2257" s="7" t="s">
        <v>10802</v>
      </c>
      <c r="P2257" s="7" t="s">
        <v>3493</v>
      </c>
      <c r="Q2257" s="7">
        <v>1.0</v>
      </c>
    </row>
    <row r="2258">
      <c r="A2258" s="7" t="s">
        <v>16882</v>
      </c>
      <c r="B2258" s="7">
        <v>3000557.0</v>
      </c>
      <c r="C2258" s="7" t="s">
        <v>16883</v>
      </c>
      <c r="D2258" s="7" t="s">
        <v>16884</v>
      </c>
      <c r="E2258" s="7" t="s">
        <v>7854</v>
      </c>
      <c r="F2258" s="7" t="s">
        <v>16885</v>
      </c>
      <c r="G2258" s="7" t="s">
        <v>16886</v>
      </c>
      <c r="H2258" s="7" t="s">
        <v>16887</v>
      </c>
      <c r="I2258" s="119">
        <v>45717.0</v>
      </c>
      <c r="K2258" s="7" t="s">
        <v>3632</v>
      </c>
      <c r="L2258" s="7" t="s">
        <v>991</v>
      </c>
      <c r="M2258" s="7" t="s">
        <v>3531</v>
      </c>
      <c r="N2258" s="7" t="s">
        <v>7046</v>
      </c>
      <c r="O2258" s="7" t="s">
        <v>16888</v>
      </c>
      <c r="P2258" s="7" t="s">
        <v>3493</v>
      </c>
      <c r="Q2258" s="7">
        <v>1.0</v>
      </c>
    </row>
    <row r="2259">
      <c r="A2259" s="7" t="s">
        <v>16889</v>
      </c>
      <c r="B2259" s="7">
        <v>3000573.0</v>
      </c>
      <c r="C2259" s="7" t="s">
        <v>8352</v>
      </c>
      <c r="D2259" s="7" t="s">
        <v>16890</v>
      </c>
      <c r="E2259" s="7" t="s">
        <v>8354</v>
      </c>
      <c r="F2259" s="7" t="s">
        <v>3692</v>
      </c>
      <c r="G2259" s="7" t="s">
        <v>16891</v>
      </c>
      <c r="H2259" s="7" t="s">
        <v>16892</v>
      </c>
      <c r="I2259" s="119">
        <v>45717.0</v>
      </c>
      <c r="K2259" s="7" t="s">
        <v>419</v>
      </c>
      <c r="L2259" s="7" t="s">
        <v>991</v>
      </c>
      <c r="M2259" s="7" t="s">
        <v>3531</v>
      </c>
      <c r="N2259" s="7" t="s">
        <v>5780</v>
      </c>
      <c r="O2259" s="7" t="s">
        <v>5781</v>
      </c>
      <c r="P2259" s="7" t="s">
        <v>3493</v>
      </c>
      <c r="Q2259" s="7">
        <v>1.0</v>
      </c>
    </row>
    <row r="2260">
      <c r="A2260" s="7" t="s">
        <v>16893</v>
      </c>
      <c r="B2260" s="7">
        <v>3000546.0</v>
      </c>
      <c r="C2260" s="7" t="s">
        <v>8852</v>
      </c>
      <c r="D2260" s="7" t="s">
        <v>16894</v>
      </c>
      <c r="E2260" s="7" t="s">
        <v>8854</v>
      </c>
      <c r="F2260" s="7" t="s">
        <v>16895</v>
      </c>
      <c r="G2260" s="7" t="s">
        <v>16896</v>
      </c>
      <c r="H2260" s="7" t="s">
        <v>16897</v>
      </c>
      <c r="I2260" s="119">
        <v>45717.0</v>
      </c>
      <c r="K2260" s="7" t="s">
        <v>419</v>
      </c>
      <c r="L2260" s="7" t="s">
        <v>991</v>
      </c>
      <c r="M2260" s="7" t="s">
        <v>3501</v>
      </c>
      <c r="N2260" s="7" t="s">
        <v>4168</v>
      </c>
      <c r="O2260" s="7" t="s">
        <v>4169</v>
      </c>
      <c r="P2260" s="7" t="s">
        <v>3493</v>
      </c>
      <c r="Q2260" s="7">
        <v>1.0</v>
      </c>
    </row>
    <row r="2261">
      <c r="A2261" s="7" t="s">
        <v>16898</v>
      </c>
      <c r="B2261" s="7">
        <v>3000489.0</v>
      </c>
      <c r="C2261" s="7" t="s">
        <v>8961</v>
      </c>
      <c r="D2261" s="7" t="s">
        <v>16899</v>
      </c>
      <c r="E2261" s="7" t="s">
        <v>8963</v>
      </c>
      <c r="F2261" s="7" t="s">
        <v>16900</v>
      </c>
      <c r="G2261" s="7" t="s">
        <v>16901</v>
      </c>
      <c r="H2261" s="7" t="s">
        <v>16902</v>
      </c>
      <c r="I2261" s="119">
        <v>45717.0</v>
      </c>
      <c r="K2261" s="7" t="s">
        <v>419</v>
      </c>
      <c r="L2261" s="7" t="s">
        <v>991</v>
      </c>
      <c r="M2261" s="7" t="s">
        <v>3501</v>
      </c>
      <c r="N2261" s="7" t="s">
        <v>14622</v>
      </c>
      <c r="O2261" s="7" t="s">
        <v>16903</v>
      </c>
      <c r="P2261" s="7" t="s">
        <v>3604</v>
      </c>
      <c r="Q2261" s="7">
        <v>1.0</v>
      </c>
    </row>
    <row r="2262">
      <c r="A2262" s="7" t="s">
        <v>16904</v>
      </c>
      <c r="B2262" s="7">
        <v>3000577.0</v>
      </c>
      <c r="C2262" s="7" t="s">
        <v>8967</v>
      </c>
      <c r="D2262" s="7" t="s">
        <v>7644</v>
      </c>
      <c r="E2262" s="7" t="s">
        <v>8969</v>
      </c>
      <c r="F2262" s="7" t="s">
        <v>7645</v>
      </c>
      <c r="G2262" s="7" t="s">
        <v>16905</v>
      </c>
      <c r="H2262" s="7" t="s">
        <v>16906</v>
      </c>
      <c r="I2262" s="119">
        <v>45717.0</v>
      </c>
      <c r="K2262" s="7" t="s">
        <v>419</v>
      </c>
      <c r="L2262" s="7" t="s">
        <v>991</v>
      </c>
      <c r="M2262" s="7" t="s">
        <v>3531</v>
      </c>
      <c r="N2262" s="7" t="s">
        <v>7172</v>
      </c>
      <c r="O2262" s="7" t="s">
        <v>16907</v>
      </c>
      <c r="P2262" s="7" t="s">
        <v>3493</v>
      </c>
      <c r="Q2262" s="7">
        <v>1.0</v>
      </c>
    </row>
    <row r="2263">
      <c r="A2263" s="7" t="s">
        <v>16908</v>
      </c>
      <c r="B2263" s="7">
        <v>3000566.0</v>
      </c>
      <c r="C2263" s="7" t="s">
        <v>9735</v>
      </c>
      <c r="D2263" s="7" t="s">
        <v>16909</v>
      </c>
      <c r="E2263" s="7" t="s">
        <v>9736</v>
      </c>
      <c r="F2263" s="7" t="s">
        <v>15036</v>
      </c>
      <c r="G2263" s="7" t="s">
        <v>16910</v>
      </c>
      <c r="H2263" s="7" t="s">
        <v>16911</v>
      </c>
      <c r="I2263" s="119">
        <v>45717.0</v>
      </c>
      <c r="K2263" s="7" t="s">
        <v>3632</v>
      </c>
      <c r="L2263" s="7" t="s">
        <v>991</v>
      </c>
      <c r="M2263" s="7" t="s">
        <v>3501</v>
      </c>
      <c r="N2263" s="7" t="s">
        <v>6526</v>
      </c>
      <c r="O2263" s="7" t="s">
        <v>6527</v>
      </c>
      <c r="P2263" s="7" t="s">
        <v>3522</v>
      </c>
      <c r="Q2263" s="7" t="s">
        <v>3523</v>
      </c>
    </row>
    <row r="2264">
      <c r="A2264" s="7" t="s">
        <v>16912</v>
      </c>
      <c r="B2264" s="7">
        <v>3000564.0</v>
      </c>
      <c r="C2264" s="7" t="s">
        <v>9735</v>
      </c>
      <c r="D2264" s="7" t="s">
        <v>16913</v>
      </c>
      <c r="E2264" s="7" t="s">
        <v>9736</v>
      </c>
      <c r="F2264" s="7" t="s">
        <v>16914</v>
      </c>
      <c r="G2264" s="7" t="s">
        <v>16915</v>
      </c>
      <c r="H2264" s="7" t="s">
        <v>16916</v>
      </c>
      <c r="I2264" s="119">
        <v>45717.0</v>
      </c>
      <c r="K2264" s="7" t="s">
        <v>3642</v>
      </c>
      <c r="L2264" s="7" t="s">
        <v>991</v>
      </c>
      <c r="M2264" s="7" t="s">
        <v>3501</v>
      </c>
      <c r="N2264" s="7" t="s">
        <v>3643</v>
      </c>
      <c r="O2264" s="7" t="s">
        <v>3644</v>
      </c>
      <c r="P2264" s="7" t="s">
        <v>3493</v>
      </c>
      <c r="Q2264" s="7">
        <v>1.0</v>
      </c>
    </row>
    <row r="2265">
      <c r="A2265" s="7" t="s">
        <v>16917</v>
      </c>
      <c r="B2265" s="7">
        <v>3000554.0</v>
      </c>
      <c r="C2265" s="7" t="s">
        <v>16918</v>
      </c>
      <c r="D2265" s="7" t="s">
        <v>16919</v>
      </c>
      <c r="E2265" s="7" t="s">
        <v>16920</v>
      </c>
      <c r="F2265" s="7" t="s">
        <v>16921</v>
      </c>
      <c r="G2265" s="7" t="s">
        <v>16922</v>
      </c>
      <c r="I2265" s="119">
        <v>45717.0</v>
      </c>
      <c r="K2265" s="7" t="s">
        <v>419</v>
      </c>
      <c r="L2265" s="7" t="s">
        <v>991</v>
      </c>
      <c r="M2265" s="7" t="s">
        <v>3531</v>
      </c>
      <c r="N2265" s="7" t="s">
        <v>5111</v>
      </c>
      <c r="O2265" s="7" t="s">
        <v>5112</v>
      </c>
      <c r="P2265" s="7" t="s">
        <v>3493</v>
      </c>
      <c r="Q2265" s="7">
        <v>1.0</v>
      </c>
    </row>
    <row r="2266">
      <c r="A2266" s="7" t="s">
        <v>16923</v>
      </c>
      <c r="B2266" s="7">
        <v>3000495.0</v>
      </c>
      <c r="C2266" s="7" t="s">
        <v>16924</v>
      </c>
      <c r="D2266" s="7" t="s">
        <v>16925</v>
      </c>
      <c r="E2266" s="7" t="s">
        <v>16926</v>
      </c>
      <c r="F2266" s="7" t="s">
        <v>16927</v>
      </c>
      <c r="G2266" s="7" t="s">
        <v>16928</v>
      </c>
      <c r="H2266" s="7" t="s">
        <v>16929</v>
      </c>
      <c r="I2266" s="119">
        <v>45717.0</v>
      </c>
      <c r="K2266" s="7" t="s">
        <v>419</v>
      </c>
      <c r="L2266" s="7" t="s">
        <v>991</v>
      </c>
      <c r="M2266" s="7" t="s">
        <v>3501</v>
      </c>
      <c r="N2266" s="7" t="s">
        <v>6579</v>
      </c>
      <c r="O2266" s="7" t="s">
        <v>6580</v>
      </c>
      <c r="P2266" s="7" t="s">
        <v>3493</v>
      </c>
      <c r="Q2266" s="7">
        <v>1.0</v>
      </c>
    </row>
    <row r="2267">
      <c r="A2267" s="7" t="s">
        <v>16930</v>
      </c>
      <c r="B2267" s="7">
        <v>3000562.0</v>
      </c>
      <c r="C2267" s="7" t="s">
        <v>16931</v>
      </c>
      <c r="D2267" s="7" t="s">
        <v>16932</v>
      </c>
      <c r="E2267" s="7" t="s">
        <v>16933</v>
      </c>
      <c r="F2267" s="7" t="s">
        <v>16934</v>
      </c>
      <c r="G2267" s="7" t="s">
        <v>16935</v>
      </c>
      <c r="H2267" s="7" t="s">
        <v>16936</v>
      </c>
      <c r="I2267" s="119">
        <v>45717.0</v>
      </c>
      <c r="K2267" s="7" t="s">
        <v>3642</v>
      </c>
      <c r="L2267" s="7" t="s">
        <v>991</v>
      </c>
      <c r="M2267" s="7" t="s">
        <v>3501</v>
      </c>
      <c r="N2267" s="7" t="s">
        <v>3643</v>
      </c>
      <c r="O2267" s="7" t="s">
        <v>3644</v>
      </c>
      <c r="P2267" s="7" t="s">
        <v>3493</v>
      </c>
      <c r="Q2267" s="7">
        <v>1.0</v>
      </c>
    </row>
    <row r="2268">
      <c r="A2268" s="7" t="s">
        <v>16937</v>
      </c>
      <c r="B2268" s="7">
        <v>3000436.0</v>
      </c>
      <c r="C2268" s="7" t="s">
        <v>16938</v>
      </c>
      <c r="D2268" s="7" t="s">
        <v>3655</v>
      </c>
      <c r="E2268" s="7" t="s">
        <v>16939</v>
      </c>
      <c r="F2268" s="7" t="s">
        <v>3656</v>
      </c>
      <c r="G2268" s="7" t="s">
        <v>16940</v>
      </c>
      <c r="H2268" s="7" t="s">
        <v>16941</v>
      </c>
      <c r="I2268" s="119">
        <v>45717.0</v>
      </c>
      <c r="K2268" s="7" t="s">
        <v>419</v>
      </c>
      <c r="L2268" s="7" t="s">
        <v>991</v>
      </c>
      <c r="M2268" s="7" t="s">
        <v>3501</v>
      </c>
      <c r="N2268" s="7" t="s">
        <v>12407</v>
      </c>
      <c r="O2268" s="7" t="s">
        <v>12408</v>
      </c>
      <c r="P2268" s="7" t="s">
        <v>3493</v>
      </c>
      <c r="Q2268" s="7">
        <v>1.0</v>
      </c>
    </row>
    <row r="2269">
      <c r="A2269" s="7" t="s">
        <v>16942</v>
      </c>
      <c r="B2269" s="7">
        <v>3000568.0</v>
      </c>
      <c r="C2269" s="7" t="s">
        <v>11019</v>
      </c>
      <c r="D2269" s="7" t="s">
        <v>16943</v>
      </c>
      <c r="E2269" s="7" t="s">
        <v>11020</v>
      </c>
      <c r="F2269" s="7" t="s">
        <v>9944</v>
      </c>
      <c r="G2269" s="7" t="s">
        <v>16944</v>
      </c>
      <c r="H2269" s="7" t="s">
        <v>16945</v>
      </c>
      <c r="I2269" s="119">
        <v>45717.0</v>
      </c>
      <c r="K2269" s="7" t="s">
        <v>3632</v>
      </c>
      <c r="L2269" s="7" t="s">
        <v>991</v>
      </c>
      <c r="M2269" s="7" t="s">
        <v>3583</v>
      </c>
      <c r="N2269" s="7" t="s">
        <v>4190</v>
      </c>
      <c r="O2269" s="7" t="s">
        <v>4191</v>
      </c>
      <c r="P2269" s="7" t="s">
        <v>3493</v>
      </c>
      <c r="Q2269" s="7">
        <v>1.0</v>
      </c>
    </row>
    <row r="2270">
      <c r="A2270" s="7" t="s">
        <v>16946</v>
      </c>
      <c r="B2270" s="7">
        <v>3000570.0</v>
      </c>
      <c r="C2270" s="7" t="s">
        <v>16947</v>
      </c>
      <c r="D2270" s="7" t="s">
        <v>10496</v>
      </c>
      <c r="E2270" s="7" t="s">
        <v>16948</v>
      </c>
      <c r="F2270" s="7" t="s">
        <v>10498</v>
      </c>
      <c r="G2270" s="7" t="s">
        <v>16949</v>
      </c>
      <c r="H2270" s="7" t="s">
        <v>16950</v>
      </c>
      <c r="I2270" s="119">
        <v>45717.0</v>
      </c>
      <c r="K2270" s="7" t="s">
        <v>419</v>
      </c>
      <c r="L2270" s="7" t="s">
        <v>991</v>
      </c>
      <c r="M2270" s="7" t="s">
        <v>3531</v>
      </c>
      <c r="N2270" s="7" t="s">
        <v>3733</v>
      </c>
      <c r="O2270" s="7" t="s">
        <v>3734</v>
      </c>
      <c r="P2270" s="7" t="s">
        <v>3493</v>
      </c>
      <c r="Q2270" s="7">
        <v>1.0</v>
      </c>
    </row>
    <row r="2271">
      <c r="A2271" s="7" t="s">
        <v>16951</v>
      </c>
      <c r="B2271" s="7">
        <v>3000468.0</v>
      </c>
      <c r="C2271" s="7" t="s">
        <v>16952</v>
      </c>
      <c r="D2271" s="7" t="s">
        <v>16953</v>
      </c>
      <c r="E2271" s="7" t="s">
        <v>16954</v>
      </c>
      <c r="F2271" s="7" t="s">
        <v>6335</v>
      </c>
      <c r="G2271" s="7" t="s">
        <v>16955</v>
      </c>
      <c r="H2271" s="7" t="s">
        <v>16956</v>
      </c>
      <c r="I2271" s="119">
        <v>45717.0</v>
      </c>
      <c r="K2271" s="7" t="s">
        <v>419</v>
      </c>
      <c r="L2271" s="7" t="s">
        <v>991</v>
      </c>
      <c r="M2271" s="7" t="s">
        <v>3501</v>
      </c>
      <c r="N2271" s="7" t="s">
        <v>6451</v>
      </c>
      <c r="O2271" s="7" t="s">
        <v>16957</v>
      </c>
      <c r="P2271" s="7" t="s">
        <v>4154</v>
      </c>
      <c r="Q2271" s="7" t="s">
        <v>4155</v>
      </c>
    </row>
    <row r="2272">
      <c r="A2272" s="7" t="s">
        <v>16958</v>
      </c>
      <c r="B2272" s="7">
        <v>3000525.0</v>
      </c>
      <c r="C2272" s="7" t="s">
        <v>12189</v>
      </c>
      <c r="D2272" s="7" t="s">
        <v>5675</v>
      </c>
      <c r="E2272" s="7" t="s">
        <v>12184</v>
      </c>
      <c r="F2272" s="7" t="s">
        <v>4539</v>
      </c>
      <c r="G2272" s="7" t="s">
        <v>16959</v>
      </c>
      <c r="H2272" s="7" t="s">
        <v>16960</v>
      </c>
      <c r="I2272" s="119">
        <v>45717.0</v>
      </c>
      <c r="K2272" s="7" t="s">
        <v>419</v>
      </c>
      <c r="L2272" s="7" t="s">
        <v>991</v>
      </c>
      <c r="M2272" s="7" t="s">
        <v>3501</v>
      </c>
      <c r="N2272" s="7" t="s">
        <v>4933</v>
      </c>
      <c r="O2272" s="7" t="s">
        <v>4934</v>
      </c>
      <c r="P2272" s="7" t="s">
        <v>3493</v>
      </c>
      <c r="Q2272" s="7">
        <v>1.0</v>
      </c>
    </row>
    <row r="2273">
      <c r="A2273" s="7" t="s">
        <v>16961</v>
      </c>
      <c r="B2273" s="7">
        <v>3000571.0</v>
      </c>
      <c r="C2273" s="7" t="s">
        <v>16962</v>
      </c>
      <c r="D2273" s="7" t="s">
        <v>16963</v>
      </c>
      <c r="E2273" s="7" t="s">
        <v>16964</v>
      </c>
      <c r="F2273" s="7" t="s">
        <v>6335</v>
      </c>
      <c r="G2273" s="7" t="s">
        <v>16965</v>
      </c>
      <c r="H2273" s="7" t="s">
        <v>16966</v>
      </c>
      <c r="I2273" s="119">
        <v>45717.0</v>
      </c>
      <c r="K2273" s="7" t="s">
        <v>419</v>
      </c>
      <c r="L2273" s="7" t="s">
        <v>991</v>
      </c>
      <c r="M2273" s="7" t="s">
        <v>3531</v>
      </c>
      <c r="N2273" s="7" t="s">
        <v>5780</v>
      </c>
      <c r="O2273" s="7" t="s">
        <v>5781</v>
      </c>
      <c r="P2273" s="7" t="s">
        <v>3493</v>
      </c>
      <c r="Q2273" s="7">
        <v>1.0</v>
      </c>
    </row>
    <row r="2274">
      <c r="A2274" s="7" t="s">
        <v>16967</v>
      </c>
      <c r="B2274" s="7">
        <v>3000567.0</v>
      </c>
      <c r="C2274" s="7" t="s">
        <v>12771</v>
      </c>
      <c r="D2274" s="7" t="s">
        <v>16968</v>
      </c>
      <c r="E2274" s="7" t="s">
        <v>12765</v>
      </c>
      <c r="F2274" s="7" t="s">
        <v>16969</v>
      </c>
      <c r="G2274" s="7" t="s">
        <v>16970</v>
      </c>
      <c r="H2274" s="7" t="s">
        <v>16971</v>
      </c>
      <c r="I2274" s="119">
        <v>45717.0</v>
      </c>
      <c r="K2274" s="7" t="s">
        <v>3632</v>
      </c>
      <c r="L2274" s="7" t="s">
        <v>991</v>
      </c>
      <c r="M2274" s="7" t="s">
        <v>3583</v>
      </c>
      <c r="N2274" s="7" t="s">
        <v>4274</v>
      </c>
      <c r="O2274" s="7" t="s">
        <v>4275</v>
      </c>
      <c r="P2274" s="7" t="s">
        <v>3522</v>
      </c>
      <c r="Q2274" s="7" t="s">
        <v>3523</v>
      </c>
    </row>
    <row r="2275">
      <c r="A2275" s="7" t="s">
        <v>16972</v>
      </c>
      <c r="B2275" s="7">
        <v>3000560.0</v>
      </c>
      <c r="C2275" s="7" t="s">
        <v>16973</v>
      </c>
      <c r="D2275" s="7" t="s">
        <v>16974</v>
      </c>
      <c r="E2275" s="7" t="s">
        <v>16975</v>
      </c>
      <c r="F2275" s="7" t="s">
        <v>16976</v>
      </c>
      <c r="G2275" s="7" t="s">
        <v>16977</v>
      </c>
      <c r="H2275" s="7" t="s">
        <v>16978</v>
      </c>
      <c r="I2275" s="119">
        <v>45717.0</v>
      </c>
      <c r="K2275" s="7" t="s">
        <v>419</v>
      </c>
      <c r="L2275" s="7" t="s">
        <v>991</v>
      </c>
      <c r="M2275" s="7" t="s">
        <v>3531</v>
      </c>
      <c r="N2275" s="7" t="s">
        <v>6602</v>
      </c>
      <c r="O2275" s="7" t="s">
        <v>6603</v>
      </c>
      <c r="P2275" s="7" t="s">
        <v>3493</v>
      </c>
      <c r="Q2275" s="7">
        <v>1.0</v>
      </c>
    </row>
    <row r="2276">
      <c r="A2276" s="7" t="s">
        <v>16979</v>
      </c>
      <c r="B2276" s="7">
        <v>3000547.0</v>
      </c>
      <c r="C2276" s="7" t="s">
        <v>16980</v>
      </c>
      <c r="D2276" s="7" t="s">
        <v>16981</v>
      </c>
      <c r="E2276" s="7" t="s">
        <v>16982</v>
      </c>
      <c r="F2276" s="7" t="s">
        <v>4441</v>
      </c>
      <c r="G2276" s="7" t="s">
        <v>16983</v>
      </c>
      <c r="H2276" s="7" t="s">
        <v>16984</v>
      </c>
      <c r="I2276" s="119">
        <v>45717.0</v>
      </c>
      <c r="K2276" s="7" t="s">
        <v>419</v>
      </c>
      <c r="L2276" s="7" t="s">
        <v>991</v>
      </c>
      <c r="M2276" s="7" t="s">
        <v>3501</v>
      </c>
      <c r="N2276" s="7" t="s">
        <v>5746</v>
      </c>
      <c r="O2276" s="7" t="s">
        <v>5747</v>
      </c>
      <c r="P2276" s="7" t="s">
        <v>3493</v>
      </c>
      <c r="Q2276" s="7">
        <v>1.0</v>
      </c>
    </row>
    <row r="2277">
      <c r="A2277" s="7" t="s">
        <v>16985</v>
      </c>
      <c r="B2277" s="7">
        <v>3000553.0</v>
      </c>
      <c r="C2277" s="7" t="s">
        <v>13460</v>
      </c>
      <c r="D2277" s="7" t="s">
        <v>16986</v>
      </c>
      <c r="E2277" s="7" t="s">
        <v>13462</v>
      </c>
      <c r="F2277" s="7" t="s">
        <v>7451</v>
      </c>
      <c r="G2277" s="7" t="s">
        <v>16987</v>
      </c>
      <c r="H2277" s="7" t="s">
        <v>16988</v>
      </c>
      <c r="I2277" s="119">
        <v>45717.0</v>
      </c>
      <c r="K2277" s="7" t="s">
        <v>419</v>
      </c>
      <c r="L2277" s="7" t="s">
        <v>991</v>
      </c>
      <c r="M2277" s="7" t="s">
        <v>3531</v>
      </c>
      <c r="N2277" s="7" t="s">
        <v>6487</v>
      </c>
      <c r="O2277" s="7" t="s">
        <v>6534</v>
      </c>
      <c r="P2277" s="7" t="s">
        <v>3493</v>
      </c>
      <c r="Q2277" s="7">
        <v>1.0</v>
      </c>
    </row>
    <row r="2278">
      <c r="A2278" s="7" t="s">
        <v>16989</v>
      </c>
      <c r="B2278" s="7">
        <v>3000563.0</v>
      </c>
      <c r="C2278" s="7" t="s">
        <v>13801</v>
      </c>
      <c r="D2278" s="7" t="s">
        <v>16990</v>
      </c>
      <c r="E2278" s="7" t="s">
        <v>13803</v>
      </c>
      <c r="F2278" s="7" t="s">
        <v>14510</v>
      </c>
      <c r="G2278" s="7" t="s">
        <v>16991</v>
      </c>
      <c r="H2278" s="7" t="s">
        <v>16992</v>
      </c>
      <c r="I2278" s="119">
        <v>45717.0</v>
      </c>
      <c r="K2278" s="7" t="s">
        <v>3642</v>
      </c>
      <c r="L2278" s="7" t="s">
        <v>991</v>
      </c>
      <c r="M2278" s="7" t="s">
        <v>3583</v>
      </c>
      <c r="N2278" s="7" t="s">
        <v>3643</v>
      </c>
      <c r="O2278" s="7" t="s">
        <v>3644</v>
      </c>
      <c r="P2278" s="7" t="s">
        <v>3493</v>
      </c>
      <c r="Q2278" s="7">
        <v>1.0</v>
      </c>
    </row>
    <row r="2279">
      <c r="A2279" s="7" t="s">
        <v>16993</v>
      </c>
      <c r="B2279" s="7">
        <v>3000559.0</v>
      </c>
      <c r="C2279" s="7" t="s">
        <v>13898</v>
      </c>
      <c r="D2279" s="7" t="s">
        <v>16994</v>
      </c>
      <c r="E2279" s="7" t="s">
        <v>13900</v>
      </c>
      <c r="F2279" s="7" t="s">
        <v>6703</v>
      </c>
      <c r="G2279" s="7" t="s">
        <v>16995</v>
      </c>
      <c r="H2279" s="7" t="s">
        <v>16996</v>
      </c>
      <c r="I2279" s="119">
        <v>45717.0</v>
      </c>
      <c r="K2279" s="7" t="s">
        <v>4042</v>
      </c>
      <c r="L2279" s="7" t="s">
        <v>991</v>
      </c>
      <c r="M2279" s="7" t="s">
        <v>3531</v>
      </c>
      <c r="N2279" s="7" t="s">
        <v>4043</v>
      </c>
      <c r="O2279" s="7" t="s">
        <v>4044</v>
      </c>
      <c r="P2279" s="7" t="s">
        <v>3493</v>
      </c>
      <c r="Q2279" s="7">
        <v>1.0</v>
      </c>
    </row>
    <row r="2280">
      <c r="A2280" s="7" t="s">
        <v>16997</v>
      </c>
      <c r="B2280" s="7">
        <v>3000555.0</v>
      </c>
      <c r="C2280" s="7" t="s">
        <v>14864</v>
      </c>
      <c r="D2280" s="7" t="s">
        <v>3837</v>
      </c>
      <c r="E2280" s="7" t="s">
        <v>14866</v>
      </c>
      <c r="F2280" s="7" t="s">
        <v>3838</v>
      </c>
      <c r="G2280" s="7" t="s">
        <v>16998</v>
      </c>
      <c r="H2280" s="7" t="s">
        <v>16999</v>
      </c>
      <c r="I2280" s="119">
        <v>45717.0</v>
      </c>
      <c r="K2280" s="7" t="s">
        <v>419</v>
      </c>
      <c r="L2280" s="7" t="s">
        <v>991</v>
      </c>
      <c r="M2280" s="7" t="s">
        <v>3531</v>
      </c>
      <c r="N2280" s="7" t="s">
        <v>10801</v>
      </c>
      <c r="O2280" s="7" t="s">
        <v>10802</v>
      </c>
      <c r="P2280" s="7" t="s">
        <v>3493</v>
      </c>
      <c r="Q2280" s="7">
        <v>1.0</v>
      </c>
    </row>
    <row r="2281">
      <c r="A2281" s="7" t="s">
        <v>17000</v>
      </c>
      <c r="B2281" s="7">
        <v>3000595.0</v>
      </c>
      <c r="C2281" s="7" t="s">
        <v>5608</v>
      </c>
      <c r="D2281" s="7" t="s">
        <v>17001</v>
      </c>
      <c r="E2281" s="7" t="s">
        <v>5609</v>
      </c>
      <c r="F2281" s="7" t="s">
        <v>17001</v>
      </c>
      <c r="G2281" s="7" t="s">
        <v>17002</v>
      </c>
      <c r="H2281" s="7" t="s">
        <v>17003</v>
      </c>
      <c r="I2281" s="119">
        <v>45732.0</v>
      </c>
      <c r="K2281" s="7" t="s">
        <v>3632</v>
      </c>
      <c r="L2281" s="7" t="s">
        <v>991</v>
      </c>
      <c r="M2281" s="7" t="s">
        <v>3866</v>
      </c>
      <c r="N2281" s="7" t="s">
        <v>3633</v>
      </c>
      <c r="O2281" s="7" t="s">
        <v>3634</v>
      </c>
      <c r="P2281" s="7" t="s">
        <v>3522</v>
      </c>
      <c r="Q2281" s="7" t="s">
        <v>3514</v>
      </c>
    </row>
    <row r="2282">
      <c r="A2282" s="7" t="s">
        <v>17004</v>
      </c>
      <c r="B2282" s="7">
        <v>3000599.0</v>
      </c>
      <c r="C2282" s="7" t="s">
        <v>6380</v>
      </c>
      <c r="D2282" s="7" t="s">
        <v>17005</v>
      </c>
      <c r="E2282" s="7" t="s">
        <v>6382</v>
      </c>
      <c r="F2282" s="7" t="s">
        <v>17006</v>
      </c>
      <c r="G2282" s="7" t="s">
        <v>17007</v>
      </c>
      <c r="H2282" s="7" t="s">
        <v>17008</v>
      </c>
      <c r="I2282" s="119">
        <v>45732.0</v>
      </c>
      <c r="K2282" s="7" t="s">
        <v>3642</v>
      </c>
      <c r="L2282" s="7" t="s">
        <v>991</v>
      </c>
      <c r="M2282" s="7" t="s">
        <v>3501</v>
      </c>
      <c r="N2282" s="7" t="s">
        <v>3643</v>
      </c>
      <c r="O2282" s="7" t="s">
        <v>3644</v>
      </c>
      <c r="P2282" s="7" t="s">
        <v>3493</v>
      </c>
      <c r="Q2282" s="7">
        <v>1.0</v>
      </c>
    </row>
    <row r="2283">
      <c r="A2283" s="7" t="s">
        <v>17009</v>
      </c>
      <c r="B2283" s="7">
        <v>3000548.0</v>
      </c>
      <c r="C2283" s="7" t="s">
        <v>7554</v>
      </c>
      <c r="D2283" s="7" t="s">
        <v>17010</v>
      </c>
      <c r="E2283" s="7" t="s">
        <v>7555</v>
      </c>
      <c r="F2283" s="7" t="s">
        <v>8606</v>
      </c>
      <c r="G2283" s="7" t="s">
        <v>17011</v>
      </c>
      <c r="H2283" s="7" t="s">
        <v>17012</v>
      </c>
      <c r="I2283" s="119">
        <v>45732.0</v>
      </c>
      <c r="K2283" s="7" t="s">
        <v>419</v>
      </c>
      <c r="L2283" s="7" t="s">
        <v>991</v>
      </c>
      <c r="M2283" s="7" t="s">
        <v>3501</v>
      </c>
      <c r="N2283" s="7" t="s">
        <v>4651</v>
      </c>
      <c r="O2283" s="7" t="s">
        <v>4652</v>
      </c>
      <c r="P2283" s="7" t="s">
        <v>3493</v>
      </c>
      <c r="Q2283" s="7">
        <v>1.0</v>
      </c>
    </row>
    <row r="2284">
      <c r="A2284" s="7" t="s">
        <v>17013</v>
      </c>
      <c r="B2284" s="7">
        <v>3000584.0</v>
      </c>
      <c r="C2284" s="7" t="s">
        <v>17014</v>
      </c>
      <c r="D2284" s="7" t="s">
        <v>17015</v>
      </c>
      <c r="E2284" s="7" t="s">
        <v>17016</v>
      </c>
      <c r="F2284" s="7" t="s">
        <v>17017</v>
      </c>
      <c r="G2284" s="7" t="s">
        <v>17018</v>
      </c>
      <c r="H2284" s="7" t="s">
        <v>17019</v>
      </c>
      <c r="I2284" s="119">
        <v>45732.0</v>
      </c>
      <c r="K2284" s="7" t="s">
        <v>419</v>
      </c>
      <c r="L2284" s="7" t="s">
        <v>991</v>
      </c>
      <c r="M2284" s="7" t="s">
        <v>3501</v>
      </c>
      <c r="N2284" s="7" t="s">
        <v>6980</v>
      </c>
      <c r="O2284" s="7" t="s">
        <v>6981</v>
      </c>
      <c r="P2284" s="7" t="s">
        <v>3493</v>
      </c>
      <c r="Q2284" s="7">
        <v>1.0</v>
      </c>
    </row>
    <row r="2285">
      <c r="A2285" s="7" t="s">
        <v>17020</v>
      </c>
      <c r="B2285" s="7">
        <v>3000428.0</v>
      </c>
      <c r="C2285" s="7" t="s">
        <v>17021</v>
      </c>
      <c r="D2285" s="7" t="s">
        <v>17022</v>
      </c>
      <c r="E2285" s="7" t="s">
        <v>17023</v>
      </c>
      <c r="F2285" s="7" t="s">
        <v>3739</v>
      </c>
      <c r="G2285" s="7" t="s">
        <v>17024</v>
      </c>
      <c r="H2285" s="7" t="s">
        <v>17025</v>
      </c>
      <c r="I2285" s="119">
        <v>45732.0</v>
      </c>
      <c r="K2285" s="7" t="s">
        <v>419</v>
      </c>
      <c r="L2285" s="7" t="s">
        <v>991</v>
      </c>
      <c r="M2285" s="7" t="s">
        <v>3501</v>
      </c>
      <c r="N2285" s="7" t="s">
        <v>7262</v>
      </c>
      <c r="O2285" s="7" t="s">
        <v>7263</v>
      </c>
      <c r="P2285" s="7" t="s">
        <v>3493</v>
      </c>
      <c r="Q2285" s="7">
        <v>1.0</v>
      </c>
    </row>
    <row r="2286">
      <c r="A2286" s="7" t="s">
        <v>17026</v>
      </c>
      <c r="B2286" s="7">
        <v>3000594.0</v>
      </c>
      <c r="C2286" s="7" t="s">
        <v>15909</v>
      </c>
      <c r="D2286" s="7" t="s">
        <v>17027</v>
      </c>
      <c r="E2286" s="7" t="s">
        <v>15911</v>
      </c>
      <c r="F2286" s="7" t="s">
        <v>17028</v>
      </c>
      <c r="G2286" s="7" t="s">
        <v>17029</v>
      </c>
      <c r="H2286" s="7" t="s">
        <v>17030</v>
      </c>
      <c r="I2286" s="119">
        <v>45732.0</v>
      </c>
      <c r="K2286" s="7" t="s">
        <v>3622</v>
      </c>
      <c r="L2286" s="7" t="s">
        <v>991</v>
      </c>
      <c r="M2286" s="7" t="s">
        <v>3531</v>
      </c>
      <c r="N2286" s="7" t="s">
        <v>3623</v>
      </c>
      <c r="O2286" s="7" t="s">
        <v>3624</v>
      </c>
      <c r="P2286" s="7" t="s">
        <v>3493</v>
      </c>
      <c r="Q2286" s="7">
        <v>1.0</v>
      </c>
    </row>
    <row r="2287">
      <c r="A2287" s="7" t="s">
        <v>17031</v>
      </c>
      <c r="B2287" s="7">
        <v>3000597.0</v>
      </c>
      <c r="C2287" s="7" t="s">
        <v>11019</v>
      </c>
      <c r="D2287" s="7" t="s">
        <v>5713</v>
      </c>
      <c r="E2287" s="7" t="s">
        <v>11020</v>
      </c>
      <c r="F2287" s="7" t="s">
        <v>5715</v>
      </c>
      <c r="G2287" s="7" t="s">
        <v>17032</v>
      </c>
      <c r="H2287" s="7" t="s">
        <v>17033</v>
      </c>
      <c r="I2287" s="119">
        <v>45732.0</v>
      </c>
      <c r="K2287" s="7" t="s">
        <v>3642</v>
      </c>
      <c r="L2287" s="7" t="s">
        <v>991</v>
      </c>
      <c r="M2287" s="7" t="s">
        <v>3583</v>
      </c>
      <c r="N2287" s="7" t="s">
        <v>3643</v>
      </c>
      <c r="O2287" s="7" t="s">
        <v>3644</v>
      </c>
      <c r="P2287" s="7" t="s">
        <v>3493</v>
      </c>
      <c r="Q2287" s="7">
        <v>1.0</v>
      </c>
    </row>
    <row r="2288">
      <c r="A2288" s="7" t="s">
        <v>17034</v>
      </c>
      <c r="B2288" s="7">
        <v>3000589.0</v>
      </c>
      <c r="C2288" s="7" t="s">
        <v>11019</v>
      </c>
      <c r="D2288" s="7" t="s">
        <v>17035</v>
      </c>
      <c r="E2288" s="7" t="s">
        <v>11020</v>
      </c>
      <c r="F2288" s="7" t="s">
        <v>3896</v>
      </c>
      <c r="G2288" s="7" t="s">
        <v>17036</v>
      </c>
      <c r="H2288" s="7" t="s">
        <v>17037</v>
      </c>
      <c r="I2288" s="119">
        <v>45732.0</v>
      </c>
      <c r="K2288" s="7" t="s">
        <v>419</v>
      </c>
      <c r="L2288" s="7" t="s">
        <v>991</v>
      </c>
      <c r="M2288" s="7" t="s">
        <v>3501</v>
      </c>
      <c r="N2288" s="7" t="s">
        <v>17038</v>
      </c>
      <c r="O2288" s="7" t="s">
        <v>17039</v>
      </c>
      <c r="P2288" s="7" t="s">
        <v>3843</v>
      </c>
      <c r="Q2288" s="7">
        <v>1.0</v>
      </c>
    </row>
    <row r="2289">
      <c r="A2289" s="7" t="s">
        <v>17040</v>
      </c>
      <c r="B2289" s="7">
        <v>3000592.0</v>
      </c>
      <c r="C2289" s="7" t="s">
        <v>7708</v>
      </c>
      <c r="D2289" s="7" t="s">
        <v>11289</v>
      </c>
      <c r="E2289" s="7" t="s">
        <v>12304</v>
      </c>
      <c r="F2289" s="7" t="s">
        <v>7007</v>
      </c>
      <c r="G2289" s="7" t="s">
        <v>17041</v>
      </c>
      <c r="H2289" s="7" t="s">
        <v>17042</v>
      </c>
      <c r="I2289" s="119">
        <v>45732.0</v>
      </c>
      <c r="K2289" s="7" t="s">
        <v>419</v>
      </c>
      <c r="L2289" s="7" t="s">
        <v>991</v>
      </c>
      <c r="M2289" s="7" t="s">
        <v>3501</v>
      </c>
      <c r="N2289" s="7" t="s">
        <v>6345</v>
      </c>
      <c r="O2289" s="7" t="s">
        <v>6346</v>
      </c>
      <c r="P2289" s="7" t="s">
        <v>3493</v>
      </c>
      <c r="Q2289" s="7">
        <v>1.0</v>
      </c>
    </row>
    <row r="2290">
      <c r="A2290" s="7" t="s">
        <v>17043</v>
      </c>
      <c r="B2290" s="7">
        <v>3000590.0</v>
      </c>
      <c r="C2290" s="7" t="s">
        <v>17044</v>
      </c>
      <c r="D2290" s="7" t="s">
        <v>8169</v>
      </c>
      <c r="E2290" s="7" t="s">
        <v>17045</v>
      </c>
      <c r="F2290" s="7" t="s">
        <v>3691</v>
      </c>
      <c r="G2290" s="7" t="s">
        <v>17046</v>
      </c>
      <c r="H2290" s="7" t="s">
        <v>17047</v>
      </c>
      <c r="I2290" s="119">
        <v>45732.0</v>
      </c>
      <c r="K2290" s="7" t="s">
        <v>419</v>
      </c>
      <c r="L2290" s="7" t="s">
        <v>991</v>
      </c>
      <c r="M2290" s="7" t="s">
        <v>3501</v>
      </c>
      <c r="N2290" s="7" t="s">
        <v>8472</v>
      </c>
      <c r="O2290" s="7" t="s">
        <v>9794</v>
      </c>
      <c r="P2290" s="7" t="s">
        <v>3493</v>
      </c>
      <c r="Q2290" s="7">
        <v>1.0</v>
      </c>
    </row>
    <row r="2291">
      <c r="A2291" s="7" t="s">
        <v>17048</v>
      </c>
      <c r="B2291" s="7">
        <v>3000665.0</v>
      </c>
      <c r="C2291" s="7" t="s">
        <v>17049</v>
      </c>
      <c r="D2291" s="7" t="s">
        <v>17050</v>
      </c>
      <c r="E2291" s="7" t="s">
        <v>17051</v>
      </c>
      <c r="F2291" s="7" t="s">
        <v>5295</v>
      </c>
      <c r="G2291" s="7" t="s">
        <v>17052</v>
      </c>
      <c r="H2291" s="7" t="s">
        <v>17053</v>
      </c>
      <c r="I2291" s="119">
        <v>45748.0</v>
      </c>
      <c r="K2291" s="7" t="s">
        <v>419</v>
      </c>
      <c r="L2291" s="7" t="s">
        <v>991</v>
      </c>
      <c r="M2291" s="7" t="s">
        <v>3531</v>
      </c>
      <c r="N2291" s="7" t="s">
        <v>17038</v>
      </c>
      <c r="O2291" s="7" t="s">
        <v>17039</v>
      </c>
      <c r="P2291" s="7" t="s">
        <v>3493</v>
      </c>
      <c r="Q2291" s="7">
        <v>1.0</v>
      </c>
    </row>
    <row r="2292">
      <c r="A2292" s="7" t="s">
        <v>17054</v>
      </c>
      <c r="B2292" s="7">
        <v>3000670.0</v>
      </c>
      <c r="C2292" s="7" t="s">
        <v>4218</v>
      </c>
      <c r="D2292" s="7" t="s">
        <v>5269</v>
      </c>
      <c r="E2292" s="7" t="s">
        <v>4220</v>
      </c>
      <c r="F2292" s="7" t="s">
        <v>3889</v>
      </c>
      <c r="G2292" s="7" t="s">
        <v>17055</v>
      </c>
      <c r="H2292" s="7" t="s">
        <v>17056</v>
      </c>
      <c r="I2292" s="119">
        <v>45748.0</v>
      </c>
      <c r="K2292" s="7" t="s">
        <v>419</v>
      </c>
      <c r="L2292" s="7" t="s">
        <v>991</v>
      </c>
      <c r="M2292" s="7" t="s">
        <v>3583</v>
      </c>
      <c r="N2292" s="7" t="s">
        <v>6706</v>
      </c>
      <c r="O2292" s="7" t="s">
        <v>6707</v>
      </c>
      <c r="P2292" s="7" t="s">
        <v>3493</v>
      </c>
      <c r="Q2292" s="7">
        <v>1.0</v>
      </c>
    </row>
    <row r="2293">
      <c r="A2293" s="7" t="s">
        <v>17057</v>
      </c>
      <c r="B2293" s="7">
        <v>3000643.0</v>
      </c>
      <c r="C2293" s="7" t="s">
        <v>4277</v>
      </c>
      <c r="D2293" s="7" t="s">
        <v>17058</v>
      </c>
      <c r="E2293" s="7" t="s">
        <v>4279</v>
      </c>
      <c r="F2293" s="7" t="s">
        <v>3748</v>
      </c>
      <c r="G2293" s="7" t="s">
        <v>17059</v>
      </c>
      <c r="H2293" s="7" t="s">
        <v>17060</v>
      </c>
      <c r="I2293" s="119">
        <v>45748.0</v>
      </c>
      <c r="K2293" s="7" t="s">
        <v>3489</v>
      </c>
      <c r="L2293" s="7" t="s">
        <v>991</v>
      </c>
      <c r="M2293" s="7" t="s">
        <v>3490</v>
      </c>
      <c r="N2293" s="7" t="s">
        <v>3491</v>
      </c>
      <c r="O2293" s="7" t="s">
        <v>3492</v>
      </c>
      <c r="P2293" s="7" t="s">
        <v>3493</v>
      </c>
      <c r="Q2293" s="7">
        <v>1.0</v>
      </c>
    </row>
    <row r="2294">
      <c r="A2294" s="7" t="s">
        <v>17061</v>
      </c>
      <c r="B2294" s="7">
        <v>3000626.0</v>
      </c>
      <c r="C2294" s="7" t="s">
        <v>4277</v>
      </c>
      <c r="D2294" s="7" t="s">
        <v>17062</v>
      </c>
      <c r="E2294" s="7" t="s">
        <v>4279</v>
      </c>
      <c r="F2294" s="7" t="s">
        <v>17063</v>
      </c>
      <c r="G2294" s="7" t="s">
        <v>17064</v>
      </c>
      <c r="H2294" s="7" t="s">
        <v>17065</v>
      </c>
      <c r="I2294" s="119">
        <v>45748.0</v>
      </c>
      <c r="K2294" s="7" t="s">
        <v>419</v>
      </c>
      <c r="L2294" s="7" t="s">
        <v>991</v>
      </c>
      <c r="M2294" s="7" t="s">
        <v>3501</v>
      </c>
      <c r="N2294" s="7" t="s">
        <v>7417</v>
      </c>
      <c r="O2294" s="7" t="s">
        <v>7418</v>
      </c>
      <c r="P2294" s="7" t="s">
        <v>3493</v>
      </c>
      <c r="Q2294" s="7">
        <v>1.0</v>
      </c>
    </row>
    <row r="2295">
      <c r="A2295" s="7" t="s">
        <v>17066</v>
      </c>
      <c r="B2295" s="7">
        <v>3000640.0</v>
      </c>
      <c r="C2295" s="7" t="s">
        <v>4277</v>
      </c>
      <c r="D2295" s="7" t="s">
        <v>17067</v>
      </c>
      <c r="E2295" s="7" t="s">
        <v>4279</v>
      </c>
      <c r="F2295" s="7" t="s">
        <v>4478</v>
      </c>
      <c r="G2295" s="7" t="s">
        <v>17068</v>
      </c>
      <c r="H2295" s="7" t="s">
        <v>17069</v>
      </c>
      <c r="I2295" s="119">
        <v>45748.0</v>
      </c>
      <c r="K2295" s="7" t="s">
        <v>3489</v>
      </c>
      <c r="L2295" s="7" t="s">
        <v>991</v>
      </c>
      <c r="M2295" s="7" t="s">
        <v>3490</v>
      </c>
      <c r="N2295" s="7" t="s">
        <v>3491</v>
      </c>
      <c r="O2295" s="7" t="s">
        <v>3492</v>
      </c>
      <c r="P2295" s="7" t="s">
        <v>3493</v>
      </c>
      <c r="Q2295" s="7">
        <v>1.0</v>
      </c>
    </row>
    <row r="2296">
      <c r="A2296" s="7" t="s">
        <v>17070</v>
      </c>
      <c r="B2296" s="7">
        <v>3000613.0</v>
      </c>
      <c r="C2296" s="7" t="s">
        <v>17071</v>
      </c>
      <c r="D2296" s="7" t="s">
        <v>15720</v>
      </c>
      <c r="E2296" s="7" t="s">
        <v>17072</v>
      </c>
      <c r="F2296" s="7" t="s">
        <v>4598</v>
      </c>
      <c r="G2296" s="7" t="s">
        <v>17073</v>
      </c>
      <c r="H2296" s="7" t="s">
        <v>17074</v>
      </c>
      <c r="I2296" s="119">
        <v>45748.0</v>
      </c>
      <c r="K2296" s="7" t="s">
        <v>419</v>
      </c>
      <c r="L2296" s="7" t="s">
        <v>991</v>
      </c>
      <c r="M2296" s="7" t="s">
        <v>3501</v>
      </c>
      <c r="N2296" s="7" t="s">
        <v>6980</v>
      </c>
      <c r="O2296" s="7" t="s">
        <v>6981</v>
      </c>
      <c r="P2296" s="7" t="s">
        <v>3493</v>
      </c>
      <c r="Q2296" s="7">
        <v>1.0</v>
      </c>
    </row>
    <row r="2297">
      <c r="A2297" s="7" t="s">
        <v>17075</v>
      </c>
      <c r="B2297" s="7">
        <v>3000611.0</v>
      </c>
      <c r="C2297" s="7" t="s">
        <v>17076</v>
      </c>
      <c r="D2297" s="7" t="s">
        <v>17077</v>
      </c>
      <c r="E2297" s="7" t="s">
        <v>17078</v>
      </c>
      <c r="F2297" s="7" t="s">
        <v>17079</v>
      </c>
      <c r="G2297" s="7" t="s">
        <v>17080</v>
      </c>
      <c r="H2297" s="7" t="s">
        <v>17081</v>
      </c>
      <c r="I2297" s="119">
        <v>45748.0</v>
      </c>
      <c r="K2297" s="7" t="s">
        <v>419</v>
      </c>
      <c r="L2297" s="7" t="s">
        <v>991</v>
      </c>
      <c r="M2297" s="7" t="s">
        <v>3501</v>
      </c>
      <c r="N2297" s="7" t="s">
        <v>8264</v>
      </c>
      <c r="O2297" s="7" t="s">
        <v>8265</v>
      </c>
      <c r="P2297" s="7" t="s">
        <v>3493</v>
      </c>
      <c r="Q2297" s="7">
        <v>1.0</v>
      </c>
    </row>
    <row r="2298">
      <c r="A2298" s="7" t="s">
        <v>17082</v>
      </c>
      <c r="B2298" s="7">
        <v>3000676.0</v>
      </c>
      <c r="C2298" s="7" t="s">
        <v>5018</v>
      </c>
      <c r="D2298" s="7" t="s">
        <v>17083</v>
      </c>
      <c r="E2298" s="7" t="s">
        <v>5019</v>
      </c>
      <c r="F2298" s="7" t="s">
        <v>4700</v>
      </c>
      <c r="G2298" s="7" t="s">
        <v>17084</v>
      </c>
      <c r="H2298" s="7" t="s">
        <v>17085</v>
      </c>
      <c r="I2298" s="119">
        <v>45748.0</v>
      </c>
      <c r="K2298" s="7" t="s">
        <v>15381</v>
      </c>
      <c r="L2298" s="7" t="s">
        <v>991</v>
      </c>
      <c r="M2298" s="7" t="s">
        <v>3531</v>
      </c>
      <c r="N2298" s="7" t="s">
        <v>15382</v>
      </c>
      <c r="O2298" s="7" t="s">
        <v>15383</v>
      </c>
      <c r="P2298" s="7" t="s">
        <v>3493</v>
      </c>
      <c r="Q2298" s="7">
        <v>1.0</v>
      </c>
    </row>
    <row r="2299">
      <c r="A2299" s="7" t="s">
        <v>17086</v>
      </c>
      <c r="B2299" s="7">
        <v>3000582.0</v>
      </c>
      <c r="C2299" s="7" t="s">
        <v>5018</v>
      </c>
      <c r="D2299" s="7" t="s">
        <v>17087</v>
      </c>
      <c r="E2299" s="7" t="s">
        <v>5019</v>
      </c>
      <c r="F2299" s="7" t="s">
        <v>5203</v>
      </c>
      <c r="G2299" s="7" t="s">
        <v>17088</v>
      </c>
      <c r="H2299" s="7" t="s">
        <v>17089</v>
      </c>
      <c r="I2299" s="119">
        <v>45748.0</v>
      </c>
      <c r="K2299" s="7" t="s">
        <v>419</v>
      </c>
      <c r="L2299" s="7" t="s">
        <v>991</v>
      </c>
      <c r="M2299" s="7" t="s">
        <v>3490</v>
      </c>
      <c r="N2299" s="7" t="s">
        <v>8178</v>
      </c>
      <c r="O2299" s="7" t="s">
        <v>17090</v>
      </c>
      <c r="P2299" s="7" t="s">
        <v>3522</v>
      </c>
      <c r="Q2299" s="7" t="s">
        <v>3523</v>
      </c>
    </row>
    <row r="2300">
      <c r="A2300" s="7" t="s">
        <v>17091</v>
      </c>
      <c r="B2300" s="7">
        <v>3000657.0</v>
      </c>
      <c r="C2300" s="7" t="s">
        <v>17092</v>
      </c>
      <c r="D2300" s="7" t="s">
        <v>17093</v>
      </c>
      <c r="E2300" s="7" t="s">
        <v>17094</v>
      </c>
      <c r="F2300" s="7" t="s">
        <v>8256</v>
      </c>
      <c r="G2300" s="7" t="s">
        <v>17095</v>
      </c>
      <c r="H2300" s="7" t="s">
        <v>17096</v>
      </c>
      <c r="I2300" s="119">
        <v>45748.0</v>
      </c>
      <c r="K2300" s="7" t="s">
        <v>11974</v>
      </c>
      <c r="L2300" s="7" t="s">
        <v>991</v>
      </c>
      <c r="M2300" s="7" t="s">
        <v>3501</v>
      </c>
      <c r="N2300" s="7" t="s">
        <v>15870</v>
      </c>
      <c r="O2300" s="7" t="s">
        <v>17097</v>
      </c>
      <c r="P2300" s="7" t="s">
        <v>3493</v>
      </c>
      <c r="Q2300" s="7">
        <v>1.0</v>
      </c>
    </row>
    <row r="2301">
      <c r="A2301" s="7" t="s">
        <v>17098</v>
      </c>
      <c r="B2301" s="7">
        <v>3000653.0</v>
      </c>
      <c r="C2301" s="7" t="s">
        <v>5561</v>
      </c>
      <c r="D2301" s="7" t="s">
        <v>17099</v>
      </c>
      <c r="E2301" s="7" t="s">
        <v>5563</v>
      </c>
      <c r="F2301" s="7" t="s">
        <v>9561</v>
      </c>
      <c r="G2301" s="7" t="s">
        <v>17100</v>
      </c>
      <c r="H2301" s="7" t="s">
        <v>17101</v>
      </c>
      <c r="I2301" s="119">
        <v>45748.0</v>
      </c>
      <c r="K2301" s="7" t="s">
        <v>419</v>
      </c>
      <c r="L2301" s="7" t="s">
        <v>991</v>
      </c>
      <c r="M2301" s="7" t="s">
        <v>3531</v>
      </c>
      <c r="N2301" s="7" t="s">
        <v>3652</v>
      </c>
      <c r="O2301" s="7" t="s">
        <v>3653</v>
      </c>
      <c r="P2301" s="7" t="s">
        <v>3493</v>
      </c>
      <c r="Q2301" s="7">
        <v>1.0</v>
      </c>
    </row>
    <row r="2302">
      <c r="A2302" s="7" t="s">
        <v>17102</v>
      </c>
      <c r="B2302" s="7">
        <v>3000608.0</v>
      </c>
      <c r="C2302" s="7" t="s">
        <v>17103</v>
      </c>
      <c r="D2302" s="7" t="s">
        <v>17104</v>
      </c>
      <c r="E2302" s="7" t="s">
        <v>17105</v>
      </c>
      <c r="F2302" s="7" t="s">
        <v>17106</v>
      </c>
      <c r="G2302" s="7" t="s">
        <v>17107</v>
      </c>
      <c r="H2302" s="7" t="s">
        <v>17108</v>
      </c>
      <c r="I2302" s="119">
        <v>45748.0</v>
      </c>
      <c r="K2302" s="7" t="s">
        <v>419</v>
      </c>
      <c r="L2302" s="7" t="s">
        <v>991</v>
      </c>
      <c r="M2302" s="7" t="s">
        <v>3501</v>
      </c>
      <c r="N2302" s="7" t="s">
        <v>9485</v>
      </c>
      <c r="O2302" s="7" t="s">
        <v>11675</v>
      </c>
      <c r="P2302" s="7" t="s">
        <v>3493</v>
      </c>
      <c r="Q2302" s="7">
        <v>1.0</v>
      </c>
    </row>
    <row r="2303">
      <c r="A2303" s="7" t="s">
        <v>17109</v>
      </c>
      <c r="B2303" s="7">
        <v>3000669.0</v>
      </c>
      <c r="C2303" s="7" t="s">
        <v>17110</v>
      </c>
      <c r="D2303" s="7" t="s">
        <v>17111</v>
      </c>
      <c r="E2303" s="7" t="s">
        <v>5800</v>
      </c>
      <c r="F2303" s="7" t="s">
        <v>4371</v>
      </c>
      <c r="G2303" s="7" t="s">
        <v>17112</v>
      </c>
      <c r="H2303" s="7" t="s">
        <v>17113</v>
      </c>
      <c r="I2303" s="119">
        <v>45748.0</v>
      </c>
      <c r="K2303" s="7" t="s">
        <v>3632</v>
      </c>
      <c r="L2303" s="7" t="s">
        <v>991</v>
      </c>
      <c r="M2303" s="7" t="s">
        <v>3531</v>
      </c>
      <c r="N2303" s="7" t="s">
        <v>5931</v>
      </c>
      <c r="O2303" s="7" t="s">
        <v>6924</v>
      </c>
      <c r="P2303" s="7" t="s">
        <v>3493</v>
      </c>
      <c r="Q2303" s="7">
        <v>1.0</v>
      </c>
    </row>
    <row r="2304">
      <c r="A2304" s="7" t="s">
        <v>17114</v>
      </c>
      <c r="B2304" s="7">
        <v>3000663.0</v>
      </c>
      <c r="C2304" s="7" t="s">
        <v>5830</v>
      </c>
      <c r="D2304" s="7" t="s">
        <v>17115</v>
      </c>
      <c r="E2304" s="7" t="s">
        <v>5832</v>
      </c>
      <c r="F2304" s="7" t="s">
        <v>8007</v>
      </c>
      <c r="G2304" s="7" t="s">
        <v>17116</v>
      </c>
      <c r="H2304" s="7" t="s">
        <v>17117</v>
      </c>
      <c r="I2304" s="119">
        <v>45748.0</v>
      </c>
      <c r="K2304" s="7" t="s">
        <v>3642</v>
      </c>
      <c r="L2304" s="7" t="s">
        <v>991</v>
      </c>
      <c r="M2304" s="7" t="s">
        <v>3501</v>
      </c>
      <c r="N2304" s="7" t="s">
        <v>3643</v>
      </c>
      <c r="O2304" s="7" t="s">
        <v>3644</v>
      </c>
      <c r="P2304" s="7" t="s">
        <v>3493</v>
      </c>
      <c r="Q2304" s="7">
        <v>1.0</v>
      </c>
    </row>
    <row r="2305">
      <c r="A2305" s="7" t="s">
        <v>17118</v>
      </c>
      <c r="B2305" s="7">
        <v>3000642.0</v>
      </c>
      <c r="C2305" s="7" t="s">
        <v>6112</v>
      </c>
      <c r="D2305" s="7" t="s">
        <v>17119</v>
      </c>
      <c r="E2305" s="7" t="s">
        <v>6114</v>
      </c>
      <c r="F2305" s="7" t="s">
        <v>5058</v>
      </c>
      <c r="G2305" s="7" t="s">
        <v>17120</v>
      </c>
      <c r="H2305" s="7" t="s">
        <v>17121</v>
      </c>
      <c r="I2305" s="119">
        <v>45748.0</v>
      </c>
      <c r="K2305" s="7" t="s">
        <v>3489</v>
      </c>
      <c r="L2305" s="7" t="s">
        <v>991</v>
      </c>
      <c r="M2305" s="7" t="s">
        <v>3490</v>
      </c>
      <c r="N2305" s="7" t="s">
        <v>3491</v>
      </c>
      <c r="O2305" s="7" t="s">
        <v>3492</v>
      </c>
      <c r="P2305" s="7" t="s">
        <v>3493</v>
      </c>
      <c r="Q2305" s="7">
        <v>1.0</v>
      </c>
    </row>
    <row r="2306">
      <c r="A2306" s="7" t="s">
        <v>17122</v>
      </c>
      <c r="B2306" s="7">
        <v>3000625.0</v>
      </c>
      <c r="C2306" s="7" t="s">
        <v>17123</v>
      </c>
      <c r="D2306" s="7" t="s">
        <v>17124</v>
      </c>
      <c r="E2306" s="7" t="s">
        <v>17125</v>
      </c>
      <c r="F2306" s="7" t="s">
        <v>5417</v>
      </c>
      <c r="G2306" s="7" t="s">
        <v>17126</v>
      </c>
      <c r="H2306" s="7" t="s">
        <v>17127</v>
      </c>
      <c r="I2306" s="119">
        <v>45748.0</v>
      </c>
      <c r="K2306" s="7" t="s">
        <v>419</v>
      </c>
      <c r="L2306" s="7" t="s">
        <v>991</v>
      </c>
      <c r="M2306" s="7" t="s">
        <v>3501</v>
      </c>
      <c r="N2306" s="7" t="s">
        <v>4481</v>
      </c>
      <c r="O2306" s="7" t="s">
        <v>4482</v>
      </c>
      <c r="P2306" s="7" t="s">
        <v>3493</v>
      </c>
      <c r="Q2306" s="7">
        <v>1.0</v>
      </c>
    </row>
    <row r="2307">
      <c r="A2307" s="7" t="s">
        <v>17128</v>
      </c>
      <c r="B2307" s="7">
        <v>3000529.0</v>
      </c>
      <c r="C2307" s="7" t="s">
        <v>17129</v>
      </c>
      <c r="D2307" s="7" t="s">
        <v>5047</v>
      </c>
      <c r="E2307" s="7" t="s">
        <v>17130</v>
      </c>
      <c r="F2307" s="7" t="s">
        <v>8194</v>
      </c>
      <c r="G2307" s="7" t="s">
        <v>17131</v>
      </c>
      <c r="H2307" s="7" t="s">
        <v>17132</v>
      </c>
      <c r="I2307" s="119">
        <v>45748.0</v>
      </c>
      <c r="K2307" s="7" t="s">
        <v>419</v>
      </c>
      <c r="L2307" s="7" t="s">
        <v>991</v>
      </c>
      <c r="M2307" s="7" t="s">
        <v>3501</v>
      </c>
      <c r="N2307" s="7" t="s">
        <v>4152</v>
      </c>
      <c r="O2307" s="7" t="s">
        <v>8837</v>
      </c>
      <c r="P2307" s="7" t="s">
        <v>3522</v>
      </c>
      <c r="Q2307" s="7" t="s">
        <v>3523</v>
      </c>
    </row>
    <row r="2308">
      <c r="A2308" s="7" t="s">
        <v>17133</v>
      </c>
      <c r="B2308" s="7">
        <v>3000617.0</v>
      </c>
      <c r="C2308" s="7" t="s">
        <v>17134</v>
      </c>
      <c r="D2308" s="7" t="s">
        <v>17135</v>
      </c>
      <c r="E2308" s="7" t="s">
        <v>17136</v>
      </c>
      <c r="F2308" s="7" t="s">
        <v>13059</v>
      </c>
      <c r="G2308" s="7" t="s">
        <v>17137</v>
      </c>
      <c r="H2308" s="7" t="s">
        <v>17138</v>
      </c>
      <c r="I2308" s="119">
        <v>45748.0</v>
      </c>
      <c r="K2308" s="7" t="s">
        <v>419</v>
      </c>
      <c r="L2308" s="7" t="s">
        <v>991</v>
      </c>
      <c r="M2308" s="7" t="s">
        <v>3583</v>
      </c>
      <c r="N2308" s="7" t="s">
        <v>8132</v>
      </c>
      <c r="O2308" s="7" t="s">
        <v>8133</v>
      </c>
      <c r="P2308" s="7" t="s">
        <v>3697</v>
      </c>
      <c r="Q2308" s="7" t="s">
        <v>8134</v>
      </c>
    </row>
    <row r="2309">
      <c r="A2309" s="7" t="s">
        <v>17139</v>
      </c>
      <c r="B2309" s="7">
        <v>3000631.0</v>
      </c>
      <c r="C2309" s="7" t="s">
        <v>6380</v>
      </c>
      <c r="D2309" s="7" t="s">
        <v>17140</v>
      </c>
      <c r="E2309" s="7" t="s">
        <v>6382</v>
      </c>
      <c r="F2309" s="7" t="s">
        <v>5433</v>
      </c>
      <c r="G2309" s="7" t="s">
        <v>17141</v>
      </c>
      <c r="I2309" s="119">
        <v>45748.0</v>
      </c>
      <c r="K2309" s="7" t="s">
        <v>11974</v>
      </c>
      <c r="L2309" s="7" t="s">
        <v>991</v>
      </c>
      <c r="M2309" s="7" t="s">
        <v>4644</v>
      </c>
      <c r="N2309" s="7" t="s">
        <v>14200</v>
      </c>
      <c r="O2309" s="7" t="s">
        <v>14201</v>
      </c>
      <c r="P2309" s="7" t="s">
        <v>424</v>
      </c>
      <c r="Q2309" s="7">
        <v>1.0</v>
      </c>
    </row>
    <row r="2310">
      <c r="A2310" s="7" t="s">
        <v>17142</v>
      </c>
      <c r="B2310" s="7">
        <v>3000603.0</v>
      </c>
      <c r="C2310" s="7" t="s">
        <v>6405</v>
      </c>
      <c r="D2310" s="7" t="s">
        <v>17143</v>
      </c>
      <c r="E2310" s="7" t="s">
        <v>6407</v>
      </c>
      <c r="F2310" s="7" t="s">
        <v>17144</v>
      </c>
      <c r="G2310" s="7" t="s">
        <v>17145</v>
      </c>
      <c r="H2310" s="7" t="s">
        <v>17146</v>
      </c>
      <c r="I2310" s="119">
        <v>45748.0</v>
      </c>
      <c r="K2310" s="7" t="s">
        <v>419</v>
      </c>
      <c r="L2310" s="7" t="s">
        <v>991</v>
      </c>
      <c r="M2310" s="7" t="s">
        <v>3501</v>
      </c>
      <c r="N2310" s="7" t="s">
        <v>4796</v>
      </c>
      <c r="O2310" s="7" t="s">
        <v>4797</v>
      </c>
      <c r="P2310" s="7" t="s">
        <v>3493</v>
      </c>
      <c r="Q2310" s="7">
        <v>1.0</v>
      </c>
    </row>
    <row r="2311">
      <c r="A2311" s="7" t="s">
        <v>17147</v>
      </c>
      <c r="B2311" s="7">
        <v>3000587.0</v>
      </c>
      <c r="C2311" s="7" t="s">
        <v>17148</v>
      </c>
      <c r="D2311" s="7" t="s">
        <v>17149</v>
      </c>
      <c r="E2311" s="7" t="s">
        <v>17150</v>
      </c>
      <c r="F2311" s="7" t="s">
        <v>17151</v>
      </c>
      <c r="G2311" s="7" t="s">
        <v>17152</v>
      </c>
      <c r="H2311" s="7" t="s">
        <v>17153</v>
      </c>
      <c r="I2311" s="119">
        <v>45748.0</v>
      </c>
      <c r="K2311" s="7" t="s">
        <v>419</v>
      </c>
      <c r="L2311" s="7" t="s">
        <v>991</v>
      </c>
      <c r="M2311" s="7" t="s">
        <v>3501</v>
      </c>
      <c r="N2311" s="7" t="s">
        <v>17154</v>
      </c>
      <c r="O2311" s="7" t="s">
        <v>17155</v>
      </c>
      <c r="P2311" s="7" t="s">
        <v>14093</v>
      </c>
      <c r="Q2311" s="7" t="s">
        <v>3523</v>
      </c>
    </row>
    <row r="2312">
      <c r="A2312" s="7" t="s">
        <v>17156</v>
      </c>
      <c r="B2312" s="7">
        <v>3000641.0</v>
      </c>
      <c r="C2312" s="7" t="s">
        <v>6598</v>
      </c>
      <c r="D2312" s="7" t="s">
        <v>17157</v>
      </c>
      <c r="E2312" s="7" t="s">
        <v>6599</v>
      </c>
      <c r="F2312" s="7" t="s">
        <v>12081</v>
      </c>
      <c r="G2312" s="7" t="s">
        <v>17158</v>
      </c>
      <c r="H2312" s="7" t="s">
        <v>17159</v>
      </c>
      <c r="I2312" s="119">
        <v>45748.0</v>
      </c>
      <c r="K2312" s="7" t="s">
        <v>3489</v>
      </c>
      <c r="L2312" s="7" t="s">
        <v>991</v>
      </c>
      <c r="M2312" s="7" t="s">
        <v>3490</v>
      </c>
      <c r="N2312" s="7" t="s">
        <v>3491</v>
      </c>
      <c r="O2312" s="7" t="s">
        <v>3492</v>
      </c>
      <c r="P2312" s="7" t="s">
        <v>3493</v>
      </c>
      <c r="Q2312" s="7">
        <v>1.0</v>
      </c>
    </row>
    <row r="2313">
      <c r="A2313" s="7" t="s">
        <v>17160</v>
      </c>
      <c r="B2313" s="7">
        <v>3000679.0</v>
      </c>
      <c r="C2313" s="7" t="s">
        <v>6765</v>
      </c>
      <c r="D2313" s="7" t="s">
        <v>17161</v>
      </c>
      <c r="E2313" s="7" t="s">
        <v>6766</v>
      </c>
      <c r="F2313" s="7" t="s">
        <v>5661</v>
      </c>
      <c r="G2313" s="7" t="s">
        <v>17162</v>
      </c>
      <c r="H2313" s="7" t="s">
        <v>17163</v>
      </c>
      <c r="I2313" s="119">
        <v>45748.0</v>
      </c>
      <c r="K2313" s="7" t="s">
        <v>419</v>
      </c>
      <c r="L2313" s="7" t="s">
        <v>991</v>
      </c>
      <c r="M2313" s="7" t="s">
        <v>3531</v>
      </c>
      <c r="N2313" s="7" t="s">
        <v>7536</v>
      </c>
      <c r="O2313" s="7" t="s">
        <v>7537</v>
      </c>
      <c r="P2313" s="7" t="s">
        <v>3493</v>
      </c>
      <c r="Q2313" s="7">
        <v>1.0</v>
      </c>
    </row>
    <row r="2314">
      <c r="A2314" s="7" t="s">
        <v>17164</v>
      </c>
      <c r="B2314" s="7">
        <v>3000614.0</v>
      </c>
      <c r="C2314" s="7" t="s">
        <v>17165</v>
      </c>
      <c r="D2314" s="7" t="s">
        <v>17166</v>
      </c>
      <c r="E2314" s="7" t="s">
        <v>17167</v>
      </c>
      <c r="F2314" s="7" t="s">
        <v>17168</v>
      </c>
      <c r="G2314" s="7" t="s">
        <v>17169</v>
      </c>
      <c r="H2314" s="7" t="s">
        <v>17170</v>
      </c>
      <c r="I2314" s="119">
        <v>45748.0</v>
      </c>
      <c r="K2314" s="7" t="s">
        <v>419</v>
      </c>
      <c r="L2314" s="7" t="s">
        <v>991</v>
      </c>
      <c r="M2314" s="7" t="s">
        <v>3501</v>
      </c>
      <c r="N2314" s="7" t="s">
        <v>11957</v>
      </c>
      <c r="O2314" s="7" t="s">
        <v>11958</v>
      </c>
      <c r="P2314" s="7" t="s">
        <v>3522</v>
      </c>
      <c r="Q2314" s="7" t="s">
        <v>3523</v>
      </c>
    </row>
    <row r="2315">
      <c r="A2315" s="7" t="s">
        <v>17171</v>
      </c>
      <c r="B2315" s="7">
        <v>3000681.0</v>
      </c>
      <c r="C2315" s="7" t="s">
        <v>6878</v>
      </c>
      <c r="D2315" s="7" t="s">
        <v>17172</v>
      </c>
      <c r="E2315" s="7" t="s">
        <v>6880</v>
      </c>
      <c r="F2315" s="7" t="s">
        <v>14812</v>
      </c>
      <c r="G2315" s="7" t="s">
        <v>17173</v>
      </c>
      <c r="H2315" s="7" t="s">
        <v>17174</v>
      </c>
      <c r="I2315" s="119">
        <v>45748.0</v>
      </c>
      <c r="K2315" s="7" t="s">
        <v>419</v>
      </c>
      <c r="L2315" s="7" t="s">
        <v>991</v>
      </c>
      <c r="M2315" s="7" t="s">
        <v>3501</v>
      </c>
      <c r="N2315" s="7" t="s">
        <v>5379</v>
      </c>
      <c r="O2315" s="7" t="s">
        <v>5380</v>
      </c>
      <c r="P2315" s="7" t="s">
        <v>3604</v>
      </c>
      <c r="Q2315" s="7">
        <v>1.0</v>
      </c>
    </row>
    <row r="2316">
      <c r="A2316" s="7" t="s">
        <v>17175</v>
      </c>
      <c r="B2316" s="7">
        <v>3000618.0</v>
      </c>
      <c r="C2316" s="7" t="s">
        <v>17176</v>
      </c>
      <c r="D2316" s="7" t="s">
        <v>17177</v>
      </c>
      <c r="E2316" s="7" t="s">
        <v>17178</v>
      </c>
      <c r="F2316" s="7" t="s">
        <v>10848</v>
      </c>
      <c r="G2316" s="7" t="s">
        <v>17179</v>
      </c>
      <c r="H2316" s="7" t="s">
        <v>17180</v>
      </c>
      <c r="I2316" s="119">
        <v>45748.0</v>
      </c>
      <c r="K2316" s="7" t="s">
        <v>419</v>
      </c>
      <c r="L2316" s="7" t="s">
        <v>991</v>
      </c>
      <c r="M2316" s="7" t="s">
        <v>3583</v>
      </c>
      <c r="N2316" s="7" t="s">
        <v>5478</v>
      </c>
      <c r="O2316" s="7" t="s">
        <v>17181</v>
      </c>
      <c r="P2316" s="7" t="s">
        <v>7123</v>
      </c>
      <c r="Q2316" s="7" t="s">
        <v>12002</v>
      </c>
    </row>
    <row r="2317">
      <c r="A2317" s="7" t="s">
        <v>17182</v>
      </c>
      <c r="B2317" s="7">
        <v>3000602.0</v>
      </c>
      <c r="C2317" s="7" t="s">
        <v>7212</v>
      </c>
      <c r="D2317" s="7" t="s">
        <v>17183</v>
      </c>
      <c r="E2317" s="7" t="s">
        <v>7214</v>
      </c>
      <c r="F2317" s="7" t="s">
        <v>17184</v>
      </c>
      <c r="G2317" s="7" t="s">
        <v>17185</v>
      </c>
      <c r="H2317" s="7" t="s">
        <v>17186</v>
      </c>
      <c r="I2317" s="119">
        <v>45748.0</v>
      </c>
      <c r="K2317" s="7" t="s">
        <v>419</v>
      </c>
      <c r="L2317" s="7" t="s">
        <v>991</v>
      </c>
      <c r="M2317" s="7" t="s">
        <v>3501</v>
      </c>
      <c r="N2317" s="7" t="s">
        <v>16700</v>
      </c>
      <c r="O2317" s="7" t="s">
        <v>16701</v>
      </c>
      <c r="P2317" s="7" t="s">
        <v>3843</v>
      </c>
      <c r="Q2317" s="7">
        <v>1.0</v>
      </c>
    </row>
    <row r="2318">
      <c r="A2318" s="7" t="s">
        <v>17187</v>
      </c>
      <c r="B2318" s="7">
        <v>3000527.0</v>
      </c>
      <c r="C2318" s="7" t="s">
        <v>17188</v>
      </c>
      <c r="D2318" s="7" t="s">
        <v>17189</v>
      </c>
      <c r="E2318" s="7" t="s">
        <v>17190</v>
      </c>
      <c r="F2318" s="7" t="s">
        <v>17189</v>
      </c>
      <c r="G2318" s="7" t="s">
        <v>17191</v>
      </c>
      <c r="H2318" s="7" t="s">
        <v>17192</v>
      </c>
      <c r="I2318" s="119">
        <v>45748.0</v>
      </c>
      <c r="K2318" s="7" t="s">
        <v>419</v>
      </c>
      <c r="L2318" s="7" t="s">
        <v>991</v>
      </c>
      <c r="M2318" s="7" t="s">
        <v>3501</v>
      </c>
      <c r="N2318" s="7" t="s">
        <v>10801</v>
      </c>
      <c r="O2318" s="7" t="s">
        <v>10802</v>
      </c>
      <c r="P2318" s="7" t="s">
        <v>3493</v>
      </c>
      <c r="Q2318" s="7">
        <v>1.0</v>
      </c>
    </row>
    <row r="2319">
      <c r="A2319" s="7" t="s">
        <v>17193</v>
      </c>
      <c r="B2319" s="7">
        <v>3000605.0</v>
      </c>
      <c r="C2319" s="7" t="s">
        <v>17194</v>
      </c>
      <c r="D2319" s="7" t="s">
        <v>17195</v>
      </c>
      <c r="E2319" s="7" t="s">
        <v>17196</v>
      </c>
      <c r="F2319" s="7" t="s">
        <v>17197</v>
      </c>
      <c r="G2319" s="7" t="s">
        <v>17198</v>
      </c>
      <c r="H2319" s="7" t="s">
        <v>17199</v>
      </c>
      <c r="I2319" s="119">
        <v>45748.0</v>
      </c>
      <c r="K2319" s="7" t="s">
        <v>419</v>
      </c>
      <c r="L2319" s="7" t="s">
        <v>991</v>
      </c>
      <c r="M2319" s="7" t="s">
        <v>3501</v>
      </c>
      <c r="N2319" s="7" t="s">
        <v>4152</v>
      </c>
      <c r="O2319" s="7" t="s">
        <v>8837</v>
      </c>
      <c r="P2319" s="7" t="s">
        <v>3522</v>
      </c>
      <c r="Q2319" s="7" t="s">
        <v>3523</v>
      </c>
    </row>
    <row r="2320">
      <c r="A2320" s="7" t="s">
        <v>17200</v>
      </c>
      <c r="B2320" s="7">
        <v>3000576.0</v>
      </c>
      <c r="C2320" s="7" t="s">
        <v>7368</v>
      </c>
      <c r="D2320" s="7" t="s">
        <v>17201</v>
      </c>
      <c r="E2320" s="7" t="s">
        <v>7370</v>
      </c>
      <c r="F2320" s="7" t="s">
        <v>17202</v>
      </c>
      <c r="G2320" s="7" t="s">
        <v>17203</v>
      </c>
      <c r="H2320" s="7" t="s">
        <v>17204</v>
      </c>
      <c r="I2320" s="119">
        <v>45748.0</v>
      </c>
      <c r="K2320" s="7" t="s">
        <v>419</v>
      </c>
      <c r="L2320" s="7" t="s">
        <v>991</v>
      </c>
      <c r="M2320" s="7" t="s">
        <v>3501</v>
      </c>
      <c r="N2320" s="7" t="s">
        <v>4796</v>
      </c>
      <c r="O2320" s="7" t="s">
        <v>4797</v>
      </c>
      <c r="P2320" s="7" t="s">
        <v>3493</v>
      </c>
      <c r="Q2320" s="7">
        <v>1.0</v>
      </c>
    </row>
    <row r="2321">
      <c r="A2321" s="7" t="s">
        <v>17205</v>
      </c>
      <c r="B2321" s="7">
        <v>3000651.0</v>
      </c>
      <c r="C2321" s="7" t="s">
        <v>17206</v>
      </c>
      <c r="D2321" s="7" t="s">
        <v>17207</v>
      </c>
      <c r="E2321" s="7" t="s">
        <v>17208</v>
      </c>
      <c r="F2321" s="7" t="s">
        <v>8668</v>
      </c>
      <c r="G2321" s="7" t="s">
        <v>17209</v>
      </c>
      <c r="H2321" s="7" t="s">
        <v>17210</v>
      </c>
      <c r="I2321" s="119">
        <v>45748.0</v>
      </c>
      <c r="K2321" s="7" t="s">
        <v>419</v>
      </c>
      <c r="L2321" s="7" t="s">
        <v>991</v>
      </c>
      <c r="M2321" s="7" t="s">
        <v>3531</v>
      </c>
      <c r="N2321" s="7" t="s">
        <v>7131</v>
      </c>
      <c r="O2321" s="7" t="s">
        <v>7132</v>
      </c>
      <c r="P2321" s="7" t="s">
        <v>3493</v>
      </c>
      <c r="Q2321" s="7">
        <v>1.0</v>
      </c>
    </row>
    <row r="2322">
      <c r="A2322" s="7" t="s">
        <v>17211</v>
      </c>
      <c r="B2322" s="7">
        <v>3000662.0</v>
      </c>
      <c r="C2322" s="7" t="s">
        <v>17212</v>
      </c>
      <c r="D2322" s="7" t="s">
        <v>8988</v>
      </c>
      <c r="E2322" s="7" t="s">
        <v>17213</v>
      </c>
      <c r="F2322" s="7" t="s">
        <v>3656</v>
      </c>
      <c r="G2322" s="7" t="s">
        <v>17214</v>
      </c>
      <c r="H2322" s="7" t="s">
        <v>17215</v>
      </c>
      <c r="I2322" s="119">
        <v>45748.0</v>
      </c>
      <c r="K2322" s="7" t="s">
        <v>3642</v>
      </c>
      <c r="L2322" s="7" t="s">
        <v>991</v>
      </c>
      <c r="M2322" s="7" t="s">
        <v>3501</v>
      </c>
      <c r="N2322" s="7" t="s">
        <v>3643</v>
      </c>
      <c r="O2322" s="7" t="s">
        <v>3644</v>
      </c>
      <c r="P2322" s="7" t="s">
        <v>3493</v>
      </c>
      <c r="Q2322" s="7">
        <v>1.0</v>
      </c>
    </row>
    <row r="2323">
      <c r="A2323" s="7" t="s">
        <v>17216</v>
      </c>
      <c r="B2323" s="7">
        <v>3000623.0</v>
      </c>
      <c r="C2323" s="7" t="s">
        <v>7649</v>
      </c>
      <c r="D2323" s="7" t="s">
        <v>17217</v>
      </c>
      <c r="E2323" s="7" t="s">
        <v>7651</v>
      </c>
      <c r="F2323" s="7" t="s">
        <v>4687</v>
      </c>
      <c r="G2323" s="7" t="s">
        <v>17218</v>
      </c>
      <c r="H2323" s="7" t="s">
        <v>17219</v>
      </c>
      <c r="I2323" s="119">
        <v>45748.0</v>
      </c>
      <c r="K2323" s="7" t="s">
        <v>3632</v>
      </c>
      <c r="L2323" s="7" t="s">
        <v>991</v>
      </c>
      <c r="M2323" s="7" t="s">
        <v>3501</v>
      </c>
      <c r="N2323" s="7" t="s">
        <v>17220</v>
      </c>
      <c r="O2323" s="7" t="s">
        <v>17221</v>
      </c>
      <c r="P2323" s="7" t="s">
        <v>17222</v>
      </c>
      <c r="Q2323" s="7" t="s">
        <v>4155</v>
      </c>
    </row>
    <row r="2324">
      <c r="A2324" s="7" t="s">
        <v>17223</v>
      </c>
      <c r="B2324" s="7">
        <v>3000695.0</v>
      </c>
      <c r="C2324" s="7" t="s">
        <v>17224</v>
      </c>
      <c r="D2324" s="7" t="s">
        <v>17225</v>
      </c>
      <c r="E2324" s="7" t="s">
        <v>17226</v>
      </c>
      <c r="F2324" s="7" t="s">
        <v>4371</v>
      </c>
      <c r="G2324" s="7" t="s">
        <v>17227</v>
      </c>
      <c r="H2324" s="7" t="s">
        <v>17228</v>
      </c>
      <c r="I2324" s="119">
        <v>45748.0</v>
      </c>
      <c r="K2324" s="7" t="s">
        <v>15381</v>
      </c>
      <c r="L2324" s="7" t="s">
        <v>991</v>
      </c>
      <c r="M2324" s="7" t="s">
        <v>3531</v>
      </c>
      <c r="N2324" s="7" t="s">
        <v>15382</v>
      </c>
      <c r="O2324" s="7" t="s">
        <v>15383</v>
      </c>
      <c r="P2324" s="7" t="s">
        <v>3493</v>
      </c>
      <c r="Q2324" s="7">
        <v>1.0</v>
      </c>
    </row>
    <row r="2325">
      <c r="A2325" s="7" t="s">
        <v>17229</v>
      </c>
      <c r="B2325" s="7">
        <v>3000628.0</v>
      </c>
      <c r="C2325" s="7" t="s">
        <v>7853</v>
      </c>
      <c r="D2325" s="7" t="s">
        <v>17230</v>
      </c>
      <c r="E2325" s="7" t="s">
        <v>7854</v>
      </c>
      <c r="F2325" s="7" t="s">
        <v>4172</v>
      </c>
      <c r="G2325" s="7" t="s">
        <v>17231</v>
      </c>
      <c r="H2325" s="7" t="s">
        <v>17232</v>
      </c>
      <c r="I2325" s="119">
        <v>45748.0</v>
      </c>
      <c r="K2325" s="7" t="s">
        <v>419</v>
      </c>
      <c r="L2325" s="7" t="s">
        <v>991</v>
      </c>
      <c r="M2325" s="7" t="s">
        <v>3490</v>
      </c>
      <c r="N2325" s="7" t="s">
        <v>3520</v>
      </c>
      <c r="O2325" s="7" t="s">
        <v>17233</v>
      </c>
      <c r="P2325" s="7" t="s">
        <v>8079</v>
      </c>
      <c r="Q2325" s="7" t="s">
        <v>17234</v>
      </c>
    </row>
    <row r="2326">
      <c r="A2326" s="7" t="s">
        <v>17235</v>
      </c>
      <c r="B2326" s="7">
        <v>3000588.0</v>
      </c>
      <c r="C2326" s="7" t="s">
        <v>8082</v>
      </c>
      <c r="D2326" s="7" t="s">
        <v>17236</v>
      </c>
      <c r="E2326" s="7" t="s">
        <v>8074</v>
      </c>
      <c r="F2326" s="7" t="s">
        <v>4068</v>
      </c>
      <c r="G2326" s="7" t="s">
        <v>17237</v>
      </c>
      <c r="H2326" s="7" t="s">
        <v>17238</v>
      </c>
      <c r="I2326" s="119">
        <v>45748.0</v>
      </c>
      <c r="K2326" s="7" t="s">
        <v>17239</v>
      </c>
      <c r="L2326" s="7" t="s">
        <v>6655</v>
      </c>
      <c r="M2326" s="7" t="s">
        <v>17240</v>
      </c>
      <c r="N2326" s="7" t="s">
        <v>5197</v>
      </c>
      <c r="O2326" s="7" t="s">
        <v>17241</v>
      </c>
      <c r="P2326" s="7" t="s">
        <v>9759</v>
      </c>
      <c r="Q2326" s="7" t="s">
        <v>17242</v>
      </c>
    </row>
    <row r="2327">
      <c r="A2327" s="7" t="s">
        <v>17243</v>
      </c>
      <c r="B2327" s="7">
        <v>3000655.0</v>
      </c>
      <c r="C2327" s="7" t="s">
        <v>8082</v>
      </c>
      <c r="D2327" s="7" t="s">
        <v>6009</v>
      </c>
      <c r="E2327" s="7" t="s">
        <v>8074</v>
      </c>
      <c r="F2327" s="7" t="s">
        <v>6011</v>
      </c>
      <c r="G2327" s="7" t="s">
        <v>17244</v>
      </c>
      <c r="H2327" s="7" t="s">
        <v>17245</v>
      </c>
      <c r="I2327" s="119">
        <v>45748.0</v>
      </c>
      <c r="K2327" s="7" t="s">
        <v>11974</v>
      </c>
      <c r="L2327" s="7" t="s">
        <v>991</v>
      </c>
      <c r="M2327" s="7" t="s">
        <v>3501</v>
      </c>
      <c r="N2327" s="7" t="s">
        <v>11975</v>
      </c>
      <c r="O2327" s="7" t="s">
        <v>17246</v>
      </c>
      <c r="P2327" s="7" t="s">
        <v>4154</v>
      </c>
      <c r="Q2327" s="7" t="s">
        <v>3555</v>
      </c>
    </row>
    <row r="2328">
      <c r="A2328" s="7" t="s">
        <v>17247</v>
      </c>
      <c r="B2328" s="7">
        <v>3000649.0</v>
      </c>
      <c r="C2328" s="7" t="s">
        <v>8247</v>
      </c>
      <c r="D2328" s="7" t="s">
        <v>17248</v>
      </c>
      <c r="E2328" s="7" t="s">
        <v>8249</v>
      </c>
      <c r="F2328" s="7" t="s">
        <v>17249</v>
      </c>
      <c r="G2328" s="7" t="s">
        <v>17250</v>
      </c>
      <c r="H2328" s="7" t="s">
        <v>17251</v>
      </c>
      <c r="I2328" s="119">
        <v>45748.0</v>
      </c>
      <c r="K2328" s="7" t="s">
        <v>419</v>
      </c>
      <c r="L2328" s="7" t="s">
        <v>991</v>
      </c>
      <c r="M2328" s="7" t="s">
        <v>3531</v>
      </c>
      <c r="N2328" s="7" t="s">
        <v>5486</v>
      </c>
      <c r="O2328" s="7" t="s">
        <v>5487</v>
      </c>
      <c r="P2328" s="7" t="s">
        <v>3493</v>
      </c>
      <c r="Q2328" s="7">
        <v>1.0</v>
      </c>
    </row>
    <row r="2329">
      <c r="A2329" s="7" t="s">
        <v>17252</v>
      </c>
      <c r="B2329" s="7">
        <v>3000639.0</v>
      </c>
      <c r="C2329" s="7" t="s">
        <v>8429</v>
      </c>
      <c r="D2329" s="7" t="s">
        <v>17253</v>
      </c>
      <c r="E2329" s="7" t="s">
        <v>8431</v>
      </c>
      <c r="F2329" s="7" t="s">
        <v>5987</v>
      </c>
      <c r="G2329" s="7" t="s">
        <v>17254</v>
      </c>
      <c r="H2329" s="7" t="s">
        <v>17255</v>
      </c>
      <c r="I2329" s="119">
        <v>45748.0</v>
      </c>
      <c r="K2329" s="7" t="s">
        <v>3489</v>
      </c>
      <c r="L2329" s="7" t="s">
        <v>991</v>
      </c>
      <c r="M2329" s="7" t="s">
        <v>3490</v>
      </c>
      <c r="N2329" s="7" t="s">
        <v>3491</v>
      </c>
      <c r="O2329" s="7" t="s">
        <v>3492</v>
      </c>
      <c r="P2329" s="7" t="s">
        <v>3493</v>
      </c>
      <c r="Q2329" s="7">
        <v>1.0</v>
      </c>
    </row>
    <row r="2330">
      <c r="A2330" s="7" t="s">
        <v>17256</v>
      </c>
      <c r="B2330" s="7">
        <v>3000674.0</v>
      </c>
      <c r="C2330" s="7" t="s">
        <v>8429</v>
      </c>
      <c r="D2330" s="7" t="s">
        <v>17257</v>
      </c>
      <c r="E2330" s="7" t="s">
        <v>8431</v>
      </c>
      <c r="F2330" s="7" t="s">
        <v>11235</v>
      </c>
      <c r="G2330" s="7" t="s">
        <v>17258</v>
      </c>
      <c r="H2330" s="7" t="s">
        <v>17259</v>
      </c>
      <c r="I2330" s="119">
        <v>45748.0</v>
      </c>
      <c r="K2330" s="7" t="s">
        <v>3642</v>
      </c>
      <c r="L2330" s="7" t="s">
        <v>991</v>
      </c>
      <c r="M2330" s="7" t="s">
        <v>3501</v>
      </c>
      <c r="N2330" s="7" t="s">
        <v>3643</v>
      </c>
      <c r="O2330" s="7" t="s">
        <v>3644</v>
      </c>
      <c r="P2330" s="7" t="s">
        <v>3493</v>
      </c>
      <c r="Q2330" s="7">
        <v>1.0</v>
      </c>
    </row>
    <row r="2331">
      <c r="A2331" s="7" t="s">
        <v>17260</v>
      </c>
      <c r="B2331" s="7">
        <v>3000635.0</v>
      </c>
      <c r="C2331" s="7" t="s">
        <v>17261</v>
      </c>
      <c r="D2331" s="7" t="s">
        <v>17262</v>
      </c>
      <c r="E2331" s="7" t="s">
        <v>8566</v>
      </c>
      <c r="F2331" s="7" t="s">
        <v>3609</v>
      </c>
      <c r="G2331" s="7" t="s">
        <v>17263</v>
      </c>
      <c r="H2331" s="7" t="s">
        <v>17264</v>
      </c>
      <c r="I2331" s="119">
        <v>45748.0</v>
      </c>
      <c r="K2331" s="7" t="s">
        <v>419</v>
      </c>
      <c r="L2331" s="7" t="s">
        <v>991</v>
      </c>
      <c r="M2331" s="7" t="s">
        <v>3531</v>
      </c>
      <c r="N2331" s="7" t="s">
        <v>7147</v>
      </c>
      <c r="O2331" s="7" t="s">
        <v>7148</v>
      </c>
      <c r="P2331" s="7" t="s">
        <v>3493</v>
      </c>
      <c r="Q2331" s="7">
        <v>1.0</v>
      </c>
    </row>
    <row r="2332">
      <c r="A2332" s="7" t="s">
        <v>17265</v>
      </c>
      <c r="B2332" s="7">
        <v>3000622.0</v>
      </c>
      <c r="C2332" s="7" t="s">
        <v>16390</v>
      </c>
      <c r="D2332" s="7" t="s">
        <v>17266</v>
      </c>
      <c r="E2332" s="7" t="s">
        <v>8820</v>
      </c>
      <c r="F2332" s="7" t="s">
        <v>13098</v>
      </c>
      <c r="G2332" s="7" t="s">
        <v>17267</v>
      </c>
      <c r="H2332" s="7" t="s">
        <v>17268</v>
      </c>
      <c r="I2332" s="119">
        <v>45748.0</v>
      </c>
      <c r="K2332" s="7" t="s">
        <v>419</v>
      </c>
      <c r="L2332" s="7" t="s">
        <v>991</v>
      </c>
      <c r="M2332" s="7" t="s">
        <v>3583</v>
      </c>
      <c r="N2332" s="7" t="s">
        <v>4499</v>
      </c>
      <c r="O2332" s="7" t="s">
        <v>17269</v>
      </c>
      <c r="P2332" s="7" t="s">
        <v>8520</v>
      </c>
      <c r="Q2332" s="7" t="s">
        <v>5016</v>
      </c>
    </row>
    <row r="2333">
      <c r="A2333" s="7" t="s">
        <v>17270</v>
      </c>
      <c r="B2333" s="7">
        <v>3000656.0</v>
      </c>
      <c r="C2333" s="7" t="s">
        <v>17271</v>
      </c>
      <c r="D2333" s="7" t="s">
        <v>17272</v>
      </c>
      <c r="E2333" s="7" t="s">
        <v>8848</v>
      </c>
      <c r="F2333" s="7" t="s">
        <v>17273</v>
      </c>
      <c r="G2333" s="7" t="s">
        <v>17274</v>
      </c>
      <c r="H2333" s="7" t="s">
        <v>17275</v>
      </c>
      <c r="I2333" s="119">
        <v>45748.0</v>
      </c>
      <c r="K2333" s="7" t="s">
        <v>11974</v>
      </c>
      <c r="L2333" s="7" t="s">
        <v>991</v>
      </c>
      <c r="M2333" s="7" t="s">
        <v>3501</v>
      </c>
      <c r="N2333" s="7" t="s">
        <v>11975</v>
      </c>
      <c r="O2333" s="7" t="s">
        <v>11976</v>
      </c>
      <c r="P2333" s="7" t="s">
        <v>3493</v>
      </c>
      <c r="Q2333" s="7">
        <v>1.0</v>
      </c>
    </row>
    <row r="2334">
      <c r="A2334" s="7" t="s">
        <v>17276</v>
      </c>
      <c r="B2334" s="7">
        <v>3000671.0</v>
      </c>
      <c r="C2334" s="7" t="s">
        <v>17277</v>
      </c>
      <c r="D2334" s="7" t="s">
        <v>17278</v>
      </c>
      <c r="E2334" s="7" t="s">
        <v>17279</v>
      </c>
      <c r="F2334" s="7" t="s">
        <v>17280</v>
      </c>
      <c r="G2334" s="7" t="s">
        <v>17281</v>
      </c>
      <c r="H2334" s="7" t="s">
        <v>17282</v>
      </c>
      <c r="I2334" s="119">
        <v>45748.0</v>
      </c>
      <c r="K2334" s="7" t="s">
        <v>419</v>
      </c>
      <c r="L2334" s="7" t="s">
        <v>991</v>
      </c>
      <c r="M2334" s="7" t="s">
        <v>3501</v>
      </c>
      <c r="N2334" s="7" t="s">
        <v>4587</v>
      </c>
      <c r="O2334" s="7" t="s">
        <v>4588</v>
      </c>
      <c r="P2334" s="7" t="s">
        <v>3522</v>
      </c>
      <c r="Q2334" s="7" t="s">
        <v>3523</v>
      </c>
    </row>
    <row r="2335">
      <c r="A2335" s="7" t="s">
        <v>17283</v>
      </c>
      <c r="B2335" s="7">
        <v>3000612.0</v>
      </c>
      <c r="C2335" s="7" t="s">
        <v>8961</v>
      </c>
      <c r="D2335" s="7" t="s">
        <v>17284</v>
      </c>
      <c r="E2335" s="7" t="s">
        <v>8963</v>
      </c>
      <c r="F2335" s="7" t="s">
        <v>10102</v>
      </c>
      <c r="G2335" s="7" t="s">
        <v>17285</v>
      </c>
      <c r="H2335" s="7" t="s">
        <v>17286</v>
      </c>
      <c r="I2335" s="119">
        <v>45748.0</v>
      </c>
      <c r="K2335" s="7" t="s">
        <v>419</v>
      </c>
      <c r="L2335" s="7" t="s">
        <v>991</v>
      </c>
      <c r="M2335" s="7" t="s">
        <v>3501</v>
      </c>
      <c r="N2335" s="7" t="s">
        <v>4147</v>
      </c>
      <c r="O2335" s="7" t="s">
        <v>4148</v>
      </c>
      <c r="P2335" s="7" t="s">
        <v>3493</v>
      </c>
      <c r="Q2335" s="7">
        <v>1.0</v>
      </c>
    </row>
    <row r="2336">
      <c r="A2336" s="7" t="s">
        <v>17287</v>
      </c>
      <c r="B2336" s="7">
        <v>3000581.0</v>
      </c>
      <c r="C2336" s="7" t="s">
        <v>17288</v>
      </c>
      <c r="D2336" s="7" t="s">
        <v>17289</v>
      </c>
      <c r="E2336" s="7" t="s">
        <v>9033</v>
      </c>
      <c r="F2336" s="7" t="s">
        <v>7099</v>
      </c>
      <c r="G2336" s="7" t="s">
        <v>17290</v>
      </c>
      <c r="H2336" s="7" t="s">
        <v>17291</v>
      </c>
      <c r="I2336" s="119">
        <v>45748.0</v>
      </c>
      <c r="K2336" s="7" t="s">
        <v>419</v>
      </c>
      <c r="L2336" s="7" t="s">
        <v>991</v>
      </c>
      <c r="M2336" s="7" t="s">
        <v>3501</v>
      </c>
      <c r="N2336" s="7" t="s">
        <v>6402</v>
      </c>
      <c r="O2336" s="7" t="s">
        <v>6403</v>
      </c>
      <c r="P2336" s="7" t="s">
        <v>3493</v>
      </c>
      <c r="Q2336" s="7">
        <v>1.0</v>
      </c>
    </row>
    <row r="2337">
      <c r="A2337" s="7" t="s">
        <v>17292</v>
      </c>
      <c r="B2337" s="7">
        <v>3000615.0</v>
      </c>
      <c r="C2337" s="7" t="s">
        <v>9113</v>
      </c>
      <c r="D2337" s="7" t="s">
        <v>12983</v>
      </c>
      <c r="E2337" s="7" t="s">
        <v>9115</v>
      </c>
      <c r="F2337" s="7" t="s">
        <v>9380</v>
      </c>
      <c r="G2337" s="7" t="s">
        <v>17293</v>
      </c>
      <c r="H2337" s="7" t="s">
        <v>17294</v>
      </c>
      <c r="I2337" s="119">
        <v>45748.0</v>
      </c>
      <c r="K2337" s="7" t="s">
        <v>419</v>
      </c>
      <c r="L2337" s="7" t="s">
        <v>991</v>
      </c>
      <c r="M2337" s="7" t="s">
        <v>3501</v>
      </c>
      <c r="N2337" s="7" t="s">
        <v>3899</v>
      </c>
      <c r="O2337" s="7" t="s">
        <v>17295</v>
      </c>
      <c r="P2337" s="7" t="s">
        <v>3522</v>
      </c>
      <c r="Q2337" s="7" t="s">
        <v>3523</v>
      </c>
    </row>
    <row r="2338">
      <c r="A2338" s="7" t="s">
        <v>17296</v>
      </c>
      <c r="B2338" s="7">
        <v>3000637.0</v>
      </c>
      <c r="C2338" s="7" t="s">
        <v>9145</v>
      </c>
      <c r="D2338" s="7" t="s">
        <v>17297</v>
      </c>
      <c r="E2338" s="7" t="s">
        <v>9147</v>
      </c>
      <c r="F2338" s="7" t="s">
        <v>5987</v>
      </c>
      <c r="G2338" s="7" t="s">
        <v>17298</v>
      </c>
      <c r="H2338" s="7" t="s">
        <v>17299</v>
      </c>
      <c r="I2338" s="119">
        <v>45748.0</v>
      </c>
      <c r="K2338" s="7" t="s">
        <v>3622</v>
      </c>
      <c r="L2338" s="7" t="s">
        <v>991</v>
      </c>
      <c r="M2338" s="7" t="s">
        <v>3501</v>
      </c>
      <c r="N2338" s="7" t="s">
        <v>3623</v>
      </c>
      <c r="O2338" s="7" t="s">
        <v>3624</v>
      </c>
      <c r="P2338" s="7" t="s">
        <v>3493</v>
      </c>
      <c r="Q2338" s="7">
        <v>1.0</v>
      </c>
    </row>
    <row r="2339">
      <c r="A2339" s="7" t="s">
        <v>17300</v>
      </c>
      <c r="B2339" s="7">
        <v>3000677.0</v>
      </c>
      <c r="C2339" s="7" t="s">
        <v>9145</v>
      </c>
      <c r="D2339" s="7" t="s">
        <v>17301</v>
      </c>
      <c r="E2339" s="7" t="s">
        <v>9147</v>
      </c>
      <c r="F2339" s="7" t="s">
        <v>10155</v>
      </c>
      <c r="G2339" s="7" t="s">
        <v>17302</v>
      </c>
      <c r="H2339" s="7" t="s">
        <v>17303</v>
      </c>
      <c r="I2339" s="119">
        <v>45748.0</v>
      </c>
      <c r="K2339" s="7" t="s">
        <v>419</v>
      </c>
      <c r="L2339" s="7" t="s">
        <v>991</v>
      </c>
      <c r="M2339" s="7" t="s">
        <v>3531</v>
      </c>
      <c r="N2339" s="7" t="s">
        <v>6753</v>
      </c>
      <c r="O2339" s="7" t="s">
        <v>6754</v>
      </c>
      <c r="P2339" s="7" t="s">
        <v>3493</v>
      </c>
      <c r="Q2339" s="7">
        <v>1.0</v>
      </c>
    </row>
    <row r="2340">
      <c r="A2340" s="7" t="s">
        <v>17304</v>
      </c>
      <c r="B2340" s="7">
        <v>3000634.0</v>
      </c>
      <c r="C2340" s="7" t="s">
        <v>9145</v>
      </c>
      <c r="D2340" s="7" t="s">
        <v>12130</v>
      </c>
      <c r="E2340" s="7" t="s">
        <v>9147</v>
      </c>
      <c r="F2340" s="7" t="s">
        <v>12031</v>
      </c>
      <c r="G2340" s="7" t="s">
        <v>17305</v>
      </c>
      <c r="H2340" s="7" t="s">
        <v>17306</v>
      </c>
      <c r="I2340" s="119">
        <v>45748.0</v>
      </c>
      <c r="K2340" s="7" t="s">
        <v>419</v>
      </c>
      <c r="L2340" s="7" t="s">
        <v>991</v>
      </c>
      <c r="M2340" s="7" t="s">
        <v>3531</v>
      </c>
      <c r="N2340" s="7" t="s">
        <v>4028</v>
      </c>
      <c r="O2340" s="7" t="s">
        <v>4029</v>
      </c>
      <c r="P2340" s="7" t="s">
        <v>3493</v>
      </c>
      <c r="Q2340" s="7">
        <v>1.0</v>
      </c>
    </row>
    <row r="2341">
      <c r="A2341" s="7" t="s">
        <v>17307</v>
      </c>
      <c r="B2341" s="7">
        <v>3000633.0</v>
      </c>
      <c r="C2341" s="7" t="s">
        <v>9145</v>
      </c>
      <c r="D2341" s="7" t="s">
        <v>17308</v>
      </c>
      <c r="E2341" s="7" t="s">
        <v>9147</v>
      </c>
      <c r="F2341" s="7" t="s">
        <v>15192</v>
      </c>
      <c r="G2341" s="7" t="s">
        <v>17309</v>
      </c>
      <c r="H2341" s="7" t="s">
        <v>17310</v>
      </c>
      <c r="I2341" s="119">
        <v>45748.0</v>
      </c>
      <c r="K2341" s="7" t="s">
        <v>419</v>
      </c>
      <c r="L2341" s="7" t="s">
        <v>991</v>
      </c>
      <c r="M2341" s="7" t="s">
        <v>3531</v>
      </c>
      <c r="N2341" s="7" t="s">
        <v>4028</v>
      </c>
      <c r="O2341" s="7" t="s">
        <v>4029</v>
      </c>
      <c r="P2341" s="7" t="s">
        <v>3493</v>
      </c>
      <c r="Q2341" s="7">
        <v>1.0</v>
      </c>
    </row>
    <row r="2342">
      <c r="A2342" s="7" t="s">
        <v>17311</v>
      </c>
      <c r="B2342" s="7">
        <v>3000644.0</v>
      </c>
      <c r="C2342" s="7" t="s">
        <v>9321</v>
      </c>
      <c r="D2342" s="7" t="s">
        <v>11861</v>
      </c>
      <c r="E2342" s="7" t="s">
        <v>9322</v>
      </c>
      <c r="F2342" s="7" t="s">
        <v>3869</v>
      </c>
      <c r="G2342" s="7" t="s">
        <v>17312</v>
      </c>
      <c r="H2342" s="7" t="s">
        <v>17313</v>
      </c>
      <c r="I2342" s="119">
        <v>45748.0</v>
      </c>
      <c r="K2342" s="7" t="s">
        <v>419</v>
      </c>
      <c r="L2342" s="7" t="s">
        <v>991</v>
      </c>
      <c r="M2342" s="7" t="s">
        <v>3531</v>
      </c>
      <c r="N2342" s="7" t="s">
        <v>13635</v>
      </c>
      <c r="O2342" s="7" t="s">
        <v>13636</v>
      </c>
      <c r="P2342" s="7" t="s">
        <v>3493</v>
      </c>
      <c r="Q2342" s="7">
        <v>1.0</v>
      </c>
    </row>
    <row r="2343">
      <c r="A2343" s="7" t="s">
        <v>17314</v>
      </c>
      <c r="B2343" s="7">
        <v>3000629.0</v>
      </c>
      <c r="C2343" s="7" t="s">
        <v>9321</v>
      </c>
      <c r="D2343" s="7" t="s">
        <v>17315</v>
      </c>
      <c r="E2343" s="7" t="s">
        <v>9322</v>
      </c>
      <c r="F2343" s="7" t="s">
        <v>17316</v>
      </c>
      <c r="G2343" s="7" t="s">
        <v>17317</v>
      </c>
      <c r="H2343" s="7" t="s">
        <v>17318</v>
      </c>
      <c r="I2343" s="119">
        <v>45748.0</v>
      </c>
      <c r="K2343" s="7" t="s">
        <v>419</v>
      </c>
      <c r="L2343" s="7" t="s">
        <v>991</v>
      </c>
      <c r="M2343" s="7" t="s">
        <v>3583</v>
      </c>
      <c r="N2343" s="7" t="s">
        <v>4256</v>
      </c>
      <c r="O2343" s="7" t="s">
        <v>4257</v>
      </c>
      <c r="P2343" s="7" t="s">
        <v>3493</v>
      </c>
      <c r="Q2343" s="7">
        <v>1.0</v>
      </c>
    </row>
    <row r="2344">
      <c r="A2344" s="7" t="s">
        <v>17319</v>
      </c>
      <c r="B2344" s="7">
        <v>3000686.0</v>
      </c>
      <c r="C2344" s="7" t="s">
        <v>17320</v>
      </c>
      <c r="D2344" s="7" t="s">
        <v>17321</v>
      </c>
      <c r="E2344" s="7" t="s">
        <v>17322</v>
      </c>
      <c r="F2344" s="7" t="s">
        <v>4371</v>
      </c>
      <c r="G2344" s="7" t="s">
        <v>17323</v>
      </c>
      <c r="H2344" s="7" t="s">
        <v>17324</v>
      </c>
      <c r="I2344" s="119">
        <v>45748.0</v>
      </c>
      <c r="K2344" s="7" t="s">
        <v>3632</v>
      </c>
      <c r="L2344" s="7" t="s">
        <v>991</v>
      </c>
      <c r="M2344" s="7" t="s">
        <v>3531</v>
      </c>
      <c r="N2344" s="7" t="s">
        <v>5931</v>
      </c>
      <c r="O2344" s="7" t="s">
        <v>6924</v>
      </c>
      <c r="P2344" s="7" t="s">
        <v>3493</v>
      </c>
      <c r="Q2344" s="7">
        <v>1.0</v>
      </c>
    </row>
    <row r="2345">
      <c r="A2345" s="7" t="s">
        <v>17325</v>
      </c>
      <c r="B2345" s="7">
        <v>3000646.0</v>
      </c>
      <c r="C2345" s="7" t="s">
        <v>17326</v>
      </c>
      <c r="D2345" s="7" t="s">
        <v>17327</v>
      </c>
      <c r="E2345" s="7" t="s">
        <v>17328</v>
      </c>
      <c r="F2345" s="7" t="s">
        <v>17329</v>
      </c>
      <c r="G2345" s="7" t="s">
        <v>17330</v>
      </c>
      <c r="H2345" s="7" t="s">
        <v>17331</v>
      </c>
      <c r="I2345" s="119">
        <v>45748.0</v>
      </c>
      <c r="K2345" s="7" t="s">
        <v>419</v>
      </c>
      <c r="L2345" s="7" t="s">
        <v>991</v>
      </c>
      <c r="M2345" s="7" t="s">
        <v>3531</v>
      </c>
      <c r="N2345" s="7" t="s">
        <v>13635</v>
      </c>
      <c r="O2345" s="7" t="s">
        <v>13636</v>
      </c>
      <c r="P2345" s="7" t="s">
        <v>3493</v>
      </c>
      <c r="Q2345" s="7">
        <v>1.0</v>
      </c>
    </row>
    <row r="2346">
      <c r="A2346" s="7" t="s">
        <v>17332</v>
      </c>
      <c r="B2346" s="7">
        <v>3000666.0</v>
      </c>
      <c r="C2346" s="7" t="s">
        <v>9730</v>
      </c>
      <c r="D2346" s="7" t="s">
        <v>17333</v>
      </c>
      <c r="E2346" s="7" t="s">
        <v>9731</v>
      </c>
      <c r="F2346" s="7" t="s">
        <v>16616</v>
      </c>
      <c r="G2346" s="7" t="s">
        <v>17334</v>
      </c>
      <c r="H2346" s="7" t="s">
        <v>17335</v>
      </c>
      <c r="I2346" s="119">
        <v>45748.0</v>
      </c>
      <c r="K2346" s="7" t="s">
        <v>419</v>
      </c>
      <c r="L2346" s="7" t="s">
        <v>991</v>
      </c>
      <c r="M2346" s="7" t="s">
        <v>3531</v>
      </c>
      <c r="N2346" s="7" t="s">
        <v>17038</v>
      </c>
      <c r="O2346" s="7" t="s">
        <v>17039</v>
      </c>
      <c r="P2346" s="7" t="s">
        <v>3493</v>
      </c>
      <c r="Q2346" s="7">
        <v>1.0</v>
      </c>
    </row>
    <row r="2347">
      <c r="A2347" s="7" t="s">
        <v>17336</v>
      </c>
      <c r="B2347" s="7">
        <v>3000624.0</v>
      </c>
      <c r="C2347" s="7" t="s">
        <v>9851</v>
      </c>
      <c r="D2347" s="7" t="s">
        <v>10847</v>
      </c>
      <c r="E2347" s="7" t="s">
        <v>9853</v>
      </c>
      <c r="F2347" s="7" t="s">
        <v>10848</v>
      </c>
      <c r="G2347" s="7" t="s">
        <v>17337</v>
      </c>
      <c r="H2347" s="7" t="s">
        <v>17338</v>
      </c>
      <c r="I2347" s="119">
        <v>45748.0</v>
      </c>
      <c r="K2347" s="7" t="s">
        <v>419</v>
      </c>
      <c r="L2347" s="7" t="s">
        <v>991</v>
      </c>
      <c r="M2347" s="7" t="s">
        <v>3501</v>
      </c>
      <c r="N2347" s="7" t="s">
        <v>13888</v>
      </c>
      <c r="O2347" s="7" t="s">
        <v>13889</v>
      </c>
      <c r="P2347" s="7" t="s">
        <v>3493</v>
      </c>
      <c r="Q2347" s="7">
        <v>1.0</v>
      </c>
    </row>
    <row r="2348">
      <c r="A2348" s="7" t="s">
        <v>17339</v>
      </c>
      <c r="B2348" s="7">
        <v>3000607.0</v>
      </c>
      <c r="C2348" s="7" t="s">
        <v>17340</v>
      </c>
      <c r="D2348" s="7" t="s">
        <v>17341</v>
      </c>
      <c r="E2348" s="7" t="s">
        <v>17342</v>
      </c>
      <c r="F2348" s="7" t="s">
        <v>17343</v>
      </c>
      <c r="G2348" s="7" t="s">
        <v>17344</v>
      </c>
      <c r="H2348" s="7" t="s">
        <v>17345</v>
      </c>
      <c r="I2348" s="119">
        <v>45748.0</v>
      </c>
      <c r="K2348" s="7" t="s">
        <v>419</v>
      </c>
      <c r="L2348" s="7" t="s">
        <v>991</v>
      </c>
      <c r="M2348" s="7" t="s">
        <v>3501</v>
      </c>
      <c r="N2348" s="7" t="s">
        <v>10829</v>
      </c>
      <c r="O2348" s="7" t="s">
        <v>10830</v>
      </c>
      <c r="P2348" s="7" t="s">
        <v>3493</v>
      </c>
      <c r="Q2348" s="7">
        <v>1.0</v>
      </c>
    </row>
    <row r="2349">
      <c r="A2349" s="7" t="s">
        <v>17346</v>
      </c>
      <c r="B2349" s="7">
        <v>3000647.0</v>
      </c>
      <c r="C2349" s="7" t="s">
        <v>9907</v>
      </c>
      <c r="D2349" s="7" t="s">
        <v>17347</v>
      </c>
      <c r="E2349" s="7" t="s">
        <v>9909</v>
      </c>
      <c r="F2349" s="7" t="s">
        <v>5264</v>
      </c>
      <c r="G2349" s="7" t="s">
        <v>17348</v>
      </c>
      <c r="H2349" s="7" t="s">
        <v>17349</v>
      </c>
      <c r="I2349" s="119">
        <v>45748.0</v>
      </c>
      <c r="K2349" s="7" t="s">
        <v>3632</v>
      </c>
      <c r="L2349" s="7" t="s">
        <v>991</v>
      </c>
      <c r="M2349" s="7" t="s">
        <v>3501</v>
      </c>
      <c r="N2349" s="7" t="s">
        <v>9997</v>
      </c>
      <c r="O2349" s="7" t="s">
        <v>17350</v>
      </c>
      <c r="P2349" s="7" t="s">
        <v>4154</v>
      </c>
      <c r="Q2349" s="7" t="s">
        <v>4155</v>
      </c>
    </row>
    <row r="2350">
      <c r="A2350" s="7" t="s">
        <v>17351</v>
      </c>
      <c r="B2350" s="7">
        <v>3000675.0</v>
      </c>
      <c r="C2350" s="7" t="s">
        <v>10090</v>
      </c>
      <c r="D2350" s="7" t="s">
        <v>17352</v>
      </c>
      <c r="E2350" s="7" t="s">
        <v>10092</v>
      </c>
      <c r="F2350" s="7" t="s">
        <v>5752</v>
      </c>
      <c r="G2350" s="7" t="s">
        <v>17353</v>
      </c>
      <c r="H2350" s="7" t="s">
        <v>17354</v>
      </c>
      <c r="I2350" s="119">
        <v>45748.0</v>
      </c>
      <c r="K2350" s="7" t="s">
        <v>419</v>
      </c>
      <c r="L2350" s="7" t="s">
        <v>991</v>
      </c>
      <c r="M2350" s="7" t="s">
        <v>3531</v>
      </c>
      <c r="N2350" s="7" t="s">
        <v>5740</v>
      </c>
      <c r="O2350" s="7" t="s">
        <v>5741</v>
      </c>
      <c r="P2350" s="7" t="s">
        <v>3493</v>
      </c>
      <c r="Q2350" s="7">
        <v>1.0</v>
      </c>
    </row>
    <row r="2351">
      <c r="A2351" s="7" t="s">
        <v>17355</v>
      </c>
      <c r="B2351" s="7">
        <v>3000685.0</v>
      </c>
      <c r="C2351" s="7" t="s">
        <v>17356</v>
      </c>
      <c r="D2351" s="7" t="s">
        <v>17357</v>
      </c>
      <c r="E2351" s="7" t="s">
        <v>10247</v>
      </c>
      <c r="F2351" s="7" t="s">
        <v>17358</v>
      </c>
      <c r="G2351" s="7" t="s">
        <v>17359</v>
      </c>
      <c r="H2351" s="7" t="s">
        <v>17360</v>
      </c>
      <c r="I2351" s="119">
        <v>45748.0</v>
      </c>
      <c r="K2351" s="7" t="s">
        <v>419</v>
      </c>
      <c r="L2351" s="7" t="s">
        <v>991</v>
      </c>
      <c r="M2351" s="7" t="s">
        <v>3531</v>
      </c>
      <c r="N2351" s="7" t="s">
        <v>12768</v>
      </c>
      <c r="O2351" s="7" t="s">
        <v>12769</v>
      </c>
      <c r="P2351" s="7" t="s">
        <v>3493</v>
      </c>
      <c r="Q2351" s="7">
        <v>1.0</v>
      </c>
    </row>
    <row r="2352">
      <c r="A2352" s="7" t="s">
        <v>17361</v>
      </c>
      <c r="B2352" s="7">
        <v>3000650.0</v>
      </c>
      <c r="C2352" s="7" t="s">
        <v>17362</v>
      </c>
      <c r="D2352" s="7" t="s">
        <v>4676</v>
      </c>
      <c r="E2352" s="7" t="s">
        <v>17363</v>
      </c>
      <c r="F2352" s="7" t="s">
        <v>4677</v>
      </c>
      <c r="G2352" s="7" t="s">
        <v>17364</v>
      </c>
      <c r="H2352" s="7" t="s">
        <v>17365</v>
      </c>
      <c r="I2352" s="119">
        <v>45748.0</v>
      </c>
      <c r="K2352" s="7" t="s">
        <v>419</v>
      </c>
      <c r="L2352" s="7" t="s">
        <v>991</v>
      </c>
      <c r="M2352" s="7" t="s">
        <v>3531</v>
      </c>
      <c r="N2352" s="7" t="s">
        <v>13982</v>
      </c>
      <c r="O2352" s="7" t="s">
        <v>16463</v>
      </c>
      <c r="P2352" s="7" t="s">
        <v>3493</v>
      </c>
      <c r="Q2352" s="7">
        <v>1.0</v>
      </c>
    </row>
    <row r="2353">
      <c r="A2353" s="7" t="s">
        <v>17366</v>
      </c>
      <c r="B2353" s="7">
        <v>3000591.0</v>
      </c>
      <c r="C2353" s="7" t="s">
        <v>10930</v>
      </c>
      <c r="D2353" s="7" t="s">
        <v>17367</v>
      </c>
      <c r="E2353" s="7" t="s">
        <v>10932</v>
      </c>
      <c r="F2353" s="7" t="s">
        <v>6859</v>
      </c>
      <c r="G2353" s="7" t="s">
        <v>17368</v>
      </c>
      <c r="H2353" s="7" t="s">
        <v>17369</v>
      </c>
      <c r="I2353" s="119">
        <v>45748.0</v>
      </c>
      <c r="K2353" s="7" t="s">
        <v>419</v>
      </c>
      <c r="L2353" s="7" t="s">
        <v>991</v>
      </c>
      <c r="M2353" s="7" t="s">
        <v>3501</v>
      </c>
      <c r="N2353" s="7" t="s">
        <v>3532</v>
      </c>
      <c r="O2353" s="7" t="s">
        <v>3533</v>
      </c>
      <c r="P2353" s="7" t="s">
        <v>3493</v>
      </c>
      <c r="Q2353" s="7">
        <v>1.0</v>
      </c>
    </row>
    <row r="2354">
      <c r="A2354" s="7" t="s">
        <v>17370</v>
      </c>
      <c r="B2354" s="7">
        <v>3000610.0</v>
      </c>
      <c r="C2354" s="7" t="s">
        <v>17371</v>
      </c>
      <c r="D2354" s="7" t="s">
        <v>17372</v>
      </c>
      <c r="E2354" s="7" t="s">
        <v>17373</v>
      </c>
      <c r="F2354" s="7" t="s">
        <v>17374</v>
      </c>
      <c r="G2354" s="7" t="s">
        <v>17375</v>
      </c>
      <c r="H2354" s="7" t="s">
        <v>17376</v>
      </c>
      <c r="I2354" s="119">
        <v>45748.0</v>
      </c>
      <c r="K2354" s="7" t="s">
        <v>419</v>
      </c>
      <c r="L2354" s="7" t="s">
        <v>991</v>
      </c>
      <c r="M2354" s="7" t="s">
        <v>3501</v>
      </c>
      <c r="N2354" s="7" t="s">
        <v>5304</v>
      </c>
      <c r="O2354" s="7" t="s">
        <v>11449</v>
      </c>
      <c r="P2354" s="7" t="s">
        <v>3493</v>
      </c>
      <c r="Q2354" s="7">
        <v>1.0</v>
      </c>
    </row>
    <row r="2355">
      <c r="A2355" s="7" t="s">
        <v>17377</v>
      </c>
      <c r="B2355" s="7">
        <v>3000583.0</v>
      </c>
      <c r="C2355" s="7" t="s">
        <v>17378</v>
      </c>
      <c r="D2355" s="7" t="s">
        <v>17379</v>
      </c>
      <c r="E2355" s="7" t="s">
        <v>17380</v>
      </c>
      <c r="F2355" s="7" t="s">
        <v>17381</v>
      </c>
      <c r="G2355" s="7" t="s">
        <v>17382</v>
      </c>
      <c r="H2355" s="7" t="s">
        <v>17383</v>
      </c>
      <c r="I2355" s="119">
        <v>45748.0</v>
      </c>
      <c r="K2355" s="7" t="s">
        <v>419</v>
      </c>
      <c r="L2355" s="7" t="s">
        <v>991</v>
      </c>
      <c r="M2355" s="7" t="s">
        <v>3501</v>
      </c>
      <c r="N2355" s="7" t="s">
        <v>6602</v>
      </c>
      <c r="O2355" s="7" t="s">
        <v>6603</v>
      </c>
      <c r="P2355" s="7" t="s">
        <v>3493</v>
      </c>
      <c r="Q2355" s="7">
        <v>1.0</v>
      </c>
    </row>
    <row r="2356">
      <c r="A2356" s="7" t="s">
        <v>17384</v>
      </c>
      <c r="B2356" s="7">
        <v>3000660.0</v>
      </c>
      <c r="C2356" s="7" t="s">
        <v>17385</v>
      </c>
      <c r="D2356" s="7" t="s">
        <v>17386</v>
      </c>
      <c r="E2356" s="7" t="s">
        <v>17387</v>
      </c>
      <c r="F2356" s="7" t="s">
        <v>3963</v>
      </c>
      <c r="G2356" s="7" t="s">
        <v>17388</v>
      </c>
      <c r="H2356" s="7" t="s">
        <v>17389</v>
      </c>
      <c r="I2356" s="119">
        <v>45748.0</v>
      </c>
      <c r="K2356" s="7" t="s">
        <v>3642</v>
      </c>
      <c r="L2356" s="7" t="s">
        <v>991</v>
      </c>
      <c r="M2356" s="7" t="s">
        <v>3501</v>
      </c>
      <c r="N2356" s="7" t="s">
        <v>3643</v>
      </c>
      <c r="O2356" s="7" t="s">
        <v>3644</v>
      </c>
      <c r="P2356" s="7" t="s">
        <v>3493</v>
      </c>
      <c r="Q2356" s="7">
        <v>1.0</v>
      </c>
    </row>
    <row r="2357">
      <c r="A2357" s="7" t="s">
        <v>17390</v>
      </c>
      <c r="B2357" s="7">
        <v>3000616.0</v>
      </c>
      <c r="C2357" s="7" t="s">
        <v>14960</v>
      </c>
      <c r="D2357" s="7" t="s">
        <v>17391</v>
      </c>
      <c r="E2357" s="7" t="s">
        <v>14961</v>
      </c>
      <c r="F2357" s="7" t="s">
        <v>10071</v>
      </c>
      <c r="G2357" s="7" t="s">
        <v>17392</v>
      </c>
      <c r="H2357" s="7" t="s">
        <v>17393</v>
      </c>
      <c r="I2357" s="119">
        <v>45748.0</v>
      </c>
      <c r="K2357" s="7" t="s">
        <v>419</v>
      </c>
      <c r="L2357" s="7" t="s">
        <v>991</v>
      </c>
      <c r="M2357" s="7" t="s">
        <v>3501</v>
      </c>
      <c r="N2357" s="7" t="s">
        <v>10645</v>
      </c>
      <c r="O2357" s="7" t="s">
        <v>11498</v>
      </c>
      <c r="P2357" s="7" t="s">
        <v>3493</v>
      </c>
      <c r="Q2357" s="7">
        <v>1.0</v>
      </c>
    </row>
    <row r="2358">
      <c r="A2358" s="7" t="s">
        <v>17394</v>
      </c>
      <c r="B2358" s="7">
        <v>3000680.0</v>
      </c>
      <c r="C2358" s="7" t="s">
        <v>14758</v>
      </c>
      <c r="D2358" s="7" t="s">
        <v>17395</v>
      </c>
      <c r="E2358" s="7" t="s">
        <v>12579</v>
      </c>
      <c r="F2358" s="7" t="s">
        <v>17396</v>
      </c>
      <c r="G2358" s="7" t="s">
        <v>17397</v>
      </c>
      <c r="H2358" s="7" t="s">
        <v>17398</v>
      </c>
      <c r="I2358" s="119">
        <v>45748.0</v>
      </c>
      <c r="K2358" s="7" t="s">
        <v>419</v>
      </c>
      <c r="L2358" s="7" t="s">
        <v>991</v>
      </c>
      <c r="M2358" s="7" t="s">
        <v>3501</v>
      </c>
      <c r="N2358" s="7" t="s">
        <v>14678</v>
      </c>
      <c r="O2358" s="7" t="s">
        <v>17399</v>
      </c>
      <c r="P2358" s="7" t="s">
        <v>3493</v>
      </c>
      <c r="Q2358" s="7">
        <v>1.0</v>
      </c>
    </row>
    <row r="2359">
      <c r="A2359" s="7" t="s">
        <v>17400</v>
      </c>
      <c r="B2359" s="7">
        <v>3000630.0</v>
      </c>
      <c r="C2359" s="7" t="s">
        <v>12735</v>
      </c>
      <c r="D2359" s="7" t="s">
        <v>5772</v>
      </c>
      <c r="E2359" s="7" t="s">
        <v>12736</v>
      </c>
      <c r="F2359" s="7" t="s">
        <v>5107</v>
      </c>
      <c r="G2359" s="7" t="s">
        <v>17401</v>
      </c>
      <c r="I2359" s="119">
        <v>45748.0</v>
      </c>
      <c r="K2359" s="7" t="s">
        <v>11974</v>
      </c>
      <c r="L2359" s="7" t="s">
        <v>991</v>
      </c>
      <c r="M2359" s="7" t="s">
        <v>4644</v>
      </c>
      <c r="N2359" s="7" t="s">
        <v>14200</v>
      </c>
      <c r="O2359" s="7" t="s">
        <v>14201</v>
      </c>
      <c r="P2359" s="7" t="s">
        <v>420</v>
      </c>
      <c r="Q2359" s="7">
        <v>1.0</v>
      </c>
    </row>
    <row r="2360">
      <c r="A2360" s="7" t="s">
        <v>17402</v>
      </c>
      <c r="B2360" s="7">
        <v>3000609.0</v>
      </c>
      <c r="C2360" s="7" t="s">
        <v>17403</v>
      </c>
      <c r="D2360" s="7" t="s">
        <v>13644</v>
      </c>
      <c r="E2360" s="7" t="s">
        <v>17404</v>
      </c>
      <c r="F2360" s="7" t="s">
        <v>3945</v>
      </c>
      <c r="G2360" s="7" t="s">
        <v>17405</v>
      </c>
      <c r="H2360" s="7" t="s">
        <v>17406</v>
      </c>
      <c r="I2360" s="119">
        <v>45748.0</v>
      </c>
      <c r="K2360" s="7" t="s">
        <v>419</v>
      </c>
      <c r="L2360" s="7" t="s">
        <v>991</v>
      </c>
      <c r="M2360" s="7" t="s">
        <v>3501</v>
      </c>
      <c r="N2360" s="7" t="s">
        <v>9953</v>
      </c>
      <c r="O2360" s="7" t="s">
        <v>9954</v>
      </c>
      <c r="P2360" s="7" t="s">
        <v>3493</v>
      </c>
      <c r="Q2360" s="7">
        <v>1.0</v>
      </c>
    </row>
    <row r="2361">
      <c r="A2361" s="7" t="s">
        <v>17407</v>
      </c>
      <c r="B2361" s="7">
        <v>3000606.0</v>
      </c>
      <c r="C2361" s="7" t="s">
        <v>17408</v>
      </c>
      <c r="D2361" s="7" t="s">
        <v>5772</v>
      </c>
      <c r="E2361" s="7" t="s">
        <v>5132</v>
      </c>
      <c r="F2361" s="7" t="s">
        <v>5107</v>
      </c>
      <c r="G2361" s="7" t="s">
        <v>17409</v>
      </c>
      <c r="H2361" s="7" t="s">
        <v>17410</v>
      </c>
      <c r="I2361" s="119">
        <v>45748.0</v>
      </c>
      <c r="K2361" s="7" t="s">
        <v>419</v>
      </c>
      <c r="L2361" s="7" t="s">
        <v>991</v>
      </c>
      <c r="M2361" s="7" t="s">
        <v>3501</v>
      </c>
      <c r="N2361" s="7" t="s">
        <v>4152</v>
      </c>
      <c r="O2361" s="7" t="s">
        <v>8837</v>
      </c>
      <c r="P2361" s="7" t="s">
        <v>3522</v>
      </c>
      <c r="Q2361" s="7" t="s">
        <v>3523</v>
      </c>
    </row>
    <row r="2362">
      <c r="A2362" s="7" t="s">
        <v>17411</v>
      </c>
      <c r="B2362" s="7">
        <v>3000601.0</v>
      </c>
      <c r="C2362" s="7" t="s">
        <v>17412</v>
      </c>
      <c r="D2362" s="7" t="s">
        <v>17413</v>
      </c>
      <c r="E2362" s="7" t="s">
        <v>17414</v>
      </c>
      <c r="F2362" s="7" t="s">
        <v>4525</v>
      </c>
      <c r="G2362" s="7" t="s">
        <v>17415</v>
      </c>
      <c r="H2362" s="7" t="s">
        <v>17416</v>
      </c>
      <c r="I2362" s="119">
        <v>45748.0</v>
      </c>
      <c r="K2362" s="7" t="s">
        <v>419</v>
      </c>
      <c r="L2362" s="7" t="s">
        <v>991</v>
      </c>
      <c r="M2362" s="7" t="s">
        <v>3583</v>
      </c>
      <c r="N2362" s="7" t="s">
        <v>6169</v>
      </c>
      <c r="O2362" s="7" t="s">
        <v>16135</v>
      </c>
      <c r="P2362" s="7" t="s">
        <v>3493</v>
      </c>
      <c r="Q2362" s="7">
        <v>1.0</v>
      </c>
    </row>
    <row r="2363">
      <c r="A2363" s="7" t="s">
        <v>17417</v>
      </c>
      <c r="B2363" s="7">
        <v>3000678.0</v>
      </c>
      <c r="C2363" s="7" t="s">
        <v>17418</v>
      </c>
      <c r="D2363" s="7" t="s">
        <v>17419</v>
      </c>
      <c r="E2363" s="7" t="s">
        <v>17420</v>
      </c>
      <c r="F2363" s="7" t="s">
        <v>6436</v>
      </c>
      <c r="G2363" s="7" t="s">
        <v>17421</v>
      </c>
      <c r="H2363" s="7" t="s">
        <v>17422</v>
      </c>
      <c r="I2363" s="119">
        <v>45748.0</v>
      </c>
      <c r="K2363" s="7" t="s">
        <v>3632</v>
      </c>
      <c r="L2363" s="7" t="s">
        <v>991</v>
      </c>
      <c r="M2363" s="7" t="s">
        <v>3583</v>
      </c>
      <c r="N2363" s="7" t="s">
        <v>4190</v>
      </c>
      <c r="O2363" s="7" t="s">
        <v>4191</v>
      </c>
      <c r="P2363" s="7" t="s">
        <v>3493</v>
      </c>
      <c r="Q2363" s="7">
        <v>1.0</v>
      </c>
    </row>
    <row r="2364">
      <c r="A2364" s="7" t="s">
        <v>17423</v>
      </c>
      <c r="B2364" s="7">
        <v>3000667.0</v>
      </c>
      <c r="C2364" s="7" t="s">
        <v>17424</v>
      </c>
      <c r="D2364" s="7" t="s">
        <v>17425</v>
      </c>
      <c r="E2364" s="7" t="s">
        <v>17426</v>
      </c>
      <c r="F2364" s="7" t="s">
        <v>16969</v>
      </c>
      <c r="G2364" s="7" t="s">
        <v>17427</v>
      </c>
      <c r="H2364" s="7" t="s">
        <v>17428</v>
      </c>
      <c r="I2364" s="119">
        <v>45748.0</v>
      </c>
      <c r="K2364" s="7" t="s">
        <v>419</v>
      </c>
      <c r="L2364" s="7" t="s">
        <v>991</v>
      </c>
      <c r="M2364" s="7" t="s">
        <v>3531</v>
      </c>
      <c r="N2364" s="7" t="s">
        <v>17038</v>
      </c>
      <c r="O2364" s="7" t="s">
        <v>17039</v>
      </c>
      <c r="P2364" s="7" t="s">
        <v>3493</v>
      </c>
      <c r="Q2364" s="7">
        <v>1.0</v>
      </c>
    </row>
    <row r="2365">
      <c r="A2365" s="7" t="s">
        <v>17429</v>
      </c>
      <c r="B2365" s="7">
        <v>3000549.0</v>
      </c>
      <c r="C2365" s="7" t="s">
        <v>13133</v>
      </c>
      <c r="D2365" s="7" t="s">
        <v>17430</v>
      </c>
      <c r="E2365" s="7" t="s">
        <v>13135</v>
      </c>
      <c r="F2365" s="7" t="s">
        <v>16247</v>
      </c>
      <c r="G2365" s="7" t="s">
        <v>17431</v>
      </c>
      <c r="H2365" s="7" t="s">
        <v>17432</v>
      </c>
      <c r="I2365" s="119">
        <v>45748.0</v>
      </c>
      <c r="K2365" s="7" t="s">
        <v>419</v>
      </c>
      <c r="L2365" s="7" t="s">
        <v>991</v>
      </c>
      <c r="M2365" s="7" t="s">
        <v>3501</v>
      </c>
      <c r="N2365" s="7" t="s">
        <v>4393</v>
      </c>
      <c r="O2365" s="7" t="s">
        <v>4394</v>
      </c>
      <c r="P2365" s="7" t="s">
        <v>3493</v>
      </c>
      <c r="Q2365" s="7">
        <v>1.0</v>
      </c>
    </row>
    <row r="2366">
      <c r="A2366" s="7" t="s">
        <v>17433</v>
      </c>
      <c r="B2366" s="7">
        <v>3000672.0</v>
      </c>
      <c r="C2366" s="7" t="s">
        <v>17434</v>
      </c>
      <c r="D2366" s="7" t="s">
        <v>17435</v>
      </c>
      <c r="E2366" s="7" t="s">
        <v>13254</v>
      </c>
      <c r="F2366" s="7" t="s">
        <v>17436</v>
      </c>
      <c r="G2366" s="7" t="s">
        <v>17437</v>
      </c>
      <c r="H2366" s="7" t="s">
        <v>17438</v>
      </c>
      <c r="I2366" s="119">
        <v>45748.0</v>
      </c>
      <c r="K2366" s="7" t="s">
        <v>419</v>
      </c>
      <c r="L2366" s="7" t="s">
        <v>991</v>
      </c>
      <c r="M2366" s="7" t="s">
        <v>3501</v>
      </c>
      <c r="N2366" s="7" t="s">
        <v>3751</v>
      </c>
      <c r="O2366" s="7" t="s">
        <v>3752</v>
      </c>
      <c r="P2366" s="7" t="s">
        <v>3843</v>
      </c>
      <c r="Q2366" s="7">
        <v>1.0</v>
      </c>
    </row>
    <row r="2367">
      <c r="A2367" s="7" t="s">
        <v>17439</v>
      </c>
      <c r="B2367" s="7">
        <v>3000620.0</v>
      </c>
      <c r="C2367" s="7" t="s">
        <v>13263</v>
      </c>
      <c r="D2367" s="7" t="s">
        <v>17440</v>
      </c>
      <c r="E2367" s="7" t="s">
        <v>13265</v>
      </c>
      <c r="F2367" s="7" t="s">
        <v>10093</v>
      </c>
      <c r="G2367" s="7" t="s">
        <v>17441</v>
      </c>
      <c r="H2367" s="7" t="s">
        <v>17442</v>
      </c>
      <c r="I2367" s="119">
        <v>45748.0</v>
      </c>
      <c r="K2367" s="7" t="s">
        <v>419</v>
      </c>
      <c r="L2367" s="7" t="s">
        <v>991</v>
      </c>
      <c r="M2367" s="7" t="s">
        <v>3501</v>
      </c>
      <c r="N2367" s="7" t="s">
        <v>17443</v>
      </c>
      <c r="O2367" s="7" t="s">
        <v>17444</v>
      </c>
      <c r="P2367" s="7" t="s">
        <v>17445</v>
      </c>
      <c r="Q2367" s="7" t="s">
        <v>3566</v>
      </c>
    </row>
    <row r="2368">
      <c r="A2368" s="7" t="s">
        <v>17446</v>
      </c>
      <c r="B2368" s="7">
        <v>3000645.0</v>
      </c>
      <c r="C2368" s="7" t="s">
        <v>13801</v>
      </c>
      <c r="D2368" s="7" t="s">
        <v>3607</v>
      </c>
      <c r="E2368" s="7" t="s">
        <v>13803</v>
      </c>
      <c r="F2368" s="7" t="s">
        <v>3609</v>
      </c>
      <c r="G2368" s="7" t="s">
        <v>17447</v>
      </c>
      <c r="H2368" s="7" t="s">
        <v>17448</v>
      </c>
      <c r="I2368" s="119">
        <v>45748.0</v>
      </c>
      <c r="K2368" s="7" t="s">
        <v>419</v>
      </c>
      <c r="L2368" s="7" t="s">
        <v>991</v>
      </c>
      <c r="M2368" s="7" t="s">
        <v>3531</v>
      </c>
      <c r="N2368" s="7" t="s">
        <v>6646</v>
      </c>
      <c r="O2368" s="7" t="s">
        <v>8015</v>
      </c>
      <c r="P2368" s="7" t="s">
        <v>3493</v>
      </c>
      <c r="Q2368" s="7">
        <v>1.0</v>
      </c>
    </row>
    <row r="2369">
      <c r="A2369" s="7" t="s">
        <v>17449</v>
      </c>
      <c r="B2369" s="7">
        <v>3000696.0</v>
      </c>
      <c r="C2369" s="7" t="s">
        <v>13898</v>
      </c>
      <c r="D2369" s="7" t="s">
        <v>17450</v>
      </c>
      <c r="E2369" s="7" t="s">
        <v>13900</v>
      </c>
      <c r="F2369" s="7" t="s">
        <v>14619</v>
      </c>
      <c r="G2369" s="7" t="s">
        <v>17451</v>
      </c>
      <c r="H2369" s="7" t="s">
        <v>17452</v>
      </c>
      <c r="I2369" s="119">
        <v>45748.0</v>
      </c>
      <c r="K2369" s="7" t="s">
        <v>419</v>
      </c>
      <c r="L2369" s="7" t="s">
        <v>991</v>
      </c>
      <c r="M2369" s="7" t="s">
        <v>3531</v>
      </c>
      <c r="N2369" s="7" t="s">
        <v>4175</v>
      </c>
      <c r="O2369" s="7" t="s">
        <v>4176</v>
      </c>
      <c r="P2369" s="7" t="s">
        <v>3493</v>
      </c>
      <c r="Q2369" s="7">
        <v>1.0</v>
      </c>
    </row>
    <row r="2370">
      <c r="A2370" s="7" t="s">
        <v>17453</v>
      </c>
      <c r="B2370" s="7">
        <v>3000632.0</v>
      </c>
      <c r="C2370" s="7" t="s">
        <v>17454</v>
      </c>
      <c r="D2370" s="7" t="s">
        <v>17455</v>
      </c>
      <c r="E2370" s="7" t="s">
        <v>17456</v>
      </c>
      <c r="F2370" s="7" t="s">
        <v>4561</v>
      </c>
      <c r="G2370" s="7" t="s">
        <v>17457</v>
      </c>
      <c r="H2370" s="7" t="s">
        <v>17458</v>
      </c>
      <c r="I2370" s="119">
        <v>45748.0</v>
      </c>
      <c r="K2370" s="7" t="s">
        <v>3632</v>
      </c>
      <c r="L2370" s="7" t="s">
        <v>991</v>
      </c>
      <c r="M2370" s="7" t="s">
        <v>3501</v>
      </c>
      <c r="N2370" s="7" t="s">
        <v>3717</v>
      </c>
      <c r="O2370" s="7" t="s">
        <v>11520</v>
      </c>
      <c r="P2370" s="7" t="s">
        <v>3522</v>
      </c>
      <c r="Q2370" s="7" t="s">
        <v>3523</v>
      </c>
    </row>
    <row r="2371">
      <c r="A2371" s="7" t="s">
        <v>17459</v>
      </c>
      <c r="B2371" s="7">
        <v>3000688.0</v>
      </c>
      <c r="C2371" s="7" t="s">
        <v>13943</v>
      </c>
      <c r="D2371" s="7" t="s">
        <v>17460</v>
      </c>
      <c r="E2371" s="7" t="s">
        <v>13945</v>
      </c>
      <c r="F2371" s="7" t="s">
        <v>17461</v>
      </c>
      <c r="G2371" s="7" t="s">
        <v>17462</v>
      </c>
      <c r="H2371" s="7" t="s">
        <v>17463</v>
      </c>
      <c r="I2371" s="119">
        <v>45748.0</v>
      </c>
      <c r="K2371" s="7" t="s">
        <v>419</v>
      </c>
      <c r="L2371" s="7" t="s">
        <v>991</v>
      </c>
      <c r="M2371" s="7" t="s">
        <v>3531</v>
      </c>
      <c r="N2371" s="7" t="s">
        <v>4168</v>
      </c>
      <c r="O2371" s="7" t="s">
        <v>4169</v>
      </c>
      <c r="P2371" s="7" t="s">
        <v>3493</v>
      </c>
      <c r="Q2371" s="7">
        <v>1.0</v>
      </c>
    </row>
    <row r="2372">
      <c r="A2372" s="7" t="s">
        <v>17464</v>
      </c>
      <c r="B2372" s="7">
        <v>3000604.0</v>
      </c>
      <c r="C2372" s="7" t="s">
        <v>13943</v>
      </c>
      <c r="D2372" s="7" t="s">
        <v>4073</v>
      </c>
      <c r="E2372" s="7" t="s">
        <v>13945</v>
      </c>
      <c r="F2372" s="7" t="s">
        <v>4075</v>
      </c>
      <c r="G2372" s="7" t="s">
        <v>17465</v>
      </c>
      <c r="H2372" s="7" t="s">
        <v>17466</v>
      </c>
      <c r="I2372" s="119">
        <v>45748.0</v>
      </c>
      <c r="K2372" s="7" t="s">
        <v>419</v>
      </c>
      <c r="L2372" s="7" t="s">
        <v>991</v>
      </c>
      <c r="M2372" s="7" t="s">
        <v>3501</v>
      </c>
      <c r="N2372" s="7" t="s">
        <v>4796</v>
      </c>
      <c r="O2372" s="7" t="s">
        <v>4797</v>
      </c>
      <c r="P2372" s="7" t="s">
        <v>3493</v>
      </c>
      <c r="Q2372" s="7">
        <v>1.0</v>
      </c>
    </row>
    <row r="2373">
      <c r="A2373" s="7" t="s">
        <v>17467</v>
      </c>
      <c r="B2373" s="7">
        <v>3000668.0</v>
      </c>
      <c r="C2373" s="7" t="s">
        <v>13943</v>
      </c>
      <c r="D2373" s="7" t="s">
        <v>17468</v>
      </c>
      <c r="E2373" s="7" t="s">
        <v>13945</v>
      </c>
      <c r="F2373" s="7" t="s">
        <v>5034</v>
      </c>
      <c r="G2373" s="7" t="s">
        <v>17469</v>
      </c>
      <c r="H2373" s="7" t="s">
        <v>17470</v>
      </c>
      <c r="I2373" s="119">
        <v>45748.0</v>
      </c>
      <c r="K2373" s="7" t="s">
        <v>419</v>
      </c>
      <c r="L2373" s="7" t="s">
        <v>991</v>
      </c>
      <c r="M2373" s="7" t="s">
        <v>3531</v>
      </c>
      <c r="N2373" s="7" t="s">
        <v>17038</v>
      </c>
      <c r="O2373" s="7" t="s">
        <v>17039</v>
      </c>
      <c r="P2373" s="7" t="s">
        <v>3493</v>
      </c>
      <c r="Q2373" s="7">
        <v>1.0</v>
      </c>
    </row>
    <row r="2374">
      <c r="A2374" s="7" t="s">
        <v>17471</v>
      </c>
      <c r="B2374" s="7">
        <v>3000648.0</v>
      </c>
      <c r="C2374" s="7" t="s">
        <v>17472</v>
      </c>
      <c r="D2374" s="7" t="s">
        <v>17473</v>
      </c>
      <c r="E2374" s="7" t="s">
        <v>17474</v>
      </c>
      <c r="F2374" s="7" t="s">
        <v>5514</v>
      </c>
      <c r="G2374" s="7" t="s">
        <v>17475</v>
      </c>
      <c r="H2374" s="7" t="s">
        <v>17476</v>
      </c>
      <c r="I2374" s="119">
        <v>45748.0</v>
      </c>
      <c r="K2374" s="7" t="s">
        <v>3622</v>
      </c>
      <c r="L2374" s="7" t="s">
        <v>991</v>
      </c>
      <c r="M2374" s="7" t="s">
        <v>3531</v>
      </c>
      <c r="N2374" s="7" t="s">
        <v>3623</v>
      </c>
      <c r="O2374" s="7" t="s">
        <v>3624</v>
      </c>
      <c r="P2374" s="7" t="s">
        <v>3493</v>
      </c>
      <c r="Q2374" s="7">
        <v>1.0</v>
      </c>
    </row>
    <row r="2375">
      <c r="A2375" s="7" t="s">
        <v>17477</v>
      </c>
      <c r="B2375" s="7">
        <v>3000664.0</v>
      </c>
      <c r="C2375" s="7" t="s">
        <v>14084</v>
      </c>
      <c r="D2375" s="7" t="s">
        <v>8674</v>
      </c>
      <c r="E2375" s="7" t="s">
        <v>14085</v>
      </c>
      <c r="F2375" s="7" t="s">
        <v>5074</v>
      </c>
      <c r="G2375" s="7" t="s">
        <v>17478</v>
      </c>
      <c r="H2375" s="7" t="s">
        <v>17479</v>
      </c>
      <c r="I2375" s="119">
        <v>45748.0</v>
      </c>
      <c r="K2375" s="7" t="s">
        <v>3642</v>
      </c>
      <c r="L2375" s="7" t="s">
        <v>991</v>
      </c>
      <c r="M2375" s="7" t="s">
        <v>3501</v>
      </c>
      <c r="N2375" s="7" t="s">
        <v>3643</v>
      </c>
      <c r="O2375" s="7" t="s">
        <v>3644</v>
      </c>
      <c r="P2375" s="7" t="s">
        <v>3493</v>
      </c>
      <c r="Q2375" s="7">
        <v>1.0</v>
      </c>
    </row>
    <row r="2376">
      <c r="A2376" s="7" t="s">
        <v>17480</v>
      </c>
      <c r="B2376" s="7">
        <v>3000687.0</v>
      </c>
      <c r="C2376" s="7" t="s">
        <v>17481</v>
      </c>
      <c r="D2376" s="7" t="s">
        <v>17482</v>
      </c>
      <c r="E2376" s="7" t="s">
        <v>17483</v>
      </c>
      <c r="F2376" s="7" t="s">
        <v>17484</v>
      </c>
      <c r="G2376" s="7" t="s">
        <v>17485</v>
      </c>
      <c r="H2376" s="7" t="s">
        <v>17486</v>
      </c>
      <c r="I2376" s="119">
        <v>45748.0</v>
      </c>
      <c r="K2376" s="7" t="s">
        <v>15381</v>
      </c>
      <c r="L2376" s="7" t="s">
        <v>991</v>
      </c>
      <c r="M2376" s="7" t="s">
        <v>3531</v>
      </c>
      <c r="N2376" s="7" t="s">
        <v>15382</v>
      </c>
      <c r="O2376" s="7" t="s">
        <v>15383</v>
      </c>
      <c r="P2376" s="7" t="s">
        <v>3493</v>
      </c>
      <c r="Q2376" s="7">
        <v>1.0</v>
      </c>
    </row>
    <row r="2377">
      <c r="A2377" s="7" t="s">
        <v>17487</v>
      </c>
      <c r="B2377" s="7">
        <v>3000652.0</v>
      </c>
      <c r="C2377" s="7" t="s">
        <v>14231</v>
      </c>
      <c r="D2377" s="7" t="s">
        <v>17488</v>
      </c>
      <c r="E2377" s="7" t="s">
        <v>14233</v>
      </c>
      <c r="F2377" s="7" t="s">
        <v>10542</v>
      </c>
      <c r="G2377" s="7" t="s">
        <v>17489</v>
      </c>
      <c r="H2377" s="7" t="s">
        <v>17490</v>
      </c>
      <c r="I2377" s="119">
        <v>45748.0</v>
      </c>
      <c r="K2377" s="7" t="s">
        <v>3632</v>
      </c>
      <c r="L2377" s="7" t="s">
        <v>991</v>
      </c>
      <c r="M2377" s="7" t="s">
        <v>3531</v>
      </c>
      <c r="N2377" s="7" t="s">
        <v>8574</v>
      </c>
      <c r="O2377" s="7" t="s">
        <v>10625</v>
      </c>
      <c r="P2377" s="7" t="s">
        <v>3493</v>
      </c>
      <c r="Q2377" s="7">
        <v>1.0</v>
      </c>
    </row>
    <row r="2378">
      <c r="A2378" s="7" t="s">
        <v>17491</v>
      </c>
      <c r="B2378" s="7">
        <v>3000689.0</v>
      </c>
      <c r="C2378" s="7" t="s">
        <v>14392</v>
      </c>
      <c r="D2378" s="7" t="s">
        <v>17492</v>
      </c>
      <c r="E2378" s="7" t="s">
        <v>14394</v>
      </c>
      <c r="F2378" s="7" t="s">
        <v>17493</v>
      </c>
      <c r="G2378" s="7" t="s">
        <v>17494</v>
      </c>
      <c r="H2378" s="7" t="s">
        <v>17495</v>
      </c>
      <c r="I2378" s="119">
        <v>45748.0</v>
      </c>
      <c r="K2378" s="7" t="s">
        <v>3632</v>
      </c>
      <c r="L2378" s="7" t="s">
        <v>991</v>
      </c>
      <c r="M2378" s="7" t="s">
        <v>3866</v>
      </c>
      <c r="N2378" s="7" t="s">
        <v>7046</v>
      </c>
      <c r="O2378" s="7" t="s">
        <v>16888</v>
      </c>
      <c r="P2378" s="7" t="s">
        <v>3493</v>
      </c>
      <c r="Q2378" s="7">
        <v>1.0</v>
      </c>
    </row>
    <row r="2379">
      <c r="A2379" s="7" t="s">
        <v>17496</v>
      </c>
      <c r="B2379" s="7">
        <v>3000661.0</v>
      </c>
      <c r="C2379" s="7" t="s">
        <v>14399</v>
      </c>
      <c r="D2379" s="7" t="s">
        <v>17497</v>
      </c>
      <c r="E2379" s="7" t="s">
        <v>14394</v>
      </c>
      <c r="F2379" s="7" t="s">
        <v>4075</v>
      </c>
      <c r="G2379" s="7" t="s">
        <v>17498</v>
      </c>
      <c r="H2379" s="7" t="s">
        <v>17499</v>
      </c>
      <c r="I2379" s="119">
        <v>45748.0</v>
      </c>
      <c r="K2379" s="7" t="s">
        <v>3642</v>
      </c>
      <c r="L2379" s="7" t="s">
        <v>991</v>
      </c>
      <c r="M2379" s="7" t="s">
        <v>3866</v>
      </c>
      <c r="N2379" s="7" t="s">
        <v>3643</v>
      </c>
      <c r="O2379" s="7" t="s">
        <v>3644</v>
      </c>
      <c r="P2379" s="7" t="s">
        <v>3493</v>
      </c>
      <c r="Q2379" s="7">
        <v>1.0</v>
      </c>
    </row>
    <row r="2380">
      <c r="A2380" s="7" t="s">
        <v>17500</v>
      </c>
      <c r="B2380" s="7">
        <v>3000723.0</v>
      </c>
      <c r="C2380" s="7" t="s">
        <v>17501</v>
      </c>
      <c r="D2380" s="7" t="s">
        <v>4364</v>
      </c>
      <c r="E2380" s="7" t="s">
        <v>17502</v>
      </c>
      <c r="F2380" s="7" t="s">
        <v>4364</v>
      </c>
      <c r="G2380" s="7" t="s">
        <v>17503</v>
      </c>
      <c r="H2380" s="7" t="s">
        <v>17504</v>
      </c>
      <c r="I2380" s="119">
        <v>45763.0</v>
      </c>
      <c r="K2380" s="7" t="s">
        <v>419</v>
      </c>
      <c r="L2380" s="7" t="s">
        <v>991</v>
      </c>
      <c r="M2380" s="7" t="s">
        <v>3531</v>
      </c>
      <c r="N2380" s="7" t="s">
        <v>3802</v>
      </c>
      <c r="O2380" s="7" t="s">
        <v>3803</v>
      </c>
      <c r="P2380" s="7" t="s">
        <v>3493</v>
      </c>
      <c r="Q2380" s="7">
        <v>1.0</v>
      </c>
    </row>
    <row r="2381">
      <c r="A2381" s="7" t="s">
        <v>17505</v>
      </c>
      <c r="B2381" s="7">
        <v>3000718.0</v>
      </c>
      <c r="C2381" s="7" t="s">
        <v>4277</v>
      </c>
      <c r="D2381" s="7" t="s">
        <v>17506</v>
      </c>
      <c r="E2381" s="7" t="s">
        <v>4279</v>
      </c>
      <c r="F2381" s="7" t="s">
        <v>17507</v>
      </c>
      <c r="G2381" s="7" t="s">
        <v>17508</v>
      </c>
      <c r="H2381" s="7" t="s">
        <v>17509</v>
      </c>
      <c r="I2381" s="119">
        <v>45763.0</v>
      </c>
      <c r="K2381" s="7" t="s">
        <v>419</v>
      </c>
      <c r="L2381" s="7" t="s">
        <v>991</v>
      </c>
      <c r="M2381" s="7" t="s">
        <v>3531</v>
      </c>
      <c r="N2381" s="7" t="s">
        <v>5273</v>
      </c>
      <c r="O2381" s="7" t="s">
        <v>5274</v>
      </c>
      <c r="P2381" s="7" t="s">
        <v>3493</v>
      </c>
      <c r="Q2381" s="7">
        <v>1.0</v>
      </c>
    </row>
    <row r="2382">
      <c r="A2382" s="7" t="s">
        <v>17510</v>
      </c>
      <c r="B2382" s="7">
        <v>3000716.0</v>
      </c>
      <c r="C2382" s="7" t="s">
        <v>14879</v>
      </c>
      <c r="D2382" s="7" t="s">
        <v>5513</v>
      </c>
      <c r="E2382" s="7" t="s">
        <v>14880</v>
      </c>
      <c r="F2382" s="7" t="s">
        <v>5514</v>
      </c>
      <c r="G2382" s="7" t="s">
        <v>17511</v>
      </c>
      <c r="I2382" s="119">
        <v>45763.0</v>
      </c>
      <c r="K2382" s="7" t="s">
        <v>419</v>
      </c>
      <c r="L2382" s="7" t="s">
        <v>991</v>
      </c>
      <c r="M2382" s="7" t="s">
        <v>3531</v>
      </c>
      <c r="N2382" s="7" t="s">
        <v>3820</v>
      </c>
      <c r="O2382" s="7" t="s">
        <v>3821</v>
      </c>
      <c r="P2382" s="7" t="s">
        <v>3493</v>
      </c>
      <c r="Q2382" s="7">
        <v>1.0</v>
      </c>
    </row>
    <row r="2383">
      <c r="A2383" s="7" t="s">
        <v>17512</v>
      </c>
      <c r="B2383" s="7">
        <v>3000706.0</v>
      </c>
      <c r="C2383" s="7" t="s">
        <v>17513</v>
      </c>
      <c r="D2383" s="7" t="s">
        <v>17514</v>
      </c>
      <c r="E2383" s="7" t="s">
        <v>6130</v>
      </c>
      <c r="F2383" s="7" t="s">
        <v>5034</v>
      </c>
      <c r="G2383" s="7" t="s">
        <v>17515</v>
      </c>
      <c r="H2383" s="7" t="s">
        <v>17516</v>
      </c>
      <c r="I2383" s="119">
        <v>45763.0</v>
      </c>
      <c r="K2383" s="7" t="s">
        <v>15381</v>
      </c>
      <c r="L2383" s="7" t="s">
        <v>991</v>
      </c>
      <c r="M2383" s="7" t="s">
        <v>3501</v>
      </c>
      <c r="N2383" s="7" t="s">
        <v>15382</v>
      </c>
      <c r="O2383" s="7" t="s">
        <v>15383</v>
      </c>
      <c r="P2383" s="7" t="s">
        <v>3493</v>
      </c>
      <c r="Q2383" s="7">
        <v>1.0</v>
      </c>
    </row>
    <row r="2384">
      <c r="A2384" s="7" t="s">
        <v>17517</v>
      </c>
      <c r="B2384" s="7">
        <v>3000710.0</v>
      </c>
      <c r="C2384" s="7" t="s">
        <v>6675</v>
      </c>
      <c r="D2384" s="7" t="s">
        <v>17518</v>
      </c>
      <c r="E2384" s="7" t="s">
        <v>6677</v>
      </c>
      <c r="F2384" s="7" t="s">
        <v>17519</v>
      </c>
      <c r="G2384" s="7" t="s">
        <v>17520</v>
      </c>
      <c r="H2384" s="7" t="s">
        <v>17521</v>
      </c>
      <c r="I2384" s="119">
        <v>45763.0</v>
      </c>
      <c r="K2384" s="7" t="s">
        <v>419</v>
      </c>
      <c r="L2384" s="7" t="s">
        <v>991</v>
      </c>
      <c r="M2384" s="7" t="s">
        <v>3531</v>
      </c>
      <c r="N2384" s="7" t="s">
        <v>5795</v>
      </c>
      <c r="O2384" s="7" t="s">
        <v>5796</v>
      </c>
      <c r="P2384" s="7" t="s">
        <v>3493</v>
      </c>
      <c r="Q2384" s="7">
        <v>1.0</v>
      </c>
    </row>
    <row r="2385">
      <c r="A2385" s="7" t="s">
        <v>17522</v>
      </c>
      <c r="B2385" s="7">
        <v>3000729.0</v>
      </c>
      <c r="C2385" s="7" t="s">
        <v>6850</v>
      </c>
      <c r="D2385" s="7" t="s">
        <v>17523</v>
      </c>
      <c r="E2385" s="7" t="s">
        <v>6852</v>
      </c>
      <c r="F2385" s="7" t="s">
        <v>4677</v>
      </c>
      <c r="G2385" s="7" t="s">
        <v>17524</v>
      </c>
      <c r="H2385" s="7" t="s">
        <v>17525</v>
      </c>
      <c r="I2385" s="119">
        <v>45763.0</v>
      </c>
      <c r="K2385" s="7" t="s">
        <v>3642</v>
      </c>
      <c r="L2385" s="7" t="s">
        <v>991</v>
      </c>
      <c r="M2385" s="7" t="s">
        <v>3531</v>
      </c>
      <c r="N2385" s="7" t="s">
        <v>3643</v>
      </c>
      <c r="O2385" s="7" t="s">
        <v>3644</v>
      </c>
      <c r="P2385" s="7" t="s">
        <v>3493</v>
      </c>
      <c r="Q2385" s="7">
        <v>1.0</v>
      </c>
    </row>
    <row r="2386">
      <c r="A2386" s="7" t="s">
        <v>17526</v>
      </c>
      <c r="B2386" s="7">
        <v>3000708.0</v>
      </c>
      <c r="C2386" s="7" t="s">
        <v>17527</v>
      </c>
      <c r="D2386" s="7" t="s">
        <v>17528</v>
      </c>
      <c r="E2386" s="7" t="s">
        <v>17529</v>
      </c>
      <c r="F2386" s="7" t="s">
        <v>4009</v>
      </c>
      <c r="G2386" s="7" t="s">
        <v>17530</v>
      </c>
      <c r="H2386" s="7" t="s">
        <v>17531</v>
      </c>
      <c r="I2386" s="119">
        <v>45763.0</v>
      </c>
      <c r="K2386" s="7" t="s">
        <v>419</v>
      </c>
      <c r="L2386" s="7" t="s">
        <v>991</v>
      </c>
      <c r="M2386" s="7" t="s">
        <v>3531</v>
      </c>
      <c r="N2386" s="7" t="s">
        <v>3659</v>
      </c>
      <c r="O2386" s="7" t="s">
        <v>3660</v>
      </c>
      <c r="P2386" s="7" t="s">
        <v>3493</v>
      </c>
      <c r="Q2386" s="7">
        <v>1.0</v>
      </c>
    </row>
    <row r="2387">
      <c r="A2387" s="7" t="s">
        <v>17532</v>
      </c>
      <c r="B2387" s="7">
        <v>3000715.0</v>
      </c>
      <c r="C2387" s="7" t="s">
        <v>6235</v>
      </c>
      <c r="D2387" s="7" t="s">
        <v>17533</v>
      </c>
      <c r="E2387" s="7" t="s">
        <v>17534</v>
      </c>
      <c r="F2387" s="7" t="s">
        <v>17535</v>
      </c>
      <c r="G2387" s="7" t="s">
        <v>17536</v>
      </c>
      <c r="H2387" s="7" t="s">
        <v>17537</v>
      </c>
      <c r="I2387" s="119">
        <v>45763.0</v>
      </c>
      <c r="K2387" s="7" t="s">
        <v>419</v>
      </c>
      <c r="L2387" s="7" t="s">
        <v>991</v>
      </c>
      <c r="M2387" s="7" t="s">
        <v>3531</v>
      </c>
      <c r="N2387" s="7" t="s">
        <v>8933</v>
      </c>
      <c r="O2387" s="7" t="s">
        <v>8934</v>
      </c>
      <c r="P2387" s="7" t="s">
        <v>3493</v>
      </c>
      <c r="Q2387" s="7">
        <v>1.0</v>
      </c>
    </row>
    <row r="2388">
      <c r="A2388" s="7" t="s">
        <v>17538</v>
      </c>
      <c r="B2388" s="7">
        <v>3000713.0</v>
      </c>
      <c r="C2388" s="7" t="s">
        <v>17539</v>
      </c>
      <c r="D2388" s="7" t="s">
        <v>9057</v>
      </c>
      <c r="E2388" s="7" t="s">
        <v>17540</v>
      </c>
      <c r="F2388" s="7" t="s">
        <v>5497</v>
      </c>
      <c r="G2388" s="7" t="s">
        <v>17541</v>
      </c>
      <c r="H2388" s="7" t="s">
        <v>17542</v>
      </c>
      <c r="I2388" s="119">
        <v>45763.0</v>
      </c>
      <c r="K2388" s="7" t="s">
        <v>419</v>
      </c>
      <c r="L2388" s="7" t="s">
        <v>991</v>
      </c>
      <c r="M2388" s="7" t="s">
        <v>3531</v>
      </c>
      <c r="N2388" s="7" t="s">
        <v>4296</v>
      </c>
      <c r="O2388" s="7" t="s">
        <v>4297</v>
      </c>
      <c r="P2388" s="7" t="s">
        <v>3493</v>
      </c>
      <c r="Q2388" s="7">
        <v>1.0</v>
      </c>
    </row>
    <row r="2389">
      <c r="A2389" s="7" t="s">
        <v>17543</v>
      </c>
      <c r="B2389" s="7">
        <v>3000720.0</v>
      </c>
      <c r="C2389" s="7" t="s">
        <v>17544</v>
      </c>
      <c r="D2389" s="7" t="s">
        <v>17545</v>
      </c>
      <c r="E2389" s="7" t="s">
        <v>17546</v>
      </c>
      <c r="F2389" s="7" t="s">
        <v>17547</v>
      </c>
      <c r="G2389" s="7" t="s">
        <v>17548</v>
      </c>
      <c r="H2389" s="7" t="s">
        <v>17549</v>
      </c>
      <c r="I2389" s="119">
        <v>45763.0</v>
      </c>
      <c r="K2389" s="7" t="s">
        <v>419</v>
      </c>
      <c r="L2389" s="7" t="s">
        <v>991</v>
      </c>
      <c r="M2389" s="7" t="s">
        <v>3531</v>
      </c>
      <c r="N2389" s="7" t="s">
        <v>4557</v>
      </c>
      <c r="O2389" s="7" t="s">
        <v>4558</v>
      </c>
      <c r="P2389" s="7" t="s">
        <v>3493</v>
      </c>
      <c r="Q2389" s="7">
        <v>1.0</v>
      </c>
    </row>
    <row r="2390">
      <c r="A2390" s="7" t="s">
        <v>17550</v>
      </c>
      <c r="B2390" s="7">
        <v>3000728.0</v>
      </c>
      <c r="C2390" s="7" t="s">
        <v>17551</v>
      </c>
      <c r="D2390" s="7" t="s">
        <v>17552</v>
      </c>
      <c r="E2390" s="7" t="s">
        <v>7781</v>
      </c>
      <c r="F2390" s="7" t="s">
        <v>17553</v>
      </c>
      <c r="G2390" s="7" t="s">
        <v>17554</v>
      </c>
      <c r="H2390" s="7" t="s">
        <v>17555</v>
      </c>
      <c r="I2390" s="119">
        <v>45763.0</v>
      </c>
      <c r="K2390" s="7" t="s">
        <v>3642</v>
      </c>
      <c r="L2390" s="7" t="s">
        <v>991</v>
      </c>
      <c r="M2390" s="7" t="s">
        <v>3531</v>
      </c>
      <c r="N2390" s="7" t="s">
        <v>3643</v>
      </c>
      <c r="O2390" s="7" t="s">
        <v>3644</v>
      </c>
      <c r="P2390" s="7" t="s">
        <v>3493</v>
      </c>
      <c r="Q2390" s="7">
        <v>1.0</v>
      </c>
    </row>
    <row r="2391">
      <c r="A2391" s="7" t="s">
        <v>17556</v>
      </c>
      <c r="B2391" s="7">
        <v>3000722.0</v>
      </c>
      <c r="C2391" s="7" t="s">
        <v>17557</v>
      </c>
      <c r="D2391" s="7" t="s">
        <v>17558</v>
      </c>
      <c r="E2391" s="7" t="s">
        <v>17559</v>
      </c>
      <c r="F2391" s="7" t="s">
        <v>11544</v>
      </c>
      <c r="G2391" s="7" t="s">
        <v>17560</v>
      </c>
      <c r="H2391" s="7" t="s">
        <v>17561</v>
      </c>
      <c r="I2391" s="119">
        <v>45763.0</v>
      </c>
      <c r="K2391" s="7" t="s">
        <v>419</v>
      </c>
      <c r="L2391" s="7" t="s">
        <v>991</v>
      </c>
      <c r="M2391" s="7" t="s">
        <v>3531</v>
      </c>
      <c r="N2391" s="7" t="s">
        <v>4587</v>
      </c>
      <c r="O2391" s="7" t="s">
        <v>12660</v>
      </c>
      <c r="P2391" s="7" t="s">
        <v>3493</v>
      </c>
      <c r="Q2391" s="7">
        <v>1.0</v>
      </c>
    </row>
    <row r="2392">
      <c r="A2392" s="7" t="s">
        <v>17562</v>
      </c>
      <c r="B2392" s="7">
        <v>3000714.0</v>
      </c>
      <c r="C2392" s="7" t="s">
        <v>9145</v>
      </c>
      <c r="D2392" s="7" t="s">
        <v>17563</v>
      </c>
      <c r="E2392" s="7" t="s">
        <v>9147</v>
      </c>
      <c r="F2392" s="7" t="s">
        <v>3692</v>
      </c>
      <c r="G2392" s="7" t="s">
        <v>17564</v>
      </c>
      <c r="H2392" s="7" t="s">
        <v>17565</v>
      </c>
      <c r="I2392" s="119">
        <v>45763.0</v>
      </c>
      <c r="K2392" s="7" t="s">
        <v>3632</v>
      </c>
      <c r="L2392" s="7" t="s">
        <v>991</v>
      </c>
      <c r="M2392" s="7" t="s">
        <v>3531</v>
      </c>
      <c r="N2392" s="7" t="s">
        <v>6214</v>
      </c>
      <c r="O2392" s="7" t="s">
        <v>12840</v>
      </c>
      <c r="P2392" s="7" t="s">
        <v>3493</v>
      </c>
      <c r="Q2392" s="7">
        <v>1.0</v>
      </c>
    </row>
    <row r="2393">
      <c r="A2393" s="7" t="s">
        <v>17566</v>
      </c>
      <c r="B2393" s="7">
        <v>3000699.0</v>
      </c>
      <c r="C2393" s="7" t="s">
        <v>9606</v>
      </c>
      <c r="D2393" s="7" t="s">
        <v>5497</v>
      </c>
      <c r="E2393" s="7" t="s">
        <v>9572</v>
      </c>
      <c r="F2393" s="7" t="s">
        <v>5497</v>
      </c>
      <c r="G2393" s="7" t="s">
        <v>17567</v>
      </c>
      <c r="H2393" s="7" t="s">
        <v>17568</v>
      </c>
      <c r="I2393" s="119">
        <v>45763.0</v>
      </c>
      <c r="K2393" s="7" t="s">
        <v>419</v>
      </c>
      <c r="L2393" s="7" t="s">
        <v>991</v>
      </c>
      <c r="M2393" s="7" t="s">
        <v>3583</v>
      </c>
      <c r="N2393" s="7" t="s">
        <v>3996</v>
      </c>
      <c r="O2393" s="7" t="s">
        <v>3997</v>
      </c>
      <c r="P2393" s="7" t="s">
        <v>3493</v>
      </c>
      <c r="Q2393" s="7">
        <v>1.0</v>
      </c>
    </row>
    <row r="2394">
      <c r="A2394" s="7" t="s">
        <v>17569</v>
      </c>
      <c r="B2394" s="7">
        <v>3000711.0</v>
      </c>
      <c r="C2394" s="7" t="s">
        <v>17570</v>
      </c>
      <c r="D2394" s="7" t="s">
        <v>17571</v>
      </c>
      <c r="E2394" s="7" t="s">
        <v>17572</v>
      </c>
      <c r="F2394" s="7" t="s">
        <v>14461</v>
      </c>
      <c r="G2394" s="7" t="s">
        <v>17573</v>
      </c>
      <c r="H2394" s="7" t="s">
        <v>17574</v>
      </c>
      <c r="I2394" s="119">
        <v>45763.0</v>
      </c>
      <c r="K2394" s="7" t="s">
        <v>419</v>
      </c>
      <c r="L2394" s="7" t="s">
        <v>991</v>
      </c>
      <c r="M2394" s="7" t="s">
        <v>3531</v>
      </c>
      <c r="N2394" s="7" t="s">
        <v>6753</v>
      </c>
      <c r="O2394" s="7" t="s">
        <v>6754</v>
      </c>
      <c r="P2394" s="7" t="s">
        <v>3493</v>
      </c>
      <c r="Q2394" s="7">
        <v>1.0</v>
      </c>
    </row>
    <row r="2395">
      <c r="A2395" s="7" t="s">
        <v>17575</v>
      </c>
      <c r="B2395" s="7">
        <v>3000499.0</v>
      </c>
      <c r="C2395" s="7" t="s">
        <v>17576</v>
      </c>
      <c r="D2395" s="7" t="s">
        <v>17577</v>
      </c>
      <c r="E2395" s="7" t="s">
        <v>17578</v>
      </c>
      <c r="F2395" s="7" t="s">
        <v>3508</v>
      </c>
      <c r="G2395" s="7" t="s">
        <v>17579</v>
      </c>
      <c r="H2395" s="7" t="s">
        <v>17580</v>
      </c>
      <c r="I2395" s="119">
        <v>45763.0</v>
      </c>
      <c r="K2395" s="7" t="s">
        <v>419</v>
      </c>
      <c r="L2395" s="7" t="s">
        <v>991</v>
      </c>
      <c r="M2395" s="7" t="s">
        <v>3501</v>
      </c>
      <c r="N2395" s="7" t="s">
        <v>8512</v>
      </c>
      <c r="O2395" s="7" t="s">
        <v>8513</v>
      </c>
      <c r="P2395" s="7" t="s">
        <v>3522</v>
      </c>
      <c r="Q2395" s="7" t="s">
        <v>3523</v>
      </c>
    </row>
    <row r="2396">
      <c r="A2396" s="7" t="s">
        <v>17581</v>
      </c>
      <c r="B2396" s="7">
        <v>3000719.0</v>
      </c>
      <c r="C2396" s="7" t="s">
        <v>10495</v>
      </c>
      <c r="D2396" s="7" t="s">
        <v>17582</v>
      </c>
      <c r="E2396" s="7" t="s">
        <v>10497</v>
      </c>
      <c r="F2396" s="7" t="s">
        <v>17583</v>
      </c>
      <c r="G2396" s="7" t="s">
        <v>17584</v>
      </c>
      <c r="H2396" s="7" t="s">
        <v>17585</v>
      </c>
      <c r="I2396" s="119">
        <v>45763.0</v>
      </c>
      <c r="K2396" s="7" t="s">
        <v>419</v>
      </c>
      <c r="L2396" s="7" t="s">
        <v>991</v>
      </c>
      <c r="M2396" s="7" t="s">
        <v>3531</v>
      </c>
      <c r="N2396" s="7" t="s">
        <v>4933</v>
      </c>
      <c r="O2396" s="7" t="s">
        <v>4934</v>
      </c>
      <c r="P2396" s="7" t="s">
        <v>3493</v>
      </c>
      <c r="Q2396" s="7">
        <v>1.0</v>
      </c>
    </row>
    <row r="2397">
      <c r="A2397" s="7" t="s">
        <v>17586</v>
      </c>
      <c r="B2397" s="7">
        <v>3000709.0</v>
      </c>
      <c r="C2397" s="7" t="s">
        <v>11019</v>
      </c>
      <c r="D2397" s="7" t="s">
        <v>17587</v>
      </c>
      <c r="E2397" s="7" t="s">
        <v>11020</v>
      </c>
      <c r="F2397" s="7" t="s">
        <v>3656</v>
      </c>
      <c r="G2397" s="7" t="s">
        <v>17588</v>
      </c>
      <c r="H2397" s="7" t="s">
        <v>17589</v>
      </c>
      <c r="I2397" s="119">
        <v>45763.0</v>
      </c>
      <c r="K2397" s="7" t="s">
        <v>419</v>
      </c>
      <c r="L2397" s="7" t="s">
        <v>991</v>
      </c>
      <c r="M2397" s="7" t="s">
        <v>3531</v>
      </c>
      <c r="N2397" s="7" t="s">
        <v>3659</v>
      </c>
      <c r="O2397" s="7" t="s">
        <v>3660</v>
      </c>
      <c r="P2397" s="7" t="s">
        <v>3493</v>
      </c>
      <c r="Q2397" s="7">
        <v>1.0</v>
      </c>
    </row>
    <row r="2398">
      <c r="A2398" s="7" t="s">
        <v>17590</v>
      </c>
      <c r="B2398" s="7">
        <v>3000725.0</v>
      </c>
      <c r="C2398" s="7" t="s">
        <v>11953</v>
      </c>
      <c r="D2398" s="7" t="s">
        <v>3772</v>
      </c>
      <c r="E2398" s="7" t="s">
        <v>11954</v>
      </c>
      <c r="F2398" s="7" t="s">
        <v>3774</v>
      </c>
      <c r="G2398" s="7" t="s">
        <v>17591</v>
      </c>
      <c r="H2398" s="7" t="s">
        <v>17592</v>
      </c>
      <c r="I2398" s="119">
        <v>45763.0</v>
      </c>
      <c r="K2398" s="7" t="s">
        <v>419</v>
      </c>
      <c r="L2398" s="7" t="s">
        <v>991</v>
      </c>
      <c r="M2398" s="7" t="s">
        <v>3531</v>
      </c>
      <c r="N2398" s="7" t="s">
        <v>3802</v>
      </c>
      <c r="O2398" s="7" t="s">
        <v>3803</v>
      </c>
      <c r="P2398" s="7" t="s">
        <v>3493</v>
      </c>
      <c r="Q2398" s="7">
        <v>1.0</v>
      </c>
    </row>
    <row r="2399">
      <c r="A2399" s="7" t="s">
        <v>17593</v>
      </c>
      <c r="B2399" s="7">
        <v>3000721.0</v>
      </c>
      <c r="C2399" s="7" t="s">
        <v>12410</v>
      </c>
      <c r="D2399" s="7" t="s">
        <v>17594</v>
      </c>
      <c r="E2399" s="7" t="s">
        <v>12412</v>
      </c>
      <c r="F2399" s="7" t="s">
        <v>3517</v>
      </c>
      <c r="G2399" s="7" t="s">
        <v>17595</v>
      </c>
      <c r="H2399" s="7" t="s">
        <v>17596</v>
      </c>
      <c r="I2399" s="119">
        <v>45763.0</v>
      </c>
      <c r="K2399" s="7" t="s">
        <v>419</v>
      </c>
      <c r="L2399" s="7" t="s">
        <v>991</v>
      </c>
      <c r="M2399" s="7" t="s">
        <v>3531</v>
      </c>
      <c r="N2399" s="7" t="s">
        <v>3802</v>
      </c>
      <c r="O2399" s="7" t="s">
        <v>3803</v>
      </c>
      <c r="P2399" s="7" t="s">
        <v>3493</v>
      </c>
      <c r="Q2399" s="7">
        <v>1.0</v>
      </c>
    </row>
    <row r="2400">
      <c r="A2400" s="7" t="s">
        <v>17597</v>
      </c>
      <c r="B2400" s="7">
        <v>3000698.0</v>
      </c>
      <c r="C2400" s="7" t="s">
        <v>14864</v>
      </c>
      <c r="D2400" s="7" t="s">
        <v>17598</v>
      </c>
      <c r="E2400" s="7" t="s">
        <v>14866</v>
      </c>
      <c r="F2400" s="7" t="s">
        <v>17599</v>
      </c>
      <c r="G2400" s="7" t="s">
        <v>17600</v>
      </c>
      <c r="H2400" s="7" t="s">
        <v>17601</v>
      </c>
      <c r="I2400" s="119">
        <v>45763.0</v>
      </c>
      <c r="K2400" s="7" t="s">
        <v>419</v>
      </c>
      <c r="L2400" s="7" t="s">
        <v>991</v>
      </c>
      <c r="M2400" s="7" t="s">
        <v>3866</v>
      </c>
      <c r="N2400" s="7" t="s">
        <v>16327</v>
      </c>
      <c r="O2400" s="7" t="s">
        <v>17602</v>
      </c>
      <c r="P2400" s="7" t="s">
        <v>3522</v>
      </c>
      <c r="Q2400" s="7" t="s">
        <v>3523</v>
      </c>
    </row>
    <row r="2401">
      <c r="A2401" s="7" t="s">
        <v>17603</v>
      </c>
      <c r="B2401" s="7">
        <v>3000717.0</v>
      </c>
      <c r="C2401" s="7" t="s">
        <v>14145</v>
      </c>
      <c r="D2401" s="7" t="s">
        <v>17604</v>
      </c>
      <c r="E2401" s="7" t="s">
        <v>14147</v>
      </c>
      <c r="F2401" s="7" t="s">
        <v>5490</v>
      </c>
      <c r="G2401" s="7" t="s">
        <v>17605</v>
      </c>
      <c r="H2401" s="7" t="s">
        <v>17606</v>
      </c>
      <c r="I2401" s="119">
        <v>45763.0</v>
      </c>
      <c r="K2401" s="7" t="s">
        <v>419</v>
      </c>
      <c r="L2401" s="7" t="s">
        <v>991</v>
      </c>
      <c r="M2401" s="7" t="s">
        <v>3531</v>
      </c>
      <c r="N2401" s="7" t="s">
        <v>5218</v>
      </c>
      <c r="O2401" s="7" t="s">
        <v>17607</v>
      </c>
      <c r="P2401" s="7" t="s">
        <v>3522</v>
      </c>
      <c r="Q2401" s="7" t="s">
        <v>3523</v>
      </c>
    </row>
    <row r="2402">
      <c r="A2402" s="7" t="s">
        <v>17608</v>
      </c>
      <c r="B2402" s="7">
        <v>3000753.0</v>
      </c>
      <c r="C2402" s="7" t="s">
        <v>4277</v>
      </c>
      <c r="D2402" s="7" t="s">
        <v>14805</v>
      </c>
      <c r="E2402" s="7" t="s">
        <v>4279</v>
      </c>
      <c r="F2402" s="7" t="s">
        <v>14805</v>
      </c>
      <c r="G2402" s="7" t="s">
        <v>17609</v>
      </c>
      <c r="H2402" s="7" t="s">
        <v>17610</v>
      </c>
      <c r="I2402" s="119">
        <v>45778.0</v>
      </c>
      <c r="K2402" s="7" t="s">
        <v>419</v>
      </c>
      <c r="L2402" s="7" t="s">
        <v>991</v>
      </c>
      <c r="M2402" s="7" t="s">
        <v>3490</v>
      </c>
      <c r="N2402" s="7" t="s">
        <v>7662</v>
      </c>
      <c r="O2402" s="7" t="s">
        <v>7663</v>
      </c>
      <c r="P2402" s="7" t="s">
        <v>3493</v>
      </c>
      <c r="Q2402" s="7">
        <v>1.0</v>
      </c>
    </row>
    <row r="2403">
      <c r="A2403" s="7" t="s">
        <v>17611</v>
      </c>
      <c r="B2403" s="7">
        <v>3000756.0</v>
      </c>
      <c r="C2403" s="7" t="s">
        <v>4447</v>
      </c>
      <c r="D2403" s="7" t="s">
        <v>17612</v>
      </c>
      <c r="E2403" s="7" t="s">
        <v>4449</v>
      </c>
      <c r="F2403" s="7" t="s">
        <v>10583</v>
      </c>
      <c r="G2403" s="7" t="s">
        <v>17613</v>
      </c>
      <c r="H2403" s="7" t="s">
        <v>17614</v>
      </c>
      <c r="I2403" s="119">
        <v>45778.0</v>
      </c>
      <c r="K2403" s="7" t="s">
        <v>3632</v>
      </c>
      <c r="L2403" s="7" t="s">
        <v>991</v>
      </c>
      <c r="M2403" s="7" t="s">
        <v>3583</v>
      </c>
      <c r="N2403" s="7" t="s">
        <v>4190</v>
      </c>
      <c r="O2403" s="7" t="s">
        <v>4191</v>
      </c>
      <c r="P2403" s="7" t="s">
        <v>3493</v>
      </c>
      <c r="Q2403" s="7">
        <v>1.0</v>
      </c>
    </row>
    <row r="2404">
      <c r="A2404" s="7" t="s">
        <v>17615</v>
      </c>
      <c r="B2404" s="7">
        <v>3000697.0</v>
      </c>
      <c r="C2404" s="7" t="s">
        <v>17616</v>
      </c>
      <c r="D2404" s="7" t="s">
        <v>17617</v>
      </c>
      <c r="E2404" s="7" t="s">
        <v>17618</v>
      </c>
      <c r="F2404" s="7" t="s">
        <v>5426</v>
      </c>
      <c r="G2404" s="7" t="s">
        <v>17619</v>
      </c>
      <c r="H2404" s="7" t="s">
        <v>17620</v>
      </c>
      <c r="I2404" s="119">
        <v>45778.0</v>
      </c>
      <c r="K2404" s="7" t="s">
        <v>419</v>
      </c>
      <c r="L2404" s="7" t="s">
        <v>991</v>
      </c>
      <c r="M2404" s="7" t="s">
        <v>3501</v>
      </c>
      <c r="N2404" s="7" t="s">
        <v>8158</v>
      </c>
      <c r="O2404" s="7" t="s">
        <v>10691</v>
      </c>
      <c r="P2404" s="7" t="s">
        <v>3493</v>
      </c>
      <c r="Q2404" s="7">
        <v>1.0</v>
      </c>
    </row>
    <row r="2405">
      <c r="A2405" s="7" t="s">
        <v>17621</v>
      </c>
      <c r="B2405" s="7">
        <v>3000743.0</v>
      </c>
      <c r="C2405" s="7" t="s">
        <v>5423</v>
      </c>
      <c r="D2405" s="7" t="s">
        <v>17622</v>
      </c>
      <c r="E2405" s="7" t="s">
        <v>5425</v>
      </c>
      <c r="F2405" s="7" t="s">
        <v>9094</v>
      </c>
      <c r="G2405" s="7" t="s">
        <v>17623</v>
      </c>
      <c r="H2405" s="7" t="s">
        <v>17624</v>
      </c>
      <c r="I2405" s="119">
        <v>45778.0</v>
      </c>
      <c r="K2405" s="7" t="s">
        <v>419</v>
      </c>
      <c r="L2405" s="7" t="s">
        <v>991</v>
      </c>
      <c r="M2405" s="7" t="s">
        <v>3531</v>
      </c>
      <c r="N2405" s="7" t="s">
        <v>5888</v>
      </c>
      <c r="O2405" s="7" t="s">
        <v>5889</v>
      </c>
      <c r="P2405" s="7" t="s">
        <v>3493</v>
      </c>
      <c r="Q2405" s="7">
        <v>1.0</v>
      </c>
    </row>
    <row r="2406">
      <c r="A2406" s="7" t="s">
        <v>17625</v>
      </c>
      <c r="B2406" s="7">
        <v>3000742.0</v>
      </c>
      <c r="C2406" s="7" t="s">
        <v>5763</v>
      </c>
      <c r="D2406" s="7" t="s">
        <v>17626</v>
      </c>
      <c r="E2406" s="7" t="s">
        <v>5765</v>
      </c>
      <c r="F2406" s="7" t="s">
        <v>17627</v>
      </c>
      <c r="G2406" s="7" t="s">
        <v>17628</v>
      </c>
      <c r="H2406" s="7" t="s">
        <v>17629</v>
      </c>
      <c r="I2406" s="119">
        <v>45778.0</v>
      </c>
      <c r="K2406" s="7" t="s">
        <v>419</v>
      </c>
      <c r="L2406" s="7" t="s">
        <v>991</v>
      </c>
      <c r="M2406" s="7" t="s">
        <v>3531</v>
      </c>
      <c r="N2406" s="7" t="s">
        <v>10476</v>
      </c>
      <c r="O2406" s="7" t="s">
        <v>17630</v>
      </c>
      <c r="P2406" s="7" t="s">
        <v>3493</v>
      </c>
      <c r="Q2406" s="7">
        <v>1.0</v>
      </c>
    </row>
    <row r="2407">
      <c r="A2407" s="7" t="s">
        <v>17631</v>
      </c>
      <c r="B2407" s="7">
        <v>3000754.0</v>
      </c>
      <c r="C2407" s="7" t="s">
        <v>17632</v>
      </c>
      <c r="D2407" s="7" t="s">
        <v>8353</v>
      </c>
      <c r="E2407" s="7" t="s">
        <v>17633</v>
      </c>
      <c r="F2407" s="7" t="s">
        <v>6800</v>
      </c>
      <c r="G2407" s="7" t="s">
        <v>17634</v>
      </c>
      <c r="H2407" s="7" t="s">
        <v>17635</v>
      </c>
      <c r="I2407" s="119">
        <v>45778.0</v>
      </c>
      <c r="K2407" s="7" t="s">
        <v>3642</v>
      </c>
      <c r="L2407" s="7" t="s">
        <v>991</v>
      </c>
      <c r="M2407" s="7" t="s">
        <v>3501</v>
      </c>
      <c r="N2407" s="7" t="s">
        <v>3643</v>
      </c>
      <c r="O2407" s="7" t="s">
        <v>3644</v>
      </c>
      <c r="P2407" s="7" t="s">
        <v>3493</v>
      </c>
      <c r="Q2407" s="7">
        <v>1.0</v>
      </c>
    </row>
    <row r="2408">
      <c r="A2408" s="7" t="s">
        <v>17636</v>
      </c>
      <c r="B2408" s="7">
        <v>3000691.0</v>
      </c>
      <c r="C2408" s="7" t="s">
        <v>5853</v>
      </c>
      <c r="D2408" s="7" t="s">
        <v>7586</v>
      </c>
      <c r="E2408" s="7" t="s">
        <v>5855</v>
      </c>
      <c r="F2408" s="7" t="s">
        <v>5426</v>
      </c>
      <c r="G2408" s="7" t="s">
        <v>17637</v>
      </c>
      <c r="H2408" s="7" t="s">
        <v>17638</v>
      </c>
      <c r="I2408" s="119">
        <v>45778.0</v>
      </c>
      <c r="K2408" s="7" t="s">
        <v>419</v>
      </c>
      <c r="L2408" s="7" t="s">
        <v>991</v>
      </c>
      <c r="M2408" s="7" t="s">
        <v>3501</v>
      </c>
      <c r="N2408" s="7" t="s">
        <v>8583</v>
      </c>
      <c r="O2408" s="7" t="s">
        <v>8584</v>
      </c>
      <c r="P2408" s="7" t="s">
        <v>3493</v>
      </c>
      <c r="Q2408" s="7">
        <v>1.0</v>
      </c>
    </row>
    <row r="2409">
      <c r="A2409" s="7" t="s">
        <v>17639</v>
      </c>
      <c r="B2409" s="7">
        <v>3000703.0</v>
      </c>
      <c r="C2409" s="7" t="s">
        <v>6285</v>
      </c>
      <c r="D2409" s="7" t="s">
        <v>17640</v>
      </c>
      <c r="E2409" s="7" t="s">
        <v>6287</v>
      </c>
      <c r="F2409" s="7" t="s">
        <v>11089</v>
      </c>
      <c r="G2409" s="7" t="s">
        <v>17641</v>
      </c>
      <c r="H2409" s="7" t="s">
        <v>17642</v>
      </c>
      <c r="I2409" s="119">
        <v>45778.0</v>
      </c>
      <c r="K2409" s="7" t="s">
        <v>419</v>
      </c>
      <c r="L2409" s="7" t="s">
        <v>991</v>
      </c>
      <c r="M2409" s="7" t="s">
        <v>3501</v>
      </c>
      <c r="N2409" s="7" t="s">
        <v>14964</v>
      </c>
      <c r="O2409" s="7" t="s">
        <v>16190</v>
      </c>
      <c r="P2409" s="7" t="s">
        <v>3522</v>
      </c>
      <c r="Q2409" s="7" t="s">
        <v>3523</v>
      </c>
    </row>
    <row r="2410">
      <c r="A2410" s="7" t="s">
        <v>17643</v>
      </c>
      <c r="B2410" s="7">
        <v>3000749.0</v>
      </c>
      <c r="C2410" s="7" t="s">
        <v>17644</v>
      </c>
      <c r="D2410" s="7" t="s">
        <v>17645</v>
      </c>
      <c r="E2410" s="7" t="s">
        <v>6786</v>
      </c>
      <c r="F2410" s="7" t="s">
        <v>5723</v>
      </c>
      <c r="G2410" s="7" t="s">
        <v>17646</v>
      </c>
      <c r="H2410" s="7" t="s">
        <v>17647</v>
      </c>
      <c r="I2410" s="119">
        <v>45778.0</v>
      </c>
      <c r="K2410" s="7" t="s">
        <v>419</v>
      </c>
      <c r="L2410" s="7" t="s">
        <v>991</v>
      </c>
      <c r="M2410" s="7" t="s">
        <v>3531</v>
      </c>
      <c r="N2410" s="7" t="s">
        <v>6579</v>
      </c>
      <c r="O2410" s="7" t="s">
        <v>6580</v>
      </c>
      <c r="P2410" s="7" t="s">
        <v>3493</v>
      </c>
      <c r="Q2410" s="7">
        <v>1.0</v>
      </c>
    </row>
    <row r="2411">
      <c r="A2411" s="7" t="s">
        <v>17648</v>
      </c>
      <c r="B2411" s="7">
        <v>3000748.0</v>
      </c>
      <c r="C2411" s="7" t="s">
        <v>7599</v>
      </c>
      <c r="D2411" s="7" t="s">
        <v>17649</v>
      </c>
      <c r="E2411" s="7" t="s">
        <v>7601</v>
      </c>
      <c r="F2411" s="7" t="s">
        <v>3909</v>
      </c>
      <c r="G2411" s="7" t="s">
        <v>17650</v>
      </c>
      <c r="H2411" s="7" t="s">
        <v>17651</v>
      </c>
      <c r="I2411" s="119">
        <v>45778.0</v>
      </c>
      <c r="K2411" s="7" t="s">
        <v>419</v>
      </c>
      <c r="L2411" s="7" t="s">
        <v>991</v>
      </c>
      <c r="M2411" s="7" t="s">
        <v>3531</v>
      </c>
      <c r="N2411" s="7" t="s">
        <v>6487</v>
      </c>
      <c r="O2411" s="7" t="s">
        <v>6488</v>
      </c>
      <c r="P2411" s="7" t="s">
        <v>3522</v>
      </c>
      <c r="Q2411" s="7" t="s">
        <v>3523</v>
      </c>
    </row>
    <row r="2412">
      <c r="A2412" s="7" t="s">
        <v>17652</v>
      </c>
      <c r="B2412" s="7">
        <v>3000704.0</v>
      </c>
      <c r="C2412" s="7" t="s">
        <v>7649</v>
      </c>
      <c r="D2412" s="7" t="s">
        <v>17653</v>
      </c>
      <c r="E2412" s="7" t="s">
        <v>7651</v>
      </c>
      <c r="F2412" s="7" t="s">
        <v>4109</v>
      </c>
      <c r="G2412" s="7" t="s">
        <v>17654</v>
      </c>
      <c r="H2412" s="7" t="s">
        <v>17655</v>
      </c>
      <c r="I2412" s="119">
        <v>45778.0</v>
      </c>
      <c r="K2412" s="7" t="s">
        <v>419</v>
      </c>
      <c r="L2412" s="7" t="s">
        <v>991</v>
      </c>
      <c r="M2412" s="7" t="s">
        <v>3501</v>
      </c>
      <c r="N2412" s="7" t="s">
        <v>5085</v>
      </c>
      <c r="O2412" s="7" t="s">
        <v>5086</v>
      </c>
      <c r="P2412" s="7" t="s">
        <v>3493</v>
      </c>
      <c r="Q2412" s="7">
        <v>1.0</v>
      </c>
    </row>
    <row r="2413">
      <c r="A2413" s="7" t="s">
        <v>17656</v>
      </c>
      <c r="B2413" s="7">
        <v>3000627.0</v>
      </c>
      <c r="C2413" s="7" t="s">
        <v>6850</v>
      </c>
      <c r="D2413" s="7" t="s">
        <v>17657</v>
      </c>
      <c r="E2413" s="7" t="s">
        <v>7691</v>
      </c>
      <c r="F2413" s="7" t="s">
        <v>3721</v>
      </c>
      <c r="G2413" s="7" t="s">
        <v>17658</v>
      </c>
      <c r="H2413" s="7" t="s">
        <v>17659</v>
      </c>
      <c r="I2413" s="119">
        <v>45778.0</v>
      </c>
      <c r="K2413" s="7" t="s">
        <v>419</v>
      </c>
      <c r="L2413" s="7" t="s">
        <v>991</v>
      </c>
      <c r="M2413" s="7" t="s">
        <v>3501</v>
      </c>
      <c r="N2413" s="7" t="s">
        <v>7417</v>
      </c>
      <c r="O2413" s="7" t="s">
        <v>7418</v>
      </c>
      <c r="P2413" s="7" t="s">
        <v>3493</v>
      </c>
      <c r="Q2413" s="7">
        <v>1.0</v>
      </c>
    </row>
    <row r="2414">
      <c r="A2414" s="7" t="s">
        <v>17660</v>
      </c>
      <c r="B2414" s="7">
        <v>3000740.0</v>
      </c>
      <c r="C2414" s="7" t="s">
        <v>17661</v>
      </c>
      <c r="D2414" s="7" t="s">
        <v>17662</v>
      </c>
      <c r="E2414" s="7" t="s">
        <v>17663</v>
      </c>
      <c r="F2414" s="7" t="s">
        <v>4937</v>
      </c>
      <c r="G2414" s="7" t="s">
        <v>17664</v>
      </c>
      <c r="H2414" s="7" t="s">
        <v>17665</v>
      </c>
      <c r="I2414" s="119">
        <v>45778.0</v>
      </c>
      <c r="K2414" s="7" t="s">
        <v>419</v>
      </c>
      <c r="L2414" s="7" t="s">
        <v>991</v>
      </c>
      <c r="M2414" s="7" t="s">
        <v>3531</v>
      </c>
      <c r="N2414" s="7" t="s">
        <v>14964</v>
      </c>
      <c r="O2414" s="7" t="s">
        <v>15610</v>
      </c>
      <c r="P2414" s="7" t="s">
        <v>3493</v>
      </c>
      <c r="Q2414" s="7">
        <v>1.0</v>
      </c>
    </row>
    <row r="2415">
      <c r="A2415" s="7" t="s">
        <v>17666</v>
      </c>
      <c r="B2415" s="7">
        <v>3000694.0</v>
      </c>
      <c r="C2415" s="7" t="s">
        <v>7830</v>
      </c>
      <c r="D2415" s="7" t="s">
        <v>17667</v>
      </c>
      <c r="E2415" s="7" t="s">
        <v>7832</v>
      </c>
      <c r="F2415" s="7" t="s">
        <v>3721</v>
      </c>
      <c r="G2415" s="7" t="s">
        <v>17668</v>
      </c>
      <c r="H2415" s="7" t="s">
        <v>17669</v>
      </c>
      <c r="I2415" s="119">
        <v>45778.0</v>
      </c>
      <c r="K2415" s="7" t="s">
        <v>419</v>
      </c>
      <c r="L2415" s="7" t="s">
        <v>991</v>
      </c>
      <c r="M2415" s="7" t="s">
        <v>3501</v>
      </c>
      <c r="N2415" s="7" t="s">
        <v>7590</v>
      </c>
      <c r="O2415" s="7" t="s">
        <v>7591</v>
      </c>
      <c r="P2415" s="7" t="s">
        <v>3493</v>
      </c>
      <c r="Q2415" s="7">
        <v>1.0</v>
      </c>
    </row>
    <row r="2416">
      <c r="A2416" s="7" t="s">
        <v>17670</v>
      </c>
      <c r="B2416" s="7">
        <v>3000751.0</v>
      </c>
      <c r="C2416" s="7" t="s">
        <v>7991</v>
      </c>
      <c r="D2416" s="7" t="s">
        <v>7559</v>
      </c>
      <c r="E2416" s="7" t="s">
        <v>7993</v>
      </c>
      <c r="F2416" s="7" t="s">
        <v>3909</v>
      </c>
      <c r="G2416" s="7" t="s">
        <v>17671</v>
      </c>
      <c r="H2416" s="7" t="s">
        <v>17672</v>
      </c>
      <c r="I2416" s="119">
        <v>45778.0</v>
      </c>
      <c r="K2416" s="7" t="s">
        <v>419</v>
      </c>
      <c r="L2416" s="7" t="s">
        <v>991</v>
      </c>
      <c r="M2416" s="7" t="s">
        <v>3531</v>
      </c>
      <c r="N2416" s="7" t="s">
        <v>5461</v>
      </c>
      <c r="O2416" s="7" t="s">
        <v>5462</v>
      </c>
      <c r="P2416" s="7" t="s">
        <v>3493</v>
      </c>
      <c r="Q2416" s="7">
        <v>1.0</v>
      </c>
    </row>
    <row r="2417">
      <c r="A2417" s="7" t="s">
        <v>17673</v>
      </c>
      <c r="B2417" s="7">
        <v>3000755.0</v>
      </c>
      <c r="C2417" s="7" t="s">
        <v>8174</v>
      </c>
      <c r="D2417" s="7" t="s">
        <v>17674</v>
      </c>
      <c r="E2417" s="7" t="s">
        <v>8170</v>
      </c>
      <c r="F2417" s="7" t="s">
        <v>4814</v>
      </c>
      <c r="G2417" s="7" t="s">
        <v>17675</v>
      </c>
      <c r="H2417" s="7" t="s">
        <v>17676</v>
      </c>
      <c r="I2417" s="119">
        <v>45778.0</v>
      </c>
      <c r="K2417" s="7" t="s">
        <v>3642</v>
      </c>
      <c r="L2417" s="7" t="s">
        <v>991</v>
      </c>
      <c r="M2417" s="7" t="s">
        <v>3501</v>
      </c>
      <c r="N2417" s="7" t="s">
        <v>3643</v>
      </c>
      <c r="O2417" s="7" t="s">
        <v>3644</v>
      </c>
      <c r="P2417" s="7" t="s">
        <v>3493</v>
      </c>
      <c r="Q2417" s="7">
        <v>1.0</v>
      </c>
    </row>
    <row r="2418">
      <c r="A2418" s="7" t="s">
        <v>17677</v>
      </c>
      <c r="B2418" s="7">
        <v>3000745.0</v>
      </c>
      <c r="C2418" s="7" t="s">
        <v>17678</v>
      </c>
      <c r="D2418" s="7" t="s">
        <v>17679</v>
      </c>
      <c r="E2418" s="7" t="s">
        <v>17680</v>
      </c>
      <c r="F2418" s="7" t="s">
        <v>3498</v>
      </c>
      <c r="G2418" s="7" t="s">
        <v>17681</v>
      </c>
      <c r="H2418" s="7" t="s">
        <v>17682</v>
      </c>
      <c r="I2418" s="119">
        <v>45778.0</v>
      </c>
      <c r="K2418" s="7" t="s">
        <v>419</v>
      </c>
      <c r="L2418" s="7" t="s">
        <v>991</v>
      </c>
      <c r="M2418" s="7" t="s">
        <v>3531</v>
      </c>
      <c r="N2418" s="7" t="s">
        <v>3751</v>
      </c>
      <c r="O2418" s="7" t="s">
        <v>3752</v>
      </c>
      <c r="P2418" s="7" t="s">
        <v>3493</v>
      </c>
      <c r="Q2418" s="7">
        <v>1.0</v>
      </c>
    </row>
    <row r="2419">
      <c r="A2419" s="7" t="s">
        <v>17683</v>
      </c>
      <c r="B2419" s="7">
        <v>3000736.0</v>
      </c>
      <c r="C2419" s="7" t="s">
        <v>8743</v>
      </c>
      <c r="D2419" s="7" t="s">
        <v>13014</v>
      </c>
      <c r="E2419" s="7" t="s">
        <v>8745</v>
      </c>
      <c r="F2419" s="7" t="s">
        <v>9490</v>
      </c>
      <c r="G2419" s="7" t="s">
        <v>17684</v>
      </c>
      <c r="H2419" s="7" t="s">
        <v>17685</v>
      </c>
      <c r="I2419" s="119">
        <v>45778.0</v>
      </c>
      <c r="K2419" s="7" t="s">
        <v>419</v>
      </c>
      <c r="L2419" s="7" t="s">
        <v>991</v>
      </c>
      <c r="M2419" s="7" t="s">
        <v>3531</v>
      </c>
      <c r="N2419" s="7" t="s">
        <v>3802</v>
      </c>
      <c r="O2419" s="7" t="s">
        <v>3803</v>
      </c>
      <c r="P2419" s="7" t="s">
        <v>3493</v>
      </c>
      <c r="Q2419" s="7">
        <v>1.0</v>
      </c>
    </row>
    <row r="2420">
      <c r="A2420" s="7" t="s">
        <v>17686</v>
      </c>
      <c r="B2420" s="7">
        <v>3000750.0</v>
      </c>
      <c r="C2420" s="7" t="s">
        <v>17687</v>
      </c>
      <c r="D2420" s="7" t="s">
        <v>17688</v>
      </c>
      <c r="E2420" s="7" t="s">
        <v>17689</v>
      </c>
      <c r="F2420" s="7" t="s">
        <v>7477</v>
      </c>
      <c r="G2420" s="7" t="s">
        <v>17690</v>
      </c>
      <c r="H2420" s="7" t="s">
        <v>17691</v>
      </c>
      <c r="I2420" s="119">
        <v>45778.0</v>
      </c>
      <c r="K2420" s="7" t="s">
        <v>419</v>
      </c>
      <c r="L2420" s="7" t="s">
        <v>991</v>
      </c>
      <c r="M2420" s="7" t="s">
        <v>3531</v>
      </c>
      <c r="N2420" s="7" t="s">
        <v>3802</v>
      </c>
      <c r="O2420" s="7" t="s">
        <v>3803</v>
      </c>
      <c r="P2420" s="7" t="s">
        <v>3493</v>
      </c>
      <c r="Q2420" s="7">
        <v>1.0</v>
      </c>
    </row>
    <row r="2421">
      <c r="A2421" s="7" t="s">
        <v>17692</v>
      </c>
      <c r="B2421" s="7">
        <v>3000737.0</v>
      </c>
      <c r="C2421" s="7" t="s">
        <v>17693</v>
      </c>
      <c r="D2421" s="7" t="s">
        <v>17694</v>
      </c>
      <c r="E2421" s="7" t="s">
        <v>17695</v>
      </c>
      <c r="F2421" s="7" t="s">
        <v>17696</v>
      </c>
      <c r="G2421" s="7" t="s">
        <v>17697</v>
      </c>
      <c r="H2421" s="7" t="s">
        <v>17698</v>
      </c>
      <c r="I2421" s="119">
        <v>45778.0</v>
      </c>
      <c r="K2421" s="7" t="s">
        <v>419</v>
      </c>
      <c r="L2421" s="7" t="s">
        <v>991</v>
      </c>
      <c r="M2421" s="7" t="s">
        <v>3531</v>
      </c>
      <c r="N2421" s="7" t="s">
        <v>13982</v>
      </c>
      <c r="O2421" s="7" t="s">
        <v>16463</v>
      </c>
      <c r="P2421" s="7" t="s">
        <v>3493</v>
      </c>
      <c r="Q2421" s="7">
        <v>1.0</v>
      </c>
    </row>
    <row r="2422">
      <c r="A2422" s="7" t="s">
        <v>17699</v>
      </c>
      <c r="B2422" s="7">
        <v>3000702.0</v>
      </c>
      <c r="C2422" s="7" t="s">
        <v>11019</v>
      </c>
      <c r="D2422" s="7" t="s">
        <v>17700</v>
      </c>
      <c r="E2422" s="7" t="s">
        <v>11020</v>
      </c>
      <c r="F2422" s="7" t="s">
        <v>3517</v>
      </c>
      <c r="G2422" s="7" t="s">
        <v>17701</v>
      </c>
      <c r="H2422" s="7" t="s">
        <v>17702</v>
      </c>
      <c r="I2422" s="119">
        <v>45778.0</v>
      </c>
      <c r="K2422" s="7" t="s">
        <v>419</v>
      </c>
      <c r="L2422" s="7" t="s">
        <v>991</v>
      </c>
      <c r="M2422" s="7" t="s">
        <v>3501</v>
      </c>
      <c r="N2422" s="7" t="s">
        <v>4871</v>
      </c>
      <c r="O2422" s="7" t="s">
        <v>5002</v>
      </c>
      <c r="P2422" s="7" t="s">
        <v>3493</v>
      </c>
      <c r="Q2422" s="7">
        <v>1.0</v>
      </c>
    </row>
    <row r="2423">
      <c r="A2423" s="7" t="s">
        <v>17703</v>
      </c>
      <c r="B2423" s="7">
        <v>3000731.0</v>
      </c>
      <c r="C2423" s="7" t="s">
        <v>17704</v>
      </c>
      <c r="D2423" s="7" t="s">
        <v>17705</v>
      </c>
      <c r="E2423" s="7" t="s">
        <v>17706</v>
      </c>
      <c r="F2423" s="7" t="s">
        <v>11235</v>
      </c>
      <c r="G2423" s="7" t="s">
        <v>17707</v>
      </c>
      <c r="H2423" s="7" t="s">
        <v>17708</v>
      </c>
      <c r="I2423" s="119">
        <v>45778.0</v>
      </c>
      <c r="K2423" s="7" t="s">
        <v>419</v>
      </c>
      <c r="L2423" s="7" t="s">
        <v>991</v>
      </c>
      <c r="M2423" s="7" t="s">
        <v>3583</v>
      </c>
      <c r="N2423" s="7" t="s">
        <v>8379</v>
      </c>
      <c r="O2423" s="7" t="s">
        <v>16162</v>
      </c>
      <c r="P2423" s="7" t="s">
        <v>3493</v>
      </c>
      <c r="Q2423" s="7">
        <v>1.0</v>
      </c>
    </row>
    <row r="2424">
      <c r="A2424" s="7" t="s">
        <v>17709</v>
      </c>
      <c r="B2424" s="7">
        <v>3000747.0</v>
      </c>
      <c r="C2424" s="7" t="s">
        <v>17710</v>
      </c>
      <c r="D2424" s="7" t="s">
        <v>10165</v>
      </c>
      <c r="E2424" s="7" t="s">
        <v>17711</v>
      </c>
      <c r="F2424" s="7" t="s">
        <v>5595</v>
      </c>
      <c r="G2424" s="7" t="s">
        <v>17712</v>
      </c>
      <c r="H2424" s="7" t="s">
        <v>17713</v>
      </c>
      <c r="I2424" s="119">
        <v>45778.0</v>
      </c>
      <c r="K2424" s="7" t="s">
        <v>419</v>
      </c>
      <c r="L2424" s="7" t="s">
        <v>991</v>
      </c>
      <c r="M2424" s="7" t="s">
        <v>3531</v>
      </c>
      <c r="N2424" s="7" t="s">
        <v>4444</v>
      </c>
      <c r="O2424" s="7" t="s">
        <v>4445</v>
      </c>
      <c r="P2424" s="7" t="s">
        <v>3493</v>
      </c>
      <c r="Q2424" s="7">
        <v>1.0</v>
      </c>
    </row>
    <row r="2425">
      <c r="A2425" s="7" t="s">
        <v>17714</v>
      </c>
      <c r="B2425" s="7">
        <v>3000744.0</v>
      </c>
      <c r="C2425" s="7" t="s">
        <v>11541</v>
      </c>
      <c r="D2425" s="7" t="s">
        <v>6406</v>
      </c>
      <c r="E2425" s="7" t="s">
        <v>11543</v>
      </c>
      <c r="F2425" s="7" t="s">
        <v>6408</v>
      </c>
      <c r="G2425" s="7" t="s">
        <v>17715</v>
      </c>
      <c r="H2425" s="7" t="s">
        <v>17716</v>
      </c>
      <c r="I2425" s="119">
        <v>45778.0</v>
      </c>
      <c r="K2425" s="7" t="s">
        <v>419</v>
      </c>
      <c r="L2425" s="7" t="s">
        <v>991</v>
      </c>
      <c r="M2425" s="7" t="s">
        <v>3531</v>
      </c>
      <c r="N2425" s="7" t="s">
        <v>6487</v>
      </c>
      <c r="O2425" s="7" t="s">
        <v>6534</v>
      </c>
      <c r="P2425" s="7" t="s">
        <v>3493</v>
      </c>
      <c r="Q2425" s="7">
        <v>1.0</v>
      </c>
    </row>
    <row r="2426">
      <c r="A2426" s="7" t="s">
        <v>17717</v>
      </c>
      <c r="B2426" s="7">
        <v>3000741.0</v>
      </c>
      <c r="C2426" s="7" t="s">
        <v>12668</v>
      </c>
      <c r="D2426" s="7" t="s">
        <v>17718</v>
      </c>
      <c r="E2426" s="7" t="s">
        <v>12669</v>
      </c>
      <c r="F2426" s="7" t="s">
        <v>17719</v>
      </c>
      <c r="G2426" s="7" t="s">
        <v>17720</v>
      </c>
      <c r="H2426" s="7" t="s">
        <v>17721</v>
      </c>
      <c r="I2426" s="119">
        <v>45778.0</v>
      </c>
      <c r="K2426" s="7" t="s">
        <v>419</v>
      </c>
      <c r="L2426" s="7" t="s">
        <v>991</v>
      </c>
      <c r="M2426" s="7" t="s">
        <v>3531</v>
      </c>
      <c r="N2426" s="7" t="s">
        <v>10476</v>
      </c>
      <c r="O2426" s="7" t="s">
        <v>17630</v>
      </c>
      <c r="P2426" s="7" t="s">
        <v>3493</v>
      </c>
      <c r="Q2426" s="7">
        <v>1.0</v>
      </c>
    </row>
    <row r="2427">
      <c r="A2427" s="7" t="s">
        <v>17722</v>
      </c>
      <c r="B2427" s="7">
        <v>3000739.0</v>
      </c>
      <c r="C2427" s="7" t="s">
        <v>12771</v>
      </c>
      <c r="D2427" s="7" t="s">
        <v>17723</v>
      </c>
      <c r="E2427" s="7" t="s">
        <v>12765</v>
      </c>
      <c r="F2427" s="7" t="s">
        <v>17724</v>
      </c>
      <c r="G2427" s="7" t="s">
        <v>17725</v>
      </c>
      <c r="H2427" s="7" t="s">
        <v>17726</v>
      </c>
      <c r="I2427" s="119">
        <v>45778.0</v>
      </c>
      <c r="K2427" s="7" t="s">
        <v>419</v>
      </c>
      <c r="L2427" s="7" t="s">
        <v>991</v>
      </c>
      <c r="M2427" s="7" t="s">
        <v>3531</v>
      </c>
      <c r="N2427" s="7" t="s">
        <v>13982</v>
      </c>
      <c r="O2427" s="7" t="s">
        <v>16463</v>
      </c>
      <c r="P2427" s="7" t="s">
        <v>3493</v>
      </c>
      <c r="Q2427" s="7">
        <v>1.0</v>
      </c>
    </row>
    <row r="2428">
      <c r="A2428" s="7" t="s">
        <v>17727</v>
      </c>
      <c r="B2428" s="7">
        <v>3000759.0</v>
      </c>
      <c r="C2428" s="7" t="s">
        <v>15702</v>
      </c>
      <c r="D2428" s="7" t="s">
        <v>17728</v>
      </c>
      <c r="E2428" s="7" t="s">
        <v>15704</v>
      </c>
      <c r="F2428" s="7" t="s">
        <v>3806</v>
      </c>
      <c r="G2428" s="7" t="s">
        <v>17729</v>
      </c>
      <c r="H2428" s="7" t="s">
        <v>17730</v>
      </c>
      <c r="I2428" s="119">
        <v>45778.0</v>
      </c>
      <c r="K2428" s="7" t="s">
        <v>419</v>
      </c>
      <c r="L2428" s="7" t="s">
        <v>991</v>
      </c>
      <c r="M2428" s="7" t="s">
        <v>3531</v>
      </c>
      <c r="N2428" s="7" t="s">
        <v>4168</v>
      </c>
      <c r="O2428" s="7" t="s">
        <v>4169</v>
      </c>
      <c r="P2428" s="7" t="s">
        <v>3493</v>
      </c>
      <c r="Q2428" s="7">
        <v>1.0</v>
      </c>
    </row>
    <row r="2429">
      <c r="A2429" s="7" t="s">
        <v>17731</v>
      </c>
      <c r="B2429" s="7">
        <v>3000586.0</v>
      </c>
      <c r="C2429" s="7" t="s">
        <v>13217</v>
      </c>
      <c r="D2429" s="7" t="s">
        <v>14708</v>
      </c>
      <c r="E2429" s="7" t="s">
        <v>13219</v>
      </c>
      <c r="F2429" s="7" t="s">
        <v>14510</v>
      </c>
      <c r="G2429" s="7" t="s">
        <v>17732</v>
      </c>
      <c r="H2429" s="7" t="s">
        <v>17733</v>
      </c>
      <c r="I2429" s="119">
        <v>45778.0</v>
      </c>
      <c r="K2429" s="7" t="s">
        <v>419</v>
      </c>
      <c r="L2429" s="7" t="s">
        <v>991</v>
      </c>
      <c r="M2429" s="7" t="s">
        <v>3501</v>
      </c>
      <c r="N2429" s="7" t="s">
        <v>5780</v>
      </c>
      <c r="O2429" s="7" t="s">
        <v>5781</v>
      </c>
      <c r="P2429" s="7" t="s">
        <v>3493</v>
      </c>
      <c r="Q2429" s="7">
        <v>1.0</v>
      </c>
    </row>
    <row r="2430">
      <c r="A2430" s="7" t="s">
        <v>17734</v>
      </c>
      <c r="B2430" s="7">
        <v>3000760.0</v>
      </c>
      <c r="C2430" s="7" t="s">
        <v>17735</v>
      </c>
      <c r="D2430" s="7" t="s">
        <v>12194</v>
      </c>
      <c r="E2430" s="7" t="s">
        <v>17736</v>
      </c>
      <c r="F2430" s="7" t="s">
        <v>12970</v>
      </c>
      <c r="G2430" s="7" t="s">
        <v>17737</v>
      </c>
      <c r="H2430" s="7" t="s">
        <v>17738</v>
      </c>
      <c r="I2430" s="119">
        <v>45778.0</v>
      </c>
      <c r="K2430" s="7" t="s">
        <v>15381</v>
      </c>
      <c r="L2430" s="7" t="s">
        <v>991</v>
      </c>
      <c r="M2430" s="7" t="s">
        <v>3531</v>
      </c>
      <c r="N2430" s="7" t="s">
        <v>15382</v>
      </c>
      <c r="O2430" s="7" t="s">
        <v>15383</v>
      </c>
      <c r="P2430" s="7" t="s">
        <v>3493</v>
      </c>
      <c r="Q2430" s="7">
        <v>1.0</v>
      </c>
    </row>
    <row r="2431">
      <c r="A2431" s="7" t="s">
        <v>17739</v>
      </c>
      <c r="B2431" s="7">
        <v>3000735.0</v>
      </c>
      <c r="C2431" s="7" t="s">
        <v>14145</v>
      </c>
      <c r="D2431" s="7" t="s">
        <v>17740</v>
      </c>
      <c r="E2431" s="7" t="s">
        <v>14147</v>
      </c>
      <c r="F2431" s="7" t="s">
        <v>7361</v>
      </c>
      <c r="G2431" s="7" t="s">
        <v>17741</v>
      </c>
      <c r="H2431" s="7" t="s">
        <v>17742</v>
      </c>
      <c r="I2431" s="119">
        <v>45778.0</v>
      </c>
      <c r="K2431" s="7" t="s">
        <v>419</v>
      </c>
      <c r="L2431" s="7" t="s">
        <v>991</v>
      </c>
      <c r="M2431" s="7" t="s">
        <v>3531</v>
      </c>
      <c r="N2431" s="7" t="s">
        <v>3724</v>
      </c>
      <c r="O2431" s="7" t="s">
        <v>3725</v>
      </c>
      <c r="P2431" s="7" t="s">
        <v>3493</v>
      </c>
      <c r="Q2431" s="7">
        <v>1.0</v>
      </c>
    </row>
    <row r="2432">
      <c r="A2432" s="7" t="s">
        <v>17743</v>
      </c>
      <c r="B2432" s="7">
        <v>3000727.0</v>
      </c>
      <c r="C2432" s="7" t="s">
        <v>4663</v>
      </c>
      <c r="D2432" s="7" t="s">
        <v>17744</v>
      </c>
      <c r="E2432" s="7" t="s">
        <v>4665</v>
      </c>
      <c r="F2432" s="7" t="s">
        <v>4203</v>
      </c>
      <c r="G2432" s="7" t="s">
        <v>17745</v>
      </c>
      <c r="H2432" s="7" t="s">
        <v>17746</v>
      </c>
      <c r="I2432" s="119">
        <v>45793.0</v>
      </c>
      <c r="K2432" s="7" t="s">
        <v>419</v>
      </c>
      <c r="L2432" s="7" t="s">
        <v>991</v>
      </c>
      <c r="M2432" s="7" t="s">
        <v>3501</v>
      </c>
      <c r="N2432" s="7" t="s">
        <v>7417</v>
      </c>
      <c r="O2432" s="7" t="s">
        <v>7418</v>
      </c>
      <c r="P2432" s="7" t="s">
        <v>3493</v>
      </c>
      <c r="Q2432" s="7">
        <v>1.0</v>
      </c>
    </row>
    <row r="2433">
      <c r="A2433" s="7" t="s">
        <v>17747</v>
      </c>
      <c r="B2433" s="7">
        <v>3000733.0</v>
      </c>
      <c r="C2433" s="7" t="s">
        <v>17748</v>
      </c>
      <c r="D2433" s="7" t="s">
        <v>17749</v>
      </c>
      <c r="E2433" s="7" t="s">
        <v>17750</v>
      </c>
      <c r="F2433" s="7" t="s">
        <v>6231</v>
      </c>
      <c r="G2433" s="7" t="s">
        <v>17751</v>
      </c>
      <c r="H2433" s="7" t="s">
        <v>17752</v>
      </c>
      <c r="I2433" s="119">
        <v>45793.0</v>
      </c>
      <c r="K2433" s="7" t="s">
        <v>419</v>
      </c>
      <c r="L2433" s="7" t="s">
        <v>991</v>
      </c>
      <c r="M2433" s="7" t="s">
        <v>3501</v>
      </c>
      <c r="N2433" s="7" t="s">
        <v>6595</v>
      </c>
      <c r="O2433" s="7" t="s">
        <v>6596</v>
      </c>
      <c r="P2433" s="7" t="s">
        <v>3493</v>
      </c>
      <c r="Q2433" s="7">
        <v>1.0</v>
      </c>
    </row>
    <row r="2434">
      <c r="A2434" s="7" t="s">
        <v>17753</v>
      </c>
      <c r="B2434" s="7">
        <v>3000772.0</v>
      </c>
      <c r="C2434" s="7" t="s">
        <v>5853</v>
      </c>
      <c r="D2434" s="7" t="s">
        <v>17754</v>
      </c>
      <c r="E2434" s="7" t="s">
        <v>5855</v>
      </c>
      <c r="F2434" s="7" t="s">
        <v>17755</v>
      </c>
      <c r="G2434" s="7" t="s">
        <v>17756</v>
      </c>
      <c r="H2434" s="7" t="s">
        <v>17757</v>
      </c>
      <c r="I2434" s="119">
        <v>45793.0</v>
      </c>
      <c r="K2434" s="7" t="s">
        <v>419</v>
      </c>
      <c r="L2434" s="7" t="s">
        <v>991</v>
      </c>
      <c r="M2434" s="7" t="s">
        <v>3531</v>
      </c>
      <c r="N2434" s="7" t="s">
        <v>3769</v>
      </c>
      <c r="O2434" s="7" t="s">
        <v>5454</v>
      </c>
      <c r="P2434" s="7" t="s">
        <v>3493</v>
      </c>
      <c r="Q2434" s="7">
        <v>1.0</v>
      </c>
    </row>
    <row r="2435">
      <c r="A2435" s="7" t="s">
        <v>17758</v>
      </c>
      <c r="B2435" s="7">
        <v>3000775.0</v>
      </c>
      <c r="C2435" s="7" t="s">
        <v>17759</v>
      </c>
      <c r="D2435" s="7" t="s">
        <v>17760</v>
      </c>
      <c r="E2435" s="7" t="s">
        <v>8285</v>
      </c>
      <c r="F2435" s="7" t="s">
        <v>6408</v>
      </c>
      <c r="G2435" s="7" t="s">
        <v>17761</v>
      </c>
      <c r="H2435" s="7" t="s">
        <v>17762</v>
      </c>
      <c r="I2435" s="119">
        <v>45793.0</v>
      </c>
      <c r="K2435" s="7" t="s">
        <v>419</v>
      </c>
      <c r="L2435" s="7" t="s">
        <v>991</v>
      </c>
      <c r="M2435" s="7" t="s">
        <v>3531</v>
      </c>
      <c r="N2435" s="7" t="s">
        <v>5111</v>
      </c>
      <c r="O2435" s="7" t="s">
        <v>5112</v>
      </c>
      <c r="P2435" s="7" t="s">
        <v>3493</v>
      </c>
      <c r="Q2435" s="7">
        <v>1.0</v>
      </c>
    </row>
    <row r="2436">
      <c r="A2436" s="7" t="s">
        <v>17763</v>
      </c>
      <c r="B2436" s="7">
        <v>3000788.0</v>
      </c>
      <c r="C2436" s="7" t="s">
        <v>8284</v>
      </c>
      <c r="D2436" s="7" t="s">
        <v>17764</v>
      </c>
      <c r="E2436" s="7" t="s">
        <v>8285</v>
      </c>
      <c r="F2436" s="7" t="s">
        <v>17765</v>
      </c>
      <c r="G2436" s="7" t="s">
        <v>17766</v>
      </c>
      <c r="H2436" s="7" t="s">
        <v>17767</v>
      </c>
      <c r="I2436" s="119">
        <v>45793.0</v>
      </c>
      <c r="K2436" s="7" t="s">
        <v>419</v>
      </c>
      <c r="L2436" s="7" t="s">
        <v>991</v>
      </c>
      <c r="M2436" s="7" t="s">
        <v>3531</v>
      </c>
      <c r="N2436" s="7" t="s">
        <v>5746</v>
      </c>
      <c r="O2436" s="7" t="s">
        <v>5747</v>
      </c>
      <c r="P2436" s="7" t="s">
        <v>3493</v>
      </c>
      <c r="Q2436" s="7">
        <v>1.0</v>
      </c>
    </row>
    <row r="2437">
      <c r="A2437" s="7" t="s">
        <v>17768</v>
      </c>
      <c r="B2437" s="7">
        <v>3000777.0</v>
      </c>
      <c r="C2437" s="7" t="s">
        <v>14829</v>
      </c>
      <c r="D2437" s="7" t="s">
        <v>17769</v>
      </c>
      <c r="E2437" s="7" t="s">
        <v>8778</v>
      </c>
      <c r="F2437" s="7" t="s">
        <v>3748</v>
      </c>
      <c r="G2437" s="7" t="s">
        <v>17770</v>
      </c>
      <c r="H2437" s="7" t="s">
        <v>17771</v>
      </c>
      <c r="I2437" s="119">
        <v>45793.0</v>
      </c>
      <c r="K2437" s="7" t="s">
        <v>419</v>
      </c>
      <c r="L2437" s="7" t="s">
        <v>991</v>
      </c>
      <c r="M2437" s="7" t="s">
        <v>3531</v>
      </c>
      <c r="N2437" s="7" t="s">
        <v>12739</v>
      </c>
      <c r="O2437" s="7" t="s">
        <v>12740</v>
      </c>
      <c r="P2437" s="7" t="s">
        <v>3493</v>
      </c>
      <c r="Q2437" s="7">
        <v>1.0</v>
      </c>
    </row>
    <row r="2438">
      <c r="A2438" s="7" t="s">
        <v>17772</v>
      </c>
      <c r="B2438" s="7">
        <v>3000773.0</v>
      </c>
      <c r="C2438" s="7" t="s">
        <v>9461</v>
      </c>
      <c r="D2438" s="7" t="s">
        <v>17773</v>
      </c>
      <c r="E2438" s="7" t="s">
        <v>9463</v>
      </c>
      <c r="F2438" s="7" t="s">
        <v>13666</v>
      </c>
      <c r="G2438" s="7" t="s">
        <v>17774</v>
      </c>
      <c r="H2438" s="7" t="s">
        <v>17775</v>
      </c>
      <c r="I2438" s="119">
        <v>45793.0</v>
      </c>
      <c r="K2438" s="7" t="s">
        <v>419</v>
      </c>
      <c r="L2438" s="7" t="s">
        <v>991</v>
      </c>
      <c r="M2438" s="7" t="s">
        <v>3531</v>
      </c>
      <c r="N2438" s="7" t="s">
        <v>9255</v>
      </c>
      <c r="O2438" s="7" t="s">
        <v>17776</v>
      </c>
      <c r="P2438" s="7" t="s">
        <v>3493</v>
      </c>
      <c r="Q2438" s="7">
        <v>1.0</v>
      </c>
    </row>
    <row r="2439">
      <c r="A2439" s="7" t="s">
        <v>17777</v>
      </c>
      <c r="B2439" s="7">
        <v>3000774.0</v>
      </c>
      <c r="C2439" s="7" t="s">
        <v>13182</v>
      </c>
      <c r="D2439" s="7" t="s">
        <v>17778</v>
      </c>
      <c r="E2439" s="7" t="s">
        <v>17779</v>
      </c>
      <c r="F2439" s="7" t="s">
        <v>5058</v>
      </c>
      <c r="G2439" s="7" t="s">
        <v>17780</v>
      </c>
      <c r="H2439" s="7" t="s">
        <v>17781</v>
      </c>
      <c r="I2439" s="119">
        <v>45793.0</v>
      </c>
      <c r="K2439" s="7" t="s">
        <v>3632</v>
      </c>
      <c r="L2439" s="7" t="s">
        <v>991</v>
      </c>
      <c r="M2439" s="7" t="s">
        <v>3866</v>
      </c>
      <c r="N2439" s="7" t="s">
        <v>4576</v>
      </c>
      <c r="O2439" s="7" t="s">
        <v>17782</v>
      </c>
      <c r="P2439" s="7" t="s">
        <v>3522</v>
      </c>
      <c r="Q2439" s="7" t="s">
        <v>3523</v>
      </c>
    </row>
    <row r="2440">
      <c r="A2440" s="7" t="s">
        <v>17783</v>
      </c>
      <c r="B2440" s="7">
        <v>3000767.0</v>
      </c>
      <c r="C2440" s="7" t="s">
        <v>13851</v>
      </c>
      <c r="D2440" s="7" t="s">
        <v>17784</v>
      </c>
      <c r="E2440" s="7" t="s">
        <v>13853</v>
      </c>
      <c r="F2440" s="7" t="s">
        <v>9902</v>
      </c>
      <c r="G2440" s="7" t="s">
        <v>17785</v>
      </c>
      <c r="H2440" s="7" t="s">
        <v>17786</v>
      </c>
      <c r="I2440" s="119">
        <v>45793.0</v>
      </c>
      <c r="K2440" s="7" t="s">
        <v>419</v>
      </c>
      <c r="L2440" s="7" t="s">
        <v>991</v>
      </c>
      <c r="M2440" s="7" t="s">
        <v>3583</v>
      </c>
      <c r="N2440" s="7" t="s">
        <v>10818</v>
      </c>
      <c r="O2440" s="7" t="s">
        <v>10819</v>
      </c>
      <c r="P2440" s="7" t="s">
        <v>3493</v>
      </c>
      <c r="Q2440" s="7">
        <v>1.0</v>
      </c>
    </row>
    <row r="2441">
      <c r="A2441" s="7" t="s">
        <v>17787</v>
      </c>
      <c r="B2441" s="7">
        <v>3000770.0</v>
      </c>
      <c r="C2441" s="7" t="s">
        <v>17788</v>
      </c>
      <c r="D2441" s="7" t="s">
        <v>17789</v>
      </c>
      <c r="E2441" s="7" t="s">
        <v>17790</v>
      </c>
      <c r="F2441" s="7" t="s">
        <v>17791</v>
      </c>
      <c r="G2441" s="7" t="s">
        <v>17792</v>
      </c>
      <c r="H2441" s="7" t="s">
        <v>17793</v>
      </c>
      <c r="I2441" s="119">
        <v>45793.0</v>
      </c>
      <c r="K2441" s="7" t="s">
        <v>3632</v>
      </c>
      <c r="L2441" s="7" t="s">
        <v>991</v>
      </c>
      <c r="M2441" s="7" t="s">
        <v>3531</v>
      </c>
      <c r="N2441" s="7" t="s">
        <v>6615</v>
      </c>
      <c r="O2441" s="7" t="s">
        <v>17794</v>
      </c>
      <c r="P2441" s="7" t="s">
        <v>3493</v>
      </c>
      <c r="Q2441" s="7">
        <v>1.0</v>
      </c>
    </row>
    <row r="2442">
      <c r="A2442" s="7" t="s">
        <v>17795</v>
      </c>
      <c r="B2442" s="7">
        <v>3000807.0</v>
      </c>
      <c r="C2442" s="7" t="s">
        <v>17796</v>
      </c>
      <c r="D2442" s="7" t="s">
        <v>17797</v>
      </c>
      <c r="E2442" s="7" t="s">
        <v>17798</v>
      </c>
      <c r="F2442" s="7" t="s">
        <v>5514</v>
      </c>
      <c r="G2442" s="7" t="s">
        <v>17799</v>
      </c>
      <c r="H2442" s="7" t="s">
        <v>17800</v>
      </c>
      <c r="I2442" s="119">
        <v>45809.0</v>
      </c>
      <c r="K2442" s="7" t="s">
        <v>419</v>
      </c>
      <c r="L2442" s="7" t="s">
        <v>991</v>
      </c>
      <c r="M2442" s="7" t="s">
        <v>3531</v>
      </c>
      <c r="N2442" s="7" t="s">
        <v>4265</v>
      </c>
      <c r="O2442" s="7" t="s">
        <v>4266</v>
      </c>
      <c r="P2442" s="7" t="s">
        <v>3493</v>
      </c>
      <c r="Q2442" s="7">
        <v>1.0</v>
      </c>
    </row>
    <row r="2443">
      <c r="A2443" s="7" t="s">
        <v>17801</v>
      </c>
      <c r="B2443" s="7">
        <v>3000765.0</v>
      </c>
      <c r="C2443" s="7" t="s">
        <v>3861</v>
      </c>
      <c r="D2443" s="7" t="s">
        <v>17802</v>
      </c>
      <c r="E2443" s="7" t="s">
        <v>3863</v>
      </c>
      <c r="F2443" s="7" t="s">
        <v>7492</v>
      </c>
      <c r="G2443" s="7" t="s">
        <v>17803</v>
      </c>
      <c r="H2443" s="7" t="s">
        <v>17804</v>
      </c>
      <c r="I2443" s="119">
        <v>45809.0</v>
      </c>
      <c r="K2443" s="7" t="s">
        <v>419</v>
      </c>
      <c r="L2443" s="7" t="s">
        <v>991</v>
      </c>
      <c r="M2443" s="7" t="s">
        <v>3501</v>
      </c>
      <c r="N2443" s="7" t="s">
        <v>5505</v>
      </c>
      <c r="O2443" s="7" t="s">
        <v>5506</v>
      </c>
      <c r="P2443" s="7" t="s">
        <v>3493</v>
      </c>
      <c r="Q2443" s="7">
        <v>1.0</v>
      </c>
    </row>
    <row r="2444">
      <c r="A2444" s="7" t="s">
        <v>17805</v>
      </c>
      <c r="B2444" s="7">
        <v>3000818.0</v>
      </c>
      <c r="C2444" s="7" t="s">
        <v>17806</v>
      </c>
      <c r="D2444" s="7" t="s">
        <v>4699</v>
      </c>
      <c r="E2444" s="7" t="s">
        <v>17807</v>
      </c>
      <c r="F2444" s="7" t="s">
        <v>4700</v>
      </c>
      <c r="G2444" s="7" t="s">
        <v>17808</v>
      </c>
      <c r="H2444" s="7" t="s">
        <v>17809</v>
      </c>
      <c r="I2444" s="119">
        <v>45809.0</v>
      </c>
      <c r="K2444" s="7" t="s">
        <v>419</v>
      </c>
      <c r="L2444" s="7" t="s">
        <v>991</v>
      </c>
      <c r="M2444" s="7" t="s">
        <v>3531</v>
      </c>
      <c r="N2444" s="7" t="s">
        <v>5780</v>
      </c>
      <c r="O2444" s="7" t="s">
        <v>5781</v>
      </c>
      <c r="P2444" s="7" t="s">
        <v>3493</v>
      </c>
      <c r="Q2444" s="7">
        <v>1.0</v>
      </c>
    </row>
    <row r="2445">
      <c r="A2445" s="7" t="s">
        <v>17810</v>
      </c>
      <c r="B2445" s="7">
        <v>3000800.0</v>
      </c>
      <c r="C2445" s="7" t="s">
        <v>4887</v>
      </c>
      <c r="D2445" s="7" t="s">
        <v>17811</v>
      </c>
      <c r="E2445" s="7" t="s">
        <v>4888</v>
      </c>
      <c r="F2445" s="7" t="s">
        <v>4172</v>
      </c>
      <c r="G2445" s="7" t="s">
        <v>17812</v>
      </c>
      <c r="H2445" s="7" t="s">
        <v>17813</v>
      </c>
      <c r="I2445" s="119">
        <v>45809.0</v>
      </c>
      <c r="K2445" s="7" t="s">
        <v>419</v>
      </c>
      <c r="L2445" s="7" t="s">
        <v>991</v>
      </c>
      <c r="M2445" s="7" t="s">
        <v>3531</v>
      </c>
      <c r="N2445" s="7" t="s">
        <v>14478</v>
      </c>
      <c r="O2445" s="7" t="s">
        <v>14479</v>
      </c>
      <c r="P2445" s="7" t="s">
        <v>3493</v>
      </c>
      <c r="Q2445" s="7">
        <v>1.0</v>
      </c>
    </row>
    <row r="2446">
      <c r="A2446" s="7" t="s">
        <v>17814</v>
      </c>
      <c r="B2446" s="7">
        <v>3000796.0</v>
      </c>
      <c r="C2446" s="7" t="s">
        <v>17815</v>
      </c>
      <c r="D2446" s="7" t="s">
        <v>17816</v>
      </c>
      <c r="E2446" s="7" t="s">
        <v>6024</v>
      </c>
      <c r="F2446" s="7" t="s">
        <v>17817</v>
      </c>
      <c r="G2446" s="7" t="s">
        <v>17818</v>
      </c>
      <c r="H2446" s="7" t="s">
        <v>17819</v>
      </c>
      <c r="I2446" s="119">
        <v>45809.0</v>
      </c>
      <c r="K2446" s="7" t="s">
        <v>419</v>
      </c>
      <c r="L2446" s="7" t="s">
        <v>991</v>
      </c>
      <c r="M2446" s="7" t="s">
        <v>3583</v>
      </c>
      <c r="N2446" s="7" t="s">
        <v>4862</v>
      </c>
      <c r="O2446" s="7" t="s">
        <v>4863</v>
      </c>
      <c r="P2446" s="7" t="s">
        <v>3493</v>
      </c>
      <c r="Q2446" s="7">
        <v>1.0</v>
      </c>
    </row>
    <row r="2447">
      <c r="A2447" s="7" t="s">
        <v>17820</v>
      </c>
      <c r="B2447" s="7">
        <v>3000700.0</v>
      </c>
      <c r="C2447" s="7" t="s">
        <v>6598</v>
      </c>
      <c r="D2447" s="7" t="s">
        <v>4626</v>
      </c>
      <c r="E2447" s="7" t="s">
        <v>6611</v>
      </c>
      <c r="F2447" s="7" t="s">
        <v>8682</v>
      </c>
      <c r="G2447" s="7" t="s">
        <v>17821</v>
      </c>
      <c r="H2447" s="7" t="s">
        <v>17822</v>
      </c>
      <c r="I2447" s="119">
        <v>45809.0</v>
      </c>
      <c r="K2447" s="7" t="s">
        <v>419</v>
      </c>
      <c r="L2447" s="7" t="s">
        <v>991</v>
      </c>
      <c r="M2447" s="7" t="s">
        <v>3501</v>
      </c>
      <c r="N2447" s="7" t="s">
        <v>10645</v>
      </c>
      <c r="O2447" s="7" t="s">
        <v>11498</v>
      </c>
      <c r="P2447" s="7" t="s">
        <v>3493</v>
      </c>
      <c r="Q2447" s="7">
        <v>1.0</v>
      </c>
    </row>
    <row r="2448">
      <c r="A2448" s="7" t="s">
        <v>17823</v>
      </c>
      <c r="B2448" s="7">
        <v>3000811.0</v>
      </c>
      <c r="C2448" s="7" t="s">
        <v>7368</v>
      </c>
      <c r="D2448" s="7" t="s">
        <v>17824</v>
      </c>
      <c r="E2448" s="7" t="s">
        <v>7370</v>
      </c>
      <c r="F2448" s="7" t="s">
        <v>17696</v>
      </c>
      <c r="G2448" s="7" t="s">
        <v>17825</v>
      </c>
      <c r="H2448" s="7" t="s">
        <v>17826</v>
      </c>
      <c r="I2448" s="119">
        <v>45809.0</v>
      </c>
      <c r="K2448" s="7" t="s">
        <v>3642</v>
      </c>
      <c r="L2448" s="7" t="s">
        <v>991</v>
      </c>
      <c r="M2448" s="7" t="s">
        <v>3501</v>
      </c>
      <c r="N2448" s="7" t="s">
        <v>3643</v>
      </c>
      <c r="O2448" s="7" t="s">
        <v>3644</v>
      </c>
      <c r="P2448" s="7" t="s">
        <v>3493</v>
      </c>
      <c r="Q2448" s="7">
        <v>1.0</v>
      </c>
    </row>
    <row r="2449">
      <c r="A2449" s="7" t="s">
        <v>17827</v>
      </c>
      <c r="B2449" s="7">
        <v>3000790.0</v>
      </c>
      <c r="C2449" s="7" t="s">
        <v>17828</v>
      </c>
      <c r="D2449" s="7" t="s">
        <v>8975</v>
      </c>
      <c r="E2449" s="7" t="s">
        <v>17829</v>
      </c>
      <c r="F2449" s="7" t="s">
        <v>4967</v>
      </c>
      <c r="G2449" s="7" t="s">
        <v>17830</v>
      </c>
      <c r="H2449" s="7" t="s">
        <v>17831</v>
      </c>
      <c r="I2449" s="119">
        <v>45809.0</v>
      </c>
      <c r="K2449" s="7" t="s">
        <v>419</v>
      </c>
      <c r="L2449" s="7" t="s">
        <v>991</v>
      </c>
      <c r="M2449" s="7" t="s">
        <v>3583</v>
      </c>
      <c r="N2449" s="7" t="s">
        <v>9686</v>
      </c>
      <c r="O2449" s="7" t="s">
        <v>17832</v>
      </c>
      <c r="P2449" s="7" t="s">
        <v>8520</v>
      </c>
      <c r="Q2449" s="7" t="s">
        <v>17833</v>
      </c>
    </row>
    <row r="2450">
      <c r="A2450" s="7" t="s">
        <v>17834</v>
      </c>
      <c r="B2450" s="7">
        <v>3000805.0</v>
      </c>
      <c r="C2450" s="7" t="s">
        <v>7848</v>
      </c>
      <c r="D2450" s="7" t="s">
        <v>14120</v>
      </c>
      <c r="E2450" s="7" t="s">
        <v>7849</v>
      </c>
      <c r="F2450" s="7" t="s">
        <v>3792</v>
      </c>
      <c r="G2450" s="7" t="s">
        <v>17835</v>
      </c>
      <c r="H2450" s="7" t="s">
        <v>17836</v>
      </c>
      <c r="I2450" s="119">
        <v>45809.0</v>
      </c>
      <c r="K2450" s="7" t="s">
        <v>419</v>
      </c>
      <c r="L2450" s="7" t="s">
        <v>991</v>
      </c>
      <c r="M2450" s="7" t="s">
        <v>3531</v>
      </c>
      <c r="N2450" s="7" t="s">
        <v>4265</v>
      </c>
      <c r="O2450" s="7" t="s">
        <v>4266</v>
      </c>
      <c r="P2450" s="7" t="s">
        <v>3493</v>
      </c>
      <c r="Q2450" s="7">
        <v>1.0</v>
      </c>
    </row>
    <row r="2451">
      <c r="A2451" s="7" t="s">
        <v>17837</v>
      </c>
      <c r="B2451" s="7">
        <v>3000823.0</v>
      </c>
      <c r="C2451" s="7" t="s">
        <v>8082</v>
      </c>
      <c r="D2451" s="7" t="s">
        <v>17838</v>
      </c>
      <c r="E2451" s="7" t="s">
        <v>8074</v>
      </c>
      <c r="F2451" s="7" t="s">
        <v>12435</v>
      </c>
      <c r="G2451" s="7" t="s">
        <v>17839</v>
      </c>
      <c r="H2451" s="7" t="s">
        <v>17840</v>
      </c>
      <c r="I2451" s="119">
        <v>45809.0</v>
      </c>
      <c r="K2451" s="7" t="s">
        <v>419</v>
      </c>
      <c r="L2451" s="7" t="s">
        <v>991</v>
      </c>
      <c r="M2451" s="7" t="s">
        <v>3531</v>
      </c>
      <c r="N2451" s="7" t="s">
        <v>10476</v>
      </c>
      <c r="O2451" s="7" t="s">
        <v>17630</v>
      </c>
      <c r="P2451" s="7" t="s">
        <v>3493</v>
      </c>
      <c r="Q2451" s="7">
        <v>1.0</v>
      </c>
    </row>
    <row r="2452">
      <c r="A2452" s="7" t="s">
        <v>17841</v>
      </c>
      <c r="B2452" s="7">
        <v>3000797.0</v>
      </c>
      <c r="C2452" s="7" t="s">
        <v>8089</v>
      </c>
      <c r="D2452" s="7" t="s">
        <v>17842</v>
      </c>
      <c r="E2452" s="7" t="s">
        <v>8074</v>
      </c>
      <c r="F2452" s="7" t="s">
        <v>11235</v>
      </c>
      <c r="G2452" s="7" t="s">
        <v>17843</v>
      </c>
      <c r="H2452" s="7" t="s">
        <v>17844</v>
      </c>
      <c r="I2452" s="119">
        <v>45809.0</v>
      </c>
      <c r="K2452" s="7" t="s">
        <v>419</v>
      </c>
      <c r="L2452" s="7" t="s">
        <v>991</v>
      </c>
      <c r="M2452" s="7" t="s">
        <v>3583</v>
      </c>
      <c r="N2452" s="7" t="s">
        <v>14964</v>
      </c>
      <c r="O2452" s="7" t="s">
        <v>17845</v>
      </c>
      <c r="P2452" s="7" t="s">
        <v>8086</v>
      </c>
      <c r="Q2452" s="7" t="s">
        <v>7940</v>
      </c>
    </row>
    <row r="2453">
      <c r="A2453" s="7" t="s">
        <v>17846</v>
      </c>
      <c r="B2453" s="7">
        <v>3000822.0</v>
      </c>
      <c r="C2453" s="7" t="s">
        <v>8284</v>
      </c>
      <c r="D2453" s="7" t="s">
        <v>17847</v>
      </c>
      <c r="E2453" s="7" t="s">
        <v>8285</v>
      </c>
      <c r="F2453" s="7" t="s">
        <v>6509</v>
      </c>
      <c r="G2453" s="7" t="s">
        <v>17848</v>
      </c>
      <c r="H2453" s="7" t="s">
        <v>17849</v>
      </c>
      <c r="I2453" s="119">
        <v>45809.0</v>
      </c>
      <c r="K2453" s="7" t="s">
        <v>419</v>
      </c>
      <c r="L2453" s="7" t="s">
        <v>991</v>
      </c>
      <c r="M2453" s="7" t="s">
        <v>3531</v>
      </c>
      <c r="N2453" s="7" t="s">
        <v>10476</v>
      </c>
      <c r="O2453" s="7" t="s">
        <v>17630</v>
      </c>
      <c r="P2453" s="7" t="s">
        <v>3493</v>
      </c>
      <c r="Q2453" s="7">
        <v>1.0</v>
      </c>
    </row>
    <row r="2454">
      <c r="A2454" s="7" t="s">
        <v>17850</v>
      </c>
      <c r="B2454" s="7">
        <v>3000732.0</v>
      </c>
      <c r="C2454" s="7" t="s">
        <v>8429</v>
      </c>
      <c r="D2454" s="7" t="s">
        <v>17851</v>
      </c>
      <c r="E2454" s="7" t="s">
        <v>8431</v>
      </c>
      <c r="F2454" s="7" t="s">
        <v>9975</v>
      </c>
      <c r="G2454" s="7" t="s">
        <v>17852</v>
      </c>
      <c r="H2454" s="7" t="s">
        <v>17853</v>
      </c>
      <c r="I2454" s="119">
        <v>45809.0</v>
      </c>
      <c r="K2454" s="7" t="s">
        <v>3541</v>
      </c>
      <c r="L2454" s="7" t="s">
        <v>3542</v>
      </c>
      <c r="M2454" s="7" t="s">
        <v>3543</v>
      </c>
      <c r="N2454" s="7" t="s">
        <v>3544</v>
      </c>
      <c r="O2454" s="7" t="s">
        <v>17854</v>
      </c>
      <c r="P2454" s="7" t="s">
        <v>3522</v>
      </c>
      <c r="Q2454" s="7" t="s">
        <v>3523</v>
      </c>
    </row>
    <row r="2455">
      <c r="A2455" s="7" t="s">
        <v>17855</v>
      </c>
      <c r="B2455" s="7">
        <v>3000791.0</v>
      </c>
      <c r="C2455" s="7" t="s">
        <v>8429</v>
      </c>
      <c r="D2455" s="7" t="s">
        <v>17856</v>
      </c>
      <c r="E2455" s="7" t="s">
        <v>8431</v>
      </c>
      <c r="F2455" s="7" t="s">
        <v>8668</v>
      </c>
      <c r="G2455" s="7" t="s">
        <v>17857</v>
      </c>
      <c r="H2455" s="7" t="s">
        <v>17858</v>
      </c>
      <c r="I2455" s="119">
        <v>45809.0</v>
      </c>
      <c r="K2455" s="7" t="s">
        <v>419</v>
      </c>
      <c r="L2455" s="7" t="s">
        <v>991</v>
      </c>
      <c r="M2455" s="7" t="s">
        <v>3490</v>
      </c>
      <c r="N2455" s="7" t="s">
        <v>7662</v>
      </c>
      <c r="O2455" s="7" t="s">
        <v>7663</v>
      </c>
      <c r="P2455" s="7" t="s">
        <v>3493</v>
      </c>
      <c r="Q2455" s="7">
        <v>1.0</v>
      </c>
    </row>
    <row r="2456">
      <c r="A2456" s="7" t="s">
        <v>17859</v>
      </c>
      <c r="B2456" s="7">
        <v>3000808.0</v>
      </c>
      <c r="C2456" s="7" t="s">
        <v>17860</v>
      </c>
      <c r="D2456" s="7" t="s">
        <v>17861</v>
      </c>
      <c r="E2456" s="7" t="s">
        <v>17862</v>
      </c>
      <c r="F2456" s="7" t="s">
        <v>4109</v>
      </c>
      <c r="G2456" s="7" t="s">
        <v>17863</v>
      </c>
      <c r="H2456" s="7" t="s">
        <v>17864</v>
      </c>
      <c r="I2456" s="119">
        <v>45809.0</v>
      </c>
      <c r="K2456" s="7" t="s">
        <v>419</v>
      </c>
      <c r="L2456" s="7" t="s">
        <v>991</v>
      </c>
      <c r="M2456" s="7" t="s">
        <v>3531</v>
      </c>
      <c r="N2456" s="7" t="s">
        <v>7131</v>
      </c>
      <c r="O2456" s="7" t="s">
        <v>7132</v>
      </c>
      <c r="P2456" s="7" t="s">
        <v>3493</v>
      </c>
      <c r="Q2456" s="7">
        <v>1.0</v>
      </c>
    </row>
    <row r="2457">
      <c r="A2457" s="7" t="s">
        <v>17865</v>
      </c>
      <c r="B2457" s="7">
        <v>3000826.0</v>
      </c>
      <c r="C2457" s="7" t="s">
        <v>17866</v>
      </c>
      <c r="D2457" s="7" t="s">
        <v>17867</v>
      </c>
      <c r="E2457" s="7" t="s">
        <v>8183</v>
      </c>
      <c r="F2457" s="7" t="s">
        <v>17868</v>
      </c>
      <c r="G2457" s="7" t="s">
        <v>17869</v>
      </c>
      <c r="H2457" s="7" t="s">
        <v>17870</v>
      </c>
      <c r="I2457" s="119">
        <v>45809.0</v>
      </c>
      <c r="K2457" s="7" t="s">
        <v>419</v>
      </c>
      <c r="L2457" s="7" t="s">
        <v>991</v>
      </c>
      <c r="M2457" s="7" t="s">
        <v>3531</v>
      </c>
      <c r="N2457" s="7" t="s">
        <v>8379</v>
      </c>
      <c r="O2457" s="7" t="s">
        <v>16162</v>
      </c>
      <c r="P2457" s="7" t="s">
        <v>3493</v>
      </c>
      <c r="Q2457" s="7">
        <v>1.0</v>
      </c>
    </row>
    <row r="2458">
      <c r="A2458" s="7" t="s">
        <v>17871</v>
      </c>
      <c r="B2458" s="7">
        <v>3000825.0</v>
      </c>
      <c r="C2458" s="7" t="s">
        <v>17872</v>
      </c>
      <c r="D2458" s="7" t="s">
        <v>17873</v>
      </c>
      <c r="E2458" s="7" t="s">
        <v>17874</v>
      </c>
      <c r="F2458" s="7" t="s">
        <v>9116</v>
      </c>
      <c r="G2458" s="7" t="s">
        <v>17875</v>
      </c>
      <c r="H2458" s="7" t="s">
        <v>17876</v>
      </c>
      <c r="I2458" s="119">
        <v>45809.0</v>
      </c>
      <c r="K2458" s="7" t="s">
        <v>419</v>
      </c>
      <c r="L2458" s="7" t="s">
        <v>991</v>
      </c>
      <c r="M2458" s="7" t="s">
        <v>3531</v>
      </c>
      <c r="N2458" s="7" t="s">
        <v>8379</v>
      </c>
      <c r="O2458" s="7" t="s">
        <v>16162</v>
      </c>
      <c r="P2458" s="7" t="s">
        <v>3493</v>
      </c>
      <c r="Q2458" s="7">
        <v>1.0</v>
      </c>
    </row>
    <row r="2459">
      <c r="A2459" s="7" t="s">
        <v>17877</v>
      </c>
      <c r="B2459" s="7">
        <v>3000809.0</v>
      </c>
      <c r="C2459" s="7" t="s">
        <v>17878</v>
      </c>
      <c r="D2459" s="7" t="s">
        <v>17879</v>
      </c>
      <c r="E2459" s="7" t="s">
        <v>9313</v>
      </c>
      <c r="F2459" s="7" t="s">
        <v>17880</v>
      </c>
      <c r="G2459" s="7" t="s">
        <v>17881</v>
      </c>
      <c r="H2459" s="7" t="s">
        <v>17882</v>
      </c>
      <c r="I2459" s="119">
        <v>45809.0</v>
      </c>
      <c r="K2459" s="7" t="s">
        <v>419</v>
      </c>
      <c r="L2459" s="7" t="s">
        <v>991</v>
      </c>
      <c r="M2459" s="7" t="s">
        <v>3531</v>
      </c>
      <c r="N2459" s="7" t="s">
        <v>8379</v>
      </c>
      <c r="O2459" s="7" t="s">
        <v>16162</v>
      </c>
      <c r="P2459" s="7" t="s">
        <v>3493</v>
      </c>
      <c r="Q2459" s="7">
        <v>1.0</v>
      </c>
    </row>
    <row r="2460">
      <c r="A2460" s="7" t="s">
        <v>17883</v>
      </c>
      <c r="B2460" s="7">
        <v>3000817.0</v>
      </c>
      <c r="C2460" s="7" t="s">
        <v>17884</v>
      </c>
      <c r="D2460" s="7" t="s">
        <v>4965</v>
      </c>
      <c r="E2460" s="7" t="s">
        <v>17885</v>
      </c>
      <c r="F2460" s="7" t="s">
        <v>4967</v>
      </c>
      <c r="G2460" s="7" t="s">
        <v>17886</v>
      </c>
      <c r="H2460" s="7" t="s">
        <v>17887</v>
      </c>
      <c r="I2460" s="119">
        <v>45809.0</v>
      </c>
      <c r="K2460" s="7" t="s">
        <v>3642</v>
      </c>
      <c r="L2460" s="7" t="s">
        <v>991</v>
      </c>
      <c r="M2460" s="7" t="s">
        <v>3531</v>
      </c>
      <c r="N2460" s="7" t="s">
        <v>3643</v>
      </c>
      <c r="O2460" s="7" t="s">
        <v>3644</v>
      </c>
      <c r="P2460" s="7" t="s">
        <v>3493</v>
      </c>
      <c r="Q2460" s="7">
        <v>1.0</v>
      </c>
    </row>
    <row r="2461">
      <c r="A2461" s="7" t="s">
        <v>17888</v>
      </c>
      <c r="B2461" s="7">
        <v>3000798.0</v>
      </c>
      <c r="C2461" s="7" t="s">
        <v>17889</v>
      </c>
      <c r="D2461" s="7" t="s">
        <v>10287</v>
      </c>
      <c r="E2461" s="7" t="s">
        <v>17890</v>
      </c>
      <c r="F2461" s="7" t="s">
        <v>4751</v>
      </c>
      <c r="G2461" s="7" t="s">
        <v>17891</v>
      </c>
      <c r="H2461" s="7" t="s">
        <v>17892</v>
      </c>
      <c r="I2461" s="119">
        <v>45809.0</v>
      </c>
      <c r="K2461" s="7" t="s">
        <v>419</v>
      </c>
      <c r="L2461" s="7" t="s">
        <v>991</v>
      </c>
      <c r="M2461" s="7" t="s">
        <v>3531</v>
      </c>
      <c r="N2461" s="7" t="s">
        <v>4444</v>
      </c>
      <c r="O2461" s="7" t="s">
        <v>4445</v>
      </c>
      <c r="P2461" s="7" t="s">
        <v>3493</v>
      </c>
      <c r="Q2461" s="7">
        <v>1.0</v>
      </c>
    </row>
    <row r="2462">
      <c r="A2462" s="7" t="s">
        <v>17893</v>
      </c>
      <c r="B2462" s="7">
        <v>3000813.0</v>
      </c>
      <c r="C2462" s="7" t="s">
        <v>17894</v>
      </c>
      <c r="D2462" s="7" t="s">
        <v>17895</v>
      </c>
      <c r="E2462" s="7" t="s">
        <v>17896</v>
      </c>
      <c r="F2462" s="7" t="s">
        <v>5683</v>
      </c>
      <c r="G2462" s="7" t="s">
        <v>17897</v>
      </c>
      <c r="H2462" s="7" t="s">
        <v>17898</v>
      </c>
      <c r="I2462" s="119">
        <v>45809.0</v>
      </c>
      <c r="K2462" s="7" t="s">
        <v>3632</v>
      </c>
      <c r="L2462" s="7" t="s">
        <v>991</v>
      </c>
      <c r="M2462" s="7" t="s">
        <v>3531</v>
      </c>
      <c r="N2462" s="7" t="s">
        <v>5990</v>
      </c>
      <c r="O2462" s="7" t="s">
        <v>16864</v>
      </c>
      <c r="P2462" s="7" t="s">
        <v>3522</v>
      </c>
      <c r="Q2462" s="7" t="s">
        <v>3523</v>
      </c>
    </row>
    <row r="2463">
      <c r="A2463" s="7" t="s">
        <v>17899</v>
      </c>
      <c r="B2463" s="7">
        <v>3000824.0</v>
      </c>
      <c r="C2463" s="7" t="s">
        <v>17900</v>
      </c>
      <c r="D2463" s="7" t="s">
        <v>17901</v>
      </c>
      <c r="E2463" s="7" t="s">
        <v>17902</v>
      </c>
      <c r="F2463" s="7" t="s">
        <v>3549</v>
      </c>
      <c r="G2463" s="7" t="s">
        <v>17903</v>
      </c>
      <c r="H2463" s="7" t="s">
        <v>17904</v>
      </c>
      <c r="I2463" s="119">
        <v>45809.0</v>
      </c>
      <c r="K2463" s="7" t="s">
        <v>419</v>
      </c>
      <c r="L2463" s="7" t="s">
        <v>991</v>
      </c>
      <c r="M2463" s="7" t="s">
        <v>3531</v>
      </c>
      <c r="N2463" s="7" t="s">
        <v>7947</v>
      </c>
      <c r="O2463" s="7" t="s">
        <v>7948</v>
      </c>
      <c r="P2463" s="7" t="s">
        <v>3493</v>
      </c>
      <c r="Q2463" s="7">
        <v>1.0</v>
      </c>
    </row>
    <row r="2464">
      <c r="A2464" s="7" t="s">
        <v>17905</v>
      </c>
      <c r="B2464" s="7">
        <v>3000799.0</v>
      </c>
      <c r="C2464" s="7" t="s">
        <v>17900</v>
      </c>
      <c r="D2464" s="7" t="s">
        <v>17906</v>
      </c>
      <c r="E2464" s="7" t="s">
        <v>17902</v>
      </c>
      <c r="F2464" s="7" t="s">
        <v>3549</v>
      </c>
      <c r="G2464" s="7" t="s">
        <v>17907</v>
      </c>
      <c r="H2464" s="7" t="s">
        <v>17908</v>
      </c>
      <c r="I2464" s="119">
        <v>45809.0</v>
      </c>
      <c r="K2464" s="7" t="s">
        <v>6439</v>
      </c>
      <c r="L2464" s="7" t="s">
        <v>991</v>
      </c>
      <c r="M2464" s="7" t="s">
        <v>3501</v>
      </c>
      <c r="N2464" s="7" t="s">
        <v>6440</v>
      </c>
      <c r="O2464" s="7" t="s">
        <v>6441</v>
      </c>
      <c r="P2464" s="7" t="s">
        <v>3493</v>
      </c>
      <c r="Q2464" s="7">
        <v>1.0</v>
      </c>
    </row>
    <row r="2465">
      <c r="A2465" s="7" t="s">
        <v>17909</v>
      </c>
      <c r="B2465" s="7">
        <v>3000820.0</v>
      </c>
      <c r="C2465" s="7" t="s">
        <v>17910</v>
      </c>
      <c r="D2465" s="7" t="s">
        <v>17911</v>
      </c>
      <c r="E2465" s="7" t="s">
        <v>15639</v>
      </c>
      <c r="F2465" s="7" t="s">
        <v>7971</v>
      </c>
      <c r="G2465" s="7" t="s">
        <v>17912</v>
      </c>
      <c r="H2465" s="7" t="s">
        <v>17913</v>
      </c>
      <c r="I2465" s="119">
        <v>45809.0</v>
      </c>
      <c r="K2465" s="7" t="s">
        <v>419</v>
      </c>
      <c r="L2465" s="7" t="s">
        <v>991</v>
      </c>
      <c r="M2465" s="7" t="s">
        <v>3501</v>
      </c>
      <c r="N2465" s="7" t="s">
        <v>7965</v>
      </c>
      <c r="O2465" s="7" t="s">
        <v>7966</v>
      </c>
      <c r="P2465" s="7" t="s">
        <v>3843</v>
      </c>
      <c r="Q2465" s="7">
        <v>1.0</v>
      </c>
    </row>
    <row r="2466">
      <c r="A2466" s="7" t="s">
        <v>17914</v>
      </c>
      <c r="B2466" s="7">
        <v>3000803.0</v>
      </c>
      <c r="C2466" s="7" t="s">
        <v>11220</v>
      </c>
      <c r="D2466" s="7" t="s">
        <v>17915</v>
      </c>
      <c r="E2466" s="7" t="s">
        <v>11222</v>
      </c>
      <c r="F2466" s="7" t="s">
        <v>3748</v>
      </c>
      <c r="G2466" s="7" t="s">
        <v>17916</v>
      </c>
      <c r="H2466" s="7" t="s">
        <v>17917</v>
      </c>
      <c r="I2466" s="119">
        <v>45809.0</v>
      </c>
      <c r="K2466" s="7" t="s">
        <v>419</v>
      </c>
      <c r="L2466" s="7" t="s">
        <v>991</v>
      </c>
      <c r="M2466" s="7" t="s">
        <v>3531</v>
      </c>
      <c r="N2466" s="7" t="s">
        <v>7288</v>
      </c>
      <c r="O2466" s="7" t="s">
        <v>17918</v>
      </c>
      <c r="P2466" s="7" t="s">
        <v>3493</v>
      </c>
      <c r="Q2466" s="7">
        <v>1.0</v>
      </c>
    </row>
    <row r="2467">
      <c r="A2467" s="7" t="s">
        <v>17919</v>
      </c>
      <c r="B2467" s="7">
        <v>3000815.0</v>
      </c>
      <c r="C2467" s="7" t="s">
        <v>11354</v>
      </c>
      <c r="D2467" s="7" t="s">
        <v>17367</v>
      </c>
      <c r="E2467" s="7" t="s">
        <v>11356</v>
      </c>
      <c r="F2467" s="7" t="s">
        <v>6859</v>
      </c>
      <c r="G2467" s="7" t="s">
        <v>17920</v>
      </c>
      <c r="H2467" s="7" t="s">
        <v>17921</v>
      </c>
      <c r="I2467" s="119">
        <v>45809.0</v>
      </c>
      <c r="K2467" s="7" t="s">
        <v>3642</v>
      </c>
      <c r="L2467" s="7" t="s">
        <v>991</v>
      </c>
      <c r="M2467" s="7" t="s">
        <v>3531</v>
      </c>
      <c r="N2467" s="7" t="s">
        <v>3643</v>
      </c>
      <c r="O2467" s="7" t="s">
        <v>3644</v>
      </c>
      <c r="P2467" s="7" t="s">
        <v>3493</v>
      </c>
      <c r="Q2467" s="7">
        <v>1.0</v>
      </c>
    </row>
    <row r="2468">
      <c r="A2468" s="7" t="s">
        <v>17922</v>
      </c>
      <c r="B2468" s="7">
        <v>3000814.0</v>
      </c>
      <c r="C2468" s="7" t="s">
        <v>17923</v>
      </c>
      <c r="D2468" s="7" t="s">
        <v>17924</v>
      </c>
      <c r="E2468" s="7" t="s">
        <v>17925</v>
      </c>
      <c r="F2468" s="7" t="s">
        <v>8256</v>
      </c>
      <c r="G2468" s="7" t="s">
        <v>17926</v>
      </c>
      <c r="H2468" s="7" t="s">
        <v>17927</v>
      </c>
      <c r="I2468" s="119">
        <v>45809.0</v>
      </c>
      <c r="K2468" s="7" t="s">
        <v>3642</v>
      </c>
      <c r="L2468" s="7" t="s">
        <v>991</v>
      </c>
      <c r="M2468" s="7" t="s">
        <v>3501</v>
      </c>
      <c r="N2468" s="7" t="s">
        <v>3643</v>
      </c>
      <c r="O2468" s="7" t="s">
        <v>3644</v>
      </c>
      <c r="P2468" s="7" t="s">
        <v>3493</v>
      </c>
      <c r="Q2468" s="7">
        <v>1.0</v>
      </c>
    </row>
    <row r="2469">
      <c r="A2469" s="7" t="s">
        <v>17928</v>
      </c>
      <c r="B2469" s="7">
        <v>3000730.0</v>
      </c>
      <c r="C2469" s="7" t="s">
        <v>16952</v>
      </c>
      <c r="D2469" s="7" t="s">
        <v>15231</v>
      </c>
      <c r="E2469" s="7" t="s">
        <v>16954</v>
      </c>
      <c r="F2469" s="7" t="s">
        <v>3580</v>
      </c>
      <c r="G2469" s="7" t="s">
        <v>17929</v>
      </c>
      <c r="H2469" s="7" t="s">
        <v>17930</v>
      </c>
      <c r="I2469" s="119">
        <v>45809.0</v>
      </c>
      <c r="K2469" s="7" t="s">
        <v>419</v>
      </c>
      <c r="L2469" s="7" t="s">
        <v>991</v>
      </c>
      <c r="M2469" s="7" t="s">
        <v>3501</v>
      </c>
      <c r="N2469" s="7" t="s">
        <v>3802</v>
      </c>
      <c r="O2469" s="7" t="s">
        <v>3803</v>
      </c>
      <c r="P2469" s="7" t="s">
        <v>3493</v>
      </c>
      <c r="Q2469" s="7">
        <v>1.0</v>
      </c>
    </row>
    <row r="2470">
      <c r="A2470" s="7" t="s">
        <v>17931</v>
      </c>
      <c r="B2470" s="7">
        <v>3000801.0</v>
      </c>
      <c r="C2470" s="7" t="s">
        <v>12065</v>
      </c>
      <c r="D2470" s="7" t="s">
        <v>15476</v>
      </c>
      <c r="E2470" s="7" t="s">
        <v>12067</v>
      </c>
      <c r="F2470" s="7" t="s">
        <v>15477</v>
      </c>
      <c r="G2470" s="7" t="s">
        <v>17932</v>
      </c>
      <c r="H2470" s="7" t="s">
        <v>17933</v>
      </c>
      <c r="I2470" s="119">
        <v>45809.0</v>
      </c>
      <c r="K2470" s="7" t="s">
        <v>419</v>
      </c>
      <c r="L2470" s="7" t="s">
        <v>991</v>
      </c>
      <c r="M2470" s="7" t="s">
        <v>3531</v>
      </c>
      <c r="N2470" s="7" t="s">
        <v>8583</v>
      </c>
      <c r="O2470" s="7" t="s">
        <v>8584</v>
      </c>
      <c r="P2470" s="7" t="s">
        <v>3493</v>
      </c>
      <c r="Q2470" s="7">
        <v>1.0</v>
      </c>
    </row>
    <row r="2471">
      <c r="A2471" s="7" t="s">
        <v>17934</v>
      </c>
      <c r="B2471" s="7">
        <v>3000761.0</v>
      </c>
      <c r="C2471" s="7" t="s">
        <v>17935</v>
      </c>
      <c r="D2471" s="7" t="s">
        <v>17936</v>
      </c>
      <c r="E2471" s="7" t="s">
        <v>17937</v>
      </c>
      <c r="F2471" s="7" t="s">
        <v>12724</v>
      </c>
      <c r="G2471" s="7" t="s">
        <v>17938</v>
      </c>
      <c r="H2471" s="7" t="s">
        <v>17939</v>
      </c>
      <c r="I2471" s="119">
        <v>45809.0</v>
      </c>
      <c r="K2471" s="7" t="s">
        <v>419</v>
      </c>
      <c r="L2471" s="7" t="s">
        <v>991</v>
      </c>
      <c r="M2471" s="7" t="s">
        <v>3501</v>
      </c>
      <c r="N2471" s="7" t="s">
        <v>3892</v>
      </c>
      <c r="O2471" s="7" t="s">
        <v>17940</v>
      </c>
      <c r="P2471" s="7" t="s">
        <v>3493</v>
      </c>
      <c r="Q2471" s="7">
        <v>1.0</v>
      </c>
    </row>
    <row r="2472">
      <c r="A2472" s="7" t="s">
        <v>17941</v>
      </c>
      <c r="B2472" s="7">
        <v>3000802.0</v>
      </c>
      <c r="C2472" s="7" t="s">
        <v>12494</v>
      </c>
      <c r="D2472" s="7" t="s">
        <v>3526</v>
      </c>
      <c r="E2472" s="7" t="s">
        <v>12495</v>
      </c>
      <c r="F2472" s="7" t="s">
        <v>3528</v>
      </c>
      <c r="G2472" s="7" t="s">
        <v>17942</v>
      </c>
      <c r="H2472" s="7" t="s">
        <v>17943</v>
      </c>
      <c r="I2472" s="119">
        <v>45809.0</v>
      </c>
      <c r="K2472" s="7" t="s">
        <v>419</v>
      </c>
      <c r="L2472" s="7" t="s">
        <v>991</v>
      </c>
      <c r="M2472" s="7" t="s">
        <v>3531</v>
      </c>
      <c r="N2472" s="7" t="s">
        <v>4265</v>
      </c>
      <c r="O2472" s="7" t="s">
        <v>4266</v>
      </c>
      <c r="P2472" s="7" t="s">
        <v>3493</v>
      </c>
      <c r="Q2472" s="7">
        <v>1.0</v>
      </c>
    </row>
    <row r="2473">
      <c r="A2473" s="7" t="s">
        <v>17944</v>
      </c>
      <c r="B2473" s="7">
        <v>3000819.0</v>
      </c>
      <c r="C2473" s="7" t="s">
        <v>15779</v>
      </c>
      <c r="D2473" s="7" t="s">
        <v>7586</v>
      </c>
      <c r="E2473" s="7" t="s">
        <v>3714</v>
      </c>
      <c r="F2473" s="7" t="s">
        <v>5426</v>
      </c>
      <c r="G2473" s="7" t="s">
        <v>17945</v>
      </c>
      <c r="H2473" s="7" t="s">
        <v>17946</v>
      </c>
      <c r="I2473" s="119">
        <v>45809.0</v>
      </c>
      <c r="K2473" s="7" t="s">
        <v>419</v>
      </c>
      <c r="L2473" s="7" t="s">
        <v>991</v>
      </c>
      <c r="M2473" s="7" t="s">
        <v>3531</v>
      </c>
      <c r="N2473" s="7" t="s">
        <v>4127</v>
      </c>
      <c r="O2473" s="7" t="s">
        <v>4128</v>
      </c>
      <c r="P2473" s="7" t="s">
        <v>3493</v>
      </c>
      <c r="Q2473" s="7">
        <v>1.0</v>
      </c>
    </row>
    <row r="2474">
      <c r="A2474" s="7" t="s">
        <v>17947</v>
      </c>
      <c r="B2474" s="7">
        <v>3000812.0</v>
      </c>
      <c r="C2474" s="7" t="s">
        <v>12686</v>
      </c>
      <c r="D2474" s="7" t="s">
        <v>17948</v>
      </c>
      <c r="E2474" s="7" t="s">
        <v>12681</v>
      </c>
      <c r="F2474" s="7" t="s">
        <v>5860</v>
      </c>
      <c r="G2474" s="7" t="s">
        <v>17949</v>
      </c>
      <c r="H2474" s="7" t="s">
        <v>17950</v>
      </c>
      <c r="I2474" s="119">
        <v>45809.0</v>
      </c>
      <c r="K2474" s="7" t="s">
        <v>3642</v>
      </c>
      <c r="L2474" s="7" t="s">
        <v>991</v>
      </c>
      <c r="M2474" s="7" t="s">
        <v>3501</v>
      </c>
      <c r="N2474" s="7" t="s">
        <v>3643</v>
      </c>
      <c r="O2474" s="7" t="s">
        <v>3644</v>
      </c>
      <c r="P2474" s="7" t="s">
        <v>3493</v>
      </c>
      <c r="Q2474" s="7">
        <v>1.0</v>
      </c>
    </row>
    <row r="2475">
      <c r="A2475" s="7" t="s">
        <v>17951</v>
      </c>
      <c r="B2475" s="7">
        <v>3000804.0</v>
      </c>
      <c r="C2475" s="7" t="s">
        <v>12747</v>
      </c>
      <c r="D2475" s="7" t="s">
        <v>17952</v>
      </c>
      <c r="E2475" s="7" t="s">
        <v>12748</v>
      </c>
      <c r="F2475" s="7" t="s">
        <v>17953</v>
      </c>
      <c r="G2475" s="7" t="s">
        <v>17954</v>
      </c>
      <c r="H2475" s="7" t="s">
        <v>17955</v>
      </c>
      <c r="I2475" s="119">
        <v>45809.0</v>
      </c>
      <c r="K2475" s="7" t="s">
        <v>419</v>
      </c>
      <c r="L2475" s="7" t="s">
        <v>991</v>
      </c>
      <c r="M2475" s="7" t="s">
        <v>3531</v>
      </c>
      <c r="N2475" s="7" t="s">
        <v>4265</v>
      </c>
      <c r="O2475" s="7" t="s">
        <v>4266</v>
      </c>
      <c r="P2475" s="7" t="s">
        <v>3493</v>
      </c>
      <c r="Q2475" s="7">
        <v>1.0</v>
      </c>
    </row>
    <row r="2476">
      <c r="A2476" s="7" t="s">
        <v>17956</v>
      </c>
      <c r="B2476" s="7">
        <v>3000762.0</v>
      </c>
      <c r="C2476" s="7" t="s">
        <v>17957</v>
      </c>
      <c r="D2476" s="7" t="s">
        <v>12799</v>
      </c>
      <c r="E2476" s="7" t="s">
        <v>17958</v>
      </c>
      <c r="F2476" s="7" t="s">
        <v>12800</v>
      </c>
      <c r="G2476" s="7" t="s">
        <v>17959</v>
      </c>
      <c r="H2476" s="7" t="s">
        <v>17960</v>
      </c>
      <c r="I2476" s="119">
        <v>45809.0</v>
      </c>
      <c r="K2476" s="7" t="s">
        <v>419</v>
      </c>
      <c r="L2476" s="7" t="s">
        <v>991</v>
      </c>
      <c r="M2476" s="7" t="s">
        <v>3583</v>
      </c>
      <c r="N2476" s="7" t="s">
        <v>3584</v>
      </c>
      <c r="O2476" s="7" t="s">
        <v>17961</v>
      </c>
      <c r="P2476" s="7" t="s">
        <v>4551</v>
      </c>
      <c r="Q2476" s="7" t="s">
        <v>4552</v>
      </c>
    </row>
    <row r="2477">
      <c r="A2477" s="7" t="s">
        <v>17962</v>
      </c>
      <c r="B2477" s="7">
        <v>3000789.0</v>
      </c>
      <c r="C2477" s="7" t="s">
        <v>17963</v>
      </c>
      <c r="D2477" s="7" t="s">
        <v>6087</v>
      </c>
      <c r="E2477" s="7" t="s">
        <v>17964</v>
      </c>
      <c r="F2477" s="7" t="s">
        <v>6089</v>
      </c>
      <c r="G2477" s="7" t="s">
        <v>17965</v>
      </c>
      <c r="H2477" s="7" t="s">
        <v>17966</v>
      </c>
      <c r="I2477" s="119">
        <v>45809.0</v>
      </c>
      <c r="K2477" s="7" t="s">
        <v>419</v>
      </c>
      <c r="L2477" s="7" t="s">
        <v>991</v>
      </c>
      <c r="M2477" s="7" t="s">
        <v>3501</v>
      </c>
      <c r="N2477" s="7" t="s">
        <v>17967</v>
      </c>
      <c r="O2477" s="7" t="s">
        <v>17968</v>
      </c>
      <c r="P2477" s="7" t="s">
        <v>3493</v>
      </c>
      <c r="Q2477" s="7">
        <v>1.0</v>
      </c>
    </row>
    <row r="2478">
      <c r="A2478" s="7" t="s">
        <v>17969</v>
      </c>
      <c r="B2478" s="7">
        <v>3000821.0</v>
      </c>
      <c r="C2478" s="7" t="s">
        <v>13217</v>
      </c>
      <c r="D2478" s="7" t="s">
        <v>17970</v>
      </c>
      <c r="E2478" s="7" t="s">
        <v>13219</v>
      </c>
      <c r="F2478" s="7" t="s">
        <v>17971</v>
      </c>
      <c r="G2478" s="7" t="s">
        <v>17972</v>
      </c>
      <c r="H2478" s="7" t="s">
        <v>17973</v>
      </c>
      <c r="I2478" s="119">
        <v>45809.0</v>
      </c>
      <c r="K2478" s="7" t="s">
        <v>419</v>
      </c>
      <c r="L2478" s="7" t="s">
        <v>991</v>
      </c>
      <c r="M2478" s="7" t="s">
        <v>3531</v>
      </c>
      <c r="N2478" s="7" t="s">
        <v>8390</v>
      </c>
      <c r="O2478" s="7" t="s">
        <v>8391</v>
      </c>
      <c r="P2478" s="7" t="s">
        <v>3493</v>
      </c>
      <c r="Q2478" s="7">
        <v>1.0</v>
      </c>
    </row>
    <row r="2479">
      <c r="A2479" s="7" t="s">
        <v>17974</v>
      </c>
      <c r="B2479" s="7">
        <v>3000816.0</v>
      </c>
      <c r="C2479" s="7" t="s">
        <v>17975</v>
      </c>
      <c r="D2479" s="7" t="s">
        <v>17976</v>
      </c>
      <c r="E2479" s="7" t="s">
        <v>17977</v>
      </c>
      <c r="F2479" s="7" t="s">
        <v>8036</v>
      </c>
      <c r="G2479" s="7" t="s">
        <v>17978</v>
      </c>
      <c r="H2479" s="7" t="s">
        <v>17979</v>
      </c>
      <c r="I2479" s="119">
        <v>45809.0</v>
      </c>
      <c r="K2479" s="7" t="s">
        <v>3642</v>
      </c>
      <c r="L2479" s="7" t="s">
        <v>991</v>
      </c>
      <c r="M2479" s="7" t="s">
        <v>3531</v>
      </c>
      <c r="N2479" s="7" t="s">
        <v>3643</v>
      </c>
      <c r="O2479" s="7" t="s">
        <v>3644</v>
      </c>
      <c r="P2479" s="7" t="s">
        <v>3493</v>
      </c>
      <c r="Q2479" s="7">
        <v>1.0</v>
      </c>
    </row>
    <row r="2480">
      <c r="A2480" s="7" t="s">
        <v>17980</v>
      </c>
      <c r="B2480" s="7">
        <v>3000758.0</v>
      </c>
      <c r="C2480" s="7" t="s">
        <v>13898</v>
      </c>
      <c r="D2480" s="7" t="s">
        <v>17981</v>
      </c>
      <c r="E2480" s="7" t="s">
        <v>13900</v>
      </c>
      <c r="F2480" s="7" t="s">
        <v>9134</v>
      </c>
      <c r="G2480" s="7" t="s">
        <v>17982</v>
      </c>
      <c r="H2480" s="7" t="s">
        <v>17983</v>
      </c>
      <c r="I2480" s="119">
        <v>45809.0</v>
      </c>
      <c r="K2480" s="7" t="s">
        <v>419</v>
      </c>
      <c r="L2480" s="7" t="s">
        <v>991</v>
      </c>
      <c r="M2480" s="7" t="s">
        <v>3501</v>
      </c>
      <c r="N2480" s="7" t="s">
        <v>9752</v>
      </c>
      <c r="O2480" s="7" t="s">
        <v>9753</v>
      </c>
      <c r="P2480" s="7" t="s">
        <v>3493</v>
      </c>
      <c r="Q2480" s="7">
        <v>1.0</v>
      </c>
    </row>
    <row r="2481">
      <c r="A2481" s="7" t="s">
        <v>17984</v>
      </c>
      <c r="B2481" s="7">
        <v>3000845.0</v>
      </c>
      <c r="C2481" s="7" t="s">
        <v>6598</v>
      </c>
      <c r="D2481" s="7" t="s">
        <v>17985</v>
      </c>
      <c r="E2481" s="7" t="s">
        <v>6599</v>
      </c>
      <c r="F2481" s="7" t="s">
        <v>16713</v>
      </c>
      <c r="G2481" s="7" t="s">
        <v>17986</v>
      </c>
      <c r="H2481" s="7" t="s">
        <v>17987</v>
      </c>
      <c r="I2481" s="119">
        <v>45824.0</v>
      </c>
      <c r="K2481" s="7" t="s">
        <v>17988</v>
      </c>
      <c r="L2481" s="7" t="s">
        <v>991</v>
      </c>
      <c r="M2481" s="7" t="s">
        <v>3501</v>
      </c>
      <c r="N2481" s="7" t="s">
        <v>17989</v>
      </c>
      <c r="O2481" s="7" t="s">
        <v>17990</v>
      </c>
      <c r="P2481" s="7" t="s">
        <v>3493</v>
      </c>
      <c r="Q2481" s="7">
        <v>1.0</v>
      </c>
    </row>
    <row r="2482">
      <c r="A2482" s="7" t="s">
        <v>17991</v>
      </c>
      <c r="B2482" s="7">
        <v>3000834.0</v>
      </c>
      <c r="C2482" s="7" t="s">
        <v>14653</v>
      </c>
      <c r="D2482" s="7" t="s">
        <v>17992</v>
      </c>
      <c r="E2482" s="7" t="s">
        <v>7229</v>
      </c>
      <c r="F2482" s="7" t="s">
        <v>17993</v>
      </c>
      <c r="G2482" s="7" t="s">
        <v>17994</v>
      </c>
      <c r="H2482" s="7" t="s">
        <v>17995</v>
      </c>
      <c r="I2482" s="119">
        <v>45824.0</v>
      </c>
      <c r="K2482" s="7" t="s">
        <v>419</v>
      </c>
      <c r="L2482" s="7" t="s">
        <v>991</v>
      </c>
      <c r="M2482" s="7" t="s">
        <v>3531</v>
      </c>
      <c r="N2482" s="7" t="s">
        <v>8390</v>
      </c>
      <c r="O2482" s="7" t="s">
        <v>8391</v>
      </c>
      <c r="P2482" s="7" t="s">
        <v>3493</v>
      </c>
      <c r="Q2482" s="7">
        <v>1.0</v>
      </c>
    </row>
    <row r="2483">
      <c r="A2483" s="7" t="s">
        <v>17996</v>
      </c>
      <c r="B2483" s="7">
        <v>3000844.0</v>
      </c>
      <c r="C2483" s="7" t="s">
        <v>7234</v>
      </c>
      <c r="D2483" s="7" t="s">
        <v>17997</v>
      </c>
      <c r="E2483" s="7" t="s">
        <v>7236</v>
      </c>
      <c r="F2483" s="7" t="s">
        <v>3721</v>
      </c>
      <c r="G2483" s="7" t="s">
        <v>17998</v>
      </c>
      <c r="H2483" s="7" t="s">
        <v>17999</v>
      </c>
      <c r="I2483" s="119">
        <v>45824.0</v>
      </c>
      <c r="K2483" s="7" t="s">
        <v>17988</v>
      </c>
      <c r="L2483" s="7" t="s">
        <v>991</v>
      </c>
      <c r="M2483" s="7" t="s">
        <v>3501</v>
      </c>
      <c r="N2483" s="7" t="s">
        <v>17989</v>
      </c>
      <c r="O2483" s="7" t="s">
        <v>17990</v>
      </c>
      <c r="P2483" s="7" t="s">
        <v>3493</v>
      </c>
      <c r="Q2483" s="7">
        <v>1.0</v>
      </c>
    </row>
    <row r="2484">
      <c r="A2484" s="7" t="s">
        <v>18000</v>
      </c>
      <c r="B2484" s="7">
        <v>3000837.0</v>
      </c>
      <c r="C2484" s="7" t="s">
        <v>18001</v>
      </c>
      <c r="D2484" s="7" t="s">
        <v>4260</v>
      </c>
      <c r="E2484" s="7" t="s">
        <v>18002</v>
      </c>
      <c r="F2484" s="7" t="s">
        <v>4262</v>
      </c>
      <c r="G2484" s="7" t="s">
        <v>18003</v>
      </c>
      <c r="H2484" s="7" t="s">
        <v>18004</v>
      </c>
      <c r="I2484" s="119">
        <v>45824.0</v>
      </c>
      <c r="K2484" s="7" t="s">
        <v>17988</v>
      </c>
      <c r="L2484" s="7" t="s">
        <v>991</v>
      </c>
      <c r="M2484" s="7" t="s">
        <v>3501</v>
      </c>
      <c r="N2484" s="7" t="s">
        <v>17989</v>
      </c>
      <c r="O2484" s="7" t="s">
        <v>17990</v>
      </c>
      <c r="P2484" s="7" t="s">
        <v>3493</v>
      </c>
      <c r="Q2484" s="7">
        <v>1.0</v>
      </c>
    </row>
    <row r="2485">
      <c r="A2485" s="7" t="s">
        <v>18005</v>
      </c>
      <c r="B2485" s="7">
        <v>3000836.0</v>
      </c>
      <c r="C2485" s="7" t="s">
        <v>18006</v>
      </c>
      <c r="D2485" s="7" t="s">
        <v>18007</v>
      </c>
      <c r="E2485" s="7" t="s">
        <v>18008</v>
      </c>
      <c r="F2485" s="7" t="s">
        <v>18009</v>
      </c>
      <c r="G2485" s="7" t="s">
        <v>18010</v>
      </c>
      <c r="H2485" s="7" t="s">
        <v>18011</v>
      </c>
      <c r="I2485" s="119">
        <v>45824.0</v>
      </c>
      <c r="K2485" s="7" t="s">
        <v>419</v>
      </c>
      <c r="L2485" s="7" t="s">
        <v>991</v>
      </c>
      <c r="M2485" s="7" t="s">
        <v>3531</v>
      </c>
      <c r="N2485" s="7" t="s">
        <v>3733</v>
      </c>
      <c r="O2485" s="7" t="s">
        <v>3734</v>
      </c>
      <c r="P2485" s="7" t="s">
        <v>3493</v>
      </c>
      <c r="Q2485" s="7">
        <v>1.0</v>
      </c>
    </row>
    <row r="2486">
      <c r="A2486" s="7" t="s">
        <v>18012</v>
      </c>
      <c r="B2486" s="7">
        <v>3000838.0</v>
      </c>
      <c r="C2486" s="7" t="s">
        <v>18013</v>
      </c>
      <c r="D2486" s="7" t="s">
        <v>18014</v>
      </c>
      <c r="E2486" s="7" t="s">
        <v>18015</v>
      </c>
      <c r="F2486" s="7" t="s">
        <v>5545</v>
      </c>
      <c r="G2486" s="7" t="s">
        <v>18016</v>
      </c>
      <c r="H2486" s="7" t="s">
        <v>18017</v>
      </c>
      <c r="I2486" s="119">
        <v>45824.0</v>
      </c>
      <c r="K2486" s="7" t="s">
        <v>3632</v>
      </c>
      <c r="L2486" s="7" t="s">
        <v>991</v>
      </c>
      <c r="M2486" s="7" t="s">
        <v>3583</v>
      </c>
      <c r="N2486" s="7" t="s">
        <v>4190</v>
      </c>
      <c r="O2486" s="7" t="s">
        <v>7052</v>
      </c>
      <c r="P2486" s="7" t="s">
        <v>3522</v>
      </c>
      <c r="Q2486" s="7" t="s">
        <v>3523</v>
      </c>
    </row>
    <row r="2487">
      <c r="A2487" s="7" t="s">
        <v>18018</v>
      </c>
      <c r="B2487" s="7">
        <v>3000833.0</v>
      </c>
      <c r="C2487" s="7" t="s">
        <v>18019</v>
      </c>
      <c r="D2487" s="7" t="s">
        <v>18020</v>
      </c>
      <c r="E2487" s="7" t="s">
        <v>18021</v>
      </c>
      <c r="F2487" s="7" t="s">
        <v>18022</v>
      </c>
      <c r="G2487" s="7" t="s">
        <v>18023</v>
      </c>
      <c r="H2487" s="7" t="s">
        <v>18024</v>
      </c>
      <c r="I2487" s="119">
        <v>45824.0</v>
      </c>
      <c r="K2487" s="7" t="s">
        <v>419</v>
      </c>
      <c r="L2487" s="7" t="s">
        <v>991</v>
      </c>
      <c r="M2487" s="7" t="s">
        <v>3531</v>
      </c>
      <c r="N2487" s="7" t="s">
        <v>3996</v>
      </c>
      <c r="O2487" s="7" t="s">
        <v>3997</v>
      </c>
      <c r="P2487" s="7" t="s">
        <v>3493</v>
      </c>
      <c r="Q2487" s="7">
        <v>1.0</v>
      </c>
    </row>
    <row r="2488">
      <c r="A2488" s="7" t="s">
        <v>18025</v>
      </c>
      <c r="B2488" s="7">
        <v>3000841.0</v>
      </c>
      <c r="C2488" s="7" t="s">
        <v>10885</v>
      </c>
      <c r="D2488" s="7" t="s">
        <v>18026</v>
      </c>
      <c r="E2488" s="7" t="s">
        <v>10901</v>
      </c>
      <c r="F2488" s="7" t="s">
        <v>18027</v>
      </c>
      <c r="G2488" s="7" t="s">
        <v>18028</v>
      </c>
      <c r="H2488" s="7" t="s">
        <v>18029</v>
      </c>
      <c r="I2488" s="119">
        <v>45824.0</v>
      </c>
      <c r="K2488" s="7" t="s">
        <v>3622</v>
      </c>
      <c r="L2488" s="7" t="s">
        <v>991</v>
      </c>
      <c r="M2488" s="7" t="s">
        <v>3866</v>
      </c>
      <c r="N2488" s="7" t="s">
        <v>3623</v>
      </c>
      <c r="O2488" s="7" t="s">
        <v>3624</v>
      </c>
      <c r="P2488" s="7" t="s">
        <v>3493</v>
      </c>
      <c r="Q2488" s="7">
        <v>1.0</v>
      </c>
    </row>
    <row r="2489">
      <c r="A2489" s="7" t="s">
        <v>18030</v>
      </c>
      <c r="B2489" s="7">
        <v>3000693.0</v>
      </c>
      <c r="C2489" s="7" t="s">
        <v>11334</v>
      </c>
      <c r="D2489" s="7" t="s">
        <v>18031</v>
      </c>
      <c r="E2489" s="7" t="s">
        <v>11336</v>
      </c>
      <c r="F2489" s="7" t="s">
        <v>4262</v>
      </c>
      <c r="G2489" s="7" t="s">
        <v>18032</v>
      </c>
      <c r="H2489" s="7" t="s">
        <v>18033</v>
      </c>
      <c r="I2489" s="119">
        <v>45824.0</v>
      </c>
      <c r="K2489" s="7" t="s">
        <v>419</v>
      </c>
      <c r="L2489" s="7" t="s">
        <v>991</v>
      </c>
      <c r="M2489" s="7" t="s">
        <v>3501</v>
      </c>
      <c r="N2489" s="7" t="s">
        <v>5539</v>
      </c>
      <c r="O2489" s="7" t="s">
        <v>5540</v>
      </c>
      <c r="P2489" s="7" t="s">
        <v>3493</v>
      </c>
      <c r="Q2489" s="7">
        <v>1.0</v>
      </c>
    </row>
    <row r="2490">
      <c r="A2490" s="7" t="s">
        <v>18034</v>
      </c>
      <c r="B2490" s="7">
        <v>3000840.0</v>
      </c>
      <c r="C2490" s="7" t="s">
        <v>12341</v>
      </c>
      <c r="D2490" s="7" t="s">
        <v>18035</v>
      </c>
      <c r="E2490" s="7" t="s">
        <v>12343</v>
      </c>
      <c r="F2490" s="7" t="s">
        <v>3692</v>
      </c>
      <c r="G2490" s="7" t="s">
        <v>18036</v>
      </c>
      <c r="H2490" s="7" t="s">
        <v>18037</v>
      </c>
      <c r="I2490" s="119">
        <v>45824.0</v>
      </c>
      <c r="K2490" s="7" t="s">
        <v>419</v>
      </c>
      <c r="L2490" s="7" t="s">
        <v>991</v>
      </c>
      <c r="M2490" s="7" t="s">
        <v>3531</v>
      </c>
      <c r="N2490" s="7" t="s">
        <v>5218</v>
      </c>
      <c r="O2490" s="7" t="s">
        <v>18038</v>
      </c>
      <c r="P2490" s="7" t="s">
        <v>3493</v>
      </c>
      <c r="Q2490" s="7">
        <v>1.0</v>
      </c>
    </row>
    <row r="2491">
      <c r="A2491" s="7" t="s">
        <v>18039</v>
      </c>
      <c r="B2491" s="7">
        <v>3000843.0</v>
      </c>
      <c r="C2491" s="7" t="s">
        <v>14579</v>
      </c>
      <c r="D2491" s="7" t="s">
        <v>18040</v>
      </c>
      <c r="E2491" s="7" t="s">
        <v>12386</v>
      </c>
      <c r="F2491" s="7" t="s">
        <v>3609</v>
      </c>
      <c r="G2491" s="7" t="s">
        <v>18041</v>
      </c>
      <c r="H2491" s="7" t="s">
        <v>18042</v>
      </c>
      <c r="I2491" s="119">
        <v>45824.0</v>
      </c>
      <c r="K2491" s="7" t="s">
        <v>17988</v>
      </c>
      <c r="L2491" s="7" t="s">
        <v>991</v>
      </c>
      <c r="M2491" s="7" t="s">
        <v>3501</v>
      </c>
      <c r="N2491" s="7" t="s">
        <v>17989</v>
      </c>
      <c r="O2491" s="7" t="s">
        <v>17990</v>
      </c>
      <c r="P2491" s="7" t="s">
        <v>3493</v>
      </c>
      <c r="Q2491" s="7">
        <v>1.0</v>
      </c>
    </row>
    <row r="2492">
      <c r="A2492" s="7" t="s">
        <v>18043</v>
      </c>
      <c r="B2492" s="7">
        <v>3000835.0</v>
      </c>
      <c r="C2492" s="7" t="s">
        <v>12728</v>
      </c>
      <c r="D2492" s="7" t="s">
        <v>18044</v>
      </c>
      <c r="E2492" s="7" t="s">
        <v>12730</v>
      </c>
      <c r="F2492" s="7" t="s">
        <v>5661</v>
      </c>
      <c r="G2492" s="7" t="s">
        <v>18045</v>
      </c>
      <c r="H2492" s="7" t="s">
        <v>18046</v>
      </c>
      <c r="I2492" s="119">
        <v>45824.0</v>
      </c>
      <c r="K2492" s="7" t="s">
        <v>3632</v>
      </c>
      <c r="L2492" s="7" t="s">
        <v>991</v>
      </c>
      <c r="M2492" s="7" t="s">
        <v>3583</v>
      </c>
      <c r="N2492" s="7" t="s">
        <v>12234</v>
      </c>
      <c r="O2492" s="7" t="s">
        <v>18047</v>
      </c>
      <c r="P2492" s="7" t="s">
        <v>3522</v>
      </c>
      <c r="Q2492" s="7" t="s">
        <v>3523</v>
      </c>
    </row>
    <row r="2493">
      <c r="A2493" s="7" t="s">
        <v>18048</v>
      </c>
      <c r="B2493" s="7">
        <v>3000734.0</v>
      </c>
      <c r="C2493" s="7" t="s">
        <v>13801</v>
      </c>
      <c r="D2493" s="7" t="s">
        <v>5987</v>
      </c>
      <c r="E2493" s="7" t="s">
        <v>13803</v>
      </c>
      <c r="F2493" s="7" t="s">
        <v>5987</v>
      </c>
      <c r="G2493" s="7" t="s">
        <v>18049</v>
      </c>
      <c r="H2493" s="7" t="s">
        <v>18050</v>
      </c>
      <c r="I2493" s="119">
        <v>45824.0</v>
      </c>
      <c r="K2493" s="7" t="s">
        <v>419</v>
      </c>
      <c r="L2493" s="7" t="s">
        <v>991</v>
      </c>
      <c r="M2493" s="7" t="s">
        <v>3501</v>
      </c>
      <c r="N2493" s="7" t="s">
        <v>4021</v>
      </c>
      <c r="O2493" s="7" t="s">
        <v>7835</v>
      </c>
      <c r="P2493" s="7" t="s">
        <v>3493</v>
      </c>
      <c r="Q2493" s="7">
        <v>1.0</v>
      </c>
    </row>
    <row r="2494">
      <c r="A2494" s="7" t="s">
        <v>18051</v>
      </c>
      <c r="B2494" s="7">
        <v>3000692.0</v>
      </c>
      <c r="C2494" s="7" t="s">
        <v>18052</v>
      </c>
      <c r="D2494" s="7" t="s">
        <v>18053</v>
      </c>
      <c r="E2494" s="7" t="s">
        <v>18054</v>
      </c>
      <c r="F2494" s="7" t="s">
        <v>3498</v>
      </c>
      <c r="G2494" s="7" t="s">
        <v>18055</v>
      </c>
      <c r="H2494" s="7" t="s">
        <v>18056</v>
      </c>
      <c r="I2494" s="119">
        <v>45824.0</v>
      </c>
      <c r="K2494" s="7" t="s">
        <v>419</v>
      </c>
      <c r="L2494" s="7" t="s">
        <v>991</v>
      </c>
      <c r="M2494" s="7" t="s">
        <v>3501</v>
      </c>
      <c r="N2494" s="7" t="s">
        <v>5539</v>
      </c>
      <c r="O2494" s="7" t="s">
        <v>5540</v>
      </c>
      <c r="P2494" s="7" t="s">
        <v>3493</v>
      </c>
      <c r="Q2494" s="7">
        <v>1.0</v>
      </c>
    </row>
    <row r="2495">
      <c r="A2495" s="7" t="s">
        <v>18057</v>
      </c>
      <c r="B2495" s="7">
        <v>3000907.0</v>
      </c>
      <c r="C2495" s="7" t="s">
        <v>5399</v>
      </c>
      <c r="D2495" s="7" t="s">
        <v>5743</v>
      </c>
      <c r="E2495" s="7" t="s">
        <v>5401</v>
      </c>
      <c r="F2495" s="7" t="s">
        <v>5058</v>
      </c>
      <c r="G2495" s="7" t="s">
        <v>18058</v>
      </c>
      <c r="I2495" s="119">
        <v>45824.0</v>
      </c>
      <c r="K2495" s="7" t="s">
        <v>419</v>
      </c>
      <c r="L2495" s="7" t="s">
        <v>991</v>
      </c>
      <c r="M2495" s="7" t="s">
        <v>3531</v>
      </c>
      <c r="N2495" s="7" t="s">
        <v>4535</v>
      </c>
      <c r="O2495" s="7" t="s">
        <v>4536</v>
      </c>
      <c r="P2495" s="7" t="s">
        <v>3493</v>
      </c>
      <c r="Q2495" s="7">
        <v>1.0</v>
      </c>
    </row>
    <row r="2496">
      <c r="A2496" s="7" t="s">
        <v>18059</v>
      </c>
      <c r="B2496" s="7">
        <v>3000842.0</v>
      </c>
      <c r="C2496" s="7" t="s">
        <v>6731</v>
      </c>
      <c r="D2496" s="7" t="s">
        <v>18060</v>
      </c>
      <c r="E2496" s="7" t="s">
        <v>6732</v>
      </c>
      <c r="F2496" s="7" t="s">
        <v>16900</v>
      </c>
      <c r="G2496" s="7" t="s">
        <v>18061</v>
      </c>
      <c r="I2496" s="119">
        <v>45824.0</v>
      </c>
      <c r="K2496" s="7" t="s">
        <v>419</v>
      </c>
      <c r="L2496" s="7" t="s">
        <v>991</v>
      </c>
      <c r="M2496" s="7" t="s">
        <v>4644</v>
      </c>
      <c r="N2496" s="7" t="s">
        <v>6293</v>
      </c>
      <c r="O2496" s="7" t="s">
        <v>12210</v>
      </c>
      <c r="P2496" s="7" t="s">
        <v>4908</v>
      </c>
      <c r="Q2496" s="7">
        <v>1.0</v>
      </c>
    </row>
    <row r="2497">
      <c r="A2497" s="7" t="s">
        <v>18062</v>
      </c>
      <c r="B2497" s="7">
        <v>3000850.0</v>
      </c>
      <c r="C2497" s="7" t="s">
        <v>18063</v>
      </c>
      <c r="D2497" s="7" t="s">
        <v>18064</v>
      </c>
      <c r="E2497" s="7" t="s">
        <v>18065</v>
      </c>
      <c r="F2497" s="7" t="s">
        <v>6271</v>
      </c>
      <c r="G2497" s="7" t="s">
        <v>18066</v>
      </c>
      <c r="H2497" s="7" t="s">
        <v>18067</v>
      </c>
      <c r="I2497" s="119">
        <v>45839.0</v>
      </c>
      <c r="K2497" s="7" t="s">
        <v>419</v>
      </c>
      <c r="L2497" s="7" t="s">
        <v>991</v>
      </c>
      <c r="M2497" s="7" t="s">
        <v>3501</v>
      </c>
      <c r="N2497" s="7" t="s">
        <v>7131</v>
      </c>
      <c r="O2497" s="7" t="s">
        <v>11399</v>
      </c>
      <c r="P2497" s="7" t="s">
        <v>3522</v>
      </c>
      <c r="Q2497" s="7" t="s">
        <v>3523</v>
      </c>
    </row>
    <row r="2498">
      <c r="A2498" s="7" t="s">
        <v>18068</v>
      </c>
      <c r="B2498" s="7">
        <v>3000895.0</v>
      </c>
      <c r="C2498" s="7" t="s">
        <v>18069</v>
      </c>
      <c r="D2498" s="7" t="s">
        <v>18070</v>
      </c>
      <c r="E2498" s="7" t="s">
        <v>18071</v>
      </c>
      <c r="F2498" s="7" t="s">
        <v>16640</v>
      </c>
      <c r="G2498" s="7" t="s">
        <v>18072</v>
      </c>
      <c r="H2498" s="7" t="s">
        <v>18073</v>
      </c>
      <c r="I2498" s="119">
        <v>45839.0</v>
      </c>
      <c r="K2498" s="7" t="s">
        <v>17988</v>
      </c>
      <c r="L2498" s="7" t="s">
        <v>991</v>
      </c>
      <c r="M2498" s="7" t="s">
        <v>3501</v>
      </c>
      <c r="N2498" s="7" t="s">
        <v>17989</v>
      </c>
      <c r="O2498" s="7" t="s">
        <v>17990</v>
      </c>
      <c r="P2498" s="7" t="s">
        <v>3493</v>
      </c>
      <c r="Q2498" s="7">
        <v>1.0</v>
      </c>
    </row>
    <row r="2499">
      <c r="A2499" s="7" t="s">
        <v>18074</v>
      </c>
      <c r="B2499" s="7">
        <v>3000855.0</v>
      </c>
      <c r="C2499" s="7" t="s">
        <v>18075</v>
      </c>
      <c r="D2499" s="7" t="s">
        <v>18076</v>
      </c>
      <c r="E2499" s="7" t="s">
        <v>18077</v>
      </c>
      <c r="F2499" s="7" t="s">
        <v>10462</v>
      </c>
      <c r="G2499" s="7" t="s">
        <v>18078</v>
      </c>
      <c r="H2499" s="7" t="s">
        <v>18079</v>
      </c>
      <c r="I2499" s="119">
        <v>45839.0</v>
      </c>
      <c r="K2499" s="7" t="s">
        <v>419</v>
      </c>
      <c r="L2499" s="7" t="s">
        <v>991</v>
      </c>
      <c r="M2499" s="7" t="s">
        <v>3531</v>
      </c>
      <c r="N2499" s="7" t="s">
        <v>18080</v>
      </c>
      <c r="O2499" s="7" t="s">
        <v>18081</v>
      </c>
      <c r="P2499" s="7" t="s">
        <v>3493</v>
      </c>
      <c r="Q2499" s="7">
        <v>1.0</v>
      </c>
    </row>
    <row r="2500">
      <c r="A2500" s="7" t="s">
        <v>18082</v>
      </c>
      <c r="B2500" s="7">
        <v>3000909.0</v>
      </c>
      <c r="C2500" s="7" t="s">
        <v>4218</v>
      </c>
      <c r="D2500" s="7" t="s">
        <v>18083</v>
      </c>
      <c r="E2500" s="7" t="s">
        <v>4220</v>
      </c>
      <c r="F2500" s="7" t="s">
        <v>10272</v>
      </c>
      <c r="G2500" s="7" t="s">
        <v>18084</v>
      </c>
      <c r="H2500" s="7" t="s">
        <v>18085</v>
      </c>
      <c r="I2500" s="119">
        <v>45839.0</v>
      </c>
      <c r="K2500" s="7" t="s">
        <v>3642</v>
      </c>
      <c r="L2500" s="7" t="s">
        <v>991</v>
      </c>
      <c r="M2500" s="7" t="s">
        <v>3501</v>
      </c>
      <c r="N2500" s="7" t="s">
        <v>3643</v>
      </c>
      <c r="O2500" s="7" t="s">
        <v>3644</v>
      </c>
      <c r="P2500" s="7" t="s">
        <v>3493</v>
      </c>
      <c r="Q2500" s="7">
        <v>1.0</v>
      </c>
    </row>
    <row r="2501">
      <c r="A2501" s="7" t="s">
        <v>18086</v>
      </c>
      <c r="B2501" s="7">
        <v>3000831.0</v>
      </c>
      <c r="C2501" s="7" t="s">
        <v>15040</v>
      </c>
      <c r="D2501" s="7" t="s">
        <v>18087</v>
      </c>
      <c r="E2501" s="7" t="s">
        <v>15042</v>
      </c>
      <c r="F2501" s="7" t="s">
        <v>15477</v>
      </c>
      <c r="G2501" s="7" t="s">
        <v>18088</v>
      </c>
      <c r="H2501" s="7" t="s">
        <v>18089</v>
      </c>
      <c r="I2501" s="119">
        <v>45839.0</v>
      </c>
      <c r="K2501" s="7" t="s">
        <v>419</v>
      </c>
      <c r="L2501" s="7" t="s">
        <v>991</v>
      </c>
      <c r="M2501" s="7" t="s">
        <v>3501</v>
      </c>
      <c r="N2501" s="7" t="s">
        <v>4623</v>
      </c>
      <c r="O2501" s="7" t="s">
        <v>4624</v>
      </c>
      <c r="P2501" s="7" t="s">
        <v>3493</v>
      </c>
      <c r="Q2501" s="7">
        <v>1.0</v>
      </c>
    </row>
    <row r="2502">
      <c r="A2502" s="7" t="s">
        <v>18090</v>
      </c>
      <c r="B2502" s="7">
        <v>3000868.0</v>
      </c>
      <c r="C2502" s="7" t="s">
        <v>18091</v>
      </c>
      <c r="D2502" s="7" t="s">
        <v>18092</v>
      </c>
      <c r="E2502" s="7" t="s">
        <v>18093</v>
      </c>
      <c r="F2502" s="7" t="s">
        <v>5522</v>
      </c>
      <c r="G2502" s="7" t="s">
        <v>18094</v>
      </c>
      <c r="H2502" s="7" t="s">
        <v>18095</v>
      </c>
      <c r="I2502" s="119">
        <v>45839.0</v>
      </c>
      <c r="K2502" s="7" t="s">
        <v>3642</v>
      </c>
      <c r="L2502" s="7" t="s">
        <v>991</v>
      </c>
      <c r="M2502" s="7" t="s">
        <v>3583</v>
      </c>
      <c r="N2502" s="7" t="s">
        <v>3643</v>
      </c>
      <c r="O2502" s="7" t="s">
        <v>3644</v>
      </c>
      <c r="P2502" s="7" t="s">
        <v>3493</v>
      </c>
      <c r="Q2502" s="7">
        <v>1.0</v>
      </c>
    </row>
    <row r="2503">
      <c r="A2503" s="7" t="s">
        <v>18096</v>
      </c>
      <c r="B2503" s="7">
        <v>3000861.0</v>
      </c>
      <c r="C2503" s="7" t="s">
        <v>18097</v>
      </c>
      <c r="D2503" s="7" t="s">
        <v>18098</v>
      </c>
      <c r="E2503" s="7" t="s">
        <v>18099</v>
      </c>
      <c r="F2503" s="7" t="s">
        <v>18100</v>
      </c>
      <c r="G2503" s="7" t="s">
        <v>18101</v>
      </c>
      <c r="H2503" s="7" t="s">
        <v>18102</v>
      </c>
      <c r="I2503" s="119">
        <v>45839.0</v>
      </c>
      <c r="K2503" s="7" t="s">
        <v>419</v>
      </c>
      <c r="L2503" s="7" t="s">
        <v>991</v>
      </c>
      <c r="M2503" s="7" t="s">
        <v>3531</v>
      </c>
      <c r="N2503" s="7" t="s">
        <v>5341</v>
      </c>
      <c r="O2503" s="7" t="s">
        <v>5342</v>
      </c>
      <c r="P2503" s="7" t="s">
        <v>3493</v>
      </c>
      <c r="Q2503" s="7">
        <v>1.0</v>
      </c>
    </row>
    <row r="2504">
      <c r="A2504" s="7" t="s">
        <v>18103</v>
      </c>
      <c r="B2504" s="7">
        <v>3000856.0</v>
      </c>
      <c r="C2504" s="7" t="s">
        <v>18104</v>
      </c>
      <c r="D2504" s="7" t="s">
        <v>18105</v>
      </c>
      <c r="E2504" s="7" t="s">
        <v>18106</v>
      </c>
      <c r="F2504" s="7" t="s">
        <v>3517</v>
      </c>
      <c r="G2504" s="7" t="s">
        <v>18107</v>
      </c>
      <c r="H2504" s="7" t="s">
        <v>18108</v>
      </c>
      <c r="I2504" s="119">
        <v>45839.0</v>
      </c>
      <c r="K2504" s="7" t="s">
        <v>419</v>
      </c>
      <c r="L2504" s="7" t="s">
        <v>991</v>
      </c>
      <c r="M2504" s="7" t="s">
        <v>3531</v>
      </c>
      <c r="N2504" s="7" t="s">
        <v>5372</v>
      </c>
      <c r="O2504" s="7" t="s">
        <v>5373</v>
      </c>
      <c r="P2504" s="7" t="s">
        <v>3493</v>
      </c>
      <c r="Q2504" s="7">
        <v>1.0</v>
      </c>
    </row>
    <row r="2505">
      <c r="A2505" s="7" t="s">
        <v>18109</v>
      </c>
      <c r="B2505" s="7">
        <v>3000847.0</v>
      </c>
      <c r="C2505" s="7" t="s">
        <v>17103</v>
      </c>
      <c r="D2505" s="7" t="s">
        <v>18110</v>
      </c>
      <c r="E2505" s="7" t="s">
        <v>18111</v>
      </c>
      <c r="F2505" s="7" t="s">
        <v>3889</v>
      </c>
      <c r="G2505" s="7" t="s">
        <v>18112</v>
      </c>
      <c r="H2505" s="7" t="s">
        <v>18113</v>
      </c>
      <c r="I2505" s="119">
        <v>45839.0</v>
      </c>
      <c r="K2505" s="7" t="s">
        <v>419</v>
      </c>
      <c r="L2505" s="7" t="s">
        <v>991</v>
      </c>
      <c r="M2505" s="7" t="s">
        <v>3501</v>
      </c>
      <c r="N2505" s="7" t="s">
        <v>6070</v>
      </c>
      <c r="O2505" s="7" t="s">
        <v>6071</v>
      </c>
      <c r="P2505" s="7" t="s">
        <v>3493</v>
      </c>
      <c r="Q2505" s="7">
        <v>1.0</v>
      </c>
    </row>
    <row r="2506">
      <c r="A2506" s="7" t="s">
        <v>18114</v>
      </c>
      <c r="B2506" s="7">
        <v>3000885.0</v>
      </c>
      <c r="C2506" s="7" t="s">
        <v>6137</v>
      </c>
      <c r="D2506" s="7" t="s">
        <v>18115</v>
      </c>
      <c r="E2506" s="7" t="s">
        <v>18116</v>
      </c>
      <c r="F2506" s="7" t="s">
        <v>18009</v>
      </c>
      <c r="G2506" s="7" t="s">
        <v>18117</v>
      </c>
      <c r="H2506" s="7" t="s">
        <v>18118</v>
      </c>
      <c r="I2506" s="119">
        <v>45839.0</v>
      </c>
      <c r="K2506" s="7" t="s">
        <v>419</v>
      </c>
      <c r="L2506" s="7" t="s">
        <v>991</v>
      </c>
      <c r="M2506" s="7" t="s">
        <v>3531</v>
      </c>
      <c r="N2506" s="7" t="s">
        <v>3724</v>
      </c>
      <c r="O2506" s="7" t="s">
        <v>3725</v>
      </c>
      <c r="P2506" s="7" t="s">
        <v>3493</v>
      </c>
      <c r="Q2506" s="7">
        <v>1.0</v>
      </c>
    </row>
    <row r="2507">
      <c r="A2507" s="7" t="s">
        <v>18119</v>
      </c>
      <c r="B2507" s="7">
        <v>3000914.0</v>
      </c>
      <c r="C2507" s="7" t="s">
        <v>18120</v>
      </c>
      <c r="D2507" s="7" t="s">
        <v>18121</v>
      </c>
      <c r="E2507" s="7" t="s">
        <v>18122</v>
      </c>
      <c r="F2507" s="7" t="s">
        <v>7295</v>
      </c>
      <c r="G2507" s="7" t="s">
        <v>18123</v>
      </c>
      <c r="H2507" s="7" t="s">
        <v>18124</v>
      </c>
      <c r="I2507" s="119">
        <v>45839.0</v>
      </c>
      <c r="K2507" s="7" t="s">
        <v>419</v>
      </c>
      <c r="L2507" s="7" t="s">
        <v>991</v>
      </c>
      <c r="M2507" s="7" t="s">
        <v>3531</v>
      </c>
      <c r="N2507" s="7" t="s">
        <v>3733</v>
      </c>
      <c r="O2507" s="7" t="s">
        <v>3734</v>
      </c>
      <c r="P2507" s="7" t="s">
        <v>3493</v>
      </c>
      <c r="Q2507" s="7">
        <v>1.0</v>
      </c>
    </row>
    <row r="2508">
      <c r="A2508" s="7" t="s">
        <v>18125</v>
      </c>
      <c r="B2508" s="7">
        <v>3000886.0</v>
      </c>
      <c r="C2508" s="7" t="s">
        <v>6559</v>
      </c>
      <c r="D2508" s="7" t="s">
        <v>18126</v>
      </c>
      <c r="E2508" s="7" t="s">
        <v>6561</v>
      </c>
      <c r="F2508" s="7" t="s">
        <v>9587</v>
      </c>
      <c r="G2508" s="7" t="s">
        <v>18127</v>
      </c>
      <c r="H2508" s="7" t="s">
        <v>18128</v>
      </c>
      <c r="I2508" s="119">
        <v>45839.0</v>
      </c>
      <c r="K2508" s="7" t="s">
        <v>419</v>
      </c>
      <c r="L2508" s="7" t="s">
        <v>991</v>
      </c>
      <c r="M2508" s="7" t="s">
        <v>3531</v>
      </c>
      <c r="N2508" s="7" t="s">
        <v>3724</v>
      </c>
      <c r="O2508" s="7" t="s">
        <v>3725</v>
      </c>
      <c r="P2508" s="7" t="s">
        <v>3493</v>
      </c>
      <c r="Q2508" s="7">
        <v>1.0</v>
      </c>
    </row>
    <row r="2509">
      <c r="A2509" s="7" t="s">
        <v>18129</v>
      </c>
      <c r="B2509" s="7">
        <v>3000916.0</v>
      </c>
      <c r="C2509" s="7" t="s">
        <v>6582</v>
      </c>
      <c r="D2509" s="7" t="s">
        <v>18130</v>
      </c>
      <c r="E2509" s="7" t="s">
        <v>18131</v>
      </c>
      <c r="F2509" s="7" t="s">
        <v>9367</v>
      </c>
      <c r="G2509" s="7" t="s">
        <v>18132</v>
      </c>
      <c r="I2509" s="119">
        <v>45839.0</v>
      </c>
      <c r="K2509" s="7" t="s">
        <v>419</v>
      </c>
      <c r="L2509" s="7" t="s">
        <v>991</v>
      </c>
      <c r="M2509" s="7" t="s">
        <v>3531</v>
      </c>
      <c r="N2509" s="7" t="s">
        <v>14207</v>
      </c>
      <c r="O2509" s="7" t="s">
        <v>14208</v>
      </c>
      <c r="P2509" s="7" t="s">
        <v>3493</v>
      </c>
      <c r="Q2509" s="7">
        <v>1.0</v>
      </c>
    </row>
    <row r="2510">
      <c r="A2510" s="7" t="s">
        <v>18133</v>
      </c>
      <c r="B2510" s="7">
        <v>3000872.0</v>
      </c>
      <c r="C2510" s="7" t="s">
        <v>18134</v>
      </c>
      <c r="D2510" s="7" t="s">
        <v>6909</v>
      </c>
      <c r="E2510" s="7" t="s">
        <v>18135</v>
      </c>
      <c r="F2510" s="7" t="s">
        <v>6911</v>
      </c>
      <c r="G2510" s="7" t="s">
        <v>18136</v>
      </c>
      <c r="H2510" s="7" t="s">
        <v>18137</v>
      </c>
      <c r="I2510" s="119">
        <v>45839.0</v>
      </c>
      <c r="K2510" s="7" t="s">
        <v>419</v>
      </c>
      <c r="L2510" s="7" t="s">
        <v>991</v>
      </c>
      <c r="M2510" s="7" t="s">
        <v>3531</v>
      </c>
      <c r="N2510" s="7" t="s">
        <v>3769</v>
      </c>
      <c r="O2510" s="7" t="s">
        <v>5454</v>
      </c>
      <c r="P2510" s="7" t="s">
        <v>3493</v>
      </c>
      <c r="Q2510" s="7">
        <v>1.0</v>
      </c>
    </row>
    <row r="2511">
      <c r="A2511" s="7" t="s">
        <v>18138</v>
      </c>
      <c r="B2511" s="7">
        <v>3000874.0</v>
      </c>
      <c r="C2511" s="7" t="s">
        <v>7234</v>
      </c>
      <c r="D2511" s="7" t="s">
        <v>18139</v>
      </c>
      <c r="E2511" s="7" t="s">
        <v>7236</v>
      </c>
      <c r="F2511" s="7" t="s">
        <v>7014</v>
      </c>
      <c r="G2511" s="7" t="s">
        <v>18140</v>
      </c>
      <c r="H2511" s="7" t="s">
        <v>18141</v>
      </c>
      <c r="I2511" s="119">
        <v>45839.0</v>
      </c>
      <c r="K2511" s="7" t="s">
        <v>3632</v>
      </c>
      <c r="L2511" s="7" t="s">
        <v>991</v>
      </c>
      <c r="M2511" s="7" t="s">
        <v>3501</v>
      </c>
      <c r="N2511" s="7" t="s">
        <v>5990</v>
      </c>
      <c r="O2511" s="7" t="s">
        <v>16864</v>
      </c>
      <c r="P2511" s="7" t="s">
        <v>3522</v>
      </c>
      <c r="Q2511" s="7" t="s">
        <v>3523</v>
      </c>
    </row>
    <row r="2512">
      <c r="A2512" s="7" t="s">
        <v>18142</v>
      </c>
      <c r="B2512" s="7">
        <v>3000881.0</v>
      </c>
      <c r="C2512" s="7" t="s">
        <v>18143</v>
      </c>
      <c r="D2512" s="7" t="s">
        <v>18144</v>
      </c>
      <c r="E2512" s="7" t="s">
        <v>18145</v>
      </c>
      <c r="F2512" s="7" t="s">
        <v>3498</v>
      </c>
      <c r="G2512" s="7" t="s">
        <v>18146</v>
      </c>
      <c r="H2512" s="7" t="s">
        <v>18147</v>
      </c>
      <c r="I2512" s="119">
        <v>45839.0</v>
      </c>
      <c r="K2512" s="7" t="s">
        <v>419</v>
      </c>
      <c r="L2512" s="7" t="s">
        <v>991</v>
      </c>
      <c r="M2512" s="7" t="s">
        <v>3531</v>
      </c>
      <c r="N2512" s="7" t="s">
        <v>3724</v>
      </c>
      <c r="O2512" s="7" t="s">
        <v>3725</v>
      </c>
      <c r="P2512" s="7" t="s">
        <v>3493</v>
      </c>
      <c r="Q2512" s="7">
        <v>1.0</v>
      </c>
    </row>
    <row r="2513">
      <c r="A2513" s="7" t="s">
        <v>18148</v>
      </c>
      <c r="B2513" s="7">
        <v>3000863.0</v>
      </c>
      <c r="C2513" s="7" t="s">
        <v>18149</v>
      </c>
      <c r="D2513" s="7" t="s">
        <v>18150</v>
      </c>
      <c r="E2513" s="7" t="s">
        <v>18151</v>
      </c>
      <c r="F2513" s="7" t="s">
        <v>9490</v>
      </c>
      <c r="G2513" s="7" t="s">
        <v>18152</v>
      </c>
      <c r="H2513" s="7" t="s">
        <v>18153</v>
      </c>
      <c r="I2513" s="119">
        <v>45839.0</v>
      </c>
      <c r="K2513" s="7" t="s">
        <v>419</v>
      </c>
      <c r="L2513" s="7" t="s">
        <v>991</v>
      </c>
      <c r="M2513" s="7" t="s">
        <v>3531</v>
      </c>
      <c r="N2513" s="7" t="s">
        <v>10722</v>
      </c>
      <c r="O2513" s="7" t="s">
        <v>11045</v>
      </c>
      <c r="P2513" s="7" t="s">
        <v>3493</v>
      </c>
      <c r="Q2513" s="7">
        <v>1.0</v>
      </c>
    </row>
    <row r="2514">
      <c r="A2514" s="7" t="s">
        <v>18154</v>
      </c>
      <c r="B2514" s="7">
        <v>3000883.0</v>
      </c>
      <c r="C2514" s="7" t="s">
        <v>18155</v>
      </c>
      <c r="D2514" s="7" t="s">
        <v>18156</v>
      </c>
      <c r="E2514" s="7" t="s">
        <v>18157</v>
      </c>
      <c r="F2514" s="7" t="s">
        <v>13901</v>
      </c>
      <c r="G2514" s="7" t="s">
        <v>18158</v>
      </c>
      <c r="H2514" s="7" t="s">
        <v>18159</v>
      </c>
      <c r="I2514" s="119">
        <v>45839.0</v>
      </c>
      <c r="K2514" s="7" t="s">
        <v>419</v>
      </c>
      <c r="L2514" s="7" t="s">
        <v>991</v>
      </c>
      <c r="M2514" s="7" t="s">
        <v>3531</v>
      </c>
      <c r="N2514" s="7" t="s">
        <v>3724</v>
      </c>
      <c r="O2514" s="7" t="s">
        <v>3725</v>
      </c>
      <c r="P2514" s="7" t="s">
        <v>3493</v>
      </c>
      <c r="Q2514" s="7">
        <v>1.0</v>
      </c>
    </row>
    <row r="2515">
      <c r="A2515" s="7" t="s">
        <v>18160</v>
      </c>
      <c r="B2515" s="7">
        <v>3000858.0</v>
      </c>
      <c r="C2515" s="7" t="s">
        <v>8089</v>
      </c>
      <c r="D2515" s="7" t="s">
        <v>18161</v>
      </c>
      <c r="E2515" s="7" t="s">
        <v>8074</v>
      </c>
      <c r="F2515" s="7" t="s">
        <v>10071</v>
      </c>
      <c r="G2515" s="7" t="s">
        <v>18162</v>
      </c>
      <c r="H2515" s="7" t="s">
        <v>18163</v>
      </c>
      <c r="I2515" s="119">
        <v>45839.0</v>
      </c>
      <c r="K2515" s="7" t="s">
        <v>419</v>
      </c>
      <c r="L2515" s="7" t="s">
        <v>991</v>
      </c>
      <c r="M2515" s="7" t="s">
        <v>3531</v>
      </c>
      <c r="N2515" s="7" t="s">
        <v>4175</v>
      </c>
      <c r="O2515" s="7" t="s">
        <v>4176</v>
      </c>
      <c r="P2515" s="7" t="s">
        <v>3493</v>
      </c>
      <c r="Q2515" s="7">
        <v>1.0</v>
      </c>
    </row>
    <row r="2516">
      <c r="A2516" s="7" t="s">
        <v>18164</v>
      </c>
      <c r="B2516" s="7">
        <v>3000795.0</v>
      </c>
      <c r="C2516" s="7" t="s">
        <v>8429</v>
      </c>
      <c r="D2516" s="7" t="s">
        <v>18165</v>
      </c>
      <c r="E2516" s="7" t="s">
        <v>8431</v>
      </c>
      <c r="F2516" s="7" t="s">
        <v>3806</v>
      </c>
      <c r="G2516" s="7" t="s">
        <v>18166</v>
      </c>
      <c r="H2516" s="7" t="s">
        <v>18167</v>
      </c>
      <c r="I2516" s="119">
        <v>45839.0</v>
      </c>
      <c r="K2516" s="7" t="s">
        <v>419</v>
      </c>
      <c r="L2516" s="7" t="s">
        <v>991</v>
      </c>
      <c r="M2516" s="7" t="s">
        <v>3501</v>
      </c>
      <c r="N2516" s="7" t="s">
        <v>5111</v>
      </c>
      <c r="O2516" s="7" t="s">
        <v>5112</v>
      </c>
      <c r="P2516" s="7" t="s">
        <v>3493</v>
      </c>
      <c r="Q2516" s="7">
        <v>1.0</v>
      </c>
    </row>
    <row r="2517">
      <c r="A2517" s="7" t="s">
        <v>18168</v>
      </c>
      <c r="B2517" s="7">
        <v>3000875.0</v>
      </c>
      <c r="C2517" s="7" t="s">
        <v>8429</v>
      </c>
      <c r="D2517" s="7" t="s">
        <v>17700</v>
      </c>
      <c r="E2517" s="7" t="s">
        <v>8431</v>
      </c>
      <c r="F2517" s="7" t="s">
        <v>3909</v>
      </c>
      <c r="G2517" s="7" t="s">
        <v>18169</v>
      </c>
      <c r="H2517" s="7" t="s">
        <v>18170</v>
      </c>
      <c r="I2517" s="119">
        <v>45839.0</v>
      </c>
      <c r="K2517" s="7" t="s">
        <v>17988</v>
      </c>
      <c r="L2517" s="7" t="s">
        <v>991</v>
      </c>
      <c r="M2517" s="7" t="s">
        <v>3501</v>
      </c>
      <c r="N2517" s="7" t="s">
        <v>17989</v>
      </c>
      <c r="O2517" s="7" t="s">
        <v>17990</v>
      </c>
      <c r="P2517" s="7" t="s">
        <v>3493</v>
      </c>
      <c r="Q2517" s="7">
        <v>1.0</v>
      </c>
    </row>
    <row r="2518">
      <c r="A2518" s="7" t="s">
        <v>18171</v>
      </c>
      <c r="B2518" s="7">
        <v>3000891.0</v>
      </c>
      <c r="C2518" s="7" t="s">
        <v>8564</v>
      </c>
      <c r="D2518" s="7" t="s">
        <v>18172</v>
      </c>
      <c r="E2518" s="7" t="s">
        <v>8566</v>
      </c>
      <c r="F2518" s="7" t="s">
        <v>3649</v>
      </c>
      <c r="G2518" s="7" t="s">
        <v>18173</v>
      </c>
      <c r="H2518" s="7" t="s">
        <v>18174</v>
      </c>
      <c r="I2518" s="119">
        <v>45839.0</v>
      </c>
      <c r="K2518" s="7" t="s">
        <v>419</v>
      </c>
      <c r="L2518" s="7" t="s">
        <v>991</v>
      </c>
      <c r="M2518" s="7" t="s">
        <v>3531</v>
      </c>
      <c r="N2518" s="7" t="s">
        <v>3724</v>
      </c>
      <c r="O2518" s="7" t="s">
        <v>3725</v>
      </c>
      <c r="P2518" s="7" t="s">
        <v>3493</v>
      </c>
      <c r="Q2518" s="7">
        <v>1.0</v>
      </c>
    </row>
    <row r="2519">
      <c r="A2519" s="7" t="s">
        <v>18175</v>
      </c>
      <c r="B2519" s="7">
        <v>3000848.0</v>
      </c>
      <c r="C2519" s="7" t="s">
        <v>18176</v>
      </c>
      <c r="D2519" s="7" t="s">
        <v>18177</v>
      </c>
      <c r="E2519" s="7" t="s">
        <v>18178</v>
      </c>
      <c r="F2519" s="7" t="s">
        <v>17519</v>
      </c>
      <c r="G2519" s="7" t="s">
        <v>18179</v>
      </c>
      <c r="H2519" s="7" t="s">
        <v>18180</v>
      </c>
      <c r="I2519" s="119">
        <v>45839.0</v>
      </c>
      <c r="K2519" s="7" t="s">
        <v>419</v>
      </c>
      <c r="L2519" s="7" t="s">
        <v>991</v>
      </c>
      <c r="M2519" s="7" t="s">
        <v>3501</v>
      </c>
      <c r="N2519" s="7" t="s">
        <v>8379</v>
      </c>
      <c r="O2519" s="7" t="s">
        <v>16398</v>
      </c>
      <c r="P2519" s="7" t="s">
        <v>3522</v>
      </c>
      <c r="Q2519" s="7" t="s">
        <v>3523</v>
      </c>
    </row>
    <row r="2520">
      <c r="A2520" s="7" t="s">
        <v>18181</v>
      </c>
      <c r="B2520" s="7">
        <v>3000904.0</v>
      </c>
      <c r="C2520" s="7" t="s">
        <v>6633</v>
      </c>
      <c r="D2520" s="7" t="s">
        <v>18182</v>
      </c>
      <c r="E2520" s="7" t="s">
        <v>18183</v>
      </c>
      <c r="F2520" s="7" t="s">
        <v>18184</v>
      </c>
      <c r="G2520" s="7" t="s">
        <v>18185</v>
      </c>
      <c r="H2520" s="7" t="s">
        <v>18186</v>
      </c>
      <c r="I2520" s="119">
        <v>45839.0</v>
      </c>
      <c r="K2520" s="7" t="s">
        <v>419</v>
      </c>
      <c r="L2520" s="7" t="s">
        <v>991</v>
      </c>
      <c r="M2520" s="7" t="s">
        <v>3531</v>
      </c>
      <c r="N2520" s="7" t="s">
        <v>10722</v>
      </c>
      <c r="O2520" s="7" t="s">
        <v>11045</v>
      </c>
      <c r="P2520" s="7" t="s">
        <v>3493</v>
      </c>
      <c r="Q2520" s="7">
        <v>1.0</v>
      </c>
    </row>
    <row r="2521">
      <c r="A2521" s="7" t="s">
        <v>18187</v>
      </c>
      <c r="B2521" s="7">
        <v>3000910.0</v>
      </c>
      <c r="C2521" s="7" t="s">
        <v>18188</v>
      </c>
      <c r="D2521" s="7" t="s">
        <v>18189</v>
      </c>
      <c r="E2521" s="7" t="s">
        <v>18190</v>
      </c>
      <c r="F2521" s="7" t="s">
        <v>18191</v>
      </c>
      <c r="G2521" s="7" t="s">
        <v>18192</v>
      </c>
      <c r="H2521" s="7" t="s">
        <v>18193</v>
      </c>
      <c r="I2521" s="119">
        <v>45839.0</v>
      </c>
      <c r="K2521" s="7" t="s">
        <v>419</v>
      </c>
      <c r="L2521" s="7" t="s">
        <v>991</v>
      </c>
      <c r="M2521" s="7" t="s">
        <v>3531</v>
      </c>
      <c r="N2521" s="7" t="s">
        <v>4140</v>
      </c>
      <c r="O2521" s="7" t="s">
        <v>4141</v>
      </c>
      <c r="P2521" s="7" t="s">
        <v>3493</v>
      </c>
      <c r="Q2521" s="7">
        <v>1.0</v>
      </c>
    </row>
    <row r="2522">
      <c r="A2522" s="7" t="s">
        <v>18194</v>
      </c>
      <c r="B2522" s="7">
        <v>3000913.0</v>
      </c>
      <c r="C2522" s="7" t="s">
        <v>9704</v>
      </c>
      <c r="D2522" s="7" t="s">
        <v>18195</v>
      </c>
      <c r="E2522" s="7" t="s">
        <v>9700</v>
      </c>
      <c r="F2522" s="7" t="s">
        <v>18195</v>
      </c>
      <c r="G2522" s="7" t="s">
        <v>18196</v>
      </c>
      <c r="H2522" s="7" t="s">
        <v>18197</v>
      </c>
      <c r="I2522" s="119">
        <v>45839.0</v>
      </c>
      <c r="K2522" s="7" t="s">
        <v>419</v>
      </c>
      <c r="L2522" s="7" t="s">
        <v>991</v>
      </c>
      <c r="M2522" s="7" t="s">
        <v>3531</v>
      </c>
      <c r="N2522" s="7" t="s">
        <v>4393</v>
      </c>
      <c r="O2522" s="7" t="s">
        <v>4394</v>
      </c>
      <c r="P2522" s="7" t="s">
        <v>3493</v>
      </c>
      <c r="Q2522" s="7">
        <v>1.0</v>
      </c>
    </row>
    <row r="2523">
      <c r="A2523" s="7" t="s">
        <v>18198</v>
      </c>
      <c r="B2523" s="7">
        <v>3000905.0</v>
      </c>
      <c r="C2523" s="7" t="s">
        <v>18199</v>
      </c>
      <c r="D2523" s="7" t="s">
        <v>18200</v>
      </c>
      <c r="E2523" s="7" t="s">
        <v>18201</v>
      </c>
      <c r="F2523" s="7" t="s">
        <v>9862</v>
      </c>
      <c r="G2523" s="7" t="s">
        <v>18202</v>
      </c>
      <c r="H2523" s="7" t="s">
        <v>18203</v>
      </c>
      <c r="I2523" s="119">
        <v>45839.0</v>
      </c>
      <c r="K2523" s="7" t="s">
        <v>3642</v>
      </c>
      <c r="L2523" s="7" t="s">
        <v>991</v>
      </c>
      <c r="M2523" s="7" t="s">
        <v>3501</v>
      </c>
      <c r="N2523" s="7" t="s">
        <v>3643</v>
      </c>
      <c r="O2523" s="7" t="s">
        <v>3644</v>
      </c>
      <c r="P2523" s="7" t="s">
        <v>3493</v>
      </c>
      <c r="Q2523" s="7">
        <v>1.0</v>
      </c>
    </row>
    <row r="2524">
      <c r="A2524" s="7" t="s">
        <v>18204</v>
      </c>
      <c r="B2524" s="7">
        <v>3000906.0</v>
      </c>
      <c r="C2524" s="7" t="s">
        <v>10005</v>
      </c>
      <c r="D2524" s="7" t="s">
        <v>12892</v>
      </c>
      <c r="E2524" s="7" t="s">
        <v>10006</v>
      </c>
      <c r="F2524" s="7" t="s">
        <v>9184</v>
      </c>
      <c r="G2524" s="7" t="s">
        <v>18205</v>
      </c>
      <c r="H2524" s="7" t="s">
        <v>18206</v>
      </c>
      <c r="I2524" s="119">
        <v>45839.0</v>
      </c>
      <c r="K2524" s="7" t="s">
        <v>419</v>
      </c>
      <c r="L2524" s="7" t="s">
        <v>991</v>
      </c>
      <c r="M2524" s="7" t="s">
        <v>3531</v>
      </c>
      <c r="N2524" s="7" t="s">
        <v>6487</v>
      </c>
      <c r="O2524" s="7" t="s">
        <v>6534</v>
      </c>
      <c r="P2524" s="7" t="s">
        <v>3493</v>
      </c>
      <c r="Q2524" s="7">
        <v>1.0</v>
      </c>
    </row>
    <row r="2525">
      <c r="A2525" s="7" t="s">
        <v>18207</v>
      </c>
      <c r="B2525" s="7">
        <v>3000901.0</v>
      </c>
      <c r="C2525" s="7" t="s">
        <v>18208</v>
      </c>
      <c r="D2525" s="7" t="s">
        <v>4066</v>
      </c>
      <c r="E2525" s="7" t="s">
        <v>18209</v>
      </c>
      <c r="F2525" s="7" t="s">
        <v>4068</v>
      </c>
      <c r="G2525" s="7" t="s">
        <v>18210</v>
      </c>
      <c r="H2525" s="7" t="s">
        <v>18211</v>
      </c>
      <c r="I2525" s="119">
        <v>45839.0</v>
      </c>
      <c r="K2525" s="7" t="s">
        <v>419</v>
      </c>
      <c r="L2525" s="7" t="s">
        <v>991</v>
      </c>
      <c r="M2525" s="7" t="s">
        <v>3531</v>
      </c>
      <c r="N2525" s="7" t="s">
        <v>6473</v>
      </c>
      <c r="O2525" s="7" t="s">
        <v>6474</v>
      </c>
      <c r="P2525" s="7" t="s">
        <v>3493</v>
      </c>
      <c r="Q2525" s="7">
        <v>1.0</v>
      </c>
    </row>
    <row r="2526">
      <c r="A2526" s="7" t="s">
        <v>18212</v>
      </c>
      <c r="B2526" s="7">
        <v>3000917.0</v>
      </c>
      <c r="C2526" s="7" t="s">
        <v>10090</v>
      </c>
      <c r="D2526" s="7" t="s">
        <v>18213</v>
      </c>
      <c r="E2526" s="7" t="s">
        <v>10092</v>
      </c>
      <c r="F2526" s="7" t="s">
        <v>3986</v>
      </c>
      <c r="G2526" s="7" t="s">
        <v>18214</v>
      </c>
      <c r="I2526" s="119">
        <v>45839.0</v>
      </c>
      <c r="K2526" s="7" t="s">
        <v>419</v>
      </c>
      <c r="L2526" s="7" t="s">
        <v>991</v>
      </c>
      <c r="M2526" s="7" t="s">
        <v>3531</v>
      </c>
      <c r="N2526" s="7" t="s">
        <v>14207</v>
      </c>
      <c r="O2526" s="7" t="s">
        <v>14208</v>
      </c>
      <c r="P2526" s="7" t="s">
        <v>3493</v>
      </c>
      <c r="Q2526" s="7">
        <v>1.0</v>
      </c>
    </row>
    <row r="2527">
      <c r="A2527" s="7" t="s">
        <v>18215</v>
      </c>
      <c r="B2527" s="7">
        <v>3000878.0</v>
      </c>
      <c r="C2527" s="7" t="s">
        <v>10090</v>
      </c>
      <c r="D2527" s="7" t="s">
        <v>18216</v>
      </c>
      <c r="E2527" s="7" t="s">
        <v>10092</v>
      </c>
      <c r="F2527" s="7" t="s">
        <v>8834</v>
      </c>
      <c r="G2527" s="7" t="s">
        <v>18217</v>
      </c>
      <c r="H2527" s="7" t="s">
        <v>18218</v>
      </c>
      <c r="I2527" s="119">
        <v>45839.0</v>
      </c>
      <c r="K2527" s="7" t="s">
        <v>419</v>
      </c>
      <c r="L2527" s="7" t="s">
        <v>991</v>
      </c>
      <c r="M2527" s="7" t="s">
        <v>3531</v>
      </c>
      <c r="N2527" s="7" t="s">
        <v>10476</v>
      </c>
      <c r="O2527" s="7" t="s">
        <v>17630</v>
      </c>
      <c r="P2527" s="7" t="s">
        <v>3493</v>
      </c>
      <c r="Q2527" s="7">
        <v>1.0</v>
      </c>
    </row>
    <row r="2528">
      <c r="A2528" s="7" t="s">
        <v>18219</v>
      </c>
      <c r="B2528" s="7">
        <v>3000857.0</v>
      </c>
      <c r="C2528" s="7" t="s">
        <v>10138</v>
      </c>
      <c r="D2528" s="7" t="s">
        <v>18220</v>
      </c>
      <c r="E2528" s="7" t="s">
        <v>18221</v>
      </c>
      <c r="F2528" s="7" t="s">
        <v>18222</v>
      </c>
      <c r="G2528" s="7" t="s">
        <v>18223</v>
      </c>
      <c r="H2528" s="7" t="s">
        <v>18224</v>
      </c>
      <c r="I2528" s="119">
        <v>45839.0</v>
      </c>
      <c r="K2528" s="7" t="s">
        <v>3632</v>
      </c>
      <c r="L2528" s="7" t="s">
        <v>991</v>
      </c>
      <c r="M2528" s="7" t="s">
        <v>3501</v>
      </c>
      <c r="N2528" s="7" t="s">
        <v>5052</v>
      </c>
      <c r="O2528" s="7" t="s">
        <v>5053</v>
      </c>
      <c r="P2528" s="7" t="s">
        <v>3522</v>
      </c>
      <c r="Q2528" s="7" t="s">
        <v>3523</v>
      </c>
    </row>
    <row r="2529">
      <c r="A2529" s="7" t="s">
        <v>18225</v>
      </c>
      <c r="B2529" s="7">
        <v>3000870.0</v>
      </c>
      <c r="C2529" s="7" t="s">
        <v>18226</v>
      </c>
      <c r="D2529" s="7" t="s">
        <v>3873</v>
      </c>
      <c r="E2529" s="7" t="s">
        <v>18227</v>
      </c>
      <c r="F2529" s="7" t="s">
        <v>3874</v>
      </c>
      <c r="G2529" s="7" t="s">
        <v>18228</v>
      </c>
      <c r="H2529" s="7" t="s">
        <v>18229</v>
      </c>
      <c r="I2529" s="119">
        <v>45839.0</v>
      </c>
      <c r="K2529" s="7" t="s">
        <v>419</v>
      </c>
      <c r="L2529" s="7" t="s">
        <v>991</v>
      </c>
      <c r="M2529" s="7" t="s">
        <v>3531</v>
      </c>
      <c r="N2529" s="7" t="s">
        <v>6487</v>
      </c>
      <c r="O2529" s="7" t="s">
        <v>6534</v>
      </c>
      <c r="P2529" s="7" t="s">
        <v>3493</v>
      </c>
      <c r="Q2529" s="7">
        <v>1.0</v>
      </c>
    </row>
    <row r="2530">
      <c r="A2530" s="7" t="s">
        <v>18230</v>
      </c>
      <c r="B2530" s="7">
        <v>3000902.0</v>
      </c>
      <c r="C2530" s="7" t="s">
        <v>10832</v>
      </c>
      <c r="D2530" s="7" t="s">
        <v>18231</v>
      </c>
      <c r="E2530" s="7" t="s">
        <v>10834</v>
      </c>
      <c r="F2530" s="7" t="s">
        <v>12435</v>
      </c>
      <c r="G2530" s="7" t="s">
        <v>18232</v>
      </c>
      <c r="H2530" s="7" t="s">
        <v>18233</v>
      </c>
      <c r="I2530" s="119">
        <v>45839.0</v>
      </c>
      <c r="K2530" s="7" t="s">
        <v>419</v>
      </c>
      <c r="L2530" s="7" t="s">
        <v>991</v>
      </c>
      <c r="M2530" s="7" t="s">
        <v>3531</v>
      </c>
      <c r="N2530" s="7" t="s">
        <v>6473</v>
      </c>
      <c r="O2530" s="7" t="s">
        <v>6474</v>
      </c>
      <c r="P2530" s="7" t="s">
        <v>3493</v>
      </c>
      <c r="Q2530" s="7">
        <v>1.0</v>
      </c>
    </row>
    <row r="2531">
      <c r="A2531" s="7" t="s">
        <v>18234</v>
      </c>
      <c r="B2531" s="7">
        <v>3000869.0</v>
      </c>
      <c r="C2531" s="7" t="s">
        <v>11019</v>
      </c>
      <c r="D2531" s="7" t="s">
        <v>4286</v>
      </c>
      <c r="E2531" s="7" t="s">
        <v>11020</v>
      </c>
      <c r="F2531" s="7" t="s">
        <v>4287</v>
      </c>
      <c r="G2531" s="7" t="s">
        <v>18235</v>
      </c>
      <c r="H2531" s="7" t="s">
        <v>18236</v>
      </c>
      <c r="I2531" s="119">
        <v>45839.0</v>
      </c>
      <c r="K2531" s="7" t="s">
        <v>419</v>
      </c>
      <c r="L2531" s="7" t="s">
        <v>991</v>
      </c>
      <c r="M2531" s="7" t="s">
        <v>3531</v>
      </c>
      <c r="N2531" s="7" t="s">
        <v>10722</v>
      </c>
      <c r="O2531" s="7" t="s">
        <v>11045</v>
      </c>
      <c r="P2531" s="7" t="s">
        <v>3493</v>
      </c>
      <c r="Q2531" s="7">
        <v>1.0</v>
      </c>
    </row>
    <row r="2532">
      <c r="A2532" s="7" t="s">
        <v>18237</v>
      </c>
      <c r="B2532" s="7">
        <v>3000867.0</v>
      </c>
      <c r="C2532" s="7" t="s">
        <v>18238</v>
      </c>
      <c r="D2532" s="7" t="s">
        <v>18239</v>
      </c>
      <c r="E2532" s="7" t="s">
        <v>18240</v>
      </c>
      <c r="F2532" s="7" t="s">
        <v>18241</v>
      </c>
      <c r="G2532" s="7" t="s">
        <v>18242</v>
      </c>
      <c r="H2532" s="7" t="s">
        <v>18243</v>
      </c>
      <c r="I2532" s="119">
        <v>45839.0</v>
      </c>
      <c r="K2532" s="7" t="s">
        <v>15381</v>
      </c>
      <c r="L2532" s="7" t="s">
        <v>991</v>
      </c>
      <c r="M2532" s="7" t="s">
        <v>3531</v>
      </c>
      <c r="N2532" s="7" t="s">
        <v>15382</v>
      </c>
      <c r="O2532" s="7" t="s">
        <v>15383</v>
      </c>
      <c r="P2532" s="7" t="s">
        <v>3493</v>
      </c>
      <c r="Q2532" s="7">
        <v>1.0</v>
      </c>
    </row>
    <row r="2533">
      <c r="A2533" s="7" t="s">
        <v>18244</v>
      </c>
      <c r="B2533" s="7">
        <v>3000871.0</v>
      </c>
      <c r="C2533" s="7" t="s">
        <v>18245</v>
      </c>
      <c r="D2533" s="7" t="s">
        <v>11137</v>
      </c>
      <c r="E2533" s="7" t="s">
        <v>18246</v>
      </c>
      <c r="F2533" s="7" t="s">
        <v>6335</v>
      </c>
      <c r="G2533" s="7" t="s">
        <v>18247</v>
      </c>
      <c r="H2533" s="7" t="s">
        <v>18248</v>
      </c>
      <c r="I2533" s="119">
        <v>45839.0</v>
      </c>
      <c r="K2533" s="7" t="s">
        <v>419</v>
      </c>
      <c r="L2533" s="7" t="s">
        <v>991</v>
      </c>
      <c r="M2533" s="7" t="s">
        <v>3531</v>
      </c>
      <c r="N2533" s="7" t="s">
        <v>3957</v>
      </c>
      <c r="O2533" s="7" t="s">
        <v>3958</v>
      </c>
      <c r="P2533" s="7" t="s">
        <v>3493</v>
      </c>
      <c r="Q2533" s="7">
        <v>1.0</v>
      </c>
    </row>
    <row r="2534">
      <c r="A2534" s="7" t="s">
        <v>18249</v>
      </c>
      <c r="B2534" s="7">
        <v>3000884.0</v>
      </c>
      <c r="C2534" s="7" t="s">
        <v>11265</v>
      </c>
      <c r="D2534" s="7" t="s">
        <v>18250</v>
      </c>
      <c r="E2534" s="7" t="s">
        <v>11267</v>
      </c>
      <c r="F2534" s="7" t="s">
        <v>6089</v>
      </c>
      <c r="G2534" s="7" t="s">
        <v>18251</v>
      </c>
      <c r="H2534" s="7" t="s">
        <v>18252</v>
      </c>
      <c r="I2534" s="119">
        <v>45839.0</v>
      </c>
      <c r="K2534" s="7" t="s">
        <v>419</v>
      </c>
      <c r="L2534" s="7" t="s">
        <v>991</v>
      </c>
      <c r="M2534" s="7" t="s">
        <v>3531</v>
      </c>
      <c r="N2534" s="7" t="s">
        <v>3724</v>
      </c>
      <c r="O2534" s="7" t="s">
        <v>3725</v>
      </c>
      <c r="P2534" s="7" t="s">
        <v>3493</v>
      </c>
      <c r="Q2534" s="7">
        <v>1.0</v>
      </c>
    </row>
    <row r="2535">
      <c r="A2535" s="7" t="s">
        <v>18253</v>
      </c>
      <c r="B2535" s="7">
        <v>3000859.0</v>
      </c>
      <c r="C2535" s="7" t="s">
        <v>11265</v>
      </c>
      <c r="D2535" s="7" t="s">
        <v>18254</v>
      </c>
      <c r="E2535" s="7" t="s">
        <v>11267</v>
      </c>
      <c r="F2535" s="7" t="s">
        <v>11202</v>
      </c>
      <c r="G2535" s="7" t="s">
        <v>18255</v>
      </c>
      <c r="H2535" s="7" t="s">
        <v>18256</v>
      </c>
      <c r="I2535" s="119">
        <v>45839.0</v>
      </c>
      <c r="K2535" s="7" t="s">
        <v>3632</v>
      </c>
      <c r="L2535" s="7" t="s">
        <v>991</v>
      </c>
      <c r="M2535" s="7" t="s">
        <v>3531</v>
      </c>
      <c r="N2535" s="7" t="s">
        <v>4112</v>
      </c>
      <c r="O2535" s="7" t="s">
        <v>11150</v>
      </c>
      <c r="P2535" s="7" t="s">
        <v>3493</v>
      </c>
      <c r="Q2535" s="7">
        <v>1.0</v>
      </c>
    </row>
    <row r="2536">
      <c r="A2536" s="7" t="s">
        <v>18257</v>
      </c>
      <c r="B2536" s="7">
        <v>3000894.0</v>
      </c>
      <c r="C2536" s="7" t="s">
        <v>11468</v>
      </c>
      <c r="D2536" s="7" t="s">
        <v>18258</v>
      </c>
      <c r="E2536" s="7" t="s">
        <v>11475</v>
      </c>
      <c r="F2536" s="7" t="s">
        <v>7887</v>
      </c>
      <c r="G2536" s="7" t="s">
        <v>18259</v>
      </c>
      <c r="H2536" s="7" t="s">
        <v>18260</v>
      </c>
      <c r="I2536" s="119">
        <v>45839.0</v>
      </c>
      <c r="K2536" s="7" t="s">
        <v>17988</v>
      </c>
      <c r="L2536" s="7" t="s">
        <v>991</v>
      </c>
      <c r="M2536" s="7" t="s">
        <v>3501</v>
      </c>
      <c r="N2536" s="7" t="s">
        <v>17989</v>
      </c>
      <c r="O2536" s="7" t="s">
        <v>17990</v>
      </c>
      <c r="P2536" s="7" t="s">
        <v>3493</v>
      </c>
      <c r="Q2536" s="7">
        <v>1.0</v>
      </c>
    </row>
    <row r="2537">
      <c r="A2537" s="7" t="s">
        <v>18261</v>
      </c>
      <c r="B2537" s="7">
        <v>3000849.0</v>
      </c>
      <c r="C2537" s="7" t="s">
        <v>18262</v>
      </c>
      <c r="D2537" s="7" t="s">
        <v>18263</v>
      </c>
      <c r="E2537" s="7" t="s">
        <v>18264</v>
      </c>
      <c r="F2537" s="7" t="s">
        <v>7637</v>
      </c>
      <c r="G2537" s="7" t="s">
        <v>18265</v>
      </c>
      <c r="H2537" s="7" t="s">
        <v>18266</v>
      </c>
      <c r="I2537" s="119">
        <v>45839.0</v>
      </c>
      <c r="K2537" s="7" t="s">
        <v>419</v>
      </c>
      <c r="L2537" s="7" t="s">
        <v>991</v>
      </c>
      <c r="M2537" s="7" t="s">
        <v>3490</v>
      </c>
      <c r="N2537" s="7" t="s">
        <v>7662</v>
      </c>
      <c r="O2537" s="7" t="s">
        <v>7663</v>
      </c>
      <c r="P2537" s="7" t="s">
        <v>3493</v>
      </c>
      <c r="Q2537" s="7">
        <v>1.0</v>
      </c>
    </row>
    <row r="2538">
      <c r="A2538" s="7" t="s">
        <v>18267</v>
      </c>
      <c r="B2538" s="7">
        <v>3000900.0</v>
      </c>
      <c r="C2538" s="7" t="s">
        <v>11715</v>
      </c>
      <c r="D2538" s="7" t="s">
        <v>18268</v>
      </c>
      <c r="E2538" s="7" t="s">
        <v>11717</v>
      </c>
      <c r="F2538" s="7" t="s">
        <v>5312</v>
      </c>
      <c r="G2538" s="7" t="s">
        <v>18269</v>
      </c>
      <c r="H2538" s="7" t="s">
        <v>18270</v>
      </c>
      <c r="I2538" s="119">
        <v>45839.0</v>
      </c>
      <c r="K2538" s="7" t="s">
        <v>419</v>
      </c>
      <c r="L2538" s="7" t="s">
        <v>991</v>
      </c>
      <c r="M2538" s="7" t="s">
        <v>3531</v>
      </c>
      <c r="N2538" s="7" t="s">
        <v>8379</v>
      </c>
      <c r="O2538" s="7" t="s">
        <v>16162</v>
      </c>
      <c r="P2538" s="7" t="s">
        <v>3493</v>
      </c>
      <c r="Q2538" s="7">
        <v>1.0</v>
      </c>
    </row>
    <row r="2539">
      <c r="A2539" s="7" t="s">
        <v>18271</v>
      </c>
      <c r="B2539" s="7">
        <v>3000893.0</v>
      </c>
      <c r="C2539" s="7" t="s">
        <v>11715</v>
      </c>
      <c r="D2539" s="7" t="s">
        <v>17976</v>
      </c>
      <c r="E2539" s="7" t="s">
        <v>11717</v>
      </c>
      <c r="F2539" s="7" t="s">
        <v>8036</v>
      </c>
      <c r="G2539" s="7" t="s">
        <v>18272</v>
      </c>
      <c r="H2539" s="7" t="s">
        <v>18273</v>
      </c>
      <c r="I2539" s="119">
        <v>45839.0</v>
      </c>
      <c r="K2539" s="7" t="s">
        <v>17988</v>
      </c>
      <c r="L2539" s="7" t="s">
        <v>991</v>
      </c>
      <c r="M2539" s="7" t="s">
        <v>3501</v>
      </c>
      <c r="N2539" s="7" t="s">
        <v>17989</v>
      </c>
      <c r="O2539" s="7" t="s">
        <v>17990</v>
      </c>
      <c r="P2539" s="7" t="s">
        <v>3493</v>
      </c>
      <c r="Q2539" s="7">
        <v>1.0</v>
      </c>
    </row>
    <row r="2540">
      <c r="A2540" s="7" t="s">
        <v>18274</v>
      </c>
      <c r="B2540" s="7">
        <v>3000776.0</v>
      </c>
      <c r="C2540" s="7" t="s">
        <v>18275</v>
      </c>
      <c r="D2540" s="7" t="s">
        <v>18276</v>
      </c>
      <c r="E2540" s="7" t="s">
        <v>18277</v>
      </c>
      <c r="F2540" s="7" t="s">
        <v>8007</v>
      </c>
      <c r="G2540" s="7" t="s">
        <v>18278</v>
      </c>
      <c r="H2540" s="7" t="s">
        <v>18279</v>
      </c>
      <c r="I2540" s="119">
        <v>45839.0</v>
      </c>
      <c r="K2540" s="7" t="s">
        <v>6124</v>
      </c>
      <c r="L2540" s="7" t="s">
        <v>3542</v>
      </c>
      <c r="M2540" s="7" t="s">
        <v>3543</v>
      </c>
      <c r="N2540" s="7" t="s">
        <v>6125</v>
      </c>
      <c r="O2540" s="7" t="s">
        <v>6126</v>
      </c>
      <c r="P2540" s="7" t="s">
        <v>3522</v>
      </c>
      <c r="Q2540" s="7" t="s">
        <v>3514</v>
      </c>
    </row>
    <row r="2541">
      <c r="A2541" s="7" t="s">
        <v>18280</v>
      </c>
      <c r="B2541" s="7">
        <v>3000873.0</v>
      </c>
      <c r="C2541" s="7" t="s">
        <v>18281</v>
      </c>
      <c r="D2541" s="7" t="s">
        <v>11729</v>
      </c>
      <c r="E2541" s="7" t="s">
        <v>18282</v>
      </c>
      <c r="F2541" s="7" t="s">
        <v>4751</v>
      </c>
      <c r="G2541" s="7" t="s">
        <v>18283</v>
      </c>
      <c r="H2541" s="7" t="s">
        <v>18284</v>
      </c>
      <c r="I2541" s="119">
        <v>45839.0</v>
      </c>
      <c r="K2541" s="7" t="s">
        <v>419</v>
      </c>
      <c r="L2541" s="7" t="s">
        <v>991</v>
      </c>
      <c r="M2541" s="7" t="s">
        <v>3531</v>
      </c>
      <c r="N2541" s="7" t="s">
        <v>3769</v>
      </c>
      <c r="O2541" s="7" t="s">
        <v>5454</v>
      </c>
      <c r="P2541" s="7" t="s">
        <v>3493</v>
      </c>
      <c r="Q2541" s="7">
        <v>1.0</v>
      </c>
    </row>
    <row r="2542">
      <c r="A2542" s="7" t="s">
        <v>18285</v>
      </c>
      <c r="B2542" s="7">
        <v>3000889.0</v>
      </c>
      <c r="C2542" s="7" t="s">
        <v>15661</v>
      </c>
      <c r="D2542" s="7" t="s">
        <v>3780</v>
      </c>
      <c r="E2542" s="7" t="s">
        <v>15663</v>
      </c>
      <c r="F2542" s="7" t="s">
        <v>3781</v>
      </c>
      <c r="G2542" s="7" t="s">
        <v>18286</v>
      </c>
      <c r="H2542" s="7" t="s">
        <v>18287</v>
      </c>
      <c r="I2542" s="119">
        <v>45839.0</v>
      </c>
      <c r="K2542" s="7" t="s">
        <v>419</v>
      </c>
      <c r="L2542" s="7" t="s">
        <v>991</v>
      </c>
      <c r="M2542" s="7" t="s">
        <v>3531</v>
      </c>
      <c r="N2542" s="7" t="s">
        <v>3724</v>
      </c>
      <c r="O2542" s="7" t="s">
        <v>3725</v>
      </c>
      <c r="P2542" s="7" t="s">
        <v>3493</v>
      </c>
      <c r="Q2542" s="7">
        <v>1.0</v>
      </c>
    </row>
    <row r="2543">
      <c r="A2543" s="7" t="s">
        <v>18288</v>
      </c>
      <c r="B2543" s="7">
        <v>3000882.0</v>
      </c>
      <c r="C2543" s="7" t="s">
        <v>18289</v>
      </c>
      <c r="D2543" s="7" t="s">
        <v>18290</v>
      </c>
      <c r="E2543" s="7" t="s">
        <v>18291</v>
      </c>
      <c r="F2543" s="7" t="s">
        <v>3571</v>
      </c>
      <c r="G2543" s="7" t="s">
        <v>18292</v>
      </c>
      <c r="H2543" s="7" t="s">
        <v>18293</v>
      </c>
      <c r="I2543" s="119">
        <v>45839.0</v>
      </c>
      <c r="K2543" s="7" t="s">
        <v>419</v>
      </c>
      <c r="L2543" s="7" t="s">
        <v>991</v>
      </c>
      <c r="M2543" s="7" t="s">
        <v>3531</v>
      </c>
      <c r="N2543" s="7" t="s">
        <v>3724</v>
      </c>
      <c r="O2543" s="7" t="s">
        <v>3725</v>
      </c>
      <c r="P2543" s="7" t="s">
        <v>3493</v>
      </c>
      <c r="Q2543" s="7">
        <v>1.0</v>
      </c>
    </row>
    <row r="2544">
      <c r="A2544" s="7" t="s">
        <v>18294</v>
      </c>
      <c r="B2544" s="7">
        <v>3000766.0</v>
      </c>
      <c r="C2544" s="7" t="s">
        <v>12853</v>
      </c>
      <c r="D2544" s="7" t="s">
        <v>18156</v>
      </c>
      <c r="E2544" s="7" t="s">
        <v>12855</v>
      </c>
      <c r="F2544" s="7" t="s">
        <v>4336</v>
      </c>
      <c r="G2544" s="7" t="s">
        <v>18295</v>
      </c>
      <c r="H2544" s="7" t="s">
        <v>18296</v>
      </c>
      <c r="I2544" s="119">
        <v>45839.0</v>
      </c>
      <c r="K2544" s="7" t="s">
        <v>419</v>
      </c>
      <c r="L2544" s="7" t="s">
        <v>991</v>
      </c>
      <c r="M2544" s="7" t="s">
        <v>3501</v>
      </c>
      <c r="N2544" s="7" t="s">
        <v>4535</v>
      </c>
      <c r="O2544" s="7" t="s">
        <v>4536</v>
      </c>
      <c r="P2544" s="7" t="s">
        <v>3493</v>
      </c>
      <c r="Q2544" s="7">
        <v>1.0</v>
      </c>
    </row>
    <row r="2545">
      <c r="A2545" s="7" t="s">
        <v>18297</v>
      </c>
      <c r="B2545" s="7">
        <v>3000860.0</v>
      </c>
      <c r="C2545" s="7" t="s">
        <v>13217</v>
      </c>
      <c r="D2545" s="7" t="s">
        <v>14528</v>
      </c>
      <c r="E2545" s="7" t="s">
        <v>13219</v>
      </c>
      <c r="F2545" s="7" t="s">
        <v>3874</v>
      </c>
      <c r="G2545" s="7" t="s">
        <v>18298</v>
      </c>
      <c r="H2545" s="7" t="s">
        <v>18299</v>
      </c>
      <c r="I2545" s="119">
        <v>45839.0</v>
      </c>
      <c r="K2545" s="7" t="s">
        <v>3632</v>
      </c>
      <c r="L2545" s="7" t="s">
        <v>991</v>
      </c>
      <c r="M2545" s="7" t="s">
        <v>3583</v>
      </c>
      <c r="N2545" s="7" t="s">
        <v>4190</v>
      </c>
      <c r="O2545" s="7" t="s">
        <v>7052</v>
      </c>
      <c r="P2545" s="7" t="s">
        <v>3522</v>
      </c>
      <c r="Q2545" s="7" t="s">
        <v>3523</v>
      </c>
    </row>
    <row r="2546">
      <c r="A2546" s="7" t="s">
        <v>18300</v>
      </c>
      <c r="B2546" s="7">
        <v>3000876.0</v>
      </c>
      <c r="C2546" s="7" t="s">
        <v>16807</v>
      </c>
      <c r="D2546" s="7" t="s">
        <v>18301</v>
      </c>
      <c r="E2546" s="7" t="s">
        <v>16809</v>
      </c>
      <c r="F2546" s="7" t="s">
        <v>5849</v>
      </c>
      <c r="G2546" s="7" t="s">
        <v>18302</v>
      </c>
      <c r="H2546" s="7" t="s">
        <v>18303</v>
      </c>
      <c r="I2546" s="119">
        <v>45839.0</v>
      </c>
      <c r="K2546" s="7" t="s">
        <v>17988</v>
      </c>
      <c r="L2546" s="7" t="s">
        <v>991</v>
      </c>
      <c r="M2546" s="7" t="s">
        <v>3501</v>
      </c>
      <c r="N2546" s="7" t="s">
        <v>17989</v>
      </c>
      <c r="O2546" s="7" t="s">
        <v>17990</v>
      </c>
      <c r="P2546" s="7" t="s">
        <v>3493</v>
      </c>
      <c r="Q2546" s="7">
        <v>1.0</v>
      </c>
    </row>
    <row r="2547">
      <c r="A2547" s="7" t="s">
        <v>18304</v>
      </c>
      <c r="B2547" s="7">
        <v>3000877.0</v>
      </c>
      <c r="C2547" s="7" t="s">
        <v>13801</v>
      </c>
      <c r="D2547" s="7" t="s">
        <v>17367</v>
      </c>
      <c r="E2547" s="7" t="s">
        <v>13803</v>
      </c>
      <c r="F2547" s="7" t="s">
        <v>6859</v>
      </c>
      <c r="G2547" s="7" t="s">
        <v>18305</v>
      </c>
      <c r="H2547" s="7" t="s">
        <v>18306</v>
      </c>
      <c r="I2547" s="119">
        <v>45839.0</v>
      </c>
      <c r="K2547" s="7" t="s">
        <v>17988</v>
      </c>
      <c r="L2547" s="7" t="s">
        <v>991</v>
      </c>
      <c r="M2547" s="7" t="s">
        <v>3490</v>
      </c>
      <c r="N2547" s="7" t="s">
        <v>17989</v>
      </c>
      <c r="O2547" s="7" t="s">
        <v>17990</v>
      </c>
      <c r="P2547" s="7" t="s">
        <v>3493</v>
      </c>
      <c r="Q2547" s="7">
        <v>1.0</v>
      </c>
    </row>
    <row r="2548">
      <c r="A2548" s="7" t="s">
        <v>18307</v>
      </c>
      <c r="B2548" s="7">
        <v>3000912.0</v>
      </c>
      <c r="C2548" s="7" t="s">
        <v>13801</v>
      </c>
      <c r="D2548" s="7" t="s">
        <v>18308</v>
      </c>
      <c r="E2548" s="7" t="s">
        <v>13803</v>
      </c>
      <c r="F2548" s="7" t="s">
        <v>18309</v>
      </c>
      <c r="G2548" s="7" t="s">
        <v>18310</v>
      </c>
      <c r="H2548" s="7" t="s">
        <v>18311</v>
      </c>
      <c r="I2548" s="119">
        <v>45839.0</v>
      </c>
      <c r="K2548" s="7" t="s">
        <v>4042</v>
      </c>
      <c r="L2548" s="7" t="s">
        <v>991</v>
      </c>
      <c r="M2548" s="7" t="s">
        <v>3531</v>
      </c>
      <c r="N2548" s="7" t="s">
        <v>4043</v>
      </c>
      <c r="O2548" s="7" t="s">
        <v>4044</v>
      </c>
      <c r="P2548" s="7" t="s">
        <v>3493</v>
      </c>
      <c r="Q2548" s="7">
        <v>1.0</v>
      </c>
    </row>
    <row r="2549">
      <c r="A2549" s="7" t="s">
        <v>18312</v>
      </c>
      <c r="B2549" s="7">
        <v>3000903.0</v>
      </c>
      <c r="C2549" s="7" t="s">
        <v>13801</v>
      </c>
      <c r="D2549" s="7" t="s">
        <v>7600</v>
      </c>
      <c r="E2549" s="7" t="s">
        <v>13803</v>
      </c>
      <c r="F2549" s="7" t="s">
        <v>7600</v>
      </c>
      <c r="G2549" s="7" t="s">
        <v>18313</v>
      </c>
      <c r="H2549" s="7" t="s">
        <v>18314</v>
      </c>
      <c r="I2549" s="119">
        <v>45839.0</v>
      </c>
      <c r="K2549" s="7" t="s">
        <v>3642</v>
      </c>
      <c r="L2549" s="7" t="s">
        <v>991</v>
      </c>
      <c r="M2549" s="7" t="s">
        <v>3501</v>
      </c>
      <c r="N2549" s="7" t="s">
        <v>3643</v>
      </c>
      <c r="O2549" s="7" t="s">
        <v>3644</v>
      </c>
      <c r="P2549" s="7" t="s">
        <v>3493</v>
      </c>
      <c r="Q2549" s="7">
        <v>1.0</v>
      </c>
    </row>
    <row r="2550">
      <c r="A2550" s="7" t="s">
        <v>18315</v>
      </c>
      <c r="B2550" s="7">
        <v>3000852.0</v>
      </c>
      <c r="C2550" s="7" t="s">
        <v>13880</v>
      </c>
      <c r="D2550" s="7" t="s">
        <v>18316</v>
      </c>
      <c r="E2550" s="7" t="s">
        <v>13881</v>
      </c>
      <c r="F2550" s="7" t="s">
        <v>8605</v>
      </c>
      <c r="G2550" s="7" t="s">
        <v>18317</v>
      </c>
      <c r="H2550" s="7" t="s">
        <v>18318</v>
      </c>
      <c r="I2550" s="119">
        <v>45839.0</v>
      </c>
      <c r="K2550" s="7" t="s">
        <v>419</v>
      </c>
      <c r="L2550" s="7" t="s">
        <v>991</v>
      </c>
      <c r="M2550" s="7" t="s">
        <v>3866</v>
      </c>
      <c r="N2550" s="7" t="s">
        <v>16327</v>
      </c>
      <c r="O2550" s="7" t="s">
        <v>18319</v>
      </c>
      <c r="P2550" s="7" t="s">
        <v>3522</v>
      </c>
      <c r="Q2550" s="7" t="s">
        <v>3523</v>
      </c>
    </row>
    <row r="2551">
      <c r="A2551" s="7" t="s">
        <v>18320</v>
      </c>
      <c r="B2551" s="7">
        <v>3000793.0</v>
      </c>
      <c r="C2551" s="7" t="s">
        <v>13880</v>
      </c>
      <c r="D2551" s="7" t="s">
        <v>18321</v>
      </c>
      <c r="E2551" s="7" t="s">
        <v>13881</v>
      </c>
      <c r="F2551" s="7" t="s">
        <v>5417</v>
      </c>
      <c r="G2551" s="7" t="s">
        <v>18322</v>
      </c>
      <c r="H2551" s="7" t="s">
        <v>18323</v>
      </c>
      <c r="I2551" s="119">
        <v>45839.0</v>
      </c>
      <c r="K2551" s="7" t="s">
        <v>419</v>
      </c>
      <c r="L2551" s="7" t="s">
        <v>991</v>
      </c>
      <c r="M2551" s="7" t="s">
        <v>3501</v>
      </c>
      <c r="N2551" s="7" t="s">
        <v>6083</v>
      </c>
      <c r="O2551" s="7" t="s">
        <v>6084</v>
      </c>
      <c r="P2551" s="7" t="s">
        <v>3493</v>
      </c>
      <c r="Q2551" s="7">
        <v>1.0</v>
      </c>
    </row>
    <row r="2552">
      <c r="A2552" s="7" t="s">
        <v>18324</v>
      </c>
      <c r="B2552" s="7">
        <v>3000865.0</v>
      </c>
      <c r="C2552" s="7" t="s">
        <v>13943</v>
      </c>
      <c r="D2552" s="7" t="s">
        <v>18325</v>
      </c>
      <c r="E2552" s="7" t="s">
        <v>13945</v>
      </c>
      <c r="F2552" s="7" t="s">
        <v>18326</v>
      </c>
      <c r="G2552" s="7" t="s">
        <v>18327</v>
      </c>
      <c r="H2552" s="7" t="s">
        <v>18328</v>
      </c>
      <c r="I2552" s="119">
        <v>45839.0</v>
      </c>
      <c r="K2552" s="7" t="s">
        <v>419</v>
      </c>
      <c r="L2552" s="7" t="s">
        <v>991</v>
      </c>
      <c r="M2552" s="7" t="s">
        <v>3531</v>
      </c>
      <c r="N2552" s="7" t="s">
        <v>4444</v>
      </c>
      <c r="O2552" s="7" t="s">
        <v>4445</v>
      </c>
      <c r="P2552" s="7" t="s">
        <v>3493</v>
      </c>
      <c r="Q2552" s="7">
        <v>1.0</v>
      </c>
    </row>
    <row r="2553">
      <c r="A2553" s="7" t="s">
        <v>18329</v>
      </c>
      <c r="B2553" s="7">
        <v>3000896.0</v>
      </c>
      <c r="C2553" s="7" t="s">
        <v>14145</v>
      </c>
      <c r="D2553" s="7" t="s">
        <v>6658</v>
      </c>
      <c r="E2553" s="7" t="s">
        <v>14147</v>
      </c>
      <c r="F2553" s="7" t="s">
        <v>8668</v>
      </c>
      <c r="G2553" s="7" t="s">
        <v>18330</v>
      </c>
      <c r="H2553" s="7" t="s">
        <v>18331</v>
      </c>
      <c r="I2553" s="119">
        <v>45839.0</v>
      </c>
      <c r="K2553" s="7" t="s">
        <v>419</v>
      </c>
      <c r="L2553" s="7" t="s">
        <v>991</v>
      </c>
      <c r="M2553" s="7" t="s">
        <v>3531</v>
      </c>
      <c r="N2553" s="7" t="s">
        <v>3652</v>
      </c>
      <c r="O2553" s="7" t="s">
        <v>3653</v>
      </c>
      <c r="P2553" s="7" t="s">
        <v>3493</v>
      </c>
      <c r="Q2553" s="7">
        <v>1.0</v>
      </c>
    </row>
    <row r="2554">
      <c r="A2554" s="7" t="s">
        <v>18332</v>
      </c>
      <c r="B2554" s="7">
        <v>3000924.0</v>
      </c>
      <c r="C2554" s="7" t="s">
        <v>3771</v>
      </c>
      <c r="D2554" s="7" t="s">
        <v>18333</v>
      </c>
      <c r="E2554" s="7" t="s">
        <v>3773</v>
      </c>
      <c r="F2554" s="7" t="s">
        <v>3792</v>
      </c>
      <c r="G2554" s="7" t="s">
        <v>18334</v>
      </c>
      <c r="H2554" s="7" t="s">
        <v>18335</v>
      </c>
      <c r="I2554" s="119">
        <v>45854.0</v>
      </c>
      <c r="K2554" s="7" t="s">
        <v>419</v>
      </c>
      <c r="L2554" s="7" t="s">
        <v>991</v>
      </c>
      <c r="M2554" s="7" t="s">
        <v>3501</v>
      </c>
      <c r="N2554" s="7" t="s">
        <v>7662</v>
      </c>
      <c r="O2554" s="7" t="s">
        <v>7663</v>
      </c>
      <c r="P2554" s="7" t="s">
        <v>3493</v>
      </c>
      <c r="Q2554" s="7">
        <v>1.0</v>
      </c>
    </row>
    <row r="2555">
      <c r="A2555" s="7" t="s">
        <v>18336</v>
      </c>
      <c r="B2555" s="7">
        <v>3000946.0</v>
      </c>
      <c r="C2555" s="7" t="s">
        <v>18337</v>
      </c>
      <c r="D2555" s="7" t="s">
        <v>5859</v>
      </c>
      <c r="E2555" s="7" t="s">
        <v>18338</v>
      </c>
      <c r="F2555" s="7" t="s">
        <v>5860</v>
      </c>
      <c r="G2555" s="7" t="s">
        <v>18339</v>
      </c>
      <c r="H2555" s="7" t="s">
        <v>18340</v>
      </c>
      <c r="I2555" s="119">
        <v>45854.0</v>
      </c>
      <c r="K2555" s="7" t="s">
        <v>17988</v>
      </c>
      <c r="L2555" s="7" t="s">
        <v>991</v>
      </c>
      <c r="M2555" s="7" t="s">
        <v>3501</v>
      </c>
      <c r="N2555" s="7" t="s">
        <v>17989</v>
      </c>
      <c r="O2555" s="7" t="s">
        <v>17990</v>
      </c>
      <c r="P2555" s="7" t="s">
        <v>3493</v>
      </c>
      <c r="Q2555" s="7">
        <v>1.0</v>
      </c>
    </row>
    <row r="2556">
      <c r="A2556" s="7" t="s">
        <v>18341</v>
      </c>
      <c r="B2556" s="7">
        <v>3000929.0</v>
      </c>
      <c r="C2556" s="7" t="s">
        <v>18342</v>
      </c>
      <c r="D2556" s="7" t="s">
        <v>18343</v>
      </c>
      <c r="E2556" s="7" t="s">
        <v>18344</v>
      </c>
      <c r="F2556" s="7" t="s">
        <v>18345</v>
      </c>
      <c r="G2556" s="7" t="s">
        <v>18346</v>
      </c>
      <c r="H2556" s="7" t="s">
        <v>18347</v>
      </c>
      <c r="I2556" s="119">
        <v>45854.0</v>
      </c>
      <c r="K2556" s="7" t="s">
        <v>419</v>
      </c>
      <c r="L2556" s="7" t="s">
        <v>991</v>
      </c>
      <c r="M2556" s="7" t="s">
        <v>3531</v>
      </c>
      <c r="N2556" s="7" t="s">
        <v>8550</v>
      </c>
      <c r="O2556" s="7" t="s">
        <v>8551</v>
      </c>
      <c r="P2556" s="7" t="s">
        <v>3493</v>
      </c>
      <c r="Q2556" s="7">
        <v>1.0</v>
      </c>
    </row>
    <row r="2557">
      <c r="A2557" s="7" t="s">
        <v>18348</v>
      </c>
      <c r="B2557" s="7">
        <v>3000933.0</v>
      </c>
      <c r="C2557" s="7" t="s">
        <v>5018</v>
      </c>
      <c r="D2557" s="7" t="s">
        <v>18349</v>
      </c>
      <c r="E2557" s="7" t="s">
        <v>5019</v>
      </c>
      <c r="F2557" s="7" t="s">
        <v>3549</v>
      </c>
      <c r="G2557" s="7" t="s">
        <v>18350</v>
      </c>
      <c r="H2557" s="7" t="s">
        <v>18351</v>
      </c>
      <c r="I2557" s="119">
        <v>45854.0</v>
      </c>
      <c r="K2557" s="7" t="s">
        <v>419</v>
      </c>
      <c r="L2557" s="7" t="s">
        <v>991</v>
      </c>
      <c r="M2557" s="7" t="s">
        <v>3531</v>
      </c>
      <c r="N2557" s="7" t="s">
        <v>4834</v>
      </c>
      <c r="O2557" s="7" t="s">
        <v>4835</v>
      </c>
      <c r="P2557" s="7" t="s">
        <v>3493</v>
      </c>
      <c r="Q2557" s="7">
        <v>1.0</v>
      </c>
    </row>
    <row r="2558">
      <c r="A2558" s="7" t="s">
        <v>18352</v>
      </c>
      <c r="B2558" s="7">
        <v>3000951.0</v>
      </c>
      <c r="C2558" s="7" t="s">
        <v>18353</v>
      </c>
      <c r="D2558" s="7" t="s">
        <v>18354</v>
      </c>
      <c r="E2558" s="7" t="s">
        <v>18355</v>
      </c>
      <c r="F2558" s="7" t="s">
        <v>7477</v>
      </c>
      <c r="G2558" s="7" t="s">
        <v>18356</v>
      </c>
      <c r="H2558" s="7" t="s">
        <v>18357</v>
      </c>
      <c r="I2558" s="119">
        <v>45854.0</v>
      </c>
      <c r="K2558" s="7" t="s">
        <v>17988</v>
      </c>
      <c r="L2558" s="7" t="s">
        <v>991</v>
      </c>
      <c r="M2558" s="7" t="s">
        <v>3501</v>
      </c>
      <c r="N2558" s="7" t="s">
        <v>17989</v>
      </c>
      <c r="O2558" s="7" t="s">
        <v>17990</v>
      </c>
      <c r="P2558" s="7" t="s">
        <v>3493</v>
      </c>
      <c r="Q2558" s="7">
        <v>1.0</v>
      </c>
    </row>
    <row r="2559">
      <c r="A2559" s="7" t="s">
        <v>18358</v>
      </c>
      <c r="B2559" s="7">
        <v>3000955.0</v>
      </c>
      <c r="C2559" s="7" t="s">
        <v>18359</v>
      </c>
      <c r="D2559" s="7" t="s">
        <v>18360</v>
      </c>
      <c r="E2559" s="7" t="s">
        <v>18361</v>
      </c>
      <c r="F2559" s="7" t="s">
        <v>11790</v>
      </c>
      <c r="G2559" s="7" t="s">
        <v>18362</v>
      </c>
      <c r="H2559" s="7" t="s">
        <v>18363</v>
      </c>
      <c r="I2559" s="119">
        <v>45854.0</v>
      </c>
      <c r="K2559" s="7" t="s">
        <v>17988</v>
      </c>
      <c r="L2559" s="7" t="s">
        <v>991</v>
      </c>
      <c r="M2559" s="7" t="s">
        <v>3501</v>
      </c>
      <c r="N2559" s="7" t="s">
        <v>17989</v>
      </c>
      <c r="O2559" s="7" t="s">
        <v>17990</v>
      </c>
      <c r="P2559" s="7" t="s">
        <v>3493</v>
      </c>
      <c r="Q2559" s="7">
        <v>1.0</v>
      </c>
    </row>
    <row r="2560">
      <c r="A2560" s="7" t="s">
        <v>18364</v>
      </c>
      <c r="B2560" s="7">
        <v>3000941.0</v>
      </c>
      <c r="C2560" s="7" t="s">
        <v>15002</v>
      </c>
      <c r="D2560" s="7" t="s">
        <v>18365</v>
      </c>
      <c r="E2560" s="7" t="s">
        <v>15004</v>
      </c>
      <c r="F2560" s="7" t="s">
        <v>15005</v>
      </c>
      <c r="G2560" s="7" t="s">
        <v>18366</v>
      </c>
      <c r="H2560" s="7" t="s">
        <v>18367</v>
      </c>
      <c r="I2560" s="119">
        <v>45854.0</v>
      </c>
      <c r="K2560" s="7" t="s">
        <v>17988</v>
      </c>
      <c r="L2560" s="7" t="s">
        <v>991</v>
      </c>
      <c r="M2560" s="7" t="s">
        <v>3501</v>
      </c>
      <c r="N2560" s="7" t="s">
        <v>17989</v>
      </c>
      <c r="O2560" s="7" t="s">
        <v>17990</v>
      </c>
      <c r="P2560" s="7" t="s">
        <v>3493</v>
      </c>
      <c r="Q2560" s="7">
        <v>1.0</v>
      </c>
    </row>
    <row r="2561">
      <c r="A2561" s="7" t="s">
        <v>18368</v>
      </c>
      <c r="B2561" s="7">
        <v>3000953.0</v>
      </c>
      <c r="C2561" s="7" t="s">
        <v>7234</v>
      </c>
      <c r="D2561" s="7" t="s">
        <v>15290</v>
      </c>
      <c r="E2561" s="7" t="s">
        <v>7236</v>
      </c>
      <c r="F2561" s="7" t="s">
        <v>9561</v>
      </c>
      <c r="G2561" s="7" t="s">
        <v>18369</v>
      </c>
      <c r="H2561" s="7" t="s">
        <v>18370</v>
      </c>
      <c r="I2561" s="119">
        <v>45854.0</v>
      </c>
      <c r="K2561" s="7" t="s">
        <v>17988</v>
      </c>
      <c r="L2561" s="7" t="s">
        <v>991</v>
      </c>
      <c r="M2561" s="7" t="s">
        <v>3501</v>
      </c>
      <c r="N2561" s="7" t="s">
        <v>17989</v>
      </c>
      <c r="O2561" s="7" t="s">
        <v>17990</v>
      </c>
      <c r="P2561" s="7" t="s">
        <v>3493</v>
      </c>
      <c r="Q2561" s="7">
        <v>1.0</v>
      </c>
    </row>
    <row r="2562">
      <c r="A2562" s="7" t="s">
        <v>18371</v>
      </c>
      <c r="B2562" s="7">
        <v>3000952.0</v>
      </c>
      <c r="C2562" s="7" t="s">
        <v>18372</v>
      </c>
      <c r="D2562" s="7" t="s">
        <v>18373</v>
      </c>
      <c r="E2562" s="7" t="s">
        <v>18374</v>
      </c>
      <c r="F2562" s="7" t="s">
        <v>4707</v>
      </c>
      <c r="G2562" s="7" t="s">
        <v>18375</v>
      </c>
      <c r="H2562" s="7" t="s">
        <v>18376</v>
      </c>
      <c r="I2562" s="119">
        <v>45854.0</v>
      </c>
      <c r="K2562" s="7" t="s">
        <v>17988</v>
      </c>
      <c r="L2562" s="7" t="s">
        <v>991</v>
      </c>
      <c r="M2562" s="7" t="s">
        <v>3501</v>
      </c>
      <c r="N2562" s="7" t="s">
        <v>17989</v>
      </c>
      <c r="O2562" s="7" t="s">
        <v>17990</v>
      </c>
      <c r="P2562" s="7" t="s">
        <v>3493</v>
      </c>
      <c r="Q2562" s="7">
        <v>1.0</v>
      </c>
    </row>
    <row r="2563">
      <c r="A2563" s="7" t="s">
        <v>18377</v>
      </c>
      <c r="B2563" s="7">
        <v>3000922.0</v>
      </c>
      <c r="C2563" s="7" t="s">
        <v>8352</v>
      </c>
      <c r="D2563" s="7" t="s">
        <v>7866</v>
      </c>
      <c r="E2563" s="7" t="s">
        <v>8354</v>
      </c>
      <c r="F2563" s="7" t="s">
        <v>5229</v>
      </c>
      <c r="G2563" s="7" t="s">
        <v>18378</v>
      </c>
      <c r="H2563" s="7" t="s">
        <v>18379</v>
      </c>
      <c r="I2563" s="119">
        <v>45854.0</v>
      </c>
      <c r="K2563" s="7" t="s">
        <v>419</v>
      </c>
      <c r="L2563" s="7" t="s">
        <v>991</v>
      </c>
      <c r="M2563" s="7" t="s">
        <v>3583</v>
      </c>
      <c r="N2563" s="7" t="s">
        <v>8178</v>
      </c>
      <c r="O2563" s="7" t="s">
        <v>17090</v>
      </c>
      <c r="P2563" s="7" t="s">
        <v>3522</v>
      </c>
      <c r="Q2563" s="7" t="s">
        <v>3523</v>
      </c>
    </row>
    <row r="2564">
      <c r="A2564" s="7" t="s">
        <v>18380</v>
      </c>
      <c r="B2564" s="7">
        <v>3000962.0</v>
      </c>
      <c r="C2564" s="7" t="s">
        <v>9145</v>
      </c>
      <c r="D2564" s="7" t="s">
        <v>18381</v>
      </c>
      <c r="E2564" s="7" t="s">
        <v>9147</v>
      </c>
      <c r="F2564" s="7" t="s">
        <v>4546</v>
      </c>
      <c r="G2564" s="7" t="s">
        <v>18382</v>
      </c>
      <c r="H2564" s="7" t="s">
        <v>18383</v>
      </c>
      <c r="I2564" s="119">
        <v>45854.0</v>
      </c>
      <c r="K2564" s="7" t="s">
        <v>419</v>
      </c>
      <c r="L2564" s="7" t="s">
        <v>991</v>
      </c>
      <c r="M2564" s="7" t="s">
        <v>3531</v>
      </c>
      <c r="N2564" s="7" t="s">
        <v>6624</v>
      </c>
      <c r="O2564" s="7" t="s">
        <v>9604</v>
      </c>
      <c r="P2564" s="7" t="s">
        <v>3493</v>
      </c>
      <c r="Q2564" s="7">
        <v>1.0</v>
      </c>
    </row>
    <row r="2565">
      <c r="A2565" s="7" t="s">
        <v>18384</v>
      </c>
      <c r="B2565" s="7">
        <v>3000957.0</v>
      </c>
      <c r="C2565" s="7" t="s">
        <v>9145</v>
      </c>
      <c r="D2565" s="7" t="s">
        <v>17764</v>
      </c>
      <c r="E2565" s="7" t="s">
        <v>9147</v>
      </c>
      <c r="F2565" s="7" t="s">
        <v>17765</v>
      </c>
      <c r="G2565" s="7" t="s">
        <v>18385</v>
      </c>
      <c r="H2565" s="7" t="s">
        <v>18386</v>
      </c>
      <c r="I2565" s="119">
        <v>45854.0</v>
      </c>
      <c r="K2565" s="7" t="s">
        <v>419</v>
      </c>
      <c r="L2565" s="7" t="s">
        <v>991</v>
      </c>
      <c r="M2565" s="7" t="s">
        <v>3531</v>
      </c>
      <c r="N2565" s="7" t="s">
        <v>10722</v>
      </c>
      <c r="O2565" s="7" t="s">
        <v>11045</v>
      </c>
      <c r="P2565" s="7" t="s">
        <v>3493</v>
      </c>
      <c r="Q2565" s="7">
        <v>1.0</v>
      </c>
    </row>
    <row r="2566">
      <c r="A2566" s="7" t="s">
        <v>18387</v>
      </c>
      <c r="B2566" s="7">
        <v>3000947.0</v>
      </c>
      <c r="C2566" s="7" t="s">
        <v>16069</v>
      </c>
      <c r="D2566" s="7" t="s">
        <v>18388</v>
      </c>
      <c r="E2566" s="7" t="s">
        <v>16071</v>
      </c>
      <c r="F2566" s="7" t="s">
        <v>18389</v>
      </c>
      <c r="G2566" s="7" t="s">
        <v>18390</v>
      </c>
      <c r="H2566" s="7" t="s">
        <v>18391</v>
      </c>
      <c r="I2566" s="119">
        <v>45854.0</v>
      </c>
      <c r="K2566" s="7" t="s">
        <v>17988</v>
      </c>
      <c r="L2566" s="7" t="s">
        <v>991</v>
      </c>
      <c r="M2566" s="7" t="s">
        <v>3501</v>
      </c>
      <c r="N2566" s="7" t="s">
        <v>17989</v>
      </c>
      <c r="O2566" s="7" t="s">
        <v>17990</v>
      </c>
      <c r="P2566" s="7" t="s">
        <v>3493</v>
      </c>
      <c r="Q2566" s="7">
        <v>1.0</v>
      </c>
    </row>
    <row r="2567">
      <c r="A2567" s="7" t="s">
        <v>18392</v>
      </c>
      <c r="B2567" s="7">
        <v>3000963.0</v>
      </c>
      <c r="C2567" s="7" t="s">
        <v>9570</v>
      </c>
      <c r="D2567" s="7" t="s">
        <v>18393</v>
      </c>
      <c r="E2567" s="7" t="s">
        <v>9572</v>
      </c>
      <c r="F2567" s="7" t="s">
        <v>9013</v>
      </c>
      <c r="G2567" s="7" t="s">
        <v>18394</v>
      </c>
      <c r="H2567" s="7" t="s">
        <v>18395</v>
      </c>
      <c r="I2567" s="119">
        <v>45854.0</v>
      </c>
      <c r="K2567" s="7" t="s">
        <v>17988</v>
      </c>
      <c r="L2567" s="7" t="s">
        <v>991</v>
      </c>
      <c r="M2567" s="7" t="s">
        <v>3501</v>
      </c>
      <c r="N2567" s="7" t="s">
        <v>17989</v>
      </c>
      <c r="O2567" s="7" t="s">
        <v>17990</v>
      </c>
      <c r="P2567" s="7" t="s">
        <v>3493</v>
      </c>
      <c r="Q2567" s="7">
        <v>1.0</v>
      </c>
    </row>
    <row r="2568">
      <c r="A2568" s="7" t="s">
        <v>18396</v>
      </c>
      <c r="B2568" s="7">
        <v>3000934.0</v>
      </c>
      <c r="C2568" s="7" t="s">
        <v>18397</v>
      </c>
      <c r="D2568" s="7" t="s">
        <v>18398</v>
      </c>
      <c r="E2568" s="7" t="s">
        <v>18399</v>
      </c>
      <c r="F2568" s="7" t="s">
        <v>3714</v>
      </c>
      <c r="G2568" s="7" t="s">
        <v>18400</v>
      </c>
      <c r="H2568" s="7" t="s">
        <v>18401</v>
      </c>
      <c r="I2568" s="119">
        <v>45854.0</v>
      </c>
      <c r="K2568" s="7" t="s">
        <v>419</v>
      </c>
      <c r="L2568" s="7" t="s">
        <v>991</v>
      </c>
      <c r="M2568" s="7" t="s">
        <v>3531</v>
      </c>
      <c r="N2568" s="7" t="s">
        <v>8379</v>
      </c>
      <c r="O2568" s="7" t="s">
        <v>16162</v>
      </c>
      <c r="P2568" s="7" t="s">
        <v>3493</v>
      </c>
      <c r="Q2568" s="7">
        <v>1.0</v>
      </c>
    </row>
    <row r="2569">
      <c r="A2569" s="7" t="s">
        <v>18402</v>
      </c>
      <c r="B2569" s="7">
        <v>3000928.0</v>
      </c>
      <c r="C2569" s="7" t="s">
        <v>18403</v>
      </c>
      <c r="D2569" s="7" t="s">
        <v>18404</v>
      </c>
      <c r="E2569" s="7" t="s">
        <v>18405</v>
      </c>
      <c r="F2569" s="7" t="s">
        <v>11740</v>
      </c>
      <c r="G2569" s="7" t="s">
        <v>18406</v>
      </c>
      <c r="H2569" s="7" t="s">
        <v>18407</v>
      </c>
      <c r="I2569" s="119">
        <v>45854.0</v>
      </c>
      <c r="K2569" s="7" t="s">
        <v>419</v>
      </c>
      <c r="L2569" s="7" t="s">
        <v>991</v>
      </c>
      <c r="M2569" s="7" t="s">
        <v>3531</v>
      </c>
      <c r="N2569" s="7" t="s">
        <v>5795</v>
      </c>
      <c r="O2569" s="7" t="s">
        <v>5796</v>
      </c>
      <c r="P2569" s="7" t="s">
        <v>3493</v>
      </c>
      <c r="Q2569" s="7">
        <v>1.0</v>
      </c>
    </row>
    <row r="2570">
      <c r="A2570" s="7" t="s">
        <v>18408</v>
      </c>
      <c r="B2570" s="7">
        <v>3000943.0</v>
      </c>
      <c r="C2570" s="7" t="s">
        <v>15901</v>
      </c>
      <c r="D2570" s="7" t="s">
        <v>18409</v>
      </c>
      <c r="E2570" s="7" t="s">
        <v>15902</v>
      </c>
      <c r="F2570" s="7" t="s">
        <v>4213</v>
      </c>
      <c r="G2570" s="7" t="s">
        <v>18410</v>
      </c>
      <c r="H2570" s="7" t="s">
        <v>18411</v>
      </c>
      <c r="I2570" s="119">
        <v>45854.0</v>
      </c>
      <c r="K2570" s="7" t="s">
        <v>17988</v>
      </c>
      <c r="L2570" s="7" t="s">
        <v>991</v>
      </c>
      <c r="M2570" s="7" t="s">
        <v>3501</v>
      </c>
      <c r="N2570" s="7" t="s">
        <v>17989</v>
      </c>
      <c r="O2570" s="7" t="s">
        <v>17990</v>
      </c>
      <c r="P2570" s="7" t="s">
        <v>3493</v>
      </c>
      <c r="Q2570" s="7">
        <v>1.0</v>
      </c>
    </row>
    <row r="2571">
      <c r="A2571" s="7" t="s">
        <v>18412</v>
      </c>
      <c r="B2571" s="7">
        <v>3000970.0</v>
      </c>
      <c r="C2571" s="7" t="s">
        <v>16330</v>
      </c>
      <c r="D2571" s="7" t="s">
        <v>18413</v>
      </c>
      <c r="E2571" s="7" t="s">
        <v>10926</v>
      </c>
      <c r="F2571" s="7" t="s">
        <v>4469</v>
      </c>
      <c r="G2571" s="7" t="s">
        <v>18414</v>
      </c>
      <c r="H2571" s="7" t="s">
        <v>18415</v>
      </c>
      <c r="I2571" s="119">
        <v>45854.0</v>
      </c>
      <c r="K2571" s="7" t="s">
        <v>419</v>
      </c>
      <c r="L2571" s="7" t="s">
        <v>991</v>
      </c>
      <c r="M2571" s="7" t="s">
        <v>3531</v>
      </c>
      <c r="N2571" s="7" t="s">
        <v>7172</v>
      </c>
      <c r="O2571" s="7" t="s">
        <v>16907</v>
      </c>
      <c r="P2571" s="7" t="s">
        <v>3493</v>
      </c>
      <c r="Q2571" s="7">
        <v>1.0</v>
      </c>
    </row>
    <row r="2572">
      <c r="A2572" s="7" t="s">
        <v>18416</v>
      </c>
      <c r="B2572" s="7">
        <v>3000940.0</v>
      </c>
      <c r="C2572" s="7" t="s">
        <v>11184</v>
      </c>
      <c r="D2572" s="7" t="s">
        <v>18417</v>
      </c>
      <c r="E2572" s="7" t="s">
        <v>11186</v>
      </c>
      <c r="F2572" s="7" t="s">
        <v>4032</v>
      </c>
      <c r="G2572" s="7" t="s">
        <v>18418</v>
      </c>
      <c r="H2572" s="7" t="s">
        <v>18419</v>
      </c>
      <c r="I2572" s="119">
        <v>45854.0</v>
      </c>
      <c r="K2572" s="7" t="s">
        <v>17988</v>
      </c>
      <c r="L2572" s="7" t="s">
        <v>991</v>
      </c>
      <c r="M2572" s="7" t="s">
        <v>3501</v>
      </c>
      <c r="N2572" s="7" t="s">
        <v>17989</v>
      </c>
      <c r="O2572" s="7" t="s">
        <v>17990</v>
      </c>
      <c r="P2572" s="7" t="s">
        <v>3493</v>
      </c>
      <c r="Q2572" s="7">
        <v>1.0</v>
      </c>
    </row>
    <row r="2573">
      <c r="A2573" s="7" t="s">
        <v>18420</v>
      </c>
      <c r="B2573" s="7">
        <v>3000936.0</v>
      </c>
      <c r="C2573" s="7" t="s">
        <v>11245</v>
      </c>
      <c r="D2573" s="7" t="s">
        <v>18421</v>
      </c>
      <c r="E2573" s="7" t="s">
        <v>11247</v>
      </c>
      <c r="F2573" s="7" t="s">
        <v>18422</v>
      </c>
      <c r="G2573" s="7" t="s">
        <v>18423</v>
      </c>
      <c r="H2573" s="7" t="s">
        <v>18424</v>
      </c>
      <c r="I2573" s="119">
        <v>45854.0</v>
      </c>
      <c r="K2573" s="7" t="s">
        <v>419</v>
      </c>
      <c r="L2573" s="7" t="s">
        <v>991</v>
      </c>
      <c r="M2573" s="7" t="s">
        <v>3531</v>
      </c>
      <c r="N2573" s="7" t="s">
        <v>18425</v>
      </c>
      <c r="O2573" s="7" t="s">
        <v>18426</v>
      </c>
      <c r="P2573" s="7" t="s">
        <v>3493</v>
      </c>
      <c r="Q2573" s="7">
        <v>1.0</v>
      </c>
    </row>
    <row r="2574">
      <c r="A2574" s="7" t="s">
        <v>18427</v>
      </c>
      <c r="B2574" s="7">
        <v>3000938.0</v>
      </c>
      <c r="C2574" s="7" t="s">
        <v>11361</v>
      </c>
      <c r="D2574" s="7" t="s">
        <v>18428</v>
      </c>
      <c r="E2574" s="7" t="s">
        <v>11363</v>
      </c>
      <c r="F2574" s="7" t="s">
        <v>18429</v>
      </c>
      <c r="G2574" s="7" t="s">
        <v>18430</v>
      </c>
      <c r="H2574" s="7" t="s">
        <v>18431</v>
      </c>
      <c r="I2574" s="119">
        <v>45854.0</v>
      </c>
      <c r="K2574" s="7" t="s">
        <v>3632</v>
      </c>
      <c r="L2574" s="7" t="s">
        <v>991</v>
      </c>
      <c r="M2574" s="7" t="s">
        <v>3583</v>
      </c>
      <c r="N2574" s="7" t="s">
        <v>9442</v>
      </c>
      <c r="O2574" s="7" t="s">
        <v>9443</v>
      </c>
      <c r="P2574" s="7" t="s">
        <v>3522</v>
      </c>
      <c r="Q2574" s="7" t="s">
        <v>3523</v>
      </c>
    </row>
    <row r="2575">
      <c r="A2575" s="7" t="s">
        <v>18432</v>
      </c>
      <c r="B2575" s="7">
        <v>3000969.0</v>
      </c>
      <c r="C2575" s="7" t="s">
        <v>18433</v>
      </c>
      <c r="D2575" s="7" t="s">
        <v>18434</v>
      </c>
      <c r="E2575" s="7" t="s">
        <v>18435</v>
      </c>
      <c r="F2575" s="7" t="s">
        <v>10843</v>
      </c>
      <c r="G2575" s="7" t="s">
        <v>18436</v>
      </c>
      <c r="H2575" s="7" t="s">
        <v>18437</v>
      </c>
      <c r="I2575" s="119">
        <v>45854.0</v>
      </c>
      <c r="K2575" s="7" t="s">
        <v>419</v>
      </c>
      <c r="L2575" s="7" t="s">
        <v>991</v>
      </c>
      <c r="M2575" s="7" t="s">
        <v>3531</v>
      </c>
      <c r="N2575" s="7" t="s">
        <v>7172</v>
      </c>
      <c r="O2575" s="7" t="s">
        <v>16907</v>
      </c>
      <c r="P2575" s="7" t="s">
        <v>3493</v>
      </c>
      <c r="Q2575" s="7">
        <v>1.0</v>
      </c>
    </row>
    <row r="2576">
      <c r="A2576" s="7" t="s">
        <v>18438</v>
      </c>
      <c r="B2576" s="7">
        <v>3000949.0</v>
      </c>
      <c r="C2576" s="7" t="s">
        <v>11500</v>
      </c>
      <c r="D2576" s="7" t="s">
        <v>10965</v>
      </c>
      <c r="E2576" s="7" t="s">
        <v>11502</v>
      </c>
      <c r="F2576" s="7" t="s">
        <v>5312</v>
      </c>
      <c r="G2576" s="7" t="s">
        <v>18439</v>
      </c>
      <c r="H2576" s="7" t="s">
        <v>18440</v>
      </c>
      <c r="I2576" s="119">
        <v>45854.0</v>
      </c>
      <c r="K2576" s="7" t="s">
        <v>17988</v>
      </c>
      <c r="L2576" s="7" t="s">
        <v>991</v>
      </c>
      <c r="M2576" s="7" t="s">
        <v>3501</v>
      </c>
      <c r="N2576" s="7" t="s">
        <v>17989</v>
      </c>
      <c r="O2576" s="7" t="s">
        <v>17990</v>
      </c>
      <c r="P2576" s="7" t="s">
        <v>3493</v>
      </c>
      <c r="Q2576" s="7">
        <v>1.0</v>
      </c>
    </row>
    <row r="2577">
      <c r="A2577" s="7" t="s">
        <v>18441</v>
      </c>
      <c r="B2577" s="7">
        <v>3000937.0</v>
      </c>
      <c r="C2577" s="7" t="s">
        <v>16952</v>
      </c>
      <c r="D2577" s="7" t="s">
        <v>9868</v>
      </c>
      <c r="E2577" s="7" t="s">
        <v>16954</v>
      </c>
      <c r="F2577" s="7" t="s">
        <v>7266</v>
      </c>
      <c r="G2577" s="7" t="s">
        <v>18442</v>
      </c>
      <c r="H2577" s="7" t="s">
        <v>18443</v>
      </c>
      <c r="I2577" s="119">
        <v>45854.0</v>
      </c>
      <c r="K2577" s="7" t="s">
        <v>17988</v>
      </c>
      <c r="L2577" s="7" t="s">
        <v>991</v>
      </c>
      <c r="M2577" s="7" t="s">
        <v>3501</v>
      </c>
      <c r="N2577" s="7" t="s">
        <v>17989</v>
      </c>
      <c r="O2577" s="7" t="s">
        <v>17990</v>
      </c>
      <c r="P2577" s="7" t="s">
        <v>3493</v>
      </c>
      <c r="Q2577" s="7">
        <v>1.0</v>
      </c>
    </row>
    <row r="2578">
      <c r="A2578" s="7" t="s">
        <v>18444</v>
      </c>
      <c r="B2578" s="7">
        <v>3000930.0</v>
      </c>
      <c r="C2578" s="7" t="s">
        <v>11715</v>
      </c>
      <c r="D2578" s="7" t="s">
        <v>18445</v>
      </c>
      <c r="E2578" s="7" t="s">
        <v>11717</v>
      </c>
      <c r="F2578" s="7" t="s">
        <v>18446</v>
      </c>
      <c r="G2578" s="7" t="s">
        <v>18447</v>
      </c>
      <c r="H2578" s="7" t="s">
        <v>18448</v>
      </c>
      <c r="I2578" s="119">
        <v>45854.0</v>
      </c>
      <c r="K2578" s="7" t="s">
        <v>419</v>
      </c>
      <c r="L2578" s="7" t="s">
        <v>991</v>
      </c>
      <c r="M2578" s="7" t="s">
        <v>3531</v>
      </c>
      <c r="N2578" s="7" t="s">
        <v>8550</v>
      </c>
      <c r="O2578" s="7" t="s">
        <v>8551</v>
      </c>
      <c r="P2578" s="7" t="s">
        <v>3493</v>
      </c>
      <c r="Q2578" s="7">
        <v>1.0</v>
      </c>
    </row>
    <row r="2579">
      <c r="A2579" s="7" t="s">
        <v>18449</v>
      </c>
      <c r="B2579" s="7">
        <v>3000939.0</v>
      </c>
      <c r="C2579" s="7" t="s">
        <v>18450</v>
      </c>
      <c r="D2579" s="7" t="s">
        <v>14528</v>
      </c>
      <c r="E2579" s="7" t="s">
        <v>18451</v>
      </c>
      <c r="F2579" s="7" t="s">
        <v>3874</v>
      </c>
      <c r="G2579" s="7" t="s">
        <v>18452</v>
      </c>
      <c r="H2579" s="7" t="s">
        <v>18453</v>
      </c>
      <c r="I2579" s="119">
        <v>45854.0</v>
      </c>
      <c r="K2579" s="7" t="s">
        <v>15381</v>
      </c>
      <c r="L2579" s="7" t="s">
        <v>991</v>
      </c>
      <c r="M2579" s="7" t="s">
        <v>3531</v>
      </c>
      <c r="N2579" s="7" t="s">
        <v>15382</v>
      </c>
      <c r="O2579" s="7" t="s">
        <v>15383</v>
      </c>
      <c r="P2579" s="7" t="s">
        <v>3493</v>
      </c>
      <c r="Q2579" s="7">
        <v>1.0</v>
      </c>
    </row>
    <row r="2580">
      <c r="A2580" s="7" t="s">
        <v>18454</v>
      </c>
      <c r="B2580" s="7">
        <v>3000945.0</v>
      </c>
      <c r="C2580" s="7" t="s">
        <v>12228</v>
      </c>
      <c r="D2580" s="7" t="s">
        <v>18455</v>
      </c>
      <c r="E2580" s="7" t="s">
        <v>12230</v>
      </c>
      <c r="F2580" s="7" t="s">
        <v>11508</v>
      </c>
      <c r="G2580" s="7" t="s">
        <v>18456</v>
      </c>
      <c r="H2580" s="7" t="s">
        <v>18457</v>
      </c>
      <c r="I2580" s="119">
        <v>45854.0</v>
      </c>
      <c r="K2580" s="7" t="s">
        <v>17988</v>
      </c>
      <c r="L2580" s="7" t="s">
        <v>991</v>
      </c>
      <c r="M2580" s="7" t="s">
        <v>3501</v>
      </c>
      <c r="N2580" s="7" t="s">
        <v>17989</v>
      </c>
      <c r="O2580" s="7" t="s">
        <v>17990</v>
      </c>
      <c r="P2580" s="7" t="s">
        <v>3493</v>
      </c>
      <c r="Q2580" s="7">
        <v>1.0</v>
      </c>
    </row>
    <row r="2581">
      <c r="A2581" s="7" t="s">
        <v>18458</v>
      </c>
      <c r="B2581" s="7">
        <v>3000944.0</v>
      </c>
      <c r="C2581" s="7" t="s">
        <v>12668</v>
      </c>
      <c r="D2581" s="7" t="s">
        <v>18459</v>
      </c>
      <c r="E2581" s="7" t="s">
        <v>12669</v>
      </c>
      <c r="F2581" s="7" t="s">
        <v>11523</v>
      </c>
      <c r="G2581" s="7" t="s">
        <v>18460</v>
      </c>
      <c r="H2581" s="7" t="s">
        <v>18461</v>
      </c>
      <c r="I2581" s="119">
        <v>45854.0</v>
      </c>
      <c r="K2581" s="7" t="s">
        <v>17988</v>
      </c>
      <c r="L2581" s="7" t="s">
        <v>991</v>
      </c>
      <c r="M2581" s="7" t="s">
        <v>3501</v>
      </c>
      <c r="N2581" s="7" t="s">
        <v>17989</v>
      </c>
      <c r="O2581" s="7" t="s">
        <v>17990</v>
      </c>
      <c r="P2581" s="7" t="s">
        <v>3493</v>
      </c>
      <c r="Q2581" s="7">
        <v>1.0</v>
      </c>
    </row>
    <row r="2582">
      <c r="A2582" s="7" t="s">
        <v>18462</v>
      </c>
      <c r="B2582" s="7">
        <v>3000942.0</v>
      </c>
      <c r="C2582" s="7" t="s">
        <v>15019</v>
      </c>
      <c r="D2582" s="7" t="s">
        <v>18463</v>
      </c>
      <c r="E2582" s="7" t="s">
        <v>15021</v>
      </c>
      <c r="F2582" s="7" t="s">
        <v>4677</v>
      </c>
      <c r="G2582" s="7" t="s">
        <v>18464</v>
      </c>
      <c r="H2582" s="7" t="s">
        <v>18465</v>
      </c>
      <c r="I2582" s="119">
        <v>45854.0</v>
      </c>
      <c r="K2582" s="7" t="s">
        <v>17988</v>
      </c>
      <c r="L2582" s="7" t="s">
        <v>991</v>
      </c>
      <c r="M2582" s="7" t="s">
        <v>3501</v>
      </c>
      <c r="N2582" s="7" t="s">
        <v>17989</v>
      </c>
      <c r="O2582" s="7" t="s">
        <v>17990</v>
      </c>
      <c r="P2582" s="7" t="s">
        <v>3493</v>
      </c>
      <c r="Q2582" s="7">
        <v>1.0</v>
      </c>
    </row>
    <row r="2583">
      <c r="A2583" s="7" t="s">
        <v>18466</v>
      </c>
      <c r="B2583" s="7">
        <v>3000960.0</v>
      </c>
      <c r="C2583" s="7" t="s">
        <v>12771</v>
      </c>
      <c r="D2583" s="7" t="s">
        <v>18467</v>
      </c>
      <c r="E2583" s="7" t="s">
        <v>12765</v>
      </c>
      <c r="F2583" s="7" t="s">
        <v>18468</v>
      </c>
      <c r="G2583" s="7" t="s">
        <v>18469</v>
      </c>
      <c r="H2583" s="7" t="s">
        <v>18470</v>
      </c>
      <c r="I2583" s="119">
        <v>45854.0</v>
      </c>
      <c r="K2583" s="7" t="s">
        <v>419</v>
      </c>
      <c r="L2583" s="7" t="s">
        <v>991</v>
      </c>
      <c r="M2583" s="7" t="s">
        <v>3531</v>
      </c>
      <c r="N2583" s="7" t="s">
        <v>7172</v>
      </c>
      <c r="O2583" s="7" t="s">
        <v>16907</v>
      </c>
      <c r="P2583" s="7" t="s">
        <v>3493</v>
      </c>
      <c r="Q2583" s="7">
        <v>1.0</v>
      </c>
    </row>
    <row r="2584">
      <c r="A2584" s="7" t="s">
        <v>18471</v>
      </c>
      <c r="B2584" s="7">
        <v>3000958.0</v>
      </c>
      <c r="C2584" s="7" t="s">
        <v>12820</v>
      </c>
      <c r="D2584" s="7" t="s">
        <v>3812</v>
      </c>
      <c r="E2584" s="7" t="s">
        <v>12822</v>
      </c>
      <c r="F2584" s="7" t="s">
        <v>3609</v>
      </c>
      <c r="G2584" s="7" t="s">
        <v>18472</v>
      </c>
      <c r="H2584" s="7" t="s">
        <v>18473</v>
      </c>
      <c r="I2584" s="119">
        <v>45854.0</v>
      </c>
      <c r="K2584" s="7" t="s">
        <v>17988</v>
      </c>
      <c r="L2584" s="7" t="s">
        <v>991</v>
      </c>
      <c r="M2584" s="7" t="s">
        <v>3501</v>
      </c>
      <c r="N2584" s="7" t="s">
        <v>17989</v>
      </c>
      <c r="O2584" s="7" t="s">
        <v>17990</v>
      </c>
      <c r="P2584" s="7" t="s">
        <v>3493</v>
      </c>
      <c r="Q2584" s="7">
        <v>1.0</v>
      </c>
    </row>
    <row r="2585">
      <c r="A2585" s="7" t="s">
        <v>18474</v>
      </c>
      <c r="B2585" s="7">
        <v>3000931.0</v>
      </c>
      <c r="C2585" s="7" t="s">
        <v>13120</v>
      </c>
      <c r="D2585" s="7" t="s">
        <v>12059</v>
      </c>
      <c r="E2585" s="7" t="s">
        <v>13122</v>
      </c>
      <c r="F2585" s="7" t="s">
        <v>12061</v>
      </c>
      <c r="G2585" s="7" t="s">
        <v>18475</v>
      </c>
      <c r="H2585" s="7" t="s">
        <v>18476</v>
      </c>
      <c r="I2585" s="119">
        <v>45854.0</v>
      </c>
      <c r="K2585" s="7" t="s">
        <v>419</v>
      </c>
      <c r="L2585" s="7" t="s">
        <v>991</v>
      </c>
      <c r="M2585" s="7" t="s">
        <v>3531</v>
      </c>
      <c r="N2585" s="7" t="s">
        <v>4834</v>
      </c>
      <c r="O2585" s="7" t="s">
        <v>4835</v>
      </c>
      <c r="P2585" s="7" t="s">
        <v>3493</v>
      </c>
      <c r="Q2585" s="7">
        <v>1.0</v>
      </c>
    </row>
    <row r="2586">
      <c r="A2586" s="7" t="s">
        <v>18477</v>
      </c>
      <c r="B2586" s="7">
        <v>3000948.0</v>
      </c>
      <c r="C2586" s="7" t="s">
        <v>13294</v>
      </c>
      <c r="D2586" s="7" t="s">
        <v>18478</v>
      </c>
      <c r="E2586" s="7" t="s">
        <v>13295</v>
      </c>
      <c r="F2586" s="7" t="s">
        <v>18479</v>
      </c>
      <c r="G2586" s="7" t="s">
        <v>18480</v>
      </c>
      <c r="H2586" s="7" t="s">
        <v>18481</v>
      </c>
      <c r="I2586" s="119">
        <v>45854.0</v>
      </c>
      <c r="K2586" s="7" t="s">
        <v>17988</v>
      </c>
      <c r="L2586" s="7" t="s">
        <v>991</v>
      </c>
      <c r="M2586" s="7" t="s">
        <v>3501</v>
      </c>
      <c r="N2586" s="7" t="s">
        <v>17989</v>
      </c>
      <c r="O2586" s="7" t="s">
        <v>17990</v>
      </c>
      <c r="P2586" s="7" t="s">
        <v>3493</v>
      </c>
      <c r="Q2586" s="7">
        <v>1.0</v>
      </c>
    </row>
    <row r="2587">
      <c r="A2587" s="7" t="s">
        <v>18482</v>
      </c>
      <c r="B2587" s="7">
        <v>3000954.0</v>
      </c>
      <c r="C2587" s="7" t="s">
        <v>18483</v>
      </c>
      <c r="D2587" s="7" t="s">
        <v>18484</v>
      </c>
      <c r="E2587" s="7" t="s">
        <v>18485</v>
      </c>
      <c r="F2587" s="7" t="s">
        <v>3889</v>
      </c>
      <c r="G2587" s="7" t="s">
        <v>18486</v>
      </c>
      <c r="H2587" s="7" t="s">
        <v>18487</v>
      </c>
      <c r="I2587" s="119">
        <v>45854.0</v>
      </c>
      <c r="K2587" s="7" t="s">
        <v>17988</v>
      </c>
      <c r="L2587" s="7" t="s">
        <v>991</v>
      </c>
      <c r="M2587" s="7" t="s">
        <v>3501</v>
      </c>
      <c r="N2587" s="7" t="s">
        <v>17989</v>
      </c>
      <c r="O2587" s="7" t="s">
        <v>17990</v>
      </c>
      <c r="P2587" s="7" t="s">
        <v>3493</v>
      </c>
      <c r="Q2587" s="7">
        <v>1.0</v>
      </c>
    </row>
    <row r="2588">
      <c r="A2588" s="7" t="s">
        <v>18488</v>
      </c>
      <c r="B2588" s="7">
        <v>3000959.0</v>
      </c>
      <c r="C2588" s="7" t="s">
        <v>18489</v>
      </c>
      <c r="D2588" s="7" t="s">
        <v>18490</v>
      </c>
      <c r="E2588" s="7" t="s">
        <v>18491</v>
      </c>
      <c r="F2588" s="7" t="s">
        <v>18492</v>
      </c>
      <c r="G2588" s="7" t="s">
        <v>18493</v>
      </c>
      <c r="H2588" s="7" t="s">
        <v>18494</v>
      </c>
      <c r="I2588" s="119">
        <v>45854.0</v>
      </c>
      <c r="K2588" s="7" t="s">
        <v>17988</v>
      </c>
      <c r="L2588" s="7" t="s">
        <v>991</v>
      </c>
      <c r="M2588" s="7" t="s">
        <v>3501</v>
      </c>
      <c r="N2588" s="7" t="s">
        <v>17989</v>
      </c>
      <c r="O2588" s="7" t="s">
        <v>17990</v>
      </c>
      <c r="P2588" s="7" t="s">
        <v>3493</v>
      </c>
      <c r="Q2588" s="7">
        <v>1.0</v>
      </c>
    </row>
    <row r="2589">
      <c r="A2589" s="7" t="s">
        <v>18495</v>
      </c>
      <c r="B2589" s="7">
        <v>3000950.0</v>
      </c>
      <c r="C2589" s="7" t="s">
        <v>13873</v>
      </c>
      <c r="D2589" s="7" t="s">
        <v>18496</v>
      </c>
      <c r="E2589" s="7" t="s">
        <v>13875</v>
      </c>
      <c r="F2589" s="7" t="s">
        <v>4271</v>
      </c>
      <c r="G2589" s="7" t="s">
        <v>18497</v>
      </c>
      <c r="H2589" s="7" t="s">
        <v>18498</v>
      </c>
      <c r="I2589" s="119">
        <v>45854.0</v>
      </c>
      <c r="K2589" s="7" t="s">
        <v>17988</v>
      </c>
      <c r="L2589" s="7" t="s">
        <v>991</v>
      </c>
      <c r="M2589" s="7" t="s">
        <v>3501</v>
      </c>
      <c r="N2589" s="7" t="s">
        <v>17989</v>
      </c>
      <c r="O2589" s="7" t="s">
        <v>17990</v>
      </c>
      <c r="P2589" s="7" t="s">
        <v>3493</v>
      </c>
      <c r="Q2589" s="7">
        <v>1.0</v>
      </c>
    </row>
    <row r="2590">
      <c r="A2590" s="7" t="s">
        <v>18499</v>
      </c>
      <c r="B2590" s="7">
        <v>3000956.0</v>
      </c>
      <c r="C2590" s="7" t="s">
        <v>13880</v>
      </c>
      <c r="D2590" s="7" t="s">
        <v>18500</v>
      </c>
      <c r="E2590" s="7" t="s">
        <v>13881</v>
      </c>
      <c r="F2590" s="7" t="s">
        <v>8194</v>
      </c>
      <c r="G2590" s="7" t="s">
        <v>18501</v>
      </c>
      <c r="H2590" s="7" t="s">
        <v>18502</v>
      </c>
      <c r="I2590" s="119">
        <v>45854.0</v>
      </c>
      <c r="K2590" s="7" t="s">
        <v>17988</v>
      </c>
      <c r="L2590" s="7" t="s">
        <v>991</v>
      </c>
      <c r="M2590" s="7" t="s">
        <v>3501</v>
      </c>
      <c r="N2590" s="7" t="s">
        <v>17989</v>
      </c>
      <c r="O2590" s="7" t="s">
        <v>17990</v>
      </c>
      <c r="P2590" s="7" t="s">
        <v>3493</v>
      </c>
      <c r="Q2590" s="7">
        <v>1.0</v>
      </c>
    </row>
    <row r="2591">
      <c r="A2591" s="7" t="s">
        <v>18503</v>
      </c>
      <c r="B2591" s="7">
        <v>3000964.0</v>
      </c>
      <c r="C2591" s="7" t="s">
        <v>13943</v>
      </c>
      <c r="D2591" s="7" t="s">
        <v>17225</v>
      </c>
      <c r="E2591" s="7" t="s">
        <v>13945</v>
      </c>
      <c r="F2591" s="7" t="s">
        <v>4371</v>
      </c>
      <c r="G2591" s="7" t="s">
        <v>18504</v>
      </c>
      <c r="H2591" s="7" t="s">
        <v>18505</v>
      </c>
      <c r="I2591" s="119">
        <v>45854.0</v>
      </c>
      <c r="K2591" s="7" t="s">
        <v>419</v>
      </c>
      <c r="L2591" s="7" t="s">
        <v>991</v>
      </c>
      <c r="M2591" s="7" t="s">
        <v>3531</v>
      </c>
      <c r="N2591" s="7" t="s">
        <v>8478</v>
      </c>
      <c r="O2591" s="7" t="s">
        <v>11111</v>
      </c>
      <c r="P2591" s="7" t="s">
        <v>3493</v>
      </c>
      <c r="Q2591" s="7">
        <v>1.0</v>
      </c>
    </row>
    <row r="2592">
      <c r="A2592" s="7" t="s">
        <v>18506</v>
      </c>
      <c r="B2592" s="7">
        <v>3000932.0</v>
      </c>
      <c r="C2592" s="7" t="s">
        <v>13943</v>
      </c>
      <c r="D2592" s="7" t="s">
        <v>5614</v>
      </c>
      <c r="E2592" s="7" t="s">
        <v>13945</v>
      </c>
      <c r="F2592" s="7" t="s">
        <v>3656</v>
      </c>
      <c r="G2592" s="7" t="s">
        <v>18507</v>
      </c>
      <c r="H2592" s="7" t="s">
        <v>18508</v>
      </c>
      <c r="I2592" s="119">
        <v>45854.0</v>
      </c>
      <c r="K2592" s="7" t="s">
        <v>419</v>
      </c>
      <c r="L2592" s="7" t="s">
        <v>991</v>
      </c>
      <c r="M2592" s="7" t="s">
        <v>3531</v>
      </c>
      <c r="N2592" s="7" t="s">
        <v>4834</v>
      </c>
      <c r="O2592" s="7" t="s">
        <v>4835</v>
      </c>
      <c r="P2592" s="7" t="s">
        <v>3493</v>
      </c>
      <c r="Q2592" s="7">
        <v>1.0</v>
      </c>
    </row>
    <row r="2593">
      <c r="A2593" s="7" t="s">
        <v>18509</v>
      </c>
      <c r="B2593" s="7">
        <v>3001019.0</v>
      </c>
      <c r="C2593" s="7" t="s">
        <v>18510</v>
      </c>
      <c r="D2593" s="7" t="s">
        <v>17740</v>
      </c>
      <c r="E2593" s="7" t="s">
        <v>18511</v>
      </c>
      <c r="F2593" s="7" t="s">
        <v>7382</v>
      </c>
      <c r="G2593" s="7" t="s">
        <v>18512</v>
      </c>
      <c r="H2593" s="7" t="s">
        <v>18513</v>
      </c>
      <c r="I2593" s="119">
        <v>45870.0</v>
      </c>
      <c r="K2593" s="7" t="s">
        <v>3642</v>
      </c>
      <c r="L2593" s="7" t="s">
        <v>991</v>
      </c>
      <c r="M2593" s="7" t="s">
        <v>3501</v>
      </c>
      <c r="N2593" s="7" t="s">
        <v>3643</v>
      </c>
      <c r="O2593" s="7" t="s">
        <v>3644</v>
      </c>
      <c r="P2593" s="7" t="s">
        <v>3493</v>
      </c>
      <c r="Q2593" s="7">
        <v>1.0</v>
      </c>
    </row>
    <row r="2594">
      <c r="A2594" s="7" t="s">
        <v>18514</v>
      </c>
      <c r="B2594" s="7">
        <v>3001010.0</v>
      </c>
      <c r="C2594" s="7" t="s">
        <v>18510</v>
      </c>
      <c r="D2594" s="7" t="s">
        <v>18515</v>
      </c>
      <c r="E2594" s="7" t="s">
        <v>18511</v>
      </c>
      <c r="F2594" s="7" t="s">
        <v>7382</v>
      </c>
      <c r="G2594" s="7" t="s">
        <v>18516</v>
      </c>
      <c r="H2594" s="7" t="s">
        <v>18517</v>
      </c>
      <c r="I2594" s="119">
        <v>45870.0</v>
      </c>
      <c r="K2594" s="7" t="s">
        <v>17988</v>
      </c>
      <c r="L2594" s="7" t="s">
        <v>991</v>
      </c>
      <c r="M2594" s="7" t="s">
        <v>3501</v>
      </c>
      <c r="N2594" s="7" t="s">
        <v>17989</v>
      </c>
      <c r="O2594" s="7" t="s">
        <v>17990</v>
      </c>
      <c r="P2594" s="7" t="s">
        <v>3493</v>
      </c>
      <c r="Q2594" s="7">
        <v>1.0</v>
      </c>
    </row>
    <row r="2595">
      <c r="A2595" s="7" t="s">
        <v>18518</v>
      </c>
      <c r="B2595" s="7">
        <v>3000994.0</v>
      </c>
      <c r="C2595" s="7" t="s">
        <v>17049</v>
      </c>
      <c r="D2595" s="7" t="s">
        <v>18519</v>
      </c>
      <c r="E2595" s="7" t="s">
        <v>17051</v>
      </c>
      <c r="F2595" s="7" t="s">
        <v>6859</v>
      </c>
      <c r="G2595" s="7" t="s">
        <v>18520</v>
      </c>
      <c r="H2595" s="7" t="s">
        <v>18521</v>
      </c>
      <c r="I2595" s="119">
        <v>45870.0</v>
      </c>
      <c r="K2595" s="7" t="s">
        <v>17988</v>
      </c>
      <c r="L2595" s="7" t="s">
        <v>991</v>
      </c>
      <c r="M2595" s="7" t="s">
        <v>3490</v>
      </c>
      <c r="N2595" s="7" t="s">
        <v>17989</v>
      </c>
      <c r="O2595" s="7" t="s">
        <v>17990</v>
      </c>
      <c r="P2595" s="7" t="s">
        <v>3493</v>
      </c>
      <c r="Q2595" s="7">
        <v>1.0</v>
      </c>
    </row>
    <row r="2596">
      <c r="A2596" s="7" t="s">
        <v>18522</v>
      </c>
      <c r="B2596" s="7">
        <v>3000921.0</v>
      </c>
      <c r="C2596" s="7" t="s">
        <v>4218</v>
      </c>
      <c r="D2596" s="7" t="s">
        <v>18523</v>
      </c>
      <c r="E2596" s="7" t="s">
        <v>4220</v>
      </c>
      <c r="F2596" s="7" t="s">
        <v>3889</v>
      </c>
      <c r="G2596" s="7" t="s">
        <v>18524</v>
      </c>
      <c r="H2596" s="7" t="s">
        <v>18525</v>
      </c>
      <c r="I2596" s="119">
        <v>45870.0</v>
      </c>
      <c r="K2596" s="7" t="s">
        <v>419</v>
      </c>
      <c r="L2596" s="7" t="s">
        <v>991</v>
      </c>
      <c r="M2596" s="7" t="s">
        <v>3501</v>
      </c>
      <c r="N2596" s="7" t="s">
        <v>4168</v>
      </c>
      <c r="O2596" s="7" t="s">
        <v>4169</v>
      </c>
      <c r="P2596" s="7" t="s">
        <v>3493</v>
      </c>
      <c r="Q2596" s="7">
        <v>1.0</v>
      </c>
    </row>
    <row r="2597">
      <c r="A2597" s="7" t="s">
        <v>18526</v>
      </c>
      <c r="B2597" s="7">
        <v>3000980.0</v>
      </c>
      <c r="C2597" s="7" t="s">
        <v>4333</v>
      </c>
      <c r="D2597" s="7" t="s">
        <v>18527</v>
      </c>
      <c r="E2597" s="7" t="s">
        <v>4335</v>
      </c>
      <c r="F2597" s="7" t="s">
        <v>18528</v>
      </c>
      <c r="G2597" s="7" t="s">
        <v>18529</v>
      </c>
      <c r="H2597" s="7" t="s">
        <v>18530</v>
      </c>
      <c r="I2597" s="119">
        <v>45870.0</v>
      </c>
      <c r="K2597" s="7" t="s">
        <v>419</v>
      </c>
      <c r="L2597" s="7" t="s">
        <v>991</v>
      </c>
      <c r="M2597" s="7" t="s">
        <v>3531</v>
      </c>
      <c r="N2597" s="7" t="s">
        <v>6353</v>
      </c>
      <c r="O2597" s="7" t="s">
        <v>18531</v>
      </c>
      <c r="P2597" s="7" t="s">
        <v>3493</v>
      </c>
      <c r="Q2597" s="7">
        <v>1.0</v>
      </c>
    </row>
    <row r="2598">
      <c r="A2598" s="7" t="s">
        <v>18532</v>
      </c>
      <c r="B2598" s="7">
        <v>3000983.0</v>
      </c>
      <c r="C2598" s="7" t="s">
        <v>4502</v>
      </c>
      <c r="D2598" s="7" t="s">
        <v>6530</v>
      </c>
      <c r="E2598" s="7" t="s">
        <v>4504</v>
      </c>
      <c r="F2598" s="7" t="s">
        <v>6530</v>
      </c>
      <c r="G2598" s="7" t="s">
        <v>18533</v>
      </c>
      <c r="H2598" s="7" t="s">
        <v>18534</v>
      </c>
      <c r="I2598" s="119">
        <v>45870.0</v>
      </c>
      <c r="K2598" s="7" t="s">
        <v>3632</v>
      </c>
      <c r="L2598" s="7" t="s">
        <v>991</v>
      </c>
      <c r="M2598" s="7" t="s">
        <v>3583</v>
      </c>
      <c r="N2598" s="7" t="s">
        <v>8574</v>
      </c>
      <c r="O2598" s="7" t="s">
        <v>8575</v>
      </c>
      <c r="P2598" s="7" t="s">
        <v>3522</v>
      </c>
      <c r="Q2598" s="7" t="s">
        <v>3523</v>
      </c>
    </row>
    <row r="2599">
      <c r="A2599" s="7" t="s">
        <v>18535</v>
      </c>
      <c r="B2599" s="7">
        <v>3000981.0</v>
      </c>
      <c r="C2599" s="7" t="s">
        <v>4663</v>
      </c>
      <c r="D2599" s="7" t="s">
        <v>18536</v>
      </c>
      <c r="E2599" s="7" t="s">
        <v>4665</v>
      </c>
      <c r="F2599" s="7" t="s">
        <v>7637</v>
      </c>
      <c r="G2599" s="7" t="s">
        <v>18537</v>
      </c>
      <c r="H2599" s="7" t="s">
        <v>18538</v>
      </c>
      <c r="I2599" s="119">
        <v>45870.0</v>
      </c>
      <c r="K2599" s="7" t="s">
        <v>419</v>
      </c>
      <c r="L2599" s="7" t="s">
        <v>991</v>
      </c>
      <c r="M2599" s="7" t="s">
        <v>3531</v>
      </c>
      <c r="N2599" s="7" t="s">
        <v>3724</v>
      </c>
      <c r="O2599" s="7" t="s">
        <v>3725</v>
      </c>
      <c r="P2599" s="7" t="s">
        <v>3493</v>
      </c>
      <c r="Q2599" s="7">
        <v>1.0</v>
      </c>
    </row>
    <row r="2600">
      <c r="A2600" s="7" t="s">
        <v>18539</v>
      </c>
      <c r="B2600" s="7">
        <v>3001002.0</v>
      </c>
      <c r="C2600" s="7" t="s">
        <v>4887</v>
      </c>
      <c r="D2600" s="7" t="s">
        <v>6590</v>
      </c>
      <c r="E2600" s="7" t="s">
        <v>4888</v>
      </c>
      <c r="F2600" s="7" t="s">
        <v>6592</v>
      </c>
      <c r="G2600" s="7" t="s">
        <v>18540</v>
      </c>
      <c r="H2600" s="7" t="s">
        <v>18541</v>
      </c>
      <c r="I2600" s="119">
        <v>45870.0</v>
      </c>
      <c r="K2600" s="7" t="s">
        <v>17988</v>
      </c>
      <c r="L2600" s="7" t="s">
        <v>991</v>
      </c>
      <c r="M2600" s="7" t="s">
        <v>3501</v>
      </c>
      <c r="N2600" s="7" t="s">
        <v>17989</v>
      </c>
      <c r="O2600" s="7" t="s">
        <v>17990</v>
      </c>
      <c r="P2600" s="7" t="s">
        <v>3493</v>
      </c>
      <c r="Q2600" s="7">
        <v>1.0</v>
      </c>
    </row>
    <row r="2601">
      <c r="A2601" s="7" t="s">
        <v>18542</v>
      </c>
      <c r="B2601" s="7">
        <v>3000968.0</v>
      </c>
      <c r="C2601" s="7" t="s">
        <v>4935</v>
      </c>
      <c r="D2601" s="7" t="s">
        <v>18543</v>
      </c>
      <c r="E2601" s="7" t="s">
        <v>4930</v>
      </c>
      <c r="F2601" s="7" t="s">
        <v>18544</v>
      </c>
      <c r="G2601" s="7" t="s">
        <v>18545</v>
      </c>
      <c r="H2601" s="7" t="s">
        <v>18546</v>
      </c>
      <c r="I2601" s="119">
        <v>45870.0</v>
      </c>
      <c r="K2601" s="7" t="s">
        <v>419</v>
      </c>
      <c r="L2601" s="7" t="s">
        <v>991</v>
      </c>
      <c r="M2601" s="7" t="s">
        <v>3583</v>
      </c>
      <c r="N2601" s="7" t="s">
        <v>6205</v>
      </c>
      <c r="O2601" s="7" t="s">
        <v>18547</v>
      </c>
      <c r="P2601" s="7" t="s">
        <v>3493</v>
      </c>
      <c r="Q2601" s="7">
        <v>1.0</v>
      </c>
    </row>
    <row r="2602">
      <c r="A2602" s="7" t="s">
        <v>18548</v>
      </c>
      <c r="B2602" s="7">
        <v>3001009.0</v>
      </c>
      <c r="C2602" s="7" t="s">
        <v>5561</v>
      </c>
      <c r="D2602" s="7" t="s">
        <v>7099</v>
      </c>
      <c r="E2602" s="7" t="s">
        <v>5563</v>
      </c>
      <c r="F2602" s="7" t="s">
        <v>7099</v>
      </c>
      <c r="G2602" s="7" t="s">
        <v>18549</v>
      </c>
      <c r="H2602" s="7" t="s">
        <v>18550</v>
      </c>
      <c r="I2602" s="119">
        <v>45870.0</v>
      </c>
      <c r="K2602" s="7" t="s">
        <v>17988</v>
      </c>
      <c r="L2602" s="7" t="s">
        <v>991</v>
      </c>
      <c r="M2602" s="7" t="s">
        <v>3490</v>
      </c>
      <c r="N2602" s="7" t="s">
        <v>17989</v>
      </c>
      <c r="O2602" s="7" t="s">
        <v>17990</v>
      </c>
      <c r="P2602" s="7" t="s">
        <v>3493</v>
      </c>
      <c r="Q2602" s="7">
        <v>1.0</v>
      </c>
    </row>
    <row r="2603">
      <c r="A2603" s="7" t="s">
        <v>18551</v>
      </c>
      <c r="B2603" s="7">
        <v>3000974.0</v>
      </c>
      <c r="C2603" s="7" t="s">
        <v>17632</v>
      </c>
      <c r="D2603" s="7" t="s">
        <v>18552</v>
      </c>
      <c r="E2603" s="7" t="s">
        <v>17633</v>
      </c>
      <c r="F2603" s="7" t="s">
        <v>6175</v>
      </c>
      <c r="G2603" s="7" t="s">
        <v>18553</v>
      </c>
      <c r="H2603" s="7" t="s">
        <v>18554</v>
      </c>
      <c r="I2603" s="119">
        <v>45870.0</v>
      </c>
      <c r="K2603" s="7" t="s">
        <v>419</v>
      </c>
      <c r="L2603" s="7" t="s">
        <v>991</v>
      </c>
      <c r="M2603" s="7" t="s">
        <v>3501</v>
      </c>
      <c r="N2603" s="7" t="s">
        <v>7883</v>
      </c>
      <c r="O2603" s="7" t="s">
        <v>7884</v>
      </c>
      <c r="P2603" s="7" t="s">
        <v>3493</v>
      </c>
      <c r="Q2603" s="7">
        <v>1.0</v>
      </c>
    </row>
    <row r="2604">
      <c r="A2604" s="7" t="s">
        <v>18555</v>
      </c>
      <c r="B2604" s="7">
        <v>3000998.0</v>
      </c>
      <c r="C2604" s="7" t="s">
        <v>18556</v>
      </c>
      <c r="D2604" s="7" t="s">
        <v>4982</v>
      </c>
      <c r="E2604" s="7" t="s">
        <v>18557</v>
      </c>
      <c r="F2604" s="7" t="s">
        <v>4984</v>
      </c>
      <c r="G2604" s="7" t="s">
        <v>18558</v>
      </c>
      <c r="H2604" s="7" t="s">
        <v>18559</v>
      </c>
      <c r="I2604" s="119">
        <v>45870.0</v>
      </c>
      <c r="K2604" s="7" t="s">
        <v>17988</v>
      </c>
      <c r="L2604" s="7" t="s">
        <v>991</v>
      </c>
      <c r="M2604" s="7" t="s">
        <v>3501</v>
      </c>
      <c r="N2604" s="7" t="s">
        <v>17989</v>
      </c>
      <c r="O2604" s="7" t="s">
        <v>17990</v>
      </c>
      <c r="P2604" s="7" t="s">
        <v>3493</v>
      </c>
      <c r="Q2604" s="7">
        <v>1.0</v>
      </c>
    </row>
    <row r="2605">
      <c r="A2605" s="7" t="s">
        <v>18560</v>
      </c>
      <c r="B2605" s="7">
        <v>3001004.0</v>
      </c>
      <c r="C2605" s="7" t="s">
        <v>18561</v>
      </c>
      <c r="D2605" s="7" t="s">
        <v>9670</v>
      </c>
      <c r="E2605" s="7" t="s">
        <v>18562</v>
      </c>
      <c r="F2605" s="7" t="s">
        <v>4478</v>
      </c>
      <c r="G2605" s="7" t="s">
        <v>18563</v>
      </c>
      <c r="H2605" s="7" t="s">
        <v>18564</v>
      </c>
      <c r="I2605" s="119">
        <v>45870.0</v>
      </c>
      <c r="K2605" s="7" t="s">
        <v>17988</v>
      </c>
      <c r="L2605" s="7" t="s">
        <v>991</v>
      </c>
      <c r="M2605" s="7" t="s">
        <v>3501</v>
      </c>
      <c r="N2605" s="7" t="s">
        <v>17989</v>
      </c>
      <c r="O2605" s="7" t="s">
        <v>17990</v>
      </c>
      <c r="P2605" s="7" t="s">
        <v>3493</v>
      </c>
      <c r="Q2605" s="7">
        <v>1.0</v>
      </c>
    </row>
    <row r="2606">
      <c r="A2606" s="7" t="s">
        <v>18565</v>
      </c>
      <c r="B2606" s="7">
        <v>3000830.0</v>
      </c>
      <c r="C2606" s="7" t="s">
        <v>18566</v>
      </c>
      <c r="D2606" s="7" t="s">
        <v>18567</v>
      </c>
      <c r="E2606" s="7" t="s">
        <v>18568</v>
      </c>
      <c r="F2606" s="7" t="s">
        <v>3909</v>
      </c>
      <c r="G2606" s="7" t="s">
        <v>18569</v>
      </c>
      <c r="H2606" s="7" t="s">
        <v>18570</v>
      </c>
      <c r="I2606" s="119">
        <v>45870.0</v>
      </c>
      <c r="K2606" s="7" t="s">
        <v>419</v>
      </c>
      <c r="L2606" s="7" t="s">
        <v>991</v>
      </c>
      <c r="M2606" s="7" t="s">
        <v>3501</v>
      </c>
      <c r="N2606" s="7" t="s">
        <v>4521</v>
      </c>
      <c r="O2606" s="7" t="s">
        <v>18571</v>
      </c>
      <c r="P2606" s="7" t="s">
        <v>3522</v>
      </c>
      <c r="Q2606" s="7" t="s">
        <v>3523</v>
      </c>
    </row>
    <row r="2607">
      <c r="A2607" s="7" t="s">
        <v>18572</v>
      </c>
      <c r="B2607" s="7">
        <v>3001018.0</v>
      </c>
      <c r="C2607" s="7" t="s">
        <v>18573</v>
      </c>
      <c r="D2607" s="7" t="s">
        <v>18574</v>
      </c>
      <c r="E2607" s="7" t="s">
        <v>18575</v>
      </c>
      <c r="F2607" s="7" t="s">
        <v>5229</v>
      </c>
      <c r="G2607" s="7" t="s">
        <v>18576</v>
      </c>
      <c r="H2607" s="7" t="s">
        <v>18577</v>
      </c>
      <c r="I2607" s="119">
        <v>45870.0</v>
      </c>
      <c r="K2607" s="7" t="s">
        <v>419</v>
      </c>
      <c r="L2607" s="7" t="s">
        <v>991</v>
      </c>
      <c r="M2607" s="7" t="s">
        <v>3531</v>
      </c>
      <c r="N2607" s="7" t="s">
        <v>4317</v>
      </c>
      <c r="O2607" s="7" t="s">
        <v>18578</v>
      </c>
      <c r="P2607" s="7" t="s">
        <v>3493</v>
      </c>
      <c r="Q2607" s="7">
        <v>1.0</v>
      </c>
    </row>
    <row r="2608">
      <c r="A2608" s="7" t="s">
        <v>18579</v>
      </c>
      <c r="B2608" s="7">
        <v>3000996.0</v>
      </c>
      <c r="C2608" s="7" t="s">
        <v>14795</v>
      </c>
      <c r="D2608" s="7" t="s">
        <v>18580</v>
      </c>
      <c r="E2608" s="7" t="s">
        <v>14797</v>
      </c>
      <c r="F2608" s="7" t="s">
        <v>14798</v>
      </c>
      <c r="G2608" s="7" t="s">
        <v>18581</v>
      </c>
      <c r="H2608" s="7" t="s">
        <v>18582</v>
      </c>
      <c r="I2608" s="119">
        <v>45870.0</v>
      </c>
      <c r="K2608" s="7" t="s">
        <v>17988</v>
      </c>
      <c r="L2608" s="7" t="s">
        <v>991</v>
      </c>
      <c r="M2608" s="7" t="s">
        <v>3501</v>
      </c>
      <c r="N2608" s="7" t="s">
        <v>17989</v>
      </c>
      <c r="O2608" s="7" t="s">
        <v>17990</v>
      </c>
      <c r="P2608" s="7" t="s">
        <v>3493</v>
      </c>
      <c r="Q2608" s="7">
        <v>1.0</v>
      </c>
    </row>
    <row r="2609">
      <c r="A2609" s="7" t="s">
        <v>18583</v>
      </c>
      <c r="B2609" s="7">
        <v>3001005.0</v>
      </c>
      <c r="C2609" s="7" t="s">
        <v>6380</v>
      </c>
      <c r="D2609" s="7" t="s">
        <v>18584</v>
      </c>
      <c r="E2609" s="7" t="s">
        <v>6382</v>
      </c>
      <c r="F2609" s="7" t="s">
        <v>17006</v>
      </c>
      <c r="G2609" s="7" t="s">
        <v>18585</v>
      </c>
      <c r="H2609" s="7" t="s">
        <v>18586</v>
      </c>
      <c r="I2609" s="119">
        <v>45870.0</v>
      </c>
      <c r="K2609" s="7" t="s">
        <v>17988</v>
      </c>
      <c r="L2609" s="7" t="s">
        <v>991</v>
      </c>
      <c r="M2609" s="7" t="s">
        <v>3501</v>
      </c>
      <c r="N2609" s="7" t="s">
        <v>17989</v>
      </c>
      <c r="O2609" s="7" t="s">
        <v>17990</v>
      </c>
      <c r="P2609" s="7" t="s">
        <v>3493</v>
      </c>
      <c r="Q2609" s="7">
        <v>1.0</v>
      </c>
    </row>
    <row r="2610">
      <c r="A2610" s="7" t="s">
        <v>18587</v>
      </c>
      <c r="B2610" s="7">
        <v>3000992.0</v>
      </c>
      <c r="C2610" s="7" t="s">
        <v>6742</v>
      </c>
      <c r="D2610" s="7" t="s">
        <v>18588</v>
      </c>
      <c r="E2610" s="7" t="s">
        <v>6744</v>
      </c>
      <c r="F2610" s="7" t="s">
        <v>9490</v>
      </c>
      <c r="G2610" s="7" t="s">
        <v>18589</v>
      </c>
      <c r="H2610" s="7" t="s">
        <v>18590</v>
      </c>
      <c r="I2610" s="119">
        <v>45870.0</v>
      </c>
      <c r="K2610" s="7" t="s">
        <v>419</v>
      </c>
      <c r="L2610" s="7" t="s">
        <v>991</v>
      </c>
      <c r="M2610" s="7" t="s">
        <v>3531</v>
      </c>
      <c r="N2610" s="7" t="s">
        <v>7551</v>
      </c>
      <c r="O2610" s="7" t="s">
        <v>7552</v>
      </c>
      <c r="P2610" s="7" t="s">
        <v>3493</v>
      </c>
      <c r="Q2610" s="7">
        <v>1.0</v>
      </c>
    </row>
    <row r="2611">
      <c r="A2611" s="7" t="s">
        <v>18591</v>
      </c>
      <c r="B2611" s="7">
        <v>3000997.0</v>
      </c>
      <c r="C2611" s="7" t="s">
        <v>6765</v>
      </c>
      <c r="D2611" s="7" t="s">
        <v>18592</v>
      </c>
      <c r="E2611" s="7" t="s">
        <v>6766</v>
      </c>
      <c r="F2611" s="7" t="s">
        <v>3739</v>
      </c>
      <c r="G2611" s="7" t="s">
        <v>18593</v>
      </c>
      <c r="H2611" s="7" t="s">
        <v>18594</v>
      </c>
      <c r="I2611" s="119">
        <v>45870.0</v>
      </c>
      <c r="K2611" s="7" t="s">
        <v>17988</v>
      </c>
      <c r="L2611" s="7" t="s">
        <v>991</v>
      </c>
      <c r="M2611" s="7" t="s">
        <v>3501</v>
      </c>
      <c r="N2611" s="7" t="s">
        <v>17989</v>
      </c>
      <c r="O2611" s="7" t="s">
        <v>17990</v>
      </c>
      <c r="P2611" s="7" t="s">
        <v>3493</v>
      </c>
      <c r="Q2611" s="7">
        <v>1.0</v>
      </c>
    </row>
    <row r="2612">
      <c r="A2612" s="7" t="s">
        <v>18595</v>
      </c>
      <c r="B2612" s="7">
        <v>3001003.0</v>
      </c>
      <c r="C2612" s="7" t="s">
        <v>18596</v>
      </c>
      <c r="D2612" s="7" t="s">
        <v>12303</v>
      </c>
      <c r="E2612" s="7" t="s">
        <v>18597</v>
      </c>
      <c r="F2612" s="7" t="s">
        <v>3508</v>
      </c>
      <c r="G2612" s="7" t="s">
        <v>18598</v>
      </c>
      <c r="H2612" s="7" t="s">
        <v>18599</v>
      </c>
      <c r="I2612" s="119">
        <v>45870.0</v>
      </c>
      <c r="K2612" s="7" t="s">
        <v>17988</v>
      </c>
      <c r="L2612" s="7" t="s">
        <v>991</v>
      </c>
      <c r="M2612" s="7" t="s">
        <v>3501</v>
      </c>
      <c r="N2612" s="7" t="s">
        <v>17989</v>
      </c>
      <c r="O2612" s="7" t="s">
        <v>17990</v>
      </c>
      <c r="P2612" s="7" t="s">
        <v>3493</v>
      </c>
      <c r="Q2612" s="7">
        <v>1.0</v>
      </c>
    </row>
    <row r="2613">
      <c r="A2613" s="7" t="s">
        <v>18600</v>
      </c>
      <c r="B2613" s="7">
        <v>3001013.0</v>
      </c>
      <c r="C2613" s="7" t="s">
        <v>8072</v>
      </c>
      <c r="D2613" s="7" t="s">
        <v>18601</v>
      </c>
      <c r="E2613" s="7" t="s">
        <v>8074</v>
      </c>
      <c r="F2613" s="7" t="s">
        <v>4032</v>
      </c>
      <c r="G2613" s="7" t="s">
        <v>18602</v>
      </c>
      <c r="H2613" s="7" t="s">
        <v>18603</v>
      </c>
      <c r="I2613" s="119">
        <v>45870.0</v>
      </c>
      <c r="K2613" s="7" t="s">
        <v>3632</v>
      </c>
      <c r="L2613" s="7" t="s">
        <v>991</v>
      </c>
      <c r="M2613" s="7" t="s">
        <v>3866</v>
      </c>
      <c r="N2613" s="7" t="s">
        <v>4542</v>
      </c>
      <c r="O2613" s="7" t="s">
        <v>18604</v>
      </c>
      <c r="P2613" s="7" t="s">
        <v>3493</v>
      </c>
      <c r="Q2613" s="7">
        <v>1.0</v>
      </c>
    </row>
    <row r="2614">
      <c r="A2614" s="7" t="s">
        <v>18605</v>
      </c>
      <c r="B2614" s="7">
        <v>3001000.0</v>
      </c>
      <c r="C2614" s="7" t="s">
        <v>18606</v>
      </c>
      <c r="D2614" s="7" t="s">
        <v>12026</v>
      </c>
      <c r="E2614" s="7" t="s">
        <v>18607</v>
      </c>
      <c r="F2614" s="7" t="s">
        <v>3508</v>
      </c>
      <c r="G2614" s="7" t="s">
        <v>18608</v>
      </c>
      <c r="H2614" s="7" t="s">
        <v>18609</v>
      </c>
      <c r="I2614" s="119">
        <v>45870.0</v>
      </c>
      <c r="K2614" s="7" t="s">
        <v>17988</v>
      </c>
      <c r="L2614" s="7" t="s">
        <v>991</v>
      </c>
      <c r="M2614" s="7" t="s">
        <v>3501</v>
      </c>
      <c r="N2614" s="7" t="s">
        <v>17989</v>
      </c>
      <c r="O2614" s="7" t="s">
        <v>17990</v>
      </c>
      <c r="P2614" s="7" t="s">
        <v>3493</v>
      </c>
      <c r="Q2614" s="7">
        <v>1.0</v>
      </c>
    </row>
    <row r="2615">
      <c r="A2615" s="7" t="s">
        <v>18610</v>
      </c>
      <c r="B2615" s="7">
        <v>3000985.0</v>
      </c>
      <c r="C2615" s="7" t="s">
        <v>8429</v>
      </c>
      <c r="D2615" s="7" t="s">
        <v>18611</v>
      </c>
      <c r="E2615" s="7" t="s">
        <v>8431</v>
      </c>
      <c r="F2615" s="7" t="s">
        <v>18612</v>
      </c>
      <c r="G2615" s="7" t="s">
        <v>18613</v>
      </c>
      <c r="H2615" s="7" t="s">
        <v>18614</v>
      </c>
      <c r="I2615" s="119">
        <v>45870.0</v>
      </c>
      <c r="K2615" s="7" t="s">
        <v>3632</v>
      </c>
      <c r="L2615" s="7" t="s">
        <v>991</v>
      </c>
      <c r="M2615" s="7" t="s">
        <v>3531</v>
      </c>
      <c r="N2615" s="7" t="s">
        <v>5952</v>
      </c>
      <c r="O2615" s="7" t="s">
        <v>9775</v>
      </c>
      <c r="P2615" s="7" t="s">
        <v>3493</v>
      </c>
      <c r="Q2615" s="7">
        <v>1.0</v>
      </c>
    </row>
    <row r="2616">
      <c r="A2616" s="7" t="s">
        <v>18615</v>
      </c>
      <c r="B2616" s="7">
        <v>3001012.0</v>
      </c>
      <c r="C2616" s="7" t="s">
        <v>18616</v>
      </c>
      <c r="D2616" s="7" t="s">
        <v>18617</v>
      </c>
      <c r="E2616" s="7" t="s">
        <v>18618</v>
      </c>
      <c r="F2616" s="7" t="s">
        <v>17197</v>
      </c>
      <c r="G2616" s="7" t="s">
        <v>18619</v>
      </c>
      <c r="H2616" s="7" t="s">
        <v>18620</v>
      </c>
      <c r="I2616" s="119">
        <v>45870.0</v>
      </c>
      <c r="K2616" s="7" t="s">
        <v>3642</v>
      </c>
      <c r="L2616" s="7" t="s">
        <v>991</v>
      </c>
      <c r="M2616" s="7" t="s">
        <v>3501</v>
      </c>
      <c r="N2616" s="7" t="s">
        <v>3643</v>
      </c>
      <c r="O2616" s="7" t="s">
        <v>3644</v>
      </c>
      <c r="P2616" s="7" t="s">
        <v>3493</v>
      </c>
      <c r="Q2616" s="7">
        <v>1.0</v>
      </c>
    </row>
    <row r="2617">
      <c r="A2617" s="7" t="s">
        <v>18621</v>
      </c>
      <c r="B2617" s="7">
        <v>3001007.0</v>
      </c>
      <c r="C2617" s="7" t="s">
        <v>18622</v>
      </c>
      <c r="D2617" s="7" t="s">
        <v>9226</v>
      </c>
      <c r="E2617" s="7" t="s">
        <v>18623</v>
      </c>
      <c r="F2617" s="7" t="s">
        <v>9227</v>
      </c>
      <c r="G2617" s="7" t="s">
        <v>18624</v>
      </c>
      <c r="H2617" s="7" t="s">
        <v>18625</v>
      </c>
      <c r="I2617" s="119">
        <v>45870.0</v>
      </c>
      <c r="K2617" s="7" t="s">
        <v>17988</v>
      </c>
      <c r="L2617" s="7" t="s">
        <v>991</v>
      </c>
      <c r="M2617" s="7" t="s">
        <v>3501</v>
      </c>
      <c r="N2617" s="7" t="s">
        <v>17989</v>
      </c>
      <c r="O2617" s="7" t="s">
        <v>17990</v>
      </c>
      <c r="P2617" s="7" t="s">
        <v>3493</v>
      </c>
      <c r="Q2617" s="7">
        <v>1.0</v>
      </c>
    </row>
    <row r="2618">
      <c r="A2618" s="7" t="s">
        <v>18626</v>
      </c>
      <c r="B2618" s="7">
        <v>3001008.0</v>
      </c>
      <c r="C2618" s="7" t="s">
        <v>18627</v>
      </c>
      <c r="D2618" s="7" t="s">
        <v>18628</v>
      </c>
      <c r="E2618" s="7" t="s">
        <v>18629</v>
      </c>
      <c r="F2618" s="7" t="s">
        <v>4253</v>
      </c>
      <c r="G2618" s="7" t="s">
        <v>18630</v>
      </c>
      <c r="H2618" s="7" t="s">
        <v>18631</v>
      </c>
      <c r="I2618" s="119">
        <v>45870.0</v>
      </c>
      <c r="K2618" s="7" t="s">
        <v>17988</v>
      </c>
      <c r="L2618" s="7" t="s">
        <v>991</v>
      </c>
      <c r="M2618" s="7" t="s">
        <v>3490</v>
      </c>
      <c r="N2618" s="7" t="s">
        <v>17989</v>
      </c>
      <c r="O2618" s="7" t="s">
        <v>17990</v>
      </c>
      <c r="P2618" s="7" t="s">
        <v>3493</v>
      </c>
      <c r="Q2618" s="7">
        <v>1.0</v>
      </c>
    </row>
    <row r="2619">
      <c r="A2619" s="7" t="s">
        <v>18632</v>
      </c>
      <c r="B2619" s="7">
        <v>3000976.0</v>
      </c>
      <c r="C2619" s="7" t="s">
        <v>18633</v>
      </c>
      <c r="D2619" s="7" t="s">
        <v>18634</v>
      </c>
      <c r="E2619" s="7" t="s">
        <v>9671</v>
      </c>
      <c r="F2619" s="7" t="s">
        <v>3486</v>
      </c>
      <c r="G2619" s="7" t="s">
        <v>18635</v>
      </c>
      <c r="H2619" s="7" t="s">
        <v>18636</v>
      </c>
      <c r="I2619" s="119">
        <v>45870.0</v>
      </c>
      <c r="K2619" s="7" t="s">
        <v>419</v>
      </c>
      <c r="L2619" s="7" t="s">
        <v>991</v>
      </c>
      <c r="M2619" s="7" t="s">
        <v>3866</v>
      </c>
      <c r="N2619" s="7" t="s">
        <v>5197</v>
      </c>
      <c r="O2619" s="7" t="s">
        <v>5198</v>
      </c>
      <c r="P2619" s="7" t="s">
        <v>3493</v>
      </c>
      <c r="Q2619" s="7">
        <v>1.0</v>
      </c>
    </row>
    <row r="2620">
      <c r="A2620" s="7" t="s">
        <v>18637</v>
      </c>
      <c r="B2620" s="7">
        <v>3000984.0</v>
      </c>
      <c r="C2620" s="7" t="s">
        <v>10090</v>
      </c>
      <c r="D2620" s="7" t="s">
        <v>16848</v>
      </c>
      <c r="E2620" s="7" t="s">
        <v>10092</v>
      </c>
      <c r="F2620" s="7" t="s">
        <v>17329</v>
      </c>
      <c r="G2620" s="7" t="s">
        <v>18638</v>
      </c>
      <c r="H2620" s="7" t="s">
        <v>18639</v>
      </c>
      <c r="I2620" s="119">
        <v>45870.0</v>
      </c>
      <c r="K2620" s="7" t="s">
        <v>419</v>
      </c>
      <c r="L2620" s="7" t="s">
        <v>991</v>
      </c>
      <c r="M2620" s="7" t="s">
        <v>3531</v>
      </c>
      <c r="N2620" s="7" t="s">
        <v>4738</v>
      </c>
      <c r="O2620" s="7" t="s">
        <v>4739</v>
      </c>
      <c r="P2620" s="7" t="s">
        <v>3493</v>
      </c>
      <c r="Q2620" s="7">
        <v>1.0</v>
      </c>
    </row>
    <row r="2621">
      <c r="A2621" s="7" t="s">
        <v>18640</v>
      </c>
      <c r="B2621" s="7">
        <v>3000915.0</v>
      </c>
      <c r="C2621" s="7" t="s">
        <v>10771</v>
      </c>
      <c r="D2621" s="7" t="s">
        <v>18641</v>
      </c>
      <c r="E2621" s="7" t="s">
        <v>10773</v>
      </c>
      <c r="F2621" s="7" t="s">
        <v>3954</v>
      </c>
      <c r="G2621" s="7" t="s">
        <v>18642</v>
      </c>
      <c r="H2621" s="7" t="s">
        <v>18643</v>
      </c>
      <c r="I2621" s="119">
        <v>45870.0</v>
      </c>
      <c r="K2621" s="7" t="s">
        <v>419</v>
      </c>
      <c r="L2621" s="7" t="s">
        <v>991</v>
      </c>
      <c r="M2621" s="7" t="s">
        <v>3501</v>
      </c>
      <c r="N2621" s="7" t="s">
        <v>4168</v>
      </c>
      <c r="O2621" s="7" t="s">
        <v>4169</v>
      </c>
      <c r="P2621" s="7" t="s">
        <v>3493</v>
      </c>
      <c r="Q2621" s="7">
        <v>1.0</v>
      </c>
    </row>
    <row r="2622">
      <c r="A2622" s="7" t="s">
        <v>18644</v>
      </c>
      <c r="B2622" s="7">
        <v>3000995.0</v>
      </c>
      <c r="C2622" s="7" t="s">
        <v>10808</v>
      </c>
      <c r="D2622" s="7" t="s">
        <v>18645</v>
      </c>
      <c r="E2622" s="7" t="s">
        <v>10810</v>
      </c>
      <c r="F2622" s="7" t="s">
        <v>15036</v>
      </c>
      <c r="G2622" s="7" t="s">
        <v>18646</v>
      </c>
      <c r="H2622" s="7" t="s">
        <v>18647</v>
      </c>
      <c r="I2622" s="119">
        <v>45870.0</v>
      </c>
      <c r="K2622" s="7" t="s">
        <v>17988</v>
      </c>
      <c r="L2622" s="7" t="s">
        <v>991</v>
      </c>
      <c r="M2622" s="7" t="s">
        <v>3501</v>
      </c>
      <c r="N2622" s="7" t="s">
        <v>17989</v>
      </c>
      <c r="O2622" s="7" t="s">
        <v>17990</v>
      </c>
      <c r="P2622" s="7" t="s">
        <v>3493</v>
      </c>
      <c r="Q2622" s="7">
        <v>1.0</v>
      </c>
    </row>
    <row r="2623">
      <c r="A2623" s="7" t="s">
        <v>18648</v>
      </c>
      <c r="B2623" s="7">
        <v>3000988.0</v>
      </c>
      <c r="C2623" s="7" t="s">
        <v>10808</v>
      </c>
      <c r="D2623" s="7" t="s">
        <v>18649</v>
      </c>
      <c r="E2623" s="7" t="s">
        <v>10810</v>
      </c>
      <c r="F2623" s="7" t="s">
        <v>9205</v>
      </c>
      <c r="G2623" s="7" t="s">
        <v>18650</v>
      </c>
      <c r="H2623" s="7" t="s">
        <v>18651</v>
      </c>
      <c r="I2623" s="119">
        <v>45870.0</v>
      </c>
      <c r="K2623" s="7" t="s">
        <v>419</v>
      </c>
      <c r="L2623" s="7" t="s">
        <v>991</v>
      </c>
      <c r="M2623" s="7" t="s">
        <v>3531</v>
      </c>
      <c r="N2623" s="7" t="s">
        <v>6957</v>
      </c>
      <c r="O2623" s="7" t="s">
        <v>6958</v>
      </c>
      <c r="P2623" s="7" t="s">
        <v>3493</v>
      </c>
      <c r="Q2623" s="7">
        <v>1.0</v>
      </c>
    </row>
    <row r="2624">
      <c r="A2624" s="7" t="s">
        <v>18652</v>
      </c>
      <c r="B2624" s="7">
        <v>3001020.0</v>
      </c>
      <c r="C2624" s="7" t="s">
        <v>10832</v>
      </c>
      <c r="D2624" s="7" t="s">
        <v>18653</v>
      </c>
      <c r="E2624" s="7" t="s">
        <v>10834</v>
      </c>
      <c r="F2624" s="7" t="s">
        <v>12970</v>
      </c>
      <c r="G2624" s="7" t="s">
        <v>18654</v>
      </c>
      <c r="H2624" s="7" t="s">
        <v>18655</v>
      </c>
      <c r="I2624" s="119">
        <v>45870.0</v>
      </c>
      <c r="K2624" s="7" t="s">
        <v>419</v>
      </c>
      <c r="L2624" s="7" t="s">
        <v>991</v>
      </c>
      <c r="M2624" s="7" t="s">
        <v>3531</v>
      </c>
      <c r="N2624" s="7" t="s">
        <v>4834</v>
      </c>
      <c r="O2624" s="7" t="s">
        <v>4835</v>
      </c>
      <c r="P2624" s="7" t="s">
        <v>3493</v>
      </c>
      <c r="Q2624" s="7">
        <v>1.0</v>
      </c>
    </row>
    <row r="2625">
      <c r="A2625" s="7" t="s">
        <v>18656</v>
      </c>
      <c r="B2625" s="7">
        <v>3000999.0</v>
      </c>
      <c r="C2625" s="7" t="s">
        <v>10957</v>
      </c>
      <c r="D2625" s="7" t="s">
        <v>18657</v>
      </c>
      <c r="E2625" s="7" t="s">
        <v>10959</v>
      </c>
      <c r="F2625" s="7" t="s">
        <v>7802</v>
      </c>
      <c r="G2625" s="7" t="s">
        <v>18658</v>
      </c>
      <c r="H2625" s="7" t="s">
        <v>18659</v>
      </c>
      <c r="I2625" s="119">
        <v>45870.0</v>
      </c>
      <c r="K2625" s="7" t="s">
        <v>17988</v>
      </c>
      <c r="L2625" s="7" t="s">
        <v>991</v>
      </c>
      <c r="M2625" s="7" t="s">
        <v>3501</v>
      </c>
      <c r="N2625" s="7" t="s">
        <v>17989</v>
      </c>
      <c r="O2625" s="7" t="s">
        <v>17990</v>
      </c>
      <c r="P2625" s="7" t="s">
        <v>3493</v>
      </c>
      <c r="Q2625" s="7">
        <v>1.0</v>
      </c>
    </row>
    <row r="2626">
      <c r="A2626" s="7" t="s">
        <v>18660</v>
      </c>
      <c r="B2626" s="7">
        <v>3001001.0</v>
      </c>
      <c r="C2626" s="7" t="s">
        <v>18661</v>
      </c>
      <c r="D2626" s="7" t="s">
        <v>16222</v>
      </c>
      <c r="E2626" s="7" t="s">
        <v>18662</v>
      </c>
      <c r="F2626" s="7" t="s">
        <v>16223</v>
      </c>
      <c r="G2626" s="7" t="s">
        <v>18663</v>
      </c>
      <c r="H2626" s="7" t="s">
        <v>18664</v>
      </c>
      <c r="I2626" s="119">
        <v>45870.0</v>
      </c>
      <c r="K2626" s="7" t="s">
        <v>17988</v>
      </c>
      <c r="L2626" s="7" t="s">
        <v>991</v>
      </c>
      <c r="M2626" s="7" t="s">
        <v>3501</v>
      </c>
      <c r="N2626" s="7" t="s">
        <v>17989</v>
      </c>
      <c r="O2626" s="7" t="s">
        <v>17990</v>
      </c>
      <c r="P2626" s="7" t="s">
        <v>3493</v>
      </c>
      <c r="Q2626" s="7">
        <v>1.0</v>
      </c>
    </row>
    <row r="2627">
      <c r="A2627" s="7" t="s">
        <v>18665</v>
      </c>
      <c r="B2627" s="7">
        <v>3000923.0</v>
      </c>
      <c r="C2627" s="7" t="s">
        <v>11755</v>
      </c>
      <c r="D2627" s="7" t="s">
        <v>18666</v>
      </c>
      <c r="E2627" s="7" t="s">
        <v>11757</v>
      </c>
      <c r="F2627" s="7" t="s">
        <v>18667</v>
      </c>
      <c r="G2627" s="7" t="s">
        <v>18668</v>
      </c>
      <c r="H2627" s="7" t="s">
        <v>18669</v>
      </c>
      <c r="I2627" s="119">
        <v>45870.0</v>
      </c>
      <c r="K2627" s="7" t="s">
        <v>419</v>
      </c>
      <c r="L2627" s="7" t="s">
        <v>991</v>
      </c>
      <c r="M2627" s="7" t="s">
        <v>3501</v>
      </c>
      <c r="N2627" s="7" t="s">
        <v>8390</v>
      </c>
      <c r="O2627" s="7" t="s">
        <v>8391</v>
      </c>
      <c r="P2627" s="7" t="s">
        <v>3493</v>
      </c>
      <c r="Q2627" s="7">
        <v>1.0</v>
      </c>
    </row>
    <row r="2628">
      <c r="A2628" s="7" t="s">
        <v>18670</v>
      </c>
      <c r="B2628" s="7">
        <v>3000987.0</v>
      </c>
      <c r="C2628" s="7" t="s">
        <v>18671</v>
      </c>
      <c r="D2628" s="7" t="s">
        <v>7151</v>
      </c>
      <c r="E2628" s="7" t="s">
        <v>18672</v>
      </c>
      <c r="F2628" s="7" t="s">
        <v>6727</v>
      </c>
      <c r="G2628" s="7" t="s">
        <v>18673</v>
      </c>
      <c r="H2628" s="7" t="s">
        <v>18674</v>
      </c>
      <c r="I2628" s="119">
        <v>45870.0</v>
      </c>
      <c r="K2628" s="7" t="s">
        <v>419</v>
      </c>
      <c r="L2628" s="7" t="s">
        <v>991</v>
      </c>
      <c r="M2628" s="7" t="s">
        <v>3531</v>
      </c>
      <c r="N2628" s="7" t="s">
        <v>4720</v>
      </c>
      <c r="O2628" s="7" t="s">
        <v>4721</v>
      </c>
      <c r="P2628" s="7" t="s">
        <v>3493</v>
      </c>
      <c r="Q2628" s="7">
        <v>1.0</v>
      </c>
    </row>
    <row r="2629">
      <c r="A2629" s="7" t="s">
        <v>18675</v>
      </c>
      <c r="B2629" s="7">
        <v>3000975.0</v>
      </c>
      <c r="C2629" s="7" t="s">
        <v>12170</v>
      </c>
      <c r="D2629" s="7" t="s">
        <v>6200</v>
      </c>
      <c r="E2629" s="7" t="s">
        <v>12172</v>
      </c>
      <c r="F2629" s="7" t="s">
        <v>6202</v>
      </c>
      <c r="G2629" s="7" t="s">
        <v>18676</v>
      </c>
      <c r="H2629" s="7" t="s">
        <v>18677</v>
      </c>
      <c r="I2629" s="119">
        <v>45870.0</v>
      </c>
      <c r="K2629" s="7" t="s">
        <v>419</v>
      </c>
      <c r="L2629" s="7" t="s">
        <v>991</v>
      </c>
      <c r="M2629" s="7" t="s">
        <v>3501</v>
      </c>
      <c r="N2629" s="7" t="s">
        <v>5500</v>
      </c>
      <c r="O2629" s="7" t="s">
        <v>5501</v>
      </c>
      <c r="P2629" s="7" t="s">
        <v>3493</v>
      </c>
      <c r="Q2629" s="7">
        <v>1.0</v>
      </c>
    </row>
    <row r="2630">
      <c r="A2630" s="7" t="s">
        <v>18678</v>
      </c>
      <c r="B2630" s="7">
        <v>3000979.0</v>
      </c>
      <c r="C2630" s="7" t="s">
        <v>12572</v>
      </c>
      <c r="D2630" s="7" t="s">
        <v>17622</v>
      </c>
      <c r="E2630" s="7" t="s">
        <v>12573</v>
      </c>
      <c r="F2630" s="7" t="s">
        <v>9094</v>
      </c>
      <c r="G2630" s="7" t="s">
        <v>18679</v>
      </c>
      <c r="H2630" s="7" t="s">
        <v>18680</v>
      </c>
      <c r="I2630" s="119">
        <v>45870.0</v>
      </c>
      <c r="K2630" s="7" t="s">
        <v>3622</v>
      </c>
      <c r="L2630" s="7" t="s">
        <v>991</v>
      </c>
      <c r="M2630" s="7" t="s">
        <v>3501</v>
      </c>
      <c r="N2630" s="7" t="s">
        <v>3623</v>
      </c>
      <c r="O2630" s="7" t="s">
        <v>3624</v>
      </c>
      <c r="P2630" s="7" t="s">
        <v>3493</v>
      </c>
      <c r="Q2630" s="7">
        <v>1.0</v>
      </c>
    </row>
    <row r="2631">
      <c r="A2631" s="7" t="s">
        <v>18681</v>
      </c>
      <c r="B2631" s="7">
        <v>3001011.0</v>
      </c>
      <c r="C2631" s="7" t="s">
        <v>13426</v>
      </c>
      <c r="D2631" s="7" t="s">
        <v>10159</v>
      </c>
      <c r="E2631" s="7" t="s">
        <v>13427</v>
      </c>
      <c r="F2631" s="7" t="s">
        <v>10160</v>
      </c>
      <c r="G2631" s="7" t="s">
        <v>18682</v>
      </c>
      <c r="H2631" s="7" t="s">
        <v>18683</v>
      </c>
      <c r="I2631" s="119">
        <v>45870.0</v>
      </c>
      <c r="K2631" s="7" t="s">
        <v>419</v>
      </c>
      <c r="L2631" s="7" t="s">
        <v>991</v>
      </c>
      <c r="M2631" s="7" t="s">
        <v>3531</v>
      </c>
      <c r="N2631" s="7" t="s">
        <v>4096</v>
      </c>
      <c r="O2631" s="7" t="s">
        <v>4097</v>
      </c>
      <c r="P2631" s="7" t="s">
        <v>3493</v>
      </c>
      <c r="Q2631" s="7">
        <v>1.0</v>
      </c>
    </row>
    <row r="2632">
      <c r="A2632" s="7" t="s">
        <v>18684</v>
      </c>
      <c r="B2632" s="7">
        <v>3000986.0</v>
      </c>
      <c r="C2632" s="7" t="s">
        <v>13801</v>
      </c>
      <c r="D2632" s="7" t="s">
        <v>3597</v>
      </c>
      <c r="E2632" s="7" t="s">
        <v>13803</v>
      </c>
      <c r="F2632" s="7" t="s">
        <v>3599</v>
      </c>
      <c r="G2632" s="7" t="s">
        <v>18685</v>
      </c>
      <c r="H2632" s="7" t="s">
        <v>18686</v>
      </c>
      <c r="I2632" s="119">
        <v>45870.0</v>
      </c>
      <c r="K2632" s="7" t="s">
        <v>419</v>
      </c>
      <c r="L2632" s="7" t="s">
        <v>991</v>
      </c>
      <c r="M2632" s="7" t="s">
        <v>3531</v>
      </c>
      <c r="N2632" s="7" t="s">
        <v>4738</v>
      </c>
      <c r="O2632" s="7" t="s">
        <v>4739</v>
      </c>
      <c r="P2632" s="7" t="s">
        <v>3493</v>
      </c>
      <c r="Q2632" s="7">
        <v>1.0</v>
      </c>
    </row>
    <row r="2633">
      <c r="A2633" s="7" t="s">
        <v>18687</v>
      </c>
      <c r="B2633" s="7">
        <v>3001006.0</v>
      </c>
      <c r="C2633" s="7" t="s">
        <v>14406</v>
      </c>
      <c r="D2633" s="7" t="s">
        <v>18688</v>
      </c>
      <c r="E2633" s="7" t="s">
        <v>14394</v>
      </c>
      <c r="F2633" s="7" t="s">
        <v>9094</v>
      </c>
      <c r="G2633" s="7" t="s">
        <v>18689</v>
      </c>
      <c r="H2633" s="7" t="s">
        <v>18690</v>
      </c>
      <c r="I2633" s="119">
        <v>45870.0</v>
      </c>
      <c r="K2633" s="7" t="s">
        <v>17988</v>
      </c>
      <c r="L2633" s="7" t="s">
        <v>991</v>
      </c>
      <c r="M2633" s="7" t="s">
        <v>3501</v>
      </c>
      <c r="N2633" s="7" t="s">
        <v>17989</v>
      </c>
      <c r="O2633" s="7" t="s">
        <v>17990</v>
      </c>
      <c r="P2633" s="7" t="s">
        <v>3493</v>
      </c>
      <c r="Q2633" s="7">
        <v>1.0</v>
      </c>
    </row>
    <row r="2634">
      <c r="A2634" s="7" t="s">
        <v>18691</v>
      </c>
      <c r="B2634" s="7">
        <v>3001030.0</v>
      </c>
      <c r="C2634" s="7" t="s">
        <v>18692</v>
      </c>
      <c r="D2634" s="7" t="s">
        <v>18693</v>
      </c>
      <c r="E2634" s="7" t="s">
        <v>3738</v>
      </c>
      <c r="F2634" s="7" t="s">
        <v>7645</v>
      </c>
      <c r="G2634" s="7" t="s">
        <v>18694</v>
      </c>
      <c r="H2634" s="7" t="s">
        <v>18695</v>
      </c>
      <c r="I2634" s="119">
        <v>45885.0</v>
      </c>
      <c r="K2634" s="7" t="s">
        <v>419</v>
      </c>
      <c r="L2634" s="7" t="s">
        <v>991</v>
      </c>
      <c r="M2634" s="7" t="s">
        <v>3866</v>
      </c>
      <c r="N2634" s="7" t="s">
        <v>16327</v>
      </c>
      <c r="O2634" s="7" t="s">
        <v>18696</v>
      </c>
      <c r="P2634" s="7" t="s">
        <v>3522</v>
      </c>
      <c r="Q2634" s="7" t="s">
        <v>3523</v>
      </c>
    </row>
    <row r="2635">
      <c r="A2635" s="7" t="s">
        <v>18697</v>
      </c>
      <c r="B2635" s="7">
        <v>3001053.0</v>
      </c>
      <c r="C2635" s="7" t="s">
        <v>3771</v>
      </c>
      <c r="D2635" s="7" t="s">
        <v>18698</v>
      </c>
      <c r="E2635" s="7" t="s">
        <v>3773</v>
      </c>
      <c r="F2635" s="7" t="s">
        <v>3560</v>
      </c>
      <c r="G2635" s="7" t="s">
        <v>18699</v>
      </c>
      <c r="H2635" s="7" t="s">
        <v>18700</v>
      </c>
      <c r="I2635" s="119">
        <v>45885.0</v>
      </c>
      <c r="K2635" s="7" t="s">
        <v>419</v>
      </c>
      <c r="L2635" s="7" t="s">
        <v>991</v>
      </c>
      <c r="M2635" s="7" t="s">
        <v>3531</v>
      </c>
      <c r="N2635" s="7" t="s">
        <v>7131</v>
      </c>
      <c r="O2635" s="7" t="s">
        <v>7132</v>
      </c>
      <c r="P2635" s="7" t="s">
        <v>3493</v>
      </c>
      <c r="Q2635" s="7">
        <v>1.0</v>
      </c>
    </row>
    <row r="2636">
      <c r="A2636" s="7" t="s">
        <v>18701</v>
      </c>
      <c r="B2636" s="7">
        <v>3001045.0</v>
      </c>
      <c r="C2636" s="7" t="s">
        <v>18702</v>
      </c>
      <c r="D2636" s="7" t="s">
        <v>14336</v>
      </c>
      <c r="E2636" s="7" t="s">
        <v>18703</v>
      </c>
      <c r="F2636" s="7" t="s">
        <v>13027</v>
      </c>
      <c r="G2636" s="7" t="s">
        <v>18704</v>
      </c>
      <c r="H2636" s="7" t="s">
        <v>18705</v>
      </c>
      <c r="I2636" s="119">
        <v>45885.0</v>
      </c>
      <c r="K2636" s="7" t="s">
        <v>17988</v>
      </c>
      <c r="L2636" s="7" t="s">
        <v>991</v>
      </c>
      <c r="M2636" s="7" t="s">
        <v>3490</v>
      </c>
      <c r="N2636" s="7" t="s">
        <v>17989</v>
      </c>
      <c r="O2636" s="7" t="s">
        <v>17990</v>
      </c>
      <c r="P2636" s="7" t="s">
        <v>3493</v>
      </c>
      <c r="Q2636" s="7">
        <v>1.0</v>
      </c>
    </row>
    <row r="2637">
      <c r="A2637" s="7" t="s">
        <v>18706</v>
      </c>
      <c r="B2637" s="7">
        <v>3001035.0</v>
      </c>
      <c r="C2637" s="7" t="s">
        <v>18707</v>
      </c>
      <c r="D2637" s="7" t="s">
        <v>18708</v>
      </c>
      <c r="E2637" s="7" t="s">
        <v>18709</v>
      </c>
      <c r="F2637" s="7" t="s">
        <v>5034</v>
      </c>
      <c r="G2637" s="7" t="s">
        <v>18710</v>
      </c>
      <c r="H2637" s="7" t="s">
        <v>18711</v>
      </c>
      <c r="I2637" s="119">
        <v>45885.0</v>
      </c>
      <c r="K2637" s="7" t="s">
        <v>419</v>
      </c>
      <c r="L2637" s="7" t="s">
        <v>991</v>
      </c>
      <c r="M2637" s="7" t="s">
        <v>3531</v>
      </c>
      <c r="N2637" s="7" t="s">
        <v>3802</v>
      </c>
      <c r="O2637" s="7" t="s">
        <v>3803</v>
      </c>
      <c r="P2637" s="7" t="s">
        <v>3493</v>
      </c>
      <c r="Q2637" s="7">
        <v>1.0</v>
      </c>
    </row>
    <row r="2638">
      <c r="A2638" s="7" t="s">
        <v>18712</v>
      </c>
      <c r="B2638" s="7">
        <v>3001048.0</v>
      </c>
      <c r="C2638" s="7" t="s">
        <v>4493</v>
      </c>
      <c r="D2638" s="7" t="s">
        <v>18713</v>
      </c>
      <c r="E2638" s="7" t="s">
        <v>4495</v>
      </c>
      <c r="F2638" s="7" t="s">
        <v>4371</v>
      </c>
      <c r="G2638" s="7" t="s">
        <v>18714</v>
      </c>
      <c r="H2638" s="7" t="s">
        <v>18715</v>
      </c>
      <c r="I2638" s="119">
        <v>45885.0</v>
      </c>
      <c r="K2638" s="7" t="s">
        <v>3642</v>
      </c>
      <c r="L2638" s="7" t="s">
        <v>991</v>
      </c>
      <c r="M2638" s="7" t="s">
        <v>3501</v>
      </c>
      <c r="N2638" s="7" t="s">
        <v>3643</v>
      </c>
      <c r="O2638" s="7" t="s">
        <v>3644</v>
      </c>
      <c r="P2638" s="7" t="s">
        <v>3493</v>
      </c>
      <c r="Q2638" s="7">
        <v>1.0</v>
      </c>
    </row>
    <row r="2639">
      <c r="A2639" s="7" t="s">
        <v>18716</v>
      </c>
      <c r="B2639" s="7">
        <v>3001036.0</v>
      </c>
      <c r="C2639" s="7" t="s">
        <v>18353</v>
      </c>
      <c r="D2639" s="7" t="s">
        <v>18717</v>
      </c>
      <c r="E2639" s="7" t="s">
        <v>18355</v>
      </c>
      <c r="F2639" s="7" t="s">
        <v>18718</v>
      </c>
      <c r="G2639" s="7" t="s">
        <v>18719</v>
      </c>
      <c r="H2639" s="7" t="s">
        <v>18720</v>
      </c>
      <c r="I2639" s="119">
        <v>45885.0</v>
      </c>
      <c r="K2639" s="7" t="s">
        <v>419</v>
      </c>
      <c r="L2639" s="7" t="s">
        <v>991</v>
      </c>
      <c r="M2639" s="7" t="s">
        <v>3531</v>
      </c>
      <c r="N2639" s="7" t="s">
        <v>4127</v>
      </c>
      <c r="O2639" s="7" t="s">
        <v>4128</v>
      </c>
      <c r="P2639" s="7" t="s">
        <v>3493</v>
      </c>
      <c r="Q2639" s="7">
        <v>1.0</v>
      </c>
    </row>
    <row r="2640">
      <c r="A2640" s="7" t="s">
        <v>18721</v>
      </c>
      <c r="B2640" s="7">
        <v>3001037.0</v>
      </c>
      <c r="C2640" s="7" t="s">
        <v>6022</v>
      </c>
      <c r="D2640" s="7" t="s">
        <v>12013</v>
      </c>
      <c r="E2640" s="7" t="s">
        <v>6024</v>
      </c>
      <c r="F2640" s="7" t="s">
        <v>4234</v>
      </c>
      <c r="G2640" s="7" t="s">
        <v>18722</v>
      </c>
      <c r="H2640" s="7" t="s">
        <v>18723</v>
      </c>
      <c r="I2640" s="119">
        <v>45885.0</v>
      </c>
      <c r="K2640" s="7" t="s">
        <v>419</v>
      </c>
      <c r="L2640" s="7" t="s">
        <v>991</v>
      </c>
      <c r="M2640" s="7" t="s">
        <v>3531</v>
      </c>
      <c r="N2640" s="7" t="s">
        <v>5780</v>
      </c>
      <c r="O2640" s="7" t="s">
        <v>5781</v>
      </c>
      <c r="P2640" s="7" t="s">
        <v>3493</v>
      </c>
      <c r="Q2640" s="7">
        <v>1.0</v>
      </c>
    </row>
    <row r="2641">
      <c r="A2641" s="7" t="s">
        <v>18724</v>
      </c>
      <c r="B2641" s="7">
        <v>3000918.0</v>
      </c>
      <c r="C2641" s="7" t="s">
        <v>18725</v>
      </c>
      <c r="D2641" s="7" t="s">
        <v>17626</v>
      </c>
      <c r="E2641" s="7" t="s">
        <v>18726</v>
      </c>
      <c r="F2641" s="7" t="s">
        <v>17627</v>
      </c>
      <c r="G2641" s="7" t="s">
        <v>18727</v>
      </c>
      <c r="H2641" s="7" t="s">
        <v>18728</v>
      </c>
      <c r="I2641" s="119">
        <v>45885.0</v>
      </c>
      <c r="K2641" s="7" t="s">
        <v>419</v>
      </c>
      <c r="L2641" s="7" t="s">
        <v>991</v>
      </c>
      <c r="M2641" s="7" t="s">
        <v>3501</v>
      </c>
      <c r="N2641" s="7" t="s">
        <v>10569</v>
      </c>
      <c r="O2641" s="7" t="s">
        <v>10570</v>
      </c>
      <c r="P2641" s="7" t="s">
        <v>3493</v>
      </c>
      <c r="Q2641" s="7">
        <v>1.0</v>
      </c>
    </row>
    <row r="2642">
      <c r="A2642" s="7" t="s">
        <v>18729</v>
      </c>
      <c r="B2642" s="7">
        <v>3000977.0</v>
      </c>
      <c r="C2642" s="7" t="s">
        <v>18730</v>
      </c>
      <c r="D2642" s="7" t="s">
        <v>18731</v>
      </c>
      <c r="E2642" s="7" t="s">
        <v>18732</v>
      </c>
      <c r="F2642" s="7" t="s">
        <v>8256</v>
      </c>
      <c r="G2642" s="7" t="s">
        <v>18733</v>
      </c>
      <c r="H2642" s="7" t="s">
        <v>18734</v>
      </c>
      <c r="I2642" s="119">
        <v>45885.0</v>
      </c>
      <c r="K2642" s="7" t="s">
        <v>419</v>
      </c>
      <c r="L2642" s="7" t="s">
        <v>991</v>
      </c>
      <c r="M2642" s="7" t="s">
        <v>3501</v>
      </c>
      <c r="N2642" s="7" t="s">
        <v>7883</v>
      </c>
      <c r="O2642" s="7" t="s">
        <v>7884</v>
      </c>
      <c r="P2642" s="7" t="s">
        <v>3843</v>
      </c>
      <c r="Q2642" s="7">
        <v>1.0</v>
      </c>
    </row>
    <row r="2643">
      <c r="A2643" s="7" t="s">
        <v>18735</v>
      </c>
      <c r="B2643" s="7">
        <v>3001050.0</v>
      </c>
      <c r="C2643" s="7" t="s">
        <v>7795</v>
      </c>
      <c r="D2643" s="7" t="s">
        <v>18736</v>
      </c>
      <c r="E2643" s="7" t="s">
        <v>7797</v>
      </c>
      <c r="F2643" s="7" t="s">
        <v>4707</v>
      </c>
      <c r="G2643" s="7" t="s">
        <v>18737</v>
      </c>
      <c r="H2643" s="7" t="s">
        <v>18738</v>
      </c>
      <c r="I2643" s="119">
        <v>45885.0</v>
      </c>
      <c r="K2643" s="7" t="s">
        <v>3642</v>
      </c>
      <c r="L2643" s="7" t="s">
        <v>991</v>
      </c>
      <c r="M2643" s="7" t="s">
        <v>3501</v>
      </c>
      <c r="N2643" s="7" t="s">
        <v>3643</v>
      </c>
      <c r="O2643" s="7" t="s">
        <v>3644</v>
      </c>
      <c r="P2643" s="7" t="s">
        <v>3493</v>
      </c>
      <c r="Q2643" s="7">
        <v>1.0</v>
      </c>
    </row>
    <row r="2644">
      <c r="A2644" s="7" t="s">
        <v>18739</v>
      </c>
      <c r="B2644" s="7">
        <v>3001043.0</v>
      </c>
      <c r="C2644" s="7" t="s">
        <v>7795</v>
      </c>
      <c r="D2644" s="7" t="s">
        <v>18740</v>
      </c>
      <c r="E2644" s="7" t="s">
        <v>7797</v>
      </c>
      <c r="F2644" s="7" t="s">
        <v>4707</v>
      </c>
      <c r="G2644" s="7" t="s">
        <v>18741</v>
      </c>
      <c r="H2644" s="7" t="s">
        <v>18742</v>
      </c>
      <c r="I2644" s="119">
        <v>45885.0</v>
      </c>
      <c r="K2644" s="7" t="s">
        <v>17988</v>
      </c>
      <c r="L2644" s="7" t="s">
        <v>991</v>
      </c>
      <c r="M2644" s="7" t="s">
        <v>3501</v>
      </c>
      <c r="N2644" s="7" t="s">
        <v>17989</v>
      </c>
      <c r="O2644" s="7" t="s">
        <v>17990</v>
      </c>
      <c r="P2644" s="7" t="s">
        <v>3493</v>
      </c>
      <c r="Q2644" s="7">
        <v>1.0</v>
      </c>
    </row>
    <row r="2645">
      <c r="A2645" s="7" t="s">
        <v>18743</v>
      </c>
      <c r="B2645" s="7">
        <v>3001041.0</v>
      </c>
      <c r="C2645" s="7" t="s">
        <v>7853</v>
      </c>
      <c r="D2645" s="7" t="s">
        <v>12799</v>
      </c>
      <c r="E2645" s="7" t="s">
        <v>7854</v>
      </c>
      <c r="F2645" s="7" t="s">
        <v>12800</v>
      </c>
      <c r="G2645" s="7" t="s">
        <v>18744</v>
      </c>
      <c r="H2645" s="7" t="s">
        <v>18745</v>
      </c>
      <c r="I2645" s="119">
        <v>45885.0</v>
      </c>
      <c r="K2645" s="7" t="s">
        <v>17988</v>
      </c>
      <c r="L2645" s="7" t="s">
        <v>991</v>
      </c>
      <c r="M2645" s="7" t="s">
        <v>3501</v>
      </c>
      <c r="N2645" s="7" t="s">
        <v>17989</v>
      </c>
      <c r="O2645" s="7" t="s">
        <v>17990</v>
      </c>
      <c r="P2645" s="7" t="s">
        <v>3493</v>
      </c>
      <c r="Q2645" s="7">
        <v>1.0</v>
      </c>
    </row>
    <row r="2646">
      <c r="A2646" s="7" t="s">
        <v>18746</v>
      </c>
      <c r="B2646" s="7">
        <v>3001051.0</v>
      </c>
      <c r="C2646" s="7" t="s">
        <v>8017</v>
      </c>
      <c r="D2646" s="7" t="s">
        <v>18747</v>
      </c>
      <c r="E2646" s="7" t="s">
        <v>8019</v>
      </c>
      <c r="F2646" s="7" t="s">
        <v>9273</v>
      </c>
      <c r="G2646" s="7" t="s">
        <v>18748</v>
      </c>
      <c r="H2646" s="7" t="s">
        <v>18749</v>
      </c>
      <c r="I2646" s="119">
        <v>45885.0</v>
      </c>
      <c r="K2646" s="7" t="s">
        <v>3642</v>
      </c>
      <c r="L2646" s="7" t="s">
        <v>991</v>
      </c>
      <c r="M2646" s="7" t="s">
        <v>3501</v>
      </c>
      <c r="N2646" s="7" t="s">
        <v>3643</v>
      </c>
      <c r="O2646" s="7" t="s">
        <v>3644</v>
      </c>
      <c r="P2646" s="7" t="s">
        <v>3493</v>
      </c>
      <c r="Q2646" s="7">
        <v>1.0</v>
      </c>
    </row>
    <row r="2647">
      <c r="A2647" s="7" t="s">
        <v>18750</v>
      </c>
      <c r="B2647" s="7">
        <v>3001040.0</v>
      </c>
      <c r="C2647" s="7" t="s">
        <v>8017</v>
      </c>
      <c r="D2647" s="7" t="s">
        <v>18751</v>
      </c>
      <c r="E2647" s="7" t="s">
        <v>8019</v>
      </c>
      <c r="F2647" s="7" t="s">
        <v>9273</v>
      </c>
      <c r="G2647" s="7" t="s">
        <v>18752</v>
      </c>
      <c r="H2647" s="7" t="s">
        <v>18753</v>
      </c>
      <c r="I2647" s="119">
        <v>45885.0</v>
      </c>
      <c r="K2647" s="7" t="s">
        <v>17988</v>
      </c>
      <c r="L2647" s="7" t="s">
        <v>991</v>
      </c>
      <c r="M2647" s="7" t="s">
        <v>3501</v>
      </c>
      <c r="N2647" s="7" t="s">
        <v>17989</v>
      </c>
      <c r="O2647" s="7" t="s">
        <v>17990</v>
      </c>
      <c r="P2647" s="7" t="s">
        <v>3493</v>
      </c>
      <c r="Q2647" s="7">
        <v>1.0</v>
      </c>
    </row>
    <row r="2648">
      <c r="A2648" s="7" t="s">
        <v>18754</v>
      </c>
      <c r="B2648" s="7">
        <v>3001052.0</v>
      </c>
      <c r="C2648" s="7" t="s">
        <v>18606</v>
      </c>
      <c r="D2648" s="7" t="s">
        <v>18755</v>
      </c>
      <c r="E2648" s="7" t="s">
        <v>18607</v>
      </c>
      <c r="F2648" s="7" t="s">
        <v>3508</v>
      </c>
      <c r="G2648" s="7" t="s">
        <v>18756</v>
      </c>
      <c r="H2648" s="7" t="s">
        <v>18757</v>
      </c>
      <c r="I2648" s="119">
        <v>45885.0</v>
      </c>
      <c r="K2648" s="7" t="s">
        <v>3642</v>
      </c>
      <c r="L2648" s="7" t="s">
        <v>991</v>
      </c>
      <c r="M2648" s="7" t="s">
        <v>3501</v>
      </c>
      <c r="N2648" s="7" t="s">
        <v>3643</v>
      </c>
      <c r="O2648" s="7" t="s">
        <v>3644</v>
      </c>
      <c r="P2648" s="7" t="s">
        <v>3493</v>
      </c>
      <c r="Q2648" s="7">
        <v>1.0</v>
      </c>
    </row>
    <row r="2649">
      <c r="A2649" s="7" t="s">
        <v>18758</v>
      </c>
      <c r="B2649" s="7">
        <v>3001028.0</v>
      </c>
      <c r="C2649" s="7" t="s">
        <v>18759</v>
      </c>
      <c r="D2649" s="7" t="s">
        <v>18760</v>
      </c>
      <c r="E2649" s="7" t="s">
        <v>18761</v>
      </c>
      <c r="F2649" s="7" t="s">
        <v>7477</v>
      </c>
      <c r="G2649" s="7" t="s">
        <v>18762</v>
      </c>
      <c r="H2649" s="7" t="s">
        <v>18763</v>
      </c>
      <c r="I2649" s="119">
        <v>45885.0</v>
      </c>
      <c r="K2649" s="7" t="s">
        <v>419</v>
      </c>
      <c r="L2649" s="7" t="s">
        <v>991</v>
      </c>
      <c r="M2649" s="7" t="s">
        <v>3866</v>
      </c>
      <c r="N2649" s="7" t="s">
        <v>16327</v>
      </c>
      <c r="O2649" s="7" t="s">
        <v>18764</v>
      </c>
      <c r="P2649" s="7" t="s">
        <v>3522</v>
      </c>
      <c r="Q2649" s="7" t="s">
        <v>3523</v>
      </c>
    </row>
    <row r="2650">
      <c r="A2650" s="7" t="s">
        <v>18765</v>
      </c>
      <c r="B2650" s="7">
        <v>3001054.0</v>
      </c>
      <c r="C2650" s="7" t="s">
        <v>10005</v>
      </c>
      <c r="D2650" s="7" t="s">
        <v>18766</v>
      </c>
      <c r="E2650" s="7" t="s">
        <v>10006</v>
      </c>
      <c r="F2650" s="7" t="s">
        <v>6530</v>
      </c>
      <c r="G2650" s="7" t="s">
        <v>18767</v>
      </c>
      <c r="H2650" s="7" t="s">
        <v>18768</v>
      </c>
      <c r="I2650" s="119">
        <v>45885.0</v>
      </c>
      <c r="K2650" s="7" t="s">
        <v>419</v>
      </c>
      <c r="L2650" s="7" t="s">
        <v>991</v>
      </c>
      <c r="M2650" s="7" t="s">
        <v>3531</v>
      </c>
      <c r="N2650" s="7" t="s">
        <v>7417</v>
      </c>
      <c r="O2650" s="7" t="s">
        <v>7418</v>
      </c>
      <c r="P2650" s="7" t="s">
        <v>3493</v>
      </c>
      <c r="Q2650" s="7">
        <v>1.0</v>
      </c>
    </row>
    <row r="2651">
      <c r="A2651" s="7" t="s">
        <v>18769</v>
      </c>
      <c r="B2651" s="7">
        <v>3001046.0</v>
      </c>
      <c r="C2651" s="7" t="s">
        <v>18770</v>
      </c>
      <c r="D2651" s="7" t="s">
        <v>18771</v>
      </c>
      <c r="E2651" s="7" t="s">
        <v>18772</v>
      </c>
      <c r="F2651" s="7" t="s">
        <v>18773</v>
      </c>
      <c r="G2651" s="7" t="s">
        <v>18774</v>
      </c>
      <c r="H2651" s="7" t="s">
        <v>18775</v>
      </c>
      <c r="I2651" s="119">
        <v>45885.0</v>
      </c>
      <c r="K2651" s="7" t="s">
        <v>17988</v>
      </c>
      <c r="L2651" s="7" t="s">
        <v>991</v>
      </c>
      <c r="M2651" s="7" t="s">
        <v>3501</v>
      </c>
      <c r="N2651" s="7" t="s">
        <v>17989</v>
      </c>
      <c r="O2651" s="7" t="s">
        <v>17990</v>
      </c>
      <c r="P2651" s="7" t="s">
        <v>3493</v>
      </c>
      <c r="Q2651" s="7">
        <v>1.0</v>
      </c>
    </row>
    <row r="2652">
      <c r="A2652" s="7" t="s">
        <v>18776</v>
      </c>
      <c r="B2652" s="7">
        <v>3001047.0</v>
      </c>
      <c r="C2652" s="7" t="s">
        <v>18777</v>
      </c>
      <c r="D2652" s="7" t="s">
        <v>16595</v>
      </c>
      <c r="E2652" s="7" t="s">
        <v>18778</v>
      </c>
      <c r="F2652" s="7" t="s">
        <v>11235</v>
      </c>
      <c r="G2652" s="7" t="s">
        <v>18779</v>
      </c>
      <c r="H2652" s="7" t="s">
        <v>18780</v>
      </c>
      <c r="I2652" s="119">
        <v>45885.0</v>
      </c>
      <c r="K2652" s="7" t="s">
        <v>17988</v>
      </c>
      <c r="L2652" s="7" t="s">
        <v>991</v>
      </c>
      <c r="M2652" s="7" t="s">
        <v>3501</v>
      </c>
      <c r="N2652" s="7" t="s">
        <v>17989</v>
      </c>
      <c r="O2652" s="7" t="s">
        <v>17990</v>
      </c>
      <c r="P2652" s="7" t="s">
        <v>3493</v>
      </c>
      <c r="Q2652" s="7">
        <v>1.0</v>
      </c>
    </row>
    <row r="2653">
      <c r="A2653" s="7" t="s">
        <v>18781</v>
      </c>
      <c r="B2653" s="7">
        <v>3001044.0</v>
      </c>
      <c r="C2653" s="7" t="s">
        <v>15661</v>
      </c>
      <c r="D2653" s="7" t="s">
        <v>13474</v>
      </c>
      <c r="E2653" s="7" t="s">
        <v>15663</v>
      </c>
      <c r="F2653" s="7" t="s">
        <v>5369</v>
      </c>
      <c r="G2653" s="7" t="s">
        <v>18782</v>
      </c>
      <c r="H2653" s="7" t="s">
        <v>18783</v>
      </c>
      <c r="I2653" s="119">
        <v>45885.0</v>
      </c>
      <c r="K2653" s="7" t="s">
        <v>17988</v>
      </c>
      <c r="L2653" s="7" t="s">
        <v>991</v>
      </c>
      <c r="M2653" s="7" t="s">
        <v>3490</v>
      </c>
      <c r="N2653" s="7" t="s">
        <v>17989</v>
      </c>
      <c r="O2653" s="7" t="s">
        <v>17990</v>
      </c>
      <c r="P2653" s="7" t="s">
        <v>3493</v>
      </c>
      <c r="Q2653" s="7">
        <v>1.0</v>
      </c>
    </row>
    <row r="2654">
      <c r="A2654" s="7" t="s">
        <v>18784</v>
      </c>
      <c r="B2654" s="7">
        <v>3001049.0</v>
      </c>
      <c r="C2654" s="7" t="s">
        <v>18785</v>
      </c>
      <c r="D2654" s="7" t="s">
        <v>18786</v>
      </c>
      <c r="E2654" s="7" t="s">
        <v>18787</v>
      </c>
      <c r="F2654" s="7" t="s">
        <v>5098</v>
      </c>
      <c r="G2654" s="7" t="s">
        <v>18788</v>
      </c>
      <c r="H2654" s="7" t="s">
        <v>18789</v>
      </c>
      <c r="I2654" s="119">
        <v>45885.0</v>
      </c>
      <c r="K2654" s="7" t="s">
        <v>3642</v>
      </c>
      <c r="L2654" s="7" t="s">
        <v>991</v>
      </c>
      <c r="M2654" s="7" t="s">
        <v>3501</v>
      </c>
      <c r="N2654" s="7" t="s">
        <v>3643</v>
      </c>
      <c r="O2654" s="7" t="s">
        <v>3644</v>
      </c>
      <c r="P2654" s="7" t="s">
        <v>3493</v>
      </c>
      <c r="Q2654" s="7">
        <v>1.0</v>
      </c>
    </row>
    <row r="2655">
      <c r="A2655" s="7" t="s">
        <v>18790</v>
      </c>
      <c r="B2655" s="7">
        <v>3001039.0</v>
      </c>
      <c r="C2655" s="7" t="s">
        <v>18785</v>
      </c>
      <c r="D2655" s="7" t="s">
        <v>5096</v>
      </c>
      <c r="E2655" s="7" t="s">
        <v>18787</v>
      </c>
      <c r="F2655" s="7" t="s">
        <v>5098</v>
      </c>
      <c r="G2655" s="7" t="s">
        <v>18791</v>
      </c>
      <c r="H2655" s="7" t="s">
        <v>18792</v>
      </c>
      <c r="I2655" s="119">
        <v>45885.0</v>
      </c>
      <c r="K2655" s="7" t="s">
        <v>17988</v>
      </c>
      <c r="L2655" s="7" t="s">
        <v>991</v>
      </c>
      <c r="M2655" s="7" t="s">
        <v>3501</v>
      </c>
      <c r="N2655" s="7" t="s">
        <v>17989</v>
      </c>
      <c r="O2655" s="7" t="s">
        <v>17990</v>
      </c>
      <c r="P2655" s="7" t="s">
        <v>3493</v>
      </c>
      <c r="Q2655" s="7">
        <v>1.0</v>
      </c>
    </row>
    <row r="2656">
      <c r="A2656" s="7" t="s">
        <v>18793</v>
      </c>
      <c r="B2656" s="7">
        <v>3001055.0</v>
      </c>
      <c r="C2656" s="7" t="s">
        <v>13367</v>
      </c>
      <c r="D2656" s="7" t="s">
        <v>18794</v>
      </c>
      <c r="E2656" s="7" t="s">
        <v>13369</v>
      </c>
      <c r="F2656" s="7" t="s">
        <v>3714</v>
      </c>
      <c r="G2656" s="7" t="s">
        <v>18795</v>
      </c>
      <c r="H2656" s="7" t="s">
        <v>18796</v>
      </c>
      <c r="I2656" s="119">
        <v>45885.0</v>
      </c>
      <c r="K2656" s="7" t="s">
        <v>419</v>
      </c>
      <c r="L2656" s="7" t="s">
        <v>991</v>
      </c>
      <c r="M2656" s="7" t="s">
        <v>3531</v>
      </c>
      <c r="N2656" s="7" t="s">
        <v>11285</v>
      </c>
      <c r="O2656" s="7" t="s">
        <v>14663</v>
      </c>
      <c r="P2656" s="7" t="s">
        <v>3493</v>
      </c>
      <c r="Q2656" s="7">
        <v>1.0</v>
      </c>
    </row>
    <row r="2657">
      <c r="A2657" s="7" t="s">
        <v>18797</v>
      </c>
      <c r="B2657" s="7">
        <v>3000978.0</v>
      </c>
      <c r="C2657" s="7" t="s">
        <v>18798</v>
      </c>
      <c r="D2657" s="7" t="s">
        <v>7302</v>
      </c>
      <c r="E2657" s="7" t="s">
        <v>13545</v>
      </c>
      <c r="F2657" s="7" t="s">
        <v>18799</v>
      </c>
      <c r="G2657" s="7" t="s">
        <v>18800</v>
      </c>
      <c r="H2657" s="7" t="s">
        <v>18801</v>
      </c>
      <c r="I2657" s="119">
        <v>45885.0</v>
      </c>
      <c r="K2657" s="7" t="s">
        <v>6124</v>
      </c>
      <c r="L2657" s="7" t="s">
        <v>3542</v>
      </c>
      <c r="M2657" s="7" t="s">
        <v>3543</v>
      </c>
      <c r="N2657" s="7" t="s">
        <v>6125</v>
      </c>
      <c r="O2657" s="7" t="s">
        <v>18802</v>
      </c>
      <c r="P2657" s="7" t="s">
        <v>3522</v>
      </c>
      <c r="Q2657" s="7" t="s">
        <v>3523</v>
      </c>
    </row>
    <row r="2658">
      <c r="A2658" s="7" t="s">
        <v>18803</v>
      </c>
      <c r="B2658" s="7">
        <v>3001029.0</v>
      </c>
      <c r="C2658" s="7" t="s">
        <v>13801</v>
      </c>
      <c r="D2658" s="7" t="s">
        <v>6406</v>
      </c>
      <c r="E2658" s="7" t="s">
        <v>13803</v>
      </c>
      <c r="F2658" s="7" t="s">
        <v>16616</v>
      </c>
      <c r="G2658" s="7" t="s">
        <v>18804</v>
      </c>
      <c r="H2658" s="7" t="s">
        <v>18805</v>
      </c>
      <c r="I2658" s="119">
        <v>45885.0</v>
      </c>
      <c r="K2658" s="7" t="s">
        <v>419</v>
      </c>
      <c r="L2658" s="7" t="s">
        <v>991</v>
      </c>
      <c r="M2658" s="7" t="s">
        <v>3583</v>
      </c>
      <c r="N2658" s="7" t="s">
        <v>8478</v>
      </c>
      <c r="O2658" s="7" t="s">
        <v>11111</v>
      </c>
      <c r="P2658" s="7" t="s">
        <v>3493</v>
      </c>
      <c r="Q2658" s="7">
        <v>1.0</v>
      </c>
    </row>
    <row r="2659">
      <c r="A2659" s="7" t="s">
        <v>18806</v>
      </c>
      <c r="B2659" s="7">
        <v>3001102.0</v>
      </c>
      <c r="C2659" s="7" t="s">
        <v>3816</v>
      </c>
      <c r="D2659" s="7" t="s">
        <v>18807</v>
      </c>
      <c r="E2659" s="7" t="s">
        <v>3773</v>
      </c>
      <c r="F2659" s="7" t="s">
        <v>10848</v>
      </c>
      <c r="G2659" s="7" t="s">
        <v>18808</v>
      </c>
      <c r="H2659" s="7" t="s">
        <v>18809</v>
      </c>
      <c r="I2659" s="119">
        <v>45901.0</v>
      </c>
      <c r="K2659" s="7" t="s">
        <v>419</v>
      </c>
      <c r="L2659" s="7" t="s">
        <v>991</v>
      </c>
      <c r="M2659" s="7" t="s">
        <v>3531</v>
      </c>
      <c r="N2659" s="7" t="s">
        <v>7178</v>
      </c>
      <c r="O2659" s="7" t="s">
        <v>7179</v>
      </c>
      <c r="P2659" s="7" t="s">
        <v>3493</v>
      </c>
      <c r="Q2659" s="7">
        <v>1.0</v>
      </c>
    </row>
    <row r="2660">
      <c r="A2660" s="7" t="s">
        <v>18810</v>
      </c>
      <c r="B2660" s="7">
        <v>3001094.0</v>
      </c>
      <c r="C2660" s="7" t="s">
        <v>4058</v>
      </c>
      <c r="D2660" s="7" t="s">
        <v>13203</v>
      </c>
      <c r="E2660" s="7" t="s">
        <v>4067</v>
      </c>
      <c r="F2660" s="7" t="s">
        <v>4213</v>
      </c>
      <c r="G2660" s="7" t="s">
        <v>18811</v>
      </c>
      <c r="H2660" s="7" t="s">
        <v>18812</v>
      </c>
      <c r="I2660" s="119">
        <v>45901.0</v>
      </c>
      <c r="K2660" s="7" t="s">
        <v>419</v>
      </c>
      <c r="L2660" s="7" t="s">
        <v>991</v>
      </c>
      <c r="M2660" s="7" t="s">
        <v>3583</v>
      </c>
      <c r="N2660" s="7" t="s">
        <v>7348</v>
      </c>
      <c r="O2660" s="7" t="s">
        <v>18813</v>
      </c>
      <c r="P2660" s="7" t="s">
        <v>3522</v>
      </c>
      <c r="Q2660" s="7" t="s">
        <v>3523</v>
      </c>
    </row>
    <row r="2661">
      <c r="A2661" s="7" t="s">
        <v>18814</v>
      </c>
      <c r="B2661" s="7">
        <v>3001086.0</v>
      </c>
      <c r="C2661" s="7" t="s">
        <v>4596</v>
      </c>
      <c r="D2661" s="7" t="s">
        <v>18815</v>
      </c>
      <c r="E2661" s="7" t="s">
        <v>4504</v>
      </c>
      <c r="F2661" s="7" t="s">
        <v>16361</v>
      </c>
      <c r="G2661" s="7" t="s">
        <v>18816</v>
      </c>
      <c r="H2661" s="7" t="s">
        <v>18817</v>
      </c>
      <c r="I2661" s="119">
        <v>45901.0</v>
      </c>
      <c r="K2661" s="7" t="s">
        <v>17988</v>
      </c>
      <c r="L2661" s="7" t="s">
        <v>991</v>
      </c>
      <c r="M2661" s="7" t="s">
        <v>3501</v>
      </c>
      <c r="N2661" s="7" t="s">
        <v>17989</v>
      </c>
      <c r="O2661" s="7" t="s">
        <v>17990</v>
      </c>
      <c r="P2661" s="7" t="s">
        <v>3493</v>
      </c>
      <c r="Q2661" s="7">
        <v>1.0</v>
      </c>
    </row>
    <row r="2662">
      <c r="A2662" s="7" t="s">
        <v>18818</v>
      </c>
      <c r="B2662" s="7">
        <v>3001021.0</v>
      </c>
      <c r="C2662" s="7" t="s">
        <v>18819</v>
      </c>
      <c r="D2662" s="7" t="s">
        <v>18820</v>
      </c>
      <c r="E2662" s="7" t="s">
        <v>18821</v>
      </c>
      <c r="F2662" s="7" t="s">
        <v>3806</v>
      </c>
      <c r="G2662" s="7" t="s">
        <v>18822</v>
      </c>
      <c r="H2662" s="7" t="s">
        <v>18823</v>
      </c>
      <c r="I2662" s="119">
        <v>45901.0</v>
      </c>
      <c r="K2662" s="7" t="s">
        <v>419</v>
      </c>
      <c r="L2662" s="7" t="s">
        <v>991</v>
      </c>
      <c r="M2662" s="7" t="s">
        <v>3501</v>
      </c>
      <c r="N2662" s="7" t="s">
        <v>4374</v>
      </c>
      <c r="O2662" s="7" t="s">
        <v>18824</v>
      </c>
      <c r="P2662" s="7" t="s">
        <v>3522</v>
      </c>
      <c r="Q2662" s="7" t="s">
        <v>3523</v>
      </c>
    </row>
    <row r="2663">
      <c r="A2663" s="7" t="s">
        <v>18825</v>
      </c>
      <c r="B2663" s="7">
        <v>3001077.0</v>
      </c>
      <c r="C2663" s="7" t="s">
        <v>18826</v>
      </c>
      <c r="D2663" s="7" t="s">
        <v>18827</v>
      </c>
      <c r="E2663" s="7" t="s">
        <v>18828</v>
      </c>
      <c r="F2663" s="7" t="s">
        <v>5058</v>
      </c>
      <c r="G2663" s="7" t="s">
        <v>18829</v>
      </c>
      <c r="H2663" s="7" t="s">
        <v>18830</v>
      </c>
      <c r="I2663" s="119">
        <v>45901.0</v>
      </c>
      <c r="K2663" s="7" t="s">
        <v>3642</v>
      </c>
      <c r="L2663" s="7" t="s">
        <v>991</v>
      </c>
      <c r="M2663" s="7" t="s">
        <v>3501</v>
      </c>
      <c r="N2663" s="7" t="s">
        <v>3643</v>
      </c>
      <c r="O2663" s="7" t="s">
        <v>3644</v>
      </c>
      <c r="P2663" s="7" t="s">
        <v>3493</v>
      </c>
      <c r="Q2663" s="7">
        <v>1.0</v>
      </c>
    </row>
    <row r="2664">
      <c r="A2664" s="7" t="s">
        <v>18831</v>
      </c>
      <c r="B2664" s="7">
        <v>3001091.0</v>
      </c>
      <c r="C2664" s="7" t="s">
        <v>18826</v>
      </c>
      <c r="D2664" s="7" t="s">
        <v>5743</v>
      </c>
      <c r="E2664" s="7" t="s">
        <v>18828</v>
      </c>
      <c r="F2664" s="7" t="s">
        <v>5058</v>
      </c>
      <c r="G2664" s="7" t="s">
        <v>18832</v>
      </c>
      <c r="H2664" s="7" t="s">
        <v>18833</v>
      </c>
      <c r="I2664" s="119">
        <v>45901.0</v>
      </c>
      <c r="K2664" s="7" t="s">
        <v>17988</v>
      </c>
      <c r="L2664" s="7" t="s">
        <v>991</v>
      </c>
      <c r="M2664" s="7" t="s">
        <v>3501</v>
      </c>
      <c r="N2664" s="7" t="s">
        <v>17989</v>
      </c>
      <c r="O2664" s="7" t="s">
        <v>17990</v>
      </c>
      <c r="P2664" s="7" t="s">
        <v>3493</v>
      </c>
      <c r="Q2664" s="7">
        <v>1.0</v>
      </c>
    </row>
    <row r="2665">
      <c r="A2665" s="7" t="s">
        <v>18834</v>
      </c>
      <c r="B2665" s="7">
        <v>3001066.0</v>
      </c>
      <c r="C2665" s="7" t="s">
        <v>18835</v>
      </c>
      <c r="D2665" s="7" t="s">
        <v>4676</v>
      </c>
      <c r="E2665" s="7" t="s">
        <v>18836</v>
      </c>
      <c r="F2665" s="7" t="s">
        <v>4677</v>
      </c>
      <c r="G2665" s="7" t="s">
        <v>18837</v>
      </c>
      <c r="H2665" s="7" t="s">
        <v>18838</v>
      </c>
      <c r="I2665" s="119">
        <v>45901.0</v>
      </c>
      <c r="K2665" s="7" t="s">
        <v>419</v>
      </c>
      <c r="L2665" s="7" t="s">
        <v>991</v>
      </c>
      <c r="M2665" s="7" t="s">
        <v>3531</v>
      </c>
      <c r="N2665" s="7" t="s">
        <v>7172</v>
      </c>
      <c r="O2665" s="7" t="s">
        <v>16907</v>
      </c>
      <c r="P2665" s="7" t="s">
        <v>3493</v>
      </c>
      <c r="Q2665" s="7">
        <v>1.0</v>
      </c>
    </row>
    <row r="2666">
      <c r="A2666" s="7" t="s">
        <v>18839</v>
      </c>
      <c r="B2666" s="7">
        <v>3001076.0</v>
      </c>
      <c r="C2666" s="7" t="s">
        <v>17644</v>
      </c>
      <c r="D2666" s="7" t="s">
        <v>18840</v>
      </c>
      <c r="E2666" s="7" t="s">
        <v>6786</v>
      </c>
      <c r="F2666" s="7" t="s">
        <v>14422</v>
      </c>
      <c r="G2666" s="7" t="s">
        <v>18841</v>
      </c>
      <c r="H2666" s="7" t="s">
        <v>18842</v>
      </c>
      <c r="I2666" s="119">
        <v>45901.0</v>
      </c>
      <c r="K2666" s="7" t="s">
        <v>419</v>
      </c>
      <c r="L2666" s="7" t="s">
        <v>991</v>
      </c>
      <c r="M2666" s="7" t="s">
        <v>3531</v>
      </c>
      <c r="N2666" s="7" t="s">
        <v>10476</v>
      </c>
      <c r="O2666" s="7" t="s">
        <v>17630</v>
      </c>
      <c r="P2666" s="7" t="s">
        <v>3493</v>
      </c>
      <c r="Q2666" s="7">
        <v>1.0</v>
      </c>
    </row>
    <row r="2667">
      <c r="A2667" s="7" t="s">
        <v>18843</v>
      </c>
      <c r="B2667" s="7">
        <v>3001022.0</v>
      </c>
      <c r="C2667" s="7" t="s">
        <v>6833</v>
      </c>
      <c r="D2667" s="7" t="s">
        <v>5987</v>
      </c>
      <c r="E2667" s="7" t="s">
        <v>6835</v>
      </c>
      <c r="F2667" s="7" t="s">
        <v>5987</v>
      </c>
      <c r="G2667" s="7" t="s">
        <v>18844</v>
      </c>
      <c r="H2667" s="7" t="s">
        <v>18845</v>
      </c>
      <c r="I2667" s="119">
        <v>45901.0</v>
      </c>
      <c r="K2667" s="7" t="s">
        <v>419</v>
      </c>
      <c r="L2667" s="7" t="s">
        <v>991</v>
      </c>
      <c r="M2667" s="7" t="s">
        <v>3501</v>
      </c>
      <c r="N2667" s="7" t="s">
        <v>10400</v>
      </c>
      <c r="O2667" s="7" t="s">
        <v>18846</v>
      </c>
      <c r="P2667" s="7" t="s">
        <v>4154</v>
      </c>
      <c r="Q2667" s="7" t="s">
        <v>3555</v>
      </c>
    </row>
    <row r="2668">
      <c r="A2668" s="7" t="s">
        <v>18847</v>
      </c>
      <c r="B2668" s="7">
        <v>3001101.0</v>
      </c>
      <c r="C2668" s="7" t="s">
        <v>6908</v>
      </c>
      <c r="D2668" s="7" t="s">
        <v>18848</v>
      </c>
      <c r="E2668" s="7" t="s">
        <v>6910</v>
      </c>
      <c r="F2668" s="7" t="s">
        <v>8554</v>
      </c>
      <c r="G2668" s="7" t="s">
        <v>18849</v>
      </c>
      <c r="H2668" s="7" t="s">
        <v>18850</v>
      </c>
      <c r="I2668" s="119">
        <v>45901.0</v>
      </c>
      <c r="K2668" s="7" t="s">
        <v>419</v>
      </c>
      <c r="L2668" s="7" t="s">
        <v>991</v>
      </c>
      <c r="M2668" s="7" t="s">
        <v>3531</v>
      </c>
      <c r="N2668" s="7" t="s">
        <v>6624</v>
      </c>
      <c r="O2668" s="7" t="s">
        <v>9604</v>
      </c>
      <c r="P2668" s="7" t="s">
        <v>3493</v>
      </c>
      <c r="Q2668" s="7">
        <v>1.0</v>
      </c>
    </row>
    <row r="2669">
      <c r="A2669" s="7" t="s">
        <v>18851</v>
      </c>
      <c r="B2669" s="7">
        <v>3001067.0</v>
      </c>
      <c r="C2669" s="7" t="s">
        <v>14653</v>
      </c>
      <c r="D2669" s="7" t="s">
        <v>18852</v>
      </c>
      <c r="E2669" s="7" t="s">
        <v>18853</v>
      </c>
      <c r="F2669" s="7" t="s">
        <v>18854</v>
      </c>
      <c r="G2669" s="7" t="s">
        <v>18855</v>
      </c>
      <c r="H2669" s="7" t="s">
        <v>18856</v>
      </c>
      <c r="I2669" s="119">
        <v>45901.0</v>
      </c>
      <c r="K2669" s="7" t="s">
        <v>3632</v>
      </c>
      <c r="L2669" s="7" t="s">
        <v>991</v>
      </c>
      <c r="M2669" s="7" t="s">
        <v>3531</v>
      </c>
      <c r="N2669" s="7" t="s">
        <v>5052</v>
      </c>
      <c r="O2669" s="7" t="s">
        <v>15149</v>
      </c>
      <c r="P2669" s="7" t="s">
        <v>3493</v>
      </c>
      <c r="Q2669" s="7">
        <v>1.0</v>
      </c>
    </row>
    <row r="2670">
      <c r="A2670" s="7" t="s">
        <v>18857</v>
      </c>
      <c r="B2670" s="7">
        <v>3001089.0</v>
      </c>
      <c r="C2670" s="7" t="s">
        <v>18858</v>
      </c>
      <c r="D2670" s="7" t="s">
        <v>18859</v>
      </c>
      <c r="E2670" s="7" t="s">
        <v>18860</v>
      </c>
      <c r="F2670" s="7" t="s">
        <v>18861</v>
      </c>
      <c r="G2670" s="7" t="s">
        <v>18862</v>
      </c>
      <c r="H2670" s="7" t="s">
        <v>18863</v>
      </c>
      <c r="I2670" s="119">
        <v>45901.0</v>
      </c>
      <c r="K2670" s="7" t="s">
        <v>17988</v>
      </c>
      <c r="L2670" s="7" t="s">
        <v>991</v>
      </c>
      <c r="M2670" s="7" t="s">
        <v>3501</v>
      </c>
      <c r="N2670" s="7" t="s">
        <v>17989</v>
      </c>
      <c r="O2670" s="7" t="s">
        <v>17990</v>
      </c>
      <c r="P2670" s="7" t="s">
        <v>3493</v>
      </c>
      <c r="Q2670" s="7">
        <v>1.0</v>
      </c>
    </row>
    <row r="2671">
      <c r="A2671" s="7" t="s">
        <v>18864</v>
      </c>
      <c r="B2671" s="7">
        <v>3000898.0</v>
      </c>
      <c r="C2671" s="7" t="s">
        <v>18865</v>
      </c>
      <c r="D2671" s="7" t="s">
        <v>6628</v>
      </c>
      <c r="E2671" s="7" t="s">
        <v>18866</v>
      </c>
      <c r="F2671" s="7" t="s">
        <v>6630</v>
      </c>
      <c r="G2671" s="7" t="s">
        <v>18867</v>
      </c>
      <c r="H2671" s="7" t="s">
        <v>18868</v>
      </c>
      <c r="I2671" s="119">
        <v>45901.0</v>
      </c>
      <c r="K2671" s="7" t="s">
        <v>419</v>
      </c>
      <c r="L2671" s="7" t="s">
        <v>991</v>
      </c>
      <c r="M2671" s="7" t="s">
        <v>3501</v>
      </c>
      <c r="N2671" s="7" t="s">
        <v>3652</v>
      </c>
      <c r="O2671" s="7" t="s">
        <v>3653</v>
      </c>
      <c r="P2671" s="7" t="s">
        <v>3493</v>
      </c>
      <c r="Q2671" s="7">
        <v>1.0</v>
      </c>
    </row>
    <row r="2672">
      <c r="A2672" s="7" t="s">
        <v>18869</v>
      </c>
      <c r="B2672" s="7">
        <v>3001027.0</v>
      </c>
      <c r="C2672" s="7" t="s">
        <v>15365</v>
      </c>
      <c r="D2672" s="7" t="s">
        <v>5383</v>
      </c>
      <c r="E2672" s="7" t="s">
        <v>15367</v>
      </c>
      <c r="F2672" s="7" t="s">
        <v>3486</v>
      </c>
      <c r="G2672" s="7" t="s">
        <v>18870</v>
      </c>
      <c r="H2672" s="7" t="s">
        <v>18871</v>
      </c>
      <c r="I2672" s="119">
        <v>45901.0</v>
      </c>
      <c r="K2672" s="7" t="s">
        <v>419</v>
      </c>
      <c r="L2672" s="7" t="s">
        <v>991</v>
      </c>
      <c r="M2672" s="7" t="s">
        <v>3501</v>
      </c>
      <c r="N2672" s="7" t="s">
        <v>6714</v>
      </c>
      <c r="O2672" s="7" t="s">
        <v>10143</v>
      </c>
      <c r="P2672" s="7" t="s">
        <v>3493</v>
      </c>
      <c r="Q2672" s="7">
        <v>1.0</v>
      </c>
    </row>
    <row r="2673">
      <c r="A2673" s="7" t="s">
        <v>18872</v>
      </c>
      <c r="B2673" s="7">
        <v>3001065.0</v>
      </c>
      <c r="C2673" s="7" t="s">
        <v>18873</v>
      </c>
      <c r="D2673" s="7" t="s">
        <v>8202</v>
      </c>
      <c r="E2673" s="7" t="s">
        <v>18874</v>
      </c>
      <c r="F2673" s="7" t="s">
        <v>8814</v>
      </c>
      <c r="G2673" s="7" t="s">
        <v>18875</v>
      </c>
      <c r="H2673" s="7" t="s">
        <v>18876</v>
      </c>
      <c r="I2673" s="119">
        <v>45901.0</v>
      </c>
      <c r="K2673" s="7" t="s">
        <v>3632</v>
      </c>
      <c r="L2673" s="7" t="s">
        <v>991</v>
      </c>
      <c r="M2673" s="7" t="s">
        <v>3501</v>
      </c>
      <c r="N2673" s="7" t="s">
        <v>7202</v>
      </c>
      <c r="O2673" s="7" t="s">
        <v>18877</v>
      </c>
      <c r="P2673" s="7" t="s">
        <v>3522</v>
      </c>
      <c r="Q2673" s="7" t="s">
        <v>3523</v>
      </c>
    </row>
    <row r="2674">
      <c r="A2674" s="7" t="s">
        <v>18878</v>
      </c>
      <c r="B2674" s="7">
        <v>3001074.0</v>
      </c>
      <c r="C2674" s="7" t="s">
        <v>8328</v>
      </c>
      <c r="D2674" s="7" t="s">
        <v>4260</v>
      </c>
      <c r="E2674" s="7" t="s">
        <v>8329</v>
      </c>
      <c r="F2674" s="7" t="s">
        <v>4262</v>
      </c>
      <c r="G2674" s="7" t="s">
        <v>18879</v>
      </c>
      <c r="H2674" s="7" t="s">
        <v>18880</v>
      </c>
      <c r="I2674" s="119">
        <v>45901.0</v>
      </c>
      <c r="K2674" s="7" t="s">
        <v>3642</v>
      </c>
      <c r="L2674" s="7" t="s">
        <v>991</v>
      </c>
      <c r="M2674" s="7" t="s">
        <v>3501</v>
      </c>
      <c r="N2674" s="7" t="s">
        <v>3643</v>
      </c>
      <c r="O2674" s="7" t="s">
        <v>3644</v>
      </c>
      <c r="P2674" s="7" t="s">
        <v>3493</v>
      </c>
      <c r="Q2674" s="7">
        <v>1.0</v>
      </c>
    </row>
    <row r="2675">
      <c r="A2675" s="7" t="s">
        <v>18881</v>
      </c>
      <c r="B2675" s="7">
        <v>3001073.0</v>
      </c>
      <c r="C2675" s="7" t="s">
        <v>8429</v>
      </c>
      <c r="D2675" s="7" t="s">
        <v>3580</v>
      </c>
      <c r="E2675" s="7" t="s">
        <v>8431</v>
      </c>
      <c r="F2675" s="7" t="s">
        <v>3580</v>
      </c>
      <c r="G2675" s="7" t="s">
        <v>18882</v>
      </c>
      <c r="H2675" s="7" t="s">
        <v>18883</v>
      </c>
      <c r="I2675" s="119">
        <v>45901.0</v>
      </c>
      <c r="K2675" s="7" t="s">
        <v>419</v>
      </c>
      <c r="L2675" s="7" t="s">
        <v>991</v>
      </c>
      <c r="M2675" s="7" t="s">
        <v>3531</v>
      </c>
      <c r="N2675" s="7" t="s">
        <v>3742</v>
      </c>
      <c r="O2675" s="7" t="s">
        <v>3743</v>
      </c>
      <c r="P2675" s="7" t="s">
        <v>3493</v>
      </c>
      <c r="Q2675" s="7">
        <v>1.0</v>
      </c>
    </row>
    <row r="2676">
      <c r="A2676" s="7" t="s">
        <v>18884</v>
      </c>
      <c r="B2676" s="7">
        <v>3001075.0</v>
      </c>
      <c r="C2676" s="7" t="s">
        <v>8429</v>
      </c>
      <c r="D2676" s="7" t="s">
        <v>18885</v>
      </c>
      <c r="E2676" s="7" t="s">
        <v>8431</v>
      </c>
      <c r="F2676" s="7" t="s">
        <v>18886</v>
      </c>
      <c r="G2676" s="7" t="s">
        <v>18887</v>
      </c>
      <c r="H2676" s="7" t="s">
        <v>18888</v>
      </c>
      <c r="I2676" s="119">
        <v>45901.0</v>
      </c>
      <c r="K2676" s="7" t="s">
        <v>419</v>
      </c>
      <c r="L2676" s="7" t="s">
        <v>991</v>
      </c>
      <c r="M2676" s="7" t="s">
        <v>3531</v>
      </c>
      <c r="N2676" s="7" t="s">
        <v>10476</v>
      </c>
      <c r="O2676" s="7" t="s">
        <v>17630</v>
      </c>
      <c r="P2676" s="7" t="s">
        <v>3493</v>
      </c>
      <c r="Q2676" s="7">
        <v>1.0</v>
      </c>
    </row>
    <row r="2677">
      <c r="A2677" s="7" t="s">
        <v>18889</v>
      </c>
      <c r="B2677" s="7">
        <v>3001099.0</v>
      </c>
      <c r="C2677" s="7" t="s">
        <v>18890</v>
      </c>
      <c r="D2677" s="7" t="s">
        <v>18891</v>
      </c>
      <c r="E2677" s="7" t="s">
        <v>18892</v>
      </c>
      <c r="F2677" s="7" t="s">
        <v>3714</v>
      </c>
      <c r="G2677" s="7" t="s">
        <v>18893</v>
      </c>
      <c r="H2677" s="7" t="s">
        <v>18894</v>
      </c>
      <c r="I2677" s="119">
        <v>45901.0</v>
      </c>
      <c r="K2677" s="7" t="s">
        <v>3632</v>
      </c>
      <c r="L2677" s="7" t="s">
        <v>991</v>
      </c>
      <c r="M2677" s="7" t="s">
        <v>3583</v>
      </c>
      <c r="N2677" s="7" t="s">
        <v>5052</v>
      </c>
      <c r="O2677" s="7" t="s">
        <v>15149</v>
      </c>
      <c r="P2677" s="7" t="s">
        <v>3493</v>
      </c>
      <c r="Q2677" s="7">
        <v>1.0</v>
      </c>
    </row>
    <row r="2678">
      <c r="A2678" s="7" t="s">
        <v>18895</v>
      </c>
      <c r="B2678" s="7">
        <v>3001092.0</v>
      </c>
      <c r="C2678" s="7" t="s">
        <v>18896</v>
      </c>
      <c r="D2678" s="7" t="s">
        <v>18897</v>
      </c>
      <c r="E2678" s="7" t="s">
        <v>18898</v>
      </c>
      <c r="F2678" s="7" t="s">
        <v>5715</v>
      </c>
      <c r="G2678" s="7" t="s">
        <v>18899</v>
      </c>
      <c r="H2678" s="7" t="s">
        <v>18900</v>
      </c>
      <c r="I2678" s="119">
        <v>45901.0</v>
      </c>
      <c r="K2678" s="7" t="s">
        <v>17988</v>
      </c>
      <c r="L2678" s="7" t="s">
        <v>991</v>
      </c>
      <c r="M2678" s="7" t="s">
        <v>3501</v>
      </c>
      <c r="N2678" s="7" t="s">
        <v>17989</v>
      </c>
      <c r="O2678" s="7" t="s">
        <v>17990</v>
      </c>
      <c r="P2678" s="7" t="s">
        <v>3493</v>
      </c>
      <c r="Q2678" s="7">
        <v>1.0</v>
      </c>
    </row>
    <row r="2679">
      <c r="A2679" s="7" t="s">
        <v>18901</v>
      </c>
      <c r="B2679" s="7">
        <v>3001084.0</v>
      </c>
      <c r="C2679" s="7" t="s">
        <v>18902</v>
      </c>
      <c r="D2679" s="7" t="s">
        <v>18903</v>
      </c>
      <c r="E2679" s="7" t="s">
        <v>18904</v>
      </c>
      <c r="F2679" s="7" t="s">
        <v>18905</v>
      </c>
      <c r="G2679" s="7" t="s">
        <v>18906</v>
      </c>
      <c r="H2679" s="7" t="s">
        <v>18907</v>
      </c>
      <c r="I2679" s="119">
        <v>45901.0</v>
      </c>
      <c r="K2679" s="7" t="s">
        <v>17988</v>
      </c>
      <c r="L2679" s="7" t="s">
        <v>991</v>
      </c>
      <c r="M2679" s="7" t="s">
        <v>3501</v>
      </c>
      <c r="N2679" s="7" t="s">
        <v>17989</v>
      </c>
      <c r="O2679" s="7" t="s">
        <v>17990</v>
      </c>
      <c r="P2679" s="7" t="s">
        <v>3493</v>
      </c>
      <c r="Q2679" s="7">
        <v>1.0</v>
      </c>
    </row>
    <row r="2680">
      <c r="A2680" s="7" t="s">
        <v>18908</v>
      </c>
      <c r="B2680" s="7">
        <v>3001083.0</v>
      </c>
      <c r="C2680" s="7" t="s">
        <v>9145</v>
      </c>
      <c r="D2680" s="7" t="s">
        <v>17236</v>
      </c>
      <c r="E2680" s="7" t="s">
        <v>9147</v>
      </c>
      <c r="F2680" s="7" t="s">
        <v>4068</v>
      </c>
      <c r="G2680" s="7" t="s">
        <v>18909</v>
      </c>
      <c r="H2680" s="7" t="s">
        <v>18910</v>
      </c>
      <c r="I2680" s="119">
        <v>45901.0</v>
      </c>
      <c r="K2680" s="7" t="s">
        <v>17988</v>
      </c>
      <c r="L2680" s="7" t="s">
        <v>991</v>
      </c>
      <c r="M2680" s="7" t="s">
        <v>3501</v>
      </c>
      <c r="N2680" s="7" t="s">
        <v>17989</v>
      </c>
      <c r="O2680" s="7" t="s">
        <v>17990</v>
      </c>
      <c r="P2680" s="7" t="s">
        <v>3493</v>
      </c>
      <c r="Q2680" s="7">
        <v>1.0</v>
      </c>
    </row>
    <row r="2681">
      <c r="A2681" s="7" t="s">
        <v>18911</v>
      </c>
      <c r="B2681" s="7">
        <v>3001071.0</v>
      </c>
      <c r="C2681" s="7" t="s">
        <v>9145</v>
      </c>
      <c r="D2681" s="7" t="s">
        <v>18912</v>
      </c>
      <c r="E2681" s="7" t="s">
        <v>9147</v>
      </c>
      <c r="F2681" s="7" t="s">
        <v>18913</v>
      </c>
      <c r="G2681" s="7" t="s">
        <v>18914</v>
      </c>
      <c r="H2681" s="7" t="s">
        <v>18915</v>
      </c>
      <c r="I2681" s="119">
        <v>45901.0</v>
      </c>
      <c r="K2681" s="7" t="s">
        <v>419</v>
      </c>
      <c r="L2681" s="7" t="s">
        <v>991</v>
      </c>
      <c r="M2681" s="7" t="s">
        <v>3531</v>
      </c>
      <c r="N2681" s="7" t="s">
        <v>5888</v>
      </c>
      <c r="O2681" s="7" t="s">
        <v>5889</v>
      </c>
      <c r="P2681" s="7" t="s">
        <v>3493</v>
      </c>
      <c r="Q2681" s="7">
        <v>1.0</v>
      </c>
    </row>
    <row r="2682">
      <c r="A2682" s="7" t="s">
        <v>18916</v>
      </c>
      <c r="B2682" s="7">
        <v>3001078.0</v>
      </c>
      <c r="C2682" s="7" t="s">
        <v>9145</v>
      </c>
      <c r="D2682" s="7" t="s">
        <v>18917</v>
      </c>
      <c r="E2682" s="7" t="s">
        <v>9147</v>
      </c>
      <c r="F2682" s="7" t="s">
        <v>4831</v>
      </c>
      <c r="G2682" s="7" t="s">
        <v>18918</v>
      </c>
      <c r="H2682" s="7" t="s">
        <v>18919</v>
      </c>
      <c r="I2682" s="119">
        <v>45901.0</v>
      </c>
      <c r="K2682" s="7" t="s">
        <v>17988</v>
      </c>
      <c r="L2682" s="7" t="s">
        <v>991</v>
      </c>
      <c r="M2682" s="7" t="s">
        <v>3501</v>
      </c>
      <c r="N2682" s="7" t="s">
        <v>17989</v>
      </c>
      <c r="O2682" s="7" t="s">
        <v>17990</v>
      </c>
      <c r="P2682" s="7" t="s">
        <v>3493</v>
      </c>
      <c r="Q2682" s="7">
        <v>1.0</v>
      </c>
    </row>
    <row r="2683">
      <c r="A2683" s="7" t="s">
        <v>18920</v>
      </c>
      <c r="B2683" s="7">
        <v>3000892.0</v>
      </c>
      <c r="C2683" s="7" t="s">
        <v>9321</v>
      </c>
      <c r="D2683" s="7" t="s">
        <v>18921</v>
      </c>
      <c r="E2683" s="7" t="s">
        <v>9322</v>
      </c>
      <c r="F2683" s="7" t="s">
        <v>6184</v>
      </c>
      <c r="G2683" s="7" t="s">
        <v>18922</v>
      </c>
      <c r="H2683" s="7" t="s">
        <v>18923</v>
      </c>
      <c r="I2683" s="119">
        <v>45901.0</v>
      </c>
      <c r="K2683" s="7" t="s">
        <v>419</v>
      </c>
      <c r="L2683" s="7" t="s">
        <v>991</v>
      </c>
      <c r="M2683" s="7" t="s">
        <v>3501</v>
      </c>
      <c r="N2683" s="7" t="s">
        <v>8512</v>
      </c>
      <c r="O2683" s="7" t="s">
        <v>8513</v>
      </c>
      <c r="P2683" s="7" t="s">
        <v>3522</v>
      </c>
      <c r="Q2683" s="7" t="s">
        <v>3523</v>
      </c>
    </row>
    <row r="2684">
      <c r="A2684" s="7" t="s">
        <v>18924</v>
      </c>
      <c r="B2684" s="7">
        <v>3001082.0</v>
      </c>
      <c r="C2684" s="7" t="s">
        <v>18925</v>
      </c>
      <c r="D2684" s="7" t="s">
        <v>18926</v>
      </c>
      <c r="E2684" s="7" t="s">
        <v>18927</v>
      </c>
      <c r="F2684" s="7" t="s">
        <v>16895</v>
      </c>
      <c r="G2684" s="7" t="s">
        <v>18928</v>
      </c>
      <c r="H2684" s="7" t="s">
        <v>18929</v>
      </c>
      <c r="I2684" s="119">
        <v>45901.0</v>
      </c>
      <c r="K2684" s="7" t="s">
        <v>17988</v>
      </c>
      <c r="L2684" s="7" t="s">
        <v>991</v>
      </c>
      <c r="M2684" s="7" t="s">
        <v>3501</v>
      </c>
      <c r="N2684" s="7" t="s">
        <v>17989</v>
      </c>
      <c r="O2684" s="7" t="s">
        <v>17990</v>
      </c>
      <c r="P2684" s="7" t="s">
        <v>3493</v>
      </c>
      <c r="Q2684" s="7">
        <v>1.0</v>
      </c>
    </row>
    <row r="2685">
      <c r="A2685" s="7" t="s">
        <v>18930</v>
      </c>
      <c r="B2685" s="7">
        <v>3001100.0</v>
      </c>
      <c r="C2685" s="7" t="s">
        <v>9570</v>
      </c>
      <c r="D2685" s="7" t="s">
        <v>18931</v>
      </c>
      <c r="E2685" s="7" t="s">
        <v>9572</v>
      </c>
      <c r="F2685" s="7" t="s">
        <v>18932</v>
      </c>
      <c r="G2685" s="7" t="s">
        <v>18933</v>
      </c>
      <c r="H2685" s="7" t="s">
        <v>18934</v>
      </c>
      <c r="I2685" s="119">
        <v>45901.0</v>
      </c>
      <c r="K2685" s="7" t="s">
        <v>3632</v>
      </c>
      <c r="L2685" s="7" t="s">
        <v>991</v>
      </c>
      <c r="M2685" s="7" t="s">
        <v>3583</v>
      </c>
      <c r="N2685" s="7" t="s">
        <v>5052</v>
      </c>
      <c r="O2685" s="7" t="s">
        <v>15149</v>
      </c>
      <c r="P2685" s="7" t="s">
        <v>3493</v>
      </c>
      <c r="Q2685" s="7">
        <v>1.0</v>
      </c>
    </row>
    <row r="2686">
      <c r="A2686" s="7" t="s">
        <v>18935</v>
      </c>
      <c r="B2686" s="7">
        <v>3001069.0</v>
      </c>
      <c r="C2686" s="7" t="s">
        <v>9907</v>
      </c>
      <c r="D2686" s="7" t="s">
        <v>18936</v>
      </c>
      <c r="E2686" s="7" t="s">
        <v>9909</v>
      </c>
      <c r="F2686" s="7" t="s">
        <v>3986</v>
      </c>
      <c r="G2686" s="7" t="s">
        <v>18937</v>
      </c>
      <c r="H2686" s="7" t="s">
        <v>18938</v>
      </c>
      <c r="I2686" s="119">
        <v>45901.0</v>
      </c>
      <c r="K2686" s="7" t="s">
        <v>3632</v>
      </c>
      <c r="L2686" s="7" t="s">
        <v>991</v>
      </c>
      <c r="M2686" s="7" t="s">
        <v>3531</v>
      </c>
      <c r="N2686" s="7" t="s">
        <v>4324</v>
      </c>
      <c r="O2686" s="7" t="s">
        <v>4325</v>
      </c>
      <c r="P2686" s="7" t="s">
        <v>3493</v>
      </c>
      <c r="Q2686" s="7">
        <v>1.0</v>
      </c>
    </row>
    <row r="2687">
      <c r="A2687" s="7" t="s">
        <v>18939</v>
      </c>
      <c r="B2687" s="7">
        <v>3001090.0</v>
      </c>
      <c r="C2687" s="7" t="s">
        <v>9907</v>
      </c>
      <c r="D2687" s="7" t="s">
        <v>18940</v>
      </c>
      <c r="E2687" s="7" t="s">
        <v>9909</v>
      </c>
      <c r="F2687" s="7" t="s">
        <v>14556</v>
      </c>
      <c r="G2687" s="7" t="s">
        <v>18941</v>
      </c>
      <c r="H2687" s="7" t="s">
        <v>18942</v>
      </c>
      <c r="I2687" s="119">
        <v>45901.0</v>
      </c>
      <c r="K2687" s="7" t="s">
        <v>17988</v>
      </c>
      <c r="L2687" s="7" t="s">
        <v>991</v>
      </c>
      <c r="M2687" s="7" t="s">
        <v>3501</v>
      </c>
      <c r="N2687" s="7" t="s">
        <v>17989</v>
      </c>
      <c r="O2687" s="7" t="s">
        <v>17990</v>
      </c>
      <c r="P2687" s="7" t="s">
        <v>3493</v>
      </c>
      <c r="Q2687" s="7">
        <v>1.0</v>
      </c>
    </row>
    <row r="2688">
      <c r="A2688" s="7" t="s">
        <v>18943</v>
      </c>
      <c r="B2688" s="7">
        <v>3000920.0</v>
      </c>
      <c r="C2688" s="7" t="s">
        <v>18944</v>
      </c>
      <c r="D2688" s="7" t="s">
        <v>4982</v>
      </c>
      <c r="E2688" s="7" t="s">
        <v>18945</v>
      </c>
      <c r="F2688" s="7" t="s">
        <v>4984</v>
      </c>
      <c r="G2688" s="7" t="s">
        <v>18946</v>
      </c>
      <c r="H2688" s="7" t="s">
        <v>18947</v>
      </c>
      <c r="I2688" s="119">
        <v>45901.0</v>
      </c>
      <c r="K2688" s="7" t="s">
        <v>419</v>
      </c>
      <c r="L2688" s="7" t="s">
        <v>991</v>
      </c>
      <c r="M2688" s="7" t="s">
        <v>3501</v>
      </c>
      <c r="N2688" s="7" t="s">
        <v>8503</v>
      </c>
      <c r="O2688" s="7" t="s">
        <v>8504</v>
      </c>
      <c r="P2688" s="7" t="s">
        <v>3493</v>
      </c>
      <c r="Q2688" s="7">
        <v>1.0</v>
      </c>
    </row>
    <row r="2689">
      <c r="A2689" s="7" t="s">
        <v>18948</v>
      </c>
      <c r="B2689" s="7">
        <v>3001068.0</v>
      </c>
      <c r="C2689" s="7" t="s">
        <v>10832</v>
      </c>
      <c r="D2689" s="7" t="s">
        <v>18949</v>
      </c>
      <c r="E2689" s="7" t="s">
        <v>10834</v>
      </c>
      <c r="F2689" s="7" t="s">
        <v>3571</v>
      </c>
      <c r="G2689" s="7" t="s">
        <v>18950</v>
      </c>
      <c r="H2689" s="7" t="s">
        <v>18951</v>
      </c>
      <c r="I2689" s="119">
        <v>45901.0</v>
      </c>
      <c r="K2689" s="7" t="s">
        <v>3632</v>
      </c>
      <c r="L2689" s="7" t="s">
        <v>991</v>
      </c>
      <c r="M2689" s="7" t="s">
        <v>3531</v>
      </c>
      <c r="N2689" s="7" t="s">
        <v>4324</v>
      </c>
      <c r="O2689" s="7" t="s">
        <v>4325</v>
      </c>
      <c r="P2689" s="7" t="s">
        <v>3493</v>
      </c>
      <c r="Q2689" s="7">
        <v>1.0</v>
      </c>
    </row>
    <row r="2690">
      <c r="A2690" s="7" t="s">
        <v>18952</v>
      </c>
      <c r="B2690" s="7">
        <v>3001079.0</v>
      </c>
      <c r="C2690" s="7" t="s">
        <v>14573</v>
      </c>
      <c r="D2690" s="7" t="s">
        <v>18953</v>
      </c>
      <c r="E2690" s="7" t="s">
        <v>14575</v>
      </c>
      <c r="F2690" s="7" t="s">
        <v>5347</v>
      </c>
      <c r="G2690" s="7" t="s">
        <v>18954</v>
      </c>
      <c r="H2690" s="7" t="s">
        <v>18955</v>
      </c>
      <c r="I2690" s="119">
        <v>45901.0</v>
      </c>
      <c r="K2690" s="7" t="s">
        <v>17988</v>
      </c>
      <c r="L2690" s="7" t="s">
        <v>991</v>
      </c>
      <c r="M2690" s="7" t="s">
        <v>3501</v>
      </c>
      <c r="N2690" s="7" t="s">
        <v>17989</v>
      </c>
      <c r="O2690" s="7" t="s">
        <v>17990</v>
      </c>
      <c r="P2690" s="7" t="s">
        <v>3493</v>
      </c>
      <c r="Q2690" s="7">
        <v>1.0</v>
      </c>
    </row>
    <row r="2691">
      <c r="A2691" s="7" t="s">
        <v>18956</v>
      </c>
      <c r="B2691" s="7">
        <v>3001080.0</v>
      </c>
      <c r="C2691" s="7" t="s">
        <v>18957</v>
      </c>
      <c r="D2691" s="7" t="s">
        <v>18958</v>
      </c>
      <c r="E2691" s="7" t="s">
        <v>18959</v>
      </c>
      <c r="F2691" s="7" t="s">
        <v>18960</v>
      </c>
      <c r="G2691" s="7" t="s">
        <v>18961</v>
      </c>
      <c r="H2691" s="7" t="s">
        <v>18962</v>
      </c>
      <c r="I2691" s="119">
        <v>45901.0</v>
      </c>
      <c r="K2691" s="7" t="s">
        <v>17988</v>
      </c>
      <c r="L2691" s="7" t="s">
        <v>991</v>
      </c>
      <c r="M2691" s="7" t="s">
        <v>3501</v>
      </c>
      <c r="N2691" s="7" t="s">
        <v>17989</v>
      </c>
      <c r="O2691" s="7" t="s">
        <v>17990</v>
      </c>
      <c r="P2691" s="7" t="s">
        <v>3493</v>
      </c>
      <c r="Q2691" s="7">
        <v>1.0</v>
      </c>
    </row>
    <row r="2692">
      <c r="A2692" s="7" t="s">
        <v>18963</v>
      </c>
      <c r="B2692" s="7">
        <v>3000973.0</v>
      </c>
      <c r="C2692" s="7" t="s">
        <v>18964</v>
      </c>
      <c r="D2692" s="7" t="s">
        <v>16764</v>
      </c>
      <c r="E2692" s="7" t="s">
        <v>18965</v>
      </c>
      <c r="F2692" s="7" t="s">
        <v>9094</v>
      </c>
      <c r="G2692" s="7" t="s">
        <v>18966</v>
      </c>
      <c r="H2692" s="7" t="s">
        <v>18967</v>
      </c>
      <c r="I2692" s="119">
        <v>45901.0</v>
      </c>
      <c r="K2692" s="7" t="s">
        <v>419</v>
      </c>
      <c r="L2692" s="7" t="s">
        <v>991</v>
      </c>
      <c r="M2692" s="7" t="s">
        <v>3501</v>
      </c>
      <c r="N2692" s="7" t="s">
        <v>4669</v>
      </c>
      <c r="O2692" s="7" t="s">
        <v>4670</v>
      </c>
      <c r="P2692" s="7" t="s">
        <v>3493</v>
      </c>
      <c r="Q2692" s="7">
        <v>1.0</v>
      </c>
    </row>
    <row r="2693">
      <c r="A2693" s="7" t="s">
        <v>18968</v>
      </c>
      <c r="B2693" s="7">
        <v>3000961.0</v>
      </c>
      <c r="C2693" s="7" t="s">
        <v>12065</v>
      </c>
      <c r="D2693" s="7" t="s">
        <v>18969</v>
      </c>
      <c r="E2693" s="7" t="s">
        <v>12067</v>
      </c>
      <c r="F2693" s="7" t="s">
        <v>6669</v>
      </c>
      <c r="G2693" s="7" t="s">
        <v>18970</v>
      </c>
      <c r="H2693" s="7" t="s">
        <v>18971</v>
      </c>
      <c r="I2693" s="119">
        <v>45901.0</v>
      </c>
      <c r="K2693" s="7" t="s">
        <v>419</v>
      </c>
      <c r="L2693" s="7" t="s">
        <v>991</v>
      </c>
      <c r="M2693" s="7" t="s">
        <v>3501</v>
      </c>
      <c r="N2693" s="7" t="s">
        <v>8281</v>
      </c>
      <c r="O2693" s="7" t="s">
        <v>8282</v>
      </c>
      <c r="P2693" s="7" t="s">
        <v>3493</v>
      </c>
      <c r="Q2693" s="7">
        <v>1.0</v>
      </c>
    </row>
    <row r="2694">
      <c r="A2694" s="7" t="s">
        <v>18972</v>
      </c>
      <c r="B2694" s="7">
        <v>3001025.0</v>
      </c>
      <c r="C2694" s="7" t="s">
        <v>18973</v>
      </c>
      <c r="D2694" s="7" t="s">
        <v>18974</v>
      </c>
      <c r="E2694" s="7" t="s">
        <v>18975</v>
      </c>
      <c r="F2694" s="7" t="s">
        <v>3692</v>
      </c>
      <c r="G2694" s="7" t="s">
        <v>18976</v>
      </c>
      <c r="H2694" s="7" t="s">
        <v>18977</v>
      </c>
      <c r="I2694" s="119">
        <v>45901.0</v>
      </c>
      <c r="K2694" s="7" t="s">
        <v>419</v>
      </c>
      <c r="L2694" s="7" t="s">
        <v>991</v>
      </c>
      <c r="M2694" s="7" t="s">
        <v>3501</v>
      </c>
      <c r="N2694" s="7" t="s">
        <v>10645</v>
      </c>
      <c r="O2694" s="7" t="s">
        <v>11498</v>
      </c>
      <c r="P2694" s="7" t="s">
        <v>3493</v>
      </c>
      <c r="Q2694" s="7">
        <v>1.0</v>
      </c>
    </row>
    <row r="2695">
      <c r="A2695" s="7" t="s">
        <v>18978</v>
      </c>
      <c r="B2695" s="7">
        <v>3001088.0</v>
      </c>
      <c r="C2695" s="7" t="s">
        <v>17385</v>
      </c>
      <c r="D2695" s="7" t="s">
        <v>18979</v>
      </c>
      <c r="E2695" s="7" t="s">
        <v>17387</v>
      </c>
      <c r="F2695" s="7" t="s">
        <v>3963</v>
      </c>
      <c r="G2695" s="7" t="s">
        <v>18980</v>
      </c>
      <c r="H2695" s="7" t="s">
        <v>18981</v>
      </c>
      <c r="I2695" s="119">
        <v>45901.0</v>
      </c>
      <c r="K2695" s="7" t="s">
        <v>17988</v>
      </c>
      <c r="L2695" s="7" t="s">
        <v>991</v>
      </c>
      <c r="M2695" s="7" t="s">
        <v>3501</v>
      </c>
      <c r="N2695" s="7" t="s">
        <v>17989</v>
      </c>
      <c r="O2695" s="7" t="s">
        <v>17990</v>
      </c>
      <c r="P2695" s="7" t="s">
        <v>3493</v>
      </c>
      <c r="Q2695" s="7">
        <v>1.0</v>
      </c>
    </row>
    <row r="2696">
      <c r="A2696" s="7" t="s">
        <v>18982</v>
      </c>
      <c r="B2696" s="7">
        <v>3001058.0</v>
      </c>
      <c r="C2696" s="7" t="s">
        <v>12488</v>
      </c>
      <c r="D2696" s="7" t="s">
        <v>18983</v>
      </c>
      <c r="E2696" s="7" t="s">
        <v>12489</v>
      </c>
      <c r="F2696" s="7" t="s">
        <v>6844</v>
      </c>
      <c r="G2696" s="7" t="s">
        <v>18984</v>
      </c>
      <c r="H2696" s="7" t="s">
        <v>18985</v>
      </c>
      <c r="I2696" s="119">
        <v>45901.0</v>
      </c>
      <c r="K2696" s="7" t="s">
        <v>419</v>
      </c>
      <c r="L2696" s="7" t="s">
        <v>991</v>
      </c>
      <c r="M2696" s="7" t="s">
        <v>3583</v>
      </c>
      <c r="N2696" s="7" t="s">
        <v>3520</v>
      </c>
      <c r="O2696" s="7" t="s">
        <v>18986</v>
      </c>
      <c r="P2696" s="7" t="s">
        <v>4154</v>
      </c>
      <c r="Q2696" s="7" t="s">
        <v>3555</v>
      </c>
    </row>
    <row r="2697">
      <c r="A2697" s="7" t="s">
        <v>18987</v>
      </c>
      <c r="B2697" s="7">
        <v>3001081.0</v>
      </c>
      <c r="C2697" s="7" t="s">
        <v>12668</v>
      </c>
      <c r="D2697" s="7" t="s">
        <v>18988</v>
      </c>
      <c r="E2697" s="7" t="s">
        <v>12669</v>
      </c>
      <c r="F2697" s="7" t="s">
        <v>9227</v>
      </c>
      <c r="G2697" s="7" t="s">
        <v>18989</v>
      </c>
      <c r="H2697" s="7" t="s">
        <v>18990</v>
      </c>
      <c r="I2697" s="119">
        <v>45901.0</v>
      </c>
      <c r="K2697" s="7" t="s">
        <v>17988</v>
      </c>
      <c r="L2697" s="7" t="s">
        <v>991</v>
      </c>
      <c r="M2697" s="7" t="s">
        <v>3501</v>
      </c>
      <c r="N2697" s="7" t="s">
        <v>17989</v>
      </c>
      <c r="O2697" s="7" t="s">
        <v>17990</v>
      </c>
      <c r="P2697" s="7" t="s">
        <v>3493</v>
      </c>
      <c r="Q2697" s="7">
        <v>1.0</v>
      </c>
    </row>
    <row r="2698">
      <c r="A2698" s="7" t="s">
        <v>18991</v>
      </c>
      <c r="B2698" s="7">
        <v>3001098.0</v>
      </c>
      <c r="C2698" s="7" t="s">
        <v>13007</v>
      </c>
      <c r="D2698" s="7" t="s">
        <v>18992</v>
      </c>
      <c r="E2698" s="7" t="s">
        <v>13008</v>
      </c>
      <c r="F2698" s="7" t="s">
        <v>6288</v>
      </c>
      <c r="G2698" s="7" t="s">
        <v>18993</v>
      </c>
      <c r="I2698" s="119">
        <v>45901.0</v>
      </c>
      <c r="K2698" s="7" t="s">
        <v>419</v>
      </c>
      <c r="L2698" s="7" t="s">
        <v>991</v>
      </c>
      <c r="M2698" s="7" t="s">
        <v>3531</v>
      </c>
      <c r="N2698" s="7" t="s">
        <v>3820</v>
      </c>
      <c r="O2698" s="7" t="s">
        <v>3821</v>
      </c>
      <c r="P2698" s="7" t="s">
        <v>3493</v>
      </c>
      <c r="Q2698" s="7">
        <v>1.0</v>
      </c>
    </row>
    <row r="2699">
      <c r="A2699" s="7" t="s">
        <v>18994</v>
      </c>
      <c r="B2699" s="7">
        <v>3001087.0</v>
      </c>
      <c r="C2699" s="7" t="s">
        <v>13007</v>
      </c>
      <c r="D2699" s="7" t="s">
        <v>18463</v>
      </c>
      <c r="E2699" s="7" t="s">
        <v>13008</v>
      </c>
      <c r="F2699" s="7" t="s">
        <v>4677</v>
      </c>
      <c r="G2699" s="7" t="s">
        <v>18995</v>
      </c>
      <c r="H2699" s="7" t="s">
        <v>18996</v>
      </c>
      <c r="I2699" s="119">
        <v>45901.0</v>
      </c>
      <c r="K2699" s="7" t="s">
        <v>17988</v>
      </c>
      <c r="L2699" s="7" t="s">
        <v>991</v>
      </c>
      <c r="M2699" s="7" t="s">
        <v>3501</v>
      </c>
      <c r="N2699" s="7" t="s">
        <v>17989</v>
      </c>
      <c r="O2699" s="7" t="s">
        <v>17990</v>
      </c>
      <c r="P2699" s="7" t="s">
        <v>3493</v>
      </c>
      <c r="Q2699" s="7">
        <v>1.0</v>
      </c>
    </row>
    <row r="2700">
      <c r="A2700" s="7" t="s">
        <v>18997</v>
      </c>
      <c r="B2700" s="7">
        <v>3000972.0</v>
      </c>
      <c r="C2700" s="7" t="s">
        <v>13080</v>
      </c>
      <c r="D2700" s="7" t="s">
        <v>18998</v>
      </c>
      <c r="E2700" s="7" t="s">
        <v>13082</v>
      </c>
      <c r="F2700" s="7" t="s">
        <v>3909</v>
      </c>
      <c r="G2700" s="7" t="s">
        <v>18999</v>
      </c>
      <c r="H2700" s="7" t="s">
        <v>19000</v>
      </c>
      <c r="I2700" s="119">
        <v>45901.0</v>
      </c>
      <c r="K2700" s="7" t="s">
        <v>419</v>
      </c>
      <c r="L2700" s="7" t="s">
        <v>991</v>
      </c>
      <c r="M2700" s="7" t="s">
        <v>3866</v>
      </c>
      <c r="N2700" s="7" t="s">
        <v>16327</v>
      </c>
      <c r="O2700" s="7" t="s">
        <v>19001</v>
      </c>
      <c r="P2700" s="7" t="s">
        <v>3522</v>
      </c>
      <c r="Q2700" s="7" t="s">
        <v>3523</v>
      </c>
    </row>
    <row r="2701">
      <c r="A2701" s="7" t="s">
        <v>19002</v>
      </c>
      <c r="B2701" s="7">
        <v>3001093.0</v>
      </c>
      <c r="C2701" s="7" t="s">
        <v>19003</v>
      </c>
      <c r="D2701" s="7" t="s">
        <v>19004</v>
      </c>
      <c r="E2701" s="7" t="s">
        <v>5475</v>
      </c>
      <c r="F2701" s="7" t="s">
        <v>10522</v>
      </c>
      <c r="G2701" s="7" t="s">
        <v>19005</v>
      </c>
      <c r="H2701" s="7" t="s">
        <v>19006</v>
      </c>
      <c r="I2701" s="119">
        <v>45901.0</v>
      </c>
      <c r="K2701" s="7" t="s">
        <v>419</v>
      </c>
      <c r="L2701" s="7" t="s">
        <v>991</v>
      </c>
      <c r="M2701" s="7" t="s">
        <v>3531</v>
      </c>
      <c r="N2701" s="7" t="s">
        <v>3659</v>
      </c>
      <c r="O2701" s="7" t="s">
        <v>3660</v>
      </c>
      <c r="P2701" s="7" t="s">
        <v>3493</v>
      </c>
      <c r="Q2701" s="7">
        <v>1.0</v>
      </c>
    </row>
    <row r="2702">
      <c r="A2702" s="7" t="s">
        <v>19007</v>
      </c>
      <c r="B2702" s="7">
        <v>3001085.0</v>
      </c>
      <c r="C2702" s="7" t="s">
        <v>13672</v>
      </c>
      <c r="D2702" s="7" t="s">
        <v>19008</v>
      </c>
      <c r="E2702" s="7" t="s">
        <v>13674</v>
      </c>
      <c r="F2702" s="7" t="s">
        <v>5369</v>
      </c>
      <c r="G2702" s="7" t="s">
        <v>19009</v>
      </c>
      <c r="H2702" s="7" t="s">
        <v>19010</v>
      </c>
      <c r="I2702" s="119">
        <v>45901.0</v>
      </c>
      <c r="K2702" s="7" t="s">
        <v>17988</v>
      </c>
      <c r="L2702" s="7" t="s">
        <v>991</v>
      </c>
      <c r="M2702" s="7" t="s">
        <v>3490</v>
      </c>
      <c r="N2702" s="7" t="s">
        <v>17989</v>
      </c>
      <c r="O2702" s="7" t="s">
        <v>17990</v>
      </c>
      <c r="P2702" s="7" t="s">
        <v>3493</v>
      </c>
      <c r="Q2702" s="7">
        <v>1.0</v>
      </c>
    </row>
    <row r="2703">
      <c r="A2703" s="7" t="s">
        <v>19011</v>
      </c>
      <c r="B2703" s="7">
        <v>3000853.0</v>
      </c>
      <c r="C2703" s="7" t="s">
        <v>19012</v>
      </c>
      <c r="D2703" s="7" t="s">
        <v>19013</v>
      </c>
      <c r="E2703" s="7" t="s">
        <v>19014</v>
      </c>
      <c r="F2703" s="7" t="s">
        <v>19015</v>
      </c>
      <c r="G2703" s="7" t="s">
        <v>19016</v>
      </c>
      <c r="H2703" s="7" t="s">
        <v>19017</v>
      </c>
      <c r="I2703" s="119">
        <v>45901.0</v>
      </c>
      <c r="K2703" s="7" t="s">
        <v>419</v>
      </c>
      <c r="L2703" s="7" t="s">
        <v>991</v>
      </c>
      <c r="M2703" s="7" t="s">
        <v>3501</v>
      </c>
      <c r="N2703" s="7" t="s">
        <v>7676</v>
      </c>
      <c r="O2703" s="7" t="s">
        <v>7677</v>
      </c>
      <c r="P2703" s="7" t="s">
        <v>3493</v>
      </c>
      <c r="Q2703" s="7">
        <v>1.0</v>
      </c>
    </row>
    <row r="2704">
      <c r="A2704" s="7" t="s">
        <v>19018</v>
      </c>
      <c r="B2704" s="7">
        <v>3001097.0</v>
      </c>
      <c r="C2704" s="7" t="s">
        <v>19019</v>
      </c>
      <c r="D2704" s="7" t="s">
        <v>19020</v>
      </c>
      <c r="E2704" s="7" t="s">
        <v>13945</v>
      </c>
      <c r="F2704" s="7" t="s">
        <v>19020</v>
      </c>
      <c r="G2704" s="7" t="s">
        <v>19021</v>
      </c>
      <c r="I2704" s="119">
        <v>45901.0</v>
      </c>
      <c r="K2704" s="7" t="s">
        <v>419</v>
      </c>
      <c r="L2704" s="7" t="s">
        <v>991</v>
      </c>
      <c r="M2704" s="7" t="s">
        <v>3531</v>
      </c>
      <c r="N2704" s="7" t="s">
        <v>3820</v>
      </c>
      <c r="O2704" s="7" t="s">
        <v>3821</v>
      </c>
      <c r="P2704" s="7" t="s">
        <v>3493</v>
      </c>
      <c r="Q2704" s="7">
        <v>1.0</v>
      </c>
    </row>
    <row r="2705">
      <c r="A2705" s="7" t="s">
        <v>19022</v>
      </c>
      <c r="B2705" s="7">
        <v>3000828.0</v>
      </c>
      <c r="C2705" s="7" t="s">
        <v>13996</v>
      </c>
      <c r="D2705" s="7" t="s">
        <v>10055</v>
      </c>
      <c r="E2705" s="7" t="s">
        <v>13998</v>
      </c>
      <c r="F2705" s="7" t="s">
        <v>10057</v>
      </c>
      <c r="G2705" s="7" t="s">
        <v>19023</v>
      </c>
      <c r="H2705" s="7" t="s">
        <v>19024</v>
      </c>
      <c r="I2705" s="119">
        <v>45901.0</v>
      </c>
      <c r="K2705" s="7" t="s">
        <v>419</v>
      </c>
      <c r="L2705" s="7" t="s">
        <v>991</v>
      </c>
      <c r="M2705" s="7" t="s">
        <v>3501</v>
      </c>
      <c r="N2705" s="7" t="s">
        <v>6971</v>
      </c>
      <c r="O2705" s="7" t="s">
        <v>6972</v>
      </c>
      <c r="P2705" s="7" t="s">
        <v>3493</v>
      </c>
      <c r="Q2705" s="7">
        <v>1.0</v>
      </c>
    </row>
    <row r="2706">
      <c r="A2706" s="7" t="s">
        <v>19025</v>
      </c>
      <c r="B2706" s="7">
        <v>3001103.0</v>
      </c>
      <c r="C2706" s="7" t="s">
        <v>14078</v>
      </c>
      <c r="D2706" s="7" t="s">
        <v>19026</v>
      </c>
      <c r="E2706" s="7" t="s">
        <v>14080</v>
      </c>
      <c r="F2706" s="7" t="s">
        <v>9094</v>
      </c>
      <c r="G2706" s="7" t="s">
        <v>19027</v>
      </c>
      <c r="H2706" s="7" t="s">
        <v>19028</v>
      </c>
      <c r="I2706" s="119">
        <v>45901.0</v>
      </c>
      <c r="K2706" s="7" t="s">
        <v>3642</v>
      </c>
      <c r="L2706" s="7" t="s">
        <v>991</v>
      </c>
      <c r="M2706" s="7" t="s">
        <v>3531</v>
      </c>
      <c r="N2706" s="7" t="s">
        <v>3643</v>
      </c>
      <c r="O2706" s="7" t="s">
        <v>3644</v>
      </c>
      <c r="P2706" s="7" t="s">
        <v>3493</v>
      </c>
      <c r="Q2706" s="7">
        <v>1.0</v>
      </c>
    </row>
    <row r="2707">
      <c r="A2707" s="7" t="s">
        <v>19029</v>
      </c>
      <c r="B2707" s="7">
        <v>3001063.0</v>
      </c>
      <c r="C2707" s="7" t="s">
        <v>19030</v>
      </c>
      <c r="D2707" s="7" t="s">
        <v>19031</v>
      </c>
      <c r="E2707" s="7" t="s">
        <v>14147</v>
      </c>
      <c r="F2707" s="7" t="s">
        <v>4032</v>
      </c>
      <c r="G2707" s="7" t="s">
        <v>19032</v>
      </c>
      <c r="H2707" s="7" t="s">
        <v>19033</v>
      </c>
      <c r="I2707" s="119">
        <v>45901.0</v>
      </c>
      <c r="K2707" s="7" t="s">
        <v>419</v>
      </c>
      <c r="L2707" s="7" t="s">
        <v>991</v>
      </c>
      <c r="M2707" s="7" t="s">
        <v>3531</v>
      </c>
      <c r="N2707" s="7" t="s">
        <v>7417</v>
      </c>
      <c r="O2707" s="7" t="s">
        <v>7418</v>
      </c>
      <c r="P2707" s="7" t="s">
        <v>3493</v>
      </c>
      <c r="Q2707" s="7">
        <v>1.0</v>
      </c>
    </row>
    <row r="2708">
      <c r="A2708" s="7" t="s">
        <v>19034</v>
      </c>
      <c r="B2708" s="7">
        <v>3001070.0</v>
      </c>
      <c r="C2708" s="7" t="s">
        <v>19035</v>
      </c>
      <c r="D2708" s="7" t="s">
        <v>19036</v>
      </c>
      <c r="E2708" s="7" t="s">
        <v>19037</v>
      </c>
      <c r="F2708" s="7" t="s">
        <v>12031</v>
      </c>
      <c r="G2708" s="7" t="s">
        <v>19038</v>
      </c>
      <c r="H2708" s="7" t="s">
        <v>19039</v>
      </c>
      <c r="I2708" s="119">
        <v>45901.0</v>
      </c>
      <c r="K2708" s="7" t="s">
        <v>3632</v>
      </c>
      <c r="L2708" s="7" t="s">
        <v>991</v>
      </c>
      <c r="M2708" s="7" t="s">
        <v>3531</v>
      </c>
      <c r="N2708" s="7" t="s">
        <v>4324</v>
      </c>
      <c r="O2708" s="7" t="s">
        <v>4325</v>
      </c>
      <c r="P2708" s="7" t="s">
        <v>3493</v>
      </c>
      <c r="Q2708" s="7">
        <v>1.0</v>
      </c>
    </row>
    <row r="2709">
      <c r="A2709" s="7" t="s">
        <v>19040</v>
      </c>
      <c r="B2709" s="7">
        <v>3000966.0</v>
      </c>
      <c r="C2709" s="7" t="s">
        <v>3525</v>
      </c>
      <c r="D2709" s="7" t="s">
        <v>19041</v>
      </c>
      <c r="E2709" s="7" t="s">
        <v>3527</v>
      </c>
      <c r="F2709" s="7" t="s">
        <v>3909</v>
      </c>
      <c r="G2709" s="7" t="s">
        <v>19042</v>
      </c>
      <c r="H2709" s="7" t="s">
        <v>19043</v>
      </c>
      <c r="I2709" s="119">
        <v>45916.0</v>
      </c>
      <c r="K2709" s="7" t="s">
        <v>419</v>
      </c>
      <c r="L2709" s="7" t="s">
        <v>991</v>
      </c>
      <c r="M2709" s="7" t="s">
        <v>3866</v>
      </c>
      <c r="N2709" s="7" t="s">
        <v>16327</v>
      </c>
      <c r="O2709" s="7" t="s">
        <v>19044</v>
      </c>
      <c r="P2709" s="7" t="s">
        <v>3522</v>
      </c>
      <c r="Q2709" s="7" t="s">
        <v>3523</v>
      </c>
    </row>
    <row r="2710">
      <c r="A2710" s="7" t="s">
        <v>19045</v>
      </c>
      <c r="B2710" s="7">
        <v>3001110.0</v>
      </c>
      <c r="C2710" s="7" t="s">
        <v>3712</v>
      </c>
      <c r="D2710" s="7" t="s">
        <v>19046</v>
      </c>
      <c r="E2710" s="7" t="s">
        <v>3702</v>
      </c>
      <c r="F2710" s="7" t="s">
        <v>8007</v>
      </c>
      <c r="G2710" s="7" t="s">
        <v>19047</v>
      </c>
      <c r="H2710" s="7" t="s">
        <v>19048</v>
      </c>
      <c r="I2710" s="119">
        <v>45916.0</v>
      </c>
      <c r="K2710" s="7" t="s">
        <v>17988</v>
      </c>
      <c r="L2710" s="7" t="s">
        <v>991</v>
      </c>
      <c r="M2710" s="7" t="s">
        <v>3501</v>
      </c>
      <c r="N2710" s="7" t="s">
        <v>17989</v>
      </c>
      <c r="O2710" s="7" t="s">
        <v>17990</v>
      </c>
      <c r="P2710" s="7" t="s">
        <v>3493</v>
      </c>
      <c r="Q2710" s="7">
        <v>1.0</v>
      </c>
    </row>
    <row r="2711">
      <c r="A2711" s="7" t="s">
        <v>19049</v>
      </c>
      <c r="B2711" s="7">
        <v>3001121.0</v>
      </c>
      <c r="C2711" s="7" t="s">
        <v>4115</v>
      </c>
      <c r="D2711" s="7" t="s">
        <v>19050</v>
      </c>
      <c r="E2711" s="7" t="s">
        <v>4117</v>
      </c>
      <c r="F2711" s="7" t="s">
        <v>6455</v>
      </c>
      <c r="G2711" s="7" t="s">
        <v>19051</v>
      </c>
      <c r="H2711" s="7" t="s">
        <v>19052</v>
      </c>
      <c r="I2711" s="119">
        <v>45916.0</v>
      </c>
      <c r="K2711" s="7" t="s">
        <v>3642</v>
      </c>
      <c r="L2711" s="7" t="s">
        <v>991</v>
      </c>
      <c r="M2711" s="7" t="s">
        <v>3531</v>
      </c>
      <c r="N2711" s="7" t="s">
        <v>3643</v>
      </c>
      <c r="O2711" s="7" t="s">
        <v>3644</v>
      </c>
      <c r="P2711" s="7" t="s">
        <v>3493</v>
      </c>
      <c r="Q2711" s="7">
        <v>1.0</v>
      </c>
    </row>
    <row r="2712">
      <c r="A2712" s="7" t="s">
        <v>19053</v>
      </c>
      <c r="B2712" s="7">
        <v>3001126.0</v>
      </c>
      <c r="C2712" s="7" t="s">
        <v>4502</v>
      </c>
      <c r="D2712" s="7" t="s">
        <v>19054</v>
      </c>
      <c r="E2712" s="7" t="s">
        <v>4504</v>
      </c>
      <c r="F2712" s="7" t="s">
        <v>8058</v>
      </c>
      <c r="G2712" s="7" t="s">
        <v>19055</v>
      </c>
      <c r="H2712" s="7" t="s">
        <v>19056</v>
      </c>
      <c r="I2712" s="119">
        <v>45916.0</v>
      </c>
      <c r="K2712" s="7" t="s">
        <v>419</v>
      </c>
      <c r="L2712" s="7" t="s">
        <v>991</v>
      </c>
      <c r="M2712" s="7" t="s">
        <v>3531</v>
      </c>
      <c r="N2712" s="7" t="s">
        <v>4168</v>
      </c>
      <c r="O2712" s="7" t="s">
        <v>4169</v>
      </c>
      <c r="P2712" s="7" t="s">
        <v>3493</v>
      </c>
      <c r="Q2712" s="7">
        <v>1.0</v>
      </c>
    </row>
    <row r="2713">
      <c r="A2713" s="7" t="s">
        <v>19057</v>
      </c>
      <c r="B2713" s="7">
        <v>3001129.0</v>
      </c>
      <c r="C2713" s="7" t="s">
        <v>4502</v>
      </c>
      <c r="D2713" s="7" t="s">
        <v>19058</v>
      </c>
      <c r="E2713" s="7" t="s">
        <v>4504</v>
      </c>
      <c r="F2713" s="7" t="s">
        <v>19059</v>
      </c>
      <c r="G2713" s="7" t="s">
        <v>19060</v>
      </c>
      <c r="H2713" s="7" t="s">
        <v>19061</v>
      </c>
      <c r="I2713" s="119">
        <v>45916.0</v>
      </c>
      <c r="K2713" s="7" t="s">
        <v>419</v>
      </c>
      <c r="L2713" s="7" t="s">
        <v>991</v>
      </c>
      <c r="M2713" s="7" t="s">
        <v>3531</v>
      </c>
      <c r="N2713" s="7" t="s">
        <v>8270</v>
      </c>
      <c r="O2713" s="7" t="s">
        <v>13410</v>
      </c>
      <c r="P2713" s="7" t="s">
        <v>3493</v>
      </c>
      <c r="Q2713" s="7">
        <v>1.0</v>
      </c>
    </row>
    <row r="2714">
      <c r="A2714" s="7" t="s">
        <v>19062</v>
      </c>
      <c r="B2714" s="7">
        <v>3001114.0</v>
      </c>
      <c r="C2714" s="7" t="s">
        <v>15326</v>
      </c>
      <c r="D2714" s="7" t="s">
        <v>19063</v>
      </c>
      <c r="E2714" s="7" t="s">
        <v>15327</v>
      </c>
      <c r="F2714" s="7" t="s">
        <v>7066</v>
      </c>
      <c r="G2714" s="7" t="s">
        <v>19064</v>
      </c>
      <c r="H2714" s="7" t="s">
        <v>19065</v>
      </c>
      <c r="I2714" s="119">
        <v>45916.0</v>
      </c>
      <c r="K2714" s="7" t="s">
        <v>17988</v>
      </c>
      <c r="L2714" s="7" t="s">
        <v>991</v>
      </c>
      <c r="M2714" s="7" t="s">
        <v>3501</v>
      </c>
      <c r="N2714" s="7" t="s">
        <v>17989</v>
      </c>
      <c r="O2714" s="7" t="s">
        <v>17990</v>
      </c>
      <c r="P2714" s="7" t="s">
        <v>3493</v>
      </c>
      <c r="Q2714" s="7">
        <v>1.0</v>
      </c>
    </row>
    <row r="2715">
      <c r="A2715" s="7" t="s">
        <v>19066</v>
      </c>
      <c r="B2715" s="7">
        <v>3001115.0</v>
      </c>
      <c r="C2715" s="7" t="s">
        <v>5976</v>
      </c>
      <c r="D2715" s="7" t="s">
        <v>19067</v>
      </c>
      <c r="E2715" s="7" t="s">
        <v>5977</v>
      </c>
      <c r="F2715" s="7" t="s">
        <v>14503</v>
      </c>
      <c r="G2715" s="7" t="s">
        <v>19068</v>
      </c>
      <c r="H2715" s="7" t="s">
        <v>19069</v>
      </c>
      <c r="I2715" s="119">
        <v>45916.0</v>
      </c>
      <c r="K2715" s="7" t="s">
        <v>17988</v>
      </c>
      <c r="L2715" s="7" t="s">
        <v>991</v>
      </c>
      <c r="M2715" s="7" t="s">
        <v>3501</v>
      </c>
      <c r="N2715" s="7" t="s">
        <v>17989</v>
      </c>
      <c r="O2715" s="7" t="s">
        <v>17990</v>
      </c>
      <c r="P2715" s="7" t="s">
        <v>3493</v>
      </c>
      <c r="Q2715" s="7">
        <v>1.0</v>
      </c>
    </row>
    <row r="2716">
      <c r="A2716" s="7" t="s">
        <v>19070</v>
      </c>
      <c r="B2716" s="7">
        <v>3001122.0</v>
      </c>
      <c r="C2716" s="7" t="s">
        <v>19071</v>
      </c>
      <c r="D2716" s="7" t="s">
        <v>18026</v>
      </c>
      <c r="E2716" s="7" t="s">
        <v>19072</v>
      </c>
      <c r="F2716" s="7" t="s">
        <v>18027</v>
      </c>
      <c r="G2716" s="7" t="s">
        <v>19073</v>
      </c>
      <c r="H2716" s="7" t="s">
        <v>19074</v>
      </c>
      <c r="I2716" s="119">
        <v>45916.0</v>
      </c>
      <c r="K2716" s="7" t="s">
        <v>3642</v>
      </c>
      <c r="L2716" s="7" t="s">
        <v>991</v>
      </c>
      <c r="M2716" s="7" t="s">
        <v>3501</v>
      </c>
      <c r="N2716" s="7" t="s">
        <v>3643</v>
      </c>
      <c r="O2716" s="7" t="s">
        <v>3644</v>
      </c>
      <c r="P2716" s="7" t="s">
        <v>3493</v>
      </c>
      <c r="Q2716" s="7">
        <v>1.0</v>
      </c>
    </row>
    <row r="2717">
      <c r="A2717" s="7" t="s">
        <v>19075</v>
      </c>
      <c r="B2717" s="7">
        <v>3001113.0</v>
      </c>
      <c r="C2717" s="7" t="s">
        <v>19071</v>
      </c>
      <c r="D2717" s="7" t="s">
        <v>5985</v>
      </c>
      <c r="E2717" s="7" t="s">
        <v>19072</v>
      </c>
      <c r="F2717" s="7" t="s">
        <v>18027</v>
      </c>
      <c r="G2717" s="7" t="s">
        <v>19076</v>
      </c>
      <c r="H2717" s="7" t="s">
        <v>19077</v>
      </c>
      <c r="I2717" s="119">
        <v>45916.0</v>
      </c>
      <c r="K2717" s="7" t="s">
        <v>17988</v>
      </c>
      <c r="L2717" s="7" t="s">
        <v>991</v>
      </c>
      <c r="M2717" s="7" t="s">
        <v>3501</v>
      </c>
      <c r="N2717" s="7" t="s">
        <v>17989</v>
      </c>
      <c r="O2717" s="7" t="s">
        <v>17990</v>
      </c>
      <c r="P2717" s="7" t="s">
        <v>3493</v>
      </c>
      <c r="Q2717" s="7">
        <v>1.0</v>
      </c>
    </row>
    <row r="2718">
      <c r="A2718" s="7" t="s">
        <v>19078</v>
      </c>
      <c r="B2718" s="7">
        <v>3000897.0</v>
      </c>
      <c r="C2718" s="7" t="s">
        <v>8174</v>
      </c>
      <c r="D2718" s="7" t="s">
        <v>19079</v>
      </c>
      <c r="E2718" s="7" t="s">
        <v>8170</v>
      </c>
      <c r="F2718" s="7" t="s">
        <v>3528</v>
      </c>
      <c r="G2718" s="7" t="s">
        <v>19080</v>
      </c>
      <c r="H2718" s="7" t="s">
        <v>19081</v>
      </c>
      <c r="I2718" s="119">
        <v>45916.0</v>
      </c>
      <c r="K2718" s="7" t="s">
        <v>419</v>
      </c>
      <c r="L2718" s="7" t="s">
        <v>991</v>
      </c>
      <c r="M2718" s="7" t="s">
        <v>3501</v>
      </c>
      <c r="N2718" s="7" t="s">
        <v>15468</v>
      </c>
      <c r="O2718" s="7" t="s">
        <v>15469</v>
      </c>
      <c r="P2718" s="7" t="s">
        <v>3522</v>
      </c>
      <c r="Q2718" s="7" t="s">
        <v>3514</v>
      </c>
    </row>
    <row r="2719">
      <c r="A2719" s="7" t="s">
        <v>19082</v>
      </c>
      <c r="B2719" s="7">
        <v>3001111.0</v>
      </c>
      <c r="C2719" s="7" t="s">
        <v>8429</v>
      </c>
      <c r="D2719" s="7" t="s">
        <v>19083</v>
      </c>
      <c r="E2719" s="7" t="s">
        <v>8431</v>
      </c>
      <c r="F2719" s="7" t="s">
        <v>19084</v>
      </c>
      <c r="G2719" s="7" t="s">
        <v>19085</v>
      </c>
      <c r="H2719" s="7" t="s">
        <v>19086</v>
      </c>
      <c r="I2719" s="119">
        <v>45916.0</v>
      </c>
      <c r="K2719" s="7" t="s">
        <v>17988</v>
      </c>
      <c r="L2719" s="7" t="s">
        <v>991</v>
      </c>
      <c r="M2719" s="7" t="s">
        <v>3501</v>
      </c>
      <c r="N2719" s="7" t="s">
        <v>17989</v>
      </c>
      <c r="O2719" s="7" t="s">
        <v>17990</v>
      </c>
      <c r="P2719" s="7" t="s">
        <v>3493</v>
      </c>
      <c r="Q2719" s="7">
        <v>1.0</v>
      </c>
    </row>
    <row r="2720">
      <c r="A2720" s="7" t="s">
        <v>19087</v>
      </c>
      <c r="B2720" s="7">
        <v>3001125.0</v>
      </c>
      <c r="C2720" s="7" t="s">
        <v>8429</v>
      </c>
      <c r="D2720" s="7" t="s">
        <v>19088</v>
      </c>
      <c r="E2720" s="7" t="s">
        <v>8431</v>
      </c>
      <c r="F2720" s="7" t="s">
        <v>9116</v>
      </c>
      <c r="G2720" s="7" t="s">
        <v>19089</v>
      </c>
      <c r="H2720" s="7" t="s">
        <v>19090</v>
      </c>
      <c r="I2720" s="119">
        <v>45916.0</v>
      </c>
      <c r="K2720" s="7" t="s">
        <v>419</v>
      </c>
      <c r="L2720" s="7" t="s">
        <v>991</v>
      </c>
      <c r="M2720" s="7" t="s">
        <v>3531</v>
      </c>
      <c r="N2720" s="7" t="s">
        <v>4168</v>
      </c>
      <c r="O2720" s="7" t="s">
        <v>4169</v>
      </c>
      <c r="P2720" s="7" t="s">
        <v>3493</v>
      </c>
      <c r="Q2720" s="7">
        <v>1.0</v>
      </c>
    </row>
    <row r="2721">
      <c r="A2721" s="7" t="s">
        <v>19091</v>
      </c>
      <c r="B2721" s="7">
        <v>3001112.0</v>
      </c>
      <c r="C2721" s="7" t="s">
        <v>9126</v>
      </c>
      <c r="D2721" s="7" t="s">
        <v>19092</v>
      </c>
      <c r="E2721" s="7" t="s">
        <v>9127</v>
      </c>
      <c r="F2721" s="7" t="s">
        <v>7451</v>
      </c>
      <c r="G2721" s="7" t="s">
        <v>19093</v>
      </c>
      <c r="H2721" s="7" t="s">
        <v>19094</v>
      </c>
      <c r="I2721" s="119">
        <v>45916.0</v>
      </c>
      <c r="K2721" s="7" t="s">
        <v>17988</v>
      </c>
      <c r="L2721" s="7" t="s">
        <v>991</v>
      </c>
      <c r="M2721" s="7" t="s">
        <v>3501</v>
      </c>
      <c r="N2721" s="7" t="s">
        <v>17989</v>
      </c>
      <c r="O2721" s="7" t="s">
        <v>17990</v>
      </c>
      <c r="P2721" s="7" t="s">
        <v>3493</v>
      </c>
      <c r="Q2721" s="7">
        <v>1.0</v>
      </c>
    </row>
    <row r="2722">
      <c r="A2722" s="7" t="s">
        <v>19095</v>
      </c>
      <c r="B2722" s="7">
        <v>3001108.0</v>
      </c>
      <c r="C2722" s="7" t="s">
        <v>9145</v>
      </c>
      <c r="D2722" s="7" t="s">
        <v>19096</v>
      </c>
      <c r="E2722" s="7" t="s">
        <v>9147</v>
      </c>
      <c r="F2722" s="7" t="s">
        <v>19097</v>
      </c>
      <c r="G2722" s="7" t="s">
        <v>19098</v>
      </c>
      <c r="H2722" s="7" t="s">
        <v>19099</v>
      </c>
      <c r="I2722" s="119">
        <v>45916.0</v>
      </c>
      <c r="K2722" s="7" t="s">
        <v>17988</v>
      </c>
      <c r="L2722" s="7" t="s">
        <v>991</v>
      </c>
      <c r="M2722" s="7" t="s">
        <v>3501</v>
      </c>
      <c r="N2722" s="7" t="s">
        <v>17989</v>
      </c>
      <c r="O2722" s="7" t="s">
        <v>17990</v>
      </c>
      <c r="P2722" s="7" t="s">
        <v>3493</v>
      </c>
      <c r="Q2722" s="7">
        <v>1.0</v>
      </c>
    </row>
    <row r="2723">
      <c r="A2723" s="7" t="s">
        <v>19100</v>
      </c>
      <c r="B2723" s="7">
        <v>3001123.0</v>
      </c>
      <c r="C2723" s="7" t="s">
        <v>9433</v>
      </c>
      <c r="D2723" s="7" t="s">
        <v>19101</v>
      </c>
      <c r="E2723" s="7" t="s">
        <v>9435</v>
      </c>
      <c r="F2723" s="7" t="s">
        <v>13617</v>
      </c>
      <c r="G2723" s="7" t="s">
        <v>19102</v>
      </c>
      <c r="H2723" s="7" t="s">
        <v>19103</v>
      </c>
      <c r="I2723" s="119">
        <v>45916.0</v>
      </c>
      <c r="K2723" s="7" t="s">
        <v>3642</v>
      </c>
      <c r="L2723" s="7" t="s">
        <v>991</v>
      </c>
      <c r="M2723" s="7" t="s">
        <v>3501</v>
      </c>
      <c r="N2723" s="7" t="s">
        <v>3643</v>
      </c>
      <c r="O2723" s="7" t="s">
        <v>3644</v>
      </c>
      <c r="P2723" s="7" t="s">
        <v>3493</v>
      </c>
      <c r="Q2723" s="7">
        <v>1.0</v>
      </c>
    </row>
    <row r="2724">
      <c r="A2724" s="7" t="s">
        <v>19104</v>
      </c>
      <c r="B2724" s="7">
        <v>3001107.0</v>
      </c>
      <c r="C2724" s="7" t="s">
        <v>9433</v>
      </c>
      <c r="D2724" s="7" t="s">
        <v>19105</v>
      </c>
      <c r="E2724" s="7" t="s">
        <v>9435</v>
      </c>
      <c r="F2724" s="7" t="s">
        <v>13617</v>
      </c>
      <c r="G2724" s="7" t="s">
        <v>19106</v>
      </c>
      <c r="H2724" s="7" t="s">
        <v>19107</v>
      </c>
      <c r="I2724" s="119">
        <v>45916.0</v>
      </c>
      <c r="K2724" s="7" t="s">
        <v>17988</v>
      </c>
      <c r="L2724" s="7" t="s">
        <v>991</v>
      </c>
      <c r="M2724" s="7" t="s">
        <v>3501</v>
      </c>
      <c r="N2724" s="7" t="s">
        <v>17989</v>
      </c>
      <c r="O2724" s="7" t="s">
        <v>17990</v>
      </c>
      <c r="P2724" s="7" t="s">
        <v>3493</v>
      </c>
      <c r="Q2724" s="7">
        <v>1.0</v>
      </c>
    </row>
    <row r="2725">
      <c r="A2725" s="7" t="s">
        <v>19108</v>
      </c>
      <c r="B2725" s="7">
        <v>3001118.0</v>
      </c>
      <c r="C2725" s="7" t="s">
        <v>19109</v>
      </c>
      <c r="D2725" s="7" t="s">
        <v>19110</v>
      </c>
      <c r="E2725" s="7" t="s">
        <v>19111</v>
      </c>
      <c r="F2725" s="7" t="s">
        <v>9490</v>
      </c>
      <c r="G2725" s="7" t="s">
        <v>19112</v>
      </c>
      <c r="H2725" s="7" t="s">
        <v>19113</v>
      </c>
      <c r="I2725" s="119">
        <v>45916.0</v>
      </c>
      <c r="K2725" s="7" t="s">
        <v>419</v>
      </c>
      <c r="L2725" s="7" t="s">
        <v>991</v>
      </c>
      <c r="M2725" s="7" t="s">
        <v>3490</v>
      </c>
      <c r="N2725" s="7" t="s">
        <v>7662</v>
      </c>
      <c r="O2725" s="7" t="s">
        <v>7663</v>
      </c>
      <c r="P2725" s="7" t="s">
        <v>3493</v>
      </c>
      <c r="Q2725" s="7">
        <v>1.0</v>
      </c>
    </row>
    <row r="2726">
      <c r="A2726" s="7" t="s">
        <v>19114</v>
      </c>
      <c r="B2726" s="7">
        <v>3001128.0</v>
      </c>
      <c r="C2726" s="7" t="s">
        <v>19115</v>
      </c>
      <c r="D2726" s="7" t="s">
        <v>19116</v>
      </c>
      <c r="E2726" s="7" t="s">
        <v>10070</v>
      </c>
      <c r="F2726" s="7" t="s">
        <v>10234</v>
      </c>
      <c r="G2726" s="7" t="s">
        <v>19117</v>
      </c>
      <c r="H2726" s="7" t="s">
        <v>19118</v>
      </c>
      <c r="I2726" s="119">
        <v>45916.0</v>
      </c>
      <c r="K2726" s="7" t="s">
        <v>419</v>
      </c>
      <c r="L2726" s="7" t="s">
        <v>991</v>
      </c>
      <c r="M2726" s="7" t="s">
        <v>3531</v>
      </c>
      <c r="N2726" s="7" t="s">
        <v>8270</v>
      </c>
      <c r="O2726" s="7" t="s">
        <v>13410</v>
      </c>
      <c r="P2726" s="7" t="s">
        <v>3493</v>
      </c>
      <c r="Q2726" s="7">
        <v>1.0</v>
      </c>
    </row>
    <row r="2727">
      <c r="A2727" s="7" t="s">
        <v>19119</v>
      </c>
      <c r="B2727" s="7">
        <v>3001024.0</v>
      </c>
      <c r="C2727" s="7" t="s">
        <v>19120</v>
      </c>
      <c r="D2727" s="7" t="s">
        <v>19121</v>
      </c>
      <c r="E2727" s="7" t="s">
        <v>19122</v>
      </c>
      <c r="F2727" s="7" t="s">
        <v>9013</v>
      </c>
      <c r="G2727" s="7" t="s">
        <v>19123</v>
      </c>
      <c r="H2727" s="7" t="s">
        <v>19124</v>
      </c>
      <c r="I2727" s="119">
        <v>45916.0</v>
      </c>
      <c r="K2727" s="7" t="s">
        <v>419</v>
      </c>
      <c r="L2727" s="7" t="s">
        <v>991</v>
      </c>
      <c r="M2727" s="7" t="s">
        <v>3501</v>
      </c>
      <c r="N2727" s="7" t="s">
        <v>6345</v>
      </c>
      <c r="O2727" s="7" t="s">
        <v>6346</v>
      </c>
      <c r="P2727" s="7" t="s">
        <v>3493</v>
      </c>
      <c r="Q2727" s="7">
        <v>1.0</v>
      </c>
    </row>
    <row r="2728">
      <c r="A2728" s="7" t="s">
        <v>19125</v>
      </c>
      <c r="B2728" s="7">
        <v>3001124.0</v>
      </c>
      <c r="C2728" s="7" t="s">
        <v>11715</v>
      </c>
      <c r="D2728" s="7" t="s">
        <v>19126</v>
      </c>
      <c r="E2728" s="7" t="s">
        <v>11717</v>
      </c>
      <c r="F2728" s="7" t="s">
        <v>4525</v>
      </c>
      <c r="G2728" s="7" t="s">
        <v>19127</v>
      </c>
      <c r="H2728" s="7" t="s">
        <v>19128</v>
      </c>
      <c r="I2728" s="119">
        <v>45916.0</v>
      </c>
      <c r="K2728" s="7" t="s">
        <v>419</v>
      </c>
      <c r="L2728" s="7" t="s">
        <v>991</v>
      </c>
      <c r="M2728" s="7" t="s">
        <v>3531</v>
      </c>
      <c r="N2728" s="7" t="s">
        <v>5655</v>
      </c>
      <c r="O2728" s="7" t="s">
        <v>9922</v>
      </c>
      <c r="P2728" s="7" t="s">
        <v>3493</v>
      </c>
      <c r="Q2728" s="7">
        <v>1.0</v>
      </c>
    </row>
    <row r="2729">
      <c r="A2729" s="7" t="s">
        <v>19129</v>
      </c>
      <c r="B2729" s="7">
        <v>3001119.0</v>
      </c>
      <c r="C2729" s="7" t="s">
        <v>12537</v>
      </c>
      <c r="D2729" s="7" t="s">
        <v>19130</v>
      </c>
      <c r="E2729" s="7" t="s">
        <v>19131</v>
      </c>
      <c r="F2729" s="7" t="s">
        <v>9819</v>
      </c>
      <c r="G2729" s="7" t="s">
        <v>19132</v>
      </c>
      <c r="H2729" s="7" t="s">
        <v>19133</v>
      </c>
      <c r="I2729" s="119">
        <v>45916.0</v>
      </c>
      <c r="K2729" s="7" t="s">
        <v>419</v>
      </c>
      <c r="L2729" s="7" t="s">
        <v>991</v>
      </c>
      <c r="M2729" s="7" t="s">
        <v>3583</v>
      </c>
      <c r="N2729" s="7" t="s">
        <v>19134</v>
      </c>
      <c r="O2729" s="7" t="s">
        <v>19135</v>
      </c>
      <c r="P2729" s="7" t="s">
        <v>3493</v>
      </c>
      <c r="Q2729" s="7">
        <v>1.0</v>
      </c>
    </row>
    <row r="2730">
      <c r="A2730" s="7" t="s">
        <v>19136</v>
      </c>
      <c r="B2730" s="7">
        <v>3001116.0</v>
      </c>
      <c r="C2730" s="7" t="s">
        <v>12701</v>
      </c>
      <c r="D2730" s="7" t="s">
        <v>19137</v>
      </c>
      <c r="E2730" s="7" t="s">
        <v>12703</v>
      </c>
      <c r="F2730" s="7" t="s">
        <v>5426</v>
      </c>
      <c r="G2730" s="7" t="s">
        <v>19138</v>
      </c>
      <c r="H2730" s="7" t="s">
        <v>19139</v>
      </c>
      <c r="I2730" s="119">
        <v>45916.0</v>
      </c>
      <c r="K2730" s="7" t="s">
        <v>17988</v>
      </c>
      <c r="L2730" s="7" t="s">
        <v>991</v>
      </c>
      <c r="M2730" s="7" t="s">
        <v>3501</v>
      </c>
      <c r="N2730" s="7" t="s">
        <v>17989</v>
      </c>
      <c r="O2730" s="7" t="s">
        <v>17990</v>
      </c>
      <c r="P2730" s="7" t="s">
        <v>3493</v>
      </c>
      <c r="Q2730" s="7">
        <v>1.0</v>
      </c>
    </row>
    <row r="2731">
      <c r="A2731" s="7" t="s">
        <v>19140</v>
      </c>
      <c r="B2731" s="7">
        <v>3001117.0</v>
      </c>
      <c r="C2731" s="7" t="s">
        <v>14588</v>
      </c>
      <c r="D2731" s="7" t="s">
        <v>19141</v>
      </c>
      <c r="E2731" s="7" t="s">
        <v>14590</v>
      </c>
      <c r="F2731" s="7" t="s">
        <v>14591</v>
      </c>
      <c r="G2731" s="7" t="s">
        <v>19142</v>
      </c>
      <c r="H2731" s="7" t="s">
        <v>19143</v>
      </c>
      <c r="I2731" s="119">
        <v>45916.0</v>
      </c>
      <c r="K2731" s="7" t="s">
        <v>17988</v>
      </c>
      <c r="L2731" s="7" t="s">
        <v>991</v>
      </c>
      <c r="M2731" s="7" t="s">
        <v>3501</v>
      </c>
      <c r="N2731" s="7" t="s">
        <v>17989</v>
      </c>
      <c r="O2731" s="7" t="s">
        <v>17990</v>
      </c>
      <c r="P2731" s="7" t="s">
        <v>3493</v>
      </c>
      <c r="Q2731" s="7">
        <v>1.0</v>
      </c>
    </row>
    <row r="2732">
      <c r="A2732" s="7" t="s">
        <v>19144</v>
      </c>
      <c r="B2732" s="7">
        <v>3001109.0</v>
      </c>
      <c r="C2732" s="7" t="s">
        <v>13294</v>
      </c>
      <c r="D2732" s="7" t="s">
        <v>19145</v>
      </c>
      <c r="E2732" s="7" t="s">
        <v>13295</v>
      </c>
      <c r="F2732" s="7" t="s">
        <v>5569</v>
      </c>
      <c r="G2732" s="7" t="s">
        <v>19146</v>
      </c>
      <c r="H2732" s="7" t="s">
        <v>19147</v>
      </c>
      <c r="I2732" s="119">
        <v>45916.0</v>
      </c>
      <c r="K2732" s="7" t="s">
        <v>17988</v>
      </c>
      <c r="L2732" s="7" t="s">
        <v>991</v>
      </c>
      <c r="M2732" s="7" t="s">
        <v>3501</v>
      </c>
      <c r="N2732" s="7" t="s">
        <v>17989</v>
      </c>
      <c r="O2732" s="7" t="s">
        <v>17990</v>
      </c>
      <c r="P2732" s="7" t="s">
        <v>3493</v>
      </c>
      <c r="Q2732" s="7">
        <v>1.0</v>
      </c>
    </row>
    <row r="2733">
      <c r="A2733" s="7" t="s">
        <v>19148</v>
      </c>
      <c r="B2733" s="7">
        <v>3001120.0</v>
      </c>
      <c r="C2733" s="7" t="s">
        <v>19149</v>
      </c>
      <c r="D2733" s="7" t="s">
        <v>4892</v>
      </c>
      <c r="E2733" s="7" t="s">
        <v>19150</v>
      </c>
      <c r="F2733" s="7" t="s">
        <v>4893</v>
      </c>
      <c r="G2733" s="7" t="s">
        <v>19151</v>
      </c>
      <c r="H2733" s="7" t="s">
        <v>19152</v>
      </c>
      <c r="I2733" s="119">
        <v>45916.0</v>
      </c>
      <c r="K2733" s="7" t="s">
        <v>3642</v>
      </c>
      <c r="L2733" s="7" t="s">
        <v>991</v>
      </c>
      <c r="M2733" s="7" t="s">
        <v>3501</v>
      </c>
      <c r="N2733" s="7" t="s">
        <v>3643</v>
      </c>
      <c r="O2733" s="7" t="s">
        <v>3644</v>
      </c>
      <c r="P2733" s="7" t="s">
        <v>3493</v>
      </c>
      <c r="Q2733" s="7">
        <v>1.0</v>
      </c>
    </row>
    <row r="2734">
      <c r="A2734" s="7" t="s">
        <v>19153</v>
      </c>
      <c r="B2734" s="7">
        <v>3001133.0</v>
      </c>
      <c r="C2734" s="7" t="s">
        <v>19154</v>
      </c>
      <c r="D2734" s="7" t="s">
        <v>9797</v>
      </c>
      <c r="E2734" s="7" t="s">
        <v>19155</v>
      </c>
      <c r="F2734" s="7" t="s">
        <v>9799</v>
      </c>
      <c r="G2734" s="7" t="s">
        <v>19156</v>
      </c>
      <c r="H2734" s="7" t="s">
        <v>19157</v>
      </c>
      <c r="I2734" s="119">
        <v>45931.0</v>
      </c>
      <c r="K2734" s="7" t="s">
        <v>419</v>
      </c>
      <c r="L2734" s="7" t="s">
        <v>991</v>
      </c>
      <c r="M2734" s="7" t="s">
        <v>3531</v>
      </c>
      <c r="N2734" s="7" t="s">
        <v>13982</v>
      </c>
      <c r="O2734" s="7" t="s">
        <v>16463</v>
      </c>
      <c r="P2734" s="7" t="s">
        <v>3493</v>
      </c>
      <c r="Q2734" s="7">
        <v>1.0</v>
      </c>
    </row>
    <row r="2735">
      <c r="A2735" s="7" t="s">
        <v>19158</v>
      </c>
      <c r="B2735" s="7">
        <v>3001096.0</v>
      </c>
      <c r="C2735" s="7" t="s">
        <v>3771</v>
      </c>
      <c r="D2735" s="7" t="s">
        <v>19159</v>
      </c>
      <c r="E2735" s="7" t="s">
        <v>3773</v>
      </c>
      <c r="F2735" s="7" t="s">
        <v>10191</v>
      </c>
      <c r="G2735" s="7" t="s">
        <v>19160</v>
      </c>
      <c r="H2735" s="7" t="s">
        <v>19161</v>
      </c>
      <c r="I2735" s="119">
        <v>45931.0</v>
      </c>
      <c r="K2735" s="7" t="s">
        <v>419</v>
      </c>
      <c r="L2735" s="7" t="s">
        <v>991</v>
      </c>
      <c r="M2735" s="7" t="s">
        <v>3501</v>
      </c>
      <c r="N2735" s="7" t="s">
        <v>5420</v>
      </c>
      <c r="O2735" s="7" t="s">
        <v>5421</v>
      </c>
      <c r="P2735" s="7" t="s">
        <v>3493</v>
      </c>
      <c r="Q2735" s="7">
        <v>1.0</v>
      </c>
    </row>
    <row r="2736">
      <c r="A2736" s="7" t="s">
        <v>19162</v>
      </c>
      <c r="B2736" s="7">
        <v>3001157.0</v>
      </c>
      <c r="C2736" s="7" t="s">
        <v>18337</v>
      </c>
      <c r="D2736" s="7" t="s">
        <v>19163</v>
      </c>
      <c r="E2736" s="7" t="s">
        <v>18338</v>
      </c>
      <c r="F2736" s="7" t="s">
        <v>5860</v>
      </c>
      <c r="G2736" s="7" t="s">
        <v>19164</v>
      </c>
      <c r="H2736" s="7" t="s">
        <v>19165</v>
      </c>
      <c r="I2736" s="119">
        <v>45931.0</v>
      </c>
      <c r="K2736" s="7" t="s">
        <v>3642</v>
      </c>
      <c r="L2736" s="7" t="s">
        <v>991</v>
      </c>
      <c r="M2736" s="7" t="s">
        <v>3501</v>
      </c>
      <c r="N2736" s="7" t="s">
        <v>3643</v>
      </c>
      <c r="O2736" s="7" t="s">
        <v>3644</v>
      </c>
      <c r="P2736" s="7" t="s">
        <v>3493</v>
      </c>
      <c r="Q2736" s="7">
        <v>1.0</v>
      </c>
    </row>
    <row r="2737">
      <c r="A2737" s="7" t="s">
        <v>19166</v>
      </c>
      <c r="B2737" s="7">
        <v>3001138.0</v>
      </c>
      <c r="C2737" s="7" t="s">
        <v>4277</v>
      </c>
      <c r="D2737" s="7" t="s">
        <v>19167</v>
      </c>
      <c r="E2737" s="7" t="s">
        <v>4279</v>
      </c>
      <c r="F2737" s="7" t="s">
        <v>4687</v>
      </c>
      <c r="G2737" s="7" t="s">
        <v>19168</v>
      </c>
      <c r="H2737" s="7" t="s">
        <v>19169</v>
      </c>
      <c r="I2737" s="119">
        <v>45931.0</v>
      </c>
      <c r="K2737" s="7" t="s">
        <v>3489</v>
      </c>
      <c r="L2737" s="7" t="s">
        <v>991</v>
      </c>
      <c r="M2737" s="7" t="s">
        <v>3490</v>
      </c>
      <c r="N2737" s="7" t="s">
        <v>3491</v>
      </c>
      <c r="O2737" s="7" t="s">
        <v>3492</v>
      </c>
      <c r="P2737" s="7" t="s">
        <v>3493</v>
      </c>
      <c r="Q2737" s="7">
        <v>1.0</v>
      </c>
    </row>
    <row r="2738">
      <c r="A2738" s="7" t="s">
        <v>19170</v>
      </c>
      <c r="B2738" s="7">
        <v>3001135.0</v>
      </c>
      <c r="C2738" s="7" t="s">
        <v>19171</v>
      </c>
      <c r="D2738" s="7" t="s">
        <v>14475</v>
      </c>
      <c r="E2738" s="7" t="s">
        <v>19172</v>
      </c>
      <c r="F2738" s="7" t="s">
        <v>4598</v>
      </c>
      <c r="G2738" s="7" t="s">
        <v>19173</v>
      </c>
      <c r="H2738" s="7" t="s">
        <v>19174</v>
      </c>
      <c r="I2738" s="119">
        <v>45931.0</v>
      </c>
      <c r="K2738" s="7" t="s">
        <v>3489</v>
      </c>
      <c r="L2738" s="7" t="s">
        <v>991</v>
      </c>
      <c r="M2738" s="7" t="s">
        <v>3490</v>
      </c>
      <c r="N2738" s="7" t="s">
        <v>3491</v>
      </c>
      <c r="O2738" s="7" t="s">
        <v>3492</v>
      </c>
      <c r="P2738" s="7" t="s">
        <v>3493</v>
      </c>
      <c r="Q2738" s="7">
        <v>1.0</v>
      </c>
    </row>
    <row r="2739">
      <c r="A2739" s="7" t="s">
        <v>19175</v>
      </c>
      <c r="B2739" s="7">
        <v>3000919.0</v>
      </c>
      <c r="C2739" s="7" t="s">
        <v>4608</v>
      </c>
      <c r="D2739" s="7" t="s">
        <v>19176</v>
      </c>
      <c r="E2739" s="7" t="s">
        <v>4609</v>
      </c>
      <c r="F2739" s="7" t="s">
        <v>4666</v>
      </c>
      <c r="G2739" s="7" t="s">
        <v>19177</v>
      </c>
      <c r="H2739" s="7" t="s">
        <v>19178</v>
      </c>
      <c r="I2739" s="119">
        <v>45931.0</v>
      </c>
      <c r="K2739" s="7" t="s">
        <v>419</v>
      </c>
      <c r="L2739" s="7" t="s">
        <v>991</v>
      </c>
      <c r="M2739" s="7" t="s">
        <v>3501</v>
      </c>
      <c r="N2739" s="7" t="s">
        <v>6971</v>
      </c>
      <c r="O2739" s="7" t="s">
        <v>6972</v>
      </c>
      <c r="P2739" s="7" t="s">
        <v>3493</v>
      </c>
      <c r="Q2739" s="7">
        <v>1.0</v>
      </c>
    </row>
    <row r="2740">
      <c r="A2740" s="7" t="s">
        <v>19179</v>
      </c>
      <c r="B2740" s="7">
        <v>3001141.0</v>
      </c>
      <c r="C2740" s="7" t="s">
        <v>19180</v>
      </c>
      <c r="D2740" s="7" t="s">
        <v>19181</v>
      </c>
      <c r="E2740" s="7" t="s">
        <v>19182</v>
      </c>
      <c r="F2740" s="7" t="s">
        <v>4782</v>
      </c>
      <c r="G2740" s="7" t="s">
        <v>19183</v>
      </c>
      <c r="H2740" s="7" t="s">
        <v>19184</v>
      </c>
      <c r="I2740" s="119">
        <v>45931.0</v>
      </c>
      <c r="K2740" s="7" t="s">
        <v>3642</v>
      </c>
      <c r="L2740" s="7" t="s">
        <v>991</v>
      </c>
      <c r="M2740" s="7" t="s">
        <v>3501</v>
      </c>
      <c r="N2740" s="7" t="s">
        <v>3643</v>
      </c>
      <c r="O2740" s="7" t="s">
        <v>3644</v>
      </c>
      <c r="P2740" s="7" t="s">
        <v>3493</v>
      </c>
      <c r="Q2740" s="7">
        <v>1.0</v>
      </c>
    </row>
    <row r="2741">
      <c r="A2741" s="7" t="s">
        <v>19185</v>
      </c>
      <c r="B2741" s="7">
        <v>3001177.0</v>
      </c>
      <c r="C2741" s="7" t="s">
        <v>11715</v>
      </c>
      <c r="D2741" s="7" t="s">
        <v>19186</v>
      </c>
      <c r="E2741" s="7" t="s">
        <v>19187</v>
      </c>
      <c r="F2741" s="7" t="s">
        <v>19188</v>
      </c>
      <c r="G2741" s="7" t="s">
        <v>19189</v>
      </c>
      <c r="H2741" s="7" t="s">
        <v>19190</v>
      </c>
      <c r="I2741" s="119">
        <v>45931.0</v>
      </c>
      <c r="K2741" s="7" t="s">
        <v>8491</v>
      </c>
      <c r="L2741" s="7" t="s">
        <v>991</v>
      </c>
      <c r="M2741" s="7" t="s">
        <v>3501</v>
      </c>
      <c r="N2741" s="7" t="s">
        <v>8492</v>
      </c>
      <c r="O2741" s="7" t="s">
        <v>8493</v>
      </c>
      <c r="P2741" s="7" t="s">
        <v>3493</v>
      </c>
      <c r="Q2741" s="7">
        <v>1.0</v>
      </c>
    </row>
    <row r="2742">
      <c r="A2742" s="7" t="s">
        <v>19191</v>
      </c>
      <c r="B2742" s="7">
        <v>3001104.0</v>
      </c>
      <c r="C2742" s="7" t="s">
        <v>19192</v>
      </c>
      <c r="D2742" s="7" t="s">
        <v>19193</v>
      </c>
      <c r="E2742" s="7" t="s">
        <v>19194</v>
      </c>
      <c r="F2742" s="7" t="s">
        <v>19195</v>
      </c>
      <c r="G2742" s="7" t="s">
        <v>19196</v>
      </c>
      <c r="H2742" s="7" t="s">
        <v>19197</v>
      </c>
      <c r="I2742" s="119">
        <v>45931.0</v>
      </c>
      <c r="K2742" s="7" t="s">
        <v>419</v>
      </c>
      <c r="L2742" s="7" t="s">
        <v>991</v>
      </c>
      <c r="M2742" s="7" t="s">
        <v>3501</v>
      </c>
      <c r="N2742" s="7" t="s">
        <v>9727</v>
      </c>
      <c r="O2742" s="7" t="s">
        <v>9728</v>
      </c>
      <c r="P2742" s="7" t="s">
        <v>3493</v>
      </c>
      <c r="Q2742" s="7">
        <v>1.0</v>
      </c>
    </row>
    <row r="2743">
      <c r="A2743" s="7" t="s">
        <v>19198</v>
      </c>
      <c r="B2743" s="7">
        <v>3001134.0</v>
      </c>
      <c r="C2743" s="7" t="s">
        <v>19199</v>
      </c>
      <c r="D2743" s="7" t="s">
        <v>11583</v>
      </c>
      <c r="E2743" s="7" t="s">
        <v>19200</v>
      </c>
      <c r="F2743" s="7" t="s">
        <v>11585</v>
      </c>
      <c r="G2743" s="7" t="s">
        <v>19201</v>
      </c>
      <c r="H2743" s="7" t="s">
        <v>19202</v>
      </c>
      <c r="I2743" s="119">
        <v>45931.0</v>
      </c>
      <c r="K2743" s="7" t="s">
        <v>3632</v>
      </c>
      <c r="L2743" s="7" t="s">
        <v>991</v>
      </c>
      <c r="M2743" s="7" t="s">
        <v>3501</v>
      </c>
      <c r="N2743" s="7" t="s">
        <v>7046</v>
      </c>
      <c r="O2743" s="7" t="s">
        <v>19203</v>
      </c>
      <c r="P2743" s="7" t="s">
        <v>3522</v>
      </c>
      <c r="Q2743" s="7" t="s">
        <v>3523</v>
      </c>
    </row>
    <row r="2744">
      <c r="A2744" s="7" t="s">
        <v>19204</v>
      </c>
      <c r="B2744" s="7">
        <v>3001127.0</v>
      </c>
      <c r="C2744" s="7" t="s">
        <v>19205</v>
      </c>
      <c r="D2744" s="7" t="s">
        <v>6009</v>
      </c>
      <c r="E2744" s="7" t="s">
        <v>19206</v>
      </c>
      <c r="F2744" s="7" t="s">
        <v>6011</v>
      </c>
      <c r="G2744" s="7" t="s">
        <v>19207</v>
      </c>
      <c r="H2744" s="7" t="s">
        <v>19208</v>
      </c>
      <c r="I2744" s="119">
        <v>45931.0</v>
      </c>
      <c r="K2744" s="7" t="s">
        <v>419</v>
      </c>
      <c r="L2744" s="7" t="s">
        <v>991</v>
      </c>
      <c r="M2744" s="7" t="s">
        <v>3501</v>
      </c>
      <c r="N2744" s="7" t="s">
        <v>7937</v>
      </c>
      <c r="O2744" s="7" t="s">
        <v>19209</v>
      </c>
      <c r="P2744" s="7" t="s">
        <v>3493</v>
      </c>
      <c r="Q2744" s="7">
        <v>1.0</v>
      </c>
    </row>
    <row r="2745">
      <c r="A2745" s="7" t="s">
        <v>19210</v>
      </c>
      <c r="B2745" s="7">
        <v>3001143.0</v>
      </c>
      <c r="C2745" s="7" t="s">
        <v>16493</v>
      </c>
      <c r="D2745" s="7" t="s">
        <v>19211</v>
      </c>
      <c r="E2745" s="7" t="s">
        <v>16495</v>
      </c>
      <c r="F2745" s="7" t="s">
        <v>19212</v>
      </c>
      <c r="G2745" s="7" t="s">
        <v>19213</v>
      </c>
      <c r="H2745" s="7" t="s">
        <v>19214</v>
      </c>
      <c r="I2745" s="119">
        <v>45931.0</v>
      </c>
      <c r="K2745" s="7" t="s">
        <v>3642</v>
      </c>
      <c r="L2745" s="7" t="s">
        <v>991</v>
      </c>
      <c r="M2745" s="7" t="s">
        <v>3583</v>
      </c>
      <c r="N2745" s="7" t="s">
        <v>3643</v>
      </c>
      <c r="O2745" s="7" t="s">
        <v>3644</v>
      </c>
      <c r="P2745" s="7" t="s">
        <v>3493</v>
      </c>
      <c r="Q2745" s="7">
        <v>1.0</v>
      </c>
    </row>
    <row r="2746">
      <c r="A2746" s="7" t="s">
        <v>19215</v>
      </c>
      <c r="B2746" s="7">
        <v>3001142.0</v>
      </c>
      <c r="C2746" s="7" t="s">
        <v>5749</v>
      </c>
      <c r="D2746" s="7" t="s">
        <v>9063</v>
      </c>
      <c r="E2746" s="7" t="s">
        <v>5751</v>
      </c>
      <c r="F2746" s="7" t="s">
        <v>3486</v>
      </c>
      <c r="G2746" s="7" t="s">
        <v>19216</v>
      </c>
      <c r="H2746" s="7" t="s">
        <v>19217</v>
      </c>
      <c r="I2746" s="119">
        <v>45931.0</v>
      </c>
      <c r="K2746" s="7" t="s">
        <v>419</v>
      </c>
      <c r="L2746" s="7" t="s">
        <v>991</v>
      </c>
      <c r="M2746" s="7" t="s">
        <v>3531</v>
      </c>
      <c r="N2746" s="7" t="s">
        <v>4256</v>
      </c>
      <c r="O2746" s="7" t="s">
        <v>4257</v>
      </c>
      <c r="P2746" s="7" t="s">
        <v>3493</v>
      </c>
      <c r="Q2746" s="7">
        <v>1.0</v>
      </c>
    </row>
    <row r="2747">
      <c r="A2747" s="7" t="s">
        <v>19218</v>
      </c>
      <c r="B2747" s="7">
        <v>3001144.0</v>
      </c>
      <c r="C2747" s="7" t="s">
        <v>5830</v>
      </c>
      <c r="D2747" s="7" t="s">
        <v>18755</v>
      </c>
      <c r="E2747" s="7" t="s">
        <v>5832</v>
      </c>
      <c r="F2747" s="7" t="s">
        <v>3508</v>
      </c>
      <c r="G2747" s="7" t="s">
        <v>19219</v>
      </c>
      <c r="H2747" s="7" t="s">
        <v>19220</v>
      </c>
      <c r="I2747" s="119">
        <v>45931.0</v>
      </c>
      <c r="K2747" s="7" t="s">
        <v>17988</v>
      </c>
      <c r="L2747" s="7" t="s">
        <v>991</v>
      </c>
      <c r="M2747" s="7" t="s">
        <v>3501</v>
      </c>
      <c r="N2747" s="7" t="s">
        <v>17989</v>
      </c>
      <c r="O2747" s="7" t="s">
        <v>17990</v>
      </c>
      <c r="P2747" s="7" t="s">
        <v>3493</v>
      </c>
      <c r="Q2747" s="7">
        <v>1.0</v>
      </c>
    </row>
    <row r="2748">
      <c r="A2748" s="7" t="s">
        <v>19221</v>
      </c>
      <c r="B2748" s="7">
        <v>3001161.0</v>
      </c>
      <c r="C2748" s="7" t="s">
        <v>19222</v>
      </c>
      <c r="D2748" s="7" t="s">
        <v>19223</v>
      </c>
      <c r="E2748" s="7" t="s">
        <v>19224</v>
      </c>
      <c r="F2748" s="7" t="s">
        <v>17144</v>
      </c>
      <c r="G2748" s="7" t="s">
        <v>19225</v>
      </c>
      <c r="H2748" s="7" t="s">
        <v>19226</v>
      </c>
      <c r="I2748" s="119">
        <v>45931.0</v>
      </c>
      <c r="K2748" s="7" t="s">
        <v>419</v>
      </c>
      <c r="L2748" s="7" t="s">
        <v>991</v>
      </c>
      <c r="M2748" s="7" t="s">
        <v>3531</v>
      </c>
      <c r="N2748" s="7" t="s">
        <v>7536</v>
      </c>
      <c r="O2748" s="7" t="s">
        <v>7537</v>
      </c>
      <c r="P2748" s="7" t="s">
        <v>3493</v>
      </c>
      <c r="Q2748" s="7">
        <v>1.0</v>
      </c>
    </row>
    <row r="2749">
      <c r="A2749" s="7" t="s">
        <v>19227</v>
      </c>
      <c r="B2749" s="7">
        <v>3001130.0</v>
      </c>
      <c r="C2749" s="7" t="s">
        <v>18826</v>
      </c>
      <c r="D2749" s="7" t="s">
        <v>19228</v>
      </c>
      <c r="E2749" s="7" t="s">
        <v>18828</v>
      </c>
      <c r="F2749" s="7" t="s">
        <v>6089</v>
      </c>
      <c r="G2749" s="7" t="s">
        <v>19229</v>
      </c>
      <c r="H2749" s="7" t="s">
        <v>19230</v>
      </c>
      <c r="I2749" s="119">
        <v>45931.0</v>
      </c>
      <c r="K2749" s="7" t="s">
        <v>419</v>
      </c>
      <c r="L2749" s="7" t="s">
        <v>991</v>
      </c>
      <c r="M2749" s="7" t="s">
        <v>3866</v>
      </c>
      <c r="N2749" s="7" t="s">
        <v>16327</v>
      </c>
      <c r="O2749" s="7" t="s">
        <v>19231</v>
      </c>
      <c r="P2749" s="7" t="s">
        <v>3522</v>
      </c>
      <c r="Q2749" s="7" t="s">
        <v>3523</v>
      </c>
    </row>
    <row r="2750">
      <c r="A2750" s="7" t="s">
        <v>19232</v>
      </c>
      <c r="B2750" s="7">
        <v>3001160.0</v>
      </c>
      <c r="C2750" s="7" t="s">
        <v>18596</v>
      </c>
      <c r="D2750" s="7" t="s">
        <v>19233</v>
      </c>
      <c r="E2750" s="7" t="s">
        <v>18597</v>
      </c>
      <c r="F2750" s="7" t="s">
        <v>18612</v>
      </c>
      <c r="G2750" s="7" t="s">
        <v>19234</v>
      </c>
      <c r="H2750" s="7" t="s">
        <v>19235</v>
      </c>
      <c r="I2750" s="119">
        <v>45931.0</v>
      </c>
      <c r="K2750" s="7" t="s">
        <v>419</v>
      </c>
      <c r="L2750" s="7" t="s">
        <v>991</v>
      </c>
      <c r="M2750" s="7" t="s">
        <v>3531</v>
      </c>
      <c r="N2750" s="7" t="s">
        <v>4738</v>
      </c>
      <c r="O2750" s="7" t="s">
        <v>4739</v>
      </c>
      <c r="P2750" s="7" t="s">
        <v>3493</v>
      </c>
      <c r="Q2750" s="7">
        <v>1.0</v>
      </c>
    </row>
    <row r="2751">
      <c r="A2751" s="7" t="s">
        <v>19236</v>
      </c>
      <c r="B2751" s="7">
        <v>3001148.0</v>
      </c>
      <c r="C2751" s="7" t="s">
        <v>19237</v>
      </c>
      <c r="D2751" s="7" t="s">
        <v>19238</v>
      </c>
      <c r="E2751" s="7" t="s">
        <v>19239</v>
      </c>
      <c r="F2751" s="7" t="s">
        <v>4469</v>
      </c>
      <c r="G2751" s="7" t="s">
        <v>19240</v>
      </c>
      <c r="H2751" s="7" t="s">
        <v>19241</v>
      </c>
      <c r="I2751" s="119">
        <v>45931.0</v>
      </c>
      <c r="K2751" s="7" t="s">
        <v>3632</v>
      </c>
      <c r="L2751" s="7" t="s">
        <v>991</v>
      </c>
      <c r="M2751" s="7" t="s">
        <v>3531</v>
      </c>
      <c r="N2751" s="7" t="s">
        <v>3633</v>
      </c>
      <c r="O2751" s="7" t="s">
        <v>10846</v>
      </c>
      <c r="P2751" s="7" t="s">
        <v>3493</v>
      </c>
      <c r="Q2751" s="7">
        <v>1.0</v>
      </c>
    </row>
    <row r="2752">
      <c r="A2752" s="7" t="s">
        <v>19242</v>
      </c>
      <c r="B2752" s="7">
        <v>3001176.0</v>
      </c>
      <c r="C2752" s="7" t="s">
        <v>14653</v>
      </c>
      <c r="D2752" s="7" t="s">
        <v>19243</v>
      </c>
      <c r="E2752" s="7" t="s">
        <v>7229</v>
      </c>
      <c r="F2752" s="7" t="s">
        <v>19244</v>
      </c>
      <c r="G2752" s="7" t="s">
        <v>19245</v>
      </c>
      <c r="H2752" s="7" t="s">
        <v>19246</v>
      </c>
      <c r="I2752" s="119">
        <v>45931.0</v>
      </c>
      <c r="K2752" s="7" t="s">
        <v>8491</v>
      </c>
      <c r="L2752" s="7" t="s">
        <v>991</v>
      </c>
      <c r="M2752" s="7" t="s">
        <v>3531</v>
      </c>
      <c r="N2752" s="7" t="s">
        <v>8492</v>
      </c>
      <c r="O2752" s="7" t="s">
        <v>8493</v>
      </c>
      <c r="P2752" s="7" t="s">
        <v>3493</v>
      </c>
      <c r="Q2752" s="7">
        <v>1.0</v>
      </c>
    </row>
    <row r="2753">
      <c r="A2753" s="7" t="s">
        <v>19247</v>
      </c>
      <c r="B2753" s="7">
        <v>3001159.0</v>
      </c>
      <c r="C2753" s="7" t="s">
        <v>7234</v>
      </c>
      <c r="D2753" s="7" t="s">
        <v>19248</v>
      </c>
      <c r="E2753" s="7" t="s">
        <v>7236</v>
      </c>
      <c r="F2753" s="7" t="s">
        <v>19249</v>
      </c>
      <c r="G2753" s="7" t="s">
        <v>19250</v>
      </c>
      <c r="H2753" s="7" t="s">
        <v>19251</v>
      </c>
      <c r="I2753" s="119">
        <v>45931.0</v>
      </c>
      <c r="K2753" s="7" t="s">
        <v>419</v>
      </c>
      <c r="L2753" s="7" t="s">
        <v>991</v>
      </c>
      <c r="M2753" s="7" t="s">
        <v>3531</v>
      </c>
      <c r="N2753" s="7" t="s">
        <v>4738</v>
      </c>
      <c r="O2753" s="7" t="s">
        <v>4739</v>
      </c>
      <c r="P2753" s="7" t="s">
        <v>3493</v>
      </c>
      <c r="Q2753" s="7">
        <v>1.0</v>
      </c>
    </row>
    <row r="2754">
      <c r="A2754" s="7" t="s">
        <v>19252</v>
      </c>
      <c r="B2754" s="7">
        <v>3001151.0</v>
      </c>
      <c r="C2754" s="7" t="s">
        <v>7234</v>
      </c>
      <c r="D2754" s="7" t="s">
        <v>19253</v>
      </c>
      <c r="E2754" s="7" t="s">
        <v>7236</v>
      </c>
      <c r="F2754" s="7" t="s">
        <v>4380</v>
      </c>
      <c r="G2754" s="7" t="s">
        <v>19254</v>
      </c>
      <c r="H2754" s="7" t="s">
        <v>19255</v>
      </c>
      <c r="I2754" s="119">
        <v>45931.0</v>
      </c>
      <c r="K2754" s="7" t="s">
        <v>419</v>
      </c>
      <c r="L2754" s="7" t="s">
        <v>991</v>
      </c>
      <c r="M2754" s="7" t="s">
        <v>3531</v>
      </c>
      <c r="N2754" s="7" t="s">
        <v>5461</v>
      </c>
      <c r="O2754" s="7" t="s">
        <v>5462</v>
      </c>
      <c r="P2754" s="7" t="s">
        <v>3493</v>
      </c>
      <c r="Q2754" s="7">
        <v>1.0</v>
      </c>
    </row>
    <row r="2755">
      <c r="A2755" s="7" t="s">
        <v>19256</v>
      </c>
      <c r="B2755" s="7">
        <v>3001180.0</v>
      </c>
      <c r="C2755" s="7" t="s">
        <v>14911</v>
      </c>
      <c r="D2755" s="7" t="s">
        <v>19257</v>
      </c>
      <c r="E2755" s="7" t="s">
        <v>14913</v>
      </c>
      <c r="F2755" s="7" t="s">
        <v>19258</v>
      </c>
      <c r="G2755" s="7" t="s">
        <v>19259</v>
      </c>
      <c r="H2755" s="7" t="s">
        <v>19260</v>
      </c>
      <c r="I2755" s="119">
        <v>45931.0</v>
      </c>
      <c r="K2755" s="7" t="s">
        <v>3632</v>
      </c>
      <c r="L2755" s="7" t="s">
        <v>991</v>
      </c>
      <c r="M2755" s="7" t="s">
        <v>3583</v>
      </c>
      <c r="N2755" s="7" t="s">
        <v>4190</v>
      </c>
      <c r="O2755" s="7" t="s">
        <v>7052</v>
      </c>
      <c r="P2755" s="7" t="s">
        <v>3522</v>
      </c>
      <c r="Q2755" s="7" t="s">
        <v>3523</v>
      </c>
    </row>
    <row r="2756">
      <c r="A2756" s="7" t="s">
        <v>19261</v>
      </c>
      <c r="B2756" s="7">
        <v>3001147.0</v>
      </c>
      <c r="C2756" s="7" t="s">
        <v>7830</v>
      </c>
      <c r="D2756" s="7" t="s">
        <v>18827</v>
      </c>
      <c r="E2756" s="7" t="s">
        <v>7832</v>
      </c>
      <c r="F2756" s="7" t="s">
        <v>5058</v>
      </c>
      <c r="G2756" s="7" t="s">
        <v>19262</v>
      </c>
      <c r="H2756" s="7" t="s">
        <v>19263</v>
      </c>
      <c r="I2756" s="119">
        <v>45931.0</v>
      </c>
      <c r="K2756" s="7" t="s">
        <v>3642</v>
      </c>
      <c r="L2756" s="7" t="s">
        <v>991</v>
      </c>
      <c r="M2756" s="7" t="s">
        <v>3501</v>
      </c>
      <c r="N2756" s="7" t="s">
        <v>3643</v>
      </c>
      <c r="O2756" s="7" t="s">
        <v>3644</v>
      </c>
      <c r="P2756" s="7" t="s">
        <v>3493</v>
      </c>
      <c r="Q2756" s="7">
        <v>1.0</v>
      </c>
    </row>
    <row r="2757">
      <c r="A2757" s="7" t="s">
        <v>19264</v>
      </c>
      <c r="B2757" s="7">
        <v>3001145.0</v>
      </c>
      <c r="C2757" s="7" t="s">
        <v>8429</v>
      </c>
      <c r="D2757" s="7" t="s">
        <v>19265</v>
      </c>
      <c r="E2757" s="7" t="s">
        <v>8431</v>
      </c>
      <c r="F2757" s="7" t="s">
        <v>19266</v>
      </c>
      <c r="G2757" s="7" t="s">
        <v>19267</v>
      </c>
      <c r="H2757" s="7" t="s">
        <v>19268</v>
      </c>
      <c r="I2757" s="119">
        <v>45931.0</v>
      </c>
      <c r="K2757" s="7" t="s">
        <v>17988</v>
      </c>
      <c r="L2757" s="7" t="s">
        <v>991</v>
      </c>
      <c r="M2757" s="7" t="s">
        <v>3501</v>
      </c>
      <c r="N2757" s="7" t="s">
        <v>17989</v>
      </c>
      <c r="O2757" s="7" t="s">
        <v>17990</v>
      </c>
      <c r="P2757" s="7" t="s">
        <v>3493</v>
      </c>
      <c r="Q2757" s="7">
        <v>1.0</v>
      </c>
    </row>
    <row r="2758">
      <c r="A2758" s="7" t="s">
        <v>19269</v>
      </c>
      <c r="B2758" s="7">
        <v>3000965.0</v>
      </c>
      <c r="C2758" s="7" t="s">
        <v>19270</v>
      </c>
      <c r="D2758" s="7" t="s">
        <v>12892</v>
      </c>
      <c r="E2758" s="7" t="s">
        <v>19271</v>
      </c>
      <c r="F2758" s="7" t="s">
        <v>9184</v>
      </c>
      <c r="G2758" s="7" t="s">
        <v>19272</v>
      </c>
      <c r="H2758" s="7" t="s">
        <v>19273</v>
      </c>
      <c r="I2758" s="119">
        <v>45931.0</v>
      </c>
      <c r="K2758" s="7" t="s">
        <v>419</v>
      </c>
      <c r="L2758" s="7" t="s">
        <v>991</v>
      </c>
      <c r="M2758" s="7" t="s">
        <v>3501</v>
      </c>
      <c r="N2758" s="7" t="s">
        <v>8158</v>
      </c>
      <c r="O2758" s="7" t="s">
        <v>10691</v>
      </c>
      <c r="P2758" s="7" t="s">
        <v>3493</v>
      </c>
      <c r="Q2758" s="7">
        <v>1.0</v>
      </c>
    </row>
    <row r="2759">
      <c r="A2759" s="7" t="s">
        <v>19274</v>
      </c>
      <c r="B2759" s="7">
        <v>3001132.0</v>
      </c>
      <c r="C2759" s="7" t="s">
        <v>9126</v>
      </c>
      <c r="D2759" s="7" t="s">
        <v>8276</v>
      </c>
      <c r="E2759" s="7" t="s">
        <v>9127</v>
      </c>
      <c r="F2759" s="7" t="s">
        <v>19275</v>
      </c>
      <c r="G2759" s="7" t="s">
        <v>19276</v>
      </c>
      <c r="H2759" s="7" t="s">
        <v>19277</v>
      </c>
      <c r="I2759" s="119">
        <v>45931.0</v>
      </c>
      <c r="K2759" s="7" t="s">
        <v>419</v>
      </c>
      <c r="L2759" s="7" t="s">
        <v>991</v>
      </c>
      <c r="M2759" s="7" t="s">
        <v>3866</v>
      </c>
      <c r="N2759" s="7" t="s">
        <v>16327</v>
      </c>
      <c r="O2759" s="7" t="s">
        <v>19001</v>
      </c>
      <c r="P2759" s="7" t="s">
        <v>3522</v>
      </c>
      <c r="Q2759" s="7" t="s">
        <v>3523</v>
      </c>
    </row>
    <row r="2760">
      <c r="A2760" s="7" t="s">
        <v>19278</v>
      </c>
      <c r="B2760" s="7">
        <v>3001149.0</v>
      </c>
      <c r="C2760" s="7" t="s">
        <v>9570</v>
      </c>
      <c r="D2760" s="7" t="s">
        <v>19279</v>
      </c>
      <c r="E2760" s="7" t="s">
        <v>9572</v>
      </c>
      <c r="F2760" s="7" t="s">
        <v>5058</v>
      </c>
      <c r="G2760" s="7" t="s">
        <v>19280</v>
      </c>
      <c r="H2760" s="7" t="s">
        <v>19281</v>
      </c>
      <c r="I2760" s="119">
        <v>45931.0</v>
      </c>
      <c r="K2760" s="7" t="s">
        <v>419</v>
      </c>
      <c r="L2760" s="7" t="s">
        <v>991</v>
      </c>
      <c r="M2760" s="7" t="s">
        <v>3531</v>
      </c>
      <c r="N2760" s="7" t="s">
        <v>4096</v>
      </c>
      <c r="O2760" s="7" t="s">
        <v>4097</v>
      </c>
      <c r="P2760" s="7" t="s">
        <v>3493</v>
      </c>
      <c r="Q2760" s="7">
        <v>1.0</v>
      </c>
    </row>
    <row r="2761">
      <c r="A2761" s="7" t="s">
        <v>19282</v>
      </c>
      <c r="B2761" s="7">
        <v>3001136.0</v>
      </c>
      <c r="C2761" s="7" t="s">
        <v>9570</v>
      </c>
      <c r="D2761" s="7" t="s">
        <v>19283</v>
      </c>
      <c r="E2761" s="7" t="s">
        <v>9572</v>
      </c>
      <c r="F2761" s="7" t="s">
        <v>19284</v>
      </c>
      <c r="G2761" s="7" t="s">
        <v>19285</v>
      </c>
      <c r="H2761" s="7" t="s">
        <v>19286</v>
      </c>
      <c r="I2761" s="119">
        <v>45931.0</v>
      </c>
      <c r="K2761" s="7" t="s">
        <v>3489</v>
      </c>
      <c r="L2761" s="7" t="s">
        <v>991</v>
      </c>
      <c r="M2761" s="7" t="s">
        <v>3490</v>
      </c>
      <c r="N2761" s="7" t="s">
        <v>3491</v>
      </c>
      <c r="O2761" s="7" t="s">
        <v>3492</v>
      </c>
      <c r="P2761" s="7" t="s">
        <v>3493</v>
      </c>
      <c r="Q2761" s="7">
        <v>1.0</v>
      </c>
    </row>
    <row r="2762">
      <c r="A2762" s="7" t="s">
        <v>19287</v>
      </c>
      <c r="B2762" s="7">
        <v>3001178.0</v>
      </c>
      <c r="C2762" s="7" t="s">
        <v>9689</v>
      </c>
      <c r="D2762" s="7" t="s">
        <v>19288</v>
      </c>
      <c r="E2762" s="7" t="s">
        <v>9691</v>
      </c>
      <c r="F2762" s="7" t="s">
        <v>19289</v>
      </c>
      <c r="G2762" s="7" t="s">
        <v>19290</v>
      </c>
      <c r="H2762" s="7" t="s">
        <v>19291</v>
      </c>
      <c r="I2762" s="119">
        <v>45931.0</v>
      </c>
      <c r="K2762" s="7" t="s">
        <v>3632</v>
      </c>
      <c r="L2762" s="7" t="s">
        <v>991</v>
      </c>
      <c r="M2762" s="7" t="s">
        <v>3866</v>
      </c>
      <c r="N2762" s="7" t="s">
        <v>8574</v>
      </c>
      <c r="O2762" s="7" t="s">
        <v>8575</v>
      </c>
      <c r="P2762" s="7" t="s">
        <v>3522</v>
      </c>
      <c r="Q2762" s="7" t="s">
        <v>3523</v>
      </c>
    </row>
    <row r="2763">
      <c r="A2763" s="7" t="s">
        <v>19292</v>
      </c>
      <c r="B2763" s="7">
        <v>3001153.0</v>
      </c>
      <c r="C2763" s="7" t="s">
        <v>9777</v>
      </c>
      <c r="D2763" s="7" t="s">
        <v>19293</v>
      </c>
      <c r="E2763" s="7" t="s">
        <v>9779</v>
      </c>
      <c r="F2763" s="7" t="s">
        <v>4960</v>
      </c>
      <c r="G2763" s="7" t="s">
        <v>19294</v>
      </c>
      <c r="H2763" s="7" t="s">
        <v>19295</v>
      </c>
      <c r="I2763" s="119">
        <v>45931.0</v>
      </c>
      <c r="K2763" s="7" t="s">
        <v>419</v>
      </c>
      <c r="L2763" s="7" t="s">
        <v>991</v>
      </c>
      <c r="M2763" s="7" t="s">
        <v>3531</v>
      </c>
      <c r="N2763" s="7" t="s">
        <v>8647</v>
      </c>
      <c r="O2763" s="7" t="s">
        <v>8648</v>
      </c>
      <c r="P2763" s="7" t="s">
        <v>3493</v>
      </c>
      <c r="Q2763" s="7">
        <v>1.0</v>
      </c>
    </row>
    <row r="2764">
      <c r="A2764" s="7" t="s">
        <v>19296</v>
      </c>
      <c r="B2764" s="7">
        <v>3001174.0</v>
      </c>
      <c r="C2764" s="7" t="s">
        <v>14560</v>
      </c>
      <c r="D2764" s="7" t="s">
        <v>19297</v>
      </c>
      <c r="E2764" s="7" t="s">
        <v>14562</v>
      </c>
      <c r="F2764" s="7" t="s">
        <v>5627</v>
      </c>
      <c r="G2764" s="7" t="s">
        <v>19298</v>
      </c>
      <c r="H2764" s="7" t="s">
        <v>19299</v>
      </c>
      <c r="I2764" s="119">
        <v>45931.0</v>
      </c>
      <c r="K2764" s="7" t="s">
        <v>419</v>
      </c>
      <c r="L2764" s="7" t="s">
        <v>991</v>
      </c>
      <c r="M2764" s="7" t="s">
        <v>3866</v>
      </c>
      <c r="N2764" s="7" t="s">
        <v>4587</v>
      </c>
      <c r="O2764" s="7" t="s">
        <v>12660</v>
      </c>
      <c r="P2764" s="7" t="s">
        <v>3493</v>
      </c>
      <c r="Q2764" s="7">
        <v>1.0</v>
      </c>
    </row>
    <row r="2765">
      <c r="A2765" s="7" t="s">
        <v>19300</v>
      </c>
      <c r="B2765" s="7">
        <v>3000911.0</v>
      </c>
      <c r="C2765" s="7" t="s">
        <v>15422</v>
      </c>
      <c r="D2765" s="7" t="s">
        <v>12066</v>
      </c>
      <c r="E2765" s="7" t="s">
        <v>10131</v>
      </c>
      <c r="F2765" s="7" t="s">
        <v>5155</v>
      </c>
      <c r="G2765" s="7" t="s">
        <v>19301</v>
      </c>
      <c r="H2765" s="7" t="s">
        <v>19302</v>
      </c>
      <c r="I2765" s="119">
        <v>45931.0</v>
      </c>
      <c r="K2765" s="7" t="s">
        <v>419</v>
      </c>
      <c r="L2765" s="7" t="s">
        <v>991</v>
      </c>
      <c r="M2765" s="7" t="s">
        <v>3501</v>
      </c>
      <c r="N2765" s="7" t="s">
        <v>5341</v>
      </c>
      <c r="O2765" s="7" t="s">
        <v>5342</v>
      </c>
      <c r="P2765" s="7" t="s">
        <v>3493</v>
      </c>
      <c r="Q2765" s="7">
        <v>1.0</v>
      </c>
    </row>
    <row r="2766">
      <c r="A2766" s="7" t="s">
        <v>19303</v>
      </c>
      <c r="B2766" s="7">
        <v>3001095.0</v>
      </c>
      <c r="C2766" s="7" t="s">
        <v>10276</v>
      </c>
      <c r="D2766" s="7" t="s">
        <v>19304</v>
      </c>
      <c r="E2766" s="7" t="s">
        <v>10277</v>
      </c>
      <c r="F2766" s="7" t="s">
        <v>9672</v>
      </c>
      <c r="G2766" s="7" t="s">
        <v>19305</v>
      </c>
      <c r="H2766" s="7" t="s">
        <v>19306</v>
      </c>
      <c r="I2766" s="119">
        <v>45931.0</v>
      </c>
      <c r="K2766" s="7" t="s">
        <v>419</v>
      </c>
      <c r="L2766" s="7" t="s">
        <v>991</v>
      </c>
      <c r="M2766" s="7" t="s">
        <v>3501</v>
      </c>
      <c r="N2766" s="7" t="s">
        <v>4175</v>
      </c>
      <c r="O2766" s="7" t="s">
        <v>4176</v>
      </c>
      <c r="P2766" s="7" t="s">
        <v>3493</v>
      </c>
      <c r="Q2766" s="7">
        <v>1.0</v>
      </c>
    </row>
    <row r="2767">
      <c r="A2767" s="7" t="s">
        <v>19307</v>
      </c>
      <c r="B2767" s="7">
        <v>3001170.0</v>
      </c>
      <c r="C2767" s="7" t="s">
        <v>19308</v>
      </c>
      <c r="D2767" s="7" t="s">
        <v>19309</v>
      </c>
      <c r="E2767" s="7" t="s">
        <v>19310</v>
      </c>
      <c r="F2767" s="7" t="s">
        <v>19311</v>
      </c>
      <c r="G2767" s="7" t="s">
        <v>19312</v>
      </c>
      <c r="H2767" s="7" t="s">
        <v>19313</v>
      </c>
      <c r="I2767" s="119">
        <v>45931.0</v>
      </c>
      <c r="K2767" s="7" t="s">
        <v>419</v>
      </c>
      <c r="L2767" s="7" t="s">
        <v>991</v>
      </c>
      <c r="M2767" s="7" t="s">
        <v>3531</v>
      </c>
      <c r="N2767" s="7" t="s">
        <v>7172</v>
      </c>
      <c r="O2767" s="7" t="s">
        <v>16907</v>
      </c>
      <c r="P2767" s="7" t="s">
        <v>3493</v>
      </c>
      <c r="Q2767" s="7">
        <v>1.0</v>
      </c>
    </row>
    <row r="2768">
      <c r="A2768" s="7" t="s">
        <v>19314</v>
      </c>
      <c r="B2768" s="7">
        <v>3001152.0</v>
      </c>
      <c r="C2768" s="7" t="s">
        <v>10766</v>
      </c>
      <c r="D2768" s="7" t="s">
        <v>19315</v>
      </c>
      <c r="E2768" s="7" t="s">
        <v>10768</v>
      </c>
      <c r="F2768" s="7" t="s">
        <v>7361</v>
      </c>
      <c r="G2768" s="7" t="s">
        <v>19316</v>
      </c>
      <c r="H2768" s="7" t="s">
        <v>19317</v>
      </c>
      <c r="I2768" s="119">
        <v>45931.0</v>
      </c>
      <c r="K2768" s="7" t="s">
        <v>419</v>
      </c>
      <c r="L2768" s="7" t="s">
        <v>991</v>
      </c>
      <c r="M2768" s="7" t="s">
        <v>3531</v>
      </c>
      <c r="N2768" s="7" t="s">
        <v>10722</v>
      </c>
      <c r="O2768" s="7" t="s">
        <v>11045</v>
      </c>
      <c r="P2768" s="7" t="s">
        <v>3493</v>
      </c>
      <c r="Q2768" s="7">
        <v>1.0</v>
      </c>
    </row>
    <row r="2769">
      <c r="A2769" s="7" t="s">
        <v>19318</v>
      </c>
      <c r="B2769" s="7">
        <v>3001146.0</v>
      </c>
      <c r="C2769" s="7" t="s">
        <v>19319</v>
      </c>
      <c r="D2769" s="7" t="s">
        <v>19320</v>
      </c>
      <c r="E2769" s="7" t="s">
        <v>19321</v>
      </c>
      <c r="F2769" s="7" t="s">
        <v>14812</v>
      </c>
      <c r="G2769" s="7" t="s">
        <v>19322</v>
      </c>
      <c r="H2769" s="7" t="s">
        <v>19323</v>
      </c>
      <c r="I2769" s="119">
        <v>45931.0</v>
      </c>
      <c r="K2769" s="7" t="s">
        <v>17988</v>
      </c>
      <c r="L2769" s="7" t="s">
        <v>991</v>
      </c>
      <c r="M2769" s="7" t="s">
        <v>3501</v>
      </c>
      <c r="N2769" s="7" t="s">
        <v>17989</v>
      </c>
      <c r="O2769" s="7" t="s">
        <v>17990</v>
      </c>
      <c r="P2769" s="7" t="s">
        <v>3493</v>
      </c>
      <c r="Q2769" s="7">
        <v>1.0</v>
      </c>
    </row>
    <row r="2770">
      <c r="A2770" s="7" t="s">
        <v>19324</v>
      </c>
      <c r="B2770" s="7">
        <v>3001179.0</v>
      </c>
      <c r="C2770" s="7" t="s">
        <v>19325</v>
      </c>
      <c r="D2770" s="7" t="s">
        <v>19326</v>
      </c>
      <c r="E2770" s="7" t="s">
        <v>19327</v>
      </c>
      <c r="F2770" s="7" t="s">
        <v>19328</v>
      </c>
      <c r="G2770" s="7" t="s">
        <v>19329</v>
      </c>
      <c r="H2770" s="7" t="s">
        <v>19330</v>
      </c>
      <c r="I2770" s="119">
        <v>45931.0</v>
      </c>
      <c r="K2770" s="7" t="s">
        <v>3632</v>
      </c>
      <c r="L2770" s="7" t="s">
        <v>991</v>
      </c>
      <c r="M2770" s="7" t="s">
        <v>3866</v>
      </c>
      <c r="N2770" s="7" t="s">
        <v>8574</v>
      </c>
      <c r="O2770" s="7" t="s">
        <v>8575</v>
      </c>
      <c r="P2770" s="7" t="s">
        <v>3522</v>
      </c>
      <c r="Q2770" s="7" t="s">
        <v>3523</v>
      </c>
    </row>
    <row r="2771">
      <c r="A2771" s="7" t="s">
        <v>19331</v>
      </c>
      <c r="B2771" s="7">
        <v>3001175.0</v>
      </c>
      <c r="C2771" s="7" t="s">
        <v>19332</v>
      </c>
      <c r="D2771" s="7" t="s">
        <v>12059</v>
      </c>
      <c r="E2771" s="7" t="s">
        <v>19333</v>
      </c>
      <c r="F2771" s="7" t="s">
        <v>12061</v>
      </c>
      <c r="G2771" s="7" t="s">
        <v>19334</v>
      </c>
      <c r="H2771" s="7" t="s">
        <v>19335</v>
      </c>
      <c r="I2771" s="119">
        <v>45931.0</v>
      </c>
      <c r="K2771" s="7" t="s">
        <v>8491</v>
      </c>
      <c r="L2771" s="7" t="s">
        <v>991</v>
      </c>
      <c r="M2771" s="7" t="s">
        <v>3531</v>
      </c>
      <c r="N2771" s="7" t="s">
        <v>8492</v>
      </c>
      <c r="O2771" s="7" t="s">
        <v>8493</v>
      </c>
      <c r="P2771" s="7" t="s">
        <v>3493</v>
      </c>
      <c r="Q2771" s="7">
        <v>1.0</v>
      </c>
    </row>
    <row r="2772">
      <c r="A2772" s="7" t="s">
        <v>19336</v>
      </c>
      <c r="B2772" s="7">
        <v>3001105.0</v>
      </c>
      <c r="C2772" s="7" t="s">
        <v>19337</v>
      </c>
      <c r="D2772" s="7" t="s">
        <v>19338</v>
      </c>
      <c r="E2772" s="7" t="s">
        <v>19339</v>
      </c>
      <c r="F2772" s="7" t="s">
        <v>7169</v>
      </c>
      <c r="G2772" s="7" t="s">
        <v>19340</v>
      </c>
      <c r="H2772" s="7" t="s">
        <v>19341</v>
      </c>
      <c r="I2772" s="119">
        <v>45931.0</v>
      </c>
      <c r="K2772" s="7" t="s">
        <v>419</v>
      </c>
      <c r="L2772" s="7" t="s">
        <v>991</v>
      </c>
      <c r="M2772" s="7" t="s">
        <v>3501</v>
      </c>
      <c r="N2772" s="7" t="s">
        <v>6329</v>
      </c>
      <c r="O2772" s="7" t="s">
        <v>6330</v>
      </c>
      <c r="P2772" s="7" t="s">
        <v>3493</v>
      </c>
      <c r="Q2772" s="7">
        <v>1.0</v>
      </c>
    </row>
    <row r="2773">
      <c r="A2773" s="7" t="s">
        <v>19342</v>
      </c>
      <c r="B2773" s="7">
        <v>3001155.0</v>
      </c>
      <c r="C2773" s="7" t="s">
        <v>11500</v>
      </c>
      <c r="D2773" s="7" t="s">
        <v>19343</v>
      </c>
      <c r="E2773" s="7" t="s">
        <v>11502</v>
      </c>
      <c r="F2773" s="7" t="s">
        <v>5312</v>
      </c>
      <c r="G2773" s="7" t="s">
        <v>19344</v>
      </c>
      <c r="H2773" s="7" t="s">
        <v>19345</v>
      </c>
      <c r="I2773" s="119">
        <v>45931.0</v>
      </c>
      <c r="K2773" s="7" t="s">
        <v>3642</v>
      </c>
      <c r="L2773" s="7" t="s">
        <v>991</v>
      </c>
      <c r="M2773" s="7" t="s">
        <v>3501</v>
      </c>
      <c r="N2773" s="7" t="s">
        <v>3643</v>
      </c>
      <c r="O2773" s="7" t="s">
        <v>3644</v>
      </c>
      <c r="P2773" s="7" t="s">
        <v>3493</v>
      </c>
      <c r="Q2773" s="7">
        <v>1.0</v>
      </c>
    </row>
    <row r="2774">
      <c r="A2774" s="7" t="s">
        <v>19346</v>
      </c>
      <c r="B2774" s="7">
        <v>3001158.0</v>
      </c>
      <c r="C2774" s="7" t="s">
        <v>11709</v>
      </c>
      <c r="D2774" s="7" t="s">
        <v>19347</v>
      </c>
      <c r="E2774" s="7" t="s">
        <v>11711</v>
      </c>
      <c r="F2774" s="7" t="s">
        <v>10171</v>
      </c>
      <c r="G2774" s="7" t="s">
        <v>19348</v>
      </c>
      <c r="H2774" s="7" t="s">
        <v>19349</v>
      </c>
      <c r="I2774" s="119">
        <v>45931.0</v>
      </c>
      <c r="K2774" s="7" t="s">
        <v>17988</v>
      </c>
      <c r="L2774" s="7" t="s">
        <v>991</v>
      </c>
      <c r="M2774" s="7" t="s">
        <v>3490</v>
      </c>
      <c r="N2774" s="7" t="s">
        <v>17989</v>
      </c>
      <c r="O2774" s="7" t="s">
        <v>17990</v>
      </c>
      <c r="P2774" s="7" t="s">
        <v>3493</v>
      </c>
      <c r="Q2774" s="7">
        <v>1.0</v>
      </c>
    </row>
    <row r="2775">
      <c r="A2775" s="7" t="s">
        <v>19350</v>
      </c>
      <c r="B2775" s="7">
        <v>3001150.0</v>
      </c>
      <c r="C2775" s="7" t="s">
        <v>3727</v>
      </c>
      <c r="D2775" s="7" t="s">
        <v>19351</v>
      </c>
      <c r="E2775" s="7" t="s">
        <v>11837</v>
      </c>
      <c r="F2775" s="7" t="s">
        <v>10272</v>
      </c>
      <c r="G2775" s="7" t="s">
        <v>19352</v>
      </c>
      <c r="H2775" s="7" t="s">
        <v>19353</v>
      </c>
      <c r="I2775" s="119">
        <v>45931.0</v>
      </c>
      <c r="K2775" s="7" t="s">
        <v>8491</v>
      </c>
      <c r="L2775" s="7" t="s">
        <v>991</v>
      </c>
      <c r="M2775" s="7" t="s">
        <v>3531</v>
      </c>
      <c r="N2775" s="7" t="s">
        <v>8492</v>
      </c>
      <c r="O2775" s="7" t="s">
        <v>8493</v>
      </c>
      <c r="P2775" s="7" t="s">
        <v>3493</v>
      </c>
      <c r="Q2775" s="7">
        <v>1.0</v>
      </c>
    </row>
    <row r="2776">
      <c r="A2776" s="7" t="s">
        <v>19354</v>
      </c>
      <c r="B2776" s="7">
        <v>3001026.0</v>
      </c>
      <c r="C2776" s="7" t="s">
        <v>12221</v>
      </c>
      <c r="D2776" s="7" t="s">
        <v>19355</v>
      </c>
      <c r="E2776" s="7" t="s">
        <v>12223</v>
      </c>
      <c r="F2776" s="7" t="s">
        <v>19356</v>
      </c>
      <c r="G2776" s="7" t="s">
        <v>19357</v>
      </c>
      <c r="H2776" s="7" t="s">
        <v>19358</v>
      </c>
      <c r="I2776" s="119">
        <v>45931.0</v>
      </c>
      <c r="K2776" s="7" t="s">
        <v>419</v>
      </c>
      <c r="L2776" s="7" t="s">
        <v>991</v>
      </c>
      <c r="M2776" s="7" t="s">
        <v>3501</v>
      </c>
      <c r="N2776" s="7" t="s">
        <v>15934</v>
      </c>
      <c r="O2776" s="7" t="s">
        <v>19359</v>
      </c>
      <c r="P2776" s="7" t="s">
        <v>3493</v>
      </c>
      <c r="Q2776" s="7">
        <v>1.0</v>
      </c>
    </row>
    <row r="2777">
      <c r="A2777" s="7" t="s">
        <v>19360</v>
      </c>
      <c r="B2777" s="7">
        <v>3001137.0</v>
      </c>
      <c r="C2777" s="7" t="s">
        <v>19361</v>
      </c>
      <c r="D2777" s="7" t="s">
        <v>19362</v>
      </c>
      <c r="E2777" s="7" t="s">
        <v>19363</v>
      </c>
      <c r="F2777" s="7" t="s">
        <v>6811</v>
      </c>
      <c r="G2777" s="7" t="s">
        <v>19364</v>
      </c>
      <c r="H2777" s="7" t="s">
        <v>19365</v>
      </c>
      <c r="I2777" s="119">
        <v>45931.0</v>
      </c>
      <c r="K2777" s="7" t="s">
        <v>3489</v>
      </c>
      <c r="L2777" s="7" t="s">
        <v>991</v>
      </c>
      <c r="M2777" s="7" t="s">
        <v>3490</v>
      </c>
      <c r="N2777" s="7" t="s">
        <v>3491</v>
      </c>
      <c r="O2777" s="7" t="s">
        <v>3492</v>
      </c>
      <c r="P2777" s="7" t="s">
        <v>3493</v>
      </c>
      <c r="Q2777" s="7">
        <v>1.0</v>
      </c>
    </row>
    <row r="2778">
      <c r="A2778" s="7" t="s">
        <v>19366</v>
      </c>
      <c r="B2778" s="7">
        <v>3001168.0</v>
      </c>
      <c r="C2778" s="7" t="s">
        <v>12453</v>
      </c>
      <c r="D2778" s="7" t="s">
        <v>19367</v>
      </c>
      <c r="E2778" s="7" t="s">
        <v>12454</v>
      </c>
      <c r="F2778" s="7" t="s">
        <v>19368</v>
      </c>
      <c r="G2778" s="7" t="s">
        <v>19369</v>
      </c>
      <c r="H2778" s="7" t="s">
        <v>19370</v>
      </c>
      <c r="I2778" s="119">
        <v>45931.0</v>
      </c>
      <c r="K2778" s="7" t="s">
        <v>419</v>
      </c>
      <c r="L2778" s="7" t="s">
        <v>991</v>
      </c>
      <c r="M2778" s="7" t="s">
        <v>3531</v>
      </c>
      <c r="N2778" s="7" t="s">
        <v>4096</v>
      </c>
      <c r="O2778" s="7" t="s">
        <v>4097</v>
      </c>
      <c r="P2778" s="7" t="s">
        <v>3493</v>
      </c>
      <c r="Q2778" s="7">
        <v>1.0</v>
      </c>
    </row>
    <row r="2779">
      <c r="A2779" s="7" t="s">
        <v>19371</v>
      </c>
      <c r="B2779" s="7">
        <v>3001169.0</v>
      </c>
      <c r="C2779" s="7" t="s">
        <v>19372</v>
      </c>
      <c r="D2779" s="7" t="s">
        <v>17626</v>
      </c>
      <c r="E2779" s="7" t="s">
        <v>19373</v>
      </c>
      <c r="F2779" s="7" t="s">
        <v>17627</v>
      </c>
      <c r="G2779" s="7" t="s">
        <v>19374</v>
      </c>
      <c r="H2779" s="7" t="s">
        <v>19375</v>
      </c>
      <c r="I2779" s="119">
        <v>45931.0</v>
      </c>
      <c r="K2779" s="7" t="s">
        <v>419</v>
      </c>
      <c r="L2779" s="7" t="s">
        <v>991</v>
      </c>
      <c r="M2779" s="7" t="s">
        <v>3531</v>
      </c>
      <c r="N2779" s="7" t="s">
        <v>7172</v>
      </c>
      <c r="O2779" s="7" t="s">
        <v>16907</v>
      </c>
      <c r="P2779" s="7" t="s">
        <v>3493</v>
      </c>
      <c r="Q2779" s="7">
        <v>1.0</v>
      </c>
    </row>
    <row r="2780">
      <c r="A2780" s="7" t="s">
        <v>19376</v>
      </c>
      <c r="B2780" s="7">
        <v>3001167.0</v>
      </c>
      <c r="C2780" s="7" t="s">
        <v>13113</v>
      </c>
      <c r="D2780" s="7" t="s">
        <v>18912</v>
      </c>
      <c r="E2780" s="7" t="s">
        <v>13115</v>
      </c>
      <c r="F2780" s="7" t="s">
        <v>6101</v>
      </c>
      <c r="G2780" s="7" t="s">
        <v>19377</v>
      </c>
      <c r="H2780" s="7" t="s">
        <v>19378</v>
      </c>
      <c r="I2780" s="119">
        <v>45931.0</v>
      </c>
      <c r="K2780" s="7" t="s">
        <v>419</v>
      </c>
      <c r="L2780" s="7" t="s">
        <v>991</v>
      </c>
      <c r="M2780" s="7" t="s">
        <v>3531</v>
      </c>
      <c r="N2780" s="7" t="s">
        <v>4168</v>
      </c>
      <c r="O2780" s="7" t="s">
        <v>4169</v>
      </c>
      <c r="P2780" s="7" t="s">
        <v>3493</v>
      </c>
      <c r="Q2780" s="7">
        <v>1.0</v>
      </c>
    </row>
    <row r="2781">
      <c r="A2781" s="7" t="s">
        <v>19379</v>
      </c>
      <c r="B2781" s="7">
        <v>3000967.0</v>
      </c>
      <c r="C2781" s="7" t="s">
        <v>13331</v>
      </c>
      <c r="D2781" s="7" t="s">
        <v>19380</v>
      </c>
      <c r="E2781" s="7" t="s">
        <v>13333</v>
      </c>
      <c r="F2781" s="7" t="s">
        <v>19381</v>
      </c>
      <c r="G2781" s="7" t="s">
        <v>19382</v>
      </c>
      <c r="H2781" s="7" t="s">
        <v>19383</v>
      </c>
      <c r="I2781" s="119">
        <v>45931.0</v>
      </c>
      <c r="K2781" s="7" t="s">
        <v>419</v>
      </c>
      <c r="L2781" s="7" t="s">
        <v>991</v>
      </c>
      <c r="M2781" s="7" t="s">
        <v>3501</v>
      </c>
      <c r="N2781" s="7" t="s">
        <v>6386</v>
      </c>
      <c r="O2781" s="7" t="s">
        <v>6387</v>
      </c>
      <c r="P2781" s="7" t="s">
        <v>3493</v>
      </c>
      <c r="Q2781" s="7">
        <v>1.0</v>
      </c>
    </row>
    <row r="2782">
      <c r="A2782" s="7" t="s">
        <v>19384</v>
      </c>
      <c r="B2782" s="7">
        <v>3001139.0</v>
      </c>
      <c r="C2782" s="7" t="s">
        <v>16579</v>
      </c>
      <c r="D2782" s="7" t="s">
        <v>8186</v>
      </c>
      <c r="E2782" s="7" t="s">
        <v>19385</v>
      </c>
      <c r="F2782" s="7" t="s">
        <v>3874</v>
      </c>
      <c r="G2782" s="7" t="s">
        <v>19386</v>
      </c>
      <c r="H2782" s="7" t="s">
        <v>19387</v>
      </c>
      <c r="I2782" s="119">
        <v>45931.0</v>
      </c>
      <c r="K2782" s="7" t="s">
        <v>419</v>
      </c>
      <c r="L2782" s="7" t="s">
        <v>991</v>
      </c>
      <c r="M2782" s="7" t="s">
        <v>3531</v>
      </c>
      <c r="N2782" s="7" t="s">
        <v>4256</v>
      </c>
      <c r="O2782" s="7" t="s">
        <v>4257</v>
      </c>
      <c r="P2782" s="7" t="s">
        <v>3493</v>
      </c>
      <c r="Q2782" s="7">
        <v>1.0</v>
      </c>
    </row>
    <row r="2783">
      <c r="A2783" s="7" t="s">
        <v>19388</v>
      </c>
      <c r="B2783" s="7">
        <v>3001140.0</v>
      </c>
      <c r="C2783" s="7" t="s">
        <v>19389</v>
      </c>
      <c r="D2783" s="7" t="s">
        <v>7733</v>
      </c>
      <c r="E2783" s="7" t="s">
        <v>19390</v>
      </c>
      <c r="F2783" s="7" t="s">
        <v>5514</v>
      </c>
      <c r="G2783" s="7" t="s">
        <v>19391</v>
      </c>
      <c r="H2783" s="7" t="s">
        <v>19392</v>
      </c>
      <c r="I2783" s="119">
        <v>45931.0</v>
      </c>
      <c r="K2783" s="7" t="s">
        <v>419</v>
      </c>
      <c r="L2783" s="7" t="s">
        <v>991</v>
      </c>
      <c r="M2783" s="7" t="s">
        <v>3531</v>
      </c>
      <c r="N2783" s="7" t="s">
        <v>4444</v>
      </c>
      <c r="O2783" s="7" t="s">
        <v>4445</v>
      </c>
      <c r="P2783" s="7" t="s">
        <v>3493</v>
      </c>
      <c r="Q2783" s="7">
        <v>1.0</v>
      </c>
    </row>
    <row r="2784">
      <c r="A2784" s="7" t="s">
        <v>19393</v>
      </c>
      <c r="B2784" s="7">
        <v>3001023.0</v>
      </c>
      <c r="C2784" s="7" t="s">
        <v>13672</v>
      </c>
      <c r="D2784" s="7" t="s">
        <v>19394</v>
      </c>
      <c r="E2784" s="7" t="s">
        <v>13674</v>
      </c>
      <c r="F2784" s="7" t="s">
        <v>19395</v>
      </c>
      <c r="G2784" s="7" t="s">
        <v>19396</v>
      </c>
      <c r="H2784" s="7" t="s">
        <v>19397</v>
      </c>
      <c r="I2784" s="119">
        <v>45931.0</v>
      </c>
      <c r="K2784" s="7" t="s">
        <v>419</v>
      </c>
      <c r="L2784" s="7" t="s">
        <v>991</v>
      </c>
      <c r="M2784" s="7" t="s">
        <v>3501</v>
      </c>
      <c r="N2784" s="7" t="s">
        <v>4733</v>
      </c>
      <c r="O2784" s="7" t="s">
        <v>4734</v>
      </c>
      <c r="P2784" s="7" t="s">
        <v>3493</v>
      </c>
      <c r="Q2784" s="7">
        <v>1.0</v>
      </c>
    </row>
    <row r="2785">
      <c r="A2785" s="7" t="s">
        <v>19398</v>
      </c>
      <c r="B2785" s="7">
        <v>3001156.0</v>
      </c>
      <c r="C2785" s="7" t="s">
        <v>13873</v>
      </c>
      <c r="D2785" s="7" t="s">
        <v>19399</v>
      </c>
      <c r="E2785" s="7" t="s">
        <v>13875</v>
      </c>
      <c r="F2785" s="7" t="s">
        <v>4271</v>
      </c>
      <c r="G2785" s="7" t="s">
        <v>19400</v>
      </c>
      <c r="H2785" s="7" t="s">
        <v>19401</v>
      </c>
      <c r="I2785" s="119">
        <v>45931.0</v>
      </c>
      <c r="K2785" s="7" t="s">
        <v>3642</v>
      </c>
      <c r="L2785" s="7" t="s">
        <v>991</v>
      </c>
      <c r="M2785" s="7" t="s">
        <v>3501</v>
      </c>
      <c r="N2785" s="7" t="s">
        <v>3643</v>
      </c>
      <c r="O2785" s="7" t="s">
        <v>3644</v>
      </c>
      <c r="P2785" s="7" t="s">
        <v>3493</v>
      </c>
      <c r="Q2785" s="7">
        <v>1.0</v>
      </c>
    </row>
    <row r="2786">
      <c r="A2786" s="7" t="s">
        <v>19402</v>
      </c>
      <c r="B2786" s="7">
        <v>3001106.0</v>
      </c>
      <c r="C2786" s="7" t="s">
        <v>13898</v>
      </c>
      <c r="D2786" s="7" t="s">
        <v>19403</v>
      </c>
      <c r="E2786" s="7" t="s">
        <v>13900</v>
      </c>
      <c r="F2786" s="7" t="s">
        <v>7477</v>
      </c>
      <c r="G2786" s="7" t="s">
        <v>19404</v>
      </c>
      <c r="H2786" s="7" t="s">
        <v>19405</v>
      </c>
      <c r="I2786" s="119">
        <v>45931.0</v>
      </c>
      <c r="K2786" s="7" t="s">
        <v>419</v>
      </c>
      <c r="L2786" s="7" t="s">
        <v>991</v>
      </c>
      <c r="M2786" s="7" t="s">
        <v>3866</v>
      </c>
      <c r="N2786" s="7" t="s">
        <v>16327</v>
      </c>
      <c r="O2786" s="7" t="s">
        <v>19406</v>
      </c>
      <c r="P2786" s="7" t="s">
        <v>3522</v>
      </c>
      <c r="Q2786" s="7" t="s">
        <v>3523</v>
      </c>
    </row>
    <row r="2787">
      <c r="A2787" s="7" t="s">
        <v>19407</v>
      </c>
      <c r="B2787" s="7">
        <v>3001171.0</v>
      </c>
      <c r="C2787" s="7" t="s">
        <v>14210</v>
      </c>
      <c r="D2787" s="7" t="s">
        <v>19408</v>
      </c>
      <c r="E2787" s="7" t="s">
        <v>6499</v>
      </c>
      <c r="F2787" s="7" t="s">
        <v>19409</v>
      </c>
      <c r="G2787" s="7" t="s">
        <v>19410</v>
      </c>
      <c r="H2787" s="7" t="s">
        <v>19411</v>
      </c>
      <c r="I2787" s="119">
        <v>45931.0</v>
      </c>
      <c r="K2787" s="7" t="s">
        <v>419</v>
      </c>
      <c r="L2787" s="7" t="s">
        <v>991</v>
      </c>
      <c r="M2787" s="7" t="s">
        <v>3531</v>
      </c>
      <c r="N2787" s="7" t="s">
        <v>4168</v>
      </c>
      <c r="O2787" s="7" t="s">
        <v>4169</v>
      </c>
      <c r="P2787" s="7" t="s">
        <v>3493</v>
      </c>
      <c r="Q2787" s="7">
        <v>1.0</v>
      </c>
    </row>
    <row r="2788">
      <c r="A2788" s="7" t="s">
        <v>19412</v>
      </c>
      <c r="B2788" s="7">
        <v>3001154.0</v>
      </c>
      <c r="C2788" s="7" t="s">
        <v>19413</v>
      </c>
      <c r="D2788" s="7" t="s">
        <v>19414</v>
      </c>
      <c r="E2788" s="7" t="s">
        <v>19415</v>
      </c>
      <c r="F2788" s="7" t="s">
        <v>19416</v>
      </c>
      <c r="G2788" s="7" t="s">
        <v>19417</v>
      </c>
      <c r="H2788" s="7" t="s">
        <v>19418</v>
      </c>
      <c r="I2788" s="119">
        <v>45931.0</v>
      </c>
      <c r="K2788" s="7" t="s">
        <v>3642</v>
      </c>
      <c r="L2788" s="7" t="s">
        <v>991</v>
      </c>
      <c r="M2788" s="7" t="s">
        <v>3583</v>
      </c>
      <c r="N2788" s="7" t="s">
        <v>3643</v>
      </c>
      <c r="O2788" s="7" t="s">
        <v>3644</v>
      </c>
      <c r="P2788" s="7" t="s">
        <v>3493</v>
      </c>
      <c r="Q2788" s="7">
        <v>1.0</v>
      </c>
    </row>
    <row r="2789">
      <c r="A2789" s="7" t="s">
        <v>19419</v>
      </c>
      <c r="B2789" s="7">
        <v>3001131.0</v>
      </c>
      <c r="C2789" s="7" t="s">
        <v>14392</v>
      </c>
      <c r="D2789" s="7" t="s">
        <v>19420</v>
      </c>
      <c r="E2789" s="7" t="s">
        <v>14394</v>
      </c>
      <c r="F2789" s="7" t="s">
        <v>4478</v>
      </c>
      <c r="G2789" s="7" t="s">
        <v>19421</v>
      </c>
      <c r="H2789" s="7" t="s">
        <v>19422</v>
      </c>
      <c r="I2789" s="119">
        <v>45931.0</v>
      </c>
      <c r="K2789" s="7" t="s">
        <v>419</v>
      </c>
      <c r="L2789" s="7" t="s">
        <v>991</v>
      </c>
      <c r="M2789" s="7" t="s">
        <v>3866</v>
      </c>
      <c r="N2789" s="7" t="s">
        <v>16327</v>
      </c>
      <c r="O2789" s="7" t="s">
        <v>19423</v>
      </c>
      <c r="P2789" s="7" t="s">
        <v>3522</v>
      </c>
      <c r="Q2789" s="7" t="s">
        <v>3523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3465</v>
      </c>
      <c r="B1" s="120" t="s">
        <v>3466</v>
      </c>
      <c r="C1" s="120" t="s">
        <v>3467</v>
      </c>
      <c r="D1" s="120" t="s">
        <v>3468</v>
      </c>
      <c r="E1" s="120" t="s">
        <v>3469</v>
      </c>
      <c r="F1" s="120" t="s">
        <v>3470</v>
      </c>
      <c r="G1" s="120" t="s">
        <v>3471</v>
      </c>
      <c r="H1" s="120" t="s">
        <v>3472</v>
      </c>
      <c r="I1" s="120" t="s">
        <v>3473</v>
      </c>
      <c r="J1" s="120" t="s">
        <v>3474</v>
      </c>
      <c r="K1" s="120" t="s">
        <v>3475</v>
      </c>
      <c r="L1" s="120" t="s">
        <v>3476</v>
      </c>
      <c r="M1" s="120" t="s">
        <v>3477</v>
      </c>
      <c r="N1" s="120" t="s">
        <v>19424</v>
      </c>
      <c r="O1" s="120" t="s">
        <v>19425</v>
      </c>
      <c r="P1" s="120" t="s">
        <v>19426</v>
      </c>
      <c r="Q1" s="120" t="s">
        <v>19427</v>
      </c>
      <c r="R1" s="120" t="s">
        <v>19428</v>
      </c>
      <c r="S1" s="120" t="s">
        <v>19429</v>
      </c>
      <c r="T1" s="120" t="s">
        <v>3479</v>
      </c>
      <c r="U1" s="120" t="s">
        <v>3480</v>
      </c>
      <c r="V1" s="120" t="s">
        <v>3481</v>
      </c>
    </row>
    <row r="2">
      <c r="A2" s="30" t="s">
        <v>2111</v>
      </c>
      <c r="B2" s="121">
        <v>554.0</v>
      </c>
      <c r="C2" s="30" t="s">
        <v>3535</v>
      </c>
      <c r="D2" s="30" t="s">
        <v>3548</v>
      </c>
      <c r="E2" s="30" t="s">
        <v>3537</v>
      </c>
      <c r="F2" s="30" t="s">
        <v>3549</v>
      </c>
      <c r="G2" s="30" t="s">
        <v>3550</v>
      </c>
      <c r="H2" s="30" t="s">
        <v>3551</v>
      </c>
      <c r="I2" s="122">
        <v>45292.0</v>
      </c>
      <c r="J2" s="30"/>
      <c r="K2" s="30" t="s">
        <v>419</v>
      </c>
      <c r="L2" s="30" t="s">
        <v>991</v>
      </c>
      <c r="M2" s="30" t="s">
        <v>3501</v>
      </c>
      <c r="N2" s="30" t="s">
        <v>419</v>
      </c>
      <c r="O2" s="30" t="s">
        <v>19430</v>
      </c>
      <c r="P2" s="30" t="s">
        <v>717</v>
      </c>
      <c r="Q2" s="30" t="s">
        <v>223</v>
      </c>
      <c r="R2" s="30"/>
      <c r="S2" s="30"/>
      <c r="T2" s="30" t="s">
        <v>19431</v>
      </c>
      <c r="U2" s="30" t="s">
        <v>5585</v>
      </c>
      <c r="V2" s="121">
        <v>1.0</v>
      </c>
    </row>
    <row r="3">
      <c r="A3" s="30" t="s">
        <v>2142</v>
      </c>
      <c r="B3" s="121">
        <v>1283.0</v>
      </c>
      <c r="C3" s="30" t="s">
        <v>3678</v>
      </c>
      <c r="D3" s="30" t="s">
        <v>3679</v>
      </c>
      <c r="E3" s="30" t="s">
        <v>3680</v>
      </c>
      <c r="F3" s="30" t="s">
        <v>3681</v>
      </c>
      <c r="G3" s="30" t="s">
        <v>3682</v>
      </c>
      <c r="H3" s="30" t="s">
        <v>3683</v>
      </c>
      <c r="I3" s="122">
        <v>45292.0</v>
      </c>
      <c r="J3" s="30"/>
      <c r="K3" s="30" t="s">
        <v>419</v>
      </c>
      <c r="L3" s="30" t="s">
        <v>991</v>
      </c>
      <c r="M3" s="30" t="s">
        <v>3501</v>
      </c>
      <c r="N3" s="30" t="s">
        <v>419</v>
      </c>
      <c r="O3" s="30" t="s">
        <v>19432</v>
      </c>
      <c r="P3" s="30" t="s">
        <v>298</v>
      </c>
      <c r="Q3" s="30" t="s">
        <v>1284</v>
      </c>
      <c r="R3" s="30"/>
      <c r="S3" s="30"/>
      <c r="T3" s="30" t="s">
        <v>15811</v>
      </c>
      <c r="U3" s="30" t="s">
        <v>5585</v>
      </c>
      <c r="V3" s="121">
        <v>1.0</v>
      </c>
    </row>
    <row r="4">
      <c r="A4" s="30" t="s">
        <v>2246</v>
      </c>
      <c r="B4" s="121">
        <v>12418.0</v>
      </c>
      <c r="C4" s="30" t="s">
        <v>4387</v>
      </c>
      <c r="D4" s="30" t="s">
        <v>4402</v>
      </c>
      <c r="E4" s="30" t="s">
        <v>4389</v>
      </c>
      <c r="F4" s="30" t="s">
        <v>4203</v>
      </c>
      <c r="G4" s="30" t="s">
        <v>4403</v>
      </c>
      <c r="H4" s="30" t="s">
        <v>4404</v>
      </c>
      <c r="I4" s="122">
        <v>45292.0</v>
      </c>
      <c r="J4" s="30"/>
      <c r="K4" s="30" t="s">
        <v>4405</v>
      </c>
      <c r="L4" s="30" t="s">
        <v>4406</v>
      </c>
      <c r="M4" s="30" t="s">
        <v>4407</v>
      </c>
      <c r="N4" s="30" t="s">
        <v>419</v>
      </c>
      <c r="O4" s="30" t="s">
        <v>19433</v>
      </c>
      <c r="P4" s="30" t="s">
        <v>648</v>
      </c>
      <c r="Q4" s="30" t="s">
        <v>651</v>
      </c>
      <c r="R4" s="30"/>
      <c r="S4" s="30"/>
      <c r="T4" s="30" t="s">
        <v>4914</v>
      </c>
      <c r="U4" s="30" t="s">
        <v>5585</v>
      </c>
      <c r="V4" s="121">
        <v>1.0</v>
      </c>
    </row>
    <row r="5">
      <c r="A5" s="30" t="s">
        <v>19434</v>
      </c>
      <c r="B5" s="121">
        <v>13649.0</v>
      </c>
      <c r="C5" s="30" t="s">
        <v>4781</v>
      </c>
      <c r="D5" s="30" t="s">
        <v>4782</v>
      </c>
      <c r="E5" s="30" t="s">
        <v>4783</v>
      </c>
      <c r="F5" s="30" t="s">
        <v>4782</v>
      </c>
      <c r="G5" s="30" t="s">
        <v>4784</v>
      </c>
      <c r="H5" s="30" t="s">
        <v>4785</v>
      </c>
      <c r="I5" s="122">
        <v>45292.0</v>
      </c>
      <c r="J5" s="30"/>
      <c r="K5" s="30" t="s">
        <v>3632</v>
      </c>
      <c r="L5" s="30" t="s">
        <v>991</v>
      </c>
      <c r="M5" s="30" t="s">
        <v>3501</v>
      </c>
      <c r="N5" s="30" t="s">
        <v>3632</v>
      </c>
      <c r="O5" s="30" t="s">
        <v>3632</v>
      </c>
      <c r="P5" s="30" t="s">
        <v>625</v>
      </c>
      <c r="Q5" s="30" t="s">
        <v>124</v>
      </c>
      <c r="R5" s="30"/>
      <c r="S5" s="30"/>
      <c r="T5" s="30" t="s">
        <v>19435</v>
      </c>
      <c r="U5" s="30" t="s">
        <v>5585</v>
      </c>
      <c r="V5" s="121">
        <v>1.0</v>
      </c>
    </row>
    <row r="6">
      <c r="A6" s="30" t="s">
        <v>2298</v>
      </c>
      <c r="B6" s="121">
        <v>14010.0</v>
      </c>
      <c r="C6" s="30" t="s">
        <v>4806</v>
      </c>
      <c r="D6" s="30" t="s">
        <v>4813</v>
      </c>
      <c r="E6" s="30" t="s">
        <v>4807</v>
      </c>
      <c r="F6" s="30" t="s">
        <v>4814</v>
      </c>
      <c r="G6" s="30" t="s">
        <v>4815</v>
      </c>
      <c r="H6" s="30" t="s">
        <v>4816</v>
      </c>
      <c r="I6" s="122">
        <v>45292.0</v>
      </c>
      <c r="J6" s="30"/>
      <c r="K6" s="30" t="s">
        <v>4817</v>
      </c>
      <c r="L6" s="30" t="s">
        <v>4406</v>
      </c>
      <c r="M6" s="30" t="s">
        <v>4407</v>
      </c>
      <c r="N6" s="30" t="s">
        <v>419</v>
      </c>
      <c r="O6" s="30" t="s">
        <v>19433</v>
      </c>
      <c r="P6" s="30" t="s">
        <v>648</v>
      </c>
      <c r="Q6" s="30" t="s">
        <v>141</v>
      </c>
      <c r="R6" s="30"/>
      <c r="S6" s="30"/>
      <c r="T6" s="30" t="s">
        <v>4500</v>
      </c>
      <c r="U6" s="30" t="s">
        <v>6078</v>
      </c>
      <c r="V6" s="121">
        <v>1.0</v>
      </c>
    </row>
    <row r="7">
      <c r="A7" s="30" t="s">
        <v>2200</v>
      </c>
      <c r="B7" s="121">
        <v>2200076.0</v>
      </c>
      <c r="C7" s="30" t="s">
        <v>5004</v>
      </c>
      <c r="D7" s="30" t="s">
        <v>5005</v>
      </c>
      <c r="E7" s="30" t="s">
        <v>5006</v>
      </c>
      <c r="F7" s="30" t="s">
        <v>5007</v>
      </c>
      <c r="G7" s="30" t="s">
        <v>5008</v>
      </c>
      <c r="H7" s="30" t="s">
        <v>5009</v>
      </c>
      <c r="I7" s="122">
        <v>45292.0</v>
      </c>
      <c r="J7" s="30"/>
      <c r="K7" s="30" t="s">
        <v>5010</v>
      </c>
      <c r="L7" s="30" t="s">
        <v>5011</v>
      </c>
      <c r="M7" s="30" t="s">
        <v>5012</v>
      </c>
      <c r="N7" s="30" t="s">
        <v>419</v>
      </c>
      <c r="O7" s="30" t="s">
        <v>19433</v>
      </c>
      <c r="P7" s="30" t="s">
        <v>587</v>
      </c>
      <c r="Q7" s="30" t="s">
        <v>72</v>
      </c>
      <c r="R7" s="30"/>
      <c r="S7" s="30"/>
      <c r="T7" s="30" t="s">
        <v>5706</v>
      </c>
      <c r="U7" s="30" t="s">
        <v>5585</v>
      </c>
      <c r="V7" s="121">
        <v>1.0</v>
      </c>
    </row>
    <row r="8">
      <c r="A8" s="30" t="s">
        <v>2211</v>
      </c>
      <c r="B8" s="121">
        <v>2100468.0</v>
      </c>
      <c r="C8" s="30" t="s">
        <v>5577</v>
      </c>
      <c r="D8" s="30" t="s">
        <v>5578</v>
      </c>
      <c r="E8" s="30" t="s">
        <v>5579</v>
      </c>
      <c r="F8" s="30" t="s">
        <v>5580</v>
      </c>
      <c r="G8" s="30" t="s">
        <v>5581</v>
      </c>
      <c r="H8" s="30" t="s">
        <v>5582</v>
      </c>
      <c r="I8" s="122">
        <v>45292.0</v>
      </c>
      <c r="J8" s="30"/>
      <c r="K8" s="30" t="s">
        <v>419</v>
      </c>
      <c r="L8" s="30" t="s">
        <v>991</v>
      </c>
      <c r="M8" s="30" t="s">
        <v>3501</v>
      </c>
      <c r="N8" s="30" t="s">
        <v>419</v>
      </c>
      <c r="O8" s="30" t="s">
        <v>19430</v>
      </c>
      <c r="P8" s="30" t="s">
        <v>717</v>
      </c>
      <c r="Q8" s="30" t="s">
        <v>738</v>
      </c>
      <c r="R8" s="30"/>
      <c r="S8" s="30"/>
      <c r="T8" s="30" t="s">
        <v>5584</v>
      </c>
      <c r="U8" s="30" t="s">
        <v>5585</v>
      </c>
      <c r="V8" s="121">
        <v>1.0</v>
      </c>
    </row>
    <row r="9">
      <c r="A9" s="30" t="s">
        <v>2213</v>
      </c>
      <c r="B9" s="121">
        <v>11742.0</v>
      </c>
      <c r="C9" s="30" t="s">
        <v>5830</v>
      </c>
      <c r="D9" s="30" t="s">
        <v>4100</v>
      </c>
      <c r="E9" s="30" t="s">
        <v>5832</v>
      </c>
      <c r="F9" s="30" t="s">
        <v>3486</v>
      </c>
      <c r="G9" s="30" t="s">
        <v>5842</v>
      </c>
      <c r="H9" s="30" t="s">
        <v>5843</v>
      </c>
      <c r="I9" s="122">
        <v>45292.0</v>
      </c>
      <c r="J9" s="30"/>
      <c r="K9" s="30" t="s">
        <v>419</v>
      </c>
      <c r="L9" s="30" t="s">
        <v>991</v>
      </c>
      <c r="M9" s="30" t="s">
        <v>3501</v>
      </c>
      <c r="N9" s="30" t="s">
        <v>419</v>
      </c>
      <c r="O9" s="30" t="s">
        <v>19430</v>
      </c>
      <c r="P9" s="30" t="s">
        <v>717</v>
      </c>
      <c r="Q9" s="30" t="s">
        <v>725</v>
      </c>
      <c r="R9" s="30"/>
      <c r="S9" s="30"/>
      <c r="T9" s="30" t="s">
        <v>19436</v>
      </c>
      <c r="U9" s="30" t="s">
        <v>5585</v>
      </c>
      <c r="V9" s="121">
        <v>1.0</v>
      </c>
    </row>
    <row r="10">
      <c r="A10" s="30" t="s">
        <v>1463</v>
      </c>
      <c r="B10" s="121">
        <v>1165.0</v>
      </c>
      <c r="C10" s="30" t="s">
        <v>6072</v>
      </c>
      <c r="D10" s="30" t="s">
        <v>5626</v>
      </c>
      <c r="E10" s="30" t="s">
        <v>6073</v>
      </c>
      <c r="F10" s="30" t="s">
        <v>5627</v>
      </c>
      <c r="G10" s="30" t="s">
        <v>6074</v>
      </c>
      <c r="H10" s="30" t="s">
        <v>6075</v>
      </c>
      <c r="I10" s="122">
        <v>45292.0</v>
      </c>
      <c r="J10" s="30"/>
      <c r="K10" s="30" t="s">
        <v>419</v>
      </c>
      <c r="L10" s="30" t="s">
        <v>991</v>
      </c>
      <c r="M10" s="30" t="s">
        <v>3501</v>
      </c>
      <c r="N10" s="30" t="s">
        <v>419</v>
      </c>
      <c r="O10" s="30" t="s">
        <v>19432</v>
      </c>
      <c r="P10" s="30" t="s">
        <v>693</v>
      </c>
      <c r="Q10" s="30" t="s">
        <v>698</v>
      </c>
      <c r="R10" s="30"/>
      <c r="S10" s="30"/>
      <c r="T10" s="30" t="s">
        <v>6077</v>
      </c>
      <c r="U10" s="30" t="s">
        <v>6078</v>
      </c>
      <c r="V10" s="121">
        <v>1.0</v>
      </c>
    </row>
    <row r="11">
      <c r="A11" s="30" t="s">
        <v>2259</v>
      </c>
      <c r="B11" s="121">
        <v>743.0</v>
      </c>
      <c r="C11" s="30" t="s">
        <v>6405</v>
      </c>
      <c r="D11" s="30" t="s">
        <v>6461</v>
      </c>
      <c r="E11" s="30" t="s">
        <v>6407</v>
      </c>
      <c r="F11" s="30" t="s">
        <v>6462</v>
      </c>
      <c r="G11" s="30" t="s">
        <v>6463</v>
      </c>
      <c r="H11" s="30" t="s">
        <v>6464</v>
      </c>
      <c r="I11" s="122">
        <v>45292.0</v>
      </c>
      <c r="J11" s="30"/>
      <c r="K11" s="30" t="s">
        <v>419</v>
      </c>
      <c r="L11" s="30" t="s">
        <v>991</v>
      </c>
      <c r="M11" s="30" t="s">
        <v>3501</v>
      </c>
      <c r="N11" s="30" t="s">
        <v>419</v>
      </c>
      <c r="O11" s="30" t="s">
        <v>19430</v>
      </c>
      <c r="P11" s="30" t="s">
        <v>854</v>
      </c>
      <c r="Q11" s="30" t="s">
        <v>861</v>
      </c>
      <c r="R11" s="30"/>
      <c r="S11" s="30"/>
      <c r="T11" s="30" t="s">
        <v>4755</v>
      </c>
      <c r="U11" s="30" t="s">
        <v>5585</v>
      </c>
      <c r="V11" s="121">
        <v>1.0</v>
      </c>
    </row>
    <row r="12">
      <c r="A12" s="30" t="s">
        <v>1798</v>
      </c>
      <c r="B12" s="121">
        <v>150.0</v>
      </c>
      <c r="C12" s="30" t="s">
        <v>6405</v>
      </c>
      <c r="D12" s="30" t="s">
        <v>6475</v>
      </c>
      <c r="E12" s="30" t="s">
        <v>6407</v>
      </c>
      <c r="F12" s="30" t="s">
        <v>6476</v>
      </c>
      <c r="G12" s="30" t="s">
        <v>6477</v>
      </c>
      <c r="H12" s="30" t="s">
        <v>6478</v>
      </c>
      <c r="I12" s="122">
        <v>45292.0</v>
      </c>
      <c r="J12" s="30"/>
      <c r="K12" s="30" t="s">
        <v>419</v>
      </c>
      <c r="L12" s="30" t="s">
        <v>991</v>
      </c>
      <c r="M12" s="30" t="s">
        <v>3501</v>
      </c>
      <c r="N12" s="30" t="s">
        <v>419</v>
      </c>
      <c r="O12" s="30" t="s">
        <v>19432</v>
      </c>
      <c r="P12" s="30" t="s">
        <v>298</v>
      </c>
      <c r="Q12" s="30" t="s">
        <v>798</v>
      </c>
      <c r="R12" s="30"/>
      <c r="S12" s="30"/>
      <c r="T12" s="30" t="s">
        <v>5274</v>
      </c>
      <c r="U12" s="30" t="s">
        <v>5585</v>
      </c>
      <c r="V12" s="121">
        <v>1.0</v>
      </c>
    </row>
    <row r="13">
      <c r="A13" s="30" t="s">
        <v>2104</v>
      </c>
      <c r="B13" s="121">
        <v>13975.0</v>
      </c>
      <c r="C13" s="30" t="s">
        <v>6405</v>
      </c>
      <c r="D13" s="30" t="s">
        <v>6503</v>
      </c>
      <c r="E13" s="30" t="s">
        <v>6407</v>
      </c>
      <c r="F13" s="30" t="s">
        <v>6202</v>
      </c>
      <c r="G13" s="30" t="s">
        <v>6504</v>
      </c>
      <c r="H13" s="30" t="s">
        <v>6505</v>
      </c>
      <c r="I13" s="122">
        <v>45292.0</v>
      </c>
      <c r="J13" s="30"/>
      <c r="K13" s="30" t="s">
        <v>419</v>
      </c>
      <c r="L13" s="30" t="s">
        <v>991</v>
      </c>
      <c r="M13" s="30" t="s">
        <v>3501</v>
      </c>
      <c r="N13" s="30" t="s">
        <v>419</v>
      </c>
      <c r="O13" s="30" t="s">
        <v>19437</v>
      </c>
      <c r="P13" s="30" t="s">
        <v>478</v>
      </c>
      <c r="Q13" s="30" t="s">
        <v>482</v>
      </c>
      <c r="R13" s="30"/>
      <c r="S13" s="30"/>
      <c r="T13" s="30" t="s">
        <v>16801</v>
      </c>
      <c r="U13" s="30" t="s">
        <v>5585</v>
      </c>
      <c r="V13" s="121">
        <v>1.0</v>
      </c>
    </row>
    <row r="14">
      <c r="A14" s="30" t="s">
        <v>2232</v>
      </c>
      <c r="B14" s="121">
        <v>13849.0</v>
      </c>
      <c r="C14" s="30" t="s">
        <v>6756</v>
      </c>
      <c r="D14" s="30" t="s">
        <v>6757</v>
      </c>
      <c r="E14" s="30" t="s">
        <v>6758</v>
      </c>
      <c r="F14" s="30" t="s">
        <v>6759</v>
      </c>
      <c r="G14" s="30" t="s">
        <v>6760</v>
      </c>
      <c r="H14" s="30" t="s">
        <v>6761</v>
      </c>
      <c r="I14" s="122">
        <v>45292.0</v>
      </c>
      <c r="J14" s="30"/>
      <c r="K14" s="30" t="s">
        <v>419</v>
      </c>
      <c r="L14" s="30" t="s">
        <v>991</v>
      </c>
      <c r="M14" s="30" t="s">
        <v>3501</v>
      </c>
      <c r="N14" s="30" t="s">
        <v>419</v>
      </c>
      <c r="O14" s="30" t="s">
        <v>19430</v>
      </c>
      <c r="P14" s="30" t="s">
        <v>854</v>
      </c>
      <c r="Q14" s="30" t="s">
        <v>859</v>
      </c>
      <c r="R14" s="30"/>
      <c r="S14" s="30"/>
      <c r="T14" s="30" t="s">
        <v>3821</v>
      </c>
      <c r="U14" s="30" t="s">
        <v>5585</v>
      </c>
      <c r="V14" s="121">
        <v>1.0</v>
      </c>
    </row>
    <row r="15">
      <c r="A15" s="30" t="s">
        <v>2325</v>
      </c>
      <c r="B15" s="121">
        <v>11414.0</v>
      </c>
      <c r="C15" s="30" t="s">
        <v>6785</v>
      </c>
      <c r="D15" s="30" t="s">
        <v>5234</v>
      </c>
      <c r="E15" s="30" t="s">
        <v>6786</v>
      </c>
      <c r="F15" s="30" t="s">
        <v>5312</v>
      </c>
      <c r="G15" s="30" t="s">
        <v>6787</v>
      </c>
      <c r="H15" s="30" t="s">
        <v>6788</v>
      </c>
      <c r="I15" s="122">
        <v>45292.0</v>
      </c>
      <c r="J15" s="30"/>
      <c r="K15" s="30" t="s">
        <v>419</v>
      </c>
      <c r="L15" s="30" t="s">
        <v>991</v>
      </c>
      <c r="M15" s="30" t="s">
        <v>3501</v>
      </c>
      <c r="N15" s="30" t="s">
        <v>419</v>
      </c>
      <c r="O15" s="30" t="s">
        <v>19438</v>
      </c>
      <c r="P15" s="30" t="s">
        <v>19439</v>
      </c>
      <c r="Q15" s="30" t="s">
        <v>475</v>
      </c>
      <c r="R15" s="30"/>
      <c r="S15" s="30"/>
      <c r="T15" s="30" t="s">
        <v>7718</v>
      </c>
      <c r="U15" s="30" t="s">
        <v>5585</v>
      </c>
      <c r="V15" s="121">
        <v>1.0</v>
      </c>
    </row>
    <row r="16">
      <c r="A16" s="30" t="s">
        <v>2156</v>
      </c>
      <c r="B16" s="121">
        <v>10305.0</v>
      </c>
      <c r="C16" s="30" t="s">
        <v>6899</v>
      </c>
      <c r="D16" s="30" t="s">
        <v>6900</v>
      </c>
      <c r="E16" s="30" t="s">
        <v>6901</v>
      </c>
      <c r="F16" s="30" t="s">
        <v>6902</v>
      </c>
      <c r="G16" s="30" t="s">
        <v>6903</v>
      </c>
      <c r="H16" s="30" t="s">
        <v>6904</v>
      </c>
      <c r="I16" s="122">
        <v>45292.0</v>
      </c>
      <c r="J16" s="30"/>
      <c r="K16" s="30" t="s">
        <v>3885</v>
      </c>
      <c r="L16" s="30" t="s">
        <v>3542</v>
      </c>
      <c r="M16" s="30" t="s">
        <v>3543</v>
      </c>
      <c r="N16" s="30" t="s">
        <v>419</v>
      </c>
      <c r="O16" s="30" t="s">
        <v>19433</v>
      </c>
      <c r="P16" s="30" t="s">
        <v>648</v>
      </c>
      <c r="Q16" s="30" t="s">
        <v>148</v>
      </c>
      <c r="R16" s="30"/>
      <c r="S16" s="30"/>
      <c r="T16" s="30" t="s">
        <v>11084</v>
      </c>
      <c r="U16" s="30" t="s">
        <v>6078</v>
      </c>
      <c r="V16" s="121">
        <v>1.0</v>
      </c>
    </row>
    <row r="17">
      <c r="A17" s="30" t="s">
        <v>2119</v>
      </c>
      <c r="B17" s="121">
        <v>1091.0</v>
      </c>
      <c r="C17" s="30" t="s">
        <v>7037</v>
      </c>
      <c r="D17" s="30" t="s">
        <v>3597</v>
      </c>
      <c r="E17" s="30" t="s">
        <v>7033</v>
      </c>
      <c r="F17" s="30" t="s">
        <v>3599</v>
      </c>
      <c r="G17" s="30" t="s">
        <v>7053</v>
      </c>
      <c r="H17" s="30" t="s">
        <v>7054</v>
      </c>
      <c r="I17" s="122">
        <v>45292.0</v>
      </c>
      <c r="J17" s="30"/>
      <c r="K17" s="30" t="s">
        <v>419</v>
      </c>
      <c r="L17" s="30" t="s">
        <v>991</v>
      </c>
      <c r="M17" s="30" t="s">
        <v>3501</v>
      </c>
      <c r="N17" s="30" t="s">
        <v>419</v>
      </c>
      <c r="O17" s="30" t="s">
        <v>19437</v>
      </c>
      <c r="P17" s="30" t="s">
        <v>440</v>
      </c>
      <c r="Q17" s="30" t="s">
        <v>441</v>
      </c>
      <c r="R17" s="30"/>
      <c r="S17" s="30"/>
      <c r="T17" s="30" t="s">
        <v>7056</v>
      </c>
      <c r="U17" s="30" t="s">
        <v>5585</v>
      </c>
      <c r="V17" s="121">
        <v>1.0</v>
      </c>
    </row>
    <row r="18">
      <c r="A18" s="30" t="s">
        <v>2293</v>
      </c>
      <c r="B18" s="121">
        <v>11195.0</v>
      </c>
      <c r="C18" s="30" t="s">
        <v>7160</v>
      </c>
      <c r="D18" s="30" t="s">
        <v>7168</v>
      </c>
      <c r="E18" s="30" t="s">
        <v>7162</v>
      </c>
      <c r="F18" s="30" t="s">
        <v>7169</v>
      </c>
      <c r="G18" s="30" t="s">
        <v>7170</v>
      </c>
      <c r="H18" s="30" t="s">
        <v>7171</v>
      </c>
      <c r="I18" s="122">
        <v>45292.0</v>
      </c>
      <c r="J18" s="30"/>
      <c r="K18" s="30" t="s">
        <v>419</v>
      </c>
      <c r="L18" s="30" t="s">
        <v>991</v>
      </c>
      <c r="M18" s="30" t="s">
        <v>3501</v>
      </c>
      <c r="N18" s="30" t="s">
        <v>419</v>
      </c>
      <c r="O18" s="30" t="s">
        <v>19430</v>
      </c>
      <c r="P18" s="30" t="s">
        <v>780</v>
      </c>
      <c r="Q18" s="30" t="s">
        <v>786</v>
      </c>
      <c r="R18" s="30"/>
      <c r="S18" s="30"/>
      <c r="T18" s="30" t="s">
        <v>16907</v>
      </c>
      <c r="U18" s="30" t="s">
        <v>6078</v>
      </c>
      <c r="V18" s="121">
        <v>1.0</v>
      </c>
    </row>
    <row r="19">
      <c r="A19" s="30" t="s">
        <v>2149</v>
      </c>
      <c r="B19" s="121">
        <v>11846.0</v>
      </c>
      <c r="C19" s="30" t="s">
        <v>7563</v>
      </c>
      <c r="D19" s="30" t="s">
        <v>7564</v>
      </c>
      <c r="E19" s="30" t="s">
        <v>7565</v>
      </c>
      <c r="F19" s="30" t="s">
        <v>3692</v>
      </c>
      <c r="G19" s="30" t="s">
        <v>7566</v>
      </c>
      <c r="H19" s="30" t="s">
        <v>7567</v>
      </c>
      <c r="I19" s="122">
        <v>45292.0</v>
      </c>
      <c r="J19" s="30"/>
      <c r="K19" s="30" t="s">
        <v>419</v>
      </c>
      <c r="L19" s="30" t="s">
        <v>991</v>
      </c>
      <c r="M19" s="30" t="s">
        <v>3501</v>
      </c>
      <c r="N19" s="30" t="s">
        <v>419</v>
      </c>
      <c r="O19" s="30" t="s">
        <v>19440</v>
      </c>
      <c r="P19" s="30" t="s">
        <v>613</v>
      </c>
      <c r="Q19" s="30" t="s">
        <v>106</v>
      </c>
      <c r="R19" s="30"/>
      <c r="S19" s="30"/>
      <c r="T19" s="30" t="s">
        <v>19441</v>
      </c>
      <c r="U19" s="30" t="s">
        <v>6078</v>
      </c>
      <c r="V19" s="121">
        <v>1.0</v>
      </c>
    </row>
    <row r="20">
      <c r="A20" s="30" t="s">
        <v>2121</v>
      </c>
      <c r="B20" s="121">
        <v>284.0</v>
      </c>
      <c r="C20" s="30" t="s">
        <v>7626</v>
      </c>
      <c r="D20" s="30" t="s">
        <v>7636</v>
      </c>
      <c r="E20" s="30" t="s">
        <v>7628</v>
      </c>
      <c r="F20" s="30" t="s">
        <v>7637</v>
      </c>
      <c r="G20" s="30" t="s">
        <v>7638</v>
      </c>
      <c r="H20" s="30" t="s">
        <v>7639</v>
      </c>
      <c r="I20" s="122">
        <v>45292.0</v>
      </c>
      <c r="J20" s="30"/>
      <c r="K20" s="30" t="s">
        <v>419</v>
      </c>
      <c r="L20" s="30" t="s">
        <v>991</v>
      </c>
      <c r="M20" s="30" t="s">
        <v>3501</v>
      </c>
      <c r="N20" s="30" t="s">
        <v>419</v>
      </c>
      <c r="O20" s="30" t="s">
        <v>19432</v>
      </c>
      <c r="P20" s="30" t="s">
        <v>391</v>
      </c>
      <c r="Q20" s="30" t="s">
        <v>399</v>
      </c>
      <c r="R20" s="30"/>
      <c r="S20" s="30"/>
      <c r="T20" s="30" t="s">
        <v>8211</v>
      </c>
      <c r="U20" s="30" t="s">
        <v>6078</v>
      </c>
      <c r="V20" s="121">
        <v>1.0</v>
      </c>
    </row>
    <row r="21">
      <c r="A21" s="30" t="s">
        <v>19442</v>
      </c>
      <c r="B21" s="121">
        <v>13663.0</v>
      </c>
      <c r="C21" s="30" t="s">
        <v>7795</v>
      </c>
      <c r="D21" s="30" t="s">
        <v>7816</v>
      </c>
      <c r="E21" s="30" t="s">
        <v>7797</v>
      </c>
      <c r="F21" s="30" t="s">
        <v>4800</v>
      </c>
      <c r="G21" s="30" t="s">
        <v>7817</v>
      </c>
      <c r="H21" s="30" t="s">
        <v>7818</v>
      </c>
      <c r="I21" s="122">
        <v>45292.0</v>
      </c>
      <c r="J21" s="30"/>
      <c r="K21" s="30" t="s">
        <v>3632</v>
      </c>
      <c r="L21" s="30" t="s">
        <v>991</v>
      </c>
      <c r="M21" s="30" t="s">
        <v>3501</v>
      </c>
      <c r="N21" s="30" t="s">
        <v>3632</v>
      </c>
      <c r="O21" s="30" t="s">
        <v>3632</v>
      </c>
      <c r="P21" s="30" t="s">
        <v>22</v>
      </c>
      <c r="Q21" s="30" t="s">
        <v>544</v>
      </c>
      <c r="R21" s="30"/>
      <c r="S21" s="30"/>
      <c r="T21" s="30" t="s">
        <v>7472</v>
      </c>
      <c r="U21" s="30" t="s">
        <v>5585</v>
      </c>
      <c r="V21" s="121">
        <v>1.0</v>
      </c>
    </row>
    <row r="22">
      <c r="A22" s="30" t="s">
        <v>2152</v>
      </c>
      <c r="B22" s="121">
        <v>2100583.0</v>
      </c>
      <c r="C22" s="30" t="s">
        <v>6137</v>
      </c>
      <c r="D22" s="30" t="s">
        <v>7933</v>
      </c>
      <c r="E22" s="30" t="s">
        <v>7924</v>
      </c>
      <c r="F22" s="30" t="s">
        <v>7934</v>
      </c>
      <c r="G22" s="30" t="s">
        <v>7935</v>
      </c>
      <c r="H22" s="30" t="s">
        <v>7936</v>
      </c>
      <c r="I22" s="122">
        <v>45292.0</v>
      </c>
      <c r="J22" s="30"/>
      <c r="K22" s="30" t="s">
        <v>419</v>
      </c>
      <c r="L22" s="30" t="s">
        <v>991</v>
      </c>
      <c r="M22" s="30" t="s">
        <v>3501</v>
      </c>
      <c r="N22" s="30" t="s">
        <v>419</v>
      </c>
      <c r="O22" s="30" t="s">
        <v>19443</v>
      </c>
      <c r="P22" s="30" t="s">
        <v>1242</v>
      </c>
      <c r="Q22" s="30" t="s">
        <v>51</v>
      </c>
      <c r="R22" s="30"/>
      <c r="S22" s="30"/>
      <c r="T22" s="30" t="s">
        <v>19209</v>
      </c>
      <c r="U22" s="30" t="s">
        <v>5585</v>
      </c>
      <c r="V22" s="121">
        <v>1.0</v>
      </c>
    </row>
    <row r="23">
      <c r="A23" s="30" t="s">
        <v>19444</v>
      </c>
      <c r="B23" s="121">
        <v>2300799.0</v>
      </c>
      <c r="C23" s="30" t="s">
        <v>8223</v>
      </c>
      <c r="D23" s="30" t="s">
        <v>8232</v>
      </c>
      <c r="E23" s="30" t="s">
        <v>8225</v>
      </c>
      <c r="F23" s="30" t="s">
        <v>8233</v>
      </c>
      <c r="G23" s="30" t="s">
        <v>8234</v>
      </c>
      <c r="H23" s="30" t="s">
        <v>8235</v>
      </c>
      <c r="I23" s="122">
        <v>45292.0</v>
      </c>
      <c r="J23" s="30"/>
      <c r="K23" s="30" t="s">
        <v>3632</v>
      </c>
      <c r="L23" s="30" t="s">
        <v>991</v>
      </c>
      <c r="M23" s="30" t="s">
        <v>3501</v>
      </c>
      <c r="N23" s="30" t="s">
        <v>3632</v>
      </c>
      <c r="O23" s="30" t="s">
        <v>3632</v>
      </c>
      <c r="P23" s="30" t="s">
        <v>22</v>
      </c>
      <c r="Q23" s="30" t="s">
        <v>552</v>
      </c>
      <c r="R23" s="30"/>
      <c r="S23" s="30"/>
      <c r="T23" s="30" t="s">
        <v>16888</v>
      </c>
      <c r="U23" s="30" t="s">
        <v>5585</v>
      </c>
      <c r="V23" s="121">
        <v>1.0</v>
      </c>
    </row>
    <row r="24">
      <c r="A24" s="30" t="s">
        <v>1947</v>
      </c>
      <c r="B24" s="121">
        <v>2200608.0</v>
      </c>
      <c r="C24" s="30" t="s">
        <v>8253</v>
      </c>
      <c r="D24" s="30" t="s">
        <v>8266</v>
      </c>
      <c r="E24" s="30" t="s">
        <v>8255</v>
      </c>
      <c r="F24" s="30" t="s">
        <v>8267</v>
      </c>
      <c r="G24" s="30" t="s">
        <v>8268</v>
      </c>
      <c r="H24" s="30" t="s">
        <v>8269</v>
      </c>
      <c r="I24" s="122">
        <v>45292.0</v>
      </c>
      <c r="J24" s="30"/>
      <c r="K24" s="30" t="s">
        <v>6124</v>
      </c>
      <c r="L24" s="30" t="s">
        <v>3542</v>
      </c>
      <c r="M24" s="30" t="s">
        <v>3563</v>
      </c>
      <c r="N24" s="30" t="s">
        <v>419</v>
      </c>
      <c r="O24" s="30" t="s">
        <v>19437</v>
      </c>
      <c r="P24" s="30" t="s">
        <v>478</v>
      </c>
      <c r="Q24" s="30" t="s">
        <v>484</v>
      </c>
      <c r="R24" s="30"/>
      <c r="S24" s="30"/>
      <c r="T24" s="30" t="s">
        <v>13410</v>
      </c>
      <c r="U24" s="30" t="s">
        <v>5585</v>
      </c>
      <c r="V24" s="121">
        <v>1.0</v>
      </c>
    </row>
    <row r="25">
      <c r="A25" s="30" t="s">
        <v>2236</v>
      </c>
      <c r="B25" s="121">
        <v>13237.0</v>
      </c>
      <c r="C25" s="30" t="s">
        <v>8429</v>
      </c>
      <c r="D25" s="30" t="s">
        <v>8462</v>
      </c>
      <c r="E25" s="30" t="s">
        <v>8431</v>
      </c>
      <c r="F25" s="30" t="s">
        <v>8463</v>
      </c>
      <c r="G25" s="30" t="s">
        <v>8464</v>
      </c>
      <c r="H25" s="30" t="s">
        <v>8465</v>
      </c>
      <c r="I25" s="122">
        <v>45292.0</v>
      </c>
      <c r="J25" s="30"/>
      <c r="K25" s="30" t="s">
        <v>3885</v>
      </c>
      <c r="L25" s="30" t="s">
        <v>3542</v>
      </c>
      <c r="M25" s="30" t="s">
        <v>3543</v>
      </c>
      <c r="N25" s="30" t="s">
        <v>419</v>
      </c>
      <c r="O25" s="30" t="s">
        <v>19432</v>
      </c>
      <c r="P25" s="30" t="s">
        <v>391</v>
      </c>
      <c r="Q25" s="30" t="s">
        <v>890</v>
      </c>
      <c r="R25" s="30"/>
      <c r="S25" s="30"/>
      <c r="T25" s="30" t="s">
        <v>19445</v>
      </c>
      <c r="U25" s="30" t="s">
        <v>6078</v>
      </c>
      <c r="V25" s="121">
        <v>1.0</v>
      </c>
    </row>
    <row r="26">
      <c r="A26" s="30" t="s">
        <v>2109</v>
      </c>
      <c r="B26" s="121">
        <v>13558.0</v>
      </c>
      <c r="C26" s="30" t="s">
        <v>8687</v>
      </c>
      <c r="D26" s="30" t="s">
        <v>8688</v>
      </c>
      <c r="E26" s="30" t="s">
        <v>8689</v>
      </c>
      <c r="F26" s="30" t="s">
        <v>3748</v>
      </c>
      <c r="G26" s="30" t="s">
        <v>8690</v>
      </c>
      <c r="H26" s="30" t="s">
        <v>8691</v>
      </c>
      <c r="I26" s="122">
        <v>45292.0</v>
      </c>
      <c r="J26" s="30"/>
      <c r="K26" s="30" t="s">
        <v>3632</v>
      </c>
      <c r="L26" s="30" t="s">
        <v>991</v>
      </c>
      <c r="M26" s="30" t="s">
        <v>3501</v>
      </c>
      <c r="N26" s="30" t="s">
        <v>3632</v>
      </c>
      <c r="O26" s="30" t="s">
        <v>3632</v>
      </c>
      <c r="P26" s="30" t="s">
        <v>429</v>
      </c>
      <c r="Q26" s="30" t="s">
        <v>432</v>
      </c>
      <c r="R26" s="30"/>
      <c r="S26" s="30"/>
      <c r="T26" s="30" t="s">
        <v>19446</v>
      </c>
      <c r="U26" s="30" t="s">
        <v>6078</v>
      </c>
      <c r="V26" s="121">
        <v>1.0</v>
      </c>
    </row>
    <row r="27">
      <c r="A27" s="30" t="s">
        <v>2280</v>
      </c>
      <c r="B27" s="121">
        <v>633.0</v>
      </c>
      <c r="C27" s="30" t="s">
        <v>8852</v>
      </c>
      <c r="D27" s="30" t="s">
        <v>8853</v>
      </c>
      <c r="E27" s="30" t="s">
        <v>8854</v>
      </c>
      <c r="F27" s="30" t="s">
        <v>8855</v>
      </c>
      <c r="G27" s="30" t="s">
        <v>8856</v>
      </c>
      <c r="H27" s="30" t="s">
        <v>8857</v>
      </c>
      <c r="I27" s="122">
        <v>45292.0</v>
      </c>
      <c r="J27" s="30"/>
      <c r="K27" s="30" t="s">
        <v>419</v>
      </c>
      <c r="L27" s="30" t="s">
        <v>991</v>
      </c>
      <c r="M27" s="30" t="s">
        <v>3501</v>
      </c>
      <c r="N27" s="30" t="s">
        <v>419</v>
      </c>
      <c r="O27" s="30" t="s">
        <v>19443</v>
      </c>
      <c r="P27" s="30" t="s">
        <v>323</v>
      </c>
      <c r="Q27" s="30" t="s">
        <v>821</v>
      </c>
      <c r="R27" s="30"/>
      <c r="S27" s="30"/>
      <c r="T27" s="30" t="s">
        <v>19447</v>
      </c>
      <c r="U27" s="30" t="s">
        <v>5585</v>
      </c>
      <c r="V27" s="121">
        <v>1.0</v>
      </c>
    </row>
    <row r="28">
      <c r="A28" s="30" t="s">
        <v>2262</v>
      </c>
      <c r="B28" s="121">
        <v>12001.0</v>
      </c>
      <c r="C28" s="30" t="s">
        <v>9040</v>
      </c>
      <c r="D28" s="30" t="s">
        <v>9041</v>
      </c>
      <c r="E28" s="30" t="s">
        <v>9042</v>
      </c>
      <c r="F28" s="30" t="s">
        <v>9043</v>
      </c>
      <c r="G28" s="30" t="s">
        <v>9044</v>
      </c>
      <c r="H28" s="30" t="s">
        <v>9045</v>
      </c>
      <c r="I28" s="122">
        <v>45292.0</v>
      </c>
      <c r="J28" s="30"/>
      <c r="K28" s="30" t="s">
        <v>3541</v>
      </c>
      <c r="L28" s="30" t="s">
        <v>3542</v>
      </c>
      <c r="M28" s="30" t="s">
        <v>3563</v>
      </c>
      <c r="N28" s="30" t="s">
        <v>419</v>
      </c>
      <c r="O28" s="30" t="s">
        <v>19430</v>
      </c>
      <c r="P28" s="30" t="s">
        <v>854</v>
      </c>
      <c r="Q28" s="30" t="s">
        <v>864</v>
      </c>
      <c r="R28" s="30"/>
      <c r="S28" s="30"/>
      <c r="T28" s="30" t="s">
        <v>19448</v>
      </c>
      <c r="U28" s="30" t="s">
        <v>5585</v>
      </c>
      <c r="V28" s="121">
        <v>1.0</v>
      </c>
    </row>
    <row r="29">
      <c r="A29" s="30" t="s">
        <v>2294</v>
      </c>
      <c r="B29" s="121">
        <v>14204.0</v>
      </c>
      <c r="C29" s="30" t="s">
        <v>9131</v>
      </c>
      <c r="D29" s="30" t="s">
        <v>5187</v>
      </c>
      <c r="E29" s="30" t="s">
        <v>9133</v>
      </c>
      <c r="F29" s="30" t="s">
        <v>4511</v>
      </c>
      <c r="G29" s="30" t="s">
        <v>9140</v>
      </c>
      <c r="H29" s="30" t="s">
        <v>9141</v>
      </c>
      <c r="I29" s="122">
        <v>45292.0</v>
      </c>
      <c r="J29" s="30"/>
      <c r="K29" s="30" t="s">
        <v>419</v>
      </c>
      <c r="L29" s="30" t="s">
        <v>991</v>
      </c>
      <c r="M29" s="30" t="s">
        <v>3501</v>
      </c>
      <c r="N29" s="30" t="s">
        <v>419</v>
      </c>
      <c r="O29" s="30" t="s">
        <v>19433</v>
      </c>
      <c r="P29" s="30" t="s">
        <v>648</v>
      </c>
      <c r="Q29" s="30" t="s">
        <v>143</v>
      </c>
      <c r="R29" s="30"/>
      <c r="S29" s="30"/>
      <c r="T29" s="30" t="s">
        <v>19449</v>
      </c>
      <c r="U29" s="30" t="s">
        <v>5585</v>
      </c>
      <c r="V29" s="121">
        <v>1.0</v>
      </c>
    </row>
    <row r="30">
      <c r="A30" s="30" t="s">
        <v>2215</v>
      </c>
      <c r="B30" s="121">
        <v>76.0</v>
      </c>
      <c r="C30" s="30" t="s">
        <v>9270</v>
      </c>
      <c r="D30" s="30" t="s">
        <v>9271</v>
      </c>
      <c r="E30" s="30" t="s">
        <v>9272</v>
      </c>
      <c r="F30" s="30" t="s">
        <v>9273</v>
      </c>
      <c r="G30" s="30" t="s">
        <v>9274</v>
      </c>
      <c r="H30" s="30" t="s">
        <v>9275</v>
      </c>
      <c r="I30" s="122">
        <v>45292.0</v>
      </c>
      <c r="J30" s="30"/>
      <c r="K30" s="30" t="s">
        <v>419</v>
      </c>
      <c r="L30" s="30" t="s">
        <v>991</v>
      </c>
      <c r="M30" s="30" t="s">
        <v>3501</v>
      </c>
      <c r="N30" s="30" t="s">
        <v>419</v>
      </c>
      <c r="O30" s="30" t="s">
        <v>19430</v>
      </c>
      <c r="P30" s="30" t="s">
        <v>717</v>
      </c>
      <c r="Q30" s="30" t="s">
        <v>1163</v>
      </c>
      <c r="R30" s="30"/>
      <c r="S30" s="30"/>
      <c r="T30" s="30" t="s">
        <v>9277</v>
      </c>
      <c r="U30" s="30" t="s">
        <v>5585</v>
      </c>
      <c r="V30" s="121">
        <v>1.0</v>
      </c>
    </row>
    <row r="31">
      <c r="A31" s="30" t="s">
        <v>1467</v>
      </c>
      <c r="B31" s="121">
        <v>40.0</v>
      </c>
      <c r="C31" s="30" t="s">
        <v>9418</v>
      </c>
      <c r="D31" s="30" t="s">
        <v>4672</v>
      </c>
      <c r="E31" s="30" t="s">
        <v>9419</v>
      </c>
      <c r="F31" s="30" t="s">
        <v>4673</v>
      </c>
      <c r="G31" s="30" t="s">
        <v>9420</v>
      </c>
      <c r="H31" s="30" t="s">
        <v>9421</v>
      </c>
      <c r="I31" s="122">
        <v>45292.0</v>
      </c>
      <c r="J31" s="30"/>
      <c r="K31" s="30" t="s">
        <v>419</v>
      </c>
      <c r="L31" s="30" t="s">
        <v>991</v>
      </c>
      <c r="M31" s="30" t="s">
        <v>3501</v>
      </c>
      <c r="N31" s="30" t="s">
        <v>419</v>
      </c>
      <c r="O31" s="30" t="s">
        <v>19443</v>
      </c>
      <c r="P31" s="30" t="s">
        <v>1242</v>
      </c>
      <c r="Q31" s="30" t="s">
        <v>43</v>
      </c>
      <c r="R31" s="30"/>
      <c r="S31" s="30"/>
      <c r="T31" s="30" t="s">
        <v>15052</v>
      </c>
      <c r="U31" s="30" t="s">
        <v>6078</v>
      </c>
      <c r="V31" s="121">
        <v>1.0</v>
      </c>
    </row>
    <row r="32">
      <c r="A32" s="30" t="s">
        <v>2212</v>
      </c>
      <c r="B32" s="121">
        <v>2100038.0</v>
      </c>
      <c r="C32" s="30" t="s">
        <v>9606</v>
      </c>
      <c r="D32" s="30" t="s">
        <v>4100</v>
      </c>
      <c r="E32" s="30" t="s">
        <v>9572</v>
      </c>
      <c r="F32" s="30" t="s">
        <v>3486</v>
      </c>
      <c r="G32" s="30" t="s">
        <v>9618</v>
      </c>
      <c r="H32" s="30" t="s">
        <v>9619</v>
      </c>
      <c r="I32" s="122">
        <v>45292.0</v>
      </c>
      <c r="J32" s="30"/>
      <c r="K32" s="30" t="s">
        <v>419</v>
      </c>
      <c r="L32" s="30" t="s">
        <v>991</v>
      </c>
      <c r="M32" s="30" t="s">
        <v>3501</v>
      </c>
      <c r="N32" s="30" t="s">
        <v>419</v>
      </c>
      <c r="O32" s="30" t="s">
        <v>19430</v>
      </c>
      <c r="P32" s="30" t="s">
        <v>717</v>
      </c>
      <c r="Q32" s="30" t="s">
        <v>722</v>
      </c>
      <c r="R32" s="30"/>
      <c r="S32" s="30"/>
      <c r="T32" s="30" t="s">
        <v>19450</v>
      </c>
      <c r="U32" s="30" t="s">
        <v>5585</v>
      </c>
      <c r="V32" s="121">
        <v>1.0</v>
      </c>
    </row>
    <row r="33">
      <c r="A33" s="30" t="s">
        <v>2144</v>
      </c>
      <c r="B33" s="121">
        <v>10380.0</v>
      </c>
      <c r="C33" s="30" t="s">
        <v>9735</v>
      </c>
      <c r="D33" s="30" t="s">
        <v>5187</v>
      </c>
      <c r="E33" s="30" t="s">
        <v>9736</v>
      </c>
      <c r="F33" s="30" t="s">
        <v>4511</v>
      </c>
      <c r="G33" s="30" t="s">
        <v>9737</v>
      </c>
      <c r="H33" s="30" t="s">
        <v>9738</v>
      </c>
      <c r="I33" s="122">
        <v>45292.0</v>
      </c>
      <c r="J33" s="30"/>
      <c r="K33" s="30" t="s">
        <v>419</v>
      </c>
      <c r="L33" s="30" t="s">
        <v>991</v>
      </c>
      <c r="M33" s="30" t="s">
        <v>3501</v>
      </c>
      <c r="N33" s="30" t="s">
        <v>419</v>
      </c>
      <c r="O33" s="30" t="s">
        <v>19432</v>
      </c>
      <c r="P33" s="30" t="s">
        <v>298</v>
      </c>
      <c r="Q33" s="30" t="s">
        <v>802</v>
      </c>
      <c r="R33" s="30"/>
      <c r="S33" s="30"/>
      <c r="T33" s="30" t="s">
        <v>19451</v>
      </c>
      <c r="U33" s="30" t="s">
        <v>6078</v>
      </c>
      <c r="V33" s="121">
        <v>1.0</v>
      </c>
    </row>
    <row r="34">
      <c r="A34" s="30" t="s">
        <v>2113</v>
      </c>
      <c r="B34" s="121">
        <v>12458.0</v>
      </c>
      <c r="C34" s="30" t="s">
        <v>9991</v>
      </c>
      <c r="D34" s="30" t="s">
        <v>9999</v>
      </c>
      <c r="E34" s="30" t="s">
        <v>9993</v>
      </c>
      <c r="F34" s="30" t="s">
        <v>3549</v>
      </c>
      <c r="G34" s="30" t="s">
        <v>10000</v>
      </c>
      <c r="H34" s="30" t="s">
        <v>10001</v>
      </c>
      <c r="I34" s="122">
        <v>45292.0</v>
      </c>
      <c r="J34" s="30"/>
      <c r="K34" s="30" t="s">
        <v>419</v>
      </c>
      <c r="L34" s="30" t="s">
        <v>991</v>
      </c>
      <c r="M34" s="30" t="s">
        <v>3501</v>
      </c>
      <c r="N34" s="30" t="s">
        <v>419</v>
      </c>
      <c r="O34" s="30" t="s">
        <v>19432</v>
      </c>
      <c r="P34" s="30" t="s">
        <v>693</v>
      </c>
      <c r="Q34" s="30" t="s">
        <v>703</v>
      </c>
      <c r="R34" s="30"/>
      <c r="S34" s="30"/>
      <c r="T34" s="30" t="s">
        <v>19452</v>
      </c>
      <c r="U34" s="30" t="s">
        <v>6078</v>
      </c>
      <c r="V34" s="121">
        <v>1.0</v>
      </c>
    </row>
    <row r="35">
      <c r="A35" s="30" t="s">
        <v>2267</v>
      </c>
      <c r="B35" s="121">
        <v>2300013.0</v>
      </c>
      <c r="C35" s="30" t="s">
        <v>10470</v>
      </c>
      <c r="D35" s="30" t="s">
        <v>10471</v>
      </c>
      <c r="E35" s="30" t="s">
        <v>10472</v>
      </c>
      <c r="F35" s="30" t="s">
        <v>10473</v>
      </c>
      <c r="G35" s="30" t="s">
        <v>10474</v>
      </c>
      <c r="H35" s="30" t="s">
        <v>10475</v>
      </c>
      <c r="I35" s="122">
        <v>45292.0</v>
      </c>
      <c r="J35" s="30"/>
      <c r="K35" s="30" t="s">
        <v>3541</v>
      </c>
      <c r="L35" s="30" t="s">
        <v>3542</v>
      </c>
      <c r="M35" s="30" t="s">
        <v>3563</v>
      </c>
      <c r="N35" s="30" t="s">
        <v>419</v>
      </c>
      <c r="O35" s="30" t="s">
        <v>19437</v>
      </c>
      <c r="P35" s="30" t="s">
        <v>440</v>
      </c>
      <c r="Q35" s="30" t="s">
        <v>19453</v>
      </c>
      <c r="R35" s="30"/>
      <c r="S35" s="30"/>
      <c r="T35" s="30" t="s">
        <v>17630</v>
      </c>
      <c r="U35" s="30" t="s">
        <v>5585</v>
      </c>
      <c r="V35" s="121">
        <v>1.0</v>
      </c>
    </row>
    <row r="36">
      <c r="A36" s="30" t="s">
        <v>2214</v>
      </c>
      <c r="B36" s="121">
        <v>748.0</v>
      </c>
      <c r="C36" s="30" t="s">
        <v>10480</v>
      </c>
      <c r="D36" s="30" t="s">
        <v>10481</v>
      </c>
      <c r="E36" s="30" t="s">
        <v>10482</v>
      </c>
      <c r="F36" s="30" t="s">
        <v>10483</v>
      </c>
      <c r="G36" s="30" t="s">
        <v>10484</v>
      </c>
      <c r="H36" s="30" t="s">
        <v>10485</v>
      </c>
      <c r="I36" s="122">
        <v>45292.0</v>
      </c>
      <c r="J36" s="30"/>
      <c r="K36" s="30" t="s">
        <v>419</v>
      </c>
      <c r="L36" s="30" t="s">
        <v>991</v>
      </c>
      <c r="M36" s="30" t="s">
        <v>3501</v>
      </c>
      <c r="N36" s="30" t="s">
        <v>419</v>
      </c>
      <c r="O36" s="30" t="s">
        <v>19430</v>
      </c>
      <c r="P36" s="30" t="s">
        <v>717</v>
      </c>
      <c r="Q36" s="30" t="s">
        <v>720</v>
      </c>
      <c r="R36" s="30"/>
      <c r="S36" s="30"/>
      <c r="T36" s="30" t="s">
        <v>10486</v>
      </c>
      <c r="U36" s="30" t="s">
        <v>5585</v>
      </c>
      <c r="V36" s="121">
        <v>1.0</v>
      </c>
    </row>
    <row r="37">
      <c r="A37" s="30" t="s">
        <v>19454</v>
      </c>
      <c r="B37" s="121">
        <v>13661.0</v>
      </c>
      <c r="C37" s="30" t="s">
        <v>10502</v>
      </c>
      <c r="D37" s="30" t="s">
        <v>10503</v>
      </c>
      <c r="E37" s="30" t="s">
        <v>10504</v>
      </c>
      <c r="F37" s="30" t="s">
        <v>8243</v>
      </c>
      <c r="G37" s="30" t="s">
        <v>10505</v>
      </c>
      <c r="H37" s="30" t="s">
        <v>10506</v>
      </c>
      <c r="I37" s="122">
        <v>45292.0</v>
      </c>
      <c r="J37" s="30"/>
      <c r="K37" s="30" t="s">
        <v>3632</v>
      </c>
      <c r="L37" s="30" t="s">
        <v>991</v>
      </c>
      <c r="M37" s="30" t="s">
        <v>3501</v>
      </c>
      <c r="N37" s="30" t="s">
        <v>3632</v>
      </c>
      <c r="O37" s="30" t="s">
        <v>3632</v>
      </c>
      <c r="P37" s="30" t="s">
        <v>625</v>
      </c>
      <c r="Q37" s="30" t="s">
        <v>626</v>
      </c>
      <c r="R37" s="30"/>
      <c r="S37" s="30"/>
      <c r="T37" s="30" t="s">
        <v>19455</v>
      </c>
      <c r="U37" s="30" t="s">
        <v>5585</v>
      </c>
      <c r="V37" s="121">
        <v>1.0</v>
      </c>
    </row>
    <row r="38">
      <c r="A38" s="30" t="s">
        <v>2132</v>
      </c>
      <c r="B38" s="121">
        <v>13653.0</v>
      </c>
      <c r="C38" s="30" t="s">
        <v>10782</v>
      </c>
      <c r="D38" s="30" t="s">
        <v>10783</v>
      </c>
      <c r="E38" s="30" t="s">
        <v>10784</v>
      </c>
      <c r="F38" s="30" t="s">
        <v>8256</v>
      </c>
      <c r="G38" s="30" t="s">
        <v>10785</v>
      </c>
      <c r="H38" s="30" t="s">
        <v>10786</v>
      </c>
      <c r="I38" s="122">
        <v>45292.0</v>
      </c>
      <c r="J38" s="30"/>
      <c r="K38" s="30" t="s">
        <v>3632</v>
      </c>
      <c r="L38" s="30" t="s">
        <v>991</v>
      </c>
      <c r="M38" s="30" t="s">
        <v>3501</v>
      </c>
      <c r="N38" s="30" t="s">
        <v>3632</v>
      </c>
      <c r="O38" s="30" t="s">
        <v>3632</v>
      </c>
      <c r="P38" s="30" t="s">
        <v>19456</v>
      </c>
      <c r="Q38" s="30" t="s">
        <v>188</v>
      </c>
      <c r="R38" s="30"/>
      <c r="S38" s="30"/>
      <c r="T38" s="30" t="s">
        <v>19457</v>
      </c>
      <c r="U38" s="30" t="s">
        <v>6078</v>
      </c>
      <c r="V38" s="121">
        <v>1.0</v>
      </c>
    </row>
    <row r="39">
      <c r="A39" s="30" t="s">
        <v>2193</v>
      </c>
      <c r="B39" s="121">
        <v>1309.0</v>
      </c>
      <c r="C39" s="30" t="s">
        <v>10832</v>
      </c>
      <c r="D39" s="30" t="s">
        <v>10847</v>
      </c>
      <c r="E39" s="30" t="s">
        <v>10834</v>
      </c>
      <c r="F39" s="30" t="s">
        <v>10848</v>
      </c>
      <c r="G39" s="30" t="s">
        <v>10849</v>
      </c>
      <c r="H39" s="30" t="s">
        <v>10850</v>
      </c>
      <c r="I39" s="122">
        <v>45292.0</v>
      </c>
      <c r="J39" s="30"/>
      <c r="K39" s="30" t="s">
        <v>10851</v>
      </c>
      <c r="L39" s="30" t="s">
        <v>4406</v>
      </c>
      <c r="M39" s="30" t="s">
        <v>4407</v>
      </c>
      <c r="N39" s="30" t="s">
        <v>419</v>
      </c>
      <c r="O39" s="30" t="s">
        <v>19437</v>
      </c>
      <c r="P39" s="30" t="s">
        <v>478</v>
      </c>
      <c r="Q39" s="30" t="s">
        <v>958</v>
      </c>
      <c r="R39" s="30"/>
      <c r="S39" s="30"/>
      <c r="T39" s="30" t="s">
        <v>19458</v>
      </c>
      <c r="U39" s="30" t="s">
        <v>5585</v>
      </c>
      <c r="V39" s="121">
        <v>1.0</v>
      </c>
    </row>
    <row r="40">
      <c r="A40" s="30" t="s">
        <v>2124</v>
      </c>
      <c r="B40" s="121">
        <v>989.0</v>
      </c>
      <c r="C40" s="30" t="s">
        <v>10957</v>
      </c>
      <c r="D40" s="30" t="s">
        <v>10958</v>
      </c>
      <c r="E40" s="30" t="s">
        <v>10959</v>
      </c>
      <c r="F40" s="30" t="s">
        <v>4234</v>
      </c>
      <c r="G40" s="30" t="s">
        <v>10960</v>
      </c>
      <c r="H40" s="30" t="s">
        <v>10961</v>
      </c>
      <c r="I40" s="122">
        <v>45292.0</v>
      </c>
      <c r="J40" s="30"/>
      <c r="K40" s="30" t="s">
        <v>419</v>
      </c>
      <c r="L40" s="30" t="s">
        <v>991</v>
      </c>
      <c r="M40" s="30" t="s">
        <v>3501</v>
      </c>
      <c r="N40" s="30" t="s">
        <v>419</v>
      </c>
      <c r="O40" s="30" t="s">
        <v>19440</v>
      </c>
      <c r="P40" s="30" t="s">
        <v>3</v>
      </c>
      <c r="Q40" s="30" t="s">
        <v>9</v>
      </c>
      <c r="R40" s="30"/>
      <c r="S40" s="30"/>
      <c r="T40" s="30" t="s">
        <v>10963</v>
      </c>
      <c r="U40" s="30" t="s">
        <v>5585</v>
      </c>
      <c r="V40" s="121">
        <v>1.0</v>
      </c>
    </row>
    <row r="41">
      <c r="A41" s="30" t="s">
        <v>2278</v>
      </c>
      <c r="B41" s="121">
        <v>2200637.0</v>
      </c>
      <c r="C41" s="30" t="s">
        <v>11319</v>
      </c>
      <c r="D41" s="30" t="s">
        <v>11320</v>
      </c>
      <c r="E41" s="30" t="s">
        <v>11321</v>
      </c>
      <c r="F41" s="30" t="s">
        <v>3609</v>
      </c>
      <c r="G41" s="30" t="s">
        <v>11322</v>
      </c>
      <c r="H41" s="30" t="s">
        <v>11323</v>
      </c>
      <c r="I41" s="122">
        <v>45292.0</v>
      </c>
      <c r="J41" s="30"/>
      <c r="K41" s="30" t="s">
        <v>419</v>
      </c>
      <c r="L41" s="30" t="s">
        <v>991</v>
      </c>
      <c r="M41" s="30" t="s">
        <v>3501</v>
      </c>
      <c r="N41" s="30" t="s">
        <v>419</v>
      </c>
      <c r="O41" s="30" t="s">
        <v>19443</v>
      </c>
      <c r="P41" s="30" t="s">
        <v>323</v>
      </c>
      <c r="Q41" s="30" t="s">
        <v>819</v>
      </c>
      <c r="R41" s="30"/>
      <c r="S41" s="30"/>
      <c r="T41" s="30" t="s">
        <v>19459</v>
      </c>
      <c r="U41" s="30" t="s">
        <v>5585</v>
      </c>
      <c r="V41" s="121">
        <v>1.0</v>
      </c>
    </row>
    <row r="42">
      <c r="A42" s="30" t="s">
        <v>1650</v>
      </c>
      <c r="B42" s="121">
        <v>11393.0</v>
      </c>
      <c r="C42" s="30" t="s">
        <v>11930</v>
      </c>
      <c r="D42" s="30" t="s">
        <v>11931</v>
      </c>
      <c r="E42" s="30" t="s">
        <v>11932</v>
      </c>
      <c r="F42" s="30" t="s">
        <v>4234</v>
      </c>
      <c r="G42" s="30" t="s">
        <v>11933</v>
      </c>
      <c r="H42" s="30" t="s">
        <v>11934</v>
      </c>
      <c r="I42" s="122">
        <v>45292.0</v>
      </c>
      <c r="J42" s="30"/>
      <c r="K42" s="30" t="s">
        <v>5973</v>
      </c>
      <c r="L42" s="30" t="s">
        <v>3542</v>
      </c>
      <c r="M42" s="30" t="s">
        <v>3563</v>
      </c>
      <c r="N42" s="30" t="s">
        <v>419</v>
      </c>
      <c r="O42" s="30" t="s">
        <v>19437</v>
      </c>
      <c r="P42" s="30" t="s">
        <v>440</v>
      </c>
      <c r="Q42" s="30" t="s">
        <v>924</v>
      </c>
      <c r="R42" s="30"/>
      <c r="S42" s="30"/>
      <c r="T42" s="30" t="s">
        <v>4375</v>
      </c>
      <c r="U42" s="30" t="s">
        <v>5585</v>
      </c>
      <c r="V42" s="121">
        <v>1.0</v>
      </c>
    </row>
    <row r="43">
      <c r="A43" s="30" t="s">
        <v>2281</v>
      </c>
      <c r="B43" s="121">
        <v>2200927.0</v>
      </c>
      <c r="C43" s="30" t="s">
        <v>11953</v>
      </c>
      <c r="D43" s="30" t="s">
        <v>11963</v>
      </c>
      <c r="E43" s="30" t="s">
        <v>11954</v>
      </c>
      <c r="F43" s="30" t="s">
        <v>11964</v>
      </c>
      <c r="G43" s="30" t="s">
        <v>11965</v>
      </c>
      <c r="H43" s="30" t="s">
        <v>11966</v>
      </c>
      <c r="I43" s="122">
        <v>45292.0</v>
      </c>
      <c r="J43" s="30"/>
      <c r="K43" s="30" t="s">
        <v>419</v>
      </c>
      <c r="L43" s="30" t="s">
        <v>991</v>
      </c>
      <c r="M43" s="30" t="s">
        <v>3501</v>
      </c>
      <c r="N43" s="30" t="s">
        <v>419</v>
      </c>
      <c r="O43" s="30" t="s">
        <v>19443</v>
      </c>
      <c r="P43" s="30" t="s">
        <v>323</v>
      </c>
      <c r="Q43" s="30" t="s">
        <v>824</v>
      </c>
      <c r="R43" s="30"/>
      <c r="S43" s="30"/>
      <c r="T43" s="30" t="s">
        <v>19460</v>
      </c>
      <c r="U43" s="30" t="s">
        <v>5585</v>
      </c>
      <c r="V43" s="121">
        <v>1.0</v>
      </c>
    </row>
    <row r="44">
      <c r="A44" s="30" t="s">
        <v>19461</v>
      </c>
      <c r="B44" s="121">
        <v>13651.0</v>
      </c>
      <c r="C44" s="30" t="s">
        <v>12228</v>
      </c>
      <c r="D44" s="30" t="s">
        <v>12229</v>
      </c>
      <c r="E44" s="30" t="s">
        <v>12230</v>
      </c>
      <c r="F44" s="30" t="s">
        <v>12231</v>
      </c>
      <c r="G44" s="30" t="s">
        <v>12232</v>
      </c>
      <c r="H44" s="30" t="s">
        <v>12233</v>
      </c>
      <c r="I44" s="122">
        <v>45292.0</v>
      </c>
      <c r="J44" s="30"/>
      <c r="K44" s="30" t="s">
        <v>3632</v>
      </c>
      <c r="L44" s="30" t="s">
        <v>991</v>
      </c>
      <c r="M44" s="30" t="s">
        <v>3501</v>
      </c>
      <c r="N44" s="30" t="s">
        <v>3632</v>
      </c>
      <c r="O44" s="30" t="s">
        <v>3632</v>
      </c>
      <c r="P44" s="30" t="s">
        <v>19462</v>
      </c>
      <c r="Q44" s="30" t="s">
        <v>19463</v>
      </c>
      <c r="R44" s="30"/>
      <c r="S44" s="30"/>
      <c r="T44" s="30" t="s">
        <v>19464</v>
      </c>
      <c r="U44" s="30" t="s">
        <v>5585</v>
      </c>
      <c r="V44" s="121">
        <v>1.0</v>
      </c>
    </row>
    <row r="45">
      <c r="A45" s="30" t="s">
        <v>1745</v>
      </c>
      <c r="B45" s="121">
        <v>606.0</v>
      </c>
      <c r="C45" s="30" t="s">
        <v>12265</v>
      </c>
      <c r="D45" s="30" t="s">
        <v>9714</v>
      </c>
      <c r="E45" s="30" t="s">
        <v>12266</v>
      </c>
      <c r="F45" s="30" t="s">
        <v>4700</v>
      </c>
      <c r="G45" s="30" t="s">
        <v>12267</v>
      </c>
      <c r="H45" s="30" t="s">
        <v>12268</v>
      </c>
      <c r="I45" s="122">
        <v>45292.0</v>
      </c>
      <c r="J45" s="30"/>
      <c r="K45" s="30" t="s">
        <v>3885</v>
      </c>
      <c r="L45" s="30" t="s">
        <v>3542</v>
      </c>
      <c r="M45" s="30" t="s">
        <v>3563</v>
      </c>
      <c r="N45" s="30" t="s">
        <v>419</v>
      </c>
      <c r="O45" s="30" t="s">
        <v>19438</v>
      </c>
      <c r="P45" s="30" t="s">
        <v>19465</v>
      </c>
      <c r="Q45" s="30" t="s">
        <v>186</v>
      </c>
      <c r="R45" s="30"/>
      <c r="S45" s="30"/>
      <c r="T45" s="30" t="s">
        <v>19466</v>
      </c>
      <c r="U45" s="30" t="s">
        <v>6078</v>
      </c>
      <c r="V45" s="121">
        <v>1.0</v>
      </c>
    </row>
    <row r="46">
      <c r="A46" s="30" t="s">
        <v>19467</v>
      </c>
      <c r="B46" s="121">
        <v>13680.0</v>
      </c>
      <c r="C46" s="30" t="s">
        <v>12347</v>
      </c>
      <c r="D46" s="30" t="s">
        <v>12348</v>
      </c>
      <c r="E46" s="30" t="s">
        <v>12349</v>
      </c>
      <c r="F46" s="30" t="s">
        <v>11827</v>
      </c>
      <c r="G46" s="30" t="s">
        <v>12350</v>
      </c>
      <c r="H46" s="30" t="s">
        <v>12351</v>
      </c>
      <c r="I46" s="122">
        <v>45292.0</v>
      </c>
      <c r="J46" s="30"/>
      <c r="K46" s="30" t="s">
        <v>3632</v>
      </c>
      <c r="L46" s="30" t="s">
        <v>991</v>
      </c>
      <c r="M46" s="30" t="s">
        <v>3501</v>
      </c>
      <c r="N46" s="30" t="s">
        <v>3632</v>
      </c>
      <c r="O46" s="30" t="s">
        <v>3632</v>
      </c>
      <c r="P46" s="30" t="s">
        <v>22</v>
      </c>
      <c r="Q46" s="30" t="s">
        <v>549</v>
      </c>
      <c r="R46" s="30"/>
      <c r="S46" s="30"/>
      <c r="T46" s="30" t="s">
        <v>19468</v>
      </c>
      <c r="U46" s="30" t="s">
        <v>5585</v>
      </c>
      <c r="V46" s="121">
        <v>1.0</v>
      </c>
    </row>
    <row r="47">
      <c r="A47" s="30" t="s">
        <v>2090</v>
      </c>
      <c r="B47" s="121">
        <v>12288.0</v>
      </c>
      <c r="C47" s="30" t="s">
        <v>12771</v>
      </c>
      <c r="D47" s="30" t="s">
        <v>12782</v>
      </c>
      <c r="E47" s="30" t="s">
        <v>12765</v>
      </c>
      <c r="F47" s="30" t="s">
        <v>3748</v>
      </c>
      <c r="G47" s="30" t="s">
        <v>12783</v>
      </c>
      <c r="H47" s="30" t="s">
        <v>12784</v>
      </c>
      <c r="I47" s="122">
        <v>45292.0</v>
      </c>
      <c r="J47" s="30"/>
      <c r="K47" s="30" t="s">
        <v>419</v>
      </c>
      <c r="L47" s="30" t="s">
        <v>991</v>
      </c>
      <c r="M47" s="30" t="s">
        <v>3501</v>
      </c>
      <c r="N47" s="30" t="s">
        <v>419</v>
      </c>
      <c r="O47" s="30" t="s">
        <v>19430</v>
      </c>
      <c r="P47" s="30" t="s">
        <v>717</v>
      </c>
      <c r="Q47" s="30" t="s">
        <v>251</v>
      </c>
      <c r="R47" s="30"/>
      <c r="S47" s="30"/>
      <c r="T47" s="30" t="s">
        <v>7314</v>
      </c>
      <c r="U47" s="30" t="s">
        <v>5585</v>
      </c>
      <c r="V47" s="121">
        <v>1.0</v>
      </c>
    </row>
    <row r="48">
      <c r="A48" s="30" t="s">
        <v>1790</v>
      </c>
      <c r="B48" s="121">
        <v>359.0</v>
      </c>
      <c r="C48" s="30" t="s">
        <v>13217</v>
      </c>
      <c r="D48" s="30" t="s">
        <v>13228</v>
      </c>
      <c r="E48" s="30" t="s">
        <v>13219</v>
      </c>
      <c r="F48" s="30" t="s">
        <v>13229</v>
      </c>
      <c r="G48" s="30" t="s">
        <v>13230</v>
      </c>
      <c r="H48" s="30" t="s">
        <v>13231</v>
      </c>
      <c r="I48" s="122">
        <v>45292.0</v>
      </c>
      <c r="J48" s="30"/>
      <c r="K48" s="30" t="s">
        <v>419</v>
      </c>
      <c r="L48" s="30" t="s">
        <v>991</v>
      </c>
      <c r="M48" s="30" t="s">
        <v>3501</v>
      </c>
      <c r="N48" s="30" t="s">
        <v>419</v>
      </c>
      <c r="O48" s="30" t="s">
        <v>19432</v>
      </c>
      <c r="P48" s="30" t="s">
        <v>298</v>
      </c>
      <c r="Q48" s="30" t="s">
        <v>304</v>
      </c>
      <c r="R48" s="30"/>
      <c r="S48" s="30"/>
      <c r="T48" s="30" t="s">
        <v>7374</v>
      </c>
      <c r="U48" s="30" t="s">
        <v>6078</v>
      </c>
      <c r="V48" s="121">
        <v>1.0</v>
      </c>
    </row>
    <row r="49">
      <c r="A49" s="30" t="s">
        <v>1479</v>
      </c>
      <c r="B49" s="121">
        <v>11392.0</v>
      </c>
      <c r="C49" s="30" t="s">
        <v>13426</v>
      </c>
      <c r="D49" s="30" t="s">
        <v>4699</v>
      </c>
      <c r="E49" s="30" t="s">
        <v>13427</v>
      </c>
      <c r="F49" s="30" t="s">
        <v>4700</v>
      </c>
      <c r="G49" s="30" t="s">
        <v>13428</v>
      </c>
      <c r="H49" s="30" t="s">
        <v>13429</v>
      </c>
      <c r="I49" s="122">
        <v>45292.0</v>
      </c>
      <c r="J49" s="30"/>
      <c r="K49" s="30" t="s">
        <v>3541</v>
      </c>
      <c r="L49" s="30" t="s">
        <v>3542</v>
      </c>
      <c r="M49" s="30" t="s">
        <v>3563</v>
      </c>
      <c r="N49" s="30" t="s">
        <v>419</v>
      </c>
      <c r="O49" s="30" t="s">
        <v>19437</v>
      </c>
      <c r="P49" s="30" t="s">
        <v>603</v>
      </c>
      <c r="Q49" s="30" t="s">
        <v>90</v>
      </c>
      <c r="R49" s="30"/>
      <c r="S49" s="30"/>
      <c r="T49" s="30" t="s">
        <v>19469</v>
      </c>
      <c r="U49" s="30" t="s">
        <v>5585</v>
      </c>
      <c r="V49" s="121">
        <v>1.0</v>
      </c>
    </row>
    <row r="50">
      <c r="A50" s="30" t="s">
        <v>1674</v>
      </c>
      <c r="B50" s="121">
        <v>11112.0</v>
      </c>
      <c r="C50" s="30" t="s">
        <v>13658</v>
      </c>
      <c r="D50" s="30" t="s">
        <v>11667</v>
      </c>
      <c r="E50" s="30" t="s">
        <v>13659</v>
      </c>
      <c r="F50" s="30" t="s">
        <v>3549</v>
      </c>
      <c r="G50" s="30" t="s">
        <v>13660</v>
      </c>
      <c r="H50" s="30" t="s">
        <v>13661</v>
      </c>
      <c r="I50" s="122">
        <v>45292.0</v>
      </c>
      <c r="J50" s="30"/>
      <c r="K50" s="30" t="s">
        <v>419</v>
      </c>
      <c r="L50" s="30" t="s">
        <v>991</v>
      </c>
      <c r="M50" s="30" t="s">
        <v>3501</v>
      </c>
      <c r="N50" s="30" t="s">
        <v>419</v>
      </c>
      <c r="O50" s="30" t="s">
        <v>19432</v>
      </c>
      <c r="P50" s="30" t="s">
        <v>693</v>
      </c>
      <c r="Q50" s="30" t="s">
        <v>701</v>
      </c>
      <c r="R50" s="30"/>
      <c r="S50" s="30"/>
      <c r="T50" s="30" t="s">
        <v>10025</v>
      </c>
      <c r="U50" s="30" t="s">
        <v>6078</v>
      </c>
      <c r="V50" s="121">
        <v>1.0</v>
      </c>
    </row>
    <row r="51">
      <c r="A51" s="30" t="s">
        <v>1525</v>
      </c>
      <c r="B51" s="121">
        <v>331.0</v>
      </c>
      <c r="C51" s="30" t="s">
        <v>13732</v>
      </c>
      <c r="D51" s="30" t="s">
        <v>8565</v>
      </c>
      <c r="E51" s="30" t="s">
        <v>13733</v>
      </c>
      <c r="F51" s="30" t="s">
        <v>7066</v>
      </c>
      <c r="G51" s="30" t="s">
        <v>13734</v>
      </c>
      <c r="H51" s="30" t="s">
        <v>13735</v>
      </c>
      <c r="I51" s="122">
        <v>45292.0</v>
      </c>
      <c r="J51" s="30"/>
      <c r="K51" s="30" t="s">
        <v>419</v>
      </c>
      <c r="L51" s="30" t="s">
        <v>991</v>
      </c>
      <c r="M51" s="30" t="s">
        <v>3501</v>
      </c>
      <c r="N51" s="30" t="s">
        <v>419</v>
      </c>
      <c r="O51" s="30" t="s">
        <v>19437</v>
      </c>
      <c r="P51" s="30" t="s">
        <v>478</v>
      </c>
      <c r="Q51" s="30" t="s">
        <v>479</v>
      </c>
      <c r="R51" s="30"/>
      <c r="S51" s="30"/>
      <c r="T51" s="30" t="s">
        <v>19470</v>
      </c>
      <c r="U51" s="30" t="s">
        <v>6078</v>
      </c>
      <c r="V51" s="121">
        <v>1.0</v>
      </c>
    </row>
    <row r="52">
      <c r="A52" s="30" t="s">
        <v>2092</v>
      </c>
      <c r="B52" s="121">
        <v>133.0</v>
      </c>
      <c r="C52" s="30" t="s">
        <v>13755</v>
      </c>
      <c r="D52" s="30" t="s">
        <v>13756</v>
      </c>
      <c r="E52" s="30" t="s">
        <v>13757</v>
      </c>
      <c r="F52" s="30" t="s">
        <v>11599</v>
      </c>
      <c r="G52" s="30" t="s">
        <v>13758</v>
      </c>
      <c r="H52" s="30" t="s">
        <v>13759</v>
      </c>
      <c r="I52" s="122">
        <v>45292.0</v>
      </c>
      <c r="J52" s="30"/>
      <c r="K52" s="30" t="s">
        <v>419</v>
      </c>
      <c r="L52" s="30" t="s">
        <v>991</v>
      </c>
      <c r="M52" s="30" t="s">
        <v>3501</v>
      </c>
      <c r="N52" s="30" t="s">
        <v>419</v>
      </c>
      <c r="O52" s="30" t="s">
        <v>19432</v>
      </c>
      <c r="P52" s="30" t="s">
        <v>391</v>
      </c>
      <c r="Q52" s="30" t="s">
        <v>392</v>
      </c>
      <c r="R52" s="30"/>
      <c r="S52" s="30"/>
      <c r="T52" s="30" t="s">
        <v>19471</v>
      </c>
      <c r="U52" s="30" t="s">
        <v>6078</v>
      </c>
      <c r="V52" s="121">
        <v>1.0</v>
      </c>
    </row>
    <row r="53">
      <c r="A53" s="30" t="s">
        <v>1523</v>
      </c>
      <c r="B53" s="121">
        <v>10439.0</v>
      </c>
      <c r="C53" s="30" t="s">
        <v>13943</v>
      </c>
      <c r="D53" s="30" t="s">
        <v>13979</v>
      </c>
      <c r="E53" s="30" t="s">
        <v>13945</v>
      </c>
      <c r="F53" s="30" t="s">
        <v>3639</v>
      </c>
      <c r="G53" s="30" t="s">
        <v>13980</v>
      </c>
      <c r="H53" s="30" t="s">
        <v>13981</v>
      </c>
      <c r="I53" s="122">
        <v>45292.0</v>
      </c>
      <c r="J53" s="30"/>
      <c r="K53" s="30" t="s">
        <v>419</v>
      </c>
      <c r="L53" s="30" t="s">
        <v>991</v>
      </c>
      <c r="M53" s="30" t="s">
        <v>3501</v>
      </c>
      <c r="N53" s="30" t="s">
        <v>419</v>
      </c>
      <c r="O53" s="30" t="s">
        <v>19437</v>
      </c>
      <c r="P53" s="30" t="s">
        <v>478</v>
      </c>
      <c r="Q53" s="30" t="s">
        <v>491</v>
      </c>
      <c r="R53" s="30"/>
      <c r="S53" s="30"/>
      <c r="T53" s="30" t="s">
        <v>16463</v>
      </c>
      <c r="U53" s="30" t="s">
        <v>5585</v>
      </c>
      <c r="V53" s="121">
        <v>1.0</v>
      </c>
    </row>
    <row r="54">
      <c r="A54" s="30" t="s">
        <v>2126</v>
      </c>
      <c r="B54" s="121">
        <v>12419.0</v>
      </c>
      <c r="C54" s="30" t="s">
        <v>14064</v>
      </c>
      <c r="D54" s="30" t="s">
        <v>14065</v>
      </c>
      <c r="E54" s="30" t="s">
        <v>14066</v>
      </c>
      <c r="F54" s="30" t="s">
        <v>9184</v>
      </c>
      <c r="G54" s="30" t="s">
        <v>14067</v>
      </c>
      <c r="H54" s="30" t="s">
        <v>14068</v>
      </c>
      <c r="I54" s="122">
        <v>45292.0</v>
      </c>
      <c r="J54" s="30"/>
      <c r="K54" s="30" t="s">
        <v>7069</v>
      </c>
      <c r="L54" s="30" t="s">
        <v>4406</v>
      </c>
      <c r="M54" s="30" t="s">
        <v>7070</v>
      </c>
      <c r="N54" s="30" t="s">
        <v>419</v>
      </c>
      <c r="O54" s="30" t="s">
        <v>19440</v>
      </c>
      <c r="P54" s="30" t="s">
        <v>3</v>
      </c>
      <c r="Q54" s="30" t="s">
        <v>4</v>
      </c>
      <c r="R54" s="30"/>
      <c r="S54" s="30"/>
      <c r="T54" s="30" t="s">
        <v>19472</v>
      </c>
      <c r="U54" s="30" t="s">
        <v>5585</v>
      </c>
      <c r="V54" s="121">
        <v>1.0</v>
      </c>
    </row>
    <row r="55">
      <c r="A55" s="30" t="s">
        <v>2154</v>
      </c>
      <c r="B55" s="121">
        <v>756.0</v>
      </c>
      <c r="C55" s="30" t="s">
        <v>14203</v>
      </c>
      <c r="D55" s="30" t="s">
        <v>10581</v>
      </c>
      <c r="E55" s="30" t="s">
        <v>14204</v>
      </c>
      <c r="F55" s="30" t="s">
        <v>10583</v>
      </c>
      <c r="G55" s="30" t="s">
        <v>14205</v>
      </c>
      <c r="H55" s="30" t="s">
        <v>14206</v>
      </c>
      <c r="I55" s="122">
        <v>45292.0</v>
      </c>
      <c r="J55" s="30"/>
      <c r="K55" s="30" t="s">
        <v>419</v>
      </c>
      <c r="L55" s="30" t="s">
        <v>991</v>
      </c>
      <c r="M55" s="30" t="s">
        <v>3501</v>
      </c>
      <c r="N55" s="30" t="s">
        <v>419</v>
      </c>
      <c r="O55" s="30" t="s">
        <v>19430</v>
      </c>
      <c r="P55" s="30" t="s">
        <v>717</v>
      </c>
      <c r="Q55" s="30" t="s">
        <v>730</v>
      </c>
      <c r="R55" s="30"/>
      <c r="S55" s="30"/>
      <c r="T55" s="30" t="s">
        <v>14208</v>
      </c>
      <c r="U55" s="30" t="s">
        <v>5585</v>
      </c>
      <c r="V55" s="121">
        <v>1.0</v>
      </c>
    </row>
    <row r="56">
      <c r="A56" s="30" t="s">
        <v>19473</v>
      </c>
      <c r="B56" s="121">
        <v>13672.0</v>
      </c>
      <c r="C56" s="30" t="s">
        <v>14243</v>
      </c>
      <c r="D56" s="30" t="s">
        <v>14244</v>
      </c>
      <c r="E56" s="30" t="s">
        <v>14245</v>
      </c>
      <c r="F56" s="30" t="s">
        <v>14246</v>
      </c>
      <c r="G56" s="30" t="s">
        <v>14247</v>
      </c>
      <c r="H56" s="30" t="s">
        <v>14248</v>
      </c>
      <c r="I56" s="122">
        <v>45292.0</v>
      </c>
      <c r="J56" s="30"/>
      <c r="K56" s="30" t="s">
        <v>3632</v>
      </c>
      <c r="L56" s="30" t="s">
        <v>991</v>
      </c>
      <c r="M56" s="30" t="s">
        <v>3501</v>
      </c>
      <c r="N56" s="30" t="s">
        <v>3632</v>
      </c>
      <c r="O56" s="30" t="s">
        <v>3632</v>
      </c>
      <c r="P56" s="30" t="s">
        <v>22</v>
      </c>
      <c r="Q56" s="30" t="s">
        <v>546</v>
      </c>
      <c r="R56" s="30"/>
      <c r="S56" s="30"/>
      <c r="T56" s="30" t="s">
        <v>19474</v>
      </c>
      <c r="U56" s="30" t="s">
        <v>5585</v>
      </c>
      <c r="V56" s="121">
        <v>1.0</v>
      </c>
    </row>
    <row r="57">
      <c r="A57" s="30" t="s">
        <v>2027</v>
      </c>
      <c r="B57" s="121">
        <v>884.0</v>
      </c>
      <c r="C57" s="30" t="s">
        <v>14399</v>
      </c>
      <c r="D57" s="30" t="s">
        <v>8604</v>
      </c>
      <c r="E57" s="30" t="s">
        <v>14394</v>
      </c>
      <c r="F57" s="30" t="s">
        <v>8606</v>
      </c>
      <c r="G57" s="30" t="s">
        <v>14400</v>
      </c>
      <c r="H57" s="30" t="s">
        <v>14401</v>
      </c>
      <c r="I57" s="122">
        <v>45292.0</v>
      </c>
      <c r="J57" s="30"/>
      <c r="K57" s="30" t="s">
        <v>14402</v>
      </c>
      <c r="L57" s="30" t="s">
        <v>3542</v>
      </c>
      <c r="M57" s="30" t="s">
        <v>3563</v>
      </c>
      <c r="N57" s="30" t="s">
        <v>419</v>
      </c>
      <c r="O57" s="30" t="s">
        <v>19440</v>
      </c>
      <c r="P57" s="30" t="s">
        <v>613</v>
      </c>
      <c r="Q57" s="30" t="s">
        <v>104</v>
      </c>
      <c r="R57" s="30"/>
      <c r="S57" s="30"/>
      <c r="T57" s="30" t="s">
        <v>10667</v>
      </c>
      <c r="U57" s="30" t="s">
        <v>5585</v>
      </c>
      <c r="V57" s="121">
        <v>1.0</v>
      </c>
    </row>
    <row r="58">
      <c r="A58" s="30" t="s">
        <v>1421</v>
      </c>
      <c r="B58" s="121">
        <v>597.0</v>
      </c>
      <c r="C58" s="30" t="s">
        <v>14411</v>
      </c>
      <c r="D58" s="30" t="s">
        <v>14452</v>
      </c>
      <c r="E58" s="30" t="s">
        <v>14394</v>
      </c>
      <c r="F58" s="30" t="s">
        <v>3954</v>
      </c>
      <c r="G58" s="30" t="s">
        <v>14453</v>
      </c>
      <c r="H58" s="30" t="s">
        <v>14454</v>
      </c>
      <c r="I58" s="122">
        <v>45292.0</v>
      </c>
      <c r="J58" s="30"/>
      <c r="K58" s="30" t="s">
        <v>419</v>
      </c>
      <c r="L58" s="30" t="s">
        <v>991</v>
      </c>
      <c r="M58" s="30" t="s">
        <v>3501</v>
      </c>
      <c r="N58" s="30" t="s">
        <v>419</v>
      </c>
      <c r="O58" s="30" t="s">
        <v>19443</v>
      </c>
      <c r="P58" s="30" t="s">
        <v>1242</v>
      </c>
      <c r="Q58" s="30" t="s">
        <v>48</v>
      </c>
      <c r="R58" s="30"/>
      <c r="S58" s="30"/>
      <c r="T58" s="30" t="s">
        <v>10546</v>
      </c>
      <c r="U58" s="30" t="s">
        <v>5585</v>
      </c>
      <c r="V58" s="121">
        <v>1.0</v>
      </c>
    </row>
    <row r="59">
      <c r="A59" s="30" t="s">
        <v>2224</v>
      </c>
      <c r="B59" s="121">
        <v>2400093.0</v>
      </c>
      <c r="C59" s="30" t="s">
        <v>7853</v>
      </c>
      <c r="D59" s="30" t="s">
        <v>14674</v>
      </c>
      <c r="E59" s="30" t="s">
        <v>7854</v>
      </c>
      <c r="F59" s="30" t="s">
        <v>14675</v>
      </c>
      <c r="G59" s="30" t="s">
        <v>14676</v>
      </c>
      <c r="H59" s="30" t="s">
        <v>14677</v>
      </c>
      <c r="I59" s="122">
        <v>45323.0</v>
      </c>
      <c r="J59" s="30"/>
      <c r="K59" s="30" t="s">
        <v>419</v>
      </c>
      <c r="L59" s="30" t="s">
        <v>991</v>
      </c>
      <c r="M59" s="30" t="s">
        <v>3501</v>
      </c>
      <c r="N59" s="30" t="s">
        <v>419</v>
      </c>
      <c r="O59" s="30" t="s">
        <v>19438</v>
      </c>
      <c r="P59" s="30" t="s">
        <v>19475</v>
      </c>
      <c r="Q59" s="30" t="s">
        <v>188</v>
      </c>
      <c r="R59" s="30"/>
      <c r="S59" s="30"/>
      <c r="T59" s="30" t="s">
        <v>17399</v>
      </c>
      <c r="U59" s="30" t="s">
        <v>6078</v>
      </c>
      <c r="V59" s="121">
        <v>1.0</v>
      </c>
    </row>
    <row r="60">
      <c r="A60" s="30" t="s">
        <v>2297</v>
      </c>
      <c r="B60" s="121">
        <v>2400253.0</v>
      </c>
      <c r="C60" s="30" t="s">
        <v>11662</v>
      </c>
      <c r="D60" s="30" t="s">
        <v>15212</v>
      </c>
      <c r="E60" s="30" t="s">
        <v>11663</v>
      </c>
      <c r="F60" s="30" t="s">
        <v>9094</v>
      </c>
      <c r="G60" s="30" t="s">
        <v>15213</v>
      </c>
      <c r="H60" s="30" t="s">
        <v>15214</v>
      </c>
      <c r="I60" s="122">
        <v>45383.0</v>
      </c>
      <c r="J60" s="30"/>
      <c r="K60" s="30" t="s">
        <v>419</v>
      </c>
      <c r="L60" s="30" t="s">
        <v>991</v>
      </c>
      <c r="M60" s="30" t="s">
        <v>3501</v>
      </c>
      <c r="N60" s="30" t="s">
        <v>419</v>
      </c>
      <c r="O60" s="30" t="s">
        <v>19433</v>
      </c>
      <c r="P60" s="30" t="s">
        <v>648</v>
      </c>
      <c r="Q60" s="30" t="s">
        <v>155</v>
      </c>
      <c r="R60" s="30"/>
      <c r="S60" s="30"/>
      <c r="T60" s="30" t="s">
        <v>19476</v>
      </c>
      <c r="U60" s="30" t="s">
        <v>6078</v>
      </c>
      <c r="V60" s="121">
        <v>1.0</v>
      </c>
    </row>
    <row r="61">
      <c r="A61" s="30" t="s">
        <v>2199</v>
      </c>
      <c r="B61" s="121">
        <v>3000299.0</v>
      </c>
      <c r="C61" s="30" t="s">
        <v>16186</v>
      </c>
      <c r="D61" s="30" t="s">
        <v>9298</v>
      </c>
      <c r="E61" s="30" t="s">
        <v>16187</v>
      </c>
      <c r="F61" s="30" t="s">
        <v>12777</v>
      </c>
      <c r="G61" s="30" t="s">
        <v>16188</v>
      </c>
      <c r="H61" s="30" t="s">
        <v>16189</v>
      </c>
      <c r="I61" s="122">
        <v>45597.0</v>
      </c>
      <c r="J61" s="30"/>
      <c r="K61" s="30" t="s">
        <v>419</v>
      </c>
      <c r="L61" s="30" t="s">
        <v>991</v>
      </c>
      <c r="M61" s="30" t="s">
        <v>3501</v>
      </c>
      <c r="N61" s="30" t="s">
        <v>419</v>
      </c>
      <c r="O61" s="30" t="s">
        <v>19433</v>
      </c>
      <c r="P61" s="30" t="s">
        <v>587</v>
      </c>
      <c r="Q61" s="30" t="s">
        <v>81</v>
      </c>
      <c r="R61" s="30"/>
      <c r="S61" s="30"/>
      <c r="T61" s="30" t="s">
        <v>15610</v>
      </c>
      <c r="U61" s="30" t="s">
        <v>5585</v>
      </c>
      <c r="V61" s="121">
        <v>1.0</v>
      </c>
    </row>
    <row r="62">
      <c r="A62" s="30" t="s">
        <v>19477</v>
      </c>
      <c r="B62" s="121">
        <v>3000623.0</v>
      </c>
      <c r="C62" s="30" t="s">
        <v>7649</v>
      </c>
      <c r="D62" s="30" t="s">
        <v>17217</v>
      </c>
      <c r="E62" s="30" t="s">
        <v>7651</v>
      </c>
      <c r="F62" s="30" t="s">
        <v>4687</v>
      </c>
      <c r="G62" s="30" t="s">
        <v>17218</v>
      </c>
      <c r="H62" s="30" t="s">
        <v>17219</v>
      </c>
      <c r="I62" s="122">
        <v>45748.0</v>
      </c>
      <c r="J62" s="30"/>
      <c r="K62" s="30" t="s">
        <v>3632</v>
      </c>
      <c r="L62" s="30" t="s">
        <v>991</v>
      </c>
      <c r="M62" s="30" t="s">
        <v>3501</v>
      </c>
      <c r="N62" s="30" t="s">
        <v>3632</v>
      </c>
      <c r="O62" s="30" t="s">
        <v>3632</v>
      </c>
      <c r="P62" s="30" t="s">
        <v>19456</v>
      </c>
      <c r="Q62" s="30" t="s">
        <v>691</v>
      </c>
      <c r="R62" s="30"/>
      <c r="S62" s="30"/>
      <c r="T62" s="30" t="s">
        <v>19478</v>
      </c>
      <c r="U62" s="30" t="s">
        <v>6078</v>
      </c>
      <c r="V62" s="121">
        <v>1.0</v>
      </c>
    </row>
    <row r="63">
      <c r="A63" s="30" t="s">
        <v>2296</v>
      </c>
      <c r="B63" s="121">
        <v>3000620.0</v>
      </c>
      <c r="C63" s="30" t="s">
        <v>13263</v>
      </c>
      <c r="D63" s="30" t="s">
        <v>17440</v>
      </c>
      <c r="E63" s="30" t="s">
        <v>13265</v>
      </c>
      <c r="F63" s="30" t="s">
        <v>10093</v>
      </c>
      <c r="G63" s="30" t="s">
        <v>17441</v>
      </c>
      <c r="H63" s="30" t="s">
        <v>17442</v>
      </c>
      <c r="I63" s="122">
        <v>45748.0</v>
      </c>
      <c r="J63" s="30"/>
      <c r="K63" s="30" t="s">
        <v>419</v>
      </c>
      <c r="L63" s="30" t="s">
        <v>991</v>
      </c>
      <c r="M63" s="30" t="s">
        <v>3501</v>
      </c>
      <c r="N63" s="30" t="s">
        <v>419</v>
      </c>
      <c r="O63" s="30" t="s">
        <v>19433</v>
      </c>
      <c r="P63" s="30" t="s">
        <v>648</v>
      </c>
      <c r="Q63" s="30" t="s">
        <v>662</v>
      </c>
      <c r="R63" s="30"/>
      <c r="S63" s="30"/>
      <c r="T63" s="30" t="s">
        <v>19479</v>
      </c>
      <c r="U63" s="30" t="s">
        <v>5585</v>
      </c>
      <c r="V63" s="121">
        <v>1.0</v>
      </c>
    </row>
    <row r="64">
      <c r="I64" s="123"/>
    </row>
    <row r="65">
      <c r="I65" s="123"/>
    </row>
    <row r="66">
      <c r="I66" s="123"/>
    </row>
    <row r="67">
      <c r="I67" s="123"/>
    </row>
    <row r="68">
      <c r="I68" s="123"/>
    </row>
    <row r="69">
      <c r="I69" s="123"/>
    </row>
    <row r="70">
      <c r="I70" s="123"/>
    </row>
    <row r="71">
      <c r="I71" s="123"/>
    </row>
    <row r="72">
      <c r="I72" s="123"/>
    </row>
    <row r="73">
      <c r="I73" s="123"/>
    </row>
    <row r="74">
      <c r="I74" s="123"/>
    </row>
    <row r="75">
      <c r="I75" s="123"/>
    </row>
    <row r="76">
      <c r="I76" s="123"/>
    </row>
    <row r="77">
      <c r="I77" s="119"/>
    </row>
    <row r="78">
      <c r="I78" s="119"/>
    </row>
    <row r="79">
      <c r="I79" s="119"/>
    </row>
    <row r="80">
      <c r="I80" s="119"/>
    </row>
    <row r="81">
      <c r="I81" s="119"/>
    </row>
    <row r="82">
      <c r="I82" s="119"/>
    </row>
    <row r="83">
      <c r="I83" s="119"/>
    </row>
    <row r="84">
      <c r="I84" s="119"/>
    </row>
    <row r="85">
      <c r="I85" s="119"/>
    </row>
    <row r="86">
      <c r="I86" s="119"/>
    </row>
    <row r="87">
      <c r="I87" s="119"/>
    </row>
    <row r="88">
      <c r="I88" s="119"/>
    </row>
    <row r="89">
      <c r="I89" s="119"/>
    </row>
    <row r="90">
      <c r="I90" s="119"/>
    </row>
    <row r="91">
      <c r="I91" s="119"/>
    </row>
    <row r="92">
      <c r="I92" s="119"/>
    </row>
    <row r="93">
      <c r="I93" s="119"/>
    </row>
    <row r="94">
      <c r="I94" s="119"/>
    </row>
    <row r="95">
      <c r="I95" s="119"/>
    </row>
    <row r="96">
      <c r="I96" s="119"/>
    </row>
    <row r="97">
      <c r="I97" s="119"/>
    </row>
    <row r="98">
      <c r="I98" s="119"/>
    </row>
    <row r="99">
      <c r="I99" s="119"/>
    </row>
    <row r="100">
      <c r="I100" s="119"/>
    </row>
    <row r="101">
      <c r="I101" s="119"/>
    </row>
    <row r="102">
      <c r="I102" s="119"/>
    </row>
    <row r="103">
      <c r="I103" s="119"/>
    </row>
    <row r="104">
      <c r="I104" s="119"/>
    </row>
    <row r="105">
      <c r="I105" s="119"/>
    </row>
    <row r="106">
      <c r="I106" s="119"/>
    </row>
    <row r="107">
      <c r="I107" s="119"/>
    </row>
    <row r="108">
      <c r="I108" s="119"/>
    </row>
    <row r="109">
      <c r="I109" s="119"/>
    </row>
    <row r="110">
      <c r="I110" s="119"/>
    </row>
    <row r="111">
      <c r="I111" s="119"/>
    </row>
    <row r="112">
      <c r="I112" s="119"/>
    </row>
    <row r="113">
      <c r="I113" s="119"/>
    </row>
    <row r="114">
      <c r="I114" s="119"/>
    </row>
    <row r="115">
      <c r="I115" s="119"/>
    </row>
    <row r="116">
      <c r="I116" s="119"/>
    </row>
    <row r="117">
      <c r="I117" s="119"/>
    </row>
    <row r="118">
      <c r="I118" s="119"/>
    </row>
    <row r="119">
      <c r="I119" s="119"/>
    </row>
    <row r="120">
      <c r="I120" s="119"/>
    </row>
    <row r="121">
      <c r="I121" s="119"/>
    </row>
    <row r="122">
      <c r="I122" s="119"/>
    </row>
    <row r="123">
      <c r="I123" s="119"/>
    </row>
    <row r="124">
      <c r="I124" s="119"/>
    </row>
    <row r="125">
      <c r="I125" s="119"/>
    </row>
    <row r="126">
      <c r="I126" s="119"/>
    </row>
    <row r="127">
      <c r="I127" s="119"/>
    </row>
    <row r="128">
      <c r="I128" s="119"/>
    </row>
    <row r="129">
      <c r="I129" s="119"/>
    </row>
    <row r="130">
      <c r="I130" s="119"/>
    </row>
    <row r="131">
      <c r="I131" s="119"/>
    </row>
    <row r="132">
      <c r="I132" s="119"/>
    </row>
    <row r="133">
      <c r="I133" s="119"/>
    </row>
    <row r="134">
      <c r="I134" s="119"/>
    </row>
    <row r="135">
      <c r="I135" s="119"/>
    </row>
    <row r="136">
      <c r="I136" s="119"/>
    </row>
    <row r="137">
      <c r="I137" s="119"/>
    </row>
    <row r="138">
      <c r="I138" s="119"/>
    </row>
    <row r="139">
      <c r="I139" s="119"/>
    </row>
    <row r="140">
      <c r="I140" s="119"/>
    </row>
    <row r="141">
      <c r="I141" s="119"/>
    </row>
    <row r="142">
      <c r="I142" s="119"/>
    </row>
    <row r="143">
      <c r="I143" s="119"/>
    </row>
    <row r="144">
      <c r="I144" s="119"/>
    </row>
    <row r="145">
      <c r="I145" s="119"/>
    </row>
    <row r="146">
      <c r="I146" s="119"/>
    </row>
    <row r="147">
      <c r="I147" s="119"/>
    </row>
    <row r="148">
      <c r="I148" s="119"/>
    </row>
    <row r="149">
      <c r="I149" s="119"/>
    </row>
    <row r="150">
      <c r="I150" s="119"/>
    </row>
    <row r="151">
      <c r="I151" s="119"/>
    </row>
    <row r="152">
      <c r="I152" s="119"/>
    </row>
    <row r="153">
      <c r="I153" s="119"/>
    </row>
    <row r="154">
      <c r="I154" s="119"/>
    </row>
    <row r="155">
      <c r="I155" s="119"/>
    </row>
    <row r="156">
      <c r="I156" s="119"/>
    </row>
    <row r="157">
      <c r="I157" s="119"/>
    </row>
    <row r="158">
      <c r="I158" s="119"/>
    </row>
    <row r="159">
      <c r="I159" s="119"/>
    </row>
    <row r="160">
      <c r="I160" s="119"/>
    </row>
    <row r="161">
      <c r="I161" s="119"/>
    </row>
    <row r="162">
      <c r="I162" s="119"/>
    </row>
    <row r="163">
      <c r="I163" s="119"/>
    </row>
    <row r="164">
      <c r="I164" s="119"/>
    </row>
    <row r="165">
      <c r="I165" s="119"/>
    </row>
    <row r="166">
      <c r="I166" s="119"/>
    </row>
    <row r="167">
      <c r="I167" s="119"/>
    </row>
    <row r="168">
      <c r="I168" s="119"/>
    </row>
    <row r="169">
      <c r="I169" s="119"/>
    </row>
    <row r="170">
      <c r="I170" s="119"/>
    </row>
    <row r="171">
      <c r="I171" s="119"/>
    </row>
    <row r="172">
      <c r="I172" s="119"/>
    </row>
    <row r="173">
      <c r="I173" s="119"/>
    </row>
    <row r="174">
      <c r="I174" s="119"/>
    </row>
    <row r="175">
      <c r="I175" s="119"/>
    </row>
    <row r="176">
      <c r="I176" s="119"/>
    </row>
    <row r="177">
      <c r="I177" s="119"/>
    </row>
    <row r="178">
      <c r="I178" s="119"/>
    </row>
    <row r="179">
      <c r="I179" s="119"/>
    </row>
    <row r="180">
      <c r="I180" s="119"/>
    </row>
    <row r="181">
      <c r="I181" s="119"/>
    </row>
    <row r="182">
      <c r="I182" s="119"/>
    </row>
    <row r="183">
      <c r="I183" s="119"/>
    </row>
    <row r="184">
      <c r="I184" s="119"/>
    </row>
    <row r="185">
      <c r="I185" s="119"/>
    </row>
    <row r="186">
      <c r="I186" s="119"/>
    </row>
    <row r="187">
      <c r="I187" s="119"/>
    </row>
    <row r="188">
      <c r="I188" s="119"/>
    </row>
    <row r="189">
      <c r="I189" s="119"/>
    </row>
    <row r="190">
      <c r="I190" s="119"/>
    </row>
    <row r="191">
      <c r="I191" s="119"/>
    </row>
    <row r="192">
      <c r="I192" s="119"/>
    </row>
    <row r="193">
      <c r="I193" s="119"/>
    </row>
    <row r="194">
      <c r="I194" s="119"/>
    </row>
    <row r="195">
      <c r="I195" s="119"/>
    </row>
    <row r="196">
      <c r="I196" s="119"/>
    </row>
    <row r="197">
      <c r="I197" s="119"/>
    </row>
    <row r="198">
      <c r="I198" s="119"/>
    </row>
    <row r="199">
      <c r="I199" s="119"/>
    </row>
    <row r="200">
      <c r="I200" s="119"/>
    </row>
    <row r="201">
      <c r="I201" s="119"/>
    </row>
    <row r="202">
      <c r="I202" s="119"/>
    </row>
    <row r="203">
      <c r="I203" s="119"/>
    </row>
    <row r="204">
      <c r="I204" s="119"/>
    </row>
    <row r="205">
      <c r="I205" s="119"/>
    </row>
    <row r="206">
      <c r="I206" s="119"/>
    </row>
    <row r="207">
      <c r="I207" s="119"/>
    </row>
    <row r="208">
      <c r="I208" s="119"/>
    </row>
    <row r="209">
      <c r="I209" s="119"/>
    </row>
    <row r="210">
      <c r="I210" s="119"/>
    </row>
    <row r="211">
      <c r="I211" s="119"/>
    </row>
    <row r="212">
      <c r="I212" s="119"/>
    </row>
    <row r="213">
      <c r="I213" s="119"/>
    </row>
    <row r="214">
      <c r="I214" s="119"/>
    </row>
    <row r="215">
      <c r="I215" s="119"/>
    </row>
    <row r="216">
      <c r="I216" s="119"/>
    </row>
    <row r="217">
      <c r="I217" s="119"/>
    </row>
    <row r="218">
      <c r="I218" s="119"/>
    </row>
    <row r="219">
      <c r="I219" s="119"/>
    </row>
    <row r="220">
      <c r="I220" s="119"/>
    </row>
    <row r="221">
      <c r="I221" s="119"/>
    </row>
    <row r="222">
      <c r="I222" s="119"/>
    </row>
    <row r="223">
      <c r="I223" s="119"/>
    </row>
    <row r="224">
      <c r="I224" s="119"/>
    </row>
    <row r="225">
      <c r="I225" s="119"/>
    </row>
    <row r="226">
      <c r="I226" s="119"/>
    </row>
    <row r="227">
      <c r="I227" s="119"/>
    </row>
    <row r="228">
      <c r="I228" s="119"/>
    </row>
    <row r="229">
      <c r="I229" s="119"/>
    </row>
    <row r="230">
      <c r="I230" s="119"/>
    </row>
    <row r="231">
      <c r="I231" s="119"/>
    </row>
    <row r="232">
      <c r="I232" s="119"/>
    </row>
    <row r="233">
      <c r="I233" s="119"/>
    </row>
    <row r="234">
      <c r="I234" s="119"/>
    </row>
    <row r="235">
      <c r="I235" s="119"/>
    </row>
    <row r="236">
      <c r="I236" s="119"/>
    </row>
    <row r="237">
      <c r="I237" s="119"/>
    </row>
    <row r="238">
      <c r="I238" s="119"/>
    </row>
    <row r="239">
      <c r="I239" s="119"/>
    </row>
    <row r="240">
      <c r="I240" s="119"/>
    </row>
    <row r="241">
      <c r="I241" s="119"/>
    </row>
    <row r="242">
      <c r="I242" s="119"/>
    </row>
    <row r="243">
      <c r="I243" s="119"/>
    </row>
    <row r="244">
      <c r="I244" s="119"/>
    </row>
    <row r="245">
      <c r="I245" s="119"/>
    </row>
    <row r="246">
      <c r="I246" s="119"/>
    </row>
    <row r="247">
      <c r="I247" s="119"/>
    </row>
    <row r="248">
      <c r="I248" s="119"/>
    </row>
    <row r="249">
      <c r="I249" s="119"/>
    </row>
    <row r="250">
      <c r="I250" s="119"/>
    </row>
    <row r="251">
      <c r="I251" s="119"/>
    </row>
    <row r="252">
      <c r="I252" s="119"/>
    </row>
    <row r="253">
      <c r="I253" s="119"/>
    </row>
    <row r="254">
      <c r="I254" s="119"/>
    </row>
    <row r="255">
      <c r="I255" s="119"/>
    </row>
    <row r="256">
      <c r="I256" s="119"/>
    </row>
    <row r="257">
      <c r="I257" s="119"/>
    </row>
    <row r="258">
      <c r="I258" s="119"/>
    </row>
    <row r="259">
      <c r="I259" s="119"/>
    </row>
    <row r="260">
      <c r="I260" s="119"/>
    </row>
    <row r="261">
      <c r="I261" s="119"/>
    </row>
    <row r="262">
      <c r="I262" s="119"/>
    </row>
    <row r="263">
      <c r="I263" s="119"/>
    </row>
    <row r="264">
      <c r="I264" s="119"/>
    </row>
    <row r="265">
      <c r="I265" s="119"/>
    </row>
    <row r="266">
      <c r="I266" s="119"/>
    </row>
    <row r="267">
      <c r="I267" s="119"/>
    </row>
    <row r="268">
      <c r="I268" s="119"/>
    </row>
    <row r="269">
      <c r="I269" s="119"/>
    </row>
    <row r="270">
      <c r="I270" s="119"/>
    </row>
    <row r="271">
      <c r="I271" s="119"/>
    </row>
    <row r="272">
      <c r="I272" s="119"/>
    </row>
    <row r="273">
      <c r="I273" s="119"/>
    </row>
    <row r="274">
      <c r="I274" s="119"/>
    </row>
    <row r="275">
      <c r="I275" s="119"/>
    </row>
    <row r="276">
      <c r="I276" s="119"/>
    </row>
    <row r="277">
      <c r="I277" s="119"/>
    </row>
    <row r="278">
      <c r="I278" s="119"/>
    </row>
    <row r="279">
      <c r="I279" s="119"/>
    </row>
    <row r="280">
      <c r="I280" s="119"/>
    </row>
    <row r="281">
      <c r="I281" s="119"/>
    </row>
    <row r="282">
      <c r="I282" s="119"/>
    </row>
    <row r="283">
      <c r="I283" s="119"/>
    </row>
    <row r="284">
      <c r="I284" s="119"/>
    </row>
    <row r="285">
      <c r="I285" s="119"/>
    </row>
    <row r="286">
      <c r="I286" s="119"/>
    </row>
    <row r="287">
      <c r="I287" s="119"/>
    </row>
    <row r="288">
      <c r="I288" s="119"/>
    </row>
    <row r="289">
      <c r="I289" s="119"/>
    </row>
    <row r="290">
      <c r="I290" s="119"/>
    </row>
    <row r="291">
      <c r="I291" s="119"/>
    </row>
    <row r="292">
      <c r="I292" s="119"/>
    </row>
    <row r="293">
      <c r="I293" s="119"/>
    </row>
    <row r="294">
      <c r="I294" s="119"/>
    </row>
    <row r="295">
      <c r="I295" s="119"/>
    </row>
    <row r="296">
      <c r="I296" s="119"/>
    </row>
    <row r="297">
      <c r="I297" s="119"/>
    </row>
    <row r="298">
      <c r="I298" s="119"/>
    </row>
    <row r="299">
      <c r="I299" s="119"/>
    </row>
    <row r="300">
      <c r="I300" s="119"/>
    </row>
    <row r="301">
      <c r="I301" s="119"/>
    </row>
    <row r="302">
      <c r="I302" s="119"/>
    </row>
    <row r="303">
      <c r="I303" s="119"/>
    </row>
    <row r="304">
      <c r="I304" s="119"/>
    </row>
    <row r="305">
      <c r="I305" s="119"/>
    </row>
    <row r="306">
      <c r="I306" s="119"/>
    </row>
    <row r="307">
      <c r="I307" s="119"/>
    </row>
    <row r="308">
      <c r="I308" s="119"/>
    </row>
    <row r="309">
      <c r="I309" s="119"/>
    </row>
    <row r="310">
      <c r="I310" s="119"/>
    </row>
    <row r="311">
      <c r="I311" s="119"/>
    </row>
    <row r="312">
      <c r="I312" s="119"/>
    </row>
    <row r="313">
      <c r="I313" s="119"/>
    </row>
    <row r="314">
      <c r="I314" s="119"/>
    </row>
    <row r="315">
      <c r="I315" s="119"/>
    </row>
    <row r="316">
      <c r="I316" s="119"/>
    </row>
    <row r="317">
      <c r="I317" s="119"/>
    </row>
    <row r="318">
      <c r="I318" s="119"/>
    </row>
    <row r="319">
      <c r="I319" s="119"/>
    </row>
    <row r="320">
      <c r="I320" s="119"/>
    </row>
    <row r="321">
      <c r="I321" s="119"/>
    </row>
    <row r="322">
      <c r="I322" s="119"/>
    </row>
    <row r="323">
      <c r="I323" s="119"/>
    </row>
    <row r="324">
      <c r="I324" s="119"/>
    </row>
    <row r="325">
      <c r="I325" s="119"/>
    </row>
    <row r="326">
      <c r="I326" s="119"/>
    </row>
    <row r="327">
      <c r="I327" s="119"/>
    </row>
    <row r="328">
      <c r="I328" s="119"/>
    </row>
    <row r="329">
      <c r="I329" s="119"/>
    </row>
    <row r="330">
      <c r="I330" s="119"/>
    </row>
    <row r="331">
      <c r="I331" s="119"/>
    </row>
    <row r="332">
      <c r="I332" s="119"/>
    </row>
    <row r="333">
      <c r="I333" s="119"/>
    </row>
    <row r="334">
      <c r="I334" s="119"/>
    </row>
    <row r="335">
      <c r="I335" s="119"/>
    </row>
    <row r="336">
      <c r="I336" s="119"/>
    </row>
    <row r="337">
      <c r="I337" s="119"/>
    </row>
    <row r="338">
      <c r="I338" s="119"/>
    </row>
    <row r="339">
      <c r="I339" s="119"/>
    </row>
    <row r="340">
      <c r="I340" s="119"/>
    </row>
    <row r="341">
      <c r="I341" s="119"/>
    </row>
    <row r="342">
      <c r="I342" s="119"/>
    </row>
    <row r="343">
      <c r="I343" s="119"/>
    </row>
    <row r="344">
      <c r="I344" s="119"/>
    </row>
    <row r="345">
      <c r="I345" s="119"/>
    </row>
    <row r="346">
      <c r="I346" s="119"/>
    </row>
    <row r="347">
      <c r="I347" s="119"/>
    </row>
    <row r="348">
      <c r="I348" s="119"/>
    </row>
    <row r="349">
      <c r="I349" s="119"/>
    </row>
    <row r="350">
      <c r="I350" s="119"/>
    </row>
    <row r="351">
      <c r="I351" s="119"/>
    </row>
    <row r="352">
      <c r="I352" s="119"/>
    </row>
    <row r="353">
      <c r="I353" s="119"/>
    </row>
    <row r="354">
      <c r="I354" s="119"/>
    </row>
    <row r="355">
      <c r="I355" s="119"/>
    </row>
    <row r="356">
      <c r="I356" s="119"/>
    </row>
    <row r="357">
      <c r="I357" s="119"/>
    </row>
    <row r="358">
      <c r="I358" s="119"/>
    </row>
    <row r="359">
      <c r="I359" s="119"/>
    </row>
    <row r="360">
      <c r="I360" s="119"/>
    </row>
    <row r="361">
      <c r="I361" s="119"/>
    </row>
    <row r="362">
      <c r="I362" s="119"/>
    </row>
    <row r="363">
      <c r="I363" s="119"/>
    </row>
    <row r="364">
      <c r="I364" s="119"/>
    </row>
    <row r="365">
      <c r="I365" s="119"/>
    </row>
    <row r="366">
      <c r="I366" s="119"/>
    </row>
    <row r="367">
      <c r="I367" s="119"/>
    </row>
    <row r="368">
      <c r="I368" s="119"/>
    </row>
    <row r="369">
      <c r="I369" s="119"/>
    </row>
    <row r="370">
      <c r="I370" s="119"/>
    </row>
    <row r="371">
      <c r="I371" s="119"/>
    </row>
    <row r="372">
      <c r="I372" s="119"/>
    </row>
    <row r="373">
      <c r="I373" s="119"/>
    </row>
    <row r="374">
      <c r="I374" s="119"/>
    </row>
    <row r="375">
      <c r="I375" s="119"/>
    </row>
    <row r="376">
      <c r="I376" s="119"/>
    </row>
    <row r="377">
      <c r="I377" s="119"/>
    </row>
    <row r="378">
      <c r="I378" s="119"/>
    </row>
    <row r="379">
      <c r="I379" s="119"/>
    </row>
    <row r="380">
      <c r="I380" s="119"/>
    </row>
    <row r="381">
      <c r="I381" s="119"/>
    </row>
    <row r="382">
      <c r="I382" s="119"/>
    </row>
    <row r="383">
      <c r="I383" s="119"/>
    </row>
    <row r="384">
      <c r="I384" s="119"/>
    </row>
    <row r="385">
      <c r="I385" s="119"/>
    </row>
    <row r="386">
      <c r="I386" s="119"/>
    </row>
    <row r="387">
      <c r="I387" s="119"/>
    </row>
    <row r="388">
      <c r="I388" s="119"/>
    </row>
    <row r="389">
      <c r="I389" s="119"/>
    </row>
    <row r="390">
      <c r="I390" s="119"/>
    </row>
    <row r="391">
      <c r="I391" s="119"/>
    </row>
    <row r="392">
      <c r="I392" s="119"/>
    </row>
    <row r="393">
      <c r="I393" s="119"/>
    </row>
    <row r="394">
      <c r="I394" s="119"/>
    </row>
    <row r="395">
      <c r="I395" s="119"/>
    </row>
    <row r="396">
      <c r="I396" s="119"/>
    </row>
    <row r="397">
      <c r="I397" s="119"/>
    </row>
    <row r="398">
      <c r="I398" s="119"/>
    </row>
    <row r="399">
      <c r="I399" s="119"/>
    </row>
    <row r="400">
      <c r="I400" s="119"/>
    </row>
    <row r="401">
      <c r="I401" s="119"/>
    </row>
    <row r="402">
      <c r="I402" s="119"/>
    </row>
    <row r="403">
      <c r="I403" s="119"/>
    </row>
    <row r="404">
      <c r="I404" s="119"/>
    </row>
    <row r="405">
      <c r="I405" s="119"/>
    </row>
    <row r="406">
      <c r="I406" s="119"/>
    </row>
    <row r="407">
      <c r="I407" s="119"/>
    </row>
    <row r="408">
      <c r="I408" s="119"/>
    </row>
    <row r="409">
      <c r="I409" s="119"/>
    </row>
    <row r="410">
      <c r="I410" s="119"/>
    </row>
    <row r="411">
      <c r="I411" s="119"/>
    </row>
    <row r="412">
      <c r="I412" s="119"/>
    </row>
    <row r="413">
      <c r="I413" s="119"/>
    </row>
    <row r="414">
      <c r="I414" s="119"/>
    </row>
    <row r="415">
      <c r="I415" s="119"/>
    </row>
    <row r="416">
      <c r="I416" s="119"/>
    </row>
    <row r="417">
      <c r="I417" s="119"/>
    </row>
    <row r="418">
      <c r="I418" s="119"/>
    </row>
    <row r="419">
      <c r="I419" s="119"/>
    </row>
    <row r="420">
      <c r="I420" s="119"/>
    </row>
    <row r="421">
      <c r="I421" s="119"/>
    </row>
    <row r="422">
      <c r="I422" s="119"/>
    </row>
    <row r="423">
      <c r="I423" s="119"/>
    </row>
    <row r="424">
      <c r="I424" s="119"/>
    </row>
    <row r="425">
      <c r="I425" s="119"/>
    </row>
    <row r="426">
      <c r="I426" s="119"/>
    </row>
    <row r="427">
      <c r="I427" s="119"/>
    </row>
    <row r="428">
      <c r="I428" s="119"/>
    </row>
    <row r="429">
      <c r="I429" s="119"/>
    </row>
    <row r="430">
      <c r="I430" s="119"/>
    </row>
    <row r="431">
      <c r="I431" s="119"/>
    </row>
    <row r="432">
      <c r="I432" s="119"/>
    </row>
    <row r="433">
      <c r="I433" s="119"/>
    </row>
    <row r="434">
      <c r="I434" s="119"/>
    </row>
    <row r="435">
      <c r="I435" s="119"/>
    </row>
    <row r="436">
      <c r="I436" s="119"/>
    </row>
    <row r="437">
      <c r="I437" s="119"/>
    </row>
    <row r="438">
      <c r="I438" s="119"/>
    </row>
    <row r="439">
      <c r="I439" s="119"/>
    </row>
    <row r="440">
      <c r="I440" s="119"/>
    </row>
    <row r="441">
      <c r="I441" s="119"/>
    </row>
    <row r="442">
      <c r="I442" s="119"/>
    </row>
    <row r="443">
      <c r="I443" s="119"/>
    </row>
    <row r="444">
      <c r="I444" s="119"/>
    </row>
    <row r="445">
      <c r="I445" s="119"/>
    </row>
    <row r="446">
      <c r="I446" s="119"/>
    </row>
    <row r="447">
      <c r="I447" s="119"/>
    </row>
    <row r="448">
      <c r="I448" s="119"/>
    </row>
    <row r="449">
      <c r="I449" s="119"/>
    </row>
    <row r="450">
      <c r="I450" s="119"/>
    </row>
    <row r="451">
      <c r="I451" s="119"/>
    </row>
    <row r="452">
      <c r="I452" s="119"/>
    </row>
    <row r="453">
      <c r="I453" s="119"/>
    </row>
    <row r="454">
      <c r="I454" s="119"/>
    </row>
    <row r="455">
      <c r="I455" s="119"/>
    </row>
    <row r="456">
      <c r="I456" s="119"/>
    </row>
    <row r="457">
      <c r="I457" s="119"/>
    </row>
    <row r="458">
      <c r="I458" s="119"/>
    </row>
    <row r="459">
      <c r="I459" s="119"/>
    </row>
    <row r="460">
      <c r="I460" s="119"/>
    </row>
    <row r="461">
      <c r="I461" s="119"/>
    </row>
    <row r="462">
      <c r="I462" s="119"/>
    </row>
    <row r="463">
      <c r="I463" s="119"/>
    </row>
    <row r="464">
      <c r="I464" s="119"/>
    </row>
    <row r="465">
      <c r="I465" s="119"/>
    </row>
    <row r="466">
      <c r="I466" s="119"/>
    </row>
    <row r="467">
      <c r="I467" s="119"/>
    </row>
    <row r="468">
      <c r="I468" s="119"/>
    </row>
    <row r="469">
      <c r="I469" s="119"/>
    </row>
    <row r="470">
      <c r="I470" s="119"/>
    </row>
    <row r="471">
      <c r="I471" s="119"/>
    </row>
    <row r="472">
      <c r="I472" s="119"/>
    </row>
    <row r="473">
      <c r="I473" s="119"/>
    </row>
    <row r="474">
      <c r="I474" s="119"/>
    </row>
    <row r="475">
      <c r="I475" s="119"/>
    </row>
    <row r="476">
      <c r="I476" s="119"/>
    </row>
    <row r="477">
      <c r="I477" s="119"/>
    </row>
    <row r="478">
      <c r="I478" s="119"/>
    </row>
    <row r="479">
      <c r="I479" s="119"/>
    </row>
    <row r="480">
      <c r="I480" s="119"/>
    </row>
    <row r="481">
      <c r="I481" s="119"/>
    </row>
    <row r="482">
      <c r="I482" s="119"/>
    </row>
    <row r="483">
      <c r="I483" s="119"/>
    </row>
    <row r="484">
      <c r="I484" s="119"/>
    </row>
    <row r="485">
      <c r="I485" s="119"/>
    </row>
    <row r="486">
      <c r="I486" s="119"/>
    </row>
    <row r="487">
      <c r="I487" s="119"/>
    </row>
    <row r="488">
      <c r="I488" s="119"/>
    </row>
    <row r="489">
      <c r="I489" s="119"/>
    </row>
    <row r="490">
      <c r="I490" s="119"/>
    </row>
    <row r="491">
      <c r="I491" s="119"/>
    </row>
    <row r="492">
      <c r="I492" s="119"/>
    </row>
    <row r="493">
      <c r="I493" s="119"/>
    </row>
    <row r="494">
      <c r="I494" s="119"/>
    </row>
    <row r="495">
      <c r="I495" s="119"/>
    </row>
    <row r="496">
      <c r="I496" s="119"/>
    </row>
    <row r="497">
      <c r="I497" s="119"/>
    </row>
    <row r="498">
      <c r="I498" s="119"/>
    </row>
    <row r="499">
      <c r="I499" s="119"/>
    </row>
    <row r="500">
      <c r="I500" s="119"/>
    </row>
    <row r="501">
      <c r="I501" s="119"/>
    </row>
    <row r="502">
      <c r="I502" s="119"/>
    </row>
    <row r="503">
      <c r="I503" s="119"/>
    </row>
    <row r="504">
      <c r="I504" s="119"/>
    </row>
    <row r="505">
      <c r="I505" s="119"/>
    </row>
    <row r="506">
      <c r="I506" s="119"/>
    </row>
    <row r="507">
      <c r="I507" s="119"/>
    </row>
    <row r="508">
      <c r="I508" s="119"/>
    </row>
    <row r="509">
      <c r="I509" s="119"/>
    </row>
    <row r="510">
      <c r="I510" s="119"/>
    </row>
    <row r="511">
      <c r="I511" s="119"/>
    </row>
    <row r="512">
      <c r="I512" s="119"/>
    </row>
    <row r="513">
      <c r="I513" s="119"/>
    </row>
    <row r="514">
      <c r="I514" s="119"/>
    </row>
    <row r="515">
      <c r="I515" s="119"/>
    </row>
    <row r="516">
      <c r="I516" s="119"/>
    </row>
    <row r="517">
      <c r="I517" s="119"/>
    </row>
    <row r="518">
      <c r="I518" s="119"/>
    </row>
    <row r="519">
      <c r="I519" s="119"/>
    </row>
    <row r="520">
      <c r="I520" s="119"/>
    </row>
    <row r="521">
      <c r="I521" s="119"/>
    </row>
    <row r="522">
      <c r="I522" s="119"/>
    </row>
    <row r="523">
      <c r="I523" s="119"/>
    </row>
    <row r="524">
      <c r="I524" s="119"/>
    </row>
    <row r="525">
      <c r="I525" s="119"/>
    </row>
    <row r="526">
      <c r="I526" s="119"/>
    </row>
    <row r="527">
      <c r="I527" s="119"/>
    </row>
    <row r="528">
      <c r="I528" s="119"/>
    </row>
    <row r="529">
      <c r="I529" s="119"/>
    </row>
    <row r="530">
      <c r="I530" s="119"/>
    </row>
    <row r="531">
      <c r="I531" s="119"/>
    </row>
    <row r="532">
      <c r="I532" s="119"/>
    </row>
    <row r="533">
      <c r="I533" s="119"/>
    </row>
    <row r="534">
      <c r="I534" s="119"/>
    </row>
    <row r="535">
      <c r="I535" s="119"/>
    </row>
    <row r="536">
      <c r="I536" s="119"/>
    </row>
    <row r="537">
      <c r="I537" s="119"/>
    </row>
    <row r="538">
      <c r="I538" s="119"/>
    </row>
    <row r="539">
      <c r="I539" s="119"/>
    </row>
    <row r="540">
      <c r="I540" s="119"/>
    </row>
    <row r="541">
      <c r="I541" s="119"/>
    </row>
    <row r="542">
      <c r="I542" s="119"/>
    </row>
    <row r="543">
      <c r="I543" s="119"/>
    </row>
    <row r="544">
      <c r="I544" s="119"/>
    </row>
    <row r="545">
      <c r="I545" s="119"/>
    </row>
    <row r="546">
      <c r="I546" s="119"/>
    </row>
    <row r="547">
      <c r="I547" s="119"/>
    </row>
    <row r="548">
      <c r="I548" s="119"/>
    </row>
    <row r="549">
      <c r="I549" s="119"/>
    </row>
    <row r="550">
      <c r="I550" s="119"/>
    </row>
    <row r="551">
      <c r="I551" s="119"/>
    </row>
    <row r="552">
      <c r="I552" s="119"/>
    </row>
    <row r="553">
      <c r="I553" s="119"/>
    </row>
    <row r="554">
      <c r="I554" s="119"/>
    </row>
    <row r="555">
      <c r="I555" s="119"/>
    </row>
    <row r="556">
      <c r="I556" s="119"/>
    </row>
    <row r="557">
      <c r="I557" s="119"/>
    </row>
    <row r="558">
      <c r="I558" s="119"/>
    </row>
    <row r="559">
      <c r="I559" s="119"/>
    </row>
    <row r="560">
      <c r="I560" s="119"/>
    </row>
    <row r="561">
      <c r="I561" s="119"/>
    </row>
    <row r="562">
      <c r="I562" s="119"/>
    </row>
    <row r="563">
      <c r="I563" s="119"/>
    </row>
    <row r="564">
      <c r="I564" s="119"/>
    </row>
    <row r="565">
      <c r="I565" s="119"/>
    </row>
    <row r="566">
      <c r="I566" s="119"/>
    </row>
    <row r="567">
      <c r="I567" s="119"/>
    </row>
    <row r="568">
      <c r="I568" s="119"/>
    </row>
    <row r="569">
      <c r="I569" s="119"/>
    </row>
    <row r="570">
      <c r="I570" s="119"/>
    </row>
    <row r="571">
      <c r="I571" s="119"/>
    </row>
    <row r="572">
      <c r="I572" s="119"/>
    </row>
    <row r="573">
      <c r="I573" s="119"/>
    </row>
    <row r="574">
      <c r="I574" s="119"/>
    </row>
    <row r="575">
      <c r="I575" s="119"/>
    </row>
    <row r="576">
      <c r="I576" s="119"/>
    </row>
    <row r="577">
      <c r="I577" s="119"/>
    </row>
    <row r="578">
      <c r="I578" s="119"/>
    </row>
    <row r="579">
      <c r="I579" s="119"/>
    </row>
    <row r="580">
      <c r="I580" s="119"/>
    </row>
    <row r="581">
      <c r="I581" s="119"/>
    </row>
    <row r="582">
      <c r="I582" s="119"/>
    </row>
    <row r="583">
      <c r="I583" s="119"/>
    </row>
    <row r="584">
      <c r="I584" s="119"/>
    </row>
    <row r="585">
      <c r="I585" s="119"/>
    </row>
    <row r="586">
      <c r="I586" s="119"/>
    </row>
    <row r="587">
      <c r="I587" s="119"/>
    </row>
    <row r="588">
      <c r="I588" s="119"/>
    </row>
    <row r="589">
      <c r="I589" s="119"/>
    </row>
    <row r="590">
      <c r="I590" s="119"/>
    </row>
    <row r="591">
      <c r="I591" s="119"/>
    </row>
    <row r="592">
      <c r="I592" s="119"/>
    </row>
    <row r="593">
      <c r="I593" s="119"/>
    </row>
    <row r="594">
      <c r="I594" s="119"/>
    </row>
    <row r="595">
      <c r="I595" s="119"/>
    </row>
    <row r="596">
      <c r="I596" s="119"/>
    </row>
    <row r="597">
      <c r="I597" s="119"/>
    </row>
    <row r="598">
      <c r="I598" s="119"/>
    </row>
    <row r="599">
      <c r="I599" s="119"/>
    </row>
    <row r="600">
      <c r="I600" s="119"/>
    </row>
    <row r="601">
      <c r="I601" s="119"/>
    </row>
    <row r="602">
      <c r="I602" s="119"/>
    </row>
    <row r="603">
      <c r="I603" s="119"/>
    </row>
    <row r="604">
      <c r="I604" s="119"/>
    </row>
    <row r="605">
      <c r="I605" s="119"/>
    </row>
    <row r="606">
      <c r="I606" s="119"/>
    </row>
    <row r="607">
      <c r="I607" s="119"/>
    </row>
    <row r="608">
      <c r="I608" s="119"/>
    </row>
    <row r="609">
      <c r="I609" s="119"/>
    </row>
    <row r="610">
      <c r="I610" s="119"/>
    </row>
    <row r="611">
      <c r="I611" s="119"/>
    </row>
    <row r="612">
      <c r="I612" s="119"/>
    </row>
    <row r="613">
      <c r="I613" s="119"/>
    </row>
    <row r="614">
      <c r="I614" s="119"/>
    </row>
    <row r="615">
      <c r="I615" s="119"/>
    </row>
    <row r="616">
      <c r="I616" s="119"/>
    </row>
    <row r="617">
      <c r="I617" s="119"/>
    </row>
    <row r="618">
      <c r="I618" s="119"/>
    </row>
    <row r="619">
      <c r="I619" s="119"/>
    </row>
    <row r="620">
      <c r="I620" s="119"/>
    </row>
    <row r="621">
      <c r="I621" s="119"/>
    </row>
    <row r="622">
      <c r="I622" s="119"/>
    </row>
    <row r="623">
      <c r="I623" s="119"/>
    </row>
    <row r="624">
      <c r="I624" s="119"/>
    </row>
    <row r="625">
      <c r="I625" s="119"/>
    </row>
    <row r="626">
      <c r="I626" s="119"/>
    </row>
    <row r="627">
      <c r="I627" s="119"/>
    </row>
    <row r="628">
      <c r="I628" s="119"/>
    </row>
    <row r="629">
      <c r="I629" s="119"/>
    </row>
    <row r="630">
      <c r="I630" s="119"/>
    </row>
    <row r="631">
      <c r="I631" s="119"/>
    </row>
    <row r="632">
      <c r="I632" s="119"/>
    </row>
    <row r="633">
      <c r="I633" s="119"/>
    </row>
    <row r="634">
      <c r="I634" s="119"/>
    </row>
    <row r="635">
      <c r="I635" s="119"/>
    </row>
    <row r="636">
      <c r="I636" s="119"/>
    </row>
    <row r="637">
      <c r="I637" s="119"/>
    </row>
    <row r="638">
      <c r="I638" s="119"/>
    </row>
    <row r="639">
      <c r="I639" s="119"/>
    </row>
    <row r="640">
      <c r="I640" s="119"/>
    </row>
    <row r="641">
      <c r="I641" s="119"/>
    </row>
    <row r="642">
      <c r="I642" s="119"/>
    </row>
    <row r="643">
      <c r="I643" s="119"/>
    </row>
    <row r="644">
      <c r="I644" s="119"/>
    </row>
    <row r="645">
      <c r="I645" s="119"/>
    </row>
    <row r="646">
      <c r="I646" s="119"/>
    </row>
    <row r="647">
      <c r="I647" s="119"/>
    </row>
    <row r="648">
      <c r="I648" s="119"/>
    </row>
    <row r="649">
      <c r="I649" s="119"/>
    </row>
    <row r="650">
      <c r="I650" s="119"/>
    </row>
    <row r="651">
      <c r="I651" s="119"/>
    </row>
    <row r="652">
      <c r="I652" s="119"/>
    </row>
    <row r="653">
      <c r="I653" s="119"/>
    </row>
    <row r="654">
      <c r="I654" s="119"/>
    </row>
    <row r="655">
      <c r="I655" s="119"/>
    </row>
    <row r="656">
      <c r="I656" s="119"/>
    </row>
    <row r="657">
      <c r="I657" s="119"/>
    </row>
    <row r="658">
      <c r="I658" s="119"/>
    </row>
    <row r="659">
      <c r="I659" s="119"/>
    </row>
    <row r="660">
      <c r="I660" s="119"/>
    </row>
    <row r="661">
      <c r="I661" s="119"/>
    </row>
    <row r="662">
      <c r="I662" s="119"/>
    </row>
    <row r="663">
      <c r="I663" s="119"/>
    </row>
    <row r="664">
      <c r="I664" s="119"/>
    </row>
    <row r="665">
      <c r="I665" s="119"/>
    </row>
    <row r="666">
      <c r="I666" s="119"/>
    </row>
    <row r="667">
      <c r="I667" s="119"/>
    </row>
    <row r="668">
      <c r="I668" s="119"/>
    </row>
    <row r="669">
      <c r="I669" s="119"/>
    </row>
    <row r="670">
      <c r="I670" s="119"/>
    </row>
    <row r="671">
      <c r="I671" s="119"/>
    </row>
    <row r="672">
      <c r="I672" s="119"/>
    </row>
    <row r="673">
      <c r="I673" s="119"/>
    </row>
    <row r="674">
      <c r="I674" s="119"/>
    </row>
    <row r="675">
      <c r="I675" s="119"/>
    </row>
    <row r="676">
      <c r="I676" s="119"/>
    </row>
    <row r="677">
      <c r="I677" s="119"/>
    </row>
    <row r="678">
      <c r="I678" s="119"/>
    </row>
    <row r="679">
      <c r="I679" s="119"/>
    </row>
    <row r="680">
      <c r="I680" s="119"/>
    </row>
    <row r="681">
      <c r="I681" s="119"/>
    </row>
    <row r="682">
      <c r="I682" s="119"/>
    </row>
    <row r="683">
      <c r="I683" s="119"/>
    </row>
    <row r="684">
      <c r="I684" s="119"/>
    </row>
    <row r="685">
      <c r="I685" s="119"/>
    </row>
    <row r="686">
      <c r="I686" s="119"/>
    </row>
    <row r="687">
      <c r="I687" s="119"/>
    </row>
    <row r="688">
      <c r="I688" s="119"/>
    </row>
    <row r="689">
      <c r="I689" s="119"/>
    </row>
    <row r="690">
      <c r="I690" s="119"/>
    </row>
    <row r="691">
      <c r="I691" s="119"/>
    </row>
    <row r="692">
      <c r="I692" s="119"/>
    </row>
    <row r="693">
      <c r="I693" s="119"/>
    </row>
    <row r="694">
      <c r="I694" s="119"/>
    </row>
    <row r="695">
      <c r="I695" s="119"/>
    </row>
    <row r="696">
      <c r="I696" s="119"/>
    </row>
    <row r="697">
      <c r="I697" s="119"/>
    </row>
    <row r="698">
      <c r="I698" s="119"/>
    </row>
    <row r="699">
      <c r="I699" s="119"/>
    </row>
    <row r="700">
      <c r="I700" s="119"/>
    </row>
    <row r="701">
      <c r="I701" s="119"/>
    </row>
    <row r="702">
      <c r="I702" s="119"/>
    </row>
    <row r="703">
      <c r="I703" s="119"/>
    </row>
    <row r="704">
      <c r="I704" s="119"/>
    </row>
    <row r="705">
      <c r="I705" s="119"/>
    </row>
    <row r="706">
      <c r="I706" s="119"/>
    </row>
    <row r="707">
      <c r="I707" s="119"/>
    </row>
    <row r="708">
      <c r="I708" s="119"/>
    </row>
    <row r="709">
      <c r="I709" s="119"/>
    </row>
    <row r="710">
      <c r="I710" s="119"/>
    </row>
    <row r="711">
      <c r="I711" s="119"/>
    </row>
    <row r="712">
      <c r="I712" s="119"/>
    </row>
    <row r="713">
      <c r="I713" s="119"/>
    </row>
    <row r="714">
      <c r="I714" s="119"/>
    </row>
    <row r="715">
      <c r="I715" s="119"/>
    </row>
    <row r="716">
      <c r="I716" s="119"/>
    </row>
    <row r="717">
      <c r="I717" s="119"/>
    </row>
    <row r="718">
      <c r="I718" s="119"/>
    </row>
    <row r="719">
      <c r="I719" s="119"/>
    </row>
    <row r="720">
      <c r="I720" s="119"/>
    </row>
    <row r="721">
      <c r="I721" s="119"/>
    </row>
    <row r="722">
      <c r="I722" s="119"/>
    </row>
    <row r="723">
      <c r="I723" s="119"/>
    </row>
    <row r="724">
      <c r="I724" s="119"/>
    </row>
    <row r="725">
      <c r="I725" s="119"/>
    </row>
    <row r="726">
      <c r="I726" s="119"/>
    </row>
    <row r="727">
      <c r="I727" s="119"/>
    </row>
    <row r="728">
      <c r="I728" s="119"/>
    </row>
    <row r="729">
      <c r="I729" s="119"/>
    </row>
    <row r="730">
      <c r="I730" s="119"/>
    </row>
    <row r="731">
      <c r="I731" s="119"/>
    </row>
    <row r="732">
      <c r="I732" s="119"/>
    </row>
    <row r="733">
      <c r="I733" s="119"/>
    </row>
    <row r="734">
      <c r="I734" s="119"/>
    </row>
    <row r="735">
      <c r="I735" s="119"/>
    </row>
    <row r="736">
      <c r="I736" s="119"/>
    </row>
    <row r="737">
      <c r="I737" s="119"/>
    </row>
    <row r="738">
      <c r="I738" s="119"/>
    </row>
    <row r="739">
      <c r="I739" s="119"/>
    </row>
    <row r="740">
      <c r="I740" s="119"/>
    </row>
    <row r="741">
      <c r="I741" s="119"/>
    </row>
    <row r="742">
      <c r="I742" s="119"/>
    </row>
    <row r="743">
      <c r="I743" s="119"/>
    </row>
    <row r="744">
      <c r="I744" s="119"/>
    </row>
    <row r="745">
      <c r="I745" s="119"/>
    </row>
    <row r="746">
      <c r="I746" s="119"/>
    </row>
    <row r="747">
      <c r="I747" s="119"/>
    </row>
    <row r="748">
      <c r="I748" s="119"/>
    </row>
    <row r="749">
      <c r="I749" s="119"/>
    </row>
    <row r="750">
      <c r="I750" s="119"/>
    </row>
    <row r="751">
      <c r="I751" s="119"/>
    </row>
    <row r="752">
      <c r="I752" s="119"/>
    </row>
    <row r="753">
      <c r="I753" s="119"/>
    </row>
    <row r="754">
      <c r="I754" s="119"/>
    </row>
    <row r="755">
      <c r="I755" s="119"/>
    </row>
    <row r="756">
      <c r="I756" s="119"/>
    </row>
    <row r="757">
      <c r="I757" s="119"/>
    </row>
    <row r="758">
      <c r="I758" s="119"/>
    </row>
    <row r="759">
      <c r="I759" s="119"/>
    </row>
    <row r="760">
      <c r="I760" s="119"/>
    </row>
    <row r="761">
      <c r="I761" s="119"/>
    </row>
    <row r="762">
      <c r="I762" s="119"/>
    </row>
    <row r="763">
      <c r="I763" s="119"/>
    </row>
    <row r="764">
      <c r="I764" s="119"/>
    </row>
    <row r="765">
      <c r="I765" s="119"/>
    </row>
    <row r="766">
      <c r="I766" s="119"/>
    </row>
    <row r="767">
      <c r="I767" s="119"/>
    </row>
    <row r="768">
      <c r="I768" s="119"/>
    </row>
    <row r="769">
      <c r="I769" s="119"/>
    </row>
    <row r="770">
      <c r="I770" s="119"/>
    </row>
    <row r="771">
      <c r="I771" s="119"/>
    </row>
    <row r="772">
      <c r="I772" s="119"/>
    </row>
    <row r="773">
      <c r="I773" s="119"/>
    </row>
    <row r="774">
      <c r="I774" s="119"/>
    </row>
    <row r="775">
      <c r="I775" s="119"/>
    </row>
    <row r="776">
      <c r="I776" s="119"/>
    </row>
    <row r="777">
      <c r="I777" s="119"/>
    </row>
    <row r="778">
      <c r="I778" s="119"/>
    </row>
    <row r="779">
      <c r="I779" s="119"/>
    </row>
    <row r="780">
      <c r="I780" s="119"/>
    </row>
    <row r="781">
      <c r="I781" s="119"/>
    </row>
    <row r="782">
      <c r="I782" s="119"/>
    </row>
    <row r="783">
      <c r="I783" s="119"/>
    </row>
    <row r="784">
      <c r="I784" s="119"/>
    </row>
    <row r="785">
      <c r="I785" s="119"/>
    </row>
    <row r="786">
      <c r="I786" s="119"/>
    </row>
    <row r="787">
      <c r="I787" s="119"/>
    </row>
    <row r="788">
      <c r="I788" s="119"/>
    </row>
    <row r="789">
      <c r="I789" s="119"/>
    </row>
    <row r="790">
      <c r="I790" s="119"/>
    </row>
    <row r="791">
      <c r="I791" s="119"/>
    </row>
    <row r="792">
      <c r="I792" s="119"/>
    </row>
    <row r="793">
      <c r="I793" s="119"/>
    </row>
    <row r="794">
      <c r="I794" s="119"/>
    </row>
    <row r="795">
      <c r="I795" s="119"/>
    </row>
    <row r="796">
      <c r="I796" s="119"/>
    </row>
    <row r="797">
      <c r="I797" s="119"/>
    </row>
    <row r="798">
      <c r="I798" s="119"/>
    </row>
    <row r="799">
      <c r="I799" s="119"/>
    </row>
    <row r="800">
      <c r="I800" s="119"/>
    </row>
    <row r="801">
      <c r="I801" s="119"/>
    </row>
    <row r="802">
      <c r="I802" s="119"/>
    </row>
    <row r="803">
      <c r="I803" s="119"/>
    </row>
    <row r="804">
      <c r="I804" s="119"/>
    </row>
    <row r="805">
      <c r="I805" s="119"/>
    </row>
    <row r="806">
      <c r="I806" s="119"/>
    </row>
    <row r="807">
      <c r="I807" s="119"/>
    </row>
    <row r="808">
      <c r="I808" s="119"/>
    </row>
    <row r="809">
      <c r="I809" s="119"/>
    </row>
    <row r="810">
      <c r="I810" s="119"/>
    </row>
    <row r="811">
      <c r="I811" s="119"/>
    </row>
    <row r="812">
      <c r="I812" s="119"/>
    </row>
    <row r="813">
      <c r="I813" s="119"/>
    </row>
    <row r="814">
      <c r="I814" s="119"/>
    </row>
    <row r="815">
      <c r="I815" s="119"/>
    </row>
    <row r="816">
      <c r="I816" s="119"/>
    </row>
    <row r="817">
      <c r="I817" s="119"/>
    </row>
    <row r="818">
      <c r="I818" s="119"/>
    </row>
    <row r="819">
      <c r="I819" s="119"/>
    </row>
    <row r="820">
      <c r="I820" s="119"/>
    </row>
    <row r="821">
      <c r="I821" s="119"/>
    </row>
    <row r="822">
      <c r="I822" s="119"/>
    </row>
    <row r="823">
      <c r="I823" s="119"/>
    </row>
    <row r="824">
      <c r="I824" s="119"/>
    </row>
    <row r="825">
      <c r="I825" s="119"/>
    </row>
    <row r="826">
      <c r="I826" s="119"/>
    </row>
    <row r="827">
      <c r="I827" s="119"/>
    </row>
    <row r="828">
      <c r="I828" s="119"/>
    </row>
    <row r="829">
      <c r="I829" s="119"/>
    </row>
    <row r="830">
      <c r="I830" s="119"/>
    </row>
    <row r="831">
      <c r="I831" s="119"/>
    </row>
    <row r="832">
      <c r="I832" s="119"/>
    </row>
    <row r="833">
      <c r="I833" s="119"/>
    </row>
    <row r="834">
      <c r="I834" s="119"/>
    </row>
    <row r="835">
      <c r="I835" s="119"/>
    </row>
    <row r="836">
      <c r="I836" s="119"/>
    </row>
    <row r="837">
      <c r="I837" s="119"/>
    </row>
    <row r="838">
      <c r="I838" s="119"/>
    </row>
    <row r="839">
      <c r="I839" s="119"/>
    </row>
    <row r="840">
      <c r="I840" s="119"/>
    </row>
    <row r="841">
      <c r="I841" s="119"/>
    </row>
    <row r="842">
      <c r="I842" s="119"/>
    </row>
    <row r="843">
      <c r="I843" s="119"/>
    </row>
    <row r="844">
      <c r="I844" s="119"/>
    </row>
    <row r="845">
      <c r="I845" s="119"/>
    </row>
    <row r="846">
      <c r="I846" s="119"/>
    </row>
    <row r="847">
      <c r="I847" s="119"/>
    </row>
    <row r="848">
      <c r="I848" s="119"/>
    </row>
    <row r="849">
      <c r="I849" s="119"/>
    </row>
    <row r="850">
      <c r="I850" s="119"/>
    </row>
    <row r="851">
      <c r="I851" s="119"/>
    </row>
    <row r="852">
      <c r="I852" s="119"/>
    </row>
    <row r="853">
      <c r="I853" s="119"/>
    </row>
    <row r="854">
      <c r="I854" s="119"/>
    </row>
    <row r="855">
      <c r="I855" s="119"/>
    </row>
    <row r="856">
      <c r="I856" s="119"/>
    </row>
    <row r="857">
      <c r="I857" s="119"/>
    </row>
    <row r="858">
      <c r="I858" s="119"/>
    </row>
    <row r="859">
      <c r="I859" s="119"/>
    </row>
    <row r="860">
      <c r="I860" s="119"/>
    </row>
    <row r="861">
      <c r="I861" s="119"/>
    </row>
    <row r="862">
      <c r="I862" s="119"/>
    </row>
    <row r="863">
      <c r="I863" s="119"/>
    </row>
    <row r="864">
      <c r="I864" s="119"/>
    </row>
    <row r="865">
      <c r="I865" s="119"/>
    </row>
    <row r="866">
      <c r="I866" s="119"/>
    </row>
    <row r="867">
      <c r="I867" s="119"/>
    </row>
    <row r="868">
      <c r="I868" s="119"/>
    </row>
    <row r="869">
      <c r="I869" s="119"/>
    </row>
    <row r="870">
      <c r="I870" s="119"/>
    </row>
    <row r="871">
      <c r="I871" s="119"/>
    </row>
    <row r="872">
      <c r="I872" s="119"/>
    </row>
    <row r="873">
      <c r="I873" s="119"/>
    </row>
    <row r="874">
      <c r="I874" s="119"/>
    </row>
    <row r="875">
      <c r="I875" s="119"/>
    </row>
    <row r="876">
      <c r="I876" s="119"/>
    </row>
    <row r="877">
      <c r="I877" s="119"/>
    </row>
    <row r="878">
      <c r="I878" s="119"/>
    </row>
    <row r="879">
      <c r="I879" s="119"/>
    </row>
    <row r="880">
      <c r="I880" s="119"/>
    </row>
    <row r="881">
      <c r="I881" s="119"/>
    </row>
    <row r="882">
      <c r="I882" s="119"/>
    </row>
    <row r="883">
      <c r="I883" s="119"/>
    </row>
    <row r="884">
      <c r="I884" s="119"/>
    </row>
    <row r="885">
      <c r="I885" s="119"/>
    </row>
    <row r="886">
      <c r="I886" s="119"/>
    </row>
    <row r="887">
      <c r="I887" s="119"/>
    </row>
    <row r="888">
      <c r="I888" s="119"/>
    </row>
    <row r="889">
      <c r="I889" s="119"/>
    </row>
    <row r="890">
      <c r="I890" s="119"/>
    </row>
    <row r="891">
      <c r="I891" s="119"/>
    </row>
    <row r="892">
      <c r="I892" s="119"/>
    </row>
    <row r="893">
      <c r="I893" s="119"/>
    </row>
    <row r="894">
      <c r="I894" s="119"/>
    </row>
    <row r="895">
      <c r="I895" s="119"/>
    </row>
    <row r="896">
      <c r="I896" s="119"/>
    </row>
    <row r="897">
      <c r="I897" s="119"/>
    </row>
    <row r="898">
      <c r="I898" s="119"/>
    </row>
    <row r="899">
      <c r="I899" s="119"/>
    </row>
    <row r="900">
      <c r="I900" s="119"/>
    </row>
    <row r="901">
      <c r="I901" s="119"/>
    </row>
    <row r="902">
      <c r="I902" s="119"/>
    </row>
    <row r="903">
      <c r="I903" s="119"/>
    </row>
    <row r="904">
      <c r="I904" s="119"/>
    </row>
    <row r="905">
      <c r="I905" s="119"/>
    </row>
    <row r="906">
      <c r="I906" s="119"/>
    </row>
    <row r="907">
      <c r="I907" s="119"/>
    </row>
    <row r="908">
      <c r="I908" s="119"/>
    </row>
    <row r="909">
      <c r="I909" s="119"/>
    </row>
    <row r="910">
      <c r="I910" s="119"/>
    </row>
    <row r="911">
      <c r="I911" s="119"/>
    </row>
    <row r="912">
      <c r="I912" s="119"/>
    </row>
    <row r="913">
      <c r="I913" s="119"/>
    </row>
    <row r="914">
      <c r="I914" s="119"/>
    </row>
    <row r="915">
      <c r="I915" s="119"/>
    </row>
    <row r="916">
      <c r="I916" s="119"/>
    </row>
    <row r="917">
      <c r="I917" s="119"/>
    </row>
    <row r="918">
      <c r="I918" s="119"/>
    </row>
    <row r="919">
      <c r="I919" s="119"/>
    </row>
    <row r="920">
      <c r="I920" s="119"/>
    </row>
    <row r="921">
      <c r="I921" s="119"/>
    </row>
    <row r="922">
      <c r="I922" s="119"/>
    </row>
    <row r="923">
      <c r="I923" s="119"/>
    </row>
    <row r="924">
      <c r="I924" s="119"/>
    </row>
    <row r="925">
      <c r="I925" s="119"/>
    </row>
    <row r="926">
      <c r="I926" s="119"/>
    </row>
    <row r="927">
      <c r="I927" s="119"/>
    </row>
    <row r="928">
      <c r="I928" s="119"/>
    </row>
    <row r="929">
      <c r="I929" s="119"/>
    </row>
    <row r="930">
      <c r="I930" s="119"/>
    </row>
    <row r="931">
      <c r="I931" s="119"/>
    </row>
    <row r="932">
      <c r="I932" s="119"/>
    </row>
    <row r="933">
      <c r="I933" s="119"/>
    </row>
    <row r="934">
      <c r="I934" s="119"/>
    </row>
    <row r="935">
      <c r="I935" s="119"/>
    </row>
    <row r="936">
      <c r="I936" s="119"/>
    </row>
    <row r="937">
      <c r="I937" s="119"/>
    </row>
    <row r="938">
      <c r="I938" s="119"/>
    </row>
    <row r="939">
      <c r="I939" s="119"/>
    </row>
    <row r="940">
      <c r="I940" s="119"/>
    </row>
    <row r="941">
      <c r="I941" s="119"/>
    </row>
    <row r="942">
      <c r="I942" s="119"/>
    </row>
    <row r="943">
      <c r="I943" s="119"/>
    </row>
    <row r="944">
      <c r="I944" s="119"/>
    </row>
    <row r="945">
      <c r="I945" s="119"/>
    </row>
    <row r="946">
      <c r="I946" s="119"/>
    </row>
    <row r="947">
      <c r="I947" s="119"/>
    </row>
    <row r="948">
      <c r="I948" s="119"/>
    </row>
    <row r="949">
      <c r="I949" s="119"/>
    </row>
    <row r="950">
      <c r="I950" s="119"/>
    </row>
    <row r="951">
      <c r="I951" s="119"/>
    </row>
    <row r="952">
      <c r="I952" s="119"/>
    </row>
    <row r="953">
      <c r="I953" s="119"/>
    </row>
    <row r="954">
      <c r="I954" s="119"/>
    </row>
    <row r="955">
      <c r="I955" s="119"/>
    </row>
    <row r="956">
      <c r="I956" s="119"/>
    </row>
    <row r="957">
      <c r="I957" s="119"/>
    </row>
    <row r="958">
      <c r="I958" s="119"/>
    </row>
    <row r="959">
      <c r="I959" s="119"/>
    </row>
    <row r="960">
      <c r="I960" s="119"/>
    </row>
    <row r="961">
      <c r="I961" s="119"/>
    </row>
    <row r="962">
      <c r="I962" s="119"/>
    </row>
    <row r="963">
      <c r="I963" s="119"/>
    </row>
    <row r="964">
      <c r="I964" s="119"/>
    </row>
    <row r="965">
      <c r="I965" s="119"/>
    </row>
    <row r="966">
      <c r="I966" s="119"/>
    </row>
    <row r="967">
      <c r="I967" s="119"/>
    </row>
    <row r="968">
      <c r="I968" s="119"/>
    </row>
    <row r="969">
      <c r="I969" s="119"/>
    </row>
    <row r="970">
      <c r="I970" s="119"/>
    </row>
    <row r="971">
      <c r="I971" s="119"/>
    </row>
    <row r="972">
      <c r="I972" s="119"/>
    </row>
    <row r="973">
      <c r="I973" s="119"/>
    </row>
    <row r="974">
      <c r="I974" s="119"/>
    </row>
    <row r="975">
      <c r="I975" s="119"/>
    </row>
    <row r="976">
      <c r="I976" s="119"/>
    </row>
    <row r="977">
      <c r="I977" s="119"/>
    </row>
    <row r="978">
      <c r="I978" s="119"/>
    </row>
    <row r="979">
      <c r="I979" s="119"/>
    </row>
    <row r="980">
      <c r="I980" s="119"/>
    </row>
    <row r="981">
      <c r="I981" s="119"/>
    </row>
    <row r="982">
      <c r="I982" s="119"/>
    </row>
    <row r="983">
      <c r="I983" s="119"/>
    </row>
    <row r="984">
      <c r="I984" s="119"/>
    </row>
    <row r="985">
      <c r="I985" s="119"/>
    </row>
    <row r="986">
      <c r="I986" s="119"/>
    </row>
    <row r="987">
      <c r="I987" s="119"/>
    </row>
    <row r="988">
      <c r="I988" s="119"/>
    </row>
    <row r="989">
      <c r="I989" s="119"/>
    </row>
    <row r="990">
      <c r="I990" s="119"/>
    </row>
    <row r="991">
      <c r="I991" s="119"/>
    </row>
    <row r="992">
      <c r="I992" s="119"/>
    </row>
    <row r="993">
      <c r="I993" s="119"/>
    </row>
    <row r="994">
      <c r="I994" s="119"/>
    </row>
    <row r="995">
      <c r="I995" s="119"/>
    </row>
    <row r="996">
      <c r="I996" s="119"/>
    </row>
    <row r="997">
      <c r="I997" s="119"/>
    </row>
    <row r="998">
      <c r="I998" s="119"/>
    </row>
    <row r="999">
      <c r="I999" s="119"/>
    </row>
    <row r="1000">
      <c r="I1000" s="119"/>
    </row>
    <row r="1001">
      <c r="I1001" s="119"/>
    </row>
    <row r="1002">
      <c r="I1002" s="119"/>
    </row>
    <row r="1003">
      <c r="I1003" s="119"/>
    </row>
    <row r="1004">
      <c r="I1004" s="119"/>
    </row>
    <row r="1005">
      <c r="I1005" s="119"/>
    </row>
    <row r="1006">
      <c r="I1006" s="119"/>
    </row>
    <row r="1007">
      <c r="I1007" s="119"/>
    </row>
    <row r="1008">
      <c r="I1008" s="119"/>
    </row>
    <row r="1009">
      <c r="I1009" s="119"/>
    </row>
    <row r="1010">
      <c r="I1010" s="119"/>
    </row>
    <row r="1011">
      <c r="I1011" s="119"/>
    </row>
    <row r="1012">
      <c r="I1012" s="119"/>
    </row>
    <row r="1013">
      <c r="I1013" s="119"/>
    </row>
    <row r="1014">
      <c r="I1014" s="119"/>
    </row>
    <row r="1015">
      <c r="I1015" s="119"/>
    </row>
    <row r="1016">
      <c r="I1016" s="119"/>
    </row>
    <row r="1017">
      <c r="I1017" s="119"/>
    </row>
    <row r="1018">
      <c r="I1018" s="119"/>
    </row>
    <row r="1019">
      <c r="I1019" s="119"/>
    </row>
    <row r="1020">
      <c r="I1020" s="119"/>
    </row>
    <row r="1021">
      <c r="I1021" s="119"/>
    </row>
    <row r="1022">
      <c r="I1022" s="119"/>
    </row>
    <row r="1023">
      <c r="I1023" s="119"/>
    </row>
    <row r="1024">
      <c r="I1024" s="119"/>
    </row>
    <row r="1025">
      <c r="I1025" s="119"/>
    </row>
    <row r="1026">
      <c r="I1026" s="119"/>
    </row>
    <row r="1027">
      <c r="I1027" s="119"/>
    </row>
    <row r="1028">
      <c r="I1028" s="119"/>
    </row>
    <row r="1029">
      <c r="I1029" s="119"/>
    </row>
    <row r="1030">
      <c r="I1030" s="119"/>
    </row>
    <row r="1031">
      <c r="I1031" s="119"/>
    </row>
    <row r="1032">
      <c r="I1032" s="119"/>
    </row>
    <row r="1033">
      <c r="I1033" s="119"/>
    </row>
    <row r="1034">
      <c r="I1034" s="119"/>
    </row>
    <row r="1035">
      <c r="I1035" s="119"/>
    </row>
    <row r="1036">
      <c r="I1036" s="119"/>
    </row>
    <row r="1037">
      <c r="I1037" s="119"/>
    </row>
    <row r="1038">
      <c r="I1038" s="119"/>
    </row>
    <row r="1039">
      <c r="I1039" s="119"/>
    </row>
    <row r="1040">
      <c r="I1040" s="119"/>
    </row>
    <row r="1041">
      <c r="I1041" s="119"/>
    </row>
    <row r="1042">
      <c r="I1042" s="119"/>
    </row>
    <row r="1043">
      <c r="I1043" s="119"/>
    </row>
    <row r="1044">
      <c r="I1044" s="119"/>
    </row>
    <row r="1045">
      <c r="I1045" s="119"/>
    </row>
    <row r="1046">
      <c r="I1046" s="119"/>
    </row>
    <row r="1047">
      <c r="I1047" s="119"/>
    </row>
    <row r="1048">
      <c r="I1048" s="119"/>
    </row>
    <row r="1049">
      <c r="I1049" s="119"/>
    </row>
    <row r="1050">
      <c r="I1050" s="119"/>
    </row>
    <row r="1051">
      <c r="I1051" s="119"/>
    </row>
    <row r="1052">
      <c r="I1052" s="119"/>
    </row>
    <row r="1053">
      <c r="I1053" s="119"/>
    </row>
    <row r="1054">
      <c r="I1054" s="119"/>
    </row>
    <row r="1055">
      <c r="I1055" s="119"/>
    </row>
    <row r="1056">
      <c r="I1056" s="119"/>
    </row>
    <row r="1057">
      <c r="I1057" s="119"/>
    </row>
    <row r="1058">
      <c r="I1058" s="119"/>
    </row>
    <row r="1059">
      <c r="I1059" s="119"/>
    </row>
    <row r="1060">
      <c r="I1060" s="119"/>
    </row>
    <row r="1061">
      <c r="I1061" s="119"/>
    </row>
    <row r="1062">
      <c r="I1062" s="119"/>
    </row>
    <row r="1063">
      <c r="I1063" s="119"/>
    </row>
    <row r="1064">
      <c r="I1064" s="119"/>
    </row>
    <row r="1065">
      <c r="I1065" s="119"/>
    </row>
    <row r="1066">
      <c r="I1066" s="119"/>
    </row>
    <row r="1067">
      <c r="I1067" s="119"/>
    </row>
    <row r="1068">
      <c r="I1068" s="119"/>
    </row>
    <row r="1069">
      <c r="I1069" s="119"/>
    </row>
    <row r="1070">
      <c r="I1070" s="119"/>
    </row>
    <row r="1071">
      <c r="I1071" s="119"/>
    </row>
    <row r="1072">
      <c r="I1072" s="119"/>
    </row>
    <row r="1073">
      <c r="I1073" s="119"/>
    </row>
    <row r="1074">
      <c r="I1074" s="119"/>
    </row>
    <row r="1075">
      <c r="I1075" s="119"/>
    </row>
    <row r="1076">
      <c r="I1076" s="119"/>
    </row>
    <row r="1077">
      <c r="I1077" s="119"/>
    </row>
    <row r="1078">
      <c r="I1078" s="119"/>
    </row>
    <row r="1079">
      <c r="I1079" s="119"/>
    </row>
    <row r="1080">
      <c r="I1080" s="119"/>
    </row>
    <row r="1081">
      <c r="I1081" s="119"/>
    </row>
    <row r="1082">
      <c r="I1082" s="119"/>
    </row>
    <row r="1083">
      <c r="I1083" s="119"/>
    </row>
    <row r="1084">
      <c r="I1084" s="119"/>
    </row>
    <row r="1085">
      <c r="I1085" s="119"/>
    </row>
    <row r="1086">
      <c r="I1086" s="119"/>
    </row>
    <row r="1087">
      <c r="I1087" s="119"/>
    </row>
    <row r="1088">
      <c r="I1088" s="119"/>
    </row>
    <row r="1089">
      <c r="I1089" s="119"/>
    </row>
    <row r="1090">
      <c r="I1090" s="119"/>
    </row>
    <row r="1091">
      <c r="I1091" s="119"/>
    </row>
    <row r="1092">
      <c r="I1092" s="119"/>
    </row>
    <row r="1093">
      <c r="I1093" s="119"/>
    </row>
    <row r="1094">
      <c r="I1094" s="119"/>
    </row>
    <row r="1095">
      <c r="I1095" s="119"/>
    </row>
    <row r="1096">
      <c r="I1096" s="119"/>
    </row>
    <row r="1097">
      <c r="I1097" s="119"/>
    </row>
    <row r="1098">
      <c r="I1098" s="119"/>
    </row>
    <row r="1099">
      <c r="I1099" s="119"/>
    </row>
    <row r="1100">
      <c r="I1100" s="119"/>
    </row>
    <row r="1101">
      <c r="I1101" s="119"/>
    </row>
    <row r="1102">
      <c r="I1102" s="119"/>
    </row>
    <row r="1103">
      <c r="I1103" s="119"/>
    </row>
    <row r="1104">
      <c r="I1104" s="119"/>
    </row>
    <row r="1105">
      <c r="I1105" s="119"/>
    </row>
    <row r="1106">
      <c r="I1106" s="119"/>
    </row>
    <row r="1107">
      <c r="I1107" s="119"/>
    </row>
    <row r="1108">
      <c r="I1108" s="119"/>
    </row>
    <row r="1109">
      <c r="I1109" s="119"/>
    </row>
    <row r="1110">
      <c r="I1110" s="119"/>
    </row>
    <row r="1111">
      <c r="I1111" s="119"/>
    </row>
    <row r="1112">
      <c r="I1112" s="119"/>
    </row>
    <row r="1113">
      <c r="I1113" s="119"/>
    </row>
    <row r="1114">
      <c r="I1114" s="119"/>
    </row>
    <row r="1115">
      <c r="I1115" s="119"/>
    </row>
    <row r="1116">
      <c r="I1116" s="119"/>
    </row>
    <row r="1117">
      <c r="I1117" s="119"/>
    </row>
    <row r="1118">
      <c r="I1118" s="119"/>
    </row>
    <row r="1119">
      <c r="I1119" s="119"/>
    </row>
    <row r="1120">
      <c r="I1120" s="119"/>
    </row>
    <row r="1121">
      <c r="I1121" s="119"/>
    </row>
    <row r="1122">
      <c r="I1122" s="119"/>
    </row>
    <row r="1123">
      <c r="I1123" s="119"/>
    </row>
    <row r="1124">
      <c r="I1124" s="119"/>
    </row>
    <row r="1125">
      <c r="I1125" s="119"/>
    </row>
    <row r="1126">
      <c r="I1126" s="119"/>
    </row>
    <row r="1127">
      <c r="I1127" s="119"/>
    </row>
    <row r="1128">
      <c r="I1128" s="119"/>
    </row>
    <row r="1129">
      <c r="I1129" s="119"/>
    </row>
    <row r="1130">
      <c r="I1130" s="119"/>
    </row>
    <row r="1131">
      <c r="I1131" s="119"/>
    </row>
    <row r="1132">
      <c r="I1132" s="119"/>
    </row>
    <row r="1133">
      <c r="I1133" s="119"/>
    </row>
    <row r="1134">
      <c r="I1134" s="119"/>
    </row>
    <row r="1135">
      <c r="I1135" s="119"/>
    </row>
    <row r="1136">
      <c r="I1136" s="119"/>
    </row>
    <row r="1137">
      <c r="I1137" s="119"/>
    </row>
    <row r="1138">
      <c r="I1138" s="119"/>
    </row>
    <row r="1139">
      <c r="I1139" s="119"/>
    </row>
    <row r="1140">
      <c r="I1140" s="119"/>
    </row>
    <row r="1141">
      <c r="I1141" s="119"/>
    </row>
    <row r="1142">
      <c r="I1142" s="119"/>
    </row>
    <row r="1143">
      <c r="I1143" s="119"/>
    </row>
    <row r="1144">
      <c r="I1144" s="119"/>
    </row>
    <row r="1145">
      <c r="I1145" s="119"/>
    </row>
    <row r="1146">
      <c r="I1146" s="119"/>
    </row>
    <row r="1147">
      <c r="I1147" s="119"/>
    </row>
    <row r="1148">
      <c r="I1148" s="119"/>
    </row>
    <row r="1149">
      <c r="I1149" s="119"/>
    </row>
    <row r="1150">
      <c r="I1150" s="119"/>
    </row>
    <row r="1151">
      <c r="I1151" s="119"/>
    </row>
    <row r="1152">
      <c r="I1152" s="119"/>
    </row>
    <row r="1153">
      <c r="I1153" s="119"/>
    </row>
    <row r="1154">
      <c r="I1154" s="119"/>
    </row>
    <row r="1155">
      <c r="I1155" s="119"/>
    </row>
    <row r="1156">
      <c r="I1156" s="119"/>
    </row>
    <row r="1157">
      <c r="I1157" s="119"/>
    </row>
    <row r="1158">
      <c r="I1158" s="119"/>
    </row>
    <row r="1159">
      <c r="I1159" s="119"/>
    </row>
    <row r="1160">
      <c r="I1160" s="119"/>
    </row>
    <row r="1161">
      <c r="I1161" s="119"/>
    </row>
    <row r="1162">
      <c r="I1162" s="119"/>
    </row>
    <row r="1163">
      <c r="I1163" s="119"/>
    </row>
    <row r="1164">
      <c r="I1164" s="119"/>
    </row>
    <row r="1165">
      <c r="I1165" s="119"/>
    </row>
    <row r="1166">
      <c r="I1166" s="119"/>
    </row>
    <row r="1167">
      <c r="I1167" s="119"/>
    </row>
    <row r="1168">
      <c r="I1168" s="119"/>
    </row>
    <row r="1169">
      <c r="I1169" s="119"/>
    </row>
    <row r="1170">
      <c r="I1170" s="119"/>
    </row>
    <row r="1171">
      <c r="I1171" s="119"/>
    </row>
    <row r="1172">
      <c r="I1172" s="119"/>
    </row>
    <row r="1173">
      <c r="I1173" s="119"/>
    </row>
    <row r="1174">
      <c r="I1174" s="119"/>
    </row>
    <row r="1175">
      <c r="I1175" s="119"/>
    </row>
    <row r="1176">
      <c r="I1176" s="119"/>
    </row>
    <row r="1177">
      <c r="I1177" s="119"/>
    </row>
    <row r="1178">
      <c r="I1178" s="119"/>
    </row>
    <row r="1179">
      <c r="I1179" s="119"/>
    </row>
    <row r="1180">
      <c r="I1180" s="119"/>
    </row>
    <row r="1181">
      <c r="I1181" s="119"/>
    </row>
    <row r="1182">
      <c r="I1182" s="119"/>
    </row>
    <row r="1183">
      <c r="I1183" s="119"/>
    </row>
    <row r="1184">
      <c r="I1184" s="119"/>
    </row>
    <row r="1185">
      <c r="I1185" s="119"/>
    </row>
    <row r="1186">
      <c r="I1186" s="119"/>
    </row>
    <row r="1187">
      <c r="I1187" s="119"/>
    </row>
    <row r="1188">
      <c r="I1188" s="119"/>
    </row>
    <row r="1189">
      <c r="I1189" s="119"/>
    </row>
    <row r="1190">
      <c r="I1190" s="119"/>
    </row>
    <row r="1191">
      <c r="I1191" s="119"/>
    </row>
    <row r="1192">
      <c r="I1192" s="119"/>
    </row>
    <row r="1193">
      <c r="I1193" s="119"/>
    </row>
    <row r="1194">
      <c r="I1194" s="119"/>
    </row>
    <row r="1195">
      <c r="I1195" s="119"/>
    </row>
    <row r="1196">
      <c r="I1196" s="119"/>
    </row>
    <row r="1197">
      <c r="I1197" s="119"/>
    </row>
    <row r="1198">
      <c r="I1198" s="119"/>
    </row>
    <row r="1199">
      <c r="I1199" s="119"/>
    </row>
    <row r="1200">
      <c r="I1200" s="119"/>
    </row>
    <row r="1201">
      <c r="I1201" s="119"/>
    </row>
    <row r="1202">
      <c r="I1202" s="119"/>
    </row>
    <row r="1203">
      <c r="I1203" s="119"/>
    </row>
    <row r="1204">
      <c r="I1204" s="119"/>
    </row>
    <row r="1205">
      <c r="I1205" s="119"/>
    </row>
    <row r="1206">
      <c r="I1206" s="119"/>
    </row>
    <row r="1207">
      <c r="I1207" s="119"/>
    </row>
    <row r="1208">
      <c r="I1208" s="119"/>
    </row>
    <row r="1209">
      <c r="I1209" s="119"/>
    </row>
    <row r="1210">
      <c r="I1210" s="119"/>
    </row>
    <row r="1211">
      <c r="I1211" s="119"/>
    </row>
    <row r="1212">
      <c r="I1212" s="119"/>
    </row>
    <row r="1213">
      <c r="I1213" s="119"/>
    </row>
    <row r="1214">
      <c r="I1214" s="119"/>
    </row>
    <row r="1215">
      <c r="I1215" s="119"/>
    </row>
    <row r="1216">
      <c r="I1216" s="119"/>
    </row>
    <row r="1217">
      <c r="I1217" s="119"/>
    </row>
    <row r="1218">
      <c r="I1218" s="119"/>
    </row>
    <row r="1219">
      <c r="I1219" s="119"/>
    </row>
    <row r="1220">
      <c r="I1220" s="119"/>
    </row>
    <row r="1221">
      <c r="I1221" s="119"/>
    </row>
    <row r="1222">
      <c r="I1222" s="119"/>
    </row>
    <row r="1223">
      <c r="I1223" s="119"/>
    </row>
    <row r="1224">
      <c r="I1224" s="119"/>
    </row>
    <row r="1225">
      <c r="I1225" s="119"/>
    </row>
    <row r="1226">
      <c r="I1226" s="119"/>
    </row>
    <row r="1227">
      <c r="I1227" s="119"/>
    </row>
    <row r="1228">
      <c r="I1228" s="119"/>
    </row>
    <row r="1229">
      <c r="I1229" s="119"/>
    </row>
    <row r="1230">
      <c r="I1230" s="119"/>
    </row>
    <row r="1231">
      <c r="I1231" s="119"/>
    </row>
    <row r="1232">
      <c r="I1232" s="119"/>
    </row>
    <row r="1233">
      <c r="I1233" s="119"/>
    </row>
    <row r="1234">
      <c r="I1234" s="119"/>
    </row>
    <row r="1235">
      <c r="I1235" s="119"/>
    </row>
    <row r="1236">
      <c r="I1236" s="119"/>
    </row>
    <row r="1237">
      <c r="I1237" s="119"/>
    </row>
    <row r="1238">
      <c r="I1238" s="119"/>
    </row>
    <row r="1239">
      <c r="I1239" s="119"/>
    </row>
    <row r="1240">
      <c r="I1240" s="119"/>
    </row>
    <row r="1241">
      <c r="I1241" s="119"/>
    </row>
    <row r="1242">
      <c r="I1242" s="119"/>
    </row>
    <row r="1243">
      <c r="I1243" s="119"/>
    </row>
    <row r="1244">
      <c r="I1244" s="119"/>
    </row>
    <row r="1245">
      <c r="I1245" s="119"/>
    </row>
    <row r="1246">
      <c r="I1246" s="119"/>
    </row>
    <row r="1247">
      <c r="I1247" s="119"/>
    </row>
    <row r="1248">
      <c r="I1248" s="119"/>
    </row>
    <row r="1249">
      <c r="I1249" s="119"/>
    </row>
    <row r="1250">
      <c r="I1250" s="119"/>
    </row>
    <row r="1251">
      <c r="I1251" s="119"/>
    </row>
    <row r="1252">
      <c r="I1252" s="119"/>
    </row>
    <row r="1253">
      <c r="I1253" s="119"/>
    </row>
    <row r="1254">
      <c r="I1254" s="119"/>
    </row>
    <row r="1255">
      <c r="I1255" s="119"/>
    </row>
    <row r="1256">
      <c r="I1256" s="119"/>
    </row>
    <row r="1257">
      <c r="I1257" s="119"/>
    </row>
    <row r="1258">
      <c r="I1258" s="119"/>
    </row>
    <row r="1259">
      <c r="I1259" s="119"/>
    </row>
    <row r="1260">
      <c r="I1260" s="119"/>
    </row>
    <row r="1261">
      <c r="I1261" s="119"/>
    </row>
    <row r="1262">
      <c r="I1262" s="119"/>
    </row>
    <row r="1263">
      <c r="I1263" s="119"/>
    </row>
    <row r="1264">
      <c r="I1264" s="119"/>
    </row>
    <row r="1265">
      <c r="I1265" s="119"/>
    </row>
    <row r="1266">
      <c r="I1266" s="119"/>
    </row>
    <row r="1267">
      <c r="I1267" s="119"/>
    </row>
    <row r="1268">
      <c r="I1268" s="119"/>
    </row>
    <row r="1269">
      <c r="I1269" s="119"/>
    </row>
    <row r="1270">
      <c r="I1270" s="119"/>
    </row>
    <row r="1271">
      <c r="I1271" s="119"/>
    </row>
    <row r="1272">
      <c r="I1272" s="119"/>
    </row>
    <row r="1273">
      <c r="I1273" s="119"/>
    </row>
    <row r="1274">
      <c r="I1274" s="119"/>
    </row>
    <row r="1275">
      <c r="I1275" s="119"/>
    </row>
    <row r="1276">
      <c r="I1276" s="119"/>
    </row>
    <row r="1277">
      <c r="I1277" s="119"/>
    </row>
    <row r="1278">
      <c r="I1278" s="119"/>
    </row>
    <row r="1279">
      <c r="I1279" s="119"/>
    </row>
    <row r="1280">
      <c r="I1280" s="119"/>
    </row>
    <row r="1281">
      <c r="I1281" s="119"/>
    </row>
    <row r="1282">
      <c r="I1282" s="119"/>
    </row>
    <row r="1283">
      <c r="I1283" s="119"/>
    </row>
    <row r="1284">
      <c r="I1284" s="119"/>
    </row>
    <row r="1285">
      <c r="I1285" s="119"/>
    </row>
    <row r="1286">
      <c r="I1286" s="119"/>
    </row>
    <row r="1287">
      <c r="I1287" s="119"/>
    </row>
    <row r="1288">
      <c r="I1288" s="119"/>
    </row>
    <row r="1289">
      <c r="I1289" s="119"/>
    </row>
    <row r="1290">
      <c r="I1290" s="119"/>
    </row>
    <row r="1291">
      <c r="I1291" s="119"/>
    </row>
    <row r="1292">
      <c r="I1292" s="119"/>
    </row>
    <row r="1293">
      <c r="I1293" s="119"/>
    </row>
    <row r="1294">
      <c r="I1294" s="119"/>
    </row>
    <row r="1295">
      <c r="I1295" s="119"/>
    </row>
    <row r="1296">
      <c r="I1296" s="119"/>
    </row>
    <row r="1297">
      <c r="I1297" s="119"/>
    </row>
    <row r="1298">
      <c r="I1298" s="119"/>
    </row>
    <row r="1299">
      <c r="I1299" s="119"/>
    </row>
    <row r="1300">
      <c r="I1300" s="119"/>
    </row>
    <row r="1301">
      <c r="I1301" s="119"/>
    </row>
    <row r="1302">
      <c r="I1302" s="119"/>
    </row>
    <row r="1303">
      <c r="I1303" s="119"/>
    </row>
    <row r="1304">
      <c r="I1304" s="119"/>
    </row>
    <row r="1305">
      <c r="I1305" s="119"/>
    </row>
    <row r="1306">
      <c r="I1306" s="119"/>
    </row>
    <row r="1307">
      <c r="I1307" s="119"/>
    </row>
    <row r="1308">
      <c r="I1308" s="119"/>
    </row>
    <row r="1309">
      <c r="I1309" s="119"/>
    </row>
    <row r="1310">
      <c r="I1310" s="119"/>
    </row>
    <row r="1311">
      <c r="I1311" s="119"/>
    </row>
    <row r="1312">
      <c r="I1312" s="119"/>
    </row>
    <row r="1313">
      <c r="I1313" s="119"/>
    </row>
    <row r="1314">
      <c r="I1314" s="119"/>
    </row>
    <row r="1315">
      <c r="I1315" s="119"/>
    </row>
    <row r="1316">
      <c r="I1316" s="119"/>
    </row>
    <row r="1317">
      <c r="I1317" s="119"/>
    </row>
    <row r="1318">
      <c r="I1318" s="119"/>
    </row>
    <row r="1319">
      <c r="I1319" s="119"/>
    </row>
    <row r="1320">
      <c r="I1320" s="119"/>
    </row>
    <row r="1321">
      <c r="I1321" s="119"/>
    </row>
    <row r="1322">
      <c r="I1322" s="119"/>
    </row>
    <row r="1323">
      <c r="I1323" s="119"/>
    </row>
    <row r="1324">
      <c r="I1324" s="119"/>
    </row>
    <row r="1325">
      <c r="I1325" s="119"/>
    </row>
    <row r="1326">
      <c r="I1326" s="119"/>
    </row>
    <row r="1327">
      <c r="I1327" s="119"/>
    </row>
    <row r="1328">
      <c r="I1328" s="119"/>
    </row>
    <row r="1329">
      <c r="I1329" s="119"/>
    </row>
    <row r="1330">
      <c r="I1330" s="119"/>
    </row>
    <row r="1331">
      <c r="I1331" s="119"/>
    </row>
    <row r="1332">
      <c r="I1332" s="119"/>
    </row>
    <row r="1333">
      <c r="I1333" s="119"/>
    </row>
    <row r="1334">
      <c r="I1334" s="119"/>
    </row>
    <row r="1335">
      <c r="I1335" s="119"/>
    </row>
    <row r="1336">
      <c r="I1336" s="119"/>
    </row>
    <row r="1337">
      <c r="I1337" s="119"/>
    </row>
    <row r="1338">
      <c r="I1338" s="119"/>
    </row>
    <row r="1339">
      <c r="I1339" s="119"/>
    </row>
    <row r="1340">
      <c r="I1340" s="119"/>
    </row>
    <row r="1341">
      <c r="I1341" s="119"/>
    </row>
    <row r="1342">
      <c r="I1342" s="119"/>
    </row>
    <row r="1343">
      <c r="I1343" s="119"/>
    </row>
    <row r="1344">
      <c r="I1344" s="119"/>
    </row>
    <row r="1345">
      <c r="I1345" s="119"/>
    </row>
    <row r="1346">
      <c r="I1346" s="119"/>
    </row>
    <row r="1347">
      <c r="I1347" s="119"/>
    </row>
    <row r="1348">
      <c r="I1348" s="119"/>
    </row>
    <row r="1349">
      <c r="I1349" s="119"/>
    </row>
    <row r="1350">
      <c r="I1350" s="119"/>
    </row>
    <row r="1351">
      <c r="I1351" s="119"/>
    </row>
    <row r="1352">
      <c r="I1352" s="119"/>
    </row>
    <row r="1353">
      <c r="I1353" s="119"/>
    </row>
    <row r="1354">
      <c r="I1354" s="119"/>
    </row>
    <row r="1355">
      <c r="I1355" s="119"/>
    </row>
    <row r="1356">
      <c r="I1356" s="119"/>
    </row>
    <row r="1357">
      <c r="I1357" s="119"/>
    </row>
    <row r="1358">
      <c r="I1358" s="119"/>
    </row>
    <row r="1359">
      <c r="I1359" s="119"/>
    </row>
    <row r="1360">
      <c r="I1360" s="119"/>
    </row>
    <row r="1361">
      <c r="I1361" s="119"/>
    </row>
    <row r="1362">
      <c r="I1362" s="119"/>
    </row>
    <row r="1363">
      <c r="I1363" s="119"/>
    </row>
    <row r="1364">
      <c r="I1364" s="119"/>
    </row>
    <row r="1365">
      <c r="I1365" s="119"/>
    </row>
    <row r="1366">
      <c r="I1366" s="119"/>
    </row>
    <row r="1367">
      <c r="I1367" s="119"/>
    </row>
    <row r="1368">
      <c r="I1368" s="119"/>
    </row>
    <row r="1369">
      <c r="I1369" s="119"/>
    </row>
    <row r="1370">
      <c r="I1370" s="119"/>
    </row>
    <row r="1371">
      <c r="I1371" s="119"/>
    </row>
    <row r="1372">
      <c r="I1372" s="119"/>
    </row>
    <row r="1373">
      <c r="I1373" s="119"/>
    </row>
    <row r="1374">
      <c r="I1374" s="119"/>
    </row>
    <row r="1375">
      <c r="I1375" s="119"/>
    </row>
    <row r="1376">
      <c r="I1376" s="119"/>
    </row>
    <row r="1377">
      <c r="I1377" s="119"/>
    </row>
    <row r="1378">
      <c r="I1378" s="119"/>
    </row>
    <row r="1379">
      <c r="I1379" s="119"/>
    </row>
    <row r="1380">
      <c r="I1380" s="119"/>
    </row>
    <row r="1381">
      <c r="I1381" s="119"/>
    </row>
    <row r="1382">
      <c r="I1382" s="119"/>
    </row>
    <row r="1383">
      <c r="I1383" s="119"/>
    </row>
    <row r="1384">
      <c r="I1384" s="119"/>
    </row>
    <row r="1385">
      <c r="I1385" s="119"/>
    </row>
    <row r="1386">
      <c r="I1386" s="119"/>
    </row>
    <row r="1387">
      <c r="I1387" s="119"/>
    </row>
    <row r="1388">
      <c r="I1388" s="119"/>
    </row>
    <row r="1389">
      <c r="I1389" s="119"/>
    </row>
    <row r="1390">
      <c r="I1390" s="119"/>
    </row>
    <row r="1391">
      <c r="I1391" s="119"/>
    </row>
    <row r="1392">
      <c r="I1392" s="119"/>
    </row>
    <row r="1393">
      <c r="I1393" s="119"/>
    </row>
    <row r="1394">
      <c r="I1394" s="119"/>
    </row>
    <row r="1395">
      <c r="I1395" s="119"/>
    </row>
    <row r="1396">
      <c r="I1396" s="119"/>
    </row>
    <row r="1397">
      <c r="I1397" s="119"/>
    </row>
    <row r="1398">
      <c r="I1398" s="119"/>
    </row>
    <row r="1399">
      <c r="I1399" s="119"/>
    </row>
    <row r="1400">
      <c r="I1400" s="119"/>
    </row>
    <row r="1401">
      <c r="I1401" s="119"/>
    </row>
    <row r="1402">
      <c r="I1402" s="119"/>
    </row>
    <row r="1403">
      <c r="I1403" s="119"/>
    </row>
    <row r="1404">
      <c r="I1404" s="119"/>
    </row>
    <row r="1405">
      <c r="I1405" s="119"/>
    </row>
    <row r="1406">
      <c r="I1406" s="119"/>
    </row>
    <row r="1407">
      <c r="I1407" s="119"/>
    </row>
    <row r="1408">
      <c r="I1408" s="119"/>
    </row>
    <row r="1409">
      <c r="I1409" s="119"/>
    </row>
    <row r="1410">
      <c r="I1410" s="119"/>
    </row>
    <row r="1411">
      <c r="I1411" s="119"/>
    </row>
    <row r="1412">
      <c r="I1412" s="119"/>
    </row>
    <row r="1413">
      <c r="I1413" s="119"/>
    </row>
    <row r="1414">
      <c r="I1414" s="119"/>
    </row>
    <row r="1415">
      <c r="I1415" s="119"/>
    </row>
    <row r="1416">
      <c r="I1416" s="119"/>
    </row>
    <row r="1417">
      <c r="I1417" s="119"/>
    </row>
    <row r="1418">
      <c r="I1418" s="119"/>
    </row>
    <row r="1419">
      <c r="I1419" s="119"/>
    </row>
    <row r="1420">
      <c r="I1420" s="119"/>
    </row>
    <row r="1421">
      <c r="I1421" s="119"/>
    </row>
    <row r="1422">
      <c r="I1422" s="119"/>
    </row>
    <row r="1423">
      <c r="I1423" s="119"/>
    </row>
    <row r="1424">
      <c r="I1424" s="119"/>
    </row>
    <row r="1425">
      <c r="I1425" s="119"/>
    </row>
    <row r="1426">
      <c r="I1426" s="119"/>
    </row>
    <row r="1427">
      <c r="I1427" s="119"/>
    </row>
    <row r="1428">
      <c r="I1428" s="119"/>
    </row>
    <row r="1429">
      <c r="I1429" s="119"/>
    </row>
    <row r="1430">
      <c r="I1430" s="119"/>
    </row>
    <row r="1431">
      <c r="I1431" s="119"/>
    </row>
    <row r="1432">
      <c r="I1432" s="119"/>
    </row>
    <row r="1433">
      <c r="I1433" s="119"/>
    </row>
    <row r="1434">
      <c r="I1434" s="119"/>
    </row>
    <row r="1435">
      <c r="I1435" s="119"/>
    </row>
    <row r="1436">
      <c r="I1436" s="119"/>
    </row>
    <row r="1437">
      <c r="I1437" s="119"/>
    </row>
    <row r="1438">
      <c r="I1438" s="119"/>
    </row>
    <row r="1439">
      <c r="I1439" s="119"/>
    </row>
    <row r="1440">
      <c r="I1440" s="119"/>
    </row>
    <row r="1441">
      <c r="I1441" s="119"/>
    </row>
    <row r="1442">
      <c r="I1442" s="119"/>
    </row>
    <row r="1443">
      <c r="I1443" s="119"/>
    </row>
    <row r="1444">
      <c r="I1444" s="119"/>
    </row>
    <row r="1445">
      <c r="I1445" s="119"/>
    </row>
    <row r="1446">
      <c r="I1446" s="119"/>
    </row>
    <row r="1447">
      <c r="I1447" s="119"/>
    </row>
    <row r="1448">
      <c r="I1448" s="119"/>
    </row>
    <row r="1449">
      <c r="I1449" s="119"/>
    </row>
    <row r="1450">
      <c r="I1450" s="119"/>
    </row>
    <row r="1451">
      <c r="I1451" s="119"/>
    </row>
    <row r="1452">
      <c r="I1452" s="119"/>
    </row>
    <row r="1453">
      <c r="I1453" s="119"/>
    </row>
    <row r="1454">
      <c r="I1454" s="119"/>
    </row>
    <row r="1455">
      <c r="I1455" s="119"/>
    </row>
    <row r="1456">
      <c r="I1456" s="119"/>
    </row>
    <row r="1457">
      <c r="I1457" s="119"/>
    </row>
    <row r="1458">
      <c r="I1458" s="119"/>
    </row>
    <row r="1459">
      <c r="I1459" s="119"/>
    </row>
    <row r="1460">
      <c r="I1460" s="119"/>
    </row>
    <row r="1461">
      <c r="I1461" s="119"/>
    </row>
    <row r="1462">
      <c r="I1462" s="119"/>
    </row>
    <row r="1463">
      <c r="I1463" s="119"/>
    </row>
    <row r="1464">
      <c r="I1464" s="119"/>
    </row>
    <row r="1465">
      <c r="I1465" s="119"/>
    </row>
    <row r="1466">
      <c r="I1466" s="119"/>
    </row>
    <row r="1467">
      <c r="I1467" s="119"/>
    </row>
    <row r="1468">
      <c r="I1468" s="119"/>
    </row>
    <row r="1469">
      <c r="I1469" s="119"/>
    </row>
    <row r="1470">
      <c r="I1470" s="119"/>
    </row>
    <row r="1471">
      <c r="I1471" s="119"/>
    </row>
    <row r="1472">
      <c r="I1472" s="119"/>
    </row>
    <row r="1473">
      <c r="I1473" s="119"/>
    </row>
    <row r="1474">
      <c r="I1474" s="119"/>
    </row>
    <row r="1475">
      <c r="I1475" s="119"/>
    </row>
    <row r="1476">
      <c r="I1476" s="119"/>
    </row>
    <row r="1477">
      <c r="I1477" s="119"/>
    </row>
    <row r="1478">
      <c r="I1478" s="119"/>
    </row>
    <row r="1479">
      <c r="I1479" s="119"/>
    </row>
    <row r="1480">
      <c r="I1480" s="119"/>
    </row>
    <row r="1481">
      <c r="I1481" s="119"/>
    </row>
    <row r="1482">
      <c r="I1482" s="119"/>
    </row>
    <row r="1483">
      <c r="I1483" s="119"/>
    </row>
    <row r="1484">
      <c r="I1484" s="119"/>
    </row>
    <row r="1485">
      <c r="I1485" s="119"/>
    </row>
    <row r="1486">
      <c r="I1486" s="119"/>
    </row>
    <row r="1487">
      <c r="I1487" s="119"/>
    </row>
    <row r="1488">
      <c r="I1488" s="119"/>
    </row>
    <row r="1489">
      <c r="I1489" s="119"/>
    </row>
    <row r="1490">
      <c r="I1490" s="119"/>
    </row>
    <row r="1491">
      <c r="I1491" s="119"/>
    </row>
    <row r="1492">
      <c r="I1492" s="119"/>
    </row>
    <row r="1493">
      <c r="I1493" s="119"/>
    </row>
    <row r="1494">
      <c r="I1494" s="119"/>
    </row>
    <row r="1495">
      <c r="I1495" s="119"/>
    </row>
    <row r="1496">
      <c r="I1496" s="119"/>
    </row>
    <row r="1497">
      <c r="I1497" s="119"/>
    </row>
    <row r="1498">
      <c r="I1498" s="119"/>
    </row>
    <row r="1499">
      <c r="I1499" s="119"/>
    </row>
    <row r="1500">
      <c r="I1500" s="119"/>
    </row>
    <row r="1501">
      <c r="I1501" s="119"/>
    </row>
    <row r="1502">
      <c r="I1502" s="119"/>
    </row>
    <row r="1503">
      <c r="I1503" s="119"/>
    </row>
    <row r="1504">
      <c r="I1504" s="119"/>
    </row>
    <row r="1505">
      <c r="I1505" s="119"/>
    </row>
    <row r="1506">
      <c r="I1506" s="119"/>
    </row>
    <row r="1507">
      <c r="I1507" s="119"/>
    </row>
    <row r="1508">
      <c r="I1508" s="119"/>
    </row>
    <row r="1509">
      <c r="I1509" s="119"/>
    </row>
    <row r="1510">
      <c r="I1510" s="119"/>
    </row>
    <row r="1511">
      <c r="I1511" s="119"/>
    </row>
    <row r="1512">
      <c r="I1512" s="119"/>
    </row>
    <row r="1513">
      <c r="I1513" s="119"/>
    </row>
    <row r="1514">
      <c r="I1514" s="119"/>
    </row>
    <row r="1515">
      <c r="I1515" s="119"/>
    </row>
    <row r="1516">
      <c r="I1516" s="119"/>
    </row>
    <row r="1517">
      <c r="I1517" s="119"/>
    </row>
    <row r="1518">
      <c r="I1518" s="119"/>
    </row>
    <row r="1519">
      <c r="I1519" s="119"/>
    </row>
    <row r="1520">
      <c r="I1520" s="119"/>
    </row>
    <row r="1521">
      <c r="I1521" s="119"/>
    </row>
    <row r="1522">
      <c r="I1522" s="119"/>
    </row>
    <row r="1523">
      <c r="I1523" s="119"/>
    </row>
    <row r="1524">
      <c r="I1524" s="119"/>
    </row>
    <row r="1525">
      <c r="I1525" s="119"/>
    </row>
    <row r="1526">
      <c r="I1526" s="119"/>
    </row>
    <row r="1527">
      <c r="I1527" s="119"/>
    </row>
    <row r="1528">
      <c r="I1528" s="119"/>
    </row>
    <row r="1529">
      <c r="I1529" s="119"/>
    </row>
    <row r="1530">
      <c r="I1530" s="119"/>
    </row>
    <row r="1531">
      <c r="I1531" s="119"/>
    </row>
    <row r="1532">
      <c r="I1532" s="119"/>
    </row>
    <row r="1533">
      <c r="I1533" s="119"/>
    </row>
    <row r="1534">
      <c r="I1534" s="119"/>
    </row>
    <row r="1535">
      <c r="I1535" s="119"/>
    </row>
    <row r="1536">
      <c r="I1536" s="119"/>
    </row>
    <row r="1537">
      <c r="I1537" s="119"/>
    </row>
    <row r="1538">
      <c r="I1538" s="119"/>
    </row>
    <row r="1539">
      <c r="I1539" s="119"/>
    </row>
    <row r="1540">
      <c r="I1540" s="119"/>
    </row>
    <row r="1541">
      <c r="I1541" s="119"/>
    </row>
    <row r="1542">
      <c r="I1542" s="119"/>
    </row>
    <row r="1543">
      <c r="I1543" s="119"/>
    </row>
    <row r="1544">
      <c r="I1544" s="119"/>
    </row>
    <row r="1545">
      <c r="I1545" s="119"/>
    </row>
    <row r="1546">
      <c r="I1546" s="119"/>
    </row>
    <row r="1547">
      <c r="I1547" s="119"/>
    </row>
    <row r="1548">
      <c r="I1548" s="119"/>
    </row>
    <row r="1549">
      <c r="I1549" s="119"/>
    </row>
    <row r="1550">
      <c r="I1550" s="119"/>
    </row>
    <row r="1551">
      <c r="I1551" s="119"/>
    </row>
    <row r="1552">
      <c r="I1552" s="119"/>
    </row>
    <row r="1553">
      <c r="I1553" s="119"/>
    </row>
    <row r="1554">
      <c r="I1554" s="119"/>
    </row>
    <row r="1555">
      <c r="I1555" s="119"/>
    </row>
    <row r="1556">
      <c r="I1556" s="119"/>
    </row>
    <row r="1557">
      <c r="I1557" s="119"/>
    </row>
    <row r="1558">
      <c r="I1558" s="119"/>
    </row>
    <row r="1559">
      <c r="I1559" s="119"/>
    </row>
    <row r="1560">
      <c r="I1560" s="119"/>
    </row>
    <row r="1561">
      <c r="I1561" s="119"/>
    </row>
    <row r="1562">
      <c r="I1562" s="119"/>
    </row>
    <row r="1563">
      <c r="I1563" s="119"/>
    </row>
    <row r="1564">
      <c r="I1564" s="119"/>
    </row>
    <row r="1565">
      <c r="I1565" s="119"/>
    </row>
    <row r="1566">
      <c r="I1566" s="119"/>
    </row>
    <row r="1567">
      <c r="I1567" s="119"/>
    </row>
    <row r="1568">
      <c r="I1568" s="119"/>
    </row>
    <row r="1569">
      <c r="I1569" s="119"/>
    </row>
    <row r="1570">
      <c r="I1570" s="119"/>
    </row>
    <row r="1571">
      <c r="I1571" s="119"/>
    </row>
    <row r="1572">
      <c r="I1572" s="119"/>
    </row>
    <row r="1573">
      <c r="I1573" s="119"/>
    </row>
    <row r="1574">
      <c r="I1574" s="119"/>
    </row>
    <row r="1575">
      <c r="I1575" s="119"/>
    </row>
    <row r="1576">
      <c r="I1576" s="119"/>
    </row>
    <row r="1577">
      <c r="I1577" s="119"/>
    </row>
    <row r="1578">
      <c r="I1578" s="119"/>
    </row>
    <row r="1579">
      <c r="I1579" s="119"/>
    </row>
    <row r="1580">
      <c r="I1580" s="119"/>
    </row>
    <row r="1581">
      <c r="I1581" s="119"/>
    </row>
    <row r="1582">
      <c r="I1582" s="119"/>
    </row>
    <row r="1583">
      <c r="I1583" s="119"/>
    </row>
    <row r="1584">
      <c r="I1584" s="119"/>
    </row>
    <row r="1585">
      <c r="I1585" s="119"/>
    </row>
    <row r="1586">
      <c r="I1586" s="119"/>
    </row>
    <row r="1587">
      <c r="I1587" s="119"/>
    </row>
    <row r="1588">
      <c r="I1588" s="119"/>
    </row>
    <row r="1589">
      <c r="I1589" s="119"/>
    </row>
    <row r="1590">
      <c r="I1590" s="119"/>
    </row>
    <row r="1591">
      <c r="I1591" s="119"/>
    </row>
    <row r="1592">
      <c r="I1592" s="119"/>
    </row>
    <row r="1593">
      <c r="I1593" s="119"/>
    </row>
    <row r="1594">
      <c r="I1594" s="119"/>
    </row>
    <row r="1595">
      <c r="I1595" s="119"/>
    </row>
    <row r="1596">
      <c r="I1596" s="119"/>
    </row>
    <row r="1597">
      <c r="I1597" s="119"/>
    </row>
    <row r="1598">
      <c r="I1598" s="119"/>
    </row>
    <row r="1599">
      <c r="I1599" s="119"/>
    </row>
    <row r="1600">
      <c r="I1600" s="119"/>
    </row>
    <row r="1601">
      <c r="I1601" s="119"/>
    </row>
    <row r="1602">
      <c r="I1602" s="119"/>
    </row>
    <row r="1603">
      <c r="I1603" s="119"/>
    </row>
    <row r="1604">
      <c r="I1604" s="119"/>
    </row>
    <row r="1605">
      <c r="I1605" s="119"/>
    </row>
    <row r="1606">
      <c r="I1606" s="119"/>
    </row>
    <row r="1607">
      <c r="I1607" s="119"/>
    </row>
    <row r="1608">
      <c r="I1608" s="119"/>
    </row>
    <row r="1609">
      <c r="I1609" s="119"/>
    </row>
    <row r="1610">
      <c r="I1610" s="119"/>
    </row>
    <row r="1611">
      <c r="I1611" s="119"/>
    </row>
    <row r="1612">
      <c r="I1612" s="119"/>
    </row>
    <row r="1613">
      <c r="I1613" s="119"/>
    </row>
    <row r="1614">
      <c r="I1614" s="119"/>
    </row>
    <row r="1615">
      <c r="I1615" s="119"/>
    </row>
    <row r="1616">
      <c r="I1616" s="119"/>
    </row>
    <row r="1617">
      <c r="I1617" s="119"/>
    </row>
    <row r="1618">
      <c r="I1618" s="119"/>
    </row>
    <row r="1619">
      <c r="I1619" s="119"/>
    </row>
    <row r="1620">
      <c r="I1620" s="119"/>
    </row>
    <row r="1621">
      <c r="I1621" s="119"/>
    </row>
    <row r="1622">
      <c r="I1622" s="119"/>
    </row>
    <row r="1623">
      <c r="I1623" s="119"/>
    </row>
    <row r="1624">
      <c r="I1624" s="119"/>
    </row>
    <row r="1625">
      <c r="I1625" s="119"/>
    </row>
    <row r="1626">
      <c r="I1626" s="119"/>
    </row>
    <row r="1627">
      <c r="I1627" s="119"/>
    </row>
    <row r="1628">
      <c r="I1628" s="119"/>
    </row>
    <row r="1629">
      <c r="I1629" s="119"/>
    </row>
    <row r="1630">
      <c r="I1630" s="119"/>
    </row>
    <row r="1631">
      <c r="I1631" s="119"/>
    </row>
    <row r="1632">
      <c r="I1632" s="119"/>
    </row>
    <row r="1633">
      <c r="I1633" s="119"/>
    </row>
    <row r="1634">
      <c r="I1634" s="119"/>
    </row>
    <row r="1635">
      <c r="I1635" s="119"/>
    </row>
    <row r="1636">
      <c r="I1636" s="119"/>
    </row>
    <row r="1637">
      <c r="I1637" s="119"/>
    </row>
    <row r="1638">
      <c r="I1638" s="119"/>
    </row>
    <row r="1639">
      <c r="I1639" s="119"/>
    </row>
    <row r="1640">
      <c r="I1640" s="119"/>
    </row>
    <row r="1641">
      <c r="I1641" s="119"/>
    </row>
    <row r="1642">
      <c r="I1642" s="119"/>
    </row>
    <row r="1643">
      <c r="I1643" s="119"/>
    </row>
    <row r="1644">
      <c r="I1644" s="119"/>
    </row>
    <row r="1645">
      <c r="I1645" s="119"/>
    </row>
    <row r="1646">
      <c r="I1646" s="119"/>
    </row>
    <row r="1647">
      <c r="I1647" s="119"/>
    </row>
    <row r="1648">
      <c r="I1648" s="119"/>
    </row>
    <row r="1649">
      <c r="I1649" s="119"/>
    </row>
    <row r="1650">
      <c r="I1650" s="119"/>
    </row>
    <row r="1651">
      <c r="I1651" s="119"/>
    </row>
    <row r="1652">
      <c r="I1652" s="119"/>
    </row>
    <row r="1653">
      <c r="I1653" s="119"/>
    </row>
    <row r="1654">
      <c r="I1654" s="119"/>
    </row>
    <row r="1655">
      <c r="I1655" s="119"/>
    </row>
    <row r="1656">
      <c r="I1656" s="119"/>
    </row>
    <row r="1657">
      <c r="I1657" s="119"/>
    </row>
    <row r="1658">
      <c r="I1658" s="119"/>
    </row>
    <row r="1659">
      <c r="I1659" s="119"/>
    </row>
    <row r="1660">
      <c r="I1660" s="119"/>
    </row>
    <row r="1661">
      <c r="I1661" s="119"/>
    </row>
    <row r="1662">
      <c r="I1662" s="119"/>
    </row>
    <row r="1663">
      <c r="I1663" s="119"/>
    </row>
    <row r="1664">
      <c r="I1664" s="119"/>
    </row>
    <row r="1665">
      <c r="I1665" s="119"/>
    </row>
    <row r="1666">
      <c r="I1666" s="119"/>
    </row>
    <row r="1667">
      <c r="I1667" s="119"/>
    </row>
    <row r="1668">
      <c r="I1668" s="119"/>
    </row>
    <row r="1669">
      <c r="I1669" s="119"/>
    </row>
    <row r="1670">
      <c r="I1670" s="119"/>
    </row>
    <row r="1671">
      <c r="I1671" s="119"/>
    </row>
    <row r="1672">
      <c r="I1672" s="119"/>
    </row>
    <row r="1673">
      <c r="I1673" s="119"/>
    </row>
    <row r="1674">
      <c r="I1674" s="119"/>
    </row>
    <row r="1675">
      <c r="I1675" s="119"/>
    </row>
    <row r="1676">
      <c r="I1676" s="119"/>
    </row>
    <row r="1677">
      <c r="I1677" s="119"/>
    </row>
    <row r="1678">
      <c r="I1678" s="119"/>
    </row>
    <row r="1679">
      <c r="I1679" s="119"/>
    </row>
    <row r="1680">
      <c r="I1680" s="119"/>
    </row>
    <row r="1681">
      <c r="I1681" s="119"/>
    </row>
    <row r="1682">
      <c r="I1682" s="119"/>
    </row>
    <row r="1683">
      <c r="I1683" s="119"/>
    </row>
    <row r="1684">
      <c r="I1684" s="119"/>
    </row>
    <row r="1685">
      <c r="I1685" s="119"/>
    </row>
    <row r="1686">
      <c r="I1686" s="119"/>
    </row>
    <row r="1687">
      <c r="I1687" s="119"/>
    </row>
    <row r="1688">
      <c r="I1688" s="119"/>
    </row>
    <row r="1689">
      <c r="I1689" s="119"/>
    </row>
    <row r="1690">
      <c r="I1690" s="119"/>
    </row>
    <row r="1691">
      <c r="I1691" s="119"/>
    </row>
    <row r="1692">
      <c r="I1692" s="119"/>
    </row>
    <row r="1693">
      <c r="I1693" s="119"/>
    </row>
    <row r="1694">
      <c r="I1694" s="119"/>
    </row>
    <row r="1695">
      <c r="I1695" s="119"/>
    </row>
    <row r="1696">
      <c r="I1696" s="119"/>
    </row>
    <row r="1697">
      <c r="I1697" s="119"/>
    </row>
    <row r="1698">
      <c r="I1698" s="119"/>
    </row>
    <row r="1699">
      <c r="I1699" s="119"/>
    </row>
    <row r="1700">
      <c r="I1700" s="119"/>
    </row>
    <row r="1701">
      <c r="I1701" s="119"/>
    </row>
    <row r="1702">
      <c r="I1702" s="119"/>
    </row>
    <row r="1703">
      <c r="I1703" s="119"/>
    </row>
    <row r="1704">
      <c r="I1704" s="119"/>
    </row>
    <row r="1705">
      <c r="I1705" s="119"/>
    </row>
    <row r="1706">
      <c r="I1706" s="119"/>
    </row>
    <row r="1707">
      <c r="I1707" s="119"/>
    </row>
    <row r="1708">
      <c r="I1708" s="119"/>
    </row>
    <row r="1709">
      <c r="I1709" s="119"/>
    </row>
    <row r="1710">
      <c r="I1710" s="119"/>
    </row>
    <row r="1711">
      <c r="I1711" s="119"/>
    </row>
    <row r="1712">
      <c r="I1712" s="119"/>
    </row>
    <row r="1713">
      <c r="I1713" s="119"/>
    </row>
    <row r="1714">
      <c r="I1714" s="119"/>
    </row>
    <row r="1715">
      <c r="I1715" s="119"/>
    </row>
    <row r="1716">
      <c r="I1716" s="119"/>
    </row>
    <row r="1717">
      <c r="I1717" s="119"/>
    </row>
    <row r="1718">
      <c r="I1718" s="119"/>
    </row>
    <row r="1719">
      <c r="I1719" s="119"/>
    </row>
    <row r="1720">
      <c r="I1720" s="119"/>
    </row>
    <row r="1721">
      <c r="I1721" s="119"/>
    </row>
    <row r="1722">
      <c r="I1722" s="119"/>
    </row>
    <row r="1723">
      <c r="I1723" s="119"/>
    </row>
    <row r="1724">
      <c r="I1724" s="119"/>
    </row>
    <row r="1725">
      <c r="I1725" s="119"/>
    </row>
    <row r="1726">
      <c r="I1726" s="119"/>
    </row>
    <row r="1727">
      <c r="I1727" s="119"/>
    </row>
    <row r="1728">
      <c r="I1728" s="119"/>
    </row>
    <row r="1729">
      <c r="I1729" s="119"/>
    </row>
    <row r="1730">
      <c r="I1730" s="119"/>
    </row>
    <row r="1731">
      <c r="I1731" s="119"/>
    </row>
    <row r="1732">
      <c r="I1732" s="119"/>
    </row>
    <row r="1733">
      <c r="I1733" s="119"/>
    </row>
    <row r="1734">
      <c r="I1734" s="119"/>
    </row>
    <row r="1735">
      <c r="I1735" s="119"/>
    </row>
    <row r="1736">
      <c r="I1736" s="119"/>
    </row>
    <row r="1737">
      <c r="I1737" s="119"/>
    </row>
    <row r="1738">
      <c r="I1738" s="119"/>
    </row>
    <row r="1739">
      <c r="I1739" s="119"/>
    </row>
    <row r="1740">
      <c r="I1740" s="119"/>
    </row>
    <row r="1741">
      <c r="I1741" s="119"/>
    </row>
    <row r="1742">
      <c r="I1742" s="119"/>
    </row>
    <row r="1743">
      <c r="I1743" s="119"/>
    </row>
    <row r="1744">
      <c r="I1744" s="119"/>
    </row>
    <row r="1745">
      <c r="I1745" s="119"/>
    </row>
    <row r="1746">
      <c r="I1746" s="119"/>
    </row>
    <row r="1747">
      <c r="I1747" s="119"/>
    </row>
    <row r="1748">
      <c r="I1748" s="119"/>
    </row>
    <row r="1749">
      <c r="I1749" s="119"/>
    </row>
    <row r="1750">
      <c r="I1750" s="119"/>
    </row>
    <row r="1751">
      <c r="I1751" s="119"/>
    </row>
    <row r="1752">
      <c r="I1752" s="119"/>
    </row>
    <row r="1753">
      <c r="I1753" s="119"/>
    </row>
    <row r="1754">
      <c r="I1754" s="119"/>
    </row>
    <row r="1755">
      <c r="I1755" s="119"/>
    </row>
    <row r="1756">
      <c r="I1756" s="119"/>
    </row>
    <row r="1757">
      <c r="I1757" s="119"/>
    </row>
    <row r="1758">
      <c r="I1758" s="119"/>
    </row>
    <row r="1759">
      <c r="I1759" s="119"/>
    </row>
    <row r="1760">
      <c r="I1760" s="119"/>
    </row>
    <row r="1761">
      <c r="I1761" s="119"/>
    </row>
    <row r="1762">
      <c r="I1762" s="119"/>
    </row>
    <row r="1763">
      <c r="I1763" s="119"/>
    </row>
    <row r="1764">
      <c r="I1764" s="119"/>
    </row>
    <row r="1765">
      <c r="I1765" s="119"/>
    </row>
    <row r="1766">
      <c r="I1766" s="119"/>
    </row>
    <row r="1767">
      <c r="I1767" s="119"/>
    </row>
    <row r="1768">
      <c r="I1768" s="119"/>
    </row>
    <row r="1769">
      <c r="I1769" s="119"/>
    </row>
    <row r="1770">
      <c r="I1770" s="119"/>
    </row>
    <row r="1771">
      <c r="I1771" s="119"/>
    </row>
    <row r="1772">
      <c r="I1772" s="119"/>
    </row>
    <row r="1773">
      <c r="I1773" s="119"/>
    </row>
    <row r="1774">
      <c r="I1774" s="119"/>
    </row>
    <row r="1775">
      <c r="I1775" s="119"/>
    </row>
    <row r="1776">
      <c r="I1776" s="119"/>
    </row>
    <row r="1777">
      <c r="I1777" s="119"/>
    </row>
    <row r="1778">
      <c r="I1778" s="119"/>
    </row>
    <row r="1779">
      <c r="I1779" s="119"/>
    </row>
    <row r="1780">
      <c r="I1780" s="119"/>
    </row>
    <row r="1781">
      <c r="I1781" s="119"/>
    </row>
    <row r="1782">
      <c r="I1782" s="119"/>
    </row>
    <row r="1783">
      <c r="I1783" s="119"/>
    </row>
    <row r="1784">
      <c r="I1784" s="119"/>
    </row>
    <row r="1785">
      <c r="I1785" s="119"/>
    </row>
    <row r="1786">
      <c r="I1786" s="119"/>
    </row>
    <row r="1787">
      <c r="I1787" s="119"/>
    </row>
    <row r="1788">
      <c r="I1788" s="119"/>
    </row>
    <row r="1789">
      <c r="I1789" s="119"/>
    </row>
    <row r="1790">
      <c r="I1790" s="119"/>
    </row>
    <row r="1791">
      <c r="I1791" s="119"/>
    </row>
    <row r="1792">
      <c r="I1792" s="119"/>
    </row>
    <row r="1793">
      <c r="I1793" s="119"/>
    </row>
    <row r="1794">
      <c r="I1794" s="119"/>
    </row>
    <row r="1795">
      <c r="I1795" s="119"/>
    </row>
    <row r="1796">
      <c r="I1796" s="119"/>
    </row>
    <row r="1797">
      <c r="I1797" s="119"/>
    </row>
    <row r="1798">
      <c r="I1798" s="119"/>
    </row>
    <row r="1799">
      <c r="I1799" s="119"/>
    </row>
    <row r="1800">
      <c r="I1800" s="119"/>
    </row>
    <row r="1801">
      <c r="I1801" s="119"/>
    </row>
    <row r="1802">
      <c r="I1802" s="119"/>
    </row>
    <row r="1803">
      <c r="I1803" s="119"/>
    </row>
    <row r="1804">
      <c r="I1804" s="119"/>
    </row>
    <row r="1805">
      <c r="I1805" s="119"/>
    </row>
    <row r="1806">
      <c r="I1806" s="119"/>
    </row>
    <row r="1807">
      <c r="I1807" s="119"/>
    </row>
    <row r="1808">
      <c r="I1808" s="119"/>
    </row>
    <row r="1809">
      <c r="I1809" s="119"/>
    </row>
    <row r="1810">
      <c r="I1810" s="119"/>
    </row>
    <row r="1811">
      <c r="I1811" s="119"/>
    </row>
    <row r="1812">
      <c r="I1812" s="119"/>
    </row>
    <row r="1813">
      <c r="I1813" s="119"/>
    </row>
    <row r="1814">
      <c r="I1814" s="119"/>
    </row>
    <row r="1815">
      <c r="I1815" s="119"/>
    </row>
    <row r="1816">
      <c r="I1816" s="119"/>
    </row>
    <row r="1817">
      <c r="I1817" s="119"/>
    </row>
    <row r="1818">
      <c r="I1818" s="119"/>
    </row>
    <row r="1819">
      <c r="I1819" s="119"/>
    </row>
    <row r="1820">
      <c r="I1820" s="119"/>
    </row>
    <row r="1821">
      <c r="I1821" s="119"/>
    </row>
    <row r="1822">
      <c r="I1822" s="119"/>
    </row>
    <row r="1823">
      <c r="I1823" s="119"/>
    </row>
    <row r="1824">
      <c r="I1824" s="119"/>
    </row>
    <row r="1825">
      <c r="I1825" s="119"/>
    </row>
    <row r="1826">
      <c r="I1826" s="119"/>
    </row>
    <row r="1827">
      <c r="I1827" s="119"/>
    </row>
    <row r="1828">
      <c r="I1828" s="119"/>
    </row>
    <row r="1829">
      <c r="I1829" s="119"/>
    </row>
    <row r="1830">
      <c r="I1830" s="119"/>
    </row>
    <row r="1831">
      <c r="I1831" s="119"/>
    </row>
    <row r="1832">
      <c r="I1832" s="119"/>
    </row>
    <row r="1833">
      <c r="I1833" s="119"/>
    </row>
    <row r="1834">
      <c r="I1834" s="119"/>
    </row>
    <row r="1835">
      <c r="I1835" s="119"/>
    </row>
    <row r="1836">
      <c r="I1836" s="119"/>
    </row>
    <row r="1837">
      <c r="I1837" s="119"/>
    </row>
    <row r="1838">
      <c r="I1838" s="119"/>
    </row>
    <row r="1839">
      <c r="I1839" s="119"/>
    </row>
    <row r="1840">
      <c r="I1840" s="119"/>
    </row>
    <row r="1841">
      <c r="I1841" s="119"/>
    </row>
    <row r="1842">
      <c r="I1842" s="119"/>
    </row>
    <row r="1843">
      <c r="I1843" s="119"/>
    </row>
    <row r="1844">
      <c r="I1844" s="119"/>
    </row>
    <row r="1845">
      <c r="I1845" s="119"/>
    </row>
    <row r="1846">
      <c r="I1846" s="119"/>
    </row>
    <row r="1847">
      <c r="I1847" s="119"/>
    </row>
    <row r="1848">
      <c r="I1848" s="119"/>
    </row>
    <row r="1849">
      <c r="I1849" s="119"/>
    </row>
    <row r="1850">
      <c r="I1850" s="119"/>
    </row>
    <row r="1851">
      <c r="I1851" s="119"/>
    </row>
    <row r="1852">
      <c r="I1852" s="119"/>
    </row>
    <row r="1853">
      <c r="I1853" s="119"/>
    </row>
    <row r="1854">
      <c r="I1854" s="119"/>
    </row>
    <row r="1855">
      <c r="I1855" s="119"/>
    </row>
    <row r="1856">
      <c r="I1856" s="119"/>
    </row>
    <row r="1857">
      <c r="I1857" s="119"/>
    </row>
    <row r="1858">
      <c r="I1858" s="119"/>
    </row>
    <row r="1859">
      <c r="I1859" s="119"/>
    </row>
    <row r="1860">
      <c r="I1860" s="119"/>
    </row>
    <row r="1861">
      <c r="I1861" s="119"/>
    </row>
    <row r="1862">
      <c r="I1862" s="119"/>
    </row>
    <row r="1863">
      <c r="I1863" s="119"/>
    </row>
    <row r="1864">
      <c r="I1864" s="119"/>
    </row>
    <row r="1865">
      <c r="I1865" s="119"/>
    </row>
    <row r="1866">
      <c r="I1866" s="119"/>
    </row>
    <row r="1867">
      <c r="I1867" s="119"/>
    </row>
    <row r="1868">
      <c r="I1868" s="119"/>
    </row>
    <row r="1869">
      <c r="I1869" s="119"/>
    </row>
    <row r="1870">
      <c r="I1870" s="119"/>
    </row>
    <row r="1871">
      <c r="I1871" s="119"/>
    </row>
    <row r="1872">
      <c r="I1872" s="119"/>
    </row>
    <row r="1873">
      <c r="I1873" s="119"/>
    </row>
    <row r="1874">
      <c r="I1874" s="119"/>
    </row>
    <row r="1875">
      <c r="I1875" s="119"/>
    </row>
    <row r="1876">
      <c r="I1876" s="119"/>
    </row>
    <row r="1877">
      <c r="I1877" s="119"/>
    </row>
    <row r="1878">
      <c r="I1878" s="119"/>
    </row>
    <row r="1879">
      <c r="I1879" s="119"/>
    </row>
    <row r="1880">
      <c r="I1880" s="119"/>
    </row>
    <row r="1881">
      <c r="I1881" s="119"/>
    </row>
    <row r="1882">
      <c r="I1882" s="119"/>
    </row>
    <row r="1883">
      <c r="I1883" s="119"/>
    </row>
    <row r="1884">
      <c r="I1884" s="119"/>
    </row>
    <row r="1885">
      <c r="I1885" s="119"/>
    </row>
    <row r="1886">
      <c r="I1886" s="119"/>
    </row>
    <row r="1887">
      <c r="I1887" s="119"/>
    </row>
    <row r="1888">
      <c r="I1888" s="119"/>
    </row>
    <row r="1889">
      <c r="I1889" s="119"/>
    </row>
    <row r="1890">
      <c r="I1890" s="119"/>
    </row>
    <row r="1891">
      <c r="I1891" s="119"/>
    </row>
    <row r="1892">
      <c r="I1892" s="119"/>
    </row>
    <row r="1893">
      <c r="I1893" s="119"/>
    </row>
    <row r="1894">
      <c r="I1894" s="119"/>
    </row>
    <row r="1895">
      <c r="I1895" s="119"/>
    </row>
    <row r="1896">
      <c r="I1896" s="119"/>
    </row>
    <row r="1897">
      <c r="I1897" s="119"/>
    </row>
    <row r="1898">
      <c r="I1898" s="119"/>
    </row>
    <row r="1899">
      <c r="I1899" s="119"/>
    </row>
    <row r="1900">
      <c r="I1900" s="119"/>
    </row>
    <row r="1901">
      <c r="I1901" s="119"/>
    </row>
    <row r="1902">
      <c r="I1902" s="119"/>
    </row>
    <row r="1903">
      <c r="I1903" s="119"/>
    </row>
    <row r="1904">
      <c r="I1904" s="119"/>
    </row>
    <row r="1905">
      <c r="I1905" s="119"/>
    </row>
    <row r="1906">
      <c r="I1906" s="119"/>
    </row>
    <row r="1907">
      <c r="I1907" s="119"/>
    </row>
    <row r="1908">
      <c r="I1908" s="119"/>
    </row>
    <row r="1909">
      <c r="I1909" s="119"/>
    </row>
    <row r="1910">
      <c r="I1910" s="119"/>
    </row>
    <row r="1911">
      <c r="I1911" s="119"/>
    </row>
    <row r="1912">
      <c r="I1912" s="119"/>
    </row>
    <row r="1913">
      <c r="I1913" s="119"/>
    </row>
    <row r="1914">
      <c r="I1914" s="119"/>
    </row>
    <row r="1915">
      <c r="I1915" s="119"/>
    </row>
    <row r="1916">
      <c r="I1916" s="119"/>
    </row>
    <row r="1917">
      <c r="I1917" s="119"/>
    </row>
    <row r="1918">
      <c r="I1918" s="119"/>
    </row>
    <row r="1919">
      <c r="I1919" s="119"/>
    </row>
    <row r="1920">
      <c r="I1920" s="119"/>
    </row>
    <row r="1921">
      <c r="I1921" s="119"/>
    </row>
    <row r="1922">
      <c r="I1922" s="119"/>
    </row>
    <row r="1923">
      <c r="I1923" s="119"/>
    </row>
    <row r="1924">
      <c r="I1924" s="119"/>
    </row>
    <row r="1925">
      <c r="I1925" s="119"/>
    </row>
    <row r="1926">
      <c r="I1926" s="119"/>
    </row>
    <row r="1927">
      <c r="I1927" s="119"/>
    </row>
    <row r="1928">
      <c r="I1928" s="119"/>
    </row>
    <row r="1929">
      <c r="I1929" s="119"/>
    </row>
    <row r="1930">
      <c r="I1930" s="119"/>
    </row>
    <row r="1931">
      <c r="I1931" s="119"/>
    </row>
    <row r="1932">
      <c r="I1932" s="119"/>
    </row>
    <row r="1933">
      <c r="I1933" s="119"/>
    </row>
    <row r="1934">
      <c r="I1934" s="119"/>
    </row>
    <row r="1935">
      <c r="I1935" s="119"/>
    </row>
    <row r="1936">
      <c r="I1936" s="119"/>
    </row>
    <row r="1937">
      <c r="I1937" s="119"/>
    </row>
    <row r="1938">
      <c r="I1938" s="119"/>
    </row>
    <row r="1939">
      <c r="I1939" s="119"/>
    </row>
    <row r="1940">
      <c r="I1940" s="119"/>
    </row>
    <row r="1941">
      <c r="I1941" s="119"/>
    </row>
    <row r="1942">
      <c r="I1942" s="119"/>
    </row>
    <row r="1943">
      <c r="I1943" s="119"/>
    </row>
    <row r="1944">
      <c r="I1944" s="119"/>
    </row>
    <row r="1945">
      <c r="I1945" s="119"/>
    </row>
    <row r="1946">
      <c r="I1946" s="119"/>
    </row>
    <row r="1947">
      <c r="I1947" s="119"/>
    </row>
    <row r="1948">
      <c r="I1948" s="119"/>
    </row>
    <row r="1949">
      <c r="I1949" s="119"/>
    </row>
    <row r="1950">
      <c r="I1950" s="119"/>
    </row>
    <row r="1951">
      <c r="I1951" s="119"/>
    </row>
    <row r="1952">
      <c r="I1952" s="119"/>
    </row>
    <row r="1953">
      <c r="I1953" s="119"/>
    </row>
    <row r="1954">
      <c r="I1954" s="119"/>
    </row>
    <row r="1955">
      <c r="I1955" s="119"/>
    </row>
    <row r="1956">
      <c r="I1956" s="119"/>
    </row>
    <row r="1957">
      <c r="I1957" s="119"/>
    </row>
    <row r="1958">
      <c r="I1958" s="119"/>
    </row>
    <row r="1959">
      <c r="I1959" s="119"/>
    </row>
    <row r="1960">
      <c r="I1960" s="119"/>
    </row>
    <row r="1961">
      <c r="I1961" s="119"/>
    </row>
    <row r="1962">
      <c r="I1962" s="119"/>
    </row>
    <row r="1963">
      <c r="I1963" s="119"/>
    </row>
    <row r="1964">
      <c r="I1964" s="119"/>
    </row>
    <row r="1965">
      <c r="I1965" s="119"/>
    </row>
    <row r="1966">
      <c r="I1966" s="119"/>
    </row>
    <row r="1967">
      <c r="I1967" s="119"/>
    </row>
    <row r="1968">
      <c r="I1968" s="119"/>
    </row>
    <row r="1969">
      <c r="I1969" s="119"/>
    </row>
    <row r="1970">
      <c r="I1970" s="119"/>
    </row>
    <row r="1971">
      <c r="I1971" s="119"/>
    </row>
    <row r="1972">
      <c r="I1972" s="119"/>
    </row>
    <row r="1973">
      <c r="I1973" s="119"/>
    </row>
    <row r="1974">
      <c r="I1974" s="119"/>
    </row>
    <row r="1975">
      <c r="I1975" s="119"/>
    </row>
    <row r="1976">
      <c r="I1976" s="119"/>
    </row>
    <row r="1977">
      <c r="I1977" s="119"/>
    </row>
    <row r="1978">
      <c r="I1978" s="119"/>
    </row>
    <row r="1979">
      <c r="I1979" s="119"/>
    </row>
    <row r="1980">
      <c r="I1980" s="119"/>
    </row>
    <row r="1981">
      <c r="I1981" s="119"/>
    </row>
    <row r="1982">
      <c r="I1982" s="119"/>
    </row>
    <row r="1983">
      <c r="I1983" s="119"/>
    </row>
    <row r="1984">
      <c r="I1984" s="119"/>
    </row>
    <row r="1985">
      <c r="I1985" s="119"/>
    </row>
    <row r="1986">
      <c r="I1986" s="119"/>
    </row>
    <row r="1987">
      <c r="I1987" s="119"/>
    </row>
    <row r="1988">
      <c r="I1988" s="119"/>
    </row>
    <row r="1989">
      <c r="I1989" s="119"/>
    </row>
    <row r="1990">
      <c r="I1990" s="119"/>
    </row>
    <row r="1991">
      <c r="I1991" s="119"/>
    </row>
    <row r="1992">
      <c r="I1992" s="119"/>
    </row>
    <row r="1993">
      <c r="I1993" s="119"/>
    </row>
    <row r="1994">
      <c r="I1994" s="119"/>
    </row>
    <row r="1995">
      <c r="I1995" s="119"/>
    </row>
    <row r="1996">
      <c r="I1996" s="119"/>
    </row>
    <row r="1997">
      <c r="I1997" s="119"/>
    </row>
    <row r="1998">
      <c r="I1998" s="119"/>
    </row>
    <row r="1999">
      <c r="I1999" s="119"/>
    </row>
    <row r="2000">
      <c r="I2000" s="119"/>
    </row>
    <row r="2001">
      <c r="I2001" s="119"/>
    </row>
    <row r="2002">
      <c r="I2002" s="119"/>
    </row>
    <row r="2003">
      <c r="I2003" s="119"/>
    </row>
    <row r="2004">
      <c r="I2004" s="119"/>
    </row>
    <row r="2005">
      <c r="I2005" s="119"/>
    </row>
    <row r="2006">
      <c r="I2006" s="119"/>
    </row>
    <row r="2007">
      <c r="I2007" s="119"/>
    </row>
    <row r="2008">
      <c r="I2008" s="119"/>
    </row>
    <row r="2009">
      <c r="I2009" s="119"/>
    </row>
    <row r="2010">
      <c r="I2010" s="119"/>
    </row>
    <row r="2011">
      <c r="I2011" s="119"/>
    </row>
    <row r="2012">
      <c r="I2012" s="119"/>
    </row>
    <row r="2013">
      <c r="I2013" s="119"/>
    </row>
    <row r="2014">
      <c r="I2014" s="119"/>
    </row>
    <row r="2015">
      <c r="I2015" s="119"/>
    </row>
    <row r="2016">
      <c r="I2016" s="119"/>
    </row>
    <row r="2017">
      <c r="I2017" s="119"/>
    </row>
    <row r="2018">
      <c r="I2018" s="119"/>
    </row>
    <row r="2019">
      <c r="I2019" s="119"/>
    </row>
    <row r="2020">
      <c r="I2020" s="119"/>
    </row>
    <row r="2021">
      <c r="I2021" s="119"/>
    </row>
    <row r="2022">
      <c r="I2022" s="119"/>
    </row>
    <row r="2023">
      <c r="I2023" s="119"/>
    </row>
    <row r="2024">
      <c r="I2024" s="119"/>
    </row>
    <row r="2025">
      <c r="I2025" s="119"/>
    </row>
    <row r="2026">
      <c r="I2026" s="119"/>
    </row>
    <row r="2027">
      <c r="I2027" s="119"/>
    </row>
    <row r="2028">
      <c r="I2028" s="119"/>
    </row>
    <row r="2029">
      <c r="I2029" s="119"/>
    </row>
    <row r="2030">
      <c r="I2030" s="119"/>
    </row>
    <row r="2031">
      <c r="I2031" s="119"/>
    </row>
    <row r="2032">
      <c r="I2032" s="119"/>
    </row>
    <row r="2033">
      <c r="I2033" s="119"/>
    </row>
    <row r="2034">
      <c r="I2034" s="119"/>
    </row>
    <row r="2035">
      <c r="I2035" s="119"/>
    </row>
    <row r="2036">
      <c r="I2036" s="119"/>
    </row>
    <row r="2037">
      <c r="I2037" s="119"/>
    </row>
    <row r="2038">
      <c r="I2038" s="119"/>
    </row>
    <row r="2039">
      <c r="I2039" s="119"/>
    </row>
    <row r="2040">
      <c r="I2040" s="119"/>
    </row>
    <row r="2041">
      <c r="I2041" s="119"/>
    </row>
    <row r="2042">
      <c r="I2042" s="119"/>
    </row>
    <row r="2043">
      <c r="I2043" s="119"/>
    </row>
    <row r="2044">
      <c r="I2044" s="119"/>
    </row>
    <row r="2045">
      <c r="I2045" s="119"/>
    </row>
    <row r="2046">
      <c r="I2046" s="119"/>
    </row>
    <row r="2047">
      <c r="I2047" s="119"/>
    </row>
    <row r="2048">
      <c r="I2048" s="119"/>
    </row>
    <row r="2049">
      <c r="I2049" s="119"/>
    </row>
    <row r="2050">
      <c r="I2050" s="119"/>
    </row>
    <row r="2051">
      <c r="I2051" s="119"/>
    </row>
    <row r="2052">
      <c r="I2052" s="119"/>
    </row>
    <row r="2053">
      <c r="I2053" s="119"/>
    </row>
    <row r="2054">
      <c r="I2054" s="119"/>
    </row>
    <row r="2055">
      <c r="I2055" s="119"/>
    </row>
    <row r="2056">
      <c r="I2056" s="119"/>
    </row>
    <row r="2057">
      <c r="I2057" s="119"/>
    </row>
    <row r="2058">
      <c r="I2058" s="119"/>
    </row>
    <row r="2059">
      <c r="I2059" s="119"/>
    </row>
    <row r="2060">
      <c r="I2060" s="119"/>
    </row>
    <row r="2061">
      <c r="I2061" s="119"/>
    </row>
    <row r="2062">
      <c r="I2062" s="119"/>
    </row>
    <row r="2063">
      <c r="I2063" s="119"/>
    </row>
    <row r="2064">
      <c r="I2064" s="119"/>
    </row>
    <row r="2065">
      <c r="I2065" s="119"/>
    </row>
    <row r="2066">
      <c r="I2066" s="119"/>
    </row>
    <row r="2067">
      <c r="I2067" s="119"/>
    </row>
    <row r="2068">
      <c r="I2068" s="119"/>
    </row>
    <row r="2069">
      <c r="I2069" s="119"/>
    </row>
    <row r="2070">
      <c r="I2070" s="119"/>
    </row>
    <row r="2071">
      <c r="I2071" s="119"/>
    </row>
    <row r="2072">
      <c r="I2072" s="119"/>
    </row>
    <row r="2073">
      <c r="I2073" s="119"/>
    </row>
    <row r="2074">
      <c r="I2074" s="119"/>
    </row>
    <row r="2075">
      <c r="I2075" s="119"/>
    </row>
    <row r="2076">
      <c r="I2076" s="119"/>
    </row>
    <row r="2077">
      <c r="I2077" s="119"/>
    </row>
    <row r="2078">
      <c r="I2078" s="119"/>
    </row>
    <row r="2079">
      <c r="I2079" s="119"/>
    </row>
    <row r="2080">
      <c r="I2080" s="119"/>
    </row>
    <row r="2081">
      <c r="I2081" s="119"/>
    </row>
    <row r="2082">
      <c r="I2082" s="119"/>
    </row>
    <row r="2083">
      <c r="I2083" s="119"/>
    </row>
    <row r="2084">
      <c r="I2084" s="119"/>
    </row>
    <row r="2085">
      <c r="I2085" s="119"/>
    </row>
    <row r="2086">
      <c r="I2086" s="119"/>
    </row>
    <row r="2087">
      <c r="I2087" s="119"/>
    </row>
    <row r="2088">
      <c r="I2088" s="119"/>
    </row>
    <row r="2089">
      <c r="I2089" s="119"/>
    </row>
    <row r="2090">
      <c r="I2090" s="119"/>
    </row>
    <row r="2091">
      <c r="I2091" s="119"/>
    </row>
    <row r="2092">
      <c r="I2092" s="119"/>
    </row>
    <row r="2093">
      <c r="I2093" s="119"/>
    </row>
    <row r="2094">
      <c r="I2094" s="119"/>
    </row>
    <row r="2095">
      <c r="I2095" s="119"/>
    </row>
    <row r="2096">
      <c r="I2096" s="119"/>
    </row>
    <row r="2097">
      <c r="I2097" s="119"/>
    </row>
    <row r="2098">
      <c r="I2098" s="119"/>
    </row>
    <row r="2099">
      <c r="I2099" s="119"/>
    </row>
    <row r="2100">
      <c r="I2100" s="119"/>
    </row>
    <row r="2101">
      <c r="I2101" s="119"/>
    </row>
    <row r="2102">
      <c r="I2102" s="119"/>
    </row>
    <row r="2103">
      <c r="I2103" s="119"/>
    </row>
    <row r="2104">
      <c r="I2104" s="119"/>
    </row>
    <row r="2105">
      <c r="I2105" s="119"/>
    </row>
    <row r="2106">
      <c r="I2106" s="119"/>
    </row>
    <row r="2107">
      <c r="I2107" s="119"/>
    </row>
    <row r="2108">
      <c r="I2108" s="119"/>
    </row>
    <row r="2109">
      <c r="I2109" s="119"/>
    </row>
    <row r="2110">
      <c r="I2110" s="119"/>
    </row>
    <row r="2111">
      <c r="I2111" s="119"/>
    </row>
    <row r="2112">
      <c r="I2112" s="119"/>
    </row>
    <row r="2113">
      <c r="I2113" s="119"/>
    </row>
    <row r="2114">
      <c r="I2114" s="119"/>
    </row>
    <row r="2115">
      <c r="I2115" s="119"/>
    </row>
    <row r="2116">
      <c r="I2116" s="119"/>
    </row>
    <row r="2117">
      <c r="I2117" s="119"/>
    </row>
    <row r="2118">
      <c r="I2118" s="119"/>
    </row>
    <row r="2119">
      <c r="I2119" s="119"/>
    </row>
    <row r="2120">
      <c r="I2120" s="119"/>
    </row>
    <row r="2121">
      <c r="I2121" s="119"/>
    </row>
    <row r="2122">
      <c r="I2122" s="119"/>
    </row>
    <row r="2123">
      <c r="I2123" s="119"/>
    </row>
    <row r="2124">
      <c r="I2124" s="119"/>
    </row>
    <row r="2125">
      <c r="I2125" s="119"/>
    </row>
    <row r="2126">
      <c r="I2126" s="119"/>
    </row>
    <row r="2127">
      <c r="I2127" s="119"/>
    </row>
    <row r="2128">
      <c r="I2128" s="119"/>
    </row>
    <row r="2129">
      <c r="I2129" s="119"/>
    </row>
    <row r="2130">
      <c r="I2130" s="119"/>
    </row>
    <row r="2131">
      <c r="I2131" s="119"/>
    </row>
    <row r="2132">
      <c r="I2132" s="119"/>
    </row>
    <row r="2133">
      <c r="I2133" s="119"/>
    </row>
    <row r="2134">
      <c r="I2134" s="119"/>
    </row>
    <row r="2135">
      <c r="I2135" s="119"/>
    </row>
    <row r="2136">
      <c r="I2136" s="119"/>
    </row>
    <row r="2137">
      <c r="I2137" s="119"/>
    </row>
    <row r="2138">
      <c r="I2138" s="119"/>
    </row>
    <row r="2139">
      <c r="I2139" s="119"/>
    </row>
    <row r="2140">
      <c r="I2140" s="119"/>
    </row>
    <row r="2141">
      <c r="I2141" s="119"/>
    </row>
    <row r="2142">
      <c r="I2142" s="119"/>
    </row>
    <row r="2143">
      <c r="I2143" s="119"/>
    </row>
    <row r="2144">
      <c r="I2144" s="119"/>
    </row>
    <row r="2145">
      <c r="I2145" s="119"/>
    </row>
    <row r="2146">
      <c r="I2146" s="119"/>
    </row>
    <row r="2147">
      <c r="I2147" s="119"/>
    </row>
    <row r="2148">
      <c r="I2148" s="119"/>
    </row>
    <row r="2149">
      <c r="I2149" s="119"/>
    </row>
    <row r="2150">
      <c r="I2150" s="119"/>
    </row>
    <row r="2151">
      <c r="I2151" s="119"/>
    </row>
    <row r="2152">
      <c r="I2152" s="119"/>
    </row>
    <row r="2153">
      <c r="I2153" s="119"/>
    </row>
    <row r="2154">
      <c r="I2154" s="119"/>
    </row>
    <row r="2155">
      <c r="I2155" s="119"/>
    </row>
    <row r="2156">
      <c r="I2156" s="119"/>
    </row>
    <row r="2157">
      <c r="I2157" s="119"/>
    </row>
    <row r="2158">
      <c r="I2158" s="119"/>
    </row>
    <row r="2159">
      <c r="I2159" s="119"/>
    </row>
    <row r="2160">
      <c r="I2160" s="119"/>
    </row>
    <row r="2161">
      <c r="I2161" s="119"/>
    </row>
    <row r="2162">
      <c r="I2162" s="119"/>
    </row>
    <row r="2163">
      <c r="I2163" s="119"/>
    </row>
    <row r="2164">
      <c r="I2164" s="119"/>
    </row>
    <row r="2165">
      <c r="I2165" s="119"/>
    </row>
    <row r="2166">
      <c r="I2166" s="119"/>
    </row>
    <row r="2167">
      <c r="I2167" s="119"/>
    </row>
    <row r="2168">
      <c r="I2168" s="119"/>
    </row>
    <row r="2169">
      <c r="I2169" s="119"/>
    </row>
    <row r="2170">
      <c r="I2170" s="119"/>
    </row>
    <row r="2171">
      <c r="I2171" s="119"/>
    </row>
    <row r="2172">
      <c r="I2172" s="119"/>
    </row>
    <row r="2173">
      <c r="I2173" s="119"/>
    </row>
    <row r="2174">
      <c r="I2174" s="119"/>
    </row>
    <row r="2175">
      <c r="I2175" s="119"/>
    </row>
    <row r="2176">
      <c r="I2176" s="119"/>
    </row>
    <row r="2177">
      <c r="I2177" s="119"/>
    </row>
    <row r="2178">
      <c r="I2178" s="119"/>
    </row>
    <row r="2179">
      <c r="I2179" s="119"/>
    </row>
    <row r="2180">
      <c r="I2180" s="119"/>
    </row>
    <row r="2181">
      <c r="I2181" s="119"/>
    </row>
    <row r="2182">
      <c r="I2182" s="119"/>
    </row>
    <row r="2183">
      <c r="I2183" s="119"/>
    </row>
    <row r="2184">
      <c r="I2184" s="119"/>
    </row>
    <row r="2185">
      <c r="I2185" s="119"/>
    </row>
    <row r="2186">
      <c r="I2186" s="119"/>
    </row>
    <row r="2187">
      <c r="I2187" s="119"/>
    </row>
    <row r="2188">
      <c r="I2188" s="119"/>
    </row>
    <row r="2189">
      <c r="I2189" s="119"/>
    </row>
    <row r="2190">
      <c r="I2190" s="119"/>
    </row>
    <row r="2191">
      <c r="I2191" s="119"/>
    </row>
    <row r="2192">
      <c r="I2192" s="119"/>
    </row>
    <row r="2193">
      <c r="I2193" s="119"/>
    </row>
    <row r="2194">
      <c r="I2194" s="119"/>
    </row>
    <row r="2195">
      <c r="I2195" s="119"/>
    </row>
    <row r="2196">
      <c r="I2196" s="119"/>
    </row>
    <row r="2197">
      <c r="I2197" s="119"/>
    </row>
    <row r="2198">
      <c r="I2198" s="119"/>
    </row>
    <row r="2199">
      <c r="I2199" s="119"/>
    </row>
    <row r="2200">
      <c r="I2200" s="119"/>
    </row>
    <row r="2201">
      <c r="I2201" s="119"/>
    </row>
    <row r="2202">
      <c r="I2202" s="119"/>
    </row>
    <row r="2203">
      <c r="I2203" s="119"/>
    </row>
    <row r="2204">
      <c r="I2204" s="119"/>
    </row>
    <row r="2205">
      <c r="I2205" s="119"/>
    </row>
    <row r="2206">
      <c r="I2206" s="119"/>
    </row>
    <row r="2207">
      <c r="I2207" s="119"/>
    </row>
    <row r="2208">
      <c r="I2208" s="119"/>
    </row>
    <row r="2209">
      <c r="I2209" s="119"/>
    </row>
    <row r="2210">
      <c r="I2210" s="119"/>
    </row>
    <row r="2211">
      <c r="I2211" s="119"/>
    </row>
    <row r="2212">
      <c r="I2212" s="119"/>
    </row>
    <row r="2213">
      <c r="I2213" s="119"/>
    </row>
    <row r="2214">
      <c r="I2214" s="119"/>
    </row>
    <row r="2215">
      <c r="I2215" s="119"/>
    </row>
    <row r="2216">
      <c r="I2216" s="119"/>
    </row>
    <row r="2217">
      <c r="I2217" s="119"/>
    </row>
    <row r="2218">
      <c r="I2218" s="119"/>
    </row>
    <row r="2219">
      <c r="I2219" s="119"/>
    </row>
    <row r="2220">
      <c r="I2220" s="119"/>
    </row>
    <row r="2221">
      <c r="I2221" s="119"/>
    </row>
    <row r="2222">
      <c r="I2222" s="119"/>
    </row>
    <row r="2223">
      <c r="I2223" s="119"/>
    </row>
    <row r="2224">
      <c r="I2224" s="119"/>
    </row>
    <row r="2225">
      <c r="I2225" s="119"/>
    </row>
    <row r="2226">
      <c r="I2226" s="119"/>
    </row>
    <row r="2227">
      <c r="I2227" s="119"/>
    </row>
    <row r="2228">
      <c r="I2228" s="119"/>
    </row>
    <row r="2229">
      <c r="I2229" s="119"/>
    </row>
    <row r="2230">
      <c r="I2230" s="119"/>
    </row>
    <row r="2231">
      <c r="I2231" s="119"/>
    </row>
    <row r="2232">
      <c r="I2232" s="119"/>
    </row>
    <row r="2233">
      <c r="I2233" s="119"/>
    </row>
    <row r="2234">
      <c r="I2234" s="119"/>
    </row>
    <row r="2235">
      <c r="I2235" s="119"/>
    </row>
    <row r="2236">
      <c r="I2236" s="119"/>
    </row>
    <row r="2237">
      <c r="I2237" s="119"/>
    </row>
    <row r="2238">
      <c r="I2238" s="119"/>
    </row>
    <row r="2239">
      <c r="I2239" s="119"/>
    </row>
    <row r="2240">
      <c r="I2240" s="119"/>
    </row>
    <row r="2241">
      <c r="I2241" s="119"/>
    </row>
    <row r="2242">
      <c r="I2242" s="119"/>
    </row>
    <row r="2243">
      <c r="I2243" s="119"/>
    </row>
    <row r="2244">
      <c r="I2244" s="119"/>
    </row>
    <row r="2245">
      <c r="I2245" s="119"/>
    </row>
    <row r="2246">
      <c r="I2246" s="119"/>
    </row>
    <row r="2247">
      <c r="I2247" s="119"/>
    </row>
    <row r="2248">
      <c r="I2248" s="119"/>
    </row>
    <row r="2249">
      <c r="I2249" s="119"/>
    </row>
    <row r="2250">
      <c r="I2250" s="119"/>
    </row>
    <row r="2251">
      <c r="I2251" s="119"/>
    </row>
    <row r="2252">
      <c r="I2252" s="119"/>
    </row>
    <row r="2253">
      <c r="I2253" s="119"/>
    </row>
    <row r="2254">
      <c r="I2254" s="119"/>
    </row>
    <row r="2255">
      <c r="I2255" s="119"/>
    </row>
    <row r="2256">
      <c r="I2256" s="119"/>
    </row>
    <row r="2257">
      <c r="I2257" s="119"/>
    </row>
    <row r="2258">
      <c r="I2258" s="119"/>
    </row>
    <row r="2259">
      <c r="I2259" s="119"/>
    </row>
    <row r="2260">
      <c r="I2260" s="119"/>
    </row>
    <row r="2261">
      <c r="I2261" s="119"/>
    </row>
    <row r="2262">
      <c r="I2262" s="119"/>
    </row>
    <row r="2263">
      <c r="I2263" s="119"/>
    </row>
    <row r="2264">
      <c r="I2264" s="119"/>
    </row>
    <row r="2265">
      <c r="I2265" s="119"/>
    </row>
    <row r="2266">
      <c r="I2266" s="119"/>
    </row>
    <row r="2267">
      <c r="I2267" s="119"/>
    </row>
    <row r="2268">
      <c r="I2268" s="119"/>
    </row>
    <row r="2269">
      <c r="I2269" s="119"/>
    </row>
    <row r="2270">
      <c r="I2270" s="119"/>
    </row>
    <row r="2271">
      <c r="I2271" s="119"/>
    </row>
    <row r="2272">
      <c r="I2272" s="119"/>
    </row>
    <row r="2273">
      <c r="I2273" s="119"/>
    </row>
    <row r="2274">
      <c r="I2274" s="119"/>
    </row>
    <row r="2275">
      <c r="I2275" s="119"/>
    </row>
    <row r="2276">
      <c r="I2276" s="119"/>
    </row>
    <row r="2277">
      <c r="I2277" s="119"/>
    </row>
    <row r="2278">
      <c r="I2278" s="119"/>
    </row>
    <row r="2279">
      <c r="I2279" s="119"/>
    </row>
    <row r="2280">
      <c r="I2280" s="119"/>
    </row>
    <row r="2281">
      <c r="I2281" s="119"/>
    </row>
    <row r="2282">
      <c r="I2282" s="119"/>
    </row>
    <row r="2283">
      <c r="I2283" s="119"/>
    </row>
    <row r="2284">
      <c r="I2284" s="119"/>
    </row>
    <row r="2285">
      <c r="I2285" s="119"/>
    </row>
    <row r="2286">
      <c r="I2286" s="119"/>
    </row>
    <row r="2287">
      <c r="I2287" s="119"/>
    </row>
    <row r="2288">
      <c r="I2288" s="119"/>
    </row>
    <row r="2289">
      <c r="I2289" s="119"/>
    </row>
    <row r="2290">
      <c r="I2290" s="119"/>
    </row>
    <row r="2291">
      <c r="I2291" s="119"/>
    </row>
    <row r="2292">
      <c r="I2292" s="119"/>
    </row>
    <row r="2293">
      <c r="I2293" s="119"/>
    </row>
    <row r="2294">
      <c r="I2294" s="119"/>
    </row>
    <row r="2295">
      <c r="I2295" s="119"/>
    </row>
    <row r="2296">
      <c r="I2296" s="119"/>
    </row>
    <row r="2297">
      <c r="I2297" s="119"/>
    </row>
    <row r="2298">
      <c r="I2298" s="119"/>
    </row>
    <row r="2299">
      <c r="I2299" s="119"/>
    </row>
    <row r="2300">
      <c r="I2300" s="119"/>
    </row>
    <row r="2301">
      <c r="I2301" s="119"/>
    </row>
    <row r="2302">
      <c r="I2302" s="119"/>
    </row>
    <row r="2303">
      <c r="I2303" s="119"/>
    </row>
    <row r="2304">
      <c r="I2304" s="119"/>
    </row>
    <row r="2305">
      <c r="I2305" s="119"/>
    </row>
    <row r="2306">
      <c r="I2306" s="119"/>
    </row>
    <row r="2307">
      <c r="I2307" s="119"/>
    </row>
    <row r="2308">
      <c r="I2308" s="119"/>
    </row>
    <row r="2309">
      <c r="I2309" s="119"/>
    </row>
    <row r="2310">
      <c r="I2310" s="119"/>
    </row>
    <row r="2311">
      <c r="I2311" s="119"/>
    </row>
    <row r="2312">
      <c r="I2312" s="119"/>
    </row>
    <row r="2313">
      <c r="I2313" s="119"/>
    </row>
    <row r="2314">
      <c r="I2314" s="119"/>
    </row>
    <row r="2315">
      <c r="I2315" s="119"/>
    </row>
    <row r="2316">
      <c r="I2316" s="119"/>
    </row>
    <row r="2317">
      <c r="I2317" s="119"/>
    </row>
    <row r="2318">
      <c r="I2318" s="119"/>
    </row>
    <row r="2319">
      <c r="I2319" s="119"/>
    </row>
    <row r="2320">
      <c r="I2320" s="119"/>
    </row>
    <row r="2321">
      <c r="I2321" s="119"/>
    </row>
    <row r="2322">
      <c r="I2322" s="119"/>
    </row>
    <row r="2323">
      <c r="I2323" s="119"/>
    </row>
    <row r="2324">
      <c r="I2324" s="119"/>
    </row>
    <row r="2325">
      <c r="I2325" s="119"/>
    </row>
    <row r="2326">
      <c r="I2326" s="119"/>
    </row>
    <row r="2327">
      <c r="I2327" s="119"/>
    </row>
    <row r="2328">
      <c r="I2328" s="119"/>
    </row>
    <row r="2329">
      <c r="I2329" s="119"/>
    </row>
    <row r="2330">
      <c r="I2330" s="119"/>
    </row>
    <row r="2331">
      <c r="I2331" s="119"/>
    </row>
    <row r="2332">
      <c r="I2332" s="119"/>
    </row>
    <row r="2333">
      <c r="I2333" s="119"/>
    </row>
    <row r="2334">
      <c r="I2334" s="119"/>
    </row>
    <row r="2335">
      <c r="I2335" s="119"/>
    </row>
    <row r="2336">
      <c r="I2336" s="119"/>
    </row>
    <row r="2337">
      <c r="I2337" s="119"/>
    </row>
    <row r="2338">
      <c r="I2338" s="119"/>
    </row>
    <row r="2339">
      <c r="I2339" s="119"/>
    </row>
    <row r="2340">
      <c r="I2340" s="119"/>
    </row>
    <row r="2341">
      <c r="I2341" s="119"/>
    </row>
    <row r="2342">
      <c r="I2342" s="119"/>
    </row>
    <row r="2343">
      <c r="I2343" s="119"/>
    </row>
    <row r="2344">
      <c r="I2344" s="119"/>
    </row>
    <row r="2345">
      <c r="I2345" s="119"/>
    </row>
    <row r="2346">
      <c r="I2346" s="119"/>
    </row>
    <row r="2347">
      <c r="I2347" s="119"/>
    </row>
    <row r="2348">
      <c r="I2348" s="119"/>
    </row>
    <row r="2349">
      <c r="I2349" s="119"/>
    </row>
    <row r="2350">
      <c r="I2350" s="119"/>
    </row>
    <row r="2351">
      <c r="I2351" s="119"/>
    </row>
    <row r="2352">
      <c r="I2352" s="119"/>
    </row>
    <row r="2353">
      <c r="I2353" s="119"/>
    </row>
    <row r="2354">
      <c r="I2354" s="119"/>
    </row>
    <row r="2355">
      <c r="I2355" s="119"/>
    </row>
    <row r="2356">
      <c r="I2356" s="119"/>
    </row>
    <row r="2357">
      <c r="I2357" s="119"/>
    </row>
    <row r="2358">
      <c r="I2358" s="119"/>
    </row>
    <row r="2359">
      <c r="I2359" s="119"/>
    </row>
    <row r="2360">
      <c r="I2360" s="119"/>
    </row>
    <row r="2361">
      <c r="I2361" s="119"/>
    </row>
    <row r="2362">
      <c r="I2362" s="119"/>
    </row>
    <row r="2363">
      <c r="I2363" s="119"/>
    </row>
    <row r="2364">
      <c r="I2364" s="119"/>
    </row>
    <row r="2365">
      <c r="I2365" s="119"/>
    </row>
    <row r="2366">
      <c r="I2366" s="119"/>
    </row>
    <row r="2367">
      <c r="I2367" s="119"/>
    </row>
    <row r="2368">
      <c r="I2368" s="119"/>
    </row>
    <row r="2369">
      <c r="I2369" s="119"/>
    </row>
    <row r="2370">
      <c r="I2370" s="119"/>
    </row>
    <row r="2371">
      <c r="I2371" s="119"/>
    </row>
    <row r="2372">
      <c r="I2372" s="119"/>
    </row>
    <row r="2373">
      <c r="I2373" s="119"/>
    </row>
    <row r="2374">
      <c r="I2374" s="119"/>
    </row>
    <row r="2375">
      <c r="I2375" s="119"/>
    </row>
    <row r="2376">
      <c r="I2376" s="119"/>
    </row>
    <row r="2377">
      <c r="I2377" s="119"/>
    </row>
    <row r="2378">
      <c r="I2378" s="119"/>
    </row>
    <row r="2379">
      <c r="I2379" s="119"/>
    </row>
    <row r="2380">
      <c r="I2380" s="119"/>
    </row>
    <row r="2381">
      <c r="I2381" s="119"/>
    </row>
    <row r="2382">
      <c r="I2382" s="119"/>
    </row>
    <row r="2383">
      <c r="I2383" s="119"/>
    </row>
    <row r="2384">
      <c r="I2384" s="119"/>
    </row>
    <row r="2385">
      <c r="I2385" s="119"/>
    </row>
    <row r="2386">
      <c r="I2386" s="119"/>
    </row>
    <row r="2387">
      <c r="I2387" s="119"/>
    </row>
    <row r="2388">
      <c r="I2388" s="119"/>
    </row>
    <row r="2389">
      <c r="I2389" s="119"/>
    </row>
    <row r="2390">
      <c r="I2390" s="119"/>
    </row>
    <row r="2391">
      <c r="I2391" s="119"/>
    </row>
    <row r="2392">
      <c r="I2392" s="119"/>
    </row>
    <row r="2393">
      <c r="I2393" s="119"/>
    </row>
    <row r="2394">
      <c r="I2394" s="119"/>
    </row>
    <row r="2395">
      <c r="I2395" s="119"/>
    </row>
    <row r="2396">
      <c r="I2396" s="119"/>
    </row>
    <row r="2397">
      <c r="I2397" s="119"/>
    </row>
    <row r="2398">
      <c r="I2398" s="119"/>
    </row>
    <row r="2399">
      <c r="I2399" s="119"/>
    </row>
    <row r="2400">
      <c r="I2400" s="119"/>
    </row>
    <row r="2401">
      <c r="I2401" s="119"/>
    </row>
    <row r="2402">
      <c r="I2402" s="119"/>
    </row>
    <row r="2403">
      <c r="I2403" s="119"/>
    </row>
    <row r="2404">
      <c r="I2404" s="119"/>
    </row>
    <row r="2405">
      <c r="I2405" s="119"/>
    </row>
    <row r="2406">
      <c r="I2406" s="119"/>
    </row>
    <row r="2407">
      <c r="I2407" s="119"/>
    </row>
    <row r="2408">
      <c r="I2408" s="119"/>
    </row>
    <row r="2409">
      <c r="I2409" s="119"/>
    </row>
    <row r="2410">
      <c r="I2410" s="119"/>
    </row>
    <row r="2411">
      <c r="I2411" s="119"/>
    </row>
    <row r="2412">
      <c r="I2412" s="119"/>
    </row>
    <row r="2413">
      <c r="I2413" s="119"/>
    </row>
    <row r="2414">
      <c r="I2414" s="119"/>
    </row>
    <row r="2415">
      <c r="I2415" s="119"/>
    </row>
    <row r="2416">
      <c r="I2416" s="119"/>
    </row>
    <row r="2417">
      <c r="I2417" s="119"/>
    </row>
    <row r="2418">
      <c r="I2418" s="119"/>
    </row>
    <row r="2419">
      <c r="I2419" s="119"/>
    </row>
    <row r="2420">
      <c r="I2420" s="119"/>
    </row>
    <row r="2421">
      <c r="I2421" s="119"/>
    </row>
    <row r="2422">
      <c r="I2422" s="119"/>
    </row>
    <row r="2423">
      <c r="I2423" s="119"/>
    </row>
    <row r="2424">
      <c r="I2424" s="119"/>
    </row>
    <row r="2425">
      <c r="I2425" s="119"/>
    </row>
    <row r="2426">
      <c r="I2426" s="119"/>
    </row>
    <row r="2427">
      <c r="I2427" s="119"/>
    </row>
    <row r="2428">
      <c r="I2428" s="119"/>
    </row>
    <row r="2429">
      <c r="I2429" s="119"/>
    </row>
    <row r="2430">
      <c r="I2430" s="119"/>
    </row>
    <row r="2431">
      <c r="I2431" s="119"/>
    </row>
    <row r="2432">
      <c r="I2432" s="119"/>
    </row>
    <row r="2433">
      <c r="I2433" s="119"/>
    </row>
    <row r="2434">
      <c r="I2434" s="119"/>
    </row>
    <row r="2435">
      <c r="I2435" s="119"/>
    </row>
    <row r="2436">
      <c r="I2436" s="119"/>
    </row>
    <row r="2437">
      <c r="I2437" s="119"/>
    </row>
    <row r="2438">
      <c r="I2438" s="119"/>
    </row>
    <row r="2439">
      <c r="I2439" s="119"/>
    </row>
    <row r="2440">
      <c r="I2440" s="119"/>
    </row>
    <row r="2441">
      <c r="I2441" s="119"/>
    </row>
    <row r="2442">
      <c r="I2442" s="119"/>
    </row>
    <row r="2443">
      <c r="I2443" s="119"/>
    </row>
    <row r="2444">
      <c r="I2444" s="119"/>
    </row>
    <row r="2445">
      <c r="I2445" s="119"/>
    </row>
    <row r="2446">
      <c r="I2446" s="119"/>
    </row>
    <row r="2447">
      <c r="I2447" s="119"/>
    </row>
    <row r="2448">
      <c r="I2448" s="119"/>
    </row>
    <row r="2449">
      <c r="I2449" s="119"/>
    </row>
    <row r="2450">
      <c r="I2450" s="119"/>
    </row>
    <row r="2451">
      <c r="I2451" s="119"/>
    </row>
    <row r="2452">
      <c r="I2452" s="119"/>
    </row>
    <row r="2453">
      <c r="I2453" s="119"/>
    </row>
    <row r="2454">
      <c r="I2454" s="119"/>
    </row>
    <row r="2455">
      <c r="I2455" s="119"/>
    </row>
    <row r="2456">
      <c r="I2456" s="119"/>
    </row>
    <row r="2457">
      <c r="I2457" s="119"/>
    </row>
    <row r="2458">
      <c r="I2458" s="119"/>
    </row>
    <row r="2459">
      <c r="I2459" s="119"/>
    </row>
    <row r="2460">
      <c r="I2460" s="119"/>
    </row>
    <row r="2461">
      <c r="I2461" s="119"/>
    </row>
    <row r="2462">
      <c r="I2462" s="119"/>
    </row>
    <row r="2463">
      <c r="I2463" s="119"/>
    </row>
    <row r="2464">
      <c r="I2464" s="119"/>
    </row>
    <row r="2465">
      <c r="I2465" s="119"/>
    </row>
    <row r="2466">
      <c r="I2466" s="119"/>
    </row>
    <row r="2467">
      <c r="I2467" s="119"/>
    </row>
    <row r="2468">
      <c r="I2468" s="119"/>
    </row>
    <row r="2469">
      <c r="I2469" s="119"/>
    </row>
    <row r="2470">
      <c r="I2470" s="119"/>
    </row>
    <row r="2471">
      <c r="I2471" s="119"/>
    </row>
    <row r="2472">
      <c r="I2472" s="119"/>
    </row>
    <row r="2473">
      <c r="I2473" s="119"/>
    </row>
    <row r="2474">
      <c r="I2474" s="119"/>
    </row>
    <row r="2475">
      <c r="I2475" s="119"/>
    </row>
    <row r="2476">
      <c r="I2476" s="119"/>
    </row>
    <row r="2477">
      <c r="I2477" s="119"/>
    </row>
    <row r="2478">
      <c r="I2478" s="119"/>
    </row>
    <row r="2479">
      <c r="I2479" s="119"/>
    </row>
    <row r="2480">
      <c r="I2480" s="119"/>
    </row>
    <row r="2481">
      <c r="I2481" s="119"/>
    </row>
    <row r="2482">
      <c r="I2482" s="119"/>
    </row>
    <row r="2483">
      <c r="I2483" s="119"/>
    </row>
    <row r="2484">
      <c r="I2484" s="119"/>
    </row>
    <row r="2485">
      <c r="I2485" s="119"/>
    </row>
    <row r="2486">
      <c r="I2486" s="119"/>
    </row>
    <row r="2487">
      <c r="I2487" s="119"/>
    </row>
    <row r="2488">
      <c r="I2488" s="119"/>
    </row>
    <row r="2489">
      <c r="I2489" s="119"/>
    </row>
    <row r="2490">
      <c r="I2490" s="119"/>
    </row>
    <row r="2491">
      <c r="I2491" s="119"/>
    </row>
    <row r="2492">
      <c r="I2492" s="119"/>
    </row>
    <row r="2493">
      <c r="I2493" s="119"/>
    </row>
    <row r="2494">
      <c r="I2494" s="119"/>
    </row>
    <row r="2495">
      <c r="I2495" s="119"/>
    </row>
    <row r="2496">
      <c r="I2496" s="119"/>
    </row>
    <row r="2497">
      <c r="I2497" s="119"/>
    </row>
    <row r="2498">
      <c r="I2498" s="119"/>
    </row>
    <row r="2499">
      <c r="I2499" s="119"/>
    </row>
    <row r="2500">
      <c r="I2500" s="119"/>
    </row>
    <row r="2501">
      <c r="I2501" s="119"/>
    </row>
    <row r="2502">
      <c r="I2502" s="119"/>
    </row>
    <row r="2503">
      <c r="I2503" s="119"/>
    </row>
    <row r="2504">
      <c r="I2504" s="119"/>
    </row>
    <row r="2505">
      <c r="I2505" s="119"/>
    </row>
    <row r="2506">
      <c r="I2506" s="119"/>
    </row>
    <row r="2507">
      <c r="I2507" s="119"/>
    </row>
    <row r="2508">
      <c r="I2508" s="119"/>
    </row>
    <row r="2509">
      <c r="I2509" s="119"/>
    </row>
    <row r="2510">
      <c r="I2510" s="119"/>
    </row>
    <row r="2511">
      <c r="I2511" s="119"/>
    </row>
    <row r="2512">
      <c r="I2512" s="119"/>
    </row>
    <row r="2513">
      <c r="I2513" s="119"/>
    </row>
    <row r="2514">
      <c r="I2514" s="119"/>
    </row>
    <row r="2515">
      <c r="I2515" s="119"/>
    </row>
    <row r="2516">
      <c r="I2516" s="119"/>
    </row>
    <row r="2517">
      <c r="I2517" s="119"/>
    </row>
    <row r="2518">
      <c r="I2518" s="119"/>
    </row>
    <row r="2519">
      <c r="I2519" s="119"/>
    </row>
    <row r="2520">
      <c r="I2520" s="119"/>
    </row>
    <row r="2521">
      <c r="I2521" s="119"/>
    </row>
    <row r="2522">
      <c r="I2522" s="119"/>
    </row>
    <row r="2523">
      <c r="I2523" s="119"/>
    </row>
    <row r="2524">
      <c r="I2524" s="119"/>
    </row>
    <row r="2525">
      <c r="I2525" s="119"/>
    </row>
    <row r="2526">
      <c r="I2526" s="119"/>
    </row>
    <row r="2527">
      <c r="I2527" s="119"/>
    </row>
    <row r="2528">
      <c r="I2528" s="119"/>
    </row>
    <row r="2529">
      <c r="I2529" s="119"/>
    </row>
    <row r="2530">
      <c r="I2530" s="119"/>
    </row>
    <row r="2531">
      <c r="I2531" s="119"/>
    </row>
    <row r="2532">
      <c r="I2532" s="119"/>
    </row>
    <row r="2533">
      <c r="I2533" s="119"/>
    </row>
    <row r="2534">
      <c r="I2534" s="119"/>
    </row>
    <row r="2535">
      <c r="I2535" s="119"/>
    </row>
    <row r="2536">
      <c r="I2536" s="119"/>
    </row>
    <row r="2537">
      <c r="I2537" s="119"/>
    </row>
    <row r="2538">
      <c r="I2538" s="119"/>
    </row>
    <row r="2539">
      <c r="I2539" s="119"/>
    </row>
    <row r="2540">
      <c r="I2540" s="119"/>
    </row>
    <row r="2541">
      <c r="I2541" s="119"/>
    </row>
    <row r="2542">
      <c r="I2542" s="119"/>
    </row>
    <row r="2543">
      <c r="I2543" s="119"/>
    </row>
    <row r="2544">
      <c r="I2544" s="119"/>
    </row>
    <row r="2545">
      <c r="I2545" s="119"/>
    </row>
    <row r="2546">
      <c r="I2546" s="119"/>
    </row>
    <row r="2547">
      <c r="I2547" s="119"/>
    </row>
    <row r="2548">
      <c r="I2548" s="119"/>
    </row>
    <row r="2549">
      <c r="I2549" s="119"/>
    </row>
    <row r="2550">
      <c r="I2550" s="119"/>
    </row>
    <row r="2551">
      <c r="I2551" s="119"/>
    </row>
    <row r="2552">
      <c r="I2552" s="119"/>
    </row>
    <row r="2553">
      <c r="I2553" s="119"/>
    </row>
    <row r="2554">
      <c r="I2554" s="119"/>
    </row>
    <row r="2555">
      <c r="I2555" s="119"/>
    </row>
    <row r="2556">
      <c r="I2556" s="119"/>
    </row>
    <row r="2557">
      <c r="I2557" s="119"/>
    </row>
    <row r="2558">
      <c r="I2558" s="119"/>
    </row>
    <row r="2559">
      <c r="I2559" s="119"/>
    </row>
    <row r="2560">
      <c r="I2560" s="119"/>
    </row>
    <row r="2561">
      <c r="I2561" s="119"/>
    </row>
    <row r="2562">
      <c r="I2562" s="119"/>
    </row>
    <row r="2563">
      <c r="I2563" s="119"/>
    </row>
    <row r="2564">
      <c r="I2564" s="119"/>
    </row>
    <row r="2565">
      <c r="I2565" s="119"/>
    </row>
    <row r="2566">
      <c r="I2566" s="119"/>
    </row>
    <row r="2567">
      <c r="I2567" s="119"/>
    </row>
    <row r="2568">
      <c r="I2568" s="119"/>
    </row>
    <row r="2569">
      <c r="I2569" s="119"/>
    </row>
    <row r="2570">
      <c r="I2570" s="119"/>
    </row>
    <row r="2571">
      <c r="I2571" s="119"/>
    </row>
    <row r="2572">
      <c r="I2572" s="119"/>
    </row>
    <row r="2573">
      <c r="I2573" s="119"/>
    </row>
    <row r="2574">
      <c r="I2574" s="119"/>
    </row>
    <row r="2575">
      <c r="I2575" s="119"/>
    </row>
    <row r="2576">
      <c r="I2576" s="119"/>
    </row>
    <row r="2577">
      <c r="I2577" s="119"/>
    </row>
    <row r="2578">
      <c r="I2578" s="119"/>
    </row>
    <row r="2579">
      <c r="I2579" s="119"/>
    </row>
    <row r="2580">
      <c r="I2580" s="119"/>
    </row>
    <row r="2581">
      <c r="I2581" s="119"/>
    </row>
    <row r="2582">
      <c r="I2582" s="119"/>
    </row>
    <row r="2583">
      <c r="I2583" s="119"/>
    </row>
    <row r="2584">
      <c r="I2584" s="119"/>
    </row>
    <row r="2585">
      <c r="I2585" s="119"/>
    </row>
    <row r="2586">
      <c r="I2586" s="119"/>
    </row>
    <row r="2587">
      <c r="I2587" s="119"/>
    </row>
    <row r="2588">
      <c r="I2588" s="119"/>
    </row>
    <row r="2589">
      <c r="I2589" s="119"/>
    </row>
    <row r="2590">
      <c r="I2590" s="119"/>
    </row>
    <row r="2591">
      <c r="I2591" s="119"/>
    </row>
    <row r="2592">
      <c r="I2592" s="119"/>
    </row>
    <row r="2593">
      <c r="I2593" s="119"/>
    </row>
    <row r="2594">
      <c r="I2594" s="119"/>
    </row>
    <row r="2595">
      <c r="I2595" s="119"/>
    </row>
    <row r="2596">
      <c r="I2596" s="119"/>
    </row>
    <row r="2597">
      <c r="I2597" s="119"/>
    </row>
    <row r="2598">
      <c r="I2598" s="119"/>
    </row>
    <row r="2599">
      <c r="I2599" s="119"/>
    </row>
    <row r="2600">
      <c r="I2600" s="119"/>
    </row>
    <row r="2601">
      <c r="I2601" s="119"/>
    </row>
    <row r="2602">
      <c r="I2602" s="119"/>
    </row>
    <row r="2603">
      <c r="I2603" s="119"/>
    </row>
    <row r="2604">
      <c r="I2604" s="119"/>
    </row>
    <row r="2605">
      <c r="I2605" s="119"/>
    </row>
    <row r="2606">
      <c r="I2606" s="119"/>
    </row>
    <row r="2607">
      <c r="I2607" s="119"/>
    </row>
    <row r="2608">
      <c r="I2608" s="119"/>
    </row>
    <row r="2609">
      <c r="I2609" s="119"/>
    </row>
    <row r="2610">
      <c r="I2610" s="119"/>
    </row>
    <row r="2611">
      <c r="I2611" s="119"/>
    </row>
    <row r="2612">
      <c r="I2612" s="119"/>
    </row>
    <row r="2613">
      <c r="I2613" s="119"/>
    </row>
    <row r="2614">
      <c r="I2614" s="119"/>
    </row>
    <row r="2615">
      <c r="I2615" s="119"/>
    </row>
    <row r="2616">
      <c r="I2616" s="119"/>
    </row>
    <row r="2617">
      <c r="I2617" s="119"/>
    </row>
    <row r="2618">
      <c r="I2618" s="119"/>
    </row>
    <row r="2619">
      <c r="I2619" s="119"/>
    </row>
    <row r="2620">
      <c r="I2620" s="119"/>
    </row>
    <row r="2621">
      <c r="I2621" s="119"/>
    </row>
    <row r="2622">
      <c r="I2622" s="119"/>
    </row>
    <row r="2623">
      <c r="I2623" s="119"/>
    </row>
    <row r="2624">
      <c r="I2624" s="119"/>
    </row>
    <row r="2625">
      <c r="I2625" s="119"/>
    </row>
    <row r="2626">
      <c r="I2626" s="119"/>
    </row>
    <row r="2627">
      <c r="I2627" s="119"/>
    </row>
    <row r="2628">
      <c r="I2628" s="119"/>
    </row>
    <row r="2629">
      <c r="I2629" s="119"/>
    </row>
    <row r="2630">
      <c r="I2630" s="119"/>
    </row>
    <row r="2631">
      <c r="I2631" s="119"/>
    </row>
    <row r="2632">
      <c r="I2632" s="119"/>
    </row>
    <row r="2633">
      <c r="I2633" s="119"/>
    </row>
    <row r="2634">
      <c r="I2634" s="119"/>
    </row>
    <row r="2635">
      <c r="I2635" s="119"/>
    </row>
    <row r="2636">
      <c r="I2636" s="119"/>
    </row>
    <row r="2637">
      <c r="I2637" s="119"/>
    </row>
    <row r="2638">
      <c r="I2638" s="119"/>
    </row>
    <row r="2639">
      <c r="I2639" s="119"/>
    </row>
    <row r="2640">
      <c r="I2640" s="119"/>
    </row>
    <row r="2641">
      <c r="I2641" s="119"/>
    </row>
    <row r="2642">
      <c r="I2642" s="119"/>
    </row>
    <row r="2643">
      <c r="I2643" s="119"/>
    </row>
    <row r="2644">
      <c r="I2644" s="119"/>
    </row>
    <row r="2645">
      <c r="I2645" s="119"/>
    </row>
    <row r="2646">
      <c r="I2646" s="119"/>
    </row>
    <row r="2647">
      <c r="I2647" s="119"/>
    </row>
    <row r="2648">
      <c r="I2648" s="119"/>
    </row>
    <row r="2649">
      <c r="I2649" s="119"/>
    </row>
    <row r="2650">
      <c r="I2650" s="119"/>
    </row>
    <row r="2651">
      <c r="I2651" s="119"/>
    </row>
    <row r="2652">
      <c r="I2652" s="119"/>
    </row>
    <row r="2653">
      <c r="I2653" s="119"/>
    </row>
    <row r="2654">
      <c r="I2654" s="119"/>
    </row>
    <row r="2655">
      <c r="I2655" s="119"/>
    </row>
    <row r="2656">
      <c r="I2656" s="119"/>
    </row>
    <row r="2657">
      <c r="I2657" s="119"/>
    </row>
    <row r="2658">
      <c r="I2658" s="119"/>
    </row>
    <row r="2659">
      <c r="I2659" s="119"/>
    </row>
    <row r="2660">
      <c r="I2660" s="119"/>
    </row>
    <row r="2661">
      <c r="I2661" s="119"/>
    </row>
    <row r="2662">
      <c r="I2662" s="119"/>
    </row>
    <row r="2663">
      <c r="I2663" s="119"/>
    </row>
    <row r="2664">
      <c r="I2664" s="119"/>
    </row>
    <row r="2665">
      <c r="I2665" s="119"/>
    </row>
    <row r="2666">
      <c r="I2666" s="119"/>
    </row>
    <row r="2667">
      <c r="I2667" s="119"/>
    </row>
    <row r="2668">
      <c r="I2668" s="119"/>
    </row>
    <row r="2669">
      <c r="I2669" s="119"/>
    </row>
    <row r="2670">
      <c r="I2670" s="119"/>
    </row>
    <row r="2671">
      <c r="I2671" s="119"/>
    </row>
    <row r="2672">
      <c r="I2672" s="119"/>
    </row>
    <row r="2673">
      <c r="I2673" s="119"/>
    </row>
    <row r="2674">
      <c r="I2674" s="119"/>
    </row>
    <row r="2675">
      <c r="I2675" s="119"/>
    </row>
    <row r="2676">
      <c r="I2676" s="119"/>
    </row>
    <row r="2677">
      <c r="I2677" s="119"/>
    </row>
    <row r="2678">
      <c r="I2678" s="119"/>
    </row>
    <row r="2679">
      <c r="I2679" s="119"/>
    </row>
    <row r="2680">
      <c r="I2680" s="119"/>
    </row>
    <row r="2681">
      <c r="I2681" s="119"/>
    </row>
    <row r="2682">
      <c r="I2682" s="119"/>
    </row>
    <row r="2683">
      <c r="I2683" s="119"/>
    </row>
    <row r="2684">
      <c r="I2684" s="119"/>
    </row>
    <row r="2685">
      <c r="I2685" s="119"/>
    </row>
    <row r="2686">
      <c r="I2686" s="119"/>
    </row>
    <row r="2687">
      <c r="I2687" s="119"/>
    </row>
    <row r="2688">
      <c r="I2688" s="119"/>
    </row>
    <row r="2689">
      <c r="I2689" s="119"/>
    </row>
    <row r="2690">
      <c r="I2690" s="119"/>
    </row>
    <row r="2691">
      <c r="I2691" s="119"/>
    </row>
    <row r="2692">
      <c r="I2692" s="119"/>
    </row>
    <row r="2693">
      <c r="I2693" s="119"/>
    </row>
    <row r="2694">
      <c r="I2694" s="119"/>
    </row>
    <row r="2695">
      <c r="I2695" s="119"/>
    </row>
    <row r="2696">
      <c r="I2696" s="119"/>
    </row>
    <row r="2697">
      <c r="I2697" s="119"/>
    </row>
    <row r="2698">
      <c r="I2698" s="119"/>
    </row>
    <row r="2699">
      <c r="I2699" s="119"/>
    </row>
    <row r="2700">
      <c r="I2700" s="119"/>
    </row>
    <row r="2701">
      <c r="I2701" s="119"/>
    </row>
    <row r="2702">
      <c r="I2702" s="119"/>
    </row>
    <row r="2703">
      <c r="I2703" s="119"/>
    </row>
    <row r="2704">
      <c r="I2704" s="119"/>
    </row>
    <row r="2705">
      <c r="I2705" s="119"/>
    </row>
    <row r="2706">
      <c r="I2706" s="119"/>
    </row>
    <row r="2707">
      <c r="I2707" s="119"/>
    </row>
    <row r="2708">
      <c r="I2708" s="119"/>
    </row>
    <row r="2709">
      <c r="I2709" s="119"/>
    </row>
    <row r="2710">
      <c r="I2710" s="119"/>
    </row>
    <row r="2711">
      <c r="I2711" s="119"/>
    </row>
    <row r="2712">
      <c r="I2712" s="119"/>
    </row>
    <row r="2713">
      <c r="I2713" s="119"/>
    </row>
    <row r="2714">
      <c r="I2714" s="119"/>
    </row>
    <row r="2715">
      <c r="I2715" s="119"/>
    </row>
    <row r="2716">
      <c r="I2716" s="119"/>
    </row>
    <row r="2717">
      <c r="I2717" s="119"/>
    </row>
    <row r="2718">
      <c r="I2718" s="119"/>
    </row>
    <row r="2719">
      <c r="I2719" s="119"/>
    </row>
    <row r="2720">
      <c r="I2720" s="119"/>
    </row>
    <row r="2721">
      <c r="I2721" s="119"/>
    </row>
    <row r="2722">
      <c r="I2722" s="119"/>
    </row>
    <row r="2723">
      <c r="I2723" s="119"/>
    </row>
    <row r="2724">
      <c r="I2724" s="119"/>
    </row>
    <row r="2725">
      <c r="I2725" s="119"/>
    </row>
    <row r="2726">
      <c r="I2726" s="119"/>
    </row>
    <row r="2727">
      <c r="I2727" s="119"/>
    </row>
    <row r="2728">
      <c r="I2728" s="119"/>
    </row>
    <row r="2729">
      <c r="I2729" s="119"/>
    </row>
    <row r="2730">
      <c r="I2730" s="119"/>
    </row>
    <row r="2731">
      <c r="I2731" s="119"/>
    </row>
    <row r="2732">
      <c r="I2732" s="119"/>
    </row>
    <row r="2733">
      <c r="I2733" s="119"/>
    </row>
    <row r="2734">
      <c r="I2734" s="119"/>
    </row>
    <row r="2735">
      <c r="I2735" s="119"/>
    </row>
    <row r="2736">
      <c r="I2736" s="119"/>
    </row>
    <row r="2737">
      <c r="I2737" s="119"/>
    </row>
    <row r="2738">
      <c r="I2738" s="119"/>
    </row>
    <row r="2739">
      <c r="I2739" s="119"/>
    </row>
    <row r="2740">
      <c r="I2740" s="119"/>
    </row>
    <row r="2741">
      <c r="I2741" s="119"/>
    </row>
    <row r="2742">
      <c r="I2742" s="119"/>
    </row>
    <row r="2743">
      <c r="I2743" s="119"/>
    </row>
    <row r="2744">
      <c r="I2744" s="119"/>
    </row>
    <row r="2745">
      <c r="I2745" s="119"/>
    </row>
    <row r="2746">
      <c r="I2746" s="119"/>
    </row>
    <row r="2747">
      <c r="I2747" s="119"/>
    </row>
    <row r="2748">
      <c r="I2748" s="119"/>
    </row>
    <row r="2749">
      <c r="I2749" s="119"/>
    </row>
    <row r="2750">
      <c r="I2750" s="119"/>
    </row>
    <row r="2751">
      <c r="I2751" s="119"/>
    </row>
    <row r="2752">
      <c r="I2752" s="119"/>
    </row>
    <row r="2753">
      <c r="I2753" s="119"/>
    </row>
    <row r="2754">
      <c r="I2754" s="119"/>
    </row>
    <row r="2755">
      <c r="I2755" s="119"/>
    </row>
    <row r="2756">
      <c r="I2756" s="119"/>
    </row>
    <row r="2757">
      <c r="I2757" s="119"/>
    </row>
    <row r="2758">
      <c r="I2758" s="119"/>
    </row>
    <row r="2759">
      <c r="I2759" s="119"/>
    </row>
    <row r="2760">
      <c r="I2760" s="119"/>
    </row>
    <row r="2761">
      <c r="I2761" s="119"/>
    </row>
    <row r="2762">
      <c r="I2762" s="119"/>
    </row>
    <row r="2763">
      <c r="I2763" s="119"/>
    </row>
    <row r="2764">
      <c r="I2764" s="119"/>
    </row>
    <row r="2765">
      <c r="I2765" s="119"/>
    </row>
    <row r="2766">
      <c r="I2766" s="119"/>
    </row>
    <row r="2767">
      <c r="I2767" s="119"/>
    </row>
    <row r="2768">
      <c r="I2768" s="119"/>
    </row>
    <row r="2769">
      <c r="I2769" s="119"/>
    </row>
    <row r="2770">
      <c r="I2770" s="119"/>
    </row>
    <row r="2771">
      <c r="I2771" s="119"/>
    </row>
    <row r="2772">
      <c r="I2772" s="119"/>
    </row>
    <row r="2773">
      <c r="I2773" s="119"/>
    </row>
    <row r="2774">
      <c r="I2774" s="119"/>
    </row>
    <row r="2775">
      <c r="I2775" s="119"/>
    </row>
    <row r="2776">
      <c r="I2776" s="119"/>
    </row>
    <row r="2777">
      <c r="I2777" s="119"/>
    </row>
    <row r="2778">
      <c r="I2778" s="119"/>
    </row>
    <row r="2779">
      <c r="I2779" s="119"/>
    </row>
    <row r="2780">
      <c r="I2780" s="119"/>
    </row>
    <row r="2781">
      <c r="I2781" s="119"/>
    </row>
    <row r="2782">
      <c r="I2782" s="119"/>
    </row>
    <row r="2783">
      <c r="I2783" s="119"/>
    </row>
    <row r="2784">
      <c r="I2784" s="119"/>
    </row>
    <row r="2785">
      <c r="I2785" s="119"/>
    </row>
    <row r="2786">
      <c r="I2786" s="119"/>
    </row>
    <row r="2787">
      <c r="I2787" s="119"/>
    </row>
    <row r="2788">
      <c r="I2788" s="119"/>
    </row>
    <row r="2789">
      <c r="I2789" s="119"/>
    </row>
    <row r="2790">
      <c r="I2790" s="119"/>
    </row>
    <row r="2791">
      <c r="I2791" s="119"/>
    </row>
    <row r="2792">
      <c r="I2792" s="119"/>
    </row>
    <row r="2793">
      <c r="I2793" s="119"/>
    </row>
    <row r="2794">
      <c r="I2794" s="119"/>
    </row>
    <row r="2795">
      <c r="I2795" s="119"/>
    </row>
    <row r="2796">
      <c r="I2796" s="119"/>
    </row>
    <row r="2797">
      <c r="I2797" s="119"/>
    </row>
    <row r="2798">
      <c r="I2798" s="119"/>
    </row>
    <row r="2799">
      <c r="I2799" s="119"/>
    </row>
    <row r="2800">
      <c r="I2800" s="119"/>
    </row>
    <row r="2801">
      <c r="I2801" s="119"/>
    </row>
    <row r="2802">
      <c r="I2802" s="119"/>
    </row>
    <row r="2803">
      <c r="I2803" s="119"/>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1146</v>
      </c>
    </row>
    <row r="2">
      <c r="A2" s="8" t="s">
        <v>1065</v>
      </c>
    </row>
    <row r="3">
      <c r="A3" s="8" t="s">
        <v>1150</v>
      </c>
    </row>
    <row r="4">
      <c r="A4" s="8" t="s">
        <v>1157</v>
      </c>
    </row>
    <row r="5">
      <c r="A5" s="8" t="s">
        <v>1162</v>
      </c>
    </row>
    <row r="6">
      <c r="A6" s="8" t="s">
        <v>1174</v>
      </c>
    </row>
    <row r="7">
      <c r="A7" s="8" t="s">
        <v>188</v>
      </c>
    </row>
    <row r="8">
      <c r="A8" s="8" t="s">
        <v>1182</v>
      </c>
    </row>
    <row r="9">
      <c r="A9" s="8" t="s">
        <v>1185</v>
      </c>
    </row>
    <row r="10">
      <c r="A10" s="8" t="s">
        <v>1065</v>
      </c>
    </row>
    <row r="11">
      <c r="A11" s="8" t="s">
        <v>1209</v>
      </c>
    </row>
    <row r="12">
      <c r="A12" s="8" t="s">
        <v>1223</v>
      </c>
    </row>
    <row r="13">
      <c r="A13" s="8" t="s">
        <v>1227</v>
      </c>
    </row>
    <row r="14">
      <c r="A14" s="8" t="s">
        <v>1182</v>
      </c>
    </row>
    <row r="15">
      <c r="A15" s="8" t="s">
        <v>188</v>
      </c>
    </row>
    <row r="16">
      <c r="A16" s="8" t="s">
        <v>1236</v>
      </c>
    </row>
    <row r="17">
      <c r="A17" s="8" t="s">
        <v>1065</v>
      </c>
    </row>
    <row r="18">
      <c r="A18" s="8" t="s">
        <v>1237</v>
      </c>
    </row>
    <row r="19">
      <c r="A19" s="8" t="s">
        <v>1238</v>
      </c>
    </row>
    <row r="20">
      <c r="A20" s="8" t="s">
        <v>1246</v>
      </c>
    </row>
    <row r="21">
      <c r="A21" s="8" t="s">
        <v>143</v>
      </c>
    </row>
    <row r="22">
      <c r="A22" s="8" t="s">
        <v>1262</v>
      </c>
    </row>
    <row r="23">
      <c r="A23" s="8" t="s">
        <v>1263</v>
      </c>
    </row>
    <row r="24">
      <c r="A24" s="8" t="s">
        <v>1182</v>
      </c>
    </row>
    <row r="25">
      <c r="A25" s="8" t="s">
        <v>143</v>
      </c>
    </row>
    <row r="26">
      <c r="A26" s="8" t="s">
        <v>1274</v>
      </c>
    </row>
    <row r="27">
      <c r="A27" s="8" t="s">
        <v>1276</v>
      </c>
    </row>
    <row r="28">
      <c r="A28" s="8" t="s">
        <v>188</v>
      </c>
    </row>
    <row r="29">
      <c r="A29" s="8" t="s">
        <v>1277</v>
      </c>
    </row>
    <row r="30">
      <c r="A30" s="8" t="s">
        <v>1185</v>
      </c>
    </row>
    <row r="31">
      <c r="A31" s="8" t="s">
        <v>1262</v>
      </c>
    </row>
    <row r="32">
      <c r="A32" s="8" t="s">
        <v>1280</v>
      </c>
    </row>
    <row r="33">
      <c r="A33" s="8" t="s">
        <v>1283</v>
      </c>
    </row>
    <row r="34">
      <c r="A34" s="8" t="s">
        <v>1303</v>
      </c>
    </row>
    <row r="35">
      <c r="A35" s="8" t="s">
        <v>1306</v>
      </c>
    </row>
    <row r="36">
      <c r="A36" s="8" t="s">
        <v>1307</v>
      </c>
    </row>
    <row r="37">
      <c r="A37" s="8" t="s">
        <v>1309</v>
      </c>
    </row>
    <row r="38">
      <c r="A38" s="8" t="s">
        <v>1311</v>
      </c>
    </row>
    <row r="39">
      <c r="A39" s="8" t="s">
        <v>1162</v>
      </c>
    </row>
    <row r="40">
      <c r="A40" s="8" t="s">
        <v>1314</v>
      </c>
    </row>
    <row r="41">
      <c r="A41" s="8" t="s">
        <v>1237</v>
      </c>
    </row>
    <row r="42">
      <c r="A42" s="8" t="s">
        <v>1227</v>
      </c>
    </row>
    <row r="43">
      <c r="A43" s="8" t="s">
        <v>1330</v>
      </c>
    </row>
    <row r="44">
      <c r="A44" s="8" t="s">
        <v>1236</v>
      </c>
    </row>
    <row r="45">
      <c r="A45" s="8" t="s">
        <v>1246</v>
      </c>
    </row>
    <row r="46">
      <c r="A46" s="8" t="s">
        <v>1356</v>
      </c>
    </row>
    <row r="47">
      <c r="A47" s="8" t="s">
        <v>1227</v>
      </c>
    </row>
    <row r="48">
      <c r="A48" s="8" t="s">
        <v>1360</v>
      </c>
    </row>
    <row r="49">
      <c r="A49" s="8" t="s">
        <v>1361</v>
      </c>
    </row>
    <row r="50">
      <c r="A50" s="8" t="s">
        <v>1362</v>
      </c>
    </row>
    <row r="51">
      <c r="A51" s="8" t="s">
        <v>1174</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3465</v>
      </c>
      <c r="B1" s="120" t="s">
        <v>3466</v>
      </c>
      <c r="C1" s="120" t="s">
        <v>3467</v>
      </c>
      <c r="D1" s="120" t="s">
        <v>3468</v>
      </c>
      <c r="E1" s="120" t="s">
        <v>3469</v>
      </c>
      <c r="F1" s="120" t="s">
        <v>3470</v>
      </c>
      <c r="G1" s="120" t="s">
        <v>3471</v>
      </c>
      <c r="H1" s="120" t="s">
        <v>3472</v>
      </c>
      <c r="I1" s="120" t="s">
        <v>3473</v>
      </c>
      <c r="J1" s="120" t="s">
        <v>3474</v>
      </c>
      <c r="K1" s="120" t="s">
        <v>3475</v>
      </c>
      <c r="L1" s="120" t="s">
        <v>3476</v>
      </c>
      <c r="M1" s="120" t="s">
        <v>3477</v>
      </c>
      <c r="N1" s="120" t="s">
        <v>19424</v>
      </c>
      <c r="O1" s="120" t="s">
        <v>19425</v>
      </c>
      <c r="P1" s="120" t="s">
        <v>19426</v>
      </c>
      <c r="Q1" s="120" t="s">
        <v>19427</v>
      </c>
      <c r="R1" s="120" t="s">
        <v>19428</v>
      </c>
      <c r="S1" s="120" t="s">
        <v>19429</v>
      </c>
      <c r="T1" s="120" t="s">
        <v>3479</v>
      </c>
      <c r="U1" s="120" t="s">
        <v>3480</v>
      </c>
      <c r="V1" s="120" t="s">
        <v>3481</v>
      </c>
      <c r="W1" s="30"/>
      <c r="X1" s="30"/>
      <c r="Y1" s="30"/>
      <c r="Z1" s="30"/>
    </row>
    <row r="2">
      <c r="A2" s="30" t="s">
        <v>2198</v>
      </c>
      <c r="B2" s="121">
        <v>12737.0</v>
      </c>
      <c r="C2" s="30" t="s">
        <v>3923</v>
      </c>
      <c r="D2" s="30" t="s">
        <v>3933</v>
      </c>
      <c r="E2" s="30" t="s">
        <v>3925</v>
      </c>
      <c r="F2" s="30" t="s">
        <v>3934</v>
      </c>
      <c r="G2" s="30" t="s">
        <v>3935</v>
      </c>
      <c r="H2" s="30" t="s">
        <v>3936</v>
      </c>
      <c r="I2" s="122">
        <v>45292.0</v>
      </c>
      <c r="J2" s="30"/>
      <c r="K2" s="30" t="s">
        <v>3937</v>
      </c>
      <c r="L2" s="30" t="s">
        <v>3706</v>
      </c>
      <c r="M2" s="30" t="s">
        <v>3938</v>
      </c>
      <c r="N2" s="30" t="s">
        <v>419</v>
      </c>
      <c r="O2" s="30" t="s">
        <v>19433</v>
      </c>
      <c r="P2" s="30" t="s">
        <v>587</v>
      </c>
      <c r="Q2" s="30"/>
      <c r="R2" s="30"/>
      <c r="S2" s="30"/>
      <c r="T2" s="30" t="s">
        <v>19480</v>
      </c>
      <c r="U2" s="30" t="s">
        <v>12011</v>
      </c>
      <c r="V2" s="121">
        <v>1.0</v>
      </c>
      <c r="W2" s="30"/>
      <c r="X2" s="30"/>
      <c r="Y2" s="30"/>
      <c r="Z2" s="30"/>
    </row>
    <row r="3">
      <c r="A3" s="30" t="s">
        <v>1498</v>
      </c>
      <c r="B3" s="121">
        <v>526.0</v>
      </c>
      <c r="C3" s="30" t="s">
        <v>4218</v>
      </c>
      <c r="D3" s="30" t="s">
        <v>4226</v>
      </c>
      <c r="E3" s="30" t="s">
        <v>4220</v>
      </c>
      <c r="F3" s="30" t="s">
        <v>3498</v>
      </c>
      <c r="G3" s="30" t="s">
        <v>4227</v>
      </c>
      <c r="H3" s="30" t="s">
        <v>4228</v>
      </c>
      <c r="I3" s="122">
        <v>45292.0</v>
      </c>
      <c r="J3" s="30"/>
      <c r="K3" s="30" t="s">
        <v>419</v>
      </c>
      <c r="L3" s="30" t="s">
        <v>991</v>
      </c>
      <c r="M3" s="30" t="s">
        <v>3501</v>
      </c>
      <c r="N3" s="30" t="s">
        <v>419</v>
      </c>
      <c r="O3" s="30" t="s">
        <v>19430</v>
      </c>
      <c r="P3" s="30" t="s">
        <v>780</v>
      </c>
      <c r="Q3" s="30"/>
      <c r="R3" s="30"/>
      <c r="S3" s="30"/>
      <c r="T3" s="30" t="s">
        <v>19481</v>
      </c>
      <c r="U3" s="30" t="s">
        <v>12011</v>
      </c>
      <c r="V3" s="121">
        <v>1.0</v>
      </c>
      <c r="W3" s="30"/>
      <c r="X3" s="30"/>
      <c r="Y3" s="30"/>
      <c r="Z3" s="30"/>
    </row>
    <row r="4">
      <c r="A4" s="30" t="s">
        <v>1723</v>
      </c>
      <c r="B4" s="121">
        <v>11605.0</v>
      </c>
      <c r="C4" s="30" t="s">
        <v>4333</v>
      </c>
      <c r="D4" s="30" t="s">
        <v>4341</v>
      </c>
      <c r="E4" s="30" t="s">
        <v>4335</v>
      </c>
      <c r="F4" s="30" t="s">
        <v>4342</v>
      </c>
      <c r="G4" s="30" t="s">
        <v>4343</v>
      </c>
      <c r="H4" s="30" t="s">
        <v>4344</v>
      </c>
      <c r="I4" s="122">
        <v>45292.0</v>
      </c>
      <c r="J4" s="30"/>
      <c r="K4" s="30" t="s">
        <v>4345</v>
      </c>
      <c r="L4" s="30" t="s">
        <v>3706</v>
      </c>
      <c r="M4" s="30" t="s">
        <v>3938</v>
      </c>
      <c r="N4" s="30" t="s">
        <v>419</v>
      </c>
      <c r="O4" s="30" t="s">
        <v>19437</v>
      </c>
      <c r="P4" s="30" t="s">
        <v>440</v>
      </c>
      <c r="Q4" s="30"/>
      <c r="R4" s="30"/>
      <c r="S4" s="30"/>
      <c r="T4" s="30" t="s">
        <v>19482</v>
      </c>
      <c r="U4" s="30" t="s">
        <v>12011</v>
      </c>
      <c r="V4" s="121">
        <v>1.0</v>
      </c>
      <c r="W4" s="30"/>
      <c r="X4" s="30"/>
      <c r="Y4" s="30"/>
      <c r="Z4" s="30"/>
    </row>
    <row r="5">
      <c r="A5" s="30" t="s">
        <v>2107</v>
      </c>
      <c r="B5" s="121">
        <v>12501.0</v>
      </c>
      <c r="C5" s="30" t="s">
        <v>4663</v>
      </c>
      <c r="D5" s="30" t="s">
        <v>4686</v>
      </c>
      <c r="E5" s="30" t="s">
        <v>4665</v>
      </c>
      <c r="F5" s="30" t="s">
        <v>4687</v>
      </c>
      <c r="G5" s="30" t="s">
        <v>4688</v>
      </c>
      <c r="H5" s="30" t="s">
        <v>4689</v>
      </c>
      <c r="I5" s="122">
        <v>45292.0</v>
      </c>
      <c r="J5" s="30"/>
      <c r="K5" s="30" t="s">
        <v>419</v>
      </c>
      <c r="L5" s="30" t="s">
        <v>991</v>
      </c>
      <c r="M5" s="30" t="s">
        <v>3501</v>
      </c>
      <c r="N5" s="30" t="s">
        <v>419</v>
      </c>
      <c r="O5" s="30" t="s">
        <v>19437</v>
      </c>
      <c r="P5" s="30" t="s">
        <v>603</v>
      </c>
      <c r="Q5" s="30"/>
      <c r="R5" s="30"/>
      <c r="S5" s="30"/>
      <c r="T5" s="30" t="s">
        <v>19483</v>
      </c>
      <c r="U5" s="30" t="s">
        <v>12011</v>
      </c>
      <c r="V5" s="121">
        <v>1.0</v>
      </c>
      <c r="W5" s="30"/>
      <c r="X5" s="30"/>
      <c r="Y5" s="30"/>
      <c r="Z5" s="30"/>
    </row>
    <row r="6">
      <c r="A6" s="30" t="s">
        <v>3402</v>
      </c>
      <c r="B6" s="121">
        <v>13673.0</v>
      </c>
      <c r="C6" s="30" t="s">
        <v>5055</v>
      </c>
      <c r="D6" s="30" t="s">
        <v>5056</v>
      </c>
      <c r="E6" s="30" t="s">
        <v>5057</v>
      </c>
      <c r="F6" s="30" t="s">
        <v>5058</v>
      </c>
      <c r="G6" s="30" t="s">
        <v>5059</v>
      </c>
      <c r="H6" s="30" t="s">
        <v>5060</v>
      </c>
      <c r="I6" s="122">
        <v>45292.0</v>
      </c>
      <c r="J6" s="30"/>
      <c r="K6" s="30" t="s">
        <v>3632</v>
      </c>
      <c r="L6" s="30" t="s">
        <v>991</v>
      </c>
      <c r="M6" s="30" t="s">
        <v>3501</v>
      </c>
      <c r="N6" s="30" t="s">
        <v>3632</v>
      </c>
      <c r="O6" s="30" t="s">
        <v>3632</v>
      </c>
      <c r="P6" s="30" t="s">
        <v>625</v>
      </c>
      <c r="Q6" s="30"/>
      <c r="R6" s="30"/>
      <c r="S6" s="30"/>
      <c r="T6" s="30" t="s">
        <v>19484</v>
      </c>
      <c r="U6" s="30" t="s">
        <v>12011</v>
      </c>
      <c r="V6" s="121">
        <v>1.0</v>
      </c>
      <c r="W6" s="30"/>
      <c r="X6" s="30"/>
      <c r="Y6" s="30"/>
      <c r="Z6" s="30"/>
    </row>
    <row r="7">
      <c r="A7" s="30" t="s">
        <v>1410</v>
      </c>
      <c r="B7" s="121">
        <v>302.0</v>
      </c>
      <c r="C7" s="30" t="s">
        <v>5438</v>
      </c>
      <c r="D7" s="30" t="s">
        <v>5439</v>
      </c>
      <c r="E7" s="30" t="s">
        <v>5440</v>
      </c>
      <c r="F7" s="30" t="s">
        <v>5441</v>
      </c>
      <c r="G7" s="30" t="s">
        <v>5442</v>
      </c>
      <c r="H7" s="30" t="s">
        <v>5443</v>
      </c>
      <c r="I7" s="122">
        <v>45292.0</v>
      </c>
      <c r="J7" s="30"/>
      <c r="K7" s="30" t="s">
        <v>419</v>
      </c>
      <c r="L7" s="30" t="s">
        <v>991</v>
      </c>
      <c r="M7" s="30" t="s">
        <v>3501</v>
      </c>
      <c r="N7" s="30" t="s">
        <v>419</v>
      </c>
      <c r="O7" s="30" t="s">
        <v>19430</v>
      </c>
      <c r="P7" s="30" t="s">
        <v>854</v>
      </c>
      <c r="Q7" s="30"/>
      <c r="R7" s="30"/>
      <c r="S7" s="30"/>
      <c r="T7" s="30" t="s">
        <v>10108</v>
      </c>
      <c r="U7" s="30" t="s">
        <v>12011</v>
      </c>
      <c r="V7" s="121">
        <v>1.0</v>
      </c>
      <c r="W7" s="30"/>
      <c r="X7" s="30"/>
      <c r="Y7" s="30"/>
      <c r="Z7" s="30"/>
    </row>
    <row r="8">
      <c r="A8" s="30" t="s">
        <v>1547</v>
      </c>
      <c r="B8" s="121">
        <v>10794.0</v>
      </c>
      <c r="C8" s="30" t="s">
        <v>8429</v>
      </c>
      <c r="D8" s="30" t="s">
        <v>5214</v>
      </c>
      <c r="E8" s="30" t="s">
        <v>8431</v>
      </c>
      <c r="F8" s="30" t="s">
        <v>4598</v>
      </c>
      <c r="G8" s="30" t="s">
        <v>8540</v>
      </c>
      <c r="H8" s="30" t="s">
        <v>8541</v>
      </c>
      <c r="I8" s="122">
        <v>45292.0</v>
      </c>
      <c r="J8" s="30"/>
      <c r="K8" s="30" t="s">
        <v>8542</v>
      </c>
      <c r="L8" s="30" t="s">
        <v>3706</v>
      </c>
      <c r="M8" s="30" t="s">
        <v>3938</v>
      </c>
      <c r="N8" s="30" t="s">
        <v>419</v>
      </c>
      <c r="O8" s="30" t="s">
        <v>19443</v>
      </c>
      <c r="P8" s="30" t="s">
        <v>323</v>
      </c>
      <c r="Q8" s="30"/>
      <c r="R8" s="30"/>
      <c r="S8" s="30"/>
      <c r="T8" s="30" t="s">
        <v>19485</v>
      </c>
      <c r="U8" s="30" t="s">
        <v>12011</v>
      </c>
      <c r="V8" s="121">
        <v>1.0</v>
      </c>
      <c r="W8" s="30"/>
      <c r="X8" s="30"/>
      <c r="Y8" s="30"/>
      <c r="Z8" s="30"/>
    </row>
    <row r="9">
      <c r="A9" s="30" t="s">
        <v>1066</v>
      </c>
      <c r="B9" s="121">
        <v>12444.0</v>
      </c>
      <c r="C9" s="30" t="s">
        <v>9113</v>
      </c>
      <c r="D9" s="30" t="s">
        <v>9114</v>
      </c>
      <c r="E9" s="30" t="s">
        <v>9115</v>
      </c>
      <c r="F9" s="30" t="s">
        <v>9116</v>
      </c>
      <c r="G9" s="30" t="s">
        <v>9117</v>
      </c>
      <c r="H9" s="30" t="s">
        <v>9118</v>
      </c>
      <c r="I9" s="122">
        <v>45292.0</v>
      </c>
      <c r="J9" s="30"/>
      <c r="K9" s="30" t="s">
        <v>419</v>
      </c>
      <c r="L9" s="30" t="s">
        <v>991</v>
      </c>
      <c r="M9" s="30" t="s">
        <v>3501</v>
      </c>
      <c r="N9" s="30" t="s">
        <v>419</v>
      </c>
      <c r="O9" s="30" t="s">
        <v>19437</v>
      </c>
      <c r="P9" s="30" t="s">
        <v>478</v>
      </c>
      <c r="Q9" s="30"/>
      <c r="R9" s="30"/>
      <c r="S9" s="30"/>
      <c r="T9" s="30" t="s">
        <v>19486</v>
      </c>
      <c r="U9" s="30" t="s">
        <v>12011</v>
      </c>
      <c r="V9" s="121">
        <v>1.0</v>
      </c>
      <c r="W9" s="30"/>
      <c r="X9" s="30"/>
      <c r="Y9" s="30"/>
      <c r="Z9" s="30"/>
    </row>
    <row r="10">
      <c r="A10" s="30" t="s">
        <v>2096</v>
      </c>
      <c r="B10" s="121">
        <v>13563.0</v>
      </c>
      <c r="C10" s="30" t="s">
        <v>11414</v>
      </c>
      <c r="D10" s="30" t="s">
        <v>11415</v>
      </c>
      <c r="E10" s="30" t="s">
        <v>11416</v>
      </c>
      <c r="F10" s="30" t="s">
        <v>4075</v>
      </c>
      <c r="G10" s="30" t="s">
        <v>11417</v>
      </c>
      <c r="H10" s="30" t="s">
        <v>11418</v>
      </c>
      <c r="I10" s="122">
        <v>45292.0</v>
      </c>
      <c r="J10" s="30"/>
      <c r="K10" s="30" t="s">
        <v>3632</v>
      </c>
      <c r="L10" s="30" t="s">
        <v>991</v>
      </c>
      <c r="M10" s="30" t="s">
        <v>3501</v>
      </c>
      <c r="N10" s="30" t="s">
        <v>3632</v>
      </c>
      <c r="O10" s="30" t="s">
        <v>3632</v>
      </c>
      <c r="P10" s="30" t="s">
        <v>429</v>
      </c>
      <c r="Q10" s="30"/>
      <c r="R10" s="30"/>
      <c r="S10" s="30"/>
      <c r="T10" s="30" t="s">
        <v>11988</v>
      </c>
      <c r="U10" s="30" t="s">
        <v>12011</v>
      </c>
      <c r="V10" s="121">
        <v>1.0</v>
      </c>
      <c r="W10" s="30"/>
      <c r="X10" s="30"/>
      <c r="Y10" s="30"/>
      <c r="Z10" s="30"/>
    </row>
    <row r="11">
      <c r="A11" s="30" t="s">
        <v>1063</v>
      </c>
      <c r="B11" s="121">
        <v>1006.0</v>
      </c>
      <c r="C11" s="30" t="s">
        <v>11996</v>
      </c>
      <c r="D11" s="30" t="s">
        <v>12006</v>
      </c>
      <c r="E11" s="30" t="s">
        <v>11997</v>
      </c>
      <c r="F11" s="30" t="s">
        <v>8233</v>
      </c>
      <c r="G11" s="30" t="s">
        <v>12007</v>
      </c>
      <c r="H11" s="30" t="s">
        <v>12008</v>
      </c>
      <c r="I11" s="122">
        <v>45292.0</v>
      </c>
      <c r="J11" s="30"/>
      <c r="K11" s="30" t="s">
        <v>419</v>
      </c>
      <c r="L11" s="30" t="s">
        <v>991</v>
      </c>
      <c r="M11" s="30" t="s">
        <v>3501</v>
      </c>
      <c r="N11" s="30" t="s">
        <v>419</v>
      </c>
      <c r="O11" s="30" t="s">
        <v>19432</v>
      </c>
      <c r="P11" s="30" t="s">
        <v>298</v>
      </c>
      <c r="Q11" s="30"/>
      <c r="R11" s="30"/>
      <c r="S11" s="30"/>
      <c r="T11" s="30" t="s">
        <v>12010</v>
      </c>
      <c r="U11" s="30" t="s">
        <v>12011</v>
      </c>
      <c r="V11" s="121">
        <v>1.0</v>
      </c>
      <c r="W11" s="30"/>
      <c r="X11" s="30"/>
      <c r="Y11" s="30"/>
      <c r="Z11" s="30"/>
    </row>
    <row r="12">
      <c r="A12" s="30" t="s">
        <v>19487</v>
      </c>
      <c r="B12" s="121">
        <v>13678.0</v>
      </c>
      <c r="C12" s="30" t="s">
        <v>13294</v>
      </c>
      <c r="D12" s="30" t="s">
        <v>13320</v>
      </c>
      <c r="E12" s="30" t="s">
        <v>13295</v>
      </c>
      <c r="F12" s="30" t="s">
        <v>13321</v>
      </c>
      <c r="G12" s="30" t="s">
        <v>13322</v>
      </c>
      <c r="H12" s="30" t="s">
        <v>13323</v>
      </c>
      <c r="I12" s="122">
        <v>45292.0</v>
      </c>
      <c r="J12" s="30"/>
      <c r="K12" s="30" t="s">
        <v>3632</v>
      </c>
      <c r="L12" s="30" t="s">
        <v>991</v>
      </c>
      <c r="M12" s="30" t="s">
        <v>3501</v>
      </c>
      <c r="N12" s="30" t="s">
        <v>3632</v>
      </c>
      <c r="O12" s="30" t="s">
        <v>3632</v>
      </c>
      <c r="P12" s="30" t="s">
        <v>22</v>
      </c>
      <c r="Q12" s="30"/>
      <c r="R12" s="30"/>
      <c r="S12" s="30"/>
      <c r="T12" s="30" t="s">
        <v>13325</v>
      </c>
      <c r="U12" s="30" t="s">
        <v>12011</v>
      </c>
      <c r="V12" s="121">
        <v>1.0</v>
      </c>
      <c r="W12" s="30"/>
      <c r="X12" s="30"/>
      <c r="Y12" s="30"/>
      <c r="Z12" s="30"/>
    </row>
    <row r="13">
      <c r="A13" s="30" t="s">
        <v>2147</v>
      </c>
      <c r="B13" s="121">
        <v>13701.0</v>
      </c>
      <c r="C13" s="30" t="s">
        <v>14145</v>
      </c>
      <c r="D13" s="30" t="s">
        <v>11667</v>
      </c>
      <c r="E13" s="30" t="s">
        <v>14147</v>
      </c>
      <c r="F13" s="30" t="s">
        <v>3549</v>
      </c>
      <c r="G13" s="30" t="s">
        <v>14164</v>
      </c>
      <c r="H13" s="30" t="s">
        <v>14165</v>
      </c>
      <c r="I13" s="122">
        <v>45292.0</v>
      </c>
      <c r="J13" s="30"/>
      <c r="K13" s="30" t="s">
        <v>3632</v>
      </c>
      <c r="L13" s="30" t="s">
        <v>991</v>
      </c>
      <c r="M13" s="30" t="s">
        <v>3501</v>
      </c>
      <c r="N13" s="30" t="s">
        <v>3632</v>
      </c>
      <c r="O13" s="30" t="s">
        <v>3632</v>
      </c>
      <c r="P13" s="30" t="s">
        <v>3463</v>
      </c>
      <c r="Q13" s="30"/>
      <c r="R13" s="30"/>
      <c r="S13" s="30"/>
      <c r="T13" s="30" t="s">
        <v>19488</v>
      </c>
      <c r="U13" s="30" t="s">
        <v>12011</v>
      </c>
      <c r="V13" s="121">
        <v>1.0</v>
      </c>
      <c r="W13" s="30"/>
      <c r="X13" s="30"/>
      <c r="Y13" s="30"/>
      <c r="Z13" s="30"/>
    </row>
    <row r="14">
      <c r="A14" s="30" t="s">
        <v>19489</v>
      </c>
      <c r="B14" s="121">
        <v>2400278.0</v>
      </c>
      <c r="C14" s="30" t="s">
        <v>15119</v>
      </c>
      <c r="D14" s="30" t="s">
        <v>15120</v>
      </c>
      <c r="E14" s="30" t="s">
        <v>15121</v>
      </c>
      <c r="F14" s="30" t="s">
        <v>6977</v>
      </c>
      <c r="G14" s="30" t="s">
        <v>15122</v>
      </c>
      <c r="H14" s="30" t="s">
        <v>15123</v>
      </c>
      <c r="I14" s="122">
        <v>45383.0</v>
      </c>
      <c r="J14" s="30"/>
      <c r="K14" s="30" t="s">
        <v>11974</v>
      </c>
      <c r="L14" s="30" t="s">
        <v>991</v>
      </c>
      <c r="M14" s="30" t="s">
        <v>3501</v>
      </c>
      <c r="N14" s="30" t="s">
        <v>11974</v>
      </c>
      <c r="O14" s="30" t="s">
        <v>11974</v>
      </c>
      <c r="P14" s="30" t="s">
        <v>386</v>
      </c>
      <c r="Q14" s="30"/>
      <c r="R14" s="30"/>
      <c r="S14" s="30"/>
      <c r="T14" s="30" t="s">
        <v>15125</v>
      </c>
      <c r="U14" s="30" t="s">
        <v>12011</v>
      </c>
      <c r="V14" s="121">
        <v>1.0</v>
      </c>
      <c r="W14" s="30"/>
      <c r="X14" s="30"/>
      <c r="Y14" s="30"/>
      <c r="Z14" s="30"/>
    </row>
    <row r="15">
      <c r="I15" s="123"/>
    </row>
    <row r="16">
      <c r="I16" s="123"/>
    </row>
    <row r="17">
      <c r="I17" s="123"/>
    </row>
    <row r="18">
      <c r="I18" s="123"/>
    </row>
    <row r="19">
      <c r="I19" s="123"/>
    </row>
    <row r="20">
      <c r="I20" s="123"/>
    </row>
    <row r="21">
      <c r="I21" s="123"/>
    </row>
    <row r="22">
      <c r="I22" s="123"/>
    </row>
    <row r="23">
      <c r="I23" s="123"/>
    </row>
    <row r="24">
      <c r="I24" s="123"/>
    </row>
    <row r="25">
      <c r="I25" s="123"/>
    </row>
    <row r="26">
      <c r="I26" s="123"/>
    </row>
    <row r="27">
      <c r="I27" s="123"/>
    </row>
    <row r="28">
      <c r="I28" s="123"/>
    </row>
    <row r="29">
      <c r="I29" s="123"/>
    </row>
    <row r="30">
      <c r="I30" s="123"/>
    </row>
    <row r="31">
      <c r="I31" s="123"/>
    </row>
    <row r="32">
      <c r="I32" s="123"/>
    </row>
    <row r="33">
      <c r="I33" s="123"/>
    </row>
    <row r="34">
      <c r="I34" s="123"/>
    </row>
    <row r="35">
      <c r="I35" s="123"/>
    </row>
    <row r="36">
      <c r="I36" s="123"/>
    </row>
    <row r="37">
      <c r="I37" s="123"/>
    </row>
    <row r="38">
      <c r="I38" s="123"/>
    </row>
    <row r="39">
      <c r="I39" s="123"/>
    </row>
    <row r="40">
      <c r="I40" s="123"/>
    </row>
    <row r="41">
      <c r="I41" s="123"/>
    </row>
    <row r="42">
      <c r="I42" s="123"/>
    </row>
    <row r="43">
      <c r="I43" s="123"/>
    </row>
    <row r="44">
      <c r="I44" s="123"/>
    </row>
    <row r="45">
      <c r="I45" s="123"/>
    </row>
    <row r="46">
      <c r="I46" s="123"/>
    </row>
    <row r="47">
      <c r="I47" s="123"/>
    </row>
    <row r="48">
      <c r="I48" s="123"/>
    </row>
    <row r="49">
      <c r="I49" s="123"/>
    </row>
    <row r="50">
      <c r="I50" s="123"/>
    </row>
    <row r="51">
      <c r="I51" s="123"/>
    </row>
    <row r="52">
      <c r="I52" s="123"/>
    </row>
    <row r="53">
      <c r="I53" s="123"/>
    </row>
    <row r="54">
      <c r="I54" s="123"/>
    </row>
    <row r="55">
      <c r="I55" s="123"/>
    </row>
    <row r="56">
      <c r="I56" s="123"/>
    </row>
    <row r="57">
      <c r="I57" s="123"/>
    </row>
    <row r="58">
      <c r="I58" s="123"/>
    </row>
    <row r="59">
      <c r="I59" s="123"/>
    </row>
    <row r="60">
      <c r="I60" s="123"/>
    </row>
    <row r="61">
      <c r="I61" s="123"/>
    </row>
    <row r="62">
      <c r="I62" s="123"/>
    </row>
    <row r="63">
      <c r="I63" s="123"/>
    </row>
    <row r="64">
      <c r="I64" s="123"/>
    </row>
    <row r="65">
      <c r="I65" s="123"/>
    </row>
    <row r="66">
      <c r="I66" s="123"/>
    </row>
    <row r="67">
      <c r="I67" s="123"/>
    </row>
    <row r="68">
      <c r="I68" s="123"/>
    </row>
    <row r="69">
      <c r="I69" s="123"/>
    </row>
    <row r="70">
      <c r="I70" s="123"/>
    </row>
    <row r="71">
      <c r="I71" s="123"/>
    </row>
    <row r="72">
      <c r="I72" s="123"/>
    </row>
    <row r="73">
      <c r="I73" s="123"/>
    </row>
    <row r="74">
      <c r="I74" s="123"/>
    </row>
    <row r="75">
      <c r="I75" s="123"/>
    </row>
    <row r="76">
      <c r="I76" s="123"/>
    </row>
    <row r="77">
      <c r="I77" s="119"/>
    </row>
    <row r="78">
      <c r="I78" s="119"/>
    </row>
    <row r="79">
      <c r="I79" s="119"/>
    </row>
    <row r="80">
      <c r="I80" s="119"/>
    </row>
    <row r="81">
      <c r="I81" s="119"/>
    </row>
    <row r="82">
      <c r="I82" s="119"/>
    </row>
    <row r="83">
      <c r="I83" s="119"/>
    </row>
    <row r="84">
      <c r="I84" s="119"/>
    </row>
    <row r="85">
      <c r="I85" s="119"/>
    </row>
    <row r="86">
      <c r="I86" s="119"/>
    </row>
    <row r="87">
      <c r="I87" s="119"/>
    </row>
    <row r="88">
      <c r="I88" s="119"/>
    </row>
    <row r="89">
      <c r="I89" s="119"/>
    </row>
    <row r="90">
      <c r="I90" s="119"/>
    </row>
    <row r="91">
      <c r="I91" s="119"/>
    </row>
    <row r="92">
      <c r="I92" s="119"/>
    </row>
    <row r="93">
      <c r="I93" s="119"/>
    </row>
    <row r="94">
      <c r="I94" s="119"/>
    </row>
    <row r="95">
      <c r="I95" s="119"/>
    </row>
    <row r="96">
      <c r="I96" s="119"/>
    </row>
    <row r="97">
      <c r="I97" s="119"/>
    </row>
    <row r="98">
      <c r="I98" s="119"/>
    </row>
    <row r="99">
      <c r="I99" s="119"/>
    </row>
    <row r="100">
      <c r="I100" s="119"/>
    </row>
    <row r="101">
      <c r="I101" s="119"/>
    </row>
    <row r="102">
      <c r="I102" s="119"/>
    </row>
    <row r="103">
      <c r="I103" s="119"/>
    </row>
    <row r="104">
      <c r="I104" s="119"/>
    </row>
    <row r="105">
      <c r="I105" s="119"/>
    </row>
    <row r="106">
      <c r="I106" s="119"/>
    </row>
    <row r="107">
      <c r="I107" s="119"/>
    </row>
    <row r="108">
      <c r="I108" s="119"/>
    </row>
    <row r="109">
      <c r="I109" s="119"/>
    </row>
    <row r="110">
      <c r="I110" s="119"/>
    </row>
    <row r="111">
      <c r="I111" s="119"/>
    </row>
    <row r="112">
      <c r="I112" s="119"/>
    </row>
    <row r="113">
      <c r="I113" s="119"/>
    </row>
    <row r="114">
      <c r="I114" s="119"/>
    </row>
    <row r="115">
      <c r="I115" s="119"/>
    </row>
    <row r="116">
      <c r="I116" s="119"/>
    </row>
    <row r="117">
      <c r="I117" s="119"/>
    </row>
    <row r="118">
      <c r="I118" s="119"/>
    </row>
    <row r="119">
      <c r="I119" s="119"/>
    </row>
    <row r="120">
      <c r="I120" s="119"/>
    </row>
    <row r="121">
      <c r="I121" s="119"/>
    </row>
    <row r="122">
      <c r="I122" s="119"/>
    </row>
    <row r="123">
      <c r="I123" s="119"/>
    </row>
    <row r="124">
      <c r="I124" s="119"/>
    </row>
    <row r="125">
      <c r="I125" s="119"/>
    </row>
    <row r="126">
      <c r="I126" s="119"/>
    </row>
    <row r="127">
      <c r="I127" s="119"/>
    </row>
    <row r="128">
      <c r="I128" s="119"/>
    </row>
    <row r="129">
      <c r="I129" s="119"/>
    </row>
    <row r="130">
      <c r="I130" s="119"/>
    </row>
    <row r="131">
      <c r="I131" s="119"/>
    </row>
    <row r="132">
      <c r="I132" s="119"/>
    </row>
    <row r="133">
      <c r="I133" s="119"/>
    </row>
    <row r="134">
      <c r="I134" s="119"/>
    </row>
    <row r="135">
      <c r="I135" s="119"/>
    </row>
    <row r="136">
      <c r="I136" s="119"/>
    </row>
    <row r="137">
      <c r="I137" s="119"/>
    </row>
    <row r="138">
      <c r="I138" s="119"/>
    </row>
    <row r="139">
      <c r="I139" s="119"/>
    </row>
    <row r="140">
      <c r="I140" s="119"/>
    </row>
    <row r="141">
      <c r="I141" s="119"/>
    </row>
    <row r="142">
      <c r="I142" s="119"/>
    </row>
    <row r="143">
      <c r="I143" s="119"/>
    </row>
    <row r="144">
      <c r="I144" s="119"/>
    </row>
    <row r="145">
      <c r="I145" s="119"/>
    </row>
    <row r="146">
      <c r="I146" s="119"/>
    </row>
    <row r="147">
      <c r="I147" s="119"/>
    </row>
    <row r="148">
      <c r="I148" s="119"/>
    </row>
    <row r="149">
      <c r="I149" s="119"/>
    </row>
    <row r="150">
      <c r="I150" s="119"/>
    </row>
    <row r="151">
      <c r="I151" s="119"/>
    </row>
    <row r="152">
      <c r="I152" s="119"/>
    </row>
    <row r="153">
      <c r="I153" s="119"/>
    </row>
    <row r="154">
      <c r="I154" s="119"/>
    </row>
    <row r="155">
      <c r="I155" s="119"/>
    </row>
    <row r="156">
      <c r="I156" s="119"/>
    </row>
    <row r="157">
      <c r="I157" s="119"/>
    </row>
    <row r="158">
      <c r="I158" s="119"/>
    </row>
    <row r="159">
      <c r="I159" s="119"/>
    </row>
    <row r="160">
      <c r="I160" s="119"/>
    </row>
    <row r="161">
      <c r="I161" s="119"/>
    </row>
    <row r="162">
      <c r="I162" s="119"/>
    </row>
    <row r="163">
      <c r="I163" s="119"/>
    </row>
    <row r="164">
      <c r="I164" s="119"/>
    </row>
    <row r="165">
      <c r="I165" s="119"/>
    </row>
    <row r="166">
      <c r="I166" s="119"/>
    </row>
    <row r="167">
      <c r="I167" s="119"/>
    </row>
    <row r="168">
      <c r="I168" s="119"/>
    </row>
    <row r="169">
      <c r="I169" s="119"/>
    </row>
    <row r="170">
      <c r="I170" s="119"/>
    </row>
    <row r="171">
      <c r="I171" s="119"/>
    </row>
    <row r="172">
      <c r="I172" s="119"/>
    </row>
    <row r="173">
      <c r="I173" s="119"/>
    </row>
    <row r="174">
      <c r="I174" s="119"/>
    </row>
    <row r="175">
      <c r="I175" s="119"/>
    </row>
    <row r="176">
      <c r="I176" s="119"/>
    </row>
    <row r="177">
      <c r="I177" s="119"/>
    </row>
    <row r="178">
      <c r="I178" s="119"/>
    </row>
    <row r="179">
      <c r="I179" s="119"/>
    </row>
    <row r="180">
      <c r="I180" s="119"/>
    </row>
    <row r="181">
      <c r="I181" s="119"/>
    </row>
    <row r="182">
      <c r="I182" s="119"/>
    </row>
    <row r="183">
      <c r="I183" s="119"/>
    </row>
    <row r="184">
      <c r="I184" s="119"/>
    </row>
    <row r="185">
      <c r="I185" s="119"/>
    </row>
    <row r="186">
      <c r="I186" s="119"/>
    </row>
    <row r="187">
      <c r="I187" s="119"/>
    </row>
    <row r="188">
      <c r="I188" s="119"/>
    </row>
    <row r="189">
      <c r="I189" s="119"/>
    </row>
    <row r="190">
      <c r="I190" s="119"/>
    </row>
    <row r="191">
      <c r="I191" s="119"/>
    </row>
    <row r="192">
      <c r="I192" s="119"/>
    </row>
    <row r="193">
      <c r="I193" s="119"/>
    </row>
    <row r="194">
      <c r="I194" s="119"/>
    </row>
    <row r="195">
      <c r="I195" s="119"/>
    </row>
    <row r="196">
      <c r="I196" s="119"/>
    </row>
    <row r="197">
      <c r="I197" s="119"/>
    </row>
    <row r="198">
      <c r="I198" s="119"/>
    </row>
    <row r="199">
      <c r="I199" s="119"/>
    </row>
    <row r="200">
      <c r="I200" s="119"/>
    </row>
    <row r="201">
      <c r="I201" s="119"/>
    </row>
    <row r="202">
      <c r="I202" s="119"/>
    </row>
    <row r="203">
      <c r="I203" s="119"/>
    </row>
    <row r="204">
      <c r="I204" s="119"/>
    </row>
    <row r="205">
      <c r="I205" s="119"/>
    </row>
    <row r="206">
      <c r="I206" s="119"/>
    </row>
    <row r="207">
      <c r="I207" s="119"/>
    </row>
    <row r="208">
      <c r="I208" s="119"/>
    </row>
    <row r="209">
      <c r="I209" s="119"/>
    </row>
    <row r="210">
      <c r="I210" s="119"/>
    </row>
    <row r="211">
      <c r="I211" s="119"/>
    </row>
    <row r="212">
      <c r="I212" s="119"/>
    </row>
    <row r="213">
      <c r="I213" s="119"/>
    </row>
    <row r="214">
      <c r="I214" s="119"/>
    </row>
    <row r="215">
      <c r="I215" s="119"/>
    </row>
    <row r="216">
      <c r="I216" s="119"/>
    </row>
    <row r="217">
      <c r="I217" s="119"/>
    </row>
    <row r="218">
      <c r="I218" s="119"/>
    </row>
    <row r="219">
      <c r="I219" s="119"/>
    </row>
    <row r="220">
      <c r="I220" s="119"/>
    </row>
    <row r="221">
      <c r="I221" s="119"/>
    </row>
    <row r="222">
      <c r="I222" s="119"/>
    </row>
    <row r="223">
      <c r="I223" s="119"/>
    </row>
    <row r="224">
      <c r="I224" s="119"/>
    </row>
    <row r="225">
      <c r="I225" s="119"/>
    </row>
    <row r="226">
      <c r="I226" s="119"/>
    </row>
    <row r="227">
      <c r="I227" s="119"/>
    </row>
    <row r="228">
      <c r="I228" s="119"/>
    </row>
    <row r="229">
      <c r="I229" s="119"/>
    </row>
    <row r="230">
      <c r="I230" s="119"/>
    </row>
    <row r="231">
      <c r="I231" s="119"/>
    </row>
    <row r="232">
      <c r="I232" s="119"/>
    </row>
    <row r="233">
      <c r="I233" s="119"/>
    </row>
    <row r="234">
      <c r="I234" s="119"/>
    </row>
    <row r="235">
      <c r="I235" s="119"/>
    </row>
    <row r="236">
      <c r="I236" s="119"/>
    </row>
    <row r="237">
      <c r="I237" s="119"/>
    </row>
    <row r="238">
      <c r="I238" s="119"/>
    </row>
    <row r="239">
      <c r="I239" s="119"/>
    </row>
    <row r="240">
      <c r="I240" s="119"/>
    </row>
    <row r="241">
      <c r="I241" s="119"/>
    </row>
    <row r="242">
      <c r="I242" s="119"/>
    </row>
    <row r="243">
      <c r="I243" s="119"/>
    </row>
    <row r="244">
      <c r="I244" s="119"/>
    </row>
    <row r="245">
      <c r="I245" s="119"/>
    </row>
    <row r="246">
      <c r="I246" s="119"/>
    </row>
    <row r="247">
      <c r="I247" s="119"/>
    </row>
    <row r="248">
      <c r="I248" s="119"/>
    </row>
    <row r="249">
      <c r="I249" s="119"/>
    </row>
    <row r="250">
      <c r="I250" s="119"/>
    </row>
    <row r="251">
      <c r="I251" s="119"/>
    </row>
    <row r="252">
      <c r="I252" s="119"/>
    </row>
    <row r="253">
      <c r="I253" s="119"/>
    </row>
    <row r="254">
      <c r="I254" s="119"/>
    </row>
    <row r="255">
      <c r="I255" s="119"/>
    </row>
    <row r="256">
      <c r="I256" s="119"/>
    </row>
    <row r="257">
      <c r="I257" s="119"/>
    </row>
    <row r="258">
      <c r="I258" s="119"/>
    </row>
    <row r="259">
      <c r="I259" s="119"/>
    </row>
    <row r="260">
      <c r="I260" s="119"/>
    </row>
    <row r="261">
      <c r="I261" s="119"/>
    </row>
    <row r="262">
      <c r="I262" s="119"/>
    </row>
    <row r="263">
      <c r="I263" s="119"/>
    </row>
    <row r="264">
      <c r="I264" s="119"/>
    </row>
    <row r="265">
      <c r="I265" s="119"/>
    </row>
    <row r="266">
      <c r="I266" s="119"/>
    </row>
    <row r="267">
      <c r="I267" s="119"/>
    </row>
    <row r="268">
      <c r="I268" s="119"/>
    </row>
    <row r="269">
      <c r="I269" s="119"/>
    </row>
    <row r="270">
      <c r="I270" s="119"/>
    </row>
    <row r="271">
      <c r="I271" s="119"/>
    </row>
    <row r="272">
      <c r="I272" s="119"/>
    </row>
    <row r="273">
      <c r="I273" s="119"/>
    </row>
    <row r="274">
      <c r="I274" s="119"/>
    </row>
    <row r="275">
      <c r="I275" s="119"/>
    </row>
    <row r="276">
      <c r="I276" s="119"/>
    </row>
    <row r="277">
      <c r="I277" s="119"/>
    </row>
    <row r="278">
      <c r="I278" s="119"/>
    </row>
    <row r="279">
      <c r="I279" s="119"/>
    </row>
    <row r="280">
      <c r="I280" s="119"/>
    </row>
    <row r="281">
      <c r="I281" s="119"/>
    </row>
    <row r="282">
      <c r="I282" s="119"/>
    </row>
    <row r="283">
      <c r="I283" s="119"/>
    </row>
    <row r="284">
      <c r="I284" s="119"/>
    </row>
    <row r="285">
      <c r="I285" s="119"/>
    </row>
    <row r="286">
      <c r="I286" s="119"/>
    </row>
    <row r="287">
      <c r="I287" s="119"/>
    </row>
    <row r="288">
      <c r="I288" s="119"/>
    </row>
    <row r="289">
      <c r="I289" s="119"/>
    </row>
    <row r="290">
      <c r="I290" s="119"/>
    </row>
    <row r="291">
      <c r="I291" s="119"/>
    </row>
    <row r="292">
      <c r="I292" s="119"/>
    </row>
    <row r="293">
      <c r="I293" s="119"/>
    </row>
    <row r="294">
      <c r="I294" s="119"/>
    </row>
    <row r="295">
      <c r="I295" s="119"/>
    </row>
    <row r="296">
      <c r="I296" s="119"/>
    </row>
    <row r="297">
      <c r="I297" s="119"/>
    </row>
    <row r="298">
      <c r="I298" s="119"/>
    </row>
    <row r="299">
      <c r="I299" s="119"/>
    </row>
    <row r="300">
      <c r="I300" s="119"/>
    </row>
    <row r="301">
      <c r="I301" s="119"/>
    </row>
    <row r="302">
      <c r="I302" s="119"/>
    </row>
    <row r="303">
      <c r="I303" s="119"/>
    </row>
    <row r="304">
      <c r="I304" s="119"/>
    </row>
    <row r="305">
      <c r="I305" s="119"/>
    </row>
    <row r="306">
      <c r="I306" s="119"/>
    </row>
    <row r="307">
      <c r="I307" s="119"/>
    </row>
    <row r="308">
      <c r="I308" s="119"/>
    </row>
    <row r="309">
      <c r="I309" s="119"/>
    </row>
    <row r="310">
      <c r="I310" s="119"/>
    </row>
    <row r="311">
      <c r="I311" s="119"/>
    </row>
    <row r="312">
      <c r="I312" s="119"/>
    </row>
    <row r="313">
      <c r="I313" s="119"/>
    </row>
    <row r="314">
      <c r="I314" s="119"/>
    </row>
    <row r="315">
      <c r="I315" s="119"/>
    </row>
    <row r="316">
      <c r="I316" s="119"/>
    </row>
    <row r="317">
      <c r="I317" s="119"/>
    </row>
    <row r="318">
      <c r="I318" s="119"/>
    </row>
    <row r="319">
      <c r="I319" s="119"/>
    </row>
    <row r="320">
      <c r="I320" s="119"/>
    </row>
    <row r="321">
      <c r="I321" s="119"/>
    </row>
    <row r="322">
      <c r="I322" s="119"/>
    </row>
    <row r="323">
      <c r="I323" s="119"/>
    </row>
    <row r="324">
      <c r="I324" s="119"/>
    </row>
    <row r="325">
      <c r="I325" s="119"/>
    </row>
    <row r="326">
      <c r="I326" s="119"/>
    </row>
    <row r="327">
      <c r="I327" s="119"/>
    </row>
    <row r="328">
      <c r="I328" s="119"/>
    </row>
    <row r="329">
      <c r="I329" s="119"/>
    </row>
    <row r="330">
      <c r="I330" s="119"/>
    </row>
    <row r="331">
      <c r="I331" s="119"/>
    </row>
    <row r="332">
      <c r="I332" s="119"/>
    </row>
    <row r="333">
      <c r="I333" s="119"/>
    </row>
    <row r="334">
      <c r="I334" s="119"/>
    </row>
    <row r="335">
      <c r="I335" s="119"/>
    </row>
    <row r="336">
      <c r="I336" s="119"/>
    </row>
    <row r="337">
      <c r="I337" s="119"/>
    </row>
    <row r="338">
      <c r="I338" s="119"/>
    </row>
    <row r="339">
      <c r="I339" s="119"/>
    </row>
    <row r="340">
      <c r="I340" s="119"/>
    </row>
    <row r="341">
      <c r="I341" s="119"/>
    </row>
    <row r="342">
      <c r="I342" s="119"/>
    </row>
    <row r="343">
      <c r="I343" s="119"/>
    </row>
    <row r="344">
      <c r="I344" s="119"/>
    </row>
    <row r="345">
      <c r="I345" s="119"/>
    </row>
    <row r="346">
      <c r="I346" s="119"/>
    </row>
    <row r="347">
      <c r="I347" s="119"/>
    </row>
    <row r="348">
      <c r="I348" s="119"/>
    </row>
    <row r="349">
      <c r="I349" s="119"/>
    </row>
    <row r="350">
      <c r="I350" s="119"/>
    </row>
    <row r="351">
      <c r="I351" s="119"/>
    </row>
    <row r="352">
      <c r="I352" s="119"/>
    </row>
    <row r="353">
      <c r="I353" s="119"/>
    </row>
    <row r="354">
      <c r="I354" s="119"/>
    </row>
    <row r="355">
      <c r="I355" s="119"/>
    </row>
    <row r="356">
      <c r="I356" s="119"/>
    </row>
    <row r="357">
      <c r="I357" s="119"/>
    </row>
    <row r="358">
      <c r="I358" s="119"/>
    </row>
    <row r="359">
      <c r="I359" s="119"/>
    </row>
    <row r="360">
      <c r="I360" s="119"/>
    </row>
    <row r="361">
      <c r="I361" s="119"/>
    </row>
    <row r="362">
      <c r="I362" s="119"/>
    </row>
    <row r="363">
      <c r="I363" s="119"/>
    </row>
    <row r="364">
      <c r="I364" s="119"/>
    </row>
    <row r="365">
      <c r="I365" s="119"/>
    </row>
    <row r="366">
      <c r="I366" s="119"/>
    </row>
    <row r="367">
      <c r="I367" s="119"/>
    </row>
    <row r="368">
      <c r="I368" s="119"/>
    </row>
    <row r="369">
      <c r="I369" s="119"/>
    </row>
    <row r="370">
      <c r="I370" s="119"/>
    </row>
    <row r="371">
      <c r="I371" s="119"/>
    </row>
    <row r="372">
      <c r="I372" s="119"/>
    </row>
    <row r="373">
      <c r="I373" s="119"/>
    </row>
    <row r="374">
      <c r="I374" s="119"/>
    </row>
    <row r="375">
      <c r="I375" s="119"/>
    </row>
    <row r="376">
      <c r="I376" s="119"/>
    </row>
    <row r="377">
      <c r="I377" s="119"/>
    </row>
    <row r="378">
      <c r="I378" s="119"/>
    </row>
    <row r="379">
      <c r="I379" s="119"/>
    </row>
    <row r="380">
      <c r="I380" s="119"/>
    </row>
    <row r="381">
      <c r="I381" s="119"/>
    </row>
    <row r="382">
      <c r="I382" s="119"/>
    </row>
    <row r="383">
      <c r="I383" s="119"/>
    </row>
    <row r="384">
      <c r="I384" s="119"/>
    </row>
    <row r="385">
      <c r="I385" s="119"/>
    </row>
    <row r="386">
      <c r="I386" s="119"/>
    </row>
    <row r="387">
      <c r="I387" s="119"/>
    </row>
    <row r="388">
      <c r="I388" s="119"/>
    </row>
    <row r="389">
      <c r="I389" s="119"/>
    </row>
    <row r="390">
      <c r="I390" s="119"/>
    </row>
    <row r="391">
      <c r="I391" s="119"/>
    </row>
    <row r="392">
      <c r="I392" s="119"/>
    </row>
    <row r="393">
      <c r="I393" s="119"/>
    </row>
    <row r="394">
      <c r="I394" s="119"/>
    </row>
    <row r="395">
      <c r="I395" s="119"/>
    </row>
    <row r="396">
      <c r="I396" s="119"/>
    </row>
    <row r="397">
      <c r="I397" s="119"/>
    </row>
    <row r="398">
      <c r="I398" s="119"/>
    </row>
    <row r="399">
      <c r="I399" s="119"/>
    </row>
    <row r="400">
      <c r="I400" s="119"/>
    </row>
    <row r="401">
      <c r="I401" s="119"/>
    </row>
    <row r="402">
      <c r="I402" s="119"/>
    </row>
    <row r="403">
      <c r="I403" s="119"/>
    </row>
    <row r="404">
      <c r="I404" s="119"/>
    </row>
    <row r="405">
      <c r="I405" s="119"/>
    </row>
    <row r="406">
      <c r="I406" s="119"/>
    </row>
    <row r="407">
      <c r="I407" s="119"/>
    </row>
    <row r="408">
      <c r="I408" s="119"/>
    </row>
    <row r="409">
      <c r="I409" s="119"/>
    </row>
    <row r="410">
      <c r="I410" s="119"/>
    </row>
    <row r="411">
      <c r="I411" s="119"/>
    </row>
    <row r="412">
      <c r="I412" s="119"/>
    </row>
    <row r="413">
      <c r="I413" s="119"/>
    </row>
    <row r="414">
      <c r="I414" s="119"/>
    </row>
    <row r="415">
      <c r="I415" s="119"/>
    </row>
    <row r="416">
      <c r="I416" s="119"/>
    </row>
    <row r="417">
      <c r="I417" s="119"/>
    </row>
    <row r="418">
      <c r="I418" s="119"/>
    </row>
    <row r="419">
      <c r="I419" s="119"/>
    </row>
    <row r="420">
      <c r="I420" s="119"/>
    </row>
    <row r="421">
      <c r="I421" s="119"/>
    </row>
    <row r="422">
      <c r="I422" s="119"/>
    </row>
    <row r="423">
      <c r="I423" s="119"/>
    </row>
    <row r="424">
      <c r="I424" s="119"/>
    </row>
    <row r="425">
      <c r="I425" s="119"/>
    </row>
    <row r="426">
      <c r="I426" s="119"/>
    </row>
    <row r="427">
      <c r="I427" s="119"/>
    </row>
    <row r="428">
      <c r="I428" s="119"/>
    </row>
    <row r="429">
      <c r="I429" s="119"/>
    </row>
    <row r="430">
      <c r="I430" s="119"/>
    </row>
    <row r="431">
      <c r="I431" s="119"/>
    </row>
    <row r="432">
      <c r="I432" s="119"/>
    </row>
    <row r="433">
      <c r="I433" s="119"/>
    </row>
    <row r="434">
      <c r="I434" s="119"/>
    </row>
    <row r="435">
      <c r="I435" s="119"/>
    </row>
    <row r="436">
      <c r="I436" s="119"/>
    </row>
    <row r="437">
      <c r="I437" s="119"/>
    </row>
    <row r="438">
      <c r="I438" s="119"/>
    </row>
    <row r="439">
      <c r="I439" s="119"/>
    </row>
    <row r="440">
      <c r="I440" s="119"/>
    </row>
    <row r="441">
      <c r="I441" s="119"/>
    </row>
    <row r="442">
      <c r="I442" s="119"/>
    </row>
    <row r="443">
      <c r="I443" s="119"/>
    </row>
    <row r="444">
      <c r="I444" s="119"/>
    </row>
    <row r="445">
      <c r="I445" s="119"/>
    </row>
    <row r="446">
      <c r="I446" s="119"/>
    </row>
    <row r="447">
      <c r="I447" s="119"/>
    </row>
    <row r="448">
      <c r="I448" s="119"/>
    </row>
    <row r="449">
      <c r="I449" s="119"/>
    </row>
    <row r="450">
      <c r="I450" s="119"/>
    </row>
    <row r="451">
      <c r="I451" s="119"/>
    </row>
    <row r="452">
      <c r="I452" s="119"/>
    </row>
    <row r="453">
      <c r="I453" s="119"/>
    </row>
    <row r="454">
      <c r="I454" s="119"/>
    </row>
    <row r="455">
      <c r="I455" s="119"/>
    </row>
    <row r="456">
      <c r="I456" s="119"/>
    </row>
    <row r="457">
      <c r="I457" s="119"/>
    </row>
    <row r="458">
      <c r="I458" s="119"/>
    </row>
    <row r="459">
      <c r="I459" s="119"/>
    </row>
    <row r="460">
      <c r="I460" s="119"/>
    </row>
    <row r="461">
      <c r="I461" s="119"/>
    </row>
    <row r="462">
      <c r="I462" s="119"/>
    </row>
    <row r="463">
      <c r="I463" s="119"/>
    </row>
    <row r="464">
      <c r="I464" s="119"/>
    </row>
    <row r="465">
      <c r="I465" s="119"/>
    </row>
    <row r="466">
      <c r="I466" s="119"/>
    </row>
    <row r="467">
      <c r="I467" s="119"/>
    </row>
    <row r="468">
      <c r="I468" s="119"/>
    </row>
    <row r="469">
      <c r="I469" s="119"/>
    </row>
    <row r="470">
      <c r="I470" s="119"/>
    </row>
    <row r="471">
      <c r="I471" s="119"/>
    </row>
    <row r="472">
      <c r="I472" s="119"/>
    </row>
    <row r="473">
      <c r="I473" s="119"/>
    </row>
    <row r="474">
      <c r="I474" s="119"/>
    </row>
    <row r="475">
      <c r="I475" s="119"/>
    </row>
    <row r="476">
      <c r="I476" s="119"/>
    </row>
    <row r="477">
      <c r="I477" s="119"/>
    </row>
    <row r="478">
      <c r="I478" s="119"/>
    </row>
    <row r="479">
      <c r="I479" s="119"/>
    </row>
    <row r="480">
      <c r="I480" s="119"/>
    </row>
    <row r="481">
      <c r="I481" s="119"/>
    </row>
    <row r="482">
      <c r="I482" s="119"/>
    </row>
    <row r="483">
      <c r="I483" s="119"/>
    </row>
    <row r="484">
      <c r="I484" s="119"/>
    </row>
    <row r="485">
      <c r="I485" s="119"/>
    </row>
    <row r="486">
      <c r="I486" s="119"/>
    </row>
    <row r="487">
      <c r="I487" s="119"/>
    </row>
    <row r="488">
      <c r="I488" s="119"/>
    </row>
    <row r="489">
      <c r="I489" s="119"/>
    </row>
    <row r="490">
      <c r="I490" s="119"/>
    </row>
    <row r="491">
      <c r="I491" s="119"/>
    </row>
    <row r="492">
      <c r="I492" s="119"/>
    </row>
    <row r="493">
      <c r="I493" s="119"/>
    </row>
    <row r="494">
      <c r="I494" s="119"/>
    </row>
    <row r="495">
      <c r="I495" s="119"/>
    </row>
    <row r="496">
      <c r="I496" s="119"/>
    </row>
    <row r="497">
      <c r="I497" s="119"/>
    </row>
    <row r="498">
      <c r="I498" s="119"/>
    </row>
    <row r="499">
      <c r="I499" s="119"/>
    </row>
    <row r="500">
      <c r="I500" s="119"/>
    </row>
    <row r="501">
      <c r="I501" s="119"/>
    </row>
    <row r="502">
      <c r="I502" s="119"/>
    </row>
    <row r="503">
      <c r="I503" s="119"/>
    </row>
    <row r="504">
      <c r="I504" s="119"/>
    </row>
    <row r="505">
      <c r="I505" s="119"/>
    </row>
    <row r="506">
      <c r="I506" s="119"/>
    </row>
    <row r="507">
      <c r="I507" s="119"/>
    </row>
    <row r="508">
      <c r="I508" s="119"/>
    </row>
    <row r="509">
      <c r="I509" s="119"/>
    </row>
    <row r="510">
      <c r="I510" s="119"/>
    </row>
    <row r="511">
      <c r="I511" s="119"/>
    </row>
    <row r="512">
      <c r="I512" s="119"/>
    </row>
    <row r="513">
      <c r="I513" s="119"/>
    </row>
    <row r="514">
      <c r="I514" s="119"/>
    </row>
    <row r="515">
      <c r="I515" s="119"/>
    </row>
    <row r="516">
      <c r="I516" s="119"/>
    </row>
    <row r="517">
      <c r="I517" s="119"/>
    </row>
    <row r="518">
      <c r="I518" s="119"/>
    </row>
    <row r="519">
      <c r="I519" s="119"/>
    </row>
    <row r="520">
      <c r="I520" s="119"/>
    </row>
    <row r="521">
      <c r="I521" s="119"/>
    </row>
    <row r="522">
      <c r="I522" s="119"/>
    </row>
    <row r="523">
      <c r="I523" s="119"/>
    </row>
    <row r="524">
      <c r="I524" s="119"/>
    </row>
    <row r="525">
      <c r="I525" s="119"/>
    </row>
    <row r="526">
      <c r="I526" s="119"/>
    </row>
    <row r="527">
      <c r="I527" s="119"/>
    </row>
    <row r="528">
      <c r="I528" s="119"/>
    </row>
    <row r="529">
      <c r="I529" s="119"/>
    </row>
    <row r="530">
      <c r="I530" s="119"/>
    </row>
    <row r="531">
      <c r="I531" s="119"/>
    </row>
    <row r="532">
      <c r="I532" s="119"/>
    </row>
    <row r="533">
      <c r="I533" s="119"/>
    </row>
    <row r="534">
      <c r="I534" s="119"/>
    </row>
    <row r="535">
      <c r="I535" s="119"/>
    </row>
    <row r="536">
      <c r="I536" s="119"/>
    </row>
    <row r="537">
      <c r="I537" s="119"/>
    </row>
    <row r="538">
      <c r="I538" s="119"/>
    </row>
    <row r="539">
      <c r="I539" s="119"/>
    </row>
    <row r="540">
      <c r="I540" s="119"/>
    </row>
    <row r="541">
      <c r="I541" s="119"/>
    </row>
    <row r="542">
      <c r="I542" s="119"/>
    </row>
    <row r="543">
      <c r="I543" s="119"/>
    </row>
    <row r="544">
      <c r="I544" s="119"/>
    </row>
    <row r="545">
      <c r="I545" s="119"/>
    </row>
    <row r="546">
      <c r="I546" s="119"/>
    </row>
    <row r="547">
      <c r="I547" s="119"/>
    </row>
    <row r="548">
      <c r="I548" s="119"/>
    </row>
    <row r="549">
      <c r="I549" s="119"/>
    </row>
    <row r="550">
      <c r="I550" s="119"/>
    </row>
    <row r="551">
      <c r="I551" s="119"/>
    </row>
    <row r="552">
      <c r="I552" s="119"/>
    </row>
    <row r="553">
      <c r="I553" s="119"/>
    </row>
    <row r="554">
      <c r="I554" s="119"/>
    </row>
    <row r="555">
      <c r="I555" s="119"/>
    </row>
    <row r="556">
      <c r="I556" s="119"/>
    </row>
    <row r="557">
      <c r="I557" s="119"/>
    </row>
    <row r="558">
      <c r="I558" s="119"/>
    </row>
    <row r="559">
      <c r="I559" s="119"/>
    </row>
    <row r="560">
      <c r="I560" s="119"/>
    </row>
    <row r="561">
      <c r="I561" s="119"/>
    </row>
    <row r="562">
      <c r="I562" s="119"/>
    </row>
    <row r="563">
      <c r="I563" s="119"/>
    </row>
    <row r="564">
      <c r="I564" s="119"/>
    </row>
    <row r="565">
      <c r="I565" s="119"/>
    </row>
    <row r="566">
      <c r="I566" s="119"/>
    </row>
    <row r="567">
      <c r="I567" s="119"/>
    </row>
    <row r="568">
      <c r="I568" s="119"/>
    </row>
    <row r="569">
      <c r="I569" s="119"/>
    </row>
    <row r="570">
      <c r="I570" s="119"/>
    </row>
    <row r="571">
      <c r="I571" s="119"/>
    </row>
    <row r="572">
      <c r="I572" s="119"/>
    </row>
    <row r="573">
      <c r="I573" s="119"/>
    </row>
    <row r="574">
      <c r="I574" s="119"/>
    </row>
    <row r="575">
      <c r="I575" s="119"/>
    </row>
    <row r="576">
      <c r="I576" s="119"/>
    </row>
    <row r="577">
      <c r="I577" s="119"/>
    </row>
    <row r="578">
      <c r="I578" s="119"/>
    </row>
    <row r="579">
      <c r="I579" s="119"/>
    </row>
    <row r="580">
      <c r="I580" s="119"/>
    </row>
    <row r="581">
      <c r="I581" s="119"/>
    </row>
    <row r="582">
      <c r="I582" s="119"/>
    </row>
    <row r="583">
      <c r="I583" s="119"/>
    </row>
    <row r="584">
      <c r="I584" s="119"/>
    </row>
    <row r="585">
      <c r="I585" s="119"/>
    </row>
    <row r="586">
      <c r="I586" s="119"/>
    </row>
    <row r="587">
      <c r="I587" s="119"/>
    </row>
    <row r="588">
      <c r="I588" s="119"/>
    </row>
    <row r="589">
      <c r="I589" s="119"/>
    </row>
    <row r="590">
      <c r="I590" s="119"/>
    </row>
    <row r="591">
      <c r="I591" s="119"/>
    </row>
    <row r="592">
      <c r="I592" s="119"/>
    </row>
    <row r="593">
      <c r="I593" s="119"/>
    </row>
    <row r="594">
      <c r="I594" s="119"/>
    </row>
    <row r="595">
      <c r="I595" s="119"/>
    </row>
    <row r="596">
      <c r="I596" s="119"/>
    </row>
    <row r="597">
      <c r="I597" s="119"/>
    </row>
    <row r="598">
      <c r="I598" s="119"/>
    </row>
    <row r="599">
      <c r="I599" s="119"/>
    </row>
    <row r="600">
      <c r="I600" s="119"/>
    </row>
    <row r="601">
      <c r="I601" s="119"/>
    </row>
    <row r="602">
      <c r="I602" s="119"/>
    </row>
    <row r="603">
      <c r="I603" s="119"/>
    </row>
    <row r="604">
      <c r="I604" s="119"/>
    </row>
    <row r="605">
      <c r="I605" s="119"/>
    </row>
    <row r="606">
      <c r="I606" s="119"/>
    </row>
    <row r="607">
      <c r="I607" s="119"/>
    </row>
    <row r="608">
      <c r="I608" s="119"/>
    </row>
    <row r="609">
      <c r="I609" s="119"/>
    </row>
    <row r="610">
      <c r="I610" s="119"/>
    </row>
    <row r="611">
      <c r="I611" s="119"/>
    </row>
    <row r="612">
      <c r="I612" s="119"/>
    </row>
    <row r="613">
      <c r="I613" s="119"/>
    </row>
    <row r="614">
      <c r="I614" s="119"/>
    </row>
    <row r="615">
      <c r="I615" s="119"/>
    </row>
    <row r="616">
      <c r="I616" s="119"/>
    </row>
    <row r="617">
      <c r="I617" s="119"/>
    </row>
    <row r="618">
      <c r="I618" s="119"/>
    </row>
    <row r="619">
      <c r="I619" s="119"/>
    </row>
    <row r="620">
      <c r="I620" s="119"/>
    </row>
    <row r="621">
      <c r="I621" s="119"/>
    </row>
    <row r="622">
      <c r="I622" s="119"/>
    </row>
    <row r="623">
      <c r="I623" s="119"/>
    </row>
    <row r="624">
      <c r="I624" s="119"/>
    </row>
    <row r="625">
      <c r="I625" s="119"/>
    </row>
    <row r="626">
      <c r="I626" s="119"/>
    </row>
    <row r="627">
      <c r="I627" s="119"/>
    </row>
    <row r="628">
      <c r="I628" s="119"/>
    </row>
    <row r="629">
      <c r="I629" s="119"/>
    </row>
    <row r="630">
      <c r="I630" s="119"/>
    </row>
    <row r="631">
      <c r="I631" s="119"/>
    </row>
    <row r="632">
      <c r="I632" s="119"/>
    </row>
    <row r="633">
      <c r="I633" s="119"/>
    </row>
    <row r="634">
      <c r="I634" s="119"/>
    </row>
    <row r="635">
      <c r="I635" s="119"/>
    </row>
    <row r="636">
      <c r="I636" s="119"/>
    </row>
    <row r="637">
      <c r="I637" s="119"/>
    </row>
    <row r="638">
      <c r="I638" s="119"/>
    </row>
    <row r="639">
      <c r="I639" s="119"/>
    </row>
    <row r="640">
      <c r="I640" s="119"/>
    </row>
    <row r="641">
      <c r="I641" s="119"/>
    </row>
    <row r="642">
      <c r="I642" s="119"/>
    </row>
    <row r="643">
      <c r="I643" s="119"/>
    </row>
    <row r="644">
      <c r="I644" s="119"/>
    </row>
    <row r="645">
      <c r="I645" s="119"/>
    </row>
    <row r="646">
      <c r="I646" s="119"/>
    </row>
    <row r="647">
      <c r="I647" s="119"/>
    </row>
    <row r="648">
      <c r="I648" s="119"/>
    </row>
    <row r="649">
      <c r="I649" s="119"/>
    </row>
    <row r="650">
      <c r="I650" s="119"/>
    </row>
    <row r="651">
      <c r="I651" s="119"/>
    </row>
    <row r="652">
      <c r="I652" s="119"/>
    </row>
    <row r="653">
      <c r="I653" s="119"/>
    </row>
    <row r="654">
      <c r="I654" s="119"/>
    </row>
    <row r="655">
      <c r="I655" s="119"/>
    </row>
    <row r="656">
      <c r="I656" s="119"/>
    </row>
    <row r="657">
      <c r="I657" s="119"/>
    </row>
    <row r="658">
      <c r="I658" s="119"/>
    </row>
    <row r="659">
      <c r="I659" s="119"/>
    </row>
    <row r="660">
      <c r="I660" s="119"/>
    </row>
    <row r="661">
      <c r="I661" s="119"/>
    </row>
    <row r="662">
      <c r="I662" s="119"/>
    </row>
    <row r="663">
      <c r="I663" s="119"/>
    </row>
    <row r="664">
      <c r="I664" s="119"/>
    </row>
    <row r="665">
      <c r="I665" s="119"/>
    </row>
    <row r="666">
      <c r="I666" s="119"/>
    </row>
    <row r="667">
      <c r="I667" s="119"/>
    </row>
    <row r="668">
      <c r="I668" s="119"/>
    </row>
    <row r="669">
      <c r="I669" s="119"/>
    </row>
    <row r="670">
      <c r="I670" s="119"/>
    </row>
    <row r="671">
      <c r="I671" s="119"/>
    </row>
    <row r="672">
      <c r="I672" s="119"/>
    </row>
    <row r="673">
      <c r="I673" s="119"/>
    </row>
    <row r="674">
      <c r="I674" s="119"/>
    </row>
    <row r="675">
      <c r="I675" s="119"/>
    </row>
    <row r="676">
      <c r="I676" s="119"/>
    </row>
    <row r="677">
      <c r="I677" s="119"/>
    </row>
    <row r="678">
      <c r="I678" s="119"/>
    </row>
    <row r="679">
      <c r="I679" s="119"/>
    </row>
    <row r="680">
      <c r="I680" s="119"/>
    </row>
    <row r="681">
      <c r="I681" s="119"/>
    </row>
    <row r="682">
      <c r="I682" s="119"/>
    </row>
    <row r="683">
      <c r="I683" s="119"/>
    </row>
    <row r="684">
      <c r="I684" s="119"/>
    </row>
    <row r="685">
      <c r="I685" s="119"/>
    </row>
    <row r="686">
      <c r="I686" s="119"/>
    </row>
    <row r="687">
      <c r="I687" s="119"/>
    </row>
    <row r="688">
      <c r="I688" s="119"/>
    </row>
    <row r="689">
      <c r="I689" s="119"/>
    </row>
    <row r="690">
      <c r="I690" s="119"/>
    </row>
    <row r="691">
      <c r="I691" s="119"/>
    </row>
    <row r="692">
      <c r="I692" s="119"/>
    </row>
    <row r="693">
      <c r="I693" s="119"/>
    </row>
    <row r="694">
      <c r="I694" s="119"/>
    </row>
    <row r="695">
      <c r="I695" s="119"/>
    </row>
    <row r="696">
      <c r="I696" s="119"/>
    </row>
    <row r="697">
      <c r="I697" s="119"/>
    </row>
    <row r="698">
      <c r="I698" s="119"/>
    </row>
    <row r="699">
      <c r="I699" s="119"/>
    </row>
    <row r="700">
      <c r="I700" s="119"/>
    </row>
    <row r="701">
      <c r="I701" s="119"/>
    </row>
    <row r="702">
      <c r="I702" s="119"/>
    </row>
    <row r="703">
      <c r="I703" s="119"/>
    </row>
    <row r="704">
      <c r="I704" s="119"/>
    </row>
    <row r="705">
      <c r="I705" s="119"/>
    </row>
    <row r="706">
      <c r="I706" s="119"/>
    </row>
    <row r="707">
      <c r="I707" s="119"/>
    </row>
    <row r="708">
      <c r="I708" s="119"/>
    </row>
    <row r="709">
      <c r="I709" s="119"/>
    </row>
    <row r="710">
      <c r="I710" s="119"/>
    </row>
    <row r="711">
      <c r="I711" s="119"/>
    </row>
    <row r="712">
      <c r="I712" s="119"/>
    </row>
    <row r="713">
      <c r="I713" s="119"/>
    </row>
    <row r="714">
      <c r="I714" s="119"/>
    </row>
    <row r="715">
      <c r="I715" s="119"/>
    </row>
    <row r="716">
      <c r="I716" s="119"/>
    </row>
    <row r="717">
      <c r="I717" s="119"/>
    </row>
    <row r="718">
      <c r="I718" s="119"/>
    </row>
    <row r="719">
      <c r="I719" s="119"/>
    </row>
    <row r="720">
      <c r="I720" s="119"/>
    </row>
    <row r="721">
      <c r="I721" s="119"/>
    </row>
    <row r="722">
      <c r="I722" s="119"/>
    </row>
    <row r="723">
      <c r="I723" s="119"/>
    </row>
    <row r="724">
      <c r="I724" s="119"/>
    </row>
    <row r="725">
      <c r="I725" s="119"/>
    </row>
    <row r="726">
      <c r="I726" s="119"/>
    </row>
    <row r="727">
      <c r="I727" s="119"/>
    </row>
    <row r="728">
      <c r="I728" s="119"/>
    </row>
    <row r="729">
      <c r="I729" s="119"/>
    </row>
    <row r="730">
      <c r="I730" s="119"/>
    </row>
    <row r="731">
      <c r="I731" s="119"/>
    </row>
    <row r="732">
      <c r="I732" s="119"/>
    </row>
    <row r="733">
      <c r="I733" s="119"/>
    </row>
    <row r="734">
      <c r="I734" s="119"/>
    </row>
    <row r="735">
      <c r="I735" s="119"/>
    </row>
    <row r="736">
      <c r="I736" s="119"/>
    </row>
    <row r="737">
      <c r="I737" s="119"/>
    </row>
    <row r="738">
      <c r="I738" s="119"/>
    </row>
    <row r="739">
      <c r="I739" s="119"/>
    </row>
    <row r="740">
      <c r="I740" s="119"/>
    </row>
    <row r="741">
      <c r="I741" s="119"/>
    </row>
    <row r="742">
      <c r="I742" s="119"/>
    </row>
    <row r="743">
      <c r="I743" s="119"/>
    </row>
    <row r="744">
      <c r="I744" s="119"/>
    </row>
    <row r="745">
      <c r="I745" s="119"/>
    </row>
    <row r="746">
      <c r="I746" s="119"/>
    </row>
    <row r="747">
      <c r="I747" s="119"/>
    </row>
    <row r="748">
      <c r="I748" s="119"/>
    </row>
    <row r="749">
      <c r="I749" s="119"/>
    </row>
    <row r="750">
      <c r="I750" s="119"/>
    </row>
    <row r="751">
      <c r="I751" s="119"/>
    </row>
    <row r="752">
      <c r="I752" s="119"/>
    </row>
    <row r="753">
      <c r="I753" s="119"/>
    </row>
    <row r="754">
      <c r="I754" s="119"/>
    </row>
    <row r="755">
      <c r="I755" s="119"/>
    </row>
    <row r="756">
      <c r="I756" s="119"/>
    </row>
    <row r="757">
      <c r="I757" s="119"/>
    </row>
    <row r="758">
      <c r="I758" s="119"/>
    </row>
    <row r="759">
      <c r="I759" s="119"/>
    </row>
    <row r="760">
      <c r="I760" s="119"/>
    </row>
    <row r="761">
      <c r="I761" s="119"/>
    </row>
    <row r="762">
      <c r="I762" s="119"/>
    </row>
    <row r="763">
      <c r="I763" s="119"/>
    </row>
    <row r="764">
      <c r="I764" s="119"/>
    </row>
    <row r="765">
      <c r="I765" s="119"/>
    </row>
    <row r="766">
      <c r="I766" s="119"/>
    </row>
    <row r="767">
      <c r="I767" s="119"/>
    </row>
    <row r="768">
      <c r="I768" s="119"/>
    </row>
    <row r="769">
      <c r="I769" s="119"/>
    </row>
    <row r="770">
      <c r="I770" s="119"/>
    </row>
    <row r="771">
      <c r="I771" s="119"/>
    </row>
    <row r="772">
      <c r="I772" s="119"/>
    </row>
    <row r="773">
      <c r="I773" s="119"/>
    </row>
    <row r="774">
      <c r="I774" s="119"/>
    </row>
    <row r="775">
      <c r="I775" s="119"/>
    </row>
    <row r="776">
      <c r="I776" s="119"/>
    </row>
    <row r="777">
      <c r="I777" s="119"/>
    </row>
    <row r="778">
      <c r="I778" s="119"/>
    </row>
    <row r="779">
      <c r="I779" s="119"/>
    </row>
    <row r="780">
      <c r="I780" s="119"/>
    </row>
    <row r="781">
      <c r="I781" s="119"/>
    </row>
    <row r="782">
      <c r="I782" s="119"/>
    </row>
    <row r="783">
      <c r="I783" s="119"/>
    </row>
    <row r="784">
      <c r="I784" s="119"/>
    </row>
    <row r="785">
      <c r="I785" s="119"/>
    </row>
    <row r="786">
      <c r="I786" s="119"/>
    </row>
    <row r="787">
      <c r="I787" s="119"/>
    </row>
    <row r="788">
      <c r="I788" s="119"/>
    </row>
    <row r="789">
      <c r="I789" s="119"/>
    </row>
    <row r="790">
      <c r="I790" s="119"/>
    </row>
    <row r="791">
      <c r="I791" s="119"/>
    </row>
    <row r="792">
      <c r="I792" s="119"/>
    </row>
    <row r="793">
      <c r="I793" s="119"/>
    </row>
    <row r="794">
      <c r="I794" s="119"/>
    </row>
    <row r="795">
      <c r="I795" s="119"/>
    </row>
    <row r="796">
      <c r="I796" s="119"/>
    </row>
    <row r="797">
      <c r="I797" s="119"/>
    </row>
    <row r="798">
      <c r="I798" s="119"/>
    </row>
    <row r="799">
      <c r="I799" s="119"/>
    </row>
    <row r="800">
      <c r="I800" s="119"/>
    </row>
    <row r="801">
      <c r="I801" s="119"/>
    </row>
    <row r="802">
      <c r="I802" s="119"/>
    </row>
    <row r="803">
      <c r="I803" s="119"/>
    </row>
    <row r="804">
      <c r="I804" s="119"/>
    </row>
    <row r="805">
      <c r="I805" s="119"/>
    </row>
    <row r="806">
      <c r="I806" s="119"/>
    </row>
    <row r="807">
      <c r="I807" s="119"/>
    </row>
    <row r="808">
      <c r="I808" s="119"/>
    </row>
    <row r="809">
      <c r="I809" s="119"/>
    </row>
    <row r="810">
      <c r="I810" s="119"/>
    </row>
    <row r="811">
      <c r="I811" s="119"/>
    </row>
    <row r="812">
      <c r="I812" s="119"/>
    </row>
    <row r="813">
      <c r="I813" s="119"/>
    </row>
    <row r="814">
      <c r="I814" s="119"/>
    </row>
    <row r="815">
      <c r="I815" s="119"/>
    </row>
    <row r="816">
      <c r="I816" s="119"/>
    </row>
    <row r="817">
      <c r="I817" s="119"/>
    </row>
    <row r="818">
      <c r="I818" s="119"/>
    </row>
    <row r="819">
      <c r="I819" s="119"/>
    </row>
    <row r="820">
      <c r="I820" s="119"/>
    </row>
    <row r="821">
      <c r="I821" s="119"/>
    </row>
    <row r="822">
      <c r="I822" s="119"/>
    </row>
    <row r="823">
      <c r="I823" s="119"/>
    </row>
    <row r="824">
      <c r="I824" s="119"/>
    </row>
    <row r="825">
      <c r="I825" s="119"/>
    </row>
    <row r="826">
      <c r="I826" s="119"/>
    </row>
    <row r="827">
      <c r="I827" s="119"/>
    </row>
    <row r="828">
      <c r="I828" s="119"/>
    </row>
    <row r="829">
      <c r="I829" s="119"/>
    </row>
    <row r="830">
      <c r="I830" s="119"/>
    </row>
    <row r="831">
      <c r="I831" s="119"/>
    </row>
    <row r="832">
      <c r="I832" s="119"/>
    </row>
    <row r="833">
      <c r="I833" s="119"/>
    </row>
    <row r="834">
      <c r="I834" s="119"/>
    </row>
    <row r="835">
      <c r="I835" s="119"/>
    </row>
    <row r="836">
      <c r="I836" s="119"/>
    </row>
    <row r="837">
      <c r="I837" s="119"/>
    </row>
    <row r="838">
      <c r="I838" s="119"/>
    </row>
    <row r="839">
      <c r="I839" s="119"/>
    </row>
    <row r="840">
      <c r="I840" s="119"/>
    </row>
    <row r="841">
      <c r="I841" s="119"/>
    </row>
    <row r="842">
      <c r="I842" s="119"/>
    </row>
    <row r="843">
      <c r="I843" s="119"/>
    </row>
    <row r="844">
      <c r="I844" s="119"/>
    </row>
    <row r="845">
      <c r="I845" s="119"/>
    </row>
    <row r="846">
      <c r="I846" s="119"/>
    </row>
    <row r="847">
      <c r="I847" s="119"/>
    </row>
    <row r="848">
      <c r="I848" s="119"/>
    </row>
    <row r="849">
      <c r="I849" s="119"/>
    </row>
    <row r="850">
      <c r="I850" s="119"/>
    </row>
    <row r="851">
      <c r="I851" s="119"/>
    </row>
    <row r="852">
      <c r="I852" s="119"/>
    </row>
    <row r="853">
      <c r="I853" s="119"/>
    </row>
    <row r="854">
      <c r="I854" s="119"/>
    </row>
    <row r="855">
      <c r="I855" s="119"/>
    </row>
    <row r="856">
      <c r="I856" s="119"/>
    </row>
    <row r="857">
      <c r="I857" s="119"/>
    </row>
    <row r="858">
      <c r="I858" s="119"/>
    </row>
    <row r="859">
      <c r="I859" s="119"/>
    </row>
    <row r="860">
      <c r="I860" s="119"/>
    </row>
    <row r="861">
      <c r="I861" s="119"/>
    </row>
    <row r="862">
      <c r="I862" s="119"/>
    </row>
    <row r="863">
      <c r="I863" s="119"/>
    </row>
    <row r="864">
      <c r="I864" s="119"/>
    </row>
    <row r="865">
      <c r="I865" s="119"/>
    </row>
    <row r="866">
      <c r="I866" s="119"/>
    </row>
    <row r="867">
      <c r="I867" s="119"/>
    </row>
    <row r="868">
      <c r="I868" s="119"/>
    </row>
    <row r="869">
      <c r="I869" s="119"/>
    </row>
    <row r="870">
      <c r="I870" s="119"/>
    </row>
    <row r="871">
      <c r="I871" s="119"/>
    </row>
    <row r="872">
      <c r="I872" s="119"/>
    </row>
    <row r="873">
      <c r="I873" s="119"/>
    </row>
    <row r="874">
      <c r="I874" s="119"/>
    </row>
    <row r="875">
      <c r="I875" s="119"/>
    </row>
    <row r="876">
      <c r="I876" s="119"/>
    </row>
    <row r="877">
      <c r="I877" s="119"/>
    </row>
    <row r="878">
      <c r="I878" s="119"/>
    </row>
    <row r="879">
      <c r="I879" s="119"/>
    </row>
    <row r="880">
      <c r="I880" s="119"/>
    </row>
    <row r="881">
      <c r="I881" s="119"/>
    </row>
    <row r="882">
      <c r="I882" s="119"/>
    </row>
    <row r="883">
      <c r="I883" s="119"/>
    </row>
    <row r="884">
      <c r="I884" s="119"/>
    </row>
    <row r="885">
      <c r="I885" s="119"/>
    </row>
    <row r="886">
      <c r="I886" s="119"/>
    </row>
    <row r="887">
      <c r="I887" s="119"/>
    </row>
    <row r="888">
      <c r="I888" s="119"/>
    </row>
    <row r="889">
      <c r="I889" s="119"/>
    </row>
    <row r="890">
      <c r="I890" s="119"/>
    </row>
    <row r="891">
      <c r="I891" s="119"/>
    </row>
    <row r="892">
      <c r="I892" s="119"/>
    </row>
    <row r="893">
      <c r="I893" s="119"/>
    </row>
    <row r="894">
      <c r="I894" s="119"/>
    </row>
    <row r="895">
      <c r="I895" s="119"/>
    </row>
    <row r="896">
      <c r="I896" s="119"/>
    </row>
    <row r="897">
      <c r="I897" s="119"/>
    </row>
    <row r="898">
      <c r="I898" s="119"/>
    </row>
    <row r="899">
      <c r="I899" s="119"/>
    </row>
    <row r="900">
      <c r="I900" s="119"/>
    </row>
    <row r="901">
      <c r="I901" s="119"/>
    </row>
    <row r="902">
      <c r="I902" s="119"/>
    </row>
    <row r="903">
      <c r="I903" s="119"/>
    </row>
    <row r="904">
      <c r="I904" s="119"/>
    </row>
    <row r="905">
      <c r="I905" s="119"/>
    </row>
    <row r="906">
      <c r="I906" s="119"/>
    </row>
    <row r="907">
      <c r="I907" s="119"/>
    </row>
    <row r="908">
      <c r="I908" s="119"/>
    </row>
    <row r="909">
      <c r="I909" s="119"/>
    </row>
    <row r="910">
      <c r="I910" s="119"/>
    </row>
    <row r="911">
      <c r="I911" s="119"/>
    </row>
    <row r="912">
      <c r="I912" s="119"/>
    </row>
    <row r="913">
      <c r="I913" s="119"/>
    </row>
    <row r="914">
      <c r="I914" s="119"/>
    </row>
    <row r="915">
      <c r="I915" s="119"/>
    </row>
    <row r="916">
      <c r="I916" s="119"/>
    </row>
    <row r="917">
      <c r="I917" s="119"/>
    </row>
    <row r="918">
      <c r="I918" s="119"/>
    </row>
    <row r="919">
      <c r="I919" s="119"/>
    </row>
    <row r="920">
      <c r="I920" s="119"/>
    </row>
    <row r="921">
      <c r="I921" s="119"/>
    </row>
    <row r="922">
      <c r="I922" s="119"/>
    </row>
    <row r="923">
      <c r="I923" s="119"/>
    </row>
    <row r="924">
      <c r="I924" s="119"/>
    </row>
    <row r="925">
      <c r="I925" s="119"/>
    </row>
    <row r="926">
      <c r="I926" s="119"/>
    </row>
    <row r="927">
      <c r="I927" s="119"/>
    </row>
    <row r="928">
      <c r="I928" s="119"/>
    </row>
    <row r="929">
      <c r="I929" s="119"/>
    </row>
    <row r="930">
      <c r="I930" s="119"/>
    </row>
    <row r="931">
      <c r="I931" s="119"/>
    </row>
    <row r="932">
      <c r="I932" s="119"/>
    </row>
    <row r="933">
      <c r="I933" s="119"/>
    </row>
    <row r="934">
      <c r="I934" s="119"/>
    </row>
    <row r="935">
      <c r="I935" s="119"/>
    </row>
    <row r="936">
      <c r="I936" s="119"/>
    </row>
    <row r="937">
      <c r="I937" s="119"/>
    </row>
    <row r="938">
      <c r="I938" s="119"/>
    </row>
    <row r="939">
      <c r="I939" s="119"/>
    </row>
    <row r="940">
      <c r="I940" s="119"/>
    </row>
    <row r="941">
      <c r="I941" s="119"/>
    </row>
    <row r="942">
      <c r="I942" s="119"/>
    </row>
    <row r="943">
      <c r="I943" s="119"/>
    </row>
    <row r="944">
      <c r="I944" s="119"/>
    </row>
    <row r="945">
      <c r="I945" s="119"/>
    </row>
    <row r="946">
      <c r="I946" s="119"/>
    </row>
    <row r="947">
      <c r="I947" s="119"/>
    </row>
    <row r="948">
      <c r="I948" s="119"/>
    </row>
    <row r="949">
      <c r="I949" s="119"/>
    </row>
    <row r="950">
      <c r="I950" s="119"/>
    </row>
    <row r="951">
      <c r="I951" s="119"/>
    </row>
    <row r="952">
      <c r="I952" s="119"/>
    </row>
    <row r="953">
      <c r="I953" s="119"/>
    </row>
    <row r="954">
      <c r="I954" s="119"/>
    </row>
    <row r="955">
      <c r="I955" s="119"/>
    </row>
    <row r="956">
      <c r="I956" s="119"/>
    </row>
    <row r="957">
      <c r="I957" s="119"/>
    </row>
    <row r="958">
      <c r="I958" s="119"/>
    </row>
    <row r="959">
      <c r="I959" s="119"/>
    </row>
    <row r="960">
      <c r="I960" s="119"/>
    </row>
    <row r="961">
      <c r="I961" s="119"/>
    </row>
    <row r="962">
      <c r="I962" s="119"/>
    </row>
    <row r="963">
      <c r="I963" s="119"/>
    </row>
    <row r="964">
      <c r="I964" s="119"/>
    </row>
    <row r="965">
      <c r="I965" s="119"/>
    </row>
    <row r="966">
      <c r="I966" s="119"/>
    </row>
    <row r="967">
      <c r="I967" s="119"/>
    </row>
    <row r="968">
      <c r="I968" s="119"/>
    </row>
    <row r="969">
      <c r="I969" s="119"/>
    </row>
    <row r="970">
      <c r="I970" s="119"/>
    </row>
    <row r="971">
      <c r="I971" s="119"/>
    </row>
    <row r="972">
      <c r="I972" s="119"/>
    </row>
    <row r="973">
      <c r="I973" s="119"/>
    </row>
    <row r="974">
      <c r="I974" s="119"/>
    </row>
    <row r="975">
      <c r="I975" s="119"/>
    </row>
    <row r="976">
      <c r="I976" s="119"/>
    </row>
    <row r="977">
      <c r="I977" s="119"/>
    </row>
    <row r="978">
      <c r="I978" s="119"/>
    </row>
    <row r="979">
      <c r="I979" s="119"/>
    </row>
    <row r="980">
      <c r="I980" s="119"/>
    </row>
    <row r="981">
      <c r="I981" s="119"/>
    </row>
    <row r="982">
      <c r="I982" s="119"/>
    </row>
    <row r="983">
      <c r="I983" s="119"/>
    </row>
    <row r="984">
      <c r="I984" s="119"/>
    </row>
    <row r="985">
      <c r="I985" s="119"/>
    </row>
    <row r="986">
      <c r="I986" s="119"/>
    </row>
    <row r="987">
      <c r="I987" s="119"/>
    </row>
    <row r="988">
      <c r="I988" s="119"/>
    </row>
    <row r="989">
      <c r="I989" s="119"/>
    </row>
    <row r="990">
      <c r="I990" s="119"/>
    </row>
    <row r="991">
      <c r="I991" s="119"/>
    </row>
    <row r="992">
      <c r="I992" s="119"/>
    </row>
    <row r="993">
      <c r="I993" s="119"/>
    </row>
    <row r="994">
      <c r="I994" s="119"/>
    </row>
    <row r="995">
      <c r="I995" s="119"/>
    </row>
    <row r="996">
      <c r="I996" s="119"/>
    </row>
    <row r="997">
      <c r="I997" s="119"/>
    </row>
    <row r="998">
      <c r="I998" s="119"/>
    </row>
    <row r="999">
      <c r="I999" s="119"/>
    </row>
    <row r="1000">
      <c r="I1000" s="119"/>
    </row>
    <row r="1001">
      <c r="I1001" s="119"/>
    </row>
    <row r="1002">
      <c r="I1002" s="119"/>
    </row>
    <row r="1003">
      <c r="I1003" s="119"/>
    </row>
    <row r="1004">
      <c r="I1004" s="119"/>
    </row>
    <row r="1005">
      <c r="I1005" s="119"/>
    </row>
    <row r="1006">
      <c r="I1006" s="119"/>
    </row>
    <row r="1007">
      <c r="I1007" s="119"/>
    </row>
    <row r="1008">
      <c r="I1008" s="119"/>
    </row>
    <row r="1009">
      <c r="I1009" s="119"/>
    </row>
    <row r="1010">
      <c r="I1010" s="119"/>
    </row>
    <row r="1011">
      <c r="I1011" s="119"/>
    </row>
    <row r="1012">
      <c r="I1012" s="119"/>
    </row>
    <row r="1013">
      <c r="I1013" s="119"/>
    </row>
    <row r="1014">
      <c r="I1014" s="119"/>
    </row>
    <row r="1015">
      <c r="I1015" s="119"/>
    </row>
    <row r="1016">
      <c r="I1016" s="119"/>
    </row>
    <row r="1017">
      <c r="I1017" s="119"/>
    </row>
    <row r="1018">
      <c r="I1018" s="119"/>
    </row>
    <row r="1019">
      <c r="I1019" s="119"/>
    </row>
    <row r="1020">
      <c r="I1020" s="119"/>
    </row>
    <row r="1021">
      <c r="I1021" s="119"/>
    </row>
    <row r="1022">
      <c r="I1022" s="119"/>
    </row>
    <row r="1023">
      <c r="I1023" s="119"/>
    </row>
    <row r="1024">
      <c r="I1024" s="119"/>
    </row>
    <row r="1025">
      <c r="I1025" s="119"/>
    </row>
    <row r="1026">
      <c r="I1026" s="119"/>
    </row>
    <row r="1027">
      <c r="I1027" s="119"/>
    </row>
    <row r="1028">
      <c r="I1028" s="119"/>
    </row>
    <row r="1029">
      <c r="I1029" s="119"/>
    </row>
    <row r="1030">
      <c r="I1030" s="119"/>
    </row>
    <row r="1031">
      <c r="I1031" s="119"/>
    </row>
    <row r="1032">
      <c r="I1032" s="119"/>
    </row>
    <row r="1033">
      <c r="I1033" s="119"/>
    </row>
    <row r="1034">
      <c r="I1034" s="119"/>
    </row>
    <row r="1035">
      <c r="I1035" s="119"/>
    </row>
    <row r="1036">
      <c r="I1036" s="119"/>
    </row>
    <row r="1037">
      <c r="I1037" s="119"/>
    </row>
    <row r="1038">
      <c r="I1038" s="119"/>
    </row>
    <row r="1039">
      <c r="I1039" s="119"/>
    </row>
    <row r="1040">
      <c r="I1040" s="119"/>
    </row>
    <row r="1041">
      <c r="I1041" s="119"/>
    </row>
    <row r="1042">
      <c r="I1042" s="119"/>
    </row>
    <row r="1043">
      <c r="I1043" s="119"/>
    </row>
    <row r="1044">
      <c r="I1044" s="119"/>
    </row>
    <row r="1045">
      <c r="I1045" s="119"/>
    </row>
    <row r="1046">
      <c r="I1046" s="119"/>
    </row>
    <row r="1047">
      <c r="I1047" s="119"/>
    </row>
    <row r="1048">
      <c r="I1048" s="119"/>
    </row>
    <row r="1049">
      <c r="I1049" s="119"/>
    </row>
    <row r="1050">
      <c r="I1050" s="119"/>
    </row>
    <row r="1051">
      <c r="I1051" s="119"/>
    </row>
    <row r="1052">
      <c r="I1052" s="119"/>
    </row>
    <row r="1053">
      <c r="I1053" s="119"/>
    </row>
    <row r="1054">
      <c r="I1054" s="119"/>
    </row>
    <row r="1055">
      <c r="I1055" s="119"/>
    </row>
    <row r="1056">
      <c r="I1056" s="119"/>
    </row>
    <row r="1057">
      <c r="I1057" s="119"/>
    </row>
    <row r="1058">
      <c r="I1058" s="119"/>
    </row>
    <row r="1059">
      <c r="I1059" s="119"/>
    </row>
    <row r="1060">
      <c r="I1060" s="119"/>
    </row>
    <row r="1061">
      <c r="I1061" s="119"/>
    </row>
    <row r="1062">
      <c r="I1062" s="119"/>
    </row>
    <row r="1063">
      <c r="I1063" s="119"/>
    </row>
    <row r="1064">
      <c r="I1064" s="119"/>
    </row>
    <row r="1065">
      <c r="I1065" s="119"/>
    </row>
    <row r="1066">
      <c r="I1066" s="119"/>
    </row>
    <row r="1067">
      <c r="I1067" s="119"/>
    </row>
    <row r="1068">
      <c r="I1068" s="119"/>
    </row>
    <row r="1069">
      <c r="I1069" s="119"/>
    </row>
    <row r="1070">
      <c r="I1070" s="119"/>
    </row>
    <row r="1071">
      <c r="I1071" s="119"/>
    </row>
    <row r="1072">
      <c r="I1072" s="119"/>
    </row>
    <row r="1073">
      <c r="I1073" s="119"/>
    </row>
    <row r="1074">
      <c r="I1074" s="119"/>
    </row>
    <row r="1075">
      <c r="I1075" s="119"/>
    </row>
    <row r="1076">
      <c r="I1076" s="119"/>
    </row>
    <row r="1077">
      <c r="I1077" s="119"/>
    </row>
    <row r="1078">
      <c r="I1078" s="119"/>
    </row>
    <row r="1079">
      <c r="I1079" s="119"/>
    </row>
    <row r="1080">
      <c r="I1080" s="119"/>
    </row>
    <row r="1081">
      <c r="I1081" s="119"/>
    </row>
    <row r="1082">
      <c r="I1082" s="119"/>
    </row>
    <row r="1083">
      <c r="I1083" s="119"/>
    </row>
    <row r="1084">
      <c r="I1084" s="119"/>
    </row>
    <row r="1085">
      <c r="I1085" s="119"/>
    </row>
    <row r="1086">
      <c r="I1086" s="119"/>
    </row>
    <row r="1087">
      <c r="I1087" s="119"/>
    </row>
    <row r="1088">
      <c r="I1088" s="119"/>
    </row>
    <row r="1089">
      <c r="I1089" s="119"/>
    </row>
    <row r="1090">
      <c r="I1090" s="119"/>
    </row>
    <row r="1091">
      <c r="I1091" s="119"/>
    </row>
    <row r="1092">
      <c r="I1092" s="119"/>
    </row>
    <row r="1093">
      <c r="I1093" s="119"/>
    </row>
    <row r="1094">
      <c r="I1094" s="119"/>
    </row>
    <row r="1095">
      <c r="I1095" s="119"/>
    </row>
    <row r="1096">
      <c r="I1096" s="119"/>
    </row>
    <row r="1097">
      <c r="I1097" s="119"/>
    </row>
    <row r="1098">
      <c r="I1098" s="119"/>
    </row>
    <row r="1099">
      <c r="I1099" s="119"/>
    </row>
    <row r="1100">
      <c r="I1100" s="119"/>
    </row>
    <row r="1101">
      <c r="I1101" s="119"/>
    </row>
    <row r="1102">
      <c r="I1102" s="119"/>
    </row>
    <row r="1103">
      <c r="I1103" s="119"/>
    </row>
    <row r="1104">
      <c r="I1104" s="119"/>
    </row>
    <row r="1105">
      <c r="I1105" s="119"/>
    </row>
    <row r="1106">
      <c r="I1106" s="119"/>
    </row>
    <row r="1107">
      <c r="I1107" s="119"/>
    </row>
    <row r="1108">
      <c r="I1108" s="119"/>
    </row>
    <row r="1109">
      <c r="I1109" s="119"/>
    </row>
    <row r="1110">
      <c r="I1110" s="119"/>
    </row>
    <row r="1111">
      <c r="I1111" s="119"/>
    </row>
    <row r="1112">
      <c r="I1112" s="119"/>
    </row>
    <row r="1113">
      <c r="I1113" s="119"/>
    </row>
    <row r="1114">
      <c r="I1114" s="119"/>
    </row>
    <row r="1115">
      <c r="I1115" s="119"/>
    </row>
    <row r="1116">
      <c r="I1116" s="119"/>
    </row>
    <row r="1117">
      <c r="I1117" s="119"/>
    </row>
    <row r="1118">
      <c r="I1118" s="119"/>
    </row>
    <row r="1119">
      <c r="I1119" s="119"/>
    </row>
    <row r="1120">
      <c r="I1120" s="119"/>
    </row>
    <row r="1121">
      <c r="I1121" s="119"/>
    </row>
    <row r="1122">
      <c r="I1122" s="119"/>
    </row>
    <row r="1123">
      <c r="I1123" s="119"/>
    </row>
    <row r="1124">
      <c r="I1124" s="119"/>
    </row>
    <row r="1125">
      <c r="I1125" s="119"/>
    </row>
    <row r="1126">
      <c r="I1126" s="119"/>
    </row>
    <row r="1127">
      <c r="I1127" s="119"/>
    </row>
    <row r="1128">
      <c r="I1128" s="119"/>
    </row>
    <row r="1129">
      <c r="I1129" s="119"/>
    </row>
    <row r="1130">
      <c r="I1130" s="119"/>
    </row>
    <row r="1131">
      <c r="I1131" s="119"/>
    </row>
    <row r="1132">
      <c r="I1132" s="119"/>
    </row>
    <row r="1133">
      <c r="I1133" s="119"/>
    </row>
    <row r="1134">
      <c r="I1134" s="119"/>
    </row>
    <row r="1135">
      <c r="I1135" s="119"/>
    </row>
    <row r="1136">
      <c r="I1136" s="119"/>
    </row>
    <row r="1137">
      <c r="I1137" s="119"/>
    </row>
    <row r="1138">
      <c r="I1138" s="119"/>
    </row>
    <row r="1139">
      <c r="I1139" s="119"/>
    </row>
    <row r="1140">
      <c r="I1140" s="119"/>
    </row>
    <row r="1141">
      <c r="I1141" s="119"/>
    </row>
    <row r="1142">
      <c r="I1142" s="119"/>
    </row>
    <row r="1143">
      <c r="I1143" s="119"/>
    </row>
    <row r="1144">
      <c r="I1144" s="119"/>
    </row>
    <row r="1145">
      <c r="I1145" s="119"/>
    </row>
    <row r="1146">
      <c r="I1146" s="119"/>
    </row>
    <row r="1147">
      <c r="I1147" s="119"/>
    </row>
    <row r="1148">
      <c r="I1148" s="119"/>
    </row>
    <row r="1149">
      <c r="I1149" s="119"/>
    </row>
    <row r="1150">
      <c r="I1150" s="119"/>
    </row>
    <row r="1151">
      <c r="I1151" s="119"/>
    </row>
    <row r="1152">
      <c r="I1152" s="119"/>
    </row>
    <row r="1153">
      <c r="I1153" s="119"/>
    </row>
    <row r="1154">
      <c r="I1154" s="119"/>
    </row>
    <row r="1155">
      <c r="I1155" s="119"/>
    </row>
    <row r="1156">
      <c r="I1156" s="119"/>
    </row>
    <row r="1157">
      <c r="I1157" s="119"/>
    </row>
    <row r="1158">
      <c r="I1158" s="119"/>
    </row>
    <row r="1159">
      <c r="I1159" s="119"/>
    </row>
    <row r="1160">
      <c r="I1160" s="119"/>
    </row>
    <row r="1161">
      <c r="I1161" s="119"/>
    </row>
    <row r="1162">
      <c r="I1162" s="119"/>
    </row>
    <row r="1163">
      <c r="I1163" s="119"/>
    </row>
    <row r="1164">
      <c r="I1164" s="119"/>
    </row>
    <row r="1165">
      <c r="I1165" s="119"/>
    </row>
    <row r="1166">
      <c r="I1166" s="119"/>
    </row>
    <row r="1167">
      <c r="I1167" s="119"/>
    </row>
    <row r="1168">
      <c r="I1168" s="119"/>
    </row>
    <row r="1169">
      <c r="I1169" s="119"/>
    </row>
    <row r="1170">
      <c r="I1170" s="119"/>
    </row>
    <row r="1171">
      <c r="I1171" s="119"/>
    </row>
    <row r="1172">
      <c r="I1172" s="119"/>
    </row>
    <row r="1173">
      <c r="I1173" s="119"/>
    </row>
    <row r="1174">
      <c r="I1174" s="119"/>
    </row>
    <row r="1175">
      <c r="I1175" s="119"/>
    </row>
    <row r="1176">
      <c r="I1176" s="119"/>
    </row>
    <row r="1177">
      <c r="I1177" s="119"/>
    </row>
    <row r="1178">
      <c r="I1178" s="119"/>
    </row>
    <row r="1179">
      <c r="I1179" s="119"/>
    </row>
    <row r="1180">
      <c r="I1180" s="119"/>
    </row>
    <row r="1181">
      <c r="I1181" s="119"/>
    </row>
    <row r="1182">
      <c r="I1182" s="119"/>
    </row>
    <row r="1183">
      <c r="I1183" s="119"/>
    </row>
    <row r="1184">
      <c r="I1184" s="119"/>
    </row>
    <row r="1185">
      <c r="I1185" s="119"/>
    </row>
    <row r="1186">
      <c r="I1186" s="119"/>
    </row>
    <row r="1187">
      <c r="I1187" s="119"/>
    </row>
    <row r="1188">
      <c r="I1188" s="119"/>
    </row>
    <row r="1189">
      <c r="I1189" s="119"/>
    </row>
    <row r="1190">
      <c r="I1190" s="119"/>
    </row>
    <row r="1191">
      <c r="I1191" s="119"/>
    </row>
    <row r="1192">
      <c r="I1192" s="119"/>
    </row>
    <row r="1193">
      <c r="I1193" s="119"/>
    </row>
    <row r="1194">
      <c r="I1194" s="119"/>
    </row>
    <row r="1195">
      <c r="I1195" s="119"/>
    </row>
    <row r="1196">
      <c r="I1196" s="119"/>
    </row>
    <row r="1197">
      <c r="I1197" s="119"/>
    </row>
    <row r="1198">
      <c r="I1198" s="119"/>
    </row>
    <row r="1199">
      <c r="I1199" s="119"/>
    </row>
    <row r="1200">
      <c r="I1200" s="119"/>
    </row>
    <row r="1201">
      <c r="I1201" s="119"/>
    </row>
    <row r="1202">
      <c r="I1202" s="119"/>
    </row>
    <row r="1203">
      <c r="I1203" s="119"/>
    </row>
    <row r="1204">
      <c r="I1204" s="119"/>
    </row>
    <row r="1205">
      <c r="I1205" s="119"/>
    </row>
    <row r="1206">
      <c r="I1206" s="119"/>
    </row>
    <row r="1207">
      <c r="I1207" s="119"/>
    </row>
    <row r="1208">
      <c r="I1208" s="119"/>
    </row>
    <row r="1209">
      <c r="I1209" s="119"/>
    </row>
    <row r="1210">
      <c r="I1210" s="119"/>
    </row>
    <row r="1211">
      <c r="I1211" s="119"/>
    </row>
    <row r="1212">
      <c r="I1212" s="119"/>
    </row>
    <row r="1213">
      <c r="I1213" s="119"/>
    </row>
    <row r="1214">
      <c r="I1214" s="119"/>
    </row>
    <row r="1215">
      <c r="I1215" s="119"/>
    </row>
    <row r="1216">
      <c r="I1216" s="119"/>
    </row>
    <row r="1217">
      <c r="I1217" s="119"/>
    </row>
    <row r="1218">
      <c r="I1218" s="119"/>
    </row>
    <row r="1219">
      <c r="I1219" s="119"/>
    </row>
    <row r="1220">
      <c r="I1220" s="119"/>
    </row>
    <row r="1221">
      <c r="I1221" s="119"/>
    </row>
    <row r="1222">
      <c r="I1222" s="119"/>
    </row>
    <row r="1223">
      <c r="I1223" s="119"/>
    </row>
    <row r="1224">
      <c r="I1224" s="119"/>
    </row>
    <row r="1225">
      <c r="I1225" s="119"/>
    </row>
    <row r="1226">
      <c r="I1226" s="119"/>
    </row>
    <row r="1227">
      <c r="I1227" s="119"/>
    </row>
    <row r="1228">
      <c r="I1228" s="119"/>
    </row>
    <row r="1229">
      <c r="I1229" s="119"/>
    </row>
    <row r="1230">
      <c r="I1230" s="119"/>
    </row>
    <row r="1231">
      <c r="I1231" s="119"/>
    </row>
    <row r="1232">
      <c r="I1232" s="119"/>
    </row>
    <row r="1233">
      <c r="I1233" s="119"/>
    </row>
    <row r="1234">
      <c r="I1234" s="119"/>
    </row>
    <row r="1235">
      <c r="I1235" s="119"/>
    </row>
    <row r="1236">
      <c r="I1236" s="119"/>
    </row>
    <row r="1237">
      <c r="I1237" s="119"/>
    </row>
    <row r="1238">
      <c r="I1238" s="119"/>
    </row>
    <row r="1239">
      <c r="I1239" s="119"/>
    </row>
    <row r="1240">
      <c r="I1240" s="119"/>
    </row>
    <row r="1241">
      <c r="I1241" s="119"/>
    </row>
    <row r="1242">
      <c r="I1242" s="119"/>
    </row>
    <row r="1243">
      <c r="I1243" s="119"/>
    </row>
    <row r="1244">
      <c r="I1244" s="119"/>
    </row>
    <row r="1245">
      <c r="I1245" s="119"/>
    </row>
    <row r="1246">
      <c r="I1246" s="119"/>
    </row>
    <row r="1247">
      <c r="I1247" s="119"/>
    </row>
    <row r="1248">
      <c r="I1248" s="119"/>
    </row>
    <row r="1249">
      <c r="I1249" s="119"/>
    </row>
    <row r="1250">
      <c r="I1250" s="119"/>
    </row>
    <row r="1251">
      <c r="I1251" s="119"/>
    </row>
    <row r="1252">
      <c r="I1252" s="119"/>
    </row>
    <row r="1253">
      <c r="I1253" s="119"/>
    </row>
    <row r="1254">
      <c r="I1254" s="119"/>
    </row>
    <row r="1255">
      <c r="I1255" s="119"/>
    </row>
    <row r="1256">
      <c r="I1256" s="119"/>
    </row>
    <row r="1257">
      <c r="I1257" s="119"/>
    </row>
    <row r="1258">
      <c r="I1258" s="119"/>
    </row>
    <row r="1259">
      <c r="I1259" s="119"/>
    </row>
    <row r="1260">
      <c r="I1260" s="119"/>
    </row>
    <row r="1261">
      <c r="I1261" s="119"/>
    </row>
    <row r="1262">
      <c r="I1262" s="119"/>
    </row>
    <row r="1263">
      <c r="I1263" s="119"/>
    </row>
    <row r="1264">
      <c r="I1264" s="119"/>
    </row>
    <row r="1265">
      <c r="I1265" s="119"/>
    </row>
    <row r="1266">
      <c r="I1266" s="119"/>
    </row>
    <row r="1267">
      <c r="I1267" s="119"/>
    </row>
    <row r="1268">
      <c r="I1268" s="119"/>
    </row>
    <row r="1269">
      <c r="I1269" s="119"/>
    </row>
    <row r="1270">
      <c r="I1270" s="119"/>
    </row>
    <row r="1271">
      <c r="I1271" s="119"/>
    </row>
    <row r="1272">
      <c r="I1272" s="119"/>
    </row>
    <row r="1273">
      <c r="I1273" s="119"/>
    </row>
    <row r="1274">
      <c r="I1274" s="119"/>
    </row>
    <row r="1275">
      <c r="I1275" s="119"/>
    </row>
    <row r="1276">
      <c r="I1276" s="119"/>
    </row>
    <row r="1277">
      <c r="I1277" s="119"/>
    </row>
    <row r="1278">
      <c r="I1278" s="119"/>
    </row>
    <row r="1279">
      <c r="I1279" s="119"/>
    </row>
    <row r="1280">
      <c r="I1280" s="119"/>
    </row>
    <row r="1281">
      <c r="I1281" s="119"/>
    </row>
    <row r="1282">
      <c r="I1282" s="119"/>
    </row>
    <row r="1283">
      <c r="I1283" s="119"/>
    </row>
    <row r="1284">
      <c r="I1284" s="119"/>
    </row>
    <row r="1285">
      <c r="I1285" s="119"/>
    </row>
    <row r="1286">
      <c r="I1286" s="119"/>
    </row>
    <row r="1287">
      <c r="I1287" s="119"/>
    </row>
    <row r="1288">
      <c r="I1288" s="119"/>
    </row>
    <row r="1289">
      <c r="I1289" s="119"/>
    </row>
    <row r="1290">
      <c r="I1290" s="119"/>
    </row>
    <row r="1291">
      <c r="I1291" s="119"/>
    </row>
    <row r="1292">
      <c r="I1292" s="119"/>
    </row>
    <row r="1293">
      <c r="I1293" s="119"/>
    </row>
    <row r="1294">
      <c r="I1294" s="119"/>
    </row>
    <row r="1295">
      <c r="I1295" s="119"/>
    </row>
    <row r="1296">
      <c r="I1296" s="119"/>
    </row>
    <row r="1297">
      <c r="I1297" s="119"/>
    </row>
    <row r="1298">
      <c r="I1298" s="119"/>
    </row>
    <row r="1299">
      <c r="I1299" s="119"/>
    </row>
    <row r="1300">
      <c r="I1300" s="119"/>
    </row>
    <row r="1301">
      <c r="I1301" s="119"/>
    </row>
    <row r="1302">
      <c r="I1302" s="119"/>
    </row>
    <row r="1303">
      <c r="I1303" s="119"/>
    </row>
    <row r="1304">
      <c r="I1304" s="119"/>
    </row>
    <row r="1305">
      <c r="I1305" s="119"/>
    </row>
    <row r="1306">
      <c r="I1306" s="119"/>
    </row>
    <row r="1307">
      <c r="I1307" s="119"/>
    </row>
    <row r="1308">
      <c r="I1308" s="119"/>
    </row>
    <row r="1309">
      <c r="I1309" s="119"/>
    </row>
    <row r="1310">
      <c r="I1310" s="119"/>
    </row>
    <row r="1311">
      <c r="I1311" s="119"/>
    </row>
    <row r="1312">
      <c r="I1312" s="119"/>
    </row>
    <row r="1313">
      <c r="I1313" s="119"/>
    </row>
    <row r="1314">
      <c r="I1314" s="119"/>
    </row>
    <row r="1315">
      <c r="I1315" s="119"/>
    </row>
    <row r="1316">
      <c r="I1316" s="119"/>
    </row>
    <row r="1317">
      <c r="I1317" s="119"/>
    </row>
    <row r="1318">
      <c r="I1318" s="119"/>
    </row>
    <row r="1319">
      <c r="I1319" s="119"/>
    </row>
    <row r="1320">
      <c r="I1320" s="119"/>
    </row>
    <row r="1321">
      <c r="I1321" s="119"/>
    </row>
    <row r="1322">
      <c r="I1322" s="119"/>
    </row>
    <row r="1323">
      <c r="I1323" s="119"/>
    </row>
    <row r="1324">
      <c r="I1324" s="119"/>
    </row>
    <row r="1325">
      <c r="I1325" s="119"/>
    </row>
    <row r="1326">
      <c r="I1326" s="119"/>
    </row>
    <row r="1327">
      <c r="I1327" s="119"/>
    </row>
    <row r="1328">
      <c r="I1328" s="119"/>
    </row>
    <row r="1329">
      <c r="I1329" s="119"/>
    </row>
    <row r="1330">
      <c r="I1330" s="119"/>
    </row>
    <row r="1331">
      <c r="I1331" s="119"/>
    </row>
    <row r="1332">
      <c r="I1332" s="119"/>
    </row>
    <row r="1333">
      <c r="I1333" s="119"/>
    </row>
    <row r="1334">
      <c r="I1334" s="119"/>
    </row>
    <row r="1335">
      <c r="I1335" s="119"/>
    </row>
    <row r="1336">
      <c r="I1336" s="119"/>
    </row>
    <row r="1337">
      <c r="I1337" s="119"/>
    </row>
    <row r="1338">
      <c r="I1338" s="119"/>
    </row>
    <row r="1339">
      <c r="I1339" s="119"/>
    </row>
    <row r="1340">
      <c r="I1340" s="119"/>
    </row>
    <row r="1341">
      <c r="I1341" s="119"/>
    </row>
    <row r="1342">
      <c r="I1342" s="119"/>
    </row>
    <row r="1343">
      <c r="I1343" s="119"/>
    </row>
    <row r="1344">
      <c r="I1344" s="119"/>
    </row>
    <row r="1345">
      <c r="I1345" s="119"/>
    </row>
    <row r="1346">
      <c r="I1346" s="119"/>
    </row>
    <row r="1347">
      <c r="I1347" s="119"/>
    </row>
    <row r="1348">
      <c r="I1348" s="119"/>
    </row>
    <row r="1349">
      <c r="I1349" s="119"/>
    </row>
    <row r="1350">
      <c r="I1350" s="119"/>
    </row>
    <row r="1351">
      <c r="I1351" s="119"/>
    </row>
    <row r="1352">
      <c r="I1352" s="119"/>
    </row>
    <row r="1353">
      <c r="I1353" s="119"/>
    </row>
    <row r="1354">
      <c r="I1354" s="119"/>
    </row>
    <row r="1355">
      <c r="I1355" s="119"/>
    </row>
    <row r="1356">
      <c r="I1356" s="119"/>
    </row>
    <row r="1357">
      <c r="I1357" s="119"/>
    </row>
    <row r="1358">
      <c r="I1358" s="119"/>
    </row>
    <row r="1359">
      <c r="I1359" s="119"/>
    </row>
    <row r="1360">
      <c r="I1360" s="119"/>
    </row>
    <row r="1361">
      <c r="I1361" s="119"/>
    </row>
    <row r="1362">
      <c r="I1362" s="119"/>
    </row>
    <row r="1363">
      <c r="I1363" s="119"/>
    </row>
    <row r="1364">
      <c r="I1364" s="119"/>
    </row>
    <row r="1365">
      <c r="I1365" s="119"/>
    </row>
    <row r="1366">
      <c r="I1366" s="119"/>
    </row>
    <row r="1367">
      <c r="I1367" s="119"/>
    </row>
    <row r="1368">
      <c r="I1368" s="119"/>
    </row>
    <row r="1369">
      <c r="I1369" s="119"/>
    </row>
    <row r="1370">
      <c r="I1370" s="119"/>
    </row>
    <row r="1371">
      <c r="I1371" s="119"/>
    </row>
    <row r="1372">
      <c r="I1372" s="119"/>
    </row>
    <row r="1373">
      <c r="I1373" s="119"/>
    </row>
    <row r="1374">
      <c r="I1374" s="119"/>
    </row>
    <row r="1375">
      <c r="I1375" s="119"/>
    </row>
    <row r="1376">
      <c r="I1376" s="119"/>
    </row>
    <row r="1377">
      <c r="I1377" s="119"/>
    </row>
    <row r="1378">
      <c r="I1378" s="119"/>
    </row>
    <row r="1379">
      <c r="I1379" s="119"/>
    </row>
    <row r="1380">
      <c r="I1380" s="119"/>
    </row>
    <row r="1381">
      <c r="I1381" s="119"/>
    </row>
    <row r="1382">
      <c r="I1382" s="119"/>
    </row>
    <row r="1383">
      <c r="I1383" s="119"/>
    </row>
    <row r="1384">
      <c r="I1384" s="119"/>
    </row>
    <row r="1385">
      <c r="I1385" s="119"/>
    </row>
    <row r="1386">
      <c r="I1386" s="119"/>
    </row>
    <row r="1387">
      <c r="I1387" s="119"/>
    </row>
    <row r="1388">
      <c r="I1388" s="119"/>
    </row>
    <row r="1389">
      <c r="I1389" s="119"/>
    </row>
    <row r="1390">
      <c r="I1390" s="119"/>
    </row>
    <row r="1391">
      <c r="I1391" s="119"/>
    </row>
    <row r="1392">
      <c r="I1392" s="119"/>
    </row>
    <row r="1393">
      <c r="I1393" s="119"/>
    </row>
    <row r="1394">
      <c r="I1394" s="119"/>
    </row>
    <row r="1395">
      <c r="I1395" s="119"/>
    </row>
    <row r="1396">
      <c r="I1396" s="119"/>
    </row>
    <row r="1397">
      <c r="I1397" s="119"/>
    </row>
    <row r="1398">
      <c r="I1398" s="119"/>
    </row>
    <row r="1399">
      <c r="I1399" s="119"/>
    </row>
    <row r="1400">
      <c r="I1400" s="119"/>
    </row>
    <row r="1401">
      <c r="I1401" s="119"/>
    </row>
    <row r="1402">
      <c r="I1402" s="119"/>
    </row>
    <row r="1403">
      <c r="I1403" s="119"/>
    </row>
    <row r="1404">
      <c r="I1404" s="119"/>
    </row>
    <row r="1405">
      <c r="I1405" s="119"/>
    </row>
    <row r="1406">
      <c r="I1406" s="119"/>
    </row>
    <row r="1407">
      <c r="I1407" s="119"/>
    </row>
    <row r="1408">
      <c r="I1408" s="119"/>
    </row>
    <row r="1409">
      <c r="I1409" s="119"/>
    </row>
    <row r="1410">
      <c r="I1410" s="119"/>
    </row>
    <row r="1411">
      <c r="I1411" s="119"/>
    </row>
    <row r="1412">
      <c r="I1412" s="119"/>
    </row>
    <row r="1413">
      <c r="I1413" s="119"/>
    </row>
    <row r="1414">
      <c r="I1414" s="119"/>
    </row>
    <row r="1415">
      <c r="I1415" s="119"/>
    </row>
    <row r="1416">
      <c r="I1416" s="119"/>
    </row>
    <row r="1417">
      <c r="I1417" s="119"/>
    </row>
    <row r="1418">
      <c r="I1418" s="119"/>
    </row>
    <row r="1419">
      <c r="I1419" s="119"/>
    </row>
    <row r="1420">
      <c r="I1420" s="119"/>
    </row>
    <row r="1421">
      <c r="I1421" s="119"/>
    </row>
    <row r="1422">
      <c r="I1422" s="119"/>
    </row>
    <row r="1423">
      <c r="I1423" s="119"/>
    </row>
    <row r="1424">
      <c r="I1424" s="119"/>
    </row>
    <row r="1425">
      <c r="I1425" s="119"/>
    </row>
    <row r="1426">
      <c r="I1426" s="119"/>
    </row>
    <row r="1427">
      <c r="I1427" s="119"/>
    </row>
    <row r="1428">
      <c r="I1428" s="119"/>
    </row>
    <row r="1429">
      <c r="I1429" s="119"/>
    </row>
    <row r="1430">
      <c r="I1430" s="119"/>
    </row>
    <row r="1431">
      <c r="I1431" s="119"/>
    </row>
    <row r="1432">
      <c r="I1432" s="119"/>
    </row>
    <row r="1433">
      <c r="I1433" s="119"/>
    </row>
    <row r="1434">
      <c r="I1434" s="119"/>
    </row>
    <row r="1435">
      <c r="I1435" s="119"/>
    </row>
    <row r="1436">
      <c r="I1436" s="119"/>
    </row>
    <row r="1437">
      <c r="I1437" s="119"/>
    </row>
    <row r="1438">
      <c r="I1438" s="119"/>
    </row>
    <row r="1439">
      <c r="I1439" s="119"/>
    </row>
    <row r="1440">
      <c r="I1440" s="119"/>
    </row>
    <row r="1441">
      <c r="I1441" s="119"/>
    </row>
    <row r="1442">
      <c r="I1442" s="119"/>
    </row>
    <row r="1443">
      <c r="I1443" s="119"/>
    </row>
    <row r="1444">
      <c r="I1444" s="119"/>
    </row>
    <row r="1445">
      <c r="I1445" s="119"/>
    </row>
    <row r="1446">
      <c r="I1446" s="119"/>
    </row>
    <row r="1447">
      <c r="I1447" s="119"/>
    </row>
    <row r="1448">
      <c r="I1448" s="119"/>
    </row>
    <row r="1449">
      <c r="I1449" s="119"/>
    </row>
    <row r="1450">
      <c r="I1450" s="119"/>
    </row>
    <row r="1451">
      <c r="I1451" s="119"/>
    </row>
    <row r="1452">
      <c r="I1452" s="119"/>
    </row>
    <row r="1453">
      <c r="I1453" s="119"/>
    </row>
    <row r="1454">
      <c r="I1454" s="119"/>
    </row>
    <row r="1455">
      <c r="I1455" s="119"/>
    </row>
    <row r="1456">
      <c r="I1456" s="119"/>
    </row>
    <row r="1457">
      <c r="I1457" s="119"/>
    </row>
    <row r="1458">
      <c r="I1458" s="119"/>
    </row>
    <row r="1459">
      <c r="I1459" s="119"/>
    </row>
    <row r="1460">
      <c r="I1460" s="119"/>
    </row>
    <row r="1461">
      <c r="I1461" s="119"/>
    </row>
    <row r="1462">
      <c r="I1462" s="119"/>
    </row>
    <row r="1463">
      <c r="I1463" s="119"/>
    </row>
    <row r="1464">
      <c r="I1464" s="119"/>
    </row>
    <row r="1465">
      <c r="I1465" s="119"/>
    </row>
    <row r="1466">
      <c r="I1466" s="119"/>
    </row>
    <row r="1467">
      <c r="I1467" s="119"/>
    </row>
    <row r="1468">
      <c r="I1468" s="119"/>
    </row>
    <row r="1469">
      <c r="I1469" s="119"/>
    </row>
    <row r="1470">
      <c r="I1470" s="119"/>
    </row>
    <row r="1471">
      <c r="I1471" s="119"/>
    </row>
    <row r="1472">
      <c r="I1472" s="119"/>
    </row>
    <row r="1473">
      <c r="I1473" s="119"/>
    </row>
    <row r="1474">
      <c r="I1474" s="119"/>
    </row>
    <row r="1475">
      <c r="I1475" s="119"/>
    </row>
    <row r="1476">
      <c r="I1476" s="119"/>
    </row>
    <row r="1477">
      <c r="I1477" s="119"/>
    </row>
    <row r="1478">
      <c r="I1478" s="119"/>
    </row>
    <row r="1479">
      <c r="I1479" s="119"/>
    </row>
    <row r="1480">
      <c r="I1480" s="119"/>
    </row>
    <row r="1481">
      <c r="I1481" s="119"/>
    </row>
    <row r="1482">
      <c r="I1482" s="119"/>
    </row>
    <row r="1483">
      <c r="I1483" s="119"/>
    </row>
    <row r="1484">
      <c r="I1484" s="119"/>
    </row>
    <row r="1485">
      <c r="I1485" s="119"/>
    </row>
    <row r="1486">
      <c r="I1486" s="119"/>
    </row>
    <row r="1487">
      <c r="I1487" s="119"/>
    </row>
    <row r="1488">
      <c r="I1488" s="119"/>
    </row>
    <row r="1489">
      <c r="I1489" s="119"/>
    </row>
    <row r="1490">
      <c r="I1490" s="119"/>
    </row>
    <row r="1491">
      <c r="I1491" s="119"/>
    </row>
    <row r="1492">
      <c r="I1492" s="119"/>
    </row>
    <row r="1493">
      <c r="I1493" s="119"/>
    </row>
    <row r="1494">
      <c r="I1494" s="119"/>
    </row>
    <row r="1495">
      <c r="I1495" s="119"/>
    </row>
    <row r="1496">
      <c r="I1496" s="119"/>
    </row>
    <row r="1497">
      <c r="I1497" s="119"/>
    </row>
    <row r="1498">
      <c r="I1498" s="119"/>
    </row>
    <row r="1499">
      <c r="I1499" s="119"/>
    </row>
    <row r="1500">
      <c r="I1500" s="119"/>
    </row>
    <row r="1501">
      <c r="I1501" s="119"/>
    </row>
    <row r="1502">
      <c r="I1502" s="119"/>
    </row>
    <row r="1503">
      <c r="I1503" s="119"/>
    </row>
    <row r="1504">
      <c r="I1504" s="119"/>
    </row>
    <row r="1505">
      <c r="I1505" s="119"/>
    </row>
    <row r="1506">
      <c r="I1506" s="119"/>
    </row>
    <row r="1507">
      <c r="I1507" s="119"/>
    </row>
    <row r="1508">
      <c r="I1508" s="119"/>
    </row>
    <row r="1509">
      <c r="I1509" s="119"/>
    </row>
    <row r="1510">
      <c r="I1510" s="119"/>
    </row>
    <row r="1511">
      <c r="I1511" s="119"/>
    </row>
    <row r="1512">
      <c r="I1512" s="119"/>
    </row>
    <row r="1513">
      <c r="I1513" s="119"/>
    </row>
    <row r="1514">
      <c r="I1514" s="119"/>
    </row>
    <row r="1515">
      <c r="I1515" s="119"/>
    </row>
    <row r="1516">
      <c r="I1516" s="119"/>
    </row>
    <row r="1517">
      <c r="I1517" s="119"/>
    </row>
    <row r="1518">
      <c r="I1518" s="119"/>
    </row>
    <row r="1519">
      <c r="I1519" s="119"/>
    </row>
    <row r="1520">
      <c r="I1520" s="119"/>
    </row>
    <row r="1521">
      <c r="I1521" s="119"/>
    </row>
    <row r="1522">
      <c r="I1522" s="119"/>
    </row>
    <row r="1523">
      <c r="I1523" s="119"/>
    </row>
    <row r="1524">
      <c r="I1524" s="119"/>
    </row>
    <row r="1525">
      <c r="I1525" s="119"/>
    </row>
    <row r="1526">
      <c r="I1526" s="119"/>
    </row>
    <row r="1527">
      <c r="I1527" s="119"/>
    </row>
    <row r="1528">
      <c r="I1528" s="119"/>
    </row>
    <row r="1529">
      <c r="I1529" s="119"/>
    </row>
    <row r="1530">
      <c r="I1530" s="119"/>
    </row>
    <row r="1531">
      <c r="I1531" s="119"/>
    </row>
    <row r="1532">
      <c r="I1532" s="119"/>
    </row>
    <row r="1533">
      <c r="I1533" s="119"/>
    </row>
    <row r="1534">
      <c r="I1534" s="119"/>
    </row>
    <row r="1535">
      <c r="I1535" s="119"/>
    </row>
    <row r="1536">
      <c r="I1536" s="119"/>
    </row>
    <row r="1537">
      <c r="I1537" s="119"/>
    </row>
    <row r="1538">
      <c r="I1538" s="119"/>
    </row>
    <row r="1539">
      <c r="I1539" s="119"/>
    </row>
    <row r="1540">
      <c r="I1540" s="119"/>
    </row>
    <row r="1541">
      <c r="I1541" s="119"/>
    </row>
    <row r="1542">
      <c r="I1542" s="119"/>
    </row>
    <row r="1543">
      <c r="I1543" s="119"/>
    </row>
    <row r="1544">
      <c r="I1544" s="119"/>
    </row>
    <row r="1545">
      <c r="I1545" s="119"/>
    </row>
    <row r="1546">
      <c r="I1546" s="119"/>
    </row>
    <row r="1547">
      <c r="I1547" s="119"/>
    </row>
    <row r="1548">
      <c r="I1548" s="119"/>
    </row>
    <row r="1549">
      <c r="I1549" s="119"/>
    </row>
    <row r="1550">
      <c r="I1550" s="119"/>
    </row>
    <row r="1551">
      <c r="I1551" s="119"/>
    </row>
    <row r="1552">
      <c r="I1552" s="119"/>
    </row>
    <row r="1553">
      <c r="I1553" s="119"/>
    </row>
    <row r="1554">
      <c r="I1554" s="119"/>
    </row>
    <row r="1555">
      <c r="I1555" s="119"/>
    </row>
    <row r="1556">
      <c r="I1556" s="119"/>
    </row>
    <row r="1557">
      <c r="I1557" s="119"/>
    </row>
    <row r="1558">
      <c r="I1558" s="119"/>
    </row>
    <row r="1559">
      <c r="I1559" s="119"/>
    </row>
    <row r="1560">
      <c r="I1560" s="119"/>
    </row>
    <row r="1561">
      <c r="I1561" s="119"/>
    </row>
    <row r="1562">
      <c r="I1562" s="119"/>
    </row>
    <row r="1563">
      <c r="I1563" s="119"/>
    </row>
    <row r="1564">
      <c r="I1564" s="119"/>
    </row>
    <row r="1565">
      <c r="I1565" s="119"/>
    </row>
    <row r="1566">
      <c r="I1566" s="119"/>
    </row>
    <row r="1567">
      <c r="I1567" s="119"/>
    </row>
    <row r="1568">
      <c r="I1568" s="119"/>
    </row>
    <row r="1569">
      <c r="I1569" s="119"/>
    </row>
    <row r="1570">
      <c r="I1570" s="119"/>
    </row>
    <row r="1571">
      <c r="I1571" s="119"/>
    </row>
    <row r="1572">
      <c r="I1572" s="119"/>
    </row>
    <row r="1573">
      <c r="I1573" s="119"/>
    </row>
    <row r="1574">
      <c r="I1574" s="119"/>
    </row>
    <row r="1575">
      <c r="I1575" s="119"/>
    </row>
    <row r="1576">
      <c r="I1576" s="119"/>
    </row>
    <row r="1577">
      <c r="I1577" s="119"/>
    </row>
    <row r="1578">
      <c r="I1578" s="119"/>
    </row>
    <row r="1579">
      <c r="I1579" s="119"/>
    </row>
    <row r="1580">
      <c r="I1580" s="119"/>
    </row>
    <row r="1581">
      <c r="I1581" s="119"/>
    </row>
    <row r="1582">
      <c r="I1582" s="119"/>
    </row>
    <row r="1583">
      <c r="I1583" s="119"/>
    </row>
    <row r="1584">
      <c r="I1584" s="119"/>
    </row>
    <row r="1585">
      <c r="I1585" s="119"/>
    </row>
    <row r="1586">
      <c r="I1586" s="119"/>
    </row>
    <row r="1587">
      <c r="I1587" s="119"/>
    </row>
    <row r="1588">
      <c r="I1588" s="119"/>
    </row>
    <row r="1589">
      <c r="I1589" s="119"/>
    </row>
    <row r="1590">
      <c r="I1590" s="119"/>
    </row>
    <row r="1591">
      <c r="I1591" s="119"/>
    </row>
    <row r="1592">
      <c r="I1592" s="119"/>
    </row>
    <row r="1593">
      <c r="I1593" s="119"/>
    </row>
    <row r="1594">
      <c r="I1594" s="119"/>
    </row>
    <row r="1595">
      <c r="I1595" s="119"/>
    </row>
    <row r="1596">
      <c r="I1596" s="119"/>
    </row>
    <row r="1597">
      <c r="I1597" s="119"/>
    </row>
    <row r="1598">
      <c r="I1598" s="119"/>
    </row>
    <row r="1599">
      <c r="I1599" s="119"/>
    </row>
    <row r="1600">
      <c r="I1600" s="119"/>
    </row>
    <row r="1601">
      <c r="I1601" s="119"/>
    </row>
    <row r="1602">
      <c r="I1602" s="119"/>
    </row>
    <row r="1603">
      <c r="I1603" s="119"/>
    </row>
    <row r="1604">
      <c r="I1604" s="119"/>
    </row>
    <row r="1605">
      <c r="I1605" s="119"/>
    </row>
    <row r="1606">
      <c r="I1606" s="119"/>
    </row>
    <row r="1607">
      <c r="I1607" s="119"/>
    </row>
    <row r="1608">
      <c r="I1608" s="119"/>
    </row>
    <row r="1609">
      <c r="I1609" s="119"/>
    </row>
    <row r="1610">
      <c r="I1610" s="119"/>
    </row>
    <row r="1611">
      <c r="I1611" s="119"/>
    </row>
    <row r="1612">
      <c r="I1612" s="119"/>
    </row>
    <row r="1613">
      <c r="I1613" s="119"/>
    </row>
    <row r="1614">
      <c r="I1614" s="119"/>
    </row>
    <row r="1615">
      <c r="I1615" s="119"/>
    </row>
    <row r="1616">
      <c r="I1616" s="119"/>
    </row>
    <row r="1617">
      <c r="I1617" s="119"/>
    </row>
    <row r="1618">
      <c r="I1618" s="119"/>
    </row>
    <row r="1619">
      <c r="I1619" s="119"/>
    </row>
    <row r="1620">
      <c r="I1620" s="119"/>
    </row>
    <row r="1621">
      <c r="I1621" s="119"/>
    </row>
    <row r="1622">
      <c r="I1622" s="119"/>
    </row>
    <row r="1623">
      <c r="I1623" s="119"/>
    </row>
    <row r="1624">
      <c r="I1624" s="119"/>
    </row>
    <row r="1625">
      <c r="I1625" s="119"/>
    </row>
    <row r="1626">
      <c r="I1626" s="119"/>
    </row>
    <row r="1627">
      <c r="I1627" s="119"/>
    </row>
    <row r="1628">
      <c r="I1628" s="119"/>
    </row>
    <row r="1629">
      <c r="I1629" s="119"/>
    </row>
    <row r="1630">
      <c r="I1630" s="119"/>
    </row>
    <row r="1631">
      <c r="I1631" s="119"/>
    </row>
    <row r="1632">
      <c r="I1632" s="119"/>
    </row>
    <row r="1633">
      <c r="I1633" s="119"/>
    </row>
    <row r="1634">
      <c r="I1634" s="119"/>
    </row>
    <row r="1635">
      <c r="I1635" s="119"/>
    </row>
    <row r="1636">
      <c r="I1636" s="119"/>
    </row>
    <row r="1637">
      <c r="I1637" s="119"/>
    </row>
    <row r="1638">
      <c r="I1638" s="119"/>
    </row>
    <row r="1639">
      <c r="I1639" s="119"/>
    </row>
    <row r="1640">
      <c r="I1640" s="119"/>
    </row>
    <row r="1641">
      <c r="I1641" s="119"/>
    </row>
    <row r="1642">
      <c r="I1642" s="119"/>
    </row>
    <row r="1643">
      <c r="I1643" s="119"/>
    </row>
    <row r="1644">
      <c r="I1644" s="119"/>
    </row>
    <row r="1645">
      <c r="I1645" s="119"/>
    </row>
    <row r="1646">
      <c r="I1646" s="119"/>
    </row>
    <row r="1647">
      <c r="I1647" s="119"/>
    </row>
    <row r="1648">
      <c r="I1648" s="119"/>
    </row>
    <row r="1649">
      <c r="I1649" s="119"/>
    </row>
    <row r="1650">
      <c r="I1650" s="119"/>
    </row>
    <row r="1651">
      <c r="I1651" s="119"/>
    </row>
    <row r="1652">
      <c r="I1652" s="119"/>
    </row>
    <row r="1653">
      <c r="I1653" s="119"/>
    </row>
    <row r="1654">
      <c r="I1654" s="119"/>
    </row>
    <row r="1655">
      <c r="I1655" s="119"/>
    </row>
    <row r="1656">
      <c r="I1656" s="119"/>
    </row>
    <row r="1657">
      <c r="I1657" s="119"/>
    </row>
    <row r="1658">
      <c r="I1658" s="119"/>
    </row>
    <row r="1659">
      <c r="I1659" s="119"/>
    </row>
    <row r="1660">
      <c r="I1660" s="119"/>
    </row>
    <row r="1661">
      <c r="I1661" s="119"/>
    </row>
    <row r="1662">
      <c r="I1662" s="119"/>
    </row>
    <row r="1663">
      <c r="I1663" s="119"/>
    </row>
    <row r="1664">
      <c r="I1664" s="119"/>
    </row>
    <row r="1665">
      <c r="I1665" s="119"/>
    </row>
    <row r="1666">
      <c r="I1666" s="119"/>
    </row>
    <row r="1667">
      <c r="I1667" s="119"/>
    </row>
    <row r="1668">
      <c r="I1668" s="119"/>
    </row>
    <row r="1669">
      <c r="I1669" s="119"/>
    </row>
    <row r="1670">
      <c r="I1670" s="119"/>
    </row>
    <row r="1671">
      <c r="I1671" s="119"/>
    </row>
    <row r="1672">
      <c r="I1672" s="119"/>
    </row>
    <row r="1673">
      <c r="I1673" s="119"/>
    </row>
    <row r="1674">
      <c r="I1674" s="119"/>
    </row>
    <row r="1675">
      <c r="I1675" s="119"/>
    </row>
    <row r="1676">
      <c r="I1676" s="119"/>
    </row>
    <row r="1677">
      <c r="I1677" s="119"/>
    </row>
    <row r="1678">
      <c r="I1678" s="119"/>
    </row>
    <row r="1679">
      <c r="I1679" s="119"/>
    </row>
    <row r="1680">
      <c r="I1680" s="119"/>
    </row>
    <row r="1681">
      <c r="I1681" s="119"/>
    </row>
    <row r="1682">
      <c r="I1682" s="119"/>
    </row>
    <row r="1683">
      <c r="I1683" s="119"/>
    </row>
    <row r="1684">
      <c r="I1684" s="119"/>
    </row>
    <row r="1685">
      <c r="I1685" s="119"/>
    </row>
    <row r="1686">
      <c r="I1686" s="119"/>
    </row>
    <row r="1687">
      <c r="I1687" s="119"/>
    </row>
    <row r="1688">
      <c r="I1688" s="119"/>
    </row>
    <row r="1689">
      <c r="I1689" s="119"/>
    </row>
    <row r="1690">
      <c r="I1690" s="119"/>
    </row>
    <row r="1691">
      <c r="I1691" s="119"/>
    </row>
    <row r="1692">
      <c r="I1692" s="119"/>
    </row>
    <row r="1693">
      <c r="I1693" s="119"/>
    </row>
    <row r="1694">
      <c r="I1694" s="119"/>
    </row>
    <row r="1695">
      <c r="I1695" s="119"/>
    </row>
    <row r="1696">
      <c r="I1696" s="119"/>
    </row>
    <row r="1697">
      <c r="I1697" s="119"/>
    </row>
    <row r="1698">
      <c r="I1698" s="119"/>
    </row>
    <row r="1699">
      <c r="I1699" s="119"/>
    </row>
    <row r="1700">
      <c r="I1700" s="119"/>
    </row>
    <row r="1701">
      <c r="I1701" s="119"/>
    </row>
    <row r="1702">
      <c r="I1702" s="119"/>
    </row>
    <row r="1703">
      <c r="I1703" s="119"/>
    </row>
    <row r="1704">
      <c r="I1704" s="119"/>
    </row>
    <row r="1705">
      <c r="I1705" s="119"/>
    </row>
    <row r="1706">
      <c r="I1706" s="119"/>
    </row>
    <row r="1707">
      <c r="I1707" s="119"/>
    </row>
    <row r="1708">
      <c r="I1708" s="119"/>
    </row>
    <row r="1709">
      <c r="I1709" s="119"/>
    </row>
    <row r="1710">
      <c r="I1710" s="119"/>
    </row>
    <row r="1711">
      <c r="I1711" s="119"/>
    </row>
    <row r="1712">
      <c r="I1712" s="119"/>
    </row>
    <row r="1713">
      <c r="I1713" s="119"/>
    </row>
    <row r="1714">
      <c r="I1714" s="119"/>
    </row>
    <row r="1715">
      <c r="I1715" s="119"/>
    </row>
    <row r="1716">
      <c r="I1716" s="119"/>
    </row>
    <row r="1717">
      <c r="I1717" s="119"/>
    </row>
    <row r="1718">
      <c r="I1718" s="119"/>
    </row>
    <row r="1719">
      <c r="I1719" s="119"/>
    </row>
    <row r="1720">
      <c r="I1720" s="119"/>
    </row>
    <row r="1721">
      <c r="I1721" s="119"/>
    </row>
    <row r="1722">
      <c r="I1722" s="119"/>
    </row>
    <row r="1723">
      <c r="I1723" s="119"/>
    </row>
    <row r="1724">
      <c r="I1724" s="119"/>
    </row>
    <row r="1725">
      <c r="I1725" s="119"/>
    </row>
    <row r="1726">
      <c r="I1726" s="119"/>
    </row>
    <row r="1727">
      <c r="I1727" s="119"/>
    </row>
    <row r="1728">
      <c r="I1728" s="119"/>
    </row>
    <row r="1729">
      <c r="I1729" s="119"/>
    </row>
    <row r="1730">
      <c r="I1730" s="119"/>
    </row>
    <row r="1731">
      <c r="I1731" s="119"/>
    </row>
    <row r="1732">
      <c r="I1732" s="119"/>
    </row>
    <row r="1733">
      <c r="I1733" s="119"/>
    </row>
    <row r="1734">
      <c r="I1734" s="119"/>
    </row>
    <row r="1735">
      <c r="I1735" s="119"/>
    </row>
    <row r="1736">
      <c r="I1736" s="119"/>
    </row>
    <row r="1737">
      <c r="I1737" s="119"/>
    </row>
    <row r="1738">
      <c r="I1738" s="119"/>
    </row>
    <row r="1739">
      <c r="I1739" s="119"/>
    </row>
    <row r="1740">
      <c r="I1740" s="119"/>
    </row>
    <row r="1741">
      <c r="I1741" s="119"/>
    </row>
    <row r="1742">
      <c r="I1742" s="119"/>
    </row>
    <row r="1743">
      <c r="I1743" s="119"/>
    </row>
    <row r="1744">
      <c r="I1744" s="119"/>
    </row>
    <row r="1745">
      <c r="I1745" s="119"/>
    </row>
    <row r="1746">
      <c r="I1746" s="119"/>
    </row>
    <row r="1747">
      <c r="I1747" s="119"/>
    </row>
    <row r="1748">
      <c r="I1748" s="119"/>
    </row>
    <row r="1749">
      <c r="I1749" s="119"/>
    </row>
    <row r="1750">
      <c r="I1750" s="119"/>
    </row>
    <row r="1751">
      <c r="I1751" s="119"/>
    </row>
    <row r="1752">
      <c r="I1752" s="119"/>
    </row>
    <row r="1753">
      <c r="I1753" s="119"/>
    </row>
    <row r="1754">
      <c r="I1754" s="119"/>
    </row>
    <row r="1755">
      <c r="I1755" s="119"/>
    </row>
    <row r="1756">
      <c r="I1756" s="119"/>
    </row>
    <row r="1757">
      <c r="I1757" s="119"/>
    </row>
    <row r="1758">
      <c r="I1758" s="119"/>
    </row>
    <row r="1759">
      <c r="I1759" s="119"/>
    </row>
    <row r="1760">
      <c r="I1760" s="119"/>
    </row>
    <row r="1761">
      <c r="I1761" s="119"/>
    </row>
    <row r="1762">
      <c r="I1762" s="119"/>
    </row>
    <row r="1763">
      <c r="I1763" s="119"/>
    </row>
    <row r="1764">
      <c r="I1764" s="119"/>
    </row>
    <row r="1765">
      <c r="I1765" s="119"/>
    </row>
    <row r="1766">
      <c r="I1766" s="119"/>
    </row>
    <row r="1767">
      <c r="I1767" s="119"/>
    </row>
    <row r="1768">
      <c r="I1768" s="119"/>
    </row>
    <row r="1769">
      <c r="I1769" s="119"/>
    </row>
    <row r="1770">
      <c r="I1770" s="119"/>
    </row>
    <row r="1771">
      <c r="I1771" s="119"/>
    </row>
    <row r="1772">
      <c r="I1772" s="119"/>
    </row>
    <row r="1773">
      <c r="I1773" s="119"/>
    </row>
    <row r="1774">
      <c r="I1774" s="119"/>
    </row>
    <row r="1775">
      <c r="I1775" s="119"/>
    </row>
    <row r="1776">
      <c r="I1776" s="119"/>
    </row>
    <row r="1777">
      <c r="I1777" s="119"/>
    </row>
    <row r="1778">
      <c r="I1778" s="119"/>
    </row>
    <row r="1779">
      <c r="I1779" s="119"/>
    </row>
    <row r="1780">
      <c r="I1780" s="119"/>
    </row>
    <row r="1781">
      <c r="I1781" s="119"/>
    </row>
    <row r="1782">
      <c r="I1782" s="119"/>
    </row>
    <row r="1783">
      <c r="I1783" s="119"/>
    </row>
    <row r="1784">
      <c r="I1784" s="119"/>
    </row>
    <row r="1785">
      <c r="I1785" s="119"/>
    </row>
    <row r="1786">
      <c r="I1786" s="119"/>
    </row>
    <row r="1787">
      <c r="I1787" s="119"/>
    </row>
    <row r="1788">
      <c r="I1788" s="119"/>
    </row>
    <row r="1789">
      <c r="I1789" s="119"/>
    </row>
    <row r="1790">
      <c r="I1790" s="119"/>
    </row>
    <row r="1791">
      <c r="I1791" s="119"/>
    </row>
    <row r="1792">
      <c r="I1792" s="119"/>
    </row>
    <row r="1793">
      <c r="I1793" s="119"/>
    </row>
    <row r="1794">
      <c r="I1794" s="119"/>
    </row>
    <row r="1795">
      <c r="I1795" s="119"/>
    </row>
    <row r="1796">
      <c r="I1796" s="119"/>
    </row>
    <row r="1797">
      <c r="I1797" s="119"/>
    </row>
    <row r="1798">
      <c r="I1798" s="119"/>
    </row>
    <row r="1799">
      <c r="I1799" s="119"/>
    </row>
    <row r="1800">
      <c r="I1800" s="119"/>
    </row>
    <row r="1801">
      <c r="I1801" s="119"/>
    </row>
    <row r="1802">
      <c r="I1802" s="119"/>
    </row>
    <row r="1803">
      <c r="I1803" s="119"/>
    </row>
    <row r="1804">
      <c r="I1804" s="119"/>
    </row>
    <row r="1805">
      <c r="I1805" s="119"/>
    </row>
    <row r="1806">
      <c r="I1806" s="119"/>
    </row>
    <row r="1807">
      <c r="I1807" s="119"/>
    </row>
    <row r="1808">
      <c r="I1808" s="119"/>
    </row>
    <row r="1809">
      <c r="I1809" s="119"/>
    </row>
    <row r="1810">
      <c r="I1810" s="119"/>
    </row>
    <row r="1811">
      <c r="I1811" s="119"/>
    </row>
    <row r="1812">
      <c r="I1812" s="119"/>
    </row>
    <row r="1813">
      <c r="I1813" s="119"/>
    </row>
    <row r="1814">
      <c r="I1814" s="119"/>
    </row>
    <row r="1815">
      <c r="I1815" s="119"/>
    </row>
    <row r="1816">
      <c r="I1816" s="119"/>
    </row>
    <row r="1817">
      <c r="I1817" s="119"/>
    </row>
    <row r="1818">
      <c r="I1818" s="119"/>
    </row>
    <row r="1819">
      <c r="I1819" s="119"/>
    </row>
    <row r="1820">
      <c r="I1820" s="119"/>
    </row>
    <row r="1821">
      <c r="I1821" s="119"/>
    </row>
    <row r="1822">
      <c r="I1822" s="119"/>
    </row>
    <row r="1823">
      <c r="I1823" s="119"/>
    </row>
    <row r="1824">
      <c r="I1824" s="119"/>
    </row>
    <row r="1825">
      <c r="I1825" s="119"/>
    </row>
    <row r="1826">
      <c r="I1826" s="119"/>
    </row>
    <row r="1827">
      <c r="I1827" s="119"/>
    </row>
    <row r="1828">
      <c r="I1828" s="119"/>
    </row>
    <row r="1829">
      <c r="I1829" s="119"/>
    </row>
    <row r="1830">
      <c r="I1830" s="119"/>
    </row>
    <row r="1831">
      <c r="I1831" s="119"/>
    </row>
    <row r="1832">
      <c r="I1832" s="119"/>
    </row>
    <row r="1833">
      <c r="I1833" s="119"/>
    </row>
    <row r="1834">
      <c r="I1834" s="119"/>
    </row>
    <row r="1835">
      <c r="I1835" s="119"/>
    </row>
    <row r="1836">
      <c r="I1836" s="119"/>
    </row>
    <row r="1837">
      <c r="I1837" s="119"/>
    </row>
    <row r="1838">
      <c r="I1838" s="119"/>
    </row>
    <row r="1839">
      <c r="I1839" s="119"/>
    </row>
    <row r="1840">
      <c r="I1840" s="119"/>
    </row>
    <row r="1841">
      <c r="I1841" s="119"/>
    </row>
    <row r="1842">
      <c r="I1842" s="119"/>
    </row>
    <row r="1843">
      <c r="I1843" s="119"/>
    </row>
    <row r="1844">
      <c r="I1844" s="119"/>
    </row>
    <row r="1845">
      <c r="I1845" s="119"/>
    </row>
    <row r="1846">
      <c r="I1846" s="119"/>
    </row>
    <row r="1847">
      <c r="I1847" s="119"/>
    </row>
    <row r="1848">
      <c r="I1848" s="119"/>
    </row>
    <row r="1849">
      <c r="I1849" s="119"/>
    </row>
    <row r="1850">
      <c r="I1850" s="119"/>
    </row>
    <row r="1851">
      <c r="I1851" s="119"/>
    </row>
    <row r="1852">
      <c r="I1852" s="119"/>
    </row>
    <row r="1853">
      <c r="I1853" s="119"/>
    </row>
    <row r="1854">
      <c r="I1854" s="119"/>
    </row>
    <row r="1855">
      <c r="I1855" s="119"/>
    </row>
    <row r="1856">
      <c r="I1856" s="119"/>
    </row>
    <row r="1857">
      <c r="I1857" s="119"/>
    </row>
    <row r="1858">
      <c r="I1858" s="119"/>
    </row>
    <row r="1859">
      <c r="I1859" s="119"/>
    </row>
    <row r="1860">
      <c r="I1860" s="119"/>
    </row>
    <row r="1861">
      <c r="I1861" s="119"/>
    </row>
    <row r="1862">
      <c r="I1862" s="119"/>
    </row>
    <row r="1863">
      <c r="I1863" s="119"/>
    </row>
    <row r="1864">
      <c r="I1864" s="119"/>
    </row>
    <row r="1865">
      <c r="I1865" s="119"/>
    </row>
    <row r="1866">
      <c r="I1866" s="119"/>
    </row>
    <row r="1867">
      <c r="I1867" s="119"/>
    </row>
    <row r="1868">
      <c r="I1868" s="119"/>
    </row>
    <row r="1869">
      <c r="I1869" s="119"/>
    </row>
    <row r="1870">
      <c r="I1870" s="119"/>
    </row>
    <row r="1871">
      <c r="I1871" s="119"/>
    </row>
    <row r="1872">
      <c r="I1872" s="119"/>
    </row>
    <row r="1873">
      <c r="I1873" s="119"/>
    </row>
    <row r="1874">
      <c r="I1874" s="119"/>
    </row>
    <row r="1875">
      <c r="I1875" s="119"/>
    </row>
    <row r="1876">
      <c r="I1876" s="119"/>
    </row>
    <row r="1877">
      <c r="I1877" s="119"/>
    </row>
    <row r="1878">
      <c r="I1878" s="119"/>
    </row>
    <row r="1879">
      <c r="I1879" s="119"/>
    </row>
    <row r="1880">
      <c r="I1880" s="119"/>
    </row>
    <row r="1881">
      <c r="I1881" s="119"/>
    </row>
    <row r="1882">
      <c r="I1882" s="119"/>
    </row>
    <row r="1883">
      <c r="I1883" s="119"/>
    </row>
    <row r="1884">
      <c r="I1884" s="119"/>
    </row>
    <row r="1885">
      <c r="I1885" s="119"/>
    </row>
    <row r="1886">
      <c r="I1886" s="119"/>
    </row>
    <row r="1887">
      <c r="I1887" s="119"/>
    </row>
    <row r="1888">
      <c r="I1888" s="119"/>
    </row>
    <row r="1889">
      <c r="I1889" s="119"/>
    </row>
    <row r="1890">
      <c r="I1890" s="119"/>
    </row>
    <row r="1891">
      <c r="I1891" s="119"/>
    </row>
    <row r="1892">
      <c r="I1892" s="119"/>
    </row>
    <row r="1893">
      <c r="I1893" s="119"/>
    </row>
    <row r="1894">
      <c r="I1894" s="119"/>
    </row>
    <row r="1895">
      <c r="I1895" s="119"/>
    </row>
    <row r="1896">
      <c r="I1896" s="119"/>
    </row>
    <row r="1897">
      <c r="I1897" s="119"/>
    </row>
    <row r="1898">
      <c r="I1898" s="119"/>
    </row>
    <row r="1899">
      <c r="I1899" s="119"/>
    </row>
    <row r="1900">
      <c r="I1900" s="119"/>
    </row>
    <row r="1901">
      <c r="I1901" s="119"/>
    </row>
    <row r="1902">
      <c r="I1902" s="119"/>
    </row>
    <row r="1903">
      <c r="I1903" s="119"/>
    </row>
    <row r="1904">
      <c r="I1904" s="119"/>
    </row>
    <row r="1905">
      <c r="I1905" s="119"/>
    </row>
    <row r="1906">
      <c r="I1906" s="119"/>
    </row>
    <row r="1907">
      <c r="I1907" s="119"/>
    </row>
    <row r="1908">
      <c r="I1908" s="119"/>
    </row>
    <row r="1909">
      <c r="I1909" s="119"/>
    </row>
    <row r="1910">
      <c r="I1910" s="119"/>
    </row>
    <row r="1911">
      <c r="I1911" s="119"/>
    </row>
    <row r="1912">
      <c r="I1912" s="119"/>
    </row>
    <row r="1913">
      <c r="I1913" s="119"/>
    </row>
    <row r="1914">
      <c r="I1914" s="119"/>
    </row>
    <row r="1915">
      <c r="I1915" s="119"/>
    </row>
    <row r="1916">
      <c r="I1916" s="119"/>
    </row>
    <row r="1917">
      <c r="I1917" s="119"/>
    </row>
    <row r="1918">
      <c r="I1918" s="119"/>
    </row>
    <row r="1919">
      <c r="I1919" s="119"/>
    </row>
    <row r="1920">
      <c r="I1920" s="119"/>
    </row>
    <row r="1921">
      <c r="I1921" s="119"/>
    </row>
    <row r="1922">
      <c r="I1922" s="119"/>
    </row>
    <row r="1923">
      <c r="I1923" s="119"/>
    </row>
    <row r="1924">
      <c r="I1924" s="119"/>
    </row>
    <row r="1925">
      <c r="I1925" s="119"/>
    </row>
    <row r="1926">
      <c r="I1926" s="119"/>
    </row>
    <row r="1927">
      <c r="I1927" s="119"/>
    </row>
    <row r="1928">
      <c r="I1928" s="119"/>
    </row>
    <row r="1929">
      <c r="I1929" s="119"/>
    </row>
    <row r="1930">
      <c r="I1930" s="119"/>
    </row>
    <row r="1931">
      <c r="I1931" s="119"/>
    </row>
    <row r="1932">
      <c r="I1932" s="119"/>
    </row>
    <row r="1933">
      <c r="I1933" s="119"/>
    </row>
    <row r="1934">
      <c r="I1934" s="119"/>
    </row>
    <row r="1935">
      <c r="I1935" s="119"/>
    </row>
    <row r="1936">
      <c r="I1936" s="119"/>
    </row>
    <row r="1937">
      <c r="I1937" s="119"/>
    </row>
    <row r="1938">
      <c r="I1938" s="119"/>
    </row>
    <row r="1939">
      <c r="I1939" s="119"/>
    </row>
    <row r="1940">
      <c r="I1940" s="119"/>
    </row>
    <row r="1941">
      <c r="I1941" s="119"/>
    </row>
    <row r="1942">
      <c r="I1942" s="119"/>
    </row>
    <row r="1943">
      <c r="I1943" s="119"/>
    </row>
    <row r="1944">
      <c r="I1944" s="119"/>
    </row>
    <row r="1945">
      <c r="I1945" s="119"/>
    </row>
    <row r="1946">
      <c r="I1946" s="119"/>
    </row>
    <row r="1947">
      <c r="I1947" s="119"/>
    </row>
    <row r="1948">
      <c r="I1948" s="119"/>
    </row>
    <row r="1949">
      <c r="I1949" s="119"/>
    </row>
    <row r="1950">
      <c r="I1950" s="119"/>
    </row>
    <row r="1951">
      <c r="I1951" s="119"/>
    </row>
    <row r="1952">
      <c r="I1952" s="119"/>
    </row>
    <row r="1953">
      <c r="I1953" s="119"/>
    </row>
    <row r="1954">
      <c r="I1954" s="119"/>
    </row>
    <row r="1955">
      <c r="I1955" s="119"/>
    </row>
    <row r="1956">
      <c r="I1956" s="119"/>
    </row>
    <row r="1957">
      <c r="I1957" s="119"/>
    </row>
    <row r="1958">
      <c r="I1958" s="119"/>
    </row>
    <row r="1959">
      <c r="I1959" s="119"/>
    </row>
    <row r="1960">
      <c r="I1960" s="119"/>
    </row>
    <row r="1961">
      <c r="I1961" s="119"/>
    </row>
    <row r="1962">
      <c r="I1962" s="119"/>
    </row>
    <row r="1963">
      <c r="I1963" s="119"/>
    </row>
    <row r="1964">
      <c r="I1964" s="119"/>
    </row>
    <row r="1965">
      <c r="I1965" s="119"/>
    </row>
    <row r="1966">
      <c r="I1966" s="119"/>
    </row>
    <row r="1967">
      <c r="I1967" s="119"/>
    </row>
    <row r="1968">
      <c r="I1968" s="119"/>
    </row>
    <row r="1969">
      <c r="I1969" s="119"/>
    </row>
    <row r="1970">
      <c r="I1970" s="119"/>
    </row>
    <row r="1971">
      <c r="I1971" s="119"/>
    </row>
    <row r="1972">
      <c r="I1972" s="119"/>
    </row>
    <row r="1973">
      <c r="I1973" s="119"/>
    </row>
    <row r="1974">
      <c r="I1974" s="119"/>
    </row>
    <row r="1975">
      <c r="I1975" s="119"/>
    </row>
    <row r="1976">
      <c r="I1976" s="119"/>
    </row>
    <row r="1977">
      <c r="I1977" s="119"/>
    </row>
    <row r="1978">
      <c r="I1978" s="119"/>
    </row>
    <row r="1979">
      <c r="I1979" s="119"/>
    </row>
    <row r="1980">
      <c r="I1980" s="119"/>
    </row>
    <row r="1981">
      <c r="I1981" s="119"/>
    </row>
    <row r="1982">
      <c r="I1982" s="119"/>
    </row>
    <row r="1983">
      <c r="I1983" s="119"/>
    </row>
    <row r="1984">
      <c r="I1984" s="119"/>
    </row>
    <row r="1985">
      <c r="I1985" s="119"/>
    </row>
    <row r="1986">
      <c r="I1986" s="119"/>
    </row>
    <row r="1987">
      <c r="I1987" s="119"/>
    </row>
    <row r="1988">
      <c r="I1988" s="119"/>
    </row>
    <row r="1989">
      <c r="I1989" s="119"/>
    </row>
    <row r="1990">
      <c r="I1990" s="119"/>
    </row>
    <row r="1991">
      <c r="I1991" s="119"/>
    </row>
    <row r="1992">
      <c r="I1992" s="119"/>
    </row>
    <row r="1993">
      <c r="I1993" s="119"/>
    </row>
    <row r="1994">
      <c r="I1994" s="119"/>
    </row>
    <row r="1995">
      <c r="I1995" s="119"/>
    </row>
    <row r="1996">
      <c r="I1996" s="119"/>
    </row>
    <row r="1997">
      <c r="I1997" s="119"/>
    </row>
    <row r="1998">
      <c r="I1998" s="119"/>
    </row>
    <row r="1999">
      <c r="I1999" s="119"/>
    </row>
    <row r="2000">
      <c r="I2000" s="119"/>
    </row>
    <row r="2001">
      <c r="I2001" s="119"/>
    </row>
    <row r="2002">
      <c r="I2002" s="119"/>
    </row>
    <row r="2003">
      <c r="I2003" s="119"/>
    </row>
    <row r="2004">
      <c r="I2004" s="119"/>
    </row>
    <row r="2005">
      <c r="I2005" s="119"/>
    </row>
    <row r="2006">
      <c r="I2006" s="119"/>
    </row>
    <row r="2007">
      <c r="I2007" s="119"/>
    </row>
    <row r="2008">
      <c r="I2008" s="119"/>
    </row>
    <row r="2009">
      <c r="I2009" s="119"/>
    </row>
    <row r="2010">
      <c r="I2010" s="119"/>
    </row>
    <row r="2011">
      <c r="I2011" s="119"/>
    </row>
    <row r="2012">
      <c r="I2012" s="119"/>
    </row>
    <row r="2013">
      <c r="I2013" s="119"/>
    </row>
    <row r="2014">
      <c r="I2014" s="119"/>
    </row>
    <row r="2015">
      <c r="I2015" s="119"/>
    </row>
    <row r="2016">
      <c r="I2016" s="119"/>
    </row>
    <row r="2017">
      <c r="I2017" s="119"/>
    </row>
    <row r="2018">
      <c r="I2018" s="119"/>
    </row>
    <row r="2019">
      <c r="I2019" s="119"/>
    </row>
    <row r="2020">
      <c r="I2020" s="119"/>
    </row>
    <row r="2021">
      <c r="I2021" s="119"/>
    </row>
    <row r="2022">
      <c r="I2022" s="119"/>
    </row>
    <row r="2023">
      <c r="I2023" s="119"/>
    </row>
    <row r="2024">
      <c r="I2024" s="119"/>
    </row>
    <row r="2025">
      <c r="I2025" s="119"/>
    </row>
    <row r="2026">
      <c r="I2026" s="119"/>
    </row>
    <row r="2027">
      <c r="I2027" s="119"/>
    </row>
    <row r="2028">
      <c r="I2028" s="119"/>
    </row>
    <row r="2029">
      <c r="I2029" s="119"/>
    </row>
    <row r="2030">
      <c r="I2030" s="119"/>
    </row>
    <row r="2031">
      <c r="I2031" s="119"/>
    </row>
    <row r="2032">
      <c r="I2032" s="119"/>
    </row>
    <row r="2033">
      <c r="I2033" s="119"/>
    </row>
    <row r="2034">
      <c r="I2034" s="119"/>
    </row>
    <row r="2035">
      <c r="I2035" s="119"/>
    </row>
    <row r="2036">
      <c r="I2036" s="119"/>
    </row>
    <row r="2037">
      <c r="I2037" s="119"/>
    </row>
    <row r="2038">
      <c r="I2038" s="119"/>
    </row>
    <row r="2039">
      <c r="I2039" s="119"/>
    </row>
    <row r="2040">
      <c r="I2040" s="119"/>
    </row>
    <row r="2041">
      <c r="I2041" s="119"/>
    </row>
    <row r="2042">
      <c r="I2042" s="119"/>
    </row>
    <row r="2043">
      <c r="I2043" s="119"/>
    </row>
    <row r="2044">
      <c r="I2044" s="119"/>
    </row>
    <row r="2045">
      <c r="I2045" s="119"/>
    </row>
    <row r="2046">
      <c r="I2046" s="119"/>
    </row>
    <row r="2047">
      <c r="I2047" s="119"/>
    </row>
    <row r="2048">
      <c r="I2048" s="119"/>
    </row>
    <row r="2049">
      <c r="I2049" s="119"/>
    </row>
    <row r="2050">
      <c r="I2050" s="119"/>
    </row>
    <row r="2051">
      <c r="I2051" s="119"/>
    </row>
    <row r="2052">
      <c r="I2052" s="119"/>
    </row>
    <row r="2053">
      <c r="I2053" s="119"/>
    </row>
    <row r="2054">
      <c r="I2054" s="119"/>
    </row>
    <row r="2055">
      <c r="I2055" s="119"/>
    </row>
    <row r="2056">
      <c r="I2056" s="119"/>
    </row>
    <row r="2057">
      <c r="I2057" s="119"/>
    </row>
    <row r="2058">
      <c r="I2058" s="119"/>
    </row>
    <row r="2059">
      <c r="I2059" s="119"/>
    </row>
    <row r="2060">
      <c r="I2060" s="119"/>
    </row>
    <row r="2061">
      <c r="I2061" s="119"/>
    </row>
    <row r="2062">
      <c r="I2062" s="119"/>
    </row>
    <row r="2063">
      <c r="I2063" s="119"/>
    </row>
    <row r="2064">
      <c r="I2064" s="119"/>
    </row>
    <row r="2065">
      <c r="I2065" s="119"/>
    </row>
    <row r="2066">
      <c r="I2066" s="119"/>
    </row>
    <row r="2067">
      <c r="I2067" s="119"/>
    </row>
    <row r="2068">
      <c r="I2068" s="119"/>
    </row>
    <row r="2069">
      <c r="I2069" s="119"/>
    </row>
    <row r="2070">
      <c r="I2070" s="119"/>
    </row>
    <row r="2071">
      <c r="I2071" s="119"/>
    </row>
    <row r="2072">
      <c r="I2072" s="119"/>
    </row>
    <row r="2073">
      <c r="I2073" s="119"/>
    </row>
    <row r="2074">
      <c r="I2074" s="119"/>
    </row>
    <row r="2075">
      <c r="I2075" s="119"/>
    </row>
    <row r="2076">
      <c r="I2076" s="119"/>
    </row>
    <row r="2077">
      <c r="I2077" s="119"/>
    </row>
    <row r="2078">
      <c r="I2078" s="119"/>
    </row>
    <row r="2079">
      <c r="I2079" s="119"/>
    </row>
    <row r="2080">
      <c r="I2080" s="119"/>
    </row>
    <row r="2081">
      <c r="I2081" s="119"/>
    </row>
    <row r="2082">
      <c r="I2082" s="119"/>
    </row>
    <row r="2083">
      <c r="I2083" s="119"/>
    </row>
    <row r="2084">
      <c r="I2084" s="119"/>
    </row>
    <row r="2085">
      <c r="I2085" s="119"/>
    </row>
    <row r="2086">
      <c r="I2086" s="119"/>
    </row>
    <row r="2087">
      <c r="I2087" s="119"/>
    </row>
    <row r="2088">
      <c r="I2088" s="119"/>
    </row>
    <row r="2089">
      <c r="I2089" s="119"/>
    </row>
    <row r="2090">
      <c r="I2090" s="119"/>
    </row>
    <row r="2091">
      <c r="I2091" s="119"/>
    </row>
    <row r="2092">
      <c r="I2092" s="119"/>
    </row>
    <row r="2093">
      <c r="I2093" s="119"/>
    </row>
    <row r="2094">
      <c r="I2094" s="119"/>
    </row>
    <row r="2095">
      <c r="I2095" s="119"/>
    </row>
    <row r="2096">
      <c r="I2096" s="119"/>
    </row>
    <row r="2097">
      <c r="I2097" s="119"/>
    </row>
    <row r="2098">
      <c r="I2098" s="119"/>
    </row>
    <row r="2099">
      <c r="I2099" s="119"/>
    </row>
    <row r="2100">
      <c r="I2100" s="119"/>
    </row>
    <row r="2101">
      <c r="I2101" s="119"/>
    </row>
    <row r="2102">
      <c r="I2102" s="119"/>
    </row>
    <row r="2103">
      <c r="I2103" s="119"/>
    </row>
    <row r="2104">
      <c r="I2104" s="119"/>
    </row>
    <row r="2105">
      <c r="I2105" s="119"/>
    </row>
    <row r="2106">
      <c r="I2106" s="119"/>
    </row>
    <row r="2107">
      <c r="I2107" s="119"/>
    </row>
    <row r="2108">
      <c r="I2108" s="119"/>
    </row>
    <row r="2109">
      <c r="I2109" s="119"/>
    </row>
    <row r="2110">
      <c r="I2110" s="119"/>
    </row>
    <row r="2111">
      <c r="I2111" s="119"/>
    </row>
    <row r="2112">
      <c r="I2112" s="119"/>
    </row>
    <row r="2113">
      <c r="I2113" s="119"/>
    </row>
    <row r="2114">
      <c r="I2114" s="119"/>
    </row>
    <row r="2115">
      <c r="I2115" s="119"/>
    </row>
    <row r="2116">
      <c r="I2116" s="119"/>
    </row>
    <row r="2117">
      <c r="I2117" s="119"/>
    </row>
    <row r="2118">
      <c r="I2118" s="119"/>
    </row>
    <row r="2119">
      <c r="I2119" s="119"/>
    </row>
    <row r="2120">
      <c r="I2120" s="119"/>
    </row>
    <row r="2121">
      <c r="I2121" s="119"/>
    </row>
    <row r="2122">
      <c r="I2122" s="119"/>
    </row>
    <row r="2123">
      <c r="I2123" s="119"/>
    </row>
    <row r="2124">
      <c r="I2124" s="119"/>
    </row>
    <row r="2125">
      <c r="I2125" s="119"/>
    </row>
    <row r="2126">
      <c r="I2126" s="119"/>
    </row>
    <row r="2127">
      <c r="I2127" s="119"/>
    </row>
    <row r="2128">
      <c r="I2128" s="119"/>
    </row>
    <row r="2129">
      <c r="I2129" s="119"/>
    </row>
    <row r="2130">
      <c r="I2130" s="119"/>
    </row>
    <row r="2131">
      <c r="I2131" s="119"/>
    </row>
    <row r="2132">
      <c r="I2132" s="119"/>
    </row>
    <row r="2133">
      <c r="I2133" s="119"/>
    </row>
    <row r="2134">
      <c r="I2134" s="119"/>
    </row>
    <row r="2135">
      <c r="I2135" s="119"/>
    </row>
    <row r="2136">
      <c r="I2136" s="119"/>
    </row>
    <row r="2137">
      <c r="I2137" s="119"/>
    </row>
    <row r="2138">
      <c r="I2138" s="119"/>
    </row>
    <row r="2139">
      <c r="I2139" s="119"/>
    </row>
    <row r="2140">
      <c r="I2140" s="119"/>
    </row>
    <row r="2141">
      <c r="I2141" s="119"/>
    </row>
    <row r="2142">
      <c r="I2142" s="119"/>
    </row>
    <row r="2143">
      <c r="I2143" s="119"/>
    </row>
    <row r="2144">
      <c r="I2144" s="119"/>
    </row>
    <row r="2145">
      <c r="I2145" s="119"/>
    </row>
    <row r="2146">
      <c r="I2146" s="119"/>
    </row>
    <row r="2147">
      <c r="I2147" s="119"/>
    </row>
    <row r="2148">
      <c r="I2148" s="119"/>
    </row>
    <row r="2149">
      <c r="I2149" s="119"/>
    </row>
    <row r="2150">
      <c r="I2150" s="119"/>
    </row>
    <row r="2151">
      <c r="I2151" s="119"/>
    </row>
    <row r="2152">
      <c r="I2152" s="119"/>
    </row>
    <row r="2153">
      <c r="I2153" s="119"/>
    </row>
    <row r="2154">
      <c r="I2154" s="119"/>
    </row>
    <row r="2155">
      <c r="I2155" s="119"/>
    </row>
    <row r="2156">
      <c r="I2156" s="119"/>
    </row>
    <row r="2157">
      <c r="I2157" s="119"/>
    </row>
    <row r="2158">
      <c r="I2158" s="119"/>
    </row>
    <row r="2159">
      <c r="I2159" s="119"/>
    </row>
    <row r="2160">
      <c r="I2160" s="119"/>
    </row>
    <row r="2161">
      <c r="I2161" s="119"/>
    </row>
    <row r="2162">
      <c r="I2162" s="119"/>
    </row>
    <row r="2163">
      <c r="I2163" s="119"/>
    </row>
    <row r="2164">
      <c r="I2164" s="119"/>
    </row>
    <row r="2165">
      <c r="I2165" s="119"/>
    </row>
    <row r="2166">
      <c r="I2166" s="119"/>
    </row>
    <row r="2167">
      <c r="I2167" s="119"/>
    </row>
    <row r="2168">
      <c r="I2168" s="119"/>
    </row>
    <row r="2169">
      <c r="I2169" s="119"/>
    </row>
    <row r="2170">
      <c r="I2170" s="119"/>
    </row>
    <row r="2171">
      <c r="I2171" s="119"/>
    </row>
    <row r="2172">
      <c r="I2172" s="119"/>
    </row>
    <row r="2173">
      <c r="I2173" s="119"/>
    </row>
    <row r="2174">
      <c r="I2174" s="119"/>
    </row>
    <row r="2175">
      <c r="I2175" s="119"/>
    </row>
    <row r="2176">
      <c r="I2176" s="119"/>
    </row>
    <row r="2177">
      <c r="I2177" s="119"/>
    </row>
    <row r="2178">
      <c r="I2178" s="119"/>
    </row>
    <row r="2179">
      <c r="I2179" s="119"/>
    </row>
    <row r="2180">
      <c r="I2180" s="119"/>
    </row>
    <row r="2181">
      <c r="I2181" s="119"/>
    </row>
    <row r="2182">
      <c r="I2182" s="119"/>
    </row>
    <row r="2183">
      <c r="I2183" s="119"/>
    </row>
    <row r="2184">
      <c r="I2184" s="119"/>
    </row>
    <row r="2185">
      <c r="I2185" s="119"/>
    </row>
    <row r="2186">
      <c r="I2186" s="119"/>
    </row>
    <row r="2187">
      <c r="I2187" s="119"/>
    </row>
    <row r="2188">
      <c r="I2188" s="119"/>
    </row>
    <row r="2189">
      <c r="I2189" s="119"/>
    </row>
    <row r="2190">
      <c r="I2190" s="119"/>
    </row>
    <row r="2191">
      <c r="I2191" s="119"/>
    </row>
    <row r="2192">
      <c r="I2192" s="119"/>
    </row>
    <row r="2193">
      <c r="I2193" s="119"/>
    </row>
    <row r="2194">
      <c r="I2194" s="119"/>
    </row>
    <row r="2195">
      <c r="I2195" s="119"/>
    </row>
    <row r="2196">
      <c r="I2196" s="119"/>
    </row>
    <row r="2197">
      <c r="I2197" s="119"/>
    </row>
    <row r="2198">
      <c r="I2198" s="119"/>
    </row>
    <row r="2199">
      <c r="I2199" s="119"/>
    </row>
    <row r="2200">
      <c r="I2200" s="119"/>
    </row>
    <row r="2201">
      <c r="I2201" s="119"/>
    </row>
    <row r="2202">
      <c r="I2202" s="119"/>
    </row>
    <row r="2203">
      <c r="I2203" s="119"/>
    </row>
    <row r="2204">
      <c r="I2204" s="119"/>
    </row>
    <row r="2205">
      <c r="I2205" s="119"/>
    </row>
    <row r="2206">
      <c r="I2206" s="119"/>
    </row>
    <row r="2207">
      <c r="I2207" s="119"/>
    </row>
    <row r="2208">
      <c r="I2208" s="119"/>
    </row>
    <row r="2209">
      <c r="I2209" s="119"/>
    </row>
    <row r="2210">
      <c r="I2210" s="119"/>
    </row>
    <row r="2211">
      <c r="I2211" s="119"/>
    </row>
    <row r="2212">
      <c r="I2212" s="119"/>
    </row>
    <row r="2213">
      <c r="I2213" s="119"/>
    </row>
    <row r="2214">
      <c r="I2214" s="119"/>
    </row>
    <row r="2215">
      <c r="I2215" s="119"/>
    </row>
    <row r="2216">
      <c r="I2216" s="119"/>
    </row>
    <row r="2217">
      <c r="I2217" s="119"/>
    </row>
    <row r="2218">
      <c r="I2218" s="119"/>
    </row>
    <row r="2219">
      <c r="I2219" s="119"/>
    </row>
    <row r="2220">
      <c r="I2220" s="119"/>
    </row>
    <row r="2221">
      <c r="I2221" s="119"/>
    </row>
    <row r="2222">
      <c r="I2222" s="119"/>
    </row>
    <row r="2223">
      <c r="I2223" s="119"/>
    </row>
    <row r="2224">
      <c r="I2224" s="119"/>
    </row>
    <row r="2225">
      <c r="I2225" s="119"/>
    </row>
    <row r="2226">
      <c r="I2226" s="119"/>
    </row>
    <row r="2227">
      <c r="I2227" s="119"/>
    </row>
    <row r="2228">
      <c r="I2228" s="119"/>
    </row>
    <row r="2229">
      <c r="I2229" s="119"/>
    </row>
    <row r="2230">
      <c r="I2230" s="119"/>
    </row>
    <row r="2231">
      <c r="I2231" s="119"/>
    </row>
    <row r="2232">
      <c r="I2232" s="119"/>
    </row>
    <row r="2233">
      <c r="I2233" s="119"/>
    </row>
    <row r="2234">
      <c r="I2234" s="119"/>
    </row>
    <row r="2235">
      <c r="I2235" s="119"/>
    </row>
    <row r="2236">
      <c r="I2236" s="119"/>
    </row>
    <row r="2237">
      <c r="I2237" s="119"/>
    </row>
    <row r="2238">
      <c r="I2238" s="119"/>
    </row>
    <row r="2239">
      <c r="I2239" s="119"/>
    </row>
    <row r="2240">
      <c r="I2240" s="119"/>
    </row>
    <row r="2241">
      <c r="I2241" s="119"/>
    </row>
    <row r="2242">
      <c r="I2242" s="119"/>
    </row>
    <row r="2243">
      <c r="I2243" s="119"/>
    </row>
    <row r="2244">
      <c r="I2244" s="119"/>
    </row>
    <row r="2245">
      <c r="I2245" s="119"/>
    </row>
    <row r="2246">
      <c r="I2246" s="119"/>
    </row>
    <row r="2247">
      <c r="I2247" s="119"/>
    </row>
    <row r="2248">
      <c r="I2248" s="119"/>
    </row>
    <row r="2249">
      <c r="I2249" s="119"/>
    </row>
    <row r="2250">
      <c r="I2250" s="119"/>
    </row>
    <row r="2251">
      <c r="I2251" s="119"/>
    </row>
    <row r="2252">
      <c r="I2252" s="119"/>
    </row>
    <row r="2253">
      <c r="I2253" s="119"/>
    </row>
    <row r="2254">
      <c r="I2254" s="119"/>
    </row>
    <row r="2255">
      <c r="I2255" s="119"/>
    </row>
    <row r="2256">
      <c r="I2256" s="119"/>
    </row>
    <row r="2257">
      <c r="I2257" s="119"/>
    </row>
    <row r="2258">
      <c r="I2258" s="119"/>
    </row>
    <row r="2259">
      <c r="I2259" s="119"/>
    </row>
    <row r="2260">
      <c r="I2260" s="119"/>
    </row>
    <row r="2261">
      <c r="I2261" s="119"/>
    </row>
    <row r="2262">
      <c r="I2262" s="119"/>
    </row>
    <row r="2263">
      <c r="I2263" s="119"/>
    </row>
    <row r="2264">
      <c r="I2264" s="119"/>
    </row>
    <row r="2265">
      <c r="I2265" s="119"/>
    </row>
    <row r="2266">
      <c r="I2266" s="119"/>
    </row>
    <row r="2267">
      <c r="I2267" s="119"/>
    </row>
    <row r="2268">
      <c r="I2268" s="119"/>
    </row>
    <row r="2269">
      <c r="I2269" s="119"/>
    </row>
    <row r="2270">
      <c r="I2270" s="119"/>
    </row>
    <row r="2271">
      <c r="I2271" s="119"/>
    </row>
    <row r="2272">
      <c r="I2272" s="119"/>
    </row>
    <row r="2273">
      <c r="I2273" s="119"/>
    </row>
    <row r="2274">
      <c r="I2274" s="119"/>
    </row>
    <row r="2275">
      <c r="I2275" s="119"/>
    </row>
    <row r="2276">
      <c r="I2276" s="119"/>
    </row>
    <row r="2277">
      <c r="I2277" s="119"/>
    </row>
    <row r="2278">
      <c r="I2278" s="119"/>
    </row>
    <row r="2279">
      <c r="I2279" s="119"/>
    </row>
    <row r="2280">
      <c r="I2280" s="119"/>
    </row>
    <row r="2281">
      <c r="I2281" s="119"/>
    </row>
    <row r="2282">
      <c r="I2282" s="119"/>
    </row>
    <row r="2283">
      <c r="I2283" s="119"/>
    </row>
    <row r="2284">
      <c r="I2284" s="119"/>
    </row>
    <row r="2285">
      <c r="I2285" s="119"/>
    </row>
    <row r="2286">
      <c r="I2286" s="119"/>
    </row>
    <row r="2287">
      <c r="I2287" s="119"/>
    </row>
    <row r="2288">
      <c r="I2288" s="119"/>
    </row>
    <row r="2289">
      <c r="I2289" s="119"/>
    </row>
    <row r="2290">
      <c r="I2290" s="119"/>
    </row>
    <row r="2291">
      <c r="I2291" s="119"/>
    </row>
    <row r="2292">
      <c r="I2292" s="119"/>
    </row>
    <row r="2293">
      <c r="I2293" s="119"/>
    </row>
    <row r="2294">
      <c r="I2294" s="119"/>
    </row>
    <row r="2295">
      <c r="I2295" s="119"/>
    </row>
    <row r="2296">
      <c r="I2296" s="119"/>
    </row>
    <row r="2297">
      <c r="I2297" s="119"/>
    </row>
    <row r="2298">
      <c r="I2298" s="119"/>
    </row>
    <row r="2299">
      <c r="I2299" s="119"/>
    </row>
    <row r="2300">
      <c r="I2300" s="119"/>
    </row>
    <row r="2301">
      <c r="I2301" s="119"/>
    </row>
    <row r="2302">
      <c r="I2302" s="119"/>
    </row>
    <row r="2303">
      <c r="I2303" s="119"/>
    </row>
    <row r="2304">
      <c r="I2304" s="119"/>
    </row>
    <row r="2305">
      <c r="I2305" s="119"/>
    </row>
    <row r="2306">
      <c r="I2306" s="119"/>
    </row>
    <row r="2307">
      <c r="I2307" s="119"/>
    </row>
    <row r="2308">
      <c r="I2308" s="119"/>
    </row>
    <row r="2309">
      <c r="I2309" s="119"/>
    </row>
    <row r="2310">
      <c r="I2310" s="119"/>
    </row>
    <row r="2311">
      <c r="I2311" s="119"/>
    </row>
    <row r="2312">
      <c r="I2312" s="119"/>
    </row>
    <row r="2313">
      <c r="I2313" s="119"/>
    </row>
    <row r="2314">
      <c r="I2314" s="119"/>
    </row>
    <row r="2315">
      <c r="I2315" s="119"/>
    </row>
    <row r="2316">
      <c r="I2316" s="119"/>
    </row>
    <row r="2317">
      <c r="I2317" s="119"/>
    </row>
    <row r="2318">
      <c r="I2318" s="119"/>
    </row>
    <row r="2319">
      <c r="I2319" s="119"/>
    </row>
    <row r="2320">
      <c r="I2320" s="119"/>
    </row>
    <row r="2321">
      <c r="I2321" s="119"/>
    </row>
    <row r="2322">
      <c r="I2322" s="119"/>
    </row>
    <row r="2323">
      <c r="I2323" s="119"/>
    </row>
    <row r="2324">
      <c r="I2324" s="119"/>
    </row>
    <row r="2325">
      <c r="I2325" s="119"/>
    </row>
    <row r="2326">
      <c r="I2326" s="119"/>
    </row>
    <row r="2327">
      <c r="I2327" s="119"/>
    </row>
    <row r="2328">
      <c r="I2328" s="119"/>
    </row>
    <row r="2329">
      <c r="I2329" s="119"/>
    </row>
    <row r="2330">
      <c r="I2330" s="119"/>
    </row>
    <row r="2331">
      <c r="I2331" s="119"/>
    </row>
    <row r="2332">
      <c r="I2332" s="119"/>
    </row>
    <row r="2333">
      <c r="I2333" s="119"/>
    </row>
    <row r="2334">
      <c r="I2334" s="119"/>
    </row>
    <row r="2335">
      <c r="I2335" s="119"/>
    </row>
    <row r="2336">
      <c r="I2336" s="119"/>
    </row>
    <row r="2337">
      <c r="I2337" s="119"/>
    </row>
    <row r="2338">
      <c r="I2338" s="119"/>
    </row>
    <row r="2339">
      <c r="I2339" s="119"/>
    </row>
    <row r="2340">
      <c r="I2340" s="119"/>
    </row>
    <row r="2341">
      <c r="I2341" s="119"/>
    </row>
    <row r="2342">
      <c r="I2342" s="119"/>
    </row>
    <row r="2343">
      <c r="I2343" s="119"/>
    </row>
    <row r="2344">
      <c r="I2344" s="119"/>
    </row>
    <row r="2345">
      <c r="I2345" s="119"/>
    </row>
    <row r="2346">
      <c r="I2346" s="119"/>
    </row>
    <row r="2347">
      <c r="I2347" s="119"/>
    </row>
    <row r="2348">
      <c r="I2348" s="119"/>
    </row>
    <row r="2349">
      <c r="I2349" s="119"/>
    </row>
    <row r="2350">
      <c r="I2350" s="119"/>
    </row>
    <row r="2351">
      <c r="I2351" s="119"/>
    </row>
    <row r="2352">
      <c r="I2352" s="119"/>
    </row>
    <row r="2353">
      <c r="I2353" s="119"/>
    </row>
    <row r="2354">
      <c r="I2354" s="119"/>
    </row>
    <row r="2355">
      <c r="I2355" s="119"/>
    </row>
    <row r="2356">
      <c r="I2356" s="119"/>
    </row>
    <row r="2357">
      <c r="I2357" s="119"/>
    </row>
    <row r="2358">
      <c r="I2358" s="119"/>
    </row>
    <row r="2359">
      <c r="I2359" s="119"/>
    </row>
    <row r="2360">
      <c r="I2360" s="119"/>
    </row>
    <row r="2361">
      <c r="I2361" s="119"/>
    </row>
    <row r="2362">
      <c r="I2362" s="119"/>
    </row>
    <row r="2363">
      <c r="I2363" s="119"/>
    </row>
    <row r="2364">
      <c r="I2364" s="119"/>
    </row>
    <row r="2365">
      <c r="I2365" s="119"/>
    </row>
    <row r="2366">
      <c r="I2366" s="119"/>
    </row>
    <row r="2367">
      <c r="I2367" s="119"/>
    </row>
    <row r="2368">
      <c r="I2368" s="119"/>
    </row>
    <row r="2369">
      <c r="I2369" s="119"/>
    </row>
    <row r="2370">
      <c r="I2370" s="119"/>
    </row>
    <row r="2371">
      <c r="I2371" s="119"/>
    </row>
    <row r="2372">
      <c r="I2372" s="119"/>
    </row>
    <row r="2373">
      <c r="I2373" s="119"/>
    </row>
    <row r="2374">
      <c r="I2374" s="119"/>
    </row>
    <row r="2375">
      <c r="I2375" s="119"/>
    </row>
    <row r="2376">
      <c r="I2376" s="119"/>
    </row>
    <row r="2377">
      <c r="I2377" s="119"/>
    </row>
    <row r="2378">
      <c r="I2378" s="119"/>
    </row>
    <row r="2379">
      <c r="I2379" s="119"/>
    </row>
    <row r="2380">
      <c r="I2380" s="119"/>
    </row>
    <row r="2381">
      <c r="I2381" s="119"/>
    </row>
    <row r="2382">
      <c r="I2382" s="119"/>
    </row>
    <row r="2383">
      <c r="I2383" s="119"/>
    </row>
    <row r="2384">
      <c r="I2384" s="119"/>
    </row>
    <row r="2385">
      <c r="I2385" s="119"/>
    </row>
    <row r="2386">
      <c r="I2386" s="119"/>
    </row>
    <row r="2387">
      <c r="I2387" s="119"/>
    </row>
    <row r="2388">
      <c r="I2388" s="119"/>
    </row>
    <row r="2389">
      <c r="I2389" s="119"/>
    </row>
    <row r="2390">
      <c r="I2390" s="119"/>
    </row>
    <row r="2391">
      <c r="I2391" s="119"/>
    </row>
    <row r="2392">
      <c r="I2392" s="119"/>
    </row>
    <row r="2393">
      <c r="I2393" s="119"/>
    </row>
    <row r="2394">
      <c r="I2394" s="119"/>
    </row>
    <row r="2395">
      <c r="I2395" s="119"/>
    </row>
    <row r="2396">
      <c r="I2396" s="119"/>
    </row>
    <row r="2397">
      <c r="I2397" s="119"/>
    </row>
    <row r="2398">
      <c r="I2398" s="119"/>
    </row>
    <row r="2399">
      <c r="I2399" s="119"/>
    </row>
    <row r="2400">
      <c r="I2400" s="119"/>
    </row>
    <row r="2401">
      <c r="I2401" s="119"/>
    </row>
    <row r="2402">
      <c r="I2402" s="119"/>
    </row>
    <row r="2403">
      <c r="I2403" s="119"/>
    </row>
    <row r="2404">
      <c r="I2404" s="119"/>
    </row>
    <row r="2405">
      <c r="I2405" s="119"/>
    </row>
    <row r="2406">
      <c r="I2406" s="119"/>
    </row>
    <row r="2407">
      <c r="I2407" s="119"/>
    </row>
    <row r="2408">
      <c r="I2408" s="119"/>
    </row>
    <row r="2409">
      <c r="I2409" s="119"/>
    </row>
    <row r="2410">
      <c r="I2410" s="119"/>
    </row>
    <row r="2411">
      <c r="I2411" s="119"/>
    </row>
    <row r="2412">
      <c r="I2412" s="119"/>
    </row>
    <row r="2413">
      <c r="I2413" s="119"/>
    </row>
    <row r="2414">
      <c r="I2414" s="119"/>
    </row>
    <row r="2415">
      <c r="I2415" s="119"/>
    </row>
    <row r="2416">
      <c r="I2416" s="119"/>
    </row>
    <row r="2417">
      <c r="I2417" s="119"/>
    </row>
    <row r="2418">
      <c r="I2418" s="119"/>
    </row>
    <row r="2419">
      <c r="I2419" s="119"/>
    </row>
    <row r="2420">
      <c r="I2420" s="119"/>
    </row>
    <row r="2421">
      <c r="I2421" s="119"/>
    </row>
    <row r="2422">
      <c r="I2422" s="119"/>
    </row>
    <row r="2423">
      <c r="I2423" s="119"/>
    </row>
    <row r="2424">
      <c r="I2424" s="119"/>
    </row>
    <row r="2425">
      <c r="I2425" s="119"/>
    </row>
    <row r="2426">
      <c r="I2426" s="119"/>
    </row>
    <row r="2427">
      <c r="I2427" s="119"/>
    </row>
    <row r="2428">
      <c r="I2428" s="119"/>
    </row>
    <row r="2429">
      <c r="I2429" s="119"/>
    </row>
    <row r="2430">
      <c r="I2430" s="119"/>
    </row>
    <row r="2431">
      <c r="I2431" s="119"/>
    </row>
    <row r="2432">
      <c r="I2432" s="119"/>
    </row>
    <row r="2433">
      <c r="I2433" s="119"/>
    </row>
    <row r="2434">
      <c r="I2434" s="119"/>
    </row>
    <row r="2435">
      <c r="I2435" s="119"/>
    </row>
    <row r="2436">
      <c r="I2436" s="119"/>
    </row>
    <row r="2437">
      <c r="I2437" s="119"/>
    </row>
    <row r="2438">
      <c r="I2438" s="119"/>
    </row>
    <row r="2439">
      <c r="I2439" s="119"/>
    </row>
    <row r="2440">
      <c r="I2440" s="119"/>
    </row>
    <row r="2441">
      <c r="I2441" s="119"/>
    </row>
    <row r="2442">
      <c r="I2442" s="119"/>
    </row>
    <row r="2443">
      <c r="I2443" s="119"/>
    </row>
    <row r="2444">
      <c r="I2444" s="119"/>
    </row>
    <row r="2445">
      <c r="I2445" s="119"/>
    </row>
    <row r="2446">
      <c r="I2446" s="119"/>
    </row>
    <row r="2447">
      <c r="I2447" s="119"/>
    </row>
    <row r="2448">
      <c r="I2448" s="119"/>
    </row>
    <row r="2449">
      <c r="I2449" s="119"/>
    </row>
    <row r="2450">
      <c r="I2450" s="119"/>
    </row>
    <row r="2451">
      <c r="I2451" s="119"/>
    </row>
    <row r="2452">
      <c r="I2452" s="119"/>
    </row>
    <row r="2453">
      <c r="I2453" s="119"/>
    </row>
    <row r="2454">
      <c r="I2454" s="119"/>
    </row>
    <row r="2455">
      <c r="I2455" s="119"/>
    </row>
    <row r="2456">
      <c r="I2456" s="119"/>
    </row>
    <row r="2457">
      <c r="I2457" s="119"/>
    </row>
    <row r="2458">
      <c r="I2458" s="119"/>
    </row>
    <row r="2459">
      <c r="I2459" s="119"/>
    </row>
    <row r="2460">
      <c r="I2460" s="119"/>
    </row>
    <row r="2461">
      <c r="I2461" s="119"/>
    </row>
    <row r="2462">
      <c r="I2462" s="119"/>
    </row>
    <row r="2463">
      <c r="I2463" s="119"/>
    </row>
    <row r="2464">
      <c r="I2464" s="119"/>
    </row>
    <row r="2465">
      <c r="I2465" s="119"/>
    </row>
    <row r="2466">
      <c r="I2466" s="119"/>
    </row>
    <row r="2467">
      <c r="I2467" s="119"/>
    </row>
    <row r="2468">
      <c r="I2468" s="119"/>
    </row>
    <row r="2469">
      <c r="I2469" s="119"/>
    </row>
    <row r="2470">
      <c r="I2470" s="119"/>
    </row>
    <row r="2471">
      <c r="I2471" s="119"/>
    </row>
    <row r="2472">
      <c r="I2472" s="119"/>
    </row>
    <row r="2473">
      <c r="I2473" s="119"/>
    </row>
    <row r="2474">
      <c r="I2474" s="119"/>
    </row>
    <row r="2475">
      <c r="I2475" s="119"/>
    </row>
    <row r="2476">
      <c r="I2476" s="119"/>
    </row>
    <row r="2477">
      <c r="I2477" s="119"/>
    </row>
    <row r="2478">
      <c r="I2478" s="119"/>
    </row>
    <row r="2479">
      <c r="I2479" s="119"/>
    </row>
    <row r="2480">
      <c r="I2480" s="119"/>
    </row>
    <row r="2481">
      <c r="I2481" s="119"/>
    </row>
    <row r="2482">
      <c r="I2482" s="119"/>
    </row>
    <row r="2483">
      <c r="I2483" s="119"/>
    </row>
    <row r="2484">
      <c r="I2484" s="119"/>
    </row>
    <row r="2485">
      <c r="I2485" s="119"/>
    </row>
    <row r="2486">
      <c r="I2486" s="119"/>
    </row>
    <row r="2487">
      <c r="I2487" s="119"/>
    </row>
    <row r="2488">
      <c r="I2488" s="119"/>
    </row>
    <row r="2489">
      <c r="I2489" s="119"/>
    </row>
    <row r="2490">
      <c r="I2490" s="119"/>
    </row>
    <row r="2491">
      <c r="I2491" s="119"/>
    </row>
    <row r="2492">
      <c r="I2492" s="119"/>
    </row>
    <row r="2493">
      <c r="I2493" s="119"/>
    </row>
    <row r="2494">
      <c r="I2494" s="119"/>
    </row>
    <row r="2495">
      <c r="I2495" s="119"/>
    </row>
    <row r="2496">
      <c r="I2496" s="119"/>
    </row>
    <row r="2497">
      <c r="I2497" s="119"/>
    </row>
    <row r="2498">
      <c r="I2498" s="119"/>
    </row>
    <row r="2499">
      <c r="I2499" s="119"/>
    </row>
    <row r="2500">
      <c r="I2500" s="119"/>
    </row>
    <row r="2501">
      <c r="I2501" s="119"/>
    </row>
    <row r="2502">
      <c r="I2502" s="119"/>
    </row>
    <row r="2503">
      <c r="I2503" s="119"/>
    </row>
    <row r="2504">
      <c r="I2504" s="119"/>
    </row>
    <row r="2505">
      <c r="I2505" s="119"/>
    </row>
    <row r="2506">
      <c r="I2506" s="119"/>
    </row>
    <row r="2507">
      <c r="I2507" s="119"/>
    </row>
    <row r="2508">
      <c r="I2508" s="119"/>
    </row>
    <row r="2509">
      <c r="I2509" s="119"/>
    </row>
    <row r="2510">
      <c r="I2510" s="119"/>
    </row>
    <row r="2511">
      <c r="I2511" s="119"/>
    </row>
    <row r="2512">
      <c r="I2512" s="119"/>
    </row>
    <row r="2513">
      <c r="I2513" s="119"/>
    </row>
    <row r="2514">
      <c r="I2514" s="119"/>
    </row>
    <row r="2515">
      <c r="I2515" s="119"/>
    </row>
    <row r="2516">
      <c r="I2516" s="119"/>
    </row>
    <row r="2517">
      <c r="I2517" s="119"/>
    </row>
    <row r="2518">
      <c r="I2518" s="119"/>
    </row>
    <row r="2519">
      <c r="I2519" s="119"/>
    </row>
    <row r="2520">
      <c r="I2520" s="119"/>
    </row>
    <row r="2521">
      <c r="I2521" s="119"/>
    </row>
    <row r="2522">
      <c r="I2522" s="119"/>
    </row>
    <row r="2523">
      <c r="I2523" s="119"/>
    </row>
    <row r="2524">
      <c r="I2524" s="119"/>
    </row>
    <row r="2525">
      <c r="I2525" s="119"/>
    </row>
    <row r="2526">
      <c r="I2526" s="119"/>
    </row>
    <row r="2527">
      <c r="I2527" s="119"/>
    </row>
    <row r="2528">
      <c r="I2528" s="119"/>
    </row>
    <row r="2529">
      <c r="I2529" s="119"/>
    </row>
    <row r="2530">
      <c r="I2530" s="119"/>
    </row>
    <row r="2531">
      <c r="I2531" s="119"/>
    </row>
    <row r="2532">
      <c r="I2532" s="119"/>
    </row>
    <row r="2533">
      <c r="I2533" s="119"/>
    </row>
    <row r="2534">
      <c r="I2534" s="119"/>
    </row>
    <row r="2535">
      <c r="I2535" s="119"/>
    </row>
    <row r="2536">
      <c r="I2536" s="119"/>
    </row>
    <row r="2537">
      <c r="I2537" s="119"/>
    </row>
    <row r="2538">
      <c r="I2538" s="119"/>
    </row>
    <row r="2539">
      <c r="I2539" s="119"/>
    </row>
    <row r="2540">
      <c r="I2540" s="119"/>
    </row>
    <row r="2541">
      <c r="I2541" s="119"/>
    </row>
    <row r="2542">
      <c r="I2542" s="119"/>
    </row>
    <row r="2543">
      <c r="I2543" s="119"/>
    </row>
    <row r="2544">
      <c r="I2544" s="119"/>
    </row>
    <row r="2545">
      <c r="I2545" s="119"/>
    </row>
    <row r="2546">
      <c r="I2546" s="119"/>
    </row>
    <row r="2547">
      <c r="I2547" s="119"/>
    </row>
    <row r="2548">
      <c r="I2548" s="119"/>
    </row>
    <row r="2549">
      <c r="I2549" s="119"/>
    </row>
    <row r="2550">
      <c r="I2550" s="119"/>
    </row>
    <row r="2551">
      <c r="I2551" s="119"/>
    </row>
    <row r="2552">
      <c r="I2552" s="119"/>
    </row>
    <row r="2553">
      <c r="I2553" s="119"/>
    </row>
    <row r="2554">
      <c r="I2554" s="119"/>
    </row>
    <row r="2555">
      <c r="I2555" s="119"/>
    </row>
    <row r="2556">
      <c r="I2556" s="119"/>
    </row>
    <row r="2557">
      <c r="I2557" s="119"/>
    </row>
    <row r="2558">
      <c r="I2558" s="119"/>
    </row>
    <row r="2559">
      <c r="I2559" s="119"/>
    </row>
    <row r="2560">
      <c r="I2560" s="119"/>
    </row>
    <row r="2561">
      <c r="I2561" s="119"/>
    </row>
    <row r="2562">
      <c r="I2562" s="119"/>
    </row>
    <row r="2563">
      <c r="I2563" s="119"/>
    </row>
    <row r="2564">
      <c r="I2564" s="119"/>
    </row>
    <row r="2565">
      <c r="I2565" s="119"/>
    </row>
    <row r="2566">
      <c r="I2566" s="119"/>
    </row>
    <row r="2567">
      <c r="I2567" s="119"/>
    </row>
    <row r="2568">
      <c r="I2568" s="119"/>
    </row>
    <row r="2569">
      <c r="I2569" s="119"/>
    </row>
    <row r="2570">
      <c r="I2570" s="119"/>
    </row>
    <row r="2571">
      <c r="I2571" s="119"/>
    </row>
    <row r="2572">
      <c r="I2572" s="119"/>
    </row>
    <row r="2573">
      <c r="I2573" s="119"/>
    </row>
    <row r="2574">
      <c r="I2574" s="119"/>
    </row>
    <row r="2575">
      <c r="I2575" s="119"/>
    </row>
    <row r="2576">
      <c r="I2576" s="119"/>
    </row>
    <row r="2577">
      <c r="I2577" s="119"/>
    </row>
    <row r="2578">
      <c r="I2578" s="119"/>
    </row>
    <row r="2579">
      <c r="I2579" s="119"/>
    </row>
    <row r="2580">
      <c r="I2580" s="119"/>
    </row>
    <row r="2581">
      <c r="I2581" s="119"/>
    </row>
    <row r="2582">
      <c r="I2582" s="119"/>
    </row>
    <row r="2583">
      <c r="I2583" s="119"/>
    </row>
    <row r="2584">
      <c r="I2584" s="119"/>
    </row>
    <row r="2585">
      <c r="I2585" s="119"/>
    </row>
    <row r="2586">
      <c r="I2586" s="119"/>
    </row>
    <row r="2587">
      <c r="I2587" s="119"/>
    </row>
    <row r="2588">
      <c r="I2588" s="119"/>
    </row>
    <row r="2589">
      <c r="I2589" s="119"/>
    </row>
    <row r="2590">
      <c r="I2590" s="119"/>
    </row>
    <row r="2591">
      <c r="I2591" s="119"/>
    </row>
    <row r="2592">
      <c r="I2592" s="119"/>
    </row>
    <row r="2593">
      <c r="I2593" s="119"/>
    </row>
    <row r="2594">
      <c r="I2594" s="119"/>
    </row>
    <row r="2595">
      <c r="I2595" s="119"/>
    </row>
    <row r="2596">
      <c r="I2596" s="119"/>
    </row>
    <row r="2597">
      <c r="I2597" s="119"/>
    </row>
    <row r="2598">
      <c r="I2598" s="119"/>
    </row>
    <row r="2599">
      <c r="I2599" s="119"/>
    </row>
    <row r="2600">
      <c r="I2600" s="119"/>
    </row>
    <row r="2601">
      <c r="I2601" s="119"/>
    </row>
    <row r="2602">
      <c r="I2602" s="119"/>
    </row>
    <row r="2603">
      <c r="I2603" s="119"/>
    </row>
    <row r="2604">
      <c r="I2604" s="119"/>
    </row>
    <row r="2605">
      <c r="I2605" s="119"/>
    </row>
    <row r="2606">
      <c r="I2606" s="119"/>
    </row>
    <row r="2607">
      <c r="I2607" s="119"/>
    </row>
    <row r="2608">
      <c r="I2608" s="119"/>
    </row>
    <row r="2609">
      <c r="I2609" s="119"/>
    </row>
    <row r="2610">
      <c r="I2610" s="119"/>
    </row>
    <row r="2611">
      <c r="I2611" s="119"/>
    </row>
    <row r="2612">
      <c r="I2612" s="119"/>
    </row>
    <row r="2613">
      <c r="I2613" s="119"/>
    </row>
    <row r="2614">
      <c r="I2614" s="119"/>
    </row>
    <row r="2615">
      <c r="I2615" s="119"/>
    </row>
    <row r="2616">
      <c r="I2616" s="119"/>
    </row>
    <row r="2617">
      <c r="I2617" s="119"/>
    </row>
    <row r="2618">
      <c r="I2618" s="119"/>
    </row>
    <row r="2619">
      <c r="I2619" s="119"/>
    </row>
    <row r="2620">
      <c r="I2620" s="119"/>
    </row>
    <row r="2621">
      <c r="I2621" s="119"/>
    </row>
    <row r="2622">
      <c r="I2622" s="119"/>
    </row>
    <row r="2623">
      <c r="I2623" s="119"/>
    </row>
    <row r="2624">
      <c r="I2624" s="119"/>
    </row>
    <row r="2625">
      <c r="I2625" s="119"/>
    </row>
    <row r="2626">
      <c r="I2626" s="119"/>
    </row>
    <row r="2627">
      <c r="I2627" s="119"/>
    </row>
    <row r="2628">
      <c r="I2628" s="119"/>
    </row>
    <row r="2629">
      <c r="I2629" s="119"/>
    </row>
    <row r="2630">
      <c r="I2630" s="119"/>
    </row>
    <row r="2631">
      <c r="I2631" s="119"/>
    </row>
    <row r="2632">
      <c r="I2632" s="119"/>
    </row>
    <row r="2633">
      <c r="I2633" s="119"/>
    </row>
    <row r="2634">
      <c r="I2634" s="119"/>
    </row>
    <row r="2635">
      <c r="I2635" s="119"/>
    </row>
    <row r="2636">
      <c r="I2636" s="119"/>
    </row>
    <row r="2637">
      <c r="I2637" s="119"/>
    </row>
    <row r="2638">
      <c r="I2638" s="119"/>
    </row>
    <row r="2639">
      <c r="I2639" s="119"/>
    </row>
    <row r="2640">
      <c r="I2640" s="119"/>
    </row>
    <row r="2641">
      <c r="I2641" s="119"/>
    </row>
    <row r="2642">
      <c r="I2642" s="119"/>
    </row>
    <row r="2643">
      <c r="I2643" s="119"/>
    </row>
    <row r="2644">
      <c r="I2644" s="119"/>
    </row>
    <row r="2645">
      <c r="I2645" s="119"/>
    </row>
    <row r="2646">
      <c r="I2646" s="119"/>
    </row>
    <row r="2647">
      <c r="I2647" s="119"/>
    </row>
    <row r="2648">
      <c r="I2648" s="119"/>
    </row>
    <row r="2649">
      <c r="I2649" s="119"/>
    </row>
    <row r="2650">
      <c r="I2650" s="119"/>
    </row>
    <row r="2651">
      <c r="I2651" s="119"/>
    </row>
    <row r="2652">
      <c r="I2652" s="119"/>
    </row>
    <row r="2653">
      <c r="I2653" s="119"/>
    </row>
    <row r="2654">
      <c r="I2654" s="119"/>
    </row>
    <row r="2655">
      <c r="I2655" s="119"/>
    </row>
    <row r="2656">
      <c r="I2656" s="119"/>
    </row>
    <row r="2657">
      <c r="I2657" s="119"/>
    </row>
    <row r="2658">
      <c r="I2658" s="119"/>
    </row>
    <row r="2659">
      <c r="I2659" s="119"/>
    </row>
    <row r="2660">
      <c r="I2660" s="119"/>
    </row>
    <row r="2661">
      <c r="I2661" s="119"/>
    </row>
    <row r="2662">
      <c r="I2662" s="119"/>
    </row>
    <row r="2663">
      <c r="I2663" s="119"/>
    </row>
    <row r="2664">
      <c r="I2664" s="119"/>
    </row>
    <row r="2665">
      <c r="I2665" s="119"/>
    </row>
    <row r="2666">
      <c r="I2666" s="119"/>
    </row>
    <row r="2667">
      <c r="I2667" s="119"/>
    </row>
    <row r="2668">
      <c r="I2668" s="119"/>
    </row>
    <row r="2669">
      <c r="I2669" s="119"/>
    </row>
    <row r="2670">
      <c r="I2670" s="119"/>
    </row>
    <row r="2671">
      <c r="I2671" s="119"/>
    </row>
    <row r="2672">
      <c r="I2672" s="119"/>
    </row>
    <row r="2673">
      <c r="I2673" s="119"/>
    </row>
    <row r="2674">
      <c r="I2674" s="119"/>
    </row>
    <row r="2675">
      <c r="I2675" s="119"/>
    </row>
    <row r="2676">
      <c r="I2676" s="119"/>
    </row>
    <row r="2677">
      <c r="I2677" s="119"/>
    </row>
    <row r="2678">
      <c r="I2678" s="119"/>
    </row>
    <row r="2679">
      <c r="I2679" s="119"/>
    </row>
    <row r="2680">
      <c r="I2680" s="119"/>
    </row>
    <row r="2681">
      <c r="I2681" s="119"/>
    </row>
    <row r="2682">
      <c r="I2682" s="119"/>
    </row>
    <row r="2683">
      <c r="I2683" s="119"/>
    </row>
    <row r="2684">
      <c r="I2684" s="119"/>
    </row>
    <row r="2685">
      <c r="I2685" s="119"/>
    </row>
    <row r="2686">
      <c r="I2686" s="119"/>
    </row>
    <row r="2687">
      <c r="I2687" s="119"/>
    </row>
    <row r="2688">
      <c r="I2688" s="119"/>
    </row>
    <row r="2689">
      <c r="I2689" s="119"/>
    </row>
    <row r="2690">
      <c r="I2690" s="119"/>
    </row>
    <row r="2691">
      <c r="I2691" s="119"/>
    </row>
    <row r="2692">
      <c r="I2692" s="119"/>
    </row>
    <row r="2693">
      <c r="I2693" s="119"/>
    </row>
    <row r="2694">
      <c r="I2694" s="119"/>
    </row>
    <row r="2695">
      <c r="I2695" s="119"/>
    </row>
    <row r="2696">
      <c r="I2696" s="119"/>
    </row>
    <row r="2697">
      <c r="I2697" s="119"/>
    </row>
    <row r="2698">
      <c r="I2698" s="119"/>
    </row>
    <row r="2699">
      <c r="I2699" s="119"/>
    </row>
    <row r="2700">
      <c r="I2700" s="119"/>
    </row>
    <row r="2701">
      <c r="I2701" s="119"/>
    </row>
    <row r="2702">
      <c r="I2702" s="119"/>
    </row>
    <row r="2703">
      <c r="I2703" s="119"/>
    </row>
    <row r="2704">
      <c r="I2704" s="119"/>
    </row>
    <row r="2705">
      <c r="I2705" s="119"/>
    </row>
    <row r="2706">
      <c r="I2706" s="119"/>
    </row>
    <row r="2707">
      <c r="I2707" s="119"/>
    </row>
    <row r="2708">
      <c r="I2708" s="119"/>
    </row>
    <row r="2709">
      <c r="I2709" s="119"/>
    </row>
    <row r="2710">
      <c r="I2710" s="119"/>
    </row>
    <row r="2711">
      <c r="I2711" s="119"/>
    </row>
    <row r="2712">
      <c r="I2712" s="119"/>
    </row>
    <row r="2713">
      <c r="I2713" s="119"/>
    </row>
    <row r="2714">
      <c r="I2714" s="119"/>
    </row>
    <row r="2715">
      <c r="I2715" s="119"/>
    </row>
    <row r="2716">
      <c r="I2716" s="119"/>
    </row>
    <row r="2717">
      <c r="I2717" s="119"/>
    </row>
    <row r="2718">
      <c r="I2718" s="119"/>
    </row>
    <row r="2719">
      <c r="I2719" s="119"/>
    </row>
    <row r="2720">
      <c r="I2720" s="119"/>
    </row>
    <row r="2721">
      <c r="I2721" s="119"/>
    </row>
    <row r="2722">
      <c r="I2722" s="119"/>
    </row>
    <row r="2723">
      <c r="I2723" s="119"/>
    </row>
    <row r="2724">
      <c r="I2724" s="119"/>
    </row>
    <row r="2725">
      <c r="I2725" s="119"/>
    </row>
    <row r="2726">
      <c r="I2726" s="119"/>
    </row>
    <row r="2727">
      <c r="I2727" s="119"/>
    </row>
    <row r="2728">
      <c r="I2728" s="119"/>
    </row>
    <row r="2729">
      <c r="I2729" s="119"/>
    </row>
    <row r="2730">
      <c r="I2730" s="119"/>
    </row>
    <row r="2731">
      <c r="I2731" s="119"/>
    </row>
    <row r="2732">
      <c r="I2732" s="119"/>
    </row>
    <row r="2733">
      <c r="I2733" s="119"/>
    </row>
    <row r="2734">
      <c r="I2734" s="119"/>
    </row>
    <row r="2735">
      <c r="I2735" s="119"/>
    </row>
    <row r="2736">
      <c r="I2736" s="119"/>
    </row>
    <row r="2737">
      <c r="I2737" s="119"/>
    </row>
    <row r="2738">
      <c r="I2738" s="119"/>
    </row>
    <row r="2739">
      <c r="I2739" s="119"/>
    </row>
    <row r="2740">
      <c r="I2740" s="119"/>
    </row>
    <row r="2741">
      <c r="I2741" s="119"/>
    </row>
    <row r="2742">
      <c r="I2742" s="119"/>
    </row>
    <row r="2743">
      <c r="I2743" s="119"/>
    </row>
    <row r="2744">
      <c r="I2744" s="119"/>
    </row>
    <row r="2745">
      <c r="I2745" s="119"/>
    </row>
    <row r="2746">
      <c r="I2746" s="119"/>
    </row>
    <row r="2747">
      <c r="I2747" s="119"/>
    </row>
    <row r="2748">
      <c r="I2748" s="119"/>
    </row>
    <row r="2749">
      <c r="I2749" s="119"/>
    </row>
    <row r="2750">
      <c r="I2750" s="119"/>
    </row>
    <row r="2751">
      <c r="I2751" s="119"/>
    </row>
    <row r="2752">
      <c r="I2752" s="119"/>
    </row>
    <row r="2753">
      <c r="I2753" s="119"/>
    </row>
    <row r="2754">
      <c r="I2754" s="119"/>
    </row>
    <row r="2755">
      <c r="I2755" s="119"/>
    </row>
    <row r="2756">
      <c r="I2756" s="119"/>
    </row>
    <row r="2757">
      <c r="I2757" s="119"/>
    </row>
    <row r="2758">
      <c r="I2758" s="119"/>
    </row>
    <row r="2759">
      <c r="I2759" s="119"/>
    </row>
    <row r="2760">
      <c r="I2760" s="119"/>
    </row>
    <row r="2761">
      <c r="I2761" s="119"/>
    </row>
    <row r="2762">
      <c r="I2762" s="119"/>
    </row>
    <row r="2763">
      <c r="I2763" s="119"/>
    </row>
    <row r="2764">
      <c r="I2764" s="119"/>
    </row>
    <row r="2765">
      <c r="I2765" s="119"/>
    </row>
    <row r="2766">
      <c r="I2766" s="119"/>
    </row>
    <row r="2767">
      <c r="I2767" s="119"/>
    </row>
    <row r="2768">
      <c r="I2768" s="119"/>
    </row>
    <row r="2769">
      <c r="I2769" s="119"/>
    </row>
    <row r="2770">
      <c r="I2770" s="119"/>
    </row>
    <row r="2771">
      <c r="I2771" s="119"/>
    </row>
    <row r="2772">
      <c r="I2772" s="119"/>
    </row>
    <row r="2773">
      <c r="I2773" s="119"/>
    </row>
    <row r="2774">
      <c r="I2774" s="119"/>
    </row>
    <row r="2775">
      <c r="I2775" s="119"/>
    </row>
    <row r="2776">
      <c r="I2776" s="119"/>
    </row>
    <row r="2777">
      <c r="I2777" s="119"/>
    </row>
    <row r="2778">
      <c r="I2778" s="119"/>
    </row>
    <row r="2779">
      <c r="I2779" s="119"/>
    </row>
    <row r="2780">
      <c r="I2780" s="119"/>
    </row>
    <row r="2781">
      <c r="I2781" s="119"/>
    </row>
    <row r="2782">
      <c r="I2782" s="119"/>
    </row>
    <row r="2783">
      <c r="I2783" s="119"/>
    </row>
    <row r="2784">
      <c r="I2784" s="119"/>
    </row>
    <row r="2785">
      <c r="I2785" s="119"/>
    </row>
    <row r="2786">
      <c r="I2786" s="119"/>
    </row>
    <row r="2787">
      <c r="I2787" s="119"/>
    </row>
    <row r="2788">
      <c r="I2788" s="119"/>
    </row>
    <row r="2789">
      <c r="I2789" s="119"/>
    </row>
    <row r="2790">
      <c r="I2790" s="119"/>
    </row>
    <row r="2791">
      <c r="I2791" s="119"/>
    </row>
    <row r="2792">
      <c r="I2792" s="119"/>
    </row>
    <row r="2793">
      <c r="I2793" s="119"/>
    </row>
    <row r="2794">
      <c r="I2794" s="119"/>
    </row>
    <row r="2795">
      <c r="I2795" s="119"/>
    </row>
    <row r="2796">
      <c r="I2796" s="119"/>
    </row>
    <row r="2797">
      <c r="I2797" s="119"/>
    </row>
    <row r="2798">
      <c r="I2798" s="119"/>
    </row>
    <row r="2799">
      <c r="I2799" s="119"/>
    </row>
    <row r="2800">
      <c r="I2800" s="119"/>
    </row>
    <row r="2801">
      <c r="I2801" s="119"/>
    </row>
    <row r="2802">
      <c r="I2802" s="119"/>
    </row>
    <row r="2803">
      <c r="I2803" s="119"/>
    </row>
  </sheetData>
  <autoFilter ref="$A$1:$Z$2803"/>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 customWidth="1" min="2" max="3" width="56.0"/>
  </cols>
  <sheetData>
    <row r="1">
      <c r="A1" s="1" t="s">
        <v>0</v>
      </c>
      <c r="B1" s="2" t="s">
        <v>1</v>
      </c>
      <c r="C1" s="2" t="s">
        <v>2</v>
      </c>
    </row>
    <row r="2">
      <c r="A2" s="65" t="s">
        <v>0</v>
      </c>
      <c r="B2" s="65" t="s">
        <v>1</v>
      </c>
      <c r="C2" s="65" t="s">
        <v>2</v>
      </c>
    </row>
    <row r="3">
      <c r="A3" s="65" t="s">
        <v>3</v>
      </c>
      <c r="B3" s="65" t="s">
        <v>4</v>
      </c>
      <c r="C3" s="65" t="s">
        <v>5</v>
      </c>
    </row>
    <row r="4">
      <c r="A4" s="65" t="s">
        <v>3</v>
      </c>
      <c r="B4" s="65" t="s">
        <v>6</v>
      </c>
      <c r="C4" s="65" t="s">
        <v>7</v>
      </c>
    </row>
    <row r="5">
      <c r="A5" s="65" t="s">
        <v>3</v>
      </c>
      <c r="B5" s="65" t="s">
        <v>4</v>
      </c>
      <c r="C5" s="65" t="s">
        <v>8</v>
      </c>
    </row>
    <row r="6">
      <c r="A6" s="65" t="s">
        <v>3</v>
      </c>
      <c r="B6" s="65" t="s">
        <v>9</v>
      </c>
      <c r="C6" s="65" t="s">
        <v>10</v>
      </c>
    </row>
    <row r="7">
      <c r="A7" s="65" t="s">
        <v>3</v>
      </c>
      <c r="B7" s="65" t="s">
        <v>9</v>
      </c>
      <c r="C7" s="65" t="s">
        <v>11</v>
      </c>
    </row>
    <row r="8">
      <c r="A8" s="65" t="s">
        <v>3</v>
      </c>
      <c r="B8" s="65" t="s">
        <v>4</v>
      </c>
      <c r="C8" s="65" t="s">
        <v>12</v>
      </c>
    </row>
    <row r="9">
      <c r="A9" s="65" t="s">
        <v>3</v>
      </c>
      <c r="B9" s="65" t="s">
        <v>4</v>
      </c>
      <c r="C9" s="65" t="s">
        <v>13</v>
      </c>
    </row>
    <row r="10">
      <c r="A10" s="65" t="s">
        <v>3</v>
      </c>
      <c r="B10" s="65" t="s">
        <v>9</v>
      </c>
      <c r="C10" s="65" t="s">
        <v>14</v>
      </c>
    </row>
    <row r="11">
      <c r="A11" s="65" t="s">
        <v>15</v>
      </c>
      <c r="B11" s="65" t="s">
        <v>16</v>
      </c>
      <c r="C11" s="65" t="s">
        <v>17</v>
      </c>
    </row>
    <row r="12">
      <c r="A12" s="65" t="s">
        <v>15</v>
      </c>
      <c r="B12" s="65" t="s">
        <v>18</v>
      </c>
      <c r="C12" s="65" t="s">
        <v>19</v>
      </c>
    </row>
    <row r="13">
      <c r="A13" s="65" t="s">
        <v>15</v>
      </c>
      <c r="B13" s="65" t="s">
        <v>16</v>
      </c>
      <c r="C13" s="65" t="s">
        <v>20</v>
      </c>
    </row>
    <row r="14">
      <c r="A14" s="65" t="s">
        <v>15</v>
      </c>
      <c r="B14" s="65" t="s">
        <v>16</v>
      </c>
      <c r="C14" s="65" t="s">
        <v>21</v>
      </c>
    </row>
    <row r="15">
      <c r="A15" s="65" t="s">
        <v>22</v>
      </c>
      <c r="B15" s="65" t="s">
        <v>23</v>
      </c>
      <c r="C15" s="65" t="s">
        <v>24</v>
      </c>
    </row>
    <row r="16">
      <c r="A16" s="65" t="s">
        <v>22</v>
      </c>
      <c r="B16" s="65" t="s">
        <v>25</v>
      </c>
      <c r="C16" s="65" t="s">
        <v>26</v>
      </c>
    </row>
    <row r="17">
      <c r="A17" s="65" t="s">
        <v>22</v>
      </c>
      <c r="B17" s="65" t="s">
        <v>27</v>
      </c>
      <c r="C17" s="65" t="s">
        <v>28</v>
      </c>
    </row>
    <row r="18">
      <c r="A18" s="65" t="s">
        <v>22</v>
      </c>
      <c r="B18" s="65" t="s">
        <v>29</v>
      </c>
      <c r="C18" s="65" t="s">
        <v>30</v>
      </c>
    </row>
    <row r="19">
      <c r="A19" s="65" t="s">
        <v>22</v>
      </c>
      <c r="B19" s="65" t="s">
        <v>29</v>
      </c>
      <c r="C19" s="65" t="s">
        <v>31</v>
      </c>
    </row>
    <row r="20">
      <c r="A20" s="65" t="s">
        <v>22</v>
      </c>
      <c r="B20" s="65" t="s">
        <v>32</v>
      </c>
      <c r="C20" s="65" t="s">
        <v>33</v>
      </c>
    </row>
    <row r="21">
      <c r="A21" s="65" t="s">
        <v>22</v>
      </c>
      <c r="B21" s="65" t="s">
        <v>32</v>
      </c>
      <c r="C21" s="65" t="s">
        <v>34</v>
      </c>
    </row>
    <row r="22">
      <c r="A22" s="65" t="s">
        <v>22</v>
      </c>
      <c r="B22" s="65" t="s">
        <v>35</v>
      </c>
      <c r="C22" s="65" t="s">
        <v>36</v>
      </c>
    </row>
    <row r="23">
      <c r="A23" s="65" t="s">
        <v>22</v>
      </c>
      <c r="B23" s="65" t="s">
        <v>32</v>
      </c>
      <c r="C23" s="65" t="s">
        <v>37</v>
      </c>
    </row>
    <row r="24">
      <c r="A24" s="65" t="s">
        <v>38</v>
      </c>
      <c r="B24" s="65" t="s">
        <v>39</v>
      </c>
      <c r="C24" s="65" t="s">
        <v>40</v>
      </c>
    </row>
    <row r="25">
      <c r="A25" s="65" t="s">
        <v>38</v>
      </c>
      <c r="B25" s="65" t="s">
        <v>41</v>
      </c>
      <c r="C25" s="65" t="s">
        <v>42</v>
      </c>
    </row>
    <row r="26">
      <c r="A26" s="65" t="s">
        <v>38</v>
      </c>
      <c r="B26" s="65" t="s">
        <v>43</v>
      </c>
      <c r="C26" s="65" t="s">
        <v>44</v>
      </c>
    </row>
    <row r="27">
      <c r="A27" s="65" t="s">
        <v>38</v>
      </c>
      <c r="B27" s="65" t="s">
        <v>43</v>
      </c>
      <c r="C27" s="65" t="s">
        <v>45</v>
      </c>
    </row>
    <row r="28">
      <c r="A28" s="65" t="s">
        <v>38</v>
      </c>
      <c r="B28" s="65" t="s">
        <v>43</v>
      </c>
      <c r="C28" s="65" t="s">
        <v>46</v>
      </c>
    </row>
    <row r="29">
      <c r="A29" s="65" t="s">
        <v>38</v>
      </c>
      <c r="B29" s="65" t="s">
        <v>43</v>
      </c>
      <c r="C29" s="65" t="s">
        <v>47</v>
      </c>
    </row>
    <row r="30">
      <c r="A30" s="65" t="s">
        <v>38</v>
      </c>
      <c r="B30" s="65" t="s">
        <v>48</v>
      </c>
      <c r="C30" s="65" t="s">
        <v>49</v>
      </c>
    </row>
    <row r="31">
      <c r="A31" s="65" t="s">
        <v>38</v>
      </c>
      <c r="B31" s="65" t="s">
        <v>48</v>
      </c>
      <c r="C31" s="65" t="s">
        <v>50</v>
      </c>
    </row>
    <row r="32">
      <c r="A32" s="65" t="s">
        <v>38</v>
      </c>
      <c r="B32" s="65" t="s">
        <v>51</v>
      </c>
      <c r="C32" s="65" t="s">
        <v>52</v>
      </c>
    </row>
    <row r="33">
      <c r="A33" s="65" t="s">
        <v>38</v>
      </c>
      <c r="B33" s="65" t="s">
        <v>48</v>
      </c>
      <c r="C33" s="65" t="s">
        <v>53</v>
      </c>
    </row>
    <row r="34">
      <c r="A34" s="65" t="s">
        <v>38</v>
      </c>
      <c r="B34" s="65" t="s">
        <v>48</v>
      </c>
      <c r="C34" s="65" t="s">
        <v>54</v>
      </c>
    </row>
    <row r="35">
      <c r="A35" s="65" t="s">
        <v>38</v>
      </c>
      <c r="B35" s="65" t="s">
        <v>39</v>
      </c>
      <c r="C35" s="65" t="s">
        <v>55</v>
      </c>
    </row>
    <row r="36">
      <c r="A36" s="65" t="s">
        <v>38</v>
      </c>
      <c r="B36" s="65" t="s">
        <v>39</v>
      </c>
      <c r="C36" s="65" t="s">
        <v>56</v>
      </c>
    </row>
    <row r="37">
      <c r="A37" s="65" t="s">
        <v>38</v>
      </c>
      <c r="B37" s="65" t="s">
        <v>51</v>
      </c>
      <c r="C37" s="65" t="s">
        <v>57</v>
      </c>
    </row>
    <row r="38">
      <c r="A38" s="65" t="s">
        <v>38</v>
      </c>
      <c r="B38" s="65" t="s">
        <v>51</v>
      </c>
      <c r="C38" s="65" t="s">
        <v>58</v>
      </c>
    </row>
    <row r="39">
      <c r="A39" s="65" t="s">
        <v>38</v>
      </c>
      <c r="B39" s="65" t="s">
        <v>51</v>
      </c>
      <c r="C39" s="65" t="s">
        <v>59</v>
      </c>
    </row>
    <row r="40">
      <c r="A40" s="65" t="s">
        <v>38</v>
      </c>
      <c r="B40" s="65" t="s">
        <v>51</v>
      </c>
      <c r="C40" s="65" t="s">
        <v>60</v>
      </c>
    </row>
    <row r="41">
      <c r="A41" s="65" t="s">
        <v>38</v>
      </c>
      <c r="B41" s="65" t="s">
        <v>51</v>
      </c>
      <c r="C41" s="65" t="s">
        <v>61</v>
      </c>
    </row>
    <row r="42">
      <c r="A42" s="65" t="s">
        <v>38</v>
      </c>
      <c r="B42" s="65" t="s">
        <v>51</v>
      </c>
      <c r="C42" s="65" t="s">
        <v>62</v>
      </c>
    </row>
    <row r="43">
      <c r="A43" s="65" t="s">
        <v>38</v>
      </c>
      <c r="B43" s="65" t="s">
        <v>43</v>
      </c>
      <c r="C43" s="65" t="s">
        <v>63</v>
      </c>
    </row>
    <row r="44">
      <c r="A44" s="65" t="s">
        <v>38</v>
      </c>
      <c r="B44" s="65" t="s">
        <v>51</v>
      </c>
      <c r="C44" s="65" t="s">
        <v>64</v>
      </c>
    </row>
    <row r="45">
      <c r="A45" s="65" t="s">
        <v>38</v>
      </c>
      <c r="B45" s="65" t="s">
        <v>39</v>
      </c>
      <c r="C45" s="65" t="s">
        <v>65</v>
      </c>
    </row>
    <row r="46">
      <c r="A46" s="65" t="s">
        <v>66</v>
      </c>
      <c r="B46" s="65" t="s">
        <v>67</v>
      </c>
      <c r="C46" s="65" t="s">
        <v>68</v>
      </c>
    </row>
    <row r="47">
      <c r="A47" s="65" t="s">
        <v>66</v>
      </c>
      <c r="B47" s="65" t="s">
        <v>69</v>
      </c>
      <c r="C47" s="65" t="s">
        <v>70</v>
      </c>
    </row>
    <row r="48">
      <c r="A48" s="65" t="s">
        <v>71</v>
      </c>
      <c r="B48" s="65" t="s">
        <v>72</v>
      </c>
      <c r="C48" s="65" t="s">
        <v>46</v>
      </c>
    </row>
    <row r="49">
      <c r="A49" s="65" t="s">
        <v>71</v>
      </c>
      <c r="B49" s="65" t="s">
        <v>72</v>
      </c>
      <c r="C49" s="65" t="s">
        <v>73</v>
      </c>
    </row>
    <row r="50">
      <c r="A50" s="65" t="s">
        <v>71</v>
      </c>
      <c r="B50" s="65" t="s">
        <v>74</v>
      </c>
      <c r="C50" s="65" t="s">
        <v>75</v>
      </c>
    </row>
    <row r="51">
      <c r="A51" s="65" t="s">
        <v>71</v>
      </c>
      <c r="B51" s="65" t="s">
        <v>76</v>
      </c>
      <c r="C51" s="65" t="s">
        <v>77</v>
      </c>
    </row>
    <row r="52">
      <c r="A52" s="65" t="s">
        <v>71</v>
      </c>
      <c r="B52" s="65" t="s">
        <v>74</v>
      </c>
      <c r="C52" s="65" t="s">
        <v>78</v>
      </c>
    </row>
    <row r="53">
      <c r="A53" s="65" t="s">
        <v>71</v>
      </c>
      <c r="B53" s="65" t="s">
        <v>74</v>
      </c>
      <c r="C53" s="65" t="s">
        <v>79</v>
      </c>
    </row>
    <row r="54">
      <c r="A54" s="65" t="s">
        <v>71</v>
      </c>
      <c r="B54" s="65" t="s">
        <v>74</v>
      </c>
      <c r="C54" s="65" t="s">
        <v>80</v>
      </c>
    </row>
    <row r="55">
      <c r="A55" s="65" t="s">
        <v>71</v>
      </c>
      <c r="B55" s="65" t="s">
        <v>81</v>
      </c>
      <c r="C55" s="65" t="s">
        <v>82</v>
      </c>
    </row>
    <row r="56">
      <c r="A56" s="65" t="s">
        <v>71</v>
      </c>
      <c r="B56" s="65" t="s">
        <v>74</v>
      </c>
      <c r="C56" s="65" t="s">
        <v>83</v>
      </c>
    </row>
    <row r="57">
      <c r="A57" s="65" t="s">
        <v>71</v>
      </c>
      <c r="B57" s="65" t="s">
        <v>74</v>
      </c>
      <c r="C57" s="65" t="s">
        <v>84</v>
      </c>
    </row>
    <row r="58">
      <c r="A58" s="65" t="s">
        <v>71</v>
      </c>
      <c r="B58" s="65" t="s">
        <v>72</v>
      </c>
      <c r="C58" s="65" t="s">
        <v>85</v>
      </c>
    </row>
    <row r="59">
      <c r="A59" s="65" t="s">
        <v>71</v>
      </c>
      <c r="B59" s="65" t="s">
        <v>74</v>
      </c>
      <c r="C59" s="65" t="s">
        <v>86</v>
      </c>
    </row>
    <row r="60">
      <c r="A60" s="65" t="s">
        <v>71</v>
      </c>
      <c r="B60" s="65" t="s">
        <v>74</v>
      </c>
      <c r="C60" s="65" t="s">
        <v>87</v>
      </c>
    </row>
    <row r="61">
      <c r="A61" s="65" t="s">
        <v>71</v>
      </c>
      <c r="B61" s="65" t="s">
        <v>74</v>
      </c>
      <c r="C61" s="65" t="s">
        <v>88</v>
      </c>
    </row>
    <row r="62">
      <c r="A62" s="65" t="s">
        <v>89</v>
      </c>
      <c r="B62" s="65" t="s">
        <v>90</v>
      </c>
      <c r="C62" s="65" t="s">
        <v>91</v>
      </c>
    </row>
    <row r="63">
      <c r="A63" s="65" t="s">
        <v>89</v>
      </c>
      <c r="B63" s="65" t="s">
        <v>90</v>
      </c>
      <c r="C63" s="65" t="s">
        <v>92</v>
      </c>
    </row>
    <row r="64">
      <c r="A64" s="65" t="s">
        <v>89</v>
      </c>
      <c r="B64" s="65" t="s">
        <v>93</v>
      </c>
      <c r="C64" s="65" t="s">
        <v>94</v>
      </c>
    </row>
    <row r="65">
      <c r="A65" s="65" t="s">
        <v>89</v>
      </c>
      <c r="B65" s="65" t="s">
        <v>90</v>
      </c>
      <c r="C65" s="65" t="s">
        <v>95</v>
      </c>
    </row>
    <row r="66">
      <c r="A66" s="65" t="s">
        <v>89</v>
      </c>
      <c r="B66" s="65" t="s">
        <v>90</v>
      </c>
      <c r="C66" s="65" t="s">
        <v>96</v>
      </c>
    </row>
    <row r="67">
      <c r="A67" s="65" t="s">
        <v>89</v>
      </c>
      <c r="B67" s="65" t="s">
        <v>97</v>
      </c>
      <c r="C67" s="65" t="s">
        <v>98</v>
      </c>
    </row>
    <row r="68">
      <c r="A68" s="65" t="s">
        <v>89</v>
      </c>
      <c r="B68" s="65" t="s">
        <v>97</v>
      </c>
      <c r="C68" s="65" t="s">
        <v>99</v>
      </c>
    </row>
    <row r="69">
      <c r="A69" s="65" t="s">
        <v>89</v>
      </c>
      <c r="B69" s="65" t="s">
        <v>97</v>
      </c>
      <c r="C69" s="65" t="s">
        <v>100</v>
      </c>
    </row>
    <row r="70">
      <c r="A70" s="65" t="s">
        <v>101</v>
      </c>
      <c r="B70" s="65" t="s">
        <v>102</v>
      </c>
      <c r="C70" s="65" t="s">
        <v>103</v>
      </c>
    </row>
    <row r="71">
      <c r="A71" s="65" t="s">
        <v>101</v>
      </c>
      <c r="B71" s="65" t="s">
        <v>104</v>
      </c>
      <c r="C71" s="65" t="s">
        <v>105</v>
      </c>
    </row>
    <row r="72">
      <c r="A72" s="65" t="s">
        <v>101</v>
      </c>
      <c r="B72" s="65" t="s">
        <v>106</v>
      </c>
      <c r="C72" s="65" t="s">
        <v>107</v>
      </c>
    </row>
    <row r="73">
      <c r="A73" s="65" t="s">
        <v>101</v>
      </c>
      <c r="B73" s="65" t="s">
        <v>104</v>
      </c>
      <c r="C73" s="65" t="s">
        <v>108</v>
      </c>
    </row>
    <row r="74">
      <c r="A74" s="65" t="s">
        <v>101</v>
      </c>
      <c r="B74" s="65" t="s">
        <v>104</v>
      </c>
      <c r="C74" s="65" t="s">
        <v>109</v>
      </c>
    </row>
    <row r="75">
      <c r="A75" s="65" t="s">
        <v>101</v>
      </c>
      <c r="B75" s="65" t="s">
        <v>104</v>
      </c>
      <c r="C75" s="65" t="s">
        <v>110</v>
      </c>
    </row>
    <row r="76">
      <c r="A76" s="65" t="s">
        <v>101</v>
      </c>
      <c r="B76" s="65" t="s">
        <v>104</v>
      </c>
      <c r="C76" s="65" t="s">
        <v>111</v>
      </c>
    </row>
    <row r="77">
      <c r="A77" s="65" t="s">
        <v>101</v>
      </c>
      <c r="B77" s="65" t="s">
        <v>106</v>
      </c>
      <c r="C77" s="65" t="s">
        <v>112</v>
      </c>
    </row>
    <row r="78">
      <c r="A78" s="65" t="s">
        <v>101</v>
      </c>
      <c r="B78" s="65" t="s">
        <v>106</v>
      </c>
      <c r="C78" s="65" t="s">
        <v>113</v>
      </c>
    </row>
    <row r="79">
      <c r="A79" s="65" t="s">
        <v>101</v>
      </c>
      <c r="B79" s="65" t="s">
        <v>104</v>
      </c>
      <c r="C79" s="65" t="s">
        <v>114</v>
      </c>
    </row>
    <row r="80">
      <c r="A80" s="65" t="s">
        <v>115</v>
      </c>
      <c r="B80" s="65" t="s">
        <v>116</v>
      </c>
      <c r="C80" s="65" t="s">
        <v>52</v>
      </c>
    </row>
    <row r="81">
      <c r="A81" s="65" t="s">
        <v>115</v>
      </c>
      <c r="B81" s="65" t="s">
        <v>116</v>
      </c>
      <c r="C81" s="65" t="s">
        <v>117</v>
      </c>
    </row>
    <row r="82">
      <c r="A82" s="65" t="s">
        <v>115</v>
      </c>
      <c r="B82" s="65" t="s">
        <v>118</v>
      </c>
      <c r="C82" s="65" t="s">
        <v>119</v>
      </c>
    </row>
    <row r="83">
      <c r="A83" s="65" t="s">
        <v>115</v>
      </c>
      <c r="B83" s="65" t="s">
        <v>120</v>
      </c>
      <c r="C83" s="65" t="s">
        <v>121</v>
      </c>
    </row>
    <row r="84">
      <c r="A84" s="65" t="s">
        <v>115</v>
      </c>
      <c r="B84" s="65" t="s">
        <v>116</v>
      </c>
      <c r="C84" s="65" t="s">
        <v>122</v>
      </c>
    </row>
    <row r="85">
      <c r="A85" s="65" t="s">
        <v>115</v>
      </c>
      <c r="B85" s="65" t="s">
        <v>118</v>
      </c>
      <c r="C85" s="65" t="s">
        <v>123</v>
      </c>
    </row>
    <row r="86">
      <c r="A86" s="65" t="s">
        <v>115</v>
      </c>
      <c r="B86" s="65" t="s">
        <v>124</v>
      </c>
      <c r="C86" s="65" t="s">
        <v>125</v>
      </c>
    </row>
    <row r="87">
      <c r="A87" s="65" t="s">
        <v>115</v>
      </c>
      <c r="B87" s="65" t="s">
        <v>124</v>
      </c>
      <c r="C87" s="65" t="s">
        <v>61</v>
      </c>
    </row>
    <row r="88">
      <c r="A88" s="65" t="s">
        <v>115</v>
      </c>
      <c r="B88" s="65" t="s">
        <v>124</v>
      </c>
      <c r="C88" s="65" t="s">
        <v>126</v>
      </c>
    </row>
    <row r="89">
      <c r="A89" s="65" t="s">
        <v>115</v>
      </c>
      <c r="B89" s="65" t="s">
        <v>116</v>
      </c>
      <c r="C89" s="65" t="s">
        <v>127</v>
      </c>
    </row>
    <row r="90">
      <c r="A90" s="65" t="s">
        <v>115</v>
      </c>
      <c r="B90" s="65" t="s">
        <v>116</v>
      </c>
      <c r="C90" s="65" t="s">
        <v>128</v>
      </c>
    </row>
    <row r="91">
      <c r="A91" s="65" t="s">
        <v>115</v>
      </c>
      <c r="B91" s="65" t="s">
        <v>118</v>
      </c>
      <c r="C91" s="65" t="s">
        <v>129</v>
      </c>
    </row>
    <row r="92">
      <c r="A92" s="65" t="s">
        <v>115</v>
      </c>
      <c r="B92" s="65" t="s">
        <v>118</v>
      </c>
      <c r="C92" s="65" t="s">
        <v>130</v>
      </c>
    </row>
    <row r="93">
      <c r="A93" s="65" t="s">
        <v>115</v>
      </c>
      <c r="B93" s="65" t="s">
        <v>118</v>
      </c>
      <c r="C93" s="65" t="s">
        <v>131</v>
      </c>
    </row>
    <row r="94">
      <c r="A94" s="65" t="s">
        <v>115</v>
      </c>
      <c r="B94" s="65" t="s">
        <v>118</v>
      </c>
      <c r="C94" s="65" t="s">
        <v>132</v>
      </c>
    </row>
    <row r="95">
      <c r="A95" s="65" t="s">
        <v>133</v>
      </c>
      <c r="B95" s="65" t="s">
        <v>134</v>
      </c>
      <c r="C95" s="65" t="s">
        <v>135</v>
      </c>
    </row>
    <row r="96">
      <c r="A96" s="65" t="s">
        <v>133</v>
      </c>
      <c r="B96" s="65" t="s">
        <v>136</v>
      </c>
      <c r="C96" s="65" t="s">
        <v>137</v>
      </c>
    </row>
    <row r="97">
      <c r="A97" s="65" t="s">
        <v>133</v>
      </c>
      <c r="B97" s="65" t="s">
        <v>136</v>
      </c>
      <c r="C97" s="65" t="s">
        <v>138</v>
      </c>
    </row>
    <row r="98">
      <c r="A98" s="65" t="s">
        <v>133</v>
      </c>
      <c r="B98" s="65" t="s">
        <v>136</v>
      </c>
      <c r="C98" s="65" t="s">
        <v>139</v>
      </c>
    </row>
    <row r="99">
      <c r="A99" s="65" t="s">
        <v>140</v>
      </c>
      <c r="B99" s="65" t="s">
        <v>141</v>
      </c>
      <c r="C99" s="65" t="s">
        <v>142</v>
      </c>
    </row>
    <row r="100">
      <c r="A100" s="65" t="s">
        <v>140</v>
      </c>
      <c r="B100" s="65" t="s">
        <v>143</v>
      </c>
      <c r="C100" s="65" t="s">
        <v>122</v>
      </c>
    </row>
    <row r="101">
      <c r="A101" s="65" t="s">
        <v>140</v>
      </c>
      <c r="B101" s="65" t="s">
        <v>144</v>
      </c>
      <c r="C101" s="65" t="s">
        <v>21</v>
      </c>
    </row>
    <row r="102">
      <c r="A102" s="65" t="s">
        <v>140</v>
      </c>
      <c r="B102" s="65" t="s">
        <v>143</v>
      </c>
      <c r="C102" s="65" t="s">
        <v>145</v>
      </c>
    </row>
    <row r="103">
      <c r="A103" s="65" t="s">
        <v>140</v>
      </c>
      <c r="B103" s="65" t="s">
        <v>144</v>
      </c>
      <c r="C103" s="65" t="s">
        <v>146</v>
      </c>
    </row>
    <row r="104">
      <c r="A104" s="65" t="s">
        <v>140</v>
      </c>
      <c r="B104" s="65" t="s">
        <v>141</v>
      </c>
      <c r="C104" s="65" t="s">
        <v>147</v>
      </c>
    </row>
    <row r="105">
      <c r="A105" s="65" t="s">
        <v>140</v>
      </c>
      <c r="B105" s="65" t="s">
        <v>148</v>
      </c>
      <c r="C105" s="65" t="s">
        <v>149</v>
      </c>
    </row>
    <row r="106">
      <c r="A106" s="65" t="s">
        <v>140</v>
      </c>
      <c r="B106" s="65" t="s">
        <v>143</v>
      </c>
      <c r="C106" s="65" t="s">
        <v>56</v>
      </c>
    </row>
    <row r="107">
      <c r="A107" s="65" t="s">
        <v>140</v>
      </c>
      <c r="B107" s="65" t="s">
        <v>143</v>
      </c>
      <c r="C107" s="65" t="s">
        <v>150</v>
      </c>
    </row>
    <row r="108">
      <c r="A108" s="65" t="s">
        <v>140</v>
      </c>
      <c r="B108" s="65" t="s">
        <v>143</v>
      </c>
      <c r="C108" s="65" t="s">
        <v>61</v>
      </c>
    </row>
    <row r="109">
      <c r="A109" s="65" t="s">
        <v>140</v>
      </c>
      <c r="B109" s="65" t="s">
        <v>151</v>
      </c>
      <c r="C109" s="65" t="s">
        <v>152</v>
      </c>
    </row>
    <row r="110">
      <c r="A110" s="65" t="s">
        <v>140</v>
      </c>
      <c r="B110" s="65" t="s">
        <v>148</v>
      </c>
      <c r="C110" s="65" t="s">
        <v>153</v>
      </c>
    </row>
    <row r="111">
      <c r="A111" s="65" t="s">
        <v>140</v>
      </c>
      <c r="B111" s="65" t="s">
        <v>141</v>
      </c>
      <c r="C111" s="65" t="s">
        <v>154</v>
      </c>
    </row>
    <row r="112">
      <c r="A112" s="65" t="s">
        <v>140</v>
      </c>
      <c r="B112" s="65" t="s">
        <v>155</v>
      </c>
      <c r="C112" s="65" t="s">
        <v>46</v>
      </c>
    </row>
    <row r="113">
      <c r="A113" s="65" t="s">
        <v>140</v>
      </c>
      <c r="B113" s="65" t="s">
        <v>144</v>
      </c>
      <c r="C113" s="65" t="s">
        <v>156</v>
      </c>
    </row>
    <row r="114">
      <c r="A114" s="65" t="s">
        <v>140</v>
      </c>
      <c r="B114" s="65" t="s">
        <v>157</v>
      </c>
      <c r="C114" s="65" t="s">
        <v>146</v>
      </c>
    </row>
    <row r="115">
      <c r="A115" s="65" t="s">
        <v>140</v>
      </c>
      <c r="B115" s="65" t="s">
        <v>148</v>
      </c>
      <c r="C115" s="65" t="s">
        <v>158</v>
      </c>
    </row>
    <row r="116">
      <c r="A116" s="65" t="s">
        <v>140</v>
      </c>
      <c r="B116" s="65" t="s">
        <v>143</v>
      </c>
      <c r="C116" s="65" t="s">
        <v>46</v>
      </c>
    </row>
    <row r="117">
      <c r="A117" s="65" t="s">
        <v>140</v>
      </c>
      <c r="B117" s="65" t="s">
        <v>143</v>
      </c>
      <c r="C117" s="65" t="s">
        <v>159</v>
      </c>
    </row>
    <row r="118">
      <c r="A118" s="65" t="s">
        <v>140</v>
      </c>
      <c r="B118" s="65" t="s">
        <v>157</v>
      </c>
      <c r="C118" s="65" t="s">
        <v>160</v>
      </c>
    </row>
    <row r="119">
      <c r="A119" s="65" t="s">
        <v>140</v>
      </c>
      <c r="B119" s="65" t="s">
        <v>157</v>
      </c>
      <c r="C119" s="65" t="s">
        <v>161</v>
      </c>
    </row>
    <row r="120">
      <c r="A120" s="65" t="s">
        <v>140</v>
      </c>
      <c r="B120" s="65" t="s">
        <v>155</v>
      </c>
      <c r="C120" s="65" t="s">
        <v>162</v>
      </c>
    </row>
    <row r="121">
      <c r="A121" s="65" t="s">
        <v>140</v>
      </c>
      <c r="B121" s="65" t="s">
        <v>163</v>
      </c>
      <c r="C121" s="65" t="s">
        <v>164</v>
      </c>
    </row>
    <row r="122">
      <c r="A122" s="65" t="s">
        <v>165</v>
      </c>
      <c r="B122" s="65" t="s">
        <v>166</v>
      </c>
      <c r="C122" s="65" t="s">
        <v>167</v>
      </c>
    </row>
    <row r="123">
      <c r="A123" s="65" t="s">
        <v>168</v>
      </c>
      <c r="B123" s="65" t="s">
        <v>169</v>
      </c>
      <c r="C123" s="65" t="s">
        <v>170</v>
      </c>
    </row>
    <row r="124">
      <c r="A124" s="65" t="s">
        <v>168</v>
      </c>
      <c r="B124" s="65" t="s">
        <v>171</v>
      </c>
      <c r="C124" s="65" t="s">
        <v>172</v>
      </c>
    </row>
    <row r="125">
      <c r="A125" s="65" t="s">
        <v>168</v>
      </c>
      <c r="B125" s="65" t="s">
        <v>173</v>
      </c>
      <c r="C125" s="65" t="s">
        <v>174</v>
      </c>
    </row>
    <row r="126">
      <c r="A126" s="65" t="s">
        <v>168</v>
      </c>
      <c r="B126" s="65" t="s">
        <v>169</v>
      </c>
      <c r="C126" s="65" t="s">
        <v>175</v>
      </c>
    </row>
    <row r="127">
      <c r="A127" s="65" t="s">
        <v>168</v>
      </c>
      <c r="B127" s="65" t="s">
        <v>173</v>
      </c>
      <c r="C127" s="65" t="s">
        <v>176</v>
      </c>
    </row>
    <row r="128">
      <c r="A128" s="65" t="s">
        <v>177</v>
      </c>
      <c r="B128" s="65" t="s">
        <v>178</v>
      </c>
      <c r="C128" s="65" t="s">
        <v>179</v>
      </c>
    </row>
    <row r="129">
      <c r="A129" s="65" t="s">
        <v>180</v>
      </c>
      <c r="B129" s="65" t="s">
        <v>181</v>
      </c>
      <c r="C129" s="65" t="s">
        <v>182</v>
      </c>
    </row>
    <row r="130">
      <c r="A130" s="65" t="s">
        <v>183</v>
      </c>
      <c r="B130" s="65" t="s">
        <v>184</v>
      </c>
      <c r="C130" s="65" t="s">
        <v>185</v>
      </c>
    </row>
    <row r="131">
      <c r="A131" s="65" t="s">
        <v>183</v>
      </c>
      <c r="B131" s="65" t="s">
        <v>186</v>
      </c>
      <c r="C131" s="65" t="s">
        <v>187</v>
      </c>
    </row>
    <row r="132">
      <c r="A132" s="65" t="s">
        <v>183</v>
      </c>
      <c r="B132" s="65" t="s">
        <v>188</v>
      </c>
      <c r="C132" s="65" t="s">
        <v>189</v>
      </c>
    </row>
    <row r="133">
      <c r="A133" s="65" t="s">
        <v>183</v>
      </c>
      <c r="B133" s="65" t="s">
        <v>190</v>
      </c>
      <c r="C133" s="65" t="s">
        <v>191</v>
      </c>
    </row>
    <row r="134">
      <c r="A134" s="65" t="s">
        <v>192</v>
      </c>
      <c r="B134" s="65" t="s">
        <v>193</v>
      </c>
      <c r="C134" s="65" t="s">
        <v>194</v>
      </c>
    </row>
    <row r="135">
      <c r="A135" s="65" t="s">
        <v>192</v>
      </c>
      <c r="B135" s="65" t="s">
        <v>195</v>
      </c>
      <c r="C135" s="65" t="s">
        <v>196</v>
      </c>
    </row>
    <row r="136">
      <c r="A136" s="65" t="s">
        <v>192</v>
      </c>
      <c r="B136" s="65" t="s">
        <v>197</v>
      </c>
      <c r="C136" s="65" t="s">
        <v>198</v>
      </c>
    </row>
    <row r="137">
      <c r="A137" s="65" t="s">
        <v>192</v>
      </c>
      <c r="B137" s="65" t="s">
        <v>197</v>
      </c>
      <c r="C137" s="65" t="s">
        <v>199</v>
      </c>
    </row>
    <row r="138">
      <c r="A138" s="65" t="s">
        <v>192</v>
      </c>
      <c r="B138" s="65" t="s">
        <v>200</v>
      </c>
      <c r="C138" s="65" t="s">
        <v>201</v>
      </c>
    </row>
    <row r="139">
      <c r="A139" s="65" t="s">
        <v>192</v>
      </c>
      <c r="B139" s="65" t="s">
        <v>202</v>
      </c>
      <c r="C139" s="65" t="s">
        <v>203</v>
      </c>
    </row>
    <row r="140">
      <c r="A140" s="65" t="s">
        <v>192</v>
      </c>
      <c r="B140" s="65" t="s">
        <v>202</v>
      </c>
      <c r="C140" s="65" t="s">
        <v>204</v>
      </c>
    </row>
    <row r="141">
      <c r="A141" s="65" t="s">
        <v>192</v>
      </c>
      <c r="B141" s="65" t="s">
        <v>202</v>
      </c>
      <c r="C141" s="65" t="s">
        <v>205</v>
      </c>
    </row>
    <row r="142">
      <c r="A142" s="65" t="s">
        <v>192</v>
      </c>
      <c r="B142" s="65" t="s">
        <v>202</v>
      </c>
      <c r="C142" s="65" t="s">
        <v>206</v>
      </c>
    </row>
    <row r="143">
      <c r="A143" s="65" t="s">
        <v>192</v>
      </c>
      <c r="B143" s="65" t="s">
        <v>200</v>
      </c>
      <c r="C143" s="65" t="s">
        <v>207</v>
      </c>
    </row>
    <row r="144">
      <c r="A144" s="65" t="s">
        <v>192</v>
      </c>
      <c r="B144" s="65" t="s">
        <v>200</v>
      </c>
      <c r="C144" s="65" t="s">
        <v>61</v>
      </c>
    </row>
    <row r="145">
      <c r="A145" s="65" t="s">
        <v>192</v>
      </c>
      <c r="B145" s="65" t="s">
        <v>200</v>
      </c>
      <c r="C145" s="65" t="s">
        <v>208</v>
      </c>
    </row>
    <row r="146">
      <c r="A146" s="65" t="s">
        <v>192</v>
      </c>
      <c r="B146" s="65" t="s">
        <v>200</v>
      </c>
      <c r="C146" s="65" t="s">
        <v>209</v>
      </c>
    </row>
    <row r="147">
      <c r="A147" s="65" t="s">
        <v>192</v>
      </c>
      <c r="B147" s="65" t="s">
        <v>195</v>
      </c>
      <c r="C147" s="65" t="s">
        <v>210</v>
      </c>
    </row>
    <row r="148">
      <c r="A148" s="65" t="s">
        <v>192</v>
      </c>
      <c r="B148" s="65" t="s">
        <v>195</v>
      </c>
      <c r="C148" s="65" t="s">
        <v>211</v>
      </c>
    </row>
    <row r="149">
      <c r="A149" s="65" t="s">
        <v>192</v>
      </c>
      <c r="B149" s="65" t="s">
        <v>195</v>
      </c>
      <c r="C149" s="65" t="s">
        <v>61</v>
      </c>
    </row>
    <row r="150">
      <c r="A150" s="65" t="s">
        <v>192</v>
      </c>
      <c r="B150" s="65" t="s">
        <v>195</v>
      </c>
      <c r="C150" s="65" t="s">
        <v>212</v>
      </c>
    </row>
    <row r="151">
      <c r="A151" s="65" t="s">
        <v>192</v>
      </c>
      <c r="B151" s="65" t="s">
        <v>197</v>
      </c>
      <c r="C151" s="65" t="s">
        <v>213</v>
      </c>
    </row>
    <row r="152">
      <c r="A152" s="65" t="s">
        <v>192</v>
      </c>
      <c r="B152" s="65" t="s">
        <v>197</v>
      </c>
      <c r="C152" s="65" t="s">
        <v>214</v>
      </c>
    </row>
    <row r="153">
      <c r="A153" s="65" t="s">
        <v>192</v>
      </c>
      <c r="B153" s="65" t="s">
        <v>197</v>
      </c>
      <c r="C153" s="65" t="s">
        <v>61</v>
      </c>
    </row>
    <row r="154">
      <c r="A154" s="65" t="s">
        <v>192</v>
      </c>
      <c r="B154" s="65" t="s">
        <v>197</v>
      </c>
      <c r="C154" s="65" t="s">
        <v>215</v>
      </c>
    </row>
    <row r="155">
      <c r="A155" s="65" t="s">
        <v>216</v>
      </c>
      <c r="B155" s="65" t="s">
        <v>217</v>
      </c>
      <c r="C155" s="65" t="s">
        <v>218</v>
      </c>
    </row>
    <row r="156">
      <c r="A156" s="65" t="s">
        <v>216</v>
      </c>
      <c r="B156" s="65" t="s">
        <v>219</v>
      </c>
      <c r="C156" s="65" t="s">
        <v>220</v>
      </c>
    </row>
    <row r="157">
      <c r="A157" s="65" t="s">
        <v>216</v>
      </c>
      <c r="B157" s="65" t="s">
        <v>221</v>
      </c>
      <c r="C157" s="65" t="s">
        <v>222</v>
      </c>
    </row>
    <row r="158">
      <c r="A158" s="65" t="s">
        <v>216</v>
      </c>
      <c r="B158" s="65" t="s">
        <v>223</v>
      </c>
      <c r="C158" s="65" t="s">
        <v>224</v>
      </c>
    </row>
    <row r="159">
      <c r="A159" s="65" t="s">
        <v>216</v>
      </c>
      <c r="B159" s="65" t="s">
        <v>225</v>
      </c>
      <c r="C159" s="65" t="s">
        <v>158</v>
      </c>
    </row>
    <row r="160">
      <c r="A160" s="65" t="s">
        <v>216</v>
      </c>
      <c r="B160" s="65" t="s">
        <v>225</v>
      </c>
      <c r="C160" s="65" t="s">
        <v>226</v>
      </c>
    </row>
    <row r="161">
      <c r="A161" s="65" t="s">
        <v>216</v>
      </c>
      <c r="B161" s="65" t="s">
        <v>223</v>
      </c>
      <c r="C161" s="65" t="s">
        <v>227</v>
      </c>
    </row>
    <row r="162">
      <c r="A162" s="65" t="s">
        <v>216</v>
      </c>
      <c r="B162" s="65" t="s">
        <v>225</v>
      </c>
      <c r="C162" s="65" t="s">
        <v>228</v>
      </c>
    </row>
    <row r="163">
      <c r="A163" s="65" t="s">
        <v>216</v>
      </c>
      <c r="B163" s="65" t="s">
        <v>217</v>
      </c>
      <c r="C163" s="65" t="s">
        <v>229</v>
      </c>
    </row>
    <row r="164">
      <c r="A164" s="65" t="s">
        <v>216</v>
      </c>
      <c r="B164" s="65" t="s">
        <v>230</v>
      </c>
      <c r="C164" s="65" t="s">
        <v>231</v>
      </c>
    </row>
    <row r="165">
      <c r="A165" s="65" t="s">
        <v>216</v>
      </c>
      <c r="B165" s="65" t="s">
        <v>217</v>
      </c>
      <c r="C165" s="65" t="s">
        <v>232</v>
      </c>
    </row>
    <row r="166">
      <c r="A166" s="65" t="s">
        <v>216</v>
      </c>
      <c r="B166" s="65" t="s">
        <v>223</v>
      </c>
      <c r="C166" s="65" t="s">
        <v>233</v>
      </c>
    </row>
    <row r="167">
      <c r="A167" s="65" t="s">
        <v>216</v>
      </c>
      <c r="B167" s="65" t="s">
        <v>234</v>
      </c>
      <c r="C167" s="65" t="s">
        <v>235</v>
      </c>
    </row>
    <row r="168">
      <c r="A168" s="65" t="s">
        <v>216</v>
      </c>
      <c r="B168" s="65" t="s">
        <v>223</v>
      </c>
      <c r="C168" s="65" t="s">
        <v>46</v>
      </c>
    </row>
    <row r="169">
      <c r="A169" s="65" t="s">
        <v>216</v>
      </c>
      <c r="B169" s="65" t="s">
        <v>219</v>
      </c>
      <c r="C169" s="65" t="s">
        <v>236</v>
      </c>
    </row>
    <row r="170">
      <c r="A170" s="65" t="s">
        <v>216</v>
      </c>
      <c r="B170" s="65" t="s">
        <v>221</v>
      </c>
      <c r="C170" s="65" t="s">
        <v>237</v>
      </c>
    </row>
    <row r="171">
      <c r="A171" s="65" t="s">
        <v>216</v>
      </c>
      <c r="B171" s="65" t="s">
        <v>238</v>
      </c>
      <c r="C171" s="65" t="s">
        <v>239</v>
      </c>
    </row>
    <row r="172">
      <c r="A172" s="65" t="s">
        <v>216</v>
      </c>
      <c r="B172" s="65" t="s">
        <v>238</v>
      </c>
      <c r="C172" s="65" t="s">
        <v>240</v>
      </c>
    </row>
    <row r="173">
      <c r="A173" s="65" t="s">
        <v>216</v>
      </c>
      <c r="B173" s="65" t="s">
        <v>238</v>
      </c>
      <c r="C173" s="65" t="s">
        <v>241</v>
      </c>
    </row>
    <row r="174">
      <c r="A174" s="65" t="s">
        <v>216</v>
      </c>
      <c r="B174" s="65" t="s">
        <v>238</v>
      </c>
      <c r="C174" s="65" t="s">
        <v>242</v>
      </c>
    </row>
    <row r="175">
      <c r="A175" s="65" t="s">
        <v>216</v>
      </c>
      <c r="B175" s="65" t="s">
        <v>238</v>
      </c>
      <c r="C175" s="65" t="s">
        <v>243</v>
      </c>
    </row>
    <row r="176">
      <c r="A176" s="65" t="s">
        <v>216</v>
      </c>
      <c r="B176" s="65" t="s">
        <v>238</v>
      </c>
      <c r="C176" s="65" t="s">
        <v>244</v>
      </c>
    </row>
    <row r="177">
      <c r="A177" s="65" t="s">
        <v>216</v>
      </c>
      <c r="B177" s="65" t="s">
        <v>238</v>
      </c>
      <c r="C177" s="65" t="s">
        <v>145</v>
      </c>
    </row>
    <row r="178">
      <c r="A178" s="65" t="s">
        <v>216</v>
      </c>
      <c r="B178" s="65" t="s">
        <v>238</v>
      </c>
      <c r="C178" s="65" t="s">
        <v>62</v>
      </c>
    </row>
    <row r="179">
      <c r="A179" s="65" t="s">
        <v>216</v>
      </c>
      <c r="B179" s="65" t="s">
        <v>238</v>
      </c>
      <c r="C179" s="65" t="s">
        <v>245</v>
      </c>
    </row>
    <row r="180">
      <c r="A180" s="65" t="s">
        <v>216</v>
      </c>
      <c r="B180" s="65" t="s">
        <v>221</v>
      </c>
      <c r="C180" s="65" t="s">
        <v>246</v>
      </c>
    </row>
    <row r="181">
      <c r="A181" s="65" t="s">
        <v>216</v>
      </c>
      <c r="B181" s="65" t="s">
        <v>221</v>
      </c>
      <c r="C181" s="65" t="s">
        <v>247</v>
      </c>
    </row>
    <row r="182">
      <c r="A182" s="65" t="s">
        <v>216</v>
      </c>
      <c r="B182" s="65" t="s">
        <v>221</v>
      </c>
      <c r="C182" s="65" t="s">
        <v>248</v>
      </c>
    </row>
    <row r="183">
      <c r="A183" s="65" t="s">
        <v>216</v>
      </c>
      <c r="B183" s="65" t="s">
        <v>221</v>
      </c>
      <c r="C183" s="65" t="s">
        <v>249</v>
      </c>
    </row>
    <row r="184">
      <c r="A184" s="65" t="s">
        <v>216</v>
      </c>
      <c r="B184" s="65" t="s">
        <v>221</v>
      </c>
      <c r="C184" s="65" t="s">
        <v>250</v>
      </c>
    </row>
    <row r="185">
      <c r="A185" s="65" t="s">
        <v>216</v>
      </c>
      <c r="B185" s="65" t="s">
        <v>251</v>
      </c>
      <c r="C185" s="65" t="s">
        <v>252</v>
      </c>
    </row>
    <row r="186">
      <c r="A186" s="65" t="s">
        <v>216</v>
      </c>
      <c r="B186" s="65" t="s">
        <v>230</v>
      </c>
      <c r="C186" s="65" t="s">
        <v>253</v>
      </c>
    </row>
    <row r="187">
      <c r="A187" s="65" t="s">
        <v>216</v>
      </c>
      <c r="B187" s="65" t="s">
        <v>251</v>
      </c>
      <c r="C187" s="65" t="s">
        <v>254</v>
      </c>
    </row>
    <row r="188">
      <c r="A188" s="65" t="s">
        <v>216</v>
      </c>
      <c r="B188" s="65" t="s">
        <v>219</v>
      </c>
      <c r="C188" s="65" t="s">
        <v>255</v>
      </c>
    </row>
    <row r="189">
      <c r="A189" s="65" t="s">
        <v>216</v>
      </c>
      <c r="B189" s="65" t="s">
        <v>225</v>
      </c>
      <c r="C189" s="65" t="s">
        <v>256</v>
      </c>
    </row>
    <row r="190">
      <c r="A190" s="65" t="s">
        <v>216</v>
      </c>
      <c r="B190" s="65" t="s">
        <v>251</v>
      </c>
      <c r="C190" s="65" t="s">
        <v>257</v>
      </c>
    </row>
    <row r="191">
      <c r="A191" s="65" t="s">
        <v>216</v>
      </c>
      <c r="B191" s="65" t="s">
        <v>219</v>
      </c>
      <c r="C191" s="65" t="s">
        <v>258</v>
      </c>
    </row>
    <row r="192">
      <c r="A192" s="65" t="s">
        <v>216</v>
      </c>
      <c r="B192" s="65" t="s">
        <v>230</v>
      </c>
      <c r="C192" s="65" t="s">
        <v>259</v>
      </c>
    </row>
    <row r="193">
      <c r="A193" s="65" t="s">
        <v>216</v>
      </c>
      <c r="B193" s="65" t="s">
        <v>230</v>
      </c>
      <c r="C193" s="65" t="s">
        <v>260</v>
      </c>
    </row>
    <row r="194">
      <c r="A194" s="65" t="s">
        <v>216</v>
      </c>
      <c r="B194" s="65" t="s">
        <v>219</v>
      </c>
      <c r="C194" s="65" t="s">
        <v>261</v>
      </c>
    </row>
    <row r="195">
      <c r="A195" s="65" t="s">
        <v>216</v>
      </c>
      <c r="B195" s="65" t="s">
        <v>219</v>
      </c>
      <c r="C195" s="65" t="s">
        <v>262</v>
      </c>
    </row>
    <row r="196">
      <c r="A196" s="65" t="s">
        <v>216</v>
      </c>
      <c r="B196" s="65" t="s">
        <v>251</v>
      </c>
      <c r="C196" s="65" t="s">
        <v>263</v>
      </c>
    </row>
    <row r="197">
      <c r="A197" s="65" t="s">
        <v>216</v>
      </c>
      <c r="B197" s="65" t="s">
        <v>217</v>
      </c>
      <c r="C197" s="65" t="s">
        <v>264</v>
      </c>
    </row>
    <row r="198">
      <c r="A198" s="65" t="s">
        <v>216</v>
      </c>
      <c r="B198" s="65" t="s">
        <v>217</v>
      </c>
      <c r="C198" s="65" t="s">
        <v>265</v>
      </c>
    </row>
    <row r="199">
      <c r="A199" s="65" t="s">
        <v>216</v>
      </c>
      <c r="B199" s="65" t="s">
        <v>217</v>
      </c>
      <c r="C199" s="65" t="s">
        <v>266</v>
      </c>
    </row>
    <row r="200">
      <c r="A200" s="65" t="s">
        <v>216</v>
      </c>
      <c r="B200" s="65" t="s">
        <v>251</v>
      </c>
      <c r="C200" s="65" t="s">
        <v>267</v>
      </c>
    </row>
    <row r="201">
      <c r="A201" s="65" t="s">
        <v>216</v>
      </c>
      <c r="B201" s="65" t="s">
        <v>219</v>
      </c>
      <c r="C201" s="65" t="s">
        <v>268</v>
      </c>
    </row>
    <row r="202">
      <c r="A202" s="65" t="s">
        <v>216</v>
      </c>
      <c r="B202" s="65" t="s">
        <v>251</v>
      </c>
      <c r="C202" s="65" t="s">
        <v>269</v>
      </c>
    </row>
    <row r="203">
      <c r="A203" s="65" t="s">
        <v>216</v>
      </c>
      <c r="B203" s="65" t="s">
        <v>225</v>
      </c>
      <c r="C203" s="65" t="s">
        <v>270</v>
      </c>
    </row>
    <row r="204">
      <c r="A204" s="65" t="s">
        <v>216</v>
      </c>
      <c r="B204" s="65" t="s">
        <v>219</v>
      </c>
      <c r="C204" s="65" t="s">
        <v>271</v>
      </c>
    </row>
    <row r="205">
      <c r="A205" s="65" t="s">
        <v>216</v>
      </c>
      <c r="B205" s="65" t="s">
        <v>217</v>
      </c>
      <c r="C205" s="65" t="s">
        <v>272</v>
      </c>
    </row>
    <row r="206">
      <c r="A206" s="65" t="s">
        <v>216</v>
      </c>
      <c r="B206" s="65" t="s">
        <v>223</v>
      </c>
      <c r="C206" s="65" t="s">
        <v>273</v>
      </c>
    </row>
    <row r="207">
      <c r="A207" s="65" t="s">
        <v>216</v>
      </c>
      <c r="B207" s="65" t="s">
        <v>230</v>
      </c>
      <c r="C207" s="65" t="s">
        <v>274</v>
      </c>
    </row>
    <row r="208">
      <c r="A208" s="65" t="s">
        <v>216</v>
      </c>
      <c r="B208" s="65" t="s">
        <v>225</v>
      </c>
      <c r="C208" s="65" t="s">
        <v>275</v>
      </c>
    </row>
    <row r="209">
      <c r="A209" s="65" t="s">
        <v>216</v>
      </c>
      <c r="B209" s="65" t="s">
        <v>223</v>
      </c>
      <c r="C209" s="65" t="s">
        <v>276</v>
      </c>
    </row>
    <row r="210">
      <c r="A210" s="65" t="s">
        <v>216</v>
      </c>
      <c r="B210" s="65" t="s">
        <v>225</v>
      </c>
      <c r="C210" s="65" t="s">
        <v>277</v>
      </c>
    </row>
    <row r="211">
      <c r="A211" s="65" t="s">
        <v>216</v>
      </c>
      <c r="B211" s="65" t="s">
        <v>225</v>
      </c>
      <c r="C211" s="65" t="s">
        <v>278</v>
      </c>
    </row>
    <row r="212">
      <c r="A212" s="65" t="s">
        <v>216</v>
      </c>
      <c r="B212" s="65" t="s">
        <v>223</v>
      </c>
      <c r="C212" s="65" t="s">
        <v>279</v>
      </c>
    </row>
    <row r="213">
      <c r="A213" s="65" t="s">
        <v>216</v>
      </c>
      <c r="B213" s="65" t="s">
        <v>230</v>
      </c>
      <c r="C213" s="65" t="s">
        <v>280</v>
      </c>
    </row>
    <row r="214">
      <c r="A214" s="65" t="s">
        <v>281</v>
      </c>
      <c r="B214" s="65" t="s">
        <v>282</v>
      </c>
      <c r="C214" s="65" t="s">
        <v>283</v>
      </c>
    </row>
    <row r="215">
      <c r="A215" s="65" t="s">
        <v>281</v>
      </c>
      <c r="B215" s="65" t="s">
        <v>284</v>
      </c>
      <c r="C215" s="65" t="s">
        <v>285</v>
      </c>
    </row>
    <row r="216">
      <c r="A216" s="65" t="s">
        <v>281</v>
      </c>
      <c r="B216" s="65" t="s">
        <v>286</v>
      </c>
      <c r="C216" s="65" t="s">
        <v>287</v>
      </c>
    </row>
    <row r="217">
      <c r="A217" s="65" t="s">
        <v>281</v>
      </c>
      <c r="B217" s="65" t="s">
        <v>284</v>
      </c>
      <c r="C217" s="65" t="s">
        <v>288</v>
      </c>
    </row>
    <row r="218">
      <c r="A218" s="65" t="s">
        <v>281</v>
      </c>
      <c r="B218" s="65" t="s">
        <v>289</v>
      </c>
      <c r="C218" s="65" t="s">
        <v>290</v>
      </c>
    </row>
    <row r="219">
      <c r="A219" s="65" t="s">
        <v>281</v>
      </c>
      <c r="B219" s="65" t="s">
        <v>284</v>
      </c>
      <c r="C219" s="65" t="s">
        <v>291</v>
      </c>
    </row>
    <row r="220">
      <c r="A220" s="65" t="s">
        <v>281</v>
      </c>
      <c r="B220" s="65" t="s">
        <v>286</v>
      </c>
      <c r="C220" s="65" t="s">
        <v>292</v>
      </c>
    </row>
    <row r="221">
      <c r="A221" s="65" t="s">
        <v>281</v>
      </c>
      <c r="B221" s="65" t="s">
        <v>289</v>
      </c>
      <c r="C221" s="65" t="s">
        <v>293</v>
      </c>
    </row>
    <row r="222">
      <c r="A222" s="65" t="s">
        <v>281</v>
      </c>
      <c r="B222" s="65" t="s">
        <v>289</v>
      </c>
      <c r="C222" s="65" t="s">
        <v>294</v>
      </c>
    </row>
    <row r="223">
      <c r="A223" s="65" t="s">
        <v>281</v>
      </c>
      <c r="B223" s="65" t="s">
        <v>289</v>
      </c>
      <c r="C223" s="65" t="s">
        <v>295</v>
      </c>
    </row>
    <row r="224">
      <c r="A224" s="65" t="s">
        <v>281</v>
      </c>
      <c r="B224" s="65" t="s">
        <v>284</v>
      </c>
      <c r="C224" s="65" t="s">
        <v>296</v>
      </c>
    </row>
    <row r="225">
      <c r="A225" s="65" t="s">
        <v>281</v>
      </c>
      <c r="B225" s="65" t="s">
        <v>289</v>
      </c>
      <c r="C225" s="65" t="s">
        <v>297</v>
      </c>
    </row>
    <row r="226">
      <c r="A226" s="65" t="s">
        <v>281</v>
      </c>
      <c r="B226" s="65" t="s">
        <v>289</v>
      </c>
      <c r="C226" s="65" t="s">
        <v>62</v>
      </c>
    </row>
    <row r="227">
      <c r="A227" s="65" t="s">
        <v>298</v>
      </c>
      <c r="B227" s="65" t="s">
        <v>299</v>
      </c>
      <c r="C227" s="65" t="s">
        <v>300</v>
      </c>
    </row>
    <row r="228">
      <c r="A228" s="65" t="s">
        <v>298</v>
      </c>
      <c r="B228" s="65" t="s">
        <v>299</v>
      </c>
      <c r="C228" s="65" t="s">
        <v>301</v>
      </c>
    </row>
    <row r="229">
      <c r="A229" s="65" t="s">
        <v>298</v>
      </c>
      <c r="B229" s="65" t="s">
        <v>302</v>
      </c>
      <c r="C229" s="65" t="s">
        <v>303</v>
      </c>
    </row>
    <row r="230">
      <c r="A230" s="65" t="s">
        <v>298</v>
      </c>
      <c r="B230" s="65" t="s">
        <v>304</v>
      </c>
      <c r="C230" s="65" t="s">
        <v>305</v>
      </c>
    </row>
    <row r="231">
      <c r="A231" s="65" t="s">
        <v>298</v>
      </c>
      <c r="B231" s="65" t="s">
        <v>304</v>
      </c>
      <c r="C231" s="65" t="s">
        <v>306</v>
      </c>
    </row>
    <row r="232">
      <c r="A232" s="65" t="s">
        <v>298</v>
      </c>
      <c r="B232" s="65" t="s">
        <v>307</v>
      </c>
      <c r="C232" s="65" t="s">
        <v>308</v>
      </c>
    </row>
    <row r="233">
      <c r="A233" s="65" t="s">
        <v>298</v>
      </c>
      <c r="B233" s="65" t="s">
        <v>309</v>
      </c>
      <c r="C233" s="65" t="s">
        <v>310</v>
      </c>
    </row>
    <row r="234">
      <c r="A234" s="65" t="s">
        <v>298</v>
      </c>
      <c r="B234" s="65" t="s">
        <v>307</v>
      </c>
      <c r="C234" s="65" t="s">
        <v>311</v>
      </c>
    </row>
    <row r="235">
      <c r="A235" s="65" t="s">
        <v>298</v>
      </c>
      <c r="B235" s="65" t="s">
        <v>299</v>
      </c>
      <c r="C235" s="65" t="s">
        <v>312</v>
      </c>
    </row>
    <row r="236">
      <c r="A236" s="65" t="s">
        <v>298</v>
      </c>
      <c r="B236" s="65" t="s">
        <v>307</v>
      </c>
      <c r="C236" s="65" t="s">
        <v>313</v>
      </c>
    </row>
    <row r="237">
      <c r="A237" s="65" t="s">
        <v>298</v>
      </c>
      <c r="B237" s="65" t="s">
        <v>304</v>
      </c>
      <c r="C237" s="65" t="s">
        <v>314</v>
      </c>
    </row>
    <row r="238">
      <c r="A238" s="65" t="s">
        <v>298</v>
      </c>
      <c r="B238" s="65" t="s">
        <v>307</v>
      </c>
      <c r="C238" s="65" t="s">
        <v>315</v>
      </c>
    </row>
    <row r="239">
      <c r="A239" s="65" t="s">
        <v>298</v>
      </c>
      <c r="B239" s="65" t="s">
        <v>299</v>
      </c>
      <c r="C239" s="65" t="s">
        <v>316</v>
      </c>
    </row>
    <row r="240">
      <c r="A240" s="65" t="s">
        <v>298</v>
      </c>
      <c r="B240" s="65" t="s">
        <v>307</v>
      </c>
      <c r="C240" s="65" t="s">
        <v>317</v>
      </c>
    </row>
    <row r="241">
      <c r="A241" s="65" t="s">
        <v>298</v>
      </c>
      <c r="B241" s="65" t="s">
        <v>307</v>
      </c>
      <c r="C241" s="65" t="s">
        <v>318</v>
      </c>
    </row>
    <row r="242">
      <c r="A242" s="65" t="s">
        <v>298</v>
      </c>
      <c r="B242" s="65" t="s">
        <v>307</v>
      </c>
      <c r="C242" s="65" t="s">
        <v>319</v>
      </c>
    </row>
    <row r="243">
      <c r="A243" s="65" t="s">
        <v>298</v>
      </c>
      <c r="B243" s="65" t="s">
        <v>307</v>
      </c>
      <c r="C243" s="65" t="s">
        <v>320</v>
      </c>
    </row>
    <row r="244">
      <c r="A244" s="65" t="s">
        <v>298</v>
      </c>
      <c r="B244" s="65" t="s">
        <v>299</v>
      </c>
      <c r="C244" s="65" t="s">
        <v>321</v>
      </c>
    </row>
    <row r="245">
      <c r="A245" s="65" t="s">
        <v>298</v>
      </c>
      <c r="B245" s="65" t="s">
        <v>302</v>
      </c>
      <c r="C245" s="65" t="s">
        <v>322</v>
      </c>
    </row>
    <row r="246">
      <c r="A246" s="65" t="s">
        <v>323</v>
      </c>
      <c r="B246" s="65" t="s">
        <v>324</v>
      </c>
      <c r="C246" s="65" t="s">
        <v>325</v>
      </c>
    </row>
    <row r="247">
      <c r="A247" s="65" t="s">
        <v>323</v>
      </c>
      <c r="B247" s="65" t="s">
        <v>324</v>
      </c>
      <c r="C247" s="65" t="s">
        <v>52</v>
      </c>
    </row>
    <row r="248">
      <c r="A248" s="65" t="s">
        <v>323</v>
      </c>
      <c r="B248" s="65" t="s">
        <v>326</v>
      </c>
      <c r="C248" s="65" t="s">
        <v>267</v>
      </c>
    </row>
    <row r="249">
      <c r="A249" s="65" t="s">
        <v>323</v>
      </c>
      <c r="B249" s="65" t="s">
        <v>326</v>
      </c>
      <c r="C249" s="65" t="s">
        <v>327</v>
      </c>
    </row>
    <row r="250">
      <c r="A250" s="65" t="s">
        <v>323</v>
      </c>
      <c r="B250" s="65" t="s">
        <v>328</v>
      </c>
      <c r="C250" s="65" t="s">
        <v>329</v>
      </c>
    </row>
    <row r="251">
      <c r="A251" s="65" t="s">
        <v>323</v>
      </c>
      <c r="B251" s="65" t="s">
        <v>328</v>
      </c>
      <c r="C251" s="65" t="s">
        <v>330</v>
      </c>
    </row>
    <row r="252">
      <c r="A252" s="65" t="s">
        <v>323</v>
      </c>
      <c r="B252" s="65" t="s">
        <v>331</v>
      </c>
      <c r="C252" s="65" t="s">
        <v>332</v>
      </c>
    </row>
    <row r="253">
      <c r="A253" s="65" t="s">
        <v>323</v>
      </c>
      <c r="B253" s="65" t="s">
        <v>331</v>
      </c>
      <c r="C253" s="65" t="s">
        <v>333</v>
      </c>
    </row>
    <row r="254">
      <c r="A254" s="65" t="s">
        <v>323</v>
      </c>
      <c r="B254" s="65" t="s">
        <v>328</v>
      </c>
      <c r="C254" s="65" t="s">
        <v>334</v>
      </c>
    </row>
    <row r="255">
      <c r="A255" s="65" t="s">
        <v>323</v>
      </c>
      <c r="B255" s="65" t="s">
        <v>331</v>
      </c>
      <c r="C255" s="65" t="s">
        <v>335</v>
      </c>
    </row>
    <row r="256">
      <c r="A256" s="65" t="s">
        <v>323</v>
      </c>
      <c r="B256" s="65" t="s">
        <v>331</v>
      </c>
      <c r="C256" s="65" t="s">
        <v>336</v>
      </c>
    </row>
    <row r="257">
      <c r="A257" s="65" t="s">
        <v>323</v>
      </c>
      <c r="B257" s="65" t="s">
        <v>324</v>
      </c>
      <c r="C257" s="65" t="s">
        <v>337</v>
      </c>
    </row>
    <row r="258">
      <c r="A258" s="65" t="s">
        <v>323</v>
      </c>
      <c r="B258" s="65" t="s">
        <v>326</v>
      </c>
      <c r="C258" s="65" t="s">
        <v>338</v>
      </c>
    </row>
    <row r="259">
      <c r="A259" s="65" t="s">
        <v>323</v>
      </c>
      <c r="B259" s="65" t="s">
        <v>324</v>
      </c>
      <c r="C259" s="65" t="s">
        <v>339</v>
      </c>
    </row>
    <row r="260">
      <c r="A260" s="65" t="s">
        <v>323</v>
      </c>
      <c r="B260" s="65" t="s">
        <v>324</v>
      </c>
      <c r="C260" s="65" t="s">
        <v>340</v>
      </c>
    </row>
    <row r="261">
      <c r="A261" s="65" t="s">
        <v>323</v>
      </c>
      <c r="B261" s="65" t="s">
        <v>331</v>
      </c>
      <c r="C261" s="65" t="s">
        <v>341</v>
      </c>
    </row>
    <row r="262">
      <c r="A262" s="65" t="s">
        <v>323</v>
      </c>
      <c r="B262" s="65" t="s">
        <v>331</v>
      </c>
      <c r="C262" s="65" t="s">
        <v>342</v>
      </c>
    </row>
    <row r="263">
      <c r="A263" s="65" t="s">
        <v>323</v>
      </c>
      <c r="B263" s="65" t="s">
        <v>331</v>
      </c>
      <c r="C263" s="65" t="s">
        <v>343</v>
      </c>
    </row>
    <row r="264">
      <c r="A264" s="65" t="s">
        <v>323</v>
      </c>
      <c r="B264" s="65" t="s">
        <v>344</v>
      </c>
      <c r="C264" s="65" t="s">
        <v>345</v>
      </c>
    </row>
    <row r="265">
      <c r="A265" s="65" t="s">
        <v>323</v>
      </c>
      <c r="B265" s="65" t="s">
        <v>324</v>
      </c>
      <c r="C265" s="65" t="s">
        <v>346</v>
      </c>
    </row>
    <row r="266">
      <c r="A266" s="65" t="s">
        <v>323</v>
      </c>
      <c r="B266" s="65" t="s">
        <v>331</v>
      </c>
      <c r="C266" s="65" t="s">
        <v>347</v>
      </c>
    </row>
    <row r="267">
      <c r="A267" s="65" t="s">
        <v>323</v>
      </c>
      <c r="B267" s="65" t="s">
        <v>331</v>
      </c>
      <c r="C267" s="65" t="s">
        <v>348</v>
      </c>
    </row>
    <row r="268">
      <c r="A268" s="65" t="s">
        <v>323</v>
      </c>
      <c r="B268" s="65" t="s">
        <v>324</v>
      </c>
      <c r="C268" s="65" t="s">
        <v>349</v>
      </c>
    </row>
    <row r="269">
      <c r="A269" s="65" t="s">
        <v>323</v>
      </c>
      <c r="B269" s="65" t="s">
        <v>331</v>
      </c>
      <c r="C269" s="65" t="s">
        <v>350</v>
      </c>
    </row>
    <row r="270">
      <c r="A270" s="65" t="s">
        <v>323</v>
      </c>
      <c r="B270" s="65" t="s">
        <v>331</v>
      </c>
      <c r="C270" s="65" t="s">
        <v>351</v>
      </c>
    </row>
    <row r="271">
      <c r="A271" s="65" t="s">
        <v>323</v>
      </c>
      <c r="B271" s="65" t="s">
        <v>328</v>
      </c>
      <c r="C271" s="65" t="s">
        <v>8</v>
      </c>
    </row>
    <row r="272">
      <c r="A272" s="65" t="s">
        <v>323</v>
      </c>
      <c r="B272" s="65" t="s">
        <v>331</v>
      </c>
      <c r="C272" s="65" t="s">
        <v>352</v>
      </c>
    </row>
    <row r="273">
      <c r="A273" s="65" t="s">
        <v>353</v>
      </c>
      <c r="B273" s="65" t="s">
        <v>354</v>
      </c>
      <c r="C273" s="65" t="s">
        <v>355</v>
      </c>
    </row>
    <row r="274">
      <c r="A274" s="65" t="s">
        <v>353</v>
      </c>
      <c r="B274" s="65" t="s">
        <v>356</v>
      </c>
      <c r="C274" s="65" t="s">
        <v>357</v>
      </c>
    </row>
    <row r="275">
      <c r="A275" s="65" t="s">
        <v>353</v>
      </c>
      <c r="B275" s="65" t="s">
        <v>356</v>
      </c>
      <c r="C275" s="65" t="s">
        <v>358</v>
      </c>
    </row>
    <row r="276">
      <c r="A276" s="65" t="s">
        <v>353</v>
      </c>
      <c r="B276" s="65" t="s">
        <v>359</v>
      </c>
      <c r="C276" s="65" t="s">
        <v>360</v>
      </c>
    </row>
    <row r="277">
      <c r="A277" s="65" t="s">
        <v>353</v>
      </c>
      <c r="B277" s="65" t="s">
        <v>359</v>
      </c>
      <c r="C277" s="65" t="s">
        <v>361</v>
      </c>
    </row>
    <row r="278">
      <c r="A278" s="65" t="s">
        <v>353</v>
      </c>
      <c r="B278" s="65" t="s">
        <v>356</v>
      </c>
      <c r="C278" s="65" t="s">
        <v>362</v>
      </c>
    </row>
    <row r="279">
      <c r="A279" s="65" t="s">
        <v>363</v>
      </c>
      <c r="B279" s="65" t="s">
        <v>364</v>
      </c>
      <c r="C279" s="65" t="s">
        <v>365</v>
      </c>
    </row>
    <row r="280">
      <c r="A280" s="65" t="s">
        <v>363</v>
      </c>
      <c r="B280" s="65" t="s">
        <v>366</v>
      </c>
      <c r="C280" s="65" t="s">
        <v>367</v>
      </c>
    </row>
    <row r="281">
      <c r="A281" s="65" t="s">
        <v>363</v>
      </c>
      <c r="B281" s="65" t="s">
        <v>173</v>
      </c>
      <c r="C281" s="65" t="s">
        <v>176</v>
      </c>
    </row>
    <row r="282">
      <c r="A282" s="65" t="s">
        <v>363</v>
      </c>
      <c r="B282" s="65" t="s">
        <v>368</v>
      </c>
      <c r="C282" s="65" t="s">
        <v>369</v>
      </c>
    </row>
    <row r="283">
      <c r="A283" s="65" t="s">
        <v>363</v>
      </c>
      <c r="B283" s="65" t="s">
        <v>370</v>
      </c>
      <c r="C283" s="65" t="s">
        <v>371</v>
      </c>
    </row>
    <row r="284">
      <c r="A284" s="65" t="s">
        <v>363</v>
      </c>
      <c r="B284" s="65" t="s">
        <v>173</v>
      </c>
      <c r="C284" s="65" t="s">
        <v>372</v>
      </c>
    </row>
    <row r="285">
      <c r="A285" s="65" t="s">
        <v>363</v>
      </c>
      <c r="B285" s="65" t="s">
        <v>373</v>
      </c>
      <c r="C285" s="65" t="s">
        <v>161</v>
      </c>
    </row>
    <row r="286">
      <c r="A286" s="65" t="s">
        <v>363</v>
      </c>
      <c r="B286" s="65" t="s">
        <v>173</v>
      </c>
      <c r="C286" s="65" t="s">
        <v>374</v>
      </c>
    </row>
    <row r="287">
      <c r="A287" s="65" t="s">
        <v>363</v>
      </c>
      <c r="B287" s="65" t="s">
        <v>368</v>
      </c>
      <c r="C287" s="65" t="s">
        <v>46</v>
      </c>
    </row>
    <row r="288">
      <c r="A288" s="65" t="s">
        <v>363</v>
      </c>
      <c r="B288" s="65" t="s">
        <v>373</v>
      </c>
      <c r="C288" s="65" t="s">
        <v>375</v>
      </c>
    </row>
    <row r="289">
      <c r="A289" s="65" t="s">
        <v>363</v>
      </c>
      <c r="B289" s="65" t="s">
        <v>173</v>
      </c>
      <c r="C289" s="65" t="s">
        <v>376</v>
      </c>
    </row>
    <row r="290">
      <c r="A290" s="65" t="s">
        <v>363</v>
      </c>
      <c r="B290" s="65" t="s">
        <v>366</v>
      </c>
      <c r="C290" s="65" t="s">
        <v>62</v>
      </c>
    </row>
    <row r="291">
      <c r="A291" s="65" t="s">
        <v>363</v>
      </c>
      <c r="B291" s="65" t="s">
        <v>366</v>
      </c>
      <c r="C291" s="65" t="s">
        <v>377</v>
      </c>
    </row>
    <row r="292">
      <c r="A292" s="65" t="s">
        <v>363</v>
      </c>
      <c r="B292" s="65" t="s">
        <v>370</v>
      </c>
      <c r="C292" s="65" t="s">
        <v>378</v>
      </c>
    </row>
    <row r="293">
      <c r="A293" s="65" t="s">
        <v>363</v>
      </c>
      <c r="B293" s="65" t="s">
        <v>373</v>
      </c>
      <c r="C293" s="65" t="s">
        <v>86</v>
      </c>
    </row>
    <row r="294">
      <c r="A294" s="65" t="s">
        <v>363</v>
      </c>
      <c r="B294" s="65" t="s">
        <v>370</v>
      </c>
      <c r="C294" s="65" t="s">
        <v>379</v>
      </c>
    </row>
    <row r="295">
      <c r="A295" s="65" t="s">
        <v>363</v>
      </c>
      <c r="B295" s="65" t="s">
        <v>370</v>
      </c>
      <c r="C295" s="65" t="s">
        <v>380</v>
      </c>
    </row>
    <row r="296">
      <c r="A296" s="65" t="s">
        <v>363</v>
      </c>
      <c r="B296" s="65" t="s">
        <v>173</v>
      </c>
      <c r="C296" s="65" t="s">
        <v>46</v>
      </c>
    </row>
    <row r="297">
      <c r="A297" s="65" t="s">
        <v>363</v>
      </c>
      <c r="B297" s="65" t="s">
        <v>368</v>
      </c>
      <c r="C297" s="65" t="s">
        <v>381</v>
      </c>
    </row>
    <row r="298">
      <c r="A298" s="65" t="s">
        <v>363</v>
      </c>
      <c r="B298" s="65" t="s">
        <v>373</v>
      </c>
      <c r="C298" s="65" t="s">
        <v>382</v>
      </c>
    </row>
    <row r="299">
      <c r="A299" s="65" t="s">
        <v>363</v>
      </c>
      <c r="B299" s="65" t="s">
        <v>173</v>
      </c>
      <c r="C299" s="65" t="s">
        <v>383</v>
      </c>
    </row>
    <row r="300">
      <c r="A300" s="65" t="s">
        <v>363</v>
      </c>
      <c r="B300" s="65" t="s">
        <v>366</v>
      </c>
      <c r="C300" s="65" t="s">
        <v>384</v>
      </c>
    </row>
    <row r="301">
      <c r="A301" s="65" t="s">
        <v>363</v>
      </c>
      <c r="B301" s="65" t="s">
        <v>368</v>
      </c>
      <c r="C301" s="65" t="s">
        <v>385</v>
      </c>
    </row>
    <row r="302">
      <c r="A302" s="65" t="s">
        <v>386</v>
      </c>
      <c r="B302" s="65" t="s">
        <v>387</v>
      </c>
      <c r="C302" s="65" t="s">
        <v>388</v>
      </c>
    </row>
    <row r="303">
      <c r="A303" s="65" t="s">
        <v>386</v>
      </c>
      <c r="B303" s="65" t="s">
        <v>389</v>
      </c>
      <c r="C303" s="65" t="s">
        <v>390</v>
      </c>
    </row>
    <row r="304">
      <c r="A304" s="65" t="s">
        <v>391</v>
      </c>
      <c r="B304" s="65" t="s">
        <v>392</v>
      </c>
      <c r="C304" s="65" t="s">
        <v>393</v>
      </c>
    </row>
    <row r="305">
      <c r="A305" s="65" t="s">
        <v>391</v>
      </c>
      <c r="B305" s="65" t="s">
        <v>392</v>
      </c>
      <c r="C305" s="65" t="s">
        <v>394</v>
      </c>
    </row>
    <row r="306">
      <c r="A306" s="65" t="s">
        <v>391</v>
      </c>
      <c r="B306" s="65" t="s">
        <v>395</v>
      </c>
      <c r="C306" s="65" t="s">
        <v>396</v>
      </c>
    </row>
    <row r="307">
      <c r="A307" s="65" t="s">
        <v>391</v>
      </c>
      <c r="B307" s="65" t="s">
        <v>392</v>
      </c>
      <c r="C307" s="65" t="s">
        <v>397</v>
      </c>
    </row>
    <row r="308">
      <c r="A308" s="65" t="s">
        <v>391</v>
      </c>
      <c r="B308" s="65" t="s">
        <v>392</v>
      </c>
      <c r="C308" s="65" t="s">
        <v>398</v>
      </c>
    </row>
    <row r="309">
      <c r="A309" s="65" t="s">
        <v>391</v>
      </c>
      <c r="B309" s="65" t="s">
        <v>399</v>
      </c>
      <c r="C309" s="65" t="s">
        <v>400</v>
      </c>
    </row>
    <row r="310">
      <c r="A310" s="65" t="s">
        <v>391</v>
      </c>
      <c r="B310" s="65" t="s">
        <v>399</v>
      </c>
      <c r="C310" s="65" t="s">
        <v>334</v>
      </c>
    </row>
    <row r="311">
      <c r="A311" s="65" t="s">
        <v>391</v>
      </c>
      <c r="B311" s="65" t="s">
        <v>401</v>
      </c>
      <c r="C311" s="65" t="s">
        <v>402</v>
      </c>
    </row>
    <row r="312">
      <c r="A312" s="65" t="s">
        <v>391</v>
      </c>
      <c r="B312" s="65" t="s">
        <v>403</v>
      </c>
      <c r="C312" s="65" t="s">
        <v>404</v>
      </c>
    </row>
    <row r="313">
      <c r="A313" s="65" t="s">
        <v>391</v>
      </c>
      <c r="B313" s="65" t="s">
        <v>403</v>
      </c>
      <c r="C313" s="65" t="s">
        <v>405</v>
      </c>
    </row>
    <row r="314">
      <c r="A314" s="65" t="s">
        <v>391</v>
      </c>
      <c r="B314" s="65" t="s">
        <v>392</v>
      </c>
      <c r="C314" s="65" t="s">
        <v>406</v>
      </c>
    </row>
    <row r="315">
      <c r="A315" s="65" t="s">
        <v>391</v>
      </c>
      <c r="B315" s="65" t="s">
        <v>403</v>
      </c>
      <c r="C315" s="65" t="s">
        <v>407</v>
      </c>
    </row>
    <row r="316">
      <c r="A316" s="65" t="s">
        <v>391</v>
      </c>
      <c r="B316" s="65" t="s">
        <v>392</v>
      </c>
      <c r="C316" s="65" t="s">
        <v>408</v>
      </c>
    </row>
    <row r="317">
      <c r="A317" s="65" t="s">
        <v>391</v>
      </c>
      <c r="B317" s="65" t="s">
        <v>395</v>
      </c>
      <c r="C317" s="65" t="s">
        <v>409</v>
      </c>
    </row>
    <row r="318">
      <c r="A318" s="65" t="s">
        <v>391</v>
      </c>
      <c r="B318" s="65" t="s">
        <v>395</v>
      </c>
      <c r="C318" s="65" t="s">
        <v>410</v>
      </c>
    </row>
    <row r="319">
      <c r="A319" s="65" t="s">
        <v>391</v>
      </c>
      <c r="B319" s="65" t="s">
        <v>392</v>
      </c>
      <c r="C319" s="65" t="s">
        <v>411</v>
      </c>
    </row>
    <row r="320">
      <c r="A320" s="65" t="s">
        <v>391</v>
      </c>
      <c r="B320" s="65" t="s">
        <v>392</v>
      </c>
      <c r="C320" s="65" t="s">
        <v>412</v>
      </c>
    </row>
    <row r="321">
      <c r="A321" s="65" t="s">
        <v>391</v>
      </c>
      <c r="B321" s="65" t="s">
        <v>399</v>
      </c>
      <c r="C321" s="65" t="s">
        <v>413</v>
      </c>
    </row>
    <row r="322">
      <c r="A322" s="65" t="s">
        <v>391</v>
      </c>
      <c r="B322" s="65" t="s">
        <v>392</v>
      </c>
      <c r="C322" s="65" t="s">
        <v>409</v>
      </c>
    </row>
    <row r="323">
      <c r="A323" s="65" t="s">
        <v>391</v>
      </c>
      <c r="B323" s="65" t="s">
        <v>399</v>
      </c>
      <c r="C323" s="65" t="s">
        <v>414</v>
      </c>
    </row>
    <row r="324">
      <c r="A324" s="65" t="s">
        <v>391</v>
      </c>
      <c r="B324" s="65" t="s">
        <v>399</v>
      </c>
      <c r="C324" s="65" t="s">
        <v>415</v>
      </c>
    </row>
    <row r="325">
      <c r="A325" s="65" t="s">
        <v>391</v>
      </c>
      <c r="B325" s="65" t="s">
        <v>392</v>
      </c>
      <c r="C325" s="65" t="s">
        <v>416</v>
      </c>
    </row>
    <row r="326">
      <c r="A326" s="65" t="s">
        <v>391</v>
      </c>
      <c r="B326" s="65" t="s">
        <v>399</v>
      </c>
      <c r="C326" s="65" t="s">
        <v>417</v>
      </c>
    </row>
    <row r="327">
      <c r="A327" s="65" t="s">
        <v>391</v>
      </c>
      <c r="B327" s="65" t="s">
        <v>399</v>
      </c>
      <c r="C327" s="65" t="s">
        <v>418</v>
      </c>
    </row>
    <row r="328">
      <c r="A328" s="65" t="s">
        <v>419</v>
      </c>
      <c r="B328" s="65" t="s">
        <v>420</v>
      </c>
      <c r="C328" s="65" t="s">
        <v>421</v>
      </c>
    </row>
    <row r="329">
      <c r="A329" s="65" t="s">
        <v>419</v>
      </c>
      <c r="B329" s="65" t="s">
        <v>422</v>
      </c>
      <c r="C329" s="65" t="s">
        <v>423</v>
      </c>
    </row>
    <row r="330">
      <c r="A330" s="65" t="s">
        <v>419</v>
      </c>
      <c r="B330" s="65" t="s">
        <v>424</v>
      </c>
      <c r="C330" s="65" t="s">
        <v>425</v>
      </c>
    </row>
    <row r="331">
      <c r="A331" s="65" t="s">
        <v>426</v>
      </c>
      <c r="B331" s="65" t="s">
        <v>427</v>
      </c>
      <c r="C331" s="65" t="s">
        <v>428</v>
      </c>
    </row>
    <row r="332">
      <c r="A332" s="65" t="s">
        <v>429</v>
      </c>
      <c r="B332" s="65" t="s">
        <v>430</v>
      </c>
      <c r="C332" s="65" t="s">
        <v>431</v>
      </c>
    </row>
    <row r="333">
      <c r="A333" s="65" t="s">
        <v>429</v>
      </c>
      <c r="B333" s="65" t="s">
        <v>432</v>
      </c>
      <c r="C333" s="65" t="s">
        <v>433</v>
      </c>
    </row>
    <row r="334">
      <c r="A334" s="65" t="s">
        <v>429</v>
      </c>
      <c r="B334" s="65" t="s">
        <v>434</v>
      </c>
      <c r="C334" s="65" t="s">
        <v>435</v>
      </c>
    </row>
    <row r="335">
      <c r="A335" s="65" t="s">
        <v>429</v>
      </c>
      <c r="B335" s="65" t="s">
        <v>436</v>
      </c>
      <c r="C335" s="65" t="s">
        <v>437</v>
      </c>
    </row>
    <row r="336">
      <c r="A336" s="65" t="s">
        <v>429</v>
      </c>
      <c r="B336" s="65" t="s">
        <v>436</v>
      </c>
      <c r="C336" s="65" t="s">
        <v>438</v>
      </c>
    </row>
    <row r="337">
      <c r="A337" s="65" t="s">
        <v>429</v>
      </c>
      <c r="B337" s="65" t="s">
        <v>436</v>
      </c>
      <c r="C337" s="65" t="s">
        <v>439</v>
      </c>
    </row>
    <row r="338">
      <c r="A338" s="65" t="s">
        <v>440</v>
      </c>
      <c r="B338" s="65" t="s">
        <v>441</v>
      </c>
      <c r="C338" s="65" t="s">
        <v>442</v>
      </c>
    </row>
    <row r="339">
      <c r="A339" s="65" t="s">
        <v>440</v>
      </c>
      <c r="B339" s="65" t="s">
        <v>443</v>
      </c>
      <c r="C339" s="65" t="s">
        <v>444</v>
      </c>
    </row>
    <row r="340">
      <c r="A340" s="65" t="s">
        <v>440</v>
      </c>
      <c r="B340" s="65" t="s">
        <v>443</v>
      </c>
      <c r="C340" s="65" t="s">
        <v>445</v>
      </c>
    </row>
    <row r="341">
      <c r="A341" s="65" t="s">
        <v>440</v>
      </c>
      <c r="B341" s="65" t="s">
        <v>443</v>
      </c>
      <c r="C341" s="65" t="s">
        <v>446</v>
      </c>
    </row>
    <row r="342">
      <c r="A342" s="65" t="s">
        <v>440</v>
      </c>
      <c r="B342" s="65" t="s">
        <v>441</v>
      </c>
      <c r="C342" s="65" t="s">
        <v>447</v>
      </c>
    </row>
    <row r="343">
      <c r="A343" s="65" t="s">
        <v>440</v>
      </c>
      <c r="B343" s="65" t="s">
        <v>441</v>
      </c>
      <c r="C343" s="65" t="s">
        <v>448</v>
      </c>
    </row>
    <row r="344">
      <c r="A344" s="65" t="s">
        <v>440</v>
      </c>
      <c r="B344" s="65" t="s">
        <v>449</v>
      </c>
      <c r="C344" s="65" t="s">
        <v>450</v>
      </c>
    </row>
    <row r="345">
      <c r="A345" s="65" t="s">
        <v>440</v>
      </c>
      <c r="B345" s="65" t="s">
        <v>449</v>
      </c>
      <c r="C345" s="65" t="s">
        <v>451</v>
      </c>
    </row>
    <row r="346">
      <c r="A346" s="65" t="s">
        <v>440</v>
      </c>
      <c r="B346" s="65" t="s">
        <v>441</v>
      </c>
      <c r="C346" s="65" t="s">
        <v>452</v>
      </c>
    </row>
    <row r="347">
      <c r="A347" s="65" t="s">
        <v>440</v>
      </c>
      <c r="B347" s="65" t="s">
        <v>441</v>
      </c>
      <c r="C347" s="65" t="s">
        <v>453</v>
      </c>
    </row>
    <row r="348">
      <c r="A348" s="65" t="s">
        <v>440</v>
      </c>
      <c r="B348" s="65" t="s">
        <v>454</v>
      </c>
      <c r="C348" s="65" t="s">
        <v>455</v>
      </c>
    </row>
    <row r="349">
      <c r="A349" s="65" t="s">
        <v>440</v>
      </c>
      <c r="B349" s="65" t="s">
        <v>454</v>
      </c>
      <c r="C349" s="65" t="s">
        <v>456</v>
      </c>
    </row>
    <row r="350">
      <c r="A350" s="65" t="s">
        <v>440</v>
      </c>
      <c r="B350" s="65" t="s">
        <v>449</v>
      </c>
      <c r="C350" s="65" t="s">
        <v>457</v>
      </c>
    </row>
    <row r="351">
      <c r="A351" s="65" t="s">
        <v>440</v>
      </c>
      <c r="B351" s="65" t="s">
        <v>449</v>
      </c>
      <c r="C351" s="65" t="s">
        <v>458</v>
      </c>
    </row>
    <row r="352">
      <c r="A352" s="65" t="s">
        <v>440</v>
      </c>
      <c r="B352" s="65" t="s">
        <v>459</v>
      </c>
      <c r="C352" s="65" t="s">
        <v>460</v>
      </c>
    </row>
    <row r="353">
      <c r="A353" s="65" t="s">
        <v>440</v>
      </c>
      <c r="B353" s="65" t="s">
        <v>443</v>
      </c>
      <c r="C353" s="65" t="s">
        <v>461</v>
      </c>
    </row>
    <row r="354">
      <c r="A354" s="65" t="s">
        <v>440</v>
      </c>
      <c r="B354" s="65" t="s">
        <v>443</v>
      </c>
      <c r="C354" s="65" t="s">
        <v>462</v>
      </c>
    </row>
    <row r="355">
      <c r="A355" s="65" t="s">
        <v>440</v>
      </c>
      <c r="B355" s="65" t="s">
        <v>454</v>
      </c>
      <c r="C355" s="65" t="s">
        <v>463</v>
      </c>
    </row>
    <row r="356">
      <c r="A356" s="65" t="s">
        <v>440</v>
      </c>
      <c r="B356" s="65" t="s">
        <v>454</v>
      </c>
      <c r="C356" s="65" t="s">
        <v>464</v>
      </c>
    </row>
    <row r="357">
      <c r="A357" s="65" t="s">
        <v>465</v>
      </c>
      <c r="B357" s="65" t="s">
        <v>466</v>
      </c>
      <c r="C357" s="65" t="s">
        <v>467</v>
      </c>
    </row>
    <row r="358">
      <c r="A358" s="65" t="s">
        <v>465</v>
      </c>
      <c r="B358" s="65" t="s">
        <v>468</v>
      </c>
      <c r="C358" s="65" t="s">
        <v>469</v>
      </c>
    </row>
    <row r="359">
      <c r="A359" s="65" t="s">
        <v>470</v>
      </c>
      <c r="B359" s="65" t="s">
        <v>188</v>
      </c>
      <c r="C359" s="65" t="s">
        <v>471</v>
      </c>
    </row>
    <row r="360">
      <c r="A360" s="65" t="s">
        <v>470</v>
      </c>
      <c r="B360" s="65" t="s">
        <v>188</v>
      </c>
      <c r="C360" s="65" t="s">
        <v>472</v>
      </c>
    </row>
    <row r="361">
      <c r="A361" s="65" t="s">
        <v>470</v>
      </c>
      <c r="B361" s="65" t="s">
        <v>188</v>
      </c>
      <c r="C361" s="65" t="s">
        <v>473</v>
      </c>
    </row>
    <row r="362">
      <c r="A362" s="65" t="s">
        <v>470</v>
      </c>
      <c r="B362" s="65" t="s">
        <v>188</v>
      </c>
      <c r="C362" s="65" t="s">
        <v>189</v>
      </c>
    </row>
    <row r="363">
      <c r="A363" s="65" t="s">
        <v>474</v>
      </c>
      <c r="B363" s="65" t="s">
        <v>475</v>
      </c>
      <c r="C363" s="65" t="s">
        <v>476</v>
      </c>
    </row>
    <row r="364">
      <c r="A364" s="65" t="s">
        <v>474</v>
      </c>
      <c r="B364" s="65" t="s">
        <v>475</v>
      </c>
      <c r="C364" s="65" t="s">
        <v>477</v>
      </c>
    </row>
    <row r="365">
      <c r="A365" s="65" t="s">
        <v>474</v>
      </c>
      <c r="B365" s="65" t="s">
        <v>475</v>
      </c>
      <c r="C365" s="65" t="s">
        <v>114</v>
      </c>
    </row>
    <row r="366">
      <c r="A366" s="65" t="s">
        <v>478</v>
      </c>
      <c r="B366" s="65" t="s">
        <v>479</v>
      </c>
      <c r="C366" s="65" t="s">
        <v>480</v>
      </c>
    </row>
    <row r="367">
      <c r="A367" s="65" t="s">
        <v>478</v>
      </c>
      <c r="B367" s="65" t="s">
        <v>479</v>
      </c>
      <c r="C367" s="65" t="s">
        <v>481</v>
      </c>
    </row>
    <row r="368">
      <c r="A368" s="65" t="s">
        <v>478</v>
      </c>
      <c r="B368" s="65" t="s">
        <v>482</v>
      </c>
      <c r="C368" s="65" t="s">
        <v>483</v>
      </c>
    </row>
    <row r="369">
      <c r="A369" s="65" t="s">
        <v>478</v>
      </c>
      <c r="B369" s="65" t="s">
        <v>484</v>
      </c>
      <c r="C369" s="65" t="s">
        <v>485</v>
      </c>
    </row>
    <row r="370">
      <c r="A370" s="65" t="s">
        <v>478</v>
      </c>
      <c r="B370" s="65" t="s">
        <v>486</v>
      </c>
      <c r="C370" s="65" t="s">
        <v>170</v>
      </c>
    </row>
    <row r="371">
      <c r="A371" s="65" t="s">
        <v>478</v>
      </c>
      <c r="B371" s="65" t="s">
        <v>487</v>
      </c>
      <c r="C371" s="65" t="s">
        <v>488</v>
      </c>
    </row>
    <row r="372">
      <c r="A372" s="65" t="s">
        <v>478</v>
      </c>
      <c r="B372" s="65" t="s">
        <v>487</v>
      </c>
      <c r="C372" s="65" t="s">
        <v>489</v>
      </c>
    </row>
    <row r="373">
      <c r="A373" s="65" t="s">
        <v>478</v>
      </c>
      <c r="B373" s="65" t="s">
        <v>484</v>
      </c>
      <c r="C373" s="65" t="s">
        <v>490</v>
      </c>
    </row>
    <row r="374">
      <c r="A374" s="65" t="s">
        <v>478</v>
      </c>
      <c r="B374" s="65" t="s">
        <v>491</v>
      </c>
      <c r="C374" s="65" t="s">
        <v>492</v>
      </c>
    </row>
    <row r="375">
      <c r="A375" s="65" t="s">
        <v>478</v>
      </c>
      <c r="B375" s="65" t="s">
        <v>493</v>
      </c>
      <c r="C375" s="65" t="s">
        <v>494</v>
      </c>
    </row>
    <row r="376">
      <c r="A376" s="65" t="s">
        <v>478</v>
      </c>
      <c r="B376" s="65" t="s">
        <v>486</v>
      </c>
      <c r="C376" s="65" t="s">
        <v>495</v>
      </c>
    </row>
    <row r="377">
      <c r="A377" s="65" t="s">
        <v>478</v>
      </c>
      <c r="B377" s="65" t="s">
        <v>484</v>
      </c>
      <c r="C377" s="65" t="s">
        <v>496</v>
      </c>
    </row>
    <row r="378">
      <c r="A378" s="65" t="s">
        <v>478</v>
      </c>
      <c r="B378" s="65" t="s">
        <v>493</v>
      </c>
      <c r="C378" s="65" t="s">
        <v>497</v>
      </c>
    </row>
    <row r="379">
      <c r="A379" s="65" t="s">
        <v>478</v>
      </c>
      <c r="B379" s="65" t="s">
        <v>491</v>
      </c>
      <c r="C379" s="65" t="s">
        <v>498</v>
      </c>
    </row>
    <row r="380">
      <c r="A380" s="65" t="s">
        <v>478</v>
      </c>
      <c r="B380" s="65" t="s">
        <v>491</v>
      </c>
      <c r="C380" s="65" t="s">
        <v>499</v>
      </c>
    </row>
    <row r="381">
      <c r="A381" s="65" t="s">
        <v>478</v>
      </c>
      <c r="B381" s="65" t="s">
        <v>484</v>
      </c>
      <c r="C381" s="65" t="s">
        <v>500</v>
      </c>
    </row>
    <row r="382">
      <c r="A382" s="65" t="s">
        <v>478</v>
      </c>
      <c r="B382" s="65" t="s">
        <v>491</v>
      </c>
      <c r="C382" s="65" t="s">
        <v>501</v>
      </c>
    </row>
    <row r="383">
      <c r="A383" s="65" t="s">
        <v>478</v>
      </c>
      <c r="B383" s="65" t="s">
        <v>491</v>
      </c>
      <c r="C383" s="65" t="s">
        <v>502</v>
      </c>
    </row>
    <row r="384">
      <c r="A384" s="65" t="s">
        <v>478</v>
      </c>
      <c r="B384" s="65" t="s">
        <v>493</v>
      </c>
      <c r="C384" s="65" t="s">
        <v>439</v>
      </c>
    </row>
    <row r="385">
      <c r="A385" s="65" t="s">
        <v>478</v>
      </c>
      <c r="B385" s="65" t="s">
        <v>484</v>
      </c>
      <c r="C385" s="65" t="s">
        <v>503</v>
      </c>
    </row>
    <row r="386">
      <c r="A386" s="65" t="s">
        <v>478</v>
      </c>
      <c r="B386" s="65" t="s">
        <v>482</v>
      </c>
      <c r="C386" s="65" t="s">
        <v>504</v>
      </c>
    </row>
    <row r="387">
      <c r="A387" s="65" t="s">
        <v>478</v>
      </c>
      <c r="B387" s="65" t="s">
        <v>487</v>
      </c>
      <c r="C387" s="65" t="s">
        <v>505</v>
      </c>
    </row>
    <row r="388">
      <c r="A388" s="65" t="s">
        <v>478</v>
      </c>
      <c r="B388" s="65" t="s">
        <v>506</v>
      </c>
      <c r="C388" s="65" t="s">
        <v>507</v>
      </c>
    </row>
    <row r="389">
      <c r="A389" s="65" t="s">
        <v>478</v>
      </c>
      <c r="B389" s="65" t="s">
        <v>508</v>
      </c>
      <c r="C389" s="65" t="s">
        <v>509</v>
      </c>
    </row>
    <row r="390">
      <c r="A390" s="65" t="s">
        <v>478</v>
      </c>
      <c r="B390" s="65" t="s">
        <v>487</v>
      </c>
      <c r="C390" s="65" t="s">
        <v>510</v>
      </c>
    </row>
    <row r="391">
      <c r="A391" s="65" t="s">
        <v>478</v>
      </c>
      <c r="B391" s="65" t="s">
        <v>487</v>
      </c>
      <c r="C391" s="65" t="s">
        <v>511</v>
      </c>
    </row>
    <row r="392">
      <c r="A392" s="65" t="s">
        <v>478</v>
      </c>
      <c r="B392" s="65" t="s">
        <v>486</v>
      </c>
      <c r="C392" s="65" t="s">
        <v>512</v>
      </c>
    </row>
    <row r="393">
      <c r="A393" s="65" t="s">
        <v>478</v>
      </c>
      <c r="B393" s="65" t="s">
        <v>482</v>
      </c>
      <c r="C393" s="65" t="s">
        <v>513</v>
      </c>
    </row>
    <row r="394">
      <c r="A394" s="65" t="s">
        <v>478</v>
      </c>
      <c r="B394" s="65" t="s">
        <v>482</v>
      </c>
      <c r="C394" s="65" t="s">
        <v>514</v>
      </c>
    </row>
    <row r="395">
      <c r="A395" s="65" t="s">
        <v>478</v>
      </c>
      <c r="B395" s="65" t="s">
        <v>487</v>
      </c>
      <c r="C395" s="65" t="s">
        <v>515</v>
      </c>
    </row>
    <row r="396">
      <c r="A396" s="65" t="s">
        <v>516</v>
      </c>
      <c r="B396" s="65" t="s">
        <v>186</v>
      </c>
      <c r="C396" s="65" t="s">
        <v>187</v>
      </c>
    </row>
    <row r="397">
      <c r="A397" s="65" t="s">
        <v>516</v>
      </c>
      <c r="B397" s="65" t="s">
        <v>186</v>
      </c>
      <c r="C397" s="65" t="s">
        <v>517</v>
      </c>
    </row>
    <row r="398">
      <c r="A398" s="65" t="s">
        <v>516</v>
      </c>
      <c r="B398" s="65" t="s">
        <v>186</v>
      </c>
      <c r="C398" s="65" t="s">
        <v>518</v>
      </c>
    </row>
    <row r="399">
      <c r="A399" s="65"/>
      <c r="B399" s="65"/>
      <c r="C399" s="65"/>
    </row>
    <row r="400">
      <c r="A400" s="65" t="s">
        <v>519</v>
      </c>
      <c r="B400" s="65"/>
      <c r="C400" s="65"/>
    </row>
    <row r="401">
      <c r="A401" s="65" t="s">
        <v>520</v>
      </c>
      <c r="B401" s="65" t="s">
        <v>521</v>
      </c>
      <c r="C401" s="65" t="s">
        <v>522</v>
      </c>
    </row>
    <row r="402">
      <c r="A402" s="65" t="s">
        <v>520</v>
      </c>
      <c r="B402" s="65" t="s">
        <v>523</v>
      </c>
      <c r="C402" s="65" t="s">
        <v>524</v>
      </c>
    </row>
    <row r="403">
      <c r="A403" s="65" t="s">
        <v>520</v>
      </c>
      <c r="B403" s="65" t="s">
        <v>521</v>
      </c>
      <c r="C403" s="65" t="s">
        <v>525</v>
      </c>
    </row>
    <row r="404">
      <c r="A404" s="65" t="s">
        <v>520</v>
      </c>
      <c r="B404" s="65" t="s">
        <v>526</v>
      </c>
      <c r="C404" s="65" t="s">
        <v>527</v>
      </c>
    </row>
    <row r="405">
      <c r="A405" s="65" t="s">
        <v>520</v>
      </c>
      <c r="B405" s="65" t="s">
        <v>526</v>
      </c>
      <c r="C405" s="65" t="s">
        <v>528</v>
      </c>
    </row>
    <row r="406">
      <c r="A406" s="65" t="s">
        <v>520</v>
      </c>
      <c r="B406" s="65" t="s">
        <v>521</v>
      </c>
      <c r="C406" s="65" t="s">
        <v>529</v>
      </c>
    </row>
    <row r="407">
      <c r="A407" s="65" t="s">
        <v>520</v>
      </c>
      <c r="B407" s="65" t="s">
        <v>521</v>
      </c>
      <c r="C407" s="65" t="s">
        <v>530</v>
      </c>
    </row>
    <row r="408">
      <c r="A408" s="65" t="s">
        <v>520</v>
      </c>
      <c r="B408" s="65" t="s">
        <v>526</v>
      </c>
      <c r="C408" s="65" t="s">
        <v>531</v>
      </c>
    </row>
    <row r="409">
      <c r="A409" s="65" t="s">
        <v>532</v>
      </c>
      <c r="B409" s="65" t="s">
        <v>533</v>
      </c>
      <c r="C409" s="65" t="s">
        <v>534</v>
      </c>
    </row>
    <row r="410">
      <c r="A410" s="65" t="s">
        <v>532</v>
      </c>
      <c r="B410" s="65" t="s">
        <v>535</v>
      </c>
      <c r="C410" s="65" t="s">
        <v>536</v>
      </c>
    </row>
    <row r="411">
      <c r="A411" s="65" t="s">
        <v>532</v>
      </c>
      <c r="B411" s="65" t="s">
        <v>533</v>
      </c>
      <c r="C411" s="65" t="s">
        <v>537</v>
      </c>
    </row>
    <row r="412">
      <c r="A412" s="65" t="s">
        <v>532</v>
      </c>
      <c r="B412" s="65" t="s">
        <v>533</v>
      </c>
      <c r="C412" s="65" t="s">
        <v>538</v>
      </c>
    </row>
    <row r="413">
      <c r="A413" s="65" t="s">
        <v>539</v>
      </c>
      <c r="B413" s="65" t="s">
        <v>540</v>
      </c>
      <c r="C413" s="65" t="s">
        <v>541</v>
      </c>
    </row>
    <row r="414">
      <c r="A414" s="65" t="s">
        <v>539</v>
      </c>
      <c r="B414" s="65" t="s">
        <v>542</v>
      </c>
      <c r="C414" s="65" t="s">
        <v>543</v>
      </c>
    </row>
    <row r="415">
      <c r="A415" s="65" t="s">
        <v>539</v>
      </c>
      <c r="B415" s="65" t="s">
        <v>544</v>
      </c>
      <c r="C415" s="65" t="s">
        <v>545</v>
      </c>
    </row>
    <row r="416">
      <c r="A416" s="65" t="s">
        <v>539</v>
      </c>
      <c r="B416" s="65" t="s">
        <v>546</v>
      </c>
      <c r="C416" s="65" t="s">
        <v>547</v>
      </c>
    </row>
    <row r="417">
      <c r="A417" s="65" t="s">
        <v>539</v>
      </c>
      <c r="B417" s="65" t="s">
        <v>546</v>
      </c>
      <c r="C417" s="65" t="s">
        <v>548</v>
      </c>
    </row>
    <row r="418">
      <c r="A418" s="65" t="s">
        <v>539</v>
      </c>
      <c r="B418" s="65" t="s">
        <v>549</v>
      </c>
      <c r="C418" s="65" t="s">
        <v>550</v>
      </c>
    </row>
    <row r="419">
      <c r="A419" s="65" t="s">
        <v>539</v>
      </c>
      <c r="B419" s="65" t="s">
        <v>549</v>
      </c>
      <c r="C419" s="65" t="s">
        <v>551</v>
      </c>
    </row>
    <row r="420">
      <c r="A420" s="65" t="s">
        <v>539</v>
      </c>
      <c r="B420" s="65" t="s">
        <v>552</v>
      </c>
      <c r="C420" s="65" t="s">
        <v>553</v>
      </c>
    </row>
    <row r="421">
      <c r="A421" s="65" t="s">
        <v>539</v>
      </c>
      <c r="B421" s="65" t="s">
        <v>549</v>
      </c>
      <c r="C421" s="65" t="s">
        <v>554</v>
      </c>
    </row>
    <row r="422">
      <c r="A422" s="65" t="s">
        <v>555</v>
      </c>
      <c r="B422" s="65" t="s">
        <v>556</v>
      </c>
      <c r="C422" s="65" t="s">
        <v>557</v>
      </c>
    </row>
    <row r="423">
      <c r="A423" s="65" t="s">
        <v>555</v>
      </c>
      <c r="B423" s="65" t="s">
        <v>558</v>
      </c>
      <c r="C423" s="65" t="s">
        <v>559</v>
      </c>
    </row>
    <row r="424">
      <c r="A424" s="65" t="s">
        <v>555</v>
      </c>
      <c r="B424" s="65" t="s">
        <v>43</v>
      </c>
      <c r="C424" s="65" t="s">
        <v>560</v>
      </c>
    </row>
    <row r="425">
      <c r="A425" s="65" t="s">
        <v>555</v>
      </c>
      <c r="B425" s="65" t="s">
        <v>43</v>
      </c>
      <c r="C425" s="65" t="s">
        <v>561</v>
      </c>
    </row>
    <row r="426">
      <c r="A426" s="65" t="s">
        <v>555</v>
      </c>
      <c r="B426" s="65" t="s">
        <v>43</v>
      </c>
      <c r="C426" s="65" t="s">
        <v>562</v>
      </c>
    </row>
    <row r="427">
      <c r="A427" s="65" t="s">
        <v>555</v>
      </c>
      <c r="B427" s="65" t="s">
        <v>43</v>
      </c>
      <c r="C427" s="65" t="s">
        <v>563</v>
      </c>
    </row>
    <row r="428">
      <c r="A428" s="65" t="s">
        <v>555</v>
      </c>
      <c r="B428" s="65" t="s">
        <v>564</v>
      </c>
      <c r="C428" s="65" t="s">
        <v>565</v>
      </c>
    </row>
    <row r="429">
      <c r="A429" s="65" t="s">
        <v>555</v>
      </c>
      <c r="B429" s="65" t="s">
        <v>564</v>
      </c>
      <c r="C429" s="65" t="s">
        <v>566</v>
      </c>
    </row>
    <row r="430">
      <c r="A430" s="65" t="s">
        <v>555</v>
      </c>
      <c r="B430" s="65" t="s">
        <v>567</v>
      </c>
      <c r="C430" s="65" t="s">
        <v>568</v>
      </c>
    </row>
    <row r="431">
      <c r="A431" s="65" t="s">
        <v>555</v>
      </c>
      <c r="B431" s="65" t="s">
        <v>564</v>
      </c>
      <c r="C431" s="65" t="s">
        <v>569</v>
      </c>
    </row>
    <row r="432">
      <c r="A432" s="65" t="s">
        <v>555</v>
      </c>
      <c r="B432" s="65" t="s">
        <v>564</v>
      </c>
      <c r="C432" s="65" t="s">
        <v>570</v>
      </c>
    </row>
    <row r="433">
      <c r="A433" s="65" t="s">
        <v>555</v>
      </c>
      <c r="B433" s="65" t="s">
        <v>556</v>
      </c>
      <c r="C433" s="65" t="s">
        <v>571</v>
      </c>
    </row>
    <row r="434">
      <c r="A434" s="65" t="s">
        <v>555</v>
      </c>
      <c r="B434" s="65" t="s">
        <v>556</v>
      </c>
      <c r="C434" s="65" t="s">
        <v>572</v>
      </c>
    </row>
    <row r="435">
      <c r="A435" s="65" t="s">
        <v>555</v>
      </c>
      <c r="B435" s="65" t="s">
        <v>567</v>
      </c>
      <c r="C435" s="65" t="s">
        <v>573</v>
      </c>
    </row>
    <row r="436">
      <c r="A436" s="65" t="s">
        <v>555</v>
      </c>
      <c r="B436" s="65" t="s">
        <v>567</v>
      </c>
      <c r="C436" s="65" t="s">
        <v>574</v>
      </c>
    </row>
    <row r="437">
      <c r="A437" s="65" t="s">
        <v>555</v>
      </c>
      <c r="B437" s="65" t="s">
        <v>567</v>
      </c>
      <c r="C437" s="65" t="s">
        <v>575</v>
      </c>
    </row>
    <row r="438">
      <c r="A438" s="65" t="s">
        <v>555</v>
      </c>
      <c r="B438" s="65" t="s">
        <v>567</v>
      </c>
      <c r="C438" s="65" t="s">
        <v>576</v>
      </c>
    </row>
    <row r="439">
      <c r="A439" s="65" t="s">
        <v>555</v>
      </c>
      <c r="B439" s="65" t="s">
        <v>567</v>
      </c>
      <c r="C439" s="65" t="s">
        <v>577</v>
      </c>
    </row>
    <row r="440">
      <c r="A440" s="65" t="s">
        <v>555</v>
      </c>
      <c r="B440" s="65" t="s">
        <v>567</v>
      </c>
      <c r="C440" s="65" t="s">
        <v>578</v>
      </c>
    </row>
    <row r="441">
      <c r="A441" s="65" t="s">
        <v>555</v>
      </c>
      <c r="B441" s="65" t="s">
        <v>43</v>
      </c>
      <c r="C441" s="65" t="s">
        <v>579</v>
      </c>
    </row>
    <row r="442">
      <c r="A442" s="65" t="s">
        <v>555</v>
      </c>
      <c r="B442" s="65" t="s">
        <v>567</v>
      </c>
      <c r="C442" s="65" t="s">
        <v>580</v>
      </c>
    </row>
    <row r="443">
      <c r="A443" s="65" t="s">
        <v>555</v>
      </c>
      <c r="B443" s="65" t="s">
        <v>556</v>
      </c>
      <c r="C443" s="65" t="s">
        <v>581</v>
      </c>
    </row>
    <row r="444">
      <c r="A444" s="65" t="s">
        <v>582</v>
      </c>
      <c r="B444" s="65" t="s">
        <v>583</v>
      </c>
      <c r="C444" s="65" t="s">
        <v>584</v>
      </c>
    </row>
    <row r="445">
      <c r="A445" s="65" t="s">
        <v>582</v>
      </c>
      <c r="B445" s="65" t="s">
        <v>585</v>
      </c>
      <c r="C445" s="65" t="s">
        <v>586</v>
      </c>
    </row>
    <row r="446">
      <c r="A446" s="65" t="s">
        <v>587</v>
      </c>
      <c r="B446" s="65" t="s">
        <v>72</v>
      </c>
      <c r="C446" s="65" t="s">
        <v>562</v>
      </c>
    </row>
    <row r="447">
      <c r="A447" s="65" t="s">
        <v>587</v>
      </c>
      <c r="B447" s="65" t="s">
        <v>72</v>
      </c>
      <c r="C447" s="65" t="s">
        <v>588</v>
      </c>
    </row>
    <row r="448">
      <c r="A448" s="65" t="s">
        <v>587</v>
      </c>
      <c r="B448" s="65" t="s">
        <v>74</v>
      </c>
      <c r="C448" s="65" t="s">
        <v>589</v>
      </c>
    </row>
    <row r="449">
      <c r="A449" s="65" t="s">
        <v>587</v>
      </c>
      <c r="B449" s="65" t="s">
        <v>590</v>
      </c>
      <c r="C449" s="65" t="s">
        <v>591</v>
      </c>
    </row>
    <row r="450">
      <c r="A450" s="65" t="s">
        <v>587</v>
      </c>
      <c r="B450" s="65" t="s">
        <v>74</v>
      </c>
      <c r="C450" s="65" t="s">
        <v>592</v>
      </c>
    </row>
    <row r="451">
      <c r="A451" s="65" t="s">
        <v>587</v>
      </c>
      <c r="B451" s="65" t="s">
        <v>74</v>
      </c>
      <c r="C451" s="65" t="s">
        <v>593</v>
      </c>
    </row>
    <row r="452">
      <c r="A452" s="65" t="s">
        <v>587</v>
      </c>
      <c r="B452" s="65" t="s">
        <v>74</v>
      </c>
      <c r="C452" s="65" t="s">
        <v>594</v>
      </c>
    </row>
    <row r="453">
      <c r="A453" s="65" t="s">
        <v>587</v>
      </c>
      <c r="B453" s="65" t="s">
        <v>595</v>
      </c>
      <c r="C453" s="65" t="s">
        <v>596</v>
      </c>
    </row>
    <row r="454">
      <c r="A454" s="65" t="s">
        <v>587</v>
      </c>
      <c r="B454" s="65" t="s">
        <v>74</v>
      </c>
      <c r="C454" s="65" t="s">
        <v>597</v>
      </c>
    </row>
    <row r="455">
      <c r="A455" s="65" t="s">
        <v>587</v>
      </c>
      <c r="B455" s="65" t="s">
        <v>74</v>
      </c>
      <c r="C455" s="65" t="s">
        <v>598</v>
      </c>
    </row>
    <row r="456">
      <c r="A456" s="65" t="s">
        <v>587</v>
      </c>
      <c r="B456" s="65" t="s">
        <v>72</v>
      </c>
      <c r="C456" s="65" t="s">
        <v>599</v>
      </c>
    </row>
    <row r="457">
      <c r="A457" s="65" t="s">
        <v>587</v>
      </c>
      <c r="B457" s="65" t="s">
        <v>74</v>
      </c>
      <c r="C457" s="65" t="s">
        <v>600</v>
      </c>
    </row>
    <row r="458">
      <c r="A458" s="65" t="s">
        <v>587</v>
      </c>
      <c r="B458" s="65" t="s">
        <v>74</v>
      </c>
      <c r="C458" s="65" t="s">
        <v>601</v>
      </c>
    </row>
    <row r="459">
      <c r="A459" s="65" t="s">
        <v>587</v>
      </c>
      <c r="B459" s="65" t="s">
        <v>74</v>
      </c>
      <c r="C459" s="65" t="s">
        <v>602</v>
      </c>
    </row>
    <row r="460">
      <c r="A460" s="65" t="s">
        <v>603</v>
      </c>
      <c r="B460" s="65" t="s">
        <v>90</v>
      </c>
      <c r="C460" s="65" t="s">
        <v>604</v>
      </c>
    </row>
    <row r="461">
      <c r="A461" s="65" t="s">
        <v>603</v>
      </c>
      <c r="B461" s="65" t="s">
        <v>90</v>
      </c>
      <c r="C461" s="65" t="s">
        <v>605</v>
      </c>
    </row>
    <row r="462">
      <c r="A462" s="65" t="s">
        <v>603</v>
      </c>
      <c r="B462" s="65" t="s">
        <v>606</v>
      </c>
      <c r="C462" s="65" t="s">
        <v>607</v>
      </c>
    </row>
    <row r="463">
      <c r="A463" s="65" t="s">
        <v>603</v>
      </c>
      <c r="B463" s="65" t="s">
        <v>90</v>
      </c>
      <c r="C463" s="65" t="s">
        <v>608</v>
      </c>
    </row>
    <row r="464">
      <c r="A464" s="65" t="s">
        <v>603</v>
      </c>
      <c r="B464" s="65" t="s">
        <v>90</v>
      </c>
      <c r="C464" s="65" t="s">
        <v>609</v>
      </c>
    </row>
    <row r="465">
      <c r="A465" s="65" t="s">
        <v>603</v>
      </c>
      <c r="B465" s="65" t="s">
        <v>97</v>
      </c>
      <c r="C465" s="65" t="s">
        <v>610</v>
      </c>
    </row>
    <row r="466">
      <c r="A466" s="65" t="s">
        <v>603</v>
      </c>
      <c r="B466" s="65" t="s">
        <v>97</v>
      </c>
      <c r="C466" s="65" t="s">
        <v>611</v>
      </c>
    </row>
    <row r="467">
      <c r="A467" s="65" t="s">
        <v>603</v>
      </c>
      <c r="B467" s="65" t="s">
        <v>97</v>
      </c>
      <c r="C467" s="65" t="s">
        <v>612</v>
      </c>
    </row>
    <row r="468">
      <c r="A468" s="65" t="s">
        <v>613</v>
      </c>
      <c r="B468" s="65" t="s">
        <v>614</v>
      </c>
      <c r="C468" s="65" t="s">
        <v>615</v>
      </c>
    </row>
    <row r="469">
      <c r="A469" s="65" t="s">
        <v>613</v>
      </c>
      <c r="B469" s="65" t="s">
        <v>104</v>
      </c>
      <c r="C469" s="65" t="s">
        <v>616</v>
      </c>
    </row>
    <row r="470">
      <c r="A470" s="65" t="s">
        <v>613</v>
      </c>
      <c r="B470" s="65" t="s">
        <v>106</v>
      </c>
      <c r="C470" s="65" t="s">
        <v>617</v>
      </c>
    </row>
    <row r="471">
      <c r="A471" s="65" t="s">
        <v>613</v>
      </c>
      <c r="B471" s="65" t="s">
        <v>104</v>
      </c>
      <c r="C471" s="65" t="s">
        <v>618</v>
      </c>
    </row>
    <row r="472">
      <c r="A472" s="65" t="s">
        <v>613</v>
      </c>
      <c r="B472" s="65" t="s">
        <v>104</v>
      </c>
      <c r="C472" s="65" t="s">
        <v>619</v>
      </c>
    </row>
    <row r="473">
      <c r="A473" s="65" t="s">
        <v>613</v>
      </c>
      <c r="B473" s="65" t="s">
        <v>104</v>
      </c>
      <c r="C473" s="65" t="s">
        <v>620</v>
      </c>
    </row>
    <row r="474">
      <c r="A474" s="65" t="s">
        <v>613</v>
      </c>
      <c r="B474" s="65" t="s">
        <v>104</v>
      </c>
      <c r="C474" s="65" t="s">
        <v>621</v>
      </c>
    </row>
    <row r="475">
      <c r="A475" s="65" t="s">
        <v>613</v>
      </c>
      <c r="B475" s="65" t="s">
        <v>106</v>
      </c>
      <c r="C475" s="65" t="s">
        <v>622</v>
      </c>
    </row>
    <row r="476">
      <c r="A476" s="65" t="s">
        <v>613</v>
      </c>
      <c r="B476" s="65" t="s">
        <v>106</v>
      </c>
      <c r="C476" s="65" t="s">
        <v>623</v>
      </c>
    </row>
    <row r="477">
      <c r="A477" s="65" t="s">
        <v>613</v>
      </c>
      <c r="B477" s="65" t="s">
        <v>104</v>
      </c>
      <c r="C477" s="65" t="s">
        <v>624</v>
      </c>
    </row>
    <row r="478">
      <c r="A478" s="65" t="s">
        <v>625</v>
      </c>
      <c r="B478" s="65" t="s">
        <v>626</v>
      </c>
      <c r="C478" s="65" t="s">
        <v>568</v>
      </c>
    </row>
    <row r="479">
      <c r="A479" s="65" t="s">
        <v>625</v>
      </c>
      <c r="B479" s="65" t="s">
        <v>626</v>
      </c>
      <c r="C479" s="65" t="s">
        <v>627</v>
      </c>
    </row>
    <row r="480">
      <c r="A480" s="65" t="s">
        <v>625</v>
      </c>
      <c r="B480" s="65" t="s">
        <v>118</v>
      </c>
      <c r="C480" s="65" t="s">
        <v>628</v>
      </c>
    </row>
    <row r="481">
      <c r="A481" s="65" t="s">
        <v>625</v>
      </c>
      <c r="B481" s="65" t="s">
        <v>629</v>
      </c>
      <c r="C481" s="65" t="s">
        <v>630</v>
      </c>
    </row>
    <row r="482">
      <c r="A482" s="65" t="s">
        <v>625</v>
      </c>
      <c r="B482" s="65" t="s">
        <v>626</v>
      </c>
      <c r="C482" s="65" t="s">
        <v>631</v>
      </c>
    </row>
    <row r="483">
      <c r="A483" s="65" t="s">
        <v>625</v>
      </c>
      <c r="B483" s="65" t="s">
        <v>118</v>
      </c>
      <c r="C483" s="65" t="s">
        <v>632</v>
      </c>
    </row>
    <row r="484">
      <c r="A484" s="65" t="s">
        <v>625</v>
      </c>
      <c r="B484" s="65" t="s">
        <v>124</v>
      </c>
      <c r="C484" s="65" t="s">
        <v>633</v>
      </c>
    </row>
    <row r="485">
      <c r="A485" s="65" t="s">
        <v>625</v>
      </c>
      <c r="B485" s="65" t="s">
        <v>124</v>
      </c>
      <c r="C485" s="65" t="s">
        <v>577</v>
      </c>
    </row>
    <row r="486">
      <c r="A486" s="65" t="s">
        <v>625</v>
      </c>
      <c r="B486" s="65" t="s">
        <v>124</v>
      </c>
      <c r="C486" s="65" t="s">
        <v>634</v>
      </c>
    </row>
    <row r="487">
      <c r="A487" s="65" t="s">
        <v>625</v>
      </c>
      <c r="B487" s="65" t="s">
        <v>626</v>
      </c>
      <c r="C487" s="65" t="s">
        <v>635</v>
      </c>
    </row>
    <row r="488">
      <c r="A488" s="65" t="s">
        <v>625</v>
      </c>
      <c r="B488" s="65" t="s">
        <v>626</v>
      </c>
      <c r="C488" s="65" t="s">
        <v>636</v>
      </c>
    </row>
    <row r="489">
      <c r="A489" s="65" t="s">
        <v>625</v>
      </c>
      <c r="B489" s="65" t="s">
        <v>118</v>
      </c>
      <c r="C489" s="65" t="s">
        <v>637</v>
      </c>
    </row>
    <row r="490">
      <c r="A490" s="65" t="s">
        <v>625</v>
      </c>
      <c r="B490" s="65" t="s">
        <v>118</v>
      </c>
      <c r="C490" s="65" t="s">
        <v>638</v>
      </c>
    </row>
    <row r="491">
      <c r="A491" s="65" t="s">
        <v>625</v>
      </c>
      <c r="B491" s="65" t="s">
        <v>118</v>
      </c>
      <c r="C491" s="65" t="s">
        <v>639</v>
      </c>
    </row>
    <row r="492">
      <c r="A492" s="65" t="s">
        <v>625</v>
      </c>
      <c r="B492" s="65" t="s">
        <v>118</v>
      </c>
      <c r="C492" s="65" t="s">
        <v>640</v>
      </c>
    </row>
    <row r="493">
      <c r="A493" s="65" t="s">
        <v>641</v>
      </c>
      <c r="B493" s="65" t="s">
        <v>642</v>
      </c>
      <c r="C493" s="65" t="s">
        <v>643</v>
      </c>
    </row>
    <row r="494">
      <c r="A494" s="65" t="s">
        <v>641</v>
      </c>
      <c r="B494" s="65" t="s">
        <v>644</v>
      </c>
      <c r="C494" s="65" t="s">
        <v>645</v>
      </c>
    </row>
    <row r="495">
      <c r="A495" s="65" t="s">
        <v>641</v>
      </c>
      <c r="B495" s="65" t="s">
        <v>644</v>
      </c>
      <c r="C495" s="65" t="s">
        <v>646</v>
      </c>
    </row>
    <row r="496">
      <c r="A496" s="65" t="s">
        <v>641</v>
      </c>
      <c r="B496" s="65" t="s">
        <v>644</v>
      </c>
      <c r="C496" s="65" t="s">
        <v>647</v>
      </c>
    </row>
    <row r="497">
      <c r="A497" s="65" t="s">
        <v>648</v>
      </c>
      <c r="B497" s="65" t="s">
        <v>141</v>
      </c>
      <c r="C497" s="65" t="s">
        <v>649</v>
      </c>
    </row>
    <row r="498">
      <c r="A498" s="65" t="s">
        <v>648</v>
      </c>
      <c r="B498" s="65" t="s">
        <v>650</v>
      </c>
      <c r="C498" s="65" t="s">
        <v>631</v>
      </c>
    </row>
    <row r="499">
      <c r="A499" s="65" t="s">
        <v>648</v>
      </c>
      <c r="B499" s="65" t="s">
        <v>651</v>
      </c>
      <c r="C499" s="65" t="s">
        <v>538</v>
      </c>
    </row>
    <row r="500">
      <c r="A500" s="65" t="s">
        <v>648</v>
      </c>
      <c r="B500" s="65" t="s">
        <v>650</v>
      </c>
      <c r="C500" s="65" t="s">
        <v>652</v>
      </c>
    </row>
    <row r="501">
      <c r="A501" s="65" t="s">
        <v>648</v>
      </c>
      <c r="B501" s="65" t="s">
        <v>651</v>
      </c>
      <c r="C501" s="65" t="s">
        <v>653</v>
      </c>
    </row>
    <row r="502">
      <c r="A502" s="65" t="s">
        <v>648</v>
      </c>
      <c r="B502" s="65" t="s">
        <v>141</v>
      </c>
      <c r="C502" s="65" t="s">
        <v>654</v>
      </c>
    </row>
    <row r="503">
      <c r="A503" s="65" t="s">
        <v>648</v>
      </c>
      <c r="B503" s="65" t="s">
        <v>148</v>
      </c>
      <c r="C503" s="65" t="s">
        <v>655</v>
      </c>
    </row>
    <row r="504">
      <c r="A504" s="65" t="s">
        <v>648</v>
      </c>
      <c r="B504" s="65" t="s">
        <v>650</v>
      </c>
      <c r="C504" s="65" t="s">
        <v>572</v>
      </c>
    </row>
    <row r="505">
      <c r="A505" s="65" t="s">
        <v>648</v>
      </c>
      <c r="B505" s="65" t="s">
        <v>650</v>
      </c>
      <c r="C505" s="65" t="s">
        <v>656</v>
      </c>
    </row>
    <row r="506">
      <c r="A506" s="65" t="s">
        <v>648</v>
      </c>
      <c r="B506" s="65" t="s">
        <v>650</v>
      </c>
      <c r="C506" s="65" t="s">
        <v>577</v>
      </c>
    </row>
    <row r="507">
      <c r="A507" s="65" t="s">
        <v>648</v>
      </c>
      <c r="B507" s="65" t="s">
        <v>657</v>
      </c>
      <c r="C507" s="65" t="s">
        <v>658</v>
      </c>
    </row>
    <row r="508">
      <c r="A508" s="65" t="s">
        <v>648</v>
      </c>
      <c r="B508" s="65" t="s">
        <v>148</v>
      </c>
      <c r="C508" s="65" t="s">
        <v>659</v>
      </c>
    </row>
    <row r="509">
      <c r="A509" s="65" t="s">
        <v>648</v>
      </c>
      <c r="B509" s="65" t="s">
        <v>141</v>
      </c>
      <c r="C509" s="65" t="s">
        <v>660</v>
      </c>
    </row>
    <row r="510">
      <c r="A510" s="65" t="s">
        <v>648</v>
      </c>
      <c r="B510" s="65" t="s">
        <v>155</v>
      </c>
      <c r="C510" s="65" t="s">
        <v>562</v>
      </c>
    </row>
    <row r="511">
      <c r="A511" s="65" t="s">
        <v>648</v>
      </c>
      <c r="B511" s="65" t="s">
        <v>651</v>
      </c>
      <c r="C511" s="65" t="s">
        <v>661</v>
      </c>
    </row>
    <row r="512">
      <c r="A512" s="65" t="s">
        <v>648</v>
      </c>
      <c r="B512" s="65" t="s">
        <v>662</v>
      </c>
      <c r="C512" s="65" t="s">
        <v>653</v>
      </c>
    </row>
    <row r="513">
      <c r="A513" s="65" t="s">
        <v>648</v>
      </c>
      <c r="B513" s="65" t="s">
        <v>148</v>
      </c>
      <c r="C513" s="65" t="s">
        <v>663</v>
      </c>
    </row>
    <row r="514">
      <c r="A514" s="65" t="s">
        <v>648</v>
      </c>
      <c r="B514" s="65" t="s">
        <v>650</v>
      </c>
      <c r="C514" s="65" t="s">
        <v>562</v>
      </c>
    </row>
    <row r="515">
      <c r="A515" s="65" t="s">
        <v>648</v>
      </c>
      <c r="B515" s="65" t="s">
        <v>650</v>
      </c>
      <c r="C515" s="65" t="s">
        <v>664</v>
      </c>
    </row>
    <row r="516">
      <c r="A516" s="65" t="s">
        <v>648</v>
      </c>
      <c r="B516" s="65" t="s">
        <v>662</v>
      </c>
      <c r="C516" s="65" t="s">
        <v>665</v>
      </c>
    </row>
    <row r="517">
      <c r="A517" s="65" t="s">
        <v>648</v>
      </c>
      <c r="B517" s="65" t="s">
        <v>662</v>
      </c>
      <c r="C517" s="65" t="s">
        <v>666</v>
      </c>
    </row>
    <row r="518">
      <c r="A518" s="65" t="s">
        <v>648</v>
      </c>
      <c r="B518" s="65" t="s">
        <v>155</v>
      </c>
      <c r="C518" s="65" t="s">
        <v>667</v>
      </c>
    </row>
    <row r="519">
      <c r="A519" s="65" t="s">
        <v>648</v>
      </c>
      <c r="B519" s="65" t="s">
        <v>668</v>
      </c>
      <c r="C519" s="65" t="s">
        <v>669</v>
      </c>
    </row>
    <row r="520">
      <c r="A520" s="65" t="s">
        <v>670</v>
      </c>
      <c r="B520" s="65" t="s">
        <v>671</v>
      </c>
      <c r="C520" s="65" t="s">
        <v>672</v>
      </c>
    </row>
    <row r="521">
      <c r="A521" s="65" t="s">
        <v>673</v>
      </c>
      <c r="B521" s="65" t="s">
        <v>169</v>
      </c>
      <c r="C521" s="65" t="s">
        <v>674</v>
      </c>
    </row>
    <row r="522">
      <c r="A522" s="65" t="s">
        <v>673</v>
      </c>
      <c r="B522" s="65" t="s">
        <v>675</v>
      </c>
      <c r="C522" s="65" t="s">
        <v>676</v>
      </c>
    </row>
    <row r="523">
      <c r="A523" s="65" t="s">
        <v>673</v>
      </c>
      <c r="B523" s="65" t="s">
        <v>173</v>
      </c>
      <c r="C523" s="65" t="s">
        <v>677</v>
      </c>
    </row>
    <row r="524">
      <c r="A524" s="65" t="s">
        <v>673</v>
      </c>
      <c r="B524" s="65" t="s">
        <v>169</v>
      </c>
      <c r="C524" s="65" t="s">
        <v>678</v>
      </c>
    </row>
    <row r="525">
      <c r="A525" s="65" t="s">
        <v>673</v>
      </c>
      <c r="B525" s="65" t="s">
        <v>173</v>
      </c>
      <c r="C525" s="65" t="s">
        <v>679</v>
      </c>
    </row>
    <row r="526">
      <c r="A526" s="65" t="s">
        <v>680</v>
      </c>
      <c r="B526" s="65" t="s">
        <v>681</v>
      </c>
      <c r="C526" s="65" t="s">
        <v>682</v>
      </c>
    </row>
    <row r="527">
      <c r="A527" s="65" t="s">
        <v>683</v>
      </c>
      <c r="B527" s="65" t="s">
        <v>684</v>
      </c>
      <c r="C527" s="65" t="s">
        <v>685</v>
      </c>
    </row>
    <row r="528">
      <c r="A528" s="65" t="s">
        <v>686</v>
      </c>
      <c r="B528" s="65" t="s">
        <v>687</v>
      </c>
      <c r="C528" s="65" t="s">
        <v>688</v>
      </c>
    </row>
    <row r="529">
      <c r="A529" s="65" t="s">
        <v>686</v>
      </c>
      <c r="B529" s="65" t="s">
        <v>186</v>
      </c>
      <c r="C529" s="65" t="s">
        <v>689</v>
      </c>
    </row>
    <row r="530">
      <c r="A530" s="65" t="s">
        <v>686</v>
      </c>
      <c r="B530" s="65" t="s">
        <v>188</v>
      </c>
      <c r="C530" s="65" t="s">
        <v>690</v>
      </c>
    </row>
    <row r="531">
      <c r="A531" s="65" t="s">
        <v>686</v>
      </c>
      <c r="B531" s="65" t="s">
        <v>691</v>
      </c>
      <c r="C531" s="65" t="s">
        <v>692</v>
      </c>
    </row>
    <row r="532">
      <c r="A532" s="65" t="s">
        <v>693</v>
      </c>
      <c r="B532" s="65" t="s">
        <v>694</v>
      </c>
      <c r="C532" s="65" t="s">
        <v>695</v>
      </c>
    </row>
    <row r="533">
      <c r="A533" s="65" t="s">
        <v>693</v>
      </c>
      <c r="B533" s="65" t="s">
        <v>696</v>
      </c>
      <c r="C533" s="65" t="s">
        <v>697</v>
      </c>
    </row>
    <row r="534">
      <c r="A534" s="65" t="s">
        <v>693</v>
      </c>
      <c r="B534" s="65" t="s">
        <v>698</v>
      </c>
      <c r="C534" s="65" t="s">
        <v>699</v>
      </c>
    </row>
    <row r="535">
      <c r="A535" s="65" t="s">
        <v>693</v>
      </c>
      <c r="B535" s="65" t="s">
        <v>698</v>
      </c>
      <c r="C535" s="65" t="s">
        <v>700</v>
      </c>
    </row>
    <row r="536">
      <c r="A536" s="65" t="s">
        <v>693</v>
      </c>
      <c r="B536" s="65" t="s">
        <v>701</v>
      </c>
      <c r="C536" s="65" t="s">
        <v>702</v>
      </c>
    </row>
    <row r="537">
      <c r="A537" s="65" t="s">
        <v>693</v>
      </c>
      <c r="B537" s="65" t="s">
        <v>703</v>
      </c>
      <c r="C537" s="65" t="s">
        <v>704</v>
      </c>
    </row>
    <row r="538">
      <c r="A538" s="65" t="s">
        <v>693</v>
      </c>
      <c r="B538" s="65" t="s">
        <v>703</v>
      </c>
      <c r="C538" s="65" t="s">
        <v>705</v>
      </c>
    </row>
    <row r="539">
      <c r="A539" s="65" t="s">
        <v>693</v>
      </c>
      <c r="B539" s="65" t="s">
        <v>703</v>
      </c>
      <c r="C539" s="65" t="s">
        <v>706</v>
      </c>
    </row>
    <row r="540">
      <c r="A540" s="65" t="s">
        <v>693</v>
      </c>
      <c r="B540" s="65" t="s">
        <v>703</v>
      </c>
      <c r="C540" s="65" t="s">
        <v>707</v>
      </c>
    </row>
    <row r="541">
      <c r="A541" s="65" t="s">
        <v>693</v>
      </c>
      <c r="B541" s="65" t="s">
        <v>701</v>
      </c>
      <c r="C541" s="65" t="s">
        <v>708</v>
      </c>
    </row>
    <row r="542">
      <c r="A542" s="65" t="s">
        <v>693</v>
      </c>
      <c r="B542" s="65" t="s">
        <v>701</v>
      </c>
      <c r="C542" s="65" t="s">
        <v>577</v>
      </c>
    </row>
    <row r="543">
      <c r="A543" s="65" t="s">
        <v>693</v>
      </c>
      <c r="B543" s="65" t="s">
        <v>701</v>
      </c>
      <c r="C543" s="65" t="s">
        <v>709</v>
      </c>
    </row>
    <row r="544">
      <c r="A544" s="65" t="s">
        <v>693</v>
      </c>
      <c r="B544" s="65" t="s">
        <v>701</v>
      </c>
      <c r="C544" s="65" t="s">
        <v>710</v>
      </c>
    </row>
    <row r="545">
      <c r="A545" s="65" t="s">
        <v>693</v>
      </c>
      <c r="B545" s="65" t="s">
        <v>696</v>
      </c>
      <c r="C545" s="65" t="s">
        <v>711</v>
      </c>
    </row>
    <row r="546">
      <c r="A546" s="65" t="s">
        <v>693</v>
      </c>
      <c r="B546" s="65" t="s">
        <v>696</v>
      </c>
      <c r="C546" s="65" t="s">
        <v>712</v>
      </c>
    </row>
    <row r="547">
      <c r="A547" s="65" t="s">
        <v>693</v>
      </c>
      <c r="B547" s="65" t="s">
        <v>696</v>
      </c>
      <c r="C547" s="65" t="s">
        <v>577</v>
      </c>
    </row>
    <row r="548">
      <c r="A548" s="65" t="s">
        <v>693</v>
      </c>
      <c r="B548" s="65" t="s">
        <v>696</v>
      </c>
      <c r="C548" s="65" t="s">
        <v>713</v>
      </c>
    </row>
    <row r="549">
      <c r="A549" s="65" t="s">
        <v>693</v>
      </c>
      <c r="B549" s="65" t="s">
        <v>698</v>
      </c>
      <c r="C549" s="65" t="s">
        <v>714</v>
      </c>
    </row>
    <row r="550">
      <c r="A550" s="65" t="s">
        <v>693</v>
      </c>
      <c r="B550" s="65" t="s">
        <v>698</v>
      </c>
      <c r="C550" s="65" t="s">
        <v>715</v>
      </c>
    </row>
    <row r="551">
      <c r="A551" s="65" t="s">
        <v>693</v>
      </c>
      <c r="B551" s="65" t="s">
        <v>698</v>
      </c>
      <c r="C551" s="65" t="s">
        <v>577</v>
      </c>
    </row>
    <row r="552">
      <c r="A552" s="65" t="s">
        <v>693</v>
      </c>
      <c r="B552" s="65" t="s">
        <v>698</v>
      </c>
      <c r="C552" s="65" t="s">
        <v>716</v>
      </c>
    </row>
    <row r="553">
      <c r="A553" s="65" t="s">
        <v>717</v>
      </c>
      <c r="B553" s="65" t="s">
        <v>718</v>
      </c>
      <c r="C553" s="65" t="s">
        <v>719</v>
      </c>
    </row>
    <row r="554">
      <c r="A554" s="65" t="s">
        <v>717</v>
      </c>
      <c r="B554" s="65" t="s">
        <v>720</v>
      </c>
      <c r="C554" s="65" t="s">
        <v>721</v>
      </c>
    </row>
    <row r="555">
      <c r="A555" s="65" t="s">
        <v>717</v>
      </c>
      <c r="B555" s="65" t="s">
        <v>722</v>
      </c>
      <c r="C555" s="65" t="s">
        <v>723</v>
      </c>
    </row>
    <row r="556">
      <c r="A556" s="65" t="s">
        <v>717</v>
      </c>
      <c r="B556" s="65" t="s">
        <v>223</v>
      </c>
      <c r="C556" s="65" t="s">
        <v>724</v>
      </c>
    </row>
    <row r="557">
      <c r="A557" s="65" t="s">
        <v>717</v>
      </c>
      <c r="B557" s="65" t="s">
        <v>725</v>
      </c>
      <c r="C557" s="65" t="s">
        <v>663</v>
      </c>
    </row>
    <row r="558">
      <c r="A558" s="65" t="s">
        <v>717</v>
      </c>
      <c r="B558" s="65" t="s">
        <v>725</v>
      </c>
      <c r="C558" s="65" t="s">
        <v>726</v>
      </c>
    </row>
    <row r="559">
      <c r="A559" s="65" t="s">
        <v>717</v>
      </c>
      <c r="B559" s="65" t="s">
        <v>223</v>
      </c>
      <c r="C559" s="65" t="s">
        <v>727</v>
      </c>
    </row>
    <row r="560">
      <c r="A560" s="65" t="s">
        <v>717</v>
      </c>
      <c r="B560" s="65" t="s">
        <v>725</v>
      </c>
      <c r="C560" s="65" t="s">
        <v>728</v>
      </c>
    </row>
    <row r="561">
      <c r="A561" s="65" t="s">
        <v>717</v>
      </c>
      <c r="B561" s="65" t="s">
        <v>718</v>
      </c>
      <c r="C561" s="65" t="s">
        <v>729</v>
      </c>
    </row>
    <row r="562">
      <c r="A562" s="65" t="s">
        <v>717</v>
      </c>
      <c r="B562" s="65" t="s">
        <v>730</v>
      </c>
      <c r="C562" s="65" t="s">
        <v>731</v>
      </c>
    </row>
    <row r="563">
      <c r="A563" s="65" t="s">
        <v>717</v>
      </c>
      <c r="B563" s="65" t="s">
        <v>718</v>
      </c>
      <c r="C563" s="65" t="s">
        <v>732</v>
      </c>
    </row>
    <row r="564">
      <c r="A564" s="65" t="s">
        <v>717</v>
      </c>
      <c r="B564" s="65" t="s">
        <v>223</v>
      </c>
      <c r="C564" s="65" t="s">
        <v>733</v>
      </c>
    </row>
    <row r="565">
      <c r="A565" s="65" t="s">
        <v>717</v>
      </c>
      <c r="B565" s="65" t="s">
        <v>734</v>
      </c>
      <c r="C565" s="65" t="s">
        <v>735</v>
      </c>
    </row>
    <row r="566">
      <c r="A566" s="65" t="s">
        <v>717</v>
      </c>
      <c r="B566" s="65" t="s">
        <v>223</v>
      </c>
      <c r="C566" s="65" t="s">
        <v>562</v>
      </c>
    </row>
    <row r="567">
      <c r="A567" s="65" t="s">
        <v>717</v>
      </c>
      <c r="B567" s="65" t="s">
        <v>720</v>
      </c>
      <c r="C567" s="65" t="s">
        <v>736</v>
      </c>
    </row>
    <row r="568">
      <c r="A568" s="65" t="s">
        <v>717</v>
      </c>
      <c r="B568" s="65" t="s">
        <v>722</v>
      </c>
      <c r="C568" s="65" t="s">
        <v>737</v>
      </c>
    </row>
    <row r="569">
      <c r="A569" s="65" t="s">
        <v>717</v>
      </c>
      <c r="B569" s="65" t="s">
        <v>738</v>
      </c>
      <c r="C569" s="65" t="s">
        <v>739</v>
      </c>
    </row>
    <row r="570">
      <c r="A570" s="65" t="s">
        <v>717</v>
      </c>
      <c r="B570" s="65" t="s">
        <v>738</v>
      </c>
      <c r="C570" s="65" t="s">
        <v>740</v>
      </c>
    </row>
    <row r="571">
      <c r="A571" s="65" t="s">
        <v>717</v>
      </c>
      <c r="B571" s="65" t="s">
        <v>738</v>
      </c>
      <c r="C571" s="65" t="s">
        <v>741</v>
      </c>
    </row>
    <row r="572">
      <c r="A572" s="65" t="s">
        <v>717</v>
      </c>
      <c r="B572" s="65" t="s">
        <v>738</v>
      </c>
      <c r="C572" s="65" t="s">
        <v>742</v>
      </c>
    </row>
    <row r="573">
      <c r="A573" s="65" t="s">
        <v>717</v>
      </c>
      <c r="B573" s="65" t="s">
        <v>738</v>
      </c>
      <c r="C573" s="65" t="s">
        <v>743</v>
      </c>
    </row>
    <row r="574">
      <c r="A574" s="65" t="s">
        <v>717</v>
      </c>
      <c r="B574" s="65" t="s">
        <v>738</v>
      </c>
      <c r="C574" s="65" t="s">
        <v>744</v>
      </c>
    </row>
    <row r="575">
      <c r="A575" s="65" t="s">
        <v>717</v>
      </c>
      <c r="B575" s="65" t="s">
        <v>738</v>
      </c>
      <c r="C575" s="65" t="s">
        <v>652</v>
      </c>
    </row>
    <row r="576">
      <c r="A576" s="65" t="s">
        <v>717</v>
      </c>
      <c r="B576" s="65" t="s">
        <v>738</v>
      </c>
      <c r="C576" s="65" t="s">
        <v>578</v>
      </c>
    </row>
    <row r="577">
      <c r="A577" s="65" t="s">
        <v>717</v>
      </c>
      <c r="B577" s="65" t="s">
        <v>738</v>
      </c>
      <c r="C577" s="65" t="s">
        <v>745</v>
      </c>
    </row>
    <row r="578">
      <c r="A578" s="65" t="s">
        <v>717</v>
      </c>
      <c r="B578" s="65" t="s">
        <v>722</v>
      </c>
      <c r="C578" s="65" t="s">
        <v>746</v>
      </c>
    </row>
    <row r="579">
      <c r="A579" s="65" t="s">
        <v>717</v>
      </c>
      <c r="B579" s="65" t="s">
        <v>722</v>
      </c>
      <c r="C579" s="65" t="s">
        <v>747</v>
      </c>
    </row>
    <row r="580">
      <c r="A580" s="65" t="s">
        <v>717</v>
      </c>
      <c r="B580" s="65" t="s">
        <v>722</v>
      </c>
      <c r="C580" s="65" t="s">
        <v>748</v>
      </c>
    </row>
    <row r="581">
      <c r="A581" s="65" t="s">
        <v>717</v>
      </c>
      <c r="B581" s="65" t="s">
        <v>722</v>
      </c>
      <c r="C581" s="65" t="s">
        <v>749</v>
      </c>
    </row>
    <row r="582">
      <c r="A582" s="65" t="s">
        <v>717</v>
      </c>
      <c r="B582" s="65" t="s">
        <v>722</v>
      </c>
      <c r="C582" s="65" t="s">
        <v>750</v>
      </c>
    </row>
    <row r="583">
      <c r="A583" s="65" t="s">
        <v>717</v>
      </c>
      <c r="B583" s="65" t="s">
        <v>251</v>
      </c>
      <c r="C583" s="65" t="s">
        <v>751</v>
      </c>
    </row>
    <row r="584">
      <c r="A584" s="65" t="s">
        <v>717</v>
      </c>
      <c r="B584" s="65" t="s">
        <v>730</v>
      </c>
      <c r="C584" s="65" t="s">
        <v>752</v>
      </c>
    </row>
    <row r="585">
      <c r="A585" s="65" t="s">
        <v>717</v>
      </c>
      <c r="B585" s="65" t="s">
        <v>251</v>
      </c>
      <c r="C585" s="65" t="s">
        <v>753</v>
      </c>
    </row>
    <row r="586">
      <c r="A586" s="65" t="s">
        <v>717</v>
      </c>
      <c r="B586" s="65" t="s">
        <v>720</v>
      </c>
      <c r="C586" s="65" t="s">
        <v>754</v>
      </c>
    </row>
    <row r="587">
      <c r="A587" s="65" t="s">
        <v>717</v>
      </c>
      <c r="B587" s="65" t="s">
        <v>725</v>
      </c>
      <c r="C587" s="65" t="s">
        <v>755</v>
      </c>
    </row>
    <row r="588">
      <c r="A588" s="65" t="s">
        <v>717</v>
      </c>
      <c r="B588" s="65" t="s">
        <v>251</v>
      </c>
      <c r="C588" s="65" t="s">
        <v>756</v>
      </c>
    </row>
    <row r="589">
      <c r="A589" s="65" t="s">
        <v>717</v>
      </c>
      <c r="B589" s="65" t="s">
        <v>720</v>
      </c>
      <c r="C589" s="65" t="s">
        <v>757</v>
      </c>
    </row>
    <row r="590">
      <c r="A590" s="65" t="s">
        <v>717</v>
      </c>
      <c r="B590" s="65" t="s">
        <v>730</v>
      </c>
      <c r="C590" s="65" t="s">
        <v>758</v>
      </c>
    </row>
    <row r="591">
      <c r="A591" s="65" t="s">
        <v>717</v>
      </c>
      <c r="B591" s="65" t="s">
        <v>730</v>
      </c>
      <c r="C591" s="65" t="s">
        <v>759</v>
      </c>
    </row>
    <row r="592">
      <c r="A592" s="65" t="s">
        <v>717</v>
      </c>
      <c r="B592" s="65" t="s">
        <v>720</v>
      </c>
      <c r="C592" s="65" t="s">
        <v>760</v>
      </c>
    </row>
    <row r="593">
      <c r="A593" s="65" t="s">
        <v>717</v>
      </c>
      <c r="B593" s="65" t="s">
        <v>720</v>
      </c>
      <c r="C593" s="65" t="s">
        <v>761</v>
      </c>
    </row>
    <row r="594">
      <c r="A594" s="65" t="s">
        <v>717</v>
      </c>
      <c r="B594" s="65" t="s">
        <v>251</v>
      </c>
      <c r="C594" s="65" t="s">
        <v>762</v>
      </c>
    </row>
    <row r="595">
      <c r="A595" s="65" t="s">
        <v>717</v>
      </c>
      <c r="B595" s="65" t="s">
        <v>718</v>
      </c>
      <c r="C595" s="65" t="s">
        <v>763</v>
      </c>
    </row>
    <row r="596">
      <c r="A596" s="65" t="s">
        <v>717</v>
      </c>
      <c r="B596" s="65" t="s">
        <v>718</v>
      </c>
      <c r="C596" s="65" t="s">
        <v>764</v>
      </c>
    </row>
    <row r="597">
      <c r="A597" s="65" t="s">
        <v>717</v>
      </c>
      <c r="B597" s="65" t="s">
        <v>718</v>
      </c>
      <c r="C597" s="65" t="s">
        <v>765</v>
      </c>
    </row>
    <row r="598">
      <c r="A598" s="65" t="s">
        <v>717</v>
      </c>
      <c r="B598" s="65" t="s">
        <v>251</v>
      </c>
      <c r="C598" s="65" t="s">
        <v>766</v>
      </c>
    </row>
    <row r="599">
      <c r="A599" s="65" t="s">
        <v>717</v>
      </c>
      <c r="B599" s="65" t="s">
        <v>720</v>
      </c>
      <c r="C599" s="65" t="s">
        <v>767</v>
      </c>
    </row>
    <row r="600">
      <c r="A600" s="65" t="s">
        <v>717</v>
      </c>
      <c r="B600" s="65" t="s">
        <v>251</v>
      </c>
      <c r="C600" s="65" t="s">
        <v>768</v>
      </c>
    </row>
    <row r="601">
      <c r="A601" s="65" t="s">
        <v>717</v>
      </c>
      <c r="B601" s="65" t="s">
        <v>725</v>
      </c>
      <c r="C601" s="65" t="s">
        <v>769</v>
      </c>
    </row>
    <row r="602">
      <c r="A602" s="65" t="s">
        <v>717</v>
      </c>
      <c r="B602" s="65" t="s">
        <v>720</v>
      </c>
      <c r="C602" s="65" t="s">
        <v>770</v>
      </c>
    </row>
    <row r="603">
      <c r="A603" s="65" t="s">
        <v>717</v>
      </c>
      <c r="B603" s="65" t="s">
        <v>718</v>
      </c>
      <c r="C603" s="65" t="s">
        <v>771</v>
      </c>
    </row>
    <row r="604">
      <c r="A604" s="65" t="s">
        <v>717</v>
      </c>
      <c r="B604" s="65" t="s">
        <v>223</v>
      </c>
      <c r="C604" s="65" t="s">
        <v>772</v>
      </c>
    </row>
    <row r="605">
      <c r="A605" s="65" t="s">
        <v>717</v>
      </c>
      <c r="B605" s="65" t="s">
        <v>730</v>
      </c>
      <c r="C605" s="65" t="s">
        <v>773</v>
      </c>
    </row>
    <row r="606">
      <c r="A606" s="65" t="s">
        <v>717</v>
      </c>
      <c r="B606" s="65" t="s">
        <v>725</v>
      </c>
      <c r="C606" s="65" t="s">
        <v>774</v>
      </c>
    </row>
    <row r="607">
      <c r="A607" s="65" t="s">
        <v>717</v>
      </c>
      <c r="B607" s="65" t="s">
        <v>223</v>
      </c>
      <c r="C607" s="65" t="s">
        <v>775</v>
      </c>
    </row>
    <row r="608">
      <c r="A608" s="65" t="s">
        <v>717</v>
      </c>
      <c r="B608" s="65" t="s">
        <v>725</v>
      </c>
      <c r="C608" s="65" t="s">
        <v>776</v>
      </c>
    </row>
    <row r="609">
      <c r="A609" s="65" t="s">
        <v>717</v>
      </c>
      <c r="B609" s="65" t="s">
        <v>725</v>
      </c>
      <c r="C609" s="65" t="s">
        <v>777</v>
      </c>
    </row>
    <row r="610">
      <c r="A610" s="65" t="s">
        <v>717</v>
      </c>
      <c r="B610" s="65" t="s">
        <v>223</v>
      </c>
      <c r="C610" s="65" t="s">
        <v>778</v>
      </c>
    </row>
    <row r="611">
      <c r="A611" s="65" t="s">
        <v>717</v>
      </c>
      <c r="B611" s="65" t="s">
        <v>730</v>
      </c>
      <c r="C611" s="65" t="s">
        <v>779</v>
      </c>
    </row>
    <row r="612">
      <c r="A612" s="65" t="s">
        <v>780</v>
      </c>
      <c r="B612" s="65" t="s">
        <v>781</v>
      </c>
      <c r="C612" s="65" t="s">
        <v>782</v>
      </c>
    </row>
    <row r="613">
      <c r="A613" s="65" t="s">
        <v>780</v>
      </c>
      <c r="B613" s="65" t="s">
        <v>284</v>
      </c>
      <c r="C613" s="65" t="s">
        <v>783</v>
      </c>
    </row>
    <row r="614">
      <c r="A614" s="65" t="s">
        <v>780</v>
      </c>
      <c r="B614" s="65" t="s">
        <v>286</v>
      </c>
      <c r="C614" s="65" t="s">
        <v>784</v>
      </c>
    </row>
    <row r="615">
      <c r="A615" s="65" t="s">
        <v>780</v>
      </c>
      <c r="B615" s="65" t="s">
        <v>284</v>
      </c>
      <c r="C615" s="65" t="s">
        <v>785</v>
      </c>
    </row>
    <row r="616">
      <c r="A616" s="65" t="s">
        <v>780</v>
      </c>
      <c r="B616" s="65" t="s">
        <v>786</v>
      </c>
      <c r="C616" s="65" t="s">
        <v>787</v>
      </c>
    </row>
    <row r="617">
      <c r="A617" s="65" t="s">
        <v>780</v>
      </c>
      <c r="B617" s="65" t="s">
        <v>284</v>
      </c>
      <c r="C617" s="65" t="s">
        <v>788</v>
      </c>
    </row>
    <row r="618">
      <c r="A618" s="65" t="s">
        <v>780</v>
      </c>
      <c r="B618" s="65" t="s">
        <v>286</v>
      </c>
      <c r="C618" s="65" t="s">
        <v>789</v>
      </c>
    </row>
    <row r="619">
      <c r="A619" s="65" t="s">
        <v>780</v>
      </c>
      <c r="B619" s="65" t="s">
        <v>786</v>
      </c>
      <c r="C619" s="65" t="s">
        <v>790</v>
      </c>
    </row>
    <row r="620">
      <c r="A620" s="65" t="s">
        <v>780</v>
      </c>
      <c r="B620" s="65" t="s">
        <v>786</v>
      </c>
      <c r="C620" s="65" t="s">
        <v>791</v>
      </c>
    </row>
    <row r="621">
      <c r="A621" s="65" t="s">
        <v>780</v>
      </c>
      <c r="B621" s="65" t="s">
        <v>786</v>
      </c>
      <c r="C621" s="65" t="s">
        <v>792</v>
      </c>
    </row>
    <row r="622">
      <c r="A622" s="65" t="s">
        <v>780</v>
      </c>
      <c r="B622" s="65" t="s">
        <v>284</v>
      </c>
      <c r="C622" s="65" t="s">
        <v>793</v>
      </c>
    </row>
    <row r="623">
      <c r="A623" s="65" t="s">
        <v>780</v>
      </c>
      <c r="B623" s="65" t="s">
        <v>786</v>
      </c>
      <c r="C623" s="65" t="s">
        <v>794</v>
      </c>
    </row>
    <row r="624">
      <c r="A624" s="65" t="s">
        <v>780</v>
      </c>
      <c r="B624" s="65" t="s">
        <v>786</v>
      </c>
      <c r="C624" s="65" t="s">
        <v>578</v>
      </c>
    </row>
    <row r="625">
      <c r="A625" s="65" t="s">
        <v>298</v>
      </c>
      <c r="B625" s="65" t="s">
        <v>795</v>
      </c>
      <c r="C625" s="65" t="s">
        <v>796</v>
      </c>
    </row>
    <row r="626">
      <c r="A626" s="65" t="s">
        <v>298</v>
      </c>
      <c r="B626" s="65" t="s">
        <v>795</v>
      </c>
      <c r="C626" s="65" t="s">
        <v>797</v>
      </c>
    </row>
    <row r="627">
      <c r="A627" s="65" t="s">
        <v>298</v>
      </c>
      <c r="B627" s="65" t="s">
        <v>798</v>
      </c>
      <c r="C627" s="65" t="s">
        <v>799</v>
      </c>
    </row>
    <row r="628">
      <c r="A628" s="65" t="s">
        <v>298</v>
      </c>
      <c r="B628" s="65" t="s">
        <v>304</v>
      </c>
      <c r="C628" s="65" t="s">
        <v>800</v>
      </c>
    </row>
    <row r="629">
      <c r="A629" s="65" t="s">
        <v>298</v>
      </c>
      <c r="B629" s="65" t="s">
        <v>304</v>
      </c>
      <c r="C629" s="65" t="s">
        <v>801</v>
      </c>
    </row>
    <row r="630">
      <c r="A630" s="65" t="s">
        <v>298</v>
      </c>
      <c r="B630" s="65" t="s">
        <v>802</v>
      </c>
      <c r="C630" s="65" t="s">
        <v>803</v>
      </c>
    </row>
    <row r="631">
      <c r="A631" s="65" t="s">
        <v>298</v>
      </c>
      <c r="B631" s="65" t="s">
        <v>804</v>
      </c>
      <c r="C631" s="65" t="s">
        <v>805</v>
      </c>
    </row>
    <row r="632">
      <c r="A632" s="65" t="s">
        <v>298</v>
      </c>
      <c r="B632" s="65" t="s">
        <v>802</v>
      </c>
      <c r="C632" s="65" t="s">
        <v>806</v>
      </c>
    </row>
    <row r="633">
      <c r="A633" s="65" t="s">
        <v>298</v>
      </c>
      <c r="B633" s="65" t="s">
        <v>795</v>
      </c>
      <c r="C633" s="65" t="s">
        <v>807</v>
      </c>
    </row>
    <row r="634">
      <c r="A634" s="65" t="s">
        <v>298</v>
      </c>
      <c r="B634" s="65" t="s">
        <v>802</v>
      </c>
      <c r="C634" s="65" t="s">
        <v>808</v>
      </c>
    </row>
    <row r="635">
      <c r="A635" s="65" t="s">
        <v>298</v>
      </c>
      <c r="B635" s="65" t="s">
        <v>304</v>
      </c>
      <c r="C635" s="65" t="s">
        <v>809</v>
      </c>
    </row>
    <row r="636">
      <c r="A636" s="65" t="s">
        <v>298</v>
      </c>
      <c r="B636" s="65" t="s">
        <v>802</v>
      </c>
      <c r="C636" s="65" t="s">
        <v>810</v>
      </c>
    </row>
    <row r="637">
      <c r="A637" s="65" t="s">
        <v>298</v>
      </c>
      <c r="B637" s="65" t="s">
        <v>795</v>
      </c>
      <c r="C637" s="65" t="s">
        <v>811</v>
      </c>
    </row>
    <row r="638">
      <c r="A638" s="65" t="s">
        <v>298</v>
      </c>
      <c r="B638" s="65" t="s">
        <v>802</v>
      </c>
      <c r="C638" s="65" t="s">
        <v>812</v>
      </c>
    </row>
    <row r="639">
      <c r="A639" s="65" t="s">
        <v>298</v>
      </c>
      <c r="B639" s="65" t="s">
        <v>802</v>
      </c>
      <c r="C639" s="65" t="s">
        <v>813</v>
      </c>
    </row>
    <row r="640">
      <c r="A640" s="65" t="s">
        <v>298</v>
      </c>
      <c r="B640" s="65" t="s">
        <v>802</v>
      </c>
      <c r="C640" s="65" t="s">
        <v>814</v>
      </c>
    </row>
    <row r="641">
      <c r="A641" s="65" t="s">
        <v>298</v>
      </c>
      <c r="B641" s="65" t="s">
        <v>802</v>
      </c>
      <c r="C641" s="65" t="s">
        <v>815</v>
      </c>
    </row>
    <row r="642">
      <c r="A642" s="65" t="s">
        <v>298</v>
      </c>
      <c r="B642" s="65" t="s">
        <v>795</v>
      </c>
      <c r="C642" s="65" t="s">
        <v>816</v>
      </c>
    </row>
    <row r="643">
      <c r="A643" s="65" t="s">
        <v>298</v>
      </c>
      <c r="B643" s="65" t="s">
        <v>798</v>
      </c>
      <c r="C643" s="65" t="s">
        <v>817</v>
      </c>
    </row>
    <row r="644">
      <c r="A644" s="65" t="s">
        <v>323</v>
      </c>
      <c r="B644" s="65" t="s">
        <v>324</v>
      </c>
      <c r="C644" s="65" t="s">
        <v>818</v>
      </c>
    </row>
    <row r="645">
      <c r="A645" s="65" t="s">
        <v>323</v>
      </c>
      <c r="B645" s="65" t="s">
        <v>324</v>
      </c>
      <c r="C645" s="65" t="s">
        <v>568</v>
      </c>
    </row>
    <row r="646">
      <c r="A646" s="65" t="s">
        <v>323</v>
      </c>
      <c r="B646" s="65" t="s">
        <v>819</v>
      </c>
      <c r="C646" s="65" t="s">
        <v>766</v>
      </c>
    </row>
    <row r="647">
      <c r="A647" s="65" t="s">
        <v>323</v>
      </c>
      <c r="B647" s="65" t="s">
        <v>819</v>
      </c>
      <c r="C647" s="65" t="s">
        <v>820</v>
      </c>
    </row>
    <row r="648">
      <c r="A648" s="65" t="s">
        <v>323</v>
      </c>
      <c r="B648" s="65" t="s">
        <v>821</v>
      </c>
      <c r="C648" s="65" t="s">
        <v>822</v>
      </c>
    </row>
    <row r="649">
      <c r="A649" s="65" t="s">
        <v>323</v>
      </c>
      <c r="B649" s="65" t="s">
        <v>821</v>
      </c>
      <c r="C649" s="65" t="s">
        <v>823</v>
      </c>
    </row>
    <row r="650">
      <c r="A650" s="65" t="s">
        <v>323</v>
      </c>
      <c r="B650" s="65" t="s">
        <v>824</v>
      </c>
      <c r="C650" s="65" t="s">
        <v>825</v>
      </c>
    </row>
    <row r="651">
      <c r="A651" s="65" t="s">
        <v>323</v>
      </c>
      <c r="B651" s="65" t="s">
        <v>824</v>
      </c>
      <c r="C651" s="65" t="s">
        <v>826</v>
      </c>
    </row>
    <row r="652">
      <c r="A652" s="65" t="s">
        <v>323</v>
      </c>
      <c r="B652" s="65" t="s">
        <v>821</v>
      </c>
      <c r="C652" s="65" t="s">
        <v>827</v>
      </c>
    </row>
    <row r="653">
      <c r="A653" s="65" t="s">
        <v>323</v>
      </c>
      <c r="B653" s="65" t="s">
        <v>824</v>
      </c>
      <c r="C653" s="65" t="s">
        <v>828</v>
      </c>
    </row>
    <row r="654">
      <c r="A654" s="65" t="s">
        <v>323</v>
      </c>
      <c r="B654" s="65" t="s">
        <v>824</v>
      </c>
      <c r="C654" s="65" t="s">
        <v>829</v>
      </c>
    </row>
    <row r="655">
      <c r="A655" s="65" t="s">
        <v>323</v>
      </c>
      <c r="B655" s="65" t="s">
        <v>324</v>
      </c>
      <c r="C655" s="65" t="s">
        <v>830</v>
      </c>
    </row>
    <row r="656">
      <c r="A656" s="65" t="s">
        <v>323</v>
      </c>
      <c r="B656" s="65" t="s">
        <v>819</v>
      </c>
      <c r="C656" s="65" t="s">
        <v>831</v>
      </c>
    </row>
    <row r="657">
      <c r="A657" s="65" t="s">
        <v>323</v>
      </c>
      <c r="B657" s="65" t="s">
        <v>324</v>
      </c>
      <c r="C657" s="65" t="s">
        <v>832</v>
      </c>
    </row>
    <row r="658">
      <c r="A658" s="65" t="s">
        <v>323</v>
      </c>
      <c r="B658" s="65" t="s">
        <v>324</v>
      </c>
      <c r="C658" s="65" t="s">
        <v>833</v>
      </c>
    </row>
    <row r="659">
      <c r="A659" s="65" t="s">
        <v>323</v>
      </c>
      <c r="B659" s="65" t="s">
        <v>824</v>
      </c>
      <c r="C659" s="65" t="s">
        <v>834</v>
      </c>
    </row>
    <row r="660">
      <c r="A660" s="65" t="s">
        <v>323</v>
      </c>
      <c r="B660" s="65" t="s">
        <v>824</v>
      </c>
      <c r="C660" s="65" t="s">
        <v>835</v>
      </c>
    </row>
    <row r="661">
      <c r="A661" s="65" t="s">
        <v>323</v>
      </c>
      <c r="B661" s="65" t="s">
        <v>824</v>
      </c>
      <c r="C661" s="65" t="s">
        <v>836</v>
      </c>
    </row>
    <row r="662">
      <c r="A662" s="65" t="s">
        <v>323</v>
      </c>
      <c r="B662" s="65" t="s">
        <v>837</v>
      </c>
      <c r="C662" s="65" t="s">
        <v>838</v>
      </c>
    </row>
    <row r="663">
      <c r="A663" s="65" t="s">
        <v>323</v>
      </c>
      <c r="B663" s="65" t="s">
        <v>324</v>
      </c>
      <c r="C663" s="65" t="s">
        <v>839</v>
      </c>
    </row>
    <row r="664">
      <c r="A664" s="65" t="s">
        <v>323</v>
      </c>
      <c r="B664" s="65" t="s">
        <v>824</v>
      </c>
      <c r="C664" s="65" t="s">
        <v>840</v>
      </c>
    </row>
    <row r="665">
      <c r="A665" s="65" t="s">
        <v>323</v>
      </c>
      <c r="B665" s="65" t="s">
        <v>824</v>
      </c>
      <c r="C665" s="65" t="s">
        <v>841</v>
      </c>
    </row>
    <row r="666">
      <c r="A666" s="65" t="s">
        <v>323</v>
      </c>
      <c r="B666" s="65" t="s">
        <v>324</v>
      </c>
      <c r="C666" s="65" t="s">
        <v>842</v>
      </c>
    </row>
    <row r="667">
      <c r="A667" s="65" t="s">
        <v>323</v>
      </c>
      <c r="B667" s="65" t="s">
        <v>824</v>
      </c>
      <c r="C667" s="65" t="s">
        <v>843</v>
      </c>
    </row>
    <row r="668">
      <c r="A668" s="65" t="s">
        <v>323</v>
      </c>
      <c r="B668" s="65" t="s">
        <v>824</v>
      </c>
      <c r="C668" s="65" t="s">
        <v>844</v>
      </c>
    </row>
    <row r="669">
      <c r="A669" s="65" t="s">
        <v>323</v>
      </c>
      <c r="B669" s="65" t="s">
        <v>821</v>
      </c>
      <c r="C669" s="65" t="s">
        <v>525</v>
      </c>
    </row>
    <row r="670">
      <c r="A670" s="65" t="s">
        <v>323</v>
      </c>
      <c r="B670" s="65" t="s">
        <v>824</v>
      </c>
      <c r="C670" s="65" t="s">
        <v>845</v>
      </c>
    </row>
    <row r="671">
      <c r="A671" s="65" t="s">
        <v>846</v>
      </c>
      <c r="B671" s="65" t="s">
        <v>847</v>
      </c>
      <c r="C671" s="65" t="s">
        <v>848</v>
      </c>
    </row>
    <row r="672">
      <c r="A672" s="65" t="s">
        <v>846</v>
      </c>
      <c r="B672" s="65" t="s">
        <v>356</v>
      </c>
      <c r="C672" s="65" t="s">
        <v>849</v>
      </c>
    </row>
    <row r="673">
      <c r="A673" s="65" t="s">
        <v>846</v>
      </c>
      <c r="B673" s="65" t="s">
        <v>356</v>
      </c>
      <c r="C673" s="65" t="s">
        <v>850</v>
      </c>
    </row>
    <row r="674">
      <c r="A674" s="65" t="s">
        <v>846</v>
      </c>
      <c r="B674" s="65" t="s">
        <v>359</v>
      </c>
      <c r="C674" s="65" t="s">
        <v>851</v>
      </c>
    </row>
    <row r="675">
      <c r="A675" s="65" t="s">
        <v>846</v>
      </c>
      <c r="B675" s="65" t="s">
        <v>359</v>
      </c>
      <c r="C675" s="65" t="s">
        <v>852</v>
      </c>
    </row>
    <row r="676">
      <c r="A676" s="65" t="s">
        <v>846</v>
      </c>
      <c r="B676" s="65" t="s">
        <v>356</v>
      </c>
      <c r="C676" s="65" t="s">
        <v>853</v>
      </c>
    </row>
    <row r="677">
      <c r="A677" s="65" t="s">
        <v>854</v>
      </c>
      <c r="B677" s="65" t="s">
        <v>855</v>
      </c>
      <c r="C677" s="65" t="s">
        <v>856</v>
      </c>
    </row>
    <row r="678">
      <c r="A678" s="65" t="s">
        <v>854</v>
      </c>
      <c r="B678" s="65" t="s">
        <v>857</v>
      </c>
      <c r="C678" s="65" t="s">
        <v>858</v>
      </c>
    </row>
    <row r="679">
      <c r="A679" s="65" t="s">
        <v>854</v>
      </c>
      <c r="B679" s="65" t="s">
        <v>173</v>
      </c>
      <c r="C679" s="65" t="s">
        <v>679</v>
      </c>
    </row>
    <row r="680">
      <c r="A680" s="65" t="s">
        <v>854</v>
      </c>
      <c r="B680" s="65" t="s">
        <v>859</v>
      </c>
      <c r="C680" s="65" t="s">
        <v>860</v>
      </c>
    </row>
    <row r="681">
      <c r="A681" s="65" t="s">
        <v>854</v>
      </c>
      <c r="B681" s="65" t="s">
        <v>861</v>
      </c>
      <c r="C681" s="65" t="s">
        <v>862</v>
      </c>
    </row>
    <row r="682">
      <c r="A682" s="65" t="s">
        <v>854</v>
      </c>
      <c r="B682" s="65" t="s">
        <v>173</v>
      </c>
      <c r="C682" s="65" t="s">
        <v>863</v>
      </c>
    </row>
    <row r="683">
      <c r="A683" s="65" t="s">
        <v>854</v>
      </c>
      <c r="B683" s="65" t="s">
        <v>864</v>
      </c>
      <c r="C683" s="65" t="s">
        <v>666</v>
      </c>
    </row>
    <row r="684">
      <c r="A684" s="65" t="s">
        <v>854</v>
      </c>
      <c r="B684" s="65" t="s">
        <v>173</v>
      </c>
      <c r="C684" s="65" t="s">
        <v>865</v>
      </c>
    </row>
    <row r="685">
      <c r="A685" s="65" t="s">
        <v>854</v>
      </c>
      <c r="B685" s="65" t="s">
        <v>859</v>
      </c>
      <c r="C685" s="65" t="s">
        <v>562</v>
      </c>
    </row>
    <row r="686">
      <c r="A686" s="65" t="s">
        <v>854</v>
      </c>
      <c r="B686" s="65" t="s">
        <v>864</v>
      </c>
      <c r="C686" s="65" t="s">
        <v>866</v>
      </c>
    </row>
    <row r="687">
      <c r="A687" s="65" t="s">
        <v>854</v>
      </c>
      <c r="B687" s="65" t="s">
        <v>173</v>
      </c>
      <c r="C687" s="65" t="s">
        <v>867</v>
      </c>
    </row>
    <row r="688">
      <c r="A688" s="65" t="s">
        <v>854</v>
      </c>
      <c r="B688" s="65" t="s">
        <v>857</v>
      </c>
      <c r="C688" s="65" t="s">
        <v>578</v>
      </c>
    </row>
    <row r="689">
      <c r="A689" s="65" t="s">
        <v>854</v>
      </c>
      <c r="B689" s="65" t="s">
        <v>857</v>
      </c>
      <c r="C689" s="65" t="s">
        <v>868</v>
      </c>
    </row>
    <row r="690">
      <c r="A690" s="65" t="s">
        <v>854</v>
      </c>
      <c r="B690" s="65" t="s">
        <v>861</v>
      </c>
      <c r="C690" s="65" t="s">
        <v>869</v>
      </c>
    </row>
    <row r="691">
      <c r="A691" s="65" t="s">
        <v>854</v>
      </c>
      <c r="B691" s="65" t="s">
        <v>864</v>
      </c>
      <c r="C691" s="65" t="s">
        <v>600</v>
      </c>
    </row>
    <row r="692">
      <c r="A692" s="65" t="s">
        <v>854</v>
      </c>
      <c r="B692" s="65" t="s">
        <v>861</v>
      </c>
      <c r="C692" s="65" t="s">
        <v>870</v>
      </c>
    </row>
    <row r="693">
      <c r="A693" s="65" t="s">
        <v>854</v>
      </c>
      <c r="B693" s="65" t="s">
        <v>861</v>
      </c>
      <c r="C693" s="65" t="s">
        <v>871</v>
      </c>
    </row>
    <row r="694">
      <c r="A694" s="65" t="s">
        <v>854</v>
      </c>
      <c r="B694" s="65" t="s">
        <v>173</v>
      </c>
      <c r="C694" s="65" t="s">
        <v>562</v>
      </c>
    </row>
    <row r="695">
      <c r="A695" s="65" t="s">
        <v>854</v>
      </c>
      <c r="B695" s="65" t="s">
        <v>859</v>
      </c>
      <c r="C695" s="65" t="s">
        <v>872</v>
      </c>
    </row>
    <row r="696">
      <c r="A696" s="65" t="s">
        <v>854</v>
      </c>
      <c r="B696" s="65" t="s">
        <v>864</v>
      </c>
      <c r="C696" s="65" t="s">
        <v>873</v>
      </c>
    </row>
    <row r="697">
      <c r="A697" s="65" t="s">
        <v>854</v>
      </c>
      <c r="B697" s="65" t="s">
        <v>173</v>
      </c>
      <c r="C697" s="65" t="s">
        <v>874</v>
      </c>
    </row>
    <row r="698">
      <c r="A698" s="65" t="s">
        <v>854</v>
      </c>
      <c r="B698" s="65" t="s">
        <v>857</v>
      </c>
      <c r="C698" s="65" t="s">
        <v>875</v>
      </c>
    </row>
    <row r="699">
      <c r="A699" s="65" t="s">
        <v>854</v>
      </c>
      <c r="B699" s="65" t="s">
        <v>859</v>
      </c>
      <c r="C699" s="65" t="s">
        <v>876</v>
      </c>
    </row>
    <row r="700">
      <c r="A700" s="65" t="s">
        <v>386</v>
      </c>
      <c r="B700" s="65" t="s">
        <v>387</v>
      </c>
      <c r="C700" s="65" t="s">
        <v>877</v>
      </c>
    </row>
    <row r="701">
      <c r="A701" s="65" t="s">
        <v>386</v>
      </c>
      <c r="B701" s="65" t="s">
        <v>878</v>
      </c>
      <c r="C701" s="65" t="s">
        <v>879</v>
      </c>
    </row>
    <row r="702">
      <c r="A702" s="65" t="s">
        <v>391</v>
      </c>
      <c r="B702" s="65" t="s">
        <v>392</v>
      </c>
      <c r="C702" s="65" t="s">
        <v>880</v>
      </c>
    </row>
    <row r="703">
      <c r="A703" s="65" t="s">
        <v>391</v>
      </c>
      <c r="B703" s="65" t="s">
        <v>392</v>
      </c>
      <c r="C703" s="65" t="s">
        <v>881</v>
      </c>
    </row>
    <row r="704">
      <c r="A704" s="65" t="s">
        <v>391</v>
      </c>
      <c r="B704" s="65" t="s">
        <v>882</v>
      </c>
      <c r="C704" s="65" t="s">
        <v>883</v>
      </c>
    </row>
    <row r="705">
      <c r="A705" s="65" t="s">
        <v>391</v>
      </c>
      <c r="B705" s="65" t="s">
        <v>392</v>
      </c>
      <c r="C705" s="65" t="s">
        <v>884</v>
      </c>
    </row>
    <row r="706">
      <c r="A706" s="65" t="s">
        <v>391</v>
      </c>
      <c r="B706" s="65" t="s">
        <v>392</v>
      </c>
      <c r="C706" s="65" t="s">
        <v>885</v>
      </c>
    </row>
    <row r="707">
      <c r="A707" s="65" t="s">
        <v>391</v>
      </c>
      <c r="B707" s="65" t="s">
        <v>886</v>
      </c>
      <c r="C707" s="65" t="s">
        <v>887</v>
      </c>
    </row>
    <row r="708">
      <c r="A708" s="65" t="s">
        <v>391</v>
      </c>
      <c r="B708" s="65" t="s">
        <v>886</v>
      </c>
      <c r="C708" s="65" t="s">
        <v>827</v>
      </c>
    </row>
    <row r="709">
      <c r="A709" s="65" t="s">
        <v>391</v>
      </c>
      <c r="B709" s="65" t="s">
        <v>888</v>
      </c>
      <c r="C709" s="65" t="s">
        <v>889</v>
      </c>
    </row>
    <row r="710">
      <c r="A710" s="65" t="s">
        <v>391</v>
      </c>
      <c r="B710" s="65" t="s">
        <v>890</v>
      </c>
      <c r="C710" s="65" t="s">
        <v>891</v>
      </c>
    </row>
    <row r="711">
      <c r="A711" s="65" t="s">
        <v>391</v>
      </c>
      <c r="B711" s="65" t="s">
        <v>890</v>
      </c>
      <c r="C711" s="65" t="s">
        <v>892</v>
      </c>
    </row>
    <row r="712">
      <c r="A712" s="65" t="s">
        <v>391</v>
      </c>
      <c r="B712" s="65" t="s">
        <v>392</v>
      </c>
      <c r="C712" s="65" t="s">
        <v>893</v>
      </c>
    </row>
    <row r="713">
      <c r="A713" s="65" t="s">
        <v>391</v>
      </c>
      <c r="B713" s="65" t="s">
        <v>890</v>
      </c>
      <c r="C713" s="65" t="s">
        <v>894</v>
      </c>
    </row>
    <row r="714">
      <c r="A714" s="65" t="s">
        <v>391</v>
      </c>
      <c r="B714" s="65" t="s">
        <v>392</v>
      </c>
      <c r="C714" s="65" t="s">
        <v>895</v>
      </c>
    </row>
    <row r="715">
      <c r="A715" s="65" t="s">
        <v>391</v>
      </c>
      <c r="B715" s="65" t="s">
        <v>882</v>
      </c>
      <c r="C715" s="65" t="s">
        <v>896</v>
      </c>
    </row>
    <row r="716">
      <c r="A716" s="65" t="s">
        <v>391</v>
      </c>
      <c r="B716" s="65" t="s">
        <v>882</v>
      </c>
      <c r="C716" s="65" t="s">
        <v>897</v>
      </c>
    </row>
    <row r="717">
      <c r="A717" s="65" t="s">
        <v>391</v>
      </c>
      <c r="B717" s="65" t="s">
        <v>392</v>
      </c>
      <c r="C717" s="65" t="s">
        <v>898</v>
      </c>
    </row>
    <row r="718">
      <c r="A718" s="65" t="s">
        <v>391</v>
      </c>
      <c r="B718" s="65" t="s">
        <v>392</v>
      </c>
      <c r="C718" s="65" t="s">
        <v>899</v>
      </c>
    </row>
    <row r="719">
      <c r="A719" s="65" t="s">
        <v>391</v>
      </c>
      <c r="B719" s="65" t="s">
        <v>886</v>
      </c>
      <c r="C719" s="65" t="s">
        <v>900</v>
      </c>
    </row>
    <row r="720">
      <c r="A720" s="65" t="s">
        <v>391</v>
      </c>
      <c r="B720" s="65" t="s">
        <v>392</v>
      </c>
      <c r="C720" s="65" t="s">
        <v>896</v>
      </c>
    </row>
    <row r="721">
      <c r="A721" s="65" t="s">
        <v>391</v>
      </c>
      <c r="B721" s="65" t="s">
        <v>886</v>
      </c>
      <c r="C721" s="65" t="s">
        <v>901</v>
      </c>
    </row>
    <row r="722">
      <c r="A722" s="65" t="s">
        <v>391</v>
      </c>
      <c r="B722" s="65" t="s">
        <v>886</v>
      </c>
      <c r="C722" s="65" t="s">
        <v>902</v>
      </c>
    </row>
    <row r="723">
      <c r="A723" s="65" t="s">
        <v>391</v>
      </c>
      <c r="B723" s="65" t="s">
        <v>392</v>
      </c>
      <c r="C723" s="65" t="s">
        <v>903</v>
      </c>
    </row>
    <row r="724">
      <c r="A724" s="65" t="s">
        <v>391</v>
      </c>
      <c r="B724" s="65" t="s">
        <v>886</v>
      </c>
      <c r="C724" s="65" t="s">
        <v>904</v>
      </c>
    </row>
    <row r="725">
      <c r="A725" s="65" t="s">
        <v>391</v>
      </c>
      <c r="B725" s="65" t="s">
        <v>886</v>
      </c>
      <c r="C725" s="65" t="s">
        <v>905</v>
      </c>
    </row>
    <row r="726">
      <c r="A726" s="65" t="s">
        <v>906</v>
      </c>
      <c r="B726" s="65" t="s">
        <v>420</v>
      </c>
      <c r="C726" s="65" t="s">
        <v>907</v>
      </c>
    </row>
    <row r="727">
      <c r="A727" s="65" t="s">
        <v>906</v>
      </c>
      <c r="B727" s="65" t="s">
        <v>422</v>
      </c>
      <c r="C727" s="65" t="s">
        <v>908</v>
      </c>
    </row>
    <row r="728">
      <c r="A728" s="65" t="s">
        <v>906</v>
      </c>
      <c r="B728" s="65" t="s">
        <v>424</v>
      </c>
      <c r="C728" s="65" t="s">
        <v>909</v>
      </c>
    </row>
    <row r="729">
      <c r="A729" s="65" t="s">
        <v>426</v>
      </c>
      <c r="B729" s="65" t="s">
        <v>427</v>
      </c>
      <c r="C729" s="65" t="s">
        <v>910</v>
      </c>
    </row>
    <row r="730">
      <c r="A730" s="65" t="s">
        <v>429</v>
      </c>
      <c r="B730" s="65" t="s">
        <v>430</v>
      </c>
      <c r="C730" s="65" t="s">
        <v>911</v>
      </c>
    </row>
    <row r="731">
      <c r="A731" s="65" t="s">
        <v>429</v>
      </c>
      <c r="B731" s="65" t="s">
        <v>432</v>
      </c>
      <c r="C731" s="65" t="s">
        <v>912</v>
      </c>
    </row>
    <row r="732">
      <c r="A732" s="65" t="s">
        <v>429</v>
      </c>
      <c r="B732" s="65" t="s">
        <v>913</v>
      </c>
      <c r="C732" s="65" t="s">
        <v>914</v>
      </c>
    </row>
    <row r="733">
      <c r="A733" s="65" t="s">
        <v>429</v>
      </c>
      <c r="B733" s="65" t="s">
        <v>436</v>
      </c>
      <c r="C733" s="65" t="s">
        <v>915</v>
      </c>
    </row>
    <row r="734">
      <c r="A734" s="65" t="s">
        <v>429</v>
      </c>
      <c r="B734" s="65" t="s">
        <v>436</v>
      </c>
      <c r="C734" s="65" t="s">
        <v>916</v>
      </c>
    </row>
    <row r="735">
      <c r="A735" s="65" t="s">
        <v>429</v>
      </c>
      <c r="B735" s="65" t="s">
        <v>436</v>
      </c>
      <c r="C735" s="65" t="s">
        <v>917</v>
      </c>
    </row>
    <row r="736">
      <c r="A736" s="65" t="s">
        <v>440</v>
      </c>
      <c r="B736" s="65" t="s">
        <v>441</v>
      </c>
      <c r="C736" s="65" t="s">
        <v>918</v>
      </c>
    </row>
    <row r="737">
      <c r="A737" s="65" t="s">
        <v>440</v>
      </c>
      <c r="B737" s="65" t="s">
        <v>443</v>
      </c>
      <c r="C737" s="65" t="s">
        <v>919</v>
      </c>
    </row>
    <row r="738">
      <c r="A738" s="65" t="s">
        <v>440</v>
      </c>
      <c r="B738" s="65" t="s">
        <v>443</v>
      </c>
      <c r="C738" s="65" t="s">
        <v>920</v>
      </c>
    </row>
    <row r="739">
      <c r="A739" s="65" t="s">
        <v>440</v>
      </c>
      <c r="B739" s="65" t="s">
        <v>443</v>
      </c>
      <c r="C739" s="65" t="s">
        <v>921</v>
      </c>
    </row>
    <row r="740">
      <c r="A740" s="65" t="s">
        <v>440</v>
      </c>
      <c r="B740" s="65" t="s">
        <v>441</v>
      </c>
      <c r="C740" s="65" t="s">
        <v>922</v>
      </c>
    </row>
    <row r="741">
      <c r="A741" s="65" t="s">
        <v>440</v>
      </c>
      <c r="B741" s="65" t="s">
        <v>441</v>
      </c>
      <c r="C741" s="65" t="s">
        <v>923</v>
      </c>
    </row>
    <row r="742">
      <c r="A742" s="65" t="s">
        <v>440</v>
      </c>
      <c r="B742" s="65" t="s">
        <v>924</v>
      </c>
      <c r="C742" s="65" t="s">
        <v>925</v>
      </c>
    </row>
    <row r="743">
      <c r="A743" s="65" t="s">
        <v>440</v>
      </c>
      <c r="B743" s="65" t="s">
        <v>924</v>
      </c>
      <c r="C743" s="65" t="s">
        <v>926</v>
      </c>
    </row>
    <row r="744">
      <c r="A744" s="65" t="s">
        <v>440</v>
      </c>
      <c r="B744" s="65" t="s">
        <v>441</v>
      </c>
      <c r="C744" s="65" t="s">
        <v>927</v>
      </c>
    </row>
    <row r="745">
      <c r="A745" s="65" t="s">
        <v>440</v>
      </c>
      <c r="B745" s="65" t="s">
        <v>441</v>
      </c>
      <c r="C745" s="65" t="s">
        <v>928</v>
      </c>
    </row>
    <row r="746">
      <c r="A746" s="65" t="s">
        <v>440</v>
      </c>
      <c r="B746" s="65" t="s">
        <v>929</v>
      </c>
      <c r="C746" s="65" t="s">
        <v>930</v>
      </c>
    </row>
    <row r="747">
      <c r="A747" s="65" t="s">
        <v>440</v>
      </c>
      <c r="B747" s="65" t="s">
        <v>929</v>
      </c>
      <c r="C747" s="65" t="s">
        <v>931</v>
      </c>
    </row>
    <row r="748">
      <c r="A748" s="65" t="s">
        <v>440</v>
      </c>
      <c r="B748" s="65" t="s">
        <v>924</v>
      </c>
      <c r="C748" s="65" t="s">
        <v>932</v>
      </c>
    </row>
    <row r="749">
      <c r="A749" s="65" t="s">
        <v>440</v>
      </c>
      <c r="B749" s="65" t="s">
        <v>924</v>
      </c>
      <c r="C749" s="65" t="s">
        <v>933</v>
      </c>
    </row>
    <row r="750">
      <c r="A750" s="65" t="s">
        <v>440</v>
      </c>
      <c r="B750" s="65" t="s">
        <v>934</v>
      </c>
      <c r="C750" s="65" t="s">
        <v>935</v>
      </c>
    </row>
    <row r="751">
      <c r="A751" s="65" t="s">
        <v>440</v>
      </c>
      <c r="B751" s="65" t="s">
        <v>443</v>
      </c>
      <c r="C751" s="65" t="s">
        <v>936</v>
      </c>
    </row>
    <row r="752">
      <c r="A752" s="65" t="s">
        <v>440</v>
      </c>
      <c r="B752" s="65" t="s">
        <v>443</v>
      </c>
      <c r="C752" s="65" t="s">
        <v>937</v>
      </c>
    </row>
    <row r="753">
      <c r="A753" s="65" t="s">
        <v>440</v>
      </c>
      <c r="B753" s="65" t="s">
        <v>929</v>
      </c>
      <c r="C753" s="65" t="s">
        <v>938</v>
      </c>
    </row>
    <row r="754">
      <c r="A754" s="65" t="s">
        <v>440</v>
      </c>
      <c r="B754" s="65" t="s">
        <v>929</v>
      </c>
      <c r="C754" s="65" t="s">
        <v>939</v>
      </c>
    </row>
    <row r="755">
      <c r="A755" s="65" t="s">
        <v>465</v>
      </c>
      <c r="B755" s="65" t="s">
        <v>466</v>
      </c>
      <c r="C755" s="65" t="s">
        <v>940</v>
      </c>
    </row>
    <row r="756">
      <c r="A756" s="65" t="s">
        <v>465</v>
      </c>
      <c r="B756" s="65" t="s">
        <v>941</v>
      </c>
      <c r="C756" s="65" t="s">
        <v>942</v>
      </c>
    </row>
    <row r="757">
      <c r="A757" s="65" t="s">
        <v>470</v>
      </c>
      <c r="B757" s="65" t="s">
        <v>188</v>
      </c>
      <c r="C757" s="65" t="s">
        <v>943</v>
      </c>
    </row>
    <row r="758">
      <c r="A758" s="65" t="s">
        <v>470</v>
      </c>
      <c r="B758" s="65" t="s">
        <v>188</v>
      </c>
      <c r="C758" s="65" t="s">
        <v>944</v>
      </c>
    </row>
    <row r="759">
      <c r="A759" s="65" t="s">
        <v>470</v>
      </c>
      <c r="B759" s="65" t="s">
        <v>188</v>
      </c>
      <c r="C759" s="65" t="s">
        <v>945</v>
      </c>
    </row>
    <row r="760">
      <c r="A760" s="65" t="s">
        <v>470</v>
      </c>
      <c r="B760" s="65" t="s">
        <v>188</v>
      </c>
      <c r="C760" s="65" t="s">
        <v>690</v>
      </c>
    </row>
    <row r="761">
      <c r="A761" s="65" t="s">
        <v>474</v>
      </c>
      <c r="B761" s="65" t="s">
        <v>475</v>
      </c>
      <c r="C761" s="65" t="s">
        <v>946</v>
      </c>
    </row>
    <row r="762">
      <c r="A762" s="65" t="s">
        <v>474</v>
      </c>
      <c r="B762" s="65" t="s">
        <v>475</v>
      </c>
      <c r="C762" s="65" t="s">
        <v>947</v>
      </c>
    </row>
    <row r="763">
      <c r="A763" s="65" t="s">
        <v>474</v>
      </c>
      <c r="B763" s="65" t="s">
        <v>475</v>
      </c>
      <c r="C763" s="65" t="s">
        <v>624</v>
      </c>
    </row>
    <row r="764">
      <c r="A764" s="65" t="s">
        <v>478</v>
      </c>
      <c r="B764" s="65" t="s">
        <v>948</v>
      </c>
      <c r="C764" s="65" t="s">
        <v>949</v>
      </c>
    </row>
    <row r="765">
      <c r="A765" s="65" t="s">
        <v>478</v>
      </c>
      <c r="B765" s="65" t="s">
        <v>948</v>
      </c>
      <c r="C765" s="65" t="s">
        <v>950</v>
      </c>
    </row>
    <row r="766">
      <c r="A766" s="65" t="s">
        <v>478</v>
      </c>
      <c r="B766" s="65" t="s">
        <v>482</v>
      </c>
      <c r="C766" s="65" t="s">
        <v>951</v>
      </c>
    </row>
    <row r="767">
      <c r="A767" s="65" t="s">
        <v>478</v>
      </c>
      <c r="B767" s="65" t="s">
        <v>484</v>
      </c>
      <c r="C767" s="65" t="s">
        <v>952</v>
      </c>
    </row>
    <row r="768">
      <c r="A768" s="65" t="s">
        <v>478</v>
      </c>
      <c r="B768" s="65" t="s">
        <v>953</v>
      </c>
      <c r="C768" s="65" t="s">
        <v>674</v>
      </c>
    </row>
    <row r="769">
      <c r="A769" s="65" t="s">
        <v>478</v>
      </c>
      <c r="B769" s="65" t="s">
        <v>487</v>
      </c>
      <c r="C769" s="65" t="s">
        <v>954</v>
      </c>
    </row>
    <row r="770">
      <c r="A770" s="65" t="s">
        <v>478</v>
      </c>
      <c r="B770" s="65" t="s">
        <v>487</v>
      </c>
      <c r="C770" s="65" t="s">
        <v>955</v>
      </c>
    </row>
    <row r="771">
      <c r="A771" s="65" t="s">
        <v>478</v>
      </c>
      <c r="B771" s="65" t="s">
        <v>484</v>
      </c>
      <c r="C771" s="65" t="s">
        <v>956</v>
      </c>
    </row>
    <row r="772">
      <c r="A772" s="65" t="s">
        <v>478</v>
      </c>
      <c r="B772" s="65" t="s">
        <v>491</v>
      </c>
      <c r="C772" s="65" t="s">
        <v>957</v>
      </c>
    </row>
    <row r="773">
      <c r="A773" s="65" t="s">
        <v>478</v>
      </c>
      <c r="B773" s="65" t="s">
        <v>958</v>
      </c>
      <c r="C773" s="65" t="s">
        <v>959</v>
      </c>
    </row>
    <row r="774">
      <c r="A774" s="65" t="s">
        <v>478</v>
      </c>
      <c r="B774" s="65" t="s">
        <v>953</v>
      </c>
      <c r="C774" s="65" t="s">
        <v>960</v>
      </c>
    </row>
    <row r="775">
      <c r="A775" s="65" t="s">
        <v>478</v>
      </c>
      <c r="B775" s="65" t="s">
        <v>484</v>
      </c>
      <c r="C775" s="65" t="s">
        <v>961</v>
      </c>
    </row>
    <row r="776">
      <c r="A776" s="65" t="s">
        <v>478</v>
      </c>
      <c r="B776" s="65" t="s">
        <v>958</v>
      </c>
      <c r="C776" s="65" t="s">
        <v>962</v>
      </c>
    </row>
    <row r="777">
      <c r="A777" s="65" t="s">
        <v>478</v>
      </c>
      <c r="B777" s="65" t="s">
        <v>491</v>
      </c>
      <c r="C777" s="65" t="s">
        <v>963</v>
      </c>
    </row>
    <row r="778">
      <c r="A778" s="65" t="s">
        <v>478</v>
      </c>
      <c r="B778" s="65" t="s">
        <v>491</v>
      </c>
      <c r="C778" s="65" t="s">
        <v>964</v>
      </c>
    </row>
    <row r="779">
      <c r="A779" s="65" t="s">
        <v>478</v>
      </c>
      <c r="B779" s="65" t="s">
        <v>484</v>
      </c>
      <c r="C779" s="65" t="s">
        <v>965</v>
      </c>
    </row>
    <row r="780">
      <c r="A780" s="65" t="s">
        <v>478</v>
      </c>
      <c r="B780" s="65" t="s">
        <v>491</v>
      </c>
      <c r="C780" s="65" t="s">
        <v>966</v>
      </c>
    </row>
    <row r="781">
      <c r="A781" s="65" t="s">
        <v>478</v>
      </c>
      <c r="B781" s="65" t="s">
        <v>491</v>
      </c>
      <c r="C781" s="65" t="s">
        <v>967</v>
      </c>
    </row>
    <row r="782">
      <c r="A782" s="65" t="s">
        <v>478</v>
      </c>
      <c r="B782" s="65" t="s">
        <v>958</v>
      </c>
      <c r="C782" s="65" t="s">
        <v>917</v>
      </c>
    </row>
    <row r="783">
      <c r="A783" s="65" t="s">
        <v>478</v>
      </c>
      <c r="B783" s="65" t="s">
        <v>484</v>
      </c>
      <c r="C783" s="65" t="s">
        <v>968</v>
      </c>
    </row>
    <row r="784">
      <c r="A784" s="65" t="s">
        <v>478</v>
      </c>
      <c r="B784" s="65" t="s">
        <v>482</v>
      </c>
      <c r="C784" s="65" t="s">
        <v>969</v>
      </c>
    </row>
    <row r="785">
      <c r="A785" s="65" t="s">
        <v>478</v>
      </c>
      <c r="B785" s="65" t="s">
        <v>487</v>
      </c>
      <c r="C785" s="65" t="s">
        <v>970</v>
      </c>
    </row>
    <row r="786">
      <c r="A786" s="65" t="s">
        <v>478</v>
      </c>
      <c r="B786" s="65" t="s">
        <v>971</v>
      </c>
      <c r="C786" s="65" t="s">
        <v>972</v>
      </c>
    </row>
    <row r="787">
      <c r="A787" s="65" t="s">
        <v>478</v>
      </c>
      <c r="B787" s="65" t="s">
        <v>508</v>
      </c>
      <c r="C787" s="65" t="s">
        <v>973</v>
      </c>
    </row>
    <row r="788">
      <c r="A788" s="65" t="s">
        <v>478</v>
      </c>
      <c r="B788" s="65" t="s">
        <v>487</v>
      </c>
      <c r="C788" s="65" t="s">
        <v>974</v>
      </c>
    </row>
    <row r="789">
      <c r="A789" s="65" t="s">
        <v>478</v>
      </c>
      <c r="B789" s="65" t="s">
        <v>487</v>
      </c>
      <c r="C789" s="65" t="s">
        <v>975</v>
      </c>
    </row>
    <row r="790">
      <c r="A790" s="65" t="s">
        <v>478</v>
      </c>
      <c r="B790" s="65" t="s">
        <v>953</v>
      </c>
      <c r="C790" s="65" t="s">
        <v>976</v>
      </c>
    </row>
    <row r="791">
      <c r="A791" s="65" t="s">
        <v>478</v>
      </c>
      <c r="B791" s="65" t="s">
        <v>482</v>
      </c>
      <c r="C791" s="65" t="s">
        <v>977</v>
      </c>
    </row>
    <row r="792">
      <c r="A792" s="65" t="s">
        <v>478</v>
      </c>
      <c r="B792" s="65" t="s">
        <v>482</v>
      </c>
      <c r="C792" s="65" t="s">
        <v>978</v>
      </c>
    </row>
    <row r="793">
      <c r="A793" s="65" t="s">
        <v>478</v>
      </c>
      <c r="B793" s="65" t="s">
        <v>487</v>
      </c>
      <c r="C793" s="65" t="s">
        <v>979</v>
      </c>
    </row>
    <row r="794">
      <c r="A794" s="65" t="s">
        <v>516</v>
      </c>
      <c r="B794" s="65" t="s">
        <v>186</v>
      </c>
      <c r="C794" s="65" t="s">
        <v>689</v>
      </c>
    </row>
    <row r="795">
      <c r="A795" s="65" t="s">
        <v>516</v>
      </c>
      <c r="B795" s="65" t="s">
        <v>186</v>
      </c>
      <c r="C795" s="65" t="s">
        <v>980</v>
      </c>
    </row>
    <row r="796">
      <c r="A796" s="65" t="s">
        <v>516</v>
      </c>
      <c r="B796" s="65" t="s">
        <v>186</v>
      </c>
      <c r="C796" s="65" t="s">
        <v>981</v>
      </c>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row r="1000">
      <c r="A1000" s="3"/>
      <c r="B1000" s="3"/>
      <c r="C1000" s="3"/>
    </row>
    <row r="1001">
      <c r="A1001" s="3"/>
      <c r="B1001" s="3"/>
      <c r="C1001" s="3"/>
    </row>
    <row r="1002">
      <c r="A1002" s="3"/>
      <c r="B1002" s="3"/>
      <c r="C1002" s="3"/>
    </row>
    <row r="1003">
      <c r="A1003" s="3"/>
      <c r="B1003" s="3"/>
      <c r="C1003" s="3"/>
    </row>
    <row r="1004">
      <c r="A1004" s="3"/>
      <c r="B1004" s="3"/>
      <c r="C1004" s="3"/>
    </row>
    <row r="1005">
      <c r="A1005" s="3"/>
      <c r="B1005" s="3"/>
      <c r="C1005" s="3"/>
    </row>
    <row r="1006">
      <c r="A1006" s="3"/>
      <c r="B1006" s="3"/>
      <c r="C1006" s="3"/>
    </row>
    <row r="1007">
      <c r="A1007" s="3"/>
      <c r="B1007" s="3"/>
      <c r="C1007" s="3"/>
    </row>
    <row r="1008">
      <c r="A1008" s="3"/>
      <c r="B1008" s="3"/>
      <c r="C1008" s="3"/>
    </row>
    <row r="1009">
      <c r="A1009" s="3"/>
      <c r="B1009" s="3"/>
      <c r="C1009" s="3"/>
    </row>
    <row r="1010">
      <c r="A1010" s="3"/>
      <c r="B1010" s="3"/>
      <c r="C1010" s="3"/>
    </row>
    <row r="1011">
      <c r="A1011" s="3"/>
      <c r="B1011" s="3"/>
      <c r="C1011" s="3"/>
    </row>
    <row r="1012">
      <c r="A1012" s="3"/>
      <c r="B1012" s="3"/>
      <c r="C1012" s="3"/>
    </row>
    <row r="1013">
      <c r="A1013" s="3"/>
      <c r="B1013" s="3"/>
      <c r="C1013" s="3"/>
    </row>
    <row r="1014">
      <c r="A1014" s="3"/>
      <c r="B1014" s="3"/>
      <c r="C1014" s="3"/>
    </row>
    <row r="1015">
      <c r="A1015" s="3"/>
      <c r="B1015" s="3"/>
      <c r="C1015" s="3"/>
    </row>
    <row r="1016">
      <c r="A1016" s="3"/>
      <c r="B1016" s="3"/>
      <c r="C1016" s="3"/>
    </row>
    <row r="1017">
      <c r="A1017" s="3"/>
      <c r="B1017" s="3"/>
      <c r="C1017" s="3"/>
    </row>
    <row r="1018">
      <c r="A1018" s="3"/>
      <c r="B1018" s="3"/>
      <c r="C1018" s="3"/>
    </row>
    <row r="1019">
      <c r="A1019" s="3"/>
      <c r="B1019" s="3"/>
      <c r="C1019" s="3"/>
    </row>
    <row r="1020">
      <c r="A1020" s="3"/>
      <c r="B1020" s="3"/>
      <c r="C1020" s="3"/>
    </row>
    <row r="1021">
      <c r="A1021" s="3"/>
      <c r="B1021" s="3"/>
      <c r="C1021" s="3"/>
    </row>
    <row r="1022">
      <c r="A1022" s="3"/>
      <c r="B1022" s="3"/>
      <c r="C1022" s="3"/>
    </row>
    <row r="1023">
      <c r="A1023" s="3"/>
      <c r="B1023" s="3"/>
      <c r="C1023" s="3"/>
    </row>
    <row r="1024">
      <c r="A1024" s="3"/>
      <c r="B1024" s="3"/>
      <c r="C1024" s="3"/>
    </row>
    <row r="1025">
      <c r="A1025" s="3"/>
      <c r="B1025" s="3"/>
      <c r="C1025" s="3"/>
    </row>
    <row r="1026">
      <c r="A1026" s="3"/>
      <c r="B1026" s="3"/>
      <c r="C1026" s="3"/>
    </row>
    <row r="1027">
      <c r="A1027" s="3"/>
      <c r="B1027" s="3"/>
      <c r="C1027" s="3"/>
    </row>
    <row r="1028">
      <c r="A1028" s="3"/>
      <c r="B1028" s="3"/>
      <c r="C1028" s="3"/>
    </row>
    <row r="1029">
      <c r="A1029" s="3"/>
      <c r="B1029" s="3"/>
      <c r="C1029" s="3"/>
    </row>
    <row r="1030">
      <c r="A1030" s="3"/>
      <c r="B1030" s="3"/>
      <c r="C1030" s="3"/>
    </row>
    <row r="1031">
      <c r="A1031" s="3"/>
      <c r="B1031" s="3"/>
      <c r="C1031" s="3"/>
    </row>
    <row r="1032">
      <c r="A1032" s="3"/>
      <c r="B1032" s="3"/>
      <c r="C1032" s="3"/>
    </row>
    <row r="1033">
      <c r="A1033" s="3"/>
      <c r="B1033" s="3"/>
      <c r="C1033" s="3"/>
    </row>
    <row r="1034">
      <c r="A1034" s="3"/>
      <c r="B1034" s="3"/>
      <c r="C1034" s="3"/>
    </row>
    <row r="1035">
      <c r="A1035" s="3"/>
      <c r="B1035" s="3"/>
      <c r="C1035" s="3"/>
    </row>
    <row r="1036">
      <c r="A1036" s="3"/>
      <c r="B1036" s="3"/>
      <c r="C1036" s="3"/>
    </row>
    <row r="1037">
      <c r="A1037" s="3"/>
      <c r="B1037" s="3"/>
      <c r="C1037" s="3"/>
    </row>
    <row r="1038">
      <c r="A1038" s="3"/>
      <c r="B1038" s="3"/>
      <c r="C1038" s="3"/>
    </row>
    <row r="1039">
      <c r="A1039" s="3"/>
      <c r="B1039" s="3"/>
      <c r="C1039" s="3"/>
    </row>
    <row r="1040">
      <c r="A1040" s="3"/>
      <c r="B1040" s="3"/>
      <c r="C1040" s="3"/>
    </row>
    <row r="1041">
      <c r="A1041" s="3"/>
      <c r="B1041" s="3"/>
      <c r="C1041" s="3"/>
    </row>
    <row r="1042">
      <c r="A1042" s="3"/>
      <c r="B1042" s="3"/>
      <c r="C1042" s="3"/>
    </row>
    <row r="1043">
      <c r="A1043" s="3"/>
      <c r="B1043" s="3"/>
      <c r="C1043" s="3"/>
    </row>
    <row r="1044">
      <c r="A1044" s="3"/>
      <c r="B1044" s="3"/>
      <c r="C1044" s="3"/>
    </row>
    <row r="1045">
      <c r="A1045" s="3"/>
      <c r="B1045" s="3"/>
      <c r="C1045" s="3"/>
    </row>
    <row r="1046">
      <c r="A1046" s="3"/>
      <c r="B1046" s="3"/>
      <c r="C1046" s="3"/>
    </row>
    <row r="1047">
      <c r="A1047" s="3"/>
      <c r="B1047" s="3"/>
      <c r="C1047" s="3"/>
    </row>
    <row r="1048">
      <c r="A1048" s="3"/>
      <c r="B1048" s="3"/>
      <c r="C1048" s="3"/>
    </row>
    <row r="1049">
      <c r="A1049" s="3"/>
      <c r="B1049" s="3"/>
      <c r="C1049" s="3"/>
    </row>
    <row r="1050">
      <c r="A1050" s="3"/>
      <c r="B1050" s="3"/>
      <c r="C1050" s="3"/>
    </row>
    <row r="1051">
      <c r="A1051" s="3"/>
      <c r="B1051" s="3"/>
      <c r="C1051" s="3"/>
    </row>
    <row r="1052">
      <c r="A1052" s="3"/>
      <c r="B1052" s="3"/>
      <c r="C1052" s="3"/>
    </row>
    <row r="1053">
      <c r="A1053" s="3"/>
      <c r="B1053" s="3"/>
      <c r="C1053" s="3"/>
    </row>
    <row r="1054">
      <c r="A1054" s="3"/>
      <c r="B1054" s="3"/>
      <c r="C1054" s="3"/>
    </row>
    <row r="1055">
      <c r="A1055" s="3"/>
      <c r="B1055" s="3"/>
      <c r="C1055" s="3"/>
    </row>
    <row r="1056">
      <c r="A1056" s="3"/>
      <c r="B1056" s="3"/>
      <c r="C1056" s="3"/>
    </row>
    <row r="1057">
      <c r="A1057" s="3"/>
      <c r="B1057" s="3"/>
      <c r="C1057" s="3"/>
    </row>
    <row r="1058">
      <c r="A1058" s="3"/>
      <c r="B1058" s="3"/>
      <c r="C1058" s="3"/>
    </row>
    <row r="1059">
      <c r="A1059" s="3"/>
      <c r="B1059" s="3"/>
      <c r="C1059" s="3"/>
    </row>
    <row r="1060">
      <c r="A1060" s="3"/>
      <c r="B1060" s="3"/>
      <c r="C1060" s="3"/>
    </row>
    <row r="1061">
      <c r="A1061" s="3"/>
      <c r="B1061" s="3"/>
      <c r="C1061" s="3"/>
    </row>
    <row r="1062">
      <c r="A1062" s="3"/>
      <c r="B1062" s="3"/>
      <c r="C1062" s="3"/>
    </row>
    <row r="1063">
      <c r="A1063" s="3"/>
      <c r="B1063" s="3"/>
      <c r="C1063" s="3"/>
    </row>
    <row r="1064">
      <c r="A1064" s="3"/>
      <c r="B1064" s="3"/>
      <c r="C1064" s="3"/>
    </row>
    <row r="1065">
      <c r="A1065" s="3"/>
      <c r="B1065" s="3"/>
      <c r="C1065" s="3"/>
    </row>
    <row r="1066">
      <c r="A1066" s="3"/>
      <c r="B1066" s="3"/>
      <c r="C1066" s="3"/>
    </row>
    <row r="1067">
      <c r="A1067" s="3"/>
      <c r="B1067" s="3"/>
      <c r="C1067" s="3"/>
    </row>
    <row r="1068">
      <c r="A1068" s="3"/>
      <c r="B1068" s="3"/>
      <c r="C1068" s="3"/>
    </row>
    <row r="1069">
      <c r="A1069" s="3"/>
      <c r="B1069" s="3"/>
      <c r="C1069" s="3"/>
    </row>
    <row r="1070">
      <c r="A1070" s="3"/>
      <c r="B1070" s="3"/>
      <c r="C1070" s="3"/>
    </row>
    <row r="1071">
      <c r="A1071" s="3"/>
      <c r="B1071" s="3"/>
      <c r="C1071" s="3"/>
    </row>
    <row r="1072">
      <c r="A1072" s="3"/>
      <c r="B1072" s="3"/>
      <c r="C1072" s="3"/>
    </row>
    <row r="1073">
      <c r="A1073" s="3"/>
      <c r="B1073" s="3"/>
      <c r="C1073" s="3"/>
    </row>
    <row r="1074">
      <c r="A1074" s="3"/>
      <c r="B1074" s="3"/>
      <c r="C1074" s="3"/>
    </row>
    <row r="1075">
      <c r="A1075" s="3"/>
      <c r="B1075" s="3"/>
      <c r="C1075" s="3"/>
    </row>
    <row r="1076">
      <c r="A1076" s="3"/>
      <c r="B1076" s="3"/>
      <c r="C1076" s="3"/>
    </row>
    <row r="1077">
      <c r="A1077" s="3"/>
      <c r="B1077" s="3"/>
      <c r="C1077" s="3"/>
    </row>
    <row r="1078">
      <c r="A1078" s="3"/>
      <c r="B1078" s="3"/>
      <c r="C1078" s="3"/>
    </row>
    <row r="1079">
      <c r="A1079" s="3"/>
      <c r="B1079" s="3"/>
      <c r="C1079" s="3"/>
    </row>
    <row r="1080">
      <c r="A1080" s="3"/>
      <c r="B1080" s="3"/>
      <c r="C1080" s="3"/>
    </row>
    <row r="1081">
      <c r="A1081" s="3"/>
      <c r="B1081" s="3"/>
      <c r="C1081" s="3"/>
    </row>
    <row r="1082">
      <c r="A1082" s="3"/>
      <c r="B1082" s="3"/>
      <c r="C1082" s="3"/>
    </row>
    <row r="1083">
      <c r="A1083" s="3"/>
      <c r="B1083" s="3"/>
      <c r="C1083" s="3"/>
    </row>
    <row r="1084">
      <c r="A1084" s="3"/>
      <c r="B1084" s="3"/>
      <c r="C1084" s="3"/>
    </row>
    <row r="1085">
      <c r="A1085" s="3"/>
      <c r="B1085" s="3"/>
      <c r="C1085" s="3"/>
    </row>
    <row r="1086">
      <c r="A1086" s="3"/>
      <c r="B1086" s="3"/>
      <c r="C1086" s="3"/>
    </row>
    <row r="1087">
      <c r="A1087" s="3"/>
      <c r="B1087" s="3"/>
      <c r="C1087" s="3"/>
    </row>
    <row r="1088">
      <c r="A1088" s="3"/>
      <c r="B1088" s="3"/>
      <c r="C1088" s="3"/>
    </row>
    <row r="1089">
      <c r="A1089" s="3"/>
      <c r="B1089" s="3"/>
      <c r="C1089" s="3"/>
    </row>
    <row r="1090">
      <c r="A1090" s="3"/>
      <c r="B1090" s="3"/>
      <c r="C1090" s="3"/>
    </row>
    <row r="1091">
      <c r="A1091" s="3"/>
      <c r="B1091" s="3"/>
      <c r="C1091" s="3"/>
    </row>
    <row r="1092">
      <c r="A1092" s="3"/>
      <c r="B1092" s="3"/>
      <c r="C1092" s="3"/>
    </row>
    <row r="1093">
      <c r="A1093" s="3"/>
      <c r="B1093" s="3"/>
      <c r="C1093" s="3"/>
    </row>
    <row r="1094">
      <c r="A1094" s="3"/>
      <c r="B1094" s="3"/>
      <c r="C1094" s="3"/>
    </row>
    <row r="1095">
      <c r="A1095" s="3"/>
      <c r="B1095" s="3"/>
      <c r="C1095" s="3"/>
    </row>
    <row r="1096">
      <c r="A1096" s="3"/>
      <c r="B1096" s="3"/>
      <c r="C1096" s="3"/>
    </row>
    <row r="1097">
      <c r="A1097" s="3"/>
      <c r="B1097" s="3"/>
      <c r="C1097" s="3"/>
    </row>
    <row r="1098">
      <c r="A1098" s="3"/>
      <c r="B1098" s="3"/>
      <c r="C1098" s="3"/>
    </row>
    <row r="1099">
      <c r="A1099" s="3"/>
      <c r="B1099" s="3"/>
      <c r="C1099" s="3"/>
    </row>
    <row r="1100">
      <c r="A1100" s="3"/>
      <c r="B1100" s="3"/>
      <c r="C1100" s="3"/>
    </row>
    <row r="1101">
      <c r="A1101" s="3"/>
      <c r="B1101" s="3"/>
      <c r="C1101" s="3"/>
    </row>
    <row r="1102">
      <c r="A1102" s="3"/>
      <c r="B1102" s="3"/>
      <c r="C1102" s="3"/>
    </row>
    <row r="1103">
      <c r="A1103" s="3"/>
      <c r="B1103" s="3"/>
      <c r="C1103" s="3"/>
    </row>
    <row r="1104">
      <c r="A1104" s="3"/>
      <c r="B1104" s="3"/>
      <c r="C1104" s="3"/>
    </row>
    <row r="1105">
      <c r="A1105" s="3"/>
      <c r="B1105" s="3"/>
      <c r="C1105" s="3"/>
    </row>
    <row r="1106">
      <c r="A1106" s="3"/>
      <c r="B1106" s="3"/>
      <c r="C1106" s="3"/>
    </row>
    <row r="1107">
      <c r="A1107" s="3"/>
      <c r="B1107" s="3"/>
      <c r="C1107" s="3"/>
    </row>
    <row r="1108">
      <c r="A1108" s="3"/>
      <c r="B1108" s="3"/>
      <c r="C1108" s="3"/>
    </row>
    <row r="1109">
      <c r="A1109" s="3"/>
      <c r="B1109" s="3"/>
      <c r="C1109" s="3"/>
    </row>
    <row r="1110">
      <c r="A1110" s="3"/>
      <c r="B1110" s="3"/>
      <c r="C1110" s="3"/>
    </row>
    <row r="1111">
      <c r="A1111" s="3"/>
      <c r="B1111" s="3"/>
      <c r="C1111" s="3"/>
    </row>
    <row r="1112">
      <c r="A1112" s="3"/>
      <c r="B1112" s="3"/>
      <c r="C1112" s="3"/>
    </row>
    <row r="1113">
      <c r="A1113" s="3"/>
      <c r="B1113" s="3"/>
      <c r="C1113" s="3"/>
    </row>
    <row r="1114">
      <c r="A1114" s="3"/>
      <c r="B1114" s="3"/>
      <c r="C1114" s="3"/>
    </row>
    <row r="1115">
      <c r="A1115" s="3"/>
      <c r="B1115" s="3"/>
      <c r="C1115" s="3"/>
    </row>
    <row r="1116">
      <c r="A1116" s="3"/>
      <c r="B1116" s="3"/>
      <c r="C1116" s="3"/>
    </row>
    <row r="1117">
      <c r="A1117" s="3"/>
      <c r="B1117" s="3"/>
      <c r="C1117" s="3"/>
    </row>
    <row r="1118">
      <c r="A1118" s="3"/>
      <c r="B1118" s="3"/>
      <c r="C1118" s="3"/>
    </row>
    <row r="1119">
      <c r="A1119" s="3"/>
      <c r="B1119" s="3"/>
      <c r="C1119" s="3"/>
    </row>
    <row r="1120">
      <c r="A1120" s="3"/>
      <c r="B1120" s="3"/>
      <c r="C1120" s="3"/>
    </row>
    <row r="1121">
      <c r="A1121" s="3"/>
      <c r="B1121" s="3"/>
      <c r="C1121" s="3"/>
    </row>
    <row r="1122">
      <c r="A1122" s="3"/>
      <c r="B1122" s="3"/>
      <c r="C1122" s="3"/>
    </row>
    <row r="1123">
      <c r="A1123" s="3"/>
      <c r="B1123" s="3"/>
      <c r="C1123" s="3"/>
    </row>
    <row r="1124">
      <c r="A1124" s="3"/>
      <c r="B1124" s="3"/>
      <c r="C1124" s="3"/>
    </row>
    <row r="1125">
      <c r="A1125" s="3"/>
      <c r="B1125" s="3"/>
      <c r="C1125" s="3"/>
    </row>
    <row r="1126">
      <c r="A1126" s="3"/>
      <c r="B1126" s="3"/>
      <c r="C1126" s="3"/>
    </row>
    <row r="1127">
      <c r="A1127" s="3"/>
      <c r="B1127" s="3"/>
      <c r="C1127" s="3"/>
    </row>
    <row r="1128">
      <c r="A1128" s="3"/>
      <c r="B1128" s="3"/>
      <c r="C1128" s="3"/>
    </row>
    <row r="1129">
      <c r="A1129" s="3"/>
      <c r="B1129" s="3"/>
      <c r="C1129" s="3"/>
    </row>
    <row r="1130">
      <c r="A1130" s="3"/>
      <c r="B1130" s="3"/>
      <c r="C1130" s="3"/>
    </row>
    <row r="1131">
      <c r="A1131" s="3"/>
      <c r="B1131" s="3"/>
      <c r="C1131" s="3"/>
    </row>
    <row r="1132">
      <c r="A1132" s="3"/>
      <c r="B1132" s="3"/>
      <c r="C1132" s="3"/>
    </row>
    <row r="1133">
      <c r="A1133" s="3"/>
      <c r="B1133" s="3"/>
      <c r="C1133" s="3"/>
    </row>
    <row r="1134">
      <c r="A1134" s="3"/>
      <c r="B1134" s="3"/>
      <c r="C1134" s="3"/>
    </row>
    <row r="1135">
      <c r="A1135" s="3"/>
      <c r="B1135" s="3"/>
      <c r="C1135" s="3"/>
    </row>
    <row r="1136">
      <c r="A1136" s="3"/>
      <c r="B1136" s="3"/>
      <c r="C1136" s="3"/>
    </row>
    <row r="1137">
      <c r="A1137" s="3"/>
      <c r="B1137" s="3"/>
      <c r="C1137" s="3"/>
    </row>
    <row r="1138">
      <c r="A1138" s="3"/>
      <c r="B1138" s="3"/>
      <c r="C1138" s="3"/>
    </row>
    <row r="1139">
      <c r="A1139" s="3"/>
      <c r="B1139" s="3"/>
      <c r="C1139" s="3"/>
    </row>
    <row r="1140">
      <c r="A1140" s="3"/>
      <c r="B1140" s="3"/>
      <c r="C1140" s="3"/>
    </row>
    <row r="1141">
      <c r="A1141" s="3"/>
      <c r="B1141" s="3"/>
      <c r="C1141" s="3"/>
    </row>
    <row r="1142">
      <c r="A1142" s="3"/>
      <c r="B1142" s="3"/>
      <c r="C1142" s="3"/>
    </row>
    <row r="1143">
      <c r="A1143" s="3"/>
      <c r="B1143" s="3"/>
      <c r="C1143" s="3"/>
    </row>
    <row r="1144">
      <c r="A1144" s="3"/>
      <c r="B1144" s="3"/>
      <c r="C1144" s="3"/>
    </row>
    <row r="1145">
      <c r="A1145" s="3"/>
      <c r="B1145" s="3"/>
      <c r="C1145" s="3"/>
    </row>
    <row r="1146">
      <c r="A1146" s="3"/>
      <c r="B1146" s="3"/>
      <c r="C1146" s="3"/>
    </row>
    <row r="1147">
      <c r="A1147" s="3"/>
      <c r="B1147" s="3"/>
      <c r="C1147" s="3"/>
    </row>
    <row r="1148">
      <c r="A1148" s="3"/>
      <c r="B1148" s="3"/>
      <c r="C1148" s="3"/>
    </row>
    <row r="1149">
      <c r="A1149" s="3"/>
      <c r="B1149" s="3"/>
      <c r="C1149" s="3"/>
    </row>
    <row r="1150">
      <c r="A1150" s="3"/>
      <c r="B1150" s="3"/>
      <c r="C1150" s="3"/>
    </row>
    <row r="1151">
      <c r="A1151" s="3"/>
      <c r="B1151" s="3"/>
      <c r="C1151" s="3"/>
    </row>
    <row r="1152">
      <c r="A1152" s="3"/>
      <c r="B1152" s="3"/>
      <c r="C1152" s="3"/>
    </row>
    <row r="1153">
      <c r="A1153" s="3"/>
      <c r="B1153" s="3"/>
      <c r="C1153" s="3"/>
    </row>
    <row r="1154">
      <c r="A1154" s="3"/>
      <c r="B1154" s="3"/>
      <c r="C1154" s="3"/>
    </row>
    <row r="1155">
      <c r="A1155" s="3"/>
      <c r="B1155" s="3"/>
      <c r="C1155" s="3"/>
    </row>
    <row r="1156">
      <c r="A1156" s="3"/>
      <c r="B1156" s="3"/>
      <c r="C1156" s="3"/>
    </row>
    <row r="1157">
      <c r="A1157" s="3"/>
      <c r="B1157" s="3"/>
      <c r="C1157" s="3"/>
    </row>
    <row r="1158">
      <c r="A1158" s="3"/>
      <c r="B1158" s="3"/>
      <c r="C1158" s="3"/>
    </row>
    <row r="1159">
      <c r="A1159" s="3"/>
      <c r="B1159" s="3"/>
      <c r="C1159" s="3"/>
    </row>
    <row r="1160">
      <c r="A1160" s="3"/>
      <c r="B1160" s="3"/>
      <c r="C1160" s="3"/>
    </row>
    <row r="1161">
      <c r="A1161" s="3"/>
      <c r="B1161" s="3"/>
      <c r="C1161" s="3"/>
    </row>
    <row r="1162">
      <c r="A1162" s="3"/>
      <c r="B1162" s="3"/>
      <c r="C1162" s="3"/>
    </row>
    <row r="1163">
      <c r="A1163" s="3"/>
      <c r="B1163" s="3"/>
      <c r="C1163" s="3"/>
    </row>
    <row r="1164">
      <c r="A1164" s="3"/>
      <c r="B1164" s="3"/>
      <c r="C1164" s="3"/>
    </row>
    <row r="1165">
      <c r="A1165" s="3"/>
      <c r="B1165" s="3"/>
      <c r="C1165" s="3"/>
    </row>
    <row r="1166">
      <c r="A1166" s="3"/>
      <c r="B1166" s="3"/>
      <c r="C1166" s="3"/>
    </row>
    <row r="1167">
      <c r="A1167" s="3"/>
      <c r="B1167" s="3"/>
      <c r="C1167" s="3"/>
    </row>
    <row r="1168">
      <c r="A1168" s="3"/>
      <c r="B1168" s="3"/>
      <c r="C1168" s="3"/>
    </row>
    <row r="1169">
      <c r="A1169" s="3"/>
      <c r="B1169" s="3"/>
      <c r="C1169" s="3"/>
    </row>
    <row r="1170">
      <c r="A1170" s="3"/>
      <c r="B1170" s="3"/>
      <c r="C1170" s="3"/>
    </row>
    <row r="1171">
      <c r="A1171" s="3"/>
      <c r="B1171" s="3"/>
      <c r="C1171" s="3"/>
    </row>
    <row r="1172">
      <c r="A1172" s="3"/>
      <c r="B1172" s="3"/>
      <c r="C1172" s="3"/>
    </row>
    <row r="1173">
      <c r="A1173" s="3"/>
      <c r="B1173" s="3"/>
      <c r="C1173" s="3"/>
    </row>
    <row r="1174">
      <c r="A1174" s="3"/>
      <c r="B1174" s="3"/>
      <c r="C1174" s="3"/>
    </row>
    <row r="1175">
      <c r="A1175" s="3"/>
      <c r="B1175" s="3"/>
      <c r="C1175" s="3"/>
    </row>
    <row r="1176">
      <c r="A1176" s="3"/>
      <c r="B1176" s="3"/>
      <c r="C1176" s="3"/>
    </row>
    <row r="1177">
      <c r="A1177" s="3"/>
      <c r="B1177" s="3"/>
      <c r="C1177" s="3"/>
    </row>
    <row r="1178">
      <c r="A1178" s="3"/>
      <c r="B1178" s="3"/>
      <c r="C1178" s="3"/>
    </row>
    <row r="1179">
      <c r="A1179" s="3"/>
      <c r="B1179" s="3"/>
      <c r="C1179" s="3"/>
    </row>
    <row r="1180">
      <c r="A1180" s="3"/>
      <c r="B1180" s="3"/>
      <c r="C1180" s="3"/>
    </row>
    <row r="1181">
      <c r="A1181" s="3"/>
      <c r="B1181" s="3"/>
      <c r="C1181" s="3"/>
    </row>
    <row r="1182">
      <c r="A1182" s="3"/>
      <c r="B1182" s="3"/>
      <c r="C1182" s="3"/>
    </row>
    <row r="1183">
      <c r="A1183" s="3"/>
      <c r="B1183" s="3"/>
      <c r="C1183" s="3"/>
    </row>
    <row r="1184">
      <c r="A1184" s="3"/>
      <c r="B1184" s="3"/>
      <c r="C1184" s="3"/>
    </row>
    <row r="1185">
      <c r="A1185" s="3"/>
      <c r="B1185" s="3"/>
      <c r="C1185" s="3"/>
    </row>
    <row r="1186">
      <c r="A1186" s="3"/>
      <c r="B1186" s="3"/>
      <c r="C1186" s="3"/>
    </row>
    <row r="1187">
      <c r="A1187" s="3"/>
      <c r="B1187" s="3"/>
      <c r="C1187" s="3"/>
    </row>
    <row r="1188">
      <c r="A1188" s="3"/>
      <c r="B1188" s="3"/>
      <c r="C1188" s="3"/>
    </row>
    <row r="1189">
      <c r="A1189" s="3"/>
      <c r="B1189" s="3"/>
      <c r="C1189" s="3"/>
    </row>
    <row r="1190">
      <c r="A1190" s="3"/>
      <c r="B1190" s="3"/>
      <c r="C1190" s="3"/>
    </row>
    <row r="1191">
      <c r="A1191" s="3"/>
      <c r="B1191" s="3"/>
      <c r="C1191" s="3"/>
    </row>
    <row r="1192">
      <c r="A1192" s="3"/>
      <c r="B1192" s="3"/>
      <c r="C1192" s="3"/>
    </row>
    <row r="1193">
      <c r="A1193" s="3"/>
      <c r="B1193" s="3"/>
      <c r="C1193" s="3"/>
    </row>
    <row r="1194">
      <c r="A1194" s="3"/>
      <c r="B1194" s="3"/>
      <c r="C1194" s="3"/>
    </row>
    <row r="1195">
      <c r="A1195" s="3"/>
      <c r="B1195" s="3"/>
      <c r="C1195" s="3"/>
    </row>
    <row r="1196">
      <c r="A1196" s="3"/>
      <c r="B1196" s="3"/>
      <c r="C1196" s="3"/>
    </row>
    <row r="1197">
      <c r="A1197" s="3"/>
      <c r="B1197" s="3"/>
      <c r="C1197" s="3"/>
    </row>
    <row r="1198">
      <c r="A1198" s="3"/>
      <c r="B1198" s="3"/>
      <c r="C1198" s="3"/>
    </row>
    <row r="1199">
      <c r="A1199" s="3"/>
      <c r="B1199" s="3"/>
      <c r="C1199" s="3"/>
    </row>
    <row r="1200">
      <c r="A1200" s="3"/>
      <c r="B1200" s="3"/>
      <c r="C1200" s="3"/>
    </row>
    <row r="1201">
      <c r="A1201" s="3"/>
      <c r="B1201" s="3"/>
      <c r="C1201" s="3"/>
    </row>
    <row r="1202">
      <c r="A1202" s="3"/>
      <c r="B1202" s="3"/>
      <c r="C1202" s="3"/>
    </row>
    <row r="1203">
      <c r="A1203" s="3"/>
      <c r="B1203" s="3"/>
      <c r="C1203" s="3"/>
    </row>
    <row r="1204">
      <c r="A1204" s="3"/>
      <c r="B1204" s="3"/>
      <c r="C1204" s="3"/>
    </row>
    <row r="1205">
      <c r="A1205" s="3"/>
      <c r="B1205" s="3"/>
      <c r="C1205" s="3"/>
    </row>
    <row r="1206">
      <c r="A1206" s="3"/>
      <c r="B1206" s="3"/>
      <c r="C1206" s="3"/>
    </row>
    <row r="1207">
      <c r="A1207" s="3"/>
      <c r="B1207" s="3"/>
      <c r="C1207" s="3"/>
    </row>
    <row r="1208">
      <c r="A1208" s="3"/>
      <c r="B1208" s="3"/>
      <c r="C1208" s="3"/>
    </row>
    <row r="1209">
      <c r="A1209" s="3"/>
      <c r="B1209" s="3"/>
      <c r="C1209" s="3"/>
    </row>
    <row r="1210">
      <c r="A1210" s="3"/>
      <c r="B1210" s="3"/>
      <c r="C1210" s="3"/>
    </row>
    <row r="1211">
      <c r="A1211" s="3"/>
      <c r="B1211" s="3"/>
      <c r="C1211" s="3"/>
    </row>
    <row r="1212">
      <c r="A1212" s="3"/>
      <c r="B1212" s="3"/>
      <c r="C1212" s="3"/>
    </row>
    <row r="1213">
      <c r="A1213" s="3"/>
      <c r="B1213" s="3"/>
      <c r="C1213" s="3"/>
    </row>
    <row r="1214">
      <c r="A1214" s="3"/>
      <c r="B1214" s="3"/>
      <c r="C1214" s="3"/>
    </row>
    <row r="1215">
      <c r="A1215" s="3"/>
      <c r="B1215" s="3"/>
      <c r="C1215" s="3"/>
    </row>
    <row r="1216">
      <c r="A1216" s="3"/>
      <c r="B1216" s="3"/>
      <c r="C1216" s="3"/>
    </row>
    <row r="1217">
      <c r="A1217" s="3"/>
      <c r="B1217" s="3"/>
      <c r="C1217" s="3"/>
    </row>
    <row r="1218">
      <c r="A1218" s="3"/>
      <c r="B1218" s="3"/>
      <c r="C1218" s="3"/>
    </row>
    <row r="1219">
      <c r="A1219" s="3"/>
      <c r="B1219" s="3"/>
      <c r="C1219" s="3"/>
    </row>
    <row r="1220">
      <c r="A1220" s="3"/>
      <c r="B1220" s="3"/>
      <c r="C1220" s="3"/>
    </row>
    <row r="1221">
      <c r="A1221" s="3"/>
      <c r="B1221" s="3"/>
      <c r="C1221" s="3"/>
    </row>
    <row r="1222">
      <c r="A1222" s="3"/>
      <c r="B1222" s="3"/>
      <c r="C1222" s="3"/>
    </row>
    <row r="1223">
      <c r="A1223" s="3"/>
      <c r="B1223" s="3"/>
      <c r="C1223" s="3"/>
    </row>
    <row r="1224">
      <c r="A1224" s="3"/>
      <c r="B1224" s="3"/>
      <c r="C1224" s="3"/>
    </row>
    <row r="1225">
      <c r="A1225" s="3"/>
      <c r="B1225" s="3"/>
      <c r="C1225" s="3"/>
    </row>
    <row r="1226">
      <c r="A1226" s="3"/>
      <c r="B1226" s="3"/>
      <c r="C1226" s="3"/>
    </row>
    <row r="1227">
      <c r="A1227" s="3"/>
      <c r="B1227" s="3"/>
      <c r="C1227" s="3"/>
    </row>
    <row r="1228">
      <c r="A1228" s="3"/>
      <c r="B1228" s="3"/>
      <c r="C1228" s="3"/>
    </row>
    <row r="1229">
      <c r="A1229" s="3"/>
      <c r="B1229" s="3"/>
      <c r="C1229" s="3"/>
    </row>
    <row r="1230">
      <c r="A1230" s="3"/>
      <c r="B1230" s="3"/>
      <c r="C1230" s="3"/>
    </row>
    <row r="1231">
      <c r="A1231" s="3"/>
      <c r="B1231" s="3"/>
      <c r="C1231" s="3"/>
    </row>
    <row r="1232">
      <c r="A1232" s="3"/>
      <c r="B1232" s="3"/>
      <c r="C1232" s="3"/>
    </row>
    <row r="1233">
      <c r="A1233" s="3"/>
      <c r="B1233" s="3"/>
      <c r="C1233" s="3"/>
    </row>
    <row r="1234">
      <c r="A1234" s="3"/>
      <c r="B1234" s="3"/>
      <c r="C1234" s="3"/>
    </row>
    <row r="1235">
      <c r="A1235" s="3"/>
      <c r="B1235" s="3"/>
      <c r="C1235" s="3"/>
    </row>
    <row r="1236">
      <c r="A1236" s="3"/>
      <c r="B1236" s="3"/>
      <c r="C1236" s="3"/>
    </row>
    <row r="1237">
      <c r="A1237" s="3"/>
      <c r="B1237" s="3"/>
      <c r="C1237" s="3"/>
    </row>
    <row r="1238">
      <c r="A1238" s="3"/>
      <c r="B1238" s="3"/>
      <c r="C1238" s="3"/>
    </row>
    <row r="1239">
      <c r="A1239" s="3"/>
      <c r="B1239" s="3"/>
      <c r="C1239" s="3"/>
    </row>
    <row r="1240">
      <c r="A1240" s="3"/>
      <c r="B1240" s="3"/>
      <c r="C1240" s="3"/>
    </row>
    <row r="1241">
      <c r="A1241" s="3"/>
      <c r="B1241" s="3"/>
      <c r="C1241" s="3"/>
    </row>
    <row r="1242">
      <c r="A1242" s="3"/>
      <c r="B1242" s="3"/>
      <c r="C1242" s="3"/>
    </row>
    <row r="1243">
      <c r="A1243" s="3"/>
      <c r="B1243" s="3"/>
      <c r="C1243" s="3"/>
    </row>
    <row r="1244">
      <c r="A1244" s="3"/>
      <c r="B1244" s="3"/>
      <c r="C1244" s="3"/>
    </row>
    <row r="1245">
      <c r="A1245" s="3"/>
      <c r="B1245" s="3"/>
      <c r="C1245" s="3"/>
    </row>
    <row r="1246">
      <c r="A1246" s="3"/>
      <c r="B1246" s="3"/>
      <c r="C1246" s="3"/>
    </row>
    <row r="1247">
      <c r="A1247" s="3"/>
      <c r="B1247" s="3"/>
      <c r="C1247" s="3"/>
    </row>
    <row r="1248">
      <c r="A1248" s="3"/>
      <c r="B1248" s="3"/>
      <c r="C1248" s="3"/>
    </row>
    <row r="1249">
      <c r="A1249" s="3"/>
      <c r="B1249" s="3"/>
      <c r="C1249" s="3"/>
    </row>
    <row r="1250">
      <c r="A1250" s="3"/>
      <c r="B1250" s="3"/>
      <c r="C1250" s="3"/>
    </row>
    <row r="1251">
      <c r="A1251" s="3"/>
      <c r="B1251" s="3"/>
      <c r="C1251" s="3"/>
    </row>
    <row r="1252">
      <c r="A1252" s="3"/>
      <c r="B1252" s="3"/>
      <c r="C1252" s="3"/>
    </row>
    <row r="1253">
      <c r="A1253" s="3"/>
      <c r="B1253" s="3"/>
      <c r="C1253" s="3"/>
    </row>
    <row r="1254">
      <c r="A1254" s="3"/>
      <c r="B1254" s="3"/>
      <c r="C1254" s="3"/>
    </row>
    <row r="1255">
      <c r="A1255" s="3"/>
      <c r="B1255" s="3"/>
      <c r="C1255" s="3"/>
    </row>
    <row r="1256">
      <c r="A1256" s="3"/>
      <c r="B1256" s="3"/>
      <c r="C1256" s="3"/>
    </row>
    <row r="1257">
      <c r="A1257" s="3"/>
      <c r="B1257" s="3"/>
      <c r="C1257" s="3"/>
    </row>
    <row r="1258">
      <c r="A1258" s="3"/>
      <c r="B1258" s="3"/>
      <c r="C1258" s="3"/>
    </row>
    <row r="1259">
      <c r="A1259" s="3"/>
      <c r="B1259" s="3"/>
      <c r="C1259" s="3"/>
    </row>
    <row r="1260">
      <c r="A1260" s="3"/>
      <c r="B1260" s="3"/>
      <c r="C1260" s="3"/>
    </row>
    <row r="1261">
      <c r="A1261" s="3"/>
      <c r="B1261" s="3"/>
      <c r="C1261" s="3"/>
    </row>
    <row r="1262">
      <c r="A1262" s="3"/>
      <c r="B1262" s="3"/>
      <c r="C1262" s="3"/>
    </row>
    <row r="1263">
      <c r="A1263" s="3"/>
      <c r="B1263" s="3"/>
      <c r="C1263" s="3"/>
    </row>
    <row r="1264">
      <c r="A1264" s="3"/>
      <c r="B1264" s="3"/>
      <c r="C1264" s="3"/>
    </row>
    <row r="1265">
      <c r="A1265" s="3"/>
      <c r="B1265" s="3"/>
      <c r="C1265" s="3"/>
    </row>
    <row r="1266">
      <c r="A1266" s="3"/>
      <c r="B1266" s="3"/>
      <c r="C1266" s="3"/>
    </row>
    <row r="1267">
      <c r="A1267" s="3"/>
      <c r="B1267" s="3"/>
      <c r="C1267" s="3"/>
    </row>
    <row r="1268">
      <c r="A1268" s="3"/>
      <c r="B1268" s="3"/>
      <c r="C1268" s="3"/>
    </row>
    <row r="1269">
      <c r="A1269" s="3"/>
      <c r="B1269" s="3"/>
      <c r="C1269" s="3"/>
    </row>
    <row r="1270">
      <c r="A1270" s="3"/>
      <c r="B1270" s="3"/>
      <c r="C1270" s="3"/>
    </row>
    <row r="1271">
      <c r="A1271" s="3"/>
      <c r="B1271" s="3"/>
      <c r="C1271" s="3"/>
    </row>
    <row r="1272">
      <c r="A1272" s="3"/>
      <c r="B1272" s="3"/>
      <c r="C1272" s="3"/>
    </row>
    <row r="1273">
      <c r="A1273" s="3"/>
      <c r="B1273" s="3"/>
      <c r="C1273" s="3"/>
    </row>
    <row r="1274">
      <c r="A1274" s="3"/>
      <c r="B1274" s="3"/>
      <c r="C1274" s="3"/>
    </row>
    <row r="1275">
      <c r="A1275" s="3"/>
      <c r="B1275" s="3"/>
      <c r="C1275" s="3"/>
    </row>
    <row r="1276">
      <c r="A1276" s="3"/>
      <c r="B1276" s="3"/>
      <c r="C1276" s="3"/>
    </row>
    <row r="1277">
      <c r="A1277" s="3"/>
      <c r="B1277" s="3"/>
      <c r="C1277" s="3"/>
    </row>
    <row r="1278">
      <c r="A1278" s="3"/>
      <c r="B1278" s="3"/>
      <c r="C1278" s="3"/>
    </row>
    <row r="1279">
      <c r="A1279" s="3"/>
      <c r="B1279" s="3"/>
      <c r="C1279" s="3"/>
    </row>
    <row r="1280">
      <c r="A1280" s="3"/>
      <c r="B1280" s="3"/>
      <c r="C1280" s="3"/>
    </row>
    <row r="1281">
      <c r="A1281" s="3"/>
      <c r="B1281" s="3"/>
      <c r="C1281" s="3"/>
    </row>
    <row r="1282">
      <c r="A1282" s="3"/>
      <c r="B1282" s="3"/>
      <c r="C1282" s="3"/>
    </row>
    <row r="1283">
      <c r="A1283" s="3"/>
      <c r="B1283" s="3"/>
      <c r="C1283" s="3"/>
    </row>
    <row r="1284">
      <c r="A1284" s="3"/>
      <c r="B1284" s="3"/>
      <c r="C1284" s="3"/>
    </row>
    <row r="1285">
      <c r="A1285" s="3"/>
      <c r="B1285" s="3"/>
      <c r="C1285" s="3"/>
    </row>
    <row r="1286">
      <c r="A1286" s="3"/>
      <c r="B1286" s="3"/>
      <c r="C1286" s="3"/>
    </row>
    <row r="1287">
      <c r="A1287" s="3"/>
      <c r="B1287" s="3"/>
      <c r="C1287" s="3"/>
    </row>
    <row r="1288">
      <c r="A1288" s="3"/>
      <c r="B1288" s="3"/>
      <c r="C1288" s="3"/>
    </row>
    <row r="1289">
      <c r="A1289" s="3"/>
      <c r="B1289" s="3"/>
      <c r="C1289" s="3"/>
    </row>
    <row r="1290">
      <c r="A1290" s="3"/>
      <c r="B1290" s="3"/>
      <c r="C1290" s="3"/>
    </row>
    <row r="1291">
      <c r="A1291" s="3"/>
      <c r="B1291" s="3"/>
      <c r="C1291" s="3"/>
    </row>
    <row r="1292">
      <c r="A1292" s="3"/>
      <c r="B1292" s="3"/>
      <c r="C1292" s="3"/>
    </row>
    <row r="1293">
      <c r="A1293" s="3"/>
      <c r="B1293" s="3"/>
      <c r="C1293" s="3"/>
    </row>
    <row r="1294">
      <c r="A1294" s="3"/>
      <c r="B1294" s="3"/>
      <c r="C1294" s="3"/>
    </row>
    <row r="1295">
      <c r="A1295" s="3"/>
      <c r="B1295" s="3"/>
      <c r="C1295" s="3"/>
    </row>
    <row r="1296">
      <c r="A1296" s="3"/>
      <c r="B1296" s="3"/>
      <c r="C1296" s="3"/>
    </row>
    <row r="1297">
      <c r="A1297" s="3"/>
      <c r="B1297" s="3"/>
      <c r="C1297" s="3"/>
    </row>
    <row r="1298">
      <c r="A1298" s="3"/>
      <c r="B1298" s="3"/>
      <c r="C1298" s="3"/>
    </row>
    <row r="1299">
      <c r="A1299" s="3"/>
      <c r="B1299" s="3"/>
      <c r="C1299" s="3"/>
    </row>
    <row r="1300">
      <c r="A1300" s="3"/>
      <c r="B1300" s="3"/>
      <c r="C1300" s="3"/>
    </row>
    <row r="1301">
      <c r="A1301" s="3"/>
      <c r="B1301" s="3"/>
      <c r="C1301" s="3"/>
    </row>
    <row r="1302">
      <c r="A1302" s="3"/>
      <c r="B1302" s="3"/>
      <c r="C1302" s="3"/>
    </row>
    <row r="1303">
      <c r="A1303" s="3"/>
      <c r="B1303" s="3"/>
      <c r="C1303" s="3"/>
    </row>
    <row r="1304">
      <c r="A1304" s="3"/>
      <c r="B1304" s="3"/>
      <c r="C1304" s="3"/>
    </row>
    <row r="1305">
      <c r="A1305" s="3"/>
      <c r="B1305" s="3"/>
      <c r="C1305" s="3"/>
    </row>
    <row r="1306">
      <c r="A1306" s="3"/>
      <c r="B1306" s="3"/>
      <c r="C1306" s="3"/>
    </row>
    <row r="1307">
      <c r="A1307" s="3"/>
      <c r="B1307" s="3"/>
      <c r="C1307" s="3"/>
    </row>
    <row r="1308">
      <c r="A1308" s="3"/>
      <c r="B1308" s="3"/>
      <c r="C1308" s="3"/>
    </row>
    <row r="1309">
      <c r="A1309" s="3"/>
      <c r="B1309" s="3"/>
      <c r="C1309" s="3"/>
    </row>
    <row r="1310">
      <c r="A1310" s="3"/>
      <c r="B1310" s="3"/>
      <c r="C1310" s="3"/>
    </row>
    <row r="1311">
      <c r="A1311" s="3"/>
      <c r="B1311" s="3"/>
      <c r="C1311" s="3"/>
    </row>
    <row r="1312">
      <c r="A1312" s="3"/>
      <c r="B1312" s="3"/>
      <c r="C1312" s="3"/>
    </row>
    <row r="1313">
      <c r="A1313" s="3"/>
      <c r="B1313" s="3"/>
      <c r="C1313" s="3"/>
    </row>
    <row r="1314">
      <c r="A1314" s="3"/>
      <c r="B1314" s="3"/>
      <c r="C1314" s="3"/>
    </row>
    <row r="1315">
      <c r="A1315" s="3"/>
      <c r="B1315" s="3"/>
      <c r="C1315" s="3"/>
    </row>
    <row r="1316">
      <c r="A1316" s="3"/>
      <c r="B1316" s="3"/>
      <c r="C1316" s="3"/>
    </row>
    <row r="1317">
      <c r="A1317" s="3"/>
      <c r="B1317" s="3"/>
      <c r="C1317" s="3"/>
    </row>
    <row r="1318">
      <c r="A1318" s="3"/>
      <c r="B1318" s="3"/>
      <c r="C1318" s="3"/>
    </row>
    <row r="1319">
      <c r="A1319" s="3"/>
      <c r="B1319" s="3"/>
      <c r="C1319" s="3"/>
    </row>
    <row r="1320">
      <c r="A1320" s="3"/>
      <c r="B1320" s="3"/>
      <c r="C1320" s="3"/>
    </row>
    <row r="1321">
      <c r="A1321" s="3"/>
      <c r="B1321" s="3"/>
      <c r="C1321" s="3"/>
    </row>
    <row r="1322">
      <c r="A1322" s="3"/>
      <c r="B1322" s="3"/>
      <c r="C1322" s="3"/>
    </row>
    <row r="1323">
      <c r="A1323" s="3"/>
      <c r="B1323" s="3"/>
      <c r="C1323" s="3"/>
    </row>
    <row r="1324">
      <c r="A1324" s="3"/>
      <c r="B1324" s="3"/>
      <c r="C1324" s="3"/>
    </row>
    <row r="1325">
      <c r="A1325" s="3"/>
      <c r="B1325" s="3"/>
      <c r="C1325" s="3"/>
    </row>
    <row r="1326">
      <c r="A1326" s="3"/>
      <c r="B1326" s="3"/>
      <c r="C1326" s="3"/>
    </row>
    <row r="1327">
      <c r="A1327" s="3"/>
      <c r="B1327" s="3"/>
      <c r="C1327" s="3"/>
    </row>
    <row r="1328">
      <c r="A1328" s="3"/>
      <c r="B1328" s="3"/>
      <c r="C1328" s="3"/>
    </row>
    <row r="1329">
      <c r="A1329" s="3"/>
      <c r="B1329" s="3"/>
      <c r="C1329" s="3"/>
    </row>
    <row r="1330">
      <c r="A1330" s="3"/>
      <c r="B1330" s="3"/>
      <c r="C1330" s="3"/>
    </row>
    <row r="1331">
      <c r="A1331" s="3"/>
      <c r="B1331" s="3"/>
      <c r="C1331" s="3"/>
    </row>
    <row r="1332">
      <c r="A1332" s="3"/>
      <c r="B1332" s="3"/>
      <c r="C1332" s="3"/>
    </row>
    <row r="1333">
      <c r="A1333" s="3"/>
      <c r="B1333" s="3"/>
      <c r="C1333" s="3"/>
    </row>
    <row r="1334">
      <c r="A1334" s="3"/>
      <c r="B1334" s="3"/>
      <c r="C1334" s="3"/>
    </row>
    <row r="1335">
      <c r="A1335" s="3"/>
      <c r="B1335" s="3"/>
      <c r="C1335" s="3"/>
    </row>
    <row r="1336">
      <c r="A1336" s="3"/>
      <c r="B1336" s="3"/>
      <c r="C1336" s="3"/>
    </row>
    <row r="1337">
      <c r="A1337" s="3"/>
      <c r="B1337" s="3"/>
      <c r="C1337" s="3"/>
    </row>
    <row r="1338">
      <c r="A1338" s="3"/>
      <c r="B1338" s="3"/>
      <c r="C1338" s="3"/>
    </row>
    <row r="1339">
      <c r="A1339" s="3"/>
      <c r="B1339" s="3"/>
      <c r="C1339" s="3"/>
    </row>
    <row r="1340">
      <c r="A1340" s="3"/>
      <c r="B1340" s="3"/>
      <c r="C1340" s="3"/>
    </row>
    <row r="1341">
      <c r="A1341" s="3"/>
      <c r="B1341" s="3"/>
      <c r="C1341" s="3"/>
    </row>
    <row r="1342">
      <c r="A1342" s="3"/>
      <c r="B1342" s="3"/>
      <c r="C1342" s="3"/>
    </row>
    <row r="1343">
      <c r="A1343" s="3"/>
      <c r="B1343" s="3"/>
      <c r="C1343" s="3"/>
    </row>
    <row r="1344">
      <c r="A1344" s="3"/>
      <c r="B1344" s="3"/>
      <c r="C1344" s="3"/>
    </row>
    <row r="1345">
      <c r="A1345" s="3"/>
      <c r="B1345" s="3"/>
      <c r="C1345" s="3"/>
    </row>
    <row r="1346">
      <c r="A1346" s="3"/>
      <c r="B1346" s="3"/>
      <c r="C1346" s="3"/>
    </row>
    <row r="1347">
      <c r="A1347" s="3"/>
      <c r="B1347" s="3"/>
      <c r="C1347" s="3"/>
    </row>
    <row r="1348">
      <c r="A1348" s="3"/>
      <c r="B1348" s="3"/>
      <c r="C1348" s="3"/>
    </row>
    <row r="1349">
      <c r="A1349" s="3"/>
      <c r="B1349" s="3"/>
      <c r="C1349" s="3"/>
    </row>
    <row r="1350">
      <c r="A1350" s="3"/>
      <c r="B1350" s="3"/>
      <c r="C1350" s="3"/>
    </row>
    <row r="1351">
      <c r="A1351" s="3"/>
      <c r="B1351" s="3"/>
      <c r="C1351" s="3"/>
    </row>
    <row r="1352">
      <c r="A1352" s="3"/>
      <c r="B1352" s="3"/>
      <c r="C1352" s="3"/>
    </row>
    <row r="1353">
      <c r="A1353" s="3"/>
      <c r="B1353" s="3"/>
      <c r="C1353" s="3"/>
    </row>
    <row r="1354">
      <c r="A1354" s="3"/>
      <c r="B1354" s="3"/>
      <c r="C1354" s="3"/>
    </row>
    <row r="1355">
      <c r="A1355" s="3"/>
      <c r="B1355" s="3"/>
      <c r="C1355" s="3"/>
    </row>
    <row r="1356">
      <c r="A1356" s="3"/>
      <c r="B1356" s="3"/>
      <c r="C1356" s="3"/>
    </row>
    <row r="1357">
      <c r="A1357" s="3"/>
      <c r="B1357" s="3"/>
      <c r="C1357" s="3"/>
    </row>
    <row r="1358">
      <c r="A1358" s="3"/>
      <c r="B1358" s="3"/>
      <c r="C1358" s="3"/>
    </row>
    <row r="1359">
      <c r="A1359" s="3"/>
      <c r="B1359" s="3"/>
      <c r="C1359" s="3"/>
    </row>
    <row r="1360">
      <c r="A1360" s="3"/>
      <c r="B1360" s="3"/>
      <c r="C1360" s="3"/>
    </row>
    <row r="1361">
      <c r="A1361" s="3"/>
      <c r="B1361" s="3"/>
      <c r="C1361" s="3"/>
    </row>
    <row r="1362">
      <c r="A1362" s="3"/>
      <c r="B1362" s="3"/>
      <c r="C1362" s="3"/>
    </row>
    <row r="1363">
      <c r="A1363" s="3"/>
      <c r="B1363" s="3"/>
      <c r="C1363" s="3"/>
    </row>
    <row r="1364">
      <c r="A1364" s="3"/>
      <c r="B1364" s="3"/>
      <c r="C1364" s="3"/>
    </row>
    <row r="1365">
      <c r="A1365" s="3"/>
      <c r="B1365" s="3"/>
      <c r="C1365" s="3"/>
    </row>
    <row r="1366">
      <c r="A1366" s="3"/>
      <c r="B1366" s="3"/>
      <c r="C1366" s="3"/>
    </row>
    <row r="1367">
      <c r="A1367" s="3"/>
      <c r="B1367" s="3"/>
      <c r="C1367" s="3"/>
    </row>
    <row r="1368">
      <c r="A1368" s="3"/>
      <c r="B1368" s="3"/>
      <c r="C1368" s="3"/>
    </row>
    <row r="1369">
      <c r="A1369" s="3"/>
      <c r="B1369" s="3"/>
      <c r="C1369" s="3"/>
    </row>
    <row r="1370">
      <c r="A1370" s="3"/>
      <c r="B1370" s="3"/>
      <c r="C1370" s="3"/>
    </row>
    <row r="1371">
      <c r="A1371" s="3"/>
      <c r="B1371" s="3"/>
      <c r="C1371" s="3"/>
    </row>
    <row r="1372">
      <c r="A1372" s="3"/>
      <c r="B1372" s="3"/>
      <c r="C1372" s="3"/>
    </row>
    <row r="1373">
      <c r="A1373" s="3"/>
      <c r="B1373" s="3"/>
      <c r="C1373" s="3"/>
    </row>
    <row r="1374">
      <c r="A1374" s="3"/>
      <c r="B1374" s="3"/>
      <c r="C1374" s="3"/>
    </row>
    <row r="1375">
      <c r="A1375" s="3"/>
      <c r="B1375" s="3"/>
      <c r="C1375" s="3"/>
    </row>
    <row r="1376">
      <c r="A1376" s="3"/>
      <c r="B1376" s="3"/>
      <c r="C1376" s="3"/>
    </row>
    <row r="1377">
      <c r="A1377" s="3"/>
      <c r="B1377" s="3"/>
      <c r="C1377" s="3"/>
    </row>
    <row r="1378">
      <c r="A1378" s="3"/>
      <c r="B1378" s="3"/>
      <c r="C1378" s="3"/>
    </row>
    <row r="1379">
      <c r="A1379" s="3"/>
      <c r="B1379" s="3"/>
      <c r="C1379" s="3"/>
    </row>
    <row r="1380">
      <c r="A1380" s="3"/>
      <c r="B1380" s="3"/>
      <c r="C1380" s="3"/>
    </row>
    <row r="1381">
      <c r="A1381" s="3"/>
      <c r="B1381" s="3"/>
      <c r="C1381" s="3"/>
    </row>
    <row r="1382">
      <c r="A1382" s="3"/>
      <c r="B1382" s="3"/>
      <c r="C1382" s="3"/>
    </row>
    <row r="1383">
      <c r="A1383" s="3"/>
      <c r="B1383" s="3"/>
      <c r="C1383" s="3"/>
    </row>
    <row r="1384">
      <c r="A1384" s="3"/>
      <c r="B1384" s="3"/>
      <c r="C1384" s="3"/>
    </row>
    <row r="1385">
      <c r="A1385" s="3"/>
      <c r="B1385" s="3"/>
      <c r="C1385" s="3"/>
    </row>
    <row r="1386">
      <c r="A1386" s="3"/>
      <c r="B1386" s="3"/>
      <c r="C1386" s="3"/>
    </row>
    <row r="1387">
      <c r="A1387" s="3"/>
      <c r="B1387" s="3"/>
      <c r="C1387" s="3"/>
    </row>
    <row r="1388">
      <c r="A1388" s="3"/>
      <c r="B1388" s="3"/>
      <c r="C1388" s="3"/>
    </row>
    <row r="1389">
      <c r="A1389" s="3"/>
      <c r="B1389" s="3"/>
      <c r="C1389" s="3"/>
    </row>
    <row r="1390">
      <c r="A1390" s="3"/>
      <c r="B1390" s="3"/>
      <c r="C1390" s="3"/>
    </row>
    <row r="1391">
      <c r="A1391" s="3"/>
      <c r="B1391" s="3"/>
      <c r="C1391" s="3"/>
    </row>
    <row r="1392">
      <c r="A1392" s="3"/>
      <c r="B1392" s="3"/>
      <c r="C1392" s="3"/>
    </row>
    <row r="1393">
      <c r="A1393" s="3"/>
      <c r="B1393" s="3"/>
      <c r="C1393" s="3"/>
    </row>
    <row r="1394">
      <c r="A1394" s="3"/>
      <c r="B1394" s="3"/>
      <c r="C1394" s="3"/>
    </row>
    <row r="1395">
      <c r="A1395" s="3"/>
      <c r="B1395" s="3"/>
      <c r="C1395" s="3"/>
    </row>
    <row r="1396">
      <c r="A1396" s="3"/>
      <c r="B1396" s="3"/>
      <c r="C1396" s="3"/>
    </row>
    <row r="1397">
      <c r="A1397" s="3"/>
      <c r="B1397" s="3"/>
      <c r="C1397" s="3"/>
    </row>
    <row r="1398">
      <c r="A1398" s="3"/>
      <c r="B1398" s="3"/>
      <c r="C1398" s="3"/>
    </row>
    <row r="1399">
      <c r="A1399" s="3"/>
      <c r="B1399" s="3"/>
      <c r="C1399" s="3"/>
    </row>
    <row r="1400">
      <c r="A1400" s="3"/>
      <c r="B1400" s="3"/>
      <c r="C1400" s="3"/>
    </row>
    <row r="1401">
      <c r="A1401" s="3"/>
      <c r="B1401" s="3"/>
      <c r="C1401" s="3"/>
    </row>
    <row r="1402">
      <c r="A1402" s="3"/>
      <c r="B1402" s="3"/>
      <c r="C1402" s="3"/>
    </row>
    <row r="1403">
      <c r="A1403" s="3"/>
      <c r="B1403" s="3"/>
      <c r="C1403" s="3"/>
    </row>
    <row r="1404">
      <c r="A1404" s="3"/>
      <c r="B1404" s="3"/>
      <c r="C1404" s="3"/>
    </row>
    <row r="1405">
      <c r="A1405" s="3"/>
      <c r="B1405" s="3"/>
      <c r="C1405" s="3"/>
    </row>
    <row r="1406">
      <c r="A1406" s="3"/>
      <c r="B1406" s="3"/>
      <c r="C1406" s="3"/>
    </row>
    <row r="1407">
      <c r="A1407" s="3"/>
      <c r="B1407" s="3"/>
      <c r="C1407" s="3"/>
    </row>
    <row r="1408">
      <c r="A1408" s="3"/>
      <c r="B1408" s="3"/>
      <c r="C1408" s="3"/>
    </row>
    <row r="1409">
      <c r="A1409" s="3"/>
      <c r="B1409" s="3"/>
      <c r="C1409" s="3"/>
    </row>
    <row r="1410">
      <c r="A1410" s="3"/>
      <c r="B1410" s="3"/>
      <c r="C1410" s="3"/>
    </row>
    <row r="1411">
      <c r="A1411" s="3"/>
      <c r="B1411" s="3"/>
      <c r="C1411" s="3"/>
    </row>
    <row r="1412">
      <c r="A1412" s="3"/>
      <c r="B1412" s="3"/>
      <c r="C1412" s="3"/>
    </row>
    <row r="1413">
      <c r="A1413" s="3"/>
      <c r="B1413" s="3"/>
      <c r="C1413" s="3"/>
    </row>
    <row r="1414">
      <c r="A1414" s="3"/>
      <c r="B1414" s="3"/>
      <c r="C1414" s="3"/>
    </row>
    <row r="1415">
      <c r="A1415" s="3"/>
      <c r="B1415" s="3"/>
      <c r="C1415" s="3"/>
    </row>
    <row r="1416">
      <c r="A1416" s="3"/>
      <c r="B1416" s="3"/>
      <c r="C1416" s="3"/>
    </row>
    <row r="1417">
      <c r="A1417" s="3"/>
      <c r="B1417" s="3"/>
      <c r="C1417" s="3"/>
    </row>
    <row r="1418">
      <c r="A1418" s="3"/>
      <c r="B1418" s="3"/>
      <c r="C1418" s="3"/>
    </row>
    <row r="1419">
      <c r="A1419" s="3"/>
      <c r="B1419" s="3"/>
      <c r="C1419" s="3"/>
    </row>
    <row r="1420">
      <c r="A1420" s="3"/>
      <c r="B1420" s="3"/>
      <c r="C1420" s="3"/>
    </row>
    <row r="1421">
      <c r="A1421" s="3"/>
      <c r="B1421" s="3"/>
      <c r="C1421" s="3"/>
    </row>
    <row r="1422">
      <c r="A1422" s="3"/>
      <c r="B1422" s="3"/>
      <c r="C1422" s="3"/>
    </row>
    <row r="1423">
      <c r="A1423" s="3"/>
      <c r="B1423" s="3"/>
      <c r="C1423" s="3"/>
    </row>
    <row r="1424">
      <c r="A1424" s="3"/>
      <c r="B1424" s="3"/>
      <c r="C1424" s="3"/>
    </row>
    <row r="1425">
      <c r="A1425" s="3"/>
      <c r="B1425" s="3"/>
      <c r="C1425" s="3"/>
    </row>
    <row r="1426">
      <c r="A1426" s="3"/>
      <c r="B1426" s="3"/>
      <c r="C1426" s="3"/>
    </row>
    <row r="1427">
      <c r="A1427" s="3"/>
      <c r="B1427" s="3"/>
      <c r="C1427" s="3"/>
    </row>
    <row r="1428">
      <c r="A1428" s="3"/>
      <c r="B1428" s="3"/>
      <c r="C1428" s="3"/>
    </row>
    <row r="1429">
      <c r="A1429" s="3"/>
      <c r="B1429" s="3"/>
      <c r="C1429" s="3"/>
    </row>
    <row r="1430">
      <c r="A1430" s="3"/>
      <c r="B1430" s="3"/>
      <c r="C1430" s="3"/>
    </row>
    <row r="1431">
      <c r="A1431" s="3"/>
      <c r="B1431" s="3"/>
      <c r="C1431" s="3"/>
    </row>
    <row r="1432">
      <c r="A1432" s="3"/>
      <c r="B1432" s="3"/>
      <c r="C1432" s="3"/>
    </row>
    <row r="1433">
      <c r="A1433" s="3"/>
      <c r="B1433" s="3"/>
      <c r="C1433" s="3"/>
    </row>
    <row r="1434">
      <c r="A1434" s="3"/>
      <c r="B1434" s="3"/>
      <c r="C1434" s="3"/>
    </row>
    <row r="1435">
      <c r="A1435" s="3"/>
      <c r="B1435" s="3"/>
      <c r="C1435" s="3"/>
    </row>
    <row r="1436">
      <c r="A1436" s="3"/>
      <c r="B1436" s="3"/>
      <c r="C1436" s="3"/>
    </row>
    <row r="1437">
      <c r="A1437" s="3"/>
      <c r="B1437" s="3"/>
      <c r="C1437" s="3"/>
    </row>
    <row r="1438">
      <c r="A1438" s="3"/>
      <c r="B1438" s="3"/>
      <c r="C1438" s="3"/>
    </row>
    <row r="1439">
      <c r="A1439" s="3"/>
      <c r="B1439" s="3"/>
      <c r="C1439" s="3"/>
    </row>
    <row r="1440">
      <c r="A1440" s="3"/>
      <c r="B1440" s="3"/>
      <c r="C1440" s="3"/>
    </row>
    <row r="1441">
      <c r="A1441" s="3"/>
      <c r="B1441" s="3"/>
      <c r="C1441" s="3"/>
    </row>
    <row r="1442">
      <c r="A1442" s="3"/>
      <c r="B1442" s="3"/>
      <c r="C1442" s="3"/>
    </row>
    <row r="1443">
      <c r="A1443" s="3"/>
      <c r="B1443" s="3"/>
      <c r="C1443" s="3"/>
    </row>
    <row r="1444">
      <c r="A1444" s="3"/>
      <c r="B1444" s="3"/>
      <c r="C1444" s="3"/>
    </row>
    <row r="1445">
      <c r="A1445" s="3"/>
      <c r="B1445" s="3"/>
      <c r="C1445" s="3"/>
    </row>
    <row r="1446">
      <c r="A1446" s="3"/>
      <c r="B1446" s="3"/>
      <c r="C1446" s="3"/>
    </row>
    <row r="1447">
      <c r="A1447" s="3"/>
      <c r="B1447" s="3"/>
      <c r="C1447" s="3"/>
    </row>
    <row r="1448">
      <c r="A1448" s="3"/>
      <c r="B1448" s="3"/>
      <c r="C1448" s="3"/>
    </row>
    <row r="1449">
      <c r="A1449" s="3"/>
      <c r="B1449" s="3"/>
      <c r="C1449" s="3"/>
    </row>
    <row r="1450">
      <c r="A1450" s="3"/>
      <c r="B1450" s="3"/>
      <c r="C1450" s="3"/>
    </row>
    <row r="1451">
      <c r="A1451" s="3"/>
      <c r="B1451" s="3"/>
      <c r="C1451" s="3"/>
    </row>
    <row r="1452">
      <c r="A1452" s="3"/>
      <c r="B1452" s="3"/>
      <c r="C1452" s="3"/>
    </row>
    <row r="1453">
      <c r="A1453" s="3"/>
      <c r="B1453" s="3"/>
      <c r="C1453" s="3"/>
    </row>
    <row r="1454">
      <c r="A1454" s="3"/>
      <c r="B1454" s="3"/>
      <c r="C1454" s="3"/>
    </row>
    <row r="1455">
      <c r="A1455" s="3"/>
      <c r="B1455" s="3"/>
      <c r="C1455" s="3"/>
    </row>
    <row r="1456">
      <c r="A1456" s="3"/>
      <c r="B1456" s="3"/>
      <c r="C1456" s="3"/>
    </row>
    <row r="1457">
      <c r="A1457" s="3"/>
      <c r="B1457" s="3"/>
      <c r="C1457" s="3"/>
    </row>
    <row r="1458">
      <c r="A1458" s="3"/>
      <c r="B1458" s="3"/>
      <c r="C1458" s="3"/>
    </row>
    <row r="1459">
      <c r="A1459" s="3"/>
      <c r="B1459" s="3"/>
      <c r="C1459" s="3"/>
    </row>
    <row r="1460">
      <c r="A1460" s="3"/>
      <c r="B1460" s="3"/>
      <c r="C1460" s="3"/>
    </row>
    <row r="1461">
      <c r="A1461" s="3"/>
      <c r="B1461" s="3"/>
      <c r="C1461" s="3"/>
    </row>
    <row r="1462">
      <c r="A1462" s="3"/>
      <c r="B1462" s="3"/>
      <c r="C1462" s="3"/>
    </row>
    <row r="1463">
      <c r="A1463" s="3"/>
      <c r="B1463" s="3"/>
      <c r="C1463" s="3"/>
    </row>
    <row r="1464">
      <c r="A1464" s="3"/>
      <c r="B1464" s="3"/>
      <c r="C1464" s="3"/>
    </row>
    <row r="1465">
      <c r="A1465" s="3"/>
      <c r="B1465" s="3"/>
      <c r="C1465" s="3"/>
    </row>
    <row r="1466">
      <c r="A1466" s="3"/>
      <c r="B1466" s="3"/>
      <c r="C1466" s="3"/>
    </row>
    <row r="1467">
      <c r="A1467" s="3"/>
      <c r="B1467" s="3"/>
      <c r="C1467" s="3"/>
    </row>
    <row r="1468">
      <c r="A1468" s="3"/>
      <c r="B1468" s="3"/>
      <c r="C1468" s="3"/>
    </row>
    <row r="1469">
      <c r="A1469" s="3"/>
      <c r="B1469" s="3"/>
      <c r="C1469" s="3"/>
    </row>
    <row r="1470">
      <c r="A1470" s="3"/>
      <c r="B1470" s="3"/>
      <c r="C1470" s="3"/>
    </row>
    <row r="1471">
      <c r="A1471" s="3"/>
      <c r="B1471" s="3"/>
      <c r="C1471" s="3"/>
    </row>
    <row r="1472">
      <c r="A1472" s="3"/>
      <c r="B1472" s="3"/>
      <c r="C1472" s="3"/>
    </row>
    <row r="1473">
      <c r="A1473" s="3"/>
      <c r="B1473" s="3"/>
      <c r="C1473" s="3"/>
    </row>
    <row r="1474">
      <c r="A1474" s="3"/>
      <c r="B1474" s="3"/>
      <c r="C1474" s="3"/>
    </row>
    <row r="1475">
      <c r="A1475" s="3"/>
      <c r="B1475" s="3"/>
      <c r="C1475" s="3"/>
    </row>
    <row r="1476">
      <c r="A1476" s="3"/>
      <c r="B1476" s="3"/>
      <c r="C1476" s="3"/>
    </row>
    <row r="1477">
      <c r="A1477" s="3"/>
      <c r="B1477" s="3"/>
      <c r="C1477" s="3"/>
    </row>
    <row r="1478">
      <c r="A1478" s="3"/>
      <c r="B1478" s="3"/>
      <c r="C1478" s="3"/>
    </row>
    <row r="1479">
      <c r="A1479" s="3"/>
      <c r="B1479" s="3"/>
      <c r="C1479" s="3"/>
    </row>
    <row r="1480">
      <c r="A1480" s="3"/>
      <c r="B1480" s="3"/>
      <c r="C1480" s="3"/>
    </row>
    <row r="1481">
      <c r="A1481" s="3"/>
      <c r="B1481" s="3"/>
      <c r="C1481" s="3"/>
    </row>
    <row r="1482">
      <c r="A1482" s="3"/>
      <c r="B1482" s="3"/>
      <c r="C1482" s="3"/>
    </row>
    <row r="1483">
      <c r="A1483" s="3"/>
      <c r="B1483" s="3"/>
      <c r="C1483" s="3"/>
    </row>
    <row r="1484">
      <c r="A1484" s="3"/>
      <c r="B1484" s="3"/>
      <c r="C1484" s="3"/>
    </row>
    <row r="1485">
      <c r="A1485" s="3"/>
      <c r="B1485" s="3"/>
      <c r="C1485" s="3"/>
    </row>
    <row r="1486">
      <c r="A1486" s="3"/>
      <c r="B1486" s="3"/>
      <c r="C1486" s="3"/>
    </row>
    <row r="1487">
      <c r="A1487" s="3"/>
      <c r="B1487" s="3"/>
      <c r="C1487" s="3"/>
    </row>
    <row r="1488">
      <c r="A1488" s="3"/>
      <c r="B1488" s="3"/>
      <c r="C1488" s="3"/>
    </row>
    <row r="1489">
      <c r="A1489" s="3"/>
      <c r="B1489" s="3"/>
      <c r="C1489" s="3"/>
    </row>
    <row r="1490">
      <c r="A1490" s="3"/>
      <c r="B1490" s="3"/>
      <c r="C1490" s="3"/>
    </row>
    <row r="1491">
      <c r="A1491" s="3"/>
      <c r="B1491" s="3"/>
      <c r="C1491" s="3"/>
    </row>
    <row r="1492">
      <c r="A1492" s="3"/>
      <c r="B1492" s="3"/>
      <c r="C1492" s="3"/>
    </row>
    <row r="1493">
      <c r="A1493" s="3"/>
      <c r="B1493" s="3"/>
      <c r="C1493" s="3"/>
    </row>
    <row r="1494">
      <c r="A1494" s="3"/>
      <c r="B1494" s="3"/>
      <c r="C1494" s="3"/>
    </row>
    <row r="1495">
      <c r="A1495" s="3"/>
      <c r="B1495" s="3"/>
      <c r="C1495" s="3"/>
    </row>
    <row r="1496">
      <c r="A1496" s="3"/>
      <c r="B1496" s="3"/>
      <c r="C1496" s="3"/>
    </row>
    <row r="1497">
      <c r="A1497" s="3"/>
      <c r="B1497" s="3"/>
      <c r="C1497" s="3"/>
    </row>
    <row r="1498">
      <c r="A1498" s="3"/>
      <c r="B1498" s="3"/>
      <c r="C1498" s="3"/>
    </row>
    <row r="1499">
      <c r="A1499" s="3"/>
      <c r="B1499" s="3"/>
      <c r="C1499" s="3"/>
    </row>
    <row r="1500">
      <c r="A1500" s="3"/>
      <c r="B1500" s="3"/>
      <c r="C1500" s="3"/>
    </row>
    <row r="1501">
      <c r="A1501" s="3"/>
      <c r="B1501" s="3"/>
      <c r="C1501" s="3"/>
    </row>
    <row r="1502">
      <c r="A1502" s="3"/>
      <c r="B1502" s="3"/>
      <c r="C1502" s="3"/>
    </row>
    <row r="1503">
      <c r="A1503" s="3"/>
      <c r="B1503" s="3"/>
      <c r="C1503" s="3"/>
    </row>
    <row r="1504">
      <c r="A1504" s="3"/>
      <c r="B1504" s="3"/>
      <c r="C1504" s="3"/>
    </row>
    <row r="1505">
      <c r="A1505" s="3"/>
      <c r="B1505" s="3"/>
      <c r="C1505" s="3"/>
    </row>
    <row r="1506">
      <c r="A1506" s="3"/>
      <c r="B1506" s="3"/>
      <c r="C1506" s="3"/>
    </row>
    <row r="1507">
      <c r="A1507" s="3"/>
      <c r="B1507" s="3"/>
      <c r="C1507" s="3"/>
    </row>
    <row r="1508">
      <c r="A1508" s="3"/>
      <c r="B1508" s="3"/>
      <c r="C1508" s="3"/>
    </row>
    <row r="1509">
      <c r="A1509" s="3"/>
      <c r="B1509" s="3"/>
      <c r="C1509" s="3"/>
    </row>
    <row r="1510">
      <c r="A1510" s="3"/>
      <c r="B1510" s="3"/>
      <c r="C1510" s="3"/>
    </row>
    <row r="1511">
      <c r="A1511" s="3"/>
      <c r="B1511" s="3"/>
      <c r="C1511" s="3"/>
    </row>
    <row r="1512">
      <c r="A1512" s="3"/>
      <c r="B1512" s="3"/>
      <c r="C1512" s="3"/>
    </row>
    <row r="1513">
      <c r="A1513" s="3"/>
      <c r="B1513" s="3"/>
      <c r="C1513" s="3"/>
    </row>
    <row r="1514">
      <c r="A1514" s="3"/>
      <c r="B1514" s="3"/>
      <c r="C1514" s="3"/>
    </row>
    <row r="1515">
      <c r="A1515" s="3"/>
      <c r="B1515" s="3"/>
      <c r="C1515" s="3"/>
    </row>
    <row r="1516">
      <c r="A1516" s="3"/>
      <c r="B1516" s="3"/>
      <c r="C1516" s="3"/>
    </row>
    <row r="1517">
      <c r="A1517" s="3"/>
      <c r="B1517" s="3"/>
      <c r="C1517" s="3"/>
    </row>
    <row r="1518">
      <c r="A1518" s="3"/>
      <c r="B1518" s="3"/>
      <c r="C1518" s="3"/>
    </row>
    <row r="1519">
      <c r="A1519" s="3"/>
      <c r="B1519" s="3"/>
      <c r="C1519" s="3"/>
    </row>
    <row r="1520">
      <c r="A1520" s="3"/>
      <c r="B1520" s="3"/>
      <c r="C1520" s="3"/>
    </row>
    <row r="1521">
      <c r="A1521" s="3"/>
      <c r="B1521" s="3"/>
      <c r="C1521" s="3"/>
    </row>
    <row r="1522">
      <c r="A1522" s="3"/>
      <c r="B1522" s="3"/>
      <c r="C1522" s="3"/>
    </row>
    <row r="1523">
      <c r="A1523" s="3"/>
      <c r="B1523" s="3"/>
      <c r="C1523" s="3"/>
    </row>
    <row r="1524">
      <c r="A1524" s="3"/>
      <c r="B1524" s="3"/>
      <c r="C1524" s="3"/>
    </row>
    <row r="1525">
      <c r="A1525" s="3"/>
      <c r="B1525" s="3"/>
      <c r="C1525" s="3"/>
    </row>
    <row r="1526">
      <c r="A1526" s="3"/>
      <c r="B1526" s="3"/>
      <c r="C1526" s="3"/>
    </row>
    <row r="1527">
      <c r="A1527" s="3"/>
      <c r="B1527" s="3"/>
      <c r="C1527" s="3"/>
    </row>
    <row r="1528">
      <c r="A1528" s="3"/>
      <c r="B1528" s="3"/>
      <c r="C1528" s="3"/>
    </row>
    <row r="1529">
      <c r="A1529" s="3"/>
      <c r="B1529" s="3"/>
      <c r="C1529" s="3"/>
    </row>
    <row r="1530">
      <c r="A1530" s="3"/>
      <c r="B1530" s="3"/>
      <c r="C1530" s="3"/>
    </row>
    <row r="1531">
      <c r="A1531" s="3"/>
      <c r="B1531" s="3"/>
      <c r="C1531" s="3"/>
    </row>
    <row r="1532">
      <c r="A1532" s="3"/>
      <c r="B1532" s="3"/>
      <c r="C1532" s="3"/>
    </row>
    <row r="1533">
      <c r="A1533" s="3"/>
      <c r="B1533" s="3"/>
      <c r="C1533" s="3"/>
    </row>
    <row r="1534">
      <c r="A1534" s="3"/>
      <c r="B1534" s="3"/>
      <c r="C1534" s="3"/>
    </row>
    <row r="1535">
      <c r="A1535" s="3"/>
      <c r="B1535" s="3"/>
      <c r="C1535" s="3"/>
    </row>
    <row r="1536">
      <c r="A1536" s="3"/>
      <c r="B1536" s="3"/>
      <c r="C1536" s="3"/>
    </row>
    <row r="1537">
      <c r="A1537" s="3"/>
      <c r="B1537" s="3"/>
      <c r="C1537" s="3"/>
    </row>
    <row r="1538">
      <c r="A1538" s="3"/>
      <c r="B1538" s="3"/>
      <c r="C1538" s="3"/>
    </row>
    <row r="1539">
      <c r="A1539" s="3"/>
      <c r="B1539" s="3"/>
      <c r="C1539" s="3"/>
    </row>
    <row r="1540">
      <c r="A1540" s="3"/>
      <c r="B1540" s="3"/>
      <c r="C1540" s="3"/>
    </row>
    <row r="1541">
      <c r="A1541" s="3"/>
      <c r="B1541" s="3"/>
      <c r="C1541" s="3"/>
    </row>
    <row r="1542">
      <c r="A1542" s="3"/>
      <c r="B1542" s="3"/>
      <c r="C1542" s="3"/>
    </row>
    <row r="1543">
      <c r="A1543" s="3"/>
      <c r="B1543" s="3"/>
      <c r="C1543" s="3"/>
    </row>
    <row r="1544">
      <c r="A1544" s="3"/>
      <c r="B1544" s="3"/>
      <c r="C1544" s="3"/>
    </row>
    <row r="1545">
      <c r="A1545" s="3"/>
      <c r="B1545" s="3"/>
      <c r="C1545" s="3"/>
    </row>
    <row r="1546">
      <c r="A1546" s="3"/>
      <c r="B1546" s="3"/>
      <c r="C1546" s="3"/>
    </row>
    <row r="1547">
      <c r="A1547" s="3"/>
      <c r="B1547" s="3"/>
      <c r="C1547" s="3"/>
    </row>
    <row r="1548">
      <c r="A1548" s="3"/>
      <c r="B1548" s="3"/>
      <c r="C1548" s="3"/>
    </row>
    <row r="1549">
      <c r="A1549" s="3"/>
      <c r="B1549" s="3"/>
      <c r="C1549" s="3"/>
    </row>
    <row r="1550">
      <c r="A1550" s="3"/>
      <c r="B1550" s="3"/>
      <c r="C1550" s="3"/>
    </row>
    <row r="1551">
      <c r="A1551" s="3"/>
      <c r="B1551" s="3"/>
      <c r="C1551" s="3"/>
    </row>
    <row r="1552">
      <c r="A1552" s="3"/>
      <c r="B1552" s="3"/>
      <c r="C1552" s="3"/>
    </row>
    <row r="1553">
      <c r="A1553" s="3"/>
      <c r="B1553" s="3"/>
      <c r="C1553" s="3"/>
    </row>
    <row r="1554">
      <c r="A1554" s="3"/>
      <c r="B1554" s="3"/>
      <c r="C1554" s="3"/>
    </row>
    <row r="1555">
      <c r="A1555" s="3"/>
      <c r="B1555" s="3"/>
      <c r="C1555" s="3"/>
    </row>
    <row r="1556">
      <c r="A1556" s="3"/>
      <c r="B1556" s="3"/>
      <c r="C1556" s="3"/>
    </row>
    <row r="1557">
      <c r="A1557" s="3"/>
      <c r="B1557" s="3"/>
      <c r="C1557" s="3"/>
    </row>
    <row r="1558">
      <c r="A1558" s="3"/>
      <c r="B1558" s="3"/>
      <c r="C1558" s="3"/>
    </row>
    <row r="1559">
      <c r="A1559" s="3"/>
      <c r="B1559" s="3"/>
      <c r="C1559" s="3"/>
    </row>
    <row r="1560">
      <c r="A1560" s="3"/>
      <c r="B1560" s="3"/>
      <c r="C1560" s="3"/>
    </row>
    <row r="1561">
      <c r="A1561" s="3"/>
      <c r="B1561" s="3"/>
      <c r="C1561" s="3"/>
    </row>
    <row r="1562">
      <c r="A1562" s="3"/>
      <c r="B1562" s="3"/>
      <c r="C1562" s="3"/>
    </row>
    <row r="1563">
      <c r="A1563" s="3"/>
      <c r="B1563" s="3"/>
      <c r="C1563" s="3"/>
    </row>
    <row r="1564">
      <c r="A1564" s="3"/>
      <c r="B1564" s="3"/>
      <c r="C1564" s="3"/>
    </row>
    <row r="1565">
      <c r="A1565" s="3"/>
      <c r="B1565" s="3"/>
      <c r="C1565" s="3"/>
    </row>
    <row r="1566">
      <c r="A1566" s="3"/>
      <c r="B1566" s="3"/>
      <c r="C1566" s="3"/>
    </row>
    <row r="1567">
      <c r="A1567" s="3"/>
      <c r="B1567" s="3"/>
      <c r="C1567" s="3"/>
    </row>
    <row r="1568">
      <c r="A1568" s="3"/>
      <c r="B1568" s="3"/>
      <c r="C1568" s="3"/>
    </row>
    <row r="1569">
      <c r="A1569" s="3"/>
      <c r="B1569" s="3"/>
      <c r="C1569" s="3"/>
    </row>
    <row r="1570">
      <c r="A1570" s="3"/>
      <c r="B1570" s="3"/>
      <c r="C1570" s="3"/>
    </row>
    <row r="1571">
      <c r="A1571" s="3"/>
      <c r="B1571" s="3"/>
      <c r="C1571" s="3"/>
    </row>
    <row r="1572">
      <c r="A1572" s="3"/>
      <c r="B1572" s="3"/>
      <c r="C1572" s="3"/>
    </row>
    <row r="1573">
      <c r="A1573" s="3"/>
      <c r="B1573" s="3"/>
      <c r="C1573" s="3"/>
    </row>
    <row r="1574">
      <c r="A1574" s="3"/>
      <c r="B1574" s="3"/>
      <c r="C1574" s="3"/>
    </row>
    <row r="1575">
      <c r="A1575" s="3"/>
      <c r="B1575" s="3"/>
      <c r="C1575" s="3"/>
    </row>
    <row r="1576">
      <c r="A1576" s="3"/>
      <c r="B1576" s="3"/>
      <c r="C1576" s="3"/>
    </row>
    <row r="1577">
      <c r="A1577" s="3"/>
      <c r="B1577" s="3"/>
      <c r="C1577" s="3"/>
    </row>
    <row r="1578">
      <c r="A1578" s="3"/>
      <c r="B1578" s="3"/>
      <c r="C1578" s="3"/>
    </row>
    <row r="1579">
      <c r="A1579" s="3"/>
      <c r="B1579" s="3"/>
      <c r="C1579" s="3"/>
    </row>
    <row r="1580">
      <c r="A1580" s="3"/>
      <c r="B1580" s="3"/>
      <c r="C1580" s="3"/>
    </row>
    <row r="1581">
      <c r="A1581" s="3"/>
      <c r="B1581" s="3"/>
      <c r="C1581" s="3"/>
    </row>
    <row r="1582">
      <c r="A1582" s="3"/>
      <c r="B1582" s="3"/>
      <c r="C1582" s="3"/>
    </row>
    <row r="1583">
      <c r="A1583" s="3"/>
      <c r="B1583" s="3"/>
      <c r="C1583" s="3"/>
    </row>
    <row r="1584">
      <c r="A1584" s="3"/>
      <c r="B1584" s="3"/>
      <c r="C1584" s="3"/>
    </row>
    <row r="1585">
      <c r="A1585" s="3"/>
      <c r="B1585" s="3"/>
      <c r="C1585" s="3"/>
    </row>
    <row r="1586">
      <c r="A1586" s="3"/>
      <c r="B1586" s="3"/>
      <c r="C1586" s="3"/>
    </row>
    <row r="1587">
      <c r="A1587" s="3"/>
      <c r="B1587" s="3"/>
      <c r="C1587" s="3"/>
    </row>
    <row r="1588">
      <c r="A1588" s="3"/>
      <c r="B1588" s="3"/>
      <c r="C1588" s="3"/>
    </row>
    <row r="1589">
      <c r="A1589" s="3"/>
      <c r="B1589" s="3"/>
      <c r="C1589" s="3"/>
    </row>
    <row r="1590">
      <c r="A1590" s="3"/>
      <c r="B1590" s="3"/>
      <c r="C1590" s="3"/>
    </row>
    <row r="1591">
      <c r="A1591" s="3"/>
      <c r="B1591" s="3"/>
      <c r="C1591" s="3"/>
    </row>
    <row r="1592">
      <c r="A1592" s="3"/>
      <c r="B1592" s="3"/>
      <c r="C1592" s="3"/>
    </row>
    <row r="1593">
      <c r="A1593" s="3"/>
      <c r="B1593" s="3"/>
      <c r="C1593" s="3"/>
    </row>
    <row r="1594">
      <c r="A1594" s="3"/>
      <c r="B1594" s="3"/>
      <c r="C1594" s="3"/>
    </row>
    <row r="1595">
      <c r="A1595" s="3"/>
      <c r="B1595" s="3"/>
      <c r="C1595" s="3"/>
    </row>
    <row r="1596">
      <c r="A1596" s="3"/>
      <c r="B1596" s="3"/>
      <c r="C1596" s="3"/>
    </row>
    <row r="1597">
      <c r="A1597" s="3"/>
      <c r="B1597" s="3"/>
      <c r="C1597" s="3"/>
    </row>
    <row r="1598">
      <c r="A1598" s="3"/>
      <c r="B1598" s="3"/>
      <c r="C1598" s="3"/>
    </row>
    <row r="1599">
      <c r="A1599" s="3"/>
      <c r="B1599" s="3"/>
      <c r="C1599" s="3"/>
    </row>
    <row r="1600">
      <c r="A1600" s="3"/>
      <c r="B1600" s="3"/>
      <c r="C1600" s="3"/>
    </row>
    <row r="1601">
      <c r="A1601" s="3"/>
      <c r="B1601" s="3"/>
      <c r="C1601" s="3"/>
    </row>
    <row r="1602">
      <c r="A1602" s="3"/>
      <c r="B1602" s="3"/>
      <c r="C1602" s="3"/>
    </row>
    <row r="1603">
      <c r="A1603" s="3"/>
      <c r="B1603" s="3"/>
      <c r="C1603" s="3"/>
    </row>
    <row r="1604">
      <c r="A1604" s="3"/>
      <c r="B1604" s="3"/>
      <c r="C1604" s="3"/>
    </row>
    <row r="1605">
      <c r="A1605" s="3"/>
      <c r="B1605" s="3"/>
      <c r="C1605" s="3"/>
    </row>
    <row r="1606">
      <c r="A1606" s="3"/>
      <c r="B1606" s="3"/>
      <c r="C1606" s="3"/>
    </row>
    <row r="1607">
      <c r="A1607" s="3"/>
      <c r="B1607" s="3"/>
      <c r="C1607" s="3"/>
    </row>
    <row r="1608">
      <c r="A1608" s="3"/>
      <c r="B1608" s="3"/>
      <c r="C1608" s="3"/>
    </row>
    <row r="1609">
      <c r="A1609" s="3"/>
      <c r="B1609" s="3"/>
      <c r="C1609" s="3"/>
    </row>
    <row r="1610">
      <c r="A1610" s="3"/>
      <c r="B1610" s="3"/>
      <c r="C1610" s="3"/>
    </row>
    <row r="1611">
      <c r="A1611" s="3"/>
      <c r="B1611" s="3"/>
      <c r="C1611" s="3"/>
    </row>
    <row r="1612">
      <c r="A1612" s="3"/>
      <c r="B1612" s="3"/>
      <c r="C1612" s="3"/>
    </row>
    <row r="1613">
      <c r="A1613" s="3"/>
      <c r="B1613" s="3"/>
      <c r="C1613" s="3"/>
    </row>
    <row r="1614">
      <c r="A1614" s="3"/>
      <c r="B1614" s="3"/>
      <c r="C1614" s="3"/>
    </row>
    <row r="1615">
      <c r="A1615" s="3"/>
      <c r="B1615" s="3"/>
      <c r="C1615" s="3"/>
    </row>
    <row r="1616">
      <c r="A1616" s="3"/>
      <c r="B1616" s="3"/>
      <c r="C1616" s="3"/>
    </row>
    <row r="1617">
      <c r="A1617" s="3"/>
      <c r="B1617" s="3"/>
      <c r="C1617" s="3"/>
    </row>
    <row r="1618">
      <c r="A1618" s="3"/>
      <c r="B1618" s="3"/>
      <c r="C1618" s="3"/>
    </row>
    <row r="1619">
      <c r="A1619" s="3"/>
      <c r="B1619" s="3"/>
      <c r="C1619" s="3"/>
    </row>
    <row r="1620">
      <c r="A1620" s="3"/>
      <c r="B1620" s="3"/>
      <c r="C1620" s="3"/>
    </row>
    <row r="1621">
      <c r="A1621" s="3"/>
      <c r="B1621" s="3"/>
      <c r="C1621" s="3"/>
    </row>
    <row r="1622">
      <c r="A1622" s="3"/>
      <c r="B1622" s="3"/>
      <c r="C1622" s="3"/>
    </row>
    <row r="1623">
      <c r="A1623" s="3"/>
      <c r="B1623" s="3"/>
      <c r="C1623" s="3"/>
    </row>
    <row r="1624">
      <c r="A1624" s="3"/>
      <c r="B1624" s="3"/>
      <c r="C1624" s="3"/>
    </row>
    <row r="1625">
      <c r="A1625" s="3"/>
      <c r="B1625" s="3"/>
      <c r="C1625" s="3"/>
    </row>
    <row r="1626">
      <c r="A1626" s="3"/>
      <c r="B1626" s="3"/>
      <c r="C1626" s="3"/>
    </row>
    <row r="1627">
      <c r="A1627" s="3"/>
      <c r="B1627" s="3"/>
      <c r="C1627" s="3"/>
    </row>
    <row r="1628">
      <c r="A1628" s="3"/>
      <c r="B1628" s="3"/>
      <c r="C1628" s="3"/>
    </row>
    <row r="1629">
      <c r="A1629" s="3"/>
      <c r="B1629" s="3"/>
      <c r="C1629" s="3"/>
    </row>
    <row r="1630">
      <c r="A1630" s="3"/>
      <c r="B1630" s="3"/>
      <c r="C1630" s="3"/>
    </row>
    <row r="1631">
      <c r="A1631" s="3"/>
      <c r="B1631" s="3"/>
      <c r="C1631" s="3"/>
    </row>
    <row r="1632">
      <c r="A1632" s="3"/>
      <c r="B1632" s="3"/>
      <c r="C1632" s="3"/>
    </row>
    <row r="1633">
      <c r="A1633" s="3"/>
      <c r="B1633" s="3"/>
      <c r="C1633" s="3"/>
    </row>
    <row r="1634">
      <c r="A1634" s="3"/>
      <c r="B1634" s="3"/>
      <c r="C1634" s="3"/>
    </row>
    <row r="1635">
      <c r="A1635" s="3"/>
      <c r="B1635" s="3"/>
      <c r="C1635" s="3"/>
    </row>
    <row r="1636">
      <c r="A1636" s="3"/>
      <c r="B1636" s="3"/>
      <c r="C1636" s="3"/>
    </row>
    <row r="1637">
      <c r="A1637" s="3"/>
      <c r="B1637" s="3"/>
      <c r="C1637" s="3"/>
    </row>
    <row r="1638">
      <c r="A1638" s="3"/>
      <c r="B1638" s="3"/>
      <c r="C1638" s="3"/>
    </row>
    <row r="1639">
      <c r="A1639" s="3"/>
      <c r="B1639" s="3"/>
      <c r="C1639" s="3"/>
    </row>
    <row r="1640">
      <c r="A1640" s="3"/>
      <c r="B1640" s="3"/>
      <c r="C1640" s="3"/>
    </row>
    <row r="1641">
      <c r="A1641" s="3"/>
      <c r="B1641" s="3"/>
      <c r="C1641" s="3"/>
    </row>
    <row r="1642">
      <c r="A1642" s="3"/>
      <c r="B1642" s="3"/>
      <c r="C1642" s="3"/>
    </row>
    <row r="1643">
      <c r="A1643" s="3"/>
      <c r="B1643" s="3"/>
      <c r="C1643" s="3"/>
    </row>
    <row r="1644">
      <c r="A1644" s="3"/>
      <c r="B1644" s="3"/>
      <c r="C1644" s="3"/>
    </row>
    <row r="1645">
      <c r="A1645" s="3"/>
      <c r="B1645" s="3"/>
      <c r="C1645" s="3"/>
    </row>
    <row r="1646">
      <c r="A1646" s="3"/>
      <c r="B1646" s="3"/>
      <c r="C1646" s="3"/>
    </row>
    <row r="1647">
      <c r="A1647" s="3"/>
      <c r="B1647" s="3"/>
      <c r="C1647" s="3"/>
    </row>
    <row r="1648">
      <c r="A1648" s="3"/>
      <c r="B1648" s="3"/>
      <c r="C1648" s="3"/>
    </row>
    <row r="1649">
      <c r="A1649" s="3"/>
      <c r="B1649" s="3"/>
      <c r="C1649" s="3"/>
    </row>
    <row r="1650">
      <c r="A1650" s="3"/>
      <c r="B1650" s="3"/>
      <c r="C1650" s="3"/>
    </row>
    <row r="1651">
      <c r="A1651" s="3"/>
      <c r="B1651" s="3"/>
      <c r="C1651" s="3"/>
    </row>
    <row r="1652">
      <c r="A1652" s="3"/>
      <c r="B1652" s="3"/>
      <c r="C1652" s="3"/>
    </row>
    <row r="1653">
      <c r="A1653" s="3"/>
      <c r="B1653" s="3"/>
      <c r="C1653" s="3"/>
    </row>
    <row r="1654">
      <c r="A1654" s="3"/>
      <c r="B1654" s="3"/>
      <c r="C1654" s="3"/>
    </row>
    <row r="1655">
      <c r="A1655" s="3"/>
      <c r="B1655" s="3"/>
      <c r="C1655" s="3"/>
    </row>
    <row r="1656">
      <c r="A1656" s="3"/>
      <c r="B1656" s="3"/>
      <c r="C1656" s="3"/>
    </row>
    <row r="1657">
      <c r="A1657" s="3"/>
      <c r="B1657" s="3"/>
      <c r="C1657" s="3"/>
    </row>
    <row r="1658">
      <c r="A1658" s="3"/>
      <c r="B1658" s="3"/>
      <c r="C1658" s="3"/>
    </row>
    <row r="1659">
      <c r="A1659" s="3"/>
      <c r="B1659" s="3"/>
      <c r="C1659" s="3"/>
    </row>
    <row r="1660">
      <c r="A1660" s="3"/>
      <c r="B1660" s="3"/>
      <c r="C1660" s="3"/>
    </row>
    <row r="1661">
      <c r="A1661" s="3"/>
      <c r="B1661" s="3"/>
      <c r="C1661" s="3"/>
    </row>
    <row r="1662">
      <c r="A1662" s="3"/>
      <c r="B1662" s="3"/>
      <c r="C1662" s="3"/>
    </row>
    <row r="1663">
      <c r="A1663" s="3"/>
      <c r="B1663" s="3"/>
      <c r="C1663" s="3"/>
    </row>
    <row r="1664">
      <c r="A1664" s="3"/>
      <c r="B1664" s="3"/>
      <c r="C1664" s="3"/>
    </row>
    <row r="1665">
      <c r="A1665" s="3"/>
      <c r="B1665" s="3"/>
      <c r="C1665" s="3"/>
    </row>
    <row r="1666">
      <c r="A1666" s="3"/>
      <c r="B1666" s="3"/>
      <c r="C1666" s="3"/>
    </row>
    <row r="1667">
      <c r="A1667" s="3"/>
      <c r="B1667" s="3"/>
      <c r="C1667" s="3"/>
    </row>
    <row r="1668">
      <c r="A1668" s="3"/>
      <c r="B1668" s="3"/>
      <c r="C1668" s="3"/>
    </row>
    <row r="1669">
      <c r="A1669" s="3"/>
      <c r="B1669" s="3"/>
      <c r="C1669" s="3"/>
    </row>
    <row r="1670">
      <c r="A1670" s="3"/>
      <c r="B1670" s="3"/>
      <c r="C1670" s="3"/>
    </row>
    <row r="1671">
      <c r="A1671" s="3"/>
      <c r="B1671" s="3"/>
      <c r="C1671" s="3"/>
    </row>
    <row r="1672">
      <c r="A1672" s="3"/>
      <c r="B1672" s="3"/>
      <c r="C1672" s="3"/>
    </row>
    <row r="1673">
      <c r="A1673" s="3"/>
      <c r="B1673" s="3"/>
      <c r="C1673" s="3"/>
    </row>
    <row r="1674">
      <c r="A1674" s="3"/>
      <c r="B1674" s="3"/>
      <c r="C1674" s="3"/>
    </row>
    <row r="1675">
      <c r="A1675" s="3"/>
      <c r="B1675" s="3"/>
      <c r="C1675" s="3"/>
    </row>
    <row r="1676">
      <c r="A1676" s="3"/>
      <c r="B1676" s="3"/>
      <c r="C1676" s="3"/>
    </row>
    <row r="1677">
      <c r="A1677" s="3"/>
      <c r="B1677" s="3"/>
      <c r="C1677" s="3"/>
    </row>
    <row r="1678">
      <c r="A1678" s="3"/>
      <c r="B1678" s="3"/>
      <c r="C1678" s="3"/>
    </row>
    <row r="1679">
      <c r="A1679" s="3"/>
      <c r="B1679" s="3"/>
      <c r="C1679" s="3"/>
    </row>
    <row r="1680">
      <c r="A1680" s="3"/>
      <c r="B1680" s="3"/>
      <c r="C1680" s="3"/>
    </row>
    <row r="1681">
      <c r="A1681" s="3"/>
      <c r="B1681" s="3"/>
      <c r="C1681" s="3"/>
    </row>
    <row r="1682">
      <c r="A1682" s="3"/>
      <c r="B1682" s="3"/>
      <c r="C1682" s="3"/>
    </row>
    <row r="1683">
      <c r="A1683" s="3"/>
      <c r="B1683" s="3"/>
      <c r="C1683" s="3"/>
    </row>
    <row r="1684">
      <c r="A1684" s="3"/>
      <c r="B1684" s="3"/>
      <c r="C1684" s="3"/>
    </row>
    <row r="1685">
      <c r="A1685" s="3"/>
      <c r="B1685" s="3"/>
      <c r="C1685" s="3"/>
    </row>
    <row r="1686">
      <c r="A1686" s="3"/>
      <c r="B1686" s="3"/>
      <c r="C1686" s="3"/>
    </row>
    <row r="1687">
      <c r="A1687" s="3"/>
      <c r="B1687" s="3"/>
      <c r="C1687" s="3"/>
    </row>
    <row r="1688">
      <c r="A1688" s="3"/>
      <c r="B1688" s="3"/>
      <c r="C1688" s="3"/>
    </row>
    <row r="1689">
      <c r="A1689" s="3"/>
      <c r="B1689" s="3"/>
      <c r="C1689" s="3"/>
    </row>
    <row r="1690">
      <c r="A1690" s="3"/>
      <c r="B1690" s="3"/>
      <c r="C1690" s="3"/>
    </row>
    <row r="1691">
      <c r="A1691" s="3"/>
      <c r="B1691" s="3"/>
      <c r="C1691" s="3"/>
    </row>
    <row r="1692">
      <c r="A1692" s="3"/>
      <c r="B1692" s="3"/>
      <c r="C1692" s="3"/>
    </row>
    <row r="1693">
      <c r="A1693" s="3"/>
      <c r="B1693" s="3"/>
      <c r="C1693" s="3"/>
    </row>
    <row r="1694">
      <c r="A1694" s="3"/>
      <c r="B1694" s="3"/>
      <c r="C1694" s="3"/>
    </row>
    <row r="1695">
      <c r="A1695" s="3"/>
      <c r="B1695" s="3"/>
      <c r="C1695" s="3"/>
    </row>
    <row r="1696">
      <c r="A1696" s="3"/>
      <c r="B1696" s="3"/>
      <c r="C1696" s="3"/>
    </row>
    <row r="1697">
      <c r="A1697" s="3"/>
      <c r="B1697" s="3"/>
      <c r="C1697" s="3"/>
    </row>
    <row r="1698">
      <c r="A1698" s="3"/>
      <c r="B1698" s="3"/>
      <c r="C1698" s="3"/>
    </row>
    <row r="1699">
      <c r="A1699" s="3"/>
      <c r="B1699" s="3"/>
      <c r="C1699" s="3"/>
    </row>
    <row r="1700">
      <c r="A1700" s="3"/>
      <c r="B1700" s="3"/>
      <c r="C1700" s="3"/>
    </row>
    <row r="1701">
      <c r="A1701" s="3"/>
      <c r="B1701" s="3"/>
      <c r="C1701" s="3"/>
    </row>
    <row r="1702">
      <c r="A1702" s="3"/>
      <c r="B1702" s="3"/>
      <c r="C1702" s="3"/>
    </row>
    <row r="1703">
      <c r="A1703" s="3"/>
      <c r="B1703" s="3"/>
      <c r="C1703" s="3"/>
    </row>
    <row r="1704">
      <c r="A1704" s="3"/>
      <c r="B1704" s="3"/>
      <c r="C1704" s="3"/>
    </row>
    <row r="1705">
      <c r="A1705" s="3"/>
      <c r="B1705" s="3"/>
      <c r="C1705" s="3"/>
    </row>
    <row r="1706">
      <c r="A1706" s="3"/>
      <c r="B1706" s="3"/>
      <c r="C1706" s="3"/>
    </row>
    <row r="1707">
      <c r="A1707" s="3"/>
      <c r="B1707" s="3"/>
      <c r="C1707" s="3"/>
    </row>
    <row r="1708">
      <c r="A1708" s="3"/>
      <c r="B1708" s="3"/>
      <c r="C1708" s="3"/>
    </row>
    <row r="1709">
      <c r="A1709" s="3"/>
      <c r="B1709" s="3"/>
      <c r="C1709" s="3"/>
    </row>
    <row r="1710">
      <c r="A1710" s="3"/>
      <c r="B1710" s="3"/>
      <c r="C1710" s="3"/>
    </row>
    <row r="1711">
      <c r="A1711" s="3"/>
      <c r="B1711" s="3"/>
      <c r="C1711" s="3"/>
    </row>
    <row r="1712">
      <c r="A1712" s="3"/>
      <c r="B1712" s="3"/>
      <c r="C1712" s="3"/>
    </row>
    <row r="1713">
      <c r="A1713" s="3"/>
      <c r="B1713" s="3"/>
      <c r="C1713" s="3"/>
    </row>
    <row r="1714">
      <c r="A1714" s="3"/>
      <c r="B1714" s="3"/>
      <c r="C1714" s="3"/>
    </row>
    <row r="1715">
      <c r="A1715" s="3"/>
      <c r="B1715" s="3"/>
      <c r="C1715" s="3"/>
    </row>
    <row r="1716">
      <c r="A1716" s="3"/>
      <c r="B1716" s="3"/>
      <c r="C1716" s="3"/>
    </row>
    <row r="1717">
      <c r="A1717" s="3"/>
      <c r="B1717" s="3"/>
      <c r="C1717" s="3"/>
    </row>
    <row r="1718">
      <c r="A1718" s="3"/>
      <c r="B1718" s="3"/>
      <c r="C1718" s="3"/>
    </row>
    <row r="1719">
      <c r="A1719" s="3"/>
      <c r="B1719" s="3"/>
      <c r="C1719" s="3"/>
    </row>
    <row r="1720">
      <c r="A1720" s="3"/>
      <c r="B1720" s="3"/>
      <c r="C1720" s="3"/>
    </row>
    <row r="1721">
      <c r="A1721" s="3"/>
      <c r="B1721" s="3"/>
      <c r="C1721" s="3"/>
    </row>
    <row r="1722">
      <c r="A1722" s="3"/>
      <c r="B1722" s="3"/>
      <c r="C1722" s="3"/>
    </row>
    <row r="1723">
      <c r="A1723" s="3"/>
      <c r="B1723" s="3"/>
      <c r="C1723" s="3"/>
    </row>
    <row r="1724">
      <c r="A1724" s="3"/>
      <c r="B1724" s="3"/>
      <c r="C1724" s="3"/>
    </row>
    <row r="1725">
      <c r="A1725" s="3"/>
      <c r="B1725" s="3"/>
      <c r="C1725" s="3"/>
    </row>
    <row r="1726">
      <c r="A1726" s="3"/>
      <c r="B1726" s="3"/>
      <c r="C1726" s="3"/>
    </row>
    <row r="1727">
      <c r="A1727" s="3"/>
      <c r="B1727" s="3"/>
      <c r="C1727" s="3"/>
    </row>
    <row r="1728">
      <c r="A1728" s="3"/>
      <c r="B1728" s="3"/>
      <c r="C1728" s="3"/>
    </row>
    <row r="1729">
      <c r="A1729" s="3"/>
      <c r="B1729" s="3"/>
      <c r="C1729" s="3"/>
    </row>
    <row r="1730">
      <c r="A1730" s="3"/>
      <c r="B1730" s="3"/>
      <c r="C1730" s="3"/>
    </row>
    <row r="1731">
      <c r="A1731" s="3"/>
      <c r="B1731" s="3"/>
      <c r="C1731" s="3"/>
    </row>
    <row r="1732">
      <c r="A1732" s="3"/>
      <c r="B1732" s="3"/>
      <c r="C1732" s="3"/>
    </row>
    <row r="1733">
      <c r="A1733" s="3"/>
      <c r="B1733" s="3"/>
      <c r="C1733" s="3"/>
    </row>
    <row r="1734">
      <c r="A1734" s="3"/>
      <c r="B1734" s="3"/>
      <c r="C1734" s="3"/>
    </row>
    <row r="1735">
      <c r="A1735" s="3"/>
      <c r="B1735" s="3"/>
      <c r="C1735" s="3"/>
    </row>
    <row r="1736">
      <c r="A1736" s="3"/>
      <c r="B1736" s="3"/>
      <c r="C1736" s="3"/>
    </row>
    <row r="1737">
      <c r="A1737" s="3"/>
      <c r="B1737" s="3"/>
      <c r="C1737" s="3"/>
    </row>
    <row r="1738">
      <c r="A1738" s="3"/>
      <c r="B1738" s="3"/>
      <c r="C1738" s="3"/>
    </row>
    <row r="1739">
      <c r="A1739" s="3"/>
      <c r="B1739" s="3"/>
      <c r="C1739" s="3"/>
    </row>
    <row r="1740">
      <c r="A1740" s="3"/>
      <c r="B1740" s="3"/>
      <c r="C1740" s="3"/>
    </row>
    <row r="1741">
      <c r="A1741" s="3"/>
      <c r="B1741" s="3"/>
      <c r="C1741" s="3"/>
    </row>
    <row r="1742">
      <c r="A1742" s="3"/>
      <c r="B1742" s="3"/>
      <c r="C1742" s="3"/>
    </row>
    <row r="1743">
      <c r="A1743" s="3"/>
      <c r="B1743" s="3"/>
      <c r="C1743" s="3"/>
    </row>
    <row r="1744">
      <c r="A1744" s="3"/>
      <c r="B1744" s="3"/>
      <c r="C1744" s="3"/>
    </row>
    <row r="1745">
      <c r="A1745" s="3"/>
      <c r="B1745" s="3"/>
      <c r="C1745" s="3"/>
    </row>
    <row r="1746">
      <c r="A1746" s="3"/>
      <c r="B1746" s="3"/>
      <c r="C1746" s="3"/>
    </row>
    <row r="1747">
      <c r="A1747" s="3"/>
      <c r="B1747" s="3"/>
      <c r="C1747" s="3"/>
    </row>
    <row r="1748">
      <c r="A1748" s="3"/>
      <c r="B1748" s="3"/>
      <c r="C1748" s="3"/>
    </row>
    <row r="1749">
      <c r="A1749" s="3"/>
      <c r="B1749" s="3"/>
      <c r="C1749" s="3"/>
    </row>
    <row r="1750">
      <c r="A1750" s="3"/>
      <c r="B1750" s="3"/>
      <c r="C1750" s="3"/>
    </row>
    <row r="1751">
      <c r="A1751" s="3"/>
      <c r="B1751" s="3"/>
      <c r="C1751" s="3"/>
    </row>
    <row r="1752">
      <c r="A1752" s="3"/>
      <c r="B1752" s="3"/>
      <c r="C1752" s="3"/>
    </row>
    <row r="1753">
      <c r="A1753" s="3"/>
      <c r="B1753" s="3"/>
      <c r="C1753" s="3"/>
    </row>
    <row r="1754">
      <c r="A1754" s="3"/>
      <c r="B1754" s="3"/>
      <c r="C1754" s="3"/>
    </row>
    <row r="1755">
      <c r="A1755" s="3"/>
      <c r="B1755" s="3"/>
      <c r="C1755" s="3"/>
    </row>
    <row r="1756">
      <c r="A1756" s="3"/>
      <c r="B1756" s="3"/>
      <c r="C1756" s="3"/>
    </row>
    <row r="1757">
      <c r="A1757" s="3"/>
      <c r="B1757" s="3"/>
      <c r="C1757" s="3"/>
    </row>
    <row r="1758">
      <c r="A1758" s="3"/>
      <c r="B1758" s="3"/>
      <c r="C1758" s="3"/>
    </row>
    <row r="1759">
      <c r="A1759" s="3"/>
      <c r="B1759" s="3"/>
      <c r="C1759" s="3"/>
    </row>
    <row r="1760">
      <c r="A1760" s="3"/>
      <c r="B1760" s="3"/>
      <c r="C1760" s="3"/>
    </row>
    <row r="1761">
      <c r="A1761" s="3"/>
      <c r="B1761" s="3"/>
      <c r="C1761" s="3"/>
    </row>
    <row r="1762">
      <c r="A1762" s="3"/>
      <c r="B1762" s="3"/>
      <c r="C1762" s="3"/>
    </row>
    <row r="1763">
      <c r="A1763" s="3"/>
      <c r="B1763" s="3"/>
      <c r="C1763" s="3"/>
    </row>
    <row r="1764">
      <c r="A1764" s="3"/>
      <c r="B1764" s="3"/>
      <c r="C1764" s="3"/>
    </row>
    <row r="1765">
      <c r="A1765" s="3"/>
      <c r="B1765" s="3"/>
      <c r="C1765" s="3"/>
    </row>
    <row r="1766">
      <c r="A1766" s="3"/>
      <c r="B1766" s="3"/>
      <c r="C1766" s="3"/>
    </row>
    <row r="1767">
      <c r="A1767" s="3"/>
      <c r="B1767" s="3"/>
      <c r="C1767" s="3"/>
    </row>
    <row r="1768">
      <c r="A1768" s="3"/>
      <c r="B1768" s="3"/>
      <c r="C1768" s="3"/>
    </row>
    <row r="1769">
      <c r="A1769" s="3"/>
      <c r="B1769" s="3"/>
      <c r="C1769" s="3"/>
    </row>
    <row r="1770">
      <c r="A1770" s="3"/>
      <c r="B1770" s="3"/>
      <c r="C1770" s="3"/>
    </row>
    <row r="1771">
      <c r="A1771" s="3"/>
      <c r="B1771" s="3"/>
      <c r="C1771" s="3"/>
    </row>
    <row r="1772">
      <c r="A1772" s="3"/>
      <c r="B1772" s="3"/>
      <c r="C1772" s="3"/>
    </row>
    <row r="1773">
      <c r="A1773" s="3"/>
      <c r="B1773" s="3"/>
      <c r="C1773" s="3"/>
    </row>
    <row r="1774">
      <c r="A1774" s="3"/>
      <c r="B1774" s="3"/>
      <c r="C1774" s="3"/>
    </row>
    <row r="1775">
      <c r="A1775" s="3"/>
      <c r="B1775" s="3"/>
      <c r="C1775" s="3"/>
    </row>
    <row r="1776">
      <c r="A1776" s="3"/>
      <c r="B1776" s="3"/>
      <c r="C1776" s="3"/>
    </row>
    <row r="1777">
      <c r="A1777" s="3"/>
      <c r="B1777" s="3"/>
      <c r="C1777" s="3"/>
    </row>
    <row r="1778">
      <c r="A1778" s="3"/>
      <c r="B1778" s="3"/>
      <c r="C1778" s="3"/>
    </row>
    <row r="1779">
      <c r="A1779" s="3"/>
      <c r="B1779" s="3"/>
      <c r="C1779" s="3"/>
    </row>
    <row r="1780">
      <c r="A1780" s="3"/>
      <c r="B1780" s="3"/>
      <c r="C1780" s="3"/>
    </row>
    <row r="1781">
      <c r="A1781" s="3"/>
      <c r="B1781" s="3"/>
      <c r="C1781" s="3"/>
    </row>
    <row r="1782">
      <c r="A1782" s="3"/>
      <c r="B1782" s="3"/>
      <c r="C1782" s="3"/>
    </row>
    <row r="1783">
      <c r="A1783" s="3"/>
      <c r="B1783" s="3"/>
      <c r="C1783" s="3"/>
    </row>
    <row r="1784">
      <c r="A1784" s="3"/>
      <c r="B1784" s="3"/>
      <c r="C1784" s="3"/>
    </row>
    <row r="1785">
      <c r="A1785" s="3"/>
      <c r="B1785" s="3"/>
      <c r="C1785" s="3"/>
    </row>
    <row r="1786">
      <c r="A1786" s="3"/>
      <c r="B1786" s="3"/>
      <c r="C1786" s="3"/>
    </row>
    <row r="1787">
      <c r="A1787" s="3"/>
      <c r="B1787" s="3"/>
      <c r="C1787" s="3"/>
    </row>
    <row r="1788">
      <c r="A1788" s="3"/>
      <c r="B1788" s="3"/>
      <c r="C1788" s="3"/>
    </row>
    <row r="1789">
      <c r="A1789" s="3"/>
      <c r="B1789" s="3"/>
      <c r="C1789" s="3"/>
    </row>
    <row r="1790">
      <c r="A1790" s="3"/>
      <c r="B1790" s="3"/>
      <c r="C1790" s="3"/>
    </row>
    <row r="1791">
      <c r="A1791" s="3"/>
      <c r="B1791" s="3"/>
      <c r="C1791" s="3"/>
    </row>
    <row r="1792">
      <c r="A1792" s="3"/>
      <c r="B1792" s="3"/>
      <c r="C1792" s="3"/>
    </row>
    <row r="1793">
      <c r="A1793" s="3"/>
      <c r="B1793" s="3"/>
      <c r="C1793" s="3"/>
    </row>
    <row r="1794">
      <c r="A1794" s="3"/>
      <c r="B1794" s="3"/>
      <c r="C1794" s="3"/>
    </row>
    <row r="1795">
      <c r="A1795" s="3"/>
      <c r="B1795" s="3"/>
      <c r="C1795" s="3"/>
    </row>
    <row r="1796">
      <c r="A1796" s="3"/>
      <c r="B1796" s="3"/>
      <c r="C1796" s="3"/>
    </row>
    <row r="1797">
      <c r="A1797" s="3"/>
      <c r="B1797" s="3"/>
      <c r="C1797" s="3"/>
    </row>
    <row r="1798">
      <c r="A1798" s="3"/>
      <c r="B1798" s="3"/>
      <c r="C1798" s="3"/>
    </row>
    <row r="1799">
      <c r="A1799" s="3"/>
      <c r="B1799" s="3"/>
      <c r="C1799" s="3"/>
    </row>
    <row r="1800">
      <c r="A1800" s="3"/>
      <c r="B1800" s="3"/>
      <c r="C1800" s="3"/>
    </row>
    <row r="1801">
      <c r="A1801" s="3"/>
      <c r="B1801" s="3"/>
      <c r="C1801" s="3"/>
    </row>
    <row r="1802">
      <c r="A1802" s="3"/>
      <c r="B1802" s="3"/>
      <c r="C1802" s="3"/>
    </row>
    <row r="1803">
      <c r="A1803" s="3"/>
      <c r="B1803" s="3"/>
      <c r="C1803" s="3"/>
    </row>
    <row r="1804">
      <c r="A1804" s="3"/>
      <c r="B1804" s="3"/>
      <c r="C1804" s="3"/>
    </row>
    <row r="1805">
      <c r="A1805" s="3"/>
      <c r="B1805" s="3"/>
      <c r="C1805" s="3"/>
    </row>
    <row r="1806">
      <c r="A1806" s="3"/>
      <c r="B1806" s="3"/>
      <c r="C1806" s="3"/>
    </row>
    <row r="1807">
      <c r="A1807" s="3"/>
      <c r="B1807" s="3"/>
      <c r="C1807" s="3"/>
    </row>
    <row r="1808">
      <c r="A1808" s="3"/>
      <c r="B1808" s="3"/>
      <c r="C1808" s="3"/>
    </row>
    <row r="1809">
      <c r="A1809" s="3"/>
      <c r="B1809" s="3"/>
      <c r="C1809" s="3"/>
    </row>
    <row r="1810">
      <c r="A1810" s="3"/>
      <c r="B1810" s="3"/>
      <c r="C1810" s="3"/>
    </row>
    <row r="1811">
      <c r="A1811" s="3"/>
      <c r="B1811" s="3"/>
      <c r="C1811" s="3"/>
    </row>
    <row r="1812">
      <c r="A1812" s="3"/>
      <c r="B1812" s="3"/>
      <c r="C1812" s="3"/>
    </row>
    <row r="1813">
      <c r="A1813" s="3"/>
      <c r="B1813" s="3"/>
      <c r="C1813" s="3"/>
    </row>
    <row r="1814">
      <c r="A1814" s="3"/>
      <c r="B1814" s="3"/>
      <c r="C1814" s="3"/>
    </row>
    <row r="1815">
      <c r="A1815" s="3"/>
      <c r="B1815" s="3"/>
      <c r="C1815" s="3"/>
    </row>
    <row r="1816">
      <c r="A1816" s="3"/>
      <c r="B1816" s="3"/>
      <c r="C1816" s="3"/>
    </row>
    <row r="1817">
      <c r="A1817" s="3"/>
      <c r="B1817" s="3"/>
      <c r="C1817" s="3"/>
    </row>
    <row r="1818">
      <c r="A1818" s="3"/>
      <c r="B1818" s="3"/>
      <c r="C1818" s="3"/>
    </row>
    <row r="1819">
      <c r="A1819" s="3"/>
      <c r="B1819" s="3"/>
      <c r="C1819" s="3"/>
    </row>
    <row r="1820">
      <c r="A1820" s="3"/>
      <c r="B1820" s="3"/>
      <c r="C1820" s="3"/>
    </row>
    <row r="1821">
      <c r="A1821" s="3"/>
      <c r="B1821" s="3"/>
      <c r="C1821" s="3"/>
    </row>
    <row r="1822">
      <c r="A1822" s="3"/>
      <c r="B1822" s="3"/>
      <c r="C1822" s="3"/>
    </row>
    <row r="1823">
      <c r="A1823" s="3"/>
      <c r="B1823" s="3"/>
      <c r="C1823" s="3"/>
    </row>
    <row r="1824">
      <c r="A1824" s="3"/>
      <c r="B1824" s="3"/>
      <c r="C1824" s="3"/>
    </row>
    <row r="1825">
      <c r="A1825" s="3"/>
      <c r="B1825" s="3"/>
      <c r="C1825" s="3"/>
    </row>
    <row r="1826">
      <c r="A1826" s="3"/>
      <c r="B1826" s="3"/>
      <c r="C1826" s="3"/>
    </row>
    <row r="1827">
      <c r="A1827" s="3"/>
      <c r="B1827" s="3"/>
      <c r="C1827" s="3"/>
    </row>
    <row r="1828">
      <c r="A1828" s="3"/>
      <c r="B1828" s="3"/>
      <c r="C1828" s="3"/>
    </row>
    <row r="1829">
      <c r="A1829" s="3"/>
      <c r="B1829" s="3"/>
      <c r="C1829" s="3"/>
    </row>
    <row r="1830">
      <c r="A1830" s="3"/>
      <c r="B1830" s="3"/>
      <c r="C1830" s="3"/>
    </row>
    <row r="1831">
      <c r="A1831" s="3"/>
      <c r="B1831" s="3"/>
      <c r="C1831" s="3"/>
    </row>
    <row r="1832">
      <c r="A1832" s="3"/>
      <c r="B1832" s="3"/>
      <c r="C1832" s="3"/>
    </row>
    <row r="1833">
      <c r="A1833" s="3"/>
      <c r="B1833" s="3"/>
      <c r="C1833" s="3"/>
    </row>
    <row r="1834">
      <c r="A1834" s="3"/>
      <c r="B1834" s="3"/>
      <c r="C1834" s="3"/>
    </row>
    <row r="1835">
      <c r="A1835" s="3"/>
      <c r="B1835" s="3"/>
      <c r="C1835" s="3"/>
    </row>
    <row r="1836">
      <c r="A1836" s="3"/>
      <c r="B1836" s="3"/>
      <c r="C1836" s="3"/>
    </row>
    <row r="1837">
      <c r="A1837" s="3"/>
      <c r="B1837" s="3"/>
      <c r="C1837" s="3"/>
    </row>
    <row r="1838">
      <c r="A1838" s="3"/>
      <c r="B1838" s="3"/>
      <c r="C1838" s="3"/>
    </row>
    <row r="1839">
      <c r="A1839" s="3"/>
      <c r="B1839" s="3"/>
      <c r="C1839" s="3"/>
    </row>
    <row r="1840">
      <c r="A1840" s="3"/>
      <c r="B1840" s="3"/>
      <c r="C1840" s="3"/>
    </row>
    <row r="1841">
      <c r="A1841" s="3"/>
      <c r="B1841" s="3"/>
      <c r="C1841" s="3"/>
    </row>
    <row r="1842">
      <c r="A1842" s="3"/>
      <c r="B1842" s="3"/>
      <c r="C1842" s="3"/>
    </row>
    <row r="1843">
      <c r="A1843" s="3"/>
      <c r="B1843" s="3"/>
      <c r="C1843" s="3"/>
    </row>
    <row r="1844">
      <c r="A1844" s="3"/>
      <c r="B1844" s="3"/>
      <c r="C1844" s="3"/>
    </row>
    <row r="1845">
      <c r="A1845" s="3"/>
      <c r="B1845" s="3"/>
      <c r="C1845" s="3"/>
    </row>
    <row r="1846">
      <c r="A1846" s="3"/>
      <c r="B1846" s="3"/>
      <c r="C1846" s="3"/>
    </row>
    <row r="1847">
      <c r="A1847" s="3"/>
      <c r="B1847" s="3"/>
      <c r="C1847" s="3"/>
    </row>
    <row r="1848">
      <c r="A1848" s="3"/>
      <c r="B1848" s="3"/>
      <c r="C1848" s="3"/>
    </row>
    <row r="1849">
      <c r="A1849" s="3"/>
      <c r="B1849" s="3"/>
      <c r="C1849" s="3"/>
    </row>
    <row r="1850">
      <c r="A1850" s="3"/>
      <c r="B1850" s="3"/>
      <c r="C1850" s="3"/>
    </row>
    <row r="1851">
      <c r="A1851" s="3"/>
      <c r="B1851" s="3"/>
      <c r="C1851" s="3"/>
    </row>
    <row r="1852">
      <c r="A1852" s="3"/>
      <c r="B1852" s="3"/>
      <c r="C1852" s="3"/>
    </row>
    <row r="1853">
      <c r="A1853" s="3"/>
      <c r="B1853" s="3"/>
      <c r="C1853" s="3"/>
    </row>
    <row r="1854">
      <c r="A1854" s="3"/>
      <c r="B1854" s="3"/>
      <c r="C1854" s="3"/>
    </row>
    <row r="1855">
      <c r="A1855" s="3"/>
      <c r="B1855" s="3"/>
      <c r="C1855" s="3"/>
    </row>
    <row r="1856">
      <c r="A1856" s="3"/>
      <c r="B1856" s="3"/>
      <c r="C1856" s="3"/>
    </row>
    <row r="1857">
      <c r="A1857" s="3"/>
      <c r="B1857" s="3"/>
      <c r="C1857" s="3"/>
    </row>
    <row r="1858">
      <c r="A1858" s="3"/>
      <c r="B1858" s="3"/>
      <c r="C1858" s="3"/>
    </row>
    <row r="1859">
      <c r="A1859" s="3"/>
      <c r="B1859" s="3"/>
      <c r="C1859" s="3"/>
    </row>
    <row r="1860">
      <c r="A1860" s="3"/>
      <c r="B1860" s="3"/>
      <c r="C1860" s="3"/>
    </row>
    <row r="1861">
      <c r="A1861" s="3"/>
      <c r="B1861" s="3"/>
      <c r="C1861" s="3"/>
    </row>
    <row r="1862">
      <c r="A1862" s="3"/>
      <c r="B1862" s="3"/>
      <c r="C1862" s="3"/>
    </row>
    <row r="1863">
      <c r="A1863" s="3"/>
      <c r="B1863" s="3"/>
      <c r="C1863" s="3"/>
    </row>
    <row r="1864">
      <c r="A1864" s="3"/>
      <c r="B1864" s="3"/>
      <c r="C1864" s="3"/>
    </row>
    <row r="1865">
      <c r="A1865" s="3"/>
      <c r="B1865" s="3"/>
      <c r="C1865" s="3"/>
    </row>
    <row r="1866">
      <c r="A1866" s="3"/>
      <c r="B1866" s="3"/>
      <c r="C1866" s="3"/>
    </row>
    <row r="1867">
      <c r="A1867" s="3"/>
      <c r="B1867" s="3"/>
      <c r="C1867" s="3"/>
    </row>
    <row r="1868">
      <c r="A1868" s="3"/>
      <c r="B1868" s="3"/>
      <c r="C1868" s="3"/>
    </row>
    <row r="1869">
      <c r="A1869" s="3"/>
      <c r="B1869" s="3"/>
      <c r="C1869" s="3"/>
    </row>
    <row r="1870">
      <c r="A1870" s="3"/>
      <c r="B1870" s="3"/>
      <c r="C1870" s="3"/>
    </row>
    <row r="1871">
      <c r="A1871" s="3"/>
      <c r="B1871" s="3"/>
      <c r="C1871" s="3"/>
    </row>
    <row r="1872">
      <c r="A1872" s="3"/>
      <c r="B1872" s="3"/>
      <c r="C1872" s="3"/>
    </row>
    <row r="1873">
      <c r="A1873" s="3"/>
      <c r="B1873" s="3"/>
      <c r="C1873" s="3"/>
    </row>
    <row r="1874">
      <c r="A1874" s="3"/>
      <c r="B1874" s="3"/>
      <c r="C1874" s="3"/>
    </row>
    <row r="1875">
      <c r="A1875" s="3"/>
      <c r="B1875" s="3"/>
      <c r="C1875" s="3"/>
    </row>
    <row r="1876">
      <c r="A1876" s="3"/>
      <c r="B1876" s="3"/>
      <c r="C1876" s="3"/>
    </row>
    <row r="1877">
      <c r="A1877" s="3"/>
      <c r="B1877" s="3"/>
      <c r="C1877" s="3"/>
    </row>
    <row r="1878">
      <c r="A1878" s="3"/>
      <c r="B1878" s="3"/>
      <c r="C1878" s="3"/>
    </row>
    <row r="1879">
      <c r="A1879" s="3"/>
      <c r="B1879" s="3"/>
      <c r="C1879" s="3"/>
    </row>
    <row r="1880">
      <c r="A1880" s="3"/>
      <c r="B1880" s="3"/>
      <c r="C1880" s="3"/>
    </row>
    <row r="1881">
      <c r="A1881" s="3"/>
      <c r="B1881" s="3"/>
      <c r="C1881" s="3"/>
    </row>
    <row r="1882">
      <c r="A1882" s="3"/>
      <c r="B1882" s="3"/>
      <c r="C1882" s="3"/>
    </row>
    <row r="1883">
      <c r="A1883" s="3"/>
      <c r="B1883" s="3"/>
      <c r="C1883" s="3"/>
    </row>
    <row r="1884">
      <c r="A1884" s="3"/>
      <c r="B1884" s="3"/>
      <c r="C1884" s="3"/>
    </row>
    <row r="1885">
      <c r="A1885" s="3"/>
      <c r="B1885" s="3"/>
      <c r="C1885" s="3"/>
    </row>
    <row r="1886">
      <c r="A1886" s="3"/>
      <c r="B1886" s="3"/>
      <c r="C1886" s="3"/>
    </row>
    <row r="1887">
      <c r="A1887" s="3"/>
      <c r="B1887" s="3"/>
      <c r="C1887" s="3"/>
    </row>
    <row r="1888">
      <c r="A1888" s="3"/>
      <c r="B1888" s="3"/>
      <c r="C1888" s="3"/>
    </row>
    <row r="1889">
      <c r="A1889" s="3"/>
      <c r="B1889" s="3"/>
      <c r="C1889" s="3"/>
    </row>
    <row r="1890">
      <c r="A1890" s="3"/>
      <c r="B1890" s="3"/>
      <c r="C1890" s="3"/>
    </row>
    <row r="1891">
      <c r="A1891" s="3"/>
      <c r="B1891" s="3"/>
      <c r="C1891" s="3"/>
    </row>
    <row r="1892">
      <c r="A1892" s="3"/>
      <c r="B1892" s="3"/>
      <c r="C1892" s="3"/>
    </row>
    <row r="1893">
      <c r="A1893" s="3"/>
      <c r="B1893" s="3"/>
      <c r="C1893" s="3"/>
    </row>
    <row r="1894">
      <c r="A1894" s="3"/>
      <c r="B1894" s="3"/>
      <c r="C1894" s="3"/>
    </row>
    <row r="1895">
      <c r="A1895" s="3"/>
      <c r="B1895" s="3"/>
      <c r="C1895" s="3"/>
    </row>
    <row r="1896">
      <c r="A1896" s="3"/>
      <c r="B1896" s="3"/>
      <c r="C1896" s="3"/>
    </row>
    <row r="1897">
      <c r="A1897" s="3"/>
      <c r="B1897" s="3"/>
      <c r="C1897" s="3"/>
    </row>
    <row r="1898">
      <c r="A1898" s="3"/>
      <c r="B1898" s="3"/>
      <c r="C1898" s="3"/>
    </row>
    <row r="1899">
      <c r="A1899" s="3"/>
      <c r="B1899" s="3"/>
      <c r="C1899" s="3"/>
    </row>
    <row r="1900">
      <c r="A1900" s="3"/>
      <c r="B1900" s="3"/>
      <c r="C1900" s="3"/>
    </row>
    <row r="1901">
      <c r="A1901" s="3"/>
      <c r="B1901" s="3"/>
      <c r="C1901" s="3"/>
    </row>
    <row r="1902">
      <c r="A1902" s="3"/>
      <c r="B1902" s="3"/>
      <c r="C1902" s="3"/>
    </row>
    <row r="1903">
      <c r="A1903" s="3"/>
      <c r="B1903" s="3"/>
      <c r="C1903" s="3"/>
    </row>
    <row r="1904">
      <c r="A1904" s="3"/>
      <c r="B1904" s="3"/>
      <c r="C1904" s="3"/>
    </row>
    <row r="1905">
      <c r="A1905" s="3"/>
      <c r="B1905" s="3"/>
      <c r="C1905" s="3"/>
    </row>
    <row r="1906">
      <c r="A1906" s="3"/>
      <c r="B1906" s="3"/>
      <c r="C1906" s="3"/>
    </row>
    <row r="1907">
      <c r="A1907" s="3"/>
      <c r="B1907" s="3"/>
      <c r="C1907" s="3"/>
    </row>
    <row r="1908">
      <c r="A1908" s="3"/>
      <c r="B1908" s="3"/>
      <c r="C1908" s="3"/>
    </row>
    <row r="1909">
      <c r="A1909" s="3"/>
      <c r="B1909" s="3"/>
      <c r="C1909" s="3"/>
    </row>
    <row r="1910">
      <c r="A1910" s="3"/>
      <c r="B1910" s="3"/>
      <c r="C1910" s="3"/>
    </row>
    <row r="1911">
      <c r="A1911" s="3"/>
      <c r="B1911" s="3"/>
      <c r="C1911" s="3"/>
    </row>
    <row r="1912">
      <c r="A1912" s="3"/>
      <c r="B1912" s="3"/>
      <c r="C1912" s="3"/>
    </row>
    <row r="1913">
      <c r="A1913" s="3"/>
      <c r="B1913" s="3"/>
      <c r="C1913" s="3"/>
    </row>
    <row r="1914">
      <c r="A1914" s="3"/>
      <c r="B1914" s="3"/>
      <c r="C1914" s="3"/>
    </row>
    <row r="1915">
      <c r="A1915" s="3"/>
      <c r="B1915" s="3"/>
      <c r="C1915" s="3"/>
    </row>
    <row r="1916">
      <c r="A1916" s="3"/>
      <c r="B1916" s="3"/>
      <c r="C1916" s="3"/>
    </row>
    <row r="1917">
      <c r="A1917" s="3"/>
      <c r="B1917" s="3"/>
      <c r="C1917" s="3"/>
    </row>
    <row r="1918">
      <c r="A1918" s="3"/>
      <c r="B1918" s="3"/>
      <c r="C1918" s="3"/>
    </row>
    <row r="1919">
      <c r="A1919" s="3"/>
      <c r="B1919" s="3"/>
      <c r="C1919" s="3"/>
    </row>
    <row r="1920">
      <c r="A1920" s="3"/>
      <c r="B1920" s="3"/>
      <c r="C1920" s="3"/>
    </row>
    <row r="1921">
      <c r="A1921" s="3"/>
      <c r="B1921" s="3"/>
      <c r="C1921" s="3"/>
    </row>
    <row r="1922">
      <c r="A1922" s="3"/>
      <c r="B1922" s="3"/>
      <c r="C1922" s="3"/>
    </row>
    <row r="1923">
      <c r="A1923" s="3"/>
      <c r="B1923" s="3"/>
      <c r="C1923" s="3"/>
    </row>
    <row r="1924">
      <c r="A1924" s="3"/>
      <c r="B1924" s="3"/>
      <c r="C1924" s="3"/>
    </row>
    <row r="1925">
      <c r="A1925" s="3"/>
      <c r="B1925" s="3"/>
      <c r="C1925" s="3"/>
    </row>
    <row r="1926">
      <c r="A1926" s="3"/>
      <c r="B1926" s="3"/>
      <c r="C1926" s="3"/>
    </row>
    <row r="1927">
      <c r="A1927" s="3"/>
      <c r="B1927" s="3"/>
      <c r="C1927" s="3"/>
    </row>
    <row r="1928">
      <c r="A1928" s="3"/>
      <c r="B1928" s="3"/>
      <c r="C1928" s="3"/>
    </row>
    <row r="1929">
      <c r="A1929" s="3"/>
      <c r="B1929" s="3"/>
      <c r="C1929" s="3"/>
    </row>
    <row r="1930">
      <c r="A1930" s="3"/>
      <c r="B1930" s="3"/>
      <c r="C1930" s="3"/>
    </row>
    <row r="1931">
      <c r="A1931" s="3"/>
      <c r="B1931" s="3"/>
      <c r="C1931" s="3"/>
    </row>
    <row r="1932">
      <c r="A1932" s="3"/>
      <c r="B1932" s="3"/>
      <c r="C1932" s="3"/>
    </row>
    <row r="1933">
      <c r="A1933" s="3"/>
      <c r="B1933" s="3"/>
      <c r="C1933" s="3"/>
    </row>
    <row r="1934">
      <c r="A1934" s="3"/>
      <c r="B1934" s="3"/>
      <c r="C1934" s="3"/>
    </row>
    <row r="1935">
      <c r="A1935" s="3"/>
      <c r="B1935" s="3"/>
      <c r="C1935" s="3"/>
    </row>
    <row r="1936">
      <c r="A1936" s="3"/>
      <c r="B1936" s="3"/>
      <c r="C1936" s="3"/>
    </row>
    <row r="1937">
      <c r="A1937" s="3"/>
      <c r="B1937" s="3"/>
      <c r="C1937" s="3"/>
    </row>
    <row r="1938">
      <c r="A1938" s="3"/>
      <c r="B1938" s="3"/>
      <c r="C1938" s="3"/>
    </row>
    <row r="1939">
      <c r="A1939" s="3"/>
      <c r="B1939" s="3"/>
      <c r="C1939" s="3"/>
    </row>
    <row r="1940">
      <c r="A1940" s="3"/>
      <c r="B1940" s="3"/>
      <c r="C1940" s="3"/>
    </row>
    <row r="1941">
      <c r="A1941" s="3"/>
      <c r="B1941" s="3"/>
      <c r="C1941" s="3"/>
    </row>
    <row r="1942">
      <c r="A1942" s="3"/>
      <c r="B1942" s="3"/>
      <c r="C1942" s="3"/>
    </row>
    <row r="1943">
      <c r="A1943" s="3"/>
      <c r="B1943" s="3"/>
      <c r="C1943" s="3"/>
    </row>
    <row r="1944">
      <c r="A1944" s="3"/>
      <c r="B1944" s="3"/>
      <c r="C1944" s="3"/>
    </row>
    <row r="1945">
      <c r="A1945" s="3"/>
      <c r="B1945" s="3"/>
      <c r="C1945" s="3"/>
    </row>
    <row r="1946">
      <c r="A1946" s="3"/>
      <c r="B1946" s="3"/>
      <c r="C1946" s="3"/>
    </row>
    <row r="1947">
      <c r="A1947" s="3"/>
      <c r="B1947" s="3"/>
      <c r="C1947" s="3"/>
    </row>
    <row r="1948">
      <c r="A1948" s="3"/>
      <c r="B1948" s="3"/>
      <c r="C1948" s="3"/>
    </row>
    <row r="1949">
      <c r="A1949" s="3"/>
      <c r="B1949" s="3"/>
      <c r="C1949" s="3"/>
    </row>
    <row r="1950">
      <c r="A1950" s="3"/>
      <c r="B1950" s="3"/>
      <c r="C1950" s="3"/>
    </row>
    <row r="1951">
      <c r="A1951" s="3"/>
      <c r="B1951" s="3"/>
      <c r="C1951" s="3"/>
    </row>
    <row r="1952">
      <c r="A1952" s="3"/>
      <c r="B1952" s="3"/>
      <c r="C1952" s="3"/>
    </row>
    <row r="1953">
      <c r="A1953" s="3"/>
      <c r="B1953" s="3"/>
      <c r="C1953" s="3"/>
    </row>
    <row r="1954">
      <c r="A1954" s="3"/>
      <c r="B1954" s="3"/>
      <c r="C1954" s="3"/>
    </row>
    <row r="1955">
      <c r="A1955" s="3"/>
      <c r="B1955" s="3"/>
      <c r="C1955" s="3"/>
    </row>
    <row r="1956">
      <c r="A1956" s="3"/>
      <c r="B1956" s="3"/>
      <c r="C1956" s="3"/>
    </row>
    <row r="1957">
      <c r="A1957" s="3"/>
      <c r="B1957" s="3"/>
      <c r="C1957" s="3"/>
    </row>
    <row r="1958">
      <c r="A1958" s="3"/>
      <c r="B1958" s="3"/>
      <c r="C1958" s="3"/>
    </row>
    <row r="1959">
      <c r="A1959" s="3"/>
      <c r="B1959" s="3"/>
      <c r="C1959" s="3"/>
    </row>
    <row r="1960">
      <c r="A1960" s="3"/>
      <c r="B1960" s="3"/>
      <c r="C1960" s="3"/>
    </row>
    <row r="1961">
      <c r="A1961" s="3"/>
      <c r="B1961" s="3"/>
      <c r="C1961" s="3"/>
    </row>
    <row r="1962">
      <c r="A1962" s="3"/>
      <c r="B1962" s="3"/>
      <c r="C1962" s="3"/>
    </row>
    <row r="1963">
      <c r="A1963" s="3"/>
      <c r="B1963" s="3"/>
      <c r="C1963" s="3"/>
    </row>
    <row r="1964">
      <c r="A1964" s="3"/>
      <c r="B1964" s="3"/>
      <c r="C1964" s="3"/>
    </row>
    <row r="1965">
      <c r="A1965" s="3"/>
      <c r="B1965" s="3"/>
      <c r="C1965" s="3"/>
    </row>
    <row r="1966">
      <c r="A1966" s="3"/>
      <c r="B1966" s="3"/>
      <c r="C1966" s="3"/>
    </row>
    <row r="1967">
      <c r="A1967" s="3"/>
      <c r="B1967" s="3"/>
      <c r="C1967" s="3"/>
    </row>
    <row r="1968">
      <c r="A1968" s="3"/>
      <c r="B1968" s="3"/>
      <c r="C1968" s="3"/>
    </row>
    <row r="1969">
      <c r="A1969" s="3"/>
      <c r="B1969" s="3"/>
      <c r="C1969" s="3"/>
    </row>
    <row r="1970">
      <c r="A1970" s="3"/>
      <c r="B1970" s="3"/>
      <c r="C1970" s="3"/>
    </row>
    <row r="1971">
      <c r="A1971" s="3"/>
      <c r="B1971" s="3"/>
      <c r="C1971" s="3"/>
    </row>
    <row r="1972">
      <c r="A1972" s="3"/>
      <c r="B1972" s="3"/>
      <c r="C1972" s="3"/>
    </row>
    <row r="1973">
      <c r="A1973" s="3"/>
      <c r="B1973" s="3"/>
      <c r="C1973" s="3"/>
    </row>
    <row r="1974">
      <c r="A1974" s="3"/>
      <c r="B1974" s="3"/>
      <c r="C1974" s="3"/>
    </row>
    <row r="1975">
      <c r="A1975" s="3"/>
      <c r="B1975" s="3"/>
      <c r="C1975" s="3"/>
    </row>
    <row r="1976">
      <c r="A1976" s="3"/>
      <c r="B1976" s="3"/>
      <c r="C1976" s="3"/>
    </row>
    <row r="1977">
      <c r="A1977" s="3"/>
      <c r="B1977" s="3"/>
      <c r="C1977" s="3"/>
    </row>
    <row r="1978">
      <c r="A1978" s="3"/>
      <c r="B1978" s="3"/>
      <c r="C1978" s="3"/>
    </row>
    <row r="1979">
      <c r="A1979" s="3"/>
      <c r="B1979" s="3"/>
      <c r="C1979" s="3"/>
    </row>
    <row r="1980">
      <c r="A1980" s="3"/>
      <c r="B1980" s="3"/>
      <c r="C1980" s="3"/>
    </row>
    <row r="1981">
      <c r="A1981" s="3"/>
      <c r="B1981" s="3"/>
      <c r="C1981" s="3"/>
    </row>
    <row r="1982">
      <c r="A1982" s="3"/>
      <c r="B1982" s="3"/>
      <c r="C1982" s="3"/>
    </row>
    <row r="1983">
      <c r="A1983" s="3"/>
      <c r="B1983" s="3"/>
      <c r="C1983" s="3"/>
    </row>
    <row r="1984">
      <c r="A1984" s="3"/>
      <c r="B1984" s="3"/>
      <c r="C1984" s="3"/>
    </row>
    <row r="1985">
      <c r="A1985" s="3"/>
      <c r="B1985" s="3"/>
      <c r="C1985" s="3"/>
    </row>
    <row r="1986">
      <c r="A1986" s="3"/>
      <c r="B1986" s="3"/>
      <c r="C1986" s="3"/>
    </row>
    <row r="1987">
      <c r="A1987" s="3"/>
      <c r="B1987" s="3"/>
      <c r="C1987" s="3"/>
    </row>
    <row r="1988">
      <c r="A1988" s="3"/>
      <c r="B1988" s="3"/>
      <c r="C1988" s="3"/>
    </row>
    <row r="1989">
      <c r="A1989" s="3"/>
      <c r="B1989" s="3"/>
      <c r="C1989" s="3"/>
    </row>
    <row r="1990">
      <c r="A1990" s="3"/>
      <c r="B1990" s="3"/>
      <c r="C1990" s="3"/>
    </row>
    <row r="1991">
      <c r="A1991" s="3"/>
      <c r="B1991" s="3"/>
      <c r="C1991" s="3"/>
    </row>
    <row r="1992">
      <c r="A1992" s="3"/>
      <c r="B1992" s="3"/>
      <c r="C1992" s="3"/>
    </row>
    <row r="1993">
      <c r="A1993" s="3"/>
      <c r="B1993" s="3"/>
      <c r="C1993" s="3"/>
    </row>
    <row r="1994">
      <c r="A1994" s="3"/>
      <c r="B1994" s="3"/>
      <c r="C1994" s="3"/>
    </row>
    <row r="1995">
      <c r="A1995" s="3"/>
      <c r="B1995" s="3"/>
      <c r="C1995" s="3"/>
    </row>
    <row r="1996">
      <c r="A1996" s="3"/>
      <c r="B1996" s="3"/>
      <c r="C1996" s="3"/>
    </row>
    <row r="1997">
      <c r="A1997" s="3"/>
      <c r="B1997" s="3"/>
      <c r="C1997" s="3"/>
    </row>
    <row r="1998">
      <c r="A1998" s="3"/>
      <c r="B1998" s="3"/>
      <c r="C1998" s="3"/>
    </row>
    <row r="1999">
      <c r="A1999" s="3"/>
      <c r="B1999" s="3"/>
      <c r="C1999" s="3"/>
    </row>
    <row r="2000">
      <c r="A2000" s="3"/>
      <c r="B2000" s="3"/>
      <c r="C2000" s="3"/>
    </row>
    <row r="2001">
      <c r="A2001" s="3"/>
      <c r="B2001" s="3"/>
      <c r="C2001" s="3"/>
    </row>
    <row r="2002">
      <c r="A2002" s="3"/>
      <c r="B2002" s="3"/>
      <c r="C2002" s="3"/>
    </row>
    <row r="2003">
      <c r="A2003" s="3"/>
      <c r="B2003" s="3"/>
      <c r="C2003" s="3"/>
    </row>
    <row r="2004">
      <c r="A2004" s="3"/>
      <c r="B2004" s="3"/>
      <c r="C2004" s="3"/>
    </row>
    <row r="2005">
      <c r="A2005" s="3"/>
      <c r="B2005" s="3"/>
      <c r="C2005" s="3"/>
    </row>
    <row r="2006">
      <c r="A2006" s="3"/>
      <c r="B2006" s="3"/>
      <c r="C2006" s="3"/>
    </row>
    <row r="2007">
      <c r="A2007" s="3"/>
      <c r="B2007" s="3"/>
      <c r="C2007" s="3"/>
    </row>
    <row r="2008">
      <c r="A2008" s="3"/>
      <c r="B2008" s="3"/>
      <c r="C2008" s="3"/>
    </row>
    <row r="2009">
      <c r="A2009" s="3"/>
      <c r="B2009" s="3"/>
      <c r="C2009" s="3"/>
    </row>
    <row r="2010">
      <c r="A2010" s="3"/>
      <c r="B2010" s="3"/>
      <c r="C2010" s="3"/>
    </row>
    <row r="2011">
      <c r="A2011" s="3"/>
      <c r="B2011" s="3"/>
      <c r="C2011" s="3"/>
    </row>
    <row r="2012">
      <c r="A2012" s="3"/>
      <c r="B2012" s="3"/>
      <c r="C2012" s="3"/>
    </row>
    <row r="2013">
      <c r="A2013" s="3"/>
      <c r="B2013" s="3"/>
      <c r="C2013" s="3"/>
    </row>
    <row r="2014">
      <c r="A2014" s="3"/>
      <c r="B2014" s="3"/>
      <c r="C2014" s="3"/>
    </row>
    <row r="2015">
      <c r="A2015" s="3"/>
      <c r="B2015" s="3"/>
      <c r="C2015" s="3"/>
    </row>
    <row r="2016">
      <c r="A2016" s="3"/>
      <c r="B2016" s="3"/>
      <c r="C2016" s="3"/>
    </row>
    <row r="2017">
      <c r="A2017" s="3"/>
      <c r="B2017" s="3"/>
      <c r="C2017" s="3"/>
    </row>
    <row r="2018">
      <c r="A2018" s="3"/>
      <c r="B2018" s="3"/>
      <c r="C2018" s="3"/>
    </row>
    <row r="2019">
      <c r="A2019" s="3"/>
      <c r="B2019" s="3"/>
      <c r="C2019" s="3"/>
    </row>
    <row r="2020">
      <c r="A2020" s="3"/>
      <c r="B2020" s="3"/>
      <c r="C2020" s="3"/>
    </row>
    <row r="2021">
      <c r="A2021" s="3"/>
      <c r="B2021" s="3"/>
      <c r="C2021" s="3"/>
    </row>
    <row r="2022">
      <c r="A2022" s="3"/>
      <c r="B2022" s="3"/>
      <c r="C2022" s="3"/>
    </row>
    <row r="2023">
      <c r="A2023" s="3"/>
      <c r="B2023" s="3"/>
      <c r="C2023" s="3"/>
    </row>
    <row r="2024">
      <c r="A2024" s="3"/>
      <c r="B2024" s="3"/>
      <c r="C2024" s="3"/>
    </row>
    <row r="2025">
      <c r="A2025" s="3"/>
      <c r="B2025" s="3"/>
      <c r="C2025" s="3"/>
    </row>
    <row r="2026">
      <c r="A2026" s="3"/>
      <c r="B2026" s="3"/>
      <c r="C2026" s="3"/>
    </row>
    <row r="2027">
      <c r="A2027" s="3"/>
      <c r="B2027" s="3"/>
      <c r="C2027" s="3"/>
    </row>
    <row r="2028">
      <c r="A2028" s="3"/>
      <c r="B2028" s="3"/>
      <c r="C2028" s="3"/>
    </row>
    <row r="2029">
      <c r="A2029" s="3"/>
      <c r="B2029" s="3"/>
      <c r="C2029" s="3"/>
    </row>
    <row r="2030">
      <c r="A2030" s="3"/>
      <c r="B2030" s="3"/>
      <c r="C2030" s="3"/>
    </row>
    <row r="2031">
      <c r="A2031" s="3"/>
      <c r="B2031" s="3"/>
      <c r="C2031" s="3"/>
    </row>
    <row r="2032">
      <c r="A2032" s="3"/>
      <c r="B2032" s="3"/>
      <c r="C2032" s="3"/>
    </row>
    <row r="2033">
      <c r="A2033" s="3"/>
      <c r="B2033" s="3"/>
      <c r="C2033" s="3"/>
    </row>
    <row r="2034">
      <c r="A2034" s="3"/>
      <c r="B2034" s="3"/>
      <c r="C2034" s="3"/>
    </row>
    <row r="2035">
      <c r="A2035" s="3"/>
      <c r="B2035" s="3"/>
      <c r="C2035" s="3"/>
    </row>
    <row r="2036">
      <c r="A2036" s="3"/>
      <c r="B2036" s="3"/>
      <c r="C2036" s="3"/>
    </row>
    <row r="2037">
      <c r="A2037" s="3"/>
      <c r="B2037" s="3"/>
      <c r="C2037" s="3"/>
    </row>
    <row r="2038">
      <c r="A2038" s="3"/>
      <c r="B2038" s="3"/>
      <c r="C2038" s="3"/>
    </row>
    <row r="2039">
      <c r="A2039" s="3"/>
      <c r="B2039" s="3"/>
      <c r="C2039" s="3"/>
    </row>
    <row r="2040">
      <c r="A2040" s="3"/>
      <c r="B2040" s="3"/>
      <c r="C2040" s="3"/>
    </row>
    <row r="2041">
      <c r="A2041" s="3"/>
      <c r="B2041" s="3"/>
      <c r="C2041" s="3"/>
    </row>
    <row r="2042">
      <c r="A2042" s="3"/>
      <c r="B2042" s="3"/>
      <c r="C2042" s="3"/>
    </row>
    <row r="2043">
      <c r="A2043" s="3"/>
      <c r="B2043" s="3"/>
      <c r="C2043" s="3"/>
    </row>
    <row r="2044">
      <c r="A2044" s="3"/>
      <c r="B2044" s="3"/>
      <c r="C2044" s="3"/>
    </row>
    <row r="2045">
      <c r="A2045" s="3"/>
      <c r="B2045" s="3"/>
      <c r="C2045" s="3"/>
    </row>
    <row r="2046">
      <c r="A2046" s="3"/>
      <c r="B2046" s="3"/>
      <c r="C2046" s="3"/>
    </row>
    <row r="2047">
      <c r="A2047" s="3"/>
      <c r="B2047" s="3"/>
      <c r="C2047" s="3"/>
    </row>
    <row r="2048">
      <c r="A2048" s="3"/>
      <c r="B2048" s="3"/>
      <c r="C2048" s="3"/>
    </row>
    <row r="2049">
      <c r="A2049" s="3"/>
      <c r="B2049" s="3"/>
      <c r="C2049" s="3"/>
    </row>
    <row r="2050">
      <c r="A2050" s="3"/>
      <c r="B2050" s="3"/>
      <c r="C2050" s="3"/>
    </row>
    <row r="2051">
      <c r="A2051" s="3"/>
      <c r="B2051" s="3"/>
      <c r="C2051" s="3"/>
    </row>
    <row r="2052">
      <c r="A2052" s="3"/>
      <c r="B2052" s="3"/>
      <c r="C2052" s="3"/>
    </row>
    <row r="2053">
      <c r="A2053" s="3"/>
      <c r="B2053" s="3"/>
      <c r="C2053" s="3"/>
    </row>
    <row r="2054">
      <c r="A2054" s="3"/>
      <c r="B2054" s="3"/>
      <c r="C2054" s="3"/>
    </row>
    <row r="2055">
      <c r="A2055" s="3"/>
      <c r="B2055" s="3"/>
      <c r="C2055" s="3"/>
    </row>
    <row r="2056">
      <c r="A2056" s="3"/>
      <c r="B2056" s="3"/>
      <c r="C2056" s="3"/>
    </row>
    <row r="2057">
      <c r="A2057" s="3"/>
      <c r="B2057" s="3"/>
      <c r="C2057" s="3"/>
    </row>
    <row r="2058">
      <c r="A2058" s="3"/>
      <c r="B2058" s="3"/>
      <c r="C2058" s="3"/>
    </row>
    <row r="2059">
      <c r="A2059" s="3"/>
      <c r="B2059" s="3"/>
      <c r="C2059" s="3"/>
    </row>
    <row r="2060">
      <c r="A2060" s="3"/>
      <c r="B2060" s="3"/>
      <c r="C2060" s="3"/>
    </row>
    <row r="2061">
      <c r="A2061" s="3"/>
      <c r="B2061" s="3"/>
      <c r="C2061" s="3"/>
    </row>
    <row r="2062">
      <c r="A2062" s="3"/>
      <c r="B2062" s="3"/>
      <c r="C2062" s="3"/>
    </row>
    <row r="2063">
      <c r="A2063" s="3"/>
      <c r="B2063" s="3"/>
      <c r="C2063" s="3"/>
    </row>
    <row r="2064">
      <c r="A2064" s="3"/>
      <c r="B2064" s="3"/>
      <c r="C2064" s="3"/>
    </row>
    <row r="2065">
      <c r="A2065" s="3"/>
      <c r="B2065" s="3"/>
      <c r="C2065" s="3"/>
    </row>
    <row r="2066">
      <c r="A2066" s="3"/>
      <c r="B2066" s="3"/>
      <c r="C2066" s="3"/>
    </row>
    <row r="2067">
      <c r="A2067" s="3"/>
      <c r="B2067" s="3"/>
      <c r="C2067" s="3"/>
    </row>
    <row r="2068">
      <c r="A2068" s="3"/>
      <c r="B2068" s="3"/>
      <c r="C2068" s="3"/>
    </row>
    <row r="2069">
      <c r="A2069" s="3"/>
      <c r="B2069" s="3"/>
      <c r="C2069" s="3"/>
    </row>
    <row r="2070">
      <c r="A2070" s="3"/>
      <c r="B2070" s="3"/>
      <c r="C2070" s="3"/>
    </row>
    <row r="2071">
      <c r="A2071" s="3"/>
      <c r="B2071" s="3"/>
      <c r="C2071" s="3"/>
    </row>
    <row r="2072">
      <c r="A2072" s="3"/>
      <c r="B2072" s="3"/>
      <c r="C2072" s="3"/>
    </row>
    <row r="2073">
      <c r="A2073" s="3"/>
      <c r="B2073" s="3"/>
      <c r="C2073" s="3"/>
    </row>
    <row r="2074">
      <c r="A2074" s="3"/>
      <c r="B2074" s="3"/>
      <c r="C2074" s="3"/>
    </row>
    <row r="2075">
      <c r="A2075" s="3"/>
      <c r="B2075" s="3"/>
      <c r="C2075" s="3"/>
    </row>
    <row r="2076">
      <c r="A2076" s="3"/>
      <c r="B2076" s="3"/>
      <c r="C2076" s="3"/>
    </row>
    <row r="2077">
      <c r="A2077" s="3"/>
      <c r="B2077" s="3"/>
      <c r="C2077" s="3"/>
    </row>
    <row r="2078">
      <c r="A2078" s="3"/>
      <c r="B2078" s="3"/>
      <c r="C2078" s="3"/>
    </row>
    <row r="2079">
      <c r="A2079" s="3"/>
      <c r="B2079" s="3"/>
      <c r="C2079" s="3"/>
    </row>
    <row r="2080">
      <c r="A2080" s="3"/>
      <c r="B2080" s="3"/>
      <c r="C2080" s="3"/>
    </row>
    <row r="2081">
      <c r="A2081" s="3"/>
      <c r="B2081" s="3"/>
      <c r="C2081" s="3"/>
    </row>
    <row r="2082">
      <c r="A2082" s="3"/>
      <c r="B2082" s="3"/>
      <c r="C2082" s="3"/>
    </row>
    <row r="2083">
      <c r="A2083" s="3"/>
      <c r="B2083" s="3"/>
      <c r="C2083" s="3"/>
    </row>
    <row r="2084">
      <c r="A2084" s="3"/>
      <c r="B2084" s="3"/>
      <c r="C2084" s="3"/>
    </row>
    <row r="2085">
      <c r="A2085" s="3"/>
      <c r="B2085" s="3"/>
      <c r="C2085" s="3"/>
    </row>
    <row r="2086">
      <c r="A2086" s="3"/>
      <c r="B2086" s="3"/>
      <c r="C2086" s="3"/>
    </row>
    <row r="2087">
      <c r="A2087" s="3"/>
      <c r="B2087" s="3"/>
      <c r="C2087" s="3"/>
    </row>
    <row r="2088">
      <c r="A2088" s="3"/>
      <c r="B2088" s="3"/>
      <c r="C2088" s="3"/>
    </row>
    <row r="2089">
      <c r="A2089" s="3"/>
      <c r="B2089" s="3"/>
      <c r="C2089" s="3"/>
    </row>
    <row r="2090">
      <c r="A2090" s="3"/>
      <c r="B2090" s="3"/>
      <c r="C2090" s="3"/>
    </row>
    <row r="2091">
      <c r="A2091" s="3"/>
      <c r="B2091" s="3"/>
      <c r="C2091" s="3"/>
    </row>
    <row r="2092">
      <c r="A2092" s="3"/>
      <c r="B2092" s="3"/>
      <c r="C2092" s="3"/>
    </row>
    <row r="2093">
      <c r="A2093" s="3"/>
      <c r="B2093" s="3"/>
      <c r="C2093" s="3"/>
    </row>
    <row r="2094">
      <c r="A2094" s="3"/>
      <c r="B2094" s="3"/>
      <c r="C2094" s="3"/>
    </row>
    <row r="2095">
      <c r="A2095" s="3"/>
      <c r="B2095" s="3"/>
      <c r="C2095" s="3"/>
    </row>
    <row r="2096">
      <c r="A2096" s="3"/>
      <c r="B2096" s="3"/>
      <c r="C2096" s="3"/>
    </row>
    <row r="2097">
      <c r="A2097" s="3"/>
      <c r="B2097" s="3"/>
      <c r="C2097" s="3"/>
    </row>
    <row r="2098">
      <c r="A2098" s="3"/>
      <c r="B2098" s="3"/>
      <c r="C2098" s="3"/>
    </row>
    <row r="2099">
      <c r="A2099" s="3"/>
      <c r="B2099" s="3"/>
      <c r="C2099" s="3"/>
    </row>
    <row r="2100">
      <c r="A2100" s="3"/>
      <c r="B2100" s="3"/>
      <c r="C2100" s="3"/>
    </row>
    <row r="2101">
      <c r="A2101" s="3"/>
      <c r="B2101" s="3"/>
      <c r="C2101" s="3"/>
    </row>
    <row r="2102">
      <c r="A2102" s="3"/>
      <c r="B2102" s="3"/>
      <c r="C2102" s="3"/>
    </row>
    <row r="2103">
      <c r="A2103" s="3"/>
      <c r="B2103" s="3"/>
      <c r="C2103" s="3"/>
    </row>
    <row r="2104">
      <c r="A2104" s="3"/>
      <c r="B2104" s="3"/>
      <c r="C2104" s="3"/>
    </row>
    <row r="2105">
      <c r="A2105" s="3"/>
      <c r="B2105" s="3"/>
      <c r="C2105" s="3"/>
    </row>
    <row r="2106">
      <c r="A2106" s="3"/>
      <c r="B2106" s="3"/>
      <c r="C2106" s="3"/>
    </row>
    <row r="2107">
      <c r="A2107" s="3"/>
      <c r="B2107" s="3"/>
      <c r="C2107" s="3"/>
    </row>
    <row r="2108">
      <c r="A2108" s="3"/>
      <c r="B2108" s="3"/>
      <c r="C2108" s="3"/>
    </row>
    <row r="2109">
      <c r="A2109" s="3"/>
      <c r="B2109" s="3"/>
      <c r="C2109" s="3"/>
    </row>
    <row r="2110">
      <c r="A2110" s="3"/>
      <c r="B2110" s="3"/>
      <c r="C2110" s="3"/>
    </row>
    <row r="2111">
      <c r="A2111" s="3"/>
      <c r="B2111" s="3"/>
      <c r="C2111" s="3"/>
    </row>
    <row r="2112">
      <c r="A2112" s="3"/>
      <c r="B2112" s="3"/>
      <c r="C2112" s="3"/>
    </row>
    <row r="2113">
      <c r="A2113" s="3"/>
      <c r="B2113" s="3"/>
      <c r="C2113" s="3"/>
    </row>
    <row r="2114">
      <c r="A2114" s="3"/>
      <c r="B2114" s="3"/>
      <c r="C2114" s="3"/>
    </row>
    <row r="2115">
      <c r="A2115" s="3"/>
      <c r="B2115" s="3"/>
      <c r="C2115" s="3"/>
    </row>
    <row r="2116">
      <c r="A2116" s="3"/>
      <c r="B2116" s="3"/>
      <c r="C2116" s="3"/>
    </row>
    <row r="2117">
      <c r="A2117" s="3"/>
      <c r="B2117" s="3"/>
      <c r="C2117" s="3"/>
    </row>
    <row r="2118">
      <c r="A2118" s="3"/>
      <c r="B2118" s="3"/>
      <c r="C2118" s="3"/>
    </row>
    <row r="2119">
      <c r="A2119" s="3"/>
      <c r="B2119" s="3"/>
      <c r="C2119" s="3"/>
    </row>
    <row r="2120">
      <c r="A2120" s="3"/>
      <c r="B2120" s="3"/>
      <c r="C2120" s="3"/>
    </row>
    <row r="2121">
      <c r="A2121" s="3"/>
      <c r="B2121" s="3"/>
      <c r="C2121" s="3"/>
    </row>
    <row r="2122">
      <c r="A2122" s="3"/>
      <c r="B2122" s="3"/>
      <c r="C2122" s="3"/>
    </row>
    <row r="2123">
      <c r="A2123" s="3"/>
      <c r="B2123" s="3"/>
      <c r="C2123" s="3"/>
    </row>
    <row r="2124">
      <c r="A2124" s="3"/>
      <c r="B2124" s="3"/>
      <c r="C2124" s="3"/>
    </row>
    <row r="2125">
      <c r="A2125" s="3"/>
      <c r="B2125" s="3"/>
      <c r="C2125" s="3"/>
    </row>
    <row r="2126">
      <c r="A2126" s="3"/>
      <c r="B2126" s="3"/>
      <c r="C2126" s="3"/>
    </row>
    <row r="2127">
      <c r="A2127" s="3"/>
      <c r="B2127" s="3"/>
      <c r="C2127" s="3"/>
    </row>
    <row r="2128">
      <c r="A2128" s="3"/>
      <c r="B2128" s="3"/>
      <c r="C2128" s="3"/>
    </row>
    <row r="2129">
      <c r="A2129" s="3"/>
      <c r="B2129" s="3"/>
      <c r="C2129" s="3"/>
    </row>
    <row r="2130">
      <c r="A2130" s="3"/>
      <c r="B2130" s="3"/>
      <c r="C2130" s="3"/>
    </row>
    <row r="2131">
      <c r="A2131" s="3"/>
      <c r="B2131" s="3"/>
      <c r="C2131" s="3"/>
    </row>
    <row r="2132">
      <c r="A2132" s="3"/>
      <c r="B2132" s="3"/>
      <c r="C2132" s="3"/>
    </row>
    <row r="2133">
      <c r="A2133" s="3"/>
      <c r="B2133" s="3"/>
      <c r="C2133" s="3"/>
    </row>
    <row r="2134">
      <c r="A2134" s="3"/>
      <c r="B2134" s="3"/>
      <c r="C2134" s="3"/>
    </row>
    <row r="2135">
      <c r="A2135" s="3"/>
      <c r="B2135" s="3"/>
      <c r="C2135" s="3"/>
    </row>
    <row r="2136">
      <c r="A2136" s="3"/>
      <c r="B2136" s="3"/>
      <c r="C2136" s="3"/>
    </row>
    <row r="2137">
      <c r="A2137" s="3"/>
      <c r="B2137" s="3"/>
      <c r="C2137" s="3"/>
    </row>
    <row r="2138">
      <c r="A2138" s="3"/>
      <c r="B2138" s="3"/>
      <c r="C2138" s="3"/>
    </row>
    <row r="2139">
      <c r="A2139" s="3"/>
      <c r="B2139" s="3"/>
      <c r="C2139" s="3"/>
    </row>
    <row r="2140">
      <c r="A2140" s="3"/>
      <c r="B2140" s="3"/>
      <c r="C2140" s="3"/>
    </row>
    <row r="2141">
      <c r="A2141" s="3"/>
      <c r="B2141" s="3"/>
      <c r="C2141" s="3"/>
    </row>
    <row r="2142">
      <c r="A2142" s="3"/>
      <c r="B2142" s="3"/>
      <c r="C2142" s="3"/>
    </row>
    <row r="2143">
      <c r="A2143" s="3"/>
      <c r="B2143" s="3"/>
      <c r="C2143" s="3"/>
    </row>
    <row r="2144">
      <c r="A2144" s="3"/>
      <c r="B2144" s="3"/>
      <c r="C2144" s="3"/>
    </row>
    <row r="2145">
      <c r="A2145" s="3"/>
      <c r="B2145" s="3"/>
      <c r="C2145" s="3"/>
    </row>
    <row r="2146">
      <c r="A2146" s="3"/>
      <c r="B2146" s="3"/>
      <c r="C2146" s="3"/>
    </row>
    <row r="2147">
      <c r="A2147" s="3"/>
      <c r="B2147" s="3"/>
      <c r="C2147" s="3"/>
    </row>
    <row r="2148">
      <c r="A2148" s="3"/>
      <c r="B2148" s="3"/>
      <c r="C2148" s="3"/>
    </row>
    <row r="2149">
      <c r="A2149" s="3"/>
      <c r="B2149" s="3"/>
      <c r="C2149" s="3"/>
    </row>
    <row r="2150">
      <c r="A2150" s="3"/>
      <c r="B2150" s="3"/>
      <c r="C2150" s="3"/>
    </row>
    <row r="2151">
      <c r="A2151" s="3"/>
      <c r="B2151" s="3"/>
      <c r="C2151" s="3"/>
    </row>
    <row r="2152">
      <c r="A2152" s="3"/>
      <c r="B2152" s="3"/>
      <c r="C2152" s="3"/>
    </row>
    <row r="2153">
      <c r="A2153" s="3"/>
      <c r="B2153" s="3"/>
      <c r="C2153" s="3"/>
    </row>
    <row r="2154">
      <c r="A2154" s="3"/>
      <c r="B2154" s="3"/>
      <c r="C2154" s="3"/>
    </row>
    <row r="2155">
      <c r="A2155" s="3"/>
      <c r="B2155" s="3"/>
      <c r="C2155" s="3"/>
    </row>
    <row r="2156">
      <c r="A2156" s="3"/>
      <c r="B2156" s="3"/>
      <c r="C2156" s="3"/>
    </row>
    <row r="2157">
      <c r="A2157" s="3"/>
      <c r="B2157" s="3"/>
      <c r="C2157" s="3"/>
    </row>
    <row r="2158">
      <c r="A2158" s="3"/>
      <c r="B2158" s="3"/>
      <c r="C2158" s="3"/>
    </row>
    <row r="2159">
      <c r="A2159" s="3"/>
      <c r="B2159" s="3"/>
      <c r="C2159" s="3"/>
    </row>
    <row r="2160">
      <c r="A2160" s="3"/>
      <c r="B2160" s="3"/>
      <c r="C2160" s="3"/>
    </row>
    <row r="2161">
      <c r="A2161" s="3"/>
      <c r="B2161" s="3"/>
      <c r="C2161" s="3"/>
    </row>
    <row r="2162">
      <c r="A2162" s="3"/>
      <c r="B2162" s="3"/>
      <c r="C2162" s="3"/>
    </row>
    <row r="2163">
      <c r="A2163" s="3"/>
      <c r="B2163" s="3"/>
      <c r="C2163" s="3"/>
    </row>
    <row r="2164">
      <c r="A2164" s="3"/>
      <c r="B2164" s="3"/>
      <c r="C2164" s="3"/>
    </row>
    <row r="2165">
      <c r="A2165" s="3"/>
      <c r="B2165" s="3"/>
      <c r="C2165" s="3"/>
    </row>
    <row r="2166">
      <c r="A2166" s="3"/>
      <c r="B2166" s="3"/>
      <c r="C2166" s="3"/>
    </row>
    <row r="2167">
      <c r="A2167" s="3"/>
      <c r="B2167" s="3"/>
      <c r="C2167" s="3"/>
    </row>
    <row r="2168">
      <c r="A2168" s="3"/>
      <c r="B2168" s="3"/>
      <c r="C2168" s="3"/>
    </row>
    <row r="2169">
      <c r="A2169" s="3"/>
      <c r="B2169" s="3"/>
      <c r="C2169" s="3"/>
    </row>
    <row r="2170">
      <c r="A2170" s="3"/>
      <c r="B2170" s="3"/>
      <c r="C2170" s="3"/>
    </row>
    <row r="2171">
      <c r="A2171" s="3"/>
      <c r="B2171" s="3"/>
      <c r="C2171" s="3"/>
    </row>
    <row r="2172">
      <c r="A2172" s="3"/>
      <c r="B2172" s="3"/>
      <c r="C2172" s="3"/>
    </row>
    <row r="2173">
      <c r="A2173" s="3"/>
      <c r="B2173" s="3"/>
      <c r="C2173" s="3"/>
    </row>
    <row r="2174">
      <c r="A2174" s="3"/>
      <c r="B2174" s="3"/>
      <c r="C2174" s="3"/>
    </row>
    <row r="2175">
      <c r="A2175" s="3"/>
      <c r="B2175" s="3"/>
      <c r="C2175" s="3"/>
    </row>
    <row r="2176">
      <c r="A2176" s="3"/>
      <c r="B2176" s="3"/>
      <c r="C2176" s="3"/>
    </row>
    <row r="2177">
      <c r="A2177" s="3"/>
      <c r="B2177" s="3"/>
      <c r="C2177" s="3"/>
    </row>
    <row r="2178">
      <c r="A2178" s="3"/>
      <c r="B2178" s="3"/>
      <c r="C2178" s="3"/>
    </row>
    <row r="2179">
      <c r="A2179" s="3"/>
      <c r="B2179" s="3"/>
      <c r="C2179" s="3"/>
    </row>
    <row r="2180">
      <c r="A2180" s="3"/>
      <c r="B2180" s="3"/>
      <c r="C2180" s="3"/>
    </row>
    <row r="2181">
      <c r="A2181" s="3"/>
      <c r="B2181" s="3"/>
      <c r="C2181" s="3"/>
    </row>
    <row r="2182">
      <c r="A2182" s="3"/>
      <c r="B2182" s="3"/>
      <c r="C2182" s="3"/>
    </row>
    <row r="2183">
      <c r="A2183" s="3"/>
      <c r="B2183" s="3"/>
      <c r="C2183" s="3"/>
    </row>
    <row r="2184">
      <c r="A2184" s="3"/>
      <c r="B2184" s="3"/>
      <c r="C2184" s="3"/>
    </row>
    <row r="2185">
      <c r="A2185" s="3"/>
      <c r="B2185" s="3"/>
      <c r="C2185" s="3"/>
    </row>
    <row r="2186">
      <c r="A2186" s="3"/>
      <c r="B2186" s="3"/>
      <c r="C2186" s="3"/>
    </row>
    <row r="2187">
      <c r="A2187" s="3"/>
      <c r="B2187" s="3"/>
      <c r="C2187" s="3"/>
    </row>
    <row r="2188">
      <c r="A2188" s="3"/>
      <c r="B2188" s="3"/>
      <c r="C2188" s="3"/>
    </row>
    <row r="2189">
      <c r="A2189" s="3"/>
      <c r="B2189" s="3"/>
      <c r="C2189" s="3"/>
    </row>
    <row r="2190">
      <c r="A2190" s="3"/>
      <c r="B2190" s="3"/>
      <c r="C2190" s="3"/>
    </row>
    <row r="2191">
      <c r="A2191" s="3"/>
      <c r="B2191" s="3"/>
      <c r="C2191" s="3"/>
    </row>
    <row r="2192">
      <c r="A2192" s="3"/>
      <c r="B2192" s="3"/>
      <c r="C2192" s="3"/>
    </row>
    <row r="2193">
      <c r="A2193" s="3"/>
      <c r="B2193" s="3"/>
      <c r="C2193" s="3"/>
    </row>
    <row r="2194">
      <c r="A2194" s="3"/>
      <c r="B2194" s="3"/>
      <c r="C2194" s="3"/>
    </row>
    <row r="2195">
      <c r="A2195" s="3"/>
      <c r="B2195" s="3"/>
      <c r="C2195" s="3"/>
    </row>
    <row r="2196">
      <c r="A2196" s="3"/>
      <c r="B2196" s="3"/>
      <c r="C2196" s="3"/>
    </row>
    <row r="2197">
      <c r="A2197" s="3"/>
      <c r="B2197" s="3"/>
      <c r="C2197" s="3"/>
    </row>
    <row r="2198">
      <c r="A2198" s="3"/>
      <c r="B2198" s="3"/>
      <c r="C2198" s="3"/>
    </row>
    <row r="2199">
      <c r="A2199" s="3"/>
      <c r="B2199" s="3"/>
      <c r="C2199" s="3"/>
    </row>
    <row r="2200">
      <c r="A2200" s="3"/>
      <c r="B2200" s="3"/>
      <c r="C2200" s="3"/>
    </row>
    <row r="2201">
      <c r="A2201" s="3"/>
      <c r="B2201" s="3"/>
      <c r="C2201" s="3"/>
    </row>
    <row r="2202">
      <c r="A2202" s="3"/>
      <c r="B2202" s="3"/>
      <c r="C2202" s="3"/>
    </row>
    <row r="2203">
      <c r="A2203" s="3"/>
      <c r="B2203" s="3"/>
      <c r="C2203" s="3"/>
    </row>
    <row r="2204">
      <c r="A2204" s="3"/>
      <c r="B2204" s="3"/>
      <c r="C2204" s="3"/>
    </row>
    <row r="2205">
      <c r="A2205" s="3"/>
      <c r="B2205" s="3"/>
      <c r="C2205" s="3"/>
    </row>
    <row r="2206">
      <c r="A2206" s="3"/>
      <c r="B2206" s="3"/>
      <c r="C2206" s="3"/>
    </row>
    <row r="2207">
      <c r="A2207" s="3"/>
      <c r="B2207" s="3"/>
      <c r="C2207" s="3"/>
    </row>
    <row r="2208">
      <c r="A2208" s="3"/>
      <c r="B2208" s="3"/>
      <c r="C2208" s="3"/>
    </row>
    <row r="2209">
      <c r="A2209" s="3"/>
      <c r="B2209" s="3"/>
      <c r="C2209" s="3"/>
    </row>
    <row r="2210">
      <c r="A2210" s="3"/>
      <c r="B2210" s="3"/>
      <c r="C2210" s="3"/>
    </row>
    <row r="2211">
      <c r="A2211" s="3"/>
      <c r="B2211" s="3"/>
      <c r="C2211" s="3"/>
    </row>
    <row r="2212">
      <c r="A2212" s="3"/>
      <c r="B2212" s="3"/>
      <c r="C2212" s="3"/>
    </row>
    <row r="2213">
      <c r="A2213" s="3"/>
      <c r="B2213" s="3"/>
      <c r="C2213" s="3"/>
    </row>
    <row r="2214">
      <c r="A2214" s="3"/>
      <c r="B2214" s="3"/>
      <c r="C2214" s="3"/>
    </row>
    <row r="2215">
      <c r="A2215" s="3"/>
      <c r="B2215" s="3"/>
      <c r="C2215" s="3"/>
    </row>
    <row r="2216">
      <c r="A2216" s="3"/>
      <c r="B2216" s="3"/>
      <c r="C2216" s="3"/>
    </row>
    <row r="2217">
      <c r="A2217" s="3"/>
      <c r="B2217" s="3"/>
      <c r="C2217" s="3"/>
    </row>
    <row r="2218">
      <c r="A2218" s="3"/>
      <c r="B2218" s="3"/>
      <c r="C2218" s="3"/>
    </row>
    <row r="2219">
      <c r="A2219" s="3"/>
      <c r="B2219" s="3"/>
      <c r="C2219" s="3"/>
    </row>
    <row r="2220">
      <c r="A2220" s="3"/>
      <c r="B2220" s="3"/>
      <c r="C2220" s="3"/>
    </row>
    <row r="2221">
      <c r="A2221" s="3"/>
      <c r="B2221" s="3"/>
      <c r="C2221" s="3"/>
    </row>
    <row r="2222">
      <c r="A2222" s="3"/>
      <c r="B2222" s="3"/>
      <c r="C2222" s="3"/>
    </row>
    <row r="2223">
      <c r="A2223" s="3"/>
      <c r="B2223" s="3"/>
      <c r="C2223" s="3"/>
    </row>
    <row r="2224">
      <c r="A2224" s="3"/>
      <c r="B2224" s="3"/>
      <c r="C2224" s="3"/>
    </row>
    <row r="2225">
      <c r="A2225" s="3"/>
      <c r="B2225" s="3"/>
      <c r="C2225" s="3"/>
    </row>
    <row r="2226">
      <c r="A2226" s="3"/>
      <c r="B2226" s="3"/>
      <c r="C2226" s="3"/>
    </row>
    <row r="2227">
      <c r="A2227" s="3"/>
      <c r="B2227" s="3"/>
      <c r="C2227" s="3"/>
    </row>
    <row r="2228">
      <c r="A2228" s="3"/>
      <c r="B2228" s="3"/>
      <c r="C2228" s="3"/>
    </row>
    <row r="2229">
      <c r="A2229" s="3"/>
      <c r="B2229" s="3"/>
      <c r="C2229" s="3"/>
    </row>
    <row r="2230">
      <c r="A2230" s="3"/>
      <c r="B2230" s="3"/>
      <c r="C2230" s="3"/>
    </row>
    <row r="2231">
      <c r="A2231" s="3"/>
      <c r="B2231" s="3"/>
      <c r="C2231" s="3"/>
    </row>
    <row r="2232">
      <c r="A2232" s="3"/>
      <c r="B2232" s="3"/>
      <c r="C2232" s="3"/>
    </row>
    <row r="2233">
      <c r="A2233" s="3"/>
      <c r="B2233" s="3"/>
      <c r="C2233" s="3"/>
    </row>
    <row r="2234">
      <c r="A2234" s="3"/>
      <c r="B2234" s="3"/>
      <c r="C2234" s="3"/>
    </row>
    <row r="2235">
      <c r="A2235" s="3"/>
      <c r="B2235" s="3"/>
      <c r="C2235" s="3"/>
    </row>
    <row r="2236">
      <c r="A2236" s="3"/>
      <c r="B2236" s="3"/>
      <c r="C2236" s="3"/>
    </row>
    <row r="2237">
      <c r="A2237" s="3"/>
      <c r="B2237" s="3"/>
      <c r="C2237" s="3"/>
    </row>
    <row r="2238">
      <c r="A2238" s="3"/>
      <c r="B2238" s="3"/>
      <c r="C2238" s="3"/>
    </row>
    <row r="2239">
      <c r="A2239" s="3"/>
      <c r="B2239" s="3"/>
      <c r="C2239" s="3"/>
    </row>
    <row r="2240">
      <c r="A2240" s="3"/>
      <c r="B2240" s="3"/>
      <c r="C2240" s="3"/>
    </row>
    <row r="2241">
      <c r="A2241" s="3"/>
      <c r="B2241" s="3"/>
      <c r="C2241" s="3"/>
    </row>
    <row r="2242">
      <c r="A2242" s="3"/>
      <c r="B2242" s="3"/>
      <c r="C2242" s="3"/>
    </row>
    <row r="2243">
      <c r="A2243" s="3"/>
      <c r="B2243" s="3"/>
      <c r="C2243" s="3"/>
    </row>
    <row r="2244">
      <c r="A2244" s="3"/>
      <c r="B2244" s="3"/>
      <c r="C2244" s="3"/>
    </row>
    <row r="2245">
      <c r="A2245" s="3"/>
      <c r="B2245" s="3"/>
      <c r="C2245" s="3"/>
    </row>
    <row r="2246">
      <c r="A2246" s="3"/>
      <c r="B2246" s="3"/>
      <c r="C2246" s="3"/>
    </row>
    <row r="2247">
      <c r="A2247" s="3"/>
      <c r="B2247" s="3"/>
      <c r="C2247" s="3"/>
    </row>
    <row r="2248">
      <c r="A2248" s="3"/>
      <c r="B2248" s="3"/>
      <c r="C2248" s="3"/>
    </row>
    <row r="2249">
      <c r="A2249" s="3"/>
      <c r="B2249" s="3"/>
      <c r="C2249" s="3"/>
    </row>
    <row r="2250">
      <c r="A2250" s="3"/>
      <c r="B2250" s="3"/>
      <c r="C2250" s="3"/>
    </row>
    <row r="2251">
      <c r="A2251" s="3"/>
      <c r="B2251" s="3"/>
      <c r="C2251" s="3"/>
    </row>
    <row r="2252">
      <c r="A2252" s="3"/>
      <c r="B2252" s="3"/>
      <c r="C2252" s="3"/>
    </row>
    <row r="2253">
      <c r="A2253" s="3"/>
      <c r="B2253" s="3"/>
      <c r="C2253" s="3"/>
    </row>
    <row r="2254">
      <c r="A2254" s="3"/>
      <c r="B2254" s="3"/>
      <c r="C2254" s="3"/>
    </row>
    <row r="2255">
      <c r="A2255" s="3"/>
      <c r="B2255" s="3"/>
      <c r="C2255" s="3"/>
    </row>
    <row r="2256">
      <c r="A2256" s="3"/>
      <c r="B2256" s="3"/>
      <c r="C2256" s="3"/>
    </row>
    <row r="2257">
      <c r="A2257" s="3"/>
      <c r="B2257" s="3"/>
      <c r="C2257" s="3"/>
    </row>
    <row r="2258">
      <c r="A2258" s="3"/>
      <c r="B2258" s="3"/>
      <c r="C2258" s="3"/>
    </row>
    <row r="2259">
      <c r="A2259" s="3"/>
      <c r="B2259" s="3"/>
      <c r="C2259" s="3"/>
    </row>
    <row r="2260">
      <c r="A2260" s="3"/>
      <c r="B2260" s="3"/>
      <c r="C2260" s="3"/>
    </row>
    <row r="2261">
      <c r="A2261" s="3"/>
      <c r="B2261" s="3"/>
      <c r="C2261" s="3"/>
    </row>
    <row r="2262">
      <c r="A2262" s="3"/>
      <c r="B2262" s="3"/>
      <c r="C2262" s="3"/>
    </row>
    <row r="2263">
      <c r="A2263" s="3"/>
      <c r="B2263" s="3"/>
      <c r="C2263" s="3"/>
    </row>
    <row r="2264">
      <c r="A2264" s="3"/>
      <c r="B2264" s="3"/>
      <c r="C2264" s="3"/>
    </row>
    <row r="2265">
      <c r="A2265" s="3"/>
      <c r="B2265" s="3"/>
      <c r="C2265" s="3"/>
    </row>
    <row r="2266">
      <c r="A2266" s="3"/>
      <c r="B2266" s="3"/>
      <c r="C2266" s="3"/>
    </row>
    <row r="2267">
      <c r="A2267" s="3"/>
      <c r="B2267" s="3"/>
      <c r="C2267" s="3"/>
    </row>
    <row r="2268">
      <c r="A2268" s="3"/>
      <c r="B2268" s="3"/>
      <c r="C2268" s="3"/>
    </row>
    <row r="2269">
      <c r="A2269" s="3"/>
      <c r="B2269" s="3"/>
      <c r="C2269" s="3"/>
    </row>
    <row r="2270">
      <c r="A2270" s="3"/>
      <c r="B2270" s="3"/>
      <c r="C2270" s="3"/>
    </row>
    <row r="2271">
      <c r="A2271" s="3"/>
      <c r="B2271" s="3"/>
      <c r="C2271" s="3"/>
    </row>
    <row r="2272">
      <c r="A2272" s="3"/>
      <c r="B2272" s="3"/>
      <c r="C2272" s="3"/>
    </row>
    <row r="2273">
      <c r="A2273" s="3"/>
      <c r="B2273" s="3"/>
      <c r="C2273" s="3"/>
    </row>
    <row r="2274">
      <c r="A2274" s="3"/>
      <c r="B2274" s="3"/>
      <c r="C2274" s="3"/>
    </row>
    <row r="2275">
      <c r="A2275" s="3"/>
      <c r="B2275" s="3"/>
      <c r="C2275" s="3"/>
    </row>
    <row r="2276">
      <c r="A2276" s="3"/>
      <c r="B2276" s="3"/>
      <c r="C2276" s="3"/>
    </row>
    <row r="2277">
      <c r="A2277" s="3"/>
      <c r="B2277" s="3"/>
      <c r="C2277" s="3"/>
    </row>
    <row r="2278">
      <c r="A2278" s="3"/>
      <c r="B2278" s="3"/>
      <c r="C2278" s="3"/>
    </row>
    <row r="2279">
      <c r="A2279" s="3"/>
      <c r="B2279" s="3"/>
      <c r="C2279" s="3"/>
    </row>
    <row r="2280">
      <c r="A2280" s="3"/>
      <c r="B2280" s="3"/>
      <c r="C2280" s="3"/>
    </row>
    <row r="2281">
      <c r="A2281" s="3"/>
      <c r="B2281" s="3"/>
      <c r="C2281" s="3"/>
    </row>
    <row r="2282">
      <c r="A2282" s="3"/>
      <c r="B2282" s="3"/>
      <c r="C2282" s="3"/>
    </row>
    <row r="2283">
      <c r="A2283" s="3"/>
      <c r="B2283" s="3"/>
      <c r="C2283" s="3"/>
    </row>
    <row r="2284">
      <c r="A2284" s="3"/>
      <c r="B2284" s="3"/>
      <c r="C2284" s="3"/>
    </row>
    <row r="2285">
      <c r="A2285" s="3"/>
      <c r="B2285" s="3"/>
      <c r="C2285" s="3"/>
    </row>
    <row r="2286">
      <c r="A2286" s="3"/>
      <c r="B2286" s="3"/>
      <c r="C2286" s="3"/>
    </row>
    <row r="2287">
      <c r="A2287" s="3"/>
      <c r="B2287" s="3"/>
      <c r="C2287" s="3"/>
    </row>
    <row r="2288">
      <c r="A2288" s="3"/>
      <c r="B2288" s="3"/>
      <c r="C2288" s="3"/>
    </row>
    <row r="2289">
      <c r="A2289" s="3"/>
      <c r="B2289" s="3"/>
      <c r="C2289" s="3"/>
    </row>
    <row r="2290">
      <c r="A2290" s="3"/>
      <c r="B2290" s="3"/>
      <c r="C2290" s="3"/>
    </row>
    <row r="2291">
      <c r="A2291" s="3"/>
      <c r="B2291" s="3"/>
      <c r="C2291" s="3"/>
    </row>
    <row r="2292">
      <c r="A2292" s="3"/>
      <c r="B2292" s="3"/>
      <c r="C2292" s="3"/>
    </row>
    <row r="2293">
      <c r="A2293" s="3"/>
      <c r="B2293" s="3"/>
      <c r="C2293" s="3"/>
    </row>
    <row r="2294">
      <c r="A2294" s="3"/>
      <c r="B2294" s="3"/>
      <c r="C2294" s="3"/>
    </row>
    <row r="2295">
      <c r="A2295" s="3"/>
      <c r="B2295" s="3"/>
      <c r="C2295" s="3"/>
    </row>
    <row r="2296">
      <c r="A2296" s="3"/>
      <c r="B2296" s="3"/>
      <c r="C2296" s="3"/>
    </row>
    <row r="2297">
      <c r="A2297" s="3"/>
      <c r="B2297" s="3"/>
      <c r="C2297" s="3"/>
    </row>
    <row r="2298">
      <c r="A2298" s="3"/>
      <c r="B2298" s="3"/>
      <c r="C2298" s="3"/>
    </row>
    <row r="2299">
      <c r="A2299" s="3"/>
      <c r="B2299" s="3"/>
      <c r="C2299" s="3"/>
    </row>
    <row r="2300">
      <c r="A2300" s="3"/>
      <c r="B2300" s="3"/>
      <c r="C2300" s="3"/>
    </row>
    <row r="2301">
      <c r="A2301" s="3"/>
      <c r="B2301" s="3"/>
      <c r="C2301" s="3"/>
    </row>
    <row r="2302">
      <c r="A2302" s="3"/>
      <c r="B2302" s="3"/>
      <c r="C2302" s="3"/>
    </row>
    <row r="2303">
      <c r="A2303" s="3"/>
      <c r="B2303" s="3"/>
      <c r="C2303" s="3"/>
    </row>
    <row r="2304">
      <c r="A2304" s="3"/>
      <c r="B2304" s="3"/>
      <c r="C2304" s="3"/>
    </row>
    <row r="2305">
      <c r="A2305" s="3"/>
      <c r="B2305" s="3"/>
      <c r="C2305" s="3"/>
    </row>
    <row r="2306">
      <c r="A2306" s="3"/>
      <c r="B2306" s="3"/>
      <c r="C2306" s="3"/>
    </row>
    <row r="2307">
      <c r="A2307" s="3"/>
      <c r="B2307" s="3"/>
      <c r="C2307" s="3"/>
    </row>
    <row r="2308">
      <c r="A2308" s="3"/>
      <c r="B2308" s="3"/>
      <c r="C2308" s="3"/>
    </row>
    <row r="2309">
      <c r="A2309" s="3"/>
      <c r="B2309" s="3"/>
      <c r="C2309" s="3"/>
    </row>
    <row r="2310">
      <c r="A2310" s="3"/>
      <c r="B2310" s="3"/>
      <c r="C2310" s="3"/>
    </row>
    <row r="2311">
      <c r="A2311" s="3"/>
      <c r="B2311" s="3"/>
      <c r="C2311" s="3"/>
    </row>
    <row r="2312">
      <c r="A2312" s="3"/>
      <c r="B2312" s="3"/>
      <c r="C2312" s="3"/>
    </row>
    <row r="2313">
      <c r="A2313" s="3"/>
      <c r="B2313" s="3"/>
      <c r="C2313" s="3"/>
    </row>
    <row r="2314">
      <c r="A2314" s="3"/>
      <c r="B2314" s="3"/>
      <c r="C2314" s="3"/>
    </row>
    <row r="2315">
      <c r="A2315" s="3"/>
      <c r="B2315" s="3"/>
      <c r="C2315" s="3"/>
    </row>
    <row r="2316">
      <c r="A2316" s="3"/>
      <c r="B2316" s="3"/>
      <c r="C2316" s="3"/>
    </row>
    <row r="2317">
      <c r="A2317" s="3"/>
      <c r="B2317" s="3"/>
      <c r="C2317" s="3"/>
    </row>
    <row r="2318">
      <c r="A2318" s="3"/>
      <c r="B2318" s="3"/>
      <c r="C2318" s="3"/>
    </row>
    <row r="2319">
      <c r="A2319" s="3"/>
      <c r="B2319" s="3"/>
      <c r="C2319" s="3"/>
    </row>
    <row r="2320">
      <c r="A2320" s="3"/>
      <c r="B2320" s="3"/>
      <c r="C2320" s="3"/>
    </row>
    <row r="2321">
      <c r="A2321" s="3"/>
      <c r="B2321" s="3"/>
      <c r="C2321" s="3"/>
    </row>
    <row r="2322">
      <c r="A2322" s="3"/>
      <c r="B2322" s="3"/>
      <c r="C2322" s="3"/>
    </row>
    <row r="2323">
      <c r="A2323" s="3"/>
      <c r="B2323" s="3"/>
      <c r="C2323" s="3"/>
    </row>
    <row r="2324">
      <c r="A2324" s="3"/>
      <c r="B2324" s="3"/>
      <c r="C2324" s="3"/>
    </row>
    <row r="2325">
      <c r="A2325" s="3"/>
      <c r="B2325" s="3"/>
      <c r="C2325" s="3"/>
    </row>
    <row r="2326">
      <c r="A2326" s="3"/>
      <c r="B2326" s="3"/>
      <c r="C2326" s="3"/>
    </row>
    <row r="2327">
      <c r="A2327" s="3"/>
      <c r="B2327" s="3"/>
      <c r="C2327" s="3"/>
    </row>
    <row r="2328">
      <c r="A2328" s="3"/>
      <c r="B2328" s="3"/>
      <c r="C2328" s="3"/>
    </row>
    <row r="2329">
      <c r="A2329" s="3"/>
      <c r="B2329" s="3"/>
      <c r="C2329" s="3"/>
    </row>
    <row r="2330">
      <c r="A2330" s="3"/>
      <c r="B2330" s="3"/>
      <c r="C2330" s="3"/>
    </row>
    <row r="2331">
      <c r="A2331" s="3"/>
      <c r="B2331" s="3"/>
      <c r="C2331" s="3"/>
    </row>
    <row r="2332">
      <c r="A2332" s="3"/>
      <c r="B2332" s="3"/>
      <c r="C2332" s="3"/>
    </row>
    <row r="2333">
      <c r="A2333" s="3"/>
      <c r="B2333" s="3"/>
      <c r="C2333" s="3"/>
    </row>
    <row r="2334">
      <c r="A2334" s="3"/>
      <c r="B2334" s="3"/>
      <c r="C2334" s="3"/>
    </row>
    <row r="2335">
      <c r="A2335" s="3"/>
      <c r="B2335" s="3"/>
      <c r="C2335" s="3"/>
    </row>
    <row r="2336">
      <c r="A2336" s="3"/>
      <c r="B2336" s="3"/>
      <c r="C2336" s="3"/>
    </row>
    <row r="2337">
      <c r="A2337" s="3"/>
      <c r="B2337" s="3"/>
      <c r="C2337" s="3"/>
    </row>
    <row r="2338">
      <c r="A2338" s="3"/>
      <c r="B2338" s="3"/>
      <c r="C2338" s="3"/>
    </row>
    <row r="2339">
      <c r="A2339" s="3"/>
      <c r="B2339" s="3"/>
      <c r="C2339" s="3"/>
    </row>
    <row r="2340">
      <c r="A2340" s="3"/>
      <c r="B2340" s="3"/>
      <c r="C2340" s="3"/>
    </row>
    <row r="2341">
      <c r="A2341" s="3"/>
      <c r="B2341" s="3"/>
      <c r="C2341" s="3"/>
    </row>
    <row r="2342">
      <c r="A2342" s="3"/>
      <c r="B2342" s="3"/>
      <c r="C2342" s="3"/>
    </row>
    <row r="2343">
      <c r="A2343" s="3"/>
      <c r="B2343" s="3"/>
      <c r="C2343" s="3"/>
    </row>
    <row r="2344">
      <c r="A2344" s="3"/>
      <c r="B2344" s="3"/>
      <c r="C2344" s="3"/>
    </row>
    <row r="2345">
      <c r="A2345" s="3"/>
      <c r="B2345" s="3"/>
      <c r="C2345" s="3"/>
    </row>
    <row r="2346">
      <c r="A2346" s="3"/>
      <c r="B2346" s="3"/>
      <c r="C2346" s="3"/>
    </row>
    <row r="2347">
      <c r="A2347" s="3"/>
      <c r="B2347" s="3"/>
      <c r="C2347" s="3"/>
    </row>
    <row r="2348">
      <c r="A2348" s="3"/>
      <c r="B2348" s="3"/>
      <c r="C2348" s="3"/>
    </row>
    <row r="2349">
      <c r="A2349" s="3"/>
      <c r="B2349" s="3"/>
      <c r="C2349" s="3"/>
    </row>
    <row r="2350">
      <c r="A2350" s="3"/>
      <c r="B2350" s="3"/>
      <c r="C2350" s="3"/>
    </row>
    <row r="2351">
      <c r="A2351" s="3"/>
      <c r="B2351" s="3"/>
      <c r="C2351" s="3"/>
    </row>
    <row r="2352">
      <c r="A2352" s="3"/>
      <c r="B2352" s="3"/>
      <c r="C2352" s="3"/>
    </row>
    <row r="2353">
      <c r="A2353" s="3"/>
      <c r="B2353" s="3"/>
      <c r="C2353" s="3"/>
    </row>
    <row r="2354">
      <c r="A2354" s="3"/>
      <c r="B2354" s="3"/>
      <c r="C2354" s="3"/>
    </row>
    <row r="2355">
      <c r="A2355" s="3"/>
      <c r="B2355" s="3"/>
      <c r="C2355" s="3"/>
    </row>
    <row r="2356">
      <c r="A2356" s="3"/>
      <c r="B2356" s="3"/>
      <c r="C2356" s="3"/>
    </row>
    <row r="2357">
      <c r="A2357" s="3"/>
      <c r="B2357" s="3"/>
      <c r="C2357" s="3"/>
    </row>
    <row r="2358">
      <c r="A2358" s="3"/>
      <c r="B2358" s="3"/>
      <c r="C2358" s="3"/>
    </row>
    <row r="2359">
      <c r="A2359" s="3"/>
      <c r="B2359" s="3"/>
      <c r="C2359" s="3"/>
    </row>
    <row r="2360">
      <c r="A2360" s="3"/>
      <c r="B2360" s="3"/>
      <c r="C2360" s="3"/>
    </row>
    <row r="2361">
      <c r="A2361" s="3"/>
      <c r="B2361" s="3"/>
      <c r="C2361" s="3"/>
    </row>
    <row r="2362">
      <c r="A2362" s="3"/>
      <c r="B2362" s="3"/>
      <c r="C2362" s="3"/>
    </row>
    <row r="2363">
      <c r="A2363" s="3"/>
      <c r="B2363" s="3"/>
      <c r="C2363" s="3"/>
    </row>
    <row r="2364">
      <c r="A2364" s="3"/>
      <c r="B2364" s="3"/>
      <c r="C2364" s="3"/>
    </row>
    <row r="2365">
      <c r="A2365" s="3"/>
      <c r="B2365" s="3"/>
      <c r="C2365" s="3"/>
    </row>
    <row r="2366">
      <c r="A2366" s="3"/>
      <c r="B2366" s="3"/>
      <c r="C2366" s="3"/>
    </row>
    <row r="2367">
      <c r="A2367" s="3"/>
      <c r="B2367" s="3"/>
      <c r="C2367" s="3"/>
    </row>
    <row r="2368">
      <c r="A2368" s="3"/>
      <c r="B2368" s="3"/>
      <c r="C2368" s="3"/>
    </row>
    <row r="2369">
      <c r="A2369" s="3"/>
      <c r="B2369" s="3"/>
      <c r="C2369" s="3"/>
    </row>
    <row r="2370">
      <c r="A2370" s="3"/>
      <c r="B2370" s="3"/>
      <c r="C2370" s="3"/>
    </row>
    <row r="2371">
      <c r="A2371" s="3"/>
      <c r="B2371" s="3"/>
      <c r="C2371" s="3"/>
    </row>
    <row r="2372">
      <c r="A2372" s="3"/>
      <c r="B2372" s="3"/>
      <c r="C2372" s="3"/>
    </row>
    <row r="2373">
      <c r="A2373" s="3"/>
      <c r="B2373" s="3"/>
      <c r="C2373" s="3"/>
    </row>
    <row r="2374">
      <c r="A2374" s="3"/>
      <c r="B2374" s="3"/>
      <c r="C2374" s="3"/>
    </row>
    <row r="2375">
      <c r="A2375" s="3"/>
      <c r="B2375" s="3"/>
      <c r="C2375" s="3"/>
    </row>
    <row r="2376">
      <c r="A2376" s="3"/>
      <c r="B2376" s="3"/>
      <c r="C2376" s="3"/>
    </row>
    <row r="2377">
      <c r="A2377" s="3"/>
      <c r="B2377" s="3"/>
      <c r="C2377" s="3"/>
    </row>
    <row r="2378">
      <c r="A2378" s="3"/>
      <c r="B2378" s="3"/>
      <c r="C2378" s="3"/>
    </row>
    <row r="2379">
      <c r="A2379" s="3"/>
      <c r="B2379" s="3"/>
      <c r="C2379" s="3"/>
    </row>
    <row r="2380">
      <c r="A2380" s="3"/>
      <c r="B2380" s="3"/>
      <c r="C2380" s="3"/>
    </row>
    <row r="2381">
      <c r="A2381" s="3"/>
      <c r="B2381" s="3"/>
      <c r="C2381" s="3"/>
    </row>
    <row r="2382">
      <c r="A2382" s="3"/>
      <c r="B2382" s="3"/>
      <c r="C2382" s="3"/>
    </row>
    <row r="2383">
      <c r="A2383" s="3"/>
      <c r="B2383" s="3"/>
      <c r="C2383" s="3"/>
    </row>
    <row r="2384">
      <c r="A2384" s="3"/>
      <c r="B2384" s="3"/>
      <c r="C2384" s="3"/>
    </row>
    <row r="2385">
      <c r="A2385" s="3"/>
      <c r="B2385" s="3"/>
      <c r="C2385" s="3"/>
    </row>
    <row r="2386">
      <c r="A2386" s="3"/>
      <c r="B2386" s="3"/>
      <c r="C2386" s="3"/>
    </row>
    <row r="2387">
      <c r="A2387" s="3"/>
      <c r="B2387" s="3"/>
      <c r="C2387" s="3"/>
    </row>
    <row r="2388">
      <c r="A2388" s="3"/>
      <c r="B2388" s="3"/>
      <c r="C2388" s="3"/>
    </row>
    <row r="2389">
      <c r="A2389" s="3"/>
      <c r="B2389" s="3"/>
      <c r="C2389" s="3"/>
    </row>
    <row r="2390">
      <c r="A2390" s="3"/>
      <c r="B2390" s="3"/>
      <c r="C2390" s="3"/>
    </row>
    <row r="2391">
      <c r="A2391" s="3"/>
      <c r="B2391" s="3"/>
      <c r="C2391" s="3"/>
    </row>
    <row r="2392">
      <c r="A2392" s="3"/>
      <c r="B2392" s="3"/>
      <c r="C2392" s="3"/>
    </row>
    <row r="2393">
      <c r="A2393" s="3"/>
      <c r="B2393" s="3"/>
      <c r="C2393" s="3"/>
    </row>
    <row r="2394">
      <c r="A2394" s="3"/>
      <c r="B2394" s="3"/>
      <c r="C2394" s="3"/>
    </row>
    <row r="2395">
      <c r="A2395" s="3"/>
      <c r="B2395" s="3"/>
      <c r="C2395" s="3"/>
    </row>
    <row r="2396">
      <c r="A2396" s="3"/>
      <c r="B2396" s="3"/>
      <c r="C2396" s="3"/>
    </row>
    <row r="2397">
      <c r="A2397" s="3"/>
      <c r="B2397" s="3"/>
      <c r="C2397" s="3"/>
    </row>
    <row r="2398">
      <c r="A2398" s="3"/>
      <c r="B2398" s="3"/>
      <c r="C2398" s="3"/>
    </row>
    <row r="2399">
      <c r="A2399" s="3"/>
      <c r="B2399" s="3"/>
      <c r="C2399" s="3"/>
    </row>
    <row r="2400">
      <c r="A2400" s="3"/>
      <c r="B2400" s="3"/>
      <c r="C2400" s="3"/>
    </row>
    <row r="2401">
      <c r="A2401" s="3"/>
      <c r="B2401" s="3"/>
      <c r="C2401" s="3"/>
    </row>
    <row r="2402">
      <c r="A2402" s="3"/>
      <c r="B2402" s="3"/>
      <c r="C2402" s="3"/>
    </row>
    <row r="2403">
      <c r="A2403" s="3"/>
      <c r="B2403" s="3"/>
      <c r="C2403" s="3"/>
    </row>
    <row r="2404">
      <c r="A2404" s="3"/>
      <c r="B2404" s="3"/>
      <c r="C2404" s="3"/>
    </row>
    <row r="2405">
      <c r="A2405" s="3"/>
      <c r="B2405" s="3"/>
      <c r="C2405" s="3"/>
    </row>
    <row r="2406">
      <c r="A2406" s="3"/>
      <c r="B2406" s="3"/>
      <c r="C2406" s="3"/>
    </row>
    <row r="2407">
      <c r="A2407" s="3"/>
      <c r="B2407" s="3"/>
      <c r="C2407" s="3"/>
    </row>
    <row r="2408">
      <c r="A2408" s="3"/>
      <c r="B2408" s="3"/>
      <c r="C2408" s="3"/>
    </row>
    <row r="2409">
      <c r="A2409" s="3"/>
      <c r="B2409" s="3"/>
      <c r="C2409" s="3"/>
    </row>
    <row r="2410">
      <c r="A2410" s="3"/>
      <c r="B2410" s="3"/>
      <c r="C2410" s="3"/>
    </row>
    <row r="2411">
      <c r="A2411" s="3"/>
      <c r="B2411" s="3"/>
      <c r="C2411" s="3"/>
    </row>
    <row r="2412">
      <c r="A2412" s="3"/>
      <c r="B2412" s="3"/>
      <c r="C2412" s="3"/>
    </row>
    <row r="2413">
      <c r="A2413" s="3"/>
      <c r="B2413" s="3"/>
      <c r="C2413" s="3"/>
    </row>
    <row r="2414">
      <c r="A2414" s="3"/>
      <c r="B2414" s="3"/>
      <c r="C2414" s="3"/>
    </row>
    <row r="2415">
      <c r="A2415" s="3"/>
      <c r="B2415" s="3"/>
      <c r="C2415" s="3"/>
    </row>
    <row r="2416">
      <c r="A2416" s="3"/>
      <c r="B2416" s="3"/>
      <c r="C2416" s="3"/>
    </row>
    <row r="2417">
      <c r="A2417" s="3"/>
      <c r="B2417" s="3"/>
      <c r="C2417" s="3"/>
    </row>
    <row r="2418">
      <c r="A2418" s="3"/>
      <c r="B2418" s="3"/>
      <c r="C2418" s="3"/>
    </row>
    <row r="2419">
      <c r="A2419" s="3"/>
      <c r="B2419" s="3"/>
      <c r="C2419" s="3"/>
    </row>
    <row r="2420">
      <c r="A2420" s="3"/>
      <c r="B2420" s="3"/>
      <c r="C2420" s="3"/>
    </row>
    <row r="2421">
      <c r="A2421" s="3"/>
      <c r="B2421" s="3"/>
      <c r="C2421" s="3"/>
    </row>
    <row r="2422">
      <c r="A2422" s="3"/>
      <c r="B2422" s="3"/>
      <c r="C2422" s="3"/>
    </row>
    <row r="2423">
      <c r="A2423" s="3"/>
      <c r="B2423" s="3"/>
      <c r="C2423" s="3"/>
    </row>
    <row r="2424">
      <c r="A2424" s="3"/>
      <c r="B2424" s="3"/>
      <c r="C2424" s="3"/>
    </row>
    <row r="2425">
      <c r="A2425" s="3"/>
      <c r="B2425" s="3"/>
      <c r="C2425" s="3"/>
    </row>
    <row r="2426">
      <c r="A2426" s="3"/>
      <c r="B2426" s="3"/>
      <c r="C2426" s="3"/>
    </row>
    <row r="2427">
      <c r="A2427" s="3"/>
      <c r="B2427" s="3"/>
      <c r="C2427" s="3"/>
    </row>
    <row r="2428">
      <c r="A2428" s="3"/>
      <c r="B2428" s="3"/>
      <c r="C2428" s="3"/>
    </row>
    <row r="2429">
      <c r="A2429" s="3"/>
      <c r="B2429" s="3"/>
      <c r="C2429" s="3"/>
    </row>
    <row r="2430">
      <c r="A2430" s="3"/>
      <c r="B2430" s="3"/>
      <c r="C2430" s="3"/>
    </row>
    <row r="2431">
      <c r="A2431" s="3"/>
      <c r="B2431" s="3"/>
      <c r="C2431" s="3"/>
    </row>
    <row r="2432">
      <c r="A2432" s="3"/>
      <c r="B2432" s="3"/>
      <c r="C2432" s="3"/>
    </row>
    <row r="2433">
      <c r="A2433" s="3"/>
      <c r="B2433" s="3"/>
      <c r="C2433" s="3"/>
    </row>
    <row r="2434">
      <c r="A2434" s="3"/>
      <c r="B2434" s="3"/>
      <c r="C2434" s="3"/>
    </row>
    <row r="2435">
      <c r="A2435" s="3"/>
      <c r="B2435" s="3"/>
      <c r="C2435" s="3"/>
    </row>
    <row r="2436">
      <c r="A2436" s="3"/>
      <c r="B2436" s="3"/>
      <c r="C2436" s="3"/>
    </row>
    <row r="2437">
      <c r="A2437" s="3"/>
      <c r="B2437" s="3"/>
      <c r="C2437" s="3"/>
    </row>
    <row r="2438">
      <c r="A2438" s="3"/>
      <c r="B2438" s="3"/>
      <c r="C2438" s="3"/>
    </row>
    <row r="2439">
      <c r="A2439" s="3"/>
      <c r="B2439" s="3"/>
      <c r="C2439" s="3"/>
    </row>
    <row r="2440">
      <c r="A2440" s="3"/>
      <c r="B2440" s="3"/>
      <c r="C2440" s="3"/>
    </row>
    <row r="2441">
      <c r="A2441" s="3"/>
      <c r="B2441" s="3"/>
      <c r="C2441" s="3"/>
    </row>
    <row r="2442">
      <c r="A2442" s="3"/>
      <c r="B2442" s="3"/>
      <c r="C2442" s="3"/>
    </row>
    <row r="2443">
      <c r="A2443" s="3"/>
      <c r="B2443" s="3"/>
      <c r="C2443" s="3"/>
    </row>
    <row r="2444">
      <c r="A2444" s="3"/>
      <c r="B2444" s="3"/>
      <c r="C2444" s="3"/>
    </row>
    <row r="2445">
      <c r="A2445" s="3"/>
      <c r="B2445" s="3"/>
      <c r="C2445" s="3"/>
    </row>
    <row r="2446">
      <c r="A2446" s="3"/>
      <c r="B2446" s="3"/>
      <c r="C2446" s="3"/>
    </row>
    <row r="2447">
      <c r="A2447" s="3"/>
      <c r="B2447" s="3"/>
      <c r="C2447" s="3"/>
    </row>
    <row r="2448">
      <c r="A2448" s="3"/>
      <c r="B2448" s="3"/>
      <c r="C2448" s="3"/>
    </row>
    <row r="2449">
      <c r="A2449" s="3"/>
      <c r="B2449" s="3"/>
      <c r="C2449" s="3"/>
    </row>
    <row r="2450">
      <c r="A2450" s="3"/>
      <c r="B2450" s="3"/>
      <c r="C2450" s="3"/>
    </row>
    <row r="2451">
      <c r="A2451" s="3"/>
      <c r="B2451" s="3"/>
      <c r="C2451" s="3"/>
    </row>
    <row r="2452">
      <c r="A2452" s="3"/>
      <c r="B2452" s="3"/>
      <c r="C2452" s="3"/>
    </row>
    <row r="2453">
      <c r="A2453" s="3"/>
      <c r="B2453" s="3"/>
      <c r="C2453" s="3"/>
    </row>
    <row r="2454">
      <c r="A2454" s="3"/>
      <c r="B2454" s="3"/>
      <c r="C2454" s="3"/>
    </row>
    <row r="2455">
      <c r="A2455" s="3"/>
      <c r="B2455" s="3"/>
      <c r="C2455" s="3"/>
    </row>
    <row r="2456">
      <c r="A2456" s="3"/>
      <c r="B2456" s="3"/>
      <c r="C2456" s="3"/>
    </row>
    <row r="2457">
      <c r="A2457" s="3"/>
      <c r="B2457" s="3"/>
      <c r="C2457" s="3"/>
    </row>
    <row r="2458">
      <c r="A2458" s="3"/>
      <c r="B2458" s="3"/>
      <c r="C2458" s="3"/>
    </row>
    <row r="2459">
      <c r="A2459" s="3"/>
      <c r="B2459" s="3"/>
      <c r="C2459" s="3"/>
    </row>
    <row r="2460">
      <c r="A2460" s="3"/>
      <c r="B2460" s="3"/>
      <c r="C2460" s="3"/>
    </row>
    <row r="2461">
      <c r="A2461" s="3"/>
      <c r="B2461" s="3"/>
      <c r="C2461" s="3"/>
    </row>
    <row r="2462">
      <c r="A2462" s="3"/>
      <c r="B2462" s="3"/>
      <c r="C2462" s="3"/>
    </row>
    <row r="2463">
      <c r="A2463" s="3"/>
      <c r="B2463" s="3"/>
      <c r="C2463" s="3"/>
    </row>
    <row r="2464">
      <c r="A2464" s="3"/>
      <c r="B2464" s="3"/>
      <c r="C2464" s="3"/>
    </row>
    <row r="2465">
      <c r="A2465" s="3"/>
      <c r="B2465" s="3"/>
      <c r="C2465" s="3"/>
    </row>
    <row r="2466">
      <c r="A2466" s="3"/>
      <c r="B2466" s="3"/>
      <c r="C2466" s="3"/>
    </row>
    <row r="2467">
      <c r="A2467" s="3"/>
      <c r="B2467" s="3"/>
      <c r="C2467" s="3"/>
    </row>
    <row r="2468">
      <c r="A2468" s="3"/>
      <c r="B2468" s="3"/>
      <c r="C2468" s="3"/>
    </row>
    <row r="2469">
      <c r="A2469" s="3"/>
      <c r="B2469" s="3"/>
      <c r="C2469" s="3"/>
    </row>
    <row r="2470">
      <c r="A2470" s="3"/>
      <c r="B2470" s="3"/>
      <c r="C2470" s="3"/>
    </row>
    <row r="2471">
      <c r="A2471" s="3"/>
      <c r="B2471" s="3"/>
      <c r="C2471" s="3"/>
    </row>
    <row r="2472">
      <c r="A2472" s="3"/>
      <c r="B2472" s="3"/>
      <c r="C2472" s="3"/>
    </row>
    <row r="2473">
      <c r="A2473" s="3"/>
      <c r="B2473" s="3"/>
      <c r="C2473" s="3"/>
    </row>
    <row r="2474">
      <c r="A2474" s="3"/>
      <c r="B2474" s="3"/>
      <c r="C2474" s="3"/>
    </row>
    <row r="2475">
      <c r="A2475" s="3"/>
      <c r="B2475" s="3"/>
      <c r="C2475" s="3"/>
    </row>
    <row r="2476">
      <c r="A2476" s="3"/>
      <c r="B2476" s="3"/>
      <c r="C2476" s="3"/>
    </row>
    <row r="2477">
      <c r="A2477" s="3"/>
      <c r="B2477" s="3"/>
      <c r="C2477" s="3"/>
    </row>
    <row r="2478">
      <c r="A2478" s="3"/>
      <c r="B2478" s="3"/>
      <c r="C2478" s="3"/>
    </row>
    <row r="2479">
      <c r="A2479" s="3"/>
      <c r="B2479" s="3"/>
      <c r="C2479" s="3"/>
    </row>
    <row r="2480">
      <c r="A2480" s="3"/>
      <c r="B2480" s="3"/>
      <c r="C2480" s="3"/>
    </row>
    <row r="2481">
      <c r="A2481" s="3"/>
      <c r="B2481" s="3"/>
      <c r="C2481" s="3"/>
    </row>
    <row r="2482">
      <c r="A2482" s="3"/>
      <c r="B2482" s="3"/>
      <c r="C2482" s="3"/>
    </row>
    <row r="2483">
      <c r="A2483" s="3"/>
      <c r="B2483" s="3"/>
      <c r="C2483" s="3"/>
    </row>
    <row r="2484">
      <c r="A2484" s="3"/>
      <c r="B2484" s="3"/>
      <c r="C2484" s="3"/>
    </row>
    <row r="2485">
      <c r="A2485" s="3"/>
      <c r="B2485" s="3"/>
      <c r="C2485" s="3"/>
    </row>
    <row r="2486">
      <c r="A2486" s="3"/>
      <c r="B2486" s="3"/>
      <c r="C2486" s="3"/>
    </row>
    <row r="2487">
      <c r="A2487" s="3"/>
      <c r="B2487" s="3"/>
      <c r="C2487" s="3"/>
    </row>
    <row r="2488">
      <c r="A2488" s="3"/>
      <c r="B2488" s="3"/>
      <c r="C2488" s="3"/>
    </row>
    <row r="2489">
      <c r="A2489" s="3"/>
      <c r="B2489" s="3"/>
      <c r="C2489" s="3"/>
    </row>
    <row r="2490">
      <c r="A2490" s="3"/>
      <c r="B2490" s="3"/>
      <c r="C2490" s="3"/>
    </row>
    <row r="2491">
      <c r="A2491" s="3"/>
      <c r="B2491" s="3"/>
      <c r="C2491" s="3"/>
    </row>
    <row r="2492">
      <c r="A2492" s="3"/>
      <c r="B2492" s="3"/>
      <c r="C2492" s="3"/>
    </row>
    <row r="2493">
      <c r="A2493" s="3"/>
      <c r="B2493" s="3"/>
      <c r="C2493" s="3"/>
    </row>
    <row r="2494">
      <c r="A2494" s="3"/>
      <c r="B2494" s="3"/>
      <c r="C2494" s="3"/>
    </row>
    <row r="2495">
      <c r="A2495" s="3"/>
      <c r="B2495" s="3"/>
      <c r="C2495" s="3"/>
    </row>
    <row r="2496">
      <c r="A2496" s="3"/>
      <c r="B2496" s="3"/>
      <c r="C2496" s="3"/>
    </row>
    <row r="2497">
      <c r="A2497" s="3"/>
      <c r="B2497" s="3"/>
      <c r="C2497" s="3"/>
    </row>
    <row r="2498">
      <c r="A2498" s="3"/>
      <c r="B2498" s="3"/>
      <c r="C2498" s="3"/>
    </row>
    <row r="2499">
      <c r="A2499" s="3"/>
      <c r="B2499" s="3"/>
      <c r="C2499" s="3"/>
    </row>
    <row r="2500">
      <c r="A2500" s="3"/>
      <c r="B2500" s="3"/>
      <c r="C2500" s="3"/>
    </row>
    <row r="2501">
      <c r="A2501" s="3"/>
      <c r="B2501" s="3"/>
      <c r="C2501" s="3"/>
    </row>
    <row r="2502">
      <c r="A2502" s="3"/>
      <c r="B2502" s="3"/>
      <c r="C2502" s="3"/>
    </row>
    <row r="2503">
      <c r="A2503" s="3"/>
      <c r="B2503" s="3"/>
      <c r="C2503" s="3"/>
    </row>
    <row r="2504">
      <c r="A2504" s="3"/>
      <c r="B2504" s="3"/>
      <c r="C2504" s="3"/>
    </row>
    <row r="2505">
      <c r="A2505" s="3"/>
      <c r="B2505" s="3"/>
      <c r="C2505" s="3"/>
    </row>
    <row r="2506">
      <c r="A2506" s="3"/>
      <c r="B2506" s="3"/>
      <c r="C2506" s="3"/>
    </row>
    <row r="2507">
      <c r="A2507" s="3"/>
      <c r="B2507" s="3"/>
      <c r="C2507" s="3"/>
    </row>
    <row r="2508">
      <c r="A2508" s="3"/>
      <c r="B2508" s="3"/>
      <c r="C2508" s="3"/>
    </row>
    <row r="2509">
      <c r="A2509" s="3"/>
      <c r="B2509" s="3"/>
      <c r="C2509" s="3"/>
    </row>
    <row r="2510">
      <c r="A2510" s="3"/>
      <c r="B2510" s="3"/>
      <c r="C2510" s="3"/>
    </row>
    <row r="2511">
      <c r="A2511" s="3"/>
      <c r="B2511" s="3"/>
      <c r="C2511" s="3"/>
    </row>
    <row r="2512">
      <c r="A2512" s="3"/>
      <c r="B2512" s="3"/>
      <c r="C2512" s="3"/>
    </row>
    <row r="2513">
      <c r="A2513" s="3"/>
      <c r="B2513" s="3"/>
      <c r="C2513" s="3"/>
    </row>
    <row r="2514">
      <c r="A2514" s="3"/>
      <c r="B2514" s="3"/>
      <c r="C2514" s="3"/>
    </row>
    <row r="2515">
      <c r="A2515" s="3"/>
      <c r="B2515" s="3"/>
      <c r="C2515" s="3"/>
    </row>
    <row r="2516">
      <c r="A2516" s="3"/>
      <c r="B2516" s="3"/>
      <c r="C2516" s="3"/>
    </row>
    <row r="2517">
      <c r="A2517" s="3"/>
      <c r="B2517" s="3"/>
      <c r="C2517" s="3"/>
    </row>
    <row r="2518">
      <c r="A2518" s="3"/>
      <c r="B2518" s="3"/>
      <c r="C2518" s="3"/>
    </row>
    <row r="2519">
      <c r="A2519" s="3"/>
      <c r="B2519" s="3"/>
      <c r="C2519" s="3"/>
    </row>
    <row r="2520">
      <c r="A2520" s="3"/>
      <c r="B2520" s="3"/>
      <c r="C2520" s="3"/>
    </row>
    <row r="2521">
      <c r="A2521" s="3"/>
      <c r="B2521" s="3"/>
      <c r="C2521" s="3"/>
    </row>
    <row r="2522">
      <c r="A2522" s="3"/>
      <c r="B2522" s="3"/>
      <c r="C2522" s="3"/>
    </row>
    <row r="2523">
      <c r="A2523" s="3"/>
      <c r="B2523" s="3"/>
      <c r="C2523" s="3"/>
    </row>
    <row r="2524">
      <c r="A2524" s="3"/>
      <c r="B2524" s="3"/>
      <c r="C2524" s="3"/>
    </row>
    <row r="2525">
      <c r="A2525" s="3"/>
      <c r="B2525" s="3"/>
      <c r="C2525" s="3"/>
    </row>
    <row r="2526">
      <c r="A2526" s="3"/>
      <c r="B2526" s="3"/>
      <c r="C2526" s="3"/>
    </row>
    <row r="2527">
      <c r="A2527" s="3"/>
      <c r="B2527" s="3"/>
      <c r="C2527" s="3"/>
    </row>
    <row r="2528">
      <c r="A2528" s="3"/>
      <c r="B2528" s="3"/>
      <c r="C2528" s="3"/>
    </row>
    <row r="2529">
      <c r="A2529" s="3"/>
      <c r="B2529" s="3"/>
      <c r="C2529" s="3"/>
    </row>
    <row r="2530">
      <c r="A2530" s="3"/>
      <c r="B2530" s="3"/>
      <c r="C2530" s="3"/>
    </row>
    <row r="2531">
      <c r="A2531" s="3"/>
      <c r="B2531" s="3"/>
      <c r="C2531" s="3"/>
    </row>
    <row r="2532">
      <c r="A2532" s="3"/>
      <c r="B2532" s="3"/>
      <c r="C2532" s="3"/>
    </row>
    <row r="2533">
      <c r="A2533" s="3"/>
      <c r="B2533" s="3"/>
      <c r="C2533" s="3"/>
    </row>
    <row r="2534">
      <c r="A2534" s="3"/>
      <c r="B2534" s="3"/>
      <c r="C2534" s="3"/>
    </row>
    <row r="2535">
      <c r="A2535" s="3"/>
      <c r="B2535" s="3"/>
      <c r="C2535" s="3"/>
    </row>
    <row r="2536">
      <c r="A2536" s="3"/>
      <c r="B2536" s="3"/>
      <c r="C2536" s="3"/>
    </row>
    <row r="2537">
      <c r="A2537" s="3"/>
      <c r="B2537" s="3"/>
      <c r="C2537" s="3"/>
    </row>
    <row r="2538">
      <c r="A2538" s="3"/>
      <c r="B2538" s="3"/>
      <c r="C2538" s="3"/>
    </row>
    <row r="2539">
      <c r="A2539" s="3"/>
      <c r="B2539" s="3"/>
      <c r="C2539" s="3"/>
    </row>
    <row r="2540">
      <c r="A2540" s="3"/>
      <c r="B2540" s="3"/>
      <c r="C2540" s="3"/>
    </row>
    <row r="2541">
      <c r="A2541" s="3"/>
      <c r="B2541" s="3"/>
      <c r="C2541" s="3"/>
    </row>
    <row r="2542">
      <c r="A2542" s="3"/>
      <c r="B2542" s="3"/>
      <c r="C2542" s="3"/>
    </row>
    <row r="2543">
      <c r="A2543" s="3"/>
      <c r="B2543" s="3"/>
      <c r="C2543" s="3"/>
    </row>
    <row r="2544">
      <c r="A2544" s="3"/>
      <c r="B2544" s="3"/>
      <c r="C2544" s="3"/>
    </row>
    <row r="2545">
      <c r="A2545" s="3"/>
      <c r="B2545" s="3"/>
      <c r="C2545" s="3"/>
    </row>
    <row r="2546">
      <c r="A2546" s="3"/>
      <c r="B2546" s="3"/>
      <c r="C2546" s="3"/>
    </row>
    <row r="2547">
      <c r="A2547" s="3"/>
      <c r="B2547" s="3"/>
      <c r="C2547" s="3"/>
    </row>
    <row r="2548">
      <c r="A2548" s="3"/>
      <c r="B2548" s="3"/>
      <c r="C2548" s="3"/>
    </row>
    <row r="2549">
      <c r="A2549" s="3"/>
      <c r="B2549" s="3"/>
      <c r="C2549" s="3"/>
    </row>
    <row r="2550">
      <c r="A2550" s="3"/>
      <c r="B2550" s="3"/>
      <c r="C2550" s="3"/>
    </row>
    <row r="2551">
      <c r="A2551" s="3"/>
      <c r="B2551" s="3"/>
      <c r="C2551" s="3"/>
    </row>
    <row r="2552">
      <c r="A2552" s="3"/>
      <c r="B2552" s="3"/>
      <c r="C2552" s="3"/>
    </row>
    <row r="2553">
      <c r="A2553" s="3"/>
      <c r="B2553" s="3"/>
      <c r="C2553" s="3"/>
    </row>
    <row r="2554">
      <c r="A2554" s="3"/>
      <c r="B2554" s="3"/>
      <c r="C2554" s="3"/>
    </row>
    <row r="2555">
      <c r="A2555" s="3"/>
      <c r="B2555" s="3"/>
      <c r="C2555" s="3"/>
    </row>
    <row r="2556">
      <c r="A2556" s="3"/>
      <c r="B2556" s="3"/>
      <c r="C2556" s="3"/>
    </row>
    <row r="2557">
      <c r="A2557" s="3"/>
      <c r="B2557" s="3"/>
      <c r="C2557" s="3"/>
    </row>
    <row r="2558">
      <c r="A2558" s="3"/>
      <c r="B2558" s="3"/>
      <c r="C2558" s="3"/>
    </row>
    <row r="2559">
      <c r="A2559" s="3"/>
      <c r="B2559" s="3"/>
      <c r="C2559" s="3"/>
    </row>
    <row r="2560">
      <c r="A2560" s="3"/>
      <c r="B2560" s="3"/>
      <c r="C2560" s="3"/>
    </row>
    <row r="2561">
      <c r="A2561" s="3"/>
      <c r="B2561" s="3"/>
      <c r="C2561" s="3"/>
    </row>
    <row r="2562">
      <c r="A2562" s="3"/>
      <c r="B2562" s="3"/>
      <c r="C2562" s="3"/>
    </row>
    <row r="2563">
      <c r="A2563" s="3"/>
      <c r="B2563" s="3"/>
      <c r="C2563" s="3"/>
    </row>
    <row r="2564">
      <c r="A2564" s="3"/>
      <c r="B2564" s="3"/>
      <c r="C2564" s="3"/>
    </row>
    <row r="2565">
      <c r="A2565" s="3"/>
      <c r="B2565" s="3"/>
      <c r="C2565" s="3"/>
    </row>
    <row r="2566">
      <c r="A2566" s="3"/>
      <c r="B2566" s="3"/>
      <c r="C2566" s="3"/>
    </row>
    <row r="2567">
      <c r="A2567" s="3"/>
      <c r="B2567" s="3"/>
      <c r="C2567" s="3"/>
    </row>
    <row r="2568">
      <c r="A2568" s="3"/>
      <c r="B2568" s="3"/>
      <c r="C2568" s="3"/>
    </row>
    <row r="2569">
      <c r="A2569" s="3"/>
      <c r="B2569" s="3"/>
      <c r="C2569" s="3"/>
    </row>
    <row r="2570">
      <c r="A2570" s="3"/>
      <c r="B2570" s="3"/>
      <c r="C2570" s="3"/>
    </row>
    <row r="2571">
      <c r="A2571" s="3"/>
      <c r="B2571" s="3"/>
      <c r="C2571" s="3"/>
    </row>
    <row r="2572">
      <c r="A2572" s="3"/>
      <c r="B2572" s="3"/>
      <c r="C2572" s="3"/>
    </row>
    <row r="2573">
      <c r="A2573" s="3"/>
      <c r="B2573" s="3"/>
      <c r="C2573" s="3"/>
    </row>
    <row r="2574">
      <c r="A2574" s="3"/>
      <c r="B2574" s="3"/>
      <c r="C2574" s="3"/>
    </row>
    <row r="2575">
      <c r="A2575" s="3"/>
      <c r="B2575" s="3"/>
      <c r="C2575" s="3"/>
    </row>
    <row r="2576">
      <c r="A2576" s="3"/>
      <c r="B2576" s="3"/>
      <c r="C2576" s="3"/>
    </row>
    <row r="2577">
      <c r="A2577" s="3"/>
      <c r="B2577" s="3"/>
      <c r="C2577" s="3"/>
    </row>
    <row r="2578">
      <c r="A2578" s="3"/>
      <c r="B2578" s="3"/>
      <c r="C2578" s="3"/>
    </row>
    <row r="2579">
      <c r="A2579" s="3"/>
      <c r="B2579" s="3"/>
      <c r="C2579" s="3"/>
    </row>
    <row r="2580">
      <c r="A2580" s="3"/>
      <c r="B2580" s="3"/>
      <c r="C2580" s="3"/>
    </row>
    <row r="2581">
      <c r="A2581" s="3"/>
      <c r="B2581" s="3"/>
      <c r="C2581" s="3"/>
    </row>
    <row r="2582">
      <c r="A2582" s="3"/>
      <c r="B2582" s="3"/>
      <c r="C2582" s="3"/>
    </row>
    <row r="2583">
      <c r="A2583" s="3"/>
      <c r="B2583" s="3"/>
      <c r="C2583" s="3"/>
    </row>
    <row r="2584">
      <c r="A2584" s="3"/>
      <c r="B2584" s="3"/>
      <c r="C2584" s="3"/>
    </row>
    <row r="2585">
      <c r="A2585" s="3"/>
      <c r="B2585" s="3"/>
      <c r="C2585" s="3"/>
    </row>
    <row r="2586">
      <c r="A2586" s="3"/>
      <c r="B2586" s="3"/>
      <c r="C2586" s="3"/>
    </row>
    <row r="2587">
      <c r="A2587" s="3"/>
      <c r="B2587" s="3"/>
      <c r="C2587" s="3"/>
    </row>
    <row r="2588">
      <c r="A2588" s="3"/>
      <c r="B2588" s="3"/>
      <c r="C2588" s="3"/>
    </row>
    <row r="2589">
      <c r="A2589" s="3"/>
      <c r="B2589" s="3"/>
      <c r="C2589" s="3"/>
    </row>
    <row r="2590">
      <c r="A2590" s="3"/>
      <c r="B2590" s="3"/>
      <c r="C2590" s="3"/>
    </row>
    <row r="2591">
      <c r="A2591" s="3"/>
      <c r="B2591" s="3"/>
      <c r="C2591" s="3"/>
    </row>
    <row r="2592">
      <c r="A2592" s="3"/>
      <c r="B2592" s="3"/>
      <c r="C2592" s="3"/>
    </row>
    <row r="2593">
      <c r="A2593" s="3"/>
      <c r="B2593" s="3"/>
      <c r="C2593" s="3"/>
    </row>
    <row r="2594">
      <c r="A2594" s="3"/>
      <c r="B2594" s="3"/>
      <c r="C2594" s="3"/>
    </row>
    <row r="2595">
      <c r="A2595" s="3"/>
      <c r="B2595" s="3"/>
      <c r="C2595" s="3"/>
    </row>
    <row r="2596">
      <c r="A2596" s="3"/>
      <c r="B2596" s="3"/>
      <c r="C2596" s="3"/>
    </row>
    <row r="2597">
      <c r="A2597" s="3"/>
      <c r="B2597" s="3"/>
      <c r="C2597" s="3"/>
    </row>
    <row r="2598">
      <c r="A2598" s="3"/>
      <c r="B2598" s="3"/>
      <c r="C2598" s="3"/>
    </row>
    <row r="2599">
      <c r="A2599" s="3"/>
      <c r="B2599" s="3"/>
      <c r="C2599" s="3"/>
    </row>
    <row r="2600">
      <c r="A2600" s="3"/>
      <c r="B2600" s="3"/>
      <c r="C2600" s="3"/>
    </row>
    <row r="2601">
      <c r="A2601" s="3"/>
      <c r="B2601" s="3"/>
      <c r="C2601" s="3"/>
    </row>
    <row r="2602">
      <c r="A2602" s="3"/>
      <c r="B2602" s="3"/>
      <c r="C2602" s="3"/>
    </row>
    <row r="2603">
      <c r="A2603" s="3"/>
      <c r="B2603" s="3"/>
      <c r="C2603" s="3"/>
    </row>
    <row r="2604">
      <c r="A2604" s="3"/>
      <c r="B2604" s="3"/>
      <c r="C2604" s="3"/>
    </row>
    <row r="2605">
      <c r="A2605" s="3"/>
      <c r="B2605" s="3"/>
      <c r="C2605" s="3"/>
    </row>
    <row r="2606">
      <c r="A2606" s="3"/>
      <c r="B2606" s="3"/>
      <c r="C2606" s="3"/>
    </row>
    <row r="2607">
      <c r="A2607" s="3"/>
      <c r="B2607" s="3"/>
      <c r="C2607" s="3"/>
    </row>
    <row r="2608">
      <c r="A2608" s="3"/>
      <c r="B2608" s="3"/>
      <c r="C2608" s="3"/>
    </row>
    <row r="2609">
      <c r="A2609" s="3"/>
      <c r="B2609" s="3"/>
      <c r="C2609" s="3"/>
    </row>
    <row r="2610">
      <c r="A2610" s="3"/>
      <c r="B2610" s="3"/>
      <c r="C2610" s="3"/>
    </row>
    <row r="2611">
      <c r="A2611" s="3"/>
      <c r="B2611" s="3"/>
      <c r="C2611" s="3"/>
    </row>
    <row r="2612">
      <c r="A2612" s="3"/>
      <c r="B2612" s="3"/>
      <c r="C2612" s="3"/>
    </row>
    <row r="2613">
      <c r="A2613" s="3"/>
      <c r="B2613" s="3"/>
      <c r="C2613" s="3"/>
    </row>
    <row r="2614">
      <c r="A2614" s="3"/>
      <c r="B2614" s="3"/>
      <c r="C2614" s="3"/>
    </row>
    <row r="2615">
      <c r="A2615" s="3"/>
      <c r="B2615" s="3"/>
      <c r="C2615" s="3"/>
    </row>
    <row r="2616">
      <c r="A2616" s="3"/>
      <c r="B2616" s="3"/>
      <c r="C2616" s="3"/>
    </row>
    <row r="2617">
      <c r="A2617" s="3"/>
      <c r="B2617" s="3"/>
      <c r="C2617" s="3"/>
    </row>
    <row r="2618">
      <c r="A2618" s="3"/>
      <c r="B2618" s="3"/>
      <c r="C2618" s="3"/>
    </row>
    <row r="2619">
      <c r="A2619" s="3"/>
      <c r="B2619" s="3"/>
      <c r="C2619" s="3"/>
    </row>
    <row r="2620">
      <c r="A2620" s="3"/>
      <c r="B2620" s="3"/>
      <c r="C2620" s="3"/>
    </row>
    <row r="2621">
      <c r="A2621" s="3"/>
      <c r="B2621" s="3"/>
      <c r="C2621" s="3"/>
    </row>
    <row r="2622">
      <c r="A2622" s="3"/>
      <c r="B2622" s="3"/>
      <c r="C2622" s="3"/>
    </row>
    <row r="2623">
      <c r="A2623" s="3"/>
      <c r="B2623" s="3"/>
      <c r="C2623" s="3"/>
    </row>
    <row r="2624">
      <c r="A2624" s="3"/>
      <c r="B2624" s="3"/>
      <c r="C2624" s="3"/>
    </row>
    <row r="2625">
      <c r="A2625" s="3"/>
      <c r="B2625" s="3"/>
      <c r="C2625" s="3"/>
    </row>
    <row r="2626">
      <c r="A2626" s="3"/>
      <c r="B2626" s="3"/>
      <c r="C2626" s="3"/>
    </row>
    <row r="2627">
      <c r="A2627" s="3"/>
      <c r="B2627" s="3"/>
      <c r="C2627" s="3"/>
    </row>
    <row r="2628">
      <c r="A2628" s="3"/>
      <c r="B2628" s="3"/>
      <c r="C2628" s="3"/>
    </row>
    <row r="2629">
      <c r="A2629" s="3"/>
      <c r="B2629" s="3"/>
      <c r="C2629" s="3"/>
    </row>
    <row r="2630">
      <c r="A2630" s="3"/>
      <c r="B2630" s="3"/>
      <c r="C2630" s="3"/>
    </row>
    <row r="2631">
      <c r="A2631" s="3"/>
      <c r="B2631" s="3"/>
      <c r="C2631" s="3"/>
    </row>
    <row r="2632">
      <c r="A2632" s="3"/>
      <c r="B2632" s="3"/>
      <c r="C2632" s="3"/>
    </row>
    <row r="2633">
      <c r="A2633" s="3"/>
      <c r="B2633" s="3"/>
      <c r="C2633" s="3"/>
    </row>
    <row r="2634">
      <c r="A2634" s="3"/>
      <c r="B2634" s="3"/>
      <c r="C2634" s="3"/>
    </row>
    <row r="2635">
      <c r="A2635" s="3"/>
      <c r="B2635" s="3"/>
      <c r="C2635" s="3"/>
    </row>
    <row r="2636">
      <c r="A2636" s="3"/>
      <c r="B2636" s="3"/>
      <c r="C2636" s="3"/>
    </row>
    <row r="2637">
      <c r="A2637" s="3"/>
      <c r="B2637" s="3"/>
      <c r="C2637" s="3"/>
    </row>
    <row r="2638">
      <c r="A2638" s="3"/>
      <c r="B2638" s="3"/>
      <c r="C2638" s="3"/>
    </row>
    <row r="2639">
      <c r="A2639" s="3"/>
      <c r="B2639" s="3"/>
      <c r="C2639" s="3"/>
    </row>
    <row r="2640">
      <c r="A2640" s="3"/>
      <c r="B2640" s="3"/>
      <c r="C2640" s="3"/>
    </row>
    <row r="2641">
      <c r="A2641" s="3"/>
      <c r="B2641" s="3"/>
      <c r="C2641" s="3"/>
    </row>
    <row r="2642">
      <c r="A2642" s="3"/>
      <c r="B2642" s="3"/>
      <c r="C2642" s="3"/>
    </row>
    <row r="2643">
      <c r="A2643" s="3"/>
      <c r="B2643" s="3"/>
      <c r="C2643" s="3"/>
    </row>
    <row r="2644">
      <c r="A2644" s="3"/>
      <c r="B2644" s="3"/>
      <c r="C2644" s="3"/>
    </row>
    <row r="2645">
      <c r="A2645" s="3"/>
      <c r="B2645" s="3"/>
      <c r="C2645" s="3"/>
    </row>
    <row r="2646">
      <c r="A2646" s="3"/>
      <c r="B2646" s="3"/>
      <c r="C2646" s="3"/>
    </row>
    <row r="2647">
      <c r="A2647" s="3"/>
      <c r="B2647" s="3"/>
      <c r="C2647" s="3"/>
    </row>
    <row r="2648">
      <c r="A2648" s="3"/>
      <c r="B2648" s="3"/>
      <c r="C2648" s="3"/>
    </row>
    <row r="2649">
      <c r="A2649" s="3"/>
      <c r="B2649" s="3"/>
      <c r="C2649" s="3"/>
    </row>
    <row r="2650">
      <c r="A2650" s="3"/>
      <c r="B2650" s="3"/>
      <c r="C2650" s="3"/>
    </row>
    <row r="2651">
      <c r="A2651" s="3"/>
      <c r="B2651" s="3"/>
      <c r="C2651" s="3"/>
    </row>
    <row r="2652">
      <c r="A2652" s="3"/>
      <c r="B2652" s="3"/>
      <c r="C2652" s="3"/>
    </row>
    <row r="2653">
      <c r="A2653" s="3"/>
      <c r="B2653" s="3"/>
      <c r="C2653" s="3"/>
    </row>
    <row r="2654">
      <c r="A2654" s="3"/>
      <c r="B2654" s="3"/>
      <c r="C2654" s="3"/>
    </row>
    <row r="2655">
      <c r="A2655" s="3"/>
      <c r="B2655" s="3"/>
      <c r="C2655" s="3"/>
    </row>
    <row r="2656">
      <c r="A2656" s="3"/>
      <c r="B2656" s="3"/>
      <c r="C2656" s="3"/>
    </row>
    <row r="2657">
      <c r="A2657" s="3"/>
      <c r="B2657" s="3"/>
      <c r="C2657" s="3"/>
    </row>
    <row r="2658">
      <c r="A2658" s="3"/>
      <c r="B2658" s="3"/>
      <c r="C2658" s="3"/>
    </row>
    <row r="2659">
      <c r="A2659" s="3"/>
      <c r="B2659" s="3"/>
      <c r="C2659" s="3"/>
    </row>
    <row r="2660">
      <c r="A2660" s="3"/>
      <c r="B2660" s="3"/>
      <c r="C2660" s="3"/>
    </row>
    <row r="2661">
      <c r="A2661" s="3"/>
      <c r="B2661" s="3"/>
      <c r="C2661" s="3"/>
    </row>
    <row r="2662">
      <c r="A2662" s="3"/>
      <c r="B2662" s="3"/>
      <c r="C2662" s="3"/>
    </row>
    <row r="2663">
      <c r="A2663" s="3"/>
      <c r="B2663" s="3"/>
      <c r="C2663" s="3"/>
    </row>
    <row r="2664">
      <c r="A2664" s="3"/>
      <c r="B2664" s="3"/>
      <c r="C2664" s="3"/>
    </row>
    <row r="2665">
      <c r="A2665" s="3"/>
      <c r="B2665" s="3"/>
      <c r="C2665" s="3"/>
    </row>
    <row r="2666">
      <c r="A2666" s="3"/>
      <c r="B2666" s="3"/>
      <c r="C2666" s="3"/>
    </row>
    <row r="2667">
      <c r="A2667" s="3"/>
      <c r="B2667" s="3"/>
      <c r="C2667" s="3"/>
    </row>
    <row r="2668">
      <c r="A2668" s="3"/>
      <c r="B2668" s="3"/>
      <c r="C2668" s="3"/>
    </row>
    <row r="2669">
      <c r="A2669" s="3"/>
      <c r="B2669" s="3"/>
      <c r="C2669" s="3"/>
    </row>
    <row r="2670">
      <c r="A2670" s="3"/>
      <c r="B2670" s="3"/>
      <c r="C2670" s="3"/>
    </row>
    <row r="2671">
      <c r="A2671" s="3"/>
      <c r="B2671" s="3"/>
      <c r="C2671" s="3"/>
    </row>
    <row r="2672">
      <c r="A2672" s="3"/>
      <c r="B2672" s="3"/>
      <c r="C2672" s="3"/>
    </row>
    <row r="2673">
      <c r="A2673" s="3"/>
      <c r="B2673" s="3"/>
      <c r="C2673" s="3"/>
    </row>
    <row r="2674">
      <c r="A2674" s="3"/>
      <c r="B2674" s="3"/>
      <c r="C2674" s="3"/>
    </row>
    <row r="2675">
      <c r="A2675" s="3"/>
      <c r="B2675" s="3"/>
      <c r="C2675" s="3"/>
    </row>
    <row r="2676">
      <c r="A2676" s="3"/>
      <c r="B2676" s="3"/>
      <c r="C2676" s="3"/>
    </row>
    <row r="2677">
      <c r="A2677" s="3"/>
      <c r="B2677" s="3"/>
      <c r="C2677" s="3"/>
    </row>
    <row r="2678">
      <c r="A2678" s="3"/>
      <c r="B2678" s="3"/>
      <c r="C2678" s="3"/>
    </row>
    <row r="2679">
      <c r="A2679" s="3"/>
      <c r="B2679" s="3"/>
      <c r="C2679" s="3"/>
    </row>
    <row r="2680">
      <c r="A2680" s="3"/>
      <c r="B2680" s="3"/>
      <c r="C2680" s="3"/>
    </row>
    <row r="2681">
      <c r="A2681" s="3"/>
      <c r="B2681" s="3"/>
      <c r="C2681" s="3"/>
    </row>
    <row r="2682">
      <c r="A2682" s="3"/>
      <c r="B2682" s="3"/>
      <c r="C2682" s="3"/>
    </row>
    <row r="2683">
      <c r="A2683" s="3"/>
      <c r="B2683" s="3"/>
      <c r="C2683" s="3"/>
    </row>
    <row r="2684">
      <c r="A2684" s="3"/>
      <c r="B2684" s="3"/>
      <c r="C2684" s="3"/>
    </row>
    <row r="2685">
      <c r="A2685" s="3"/>
      <c r="B2685" s="3"/>
      <c r="C2685" s="3"/>
    </row>
    <row r="2686">
      <c r="A2686" s="3"/>
      <c r="B2686" s="3"/>
      <c r="C2686" s="3"/>
    </row>
    <row r="2687">
      <c r="A2687" s="3"/>
      <c r="B2687" s="3"/>
      <c r="C2687" s="3"/>
    </row>
    <row r="2688">
      <c r="A2688" s="3"/>
      <c r="B2688" s="3"/>
      <c r="C2688" s="3"/>
    </row>
    <row r="2689">
      <c r="A2689" s="3"/>
      <c r="B2689" s="3"/>
      <c r="C2689" s="3"/>
    </row>
    <row r="2690">
      <c r="A2690" s="3"/>
      <c r="B2690" s="3"/>
      <c r="C2690" s="3"/>
    </row>
    <row r="2691">
      <c r="A2691" s="3"/>
      <c r="B2691" s="3"/>
      <c r="C2691" s="3"/>
    </row>
    <row r="2692">
      <c r="A2692" s="3"/>
      <c r="B2692" s="3"/>
      <c r="C2692" s="3"/>
    </row>
    <row r="2693">
      <c r="A2693" s="3"/>
      <c r="B2693" s="3"/>
      <c r="C2693" s="3"/>
    </row>
    <row r="2694">
      <c r="A2694" s="3"/>
      <c r="B2694" s="3"/>
      <c r="C2694" s="3"/>
    </row>
    <row r="2695">
      <c r="A2695" s="3"/>
      <c r="B2695" s="3"/>
      <c r="C2695" s="3"/>
    </row>
    <row r="2696">
      <c r="A2696" s="3"/>
      <c r="B2696" s="3"/>
      <c r="C2696" s="3"/>
    </row>
    <row r="2697">
      <c r="A2697" s="3"/>
      <c r="B2697" s="3"/>
      <c r="C2697" s="3"/>
    </row>
    <row r="2698">
      <c r="A2698" s="3"/>
      <c r="B2698" s="3"/>
      <c r="C2698" s="3"/>
    </row>
    <row r="2699">
      <c r="A2699" s="3"/>
      <c r="B2699" s="3"/>
      <c r="C2699" s="3"/>
    </row>
    <row r="2700">
      <c r="A2700" s="3"/>
      <c r="B2700" s="3"/>
      <c r="C2700" s="3"/>
    </row>
    <row r="2701">
      <c r="A2701" s="3"/>
      <c r="B2701" s="3"/>
      <c r="C2701" s="3"/>
    </row>
    <row r="2702">
      <c r="A2702" s="3"/>
      <c r="B2702" s="3"/>
      <c r="C2702" s="3"/>
    </row>
    <row r="2703">
      <c r="A2703" s="3"/>
      <c r="B2703" s="3"/>
      <c r="C2703" s="3"/>
    </row>
    <row r="2704">
      <c r="A2704" s="3"/>
      <c r="B2704" s="3"/>
      <c r="C2704" s="3"/>
    </row>
    <row r="2705">
      <c r="A2705" s="3"/>
      <c r="B2705" s="3"/>
      <c r="C2705" s="3"/>
    </row>
    <row r="2706">
      <c r="A2706" s="3"/>
      <c r="B2706" s="3"/>
      <c r="C2706" s="3"/>
    </row>
    <row r="2707">
      <c r="A2707" s="3"/>
      <c r="B2707" s="3"/>
      <c r="C2707" s="3"/>
    </row>
    <row r="2708">
      <c r="A2708" s="3"/>
      <c r="B2708" s="3"/>
      <c r="C2708" s="3"/>
    </row>
    <row r="2709">
      <c r="A2709" s="3"/>
      <c r="B2709" s="3"/>
      <c r="C2709" s="3"/>
    </row>
    <row r="2710">
      <c r="A2710" s="3"/>
      <c r="B2710" s="3"/>
      <c r="C2710" s="3"/>
    </row>
    <row r="2711">
      <c r="A2711" s="3"/>
      <c r="B2711" s="3"/>
      <c r="C2711" s="3"/>
    </row>
    <row r="2712">
      <c r="A2712" s="3"/>
      <c r="B2712" s="3"/>
      <c r="C2712" s="3"/>
    </row>
    <row r="2713">
      <c r="A2713" s="3"/>
      <c r="B2713" s="3"/>
      <c r="C2713" s="3"/>
    </row>
    <row r="2714">
      <c r="A2714" s="3"/>
      <c r="B2714" s="3"/>
      <c r="C2714" s="3"/>
    </row>
    <row r="2715">
      <c r="A2715" s="3"/>
      <c r="B2715" s="3"/>
      <c r="C2715" s="3"/>
    </row>
    <row r="2716">
      <c r="A2716" s="3"/>
      <c r="B2716" s="3"/>
      <c r="C2716" s="3"/>
    </row>
    <row r="2717">
      <c r="A2717" s="3"/>
      <c r="B2717" s="3"/>
      <c r="C2717" s="3"/>
    </row>
    <row r="2718">
      <c r="A2718" s="3"/>
      <c r="B2718" s="3"/>
      <c r="C2718" s="3"/>
    </row>
    <row r="2719">
      <c r="A2719" s="3"/>
      <c r="B2719" s="3"/>
      <c r="C2719" s="3"/>
    </row>
    <row r="2720">
      <c r="A2720" s="3"/>
      <c r="B2720" s="3"/>
      <c r="C2720" s="3"/>
    </row>
    <row r="2721">
      <c r="A2721" s="3"/>
      <c r="B2721" s="3"/>
      <c r="C2721" s="3"/>
    </row>
    <row r="2722">
      <c r="A2722" s="3"/>
      <c r="B2722" s="3"/>
      <c r="C2722" s="3"/>
    </row>
    <row r="2723">
      <c r="A2723" s="3"/>
      <c r="B2723" s="3"/>
      <c r="C2723" s="3"/>
    </row>
    <row r="2724">
      <c r="A2724" s="3"/>
      <c r="B2724" s="3"/>
      <c r="C2724" s="3"/>
    </row>
    <row r="2725">
      <c r="A2725" s="3"/>
      <c r="B2725" s="3"/>
      <c r="C2725" s="3"/>
    </row>
    <row r="2726">
      <c r="A2726" s="3"/>
      <c r="B2726" s="3"/>
      <c r="C2726" s="3"/>
    </row>
    <row r="2727">
      <c r="A2727" s="3"/>
      <c r="B2727" s="3"/>
      <c r="C2727" s="3"/>
    </row>
    <row r="2728">
      <c r="A2728" s="3"/>
      <c r="B2728" s="3"/>
      <c r="C2728" s="3"/>
    </row>
    <row r="2729">
      <c r="A2729" s="3"/>
      <c r="B2729" s="3"/>
      <c r="C2729" s="3"/>
    </row>
    <row r="2730">
      <c r="A2730" s="3"/>
      <c r="B2730" s="3"/>
      <c r="C2730" s="3"/>
    </row>
    <row r="2731">
      <c r="A2731" s="3"/>
      <c r="B2731" s="3"/>
      <c r="C2731" s="3"/>
    </row>
    <row r="2732">
      <c r="A2732" s="3"/>
      <c r="B2732" s="3"/>
      <c r="C2732" s="3"/>
    </row>
    <row r="2733">
      <c r="A2733" s="3"/>
      <c r="B2733" s="3"/>
      <c r="C2733" s="3"/>
    </row>
    <row r="2734">
      <c r="A2734" s="3"/>
      <c r="B2734" s="3"/>
      <c r="C2734" s="3"/>
    </row>
    <row r="2735">
      <c r="A2735" s="3"/>
      <c r="B2735" s="3"/>
      <c r="C2735" s="3"/>
    </row>
    <row r="2736">
      <c r="A2736" s="3"/>
      <c r="B2736" s="3"/>
      <c r="C2736" s="3"/>
    </row>
    <row r="2737">
      <c r="A2737" s="3"/>
      <c r="B2737" s="3"/>
      <c r="C2737" s="3"/>
    </row>
    <row r="2738">
      <c r="A2738" s="3"/>
      <c r="B2738" s="3"/>
      <c r="C2738" s="3"/>
    </row>
    <row r="2739">
      <c r="A2739" s="3"/>
      <c r="B2739" s="3"/>
      <c r="C2739" s="3"/>
    </row>
    <row r="2740">
      <c r="A2740" s="3"/>
      <c r="B2740" s="3"/>
      <c r="C2740" s="3"/>
    </row>
    <row r="2741">
      <c r="A2741" s="3"/>
      <c r="B2741" s="3"/>
      <c r="C2741" s="3"/>
    </row>
    <row r="2742">
      <c r="A2742" s="3"/>
      <c r="B2742" s="3"/>
      <c r="C2742" s="3"/>
    </row>
    <row r="2743">
      <c r="A2743" s="3"/>
      <c r="B2743" s="3"/>
      <c r="C2743" s="3"/>
    </row>
    <row r="2744">
      <c r="A2744" s="3"/>
      <c r="B2744" s="3"/>
      <c r="C2744" s="3"/>
    </row>
    <row r="2745">
      <c r="A2745" s="3"/>
      <c r="B2745" s="3"/>
      <c r="C2745" s="3"/>
    </row>
    <row r="2746">
      <c r="A2746" s="3"/>
      <c r="B2746" s="3"/>
      <c r="C2746" s="3"/>
    </row>
    <row r="2747">
      <c r="A2747" s="3"/>
      <c r="B2747" s="3"/>
      <c r="C2747" s="3"/>
    </row>
    <row r="2748">
      <c r="A2748" s="3"/>
      <c r="B2748" s="3"/>
      <c r="C2748" s="3"/>
    </row>
    <row r="2749">
      <c r="A2749" s="3"/>
      <c r="B2749" s="3"/>
      <c r="C2749" s="3"/>
    </row>
    <row r="2750">
      <c r="A2750" s="3"/>
      <c r="B2750" s="3"/>
      <c r="C2750" s="3"/>
    </row>
    <row r="2751">
      <c r="A2751" s="3"/>
      <c r="B2751" s="3"/>
      <c r="C2751" s="3"/>
    </row>
    <row r="2752">
      <c r="A2752" s="3"/>
      <c r="B2752" s="3"/>
      <c r="C2752" s="3"/>
    </row>
    <row r="2753">
      <c r="A2753" s="3"/>
      <c r="B2753" s="3"/>
      <c r="C2753" s="3"/>
    </row>
    <row r="2754">
      <c r="A2754" s="3"/>
      <c r="B2754" s="3"/>
      <c r="C2754" s="3"/>
    </row>
    <row r="2755">
      <c r="A2755" s="3"/>
      <c r="B2755" s="3"/>
      <c r="C2755" s="3"/>
    </row>
    <row r="2756">
      <c r="A2756" s="3"/>
      <c r="B2756" s="3"/>
      <c r="C2756" s="3"/>
    </row>
    <row r="2757">
      <c r="A2757" s="3"/>
      <c r="B2757" s="3"/>
      <c r="C2757" s="3"/>
    </row>
    <row r="2758">
      <c r="A2758" s="3"/>
      <c r="B2758" s="3"/>
      <c r="C2758" s="3"/>
    </row>
    <row r="2759">
      <c r="A2759" s="3"/>
      <c r="B2759" s="3"/>
      <c r="C2759" s="3"/>
    </row>
    <row r="2760">
      <c r="A2760" s="3"/>
      <c r="B2760" s="3"/>
      <c r="C2760" s="3"/>
    </row>
    <row r="2761">
      <c r="A2761" s="3"/>
      <c r="B2761" s="3"/>
      <c r="C2761" s="3"/>
    </row>
    <row r="2762">
      <c r="A2762" s="3"/>
      <c r="B2762" s="3"/>
      <c r="C2762" s="3"/>
    </row>
    <row r="2763">
      <c r="A2763" s="3"/>
      <c r="B2763" s="3"/>
      <c r="C2763" s="3"/>
    </row>
    <row r="2764">
      <c r="A2764" s="3"/>
      <c r="B2764" s="3"/>
      <c r="C2764" s="3"/>
    </row>
    <row r="2765">
      <c r="A2765" s="3"/>
      <c r="B2765" s="3"/>
      <c r="C2765" s="3"/>
    </row>
    <row r="2766">
      <c r="A2766" s="3"/>
      <c r="B2766" s="3"/>
      <c r="C2766" s="3"/>
    </row>
    <row r="2767">
      <c r="A2767" s="3"/>
      <c r="B2767" s="3"/>
      <c r="C2767" s="3"/>
    </row>
    <row r="2768">
      <c r="A2768" s="3"/>
      <c r="B2768" s="3"/>
      <c r="C2768" s="3"/>
    </row>
    <row r="2769">
      <c r="A2769" s="3"/>
      <c r="B2769" s="3"/>
      <c r="C2769" s="3"/>
    </row>
    <row r="2770">
      <c r="A2770" s="3"/>
      <c r="B2770" s="3"/>
      <c r="C2770" s="3"/>
    </row>
    <row r="2771">
      <c r="A2771" s="3"/>
      <c r="B2771" s="3"/>
      <c r="C2771" s="3"/>
    </row>
    <row r="2772">
      <c r="A2772" s="3"/>
      <c r="B2772" s="3"/>
      <c r="C2772" s="3"/>
    </row>
    <row r="2773">
      <c r="A2773" s="3"/>
      <c r="B2773" s="3"/>
      <c r="C2773" s="3"/>
    </row>
    <row r="2774">
      <c r="A2774" s="3"/>
      <c r="B2774" s="3"/>
      <c r="C2774" s="3"/>
    </row>
    <row r="2775">
      <c r="A2775" s="3"/>
      <c r="B2775" s="3"/>
      <c r="C2775" s="3"/>
    </row>
    <row r="2776">
      <c r="A2776" s="3"/>
      <c r="B2776" s="3"/>
      <c r="C2776" s="3"/>
    </row>
    <row r="2777">
      <c r="A2777" s="3"/>
      <c r="B2777" s="3"/>
      <c r="C2777" s="3"/>
    </row>
    <row r="2778">
      <c r="A2778" s="3"/>
      <c r="B2778" s="3"/>
      <c r="C2778" s="3"/>
    </row>
    <row r="2779">
      <c r="A2779" s="3"/>
      <c r="B2779" s="3"/>
      <c r="C2779" s="3"/>
    </row>
    <row r="2780">
      <c r="A2780" s="3"/>
      <c r="B2780" s="3"/>
      <c r="C2780" s="3"/>
    </row>
    <row r="2781">
      <c r="A2781" s="3"/>
      <c r="B2781" s="3"/>
      <c r="C2781" s="3"/>
    </row>
    <row r="2782">
      <c r="A2782" s="3"/>
      <c r="B2782" s="3"/>
      <c r="C2782" s="3"/>
    </row>
    <row r="2783">
      <c r="A2783" s="3"/>
      <c r="B2783" s="3"/>
      <c r="C2783" s="3"/>
    </row>
    <row r="2784">
      <c r="A2784" s="3"/>
      <c r="B2784" s="3"/>
      <c r="C2784" s="3"/>
    </row>
    <row r="2785">
      <c r="A2785" s="3"/>
      <c r="B2785" s="3"/>
      <c r="C2785" s="3"/>
    </row>
    <row r="2786">
      <c r="A2786" s="3"/>
      <c r="B2786" s="3"/>
      <c r="C2786" s="3"/>
    </row>
    <row r="2787">
      <c r="A2787" s="3"/>
      <c r="B2787" s="3"/>
      <c r="C2787" s="3"/>
    </row>
    <row r="2788">
      <c r="A2788" s="3"/>
      <c r="B2788" s="3"/>
      <c r="C2788" s="3"/>
    </row>
    <row r="2789">
      <c r="A2789" s="3"/>
      <c r="B2789" s="3"/>
      <c r="C2789" s="3"/>
    </row>
    <row r="2790">
      <c r="A2790" s="3"/>
      <c r="B2790" s="3"/>
      <c r="C2790" s="3"/>
    </row>
    <row r="2791">
      <c r="A2791" s="3"/>
      <c r="B2791" s="3"/>
      <c r="C2791" s="3"/>
    </row>
    <row r="2792">
      <c r="A2792" s="3"/>
      <c r="B2792" s="3"/>
      <c r="C2792" s="3"/>
    </row>
    <row r="2793">
      <c r="A2793" s="3"/>
      <c r="B2793" s="3"/>
      <c r="C2793" s="3"/>
    </row>
    <row r="2794">
      <c r="A2794" s="3"/>
      <c r="B2794" s="3"/>
      <c r="C2794" s="3"/>
    </row>
    <row r="2795">
      <c r="A2795" s="3"/>
      <c r="B2795" s="3"/>
      <c r="C2795" s="3"/>
    </row>
    <row r="2796">
      <c r="A2796" s="3"/>
      <c r="B2796" s="3"/>
      <c r="C2796" s="3"/>
    </row>
    <row r="2797">
      <c r="A2797" s="3"/>
      <c r="B2797" s="3"/>
      <c r="C2797" s="3"/>
    </row>
    <row r="2798">
      <c r="A2798" s="3"/>
      <c r="B2798" s="3"/>
      <c r="C2798" s="3"/>
    </row>
    <row r="2799">
      <c r="A2799" s="3"/>
      <c r="B2799" s="3"/>
      <c r="C2799" s="3"/>
    </row>
    <row r="2800">
      <c r="A2800" s="3"/>
      <c r="B2800" s="3"/>
      <c r="C2800" s="3"/>
    </row>
    <row r="2801">
      <c r="A2801" s="3"/>
      <c r="B2801" s="3"/>
      <c r="C2801" s="3"/>
    </row>
    <row r="2802">
      <c r="A2802" s="3"/>
      <c r="B2802" s="3"/>
      <c r="C2802" s="3"/>
    </row>
    <row r="2803">
      <c r="A2803" s="3"/>
      <c r="B2803" s="3"/>
      <c r="C2803" s="3"/>
    </row>
    <row r="2804">
      <c r="A2804" s="3"/>
      <c r="B2804" s="3"/>
      <c r="C2804" s="3"/>
    </row>
    <row r="2805">
      <c r="A2805" s="3"/>
      <c r="B2805" s="3"/>
      <c r="C2805" s="3"/>
    </row>
    <row r="2806">
      <c r="A2806" s="3"/>
      <c r="B2806" s="3"/>
      <c r="C2806" s="3"/>
    </row>
    <row r="2807">
      <c r="A2807" s="3"/>
      <c r="B2807" s="3"/>
      <c r="C2807" s="3"/>
    </row>
    <row r="2808">
      <c r="A2808" s="3"/>
      <c r="B2808" s="3"/>
      <c r="C2808" s="3"/>
    </row>
    <row r="2809">
      <c r="A2809" s="3"/>
      <c r="B2809" s="3"/>
      <c r="C2809" s="3"/>
    </row>
    <row r="2810">
      <c r="A2810" s="3"/>
      <c r="B2810" s="3"/>
      <c r="C2810" s="3"/>
    </row>
    <row r="2811">
      <c r="A2811" s="3"/>
      <c r="B2811" s="3"/>
      <c r="C2811" s="3"/>
    </row>
    <row r="2812">
      <c r="A2812" s="3"/>
      <c r="B2812" s="3"/>
      <c r="C2812" s="3"/>
    </row>
    <row r="2813">
      <c r="A2813" s="3"/>
      <c r="B2813" s="3"/>
      <c r="C2813" s="3"/>
    </row>
    <row r="2814">
      <c r="A2814" s="3"/>
      <c r="B2814" s="3"/>
      <c r="C2814" s="3"/>
    </row>
    <row r="2815">
      <c r="A2815" s="3"/>
      <c r="B2815" s="3"/>
      <c r="C2815" s="3"/>
    </row>
    <row r="2816">
      <c r="A2816" s="3"/>
      <c r="B2816" s="3"/>
      <c r="C2816" s="3"/>
    </row>
    <row r="2817">
      <c r="A2817" s="3"/>
      <c r="B2817" s="3"/>
      <c r="C2817" s="3"/>
    </row>
    <row r="2818">
      <c r="A2818" s="3"/>
      <c r="B2818" s="3"/>
      <c r="C2818" s="3"/>
    </row>
    <row r="2819">
      <c r="A2819" s="3"/>
      <c r="B2819" s="3"/>
      <c r="C2819" s="3"/>
    </row>
    <row r="2820">
      <c r="A2820" s="3"/>
      <c r="B2820" s="3"/>
      <c r="C2820" s="3"/>
    </row>
    <row r="2821">
      <c r="A2821" s="3"/>
      <c r="B2821" s="3"/>
      <c r="C2821" s="3"/>
    </row>
    <row r="2822">
      <c r="A2822" s="3"/>
      <c r="B2822" s="3"/>
      <c r="C2822" s="3"/>
    </row>
    <row r="2823">
      <c r="A2823" s="3"/>
      <c r="B2823" s="3"/>
      <c r="C2823" s="3"/>
    </row>
    <row r="2824">
      <c r="A2824" s="3"/>
      <c r="B2824" s="3"/>
      <c r="C2824" s="3"/>
    </row>
    <row r="2825">
      <c r="A2825" s="3"/>
      <c r="B2825" s="3"/>
      <c r="C2825" s="3"/>
    </row>
    <row r="2826">
      <c r="A2826" s="3"/>
      <c r="B2826" s="3"/>
      <c r="C2826" s="3"/>
    </row>
    <row r="2827">
      <c r="A2827" s="3"/>
      <c r="B2827" s="3"/>
      <c r="C2827" s="3"/>
    </row>
    <row r="2828">
      <c r="A2828" s="3"/>
      <c r="B2828" s="3"/>
      <c r="C2828" s="3"/>
    </row>
    <row r="2829">
      <c r="A2829" s="3"/>
      <c r="B2829" s="3"/>
      <c r="C2829" s="3"/>
    </row>
    <row r="2830">
      <c r="A2830" s="3"/>
      <c r="B2830" s="3"/>
      <c r="C2830" s="3"/>
    </row>
    <row r="2831">
      <c r="A2831" s="3"/>
      <c r="B2831" s="3"/>
      <c r="C2831" s="3"/>
    </row>
    <row r="2832">
      <c r="A2832" s="3"/>
      <c r="B2832" s="3"/>
      <c r="C2832" s="3"/>
    </row>
    <row r="2833">
      <c r="A2833" s="3"/>
      <c r="B2833" s="3"/>
      <c r="C2833" s="3"/>
    </row>
    <row r="2834">
      <c r="A2834" s="3"/>
      <c r="B2834" s="3"/>
      <c r="C2834" s="3"/>
    </row>
    <row r="2835">
      <c r="A2835" s="3"/>
      <c r="B2835" s="3"/>
      <c r="C2835" s="3"/>
    </row>
    <row r="2836">
      <c r="A2836" s="3"/>
      <c r="B2836" s="3"/>
      <c r="C2836" s="3"/>
    </row>
    <row r="2837">
      <c r="A2837" s="3"/>
      <c r="B2837" s="3"/>
      <c r="C2837" s="3"/>
    </row>
    <row r="2838">
      <c r="A2838" s="3"/>
      <c r="B2838" s="3"/>
      <c r="C2838" s="3"/>
    </row>
    <row r="2839">
      <c r="A2839" s="3"/>
      <c r="B2839" s="3"/>
      <c r="C2839" s="3"/>
    </row>
    <row r="2840">
      <c r="A2840" s="3"/>
      <c r="B2840" s="3"/>
      <c r="C2840" s="3"/>
    </row>
    <row r="2841">
      <c r="A2841" s="3"/>
      <c r="B2841" s="3"/>
      <c r="C2841" s="3"/>
    </row>
    <row r="2842">
      <c r="A2842" s="3"/>
      <c r="B2842" s="3"/>
      <c r="C2842" s="3"/>
    </row>
    <row r="2843">
      <c r="A2843" s="3"/>
      <c r="B2843" s="3"/>
      <c r="C2843" s="3"/>
    </row>
    <row r="2844">
      <c r="A2844" s="3"/>
      <c r="B2844" s="3"/>
      <c r="C2844" s="3"/>
    </row>
    <row r="2845">
      <c r="A2845" s="3"/>
      <c r="B2845" s="3"/>
      <c r="C2845" s="3"/>
    </row>
    <row r="2846">
      <c r="A2846" s="3"/>
      <c r="B2846" s="3"/>
      <c r="C2846" s="3"/>
    </row>
    <row r="2847">
      <c r="A2847" s="3"/>
      <c r="B2847" s="3"/>
      <c r="C2847" s="3"/>
    </row>
    <row r="2848">
      <c r="A2848" s="3"/>
      <c r="B2848" s="3"/>
      <c r="C2848" s="3"/>
    </row>
    <row r="2849">
      <c r="A2849" s="3"/>
      <c r="B2849" s="3"/>
      <c r="C2849" s="3"/>
    </row>
    <row r="2850">
      <c r="A2850" s="3"/>
      <c r="B2850" s="3"/>
      <c r="C2850" s="3"/>
    </row>
    <row r="2851">
      <c r="A2851" s="3"/>
      <c r="B2851" s="3"/>
      <c r="C2851" s="3"/>
    </row>
    <row r="2852">
      <c r="A2852" s="3"/>
      <c r="B2852" s="3"/>
      <c r="C2852" s="3"/>
    </row>
    <row r="2853">
      <c r="A2853" s="3"/>
      <c r="B2853" s="3"/>
      <c r="C2853" s="3"/>
    </row>
    <row r="2854">
      <c r="A2854" s="3"/>
      <c r="B2854" s="3"/>
      <c r="C2854" s="3"/>
    </row>
    <row r="2855">
      <c r="A2855" s="3"/>
      <c r="B2855" s="3"/>
      <c r="C2855" s="3"/>
    </row>
    <row r="2856">
      <c r="A2856" s="3"/>
      <c r="B2856" s="3"/>
      <c r="C2856" s="3"/>
    </row>
    <row r="2857">
      <c r="A2857" s="3"/>
      <c r="B2857" s="3"/>
      <c r="C2857" s="3"/>
    </row>
    <row r="2858">
      <c r="A2858" s="3"/>
      <c r="B2858" s="3"/>
      <c r="C2858" s="3"/>
    </row>
    <row r="2859">
      <c r="A2859" s="3"/>
      <c r="B2859" s="3"/>
      <c r="C2859" s="3"/>
    </row>
    <row r="2860">
      <c r="A2860" s="3"/>
      <c r="B2860" s="3"/>
      <c r="C2860" s="3"/>
    </row>
    <row r="2861">
      <c r="A2861" s="3"/>
      <c r="B2861" s="3"/>
      <c r="C2861" s="3"/>
    </row>
    <row r="2862">
      <c r="A2862" s="3"/>
      <c r="B2862" s="3"/>
      <c r="C2862" s="3"/>
    </row>
    <row r="2863">
      <c r="A2863" s="3"/>
      <c r="B2863" s="3"/>
      <c r="C2863" s="3"/>
    </row>
    <row r="2864">
      <c r="A2864" s="3"/>
      <c r="B2864" s="3"/>
      <c r="C2864" s="3"/>
    </row>
    <row r="2865">
      <c r="A2865" s="3"/>
      <c r="B2865" s="3"/>
      <c r="C2865" s="3"/>
    </row>
    <row r="2866">
      <c r="A2866" s="3"/>
      <c r="B2866" s="3"/>
      <c r="C2866" s="3"/>
    </row>
    <row r="2867">
      <c r="A2867" s="3"/>
      <c r="B2867" s="3"/>
      <c r="C2867" s="3"/>
    </row>
    <row r="2868">
      <c r="A2868" s="3"/>
      <c r="B2868" s="3"/>
      <c r="C2868" s="3"/>
    </row>
    <row r="2869">
      <c r="A2869" s="3"/>
      <c r="B2869" s="3"/>
      <c r="C2869" s="3"/>
    </row>
    <row r="2870">
      <c r="A2870" s="3"/>
      <c r="B2870" s="3"/>
      <c r="C2870" s="3"/>
    </row>
    <row r="2871">
      <c r="A2871" s="3"/>
      <c r="B2871" s="3"/>
      <c r="C2871" s="3"/>
    </row>
    <row r="2872">
      <c r="A2872" s="3"/>
      <c r="B2872" s="3"/>
      <c r="C2872" s="3"/>
    </row>
    <row r="2873">
      <c r="A2873" s="3"/>
      <c r="B2873" s="3"/>
      <c r="C2873" s="3"/>
    </row>
    <row r="2874">
      <c r="A2874" s="3"/>
      <c r="B2874" s="3"/>
      <c r="C2874" s="3"/>
    </row>
    <row r="2875">
      <c r="A2875" s="3"/>
      <c r="B2875" s="3"/>
      <c r="C2875" s="3"/>
    </row>
    <row r="2876">
      <c r="A2876" s="3"/>
      <c r="B2876" s="3"/>
      <c r="C2876" s="3"/>
    </row>
    <row r="2877">
      <c r="A2877" s="3"/>
      <c r="B2877" s="3"/>
      <c r="C2877" s="3"/>
    </row>
    <row r="2878">
      <c r="A2878" s="3"/>
      <c r="B2878" s="3"/>
      <c r="C2878" s="3"/>
    </row>
    <row r="2879">
      <c r="A2879" s="3"/>
      <c r="B2879" s="3"/>
      <c r="C2879" s="3"/>
    </row>
    <row r="2880">
      <c r="A2880" s="3"/>
      <c r="B2880" s="3"/>
      <c r="C2880" s="3"/>
    </row>
    <row r="2881">
      <c r="A2881" s="3"/>
      <c r="B2881" s="3"/>
      <c r="C2881" s="3"/>
    </row>
    <row r="2882">
      <c r="A2882" s="3"/>
      <c r="B2882" s="3"/>
      <c r="C2882" s="3"/>
    </row>
    <row r="2883">
      <c r="A2883" s="3"/>
      <c r="B2883" s="3"/>
      <c r="C2883" s="3"/>
    </row>
    <row r="2884">
      <c r="A2884" s="3"/>
      <c r="B2884" s="3"/>
      <c r="C2884" s="3"/>
    </row>
    <row r="2885">
      <c r="A2885" s="3"/>
      <c r="B2885" s="3"/>
      <c r="C2885" s="3"/>
    </row>
    <row r="2886">
      <c r="A2886" s="3"/>
      <c r="B2886" s="3"/>
      <c r="C2886" s="3"/>
    </row>
    <row r="2887">
      <c r="A2887" s="3"/>
      <c r="B2887" s="3"/>
      <c r="C2887" s="3"/>
    </row>
    <row r="2888">
      <c r="A2888" s="3"/>
      <c r="B2888" s="3"/>
      <c r="C2888" s="3"/>
    </row>
    <row r="2889">
      <c r="A2889" s="3"/>
      <c r="B2889" s="3"/>
      <c r="C2889" s="3"/>
    </row>
    <row r="2890">
      <c r="A2890" s="3"/>
      <c r="B2890" s="3"/>
      <c r="C2890" s="3"/>
    </row>
    <row r="2891">
      <c r="A2891" s="3"/>
      <c r="B2891" s="3"/>
      <c r="C2891" s="3"/>
    </row>
    <row r="2892">
      <c r="A2892" s="3"/>
      <c r="B2892" s="3"/>
      <c r="C2892" s="3"/>
    </row>
    <row r="2893">
      <c r="A2893" s="3"/>
      <c r="B2893" s="3"/>
      <c r="C2893" s="3"/>
    </row>
    <row r="2894">
      <c r="A2894" s="3"/>
      <c r="B2894" s="3"/>
      <c r="C2894" s="3"/>
    </row>
    <row r="2895">
      <c r="A2895" s="3"/>
      <c r="B2895" s="3"/>
      <c r="C2895" s="3"/>
    </row>
    <row r="2896">
      <c r="A2896" s="3"/>
      <c r="B2896" s="3"/>
      <c r="C2896" s="3"/>
    </row>
    <row r="2897">
      <c r="A2897" s="3"/>
      <c r="B2897" s="3"/>
      <c r="C2897" s="3"/>
    </row>
    <row r="2898">
      <c r="A2898" s="3"/>
      <c r="B2898" s="3"/>
      <c r="C2898" s="3"/>
    </row>
    <row r="2899">
      <c r="A2899" s="3"/>
      <c r="B2899" s="3"/>
      <c r="C2899" s="3"/>
    </row>
    <row r="2900">
      <c r="A2900" s="3"/>
      <c r="B2900" s="3"/>
      <c r="C2900" s="3"/>
    </row>
    <row r="2901">
      <c r="A2901" s="3"/>
      <c r="B2901" s="3"/>
      <c r="C2901" s="3"/>
    </row>
    <row r="2902">
      <c r="A2902" s="3"/>
      <c r="B2902" s="3"/>
      <c r="C2902" s="3"/>
    </row>
    <row r="2903">
      <c r="A2903" s="3"/>
      <c r="B2903" s="3"/>
      <c r="C2903" s="3"/>
    </row>
    <row r="2904">
      <c r="A2904" s="3"/>
      <c r="B2904" s="3"/>
      <c r="C2904" s="3"/>
    </row>
    <row r="2905">
      <c r="A2905" s="3"/>
      <c r="B2905" s="3"/>
      <c r="C2905" s="3"/>
    </row>
    <row r="2906">
      <c r="A2906" s="3"/>
      <c r="B2906" s="3"/>
      <c r="C2906" s="3"/>
    </row>
    <row r="2907">
      <c r="A2907" s="3"/>
      <c r="B2907" s="3"/>
      <c r="C2907" s="3"/>
    </row>
    <row r="2908">
      <c r="A2908" s="3"/>
      <c r="B2908" s="3"/>
      <c r="C2908" s="3"/>
    </row>
    <row r="2909">
      <c r="A2909" s="3"/>
      <c r="B2909" s="3"/>
      <c r="C2909" s="3"/>
    </row>
    <row r="2910">
      <c r="A2910" s="3"/>
      <c r="B2910" s="3"/>
      <c r="C2910" s="3"/>
    </row>
    <row r="2911">
      <c r="A2911" s="3"/>
      <c r="B2911" s="3"/>
      <c r="C2911" s="3"/>
    </row>
    <row r="2912">
      <c r="A2912" s="3"/>
      <c r="B2912" s="3"/>
      <c r="C2912" s="3"/>
    </row>
    <row r="2913">
      <c r="A2913" s="3"/>
      <c r="B2913" s="3"/>
      <c r="C2913" s="3"/>
    </row>
    <row r="2914">
      <c r="A2914" s="3"/>
      <c r="B2914" s="3"/>
      <c r="C2914" s="3"/>
    </row>
    <row r="2915">
      <c r="A2915" s="3"/>
      <c r="B2915" s="3"/>
      <c r="C2915" s="3"/>
    </row>
    <row r="2916">
      <c r="A2916" s="3"/>
      <c r="B2916" s="3"/>
      <c r="C2916" s="3"/>
    </row>
    <row r="2917">
      <c r="A2917" s="3"/>
      <c r="B2917" s="3"/>
      <c r="C2917" s="3"/>
    </row>
    <row r="2918">
      <c r="A2918" s="3"/>
      <c r="B2918" s="3"/>
      <c r="C2918" s="3"/>
    </row>
    <row r="2919">
      <c r="A2919" s="3"/>
      <c r="B2919" s="3"/>
      <c r="C2919" s="3"/>
    </row>
    <row r="2920">
      <c r="A2920" s="3"/>
      <c r="B2920" s="3"/>
      <c r="C2920" s="3"/>
    </row>
    <row r="2921">
      <c r="A2921" s="3"/>
      <c r="B2921" s="3"/>
      <c r="C2921" s="3"/>
    </row>
    <row r="2922">
      <c r="A2922" s="3"/>
      <c r="B2922" s="3"/>
      <c r="C2922" s="3"/>
    </row>
    <row r="2923">
      <c r="A2923" s="3"/>
      <c r="B2923" s="3"/>
      <c r="C2923" s="3"/>
    </row>
    <row r="2924">
      <c r="A2924" s="3"/>
      <c r="B2924" s="3"/>
      <c r="C2924" s="3"/>
    </row>
    <row r="2925">
      <c r="A2925" s="3"/>
      <c r="B2925" s="3"/>
      <c r="C2925" s="3"/>
    </row>
    <row r="2926">
      <c r="A2926" s="3"/>
      <c r="B2926" s="3"/>
      <c r="C2926" s="3"/>
    </row>
    <row r="2927">
      <c r="A2927" s="3"/>
      <c r="B2927" s="3"/>
      <c r="C2927" s="3"/>
    </row>
    <row r="2928">
      <c r="A2928" s="3"/>
      <c r="B2928" s="3"/>
      <c r="C2928" s="3"/>
    </row>
    <row r="2929">
      <c r="A2929" s="3"/>
      <c r="B2929" s="3"/>
      <c r="C2929" s="3"/>
    </row>
    <row r="2930">
      <c r="A2930" s="3"/>
      <c r="B2930" s="3"/>
      <c r="C2930" s="3"/>
    </row>
    <row r="2931">
      <c r="A2931" s="3"/>
      <c r="B2931" s="3"/>
      <c r="C2931" s="3"/>
    </row>
    <row r="2932">
      <c r="A2932" s="3"/>
      <c r="B2932" s="3"/>
      <c r="C2932" s="3"/>
    </row>
    <row r="2933">
      <c r="A2933" s="3"/>
      <c r="B2933" s="3"/>
      <c r="C2933" s="3"/>
    </row>
    <row r="2934">
      <c r="A2934" s="3"/>
      <c r="B2934" s="3"/>
      <c r="C2934" s="3"/>
    </row>
    <row r="2935">
      <c r="A2935" s="3"/>
      <c r="B2935" s="3"/>
      <c r="C2935" s="3"/>
    </row>
    <row r="2936">
      <c r="A2936" s="3"/>
      <c r="B2936" s="3"/>
      <c r="C2936" s="3"/>
    </row>
    <row r="2937">
      <c r="A2937" s="3"/>
      <c r="B2937" s="3"/>
      <c r="C2937" s="3"/>
    </row>
    <row r="2938">
      <c r="A2938" s="3"/>
      <c r="B2938" s="3"/>
      <c r="C2938" s="3"/>
    </row>
    <row r="2939">
      <c r="A2939" s="3"/>
      <c r="B2939" s="3"/>
      <c r="C2939" s="3"/>
    </row>
    <row r="2940">
      <c r="A2940" s="3"/>
      <c r="B2940" s="3"/>
      <c r="C2940" s="3"/>
    </row>
    <row r="2941">
      <c r="A2941" s="3"/>
      <c r="B2941" s="3"/>
      <c r="C2941" s="3"/>
    </row>
    <row r="2942">
      <c r="A2942" s="3"/>
      <c r="B2942" s="3"/>
      <c r="C2942" s="3"/>
    </row>
    <row r="2943">
      <c r="A2943" s="3"/>
      <c r="B2943" s="3"/>
      <c r="C2943" s="3"/>
    </row>
    <row r="2944">
      <c r="A2944" s="3"/>
      <c r="B2944" s="3"/>
      <c r="C2944" s="3"/>
    </row>
    <row r="2945">
      <c r="A2945" s="3"/>
      <c r="B2945" s="3"/>
      <c r="C2945" s="3"/>
    </row>
    <row r="2946">
      <c r="A2946" s="3"/>
      <c r="B2946" s="3"/>
      <c r="C2946" s="3"/>
    </row>
    <row r="2947">
      <c r="A2947" s="3"/>
      <c r="B2947" s="3"/>
      <c r="C2947" s="3"/>
    </row>
    <row r="2948">
      <c r="A2948" s="3"/>
      <c r="B2948" s="3"/>
      <c r="C2948" s="3"/>
    </row>
    <row r="2949">
      <c r="A2949" s="3"/>
      <c r="B2949" s="3"/>
      <c r="C2949" s="3"/>
    </row>
    <row r="2950">
      <c r="A2950" s="3"/>
      <c r="B2950" s="3"/>
      <c r="C2950" s="3"/>
    </row>
    <row r="2951">
      <c r="A2951" s="3"/>
      <c r="B2951" s="3"/>
      <c r="C2951" s="3"/>
    </row>
    <row r="2952">
      <c r="A2952" s="3"/>
      <c r="B2952" s="3"/>
      <c r="C2952" s="3"/>
    </row>
    <row r="2953">
      <c r="A2953" s="3"/>
      <c r="B2953" s="3"/>
      <c r="C2953" s="3"/>
    </row>
    <row r="2954">
      <c r="A2954" s="3"/>
      <c r="B2954" s="3"/>
      <c r="C2954" s="3"/>
    </row>
    <row r="2955">
      <c r="A2955" s="3"/>
      <c r="B2955" s="3"/>
      <c r="C2955" s="3"/>
    </row>
    <row r="2956">
      <c r="A2956" s="3"/>
      <c r="B2956" s="3"/>
      <c r="C2956" s="3"/>
    </row>
    <row r="2957">
      <c r="A2957" s="3"/>
      <c r="B2957" s="3"/>
      <c r="C2957" s="3"/>
    </row>
    <row r="2958">
      <c r="A2958" s="3"/>
      <c r="B2958" s="3"/>
      <c r="C2958" s="3"/>
    </row>
    <row r="2959">
      <c r="A2959" s="3"/>
      <c r="B2959" s="3"/>
      <c r="C2959" s="3"/>
    </row>
    <row r="2960">
      <c r="A2960" s="3"/>
      <c r="B2960" s="3"/>
      <c r="C2960" s="3"/>
    </row>
    <row r="2961">
      <c r="A2961" s="3"/>
      <c r="B2961" s="3"/>
      <c r="C2961" s="3"/>
    </row>
    <row r="2962">
      <c r="A2962" s="3"/>
      <c r="B2962" s="3"/>
      <c r="C2962" s="3"/>
    </row>
    <row r="2963">
      <c r="A2963" s="3"/>
      <c r="B2963" s="3"/>
      <c r="C2963" s="3"/>
    </row>
    <row r="2964">
      <c r="A2964" s="3"/>
      <c r="B2964" s="3"/>
      <c r="C2964" s="3"/>
    </row>
    <row r="2965">
      <c r="A2965" s="3"/>
      <c r="B2965" s="3"/>
      <c r="C2965" s="3"/>
    </row>
    <row r="2966">
      <c r="A2966" s="3"/>
      <c r="B2966" s="3"/>
      <c r="C2966" s="3"/>
    </row>
    <row r="2967">
      <c r="A2967" s="3"/>
      <c r="B2967" s="3"/>
      <c r="C2967" s="3"/>
    </row>
    <row r="2968">
      <c r="A2968" s="3"/>
      <c r="B2968" s="3"/>
      <c r="C2968" s="3"/>
    </row>
    <row r="2969">
      <c r="A2969" s="3"/>
      <c r="B2969" s="3"/>
      <c r="C2969" s="3"/>
    </row>
    <row r="2970">
      <c r="A2970" s="3"/>
      <c r="B2970" s="3"/>
      <c r="C2970" s="3"/>
    </row>
    <row r="2971">
      <c r="A2971" s="3"/>
      <c r="B2971" s="3"/>
      <c r="C2971" s="3"/>
    </row>
    <row r="2972">
      <c r="A2972" s="3"/>
      <c r="B2972" s="3"/>
      <c r="C2972" s="3"/>
    </row>
    <row r="2973">
      <c r="A2973" s="3"/>
      <c r="B2973" s="3"/>
      <c r="C2973" s="3"/>
    </row>
    <row r="2974">
      <c r="A2974" s="3"/>
      <c r="B2974" s="3"/>
      <c r="C2974" s="3"/>
    </row>
    <row r="2975">
      <c r="A2975" s="3"/>
      <c r="B2975" s="3"/>
      <c r="C2975" s="3"/>
    </row>
    <row r="2976">
      <c r="A2976" s="3"/>
      <c r="B2976" s="3"/>
      <c r="C2976" s="3"/>
    </row>
    <row r="2977">
      <c r="A2977" s="3"/>
      <c r="B2977" s="3"/>
      <c r="C2977" s="3"/>
    </row>
    <row r="2978">
      <c r="A2978" s="3"/>
      <c r="B2978" s="3"/>
      <c r="C2978" s="3"/>
    </row>
    <row r="2979">
      <c r="A2979" s="3"/>
      <c r="B2979" s="3"/>
      <c r="C2979" s="3"/>
    </row>
    <row r="2980">
      <c r="A2980" s="3"/>
      <c r="B2980" s="3"/>
      <c r="C2980" s="3"/>
    </row>
    <row r="2981">
      <c r="A2981" s="3"/>
      <c r="B2981" s="3"/>
      <c r="C2981" s="3"/>
    </row>
    <row r="2982">
      <c r="A2982" s="3"/>
      <c r="B2982" s="3"/>
      <c r="C2982" s="3"/>
    </row>
    <row r="2983">
      <c r="A2983" s="3"/>
      <c r="B2983" s="3"/>
      <c r="C2983" s="3"/>
    </row>
    <row r="2984">
      <c r="A2984" s="3"/>
      <c r="B2984" s="3"/>
      <c r="C2984" s="3"/>
    </row>
    <row r="2985">
      <c r="A2985" s="3"/>
      <c r="B2985" s="3"/>
      <c r="C2985" s="3"/>
    </row>
    <row r="2986">
      <c r="A2986" s="3"/>
      <c r="B2986" s="3"/>
      <c r="C2986" s="3"/>
    </row>
    <row r="2987">
      <c r="A2987" s="3"/>
      <c r="B2987" s="3"/>
      <c r="C2987" s="3"/>
    </row>
    <row r="2988">
      <c r="A2988" s="3"/>
      <c r="B2988" s="3"/>
      <c r="C2988" s="3"/>
    </row>
    <row r="2989">
      <c r="A2989" s="3"/>
      <c r="B2989" s="3"/>
      <c r="C2989" s="3"/>
    </row>
    <row r="2990">
      <c r="A2990" s="3"/>
      <c r="B2990" s="3"/>
      <c r="C2990" s="3"/>
    </row>
    <row r="2991">
      <c r="A2991" s="3"/>
      <c r="B2991" s="3"/>
      <c r="C2991" s="3"/>
    </row>
    <row r="2992">
      <c r="A2992" s="3"/>
      <c r="B2992" s="3"/>
      <c r="C2992" s="3"/>
    </row>
    <row r="2993">
      <c r="A2993" s="3"/>
      <c r="B2993" s="3"/>
      <c r="C2993" s="3"/>
    </row>
    <row r="2994">
      <c r="A2994" s="3"/>
      <c r="B2994" s="3"/>
      <c r="C2994" s="3"/>
    </row>
    <row r="2995">
      <c r="A2995" s="3"/>
      <c r="B2995" s="3"/>
      <c r="C2995" s="3"/>
    </row>
    <row r="2996">
      <c r="A2996" s="3"/>
      <c r="B2996" s="3"/>
      <c r="C2996" s="3"/>
    </row>
    <row r="2997">
      <c r="A2997" s="3"/>
      <c r="B2997" s="3"/>
      <c r="C2997" s="3"/>
    </row>
    <row r="2998">
      <c r="A2998" s="3"/>
      <c r="B2998" s="3"/>
      <c r="C2998" s="3"/>
    </row>
    <row r="2999">
      <c r="A2999" s="3"/>
      <c r="B2999" s="3"/>
      <c r="C2999" s="3"/>
    </row>
    <row r="3000">
      <c r="A3000" s="3"/>
      <c r="B3000" s="3"/>
      <c r="C3000" s="3"/>
    </row>
    <row r="3001">
      <c r="A3001" s="3"/>
      <c r="B3001" s="3"/>
      <c r="C3001" s="3"/>
    </row>
    <row r="3002">
      <c r="A3002" s="3"/>
      <c r="B3002" s="3"/>
      <c r="C3002" s="3"/>
    </row>
    <row r="3003">
      <c r="A3003" s="3"/>
      <c r="B3003" s="3"/>
      <c r="C3003" s="3"/>
    </row>
    <row r="3004">
      <c r="A3004" s="3"/>
      <c r="B3004" s="3"/>
      <c r="C3004" s="3"/>
    </row>
    <row r="3005">
      <c r="A3005" s="3"/>
      <c r="B3005" s="3"/>
      <c r="C3005" s="3"/>
    </row>
    <row r="3006">
      <c r="A3006" s="3"/>
      <c r="B3006" s="3"/>
      <c r="C3006" s="3"/>
    </row>
    <row r="3007">
      <c r="A3007" s="3"/>
      <c r="B3007" s="3"/>
      <c r="C3007" s="3"/>
    </row>
    <row r="3008">
      <c r="A3008" s="3"/>
      <c r="B3008" s="3"/>
      <c r="C3008" s="3"/>
    </row>
    <row r="3009">
      <c r="A3009" s="3"/>
      <c r="B3009" s="3"/>
      <c r="C3009" s="3"/>
    </row>
    <row r="3010">
      <c r="A3010" s="3"/>
      <c r="B3010" s="3"/>
      <c r="C3010" s="3"/>
    </row>
    <row r="3011">
      <c r="A3011" s="3"/>
      <c r="B3011" s="3"/>
      <c r="C3011" s="3"/>
    </row>
    <row r="3012">
      <c r="A3012" s="3"/>
      <c r="B3012" s="3"/>
      <c r="C3012" s="3"/>
    </row>
    <row r="3013">
      <c r="A3013" s="3"/>
      <c r="B3013" s="3"/>
      <c r="C3013" s="3"/>
    </row>
    <row r="3014">
      <c r="A3014" s="3"/>
      <c r="B3014" s="3"/>
      <c r="C3014" s="3"/>
    </row>
    <row r="3015">
      <c r="A3015" s="3"/>
      <c r="B3015" s="3"/>
      <c r="C3015" s="3"/>
    </row>
    <row r="3016">
      <c r="A3016" s="3"/>
      <c r="B3016" s="3"/>
      <c r="C3016" s="3"/>
    </row>
    <row r="3017">
      <c r="A3017" s="3"/>
      <c r="B3017" s="3"/>
      <c r="C3017" s="3"/>
    </row>
    <row r="3018">
      <c r="A3018" s="3"/>
      <c r="B3018" s="3"/>
      <c r="C3018" s="3"/>
    </row>
    <row r="3019">
      <c r="A3019" s="3"/>
      <c r="B3019" s="3"/>
      <c r="C3019" s="3"/>
    </row>
    <row r="3020">
      <c r="A3020" s="3"/>
      <c r="B3020" s="3"/>
      <c r="C3020" s="3"/>
    </row>
    <row r="3021">
      <c r="A3021" s="3"/>
      <c r="B3021" s="3"/>
      <c r="C3021" s="3"/>
    </row>
    <row r="3022">
      <c r="A3022" s="3"/>
      <c r="B3022" s="3"/>
      <c r="C3022" s="3"/>
    </row>
    <row r="3023">
      <c r="A3023" s="3"/>
      <c r="B3023" s="3"/>
      <c r="C3023" s="3"/>
    </row>
    <row r="3024">
      <c r="A3024" s="3"/>
      <c r="B3024" s="3"/>
      <c r="C3024" s="3"/>
    </row>
    <row r="3025">
      <c r="A3025" s="3"/>
      <c r="B3025" s="3"/>
      <c r="C3025" s="3"/>
    </row>
    <row r="3026">
      <c r="A3026" s="3"/>
      <c r="B3026" s="3"/>
      <c r="C3026" s="3"/>
    </row>
    <row r="3027">
      <c r="A3027" s="3"/>
      <c r="B3027" s="3"/>
      <c r="C3027" s="3"/>
    </row>
    <row r="3028">
      <c r="A3028" s="3"/>
      <c r="B3028" s="3"/>
      <c r="C3028" s="3"/>
    </row>
    <row r="3029">
      <c r="A3029" s="3"/>
      <c r="B3029" s="3"/>
      <c r="C3029" s="3"/>
    </row>
    <row r="3030">
      <c r="A3030" s="3"/>
      <c r="B3030" s="3"/>
      <c r="C3030" s="3"/>
    </row>
    <row r="3031">
      <c r="A3031" s="3"/>
      <c r="B3031" s="3"/>
      <c r="C3031" s="3"/>
    </row>
    <row r="3032">
      <c r="A3032" s="3"/>
      <c r="B3032" s="3"/>
      <c r="C3032" s="3"/>
    </row>
    <row r="3033">
      <c r="A3033" s="3"/>
      <c r="B3033" s="3"/>
      <c r="C3033" s="3"/>
    </row>
    <row r="3034">
      <c r="A3034" s="3"/>
      <c r="B3034" s="3"/>
      <c r="C3034" s="3"/>
    </row>
    <row r="3035">
      <c r="A3035" s="3"/>
      <c r="B3035" s="3"/>
      <c r="C3035" s="3"/>
    </row>
    <row r="3036">
      <c r="A3036" s="3"/>
      <c r="B3036" s="3"/>
      <c r="C3036" s="3"/>
    </row>
    <row r="3037">
      <c r="A3037" s="3"/>
      <c r="B3037" s="3"/>
      <c r="C3037" s="3"/>
    </row>
    <row r="3038">
      <c r="A3038" s="3"/>
      <c r="B3038" s="3"/>
      <c r="C3038" s="3"/>
    </row>
    <row r="3039">
      <c r="A3039" s="3"/>
      <c r="B3039" s="3"/>
      <c r="C3039" s="3"/>
    </row>
    <row r="3040">
      <c r="A3040" s="3"/>
      <c r="B3040" s="3"/>
      <c r="C3040" s="3"/>
    </row>
    <row r="3041">
      <c r="A3041" s="3"/>
      <c r="B3041" s="3"/>
      <c r="C3041" s="3"/>
    </row>
    <row r="3042">
      <c r="A3042" s="3"/>
      <c r="B3042" s="3"/>
      <c r="C3042" s="3"/>
    </row>
    <row r="3043">
      <c r="A3043" s="3"/>
      <c r="B3043" s="3"/>
      <c r="C3043" s="3"/>
    </row>
    <row r="3044">
      <c r="A3044" s="3"/>
      <c r="B3044" s="3"/>
      <c r="C3044" s="3"/>
    </row>
    <row r="3045">
      <c r="A3045" s="3"/>
      <c r="B3045" s="3"/>
      <c r="C3045" s="3"/>
    </row>
    <row r="3046">
      <c r="A3046" s="3"/>
      <c r="B3046" s="3"/>
      <c r="C3046" s="3"/>
    </row>
    <row r="3047">
      <c r="A3047" s="3"/>
      <c r="B3047" s="3"/>
      <c r="C3047" s="3"/>
    </row>
    <row r="3048">
      <c r="A3048" s="3"/>
      <c r="B3048" s="3"/>
      <c r="C3048" s="3"/>
    </row>
    <row r="3049">
      <c r="A3049" s="3"/>
      <c r="B3049" s="3"/>
      <c r="C3049" s="3"/>
    </row>
    <row r="3050">
      <c r="A3050" s="3"/>
      <c r="B3050" s="3"/>
      <c r="C3050" s="3"/>
    </row>
    <row r="3051">
      <c r="A3051" s="3"/>
      <c r="B3051" s="3"/>
      <c r="C3051" s="3"/>
    </row>
    <row r="3052">
      <c r="A3052" s="3"/>
      <c r="B3052" s="3"/>
      <c r="C3052" s="3"/>
    </row>
    <row r="3053">
      <c r="A3053" s="3"/>
      <c r="B3053" s="3"/>
      <c r="C3053" s="3"/>
    </row>
    <row r="3054">
      <c r="A3054" s="3"/>
      <c r="B3054" s="3"/>
      <c r="C3054" s="3"/>
    </row>
    <row r="3055">
      <c r="A3055" s="3"/>
      <c r="B3055" s="3"/>
      <c r="C3055" s="3"/>
    </row>
    <row r="3056">
      <c r="A3056" s="3"/>
      <c r="B3056" s="3"/>
      <c r="C3056" s="3"/>
    </row>
    <row r="3057">
      <c r="A3057" s="3"/>
      <c r="B3057" s="3"/>
      <c r="C3057" s="3"/>
    </row>
    <row r="3058">
      <c r="A3058" s="3"/>
      <c r="B3058" s="3"/>
      <c r="C3058" s="3"/>
    </row>
    <row r="3059">
      <c r="A3059" s="3"/>
      <c r="B3059" s="3"/>
      <c r="C3059" s="3"/>
    </row>
    <row r="3060">
      <c r="A3060" s="3"/>
      <c r="B3060" s="3"/>
      <c r="C3060" s="3"/>
    </row>
    <row r="3061">
      <c r="A3061" s="3"/>
      <c r="B3061" s="3"/>
      <c r="C3061" s="3"/>
    </row>
    <row r="3062">
      <c r="A3062" s="3"/>
      <c r="B3062" s="3"/>
      <c r="C3062" s="3"/>
    </row>
    <row r="3063">
      <c r="A3063" s="3"/>
      <c r="B3063" s="3"/>
      <c r="C3063" s="3"/>
    </row>
    <row r="3064">
      <c r="A3064" s="3"/>
      <c r="B3064" s="3"/>
      <c r="C3064" s="3"/>
    </row>
    <row r="3065">
      <c r="A3065" s="3"/>
      <c r="B3065" s="3"/>
      <c r="C3065" s="3"/>
    </row>
    <row r="3066">
      <c r="A3066" s="3"/>
      <c r="B3066" s="3"/>
      <c r="C3066" s="3"/>
    </row>
    <row r="3067">
      <c r="A3067" s="3"/>
      <c r="B3067" s="3"/>
      <c r="C3067" s="3"/>
    </row>
    <row r="3068">
      <c r="A3068" s="3"/>
      <c r="B3068" s="3"/>
      <c r="C3068" s="3"/>
    </row>
    <row r="3069">
      <c r="A3069" s="3"/>
      <c r="B3069" s="3"/>
      <c r="C3069" s="3"/>
    </row>
    <row r="3070">
      <c r="A3070" s="3"/>
      <c r="B3070" s="3"/>
      <c r="C3070" s="3"/>
    </row>
    <row r="3071">
      <c r="A3071" s="3"/>
      <c r="B3071" s="3"/>
      <c r="C3071" s="3"/>
    </row>
    <row r="3072">
      <c r="A3072" s="3"/>
      <c r="B3072" s="3"/>
      <c r="C3072" s="3"/>
    </row>
    <row r="3073">
      <c r="A3073" s="3"/>
      <c r="B3073" s="3"/>
      <c r="C3073" s="3"/>
    </row>
    <row r="3074">
      <c r="A3074" s="3"/>
      <c r="B3074" s="3"/>
      <c r="C3074" s="3"/>
    </row>
    <row r="3075">
      <c r="A3075" s="3"/>
      <c r="B3075" s="3"/>
      <c r="C3075" s="3"/>
    </row>
    <row r="3076">
      <c r="A3076" s="3"/>
      <c r="B3076" s="3"/>
      <c r="C3076" s="3"/>
    </row>
    <row r="3077">
      <c r="A3077" s="3"/>
      <c r="B3077" s="3"/>
      <c r="C3077" s="3"/>
    </row>
    <row r="3078">
      <c r="A3078" s="3"/>
      <c r="B3078" s="3"/>
      <c r="C3078" s="3"/>
    </row>
    <row r="3079">
      <c r="A3079" s="3"/>
      <c r="B3079" s="3"/>
      <c r="C3079" s="3"/>
    </row>
    <row r="3080">
      <c r="A3080" s="3"/>
      <c r="B3080" s="3"/>
      <c r="C3080" s="3"/>
    </row>
    <row r="3081">
      <c r="A3081" s="3"/>
      <c r="B3081" s="3"/>
      <c r="C3081" s="3"/>
    </row>
    <row r="3082">
      <c r="A3082" s="3"/>
      <c r="B3082" s="3"/>
      <c r="C3082" s="3"/>
    </row>
    <row r="3083">
      <c r="A3083" s="3"/>
      <c r="B3083" s="3"/>
      <c r="C3083" s="3"/>
    </row>
    <row r="3084">
      <c r="A3084" s="3"/>
      <c r="B3084" s="3"/>
      <c r="C3084" s="3"/>
    </row>
    <row r="3085">
      <c r="A3085" s="3"/>
      <c r="B3085" s="3"/>
      <c r="C3085" s="3"/>
    </row>
    <row r="3086">
      <c r="A3086" s="3"/>
      <c r="B3086" s="3"/>
      <c r="C3086" s="3"/>
    </row>
    <row r="3087">
      <c r="A3087" s="3"/>
      <c r="B3087" s="3"/>
      <c r="C3087" s="3"/>
    </row>
    <row r="3088">
      <c r="A3088" s="3"/>
      <c r="B3088" s="3"/>
      <c r="C3088" s="3"/>
    </row>
    <row r="3089">
      <c r="A3089" s="3"/>
      <c r="B3089" s="3"/>
      <c r="C3089" s="3"/>
    </row>
    <row r="3090">
      <c r="A3090" s="3"/>
      <c r="B3090" s="3"/>
      <c r="C3090" s="3"/>
    </row>
    <row r="3091">
      <c r="A3091" s="3"/>
      <c r="B3091" s="3"/>
      <c r="C3091" s="3"/>
    </row>
    <row r="3092">
      <c r="A3092" s="3"/>
      <c r="B3092" s="3"/>
      <c r="C3092" s="3"/>
    </row>
    <row r="3093">
      <c r="A3093" s="3"/>
      <c r="B3093" s="3"/>
      <c r="C3093" s="3"/>
    </row>
    <row r="3094">
      <c r="A3094" s="3"/>
      <c r="B3094" s="3"/>
      <c r="C3094" s="3"/>
    </row>
    <row r="3095">
      <c r="A3095" s="3"/>
      <c r="B3095" s="3"/>
      <c r="C3095" s="3"/>
    </row>
    <row r="3096">
      <c r="A3096" s="3"/>
      <c r="B3096" s="3"/>
      <c r="C3096" s="3"/>
    </row>
    <row r="3097">
      <c r="A3097" s="3"/>
      <c r="B3097" s="3"/>
      <c r="C3097" s="3"/>
    </row>
    <row r="3098">
      <c r="A3098" s="3"/>
      <c r="B3098" s="3"/>
      <c r="C3098" s="3"/>
    </row>
    <row r="3099">
      <c r="A3099" s="3"/>
      <c r="B3099" s="3"/>
      <c r="C3099" s="3"/>
    </row>
    <row r="3100">
      <c r="A3100" s="3"/>
      <c r="B3100" s="3"/>
      <c r="C3100" s="3"/>
    </row>
    <row r="3101">
      <c r="A3101" s="3"/>
      <c r="B3101" s="3"/>
      <c r="C3101" s="3"/>
    </row>
    <row r="3102">
      <c r="A3102" s="3"/>
      <c r="B3102" s="3"/>
      <c r="C3102" s="3"/>
    </row>
    <row r="3103">
      <c r="A3103" s="3"/>
      <c r="B3103" s="3"/>
      <c r="C3103" s="3"/>
    </row>
    <row r="3104">
      <c r="A3104" s="3"/>
      <c r="B3104" s="3"/>
      <c r="C3104" s="3"/>
    </row>
    <row r="3105">
      <c r="A3105" s="3"/>
      <c r="B3105" s="3"/>
      <c r="C3105" s="3"/>
    </row>
    <row r="3106">
      <c r="A3106" s="3"/>
      <c r="B3106" s="3"/>
      <c r="C3106" s="3"/>
    </row>
    <row r="3107">
      <c r="A3107" s="3"/>
      <c r="B3107" s="3"/>
      <c r="C3107" s="3"/>
    </row>
    <row r="3108">
      <c r="A3108" s="3"/>
      <c r="B3108" s="3"/>
      <c r="C3108" s="3"/>
    </row>
    <row r="3109">
      <c r="A3109" s="3"/>
      <c r="B3109" s="3"/>
      <c r="C3109" s="3"/>
    </row>
    <row r="3110">
      <c r="A3110" s="3"/>
      <c r="B3110" s="3"/>
      <c r="C3110" s="3"/>
    </row>
    <row r="3111">
      <c r="A3111" s="3"/>
      <c r="B3111" s="3"/>
      <c r="C3111" s="3"/>
    </row>
    <row r="3112">
      <c r="A3112" s="3"/>
      <c r="B3112" s="3"/>
      <c r="C3112" s="3"/>
    </row>
    <row r="3113">
      <c r="A3113" s="3"/>
      <c r="B3113" s="3"/>
      <c r="C3113" s="3"/>
    </row>
    <row r="3114">
      <c r="A3114" s="3"/>
      <c r="B3114" s="3"/>
      <c r="C3114" s="3"/>
    </row>
    <row r="3115">
      <c r="A3115" s="3"/>
      <c r="B3115" s="3"/>
      <c r="C3115" s="3"/>
    </row>
    <row r="3116">
      <c r="A3116" s="3"/>
      <c r="B3116" s="3"/>
      <c r="C3116" s="3"/>
    </row>
    <row r="3117">
      <c r="A3117" s="3"/>
      <c r="B3117" s="3"/>
      <c r="C3117" s="3"/>
    </row>
    <row r="3118">
      <c r="A3118" s="3"/>
      <c r="B3118" s="3"/>
      <c r="C3118" s="3"/>
    </row>
    <row r="3119">
      <c r="A3119" s="3"/>
      <c r="B3119" s="3"/>
      <c r="C3119" s="3"/>
    </row>
    <row r="3120">
      <c r="A3120" s="3"/>
      <c r="B3120" s="3"/>
      <c r="C3120" s="3"/>
    </row>
    <row r="3121">
      <c r="A3121" s="3"/>
      <c r="B3121" s="3"/>
      <c r="C3121" s="3"/>
    </row>
    <row r="3122">
      <c r="A3122" s="3"/>
      <c r="B3122" s="3"/>
      <c r="C3122" s="3"/>
    </row>
    <row r="3123">
      <c r="A3123" s="3"/>
      <c r="B3123" s="3"/>
      <c r="C3123" s="3"/>
    </row>
    <row r="3124">
      <c r="A3124" s="3"/>
      <c r="B3124" s="3"/>
      <c r="C3124" s="3"/>
    </row>
    <row r="3125">
      <c r="A3125" s="3"/>
      <c r="B3125" s="3"/>
      <c r="C3125" s="3"/>
    </row>
    <row r="3126">
      <c r="A3126" s="3"/>
      <c r="B3126" s="3"/>
      <c r="C3126" s="3"/>
    </row>
    <row r="3127">
      <c r="A3127" s="3"/>
      <c r="B3127" s="3"/>
      <c r="C3127" s="3"/>
    </row>
    <row r="3128">
      <c r="A3128" s="3"/>
      <c r="B3128" s="3"/>
      <c r="C3128" s="3"/>
    </row>
    <row r="3129">
      <c r="A3129" s="3"/>
      <c r="B3129" s="3"/>
      <c r="C3129" s="3"/>
    </row>
    <row r="3130">
      <c r="A3130" s="3"/>
      <c r="B3130" s="3"/>
      <c r="C3130" s="3"/>
    </row>
    <row r="3131">
      <c r="A3131" s="3"/>
      <c r="B3131" s="3"/>
      <c r="C3131" s="3"/>
    </row>
    <row r="3132">
      <c r="A3132" s="3"/>
      <c r="B3132" s="3"/>
      <c r="C3132" s="3"/>
    </row>
    <row r="3133">
      <c r="A3133" s="3"/>
      <c r="B3133" s="3"/>
      <c r="C3133" s="3"/>
    </row>
    <row r="3134">
      <c r="A3134" s="3"/>
      <c r="B3134" s="3"/>
      <c r="C3134" s="3"/>
    </row>
    <row r="3135">
      <c r="A3135" s="3"/>
      <c r="B3135" s="3"/>
      <c r="C3135" s="3"/>
    </row>
    <row r="3136">
      <c r="A3136" s="3"/>
      <c r="B3136" s="3"/>
      <c r="C3136" s="3"/>
    </row>
    <row r="3137">
      <c r="A3137" s="3"/>
      <c r="B3137" s="3"/>
      <c r="C3137" s="3"/>
    </row>
    <row r="3138">
      <c r="A3138" s="3"/>
      <c r="B3138" s="3"/>
      <c r="C3138" s="3"/>
    </row>
    <row r="3139">
      <c r="A3139" s="3"/>
      <c r="B3139" s="3"/>
      <c r="C3139" s="3"/>
    </row>
    <row r="3140">
      <c r="A3140" s="3"/>
      <c r="B3140" s="3"/>
      <c r="C3140" s="3"/>
    </row>
    <row r="3141">
      <c r="A3141" s="3"/>
      <c r="B3141" s="3"/>
      <c r="C3141" s="3"/>
    </row>
    <row r="3142">
      <c r="A3142" s="3"/>
      <c r="B3142" s="3"/>
      <c r="C3142" s="3"/>
    </row>
    <row r="3143">
      <c r="A3143" s="3"/>
      <c r="B3143" s="3"/>
      <c r="C3143" s="3"/>
    </row>
    <row r="3144">
      <c r="A3144" s="3"/>
      <c r="B3144" s="3"/>
      <c r="C3144" s="3"/>
    </row>
    <row r="3145">
      <c r="A3145" s="3"/>
      <c r="B3145" s="3"/>
      <c r="C3145" s="3"/>
    </row>
    <row r="3146">
      <c r="A3146" s="3"/>
      <c r="B3146" s="3"/>
      <c r="C3146" s="3"/>
    </row>
    <row r="3147">
      <c r="A3147" s="3"/>
      <c r="B3147" s="3"/>
      <c r="C3147" s="3"/>
    </row>
    <row r="3148">
      <c r="A3148" s="3"/>
      <c r="B3148" s="3"/>
      <c r="C3148" s="3"/>
    </row>
    <row r="3149">
      <c r="A3149" s="3"/>
      <c r="B3149" s="3"/>
      <c r="C3149" s="3"/>
    </row>
    <row r="3150">
      <c r="A3150" s="3"/>
      <c r="B3150" s="3"/>
      <c r="C3150" s="3"/>
    </row>
    <row r="3151">
      <c r="A3151" s="3"/>
      <c r="B3151" s="3"/>
      <c r="C3151" s="3"/>
    </row>
    <row r="3152">
      <c r="A3152" s="3"/>
      <c r="B3152" s="3"/>
      <c r="C3152" s="3"/>
    </row>
    <row r="3153">
      <c r="A3153" s="3"/>
      <c r="B3153" s="3"/>
      <c r="C3153" s="3"/>
    </row>
    <row r="3154">
      <c r="A3154" s="3"/>
      <c r="B3154" s="3"/>
      <c r="C3154" s="3"/>
    </row>
    <row r="3155">
      <c r="A3155" s="3"/>
      <c r="B3155" s="3"/>
      <c r="C3155" s="3"/>
    </row>
    <row r="3156">
      <c r="A3156" s="3"/>
      <c r="B3156" s="3"/>
      <c r="C3156" s="3"/>
    </row>
    <row r="3157">
      <c r="A3157" s="3"/>
      <c r="B3157" s="3"/>
      <c r="C3157" s="3"/>
    </row>
    <row r="3158">
      <c r="A3158" s="3"/>
      <c r="B3158" s="3"/>
      <c r="C3158" s="3"/>
    </row>
    <row r="3159">
      <c r="A3159" s="3"/>
      <c r="B3159" s="3"/>
      <c r="C3159" s="3"/>
    </row>
    <row r="3160">
      <c r="A3160" s="3"/>
      <c r="B3160" s="3"/>
      <c r="C3160" s="3"/>
    </row>
    <row r="3161">
      <c r="A3161" s="3"/>
      <c r="B3161" s="3"/>
      <c r="C3161" s="3"/>
    </row>
    <row r="3162">
      <c r="A3162" s="3"/>
      <c r="B3162" s="3"/>
      <c r="C3162" s="3"/>
    </row>
    <row r="3163">
      <c r="A3163" s="3"/>
      <c r="B3163" s="3"/>
      <c r="C3163" s="3"/>
    </row>
    <row r="3164">
      <c r="A3164" s="3"/>
      <c r="B3164" s="3"/>
      <c r="C3164" s="3"/>
    </row>
    <row r="3165">
      <c r="A3165" s="3"/>
      <c r="B3165" s="3"/>
      <c r="C3165" s="3"/>
    </row>
    <row r="3166">
      <c r="A3166" s="3"/>
      <c r="B3166" s="3"/>
      <c r="C3166" s="3"/>
    </row>
    <row r="3167">
      <c r="A3167" s="3"/>
      <c r="B3167" s="3"/>
      <c r="C3167" s="3"/>
    </row>
    <row r="3168">
      <c r="A3168" s="3"/>
      <c r="B3168" s="3"/>
      <c r="C3168" s="3"/>
    </row>
    <row r="3169">
      <c r="A3169" s="3"/>
      <c r="B3169" s="3"/>
      <c r="C3169" s="3"/>
    </row>
    <row r="3170">
      <c r="A3170" s="3"/>
      <c r="B3170" s="3"/>
      <c r="C3170" s="3"/>
    </row>
    <row r="3171">
      <c r="A3171" s="3"/>
      <c r="B3171" s="3"/>
      <c r="C3171" s="3"/>
    </row>
    <row r="3172">
      <c r="A3172" s="3"/>
      <c r="B3172" s="3"/>
      <c r="C3172" s="3"/>
    </row>
    <row r="3173">
      <c r="A3173" s="3"/>
      <c r="B3173" s="3"/>
      <c r="C3173" s="3"/>
    </row>
    <row r="3174">
      <c r="A3174" s="3"/>
      <c r="B3174" s="3"/>
      <c r="C3174" s="3"/>
    </row>
    <row r="3175">
      <c r="A3175" s="3"/>
      <c r="B3175" s="3"/>
      <c r="C3175" s="3"/>
    </row>
    <row r="3176">
      <c r="A3176" s="3"/>
      <c r="B3176" s="3"/>
      <c r="C3176" s="3"/>
    </row>
    <row r="3177">
      <c r="A3177" s="3"/>
      <c r="B3177" s="3"/>
      <c r="C3177" s="3"/>
    </row>
    <row r="3178">
      <c r="A3178" s="3"/>
      <c r="B3178" s="3"/>
      <c r="C3178" s="3"/>
    </row>
    <row r="3179">
      <c r="A3179" s="3"/>
      <c r="B3179" s="3"/>
      <c r="C3179" s="3"/>
    </row>
    <row r="3180">
      <c r="A3180" s="3"/>
      <c r="B3180" s="3"/>
      <c r="C3180" s="3"/>
    </row>
    <row r="3181">
      <c r="A3181" s="3"/>
      <c r="B3181" s="3"/>
      <c r="C3181" s="3"/>
    </row>
    <row r="3182">
      <c r="A3182" s="3"/>
      <c r="B3182" s="3"/>
      <c r="C3182" s="3"/>
    </row>
    <row r="3183">
      <c r="A3183" s="3"/>
      <c r="B3183" s="3"/>
      <c r="C3183" s="3"/>
    </row>
    <row r="3184">
      <c r="A3184" s="3"/>
      <c r="B3184" s="3"/>
      <c r="C3184" s="3"/>
    </row>
    <row r="3185">
      <c r="A3185" s="3"/>
      <c r="B3185" s="3"/>
      <c r="C3185" s="3"/>
    </row>
    <row r="3186">
      <c r="A3186" s="3"/>
      <c r="B3186" s="3"/>
      <c r="C3186" s="3"/>
    </row>
    <row r="3187">
      <c r="A3187" s="3"/>
      <c r="B3187" s="3"/>
      <c r="C3187" s="3"/>
    </row>
    <row r="3188">
      <c r="A3188" s="3"/>
      <c r="B3188" s="3"/>
      <c r="C3188" s="3"/>
    </row>
    <row r="3189">
      <c r="A3189" s="3"/>
      <c r="B3189" s="3"/>
      <c r="C3189" s="3"/>
    </row>
    <row r="3190">
      <c r="A3190" s="3"/>
      <c r="B3190" s="3"/>
      <c r="C3190" s="3"/>
    </row>
    <row r="3191">
      <c r="A3191" s="3"/>
      <c r="B3191" s="3"/>
      <c r="C3191" s="3"/>
    </row>
    <row r="3192">
      <c r="A3192" s="3"/>
      <c r="B3192" s="3"/>
      <c r="C3192" s="3"/>
    </row>
    <row r="3193">
      <c r="A3193" s="3"/>
      <c r="B3193" s="3"/>
      <c r="C3193" s="3"/>
    </row>
    <row r="3194">
      <c r="A3194" s="3"/>
      <c r="B3194" s="3"/>
      <c r="C3194" s="3"/>
    </row>
    <row r="3195">
      <c r="A3195" s="3"/>
      <c r="B3195" s="3"/>
      <c r="C3195" s="3"/>
    </row>
    <row r="3196">
      <c r="A3196" s="3"/>
      <c r="B3196" s="3"/>
      <c r="C3196" s="3"/>
    </row>
    <row r="3197">
      <c r="A3197" s="3"/>
      <c r="B3197" s="3"/>
      <c r="C3197" s="3"/>
    </row>
    <row r="3198">
      <c r="A3198" s="3"/>
      <c r="B3198" s="3"/>
      <c r="C3198" s="3"/>
    </row>
    <row r="3199">
      <c r="A3199" s="3"/>
      <c r="B3199" s="3"/>
      <c r="C3199" s="3"/>
    </row>
    <row r="3200">
      <c r="A3200" s="3"/>
      <c r="B3200" s="3"/>
      <c r="C3200" s="3"/>
    </row>
    <row r="3201">
      <c r="A3201" s="3"/>
      <c r="B3201" s="3"/>
      <c r="C3201" s="3"/>
    </row>
    <row r="3202">
      <c r="A3202" s="3"/>
      <c r="B3202" s="3"/>
      <c r="C3202" s="3"/>
    </row>
    <row r="3203">
      <c r="A3203" s="3"/>
      <c r="B3203" s="3"/>
      <c r="C3203" s="3"/>
    </row>
    <row r="3204">
      <c r="A3204" s="3"/>
      <c r="B3204" s="3"/>
      <c r="C3204" s="3"/>
    </row>
    <row r="3205">
      <c r="A3205" s="3"/>
      <c r="B3205" s="3"/>
      <c r="C3205" s="3"/>
    </row>
    <row r="3206">
      <c r="A3206" s="3"/>
      <c r="B3206" s="3"/>
      <c r="C3206" s="3"/>
    </row>
    <row r="3207">
      <c r="A3207" s="3"/>
      <c r="B3207" s="3"/>
      <c r="C3207" s="3"/>
    </row>
    <row r="3208">
      <c r="A3208" s="3"/>
      <c r="B3208" s="3"/>
      <c r="C3208" s="3"/>
    </row>
    <row r="3209">
      <c r="A3209" s="3"/>
      <c r="B3209" s="3"/>
      <c r="C3209" s="3"/>
    </row>
    <row r="3210">
      <c r="A3210" s="3"/>
      <c r="B3210" s="3"/>
      <c r="C3210" s="3"/>
    </row>
    <row r="3211">
      <c r="A3211" s="3"/>
      <c r="B3211" s="3"/>
      <c r="C3211" s="3"/>
    </row>
    <row r="3212">
      <c r="A3212" s="3"/>
      <c r="B3212" s="3"/>
      <c r="C3212" s="3"/>
    </row>
    <row r="3213">
      <c r="A3213" s="3"/>
      <c r="B3213" s="3"/>
      <c r="C3213" s="3"/>
    </row>
    <row r="3214">
      <c r="A3214" s="3"/>
      <c r="B3214" s="3"/>
      <c r="C3214" s="3"/>
    </row>
    <row r="3215">
      <c r="A3215" s="3"/>
      <c r="B3215" s="3"/>
      <c r="C3215" s="3"/>
    </row>
    <row r="3216">
      <c r="A3216" s="3"/>
      <c r="B3216" s="3"/>
      <c r="C3216" s="3"/>
    </row>
    <row r="3217">
      <c r="A3217" s="3"/>
      <c r="B3217" s="3"/>
      <c r="C3217" s="3"/>
    </row>
    <row r="3218">
      <c r="A3218" s="3"/>
      <c r="B3218" s="3"/>
      <c r="C3218" s="3"/>
    </row>
    <row r="3219">
      <c r="A3219" s="3"/>
      <c r="B3219" s="3"/>
      <c r="C3219" s="3"/>
    </row>
    <row r="3220">
      <c r="A3220" s="3"/>
      <c r="B3220" s="3"/>
      <c r="C3220" s="3"/>
    </row>
    <row r="3221">
      <c r="A3221" s="3"/>
      <c r="B3221" s="3"/>
      <c r="C3221" s="3"/>
    </row>
    <row r="3222">
      <c r="A3222" s="3"/>
      <c r="B3222" s="3"/>
      <c r="C3222" s="3"/>
    </row>
    <row r="3223">
      <c r="A3223" s="3"/>
      <c r="B3223" s="3"/>
      <c r="C3223" s="3"/>
    </row>
    <row r="3224">
      <c r="A3224" s="3"/>
      <c r="B3224" s="3"/>
      <c r="C3224" s="3"/>
    </row>
    <row r="3225">
      <c r="A3225" s="3"/>
      <c r="B3225" s="3"/>
      <c r="C3225" s="3"/>
    </row>
    <row r="3226">
      <c r="A3226" s="3"/>
      <c r="B3226" s="3"/>
      <c r="C3226" s="3"/>
    </row>
    <row r="3227">
      <c r="A3227" s="3"/>
      <c r="B3227" s="3"/>
      <c r="C3227" s="3"/>
    </row>
    <row r="3228">
      <c r="A3228" s="3"/>
      <c r="B3228" s="3"/>
      <c r="C3228" s="3"/>
    </row>
    <row r="3229">
      <c r="A3229" s="3"/>
      <c r="B3229" s="3"/>
      <c r="C3229" s="3"/>
    </row>
    <row r="3230">
      <c r="A3230" s="3"/>
      <c r="B3230" s="3"/>
      <c r="C3230" s="3"/>
    </row>
    <row r="3231">
      <c r="A3231" s="3"/>
      <c r="B3231" s="3"/>
      <c r="C3231" s="3"/>
    </row>
    <row r="3232">
      <c r="A3232" s="3"/>
      <c r="B3232" s="3"/>
      <c r="C3232" s="3"/>
    </row>
    <row r="3233">
      <c r="A3233" s="3"/>
      <c r="B3233" s="3"/>
      <c r="C3233" s="3"/>
    </row>
    <row r="3234">
      <c r="A3234" s="3"/>
      <c r="B3234" s="3"/>
      <c r="C3234" s="3"/>
    </row>
    <row r="3235">
      <c r="A3235" s="3"/>
      <c r="B3235" s="3"/>
      <c r="C3235" s="3"/>
    </row>
    <row r="3236">
      <c r="A3236" s="3"/>
      <c r="B3236" s="3"/>
      <c r="C3236" s="3"/>
    </row>
    <row r="3237">
      <c r="A3237" s="3"/>
      <c r="B3237" s="3"/>
      <c r="C3237" s="3"/>
    </row>
    <row r="3238">
      <c r="A3238" s="3"/>
      <c r="B3238" s="3"/>
      <c r="C3238" s="3"/>
    </row>
    <row r="3239">
      <c r="A3239" s="3"/>
      <c r="B3239" s="3"/>
      <c r="C3239" s="3"/>
    </row>
    <row r="3240">
      <c r="A3240" s="3"/>
      <c r="B3240" s="3"/>
      <c r="C3240" s="3"/>
    </row>
    <row r="3241">
      <c r="A3241" s="3"/>
      <c r="B3241" s="3"/>
      <c r="C3241" s="3"/>
    </row>
    <row r="3242">
      <c r="A3242" s="3"/>
      <c r="B3242" s="3"/>
      <c r="C3242" s="3"/>
    </row>
    <row r="3243">
      <c r="A3243" s="3"/>
      <c r="B3243" s="3"/>
      <c r="C3243" s="3"/>
    </row>
    <row r="3244">
      <c r="A3244" s="3"/>
      <c r="B3244" s="3"/>
      <c r="C3244" s="3"/>
    </row>
    <row r="3245">
      <c r="A3245" s="3"/>
      <c r="B3245" s="3"/>
      <c r="C3245" s="3"/>
    </row>
    <row r="3246">
      <c r="A3246" s="3"/>
      <c r="B3246" s="3"/>
      <c r="C3246" s="3"/>
    </row>
    <row r="3247">
      <c r="A3247" s="3"/>
      <c r="B3247" s="3"/>
      <c r="C3247" s="3"/>
    </row>
    <row r="3248">
      <c r="A3248" s="3"/>
      <c r="B3248" s="3"/>
      <c r="C3248" s="3"/>
    </row>
    <row r="3249">
      <c r="A3249" s="3"/>
      <c r="B3249" s="3"/>
      <c r="C3249" s="3"/>
    </row>
    <row r="3250">
      <c r="A3250" s="3"/>
      <c r="B3250" s="3"/>
      <c r="C3250" s="3"/>
    </row>
    <row r="3251">
      <c r="A3251" s="3"/>
      <c r="B3251" s="3"/>
      <c r="C3251" s="3"/>
    </row>
    <row r="3252">
      <c r="A3252" s="3"/>
      <c r="B3252" s="3"/>
      <c r="C3252" s="3"/>
    </row>
    <row r="3253">
      <c r="A3253" s="3"/>
      <c r="B3253" s="3"/>
      <c r="C3253" s="3"/>
    </row>
    <row r="3254">
      <c r="A3254" s="3"/>
      <c r="B3254" s="3"/>
      <c r="C3254" s="3"/>
    </row>
    <row r="3255">
      <c r="A3255" s="3"/>
      <c r="B3255" s="3"/>
      <c r="C3255" s="3"/>
    </row>
    <row r="3256">
      <c r="A3256" s="3"/>
      <c r="B3256" s="3"/>
      <c r="C3256" s="3"/>
    </row>
    <row r="3257">
      <c r="A3257" s="3"/>
      <c r="B3257" s="3"/>
      <c r="C3257" s="3"/>
    </row>
    <row r="3258">
      <c r="A3258" s="3"/>
      <c r="B3258" s="3"/>
      <c r="C3258" s="3"/>
    </row>
    <row r="3259">
      <c r="A3259" s="3"/>
      <c r="B3259" s="3"/>
      <c r="C3259" s="3"/>
    </row>
    <row r="3260">
      <c r="A3260" s="3"/>
      <c r="B3260" s="3"/>
      <c r="C3260" s="3"/>
    </row>
    <row r="3261">
      <c r="A3261" s="3"/>
      <c r="B3261" s="3"/>
      <c r="C3261" s="3"/>
    </row>
    <row r="3262">
      <c r="A3262" s="3"/>
      <c r="B3262" s="3"/>
      <c r="C3262" s="3"/>
    </row>
    <row r="3263">
      <c r="A3263" s="3"/>
      <c r="B3263" s="3"/>
      <c r="C3263" s="3"/>
    </row>
    <row r="3264">
      <c r="A3264" s="3"/>
      <c r="B3264" s="3"/>
      <c r="C3264" s="3"/>
    </row>
    <row r="3265">
      <c r="A3265" s="3"/>
      <c r="B3265" s="3"/>
      <c r="C3265" s="3"/>
    </row>
    <row r="3266">
      <c r="A3266" s="3"/>
      <c r="B3266" s="3"/>
      <c r="C3266" s="3"/>
    </row>
    <row r="3267">
      <c r="A3267" s="3"/>
      <c r="B3267" s="3"/>
      <c r="C3267" s="3"/>
    </row>
    <row r="3268">
      <c r="A3268" s="3"/>
      <c r="B3268" s="3"/>
      <c r="C3268" s="3"/>
    </row>
    <row r="3269">
      <c r="A3269" s="3"/>
      <c r="B3269" s="3"/>
      <c r="C3269" s="3"/>
    </row>
    <row r="3270">
      <c r="A3270" s="3"/>
      <c r="B3270" s="3"/>
      <c r="C3270" s="3"/>
    </row>
    <row r="3271">
      <c r="A3271" s="3"/>
      <c r="B3271" s="3"/>
      <c r="C3271" s="3"/>
    </row>
    <row r="3272">
      <c r="A3272" s="3"/>
      <c r="B3272" s="3"/>
      <c r="C3272" s="3"/>
    </row>
    <row r="3273">
      <c r="A3273" s="3"/>
      <c r="B3273" s="3"/>
      <c r="C3273" s="3"/>
    </row>
    <row r="3274">
      <c r="A3274" s="3"/>
      <c r="B3274" s="3"/>
      <c r="C3274" s="3"/>
    </row>
    <row r="3275">
      <c r="A3275" s="3"/>
      <c r="B3275" s="3"/>
      <c r="C3275" s="3"/>
    </row>
    <row r="3276">
      <c r="A3276" s="3"/>
      <c r="B3276" s="3"/>
      <c r="C3276" s="3"/>
    </row>
    <row r="3277">
      <c r="A3277" s="3"/>
      <c r="B3277" s="3"/>
      <c r="C3277" s="3"/>
    </row>
    <row r="3278">
      <c r="A3278" s="3"/>
      <c r="B3278" s="3"/>
      <c r="C3278" s="3"/>
    </row>
    <row r="3279">
      <c r="A3279" s="3"/>
      <c r="B3279" s="3"/>
      <c r="C3279" s="3"/>
    </row>
    <row r="3280">
      <c r="A3280" s="3"/>
      <c r="B3280" s="3"/>
      <c r="C3280" s="3"/>
    </row>
    <row r="3281">
      <c r="A3281" s="3"/>
      <c r="B3281" s="3"/>
      <c r="C3281" s="3"/>
    </row>
    <row r="3282">
      <c r="A3282" s="3"/>
      <c r="B3282" s="3"/>
      <c r="C3282" s="3"/>
    </row>
    <row r="3283">
      <c r="A3283" s="3"/>
      <c r="B3283" s="3"/>
      <c r="C3283" s="3"/>
    </row>
    <row r="3284">
      <c r="A3284" s="3"/>
      <c r="B3284" s="3"/>
      <c r="C3284" s="3"/>
    </row>
    <row r="3285">
      <c r="A3285" s="3"/>
      <c r="B3285" s="3"/>
      <c r="C3285" s="3"/>
    </row>
    <row r="3286">
      <c r="A3286" s="3"/>
      <c r="B3286" s="3"/>
      <c r="C3286" s="3"/>
    </row>
    <row r="3287">
      <c r="A3287" s="3"/>
      <c r="B3287" s="3"/>
      <c r="C3287" s="3"/>
    </row>
    <row r="3288">
      <c r="A3288" s="3"/>
      <c r="B3288" s="3"/>
      <c r="C3288" s="3"/>
    </row>
    <row r="3289">
      <c r="A3289" s="3"/>
      <c r="B3289" s="3"/>
      <c r="C3289" s="3"/>
    </row>
    <row r="3290">
      <c r="A3290" s="3"/>
      <c r="B3290" s="3"/>
      <c r="C3290" s="3"/>
    </row>
    <row r="3291">
      <c r="A3291" s="3"/>
      <c r="B3291" s="3"/>
      <c r="C3291" s="3"/>
    </row>
    <row r="3292">
      <c r="A3292" s="3"/>
      <c r="B3292" s="3"/>
      <c r="C3292" s="3"/>
    </row>
    <row r="3293">
      <c r="A3293" s="3"/>
      <c r="B3293" s="3"/>
      <c r="C3293" s="3"/>
    </row>
    <row r="3294">
      <c r="A3294" s="3"/>
      <c r="B3294" s="3"/>
      <c r="C3294" s="3"/>
    </row>
    <row r="3295">
      <c r="A3295" s="3"/>
      <c r="B3295" s="3"/>
      <c r="C3295" s="3"/>
    </row>
    <row r="3296">
      <c r="A3296" s="3"/>
      <c r="B3296" s="3"/>
      <c r="C3296" s="3"/>
    </row>
    <row r="3297">
      <c r="A3297" s="3"/>
      <c r="B3297" s="3"/>
      <c r="C3297" s="3"/>
    </row>
    <row r="3298">
      <c r="A3298" s="3"/>
      <c r="B3298" s="3"/>
      <c r="C3298" s="3"/>
    </row>
    <row r="3299">
      <c r="A3299" s="3"/>
      <c r="B3299" s="3"/>
      <c r="C3299" s="3"/>
    </row>
    <row r="3300">
      <c r="A3300" s="3"/>
      <c r="B3300" s="3"/>
      <c r="C3300" s="3"/>
    </row>
    <row r="3301">
      <c r="A3301" s="3"/>
      <c r="B3301" s="3"/>
      <c r="C3301" s="3"/>
    </row>
    <row r="3302">
      <c r="A3302" s="3"/>
      <c r="B3302" s="3"/>
      <c r="C3302" s="3"/>
    </row>
    <row r="3303">
      <c r="A3303" s="3"/>
      <c r="B3303" s="3"/>
      <c r="C3303" s="3"/>
    </row>
    <row r="3304">
      <c r="A3304" s="3"/>
      <c r="B3304" s="3"/>
      <c r="C3304" s="3"/>
    </row>
    <row r="3305">
      <c r="A3305" s="3"/>
      <c r="B3305" s="3"/>
      <c r="C3305" s="3"/>
    </row>
    <row r="3306">
      <c r="A3306" s="3"/>
      <c r="B3306" s="3"/>
      <c r="C3306" s="3"/>
    </row>
    <row r="3307">
      <c r="A3307" s="3"/>
      <c r="B3307" s="3"/>
      <c r="C3307" s="3"/>
    </row>
    <row r="3308">
      <c r="A3308" s="3"/>
      <c r="B3308" s="3"/>
      <c r="C3308" s="3"/>
    </row>
    <row r="3309">
      <c r="A3309" s="3"/>
      <c r="B3309" s="3"/>
      <c r="C3309" s="3"/>
    </row>
    <row r="3310">
      <c r="A3310" s="3"/>
      <c r="B3310" s="3"/>
      <c r="C3310" s="3"/>
    </row>
    <row r="3311">
      <c r="A3311" s="3"/>
      <c r="B3311" s="3"/>
      <c r="C3311" s="3"/>
    </row>
    <row r="3312">
      <c r="A3312" s="3"/>
      <c r="B3312" s="3"/>
      <c r="C3312" s="3"/>
    </row>
    <row r="3313">
      <c r="A3313" s="3"/>
      <c r="B3313" s="3"/>
      <c r="C3313" s="3"/>
    </row>
    <row r="3314">
      <c r="A3314" s="3"/>
      <c r="B3314" s="3"/>
      <c r="C3314" s="3"/>
    </row>
    <row r="3315">
      <c r="A3315" s="3"/>
      <c r="B3315" s="3"/>
      <c r="C3315" s="3"/>
    </row>
    <row r="3316">
      <c r="A3316" s="3"/>
      <c r="B3316" s="3"/>
      <c r="C3316" s="3"/>
    </row>
    <row r="3317">
      <c r="A3317" s="3"/>
      <c r="B3317" s="3"/>
      <c r="C3317" s="3"/>
    </row>
    <row r="3318">
      <c r="A3318" s="3"/>
      <c r="B3318" s="3"/>
      <c r="C3318" s="3"/>
    </row>
    <row r="3319">
      <c r="A3319" s="3"/>
      <c r="B3319" s="3"/>
      <c r="C3319" s="3"/>
    </row>
    <row r="3320">
      <c r="A3320" s="3"/>
      <c r="B3320" s="3"/>
      <c r="C3320" s="3"/>
    </row>
    <row r="3321">
      <c r="A3321" s="3"/>
      <c r="B3321" s="3"/>
      <c r="C3321" s="3"/>
    </row>
    <row r="3322">
      <c r="A3322" s="3"/>
      <c r="B3322" s="3"/>
      <c r="C3322" s="3"/>
    </row>
    <row r="3323">
      <c r="A3323" s="3"/>
      <c r="B3323" s="3"/>
      <c r="C3323" s="3"/>
    </row>
    <row r="3324">
      <c r="A3324" s="3"/>
      <c r="B3324" s="3"/>
      <c r="C3324" s="3"/>
    </row>
    <row r="3325">
      <c r="A3325" s="3"/>
      <c r="B3325" s="3"/>
      <c r="C3325" s="3"/>
    </row>
    <row r="3326">
      <c r="A3326" s="3"/>
      <c r="B3326" s="3"/>
      <c r="C3326" s="3"/>
    </row>
    <row r="3327">
      <c r="A3327" s="3"/>
      <c r="B3327" s="3"/>
      <c r="C3327" s="3"/>
    </row>
    <row r="3328">
      <c r="A3328" s="3"/>
      <c r="B3328" s="3"/>
      <c r="C3328" s="3"/>
    </row>
    <row r="3329">
      <c r="A3329" s="3"/>
      <c r="B3329" s="3"/>
      <c r="C3329" s="3"/>
    </row>
    <row r="3330">
      <c r="A3330" s="3"/>
      <c r="B3330" s="3"/>
      <c r="C3330" s="3"/>
    </row>
    <row r="3331">
      <c r="A3331" s="3"/>
      <c r="B3331" s="3"/>
      <c r="C3331" s="3"/>
    </row>
    <row r="3332">
      <c r="A3332" s="3"/>
      <c r="B3332" s="3"/>
      <c r="C3332" s="3"/>
    </row>
    <row r="3333">
      <c r="A3333" s="3"/>
      <c r="B3333" s="3"/>
      <c r="C3333" s="3"/>
    </row>
    <row r="3334">
      <c r="A3334" s="3"/>
      <c r="B3334" s="3"/>
      <c r="C3334" s="3"/>
    </row>
    <row r="3335">
      <c r="A3335" s="3"/>
      <c r="B3335" s="3"/>
      <c r="C3335" s="3"/>
    </row>
    <row r="3336">
      <c r="A3336" s="3"/>
      <c r="B3336" s="3"/>
      <c r="C3336" s="3"/>
    </row>
    <row r="3337">
      <c r="A3337" s="3"/>
      <c r="B3337" s="3"/>
      <c r="C3337" s="3"/>
    </row>
    <row r="3338">
      <c r="A3338" s="3"/>
      <c r="B3338" s="3"/>
      <c r="C3338" s="3"/>
    </row>
    <row r="3339">
      <c r="A3339" s="3"/>
      <c r="B3339" s="3"/>
      <c r="C3339" s="3"/>
    </row>
    <row r="3340">
      <c r="A3340" s="3"/>
      <c r="B3340" s="3"/>
      <c r="C3340" s="3"/>
    </row>
    <row r="3341">
      <c r="A3341" s="3"/>
      <c r="B3341" s="3"/>
      <c r="C3341" s="3"/>
    </row>
    <row r="3342">
      <c r="A3342" s="3"/>
      <c r="B3342" s="3"/>
      <c r="C3342" s="3"/>
    </row>
    <row r="3343">
      <c r="A3343" s="3"/>
      <c r="B3343" s="3"/>
      <c r="C3343" s="3"/>
    </row>
    <row r="3344">
      <c r="A3344" s="3"/>
      <c r="B3344" s="3"/>
      <c r="C3344" s="3"/>
    </row>
    <row r="3345">
      <c r="A3345" s="3"/>
      <c r="B3345" s="3"/>
      <c r="C3345" s="3"/>
    </row>
    <row r="3346">
      <c r="A3346" s="3"/>
      <c r="B3346" s="3"/>
      <c r="C3346" s="3"/>
    </row>
    <row r="3347">
      <c r="A3347" s="3"/>
      <c r="B3347" s="3"/>
      <c r="C3347" s="3"/>
    </row>
    <row r="3348">
      <c r="A3348" s="3"/>
      <c r="B3348" s="3"/>
      <c r="C3348" s="3"/>
    </row>
    <row r="3349">
      <c r="A3349" s="3"/>
      <c r="B3349" s="3"/>
      <c r="C3349" s="3"/>
    </row>
    <row r="3350">
      <c r="A3350" s="3"/>
      <c r="B3350" s="3"/>
      <c r="C3350" s="3"/>
    </row>
    <row r="3351">
      <c r="A3351" s="3"/>
      <c r="B3351" s="3"/>
      <c r="C3351" s="3"/>
    </row>
    <row r="3352">
      <c r="A3352" s="3"/>
      <c r="B3352" s="3"/>
      <c r="C3352" s="3"/>
    </row>
    <row r="3353">
      <c r="A3353" s="3"/>
      <c r="B3353" s="3"/>
      <c r="C3353" s="3"/>
    </row>
    <row r="3354">
      <c r="A3354" s="3"/>
      <c r="B3354" s="3"/>
      <c r="C3354" s="3"/>
    </row>
    <row r="3355">
      <c r="A3355" s="3"/>
      <c r="B3355" s="3"/>
      <c r="C3355" s="3"/>
    </row>
    <row r="3356">
      <c r="A3356" s="3"/>
      <c r="B3356" s="3"/>
      <c r="C3356" s="3"/>
    </row>
    <row r="3357">
      <c r="A3357" s="3"/>
      <c r="B3357" s="3"/>
      <c r="C3357" s="3"/>
    </row>
    <row r="3358">
      <c r="A3358" s="3"/>
      <c r="B3358" s="3"/>
      <c r="C3358" s="3"/>
    </row>
    <row r="3359">
      <c r="A3359" s="3"/>
      <c r="B3359" s="3"/>
      <c r="C3359" s="3"/>
    </row>
    <row r="3360">
      <c r="A3360" s="3"/>
      <c r="B3360" s="3"/>
      <c r="C3360" s="3"/>
    </row>
    <row r="3361">
      <c r="A3361" s="3"/>
      <c r="B3361" s="3"/>
      <c r="C3361" s="3"/>
    </row>
    <row r="3362">
      <c r="A3362" s="3"/>
      <c r="B3362" s="3"/>
      <c r="C3362" s="3"/>
    </row>
    <row r="3363">
      <c r="A3363" s="3"/>
      <c r="B3363" s="3"/>
      <c r="C3363" s="3"/>
    </row>
    <row r="3364">
      <c r="A3364" s="3"/>
      <c r="B3364" s="3"/>
      <c r="C3364" s="3"/>
    </row>
    <row r="3365">
      <c r="A3365" s="3"/>
      <c r="B3365" s="3"/>
      <c r="C3365" s="3"/>
    </row>
    <row r="3366">
      <c r="A3366" s="3"/>
      <c r="B3366" s="3"/>
      <c r="C3366" s="3"/>
    </row>
    <row r="3367">
      <c r="A3367" s="3"/>
      <c r="B3367" s="3"/>
      <c r="C3367" s="3"/>
    </row>
    <row r="3368">
      <c r="A3368" s="3"/>
      <c r="B3368" s="3"/>
      <c r="C3368" s="3"/>
    </row>
    <row r="3369">
      <c r="A3369" s="3"/>
      <c r="B3369" s="3"/>
      <c r="C3369" s="3"/>
    </row>
    <row r="3370">
      <c r="A3370" s="3"/>
      <c r="B3370" s="3"/>
      <c r="C3370" s="3"/>
    </row>
    <row r="3371">
      <c r="A3371" s="3"/>
      <c r="B3371" s="3"/>
      <c r="C3371" s="3"/>
    </row>
    <row r="3372">
      <c r="A3372" s="3"/>
      <c r="B3372" s="3"/>
      <c r="C3372" s="3"/>
    </row>
    <row r="3373">
      <c r="A3373" s="3"/>
      <c r="B3373" s="3"/>
      <c r="C3373" s="3"/>
    </row>
    <row r="3374">
      <c r="A3374" s="3"/>
      <c r="B3374" s="3"/>
      <c r="C3374" s="3"/>
    </row>
    <row r="3375">
      <c r="A3375" s="3"/>
      <c r="B3375" s="3"/>
      <c r="C3375" s="3"/>
    </row>
    <row r="3376">
      <c r="A3376" s="3"/>
      <c r="B3376" s="3"/>
      <c r="C3376" s="3"/>
    </row>
    <row r="3377">
      <c r="A3377" s="3"/>
      <c r="B3377" s="3"/>
      <c r="C3377" s="3"/>
    </row>
    <row r="3378">
      <c r="A3378" s="3"/>
      <c r="B3378" s="3"/>
      <c r="C3378" s="3"/>
    </row>
    <row r="3379">
      <c r="A3379" s="3"/>
      <c r="B3379" s="3"/>
      <c r="C3379" s="3"/>
    </row>
    <row r="3380">
      <c r="A3380" s="3"/>
      <c r="B3380" s="3"/>
      <c r="C3380" s="3"/>
    </row>
    <row r="3381">
      <c r="A3381" s="3"/>
      <c r="B3381" s="3"/>
      <c r="C3381" s="3"/>
    </row>
    <row r="3382">
      <c r="A3382" s="3"/>
      <c r="B3382" s="3"/>
      <c r="C3382" s="3"/>
    </row>
    <row r="3383">
      <c r="A3383" s="3"/>
      <c r="B3383" s="3"/>
      <c r="C3383" s="3"/>
    </row>
    <row r="3384">
      <c r="A3384" s="3"/>
      <c r="B3384" s="3"/>
      <c r="C3384" s="3"/>
    </row>
    <row r="3385">
      <c r="A3385" s="3"/>
      <c r="B3385" s="3"/>
      <c r="C3385" s="3"/>
    </row>
    <row r="3386">
      <c r="A3386" s="3"/>
      <c r="B3386" s="3"/>
      <c r="C3386" s="3"/>
    </row>
    <row r="3387">
      <c r="A3387" s="3"/>
      <c r="B3387" s="3"/>
      <c r="C3387" s="3"/>
    </row>
    <row r="3388">
      <c r="A3388" s="3"/>
      <c r="B3388" s="3"/>
      <c r="C3388" s="3"/>
    </row>
    <row r="3389">
      <c r="A3389" s="3"/>
      <c r="B3389" s="3"/>
      <c r="C3389" s="3"/>
    </row>
    <row r="3390">
      <c r="A3390" s="3"/>
      <c r="B3390" s="3"/>
      <c r="C3390" s="3"/>
    </row>
    <row r="3391">
      <c r="A3391" s="3"/>
      <c r="B3391" s="3"/>
      <c r="C3391" s="3"/>
    </row>
    <row r="3392">
      <c r="A3392" s="3"/>
      <c r="B3392" s="3"/>
      <c r="C3392" s="3"/>
    </row>
    <row r="3393">
      <c r="A3393" s="3"/>
      <c r="B3393" s="3"/>
      <c r="C3393" s="3"/>
    </row>
    <row r="3394">
      <c r="A3394" s="3"/>
      <c r="B3394" s="3"/>
      <c r="C3394" s="3"/>
    </row>
    <row r="3395">
      <c r="A3395" s="3"/>
      <c r="B3395" s="3"/>
      <c r="C3395" s="3"/>
    </row>
    <row r="3396">
      <c r="A3396" s="3"/>
      <c r="B3396" s="3"/>
      <c r="C3396" s="3"/>
    </row>
    <row r="3397">
      <c r="A3397" s="3"/>
      <c r="B3397" s="3"/>
      <c r="C3397" s="3"/>
    </row>
    <row r="3398">
      <c r="A3398" s="3"/>
      <c r="B3398" s="3"/>
      <c r="C3398" s="3"/>
    </row>
    <row r="3399">
      <c r="A3399" s="3"/>
      <c r="B3399" s="3"/>
      <c r="C3399" s="3"/>
    </row>
    <row r="3400">
      <c r="A3400" s="3"/>
      <c r="B3400" s="3"/>
      <c r="C3400" s="3"/>
    </row>
    <row r="3401">
      <c r="A3401" s="3"/>
      <c r="B3401" s="3"/>
      <c r="C3401" s="3"/>
    </row>
    <row r="3402">
      <c r="A3402" s="3"/>
      <c r="B3402" s="3"/>
      <c r="C3402" s="3"/>
    </row>
    <row r="3403">
      <c r="A3403" s="3"/>
      <c r="B3403" s="3"/>
      <c r="C3403" s="3"/>
    </row>
    <row r="3404">
      <c r="A3404" s="3"/>
      <c r="B3404" s="3"/>
      <c r="C3404" s="3"/>
    </row>
    <row r="3405">
      <c r="A3405" s="3"/>
      <c r="B3405" s="3"/>
      <c r="C3405" s="3"/>
    </row>
    <row r="3406">
      <c r="A3406" s="3"/>
      <c r="B3406" s="3"/>
      <c r="C3406" s="3"/>
    </row>
    <row r="3407">
      <c r="A3407" s="3"/>
      <c r="B3407" s="3"/>
      <c r="C3407" s="3"/>
    </row>
    <row r="3408">
      <c r="A3408" s="3"/>
      <c r="B3408" s="3"/>
      <c r="C3408" s="3"/>
    </row>
    <row r="3409">
      <c r="A3409" s="3"/>
      <c r="B3409" s="3"/>
      <c r="C3409" s="3"/>
    </row>
    <row r="3410">
      <c r="A3410" s="3"/>
      <c r="B3410" s="3"/>
      <c r="C3410" s="3"/>
    </row>
    <row r="3411">
      <c r="A3411" s="3"/>
      <c r="B3411" s="3"/>
      <c r="C3411" s="3"/>
    </row>
    <row r="3412">
      <c r="A3412" s="3"/>
      <c r="B3412" s="3"/>
      <c r="C3412" s="3"/>
    </row>
    <row r="3413">
      <c r="A3413" s="3"/>
      <c r="B3413" s="3"/>
      <c r="C3413" s="3"/>
    </row>
    <row r="3414">
      <c r="A3414" s="3"/>
      <c r="B3414" s="3"/>
      <c r="C3414" s="3"/>
    </row>
    <row r="3415">
      <c r="A3415" s="3"/>
      <c r="B3415" s="3"/>
      <c r="C3415" s="3"/>
    </row>
    <row r="3416">
      <c r="A3416" s="3"/>
      <c r="B3416" s="3"/>
      <c r="C3416" s="3"/>
    </row>
    <row r="3417">
      <c r="A3417" s="3"/>
      <c r="B3417" s="3"/>
      <c r="C3417" s="3"/>
    </row>
    <row r="3418">
      <c r="A3418" s="3"/>
      <c r="B3418" s="3"/>
      <c r="C3418" s="3"/>
    </row>
    <row r="3419">
      <c r="A3419" s="3"/>
      <c r="B3419" s="3"/>
      <c r="C3419" s="3"/>
    </row>
    <row r="3420">
      <c r="A3420" s="3"/>
      <c r="B3420" s="3"/>
      <c r="C3420" s="3"/>
    </row>
    <row r="3421">
      <c r="A3421" s="3"/>
      <c r="B3421" s="3"/>
      <c r="C3421" s="3"/>
    </row>
    <row r="3422">
      <c r="A3422" s="3"/>
      <c r="B3422" s="3"/>
      <c r="C3422" s="3"/>
    </row>
    <row r="3423">
      <c r="A3423" s="3"/>
      <c r="B3423" s="3"/>
      <c r="C3423" s="3"/>
    </row>
    <row r="3424">
      <c r="A3424" s="3"/>
      <c r="B3424" s="3"/>
      <c r="C3424" s="3"/>
    </row>
    <row r="3425">
      <c r="A3425" s="3"/>
      <c r="B3425" s="3"/>
      <c r="C3425" s="3"/>
    </row>
    <row r="3426">
      <c r="A3426" s="3"/>
      <c r="B3426" s="3"/>
      <c r="C3426" s="3"/>
    </row>
    <row r="3427">
      <c r="A3427" s="3"/>
      <c r="B3427" s="3"/>
      <c r="C3427" s="3"/>
    </row>
    <row r="3428">
      <c r="A3428" s="3"/>
      <c r="B3428" s="3"/>
      <c r="C3428" s="3"/>
    </row>
    <row r="3429">
      <c r="A3429" s="3"/>
      <c r="B3429" s="3"/>
      <c r="C3429" s="3"/>
    </row>
    <row r="3430">
      <c r="A3430" s="3"/>
      <c r="B3430" s="3"/>
      <c r="C3430" s="3"/>
    </row>
    <row r="3431">
      <c r="A3431" s="3"/>
      <c r="B3431" s="3"/>
      <c r="C3431" s="3"/>
    </row>
    <row r="3432">
      <c r="A3432" s="3"/>
      <c r="B3432" s="3"/>
      <c r="C3432" s="3"/>
    </row>
    <row r="3433">
      <c r="A3433" s="3"/>
      <c r="B3433" s="3"/>
      <c r="C3433" s="3"/>
    </row>
    <row r="3434">
      <c r="A3434" s="3"/>
      <c r="B3434" s="3"/>
      <c r="C3434" s="3"/>
    </row>
    <row r="3435">
      <c r="A3435" s="3"/>
      <c r="B3435" s="3"/>
      <c r="C3435" s="3"/>
    </row>
    <row r="3436">
      <c r="A3436" s="3"/>
      <c r="B3436" s="3"/>
      <c r="C3436" s="3"/>
    </row>
    <row r="3437">
      <c r="A3437" s="3"/>
      <c r="B3437" s="3"/>
      <c r="C3437" s="3"/>
    </row>
    <row r="3438">
      <c r="A3438" s="3"/>
      <c r="B3438" s="3"/>
      <c r="C3438" s="3"/>
    </row>
    <row r="3439">
      <c r="A3439" s="3"/>
      <c r="B3439" s="3"/>
      <c r="C3439" s="3"/>
    </row>
    <row r="3440">
      <c r="A3440" s="3"/>
      <c r="B3440" s="3"/>
      <c r="C3440" s="3"/>
    </row>
    <row r="3441">
      <c r="A3441" s="3"/>
      <c r="B3441" s="3"/>
      <c r="C3441" s="3"/>
    </row>
    <row r="3442">
      <c r="A3442" s="3"/>
      <c r="B3442" s="3"/>
      <c r="C3442" s="3"/>
    </row>
    <row r="3443">
      <c r="A3443" s="3"/>
      <c r="B3443" s="3"/>
      <c r="C3443" s="3"/>
    </row>
    <row r="3444">
      <c r="A3444" s="3"/>
      <c r="B3444" s="3"/>
      <c r="C3444" s="3"/>
    </row>
    <row r="3445">
      <c r="A3445" s="3"/>
      <c r="B3445" s="3"/>
      <c r="C3445" s="3"/>
    </row>
    <row r="3446">
      <c r="A3446" s="3"/>
      <c r="B3446" s="3"/>
      <c r="C3446" s="3"/>
    </row>
    <row r="3447">
      <c r="A3447" s="3"/>
      <c r="B3447" s="3"/>
      <c r="C3447" s="3"/>
    </row>
    <row r="3448">
      <c r="A3448" s="3"/>
      <c r="B3448" s="3"/>
      <c r="C3448" s="3"/>
    </row>
    <row r="3449">
      <c r="A3449" s="3"/>
      <c r="B3449" s="3"/>
      <c r="C3449" s="3"/>
    </row>
    <row r="3450">
      <c r="A3450" s="3"/>
      <c r="B3450" s="3"/>
      <c r="C3450" s="3"/>
    </row>
    <row r="3451">
      <c r="A3451" s="3"/>
      <c r="B3451" s="3"/>
      <c r="C3451" s="3"/>
    </row>
    <row r="3452">
      <c r="A3452" s="3"/>
      <c r="B3452" s="3"/>
      <c r="C3452" s="3"/>
    </row>
    <row r="3453">
      <c r="A3453" s="3"/>
      <c r="B3453" s="3"/>
      <c r="C3453" s="3"/>
    </row>
    <row r="3454">
      <c r="A3454" s="3"/>
      <c r="B3454" s="3"/>
      <c r="C3454" s="3"/>
    </row>
    <row r="3455">
      <c r="A3455" s="3"/>
      <c r="B3455" s="3"/>
      <c r="C3455" s="3"/>
    </row>
    <row r="3456">
      <c r="A3456" s="3"/>
      <c r="B3456" s="3"/>
      <c r="C3456" s="3"/>
    </row>
    <row r="3457">
      <c r="A3457" s="3"/>
      <c r="B3457" s="3"/>
      <c r="C3457" s="3"/>
    </row>
    <row r="3458">
      <c r="A3458" s="3"/>
      <c r="B3458" s="3"/>
      <c r="C3458" s="3"/>
    </row>
    <row r="3459">
      <c r="A3459" s="3"/>
      <c r="B3459" s="3"/>
      <c r="C3459" s="3"/>
    </row>
    <row r="3460">
      <c r="A3460" s="3"/>
      <c r="B3460" s="3"/>
      <c r="C3460" s="3"/>
    </row>
    <row r="3461">
      <c r="A3461" s="3"/>
      <c r="B3461" s="3"/>
      <c r="C3461" s="3"/>
    </row>
    <row r="3462">
      <c r="A3462" s="3"/>
      <c r="B3462" s="3"/>
      <c r="C3462" s="3"/>
    </row>
    <row r="3463">
      <c r="A3463" s="3"/>
      <c r="B3463" s="3"/>
      <c r="C3463" s="3"/>
    </row>
    <row r="3464">
      <c r="A3464" s="3"/>
      <c r="B3464" s="3"/>
      <c r="C3464" s="3"/>
    </row>
    <row r="3465">
      <c r="A3465" s="3"/>
      <c r="B3465" s="3"/>
      <c r="C3465" s="3"/>
    </row>
    <row r="3466">
      <c r="A3466" s="3"/>
      <c r="B3466" s="3"/>
      <c r="C3466" s="3"/>
    </row>
    <row r="3467">
      <c r="A3467" s="3"/>
      <c r="B3467" s="3"/>
      <c r="C3467" s="3"/>
    </row>
    <row r="3468">
      <c r="A3468" s="3"/>
      <c r="B3468" s="3"/>
      <c r="C3468" s="3"/>
    </row>
    <row r="3469">
      <c r="A3469" s="3"/>
      <c r="B3469" s="3"/>
      <c r="C3469" s="3"/>
    </row>
    <row r="3470">
      <c r="A3470" s="3"/>
      <c r="B3470" s="3"/>
      <c r="C3470" s="3"/>
    </row>
    <row r="3471">
      <c r="A3471" s="3"/>
      <c r="B3471" s="3"/>
      <c r="C3471" s="3"/>
    </row>
    <row r="3472">
      <c r="A3472" s="3"/>
      <c r="B3472" s="3"/>
      <c r="C3472" s="3"/>
    </row>
    <row r="3473">
      <c r="A3473" s="3"/>
      <c r="B3473" s="3"/>
      <c r="C3473" s="3"/>
    </row>
    <row r="3474">
      <c r="A3474" s="3"/>
      <c r="B3474" s="3"/>
      <c r="C3474" s="3"/>
    </row>
    <row r="3475">
      <c r="A3475" s="3"/>
      <c r="B3475" s="3"/>
      <c r="C3475" s="3"/>
    </row>
    <row r="3476">
      <c r="A3476" s="3"/>
      <c r="B3476" s="3"/>
      <c r="C3476" s="3"/>
    </row>
    <row r="3477">
      <c r="A3477" s="3"/>
      <c r="B3477" s="3"/>
      <c r="C3477" s="3"/>
    </row>
    <row r="3478">
      <c r="A3478" s="3"/>
      <c r="B3478" s="3"/>
      <c r="C3478" s="3"/>
    </row>
    <row r="3479">
      <c r="A3479" s="3"/>
      <c r="B3479" s="3"/>
      <c r="C3479" s="3"/>
    </row>
    <row r="3480">
      <c r="A3480" s="3"/>
      <c r="B3480" s="3"/>
      <c r="C3480" s="3"/>
    </row>
    <row r="3481">
      <c r="A3481" s="3"/>
      <c r="B3481" s="3"/>
      <c r="C3481" s="3"/>
    </row>
    <row r="3482">
      <c r="A3482" s="3"/>
      <c r="B3482" s="3"/>
      <c r="C3482" s="3"/>
    </row>
    <row r="3483">
      <c r="A3483" s="3"/>
      <c r="B3483" s="3"/>
      <c r="C3483" s="3"/>
    </row>
    <row r="3484">
      <c r="A3484" s="3"/>
      <c r="B3484" s="3"/>
      <c r="C3484" s="3"/>
    </row>
    <row r="3485">
      <c r="A3485" s="3"/>
      <c r="B3485" s="3"/>
      <c r="C3485" s="3"/>
    </row>
    <row r="3486">
      <c r="A3486" s="3"/>
      <c r="B3486" s="3"/>
      <c r="C3486" s="3"/>
    </row>
    <row r="3487">
      <c r="A3487" s="3"/>
      <c r="B3487" s="3"/>
      <c r="C3487" s="3"/>
    </row>
    <row r="3488">
      <c r="A3488" s="3"/>
      <c r="B3488" s="3"/>
      <c r="C3488" s="3"/>
    </row>
    <row r="3489">
      <c r="A3489" s="3"/>
      <c r="B3489" s="3"/>
      <c r="C3489" s="3"/>
    </row>
    <row r="3490">
      <c r="A3490" s="3"/>
      <c r="B3490" s="3"/>
      <c r="C3490" s="3"/>
    </row>
    <row r="3491">
      <c r="A3491" s="3"/>
      <c r="B3491" s="3"/>
      <c r="C3491" s="3"/>
    </row>
    <row r="3492">
      <c r="A3492" s="3"/>
      <c r="B3492" s="3"/>
      <c r="C3492" s="3"/>
    </row>
    <row r="3493">
      <c r="A3493" s="3"/>
      <c r="B3493" s="3"/>
      <c r="C3493" s="3"/>
    </row>
    <row r="3494">
      <c r="A3494" s="3"/>
      <c r="B3494" s="3"/>
      <c r="C3494" s="3"/>
    </row>
    <row r="3495">
      <c r="A3495" s="3"/>
      <c r="B3495" s="3"/>
      <c r="C3495" s="3"/>
    </row>
    <row r="3496">
      <c r="A3496" s="3"/>
      <c r="B3496" s="3"/>
      <c r="C3496" s="3"/>
    </row>
    <row r="3497">
      <c r="A3497" s="3"/>
      <c r="B3497" s="3"/>
      <c r="C3497" s="3"/>
    </row>
    <row r="3498">
      <c r="A3498" s="3"/>
      <c r="B3498" s="3"/>
      <c r="C3498" s="3"/>
    </row>
    <row r="3499">
      <c r="A3499" s="3"/>
      <c r="B3499" s="3"/>
      <c r="C3499" s="3"/>
    </row>
    <row r="3500">
      <c r="A3500" s="3"/>
      <c r="B3500" s="3"/>
      <c r="C3500" s="3"/>
    </row>
    <row r="3501">
      <c r="A3501" s="3"/>
      <c r="B3501" s="3"/>
      <c r="C3501" s="3"/>
    </row>
    <row r="3502">
      <c r="A3502" s="3"/>
      <c r="B3502" s="3"/>
      <c r="C3502" s="3"/>
    </row>
    <row r="3503">
      <c r="A3503" s="3"/>
      <c r="B3503" s="3"/>
      <c r="C3503" s="3"/>
    </row>
    <row r="3504">
      <c r="A3504" s="3"/>
      <c r="B3504" s="3"/>
      <c r="C3504" s="3"/>
    </row>
    <row r="3505">
      <c r="A3505" s="3"/>
      <c r="B3505" s="3"/>
      <c r="C3505" s="3"/>
    </row>
    <row r="3506">
      <c r="A3506" s="3"/>
      <c r="B3506" s="3"/>
      <c r="C3506" s="3"/>
    </row>
    <row r="3507">
      <c r="A3507" s="3"/>
      <c r="B3507" s="3"/>
      <c r="C3507" s="3"/>
    </row>
    <row r="3508">
      <c r="A3508" s="3"/>
      <c r="B3508" s="3"/>
      <c r="C3508" s="3"/>
    </row>
    <row r="3509">
      <c r="A3509" s="3"/>
      <c r="B3509" s="3"/>
      <c r="C3509" s="3"/>
    </row>
    <row r="3510">
      <c r="A3510" s="3"/>
      <c r="B3510" s="3"/>
      <c r="C3510" s="3"/>
    </row>
    <row r="3511">
      <c r="A3511" s="3"/>
      <c r="B3511" s="3"/>
      <c r="C3511" s="3"/>
    </row>
    <row r="3512">
      <c r="A3512" s="3"/>
      <c r="B3512" s="3"/>
      <c r="C3512" s="3"/>
    </row>
    <row r="3513">
      <c r="A3513" s="3"/>
      <c r="B3513" s="3"/>
      <c r="C3513" s="3"/>
    </row>
    <row r="3514">
      <c r="A3514" s="3"/>
      <c r="B3514" s="3"/>
      <c r="C3514" s="3"/>
    </row>
    <row r="3515">
      <c r="A3515" s="3"/>
      <c r="B3515" s="3"/>
      <c r="C3515" s="3"/>
    </row>
    <row r="3516">
      <c r="A3516" s="3"/>
      <c r="B3516" s="3"/>
      <c r="C3516" s="3"/>
    </row>
    <row r="3517">
      <c r="A3517" s="3"/>
      <c r="B3517" s="3"/>
      <c r="C3517" s="3"/>
    </row>
    <row r="3518">
      <c r="A3518" s="3"/>
      <c r="B3518" s="3"/>
      <c r="C3518" s="3"/>
    </row>
    <row r="3519">
      <c r="A3519" s="3"/>
      <c r="B3519" s="3"/>
      <c r="C3519" s="3"/>
    </row>
    <row r="3520">
      <c r="A3520" s="3"/>
      <c r="B3520" s="3"/>
      <c r="C3520" s="3"/>
    </row>
    <row r="3521">
      <c r="A3521" s="3"/>
      <c r="B3521" s="3"/>
      <c r="C3521" s="3"/>
    </row>
    <row r="3522">
      <c r="A3522" s="3"/>
      <c r="B3522" s="3"/>
      <c r="C3522" s="3"/>
    </row>
    <row r="3523">
      <c r="A3523" s="3"/>
      <c r="B3523" s="3"/>
      <c r="C3523" s="3"/>
    </row>
    <row r="3524">
      <c r="A3524" s="3"/>
      <c r="B3524" s="3"/>
      <c r="C3524" s="3"/>
    </row>
    <row r="3525">
      <c r="A3525" s="3"/>
      <c r="B3525" s="3"/>
      <c r="C3525" s="3"/>
    </row>
    <row r="3526">
      <c r="A3526" s="3"/>
      <c r="B3526" s="3"/>
      <c r="C3526" s="3"/>
    </row>
    <row r="3527">
      <c r="A3527" s="3"/>
      <c r="B3527" s="3"/>
      <c r="C3527" s="3"/>
    </row>
    <row r="3528">
      <c r="A3528" s="3"/>
      <c r="B3528" s="3"/>
      <c r="C3528" s="3"/>
    </row>
    <row r="3529">
      <c r="A3529" s="3"/>
      <c r="B3529" s="3"/>
      <c r="C3529" s="3"/>
    </row>
    <row r="3530">
      <c r="A3530" s="3"/>
      <c r="B3530" s="3"/>
      <c r="C3530" s="3"/>
    </row>
    <row r="3531">
      <c r="A3531" s="3"/>
      <c r="B3531" s="3"/>
      <c r="C3531" s="3"/>
    </row>
    <row r="3532">
      <c r="A3532" s="3"/>
      <c r="B3532" s="3"/>
      <c r="C3532" s="3"/>
    </row>
    <row r="3533">
      <c r="A3533" s="3"/>
      <c r="B3533" s="3"/>
      <c r="C3533" s="3"/>
    </row>
    <row r="3534">
      <c r="A3534" s="3"/>
      <c r="B3534" s="3"/>
      <c r="C3534" s="3"/>
    </row>
    <row r="3535">
      <c r="A3535" s="3"/>
      <c r="B3535" s="3"/>
      <c r="C3535" s="3"/>
    </row>
    <row r="3536">
      <c r="A3536" s="3"/>
      <c r="B3536" s="3"/>
      <c r="C3536" s="3"/>
    </row>
    <row r="3537">
      <c r="A3537" s="3"/>
      <c r="B3537" s="3"/>
      <c r="C3537" s="3"/>
    </row>
    <row r="3538">
      <c r="A3538" s="3"/>
      <c r="B3538" s="3"/>
      <c r="C3538" s="3"/>
    </row>
    <row r="3539">
      <c r="A3539" s="3"/>
      <c r="B3539" s="3"/>
      <c r="C3539" s="3"/>
    </row>
    <row r="3540">
      <c r="A3540" s="3"/>
      <c r="B3540" s="3"/>
      <c r="C3540" s="3"/>
    </row>
    <row r="3541">
      <c r="A3541" s="3"/>
      <c r="B3541" s="3"/>
      <c r="C3541" s="3"/>
    </row>
    <row r="3542">
      <c r="A3542" s="3"/>
      <c r="B3542" s="3"/>
      <c r="C3542" s="3"/>
    </row>
    <row r="3543">
      <c r="A3543" s="3"/>
      <c r="B3543" s="3"/>
      <c r="C3543" s="3"/>
    </row>
    <row r="3544">
      <c r="A3544" s="3"/>
      <c r="B3544" s="3"/>
      <c r="C3544" s="3"/>
    </row>
    <row r="3545">
      <c r="A3545" s="3"/>
      <c r="B3545" s="3"/>
      <c r="C3545" s="3"/>
    </row>
    <row r="3546">
      <c r="A3546" s="3"/>
      <c r="B3546" s="3"/>
      <c r="C3546" s="3"/>
    </row>
    <row r="3547">
      <c r="A3547" s="3"/>
      <c r="B3547" s="3"/>
      <c r="C3547" s="3"/>
    </row>
    <row r="3548">
      <c r="A3548" s="3"/>
      <c r="B3548" s="3"/>
      <c r="C3548" s="3"/>
    </row>
    <row r="3549">
      <c r="A3549" s="3"/>
      <c r="B3549" s="3"/>
      <c r="C3549" s="3"/>
    </row>
    <row r="3550">
      <c r="A3550" s="3"/>
      <c r="B3550" s="3"/>
      <c r="C3550" s="3"/>
    </row>
    <row r="3551">
      <c r="A3551" s="3"/>
      <c r="B3551" s="3"/>
      <c r="C3551" s="3"/>
    </row>
    <row r="3552">
      <c r="A3552" s="3"/>
      <c r="B3552" s="3"/>
      <c r="C3552" s="3"/>
    </row>
    <row r="3553">
      <c r="A3553" s="3"/>
      <c r="B3553" s="3"/>
      <c r="C3553" s="3"/>
    </row>
    <row r="3554">
      <c r="A3554" s="3"/>
      <c r="B3554" s="3"/>
      <c r="C3554" s="3"/>
    </row>
    <row r="3555">
      <c r="A3555" s="3"/>
      <c r="B3555" s="3"/>
      <c r="C3555" s="3"/>
    </row>
    <row r="3556">
      <c r="A3556" s="3"/>
      <c r="B3556" s="3"/>
      <c r="C3556" s="3"/>
    </row>
    <row r="3557">
      <c r="A3557" s="3"/>
      <c r="B3557" s="3"/>
      <c r="C3557" s="3"/>
    </row>
    <row r="3558">
      <c r="A3558" s="3"/>
      <c r="B3558" s="3"/>
      <c r="C3558" s="3"/>
    </row>
    <row r="3559">
      <c r="A3559" s="3"/>
      <c r="B3559" s="3"/>
      <c r="C3559" s="3"/>
    </row>
    <row r="3560">
      <c r="A3560" s="3"/>
      <c r="B3560" s="3"/>
      <c r="C3560" s="3"/>
    </row>
    <row r="3561">
      <c r="A3561" s="3"/>
      <c r="B3561" s="3"/>
      <c r="C3561" s="3"/>
    </row>
    <row r="3562">
      <c r="A3562" s="3"/>
      <c r="B3562" s="3"/>
      <c r="C3562" s="3"/>
    </row>
    <row r="3563">
      <c r="A3563" s="3"/>
      <c r="B3563" s="3"/>
      <c r="C3563" s="3"/>
    </row>
    <row r="3564">
      <c r="A3564" s="3"/>
      <c r="B3564" s="3"/>
      <c r="C3564" s="3"/>
    </row>
    <row r="3565">
      <c r="A3565" s="3"/>
      <c r="B3565" s="3"/>
      <c r="C3565" s="3"/>
    </row>
    <row r="3566">
      <c r="A3566" s="3"/>
      <c r="B3566" s="3"/>
      <c r="C3566" s="3"/>
    </row>
    <row r="3567">
      <c r="A3567" s="3"/>
      <c r="B3567" s="3"/>
      <c r="C3567" s="3"/>
    </row>
    <row r="3568">
      <c r="A3568" s="3"/>
      <c r="B3568" s="3"/>
      <c r="C3568" s="3"/>
    </row>
    <row r="3569">
      <c r="A3569" s="3"/>
      <c r="B3569" s="3"/>
      <c r="C3569" s="3"/>
    </row>
    <row r="3570">
      <c r="A3570" s="3"/>
      <c r="B3570" s="3"/>
      <c r="C3570" s="3"/>
    </row>
    <row r="3571">
      <c r="A3571" s="3"/>
      <c r="B3571" s="3"/>
      <c r="C3571" s="3"/>
    </row>
    <row r="3572">
      <c r="A3572" s="3"/>
      <c r="B3572" s="3"/>
      <c r="C3572" s="3"/>
    </row>
    <row r="3573">
      <c r="A3573" s="3"/>
      <c r="B3573" s="3"/>
      <c r="C3573" s="3"/>
    </row>
    <row r="3574">
      <c r="A3574" s="3"/>
      <c r="B3574" s="3"/>
      <c r="C3574" s="3"/>
    </row>
    <row r="3575">
      <c r="A3575" s="3"/>
      <c r="B3575" s="3"/>
      <c r="C3575" s="3"/>
    </row>
    <row r="3576">
      <c r="A3576" s="3"/>
      <c r="B3576" s="3"/>
      <c r="C3576" s="3"/>
    </row>
    <row r="3577">
      <c r="A3577" s="3"/>
      <c r="B3577" s="3"/>
      <c r="C3577" s="3"/>
    </row>
    <row r="3578">
      <c r="A3578" s="3"/>
      <c r="B3578" s="3"/>
      <c r="C3578" s="3"/>
    </row>
    <row r="3579">
      <c r="A3579" s="3"/>
      <c r="B3579" s="3"/>
      <c r="C3579" s="3"/>
    </row>
    <row r="3580">
      <c r="A3580" s="3"/>
      <c r="B3580" s="3"/>
      <c r="C3580" s="3"/>
    </row>
    <row r="3581">
      <c r="A3581" s="3"/>
      <c r="B3581" s="3"/>
      <c r="C3581" s="3"/>
    </row>
    <row r="3582">
      <c r="A3582" s="3"/>
      <c r="B3582" s="3"/>
      <c r="C3582" s="3"/>
    </row>
    <row r="3583">
      <c r="A3583" s="3"/>
      <c r="B3583" s="3"/>
      <c r="C3583" s="3"/>
    </row>
    <row r="3584">
      <c r="A3584" s="3"/>
      <c r="B3584" s="3"/>
      <c r="C3584" s="3"/>
    </row>
    <row r="3585">
      <c r="A3585" s="3"/>
      <c r="B3585" s="3"/>
      <c r="C3585" s="3"/>
    </row>
    <row r="3586">
      <c r="A3586" s="3"/>
      <c r="B3586" s="3"/>
      <c r="C3586" s="3"/>
    </row>
    <row r="3587">
      <c r="A3587" s="3"/>
      <c r="B3587" s="3"/>
      <c r="C3587" s="3"/>
    </row>
    <row r="3588">
      <c r="A3588" s="3"/>
      <c r="B3588" s="3"/>
      <c r="C3588" s="3"/>
    </row>
    <row r="3589">
      <c r="A3589" s="3"/>
      <c r="B3589" s="3"/>
      <c r="C3589" s="3"/>
    </row>
    <row r="3590">
      <c r="A3590" s="3"/>
      <c r="B3590" s="3"/>
      <c r="C3590" s="3"/>
    </row>
    <row r="3591">
      <c r="A3591" s="3"/>
      <c r="B3591" s="3"/>
      <c r="C3591" s="3"/>
    </row>
    <row r="3592">
      <c r="A3592" s="3"/>
      <c r="B3592" s="3"/>
      <c r="C3592" s="3"/>
    </row>
    <row r="3593">
      <c r="A3593" s="3"/>
      <c r="B3593" s="3"/>
      <c r="C3593" s="3"/>
    </row>
    <row r="3594">
      <c r="A3594" s="3"/>
      <c r="B3594" s="3"/>
      <c r="C3594" s="3"/>
    </row>
    <row r="3595">
      <c r="A3595" s="3"/>
      <c r="B3595" s="3"/>
      <c r="C3595" s="3"/>
    </row>
    <row r="3596">
      <c r="A3596" s="3"/>
      <c r="B3596" s="3"/>
      <c r="C3596" s="3"/>
    </row>
    <row r="3597">
      <c r="A3597" s="3"/>
      <c r="B3597" s="3"/>
      <c r="C3597" s="3"/>
    </row>
    <row r="3598">
      <c r="A3598" s="3"/>
      <c r="B3598" s="3"/>
      <c r="C3598" s="3"/>
    </row>
    <row r="3599">
      <c r="A3599" s="3"/>
      <c r="B3599" s="3"/>
      <c r="C3599" s="3"/>
    </row>
    <row r="3600">
      <c r="A3600" s="3"/>
      <c r="B3600" s="3"/>
      <c r="C3600" s="3"/>
    </row>
    <row r="3601">
      <c r="A3601" s="3"/>
      <c r="B3601" s="3"/>
      <c r="C3601" s="3"/>
    </row>
    <row r="3602">
      <c r="A3602" s="3"/>
      <c r="B3602" s="3"/>
      <c r="C3602" s="3"/>
    </row>
    <row r="3603">
      <c r="A3603" s="3"/>
      <c r="B3603" s="3"/>
      <c r="C3603" s="3"/>
    </row>
    <row r="3604">
      <c r="A3604" s="3"/>
      <c r="B3604" s="3"/>
      <c r="C3604" s="3"/>
    </row>
    <row r="3605">
      <c r="A3605" s="3"/>
      <c r="B3605" s="3"/>
      <c r="C3605" s="3"/>
    </row>
    <row r="3606">
      <c r="A3606" s="3"/>
      <c r="B3606" s="3"/>
      <c r="C3606" s="3"/>
    </row>
    <row r="3607">
      <c r="A3607" s="3"/>
      <c r="B3607" s="3"/>
      <c r="C3607" s="3"/>
    </row>
    <row r="3608">
      <c r="A3608" s="3"/>
      <c r="B3608" s="3"/>
      <c r="C3608" s="3"/>
    </row>
    <row r="3609">
      <c r="A3609" s="3"/>
      <c r="B3609" s="3"/>
      <c r="C3609" s="3"/>
    </row>
    <row r="3610">
      <c r="A3610" s="3"/>
      <c r="B3610" s="3"/>
      <c r="C3610" s="3"/>
    </row>
    <row r="3611">
      <c r="A3611" s="3"/>
      <c r="B3611" s="3"/>
      <c r="C3611" s="3"/>
    </row>
    <row r="3612">
      <c r="A3612" s="3"/>
      <c r="B3612" s="3"/>
      <c r="C3612" s="3"/>
    </row>
    <row r="3613">
      <c r="A3613" s="3"/>
      <c r="B3613" s="3"/>
      <c r="C3613" s="3"/>
    </row>
    <row r="3614">
      <c r="A3614" s="3"/>
      <c r="B3614" s="3"/>
      <c r="C3614" s="3"/>
    </row>
    <row r="3615">
      <c r="A3615" s="3"/>
      <c r="B3615" s="3"/>
      <c r="C3615" s="3"/>
    </row>
    <row r="3616">
      <c r="A3616" s="3"/>
      <c r="B3616" s="3"/>
      <c r="C3616" s="3"/>
    </row>
    <row r="3617">
      <c r="A3617" s="3"/>
      <c r="B3617" s="3"/>
      <c r="C3617" s="3"/>
    </row>
    <row r="3618">
      <c r="A3618" s="3"/>
      <c r="B3618" s="3"/>
      <c r="C3618" s="3"/>
    </row>
    <row r="3619">
      <c r="A3619" s="3"/>
      <c r="B3619" s="3"/>
      <c r="C3619" s="3"/>
    </row>
    <row r="3620">
      <c r="A3620" s="3"/>
      <c r="B3620" s="3"/>
      <c r="C3620" s="3"/>
    </row>
    <row r="3621">
      <c r="A3621" s="3"/>
      <c r="B3621" s="3"/>
      <c r="C3621" s="3"/>
    </row>
    <row r="3622">
      <c r="A3622" s="3"/>
      <c r="B3622" s="3"/>
      <c r="C3622" s="3"/>
    </row>
    <row r="3623">
      <c r="A3623" s="3"/>
      <c r="B3623" s="3"/>
      <c r="C3623" s="3"/>
    </row>
    <row r="3624">
      <c r="A3624" s="3"/>
      <c r="B3624" s="3"/>
      <c r="C3624" s="3"/>
    </row>
    <row r="3625">
      <c r="A3625" s="3"/>
      <c r="B3625" s="3"/>
      <c r="C3625" s="3"/>
    </row>
    <row r="3626">
      <c r="A3626" s="3"/>
      <c r="B3626" s="3"/>
      <c r="C3626" s="3"/>
    </row>
    <row r="3627">
      <c r="A3627" s="3"/>
      <c r="B3627" s="3"/>
      <c r="C3627" s="3"/>
    </row>
    <row r="3628">
      <c r="A3628" s="3"/>
      <c r="B3628" s="3"/>
      <c r="C3628" s="3"/>
    </row>
    <row r="3629">
      <c r="A3629" s="3"/>
      <c r="B3629" s="3"/>
      <c r="C3629" s="3"/>
    </row>
    <row r="3630">
      <c r="A3630" s="3"/>
      <c r="B3630" s="3"/>
      <c r="C3630" s="3"/>
    </row>
    <row r="3631">
      <c r="A3631" s="3"/>
      <c r="B3631" s="3"/>
      <c r="C3631" s="3"/>
    </row>
    <row r="3632">
      <c r="A3632" s="3"/>
      <c r="B3632" s="3"/>
      <c r="C3632" s="3"/>
    </row>
    <row r="3633">
      <c r="A3633" s="3"/>
      <c r="B3633" s="3"/>
      <c r="C3633" s="3"/>
    </row>
    <row r="3634">
      <c r="A3634" s="3"/>
      <c r="B3634" s="3"/>
      <c r="C3634" s="3"/>
    </row>
    <row r="3635">
      <c r="A3635" s="3"/>
      <c r="B3635" s="3"/>
      <c r="C3635" s="3"/>
    </row>
    <row r="3636">
      <c r="A3636" s="3"/>
      <c r="B3636" s="3"/>
      <c r="C3636" s="3"/>
    </row>
    <row r="3637">
      <c r="A3637" s="3"/>
      <c r="B3637" s="3"/>
      <c r="C3637" s="3"/>
    </row>
    <row r="3638">
      <c r="A3638" s="3"/>
      <c r="B3638" s="3"/>
      <c r="C3638" s="3"/>
    </row>
    <row r="3639">
      <c r="A3639" s="3"/>
      <c r="B3639" s="3"/>
      <c r="C3639" s="3"/>
    </row>
    <row r="3640">
      <c r="A3640" s="3"/>
      <c r="B3640" s="3"/>
      <c r="C3640" s="3"/>
    </row>
    <row r="3641">
      <c r="A3641" s="3"/>
      <c r="B3641" s="3"/>
      <c r="C3641" s="3"/>
    </row>
    <row r="3642">
      <c r="A3642" s="3"/>
      <c r="B3642" s="3"/>
      <c r="C3642" s="3"/>
    </row>
    <row r="3643">
      <c r="A3643" s="3"/>
      <c r="B3643" s="3"/>
      <c r="C3643" s="3"/>
    </row>
    <row r="3644">
      <c r="A3644" s="3"/>
      <c r="B3644" s="3"/>
      <c r="C3644" s="3"/>
    </row>
    <row r="3645">
      <c r="A3645" s="3"/>
      <c r="B3645" s="3"/>
      <c r="C3645" s="3"/>
    </row>
    <row r="3646">
      <c r="A3646" s="3"/>
      <c r="B3646" s="3"/>
      <c r="C3646" s="3"/>
    </row>
    <row r="3647">
      <c r="A3647" s="3"/>
      <c r="B3647" s="3"/>
      <c r="C3647" s="3"/>
    </row>
    <row r="3648">
      <c r="A3648" s="3"/>
      <c r="B3648" s="3"/>
      <c r="C3648" s="3"/>
    </row>
    <row r="3649">
      <c r="A3649" s="3"/>
      <c r="B3649" s="3"/>
      <c r="C3649" s="3"/>
    </row>
    <row r="3650">
      <c r="A3650" s="3"/>
      <c r="B3650" s="3"/>
      <c r="C3650" s="3"/>
    </row>
    <row r="3651">
      <c r="A3651" s="3"/>
      <c r="B3651" s="3"/>
      <c r="C3651" s="3"/>
    </row>
    <row r="3652">
      <c r="A3652" s="3"/>
      <c r="B3652" s="3"/>
      <c r="C3652" s="3"/>
    </row>
    <row r="3653">
      <c r="A3653" s="3"/>
      <c r="B3653" s="3"/>
      <c r="C3653" s="3"/>
    </row>
    <row r="3654">
      <c r="A3654" s="3"/>
      <c r="B3654" s="3"/>
      <c r="C3654" s="3"/>
    </row>
    <row r="3655">
      <c r="A3655" s="3"/>
      <c r="B3655" s="3"/>
      <c r="C3655" s="3"/>
    </row>
    <row r="3656">
      <c r="A3656" s="3"/>
      <c r="B3656" s="3"/>
      <c r="C3656" s="3"/>
    </row>
    <row r="3657">
      <c r="A3657" s="3"/>
      <c r="B3657" s="3"/>
      <c r="C3657" s="3"/>
    </row>
    <row r="3658">
      <c r="A3658" s="3"/>
      <c r="B3658" s="3"/>
      <c r="C3658" s="3"/>
    </row>
    <row r="3659">
      <c r="A3659" s="3"/>
      <c r="B3659" s="3"/>
      <c r="C3659" s="3"/>
    </row>
    <row r="3660">
      <c r="A3660" s="3"/>
      <c r="B3660" s="3"/>
      <c r="C3660" s="3"/>
    </row>
    <row r="3661">
      <c r="A3661" s="3"/>
      <c r="B3661" s="3"/>
      <c r="C3661" s="3"/>
    </row>
    <row r="3662">
      <c r="A3662" s="3"/>
      <c r="B3662" s="3"/>
      <c r="C3662" s="3"/>
    </row>
    <row r="3663">
      <c r="A3663" s="3"/>
      <c r="B3663" s="3"/>
      <c r="C3663" s="3"/>
    </row>
    <row r="3664">
      <c r="A3664" s="3"/>
      <c r="B3664" s="3"/>
      <c r="C3664" s="3"/>
    </row>
    <row r="3665">
      <c r="A3665" s="3"/>
      <c r="B3665" s="3"/>
      <c r="C3665" s="3"/>
    </row>
    <row r="3666">
      <c r="A3666" s="3"/>
      <c r="B3666" s="3"/>
      <c r="C3666" s="3"/>
    </row>
    <row r="3667">
      <c r="A3667" s="3"/>
      <c r="B3667" s="3"/>
      <c r="C3667" s="3"/>
    </row>
    <row r="3668">
      <c r="A3668" s="3"/>
      <c r="B3668" s="3"/>
      <c r="C3668" s="3"/>
    </row>
    <row r="3669">
      <c r="A3669" s="3"/>
      <c r="B3669" s="3"/>
      <c r="C3669" s="3"/>
    </row>
    <row r="3670">
      <c r="A3670" s="3"/>
      <c r="B3670" s="3"/>
      <c r="C3670" s="3"/>
    </row>
    <row r="3671">
      <c r="A3671" s="3"/>
      <c r="B3671" s="3"/>
      <c r="C3671" s="3"/>
    </row>
    <row r="3672">
      <c r="A3672" s="3"/>
      <c r="B3672" s="3"/>
      <c r="C3672" s="3"/>
    </row>
    <row r="3673">
      <c r="A3673" s="3"/>
      <c r="B3673" s="3"/>
      <c r="C3673" s="3"/>
    </row>
    <row r="3674">
      <c r="A3674" s="3"/>
      <c r="B3674" s="3"/>
      <c r="C3674" s="3"/>
    </row>
    <row r="3675">
      <c r="A3675" s="3"/>
      <c r="B3675" s="3"/>
      <c r="C3675" s="3"/>
    </row>
    <row r="3676">
      <c r="A3676" s="3"/>
      <c r="B3676" s="3"/>
      <c r="C3676" s="3"/>
    </row>
    <row r="3677">
      <c r="A3677" s="3"/>
      <c r="B3677" s="3"/>
      <c r="C3677" s="3"/>
    </row>
    <row r="3678">
      <c r="A3678" s="3"/>
      <c r="B3678" s="3"/>
      <c r="C3678" s="3"/>
    </row>
    <row r="3679">
      <c r="A3679" s="3"/>
      <c r="B3679" s="3"/>
      <c r="C3679" s="3"/>
    </row>
    <row r="3680">
      <c r="A3680" s="3"/>
      <c r="B3680" s="3"/>
      <c r="C3680" s="3"/>
    </row>
    <row r="3681">
      <c r="A3681" s="3"/>
      <c r="B3681" s="3"/>
      <c r="C3681" s="3"/>
    </row>
    <row r="3682">
      <c r="A3682" s="3"/>
      <c r="B3682" s="3"/>
      <c r="C3682" s="3"/>
    </row>
    <row r="3683">
      <c r="A3683" s="3"/>
      <c r="B3683" s="3"/>
      <c r="C3683" s="3"/>
    </row>
    <row r="3684">
      <c r="A3684" s="3"/>
      <c r="B3684" s="3"/>
      <c r="C3684" s="3"/>
    </row>
    <row r="3685">
      <c r="A3685" s="3"/>
      <c r="B3685" s="3"/>
      <c r="C3685" s="3"/>
    </row>
    <row r="3686">
      <c r="A3686" s="3"/>
      <c r="B3686" s="3"/>
      <c r="C3686" s="3"/>
    </row>
    <row r="3687">
      <c r="A3687" s="3"/>
      <c r="B3687" s="3"/>
      <c r="C3687" s="3"/>
    </row>
    <row r="3688">
      <c r="A3688" s="3"/>
      <c r="B3688" s="3"/>
      <c r="C3688" s="3"/>
    </row>
    <row r="3689">
      <c r="A3689" s="3"/>
      <c r="B3689" s="3"/>
      <c r="C3689" s="3"/>
    </row>
    <row r="3690">
      <c r="A3690" s="3"/>
      <c r="B3690" s="3"/>
      <c r="C3690" s="3"/>
    </row>
    <row r="3691">
      <c r="A3691" s="3"/>
      <c r="B3691" s="3"/>
      <c r="C3691" s="3"/>
    </row>
    <row r="3692">
      <c r="A3692" s="3"/>
      <c r="B3692" s="3"/>
      <c r="C3692" s="3"/>
    </row>
    <row r="3693">
      <c r="A3693" s="3"/>
      <c r="B3693" s="3"/>
      <c r="C3693" s="3"/>
    </row>
    <row r="3694">
      <c r="A3694" s="3"/>
      <c r="B3694" s="3"/>
      <c r="C3694" s="3"/>
    </row>
    <row r="3695">
      <c r="A3695" s="3"/>
      <c r="B3695" s="3"/>
      <c r="C3695" s="3"/>
    </row>
    <row r="3696">
      <c r="A3696" s="3"/>
      <c r="B3696" s="3"/>
      <c r="C3696" s="3"/>
    </row>
    <row r="3697">
      <c r="A3697" s="3"/>
      <c r="B3697" s="3"/>
      <c r="C3697" s="3"/>
    </row>
    <row r="3698">
      <c r="A3698" s="3"/>
      <c r="B3698" s="3"/>
      <c r="C3698" s="3"/>
    </row>
    <row r="3699">
      <c r="A3699" s="3"/>
      <c r="B3699" s="3"/>
      <c r="C3699" s="3"/>
    </row>
    <row r="3700">
      <c r="A3700" s="3"/>
      <c r="B3700" s="3"/>
      <c r="C3700" s="3"/>
    </row>
    <row r="3701">
      <c r="A3701" s="3"/>
      <c r="B3701" s="3"/>
      <c r="C3701" s="3"/>
    </row>
    <row r="3702">
      <c r="A3702" s="3"/>
      <c r="B3702" s="3"/>
      <c r="C3702" s="3"/>
    </row>
    <row r="3703">
      <c r="A3703" s="3"/>
      <c r="B3703" s="3"/>
      <c r="C3703" s="3"/>
    </row>
    <row r="3704">
      <c r="A3704" s="3"/>
      <c r="B3704" s="3"/>
      <c r="C3704" s="3"/>
    </row>
    <row r="3705">
      <c r="A3705" s="3"/>
      <c r="B3705" s="3"/>
      <c r="C3705" s="3"/>
    </row>
    <row r="3706">
      <c r="A3706" s="3"/>
      <c r="B3706" s="3"/>
      <c r="C3706" s="3"/>
    </row>
    <row r="3707">
      <c r="A3707" s="3"/>
      <c r="B3707" s="3"/>
      <c r="C3707" s="3"/>
    </row>
    <row r="3708">
      <c r="A3708" s="3"/>
      <c r="B3708" s="3"/>
      <c r="C3708" s="3"/>
    </row>
    <row r="3709">
      <c r="A3709" s="3"/>
      <c r="B3709" s="3"/>
      <c r="C3709" s="3"/>
    </row>
    <row r="3710">
      <c r="A3710" s="3"/>
      <c r="B3710" s="3"/>
      <c r="C3710" s="3"/>
    </row>
    <row r="3711">
      <c r="A3711" s="3"/>
      <c r="B3711" s="3"/>
      <c r="C3711" s="3"/>
    </row>
    <row r="3712">
      <c r="A3712" s="3"/>
      <c r="B3712" s="3"/>
      <c r="C3712" s="3"/>
    </row>
    <row r="3713">
      <c r="A3713" s="3"/>
      <c r="B3713" s="3"/>
      <c r="C3713" s="3"/>
    </row>
    <row r="3714">
      <c r="A3714" s="3"/>
      <c r="B3714" s="3"/>
      <c r="C3714" s="3"/>
    </row>
    <row r="3715">
      <c r="A3715" s="3"/>
      <c r="B3715" s="3"/>
      <c r="C3715" s="3"/>
    </row>
    <row r="3716">
      <c r="A3716" s="3"/>
      <c r="B3716" s="3"/>
      <c r="C3716" s="3"/>
    </row>
    <row r="3717">
      <c r="A3717" s="3"/>
      <c r="B3717" s="3"/>
      <c r="C3717" s="3"/>
    </row>
    <row r="3718">
      <c r="A3718" s="3"/>
      <c r="B3718" s="3"/>
      <c r="C3718" s="3"/>
    </row>
    <row r="3719">
      <c r="A3719" s="3"/>
      <c r="B3719" s="3"/>
      <c r="C3719" s="3"/>
    </row>
    <row r="3720">
      <c r="A3720" s="3"/>
      <c r="B3720" s="3"/>
      <c r="C3720" s="3"/>
    </row>
    <row r="3721">
      <c r="A3721" s="3"/>
      <c r="B3721" s="3"/>
      <c r="C3721" s="3"/>
    </row>
    <row r="3722">
      <c r="A3722" s="3"/>
      <c r="B3722" s="3"/>
      <c r="C3722" s="3"/>
    </row>
    <row r="3723">
      <c r="A3723" s="3"/>
      <c r="B3723" s="3"/>
      <c r="C3723" s="3"/>
    </row>
    <row r="3724">
      <c r="A3724" s="3"/>
      <c r="B3724" s="3"/>
      <c r="C3724" s="3"/>
    </row>
    <row r="3725">
      <c r="A3725" s="3"/>
      <c r="B3725" s="3"/>
      <c r="C3725" s="3"/>
    </row>
    <row r="3726">
      <c r="A3726" s="3"/>
      <c r="B3726" s="3"/>
      <c r="C3726" s="3"/>
    </row>
    <row r="3727">
      <c r="A3727" s="3"/>
      <c r="B3727" s="3"/>
      <c r="C3727" s="3"/>
    </row>
    <row r="3728">
      <c r="A3728" s="3"/>
      <c r="B3728" s="3"/>
      <c r="C3728" s="3"/>
    </row>
    <row r="3729">
      <c r="A3729" s="3"/>
      <c r="B3729" s="3"/>
      <c r="C3729" s="3"/>
    </row>
    <row r="3730">
      <c r="A3730" s="3"/>
      <c r="B3730" s="3"/>
      <c r="C3730" s="3"/>
    </row>
    <row r="3731">
      <c r="A3731" s="3"/>
      <c r="B3731" s="3"/>
      <c r="C3731" s="3"/>
    </row>
    <row r="3732">
      <c r="A3732" s="3"/>
      <c r="B3732" s="3"/>
      <c r="C3732" s="3"/>
    </row>
    <row r="3733">
      <c r="A3733" s="3"/>
      <c r="B3733" s="3"/>
      <c r="C3733" s="3"/>
    </row>
    <row r="3734">
      <c r="A3734" s="3"/>
      <c r="B3734" s="3"/>
      <c r="C3734" s="3"/>
    </row>
    <row r="3735">
      <c r="A3735" s="3"/>
      <c r="B3735" s="3"/>
      <c r="C3735" s="3"/>
    </row>
    <row r="3736">
      <c r="A3736" s="3"/>
      <c r="B3736" s="3"/>
      <c r="C3736" s="3"/>
    </row>
    <row r="3737">
      <c r="A3737" s="3"/>
      <c r="B3737" s="3"/>
      <c r="C3737" s="3"/>
    </row>
    <row r="3738">
      <c r="A3738" s="3"/>
      <c r="B3738" s="3"/>
      <c r="C3738" s="3"/>
    </row>
    <row r="3739">
      <c r="A3739" s="3"/>
      <c r="B3739" s="3"/>
      <c r="C3739" s="3"/>
    </row>
    <row r="3740">
      <c r="A3740" s="3"/>
      <c r="B3740" s="3"/>
      <c r="C3740" s="3"/>
    </row>
    <row r="3741">
      <c r="A3741" s="3"/>
      <c r="B3741" s="3"/>
      <c r="C3741" s="3"/>
    </row>
    <row r="3742">
      <c r="A3742" s="3"/>
      <c r="B3742" s="3"/>
      <c r="C3742" s="3"/>
    </row>
    <row r="3743">
      <c r="A3743" s="3"/>
      <c r="B3743" s="3"/>
      <c r="C3743" s="3"/>
    </row>
    <row r="3744">
      <c r="A3744" s="3"/>
      <c r="B3744" s="3"/>
      <c r="C3744" s="3"/>
    </row>
    <row r="3745">
      <c r="A3745" s="3"/>
      <c r="B3745" s="3"/>
      <c r="C3745" s="3"/>
    </row>
    <row r="3746">
      <c r="A3746" s="3"/>
      <c r="B3746" s="3"/>
      <c r="C3746" s="3"/>
    </row>
    <row r="3747">
      <c r="A3747" s="3"/>
      <c r="B3747" s="3"/>
      <c r="C3747" s="3"/>
    </row>
    <row r="3748">
      <c r="A3748" s="3"/>
      <c r="B3748" s="3"/>
      <c r="C3748" s="3"/>
    </row>
    <row r="3749">
      <c r="A3749" s="3"/>
      <c r="B3749" s="3"/>
      <c r="C3749" s="3"/>
    </row>
    <row r="3750">
      <c r="A3750" s="3"/>
      <c r="B3750" s="3"/>
      <c r="C3750" s="3"/>
    </row>
    <row r="3751">
      <c r="A3751" s="3"/>
      <c r="B3751" s="3"/>
      <c r="C3751" s="3"/>
    </row>
    <row r="3752">
      <c r="A3752" s="3"/>
      <c r="B3752" s="3"/>
      <c r="C3752" s="3"/>
    </row>
    <row r="3753">
      <c r="A3753" s="3"/>
      <c r="B3753" s="3"/>
      <c r="C3753" s="3"/>
    </row>
    <row r="3754">
      <c r="A3754" s="3"/>
      <c r="B3754" s="3"/>
      <c r="C3754" s="3"/>
    </row>
    <row r="3755">
      <c r="A3755" s="3"/>
      <c r="B3755" s="3"/>
      <c r="C3755" s="3"/>
    </row>
    <row r="3756">
      <c r="A3756" s="3"/>
      <c r="B3756" s="3"/>
      <c r="C3756" s="3"/>
    </row>
    <row r="3757">
      <c r="A3757" s="3"/>
      <c r="B3757" s="3"/>
      <c r="C3757" s="3"/>
    </row>
    <row r="3758">
      <c r="A3758" s="3"/>
      <c r="B3758" s="3"/>
      <c r="C3758" s="3"/>
    </row>
    <row r="3759">
      <c r="A3759" s="3"/>
      <c r="B3759" s="3"/>
      <c r="C3759" s="3"/>
    </row>
    <row r="3760">
      <c r="A3760" s="3"/>
      <c r="B3760" s="3"/>
      <c r="C3760" s="3"/>
    </row>
    <row r="3761">
      <c r="A3761" s="3"/>
      <c r="B3761" s="3"/>
      <c r="C3761" s="3"/>
    </row>
    <row r="3762">
      <c r="A3762" s="3"/>
      <c r="B3762" s="3"/>
      <c r="C3762" s="3"/>
    </row>
    <row r="3763">
      <c r="A3763" s="3"/>
      <c r="B3763" s="3"/>
      <c r="C3763" s="3"/>
    </row>
    <row r="3764">
      <c r="A3764" s="3"/>
      <c r="B3764" s="3"/>
      <c r="C3764" s="3"/>
    </row>
    <row r="3765">
      <c r="A3765" s="3"/>
      <c r="B3765" s="3"/>
      <c r="C3765" s="3"/>
    </row>
    <row r="3766">
      <c r="A3766" s="3"/>
      <c r="B3766" s="3"/>
      <c r="C3766" s="3"/>
    </row>
    <row r="3767">
      <c r="A3767" s="3"/>
      <c r="B3767" s="3"/>
      <c r="C3767" s="3"/>
    </row>
    <row r="3768">
      <c r="A3768" s="3"/>
      <c r="B3768" s="3"/>
      <c r="C3768" s="3"/>
    </row>
    <row r="3769">
      <c r="A3769" s="3"/>
      <c r="B3769" s="3"/>
      <c r="C3769" s="3"/>
    </row>
    <row r="3770">
      <c r="A3770" s="3"/>
      <c r="B3770" s="3"/>
      <c r="C3770" s="3"/>
    </row>
    <row r="3771">
      <c r="A3771" s="3"/>
      <c r="B3771" s="3"/>
      <c r="C3771" s="3"/>
    </row>
    <row r="3772">
      <c r="A3772" s="3"/>
      <c r="B3772" s="3"/>
      <c r="C3772" s="3"/>
    </row>
    <row r="3773">
      <c r="A3773" s="3"/>
      <c r="B3773" s="3"/>
      <c r="C3773" s="3"/>
    </row>
    <row r="3774">
      <c r="A3774" s="3"/>
      <c r="B3774" s="3"/>
      <c r="C3774" s="3"/>
    </row>
    <row r="3775">
      <c r="A3775" s="3"/>
      <c r="B3775" s="3"/>
      <c r="C3775" s="3"/>
    </row>
    <row r="3776">
      <c r="A3776" s="3"/>
      <c r="B3776" s="3"/>
      <c r="C3776" s="3"/>
    </row>
    <row r="3777">
      <c r="A3777" s="3"/>
      <c r="B3777" s="3"/>
      <c r="C3777" s="3"/>
    </row>
    <row r="3778">
      <c r="A3778" s="3"/>
      <c r="B3778" s="3"/>
      <c r="C3778" s="3"/>
    </row>
    <row r="3779">
      <c r="A3779" s="3"/>
      <c r="B3779" s="3"/>
      <c r="C3779" s="3"/>
    </row>
    <row r="3780">
      <c r="A3780" s="3"/>
      <c r="B3780" s="3"/>
      <c r="C3780" s="3"/>
    </row>
    <row r="3781">
      <c r="A3781" s="3"/>
      <c r="B3781" s="3"/>
      <c r="C3781" s="3"/>
    </row>
    <row r="3782">
      <c r="A3782" s="3"/>
      <c r="B3782" s="3"/>
      <c r="C3782" s="3"/>
    </row>
    <row r="3783">
      <c r="A3783" s="3"/>
      <c r="B3783" s="3"/>
      <c r="C3783" s="3"/>
    </row>
    <row r="3784">
      <c r="A3784" s="3"/>
      <c r="B3784" s="3"/>
      <c r="C3784" s="3"/>
    </row>
    <row r="3785">
      <c r="A3785" s="3"/>
      <c r="B3785" s="3"/>
      <c r="C3785" s="3"/>
    </row>
    <row r="3786">
      <c r="A3786" s="3"/>
      <c r="B3786" s="3"/>
      <c r="C3786" s="3"/>
    </row>
    <row r="3787">
      <c r="A3787" s="3"/>
      <c r="B3787" s="3"/>
      <c r="C3787" s="3"/>
    </row>
    <row r="3788">
      <c r="A3788" s="3"/>
      <c r="B3788" s="3"/>
      <c r="C3788" s="3"/>
    </row>
    <row r="3789">
      <c r="A3789" s="3"/>
      <c r="B3789" s="3"/>
      <c r="C3789" s="3"/>
    </row>
    <row r="3790">
      <c r="A3790" s="3"/>
      <c r="B3790" s="3"/>
      <c r="C3790" s="3"/>
    </row>
    <row r="3791">
      <c r="A3791" s="3"/>
      <c r="B3791" s="3"/>
      <c r="C3791" s="3"/>
    </row>
    <row r="3792">
      <c r="A3792" s="3"/>
      <c r="B3792" s="3"/>
      <c r="C3792" s="3"/>
    </row>
    <row r="3793">
      <c r="A3793" s="3"/>
      <c r="B3793" s="3"/>
      <c r="C3793" s="3"/>
    </row>
    <row r="3794">
      <c r="A3794" s="3"/>
      <c r="B3794" s="3"/>
      <c r="C3794" s="3"/>
    </row>
    <row r="3795">
      <c r="A3795" s="3"/>
      <c r="B3795" s="3"/>
      <c r="C3795" s="3"/>
    </row>
    <row r="3796">
      <c r="A3796" s="3"/>
      <c r="B3796" s="3"/>
      <c r="C3796" s="3"/>
    </row>
    <row r="3797">
      <c r="A3797" s="3"/>
      <c r="B3797" s="3"/>
      <c r="C3797" s="3"/>
    </row>
    <row r="3798">
      <c r="A3798" s="3"/>
      <c r="B3798" s="3"/>
      <c r="C3798" s="3"/>
    </row>
    <row r="3799">
      <c r="A3799" s="3"/>
      <c r="B3799" s="3"/>
      <c r="C3799" s="3"/>
    </row>
    <row r="3800">
      <c r="A3800" s="3"/>
      <c r="B3800" s="3"/>
      <c r="C3800" s="3"/>
    </row>
    <row r="3801">
      <c r="A3801" s="3"/>
      <c r="B3801" s="3"/>
      <c r="C3801" s="3"/>
    </row>
    <row r="3802">
      <c r="A3802" s="3"/>
      <c r="B3802" s="3"/>
      <c r="C3802" s="3"/>
    </row>
    <row r="3803">
      <c r="A3803" s="3"/>
      <c r="B3803" s="3"/>
      <c r="C3803" s="3"/>
    </row>
    <row r="3804">
      <c r="A3804" s="3"/>
      <c r="B3804" s="3"/>
      <c r="C3804" s="3"/>
    </row>
    <row r="3805">
      <c r="A3805" s="3"/>
      <c r="B3805" s="3"/>
      <c r="C3805" s="3"/>
    </row>
    <row r="3806">
      <c r="A3806" s="3"/>
      <c r="B3806" s="3"/>
      <c r="C3806" s="3"/>
    </row>
    <row r="3807">
      <c r="A3807" s="3"/>
      <c r="B3807" s="3"/>
      <c r="C3807" s="3"/>
    </row>
    <row r="3808">
      <c r="A3808" s="3"/>
      <c r="B3808" s="3"/>
      <c r="C3808" s="3"/>
    </row>
    <row r="3809">
      <c r="A3809" s="3"/>
      <c r="B3809" s="3"/>
      <c r="C3809" s="3"/>
    </row>
    <row r="3810">
      <c r="A3810" s="3"/>
      <c r="B3810" s="3"/>
      <c r="C3810" s="3"/>
    </row>
    <row r="3811">
      <c r="A3811" s="3"/>
      <c r="B3811" s="3"/>
      <c r="C3811" s="3"/>
    </row>
    <row r="3812">
      <c r="A3812" s="3"/>
      <c r="B3812" s="3"/>
      <c r="C3812" s="3"/>
    </row>
    <row r="3813">
      <c r="A3813" s="3"/>
      <c r="B3813" s="3"/>
      <c r="C3813" s="3"/>
    </row>
    <row r="3814">
      <c r="A3814" s="3"/>
      <c r="B3814" s="3"/>
      <c r="C3814" s="3"/>
    </row>
    <row r="3815">
      <c r="A3815" s="3"/>
      <c r="B3815" s="3"/>
      <c r="C3815" s="3"/>
    </row>
    <row r="3816">
      <c r="A3816" s="3"/>
      <c r="B3816" s="3"/>
      <c r="C3816" s="3"/>
    </row>
    <row r="3817">
      <c r="A3817" s="3"/>
      <c r="B3817" s="3"/>
      <c r="C3817" s="3"/>
    </row>
    <row r="3818">
      <c r="A3818" s="3"/>
      <c r="B3818" s="3"/>
      <c r="C3818" s="3"/>
    </row>
    <row r="3819">
      <c r="A3819" s="3"/>
      <c r="B3819" s="3"/>
      <c r="C3819" s="3"/>
    </row>
    <row r="3820">
      <c r="A3820" s="3"/>
      <c r="B3820" s="3"/>
      <c r="C3820" s="3"/>
    </row>
    <row r="3821">
      <c r="A3821" s="3"/>
      <c r="B3821" s="3"/>
      <c r="C3821" s="3"/>
    </row>
    <row r="3822">
      <c r="A3822" s="3"/>
      <c r="B3822" s="3"/>
      <c r="C3822" s="3"/>
    </row>
    <row r="3823">
      <c r="A3823" s="3"/>
      <c r="B3823" s="3"/>
      <c r="C3823" s="3"/>
    </row>
    <row r="3824">
      <c r="A3824" s="3"/>
      <c r="B3824" s="3"/>
      <c r="C3824" s="3"/>
    </row>
    <row r="3825">
      <c r="A3825" s="3"/>
      <c r="B3825" s="3"/>
      <c r="C3825" s="3"/>
    </row>
    <row r="3826">
      <c r="A3826" s="3"/>
      <c r="B3826" s="3"/>
      <c r="C3826" s="3"/>
    </row>
    <row r="3827">
      <c r="A3827" s="3"/>
      <c r="B3827" s="3"/>
      <c r="C3827" s="3"/>
    </row>
    <row r="3828">
      <c r="A3828" s="3"/>
      <c r="B3828" s="3"/>
      <c r="C3828" s="3"/>
    </row>
    <row r="3829">
      <c r="A3829" s="3"/>
      <c r="B3829" s="3"/>
      <c r="C3829" s="3"/>
    </row>
    <row r="3830">
      <c r="A3830" s="3"/>
      <c r="B3830" s="3"/>
      <c r="C3830" s="3"/>
    </row>
    <row r="3831">
      <c r="A3831" s="3"/>
      <c r="B3831" s="3"/>
      <c r="C3831" s="3"/>
    </row>
    <row r="3832">
      <c r="A3832" s="3"/>
      <c r="B3832" s="3"/>
      <c r="C3832" s="3"/>
    </row>
    <row r="3833">
      <c r="A3833" s="3"/>
      <c r="B3833" s="3"/>
      <c r="C3833" s="3"/>
    </row>
    <row r="3834">
      <c r="A3834" s="3"/>
      <c r="B3834" s="3"/>
      <c r="C3834" s="3"/>
    </row>
    <row r="3835">
      <c r="A3835" s="3"/>
      <c r="B3835" s="3"/>
      <c r="C3835" s="3"/>
    </row>
    <row r="3836">
      <c r="A3836" s="3"/>
      <c r="B3836" s="3"/>
      <c r="C3836" s="3"/>
    </row>
    <row r="3837">
      <c r="A3837" s="3"/>
      <c r="B3837" s="3"/>
      <c r="C3837" s="3"/>
    </row>
    <row r="3838">
      <c r="A3838" s="3"/>
      <c r="B3838" s="3"/>
      <c r="C3838" s="3"/>
    </row>
    <row r="3839">
      <c r="A3839" s="3"/>
      <c r="B3839" s="3"/>
      <c r="C3839" s="3"/>
    </row>
    <row r="3840">
      <c r="A3840" s="3"/>
      <c r="B3840" s="3"/>
      <c r="C3840" s="3"/>
    </row>
    <row r="3841">
      <c r="A3841" s="3"/>
      <c r="B3841" s="3"/>
      <c r="C3841" s="3"/>
    </row>
    <row r="3842">
      <c r="A3842" s="3"/>
      <c r="B3842" s="3"/>
      <c r="C3842" s="3"/>
    </row>
    <row r="3843">
      <c r="A3843" s="3"/>
      <c r="B3843" s="3"/>
      <c r="C3843" s="3"/>
    </row>
    <row r="3844">
      <c r="A3844" s="3"/>
      <c r="B3844" s="3"/>
      <c r="C3844" s="3"/>
    </row>
    <row r="3845">
      <c r="A3845" s="3"/>
      <c r="B3845" s="3"/>
      <c r="C3845" s="3"/>
    </row>
    <row r="3846">
      <c r="A3846" s="3"/>
      <c r="B3846" s="3"/>
      <c r="C3846" s="3"/>
    </row>
    <row r="3847">
      <c r="A3847" s="3"/>
      <c r="B3847" s="3"/>
      <c r="C3847" s="3"/>
    </row>
    <row r="3848">
      <c r="A3848" s="3"/>
      <c r="B3848" s="3"/>
      <c r="C3848" s="3"/>
    </row>
    <row r="3849">
      <c r="A3849" s="3"/>
      <c r="B3849" s="3"/>
      <c r="C3849" s="3"/>
    </row>
    <row r="3850">
      <c r="A3850" s="3"/>
      <c r="B3850" s="3"/>
      <c r="C3850" s="3"/>
    </row>
    <row r="3851">
      <c r="A3851" s="3"/>
      <c r="B3851" s="3"/>
      <c r="C3851" s="3"/>
    </row>
    <row r="3852">
      <c r="A3852" s="3"/>
      <c r="B3852" s="3"/>
      <c r="C3852" s="3"/>
    </row>
    <row r="3853">
      <c r="A3853" s="3"/>
      <c r="B3853" s="3"/>
      <c r="C3853" s="3"/>
    </row>
    <row r="3854">
      <c r="A3854" s="3"/>
      <c r="B3854" s="3"/>
      <c r="C3854" s="3"/>
    </row>
    <row r="3855">
      <c r="A3855" s="3"/>
      <c r="B3855" s="3"/>
      <c r="C3855" s="3"/>
    </row>
    <row r="3856">
      <c r="A3856" s="3"/>
      <c r="B3856" s="3"/>
      <c r="C3856" s="3"/>
    </row>
    <row r="3857">
      <c r="A3857" s="3"/>
      <c r="B3857" s="3"/>
      <c r="C3857" s="3"/>
    </row>
    <row r="3858">
      <c r="A3858" s="3"/>
      <c r="B3858" s="3"/>
      <c r="C3858" s="3"/>
    </row>
    <row r="3859">
      <c r="A3859" s="3"/>
      <c r="B3859" s="3"/>
      <c r="C3859" s="3"/>
    </row>
    <row r="3860">
      <c r="A3860" s="3"/>
      <c r="B3860" s="3"/>
      <c r="C3860" s="3"/>
    </row>
    <row r="3861">
      <c r="A3861" s="3"/>
      <c r="B3861" s="3"/>
      <c r="C3861" s="3"/>
    </row>
    <row r="3862">
      <c r="A3862" s="3"/>
      <c r="B3862" s="3"/>
      <c r="C3862" s="3"/>
    </row>
    <row r="3863">
      <c r="A3863" s="3"/>
      <c r="B3863" s="3"/>
      <c r="C3863" s="3"/>
    </row>
    <row r="3864">
      <c r="A3864" s="3"/>
      <c r="B3864" s="3"/>
      <c r="C3864" s="3"/>
    </row>
    <row r="3865">
      <c r="A3865" s="3"/>
      <c r="B3865" s="3"/>
      <c r="C3865" s="3"/>
    </row>
    <row r="3866">
      <c r="A3866" s="3"/>
      <c r="B3866" s="3"/>
      <c r="C3866" s="3"/>
    </row>
    <row r="3867">
      <c r="A3867" s="3"/>
      <c r="B3867" s="3"/>
      <c r="C3867" s="3"/>
    </row>
    <row r="3868">
      <c r="A3868" s="3"/>
      <c r="B3868" s="3"/>
      <c r="C3868" s="3"/>
    </row>
    <row r="3869">
      <c r="A3869" s="3"/>
      <c r="B3869" s="3"/>
      <c r="C3869" s="3"/>
    </row>
    <row r="3870">
      <c r="A3870" s="3"/>
      <c r="B3870" s="3"/>
      <c r="C3870" s="3"/>
    </row>
    <row r="3871">
      <c r="A3871" s="3"/>
      <c r="B3871" s="3"/>
      <c r="C3871" s="3"/>
    </row>
    <row r="3872">
      <c r="A3872" s="3"/>
      <c r="B3872" s="3"/>
      <c r="C3872" s="3"/>
    </row>
    <row r="3873">
      <c r="A3873" s="3"/>
      <c r="B3873" s="3"/>
      <c r="C3873" s="3"/>
    </row>
    <row r="3874">
      <c r="A3874" s="3"/>
      <c r="B3874" s="3"/>
      <c r="C3874" s="3"/>
    </row>
    <row r="3875">
      <c r="A3875" s="3"/>
      <c r="B3875" s="3"/>
      <c r="C3875" s="3"/>
    </row>
    <row r="3876">
      <c r="A3876" s="3"/>
      <c r="B3876" s="3"/>
      <c r="C3876" s="3"/>
    </row>
    <row r="3877">
      <c r="A3877" s="3"/>
      <c r="B3877" s="3"/>
      <c r="C3877" s="3"/>
    </row>
    <row r="3878">
      <c r="A3878" s="3"/>
      <c r="B3878" s="3"/>
      <c r="C3878" s="3"/>
    </row>
    <row r="3879">
      <c r="A3879" s="3"/>
      <c r="B3879" s="3"/>
      <c r="C3879" s="3"/>
    </row>
    <row r="3880">
      <c r="A3880" s="3"/>
      <c r="B3880" s="3"/>
      <c r="C3880" s="3"/>
    </row>
    <row r="3881">
      <c r="A3881" s="3"/>
      <c r="B3881" s="3"/>
      <c r="C3881" s="3"/>
    </row>
    <row r="3882">
      <c r="A3882" s="3"/>
      <c r="B3882" s="3"/>
      <c r="C3882" s="3"/>
    </row>
    <row r="3883">
      <c r="A3883" s="3"/>
      <c r="B3883" s="3"/>
      <c r="C3883" s="3"/>
    </row>
    <row r="3884">
      <c r="A3884" s="3"/>
      <c r="B3884" s="3"/>
      <c r="C3884" s="3"/>
    </row>
    <row r="3885">
      <c r="A3885" s="3"/>
      <c r="B3885" s="3"/>
      <c r="C3885" s="3"/>
    </row>
    <row r="3886">
      <c r="A3886" s="3"/>
      <c r="B3886" s="3"/>
      <c r="C3886" s="3"/>
    </row>
    <row r="3887">
      <c r="A3887" s="3"/>
      <c r="B3887" s="3"/>
      <c r="C3887" s="3"/>
    </row>
    <row r="3888">
      <c r="A3888" s="3"/>
      <c r="B3888" s="3"/>
      <c r="C3888" s="3"/>
    </row>
    <row r="3889">
      <c r="A3889" s="3"/>
      <c r="B3889" s="3"/>
      <c r="C3889" s="3"/>
    </row>
    <row r="3890">
      <c r="A3890" s="3"/>
      <c r="B3890" s="3"/>
      <c r="C3890" s="3"/>
    </row>
    <row r="3891">
      <c r="A3891" s="3"/>
      <c r="B3891" s="3"/>
      <c r="C3891" s="3"/>
    </row>
    <row r="3892">
      <c r="A3892" s="3"/>
      <c r="B3892" s="3"/>
      <c r="C3892" s="3"/>
    </row>
    <row r="3893">
      <c r="A3893" s="3"/>
      <c r="B3893" s="3"/>
      <c r="C3893" s="3"/>
    </row>
    <row r="3894">
      <c r="A3894" s="3"/>
      <c r="B3894" s="3"/>
      <c r="C3894" s="3"/>
    </row>
    <row r="3895">
      <c r="A3895" s="3"/>
      <c r="B3895" s="3"/>
      <c r="C3895" s="3"/>
    </row>
    <row r="3896">
      <c r="A3896" s="3"/>
      <c r="B3896" s="3"/>
      <c r="C3896" s="3"/>
    </row>
    <row r="3897">
      <c r="A3897" s="3"/>
      <c r="B3897" s="3"/>
      <c r="C3897" s="3"/>
    </row>
    <row r="3898">
      <c r="A3898" s="3"/>
      <c r="B3898" s="3"/>
      <c r="C3898" s="3"/>
    </row>
    <row r="3899">
      <c r="A3899" s="3"/>
      <c r="B3899" s="3"/>
      <c r="C3899" s="3"/>
    </row>
    <row r="3900">
      <c r="A3900" s="3"/>
      <c r="B3900" s="3"/>
      <c r="C3900" s="3"/>
    </row>
    <row r="3901">
      <c r="A3901" s="3"/>
      <c r="B3901" s="3"/>
      <c r="C3901" s="3"/>
    </row>
    <row r="3902">
      <c r="A3902" s="3"/>
      <c r="B3902" s="3"/>
      <c r="C3902" s="3"/>
    </row>
    <row r="3903">
      <c r="A3903" s="3"/>
      <c r="B3903" s="3"/>
      <c r="C3903" s="3"/>
    </row>
    <row r="3904">
      <c r="A3904" s="3"/>
      <c r="B3904" s="3"/>
      <c r="C3904" s="3"/>
    </row>
    <row r="3905">
      <c r="A3905" s="3"/>
      <c r="B3905" s="3"/>
      <c r="C3905" s="3"/>
    </row>
    <row r="3906">
      <c r="A3906" s="3"/>
      <c r="B3906" s="3"/>
      <c r="C3906" s="3"/>
    </row>
    <row r="3907">
      <c r="A3907" s="3"/>
      <c r="B3907" s="3"/>
      <c r="C3907" s="3"/>
    </row>
    <row r="3908">
      <c r="A3908" s="3"/>
      <c r="B3908" s="3"/>
      <c r="C3908" s="3"/>
    </row>
    <row r="3909">
      <c r="A3909" s="3"/>
      <c r="B3909" s="3"/>
      <c r="C3909" s="3"/>
    </row>
    <row r="3910">
      <c r="A3910" s="3"/>
      <c r="B3910" s="3"/>
      <c r="C3910" s="3"/>
    </row>
    <row r="3911">
      <c r="A3911" s="3"/>
      <c r="B3911" s="3"/>
      <c r="C3911" s="3"/>
    </row>
    <row r="3912">
      <c r="A3912" s="3"/>
      <c r="B3912" s="3"/>
      <c r="C3912" s="3"/>
    </row>
    <row r="3913">
      <c r="A3913" s="3"/>
      <c r="B3913" s="3"/>
      <c r="C3913" s="3"/>
    </row>
    <row r="3914">
      <c r="A3914" s="3"/>
      <c r="B3914" s="3"/>
      <c r="C3914" s="3"/>
    </row>
    <row r="3915">
      <c r="A3915" s="3"/>
      <c r="B3915" s="3"/>
      <c r="C3915" s="3"/>
    </row>
    <row r="3916">
      <c r="A3916" s="3"/>
      <c r="B3916" s="3"/>
      <c r="C3916" s="3"/>
    </row>
    <row r="3917">
      <c r="A3917" s="3"/>
      <c r="B3917" s="3"/>
      <c r="C3917" s="3"/>
    </row>
    <row r="3918">
      <c r="A3918" s="3"/>
      <c r="B3918" s="3"/>
      <c r="C3918" s="3"/>
    </row>
    <row r="3919">
      <c r="A3919" s="3"/>
      <c r="B3919" s="3"/>
      <c r="C3919" s="3"/>
    </row>
    <row r="3920">
      <c r="A3920" s="3"/>
      <c r="B3920" s="3"/>
      <c r="C3920" s="3"/>
    </row>
    <row r="3921">
      <c r="A3921" s="3"/>
      <c r="B3921" s="3"/>
      <c r="C3921" s="3"/>
    </row>
    <row r="3922">
      <c r="A3922" s="3"/>
      <c r="B3922" s="3"/>
      <c r="C3922" s="3"/>
    </row>
    <row r="3923">
      <c r="A3923" s="3"/>
      <c r="B3923" s="3"/>
      <c r="C3923" s="3"/>
    </row>
    <row r="3924">
      <c r="A3924" s="3"/>
      <c r="B3924" s="3"/>
      <c r="C3924" s="3"/>
    </row>
    <row r="3925">
      <c r="A3925" s="3"/>
      <c r="B3925" s="3"/>
      <c r="C3925" s="3"/>
    </row>
    <row r="3926">
      <c r="A3926" s="3"/>
      <c r="B3926" s="3"/>
      <c r="C3926" s="3"/>
    </row>
    <row r="3927">
      <c r="A3927" s="3"/>
      <c r="B3927" s="3"/>
      <c r="C3927" s="3"/>
    </row>
    <row r="3928">
      <c r="A3928" s="3"/>
      <c r="B3928" s="3"/>
      <c r="C3928" s="3"/>
    </row>
    <row r="3929">
      <c r="A3929" s="3"/>
      <c r="B3929" s="3"/>
      <c r="C3929" s="3"/>
    </row>
    <row r="3930">
      <c r="A3930" s="3"/>
      <c r="B3930" s="3"/>
      <c r="C3930" s="3"/>
    </row>
    <row r="3931">
      <c r="A3931" s="3"/>
      <c r="B3931" s="3"/>
      <c r="C3931" s="3"/>
    </row>
    <row r="3932">
      <c r="A3932" s="3"/>
      <c r="B3932" s="3"/>
      <c r="C3932" s="3"/>
    </row>
    <row r="3933">
      <c r="A3933" s="3"/>
      <c r="B3933" s="3"/>
      <c r="C3933" s="3"/>
    </row>
    <row r="3934">
      <c r="A3934" s="3"/>
      <c r="B3934" s="3"/>
      <c r="C3934" s="3"/>
    </row>
    <row r="3935">
      <c r="A3935" s="3"/>
      <c r="B3935" s="3"/>
      <c r="C3935" s="3"/>
    </row>
    <row r="3936">
      <c r="A3936" s="3"/>
      <c r="B3936" s="3"/>
      <c r="C3936" s="3"/>
    </row>
    <row r="3937">
      <c r="A3937" s="3"/>
      <c r="B3937" s="3"/>
      <c r="C3937" s="3"/>
    </row>
    <row r="3938">
      <c r="A3938" s="3"/>
      <c r="B3938" s="3"/>
      <c r="C3938" s="3"/>
    </row>
    <row r="3939">
      <c r="A3939" s="3"/>
      <c r="B3939" s="3"/>
      <c r="C3939" s="3"/>
    </row>
    <row r="3940">
      <c r="A3940" s="3"/>
      <c r="B3940" s="3"/>
      <c r="C3940" s="3"/>
    </row>
    <row r="3941">
      <c r="A3941" s="3"/>
      <c r="B3941" s="3"/>
      <c r="C3941" s="3"/>
    </row>
    <row r="3942">
      <c r="A3942" s="3"/>
      <c r="B3942" s="3"/>
      <c r="C3942" s="3"/>
    </row>
    <row r="3943">
      <c r="A3943" s="3"/>
      <c r="B3943" s="3"/>
      <c r="C3943" s="3"/>
    </row>
    <row r="3944">
      <c r="A3944" s="3"/>
      <c r="B3944" s="3"/>
      <c r="C3944" s="3"/>
    </row>
    <row r="3945">
      <c r="A3945" s="3"/>
      <c r="B3945" s="3"/>
      <c r="C3945" s="3"/>
    </row>
    <row r="3946">
      <c r="A3946" s="3"/>
      <c r="B3946" s="3"/>
      <c r="C3946" s="3"/>
    </row>
    <row r="3947">
      <c r="A3947" s="3"/>
      <c r="B3947" s="3"/>
      <c r="C3947" s="3"/>
    </row>
    <row r="3948">
      <c r="A3948" s="3"/>
      <c r="B3948" s="3"/>
      <c r="C3948" s="3"/>
    </row>
    <row r="3949">
      <c r="A3949" s="3"/>
      <c r="B3949" s="3"/>
      <c r="C3949" s="3"/>
    </row>
    <row r="3950">
      <c r="A3950" s="3"/>
      <c r="B3950" s="3"/>
      <c r="C3950" s="3"/>
    </row>
    <row r="3951">
      <c r="A3951" s="3"/>
      <c r="B3951" s="3"/>
      <c r="C3951" s="3"/>
    </row>
    <row r="3952">
      <c r="A3952" s="3"/>
      <c r="B3952" s="3"/>
      <c r="C3952" s="3"/>
    </row>
    <row r="3953">
      <c r="A3953" s="3"/>
      <c r="B3953" s="3"/>
      <c r="C3953" s="3"/>
    </row>
    <row r="3954">
      <c r="A3954" s="3"/>
      <c r="B3954" s="3"/>
      <c r="C3954" s="3"/>
    </row>
    <row r="3955">
      <c r="A3955" s="3"/>
      <c r="B3955" s="3"/>
      <c r="C3955" s="3"/>
    </row>
    <row r="3956">
      <c r="A3956" s="3"/>
      <c r="B3956" s="3"/>
      <c r="C3956" s="3"/>
    </row>
    <row r="3957">
      <c r="A3957" s="3"/>
      <c r="B3957" s="3"/>
      <c r="C3957" s="3"/>
    </row>
    <row r="3958">
      <c r="A3958" s="3"/>
      <c r="B3958" s="3"/>
      <c r="C3958" s="3"/>
    </row>
    <row r="3959">
      <c r="A3959" s="3"/>
      <c r="B3959" s="3"/>
      <c r="C3959" s="3"/>
    </row>
    <row r="3960">
      <c r="A3960" s="3"/>
      <c r="B3960" s="3"/>
      <c r="C3960" s="3"/>
    </row>
    <row r="3961">
      <c r="A3961" s="3"/>
      <c r="B3961" s="3"/>
      <c r="C3961" s="3"/>
    </row>
    <row r="3962">
      <c r="A3962" s="3"/>
      <c r="B3962" s="3"/>
      <c r="C3962" s="3"/>
    </row>
    <row r="3963">
      <c r="A3963" s="3"/>
      <c r="B3963" s="3"/>
      <c r="C3963" s="3"/>
    </row>
    <row r="3964">
      <c r="A3964" s="3"/>
      <c r="B3964" s="3"/>
      <c r="C3964" s="3"/>
    </row>
    <row r="3965">
      <c r="A3965" s="3"/>
      <c r="B3965" s="3"/>
      <c r="C3965" s="3"/>
    </row>
    <row r="3966">
      <c r="A3966" s="3"/>
      <c r="B3966" s="3"/>
      <c r="C3966" s="3"/>
    </row>
    <row r="3967">
      <c r="A3967" s="3"/>
      <c r="B3967" s="3"/>
      <c r="C3967" s="3"/>
    </row>
    <row r="3968">
      <c r="A3968" s="3"/>
      <c r="B3968" s="3"/>
      <c r="C3968" s="3"/>
    </row>
    <row r="3969">
      <c r="A3969" s="3"/>
      <c r="B3969" s="3"/>
      <c r="C3969" s="3"/>
    </row>
    <row r="3970">
      <c r="A3970" s="3"/>
      <c r="B3970" s="3"/>
      <c r="C3970" s="3"/>
    </row>
    <row r="3971">
      <c r="A3971" s="3"/>
      <c r="B3971" s="3"/>
      <c r="C3971" s="3"/>
    </row>
    <row r="3972">
      <c r="A3972" s="3"/>
      <c r="B3972" s="3"/>
      <c r="C3972" s="3"/>
    </row>
    <row r="3973">
      <c r="A3973" s="3"/>
      <c r="B3973" s="3"/>
      <c r="C3973" s="3"/>
    </row>
    <row r="3974">
      <c r="A3974" s="3"/>
      <c r="B3974" s="3"/>
      <c r="C3974" s="3"/>
    </row>
    <row r="3975">
      <c r="A3975" s="3"/>
      <c r="B3975" s="3"/>
      <c r="C3975" s="3"/>
    </row>
    <row r="3976">
      <c r="A3976" s="3"/>
      <c r="B3976" s="3"/>
      <c r="C3976" s="3"/>
    </row>
    <row r="3977">
      <c r="A3977" s="3"/>
      <c r="B3977" s="3"/>
      <c r="C3977" s="3"/>
    </row>
    <row r="3978">
      <c r="A3978" s="3"/>
      <c r="B3978" s="3"/>
      <c r="C3978" s="3"/>
    </row>
    <row r="3979">
      <c r="A3979" s="3"/>
      <c r="B3979" s="3"/>
      <c r="C3979" s="3"/>
    </row>
    <row r="3980">
      <c r="A3980" s="3"/>
      <c r="B3980" s="3"/>
      <c r="C3980" s="3"/>
    </row>
    <row r="3981">
      <c r="A3981" s="3"/>
      <c r="B3981" s="3"/>
      <c r="C3981" s="3"/>
    </row>
    <row r="3982">
      <c r="A3982" s="3"/>
      <c r="B3982" s="3"/>
      <c r="C3982" s="3"/>
    </row>
    <row r="3983">
      <c r="A3983" s="3"/>
      <c r="B3983" s="3"/>
      <c r="C3983" s="3"/>
    </row>
    <row r="3984">
      <c r="A3984" s="3"/>
      <c r="B3984" s="3"/>
      <c r="C3984" s="3"/>
    </row>
    <row r="3985">
      <c r="A3985" s="3"/>
      <c r="B3985" s="3"/>
      <c r="C3985" s="3"/>
    </row>
    <row r="3986">
      <c r="A3986" s="3"/>
      <c r="B3986" s="3"/>
      <c r="C3986" s="3"/>
    </row>
    <row r="3987">
      <c r="A3987" s="3"/>
      <c r="B3987" s="3"/>
      <c r="C3987" s="3"/>
    </row>
    <row r="3988">
      <c r="A3988" s="3"/>
      <c r="B3988" s="3"/>
      <c r="C3988" s="3"/>
    </row>
    <row r="3989">
      <c r="A3989" s="3"/>
      <c r="B3989" s="3"/>
      <c r="C3989" s="3"/>
    </row>
    <row r="3990">
      <c r="A3990" s="3"/>
      <c r="B3990" s="3"/>
      <c r="C3990" s="3"/>
    </row>
    <row r="3991">
      <c r="A3991" s="3"/>
      <c r="B3991" s="3"/>
      <c r="C3991" s="3"/>
    </row>
    <row r="3992">
      <c r="A3992" s="3"/>
      <c r="B3992" s="3"/>
      <c r="C3992" s="3"/>
    </row>
    <row r="3993">
      <c r="A3993" s="3"/>
      <c r="B3993" s="3"/>
      <c r="C3993" s="3"/>
    </row>
    <row r="3994">
      <c r="A3994" s="3"/>
      <c r="B3994" s="3"/>
      <c r="C3994" s="3"/>
    </row>
    <row r="3995">
      <c r="A3995" s="3"/>
      <c r="B3995" s="3"/>
      <c r="C3995" s="3"/>
    </row>
    <row r="3996">
      <c r="A3996" s="3"/>
      <c r="B3996" s="3"/>
      <c r="C3996" s="3"/>
    </row>
    <row r="3997">
      <c r="A3997" s="3"/>
      <c r="B3997" s="3"/>
      <c r="C3997" s="3"/>
    </row>
    <row r="3998">
      <c r="A3998" s="3"/>
      <c r="B3998" s="3"/>
      <c r="C3998" s="3"/>
    </row>
    <row r="3999">
      <c r="A3999" s="3"/>
      <c r="B3999" s="3"/>
      <c r="C3999" s="3"/>
    </row>
    <row r="4000">
      <c r="A4000" s="3"/>
      <c r="B4000" s="3"/>
      <c r="C4000" s="3"/>
    </row>
    <row r="4001">
      <c r="A4001" s="3"/>
      <c r="B4001" s="3"/>
      <c r="C4001" s="3"/>
    </row>
    <row r="4002">
      <c r="A4002" s="3"/>
      <c r="B4002" s="3"/>
      <c r="C4002" s="3"/>
    </row>
    <row r="4003">
      <c r="A4003" s="3"/>
      <c r="B4003" s="3"/>
      <c r="C4003" s="3"/>
    </row>
    <row r="4004">
      <c r="A4004" s="3"/>
      <c r="B4004" s="3"/>
      <c r="C4004" s="3"/>
    </row>
    <row r="4005">
      <c r="A4005" s="3"/>
      <c r="B4005" s="3"/>
      <c r="C4005" s="3"/>
    </row>
    <row r="4006">
      <c r="A4006" s="3"/>
      <c r="B4006" s="3"/>
      <c r="C4006" s="3"/>
    </row>
    <row r="4007">
      <c r="A4007" s="3"/>
      <c r="B4007" s="3"/>
      <c r="C4007" s="3"/>
    </row>
    <row r="4008">
      <c r="A4008" s="3"/>
      <c r="B4008" s="3"/>
      <c r="C4008" s="3"/>
    </row>
    <row r="4009">
      <c r="A4009" s="3"/>
      <c r="B4009" s="3"/>
      <c r="C4009" s="3"/>
    </row>
    <row r="4010">
      <c r="A4010" s="3"/>
      <c r="B4010" s="3"/>
      <c r="C4010" s="3"/>
    </row>
    <row r="4011">
      <c r="A4011" s="3"/>
      <c r="B4011" s="3"/>
      <c r="C4011" s="3"/>
    </row>
    <row r="4012">
      <c r="A4012" s="3"/>
      <c r="B4012" s="3"/>
      <c r="C4012" s="3"/>
    </row>
    <row r="4013">
      <c r="A4013" s="3"/>
      <c r="B4013" s="3"/>
      <c r="C4013" s="3"/>
    </row>
    <row r="4014">
      <c r="A4014" s="3"/>
      <c r="B4014" s="3"/>
      <c r="C4014" s="3"/>
    </row>
    <row r="4015">
      <c r="A4015" s="3"/>
      <c r="B4015" s="3"/>
      <c r="C4015" s="3"/>
    </row>
    <row r="4016">
      <c r="A4016" s="3"/>
      <c r="B4016" s="3"/>
      <c r="C4016" s="3"/>
    </row>
    <row r="4017">
      <c r="A4017" s="3"/>
      <c r="B4017" s="3"/>
      <c r="C4017" s="3"/>
    </row>
    <row r="4018">
      <c r="A4018" s="3"/>
      <c r="B4018" s="3"/>
      <c r="C4018" s="3"/>
    </row>
    <row r="4019">
      <c r="A4019" s="3"/>
      <c r="B4019" s="3"/>
      <c r="C4019" s="3"/>
    </row>
    <row r="4020">
      <c r="A4020" s="3"/>
      <c r="B4020" s="3"/>
      <c r="C4020" s="3"/>
    </row>
    <row r="4021">
      <c r="A4021" s="3"/>
      <c r="B4021" s="3"/>
      <c r="C4021" s="3"/>
    </row>
    <row r="4022">
      <c r="A4022" s="3"/>
      <c r="B4022" s="3"/>
      <c r="C4022" s="3"/>
    </row>
    <row r="4023">
      <c r="A4023" s="3"/>
      <c r="B4023" s="3"/>
      <c r="C4023" s="3"/>
    </row>
    <row r="4024">
      <c r="A4024" s="3"/>
      <c r="B4024" s="3"/>
      <c r="C4024" s="3"/>
    </row>
    <row r="4025">
      <c r="A4025" s="3"/>
      <c r="B4025" s="3"/>
      <c r="C4025" s="3"/>
    </row>
    <row r="4026">
      <c r="A4026" s="3"/>
      <c r="B4026" s="3"/>
      <c r="C4026" s="3"/>
    </row>
    <row r="4027">
      <c r="A4027" s="3"/>
      <c r="B4027" s="3"/>
      <c r="C4027" s="3"/>
    </row>
    <row r="4028">
      <c r="A4028" s="3"/>
      <c r="B4028" s="3"/>
      <c r="C4028" s="3"/>
    </row>
    <row r="4029">
      <c r="A4029" s="3"/>
      <c r="B4029" s="3"/>
      <c r="C4029" s="3"/>
    </row>
    <row r="4030">
      <c r="A4030" s="3"/>
      <c r="B4030" s="3"/>
      <c r="C4030" s="3"/>
    </row>
    <row r="4031">
      <c r="A4031" s="3"/>
      <c r="B4031" s="3"/>
      <c r="C4031" s="3"/>
    </row>
    <row r="4032">
      <c r="A4032" s="3"/>
      <c r="B4032" s="3"/>
      <c r="C4032" s="3"/>
    </row>
    <row r="4033">
      <c r="A4033" s="4"/>
      <c r="B4033" s="4"/>
      <c r="C4033" s="4"/>
    </row>
    <row r="4034">
      <c r="A4034" s="3"/>
      <c r="B4034" s="3"/>
      <c r="C4034" s="3"/>
    </row>
    <row r="4035">
      <c r="A4035" s="3"/>
      <c r="B4035" s="3"/>
      <c r="C4035" s="3"/>
    </row>
    <row r="4036">
      <c r="A4036" s="3"/>
      <c r="B4036" s="3"/>
      <c r="C4036" s="3"/>
    </row>
    <row r="4037">
      <c r="A4037" s="3"/>
      <c r="B4037" s="3"/>
      <c r="C4037" s="3"/>
    </row>
    <row r="4038">
      <c r="A4038" s="3"/>
      <c r="B4038" s="3"/>
      <c r="C4038" s="3"/>
    </row>
    <row r="4039">
      <c r="A4039" s="3"/>
      <c r="B4039" s="3"/>
      <c r="C4039" s="3"/>
    </row>
    <row r="4040">
      <c r="A4040" s="3"/>
      <c r="B4040" s="3"/>
      <c r="C4040" s="3"/>
    </row>
    <row r="4041">
      <c r="A4041" s="3"/>
      <c r="B4041" s="3"/>
      <c r="C4041" s="3"/>
    </row>
    <row r="4042">
      <c r="A4042" s="3"/>
      <c r="B4042" s="3"/>
      <c r="C4042" s="3"/>
    </row>
    <row r="4043">
      <c r="A4043" s="3"/>
      <c r="B4043" s="3"/>
      <c r="C4043" s="3"/>
    </row>
    <row r="4044">
      <c r="A4044" s="3"/>
      <c r="B4044" s="3"/>
      <c r="C4044" s="3"/>
    </row>
    <row r="4045">
      <c r="A4045" s="3"/>
      <c r="B4045" s="3"/>
      <c r="C4045" s="3"/>
    </row>
    <row r="4046">
      <c r="A4046" s="3"/>
      <c r="B4046" s="3"/>
      <c r="C4046" s="3"/>
    </row>
    <row r="4047">
      <c r="A4047" s="3"/>
      <c r="B4047" s="3"/>
      <c r="C4047" s="3"/>
    </row>
    <row r="4048">
      <c r="A4048" s="3"/>
      <c r="B4048" s="3"/>
      <c r="C4048" s="3"/>
    </row>
    <row r="4049">
      <c r="A4049" s="3"/>
      <c r="B4049" s="3"/>
      <c r="C4049" s="3"/>
    </row>
    <row r="4050">
      <c r="A4050" s="3"/>
      <c r="B4050" s="3"/>
      <c r="C4050" s="3"/>
    </row>
    <row r="4051">
      <c r="A4051" s="3"/>
      <c r="B4051" s="3"/>
      <c r="C4051" s="3"/>
    </row>
    <row r="4052">
      <c r="A4052" s="3"/>
      <c r="B4052" s="3"/>
      <c r="C4052" s="3"/>
    </row>
    <row r="4053">
      <c r="A4053" s="3"/>
      <c r="B4053" s="3"/>
      <c r="C4053" s="3"/>
    </row>
    <row r="4054">
      <c r="A4054" s="3"/>
      <c r="B4054" s="3"/>
      <c r="C4054" s="3"/>
    </row>
    <row r="4055">
      <c r="A4055" s="3"/>
      <c r="B4055" s="3"/>
      <c r="C4055" s="3"/>
    </row>
    <row r="4056">
      <c r="A4056" s="3"/>
      <c r="B4056" s="3"/>
      <c r="C4056" s="3"/>
    </row>
    <row r="4057">
      <c r="A4057" s="3"/>
      <c r="B4057" s="3"/>
      <c r="C4057" s="3"/>
    </row>
    <row r="4058">
      <c r="A4058" s="3"/>
      <c r="B4058" s="3"/>
      <c r="C4058" s="3"/>
    </row>
    <row r="4059">
      <c r="A4059" s="3"/>
      <c r="B4059" s="3"/>
      <c r="C4059" s="3"/>
    </row>
    <row r="4060">
      <c r="A4060" s="3"/>
      <c r="B4060" s="3"/>
      <c r="C4060" s="3"/>
    </row>
    <row r="4061">
      <c r="A4061" s="3"/>
      <c r="B4061" s="3"/>
      <c r="C4061" s="3"/>
    </row>
    <row r="4062">
      <c r="A4062" s="3"/>
      <c r="B4062" s="3"/>
      <c r="C4062" s="3"/>
    </row>
    <row r="4063">
      <c r="A4063" s="3"/>
      <c r="B4063" s="3"/>
      <c r="C4063" s="3"/>
    </row>
    <row r="4064">
      <c r="A4064" s="3"/>
      <c r="B4064" s="3"/>
      <c r="C4064" s="3"/>
    </row>
    <row r="4065">
      <c r="A4065" s="3"/>
      <c r="B4065" s="3"/>
      <c r="C4065" s="3"/>
    </row>
    <row r="4066">
      <c r="A4066" s="3"/>
      <c r="B4066" s="3"/>
      <c r="C4066" s="3"/>
    </row>
    <row r="4067">
      <c r="A4067" s="3"/>
      <c r="B4067" s="3"/>
      <c r="C4067" s="3"/>
    </row>
    <row r="4068">
      <c r="A4068" s="3"/>
      <c r="B4068" s="3"/>
      <c r="C4068" s="3"/>
    </row>
    <row r="4069">
      <c r="A4069" s="3"/>
      <c r="B4069" s="3"/>
      <c r="C4069" s="3"/>
    </row>
    <row r="4070">
      <c r="A4070" s="3"/>
      <c r="B4070" s="3"/>
      <c r="C4070" s="3"/>
    </row>
    <row r="4071">
      <c r="A4071" s="3"/>
      <c r="B4071" s="3"/>
      <c r="C4071" s="3"/>
    </row>
    <row r="4072">
      <c r="A4072" s="3"/>
      <c r="B4072" s="3"/>
      <c r="C4072" s="3"/>
    </row>
    <row r="4073">
      <c r="A4073" s="3"/>
      <c r="B4073" s="3"/>
      <c r="C4073" s="3"/>
    </row>
    <row r="4074">
      <c r="A4074" s="3"/>
      <c r="B4074" s="3"/>
      <c r="C4074" s="3"/>
    </row>
    <row r="4075">
      <c r="A4075" s="3"/>
      <c r="B4075" s="3"/>
      <c r="C4075" s="3"/>
    </row>
    <row r="4076">
      <c r="A4076" s="3"/>
      <c r="B4076" s="3"/>
      <c r="C4076" s="3"/>
    </row>
    <row r="4077">
      <c r="A4077" s="3"/>
      <c r="B4077" s="3"/>
      <c r="C4077" s="3"/>
    </row>
    <row r="4078">
      <c r="A4078" s="3"/>
      <c r="B4078" s="3"/>
      <c r="C4078" s="3"/>
    </row>
    <row r="4079">
      <c r="A4079" s="3"/>
      <c r="B4079" s="3"/>
      <c r="C4079" s="3"/>
    </row>
    <row r="4080">
      <c r="A4080" s="3"/>
      <c r="B4080" s="3"/>
      <c r="C4080" s="3"/>
    </row>
    <row r="4081">
      <c r="A4081" s="3"/>
      <c r="B4081" s="3"/>
      <c r="C4081" s="3"/>
    </row>
    <row r="4082">
      <c r="A4082" s="3"/>
      <c r="B4082" s="3"/>
      <c r="C4082" s="3"/>
    </row>
    <row r="4083">
      <c r="A4083" s="3"/>
      <c r="B4083" s="3"/>
      <c r="C4083" s="3"/>
    </row>
    <row r="4084">
      <c r="A4084" s="3"/>
      <c r="B4084" s="3"/>
      <c r="C4084" s="3"/>
    </row>
    <row r="4085">
      <c r="A4085" s="3"/>
      <c r="B4085" s="3"/>
      <c r="C4085" s="3"/>
    </row>
    <row r="4086">
      <c r="A4086" s="3"/>
      <c r="B4086" s="3"/>
      <c r="C4086" s="3"/>
    </row>
    <row r="4087">
      <c r="A4087" s="3"/>
      <c r="B4087" s="3"/>
      <c r="C4087" s="3"/>
    </row>
    <row r="4088">
      <c r="A4088" s="3"/>
      <c r="B4088" s="3"/>
      <c r="C4088" s="3"/>
    </row>
    <row r="4089">
      <c r="A4089" s="3"/>
      <c r="B4089" s="3"/>
      <c r="C4089" s="3"/>
    </row>
    <row r="4090">
      <c r="A4090" s="3"/>
      <c r="B4090" s="3"/>
      <c r="C4090" s="3"/>
    </row>
    <row r="4091">
      <c r="A4091" s="3"/>
      <c r="B4091" s="3"/>
      <c r="C4091" s="3"/>
    </row>
    <row r="4092">
      <c r="A4092" s="3"/>
      <c r="B4092" s="3"/>
      <c r="C4092" s="3"/>
    </row>
    <row r="4093">
      <c r="A4093" s="3"/>
      <c r="B4093" s="3"/>
      <c r="C4093" s="3"/>
    </row>
    <row r="4094">
      <c r="A4094" s="3"/>
      <c r="B4094" s="3"/>
      <c r="C4094" s="3"/>
    </row>
    <row r="4095">
      <c r="A4095" s="3"/>
      <c r="B4095" s="3"/>
      <c r="C4095" s="3"/>
    </row>
    <row r="4096">
      <c r="A4096" s="3"/>
      <c r="B4096" s="3"/>
      <c r="C4096" s="3"/>
    </row>
    <row r="4097">
      <c r="A4097" s="3"/>
      <c r="B4097" s="3"/>
      <c r="C4097" s="3"/>
    </row>
    <row r="4098">
      <c r="A4098" s="3"/>
      <c r="B4098" s="3"/>
      <c r="C4098" s="3"/>
    </row>
    <row r="4099">
      <c r="A4099" s="3"/>
      <c r="B4099" s="3"/>
      <c r="C4099" s="3"/>
    </row>
    <row r="4100">
      <c r="A4100" s="3"/>
      <c r="B4100" s="3"/>
      <c r="C4100" s="3"/>
    </row>
    <row r="4101">
      <c r="A4101" s="3"/>
      <c r="B4101" s="3"/>
      <c r="C4101" s="3"/>
    </row>
    <row r="4102">
      <c r="A4102" s="3"/>
      <c r="B4102" s="3"/>
      <c r="C4102" s="3"/>
    </row>
    <row r="4103">
      <c r="A4103" s="3"/>
      <c r="B4103" s="3"/>
      <c r="C4103" s="3"/>
    </row>
    <row r="4104">
      <c r="A4104" s="3"/>
      <c r="B4104" s="3"/>
      <c r="C4104" s="3"/>
    </row>
    <row r="4105">
      <c r="A4105" s="3"/>
      <c r="B4105" s="3"/>
      <c r="C4105" s="3"/>
    </row>
    <row r="4106">
      <c r="A4106" s="3"/>
      <c r="B4106" s="3"/>
      <c r="C4106" s="3"/>
    </row>
    <row r="4107">
      <c r="A4107" s="3"/>
      <c r="B4107" s="3"/>
      <c r="C4107" s="3"/>
    </row>
    <row r="4108">
      <c r="A4108" s="3"/>
      <c r="B4108" s="3"/>
      <c r="C4108" s="3"/>
    </row>
    <row r="4109">
      <c r="A4109" s="3"/>
      <c r="B4109" s="3"/>
      <c r="C4109" s="3"/>
    </row>
    <row r="4110">
      <c r="A4110" s="3"/>
      <c r="B4110" s="3"/>
      <c r="C4110" s="3"/>
    </row>
    <row r="4111">
      <c r="A4111" s="3"/>
      <c r="B4111" s="3"/>
      <c r="C4111" s="3"/>
    </row>
    <row r="4112">
      <c r="A4112" s="3"/>
      <c r="B4112" s="3"/>
      <c r="C4112" s="3"/>
    </row>
    <row r="4113">
      <c r="A4113" s="3"/>
      <c r="B4113" s="3"/>
      <c r="C4113" s="3"/>
    </row>
    <row r="4114">
      <c r="A4114" s="3"/>
      <c r="B4114" s="3"/>
      <c r="C4114" s="3"/>
    </row>
    <row r="4115">
      <c r="A4115" s="3"/>
      <c r="B4115" s="3"/>
      <c r="C4115" s="3"/>
    </row>
    <row r="4116">
      <c r="A4116" s="3"/>
      <c r="B4116" s="3"/>
      <c r="C4116" s="3"/>
    </row>
    <row r="4117">
      <c r="A4117" s="3"/>
      <c r="B4117" s="3"/>
      <c r="C4117" s="3"/>
    </row>
    <row r="4118">
      <c r="A4118" s="3"/>
      <c r="B4118" s="3"/>
      <c r="C4118" s="3"/>
    </row>
    <row r="4119">
      <c r="A4119" s="3"/>
      <c r="B4119" s="3"/>
      <c r="C4119" s="3"/>
    </row>
    <row r="4120">
      <c r="A4120" s="3"/>
      <c r="B4120" s="3"/>
      <c r="C4120" s="3"/>
    </row>
    <row r="4121">
      <c r="A4121" s="3"/>
      <c r="B4121" s="3"/>
      <c r="C4121" s="3"/>
    </row>
    <row r="4122">
      <c r="A4122" s="3"/>
      <c r="B4122" s="3"/>
      <c r="C4122" s="3"/>
    </row>
    <row r="4123">
      <c r="A4123" s="3"/>
      <c r="B4123" s="3"/>
      <c r="C4123" s="3"/>
    </row>
    <row r="4124">
      <c r="A4124" s="3"/>
      <c r="B4124" s="3"/>
      <c r="C4124" s="3"/>
    </row>
    <row r="4125">
      <c r="A4125" s="3"/>
      <c r="B4125" s="3"/>
      <c r="C4125" s="3"/>
    </row>
    <row r="4126">
      <c r="A4126" s="3"/>
      <c r="B4126" s="3"/>
      <c r="C4126" s="3"/>
    </row>
    <row r="4127">
      <c r="A4127" s="3"/>
      <c r="B4127" s="3"/>
      <c r="C4127" s="3"/>
    </row>
    <row r="4128">
      <c r="A4128" s="3"/>
      <c r="B4128" s="3"/>
      <c r="C4128" s="3"/>
    </row>
    <row r="4129">
      <c r="A4129" s="3"/>
      <c r="B4129" s="3"/>
      <c r="C4129" s="3"/>
    </row>
    <row r="4130">
      <c r="A4130" s="3"/>
      <c r="B4130" s="3"/>
      <c r="C4130" s="3"/>
    </row>
    <row r="4131">
      <c r="A4131" s="3"/>
      <c r="B4131" s="3"/>
      <c r="C4131" s="3"/>
    </row>
    <row r="4132">
      <c r="A4132" s="3"/>
      <c r="B4132" s="3"/>
      <c r="C4132" s="3"/>
    </row>
    <row r="4133">
      <c r="A4133" s="3"/>
      <c r="B4133" s="3"/>
      <c r="C4133" s="3"/>
    </row>
    <row r="4134">
      <c r="A4134" s="3"/>
      <c r="B4134" s="3"/>
      <c r="C4134" s="3"/>
    </row>
    <row r="4135">
      <c r="A4135" s="3"/>
      <c r="B4135" s="3"/>
      <c r="C4135" s="3"/>
    </row>
    <row r="4136">
      <c r="A4136" s="3"/>
      <c r="B4136" s="3"/>
      <c r="C4136" s="3"/>
    </row>
    <row r="4137">
      <c r="A4137" s="3"/>
      <c r="B4137" s="3"/>
      <c r="C4137" s="3"/>
    </row>
    <row r="4138">
      <c r="A4138" s="3"/>
      <c r="B4138" s="3"/>
      <c r="C4138" s="3"/>
    </row>
    <row r="4139">
      <c r="A4139" s="3"/>
      <c r="B4139" s="3"/>
      <c r="C4139" s="3"/>
    </row>
    <row r="4140">
      <c r="A4140" s="3"/>
      <c r="B4140" s="3"/>
      <c r="C4140" s="3"/>
    </row>
    <row r="4141">
      <c r="A4141" s="3"/>
      <c r="B4141" s="3"/>
      <c r="C4141" s="3"/>
    </row>
    <row r="4142">
      <c r="A4142" s="3"/>
      <c r="B4142" s="3"/>
      <c r="C4142" s="3"/>
    </row>
    <row r="4143">
      <c r="A4143" s="3"/>
      <c r="B4143" s="3"/>
      <c r="C4143" s="3"/>
    </row>
    <row r="4144">
      <c r="A4144" s="3"/>
      <c r="B4144" s="3"/>
      <c r="C4144" s="3"/>
    </row>
    <row r="4145">
      <c r="A4145" s="3"/>
      <c r="B4145" s="3"/>
      <c r="C4145" s="3"/>
    </row>
    <row r="4146">
      <c r="A4146" s="3"/>
      <c r="B4146" s="3"/>
      <c r="C4146" s="3"/>
    </row>
    <row r="4147">
      <c r="A4147" s="3"/>
      <c r="B4147" s="3"/>
      <c r="C4147" s="3"/>
    </row>
    <row r="4148">
      <c r="A4148" s="3"/>
      <c r="B4148" s="3"/>
      <c r="C4148" s="3"/>
    </row>
    <row r="4149">
      <c r="A4149" s="3"/>
      <c r="B4149" s="3"/>
      <c r="C4149" s="3"/>
    </row>
    <row r="4150">
      <c r="A4150" s="3"/>
      <c r="B4150" s="3"/>
      <c r="C4150" s="3"/>
    </row>
    <row r="4151">
      <c r="A4151" s="3"/>
      <c r="B4151" s="3"/>
      <c r="C4151" s="3"/>
    </row>
    <row r="4152">
      <c r="A4152" s="3"/>
      <c r="B4152" s="3"/>
      <c r="C4152" s="3"/>
    </row>
    <row r="4153">
      <c r="A4153" s="3"/>
      <c r="B4153" s="3"/>
      <c r="C4153" s="3"/>
    </row>
    <row r="4154">
      <c r="A4154" s="3"/>
      <c r="B4154" s="3"/>
      <c r="C4154" s="3"/>
    </row>
    <row r="4155">
      <c r="A4155" s="3"/>
      <c r="B4155" s="3"/>
      <c r="C4155" s="3"/>
    </row>
    <row r="4156">
      <c r="A4156" s="3"/>
      <c r="B4156" s="3"/>
      <c r="C4156" s="3"/>
    </row>
    <row r="4157">
      <c r="A4157" s="3"/>
      <c r="B4157" s="3"/>
      <c r="C4157" s="3"/>
    </row>
    <row r="4158">
      <c r="A4158" s="3"/>
      <c r="B4158" s="3"/>
      <c r="C4158" s="3"/>
    </row>
    <row r="4159">
      <c r="A4159" s="3"/>
      <c r="B4159" s="3"/>
      <c r="C4159" s="3"/>
    </row>
    <row r="4160">
      <c r="A4160" s="3"/>
      <c r="B4160" s="3"/>
      <c r="C4160" s="3"/>
    </row>
    <row r="4161">
      <c r="A4161" s="3"/>
      <c r="B4161" s="3"/>
      <c r="C4161" s="3"/>
    </row>
    <row r="4162">
      <c r="A4162" s="3"/>
      <c r="B4162" s="3"/>
      <c r="C4162" s="3"/>
    </row>
    <row r="4163">
      <c r="A4163" s="3"/>
      <c r="B4163" s="3"/>
      <c r="C4163" s="3"/>
    </row>
    <row r="4164">
      <c r="A4164" s="3"/>
      <c r="B4164" s="3"/>
      <c r="C4164" s="3"/>
    </row>
    <row r="4165">
      <c r="A4165" s="3"/>
      <c r="B4165" s="3"/>
      <c r="C4165" s="3"/>
    </row>
    <row r="4166">
      <c r="A4166" s="3"/>
      <c r="B4166" s="3"/>
      <c r="C4166" s="3"/>
    </row>
    <row r="4167">
      <c r="A4167" s="3"/>
      <c r="B4167" s="3"/>
      <c r="C4167" s="3"/>
    </row>
    <row r="4168">
      <c r="A4168" s="3"/>
      <c r="B4168" s="3"/>
      <c r="C4168" s="3"/>
    </row>
    <row r="4169">
      <c r="A4169" s="3"/>
      <c r="B4169" s="3"/>
      <c r="C4169" s="3"/>
    </row>
    <row r="4170">
      <c r="A4170" s="3"/>
      <c r="B4170" s="3"/>
      <c r="C4170" s="3"/>
    </row>
    <row r="4171">
      <c r="A4171" s="3"/>
      <c r="B4171" s="3"/>
      <c r="C4171" s="3"/>
    </row>
    <row r="4172">
      <c r="A4172" s="3"/>
      <c r="B4172" s="3"/>
      <c r="C4172" s="3"/>
    </row>
    <row r="4173">
      <c r="A4173" s="3"/>
      <c r="B4173" s="3"/>
      <c r="C4173" s="3"/>
    </row>
    <row r="4174">
      <c r="A4174" s="3"/>
      <c r="B4174" s="3"/>
      <c r="C4174" s="3"/>
    </row>
    <row r="4175">
      <c r="A4175" s="3"/>
      <c r="B4175" s="3"/>
      <c r="C4175" s="3"/>
    </row>
    <row r="4176">
      <c r="A4176" s="3"/>
      <c r="B4176" s="3"/>
      <c r="C4176" s="3"/>
    </row>
    <row r="4177">
      <c r="A4177" s="3"/>
      <c r="B4177" s="3"/>
      <c r="C4177" s="3"/>
    </row>
    <row r="4178">
      <c r="A4178" s="3"/>
      <c r="B4178" s="3"/>
      <c r="C4178" s="3"/>
    </row>
    <row r="4179">
      <c r="A4179" s="3"/>
      <c r="B4179" s="3"/>
      <c r="C4179" s="3"/>
    </row>
    <row r="4180">
      <c r="A4180" s="3"/>
      <c r="B4180" s="3"/>
      <c r="C4180" s="3"/>
    </row>
    <row r="4181">
      <c r="A4181" s="3"/>
      <c r="B4181" s="3"/>
      <c r="C4181" s="3"/>
    </row>
    <row r="4182">
      <c r="A4182" s="3"/>
      <c r="B4182" s="3"/>
      <c r="C4182" s="3"/>
    </row>
    <row r="4183">
      <c r="A4183" s="3"/>
      <c r="B4183" s="3"/>
      <c r="C4183" s="3"/>
    </row>
    <row r="4184">
      <c r="A4184" s="3"/>
      <c r="B4184" s="3"/>
      <c r="C4184" s="3"/>
    </row>
    <row r="4185">
      <c r="A4185" s="3"/>
      <c r="B4185" s="3"/>
      <c r="C4185" s="3"/>
    </row>
    <row r="4186">
      <c r="A4186" s="3"/>
      <c r="B4186" s="3"/>
      <c r="C4186" s="3"/>
    </row>
    <row r="4187">
      <c r="A4187" s="3"/>
      <c r="B4187" s="3"/>
      <c r="C4187" s="3"/>
    </row>
    <row r="4188">
      <c r="A4188" s="3"/>
      <c r="B4188" s="3"/>
      <c r="C4188" s="3"/>
    </row>
    <row r="4189">
      <c r="A4189" s="3"/>
      <c r="B4189" s="3"/>
      <c r="C4189" s="3"/>
    </row>
    <row r="4190">
      <c r="A4190" s="3"/>
      <c r="B4190" s="3"/>
      <c r="C4190" s="3"/>
    </row>
    <row r="4191">
      <c r="A4191" s="3"/>
      <c r="B4191" s="3"/>
      <c r="C4191" s="3"/>
    </row>
    <row r="4192">
      <c r="A4192" s="3"/>
      <c r="B4192" s="3"/>
      <c r="C4192" s="3"/>
    </row>
    <row r="4193">
      <c r="A4193" s="3"/>
      <c r="B4193" s="3"/>
      <c r="C4193" s="3"/>
    </row>
    <row r="4194">
      <c r="A4194" s="3"/>
      <c r="B4194" s="3"/>
      <c r="C4194" s="3"/>
    </row>
    <row r="4195">
      <c r="A4195" s="3"/>
      <c r="B4195" s="3"/>
      <c r="C4195" s="3"/>
    </row>
    <row r="4196">
      <c r="A4196" s="3"/>
      <c r="B4196" s="3"/>
      <c r="C4196" s="3"/>
    </row>
    <row r="4197">
      <c r="A4197" s="3"/>
      <c r="B4197" s="3"/>
      <c r="C4197" s="3"/>
    </row>
    <row r="4198">
      <c r="A4198" s="3"/>
      <c r="B4198" s="3"/>
      <c r="C4198" s="3"/>
    </row>
    <row r="4199">
      <c r="A4199" s="3"/>
      <c r="B4199" s="3"/>
      <c r="C4199" s="3"/>
    </row>
    <row r="4200">
      <c r="A4200" s="3"/>
      <c r="B4200" s="3"/>
      <c r="C4200" s="3"/>
    </row>
    <row r="4201">
      <c r="A4201" s="3"/>
      <c r="B4201" s="3"/>
      <c r="C4201" s="3"/>
    </row>
    <row r="4202">
      <c r="A4202" s="3"/>
      <c r="B4202" s="3"/>
      <c r="C4202" s="3"/>
    </row>
    <row r="4203">
      <c r="A4203" s="3"/>
      <c r="B4203" s="3"/>
      <c r="C4203" s="3"/>
    </row>
    <row r="4204">
      <c r="A4204" s="3"/>
      <c r="B4204" s="3"/>
      <c r="C4204" s="3"/>
    </row>
    <row r="4205">
      <c r="A4205" s="3"/>
      <c r="B4205" s="3"/>
      <c r="C4205" s="3"/>
    </row>
    <row r="4206">
      <c r="A4206" s="3"/>
      <c r="B4206" s="3"/>
      <c r="C4206" s="3"/>
    </row>
    <row r="4207">
      <c r="A4207" s="3"/>
      <c r="B4207" s="3"/>
      <c r="C4207" s="3"/>
    </row>
    <row r="4208">
      <c r="A4208" s="3"/>
      <c r="B4208" s="3"/>
      <c r="C4208" s="3"/>
    </row>
    <row r="4209">
      <c r="A4209" s="3"/>
      <c r="B4209" s="3"/>
      <c r="C4209" s="3"/>
    </row>
    <row r="4210">
      <c r="A4210" s="3"/>
      <c r="B4210" s="3"/>
      <c r="C4210" s="3"/>
    </row>
    <row r="4211">
      <c r="A4211" s="3"/>
      <c r="B4211" s="3"/>
      <c r="C4211" s="3"/>
    </row>
    <row r="4212">
      <c r="A4212" s="3"/>
      <c r="B4212" s="3"/>
      <c r="C4212" s="3"/>
    </row>
    <row r="4213">
      <c r="A4213" s="3"/>
      <c r="B4213" s="3"/>
      <c r="C4213" s="3"/>
    </row>
    <row r="4214">
      <c r="A4214" s="3"/>
      <c r="B4214" s="3"/>
      <c r="C4214" s="3"/>
    </row>
    <row r="4215">
      <c r="A4215" s="3"/>
      <c r="B4215" s="3"/>
      <c r="C4215" s="3"/>
    </row>
    <row r="4216">
      <c r="A4216" s="3"/>
      <c r="B4216" s="3"/>
      <c r="C4216" s="3"/>
    </row>
    <row r="4217">
      <c r="A4217" s="3"/>
      <c r="B4217" s="3"/>
      <c r="C4217" s="3"/>
    </row>
    <row r="4218">
      <c r="A4218" s="3"/>
      <c r="B4218" s="3"/>
      <c r="C4218" s="3"/>
    </row>
    <row r="4219">
      <c r="A4219" s="3"/>
      <c r="B4219" s="3"/>
      <c r="C4219" s="3"/>
    </row>
    <row r="4220">
      <c r="A4220" s="3"/>
      <c r="B4220" s="3"/>
      <c r="C4220" s="3"/>
    </row>
    <row r="4221">
      <c r="A4221" s="3"/>
      <c r="B4221" s="3"/>
      <c r="C4221" s="3"/>
    </row>
    <row r="4222">
      <c r="A4222" s="3"/>
      <c r="B4222" s="3"/>
      <c r="C4222" s="3"/>
    </row>
    <row r="4223">
      <c r="A4223" s="3"/>
      <c r="B4223" s="3"/>
      <c r="C4223" s="3"/>
    </row>
    <row r="4224">
      <c r="A4224" s="3"/>
      <c r="B4224" s="3"/>
      <c r="C4224" s="3"/>
    </row>
    <row r="4225">
      <c r="A4225" s="3"/>
      <c r="B4225" s="3"/>
      <c r="C4225" s="3"/>
    </row>
    <row r="4226">
      <c r="A4226" s="3"/>
      <c r="B4226" s="3"/>
      <c r="C4226" s="3"/>
    </row>
    <row r="4227">
      <c r="A4227" s="3"/>
      <c r="B4227" s="3"/>
      <c r="C4227" s="3"/>
    </row>
    <row r="4228">
      <c r="A4228" s="3"/>
      <c r="B4228" s="3"/>
      <c r="C4228" s="3"/>
    </row>
    <row r="4229">
      <c r="A4229" s="3"/>
      <c r="B4229" s="3"/>
      <c r="C4229" s="3"/>
    </row>
    <row r="4230">
      <c r="A4230" s="3"/>
      <c r="B4230" s="3"/>
      <c r="C4230" s="3"/>
    </row>
    <row r="4231">
      <c r="A4231" s="3"/>
      <c r="B4231" s="3"/>
      <c r="C4231" s="3"/>
    </row>
    <row r="4232">
      <c r="A4232" s="3"/>
      <c r="B4232" s="3"/>
      <c r="C4232" s="3"/>
    </row>
    <row r="4233">
      <c r="A4233" s="3"/>
      <c r="B4233" s="3"/>
      <c r="C4233" s="3"/>
    </row>
    <row r="4234">
      <c r="A4234" s="3"/>
      <c r="B4234" s="3"/>
      <c r="C4234" s="3"/>
    </row>
    <row r="4235">
      <c r="A4235" s="3"/>
      <c r="B4235" s="3"/>
      <c r="C4235" s="3"/>
    </row>
    <row r="4236">
      <c r="A4236" s="3"/>
      <c r="B4236" s="3"/>
      <c r="C4236" s="3"/>
    </row>
    <row r="4237">
      <c r="A4237" s="3"/>
      <c r="B4237" s="3"/>
      <c r="C4237" s="3"/>
    </row>
    <row r="4238">
      <c r="A4238" s="3"/>
      <c r="B4238" s="3"/>
      <c r="C4238" s="3"/>
    </row>
    <row r="4239">
      <c r="A4239" s="3"/>
      <c r="B4239" s="3"/>
      <c r="C4239" s="3"/>
    </row>
    <row r="4240">
      <c r="A4240" s="3"/>
      <c r="B4240" s="3"/>
      <c r="C4240" s="3"/>
    </row>
    <row r="4241">
      <c r="A4241" s="3"/>
      <c r="B4241" s="3"/>
      <c r="C4241" s="3"/>
    </row>
    <row r="4242">
      <c r="A4242" s="3"/>
      <c r="B4242" s="3"/>
      <c r="C4242" s="3"/>
    </row>
    <row r="4243">
      <c r="A4243" s="3"/>
      <c r="B4243" s="3"/>
      <c r="C4243" s="3"/>
    </row>
    <row r="4244">
      <c r="A4244" s="3"/>
      <c r="B4244" s="3"/>
      <c r="C4244" s="3"/>
    </row>
    <row r="4245">
      <c r="A4245" s="3"/>
      <c r="B4245" s="3"/>
      <c r="C4245" s="3"/>
    </row>
    <row r="4246">
      <c r="A4246" s="3"/>
      <c r="B4246" s="3"/>
      <c r="C4246" s="3"/>
    </row>
    <row r="4247">
      <c r="A4247" s="3"/>
      <c r="B4247" s="3"/>
      <c r="C4247" s="3"/>
    </row>
    <row r="4248">
      <c r="A4248" s="3"/>
      <c r="B4248" s="3"/>
      <c r="C4248" s="3"/>
    </row>
    <row r="4249">
      <c r="A4249" s="3"/>
      <c r="B4249" s="3"/>
      <c r="C4249" s="3"/>
    </row>
    <row r="4250">
      <c r="A4250" s="3"/>
      <c r="B4250" s="3"/>
      <c r="C4250" s="3"/>
    </row>
    <row r="4251">
      <c r="A4251" s="3"/>
      <c r="B4251" s="3"/>
      <c r="C4251" s="3"/>
    </row>
    <row r="4252">
      <c r="A4252" s="3"/>
      <c r="B4252" s="3"/>
      <c r="C4252" s="3"/>
    </row>
    <row r="4253">
      <c r="A4253" s="3"/>
      <c r="B4253" s="3"/>
      <c r="C4253" s="3"/>
    </row>
    <row r="4254">
      <c r="A4254" s="3"/>
      <c r="B4254" s="3"/>
      <c r="C4254" s="3"/>
    </row>
    <row r="4255">
      <c r="A4255" s="3"/>
      <c r="B4255" s="3"/>
      <c r="C4255" s="3"/>
    </row>
    <row r="4256">
      <c r="A4256" s="3"/>
      <c r="B4256" s="3"/>
      <c r="C4256" s="3"/>
    </row>
    <row r="4257">
      <c r="A4257" s="3"/>
      <c r="B4257" s="3"/>
      <c r="C4257" s="3"/>
    </row>
    <row r="4258">
      <c r="A4258" s="3"/>
      <c r="B4258" s="3"/>
      <c r="C4258" s="3"/>
    </row>
    <row r="4259">
      <c r="A4259" s="3"/>
      <c r="B4259" s="3"/>
      <c r="C4259" s="3"/>
    </row>
    <row r="4260">
      <c r="A4260" s="3"/>
      <c r="B4260" s="3"/>
      <c r="C4260" s="3"/>
    </row>
    <row r="4261">
      <c r="A4261" s="3"/>
      <c r="B4261" s="3"/>
      <c r="C4261" s="3"/>
    </row>
    <row r="4262">
      <c r="A4262" s="3"/>
      <c r="B4262" s="3"/>
      <c r="C4262" s="3"/>
    </row>
    <row r="4263">
      <c r="A4263" s="3"/>
      <c r="B4263" s="3"/>
      <c r="C4263" s="3"/>
    </row>
    <row r="4264">
      <c r="A4264" s="3"/>
      <c r="B4264" s="3"/>
      <c r="C4264" s="3"/>
    </row>
    <row r="4265">
      <c r="A4265" s="3"/>
      <c r="B4265" s="3"/>
      <c r="C4265" s="3"/>
    </row>
    <row r="4266">
      <c r="A4266" s="3"/>
      <c r="B4266" s="3"/>
      <c r="C4266" s="3"/>
    </row>
    <row r="4267">
      <c r="A4267" s="3"/>
      <c r="B4267" s="3"/>
      <c r="C4267" s="3"/>
    </row>
    <row r="4268">
      <c r="A4268" s="3"/>
      <c r="B4268" s="3"/>
      <c r="C4268" s="3"/>
    </row>
    <row r="4269">
      <c r="A4269" s="3"/>
      <c r="B4269" s="3"/>
      <c r="C4269" s="3"/>
    </row>
    <row r="4270">
      <c r="A4270" s="3"/>
      <c r="B4270" s="3"/>
      <c r="C4270" s="3"/>
    </row>
    <row r="4271">
      <c r="A4271" s="3"/>
      <c r="B4271" s="3"/>
      <c r="C4271" s="3"/>
    </row>
    <row r="4272">
      <c r="A4272" s="3"/>
      <c r="B4272" s="3"/>
      <c r="C4272" s="3"/>
    </row>
    <row r="4273">
      <c r="A4273" s="3"/>
      <c r="B4273" s="3"/>
      <c r="C4273" s="3"/>
    </row>
    <row r="4274">
      <c r="A4274" s="3"/>
      <c r="B4274" s="3"/>
      <c r="C4274" s="3"/>
    </row>
    <row r="4275">
      <c r="A4275" s="3"/>
      <c r="B4275" s="3"/>
      <c r="C4275" s="3"/>
    </row>
    <row r="4276">
      <c r="A4276" s="3"/>
      <c r="B4276" s="3"/>
      <c r="C4276" s="3"/>
    </row>
    <row r="4277">
      <c r="A4277" s="3"/>
      <c r="B4277" s="3"/>
      <c r="C4277" s="3"/>
    </row>
    <row r="4278">
      <c r="A4278" s="3"/>
      <c r="B4278" s="3"/>
      <c r="C4278" s="3"/>
    </row>
    <row r="4279">
      <c r="A4279" s="3"/>
      <c r="B4279" s="3"/>
      <c r="C4279" s="3"/>
    </row>
    <row r="4280">
      <c r="A4280" s="3"/>
      <c r="B4280" s="3"/>
      <c r="C4280" s="3"/>
    </row>
    <row r="4281">
      <c r="A4281" s="3"/>
      <c r="B4281" s="3"/>
      <c r="C4281" s="3"/>
    </row>
    <row r="4282">
      <c r="A4282" s="3"/>
      <c r="B4282" s="3"/>
      <c r="C4282" s="3"/>
    </row>
    <row r="4283">
      <c r="A4283" s="3"/>
      <c r="B4283" s="3"/>
      <c r="C4283" s="3"/>
    </row>
    <row r="4284">
      <c r="A4284" s="3"/>
      <c r="B4284" s="3"/>
      <c r="C4284" s="3"/>
    </row>
    <row r="4285">
      <c r="A4285" s="3"/>
      <c r="B4285" s="3"/>
      <c r="C4285" s="3"/>
    </row>
    <row r="4286">
      <c r="A4286" s="3"/>
      <c r="B4286" s="3"/>
      <c r="C4286" s="3"/>
    </row>
    <row r="4287">
      <c r="A4287" s="3"/>
      <c r="B4287" s="3"/>
      <c r="C4287" s="3"/>
    </row>
    <row r="4288">
      <c r="A4288" s="3"/>
      <c r="B4288" s="3"/>
      <c r="C4288" s="3"/>
    </row>
    <row r="4289">
      <c r="A4289" s="3"/>
      <c r="B4289" s="3"/>
      <c r="C4289" s="3"/>
    </row>
    <row r="4290">
      <c r="A4290" s="3"/>
      <c r="B4290" s="3"/>
      <c r="C4290" s="3"/>
    </row>
    <row r="4291">
      <c r="A4291" s="3"/>
      <c r="B4291" s="3"/>
      <c r="C4291" s="3"/>
    </row>
    <row r="4292">
      <c r="A4292" s="3"/>
      <c r="B4292" s="3"/>
      <c r="C4292" s="3"/>
    </row>
    <row r="4293">
      <c r="A4293" s="3"/>
      <c r="B4293" s="3"/>
      <c r="C4293" s="3"/>
    </row>
    <row r="4294">
      <c r="A4294" s="3"/>
      <c r="B4294" s="3"/>
      <c r="C4294" s="3"/>
    </row>
    <row r="4295">
      <c r="A4295" s="3"/>
      <c r="B4295" s="3"/>
      <c r="C4295" s="3"/>
    </row>
    <row r="4296">
      <c r="A4296" s="3"/>
      <c r="B4296" s="3"/>
      <c r="C4296" s="3"/>
    </row>
    <row r="4297">
      <c r="A4297" s="3"/>
      <c r="B4297" s="3"/>
      <c r="C4297" s="3"/>
    </row>
    <row r="4298">
      <c r="A4298" s="3"/>
      <c r="B4298" s="3"/>
      <c r="C4298" s="3"/>
    </row>
    <row r="4299">
      <c r="A4299" s="3"/>
      <c r="B4299" s="3"/>
      <c r="C4299" s="3"/>
    </row>
    <row r="4300">
      <c r="A4300" s="3"/>
      <c r="B4300" s="3"/>
      <c r="C4300" s="3"/>
    </row>
    <row r="4301">
      <c r="A4301" s="3"/>
      <c r="B4301" s="3"/>
      <c r="C4301" s="3"/>
    </row>
    <row r="4302">
      <c r="A4302" s="3"/>
      <c r="B4302" s="3"/>
      <c r="C4302" s="3"/>
    </row>
    <row r="4303">
      <c r="A4303" s="3"/>
      <c r="B4303" s="3"/>
      <c r="C4303" s="3"/>
    </row>
    <row r="4304">
      <c r="A4304" s="3"/>
      <c r="B4304" s="3"/>
      <c r="C4304" s="3"/>
    </row>
    <row r="4305">
      <c r="A4305" s="3"/>
      <c r="B4305" s="3"/>
      <c r="C4305" s="3"/>
    </row>
    <row r="4306">
      <c r="A4306" s="3"/>
      <c r="B4306" s="3"/>
      <c r="C4306" s="3"/>
    </row>
    <row r="4307">
      <c r="A4307" s="3"/>
      <c r="B4307" s="3"/>
      <c r="C4307" s="3"/>
    </row>
    <row r="4308">
      <c r="A4308" s="3"/>
      <c r="B4308" s="3"/>
      <c r="C4308" s="3"/>
    </row>
    <row r="4309">
      <c r="A4309" s="3"/>
      <c r="B4309" s="3"/>
      <c r="C4309" s="3"/>
    </row>
    <row r="4310">
      <c r="A4310" s="3"/>
      <c r="B4310" s="3"/>
      <c r="C4310" s="3"/>
    </row>
    <row r="4311">
      <c r="A4311" s="3"/>
      <c r="B4311" s="3"/>
      <c r="C4311" s="3"/>
    </row>
    <row r="4312">
      <c r="A4312" s="3"/>
      <c r="B4312" s="3"/>
      <c r="C4312" s="3"/>
    </row>
    <row r="4313">
      <c r="A4313" s="3"/>
      <c r="B4313" s="3"/>
      <c r="C4313" s="3"/>
    </row>
    <row r="4314">
      <c r="A4314" s="3"/>
      <c r="B4314" s="3"/>
      <c r="C4314" s="3"/>
    </row>
    <row r="4315">
      <c r="A4315" s="3"/>
      <c r="B4315" s="3"/>
      <c r="C4315" s="3"/>
    </row>
    <row r="4316">
      <c r="A4316" s="3"/>
      <c r="B4316" s="3"/>
      <c r="C4316" s="3"/>
    </row>
    <row r="4317">
      <c r="A4317" s="3"/>
      <c r="B4317" s="3"/>
      <c r="C4317" s="3"/>
    </row>
    <row r="4318">
      <c r="A4318" s="3"/>
      <c r="B4318" s="3"/>
      <c r="C4318" s="3"/>
    </row>
    <row r="4319">
      <c r="A4319" s="3"/>
      <c r="B4319" s="3"/>
      <c r="C4319" s="3"/>
    </row>
    <row r="4320">
      <c r="A4320" s="3"/>
      <c r="B4320" s="3"/>
      <c r="C4320" s="3"/>
    </row>
    <row r="4321">
      <c r="A4321" s="3"/>
      <c r="B4321" s="3"/>
      <c r="C4321" s="3"/>
    </row>
    <row r="4322">
      <c r="A4322" s="3"/>
      <c r="B4322" s="3"/>
      <c r="C4322" s="3"/>
    </row>
    <row r="4323">
      <c r="A4323" s="3"/>
      <c r="B4323" s="3"/>
      <c r="C4323" s="3"/>
    </row>
    <row r="4324">
      <c r="A4324" s="3"/>
      <c r="B4324" s="3"/>
      <c r="C4324" s="3"/>
    </row>
    <row r="4325">
      <c r="A4325" s="3"/>
      <c r="B4325" s="3"/>
      <c r="C4325" s="3"/>
    </row>
    <row r="4326">
      <c r="A4326" s="3"/>
      <c r="B4326" s="3"/>
      <c r="C4326" s="3"/>
    </row>
    <row r="4327">
      <c r="A4327" s="3"/>
      <c r="B4327" s="3"/>
      <c r="C4327" s="3"/>
    </row>
    <row r="4328">
      <c r="A4328" s="3"/>
      <c r="B4328" s="3"/>
      <c r="C4328" s="3"/>
    </row>
    <row r="4329">
      <c r="A4329" s="3"/>
      <c r="B4329" s="3"/>
      <c r="C4329" s="3"/>
    </row>
    <row r="4330">
      <c r="A4330" s="3"/>
      <c r="B4330" s="3"/>
      <c r="C4330" s="3"/>
    </row>
    <row r="4331">
      <c r="A4331" s="3"/>
      <c r="B4331" s="3"/>
      <c r="C4331" s="3"/>
    </row>
    <row r="4332">
      <c r="A4332" s="3"/>
      <c r="B4332" s="3"/>
      <c r="C4332" s="3"/>
    </row>
    <row r="4333">
      <c r="A4333" s="3"/>
      <c r="B4333" s="3"/>
      <c r="C4333" s="3"/>
    </row>
    <row r="4334">
      <c r="A4334" s="3"/>
      <c r="B4334" s="3"/>
      <c r="C4334" s="3"/>
    </row>
    <row r="4335">
      <c r="A4335" s="3"/>
      <c r="B4335" s="3"/>
      <c r="C4335" s="3"/>
    </row>
    <row r="4336">
      <c r="A4336" s="3"/>
      <c r="B4336" s="3"/>
      <c r="C4336" s="3"/>
    </row>
    <row r="4337">
      <c r="A4337" s="3"/>
      <c r="B4337" s="3"/>
      <c r="C4337" s="3"/>
    </row>
    <row r="4338">
      <c r="A4338" s="3"/>
      <c r="B4338" s="3"/>
      <c r="C4338" s="3"/>
    </row>
    <row r="4339">
      <c r="A4339" s="3"/>
      <c r="B4339" s="3"/>
      <c r="C4339" s="3"/>
    </row>
    <row r="4340">
      <c r="A4340" s="3"/>
      <c r="B4340" s="3"/>
      <c r="C4340" s="3"/>
    </row>
    <row r="4341">
      <c r="A4341" s="3"/>
      <c r="B4341" s="3"/>
      <c r="C4341" s="3"/>
    </row>
    <row r="4342">
      <c r="A4342" s="3"/>
      <c r="B4342" s="3"/>
      <c r="C4342" s="3"/>
    </row>
    <row r="4343">
      <c r="A4343" s="3"/>
      <c r="B4343" s="3"/>
      <c r="C4343" s="3"/>
    </row>
    <row r="4344">
      <c r="A4344" s="3"/>
      <c r="B4344" s="3"/>
      <c r="C4344" s="3"/>
    </row>
    <row r="4345">
      <c r="A4345" s="3"/>
      <c r="B4345" s="3"/>
      <c r="C4345" s="3"/>
    </row>
    <row r="4346">
      <c r="A4346" s="3"/>
      <c r="B4346" s="3"/>
      <c r="C4346" s="3"/>
    </row>
    <row r="4347">
      <c r="A4347" s="3"/>
      <c r="B4347" s="3"/>
      <c r="C4347" s="3"/>
    </row>
    <row r="4348">
      <c r="A4348" s="3"/>
      <c r="B4348" s="3"/>
      <c r="C4348" s="3"/>
    </row>
    <row r="4349">
      <c r="A4349" s="3"/>
      <c r="B4349" s="3"/>
      <c r="C4349" s="3"/>
    </row>
    <row r="4350">
      <c r="A4350" s="3"/>
      <c r="B4350" s="3"/>
      <c r="C4350" s="3"/>
    </row>
    <row r="4351">
      <c r="A4351" s="3"/>
      <c r="B4351" s="3"/>
      <c r="C4351" s="3"/>
    </row>
    <row r="4352">
      <c r="A4352" s="3"/>
      <c r="B4352" s="3"/>
      <c r="C4352" s="3"/>
    </row>
    <row r="4353">
      <c r="A4353" s="3"/>
      <c r="B4353" s="3"/>
      <c r="C4353" s="3"/>
    </row>
    <row r="4354">
      <c r="A4354" s="3"/>
      <c r="B4354" s="3"/>
      <c r="C4354" s="3"/>
    </row>
    <row r="4355">
      <c r="A4355" s="3"/>
      <c r="B4355" s="3"/>
      <c r="C4355" s="3"/>
    </row>
    <row r="4356">
      <c r="A4356" s="3"/>
      <c r="B4356" s="3"/>
      <c r="C4356" s="3"/>
    </row>
    <row r="4357">
      <c r="A4357" s="3"/>
      <c r="B4357" s="3"/>
      <c r="C4357" s="3"/>
    </row>
    <row r="4358">
      <c r="A4358" s="3"/>
      <c r="B4358" s="3"/>
      <c r="C4358" s="3"/>
    </row>
    <row r="4359">
      <c r="A4359" s="3"/>
      <c r="B4359" s="3"/>
      <c r="C4359" s="3"/>
    </row>
    <row r="4360">
      <c r="A4360" s="3"/>
      <c r="B4360" s="3"/>
      <c r="C4360" s="3"/>
    </row>
    <row r="4361">
      <c r="A4361" s="3"/>
      <c r="B4361" s="3"/>
      <c r="C4361" s="3"/>
    </row>
    <row r="4362">
      <c r="A4362" s="3"/>
      <c r="B4362" s="3"/>
      <c r="C4362" s="3"/>
    </row>
    <row r="4363">
      <c r="A4363" s="3"/>
      <c r="B4363" s="3"/>
      <c r="C4363" s="3"/>
    </row>
    <row r="4364">
      <c r="A4364" s="3"/>
      <c r="B4364" s="3"/>
      <c r="C4364" s="3"/>
    </row>
    <row r="4365">
      <c r="A4365" s="3"/>
      <c r="B4365" s="3"/>
      <c r="C4365" s="3"/>
    </row>
    <row r="4366">
      <c r="A4366" s="3"/>
      <c r="B4366" s="3"/>
      <c r="C4366" s="3"/>
    </row>
    <row r="4367">
      <c r="A4367" s="3"/>
      <c r="B4367" s="3"/>
      <c r="C4367" s="3"/>
    </row>
    <row r="4368">
      <c r="A4368" s="3"/>
      <c r="B4368" s="3"/>
      <c r="C4368" s="3"/>
    </row>
    <row r="4369">
      <c r="A4369" s="3"/>
      <c r="B4369" s="3"/>
      <c r="C4369" s="3"/>
    </row>
    <row r="4370">
      <c r="A4370" s="3"/>
      <c r="B4370" s="3"/>
      <c r="C4370" s="3"/>
    </row>
    <row r="4371">
      <c r="A4371" s="3"/>
      <c r="B4371" s="3"/>
      <c r="C4371" s="3"/>
    </row>
    <row r="4372">
      <c r="A4372" s="3"/>
      <c r="B4372" s="3"/>
      <c r="C4372" s="3"/>
    </row>
    <row r="4373">
      <c r="A4373" s="3"/>
      <c r="B4373" s="3"/>
      <c r="C4373" s="3"/>
    </row>
    <row r="4374">
      <c r="A4374" s="3"/>
      <c r="B4374" s="3"/>
      <c r="C4374" s="3"/>
    </row>
    <row r="4375">
      <c r="A4375" s="3"/>
      <c r="B4375" s="3"/>
      <c r="C4375" s="3"/>
    </row>
    <row r="4376">
      <c r="A4376" s="3"/>
      <c r="B4376" s="3"/>
      <c r="C4376" s="3"/>
    </row>
    <row r="4377">
      <c r="A4377" s="3"/>
      <c r="B4377" s="3"/>
      <c r="C4377" s="3"/>
    </row>
    <row r="4378">
      <c r="A4378" s="3"/>
      <c r="B4378" s="3"/>
      <c r="C4378" s="3"/>
    </row>
    <row r="4379">
      <c r="A4379" s="3"/>
      <c r="B4379" s="3"/>
      <c r="C4379" s="3"/>
    </row>
    <row r="4380">
      <c r="A4380" s="3"/>
      <c r="B4380" s="3"/>
      <c r="C4380" s="3"/>
    </row>
    <row r="4381">
      <c r="A4381" s="3"/>
      <c r="B4381" s="3"/>
      <c r="C4381" s="3"/>
    </row>
    <row r="4382">
      <c r="A4382" s="3"/>
      <c r="B4382" s="3"/>
      <c r="C4382" s="3"/>
    </row>
    <row r="4383">
      <c r="A4383" s="3"/>
      <c r="B4383" s="3"/>
      <c r="C4383" s="3"/>
    </row>
    <row r="4384">
      <c r="A4384" s="3"/>
      <c r="B4384" s="3"/>
      <c r="C4384" s="3"/>
    </row>
    <row r="4385">
      <c r="A4385" s="3"/>
      <c r="B4385" s="3"/>
      <c r="C4385" s="3"/>
    </row>
    <row r="4386">
      <c r="A4386" s="3"/>
      <c r="B4386" s="3"/>
      <c r="C4386" s="3"/>
    </row>
    <row r="4387">
      <c r="A4387" s="3"/>
      <c r="B4387" s="3"/>
      <c r="C4387" s="3"/>
    </row>
    <row r="4388">
      <c r="A4388" s="3"/>
      <c r="B4388" s="3"/>
      <c r="C4388" s="3"/>
    </row>
    <row r="4389">
      <c r="A4389" s="3"/>
      <c r="B4389" s="3"/>
      <c r="C4389" s="3"/>
    </row>
    <row r="4390">
      <c r="A4390" s="3"/>
      <c r="B4390" s="3"/>
      <c r="C4390" s="3"/>
    </row>
    <row r="4391">
      <c r="A4391" s="3"/>
      <c r="B4391" s="3"/>
      <c r="C4391" s="3"/>
    </row>
    <row r="4392">
      <c r="A4392" s="3"/>
      <c r="B4392" s="3"/>
      <c r="C4392" s="3"/>
    </row>
    <row r="4393">
      <c r="A4393" s="3"/>
      <c r="B4393" s="3"/>
      <c r="C4393" s="3"/>
    </row>
    <row r="4394">
      <c r="A4394" s="3"/>
      <c r="B4394" s="3"/>
      <c r="C4394" s="3"/>
    </row>
    <row r="4395">
      <c r="A4395" s="3"/>
      <c r="B4395" s="3"/>
      <c r="C4395" s="3"/>
    </row>
    <row r="4396">
      <c r="A4396" s="3"/>
      <c r="B4396" s="3"/>
      <c r="C4396" s="3"/>
    </row>
    <row r="4397">
      <c r="A4397" s="3"/>
      <c r="B4397" s="3"/>
      <c r="C4397" s="3"/>
    </row>
    <row r="4398">
      <c r="A4398" s="3"/>
      <c r="B4398" s="3"/>
      <c r="C4398" s="3"/>
    </row>
    <row r="4399">
      <c r="A4399" s="3"/>
      <c r="B4399" s="3"/>
      <c r="C4399" s="3"/>
    </row>
    <row r="4400">
      <c r="A4400" s="3"/>
      <c r="B4400" s="3"/>
      <c r="C4400" s="3"/>
    </row>
    <row r="4401">
      <c r="A4401" s="3"/>
      <c r="B4401" s="3"/>
      <c r="C4401" s="3"/>
    </row>
    <row r="4402">
      <c r="A4402" s="3"/>
      <c r="B4402" s="3"/>
      <c r="C4402" s="3"/>
    </row>
    <row r="4403">
      <c r="A4403" s="3"/>
      <c r="B4403" s="3"/>
      <c r="C4403" s="3"/>
    </row>
    <row r="4404">
      <c r="A4404" s="3"/>
      <c r="B4404" s="3"/>
      <c r="C4404" s="3"/>
    </row>
    <row r="4405">
      <c r="A4405" s="3"/>
      <c r="B4405" s="3"/>
      <c r="C4405" s="3"/>
    </row>
    <row r="4406">
      <c r="A4406" s="3"/>
      <c r="B4406" s="3"/>
      <c r="C4406" s="3"/>
    </row>
    <row r="4407">
      <c r="A4407" s="3"/>
      <c r="B4407" s="3"/>
      <c r="C4407" s="3"/>
    </row>
    <row r="4408">
      <c r="A4408" s="3"/>
      <c r="B4408" s="3"/>
      <c r="C4408" s="3"/>
    </row>
    <row r="4409">
      <c r="A4409" s="3"/>
      <c r="B4409" s="3"/>
      <c r="C4409" s="3"/>
    </row>
    <row r="4410">
      <c r="A4410" s="3"/>
      <c r="B4410" s="3"/>
      <c r="C4410" s="3"/>
    </row>
    <row r="4411">
      <c r="A4411" s="3"/>
      <c r="B4411" s="3"/>
      <c r="C4411" s="3"/>
    </row>
    <row r="4412">
      <c r="A4412" s="3"/>
      <c r="B4412" s="3"/>
      <c r="C4412" s="3"/>
    </row>
    <row r="4413">
      <c r="A4413" s="3"/>
      <c r="B4413" s="3"/>
      <c r="C4413" s="3"/>
    </row>
    <row r="4414">
      <c r="A4414" s="3"/>
      <c r="B4414" s="3"/>
      <c r="C4414" s="3"/>
    </row>
    <row r="4415">
      <c r="A4415" s="3"/>
      <c r="B4415" s="3"/>
      <c r="C4415" s="3"/>
    </row>
    <row r="4416">
      <c r="A4416" s="3"/>
      <c r="B4416" s="3"/>
      <c r="C4416" s="3"/>
    </row>
    <row r="4417">
      <c r="A4417" s="3"/>
      <c r="B4417" s="3"/>
      <c r="C4417" s="3"/>
    </row>
    <row r="4418">
      <c r="A4418" s="3"/>
      <c r="B4418" s="3"/>
      <c r="C4418" s="3"/>
    </row>
    <row r="4419">
      <c r="A4419" s="3"/>
      <c r="B4419" s="3"/>
      <c r="C4419" s="3"/>
    </row>
    <row r="4420">
      <c r="A4420" s="3"/>
      <c r="B4420" s="3"/>
      <c r="C4420" s="3"/>
    </row>
    <row r="4421">
      <c r="A4421" s="3"/>
      <c r="B4421" s="3"/>
      <c r="C4421" s="3"/>
    </row>
    <row r="4422">
      <c r="A4422" s="3"/>
      <c r="B4422" s="3"/>
      <c r="C4422" s="3"/>
    </row>
    <row r="4423">
      <c r="A4423" s="3"/>
      <c r="B4423" s="3"/>
      <c r="C4423" s="3"/>
    </row>
    <row r="4424">
      <c r="A4424" s="3"/>
      <c r="B4424" s="3"/>
      <c r="C4424" s="3"/>
    </row>
    <row r="4425">
      <c r="A4425" s="3"/>
      <c r="B4425" s="3"/>
      <c r="C4425" s="3"/>
    </row>
    <row r="4426">
      <c r="A4426" s="3"/>
      <c r="B4426" s="3"/>
      <c r="C4426" s="3"/>
    </row>
    <row r="4427">
      <c r="A4427" s="3"/>
      <c r="B4427" s="3"/>
      <c r="C4427" s="3"/>
    </row>
    <row r="4428">
      <c r="A4428" s="3"/>
      <c r="B4428" s="3"/>
      <c r="C4428" s="3"/>
    </row>
    <row r="4429">
      <c r="A4429" s="3"/>
      <c r="B4429" s="3"/>
      <c r="C4429" s="3"/>
    </row>
    <row r="4430">
      <c r="A4430" s="3"/>
      <c r="B4430" s="3"/>
      <c r="C4430" s="3"/>
    </row>
    <row r="4431">
      <c r="A4431" s="3"/>
      <c r="B4431" s="3"/>
      <c r="C4431" s="3"/>
    </row>
    <row r="4432">
      <c r="A4432" s="3"/>
      <c r="B4432" s="3"/>
      <c r="C4432" s="3"/>
    </row>
    <row r="4433">
      <c r="A4433" s="3"/>
      <c r="B4433" s="3"/>
      <c r="C4433" s="3"/>
    </row>
    <row r="4434">
      <c r="A4434" s="3"/>
      <c r="B4434" s="3"/>
      <c r="C4434" s="3"/>
    </row>
    <row r="4435">
      <c r="A4435" s="3"/>
      <c r="B4435" s="3"/>
      <c r="C4435" s="3"/>
    </row>
    <row r="4436">
      <c r="A4436" s="3"/>
      <c r="B4436" s="3"/>
      <c r="C4436" s="3"/>
    </row>
    <row r="4437">
      <c r="A4437" s="3"/>
      <c r="B4437" s="3"/>
      <c r="C4437" s="3"/>
    </row>
    <row r="4438">
      <c r="A4438" s="3"/>
      <c r="B4438" s="3"/>
      <c r="C4438" s="3"/>
    </row>
    <row r="4439">
      <c r="A4439" s="3"/>
      <c r="B4439" s="3"/>
      <c r="C4439" s="3"/>
    </row>
    <row r="4440">
      <c r="A4440" s="3"/>
      <c r="B4440" s="3"/>
      <c r="C4440" s="3"/>
    </row>
    <row r="4441">
      <c r="A4441" s="3"/>
      <c r="B4441" s="3"/>
      <c r="C4441" s="3"/>
    </row>
    <row r="4442">
      <c r="A4442" s="3"/>
      <c r="B4442" s="3"/>
      <c r="C4442" s="3"/>
    </row>
    <row r="4443">
      <c r="A4443" s="3"/>
      <c r="B4443" s="3"/>
      <c r="C4443" s="3"/>
    </row>
    <row r="4444">
      <c r="A4444" s="3"/>
      <c r="B4444" s="3"/>
      <c r="C4444" s="3"/>
    </row>
    <row r="4445">
      <c r="A4445" s="3"/>
      <c r="B4445" s="3"/>
      <c r="C4445" s="3"/>
    </row>
    <row r="4446">
      <c r="A4446" s="3"/>
      <c r="B4446" s="3"/>
      <c r="C4446" s="3"/>
    </row>
    <row r="4447">
      <c r="A4447" s="3"/>
      <c r="B4447" s="3"/>
      <c r="C4447" s="3"/>
    </row>
    <row r="4448">
      <c r="A4448" s="3"/>
      <c r="B4448" s="3"/>
      <c r="C4448" s="3"/>
    </row>
    <row r="4449">
      <c r="A4449" s="3"/>
      <c r="B4449" s="3"/>
      <c r="C4449" s="3"/>
    </row>
    <row r="4450">
      <c r="A4450" s="3"/>
      <c r="B4450" s="3"/>
      <c r="C4450" s="3"/>
    </row>
    <row r="4451">
      <c r="A4451" s="3"/>
      <c r="B4451" s="3"/>
      <c r="C4451" s="3"/>
    </row>
    <row r="4452">
      <c r="A4452" s="3"/>
      <c r="B4452" s="3"/>
      <c r="C4452" s="3"/>
    </row>
    <row r="4453">
      <c r="A4453" s="3"/>
      <c r="B4453" s="3"/>
      <c r="C4453" s="3"/>
    </row>
    <row r="4454">
      <c r="A4454" s="3"/>
      <c r="B4454" s="3"/>
      <c r="C4454" s="3"/>
    </row>
    <row r="4455">
      <c r="A4455" s="3"/>
      <c r="B4455" s="3"/>
      <c r="C4455" s="3"/>
    </row>
    <row r="4456">
      <c r="A4456" s="3"/>
      <c r="B4456" s="3"/>
      <c r="C4456" s="3"/>
    </row>
    <row r="4457">
      <c r="A4457" s="3"/>
      <c r="B4457" s="3"/>
      <c r="C4457" s="3"/>
    </row>
    <row r="4458">
      <c r="A4458" s="3"/>
      <c r="B4458" s="3"/>
      <c r="C4458" s="3"/>
    </row>
    <row r="4459">
      <c r="A4459" s="3"/>
      <c r="B4459" s="3"/>
      <c r="C4459" s="3"/>
    </row>
    <row r="4460">
      <c r="A4460" s="3"/>
      <c r="B4460" s="3"/>
      <c r="C4460" s="3"/>
    </row>
    <row r="4461">
      <c r="A4461" s="3"/>
      <c r="B4461" s="3"/>
      <c r="C4461" s="3"/>
    </row>
    <row r="4462">
      <c r="A4462" s="3"/>
      <c r="B4462" s="3"/>
      <c r="C4462" s="3"/>
    </row>
    <row r="4463">
      <c r="A4463" s="3"/>
      <c r="B4463" s="3"/>
      <c r="C4463" s="3"/>
    </row>
    <row r="4464">
      <c r="A4464" s="3"/>
      <c r="B4464" s="3"/>
      <c r="C4464" s="3"/>
    </row>
    <row r="4465">
      <c r="A4465" s="3"/>
      <c r="B4465" s="3"/>
      <c r="C4465" s="3"/>
    </row>
    <row r="4466">
      <c r="A4466" s="3"/>
      <c r="B4466" s="3"/>
      <c r="C4466" s="3"/>
    </row>
    <row r="4467">
      <c r="A4467" s="3"/>
      <c r="B4467" s="3"/>
      <c r="C4467" s="3"/>
    </row>
    <row r="4468">
      <c r="A4468" s="3"/>
      <c r="B4468" s="3"/>
      <c r="C4468" s="3"/>
    </row>
    <row r="4469">
      <c r="A4469" s="3"/>
      <c r="B4469" s="3"/>
      <c r="C4469" s="3"/>
    </row>
    <row r="4470">
      <c r="A4470" s="3"/>
      <c r="B4470" s="3"/>
      <c r="C4470" s="3"/>
    </row>
    <row r="4471">
      <c r="A4471" s="3"/>
      <c r="B4471" s="3"/>
      <c r="C4471" s="3"/>
    </row>
    <row r="4472">
      <c r="A4472" s="3"/>
      <c r="B4472" s="3"/>
      <c r="C4472" s="3"/>
    </row>
    <row r="4473">
      <c r="A4473" s="3"/>
      <c r="B4473" s="3"/>
      <c r="C4473" s="3"/>
    </row>
    <row r="4474">
      <c r="A4474" s="3"/>
      <c r="B4474" s="3"/>
      <c r="C4474" s="3"/>
    </row>
    <row r="4475">
      <c r="A4475" s="3"/>
      <c r="B4475" s="3"/>
      <c r="C4475" s="3"/>
    </row>
    <row r="4476">
      <c r="A4476" s="3"/>
      <c r="B4476" s="3"/>
      <c r="C4476" s="3"/>
    </row>
    <row r="4477">
      <c r="A4477" s="3"/>
      <c r="B4477" s="3"/>
      <c r="C4477" s="3"/>
    </row>
    <row r="4478">
      <c r="A4478" s="3"/>
      <c r="B4478" s="3"/>
      <c r="C4478" s="3"/>
    </row>
    <row r="4479">
      <c r="A4479" s="3"/>
      <c r="B4479" s="3"/>
      <c r="C4479" s="3"/>
    </row>
    <row r="4480">
      <c r="A4480" s="3"/>
      <c r="B4480" s="3"/>
      <c r="C4480" s="3"/>
    </row>
    <row r="4481">
      <c r="A4481" s="3"/>
      <c r="B4481" s="3"/>
      <c r="C4481" s="3"/>
    </row>
    <row r="4482">
      <c r="A4482" s="3"/>
      <c r="B4482" s="3"/>
      <c r="C4482" s="3"/>
    </row>
    <row r="4483">
      <c r="A4483" s="3"/>
      <c r="B4483" s="3"/>
      <c r="C4483" s="3"/>
    </row>
    <row r="4484">
      <c r="A4484" s="3"/>
      <c r="B4484" s="3"/>
      <c r="C4484" s="3"/>
    </row>
    <row r="4485">
      <c r="A4485" s="3"/>
      <c r="B4485" s="3"/>
      <c r="C4485" s="3"/>
    </row>
    <row r="4486">
      <c r="A4486" s="3"/>
      <c r="B4486" s="3"/>
      <c r="C4486" s="3"/>
    </row>
    <row r="4487">
      <c r="A4487" s="3"/>
      <c r="B4487" s="3"/>
      <c r="C4487" s="3"/>
    </row>
    <row r="4488">
      <c r="A4488" s="3"/>
      <c r="B4488" s="3"/>
      <c r="C4488" s="3"/>
    </row>
    <row r="4489">
      <c r="A4489" s="3"/>
      <c r="B4489" s="3"/>
      <c r="C4489" s="3"/>
    </row>
    <row r="4490">
      <c r="A4490" s="3"/>
      <c r="B4490" s="3"/>
      <c r="C4490" s="3"/>
    </row>
    <row r="4491">
      <c r="A4491" s="3"/>
      <c r="B4491" s="3"/>
      <c r="C4491" s="3"/>
    </row>
    <row r="4492">
      <c r="A4492" s="3"/>
      <c r="B4492" s="3"/>
      <c r="C4492" s="3"/>
    </row>
    <row r="4493">
      <c r="A4493" s="3"/>
      <c r="B4493" s="3"/>
      <c r="C4493" s="3"/>
    </row>
    <row r="4494">
      <c r="A4494" s="3"/>
      <c r="B4494" s="3"/>
      <c r="C4494" s="3"/>
    </row>
    <row r="4495">
      <c r="A4495" s="3"/>
      <c r="B4495" s="3"/>
      <c r="C4495" s="3"/>
    </row>
    <row r="4496">
      <c r="A4496" s="3"/>
      <c r="B4496" s="3"/>
      <c r="C4496" s="3"/>
    </row>
    <row r="4497">
      <c r="A4497" s="3"/>
      <c r="B4497" s="3"/>
      <c r="C4497" s="3"/>
    </row>
    <row r="4498">
      <c r="A4498" s="3"/>
      <c r="B4498" s="3"/>
      <c r="C4498" s="3"/>
    </row>
    <row r="4499">
      <c r="A4499" s="3"/>
      <c r="B4499" s="3"/>
      <c r="C4499" s="3"/>
    </row>
    <row r="4500">
      <c r="A4500" s="3"/>
      <c r="B4500" s="3"/>
      <c r="C4500" s="3"/>
    </row>
    <row r="4501">
      <c r="A4501" s="3"/>
      <c r="B4501" s="3"/>
      <c r="C4501" s="3"/>
    </row>
    <row r="4502">
      <c r="A4502" s="3"/>
      <c r="B4502" s="3"/>
      <c r="C4502" s="3"/>
    </row>
    <row r="4503">
      <c r="A4503" s="3"/>
      <c r="B4503" s="3"/>
      <c r="C4503" s="3"/>
    </row>
    <row r="4504">
      <c r="A4504" s="3"/>
      <c r="B4504" s="3"/>
      <c r="C4504" s="3"/>
    </row>
    <row r="4505">
      <c r="A4505" s="3"/>
      <c r="B4505" s="3"/>
      <c r="C4505" s="3"/>
    </row>
    <row r="4506">
      <c r="A4506" s="3"/>
      <c r="B4506" s="3"/>
      <c r="C4506" s="3"/>
    </row>
    <row r="4507">
      <c r="A4507" s="3"/>
      <c r="B4507" s="3"/>
      <c r="C4507" s="3"/>
    </row>
    <row r="4508">
      <c r="A4508" s="3"/>
      <c r="B4508" s="3"/>
      <c r="C4508" s="3"/>
    </row>
    <row r="4509">
      <c r="A4509" s="3"/>
      <c r="B4509" s="3"/>
      <c r="C4509" s="3"/>
    </row>
    <row r="4510">
      <c r="A4510" s="3"/>
      <c r="B4510" s="3"/>
      <c r="C4510" s="3"/>
    </row>
    <row r="4511">
      <c r="A4511" s="3"/>
      <c r="B4511" s="3"/>
      <c r="C4511" s="3"/>
    </row>
    <row r="4512">
      <c r="A4512" s="3"/>
      <c r="B4512" s="3"/>
      <c r="C4512" s="3"/>
    </row>
    <row r="4513">
      <c r="A4513" s="3"/>
      <c r="B4513" s="3"/>
      <c r="C4513" s="3"/>
    </row>
    <row r="4514">
      <c r="A4514" s="3"/>
      <c r="B4514" s="3"/>
      <c r="C4514" s="3"/>
    </row>
    <row r="4515">
      <c r="A4515" s="3"/>
      <c r="B4515" s="3"/>
      <c r="C4515" s="3"/>
    </row>
    <row r="4516">
      <c r="A4516" s="3"/>
      <c r="B4516" s="3"/>
      <c r="C4516" s="3"/>
    </row>
    <row r="4517">
      <c r="A4517" s="3"/>
      <c r="B4517" s="3"/>
      <c r="C4517" s="3"/>
    </row>
    <row r="4518">
      <c r="A4518" s="3"/>
      <c r="B4518" s="3"/>
      <c r="C4518" s="3"/>
    </row>
    <row r="4519">
      <c r="A4519" s="3"/>
      <c r="B4519" s="3"/>
      <c r="C4519" s="3"/>
    </row>
    <row r="4520">
      <c r="A4520" s="3"/>
      <c r="B4520" s="3"/>
      <c r="C4520" s="3"/>
    </row>
    <row r="4521">
      <c r="A4521" s="3"/>
      <c r="B4521" s="3"/>
      <c r="C4521" s="3"/>
    </row>
    <row r="4522">
      <c r="A4522" s="3"/>
      <c r="B4522" s="3"/>
      <c r="C4522" s="3"/>
    </row>
    <row r="4523">
      <c r="A4523" s="3"/>
      <c r="B4523" s="3"/>
      <c r="C4523" s="3"/>
    </row>
    <row r="4524">
      <c r="A4524" s="3"/>
      <c r="B4524" s="3"/>
      <c r="C4524" s="3"/>
    </row>
    <row r="4525">
      <c r="A4525" s="3"/>
      <c r="B4525" s="3"/>
      <c r="C4525" s="3"/>
    </row>
    <row r="4526">
      <c r="A4526" s="3"/>
      <c r="B4526" s="3"/>
      <c r="C4526" s="3"/>
    </row>
    <row r="4527">
      <c r="A4527" s="3"/>
      <c r="B4527" s="3"/>
      <c r="C4527" s="3"/>
    </row>
    <row r="4528">
      <c r="A4528" s="3"/>
      <c r="B4528" s="3"/>
      <c r="C4528" s="3"/>
    </row>
    <row r="4529">
      <c r="A4529" s="3"/>
      <c r="B4529" s="3"/>
      <c r="C4529" s="3"/>
    </row>
    <row r="4530">
      <c r="A4530" s="3"/>
      <c r="B4530" s="3"/>
      <c r="C4530" s="3"/>
    </row>
    <row r="4531">
      <c r="A4531" s="3"/>
      <c r="B4531" s="3"/>
      <c r="C4531" s="3"/>
    </row>
    <row r="4532">
      <c r="A4532" s="3"/>
      <c r="B4532" s="3"/>
      <c r="C4532" s="3"/>
    </row>
    <row r="4533">
      <c r="A4533" s="3"/>
      <c r="B4533" s="3"/>
      <c r="C4533" s="3"/>
    </row>
    <row r="4534">
      <c r="A4534" s="3"/>
      <c r="B4534" s="3"/>
      <c r="C4534" s="3"/>
    </row>
    <row r="4535">
      <c r="A4535" s="3"/>
      <c r="B4535" s="3"/>
      <c r="C4535" s="3"/>
    </row>
    <row r="4536">
      <c r="A4536" s="3"/>
      <c r="B4536" s="3"/>
      <c r="C4536" s="3"/>
    </row>
    <row r="4537">
      <c r="A4537" s="3"/>
      <c r="B4537" s="3"/>
      <c r="C4537" s="3"/>
    </row>
    <row r="4538">
      <c r="A4538" s="3"/>
      <c r="B4538" s="3"/>
      <c r="C4538" s="3"/>
    </row>
    <row r="4539">
      <c r="A4539" s="3"/>
      <c r="B4539" s="3"/>
      <c r="C4539" s="3"/>
    </row>
    <row r="4540">
      <c r="A4540" s="3"/>
      <c r="B4540" s="3"/>
      <c r="C4540" s="3"/>
    </row>
    <row r="4541">
      <c r="A4541" s="3"/>
      <c r="B4541" s="3"/>
      <c r="C4541" s="3"/>
    </row>
    <row r="4542">
      <c r="A4542" s="3"/>
      <c r="B4542" s="3"/>
      <c r="C4542" s="3"/>
    </row>
    <row r="4543">
      <c r="A4543" s="3"/>
      <c r="B4543" s="3"/>
      <c r="C4543" s="3"/>
    </row>
    <row r="4544">
      <c r="A4544" s="3"/>
      <c r="B4544" s="3"/>
      <c r="C4544" s="3"/>
    </row>
    <row r="4545">
      <c r="A4545" s="3"/>
      <c r="B4545" s="3"/>
      <c r="C4545" s="3"/>
    </row>
    <row r="4546">
      <c r="A4546" s="3"/>
      <c r="B4546" s="3"/>
      <c r="C4546" s="3"/>
    </row>
    <row r="4547">
      <c r="A4547" s="3"/>
      <c r="B4547" s="3"/>
      <c r="C4547" s="3"/>
    </row>
    <row r="4548">
      <c r="A4548" s="3"/>
      <c r="B4548" s="3"/>
      <c r="C4548" s="3"/>
    </row>
    <row r="4549">
      <c r="A4549" s="3"/>
      <c r="B4549" s="3"/>
      <c r="C4549" s="3"/>
    </row>
    <row r="4550">
      <c r="A4550" s="3"/>
      <c r="B4550" s="3"/>
      <c r="C4550" s="3"/>
    </row>
    <row r="4551">
      <c r="A4551" s="3"/>
      <c r="B4551" s="3"/>
      <c r="C4551" s="3"/>
    </row>
    <row r="4552">
      <c r="A4552" s="3"/>
      <c r="B4552" s="3"/>
      <c r="C4552" s="3"/>
    </row>
    <row r="4553">
      <c r="A4553" s="3"/>
      <c r="B4553" s="3"/>
      <c r="C4553" s="3"/>
    </row>
    <row r="4554">
      <c r="A4554" s="3"/>
      <c r="B4554" s="3"/>
      <c r="C4554" s="3"/>
    </row>
    <row r="4555">
      <c r="A4555" s="3"/>
      <c r="B4555" s="3"/>
      <c r="C4555" s="3"/>
    </row>
    <row r="4556">
      <c r="A4556" s="3"/>
      <c r="B4556" s="3"/>
      <c r="C4556" s="3"/>
    </row>
    <row r="4557">
      <c r="A4557" s="3"/>
      <c r="B4557" s="3"/>
      <c r="C4557" s="3"/>
    </row>
    <row r="4558">
      <c r="A4558" s="3"/>
      <c r="B4558" s="3"/>
      <c r="C4558" s="3"/>
    </row>
    <row r="4559">
      <c r="A4559" s="3"/>
      <c r="B4559" s="3"/>
      <c r="C4559" s="3"/>
    </row>
    <row r="4560">
      <c r="A4560" s="3"/>
      <c r="B4560" s="3"/>
      <c r="C4560" s="3"/>
    </row>
    <row r="4561">
      <c r="A4561" s="3"/>
      <c r="B4561" s="3"/>
      <c r="C4561" s="3"/>
    </row>
    <row r="4562">
      <c r="A4562" s="3"/>
      <c r="B4562" s="3"/>
      <c r="C4562" s="3"/>
    </row>
    <row r="4563">
      <c r="A4563" s="3"/>
      <c r="B4563" s="3"/>
      <c r="C4563" s="3"/>
    </row>
    <row r="4564">
      <c r="A4564" s="3"/>
      <c r="B4564" s="3"/>
      <c r="C4564" s="3"/>
    </row>
    <row r="4565">
      <c r="A4565" s="3"/>
      <c r="B4565" s="3"/>
      <c r="C4565" s="3"/>
    </row>
    <row r="4566">
      <c r="A4566" s="3"/>
      <c r="B4566" s="3"/>
      <c r="C4566" s="3"/>
    </row>
    <row r="4567">
      <c r="A4567" s="3"/>
      <c r="B4567" s="3"/>
      <c r="C4567" s="3"/>
    </row>
    <row r="4568">
      <c r="A4568" s="3"/>
      <c r="B4568" s="3"/>
      <c r="C4568" s="3"/>
    </row>
    <row r="4569">
      <c r="A4569" s="3"/>
      <c r="B4569" s="3"/>
      <c r="C4569" s="3"/>
    </row>
    <row r="4570">
      <c r="A4570" s="3"/>
      <c r="B4570" s="3"/>
      <c r="C4570" s="3"/>
    </row>
    <row r="4571">
      <c r="A4571" s="3"/>
      <c r="B4571" s="3"/>
      <c r="C4571" s="3"/>
    </row>
    <row r="4572">
      <c r="A4572" s="3"/>
      <c r="B4572" s="3"/>
      <c r="C4572" s="3"/>
    </row>
    <row r="4573">
      <c r="A4573" s="3"/>
      <c r="B4573" s="3"/>
      <c r="C4573" s="3"/>
    </row>
    <row r="4574">
      <c r="A4574" s="3"/>
      <c r="B4574" s="3"/>
      <c r="C4574" s="3"/>
    </row>
    <row r="4575">
      <c r="A4575" s="3"/>
      <c r="B4575" s="3"/>
      <c r="C4575" s="3"/>
    </row>
    <row r="4576">
      <c r="A4576" s="3"/>
      <c r="B4576" s="3"/>
      <c r="C4576" s="3"/>
    </row>
    <row r="4577">
      <c r="A4577" s="3"/>
      <c r="B4577" s="3"/>
      <c r="C4577" s="3"/>
    </row>
    <row r="4578">
      <c r="A4578" s="3"/>
      <c r="B4578" s="3"/>
      <c r="C4578" s="3"/>
    </row>
    <row r="4579">
      <c r="A4579" s="3"/>
      <c r="B4579" s="3"/>
      <c r="C4579" s="3"/>
    </row>
    <row r="4580">
      <c r="A4580" s="3"/>
      <c r="B4580" s="3"/>
      <c r="C4580" s="3"/>
    </row>
    <row r="4581">
      <c r="A4581" s="3"/>
      <c r="B4581" s="3"/>
      <c r="C4581" s="3"/>
    </row>
    <row r="4582">
      <c r="A4582" s="3"/>
      <c r="B4582" s="3"/>
      <c r="C4582" s="3"/>
    </row>
    <row r="4583">
      <c r="A4583" s="3"/>
      <c r="B4583" s="3"/>
      <c r="C4583" s="3"/>
    </row>
    <row r="4584">
      <c r="A4584" s="3"/>
      <c r="B4584" s="3"/>
      <c r="C4584" s="3"/>
    </row>
    <row r="4585">
      <c r="A4585" s="3"/>
      <c r="B4585" s="3"/>
      <c r="C4585" s="3"/>
    </row>
    <row r="4586">
      <c r="A4586" s="3"/>
      <c r="B4586" s="3"/>
      <c r="C4586" s="3"/>
    </row>
    <row r="4587">
      <c r="A4587" s="3"/>
      <c r="B4587" s="3"/>
      <c r="C4587" s="3"/>
    </row>
    <row r="4588">
      <c r="A4588" s="3"/>
      <c r="B4588" s="3"/>
      <c r="C4588" s="3"/>
    </row>
    <row r="4589">
      <c r="A4589" s="3"/>
      <c r="B4589" s="3"/>
      <c r="C4589" s="3"/>
    </row>
    <row r="4590">
      <c r="A4590" s="3"/>
      <c r="B4590" s="3"/>
      <c r="C4590" s="3"/>
    </row>
    <row r="4591">
      <c r="A4591" s="3"/>
      <c r="B4591" s="3"/>
      <c r="C4591" s="3"/>
    </row>
    <row r="4592">
      <c r="A4592" s="3"/>
      <c r="B4592" s="3"/>
      <c r="C4592" s="3"/>
    </row>
    <row r="4593">
      <c r="A4593" s="3"/>
      <c r="B4593" s="3"/>
      <c r="C4593" s="3"/>
    </row>
    <row r="4594">
      <c r="A4594" s="3"/>
      <c r="B4594" s="3"/>
      <c r="C4594" s="3"/>
    </row>
    <row r="4595">
      <c r="A4595" s="3"/>
      <c r="B4595" s="3"/>
      <c r="C4595" s="3"/>
    </row>
    <row r="4596">
      <c r="A4596" s="3"/>
      <c r="B4596" s="3"/>
      <c r="C4596" s="3"/>
    </row>
    <row r="4597">
      <c r="A4597" s="3"/>
      <c r="B4597" s="3"/>
      <c r="C4597" s="3"/>
    </row>
    <row r="4598">
      <c r="A4598" s="3"/>
      <c r="B4598" s="3"/>
      <c r="C4598" s="3"/>
    </row>
    <row r="4599">
      <c r="A4599" s="3"/>
      <c r="B4599" s="3"/>
      <c r="C4599" s="3"/>
    </row>
    <row r="4600">
      <c r="A4600" s="3"/>
      <c r="B4600" s="3"/>
      <c r="C4600" s="3"/>
    </row>
    <row r="4601">
      <c r="A4601" s="3"/>
      <c r="B4601" s="3"/>
      <c r="C4601" s="3"/>
    </row>
    <row r="4602">
      <c r="A4602" s="3"/>
      <c r="B4602" s="3"/>
      <c r="C4602" s="3"/>
    </row>
    <row r="4603">
      <c r="A4603" s="3"/>
      <c r="B4603" s="3"/>
      <c r="C4603" s="3"/>
    </row>
    <row r="4604">
      <c r="A4604" s="3"/>
      <c r="B4604" s="3"/>
      <c r="C4604" s="3"/>
    </row>
    <row r="4605">
      <c r="A4605" s="3"/>
      <c r="B4605" s="3"/>
      <c r="C4605" s="3"/>
    </row>
    <row r="4606">
      <c r="A4606" s="3"/>
      <c r="B4606" s="3"/>
      <c r="C4606" s="3"/>
    </row>
    <row r="4607">
      <c r="A4607" s="3"/>
      <c r="B4607" s="3"/>
      <c r="C4607" s="3"/>
    </row>
    <row r="4608">
      <c r="A4608" s="3"/>
      <c r="B4608" s="3"/>
      <c r="C4608" s="3"/>
    </row>
    <row r="4609">
      <c r="A4609" s="3"/>
      <c r="B4609" s="3"/>
      <c r="C4609" s="3"/>
    </row>
    <row r="4610">
      <c r="A4610" s="3"/>
      <c r="B4610" s="3"/>
      <c r="C4610" s="3"/>
    </row>
    <row r="4611">
      <c r="A4611" s="3"/>
      <c r="B4611" s="3"/>
      <c r="C4611" s="3"/>
    </row>
    <row r="4612">
      <c r="A4612" s="3"/>
      <c r="B4612" s="3"/>
      <c r="C4612" s="3"/>
    </row>
    <row r="4613">
      <c r="A4613" s="3"/>
      <c r="B4613" s="3"/>
      <c r="C4613" s="3"/>
    </row>
    <row r="4614">
      <c r="A4614" s="3"/>
      <c r="B4614" s="3"/>
      <c r="C4614" s="3"/>
    </row>
    <row r="4615">
      <c r="A4615" s="3"/>
      <c r="B4615" s="3"/>
      <c r="C4615" s="3"/>
    </row>
    <row r="4616">
      <c r="A4616" s="3"/>
      <c r="B4616" s="3"/>
      <c r="C4616" s="3"/>
    </row>
    <row r="4617">
      <c r="A4617" s="3"/>
      <c r="B4617" s="3"/>
      <c r="C4617" s="3"/>
    </row>
    <row r="4618">
      <c r="A4618" s="3"/>
      <c r="B4618" s="3"/>
      <c r="C4618" s="3"/>
    </row>
    <row r="4619">
      <c r="A4619" s="3"/>
      <c r="B4619" s="3"/>
      <c r="C4619" s="3"/>
    </row>
    <row r="4620">
      <c r="A4620" s="3"/>
      <c r="B4620" s="3"/>
      <c r="C4620" s="3"/>
    </row>
    <row r="4621">
      <c r="A4621" s="3"/>
      <c r="B4621" s="3"/>
      <c r="C4621" s="3"/>
    </row>
    <row r="4622">
      <c r="A4622" s="3"/>
      <c r="B4622" s="3"/>
      <c r="C4622" s="3"/>
    </row>
    <row r="4623">
      <c r="A4623" s="3"/>
      <c r="B4623" s="3"/>
      <c r="C4623" s="3"/>
    </row>
    <row r="4624">
      <c r="A4624" s="3"/>
      <c r="B4624" s="3"/>
      <c r="C4624" s="3"/>
    </row>
    <row r="4625">
      <c r="A4625" s="3"/>
      <c r="B4625" s="3"/>
      <c r="C4625" s="3"/>
    </row>
    <row r="4626">
      <c r="A4626" s="3"/>
      <c r="B4626" s="3"/>
      <c r="C4626" s="3"/>
    </row>
    <row r="4627">
      <c r="A4627" s="3"/>
      <c r="B4627" s="3"/>
      <c r="C4627" s="3"/>
    </row>
    <row r="4628">
      <c r="A4628" s="3"/>
      <c r="B4628" s="3"/>
      <c r="C4628" s="3"/>
    </row>
    <row r="4629">
      <c r="A4629" s="3"/>
      <c r="B4629" s="3"/>
      <c r="C4629" s="3"/>
    </row>
    <row r="4630">
      <c r="A4630" s="3"/>
      <c r="B4630" s="3"/>
      <c r="C4630" s="3"/>
    </row>
    <row r="4631">
      <c r="A4631" s="3"/>
      <c r="B4631" s="3"/>
      <c r="C4631" s="3"/>
    </row>
    <row r="4632">
      <c r="A4632" s="3"/>
      <c r="B4632" s="3"/>
      <c r="C4632" s="3"/>
    </row>
    <row r="4633">
      <c r="A4633" s="3"/>
      <c r="B4633" s="3"/>
      <c r="C4633" s="3"/>
    </row>
    <row r="4634">
      <c r="A4634" s="3"/>
      <c r="B4634" s="3"/>
      <c r="C4634" s="3"/>
    </row>
    <row r="4635">
      <c r="A4635" s="3"/>
      <c r="B4635" s="3"/>
      <c r="C4635" s="3"/>
    </row>
    <row r="4636">
      <c r="A4636" s="3"/>
      <c r="B4636" s="3"/>
      <c r="C4636" s="3"/>
    </row>
    <row r="4637">
      <c r="A4637" s="3"/>
      <c r="B4637" s="3"/>
      <c r="C4637" s="3"/>
    </row>
    <row r="4638">
      <c r="A4638" s="3"/>
      <c r="B4638" s="3"/>
      <c r="C4638" s="3"/>
    </row>
    <row r="4639">
      <c r="A4639" s="3"/>
      <c r="B4639" s="3"/>
      <c r="C4639" s="3"/>
    </row>
    <row r="4640">
      <c r="A4640" s="3"/>
      <c r="B4640" s="3"/>
      <c r="C4640" s="3"/>
    </row>
    <row r="4641">
      <c r="A4641" s="3"/>
      <c r="B4641" s="3"/>
      <c r="C4641" s="3"/>
    </row>
    <row r="4642">
      <c r="A4642" s="3"/>
      <c r="B4642" s="3"/>
      <c r="C4642" s="3"/>
    </row>
    <row r="4643">
      <c r="A4643" s="3"/>
      <c r="B4643" s="3"/>
      <c r="C4643" s="3"/>
    </row>
    <row r="4644">
      <c r="A4644" s="3"/>
      <c r="B4644" s="3"/>
      <c r="C4644" s="3"/>
    </row>
    <row r="4645">
      <c r="A4645" s="3"/>
      <c r="B4645" s="3"/>
      <c r="C4645" s="3"/>
    </row>
    <row r="4646">
      <c r="A4646" s="3"/>
      <c r="B4646" s="3"/>
      <c r="C4646" s="3"/>
    </row>
    <row r="4647">
      <c r="A4647" s="3"/>
      <c r="B4647" s="3"/>
      <c r="C4647" s="3"/>
    </row>
    <row r="4648">
      <c r="A4648" s="3"/>
      <c r="B4648" s="3"/>
      <c r="C4648" s="3"/>
    </row>
    <row r="4649">
      <c r="A4649" s="3"/>
      <c r="B4649" s="3"/>
      <c r="C4649" s="3"/>
    </row>
    <row r="4650">
      <c r="A4650" s="3"/>
      <c r="B4650" s="3"/>
      <c r="C4650" s="3"/>
    </row>
    <row r="4651">
      <c r="A4651" s="3"/>
      <c r="B4651" s="3"/>
      <c r="C4651" s="3"/>
    </row>
    <row r="4652">
      <c r="A4652" s="3"/>
      <c r="B4652" s="3"/>
      <c r="C4652" s="3"/>
    </row>
    <row r="4653">
      <c r="A4653" s="3"/>
      <c r="B4653" s="3"/>
      <c r="C4653" s="3"/>
    </row>
    <row r="4654">
      <c r="A4654" s="3"/>
      <c r="B4654" s="3"/>
      <c r="C4654" s="3"/>
    </row>
    <row r="4655">
      <c r="A4655" s="3"/>
      <c r="B4655" s="3"/>
      <c r="C4655" s="3"/>
    </row>
    <row r="4656">
      <c r="A4656" s="3"/>
      <c r="B4656" s="3"/>
      <c r="C4656" s="3"/>
    </row>
    <row r="4657">
      <c r="A4657" s="3"/>
      <c r="B4657" s="3"/>
      <c r="C4657" s="3"/>
    </row>
    <row r="4658">
      <c r="A4658" s="3"/>
      <c r="B4658" s="3"/>
      <c r="C4658" s="3"/>
    </row>
    <row r="4659">
      <c r="A4659" s="3"/>
      <c r="B4659" s="3"/>
      <c r="C4659" s="3"/>
    </row>
    <row r="4660">
      <c r="A4660" s="3"/>
      <c r="B4660" s="3"/>
      <c r="C4660" s="3"/>
    </row>
    <row r="4661">
      <c r="A4661" s="3"/>
      <c r="B4661" s="3"/>
      <c r="C4661" s="3"/>
    </row>
    <row r="4662">
      <c r="A4662" s="3"/>
      <c r="B4662" s="3"/>
      <c r="C4662" s="3"/>
    </row>
    <row r="4663">
      <c r="A4663" s="3"/>
      <c r="B4663" s="3"/>
      <c r="C4663" s="3"/>
    </row>
    <row r="4664">
      <c r="A4664" s="3"/>
      <c r="B4664" s="3"/>
      <c r="C4664" s="3"/>
    </row>
    <row r="4665">
      <c r="A4665" s="3"/>
      <c r="B4665" s="3"/>
      <c r="C4665" s="3"/>
    </row>
    <row r="4666">
      <c r="A4666" s="3"/>
      <c r="B4666" s="3"/>
      <c r="C4666" s="3"/>
    </row>
    <row r="4667">
      <c r="A4667" s="3"/>
      <c r="B4667" s="3"/>
      <c r="C4667" s="3"/>
    </row>
    <row r="4668">
      <c r="A4668" s="3"/>
      <c r="B4668" s="3"/>
      <c r="C4668" s="3"/>
    </row>
    <row r="4669">
      <c r="A4669" s="3"/>
      <c r="B4669" s="3"/>
      <c r="C4669" s="3"/>
    </row>
    <row r="4670">
      <c r="A4670" s="3"/>
      <c r="B4670" s="3"/>
      <c r="C4670" s="3"/>
    </row>
    <row r="4671">
      <c r="A4671" s="3"/>
      <c r="B4671" s="3"/>
      <c r="C4671" s="3"/>
    </row>
    <row r="4672">
      <c r="A4672" s="3"/>
      <c r="B4672" s="3"/>
      <c r="C4672" s="3"/>
    </row>
    <row r="4673">
      <c r="A4673" s="3"/>
      <c r="B4673" s="3"/>
      <c r="C4673" s="3"/>
    </row>
    <row r="4674">
      <c r="A4674" s="3"/>
      <c r="B4674" s="3"/>
      <c r="C4674" s="3"/>
    </row>
    <row r="4675">
      <c r="A4675" s="3"/>
      <c r="B4675" s="3"/>
      <c r="C4675" s="3"/>
    </row>
    <row r="4676">
      <c r="A4676" s="3"/>
      <c r="B4676" s="3"/>
      <c r="C4676" s="3"/>
    </row>
    <row r="4677">
      <c r="A4677" s="3"/>
      <c r="B4677" s="3"/>
      <c r="C4677" s="3"/>
    </row>
    <row r="4678">
      <c r="A4678" s="3"/>
      <c r="B4678" s="3"/>
      <c r="C4678" s="3"/>
    </row>
    <row r="4679">
      <c r="A4679" s="3"/>
      <c r="B4679" s="3"/>
      <c r="C4679" s="3"/>
    </row>
    <row r="4680">
      <c r="A4680" s="3"/>
      <c r="B4680" s="3"/>
      <c r="C4680" s="3"/>
    </row>
    <row r="4681">
      <c r="A4681" s="3"/>
      <c r="B4681" s="3"/>
      <c r="C4681" s="3"/>
    </row>
    <row r="4682">
      <c r="A4682" s="3"/>
      <c r="B4682" s="3"/>
      <c r="C4682" s="3"/>
    </row>
    <row r="4683">
      <c r="A4683" s="3"/>
      <c r="B4683" s="3"/>
      <c r="C4683" s="3"/>
    </row>
    <row r="4684">
      <c r="A4684" s="3"/>
      <c r="B4684" s="3"/>
      <c r="C4684" s="3"/>
    </row>
    <row r="4685">
      <c r="A4685" s="3"/>
      <c r="B4685" s="3"/>
      <c r="C4685" s="3"/>
    </row>
    <row r="4686">
      <c r="A4686" s="3"/>
      <c r="B4686" s="3"/>
      <c r="C4686" s="3"/>
    </row>
    <row r="4687">
      <c r="A4687" s="3"/>
      <c r="B4687" s="3"/>
      <c r="C4687" s="3"/>
    </row>
    <row r="4688">
      <c r="A4688" s="3"/>
      <c r="B4688" s="3"/>
      <c r="C4688" s="3"/>
    </row>
    <row r="4689">
      <c r="A4689" s="3"/>
      <c r="B4689" s="3"/>
      <c r="C4689" s="3"/>
    </row>
    <row r="4690">
      <c r="A4690" s="3"/>
      <c r="B4690" s="3"/>
      <c r="C4690" s="3"/>
    </row>
    <row r="4691">
      <c r="A4691" s="3"/>
      <c r="B4691" s="3"/>
      <c r="C4691" s="3"/>
    </row>
    <row r="4692">
      <c r="A4692" s="3"/>
      <c r="B4692" s="3"/>
      <c r="C4692" s="3"/>
    </row>
    <row r="4693">
      <c r="A4693" s="3"/>
      <c r="B4693" s="3"/>
      <c r="C4693" s="3"/>
    </row>
    <row r="4694">
      <c r="A4694" s="3"/>
      <c r="B4694" s="3"/>
      <c r="C4694" s="3"/>
    </row>
    <row r="4695">
      <c r="A4695" s="3"/>
      <c r="B4695" s="3"/>
      <c r="C4695" s="3"/>
    </row>
    <row r="4696">
      <c r="A4696" s="3"/>
      <c r="B4696" s="3"/>
      <c r="C4696" s="3"/>
    </row>
    <row r="4697">
      <c r="A4697" s="3"/>
      <c r="B4697" s="3"/>
      <c r="C4697" s="3"/>
    </row>
    <row r="4698">
      <c r="A4698" s="3"/>
      <c r="B4698" s="3"/>
      <c r="C4698" s="3"/>
    </row>
    <row r="4699">
      <c r="A4699" s="3"/>
      <c r="B4699" s="3"/>
      <c r="C4699" s="3"/>
    </row>
    <row r="4700">
      <c r="A4700" s="3"/>
      <c r="B4700" s="3"/>
      <c r="C4700" s="3"/>
    </row>
    <row r="4701">
      <c r="A4701" s="3"/>
      <c r="B4701" s="3"/>
      <c r="C4701" s="3"/>
    </row>
    <row r="4702">
      <c r="A4702" s="3"/>
      <c r="B4702" s="3"/>
      <c r="C4702" s="3"/>
    </row>
    <row r="4703">
      <c r="A4703" s="3"/>
      <c r="B4703" s="3"/>
      <c r="C4703" s="3"/>
    </row>
    <row r="4704">
      <c r="A4704" s="3"/>
      <c r="B4704" s="3"/>
      <c r="C4704" s="3"/>
    </row>
    <row r="4705">
      <c r="A4705" s="3"/>
      <c r="B4705" s="3"/>
      <c r="C4705" s="3"/>
    </row>
    <row r="4706">
      <c r="A4706" s="3"/>
      <c r="B4706" s="3"/>
      <c r="C4706" s="3"/>
    </row>
    <row r="4707">
      <c r="A4707" s="3"/>
      <c r="B4707" s="3"/>
      <c r="C4707" s="3"/>
    </row>
    <row r="4708">
      <c r="A4708" s="3"/>
      <c r="B4708" s="3"/>
      <c r="C4708" s="3"/>
    </row>
    <row r="4709">
      <c r="A4709" s="3"/>
      <c r="B4709" s="3"/>
      <c r="C4709" s="3"/>
    </row>
    <row r="4710">
      <c r="A4710" s="3"/>
      <c r="B4710" s="3"/>
      <c r="C4710" s="3"/>
    </row>
    <row r="4711">
      <c r="A4711" s="3"/>
      <c r="B4711" s="3"/>
      <c r="C4711" s="3"/>
    </row>
    <row r="4712">
      <c r="A4712" s="3"/>
      <c r="B4712" s="3"/>
      <c r="C4712" s="3"/>
    </row>
    <row r="4713">
      <c r="A4713" s="3"/>
      <c r="B4713" s="3"/>
      <c r="C4713" s="3"/>
    </row>
    <row r="4714">
      <c r="A4714" s="3"/>
      <c r="B4714" s="3"/>
      <c r="C4714" s="3"/>
    </row>
    <row r="4715">
      <c r="A4715" s="3"/>
      <c r="B4715" s="3"/>
      <c r="C4715" s="3"/>
    </row>
    <row r="4716">
      <c r="A4716" s="3"/>
      <c r="B4716" s="3"/>
      <c r="C4716" s="3"/>
    </row>
    <row r="4717">
      <c r="A4717" s="3"/>
      <c r="B4717" s="3"/>
      <c r="C4717" s="3"/>
    </row>
    <row r="4718">
      <c r="A4718" s="3"/>
      <c r="B4718" s="3"/>
      <c r="C4718" s="3"/>
    </row>
    <row r="4719">
      <c r="A4719" s="3"/>
      <c r="B4719" s="3"/>
      <c r="C4719" s="3"/>
    </row>
    <row r="4720">
      <c r="A4720" s="3"/>
      <c r="B4720" s="3"/>
      <c r="C4720" s="3"/>
    </row>
    <row r="4721">
      <c r="A4721" s="3"/>
      <c r="B4721" s="3"/>
      <c r="C4721" s="3"/>
    </row>
    <row r="4722">
      <c r="A4722" s="3"/>
      <c r="B4722" s="3"/>
      <c r="C4722" s="3"/>
    </row>
    <row r="4723">
      <c r="A4723" s="3"/>
      <c r="B4723" s="3"/>
      <c r="C4723" s="3"/>
    </row>
    <row r="4724">
      <c r="A4724" s="3"/>
      <c r="B4724" s="3"/>
      <c r="C4724" s="3"/>
    </row>
    <row r="4725">
      <c r="A4725" s="3"/>
      <c r="B4725" s="3"/>
      <c r="C4725" s="3"/>
    </row>
    <row r="4726">
      <c r="A4726" s="3"/>
      <c r="B4726" s="3"/>
      <c r="C4726" s="3"/>
    </row>
    <row r="4727">
      <c r="A4727" s="3"/>
      <c r="B4727" s="3"/>
      <c r="C4727" s="3"/>
    </row>
    <row r="4728">
      <c r="A4728" s="3"/>
      <c r="B4728" s="3"/>
      <c r="C4728" s="3"/>
    </row>
    <row r="4729">
      <c r="A4729" s="3"/>
      <c r="B4729" s="3"/>
      <c r="C4729" s="3"/>
    </row>
    <row r="4730">
      <c r="A4730" s="3"/>
      <c r="B4730" s="3"/>
      <c r="C4730" s="3"/>
    </row>
    <row r="4731">
      <c r="A4731" s="3"/>
      <c r="B4731" s="3"/>
      <c r="C4731" s="3"/>
    </row>
    <row r="4732">
      <c r="A4732" s="3"/>
      <c r="B4732" s="3"/>
      <c r="C4732" s="3"/>
    </row>
    <row r="4733">
      <c r="A4733" s="3"/>
      <c r="B4733" s="3"/>
      <c r="C4733" s="3"/>
    </row>
    <row r="4734">
      <c r="A4734" s="3"/>
      <c r="B4734" s="3"/>
      <c r="C4734" s="3"/>
    </row>
    <row r="4735">
      <c r="A4735" s="3"/>
      <c r="B4735" s="3"/>
      <c r="C4735" s="3"/>
    </row>
    <row r="4736">
      <c r="A4736" s="3"/>
      <c r="B4736" s="3"/>
      <c r="C4736" s="3"/>
    </row>
    <row r="4737">
      <c r="A4737" s="3"/>
      <c r="B4737" s="3"/>
      <c r="C4737" s="3"/>
    </row>
    <row r="4738">
      <c r="A4738" s="3"/>
      <c r="B4738" s="3"/>
      <c r="C4738" s="3"/>
    </row>
    <row r="4739">
      <c r="A4739" s="3"/>
      <c r="B4739" s="3"/>
      <c r="C4739" s="3"/>
    </row>
    <row r="4740">
      <c r="A4740" s="3"/>
      <c r="B4740" s="3"/>
      <c r="C4740" s="3"/>
    </row>
    <row r="4741">
      <c r="A4741" s="3"/>
      <c r="B4741" s="3"/>
      <c r="C4741" s="3"/>
    </row>
    <row r="4742">
      <c r="A4742" s="3"/>
      <c r="B4742" s="3"/>
      <c r="C4742" s="3"/>
    </row>
    <row r="4743">
      <c r="A4743" s="3"/>
      <c r="B4743" s="3"/>
      <c r="C4743" s="3"/>
    </row>
    <row r="4744">
      <c r="A4744" s="3"/>
      <c r="B4744" s="3"/>
      <c r="C4744" s="3"/>
    </row>
    <row r="4745">
      <c r="A4745" s="3"/>
      <c r="B4745" s="3"/>
      <c r="C4745" s="3"/>
    </row>
    <row r="4746">
      <c r="A4746" s="3"/>
      <c r="B4746" s="3"/>
      <c r="C4746" s="3"/>
    </row>
    <row r="4747">
      <c r="A4747" s="3"/>
      <c r="B4747" s="3"/>
      <c r="C4747" s="3"/>
    </row>
    <row r="4748">
      <c r="A4748" s="3"/>
      <c r="B4748" s="3"/>
      <c r="C4748" s="3"/>
    </row>
    <row r="4749">
      <c r="A4749" s="3"/>
      <c r="B4749" s="3"/>
      <c r="C4749" s="3"/>
    </row>
    <row r="4750">
      <c r="A4750" s="3"/>
      <c r="B4750" s="3"/>
      <c r="C4750" s="3"/>
    </row>
    <row r="4751">
      <c r="A4751" s="3"/>
      <c r="B4751" s="3"/>
      <c r="C4751" s="3"/>
    </row>
    <row r="4752">
      <c r="A4752" s="3"/>
      <c r="B4752" s="3"/>
      <c r="C4752" s="3"/>
    </row>
    <row r="4753">
      <c r="A4753" s="3"/>
      <c r="B4753" s="3"/>
      <c r="C4753" s="3"/>
    </row>
    <row r="4754">
      <c r="A4754" s="3"/>
      <c r="B4754" s="3"/>
      <c r="C4754" s="3"/>
    </row>
    <row r="4755">
      <c r="A4755" s="3"/>
      <c r="B4755" s="3"/>
      <c r="C4755" s="3"/>
    </row>
    <row r="4756">
      <c r="A4756" s="3"/>
      <c r="B4756" s="3"/>
      <c r="C4756" s="3"/>
    </row>
    <row r="4757">
      <c r="A4757" s="3"/>
      <c r="B4757" s="3"/>
      <c r="C4757" s="3"/>
    </row>
    <row r="4758">
      <c r="A4758" s="3"/>
      <c r="B4758" s="3"/>
      <c r="C4758" s="3"/>
    </row>
    <row r="4759">
      <c r="A4759" s="3"/>
      <c r="B4759" s="3"/>
      <c r="C4759" s="3"/>
    </row>
    <row r="4760">
      <c r="A4760" s="3"/>
      <c r="B4760" s="3"/>
      <c r="C4760" s="3"/>
    </row>
    <row r="4761">
      <c r="A4761" s="3"/>
      <c r="B4761" s="3"/>
      <c r="C4761" s="3"/>
    </row>
    <row r="4762">
      <c r="A4762" s="3"/>
      <c r="B4762" s="3"/>
      <c r="C4762" s="3"/>
    </row>
    <row r="4763">
      <c r="A4763" s="3"/>
      <c r="B4763" s="3"/>
      <c r="C4763" s="3"/>
    </row>
    <row r="4764">
      <c r="A4764" s="3"/>
      <c r="B4764" s="3"/>
      <c r="C4764" s="3"/>
    </row>
    <row r="4765">
      <c r="A4765" s="3"/>
      <c r="B4765" s="3"/>
      <c r="C4765" s="3"/>
    </row>
    <row r="4766">
      <c r="A4766" s="3"/>
      <c r="B4766" s="3"/>
      <c r="C4766" s="3"/>
    </row>
    <row r="4767">
      <c r="A4767" s="3"/>
      <c r="B4767" s="3"/>
      <c r="C4767" s="3"/>
    </row>
    <row r="4768">
      <c r="A4768" s="3"/>
      <c r="B4768" s="3"/>
      <c r="C4768" s="3"/>
    </row>
    <row r="4769">
      <c r="A4769" s="3"/>
      <c r="B4769" s="3"/>
      <c r="C4769" s="3"/>
    </row>
    <row r="4770">
      <c r="A4770" s="3"/>
      <c r="B4770" s="3"/>
      <c r="C4770" s="3"/>
    </row>
    <row r="4771">
      <c r="A4771" s="3"/>
      <c r="B4771" s="3"/>
      <c r="C4771" s="3"/>
    </row>
    <row r="4772">
      <c r="A4772" s="3"/>
      <c r="B4772" s="3"/>
      <c r="C4772" s="3"/>
    </row>
    <row r="4773">
      <c r="A4773" s="3"/>
      <c r="B4773" s="3"/>
      <c r="C4773" s="3"/>
    </row>
    <row r="4774">
      <c r="A4774" s="3"/>
      <c r="B4774" s="3"/>
      <c r="C4774" s="3"/>
    </row>
    <row r="4775">
      <c r="A4775" s="3"/>
      <c r="B4775" s="3"/>
      <c r="C4775" s="3"/>
    </row>
    <row r="4776">
      <c r="A4776" s="3"/>
      <c r="B4776" s="3"/>
      <c r="C4776" s="3"/>
    </row>
    <row r="4777">
      <c r="A4777" s="3"/>
      <c r="B4777" s="3"/>
      <c r="C4777" s="3"/>
    </row>
    <row r="4778">
      <c r="A4778" s="3"/>
      <c r="B4778" s="3"/>
      <c r="C4778" s="3"/>
    </row>
    <row r="4779">
      <c r="A4779" s="3"/>
      <c r="B4779" s="3"/>
      <c r="C4779" s="3"/>
    </row>
    <row r="4780">
      <c r="A4780" s="3"/>
      <c r="B4780" s="3"/>
      <c r="C4780" s="3"/>
    </row>
    <row r="4781">
      <c r="A4781" s="3"/>
      <c r="B4781" s="3"/>
      <c r="C4781" s="3"/>
    </row>
    <row r="4782">
      <c r="A4782" s="3"/>
      <c r="B4782" s="3"/>
      <c r="C4782" s="3"/>
    </row>
    <row r="4783">
      <c r="A4783" s="3"/>
      <c r="B4783" s="3"/>
      <c r="C4783" s="3"/>
    </row>
    <row r="4784">
      <c r="A4784" s="3"/>
      <c r="B4784" s="3"/>
      <c r="C4784" s="3"/>
    </row>
    <row r="4785">
      <c r="A4785" s="3"/>
      <c r="B4785" s="3"/>
      <c r="C4785" s="3"/>
    </row>
    <row r="4786">
      <c r="A4786" s="3"/>
      <c r="B4786" s="3"/>
      <c r="C4786" s="3"/>
    </row>
    <row r="4787">
      <c r="A4787" s="3"/>
      <c r="B4787" s="3"/>
      <c r="C4787" s="3"/>
    </row>
    <row r="4788">
      <c r="A4788" s="3"/>
      <c r="B4788" s="3"/>
      <c r="C4788" s="3"/>
    </row>
    <row r="4789">
      <c r="A4789" s="3"/>
      <c r="B4789" s="3"/>
      <c r="C4789" s="3"/>
    </row>
    <row r="4790">
      <c r="A4790" s="3"/>
      <c r="B4790" s="3"/>
      <c r="C4790" s="3"/>
    </row>
    <row r="4791">
      <c r="A4791" s="3"/>
      <c r="B4791" s="3"/>
      <c r="C4791" s="3"/>
    </row>
    <row r="4792">
      <c r="A4792" s="3"/>
      <c r="B4792" s="3"/>
      <c r="C4792" s="3"/>
    </row>
    <row r="4793">
      <c r="A4793" s="3"/>
      <c r="B4793" s="3"/>
      <c r="C4793" s="3"/>
    </row>
    <row r="4794">
      <c r="A4794" s="3"/>
      <c r="B4794" s="3"/>
      <c r="C4794" s="3"/>
    </row>
    <row r="4795">
      <c r="A4795" s="3"/>
      <c r="B4795" s="3"/>
      <c r="C4795" s="3"/>
    </row>
    <row r="4796">
      <c r="A4796" s="3"/>
      <c r="B4796" s="3"/>
      <c r="C4796" s="3"/>
    </row>
    <row r="4797">
      <c r="A4797" s="3"/>
      <c r="B4797" s="3"/>
      <c r="C4797" s="3"/>
    </row>
    <row r="4798">
      <c r="A4798" s="3"/>
      <c r="B4798" s="3"/>
      <c r="C4798" s="3"/>
    </row>
    <row r="4799">
      <c r="A4799" s="3"/>
      <c r="B4799" s="3"/>
      <c r="C4799" s="3"/>
    </row>
    <row r="4800">
      <c r="A4800" s="3"/>
      <c r="B4800" s="3"/>
      <c r="C4800" s="3"/>
    </row>
    <row r="4801">
      <c r="A4801" s="3"/>
      <c r="B4801" s="3"/>
      <c r="C4801" s="3"/>
    </row>
    <row r="4802">
      <c r="A4802" s="3"/>
      <c r="B4802" s="3"/>
      <c r="C4802" s="3"/>
    </row>
    <row r="4803">
      <c r="A4803" s="3"/>
      <c r="B4803" s="3"/>
      <c r="C4803" s="3"/>
    </row>
    <row r="4804">
      <c r="A4804" s="3"/>
      <c r="B4804" s="3"/>
      <c r="C4804" s="3"/>
    </row>
    <row r="4805">
      <c r="A4805" s="3"/>
      <c r="B4805" s="3"/>
      <c r="C4805" s="3"/>
    </row>
    <row r="4806">
      <c r="A4806" s="3"/>
      <c r="B4806" s="3"/>
      <c r="C4806" s="3"/>
    </row>
    <row r="4807">
      <c r="A4807" s="3"/>
      <c r="B4807" s="3"/>
      <c r="C4807" s="3"/>
    </row>
    <row r="4808">
      <c r="A4808" s="3"/>
      <c r="B4808" s="3"/>
      <c r="C4808" s="3"/>
    </row>
    <row r="4809">
      <c r="A4809" s="3"/>
      <c r="B4809" s="3"/>
      <c r="C4809" s="3"/>
    </row>
    <row r="4810">
      <c r="A4810" s="3"/>
      <c r="B4810" s="3"/>
      <c r="C4810" s="3"/>
    </row>
    <row r="4811">
      <c r="A4811" s="3"/>
      <c r="B4811" s="3"/>
      <c r="C4811" s="3"/>
    </row>
    <row r="4812">
      <c r="A4812" s="3"/>
      <c r="B4812" s="3"/>
      <c r="C4812" s="3"/>
    </row>
    <row r="4813">
      <c r="A4813" s="3"/>
      <c r="B4813" s="3"/>
      <c r="C4813" s="3"/>
    </row>
    <row r="4814">
      <c r="A4814" s="3"/>
      <c r="B4814" s="3"/>
      <c r="C4814" s="3"/>
    </row>
    <row r="4815">
      <c r="A4815" s="3"/>
      <c r="B4815" s="3"/>
      <c r="C4815" s="3"/>
    </row>
    <row r="4816">
      <c r="A4816" s="3"/>
      <c r="B4816" s="3"/>
      <c r="C4816" s="3"/>
    </row>
    <row r="4817">
      <c r="A4817" s="3"/>
      <c r="B4817" s="3"/>
      <c r="C4817" s="3"/>
    </row>
    <row r="4818">
      <c r="A4818" s="3"/>
      <c r="B4818" s="3"/>
      <c r="C4818" s="3"/>
    </row>
    <row r="4819">
      <c r="A4819" s="3"/>
      <c r="B4819" s="3"/>
      <c r="C4819" s="3"/>
    </row>
    <row r="4820">
      <c r="A4820" s="3"/>
      <c r="B4820" s="3"/>
      <c r="C4820" s="3"/>
    </row>
    <row r="4821">
      <c r="A4821" s="3"/>
      <c r="B4821" s="3"/>
      <c r="C4821" s="3"/>
    </row>
    <row r="4822">
      <c r="A4822" s="3"/>
      <c r="B4822" s="3"/>
      <c r="C4822" s="3"/>
    </row>
    <row r="4823">
      <c r="A4823" s="3"/>
      <c r="B4823" s="3"/>
      <c r="C4823" s="3"/>
    </row>
    <row r="4824">
      <c r="A4824" s="3"/>
      <c r="B4824" s="3"/>
      <c r="C4824" s="3"/>
    </row>
    <row r="4825">
      <c r="A4825" s="3"/>
      <c r="B4825" s="3"/>
      <c r="C4825" s="3"/>
    </row>
    <row r="4826">
      <c r="A4826" s="3"/>
      <c r="B4826" s="3"/>
      <c r="C4826" s="3"/>
    </row>
    <row r="4827">
      <c r="A4827" s="3"/>
      <c r="B4827" s="3"/>
      <c r="C4827" s="3"/>
    </row>
    <row r="4828">
      <c r="A4828" s="3"/>
      <c r="B4828" s="3"/>
      <c r="C4828" s="3"/>
    </row>
    <row r="4829">
      <c r="A4829" s="3"/>
      <c r="B4829" s="3"/>
      <c r="C4829" s="3"/>
    </row>
    <row r="4830">
      <c r="A4830" s="3"/>
      <c r="B4830" s="3"/>
      <c r="C4830" s="3"/>
    </row>
    <row r="4831">
      <c r="A4831" s="3"/>
      <c r="B4831" s="3"/>
      <c r="C4831" s="3"/>
    </row>
    <row r="4832">
      <c r="A4832" s="3"/>
      <c r="B4832" s="3"/>
      <c r="C4832" s="3"/>
    </row>
    <row r="4833">
      <c r="A4833" s="3"/>
      <c r="B4833" s="3"/>
      <c r="C4833" s="3"/>
    </row>
    <row r="4834">
      <c r="A4834" s="3"/>
      <c r="B4834" s="3"/>
      <c r="C4834" s="3"/>
    </row>
    <row r="4835">
      <c r="A4835" s="3"/>
      <c r="B4835" s="3"/>
      <c r="C4835" s="3"/>
    </row>
    <row r="4836">
      <c r="A4836" s="3"/>
      <c r="B4836" s="3"/>
      <c r="C4836" s="3"/>
    </row>
    <row r="4837">
      <c r="A4837" s="3"/>
      <c r="B4837" s="3"/>
      <c r="C4837" s="3"/>
    </row>
    <row r="4838">
      <c r="A4838" s="3"/>
      <c r="B4838" s="3"/>
      <c r="C4838" s="3"/>
    </row>
    <row r="4839">
      <c r="A4839" s="3"/>
      <c r="B4839" s="3"/>
      <c r="C4839" s="3"/>
    </row>
    <row r="4840">
      <c r="A4840" s="3"/>
      <c r="B4840" s="3"/>
      <c r="C4840" s="3"/>
    </row>
    <row r="4841">
      <c r="A4841" s="3"/>
      <c r="B4841" s="3"/>
      <c r="C4841" s="3"/>
    </row>
    <row r="4842">
      <c r="A4842" s="3"/>
      <c r="B4842" s="3"/>
      <c r="C4842" s="3"/>
    </row>
    <row r="4843">
      <c r="A4843" s="3"/>
      <c r="B4843" s="3"/>
      <c r="C4843" s="3"/>
    </row>
    <row r="4844">
      <c r="A4844" s="3"/>
      <c r="B4844" s="3"/>
      <c r="C4844" s="3"/>
    </row>
    <row r="4845">
      <c r="A4845" s="3"/>
      <c r="B4845" s="3"/>
      <c r="C4845" s="3"/>
    </row>
    <row r="4846">
      <c r="A4846" s="3"/>
      <c r="B4846" s="3"/>
      <c r="C4846" s="3"/>
    </row>
    <row r="4847">
      <c r="A4847" s="3"/>
      <c r="B4847" s="3"/>
      <c r="C4847" s="3"/>
    </row>
    <row r="4848">
      <c r="A4848" s="3"/>
      <c r="B4848" s="3"/>
      <c r="C4848" s="3"/>
    </row>
    <row r="4849">
      <c r="A4849" s="3"/>
      <c r="B4849" s="3"/>
      <c r="C4849" s="3"/>
    </row>
    <row r="4850">
      <c r="A4850" s="3"/>
      <c r="B4850" s="3"/>
      <c r="C4850" s="3"/>
    </row>
    <row r="4851">
      <c r="A4851" s="3"/>
      <c r="B4851" s="3"/>
      <c r="C4851" s="3"/>
    </row>
    <row r="4852">
      <c r="A4852" s="3"/>
      <c r="B4852" s="3"/>
      <c r="C4852" s="3"/>
    </row>
    <row r="4853">
      <c r="A4853" s="3"/>
      <c r="B4853" s="3"/>
      <c r="C4853" s="3"/>
    </row>
    <row r="4854">
      <c r="A4854" s="3"/>
      <c r="B4854" s="3"/>
      <c r="C4854" s="3"/>
    </row>
    <row r="4855">
      <c r="A4855" s="3"/>
      <c r="B4855" s="3"/>
      <c r="C4855" s="3"/>
    </row>
    <row r="4856">
      <c r="A4856" s="3"/>
      <c r="B4856" s="3"/>
      <c r="C4856" s="3"/>
    </row>
    <row r="4857">
      <c r="A4857" s="3"/>
      <c r="B4857" s="3"/>
      <c r="C4857" s="3"/>
    </row>
    <row r="4858">
      <c r="A4858" s="3"/>
      <c r="B4858" s="3"/>
      <c r="C4858" s="3"/>
    </row>
    <row r="4859">
      <c r="A4859" s="3"/>
      <c r="B4859" s="3"/>
      <c r="C4859" s="3"/>
    </row>
    <row r="4860">
      <c r="A4860" s="3"/>
      <c r="B4860" s="3"/>
      <c r="C4860" s="3"/>
    </row>
    <row r="4861">
      <c r="A4861" s="3"/>
      <c r="B4861" s="3"/>
      <c r="C4861" s="3"/>
    </row>
    <row r="4862">
      <c r="A4862" s="3"/>
      <c r="B4862" s="3"/>
      <c r="C4862" s="3"/>
    </row>
    <row r="4863">
      <c r="A4863" s="3"/>
      <c r="B4863" s="3"/>
      <c r="C4863" s="3"/>
    </row>
    <row r="4864">
      <c r="A4864" s="3"/>
      <c r="B4864" s="3"/>
      <c r="C4864" s="3"/>
    </row>
    <row r="4865">
      <c r="A4865" s="3"/>
      <c r="B4865" s="3"/>
      <c r="C4865" s="3"/>
    </row>
    <row r="4866">
      <c r="A4866" s="3"/>
      <c r="B4866" s="3"/>
      <c r="C4866" s="3"/>
    </row>
    <row r="4867">
      <c r="A4867" s="3"/>
      <c r="B4867" s="3"/>
      <c r="C4867" s="3"/>
    </row>
    <row r="4868">
      <c r="A4868" s="3"/>
      <c r="B4868" s="3"/>
      <c r="C4868" s="3"/>
    </row>
    <row r="4869">
      <c r="A4869" s="3"/>
      <c r="B4869" s="3"/>
      <c r="C4869" s="3"/>
    </row>
    <row r="4870">
      <c r="A4870" s="3"/>
      <c r="B4870" s="3"/>
      <c r="C4870" s="3"/>
    </row>
    <row r="4871">
      <c r="A4871" s="3"/>
      <c r="B4871" s="3"/>
      <c r="C4871" s="3"/>
    </row>
    <row r="4872">
      <c r="A4872" s="3"/>
      <c r="B4872" s="3"/>
      <c r="C4872" s="3"/>
    </row>
    <row r="4873">
      <c r="A4873" s="3"/>
      <c r="B4873" s="3"/>
      <c r="C4873" s="3"/>
    </row>
    <row r="4874">
      <c r="A4874" s="3"/>
      <c r="B4874" s="3"/>
      <c r="C4874" s="3"/>
    </row>
    <row r="4875">
      <c r="A4875" s="3"/>
      <c r="B4875" s="3"/>
      <c r="C4875" s="3"/>
    </row>
    <row r="4876">
      <c r="A4876" s="3"/>
      <c r="B4876" s="3"/>
      <c r="C4876" s="3"/>
    </row>
    <row r="4877">
      <c r="A4877" s="3"/>
      <c r="B4877" s="3"/>
      <c r="C4877" s="3"/>
    </row>
    <row r="4878">
      <c r="A4878" s="3"/>
      <c r="B4878" s="3"/>
      <c r="C4878" s="3"/>
    </row>
    <row r="4879">
      <c r="A4879" s="3"/>
      <c r="B4879" s="3"/>
      <c r="C4879" s="3"/>
    </row>
    <row r="4880">
      <c r="A4880" s="3"/>
      <c r="B4880" s="3"/>
      <c r="C4880" s="3"/>
    </row>
    <row r="4881">
      <c r="A4881" s="3"/>
      <c r="B4881" s="3"/>
      <c r="C4881" s="3"/>
    </row>
    <row r="4882">
      <c r="A4882" s="3"/>
      <c r="B4882" s="3"/>
      <c r="C4882" s="3"/>
    </row>
    <row r="4883">
      <c r="A4883" s="3"/>
      <c r="B4883" s="3"/>
      <c r="C4883" s="3"/>
    </row>
    <row r="4884">
      <c r="A4884" s="3"/>
      <c r="B4884" s="3"/>
      <c r="C4884" s="3"/>
    </row>
    <row r="4885">
      <c r="A4885" s="3"/>
      <c r="B4885" s="3"/>
      <c r="C4885" s="3"/>
    </row>
    <row r="4886">
      <c r="A4886" s="3"/>
      <c r="B4886" s="3"/>
      <c r="C4886" s="3"/>
    </row>
    <row r="4887">
      <c r="A4887" s="3"/>
      <c r="B4887" s="3"/>
      <c r="C4887" s="3"/>
    </row>
    <row r="4888">
      <c r="A4888" s="3"/>
      <c r="B4888" s="3"/>
      <c r="C4888" s="3"/>
    </row>
    <row r="4889">
      <c r="A4889" s="3"/>
      <c r="B4889" s="3"/>
      <c r="C4889" s="3"/>
    </row>
    <row r="4890">
      <c r="A4890" s="3"/>
      <c r="B4890" s="3"/>
      <c r="C4890" s="3"/>
    </row>
    <row r="4891">
      <c r="A4891" s="3"/>
      <c r="B4891" s="3"/>
      <c r="C4891" s="3"/>
    </row>
    <row r="4892">
      <c r="A4892" s="3"/>
      <c r="B4892" s="3"/>
      <c r="C4892" s="3"/>
    </row>
    <row r="4893">
      <c r="A4893" s="3"/>
      <c r="B4893" s="3"/>
      <c r="C4893" s="3"/>
    </row>
    <row r="4894">
      <c r="A4894" s="3"/>
      <c r="B4894" s="3"/>
      <c r="C4894" s="3"/>
    </row>
    <row r="4895">
      <c r="A4895" s="3"/>
      <c r="B4895" s="3"/>
      <c r="C4895" s="3"/>
    </row>
    <row r="4896">
      <c r="A4896" s="3"/>
      <c r="B4896" s="3"/>
      <c r="C4896" s="3"/>
    </row>
    <row r="4897">
      <c r="A4897" s="3"/>
      <c r="B4897" s="3"/>
      <c r="C4897" s="3"/>
    </row>
    <row r="4898">
      <c r="A4898" s="3"/>
      <c r="B4898" s="3"/>
      <c r="C4898" s="3"/>
    </row>
    <row r="4899">
      <c r="A4899" s="3"/>
      <c r="B4899" s="3"/>
      <c r="C4899" s="3"/>
    </row>
    <row r="4900">
      <c r="A4900" s="3"/>
      <c r="B4900" s="3"/>
      <c r="C4900" s="3"/>
    </row>
    <row r="4901">
      <c r="A4901" s="3"/>
      <c r="B4901" s="3"/>
      <c r="C4901" s="3"/>
    </row>
    <row r="4902">
      <c r="A4902" s="3"/>
      <c r="B4902" s="3"/>
      <c r="C4902" s="3"/>
    </row>
    <row r="4903">
      <c r="A4903" s="3"/>
      <c r="B4903" s="3"/>
      <c r="C4903" s="3"/>
    </row>
    <row r="4904">
      <c r="A4904" s="3"/>
      <c r="B4904" s="3"/>
      <c r="C4904" s="3"/>
    </row>
    <row r="4905">
      <c r="A4905" s="3"/>
      <c r="B4905" s="3"/>
      <c r="C4905" s="3"/>
    </row>
    <row r="4906">
      <c r="A4906" s="3"/>
      <c r="B4906" s="3"/>
      <c r="C4906" s="3"/>
    </row>
    <row r="4907">
      <c r="A4907" s="3"/>
      <c r="B4907" s="3"/>
      <c r="C4907" s="3"/>
    </row>
    <row r="4908">
      <c r="A4908" s="3"/>
      <c r="B4908" s="3"/>
      <c r="C4908" s="3"/>
    </row>
    <row r="4909">
      <c r="A4909" s="3"/>
      <c r="B4909" s="3"/>
      <c r="C4909" s="3"/>
    </row>
    <row r="4910">
      <c r="A4910" s="3"/>
      <c r="B4910" s="3"/>
      <c r="C4910" s="3"/>
    </row>
    <row r="4911">
      <c r="A4911" s="3"/>
      <c r="B4911" s="3"/>
      <c r="C4911" s="3"/>
    </row>
    <row r="4912">
      <c r="A4912" s="3"/>
      <c r="B4912" s="3"/>
      <c r="C4912" s="3"/>
    </row>
    <row r="4913">
      <c r="A4913" s="3"/>
      <c r="B4913" s="3"/>
      <c r="C4913" s="3"/>
    </row>
    <row r="4914">
      <c r="A4914" s="3"/>
      <c r="B4914" s="3"/>
      <c r="C4914" s="3"/>
    </row>
    <row r="4915">
      <c r="A4915" s="3"/>
      <c r="B4915" s="3"/>
      <c r="C4915" s="3"/>
    </row>
    <row r="4916">
      <c r="A4916" s="3"/>
      <c r="B4916" s="3"/>
      <c r="C4916" s="3"/>
    </row>
    <row r="4917">
      <c r="A4917" s="3"/>
      <c r="B4917" s="3"/>
      <c r="C4917" s="3"/>
    </row>
    <row r="4918">
      <c r="A4918" s="3"/>
      <c r="B4918" s="3"/>
      <c r="C4918" s="3"/>
    </row>
    <row r="4919">
      <c r="A4919" s="3"/>
      <c r="B4919" s="3"/>
      <c r="C4919" s="3"/>
    </row>
    <row r="4920">
      <c r="A4920" s="3"/>
      <c r="B4920" s="3"/>
      <c r="C4920" s="3"/>
    </row>
    <row r="4921">
      <c r="A4921" s="3"/>
      <c r="B4921" s="3"/>
      <c r="C4921" s="3"/>
    </row>
    <row r="4922">
      <c r="A4922" s="3"/>
      <c r="B4922" s="3"/>
      <c r="C4922" s="3"/>
    </row>
    <row r="4923">
      <c r="A4923" s="3"/>
      <c r="B4923" s="3"/>
      <c r="C4923" s="3"/>
    </row>
    <row r="4924">
      <c r="A4924" s="3"/>
      <c r="B4924" s="3"/>
      <c r="C4924" s="3"/>
    </row>
    <row r="4925">
      <c r="A4925" s="3"/>
      <c r="B4925" s="3"/>
      <c r="C4925" s="3"/>
    </row>
    <row r="4926">
      <c r="A4926" s="3"/>
      <c r="B4926" s="3"/>
      <c r="C4926" s="3"/>
    </row>
    <row r="4927">
      <c r="A4927" s="3"/>
      <c r="B4927" s="3"/>
      <c r="C4927" s="3"/>
    </row>
    <row r="4928">
      <c r="A4928" s="3"/>
      <c r="B4928" s="3"/>
      <c r="C4928" s="3"/>
    </row>
    <row r="4929">
      <c r="A4929" s="3"/>
      <c r="B4929" s="3"/>
      <c r="C4929" s="3"/>
    </row>
    <row r="4930">
      <c r="A4930" s="3"/>
      <c r="B4930" s="3"/>
      <c r="C4930" s="3"/>
    </row>
    <row r="4931">
      <c r="A4931" s="3"/>
      <c r="B4931" s="3"/>
      <c r="C4931" s="3"/>
    </row>
    <row r="4932">
      <c r="A4932" s="3"/>
      <c r="B4932" s="3"/>
      <c r="C4932" s="3"/>
    </row>
    <row r="4933">
      <c r="A4933" s="3"/>
      <c r="B4933" s="3"/>
      <c r="C4933" s="3"/>
    </row>
    <row r="4934">
      <c r="A4934" s="3"/>
      <c r="B4934" s="3"/>
      <c r="C4934" s="3"/>
    </row>
    <row r="4935">
      <c r="A4935" s="3"/>
      <c r="B4935" s="3"/>
      <c r="C4935" s="3"/>
    </row>
    <row r="4936">
      <c r="A4936" s="3"/>
      <c r="B4936" s="3"/>
      <c r="C4936" s="3"/>
    </row>
    <row r="4937">
      <c r="A4937" s="3"/>
      <c r="B4937" s="3"/>
      <c r="C4937" s="3"/>
    </row>
    <row r="4938">
      <c r="A4938" s="3"/>
      <c r="B4938" s="3"/>
      <c r="C4938" s="3"/>
    </row>
    <row r="4939">
      <c r="A4939" s="3"/>
      <c r="B4939" s="3"/>
      <c r="C4939" s="3"/>
    </row>
    <row r="4940">
      <c r="A4940" s="3"/>
      <c r="B4940" s="3"/>
      <c r="C4940" s="3"/>
    </row>
    <row r="4941">
      <c r="A4941" s="3"/>
      <c r="B4941" s="3"/>
      <c r="C4941" s="3"/>
    </row>
    <row r="4942">
      <c r="A4942" s="3"/>
      <c r="B4942" s="3"/>
      <c r="C4942" s="3"/>
    </row>
    <row r="4943">
      <c r="A4943" s="3"/>
      <c r="B4943" s="3"/>
      <c r="C4943" s="3"/>
    </row>
    <row r="4944">
      <c r="A4944" s="3"/>
      <c r="B4944" s="3"/>
      <c r="C4944" s="3"/>
    </row>
    <row r="4945">
      <c r="A4945" s="3"/>
      <c r="B4945" s="3"/>
      <c r="C4945" s="3"/>
    </row>
    <row r="4946">
      <c r="A4946" s="3"/>
      <c r="B4946" s="3"/>
      <c r="C4946" s="3"/>
    </row>
    <row r="4947">
      <c r="A4947" s="3"/>
      <c r="B4947" s="3"/>
      <c r="C4947" s="3"/>
    </row>
    <row r="4948">
      <c r="A4948" s="3"/>
      <c r="B4948" s="3"/>
      <c r="C4948" s="3"/>
    </row>
    <row r="4949">
      <c r="A4949" s="3"/>
      <c r="B4949" s="3"/>
      <c r="C4949" s="3"/>
    </row>
    <row r="4950">
      <c r="A4950" s="3"/>
      <c r="B4950" s="3"/>
      <c r="C4950" s="3"/>
    </row>
    <row r="4951">
      <c r="A4951" s="3"/>
      <c r="B4951" s="3"/>
      <c r="C4951" s="3"/>
    </row>
    <row r="4952">
      <c r="A4952" s="3"/>
      <c r="B4952" s="3"/>
      <c r="C4952" s="3"/>
    </row>
    <row r="4953">
      <c r="A4953" s="3"/>
      <c r="B4953" s="3"/>
      <c r="C4953" s="3"/>
    </row>
    <row r="4954">
      <c r="A4954" s="3"/>
      <c r="B4954" s="3"/>
      <c r="C4954" s="3"/>
    </row>
    <row r="4955">
      <c r="A4955" s="3"/>
      <c r="B4955" s="3"/>
      <c r="C4955" s="3"/>
    </row>
    <row r="4956">
      <c r="A4956" s="3"/>
      <c r="B4956" s="3"/>
      <c r="C4956" s="3"/>
    </row>
    <row r="4957">
      <c r="A4957" s="3"/>
      <c r="B4957" s="3"/>
      <c r="C4957" s="3"/>
    </row>
    <row r="4958">
      <c r="A4958" s="3"/>
      <c r="B4958" s="3"/>
      <c r="C4958" s="3"/>
    </row>
    <row r="4959">
      <c r="A4959" s="3"/>
      <c r="B4959" s="3"/>
      <c r="C4959" s="3"/>
    </row>
    <row r="4960">
      <c r="A4960" s="3"/>
      <c r="B4960" s="3"/>
      <c r="C4960" s="3"/>
    </row>
    <row r="4961">
      <c r="A4961" s="3"/>
      <c r="B4961" s="3"/>
      <c r="C4961" s="3"/>
    </row>
    <row r="4962">
      <c r="A4962" s="3"/>
      <c r="B4962" s="3"/>
      <c r="C4962" s="3"/>
    </row>
    <row r="4963">
      <c r="A4963" s="3"/>
      <c r="B4963" s="3"/>
      <c r="C4963" s="3"/>
    </row>
    <row r="4964">
      <c r="A4964" s="3"/>
      <c r="B4964" s="3"/>
      <c r="C4964" s="3"/>
    </row>
    <row r="4965">
      <c r="A4965" s="3"/>
      <c r="B4965" s="3"/>
      <c r="C4965" s="3"/>
    </row>
    <row r="4966">
      <c r="A4966" s="3"/>
      <c r="B4966" s="3"/>
      <c r="C4966" s="3"/>
    </row>
    <row r="4967">
      <c r="A4967" s="3"/>
      <c r="B4967" s="3"/>
      <c r="C4967" s="3"/>
    </row>
    <row r="4968">
      <c r="A4968" s="3"/>
      <c r="B4968" s="3"/>
      <c r="C4968" s="3"/>
    </row>
    <row r="4969">
      <c r="A4969" s="3"/>
      <c r="B4969" s="3"/>
      <c r="C4969" s="3"/>
    </row>
    <row r="4970">
      <c r="A4970" s="3"/>
      <c r="B4970" s="3"/>
      <c r="C4970" s="3"/>
    </row>
    <row r="4971">
      <c r="A4971" s="3"/>
      <c r="B4971" s="3"/>
      <c r="C4971" s="3"/>
    </row>
    <row r="4972">
      <c r="A4972" s="3"/>
      <c r="B4972" s="3"/>
      <c r="C4972" s="3"/>
    </row>
    <row r="4973">
      <c r="A4973" s="3"/>
      <c r="B4973" s="3"/>
      <c r="C4973" s="3"/>
    </row>
    <row r="4974">
      <c r="A4974" s="3"/>
      <c r="B4974" s="3"/>
      <c r="C4974" s="3"/>
    </row>
    <row r="4975">
      <c r="A4975" s="3"/>
      <c r="B4975" s="3"/>
      <c r="C4975" s="3"/>
    </row>
    <row r="4976">
      <c r="A4976" s="3"/>
      <c r="B4976" s="3"/>
      <c r="C4976" s="3"/>
    </row>
    <row r="4977">
      <c r="A4977" s="3"/>
      <c r="B4977" s="3"/>
      <c r="C4977" s="3"/>
    </row>
    <row r="4978">
      <c r="A4978" s="3"/>
      <c r="B4978" s="3"/>
      <c r="C4978" s="3"/>
    </row>
    <row r="4979">
      <c r="A4979" s="3"/>
      <c r="B4979" s="3"/>
      <c r="C4979" s="3"/>
    </row>
    <row r="4980">
      <c r="A4980" s="3"/>
      <c r="B4980" s="3"/>
      <c r="C4980" s="3"/>
    </row>
    <row r="4981">
      <c r="A4981" s="3"/>
      <c r="B4981" s="3"/>
      <c r="C4981" s="3"/>
    </row>
    <row r="4982">
      <c r="A4982" s="3"/>
      <c r="B4982" s="3"/>
      <c r="C4982" s="3"/>
    </row>
    <row r="4983">
      <c r="A4983" s="3"/>
      <c r="B4983" s="3"/>
      <c r="C4983" s="3"/>
    </row>
    <row r="4984">
      <c r="A4984" s="3"/>
      <c r="B4984" s="3"/>
      <c r="C4984" s="3"/>
    </row>
    <row r="4985">
      <c r="A4985" s="3"/>
      <c r="B4985" s="3"/>
      <c r="C4985" s="3"/>
    </row>
    <row r="4986">
      <c r="A4986" s="3"/>
      <c r="B4986" s="3"/>
      <c r="C4986" s="3"/>
    </row>
    <row r="4987">
      <c r="A4987" s="3"/>
      <c r="B4987" s="3"/>
      <c r="C4987" s="3"/>
    </row>
    <row r="4988">
      <c r="A4988" s="3"/>
      <c r="B4988" s="3"/>
      <c r="C4988" s="3"/>
    </row>
    <row r="4989">
      <c r="A4989" s="3"/>
      <c r="B4989" s="3"/>
      <c r="C4989" s="3"/>
    </row>
    <row r="4990">
      <c r="A4990" s="3"/>
      <c r="B4990" s="3"/>
      <c r="C4990" s="3"/>
    </row>
    <row r="4991">
      <c r="A4991" s="3"/>
      <c r="B4991" s="3"/>
      <c r="C4991" s="3"/>
    </row>
    <row r="4992">
      <c r="A4992" s="3"/>
      <c r="B4992" s="3"/>
      <c r="C4992" s="3"/>
    </row>
    <row r="4993">
      <c r="A4993" s="3"/>
      <c r="B4993" s="3"/>
      <c r="C4993" s="3"/>
    </row>
    <row r="4994">
      <c r="A4994" s="3"/>
      <c r="B4994" s="3"/>
      <c r="C4994" s="3"/>
    </row>
    <row r="4995">
      <c r="A4995" s="3"/>
      <c r="B4995" s="3"/>
      <c r="C4995" s="3"/>
    </row>
    <row r="4996">
      <c r="A4996" s="3"/>
      <c r="B4996" s="3"/>
      <c r="C4996" s="3"/>
    </row>
    <row r="4997">
      <c r="A4997" s="3"/>
      <c r="B4997" s="3"/>
      <c r="C4997" s="3"/>
    </row>
    <row r="4998">
      <c r="A4998" s="3"/>
      <c r="B4998" s="3"/>
      <c r="C4998" s="3"/>
    </row>
    <row r="4999">
      <c r="A4999" s="3"/>
      <c r="B4999" s="3"/>
      <c r="C4999" s="3"/>
    </row>
    <row r="5000">
      <c r="A5000" s="3"/>
      <c r="B5000" s="3"/>
      <c r="C5000" s="3"/>
    </row>
    <row r="5001">
      <c r="A5001" s="3"/>
      <c r="B5001" s="3"/>
      <c r="C5001" s="3"/>
    </row>
    <row r="5002">
      <c r="A5002" s="3"/>
      <c r="B5002" s="3"/>
      <c r="C5002" s="3"/>
    </row>
    <row r="5003">
      <c r="A5003" s="3"/>
      <c r="B5003" s="3"/>
      <c r="C5003" s="3"/>
    </row>
    <row r="5004">
      <c r="A5004" s="3"/>
      <c r="B5004" s="3"/>
      <c r="C5004" s="3"/>
    </row>
    <row r="5005">
      <c r="A5005" s="3"/>
      <c r="B5005" s="3"/>
      <c r="C5005" s="3"/>
    </row>
    <row r="5006">
      <c r="A5006" s="3"/>
      <c r="B5006" s="3"/>
      <c r="C5006" s="3"/>
    </row>
    <row r="5007">
      <c r="A5007" s="3"/>
      <c r="B5007" s="3"/>
      <c r="C5007" s="3"/>
    </row>
    <row r="5008">
      <c r="A5008" s="3"/>
      <c r="B5008" s="3"/>
      <c r="C5008" s="3"/>
    </row>
    <row r="5009">
      <c r="A5009" s="3"/>
      <c r="B5009" s="3"/>
      <c r="C5009" s="3"/>
    </row>
    <row r="5010">
      <c r="A5010" s="3"/>
      <c r="B5010" s="3"/>
      <c r="C5010" s="3"/>
    </row>
    <row r="5011">
      <c r="A5011" s="3"/>
      <c r="B5011" s="3"/>
      <c r="C5011" s="3"/>
    </row>
    <row r="5012">
      <c r="A5012" s="3"/>
      <c r="B5012" s="3"/>
      <c r="C5012" s="3"/>
    </row>
    <row r="5013">
      <c r="A5013" s="3"/>
      <c r="B5013" s="3"/>
      <c r="C5013" s="3"/>
    </row>
    <row r="5014">
      <c r="A5014" s="3"/>
      <c r="B5014" s="3"/>
      <c r="C5014" s="3"/>
    </row>
    <row r="5015">
      <c r="A5015" s="3"/>
      <c r="B5015" s="3"/>
      <c r="C5015" s="3"/>
    </row>
    <row r="5016">
      <c r="A5016" s="3"/>
      <c r="B5016" s="3"/>
      <c r="C5016" s="3"/>
    </row>
    <row r="5017">
      <c r="A5017" s="3"/>
      <c r="B5017" s="3"/>
      <c r="C5017" s="3"/>
    </row>
    <row r="5018">
      <c r="A5018" s="3"/>
      <c r="B5018" s="3"/>
      <c r="C5018" s="3"/>
    </row>
    <row r="5019">
      <c r="A5019" s="3"/>
      <c r="B5019" s="3"/>
      <c r="C5019" s="3"/>
    </row>
    <row r="5020">
      <c r="A5020" s="3"/>
      <c r="B5020" s="3"/>
      <c r="C5020" s="3"/>
    </row>
    <row r="5021">
      <c r="A5021" s="3"/>
      <c r="B5021" s="3"/>
      <c r="C5021" s="3"/>
    </row>
    <row r="5022">
      <c r="A5022" s="3"/>
      <c r="B5022" s="3"/>
      <c r="C5022" s="3"/>
    </row>
    <row r="5023">
      <c r="A5023" s="3"/>
      <c r="B5023" s="3"/>
      <c r="C5023" s="3"/>
    </row>
    <row r="5024">
      <c r="A5024" s="3"/>
      <c r="B5024" s="3"/>
      <c r="C5024" s="3"/>
    </row>
    <row r="5025">
      <c r="A5025" s="3"/>
      <c r="B5025" s="3"/>
      <c r="C5025" s="3"/>
    </row>
    <row r="5026">
      <c r="A5026" s="3"/>
      <c r="B5026" s="3"/>
      <c r="C5026" s="3"/>
    </row>
    <row r="5027">
      <c r="A5027" s="3"/>
      <c r="B5027" s="3"/>
      <c r="C5027" s="3"/>
    </row>
    <row r="5028">
      <c r="A5028" s="3"/>
      <c r="B5028" s="3"/>
      <c r="C5028" s="3"/>
    </row>
    <row r="5029">
      <c r="A5029" s="3"/>
      <c r="B5029" s="3"/>
      <c r="C5029" s="3"/>
    </row>
    <row r="5030">
      <c r="A5030" s="3"/>
      <c r="B5030" s="3"/>
      <c r="C5030" s="3"/>
    </row>
    <row r="5031">
      <c r="A5031" s="3"/>
      <c r="B5031" s="3"/>
      <c r="C5031" s="3"/>
    </row>
    <row r="5032">
      <c r="A5032" s="3"/>
      <c r="B5032" s="3"/>
      <c r="C5032" s="3"/>
    </row>
    <row r="5033">
      <c r="A5033" s="3"/>
      <c r="B5033" s="3"/>
      <c r="C5033" s="3"/>
    </row>
    <row r="5034">
      <c r="A5034" s="3"/>
      <c r="B5034" s="3"/>
      <c r="C5034" s="3"/>
    </row>
    <row r="5035">
      <c r="A5035" s="3"/>
      <c r="B5035" s="3"/>
      <c r="C5035" s="3"/>
    </row>
    <row r="5036">
      <c r="A5036" s="3"/>
      <c r="B5036" s="3"/>
      <c r="C5036" s="3"/>
    </row>
    <row r="5037">
      <c r="A5037" s="3"/>
      <c r="B5037" s="3"/>
      <c r="C5037" s="3"/>
    </row>
    <row r="5038">
      <c r="A5038" s="3"/>
      <c r="B5038" s="3"/>
      <c r="C5038" s="3"/>
    </row>
    <row r="5039">
      <c r="A5039" s="3"/>
      <c r="B5039" s="3"/>
      <c r="C5039" s="3"/>
    </row>
    <row r="5040">
      <c r="A5040" s="3"/>
      <c r="B5040" s="3"/>
      <c r="C5040" s="3"/>
    </row>
    <row r="5041">
      <c r="A5041" s="3"/>
      <c r="B5041" s="3"/>
      <c r="C5041" s="3"/>
    </row>
    <row r="5042">
      <c r="A5042" s="3"/>
      <c r="B5042" s="3"/>
      <c r="C5042" s="3"/>
    </row>
    <row r="5043">
      <c r="A5043" s="3"/>
      <c r="B5043" s="3"/>
      <c r="C5043" s="3"/>
    </row>
    <row r="5044">
      <c r="A5044" s="3"/>
      <c r="B5044" s="3"/>
      <c r="C5044" s="3"/>
    </row>
    <row r="5045">
      <c r="A5045" s="3"/>
      <c r="B5045" s="3"/>
      <c r="C5045" s="3"/>
    </row>
    <row r="5046">
      <c r="A5046" s="3"/>
      <c r="B5046" s="3"/>
      <c r="C5046" s="3"/>
    </row>
    <row r="5047">
      <c r="A5047" s="3"/>
      <c r="B5047" s="3"/>
      <c r="C5047" s="3"/>
    </row>
    <row r="5048">
      <c r="A5048" s="3"/>
      <c r="B5048" s="3"/>
      <c r="C5048" s="3"/>
    </row>
    <row r="5049">
      <c r="A5049" s="3"/>
      <c r="B5049" s="3"/>
      <c r="C5049" s="3"/>
    </row>
    <row r="5050">
      <c r="A5050" s="3"/>
      <c r="B5050" s="3"/>
      <c r="C5050" s="3"/>
    </row>
    <row r="5051">
      <c r="A5051" s="3"/>
      <c r="B5051" s="3"/>
      <c r="C5051" s="3"/>
    </row>
    <row r="5052">
      <c r="A5052" s="3"/>
      <c r="B5052" s="3"/>
      <c r="C5052" s="3"/>
    </row>
    <row r="5053">
      <c r="A5053" s="3"/>
      <c r="B5053" s="3"/>
      <c r="C5053" s="3"/>
    </row>
    <row r="5054">
      <c r="A5054" s="3"/>
      <c r="B5054" s="3"/>
      <c r="C5054" s="3"/>
    </row>
    <row r="5055">
      <c r="A5055" s="3"/>
      <c r="B5055" s="3"/>
      <c r="C5055" s="3"/>
    </row>
    <row r="5056">
      <c r="A5056" s="3"/>
      <c r="B5056" s="3"/>
      <c r="C5056" s="3"/>
    </row>
    <row r="5057">
      <c r="A5057" s="3"/>
      <c r="B5057" s="3"/>
      <c r="C5057" s="3"/>
    </row>
    <row r="5058">
      <c r="A5058" s="3"/>
      <c r="B5058" s="3"/>
      <c r="C5058" s="3"/>
    </row>
    <row r="5059">
      <c r="A5059" s="3"/>
      <c r="B5059" s="3"/>
      <c r="C5059" s="3"/>
    </row>
    <row r="5060">
      <c r="A5060" s="3"/>
      <c r="B5060" s="3"/>
      <c r="C5060" s="3"/>
    </row>
    <row r="5061">
      <c r="A5061" s="3"/>
      <c r="B5061" s="3"/>
      <c r="C5061" s="3"/>
    </row>
    <row r="5062">
      <c r="A5062" s="3"/>
      <c r="B5062" s="3"/>
      <c r="C5062" s="3"/>
    </row>
    <row r="5063">
      <c r="A5063" s="3"/>
      <c r="B5063" s="3"/>
      <c r="C5063" s="3"/>
    </row>
    <row r="5064">
      <c r="A5064" s="3"/>
      <c r="B5064" s="3"/>
      <c r="C5064" s="3"/>
    </row>
    <row r="5065">
      <c r="A5065" s="3"/>
      <c r="B5065" s="3"/>
      <c r="C5065" s="3"/>
    </row>
    <row r="5066">
      <c r="A5066" s="3"/>
      <c r="B5066" s="3"/>
      <c r="C5066" s="3"/>
    </row>
    <row r="5067">
      <c r="A5067" s="3"/>
      <c r="B5067" s="3"/>
      <c r="C5067" s="3"/>
    </row>
    <row r="5068">
      <c r="A5068" s="3"/>
      <c r="B5068" s="3"/>
      <c r="C5068" s="3"/>
    </row>
    <row r="5069">
      <c r="A5069" s="3"/>
      <c r="B5069" s="3"/>
      <c r="C5069" s="3"/>
    </row>
    <row r="5070">
      <c r="A5070" s="3"/>
      <c r="B5070" s="3"/>
      <c r="C5070" s="3"/>
    </row>
    <row r="5071">
      <c r="A5071" s="3"/>
      <c r="B5071" s="3"/>
      <c r="C5071" s="3"/>
    </row>
    <row r="5072">
      <c r="A5072" s="3"/>
      <c r="B5072" s="3"/>
      <c r="C5072" s="3"/>
    </row>
    <row r="5073">
      <c r="A5073" s="3"/>
      <c r="B5073" s="3"/>
      <c r="C5073" s="3"/>
    </row>
    <row r="5074">
      <c r="A5074" s="3"/>
      <c r="B5074" s="3"/>
      <c r="C5074" s="3"/>
    </row>
    <row r="5075">
      <c r="A5075" s="3"/>
      <c r="B5075" s="3"/>
      <c r="C5075" s="3"/>
    </row>
    <row r="5076">
      <c r="A5076" s="3"/>
      <c r="B5076" s="3"/>
      <c r="C5076" s="3"/>
    </row>
    <row r="5077">
      <c r="A5077" s="3"/>
      <c r="B5077" s="3"/>
      <c r="C5077" s="3"/>
    </row>
    <row r="5078">
      <c r="A5078" s="3"/>
      <c r="B5078" s="3"/>
      <c r="C5078" s="3"/>
    </row>
    <row r="5079">
      <c r="A5079" s="3"/>
      <c r="B5079" s="3"/>
      <c r="C5079" s="3"/>
    </row>
    <row r="5080">
      <c r="A5080" s="3"/>
      <c r="B5080" s="3"/>
      <c r="C5080" s="3"/>
    </row>
    <row r="5081">
      <c r="A5081" s="3"/>
      <c r="B5081" s="3"/>
      <c r="C5081" s="3"/>
    </row>
    <row r="5082">
      <c r="A5082" s="3"/>
      <c r="B5082" s="3"/>
      <c r="C5082" s="3"/>
    </row>
    <row r="5083">
      <c r="A5083" s="3"/>
      <c r="B5083" s="3"/>
      <c r="C5083" s="3"/>
    </row>
    <row r="5084">
      <c r="A5084" s="3"/>
      <c r="B5084" s="3"/>
      <c r="C5084" s="3"/>
    </row>
    <row r="5085">
      <c r="A5085" s="3"/>
      <c r="B5085" s="3"/>
      <c r="C5085" s="3"/>
    </row>
    <row r="5086">
      <c r="A5086" s="3"/>
      <c r="B5086" s="3"/>
      <c r="C5086" s="3"/>
    </row>
    <row r="5087">
      <c r="A5087" s="3"/>
      <c r="B5087" s="3"/>
      <c r="C5087" s="3"/>
    </row>
    <row r="5088">
      <c r="A5088" s="3"/>
      <c r="B5088" s="3"/>
      <c r="C5088" s="3"/>
    </row>
    <row r="5089">
      <c r="A5089" s="3"/>
      <c r="B5089" s="3"/>
      <c r="C5089" s="3"/>
    </row>
    <row r="5090">
      <c r="A5090" s="3"/>
      <c r="B5090" s="3"/>
      <c r="C5090" s="3"/>
    </row>
    <row r="5091">
      <c r="A5091" s="3"/>
      <c r="B5091" s="3"/>
      <c r="C5091" s="3"/>
    </row>
    <row r="5092">
      <c r="A5092" s="3"/>
      <c r="B5092" s="3"/>
      <c r="C5092" s="3"/>
    </row>
    <row r="5093">
      <c r="A5093" s="3"/>
      <c r="B5093" s="3"/>
      <c r="C5093" s="3"/>
    </row>
    <row r="5094">
      <c r="A5094" s="3"/>
      <c r="B5094" s="3"/>
      <c r="C5094" s="3"/>
    </row>
    <row r="5095">
      <c r="A5095" s="3"/>
      <c r="B5095" s="3"/>
      <c r="C5095" s="3"/>
    </row>
    <row r="5096">
      <c r="A5096" s="3"/>
      <c r="B5096" s="3"/>
      <c r="C5096" s="3"/>
    </row>
    <row r="5097">
      <c r="A5097" s="3"/>
      <c r="B5097" s="3"/>
      <c r="C5097" s="3"/>
    </row>
    <row r="5098">
      <c r="A5098" s="3"/>
      <c r="B5098" s="3"/>
      <c r="C5098" s="3"/>
    </row>
    <row r="5099">
      <c r="A5099" s="3"/>
      <c r="B5099" s="3"/>
      <c r="C5099" s="3"/>
    </row>
    <row r="5100">
      <c r="A5100" s="3"/>
      <c r="B5100" s="3"/>
      <c r="C5100" s="3"/>
    </row>
    <row r="5101">
      <c r="A5101" s="3"/>
      <c r="B5101" s="3"/>
      <c r="C5101" s="3"/>
    </row>
    <row r="5102">
      <c r="A5102" s="3"/>
      <c r="B5102" s="3"/>
      <c r="C5102" s="3"/>
    </row>
    <row r="5103">
      <c r="A5103" s="3"/>
      <c r="B5103" s="3"/>
      <c r="C5103" s="3"/>
    </row>
    <row r="5104">
      <c r="A5104" s="3"/>
      <c r="B5104" s="3"/>
      <c r="C5104" s="3"/>
    </row>
    <row r="5105">
      <c r="A5105" s="3"/>
      <c r="B5105" s="3"/>
      <c r="C5105" s="3"/>
    </row>
    <row r="5106">
      <c r="A5106" s="3"/>
      <c r="B5106" s="3"/>
      <c r="C5106" s="3"/>
    </row>
    <row r="5107">
      <c r="A5107" s="3"/>
      <c r="B5107" s="3"/>
      <c r="C5107" s="3"/>
    </row>
    <row r="5108">
      <c r="A5108" s="3"/>
      <c r="B5108" s="3"/>
      <c r="C5108" s="3"/>
    </row>
    <row r="5109">
      <c r="A5109" s="3"/>
      <c r="B5109" s="3"/>
      <c r="C5109" s="3"/>
    </row>
    <row r="5110">
      <c r="A5110" s="3"/>
      <c r="B5110" s="3"/>
      <c r="C5110" s="3"/>
    </row>
    <row r="5111">
      <c r="A5111" s="3"/>
      <c r="B5111" s="3"/>
      <c r="C5111" s="3"/>
    </row>
    <row r="5112">
      <c r="A5112" s="3"/>
      <c r="B5112" s="3"/>
      <c r="C5112" s="3"/>
    </row>
    <row r="5113">
      <c r="A5113" s="3"/>
      <c r="B5113" s="3"/>
      <c r="C5113" s="3"/>
    </row>
    <row r="5114">
      <c r="A5114" s="3"/>
      <c r="B5114" s="3"/>
      <c r="C5114" s="3"/>
    </row>
    <row r="5115">
      <c r="A5115" s="3"/>
      <c r="B5115" s="3"/>
      <c r="C5115" s="3"/>
    </row>
    <row r="5116">
      <c r="A5116" s="3"/>
      <c r="B5116" s="3"/>
      <c r="C5116" s="3"/>
    </row>
    <row r="5117">
      <c r="A5117" s="3"/>
      <c r="B5117" s="3"/>
      <c r="C5117" s="3"/>
    </row>
    <row r="5118">
      <c r="A5118" s="3"/>
      <c r="B5118" s="3"/>
      <c r="C5118" s="3"/>
    </row>
    <row r="5119">
      <c r="A5119" s="3"/>
      <c r="B5119" s="3"/>
      <c r="C5119" s="3"/>
    </row>
    <row r="5120">
      <c r="A5120" s="3"/>
      <c r="B5120" s="3"/>
      <c r="C5120" s="3"/>
    </row>
    <row r="5121">
      <c r="A5121" s="3"/>
      <c r="B5121" s="3"/>
      <c r="C5121" s="3"/>
    </row>
    <row r="5122">
      <c r="A5122" s="3"/>
      <c r="B5122" s="3"/>
      <c r="C5122" s="3"/>
    </row>
    <row r="5123">
      <c r="A5123" s="3"/>
      <c r="B5123" s="3"/>
      <c r="C5123" s="3"/>
    </row>
    <row r="5124">
      <c r="A5124" s="3"/>
      <c r="B5124" s="3"/>
      <c r="C5124" s="3"/>
    </row>
    <row r="5125">
      <c r="A5125" s="3"/>
      <c r="B5125" s="3"/>
      <c r="C5125" s="3"/>
    </row>
    <row r="5126">
      <c r="A5126" s="3"/>
      <c r="B5126" s="3"/>
      <c r="C5126" s="3"/>
    </row>
    <row r="5127">
      <c r="A5127" s="3"/>
      <c r="B5127" s="3"/>
      <c r="C5127" s="3"/>
    </row>
    <row r="5128">
      <c r="A5128" s="3"/>
      <c r="B5128" s="3"/>
      <c r="C5128" s="3"/>
    </row>
    <row r="5129">
      <c r="A5129" s="3"/>
      <c r="B5129" s="3"/>
      <c r="C5129" s="3"/>
    </row>
    <row r="5130">
      <c r="A5130" s="3"/>
      <c r="B5130" s="3"/>
      <c r="C5130" s="3"/>
    </row>
    <row r="5131">
      <c r="A5131" s="3"/>
      <c r="B5131" s="3"/>
      <c r="C5131" s="3"/>
    </row>
    <row r="5132">
      <c r="A5132" s="3"/>
      <c r="B5132" s="3"/>
      <c r="C5132" s="3"/>
    </row>
    <row r="5133">
      <c r="A5133" s="3"/>
      <c r="B5133" s="3"/>
      <c r="C5133" s="3"/>
    </row>
    <row r="5134">
      <c r="A5134" s="3"/>
      <c r="B5134" s="3"/>
      <c r="C5134" s="3"/>
    </row>
    <row r="5135">
      <c r="A5135" s="3"/>
      <c r="B5135" s="3"/>
      <c r="C5135" s="3"/>
    </row>
    <row r="5136">
      <c r="A5136" s="3"/>
      <c r="B5136" s="3"/>
      <c r="C5136" s="3"/>
    </row>
    <row r="5137">
      <c r="A5137" s="3"/>
      <c r="B5137" s="3"/>
      <c r="C5137" s="3"/>
    </row>
    <row r="5138">
      <c r="A5138" s="3"/>
      <c r="B5138" s="3"/>
      <c r="C5138" s="3"/>
    </row>
    <row r="5139">
      <c r="A5139" s="3"/>
      <c r="B5139" s="3"/>
      <c r="C5139" s="3"/>
    </row>
    <row r="5140">
      <c r="A5140" s="3"/>
      <c r="B5140" s="3"/>
      <c r="C5140" s="3"/>
    </row>
    <row r="5141">
      <c r="A5141" s="3"/>
      <c r="B5141" s="3"/>
      <c r="C5141" s="3"/>
    </row>
    <row r="5142">
      <c r="A5142" s="3"/>
      <c r="B5142" s="3"/>
      <c r="C5142" s="3"/>
    </row>
    <row r="5143">
      <c r="A5143" s="3"/>
      <c r="B5143" s="3"/>
      <c r="C5143" s="3"/>
    </row>
    <row r="5144">
      <c r="A5144" s="3"/>
      <c r="B5144" s="3"/>
      <c r="C5144" s="3"/>
    </row>
    <row r="5145">
      <c r="A5145" s="3"/>
      <c r="B5145" s="3"/>
      <c r="C5145" s="3"/>
    </row>
    <row r="5146">
      <c r="A5146" s="3"/>
      <c r="B5146" s="3"/>
      <c r="C5146" s="3"/>
    </row>
    <row r="5147">
      <c r="A5147" s="3"/>
      <c r="B5147" s="3"/>
      <c r="C5147" s="3"/>
    </row>
    <row r="5148">
      <c r="A5148" s="3"/>
      <c r="B5148" s="3"/>
      <c r="C5148" s="3"/>
    </row>
    <row r="5149">
      <c r="A5149" s="3"/>
      <c r="B5149" s="3"/>
      <c r="C5149" s="3"/>
    </row>
    <row r="5150">
      <c r="A5150" s="3"/>
      <c r="B5150" s="3"/>
      <c r="C5150" s="3"/>
    </row>
    <row r="5151">
      <c r="A5151" s="3"/>
      <c r="B5151" s="3"/>
      <c r="C5151" s="3"/>
    </row>
    <row r="5152">
      <c r="A5152" s="3"/>
      <c r="B5152" s="3"/>
      <c r="C5152" s="3"/>
    </row>
    <row r="5153">
      <c r="A5153" s="3"/>
      <c r="B5153" s="3"/>
      <c r="C5153" s="3"/>
    </row>
    <row r="5154">
      <c r="A5154" s="3"/>
      <c r="B5154" s="3"/>
      <c r="C5154" s="3"/>
    </row>
    <row r="5155">
      <c r="A5155" s="3"/>
      <c r="B5155" s="3"/>
      <c r="C5155" s="3"/>
    </row>
    <row r="5156">
      <c r="A5156" s="3"/>
      <c r="B5156" s="3"/>
      <c r="C5156" s="3"/>
    </row>
    <row r="5157">
      <c r="A5157" s="3"/>
      <c r="B5157" s="3"/>
      <c r="C5157" s="3"/>
    </row>
    <row r="5158">
      <c r="A5158" s="3"/>
      <c r="B5158" s="3"/>
      <c r="C5158" s="3"/>
    </row>
    <row r="5159">
      <c r="A5159" s="3"/>
      <c r="B5159" s="3"/>
      <c r="C5159" s="3"/>
    </row>
    <row r="5160">
      <c r="A5160" s="3"/>
      <c r="B5160" s="3"/>
      <c r="C5160" s="3"/>
    </row>
    <row r="5161">
      <c r="A5161" s="3"/>
      <c r="B5161" s="3"/>
      <c r="C5161" s="3"/>
    </row>
    <row r="5162">
      <c r="A5162" s="3"/>
      <c r="B5162" s="3"/>
      <c r="C5162" s="3"/>
    </row>
    <row r="5163">
      <c r="A5163" s="3"/>
      <c r="B5163" s="3"/>
      <c r="C5163" s="3"/>
    </row>
    <row r="5164">
      <c r="A5164" s="3"/>
      <c r="B5164" s="3"/>
      <c r="C5164" s="3"/>
    </row>
    <row r="5165">
      <c r="A5165" s="3"/>
      <c r="B5165" s="3"/>
      <c r="C5165" s="3"/>
    </row>
    <row r="5166">
      <c r="A5166" s="3"/>
      <c r="B5166" s="3"/>
      <c r="C5166" s="3"/>
    </row>
    <row r="5167">
      <c r="A5167" s="3"/>
      <c r="B5167" s="3"/>
      <c r="C5167" s="3"/>
    </row>
    <row r="5168">
      <c r="A5168" s="3"/>
      <c r="B5168" s="3"/>
      <c r="C5168" s="3"/>
    </row>
    <row r="5169">
      <c r="A5169" s="3"/>
      <c r="B5169" s="3"/>
      <c r="C5169" s="3"/>
    </row>
    <row r="5170">
      <c r="A5170" s="3"/>
      <c r="B5170" s="3"/>
      <c r="C5170" s="3"/>
    </row>
    <row r="5171">
      <c r="A5171" s="3"/>
      <c r="B5171" s="3"/>
      <c r="C5171" s="3"/>
    </row>
    <row r="5172">
      <c r="A5172" s="3"/>
      <c r="B5172" s="3"/>
      <c r="C5172" s="3"/>
    </row>
    <row r="5173">
      <c r="A5173" s="3"/>
      <c r="B5173" s="3"/>
      <c r="C5173" s="3"/>
    </row>
    <row r="5174">
      <c r="A5174" s="3"/>
      <c r="B5174" s="3"/>
      <c r="C5174" s="3"/>
    </row>
    <row r="5175">
      <c r="A5175" s="3"/>
      <c r="B5175" s="3"/>
      <c r="C5175" s="3"/>
    </row>
    <row r="5176">
      <c r="A5176" s="3"/>
      <c r="B5176" s="3"/>
      <c r="C5176" s="3"/>
    </row>
    <row r="5177">
      <c r="A5177" s="3"/>
      <c r="B5177" s="3"/>
      <c r="C5177" s="3"/>
    </row>
    <row r="5178">
      <c r="A5178" s="3"/>
      <c r="B5178" s="3"/>
      <c r="C5178" s="3"/>
    </row>
    <row r="5179">
      <c r="A5179" s="3"/>
      <c r="B5179" s="3"/>
      <c r="C5179" s="3"/>
    </row>
    <row r="5180">
      <c r="A5180" s="3"/>
      <c r="B5180" s="3"/>
      <c r="C5180" s="3"/>
    </row>
    <row r="5181">
      <c r="A5181" s="3"/>
      <c r="B5181" s="3"/>
      <c r="C5181" s="3"/>
    </row>
    <row r="5182">
      <c r="A5182" s="3"/>
      <c r="B5182" s="3"/>
      <c r="C5182" s="3"/>
    </row>
    <row r="5183">
      <c r="A5183" s="3"/>
      <c r="B5183" s="3"/>
      <c r="C5183" s="3"/>
    </row>
    <row r="5184">
      <c r="A5184" s="3"/>
      <c r="B5184" s="3"/>
      <c r="C5184" s="3"/>
    </row>
    <row r="5185">
      <c r="A5185" s="3"/>
      <c r="B5185" s="3"/>
      <c r="C5185" s="3"/>
    </row>
    <row r="5186">
      <c r="A5186" s="3"/>
      <c r="B5186" s="3"/>
      <c r="C5186" s="3"/>
    </row>
    <row r="5187">
      <c r="A5187" s="3"/>
      <c r="B5187" s="3"/>
      <c r="C5187" s="3"/>
    </row>
    <row r="5188">
      <c r="A5188" s="3"/>
      <c r="B5188" s="3"/>
      <c r="C5188" s="3"/>
    </row>
    <row r="5189">
      <c r="A5189" s="3"/>
      <c r="B5189" s="3"/>
      <c r="C5189" s="3"/>
    </row>
    <row r="5190">
      <c r="A5190" s="3"/>
      <c r="B5190" s="3"/>
      <c r="C5190" s="3"/>
    </row>
    <row r="5191">
      <c r="A5191" s="3"/>
      <c r="B5191" s="3"/>
      <c r="C5191" s="3"/>
    </row>
    <row r="5192">
      <c r="A5192" s="3"/>
      <c r="B5192" s="3"/>
      <c r="C5192" s="3"/>
    </row>
    <row r="5193">
      <c r="A5193" s="3"/>
      <c r="B5193" s="3"/>
      <c r="C5193" s="3"/>
    </row>
    <row r="5194">
      <c r="A5194" s="3"/>
      <c r="B5194" s="3"/>
      <c r="C5194" s="3"/>
    </row>
    <row r="5195">
      <c r="A5195" s="3"/>
      <c r="B5195" s="3"/>
      <c r="C5195" s="3"/>
    </row>
    <row r="5196">
      <c r="A5196" s="3"/>
      <c r="B5196" s="3"/>
      <c r="C5196" s="3"/>
    </row>
    <row r="5197">
      <c r="A5197" s="3"/>
      <c r="B5197" s="3"/>
      <c r="C5197" s="3"/>
    </row>
    <row r="5198">
      <c r="A5198" s="3"/>
      <c r="B5198" s="3"/>
      <c r="C5198" s="3"/>
    </row>
    <row r="5199">
      <c r="A5199" s="3"/>
      <c r="B5199" s="3"/>
      <c r="C5199" s="3"/>
    </row>
    <row r="5200">
      <c r="A5200" s="3"/>
      <c r="B5200" s="3"/>
      <c r="C5200" s="3"/>
    </row>
    <row r="5201">
      <c r="A5201" s="3"/>
      <c r="B5201" s="3"/>
      <c r="C5201" s="3"/>
    </row>
    <row r="5202">
      <c r="A5202" s="3"/>
      <c r="B5202" s="3"/>
      <c r="C5202" s="3"/>
    </row>
    <row r="5203">
      <c r="A5203" s="3"/>
      <c r="B5203" s="3"/>
      <c r="C5203" s="3"/>
    </row>
    <row r="5204">
      <c r="A5204" s="3"/>
      <c r="B5204" s="3"/>
      <c r="C5204" s="3"/>
    </row>
    <row r="5205">
      <c r="A5205" s="3"/>
      <c r="B5205" s="3"/>
      <c r="C5205" s="3"/>
    </row>
    <row r="5206">
      <c r="A5206" s="3"/>
      <c r="B5206" s="3"/>
      <c r="C5206" s="3"/>
    </row>
    <row r="5207">
      <c r="A5207" s="3"/>
      <c r="B5207" s="3"/>
      <c r="C5207" s="3"/>
    </row>
    <row r="5208">
      <c r="A5208" s="3"/>
      <c r="B5208" s="3"/>
      <c r="C5208" s="3"/>
    </row>
    <row r="5209">
      <c r="A5209" s="3"/>
      <c r="B5209" s="3"/>
      <c r="C5209" s="3"/>
    </row>
    <row r="5210">
      <c r="A5210" s="3"/>
      <c r="B5210" s="3"/>
      <c r="C5210" s="3"/>
    </row>
    <row r="5211">
      <c r="A5211" s="3"/>
      <c r="B5211" s="3"/>
      <c r="C5211" s="3"/>
    </row>
    <row r="5212">
      <c r="A5212" s="3"/>
      <c r="B5212" s="3"/>
      <c r="C5212" s="3"/>
    </row>
    <row r="5213">
      <c r="A5213" s="3"/>
      <c r="B5213" s="3"/>
      <c r="C5213" s="3"/>
    </row>
    <row r="5214">
      <c r="A5214" s="3"/>
      <c r="B5214" s="3"/>
      <c r="C5214" s="3"/>
    </row>
    <row r="5215">
      <c r="A5215" s="3"/>
      <c r="B5215" s="3"/>
      <c r="C5215" s="3"/>
    </row>
    <row r="5216">
      <c r="A5216" s="3"/>
      <c r="B5216" s="3"/>
      <c r="C5216" s="3"/>
    </row>
    <row r="5217">
      <c r="A5217" s="3"/>
      <c r="B5217" s="3"/>
      <c r="C5217" s="3"/>
    </row>
    <row r="5218">
      <c r="A5218" s="3"/>
      <c r="B5218" s="3"/>
      <c r="C5218" s="3"/>
    </row>
    <row r="5219">
      <c r="A5219" s="3"/>
      <c r="B5219" s="3"/>
      <c r="C5219" s="3"/>
    </row>
    <row r="5220">
      <c r="A5220" s="3"/>
      <c r="B5220" s="3"/>
      <c r="C5220" s="3"/>
    </row>
    <row r="5221">
      <c r="A5221" s="3"/>
      <c r="B5221" s="3"/>
      <c r="C5221" s="3"/>
    </row>
    <row r="5222">
      <c r="A5222" s="3"/>
      <c r="B5222" s="3"/>
      <c r="C5222" s="3"/>
    </row>
    <row r="5223">
      <c r="A5223" s="3"/>
      <c r="B5223" s="3"/>
      <c r="C5223" s="3"/>
    </row>
    <row r="5224">
      <c r="A5224" s="3"/>
      <c r="B5224" s="3"/>
      <c r="C5224" s="3"/>
    </row>
    <row r="5225">
      <c r="A5225" s="3"/>
      <c r="B5225" s="3"/>
      <c r="C5225" s="3"/>
    </row>
    <row r="5226">
      <c r="A5226" s="3"/>
      <c r="B5226" s="3"/>
      <c r="C5226" s="3"/>
    </row>
    <row r="5227">
      <c r="A5227" s="3"/>
      <c r="B5227" s="3"/>
      <c r="C5227" s="3"/>
    </row>
    <row r="5228">
      <c r="A5228" s="3"/>
      <c r="B5228" s="3"/>
      <c r="C5228" s="3"/>
    </row>
    <row r="5229">
      <c r="A5229" s="3"/>
      <c r="B5229" s="3"/>
      <c r="C5229" s="3"/>
    </row>
    <row r="5230">
      <c r="A5230" s="3"/>
      <c r="B5230" s="3"/>
      <c r="C5230" s="3"/>
    </row>
    <row r="5231">
      <c r="A5231" s="3"/>
      <c r="B5231" s="3"/>
      <c r="C5231" s="3"/>
    </row>
    <row r="5232">
      <c r="A5232" s="3"/>
      <c r="B5232" s="3"/>
      <c r="C5232" s="3"/>
    </row>
    <row r="5233">
      <c r="A5233" s="3"/>
      <c r="B5233" s="3"/>
      <c r="C5233" s="3"/>
    </row>
    <row r="5234">
      <c r="A5234" s="3"/>
      <c r="B5234" s="3"/>
      <c r="C5234" s="3"/>
    </row>
    <row r="5235">
      <c r="A5235" s="3"/>
      <c r="B5235" s="3"/>
      <c r="C5235" s="3"/>
    </row>
    <row r="5236">
      <c r="A5236" s="3"/>
      <c r="B5236" s="3"/>
      <c r="C5236" s="3"/>
    </row>
    <row r="5237">
      <c r="A5237" s="3"/>
      <c r="B5237" s="3"/>
      <c r="C5237" s="3"/>
    </row>
    <row r="5238">
      <c r="A5238" s="3"/>
      <c r="B5238" s="3"/>
      <c r="C5238" s="3"/>
    </row>
    <row r="5239">
      <c r="A5239" s="3"/>
      <c r="B5239" s="3"/>
      <c r="C5239" s="3"/>
    </row>
    <row r="5240">
      <c r="A5240" s="3"/>
      <c r="B5240" s="3"/>
      <c r="C5240" s="3"/>
    </row>
    <row r="5241">
      <c r="A5241" s="3"/>
      <c r="B5241" s="3"/>
      <c r="C5241" s="3"/>
    </row>
    <row r="5242">
      <c r="A5242" s="3"/>
      <c r="B5242" s="3"/>
      <c r="C5242" s="3"/>
    </row>
    <row r="5243">
      <c r="A5243" s="3"/>
      <c r="B5243" s="3"/>
      <c r="C5243" s="3"/>
    </row>
    <row r="5244">
      <c r="A5244" s="3"/>
      <c r="B5244" s="3"/>
      <c r="C5244" s="3"/>
    </row>
    <row r="5245">
      <c r="A5245" s="3"/>
      <c r="B5245" s="3"/>
      <c r="C5245" s="3"/>
    </row>
    <row r="5246">
      <c r="A5246" s="3"/>
      <c r="B5246" s="3"/>
      <c r="C5246" s="3"/>
    </row>
    <row r="5247">
      <c r="A5247" s="3"/>
      <c r="B5247" s="3"/>
      <c r="C5247" s="3"/>
    </row>
    <row r="5248">
      <c r="A5248" s="3"/>
      <c r="B5248" s="3"/>
      <c r="C5248" s="3"/>
    </row>
    <row r="5249">
      <c r="A5249" s="3"/>
      <c r="B5249" s="3"/>
      <c r="C5249" s="3"/>
    </row>
    <row r="5250">
      <c r="A5250" s="3"/>
      <c r="B5250" s="3"/>
      <c r="C5250" s="3"/>
    </row>
    <row r="5251">
      <c r="A5251" s="3"/>
      <c r="B5251" s="3"/>
      <c r="C5251" s="3"/>
    </row>
    <row r="5252">
      <c r="A5252" s="3"/>
      <c r="B5252" s="3"/>
      <c r="C5252" s="3"/>
    </row>
    <row r="5253">
      <c r="A5253" s="3"/>
      <c r="B5253" s="3"/>
      <c r="C5253" s="3"/>
    </row>
    <row r="5254">
      <c r="A5254" s="3"/>
      <c r="B5254" s="3"/>
      <c r="C5254" s="3"/>
    </row>
    <row r="5255">
      <c r="A5255" s="3"/>
      <c r="B5255" s="3"/>
      <c r="C5255" s="3"/>
    </row>
    <row r="5256">
      <c r="A5256" s="3"/>
      <c r="B5256" s="3"/>
      <c r="C5256" s="3"/>
    </row>
    <row r="5257">
      <c r="A5257" s="3"/>
      <c r="B5257" s="3"/>
      <c r="C5257" s="3"/>
    </row>
    <row r="5258">
      <c r="A5258" s="3"/>
      <c r="B5258" s="3"/>
      <c r="C5258" s="3"/>
    </row>
    <row r="5259">
      <c r="A5259" s="3"/>
      <c r="B5259" s="3"/>
      <c r="C5259" s="3"/>
    </row>
    <row r="5260">
      <c r="A5260" s="3"/>
      <c r="B5260" s="3"/>
      <c r="C5260" s="3"/>
    </row>
    <row r="5261">
      <c r="A5261" s="3"/>
      <c r="B5261" s="3"/>
      <c r="C5261" s="3"/>
    </row>
    <row r="5262">
      <c r="A5262" s="3"/>
      <c r="B5262" s="3"/>
      <c r="C5262" s="3"/>
    </row>
    <row r="5263">
      <c r="A5263" s="3"/>
      <c r="B5263" s="3"/>
      <c r="C5263" s="3"/>
    </row>
    <row r="5264">
      <c r="A5264" s="3"/>
      <c r="B5264" s="3"/>
      <c r="C5264" s="3"/>
    </row>
    <row r="5265">
      <c r="A5265" s="3"/>
      <c r="B5265" s="3"/>
      <c r="C5265" s="3"/>
    </row>
    <row r="5266">
      <c r="A5266" s="3"/>
      <c r="B5266" s="3"/>
      <c r="C5266" s="3"/>
    </row>
    <row r="5267">
      <c r="A5267" s="3"/>
      <c r="B5267" s="3"/>
      <c r="C5267" s="3"/>
    </row>
    <row r="5268">
      <c r="A5268" s="3"/>
      <c r="B5268" s="3"/>
      <c r="C5268" s="3"/>
    </row>
    <row r="5269">
      <c r="A5269" s="3"/>
      <c r="B5269" s="3"/>
      <c r="C5269" s="3"/>
    </row>
    <row r="5270">
      <c r="A5270" s="3"/>
      <c r="B5270" s="3"/>
      <c r="C5270" s="3"/>
    </row>
    <row r="5271">
      <c r="A5271" s="3"/>
      <c r="B5271" s="3"/>
      <c r="C5271" s="3"/>
    </row>
    <row r="5272">
      <c r="A5272" s="3"/>
      <c r="B5272" s="3"/>
      <c r="C5272" s="3"/>
    </row>
    <row r="5273">
      <c r="A5273" s="3"/>
      <c r="B5273" s="3"/>
      <c r="C5273" s="3"/>
    </row>
    <row r="5274">
      <c r="A5274" s="3"/>
      <c r="B5274" s="3"/>
      <c r="C5274" s="3"/>
    </row>
    <row r="5275">
      <c r="A5275" s="3"/>
      <c r="B5275" s="3"/>
      <c r="C5275" s="3"/>
    </row>
    <row r="5276">
      <c r="A5276" s="3"/>
      <c r="B5276" s="3"/>
      <c r="C5276" s="3"/>
    </row>
    <row r="5277">
      <c r="A5277" s="3"/>
      <c r="B5277" s="3"/>
      <c r="C5277" s="3"/>
    </row>
    <row r="5278">
      <c r="A5278" s="3"/>
      <c r="B5278" s="3"/>
      <c r="C5278" s="3"/>
    </row>
    <row r="5279">
      <c r="A5279" s="3"/>
      <c r="B5279" s="3"/>
      <c r="C5279" s="3"/>
    </row>
    <row r="5280">
      <c r="A5280" s="3"/>
      <c r="B5280" s="3"/>
      <c r="C5280" s="3"/>
    </row>
    <row r="5281">
      <c r="A5281" s="3"/>
      <c r="B5281" s="3"/>
      <c r="C5281" s="3"/>
    </row>
    <row r="5282">
      <c r="A5282" s="3"/>
      <c r="B5282" s="3"/>
      <c r="C5282" s="3"/>
    </row>
    <row r="5283">
      <c r="A5283" s="3"/>
      <c r="B5283" s="3"/>
      <c r="C5283" s="3"/>
    </row>
    <row r="5284">
      <c r="A5284" s="3"/>
      <c r="B5284" s="3"/>
      <c r="C5284" s="3"/>
    </row>
    <row r="5285">
      <c r="A5285" s="3"/>
      <c r="B5285" s="3"/>
      <c r="C5285" s="3"/>
    </row>
    <row r="5286">
      <c r="A5286" s="3"/>
      <c r="B5286" s="3"/>
      <c r="C5286" s="3"/>
    </row>
    <row r="5287">
      <c r="A5287" s="3"/>
      <c r="B5287" s="3"/>
      <c r="C5287" s="3"/>
    </row>
    <row r="5288">
      <c r="A5288" s="3"/>
      <c r="B5288" s="3"/>
      <c r="C5288" s="3"/>
    </row>
    <row r="5289">
      <c r="A5289" s="3"/>
      <c r="B5289" s="3"/>
      <c r="C5289" s="3"/>
    </row>
    <row r="5290">
      <c r="A5290" s="3"/>
      <c r="B5290" s="3"/>
      <c r="C5290" s="3"/>
    </row>
    <row r="5291">
      <c r="A5291" s="3"/>
      <c r="B5291" s="3"/>
      <c r="C5291" s="3"/>
    </row>
    <row r="5292">
      <c r="A5292" s="3"/>
      <c r="B5292" s="3"/>
      <c r="C5292" s="3"/>
    </row>
    <row r="5293">
      <c r="A5293" s="3"/>
      <c r="B5293" s="3"/>
      <c r="C5293" s="3"/>
    </row>
    <row r="5294">
      <c r="A5294" s="3"/>
      <c r="B5294" s="3"/>
      <c r="C5294" s="3"/>
    </row>
    <row r="5295">
      <c r="A5295" s="3"/>
      <c r="B5295" s="3"/>
      <c r="C5295" s="3"/>
    </row>
    <row r="5296">
      <c r="A5296" s="3"/>
      <c r="B5296" s="3"/>
      <c r="C5296" s="3"/>
    </row>
    <row r="5297">
      <c r="A5297" s="3"/>
      <c r="B5297" s="3"/>
      <c r="C5297" s="3"/>
    </row>
    <row r="5298">
      <c r="A5298" s="3"/>
      <c r="B5298" s="3"/>
      <c r="C5298" s="3"/>
    </row>
    <row r="5299">
      <c r="A5299" s="3"/>
      <c r="B5299" s="3"/>
      <c r="C5299" s="3"/>
    </row>
    <row r="5300">
      <c r="A5300" s="3"/>
      <c r="B5300" s="3"/>
      <c r="C5300" s="3"/>
    </row>
    <row r="5301">
      <c r="A5301" s="3"/>
      <c r="B5301" s="3"/>
      <c r="C5301" s="3"/>
    </row>
    <row r="5302">
      <c r="A5302" s="3"/>
      <c r="B5302" s="3"/>
      <c r="C5302" s="3"/>
    </row>
    <row r="5303">
      <c r="A5303" s="3"/>
      <c r="B5303" s="3"/>
      <c r="C5303" s="3"/>
    </row>
    <row r="5304">
      <c r="A5304" s="3"/>
      <c r="B5304" s="3"/>
      <c r="C5304" s="3"/>
    </row>
    <row r="5305">
      <c r="A5305" s="3"/>
      <c r="B5305" s="3"/>
      <c r="C5305" s="3"/>
    </row>
    <row r="5306">
      <c r="A5306" s="3"/>
      <c r="B5306" s="3"/>
      <c r="C5306" s="3"/>
    </row>
    <row r="5307">
      <c r="A5307" s="3"/>
      <c r="B5307" s="3"/>
      <c r="C5307" s="3"/>
    </row>
    <row r="5308">
      <c r="A5308" s="3"/>
      <c r="B5308" s="3"/>
      <c r="C5308" s="3"/>
    </row>
    <row r="5309">
      <c r="A5309" s="3"/>
      <c r="B5309" s="3"/>
      <c r="C5309" s="3"/>
    </row>
    <row r="5310">
      <c r="A5310" s="3"/>
      <c r="B5310" s="3"/>
      <c r="C5310" s="3"/>
    </row>
    <row r="5311">
      <c r="A5311" s="3"/>
      <c r="B5311" s="3"/>
      <c r="C5311" s="3"/>
    </row>
    <row r="5312">
      <c r="A5312" s="3"/>
      <c r="B5312" s="3"/>
      <c r="C5312" s="3"/>
    </row>
    <row r="5313">
      <c r="A5313" s="3"/>
      <c r="B5313" s="3"/>
      <c r="C5313" s="3"/>
    </row>
    <row r="5314">
      <c r="A5314" s="3"/>
      <c r="B5314" s="3"/>
      <c r="C5314" s="3"/>
    </row>
    <row r="5315">
      <c r="A5315" s="3"/>
      <c r="B5315" s="3"/>
      <c r="C5315" s="3"/>
    </row>
    <row r="5316">
      <c r="A5316" s="3"/>
      <c r="B5316" s="3"/>
      <c r="C5316" s="3"/>
    </row>
    <row r="5317">
      <c r="A5317" s="3"/>
      <c r="B5317" s="3"/>
      <c r="C5317" s="3"/>
    </row>
    <row r="5318">
      <c r="A5318" s="3"/>
      <c r="B5318" s="3"/>
      <c r="C5318" s="3"/>
    </row>
    <row r="5319">
      <c r="A5319" s="3"/>
      <c r="B5319" s="3"/>
      <c r="C5319" s="3"/>
    </row>
    <row r="5320">
      <c r="A5320" s="3"/>
      <c r="B5320" s="3"/>
      <c r="C5320" s="3"/>
    </row>
    <row r="5321">
      <c r="A5321" s="3"/>
      <c r="B5321" s="3"/>
      <c r="C5321" s="3"/>
    </row>
    <row r="5322">
      <c r="A5322" s="3"/>
      <c r="B5322" s="3"/>
      <c r="C5322" s="3"/>
    </row>
    <row r="5323">
      <c r="A5323" s="3"/>
      <c r="B5323" s="3"/>
      <c r="C5323" s="3"/>
    </row>
    <row r="5324">
      <c r="A5324" s="3"/>
      <c r="B5324" s="3"/>
      <c r="C5324" s="3"/>
    </row>
    <row r="5325">
      <c r="A5325" s="3"/>
      <c r="B5325" s="3"/>
      <c r="C5325" s="3"/>
    </row>
    <row r="5326">
      <c r="A5326" s="3"/>
      <c r="B5326" s="3"/>
      <c r="C5326" s="3"/>
    </row>
    <row r="5327">
      <c r="A5327" s="3"/>
      <c r="B5327" s="3"/>
      <c r="C5327" s="3"/>
    </row>
    <row r="5328">
      <c r="A5328" s="3"/>
      <c r="B5328" s="3"/>
      <c r="C5328" s="3"/>
    </row>
    <row r="5329">
      <c r="A5329" s="3"/>
      <c r="B5329" s="3"/>
      <c r="C5329" s="3"/>
    </row>
    <row r="5330">
      <c r="A5330" s="3"/>
      <c r="B5330" s="3"/>
      <c r="C5330" s="3"/>
    </row>
    <row r="5331">
      <c r="A5331" s="3"/>
      <c r="B5331" s="3"/>
      <c r="C5331" s="3"/>
    </row>
    <row r="5332">
      <c r="A5332" s="3"/>
      <c r="B5332" s="3"/>
      <c r="C5332" s="3"/>
    </row>
    <row r="5333">
      <c r="A5333" s="3"/>
      <c r="B5333" s="3"/>
      <c r="C5333" s="3"/>
    </row>
    <row r="5334">
      <c r="A5334" s="3"/>
      <c r="B5334" s="3"/>
      <c r="C5334" s="3"/>
    </row>
    <row r="5335">
      <c r="A5335" s="3"/>
      <c r="B5335" s="3"/>
      <c r="C5335" s="3"/>
    </row>
    <row r="5336">
      <c r="A5336" s="3"/>
      <c r="B5336" s="3"/>
      <c r="C5336" s="3"/>
    </row>
    <row r="5337">
      <c r="A5337" s="3"/>
      <c r="B5337" s="3"/>
      <c r="C5337" s="3"/>
    </row>
    <row r="5338">
      <c r="A5338" s="3"/>
      <c r="B5338" s="3"/>
      <c r="C5338" s="3"/>
    </row>
    <row r="5339">
      <c r="A5339" s="3"/>
      <c r="B5339" s="3"/>
      <c r="C5339" s="3"/>
    </row>
    <row r="5340">
      <c r="A5340" s="3"/>
      <c r="B5340" s="3"/>
      <c r="C5340" s="3"/>
    </row>
    <row r="5341">
      <c r="A5341" s="3"/>
      <c r="B5341" s="3"/>
      <c r="C5341" s="3"/>
    </row>
    <row r="5342">
      <c r="A5342" s="3"/>
      <c r="B5342" s="3"/>
      <c r="C5342" s="3"/>
    </row>
    <row r="5343">
      <c r="A5343" s="3"/>
      <c r="B5343" s="3"/>
      <c r="C5343" s="3"/>
    </row>
    <row r="5344">
      <c r="A5344" s="3"/>
      <c r="B5344" s="3"/>
      <c r="C5344" s="3"/>
    </row>
    <row r="5345">
      <c r="A5345" s="3"/>
      <c r="B5345" s="3"/>
      <c r="C5345" s="3"/>
    </row>
    <row r="5346">
      <c r="A5346" s="3"/>
      <c r="B5346" s="3"/>
      <c r="C5346" s="3"/>
    </row>
    <row r="5347">
      <c r="A5347" s="3"/>
      <c r="B5347" s="3"/>
      <c r="C5347" s="3"/>
    </row>
    <row r="5348">
      <c r="A5348" s="3"/>
      <c r="B5348" s="3"/>
      <c r="C5348" s="3"/>
    </row>
    <row r="5349">
      <c r="A5349" s="3"/>
      <c r="B5349" s="3"/>
      <c r="C5349" s="3"/>
    </row>
    <row r="5350">
      <c r="A5350" s="3"/>
      <c r="B5350" s="3"/>
      <c r="C5350" s="3"/>
    </row>
    <row r="5351">
      <c r="A5351" s="3"/>
      <c r="B5351" s="3"/>
      <c r="C5351" s="3"/>
    </row>
    <row r="5352">
      <c r="A5352" s="3"/>
      <c r="B5352" s="3"/>
      <c r="C5352" s="3"/>
    </row>
    <row r="5353">
      <c r="A5353" s="3"/>
      <c r="B5353" s="3"/>
      <c r="C5353" s="3"/>
    </row>
    <row r="5354">
      <c r="A5354" s="3"/>
      <c r="B5354" s="3"/>
      <c r="C5354" s="3"/>
    </row>
    <row r="5355">
      <c r="A5355" s="3"/>
      <c r="B5355" s="3"/>
      <c r="C5355" s="3"/>
    </row>
    <row r="5356">
      <c r="A5356" s="3"/>
      <c r="B5356" s="3"/>
      <c r="C5356" s="3"/>
    </row>
    <row r="5357">
      <c r="A5357" s="3"/>
      <c r="B5357" s="3"/>
      <c r="C5357" s="3"/>
    </row>
    <row r="5358">
      <c r="A5358" s="3"/>
      <c r="B5358" s="3"/>
      <c r="C5358" s="3"/>
    </row>
    <row r="5359">
      <c r="A5359" s="3"/>
      <c r="B5359" s="3"/>
      <c r="C5359" s="3"/>
    </row>
    <row r="5360">
      <c r="A5360" s="3"/>
      <c r="B5360" s="3"/>
      <c r="C5360" s="3"/>
    </row>
    <row r="5361">
      <c r="A5361" s="3"/>
      <c r="B5361" s="3"/>
      <c r="C5361" s="3"/>
    </row>
    <row r="5362">
      <c r="A5362" s="3"/>
      <c r="B5362" s="3"/>
      <c r="C5362" s="3"/>
    </row>
    <row r="5363">
      <c r="A5363" s="3"/>
      <c r="B5363" s="3"/>
      <c r="C5363" s="3"/>
    </row>
    <row r="5364">
      <c r="A5364" s="3"/>
      <c r="B5364" s="3"/>
      <c r="C5364" s="3"/>
    </row>
    <row r="5365">
      <c r="A5365" s="3"/>
      <c r="B5365" s="3"/>
      <c r="C5365" s="3"/>
    </row>
    <row r="5366">
      <c r="A5366" s="3"/>
      <c r="B5366" s="3"/>
      <c r="C5366" s="3"/>
    </row>
    <row r="5367">
      <c r="A5367" s="3"/>
      <c r="B5367" s="3"/>
      <c r="C5367" s="3"/>
    </row>
    <row r="5368">
      <c r="A5368" s="3"/>
      <c r="B5368" s="3"/>
      <c r="C5368" s="3"/>
    </row>
    <row r="5369">
      <c r="A5369" s="3"/>
      <c r="B5369" s="3"/>
      <c r="C5369" s="3"/>
    </row>
    <row r="5370">
      <c r="A5370" s="3"/>
      <c r="B5370" s="3"/>
      <c r="C5370" s="3"/>
    </row>
    <row r="5371">
      <c r="A5371" s="3"/>
      <c r="B5371" s="3"/>
      <c r="C5371" s="3"/>
    </row>
    <row r="5372">
      <c r="A5372" s="3"/>
      <c r="B5372" s="3"/>
      <c r="C5372" s="3"/>
    </row>
    <row r="5373">
      <c r="A5373" s="3"/>
      <c r="B5373" s="3"/>
      <c r="C5373" s="3"/>
    </row>
    <row r="5374">
      <c r="A5374" s="3"/>
      <c r="B5374" s="3"/>
      <c r="C5374" s="3"/>
    </row>
    <row r="5375">
      <c r="A5375" s="3"/>
      <c r="B5375" s="3"/>
      <c r="C5375" s="3"/>
    </row>
    <row r="5376">
      <c r="A5376" s="3"/>
      <c r="B5376" s="3"/>
      <c r="C5376" s="3"/>
    </row>
    <row r="5377">
      <c r="A5377" s="3"/>
      <c r="B5377" s="3"/>
      <c r="C5377" s="3"/>
    </row>
    <row r="5378">
      <c r="A5378" s="3"/>
      <c r="B5378" s="3"/>
      <c r="C5378" s="3"/>
    </row>
    <row r="5379">
      <c r="A5379" s="3"/>
      <c r="B5379" s="3"/>
      <c r="C5379" s="3"/>
    </row>
    <row r="5380">
      <c r="A5380" s="3"/>
      <c r="B5380" s="3"/>
      <c r="C5380" s="3"/>
    </row>
    <row r="5381">
      <c r="A5381" s="3"/>
      <c r="B5381" s="3"/>
      <c r="C5381" s="3"/>
    </row>
    <row r="5382">
      <c r="A5382" s="3"/>
      <c r="B5382" s="3"/>
      <c r="C5382" s="3"/>
    </row>
    <row r="5383">
      <c r="A5383" s="3"/>
      <c r="B5383" s="3"/>
      <c r="C5383" s="3"/>
    </row>
    <row r="5384">
      <c r="A5384" s="3"/>
      <c r="B5384" s="3"/>
      <c r="C5384" s="3"/>
    </row>
    <row r="5385">
      <c r="A5385" s="3"/>
      <c r="B5385" s="3"/>
      <c r="C5385" s="3"/>
    </row>
    <row r="5386">
      <c r="A5386" s="3"/>
      <c r="B5386" s="3"/>
      <c r="C5386" s="3"/>
    </row>
    <row r="5387">
      <c r="A5387" s="3"/>
      <c r="B5387" s="3"/>
      <c r="C5387" s="3"/>
    </row>
    <row r="5388">
      <c r="A5388" s="3"/>
      <c r="B5388" s="3"/>
      <c r="C5388" s="3"/>
    </row>
    <row r="5389">
      <c r="A5389" s="3"/>
      <c r="B5389" s="3"/>
      <c r="C5389" s="3"/>
    </row>
    <row r="5390">
      <c r="A5390" s="3"/>
      <c r="B5390" s="3"/>
      <c r="C5390" s="3"/>
    </row>
    <row r="5391">
      <c r="A5391" s="3"/>
      <c r="B5391" s="3"/>
      <c r="C5391" s="3"/>
    </row>
    <row r="5392">
      <c r="A5392" s="3"/>
      <c r="B5392" s="3"/>
      <c r="C5392" s="3"/>
    </row>
    <row r="5393">
      <c r="A5393" s="3"/>
      <c r="B5393" s="3"/>
      <c r="C5393" s="3"/>
    </row>
    <row r="5394">
      <c r="A5394" s="3"/>
      <c r="B5394" s="3"/>
      <c r="C5394" s="3"/>
    </row>
    <row r="5395">
      <c r="A5395" s="3"/>
      <c r="B5395" s="3"/>
      <c r="C5395" s="3"/>
    </row>
    <row r="5396">
      <c r="A5396" s="3"/>
      <c r="B5396" s="3"/>
      <c r="C5396" s="3"/>
    </row>
    <row r="5397">
      <c r="A5397" s="3"/>
      <c r="B5397" s="3"/>
      <c r="C5397" s="3"/>
    </row>
    <row r="5398">
      <c r="A5398" s="3"/>
      <c r="B5398" s="3"/>
      <c r="C5398" s="3"/>
    </row>
    <row r="5399">
      <c r="A5399" s="3"/>
      <c r="B5399" s="3"/>
      <c r="C5399" s="3"/>
    </row>
    <row r="5400">
      <c r="A5400" s="3"/>
      <c r="B5400" s="3"/>
      <c r="C5400" s="3"/>
    </row>
    <row r="5401">
      <c r="A5401" s="3"/>
      <c r="B5401" s="3"/>
      <c r="C5401" s="3"/>
    </row>
    <row r="5402">
      <c r="A5402" s="3"/>
      <c r="B5402" s="3"/>
      <c r="C5402" s="3"/>
    </row>
    <row r="5403">
      <c r="A5403" s="3"/>
      <c r="B5403" s="3"/>
      <c r="C5403" s="3"/>
    </row>
    <row r="5404">
      <c r="A5404" s="3"/>
      <c r="B5404" s="3"/>
      <c r="C5404" s="3"/>
    </row>
    <row r="5405">
      <c r="A5405" s="3"/>
      <c r="B5405" s="3"/>
      <c r="C5405" s="3"/>
    </row>
    <row r="5406">
      <c r="A5406" s="3"/>
      <c r="B5406" s="3"/>
      <c r="C5406" s="3"/>
    </row>
    <row r="5407">
      <c r="A5407" s="3"/>
      <c r="B5407" s="3"/>
      <c r="C5407" s="3"/>
    </row>
    <row r="5408">
      <c r="A5408" s="3"/>
      <c r="B5408" s="3"/>
      <c r="C5408" s="3"/>
    </row>
    <row r="5409">
      <c r="A5409" s="3"/>
      <c r="B5409" s="3"/>
      <c r="C5409" s="3"/>
    </row>
    <row r="5410">
      <c r="A5410" s="3"/>
      <c r="B5410" s="3"/>
      <c r="C5410" s="3"/>
    </row>
    <row r="5411">
      <c r="A5411" s="3"/>
      <c r="B5411" s="3"/>
      <c r="C5411" s="3"/>
    </row>
    <row r="5412">
      <c r="A5412" s="3"/>
      <c r="B5412" s="3"/>
      <c r="C5412" s="3"/>
    </row>
    <row r="5413">
      <c r="A5413" s="3"/>
      <c r="B5413" s="3"/>
      <c r="C5413" s="3"/>
    </row>
    <row r="5414">
      <c r="A5414" s="3"/>
      <c r="B5414" s="3"/>
      <c r="C5414" s="3"/>
    </row>
    <row r="5415">
      <c r="A5415" s="3"/>
      <c r="B5415" s="3"/>
      <c r="C5415" s="3"/>
    </row>
    <row r="5416">
      <c r="A5416" s="3"/>
      <c r="B5416" s="3"/>
      <c r="C5416" s="3"/>
    </row>
    <row r="5417">
      <c r="A5417" s="3"/>
      <c r="B5417" s="3"/>
      <c r="C5417" s="3"/>
    </row>
    <row r="5418">
      <c r="A5418" s="3"/>
      <c r="B5418" s="3"/>
      <c r="C5418" s="3"/>
    </row>
    <row r="5419">
      <c r="A5419" s="3"/>
      <c r="B5419" s="3"/>
      <c r="C5419" s="3"/>
    </row>
    <row r="5420">
      <c r="A5420" s="3"/>
      <c r="B5420" s="3"/>
      <c r="C5420" s="3"/>
    </row>
    <row r="5421">
      <c r="A5421" s="3"/>
      <c r="B5421" s="3"/>
      <c r="C5421" s="3"/>
    </row>
    <row r="5422">
      <c r="A5422" s="3"/>
      <c r="B5422" s="3"/>
      <c r="C5422" s="3"/>
    </row>
    <row r="5423">
      <c r="A5423" s="3"/>
      <c r="B5423" s="3"/>
      <c r="C5423" s="3"/>
    </row>
    <row r="5424">
      <c r="A5424" s="3"/>
      <c r="B5424" s="3"/>
      <c r="C5424" s="3"/>
    </row>
    <row r="5425">
      <c r="A5425" s="3"/>
      <c r="B5425" s="3"/>
      <c r="C5425" s="3"/>
    </row>
    <row r="5426">
      <c r="A5426" s="3"/>
      <c r="B5426" s="3"/>
      <c r="C5426" s="3"/>
    </row>
    <row r="5427">
      <c r="A5427" s="3"/>
      <c r="B5427" s="3"/>
      <c r="C5427" s="3"/>
    </row>
    <row r="5428">
      <c r="A5428" s="3"/>
      <c r="B5428" s="3"/>
      <c r="C5428" s="3"/>
    </row>
    <row r="5429">
      <c r="A5429" s="3"/>
      <c r="B5429" s="3"/>
      <c r="C5429" s="3"/>
    </row>
    <row r="5430">
      <c r="A5430" s="3"/>
      <c r="B5430" s="3"/>
      <c r="C5430" s="3"/>
    </row>
    <row r="5431">
      <c r="A5431" s="3"/>
      <c r="B5431" s="3"/>
      <c r="C5431" s="3"/>
    </row>
    <row r="5432">
      <c r="A5432" s="3"/>
      <c r="B5432" s="3"/>
      <c r="C5432" s="3"/>
    </row>
    <row r="5433">
      <c r="A5433" s="3"/>
      <c r="B5433" s="3"/>
      <c r="C5433" s="3"/>
    </row>
    <row r="5434">
      <c r="A5434" s="3"/>
      <c r="B5434" s="3"/>
      <c r="C5434" s="3"/>
    </row>
    <row r="5435">
      <c r="A5435" s="3"/>
      <c r="B5435" s="3"/>
      <c r="C5435" s="3"/>
    </row>
    <row r="5436">
      <c r="A5436" s="3"/>
      <c r="B5436" s="3"/>
      <c r="C5436" s="3"/>
    </row>
    <row r="5437">
      <c r="A5437" s="3"/>
      <c r="B5437" s="3"/>
      <c r="C5437" s="3"/>
    </row>
    <row r="5438">
      <c r="A5438" s="3"/>
      <c r="B5438" s="3"/>
      <c r="C5438" s="3"/>
    </row>
    <row r="5439">
      <c r="A5439" s="3"/>
      <c r="B5439" s="3"/>
      <c r="C5439" s="3"/>
    </row>
    <row r="5440">
      <c r="A5440" s="3"/>
      <c r="B5440" s="3"/>
      <c r="C5440" s="3"/>
    </row>
    <row r="5441">
      <c r="A5441" s="3"/>
      <c r="B5441" s="3"/>
      <c r="C5441" s="3"/>
    </row>
    <row r="5442">
      <c r="A5442" s="3"/>
      <c r="B5442" s="3"/>
      <c r="C5442" s="3"/>
    </row>
    <row r="5443">
      <c r="A5443" s="3"/>
      <c r="B5443" s="3"/>
      <c r="C5443" s="3"/>
    </row>
    <row r="5444">
      <c r="A5444" s="3"/>
      <c r="B5444" s="3"/>
      <c r="C5444" s="3"/>
    </row>
    <row r="5445">
      <c r="A5445" s="3"/>
      <c r="B5445" s="3"/>
      <c r="C5445" s="3"/>
    </row>
    <row r="5446">
      <c r="A5446" s="3"/>
      <c r="B5446" s="3"/>
      <c r="C5446" s="3"/>
    </row>
    <row r="5447">
      <c r="A5447" s="3"/>
      <c r="B5447" s="3"/>
      <c r="C5447" s="3"/>
    </row>
    <row r="5448">
      <c r="A5448" s="3"/>
      <c r="B5448" s="3"/>
      <c r="C5448" s="3"/>
    </row>
    <row r="5449">
      <c r="A5449" s="3"/>
      <c r="B5449" s="3"/>
      <c r="C5449" s="3"/>
    </row>
    <row r="5450">
      <c r="A5450" s="3"/>
      <c r="B5450" s="3"/>
      <c r="C5450" s="3"/>
    </row>
    <row r="5451">
      <c r="A5451" s="3"/>
      <c r="B5451" s="3"/>
      <c r="C5451" s="3"/>
    </row>
    <row r="5452">
      <c r="A5452" s="3"/>
      <c r="B5452" s="3"/>
      <c r="C5452" s="3"/>
    </row>
    <row r="5453">
      <c r="A5453" s="3"/>
      <c r="B5453" s="3"/>
      <c r="C5453" s="3"/>
    </row>
    <row r="5454">
      <c r="A5454" s="3"/>
      <c r="B5454" s="3"/>
      <c r="C5454" s="3"/>
    </row>
    <row r="5455">
      <c r="A5455" s="3"/>
      <c r="B5455" s="3"/>
      <c r="C5455" s="3"/>
    </row>
    <row r="5456">
      <c r="A5456" s="3"/>
      <c r="B5456" s="3"/>
      <c r="C5456" s="3"/>
    </row>
    <row r="5457">
      <c r="A5457" s="3"/>
      <c r="B5457" s="3"/>
      <c r="C5457" s="3"/>
    </row>
    <row r="5458">
      <c r="A5458" s="3"/>
      <c r="B5458" s="3"/>
      <c r="C5458" s="3"/>
    </row>
    <row r="5459">
      <c r="A5459" s="3"/>
      <c r="B5459" s="3"/>
      <c r="C5459" s="3"/>
    </row>
    <row r="5460">
      <c r="A5460" s="3"/>
      <c r="B5460" s="3"/>
      <c r="C5460" s="3"/>
    </row>
    <row r="5461">
      <c r="A5461" s="3"/>
      <c r="B5461" s="3"/>
      <c r="C5461" s="3"/>
    </row>
    <row r="5462">
      <c r="A5462" s="3"/>
      <c r="B5462" s="3"/>
      <c r="C5462" s="3"/>
    </row>
    <row r="5463">
      <c r="A5463" s="3"/>
      <c r="B5463" s="3"/>
      <c r="C5463" s="3"/>
    </row>
    <row r="5464">
      <c r="A5464" s="3"/>
      <c r="B5464" s="3"/>
      <c r="C5464" s="3"/>
    </row>
    <row r="5465">
      <c r="A5465" s="3"/>
      <c r="B5465" s="3"/>
      <c r="C5465" s="3"/>
    </row>
    <row r="5466">
      <c r="A5466" s="3"/>
      <c r="B5466" s="3"/>
      <c r="C5466" s="3"/>
    </row>
    <row r="5467">
      <c r="A5467" s="3"/>
      <c r="B5467" s="3"/>
      <c r="C5467" s="3"/>
    </row>
    <row r="5468">
      <c r="A5468" s="3"/>
      <c r="B5468" s="3"/>
      <c r="C5468" s="3"/>
    </row>
    <row r="5469">
      <c r="A5469" s="3"/>
      <c r="B5469" s="3"/>
      <c r="C5469" s="3"/>
    </row>
    <row r="5470">
      <c r="A5470" s="3"/>
      <c r="B5470" s="3"/>
      <c r="C5470" s="3"/>
    </row>
    <row r="5471">
      <c r="A5471" s="3"/>
      <c r="B5471" s="3"/>
      <c r="C5471" s="3"/>
    </row>
    <row r="5472">
      <c r="A5472" s="3"/>
      <c r="B5472" s="3"/>
      <c r="C5472" s="3"/>
    </row>
    <row r="5473">
      <c r="A5473" s="3"/>
      <c r="B5473" s="3"/>
      <c r="C5473" s="3"/>
    </row>
    <row r="5474">
      <c r="A5474" s="3"/>
      <c r="B5474" s="3"/>
      <c r="C5474" s="3"/>
    </row>
    <row r="5475">
      <c r="A5475" s="3"/>
      <c r="B5475" s="3"/>
      <c r="C5475" s="3"/>
    </row>
    <row r="5476">
      <c r="A5476" s="3"/>
      <c r="B5476" s="3"/>
      <c r="C5476" s="3"/>
    </row>
    <row r="5477">
      <c r="A5477" s="3"/>
      <c r="B5477" s="3"/>
      <c r="C5477" s="3"/>
    </row>
    <row r="5478">
      <c r="A5478" s="3"/>
      <c r="B5478" s="3"/>
      <c r="C5478" s="3"/>
    </row>
    <row r="5479">
      <c r="A5479" s="3"/>
      <c r="B5479" s="3"/>
      <c r="C5479" s="3"/>
    </row>
    <row r="5480">
      <c r="A5480" s="3"/>
      <c r="B5480" s="3"/>
      <c r="C5480" s="3"/>
    </row>
    <row r="5481">
      <c r="A5481" s="3"/>
      <c r="B5481" s="3"/>
      <c r="C5481" s="3"/>
    </row>
    <row r="5482">
      <c r="A5482" s="3"/>
      <c r="B5482" s="3"/>
      <c r="C5482" s="3"/>
    </row>
    <row r="5483">
      <c r="A5483" s="3"/>
      <c r="B5483" s="3"/>
      <c r="C5483" s="3"/>
    </row>
    <row r="5484">
      <c r="A5484" s="3"/>
      <c r="B5484" s="3"/>
      <c r="C5484" s="3"/>
    </row>
    <row r="5485">
      <c r="A5485" s="3"/>
      <c r="B5485" s="3"/>
      <c r="C5485" s="3"/>
    </row>
    <row r="5486">
      <c r="A5486" s="3"/>
      <c r="B5486" s="3"/>
      <c r="C5486" s="3"/>
    </row>
    <row r="5487">
      <c r="A5487" s="3"/>
      <c r="B5487" s="3"/>
      <c r="C5487" s="3"/>
    </row>
    <row r="5488">
      <c r="A5488" s="3"/>
      <c r="B5488" s="3"/>
      <c r="C5488" s="3"/>
    </row>
    <row r="5489">
      <c r="A5489" s="3"/>
      <c r="B5489" s="3"/>
      <c r="C5489" s="3"/>
    </row>
    <row r="5490">
      <c r="A5490" s="3"/>
      <c r="B5490" s="3"/>
      <c r="C5490" s="3"/>
    </row>
    <row r="5491">
      <c r="A5491" s="3"/>
      <c r="B5491" s="3"/>
      <c r="C5491" s="3"/>
    </row>
    <row r="5492">
      <c r="A5492" s="3"/>
      <c r="B5492" s="3"/>
      <c r="C5492" s="3"/>
    </row>
    <row r="5493">
      <c r="A5493" s="3"/>
      <c r="B5493" s="3"/>
      <c r="C5493" s="3"/>
    </row>
    <row r="5494">
      <c r="A5494" s="3"/>
      <c r="B5494" s="3"/>
      <c r="C5494" s="3"/>
    </row>
    <row r="5495">
      <c r="A5495" s="3"/>
      <c r="B5495" s="3"/>
      <c r="C5495" s="3"/>
    </row>
    <row r="5496">
      <c r="A5496" s="3"/>
      <c r="B5496" s="3"/>
      <c r="C5496" s="3"/>
    </row>
    <row r="5497">
      <c r="A5497" s="3"/>
      <c r="B5497" s="3"/>
      <c r="C5497" s="3"/>
    </row>
    <row r="5498">
      <c r="A5498" s="3"/>
      <c r="B5498" s="3"/>
      <c r="C5498" s="3"/>
    </row>
    <row r="5499">
      <c r="A5499" s="3"/>
      <c r="B5499" s="3"/>
      <c r="C5499" s="3"/>
    </row>
    <row r="5500">
      <c r="A5500" s="3"/>
      <c r="B5500" s="3"/>
      <c r="C5500" s="3"/>
    </row>
    <row r="5501">
      <c r="A5501" s="3"/>
      <c r="B5501" s="3"/>
      <c r="C5501" s="3"/>
    </row>
    <row r="5502">
      <c r="A5502" s="3"/>
      <c r="B5502" s="3"/>
      <c r="C5502" s="3"/>
    </row>
    <row r="5503">
      <c r="A5503" s="3"/>
      <c r="B5503" s="3"/>
      <c r="C5503" s="3"/>
    </row>
    <row r="5504">
      <c r="A5504" s="3"/>
      <c r="B5504" s="3"/>
      <c r="C5504" s="3"/>
    </row>
    <row r="5505">
      <c r="A5505" s="3"/>
      <c r="B5505" s="3"/>
      <c r="C5505" s="3"/>
    </row>
    <row r="5506">
      <c r="A5506" s="3"/>
      <c r="B5506" s="3"/>
      <c r="C5506" s="3"/>
    </row>
    <row r="5507">
      <c r="A5507" s="3"/>
      <c r="B5507" s="3"/>
      <c r="C5507" s="3"/>
    </row>
    <row r="5508">
      <c r="A5508" s="3"/>
      <c r="B5508" s="3"/>
      <c r="C5508" s="3"/>
    </row>
    <row r="5509">
      <c r="A5509" s="3"/>
      <c r="B5509" s="3"/>
      <c r="C5509" s="3"/>
    </row>
    <row r="5510">
      <c r="A5510" s="3"/>
      <c r="B5510" s="3"/>
      <c r="C5510" s="3"/>
    </row>
    <row r="5511">
      <c r="A5511" s="3"/>
      <c r="B5511" s="3"/>
      <c r="C5511" s="3"/>
    </row>
    <row r="5512">
      <c r="A5512" s="3"/>
      <c r="B5512" s="3"/>
      <c r="C5512" s="3"/>
    </row>
    <row r="5513">
      <c r="A5513" s="3"/>
      <c r="B5513" s="3"/>
      <c r="C5513" s="3"/>
    </row>
    <row r="5514">
      <c r="A5514" s="3"/>
      <c r="B5514" s="3"/>
      <c r="C5514" s="3"/>
    </row>
    <row r="5515">
      <c r="A5515" s="3"/>
      <c r="B5515" s="3"/>
      <c r="C5515" s="3"/>
    </row>
    <row r="5516">
      <c r="A5516" s="3"/>
      <c r="B5516" s="3"/>
      <c r="C5516" s="3"/>
    </row>
    <row r="5517">
      <c r="A5517" s="3"/>
      <c r="B5517" s="3"/>
      <c r="C5517" s="3"/>
    </row>
    <row r="5518">
      <c r="A5518" s="3"/>
      <c r="B5518" s="3"/>
      <c r="C5518" s="3"/>
    </row>
    <row r="5519">
      <c r="A5519" s="3"/>
      <c r="B5519" s="3"/>
      <c r="C5519" s="3"/>
    </row>
    <row r="5520">
      <c r="A5520" s="3"/>
      <c r="B5520" s="3"/>
      <c r="C5520" s="3"/>
    </row>
    <row r="5521">
      <c r="A5521" s="3"/>
      <c r="B5521" s="3"/>
      <c r="C5521" s="3"/>
    </row>
    <row r="5522">
      <c r="A5522" s="3"/>
      <c r="B5522" s="3"/>
      <c r="C5522" s="3"/>
    </row>
    <row r="5523">
      <c r="A5523" s="3"/>
      <c r="B5523" s="3"/>
      <c r="C5523" s="3"/>
    </row>
    <row r="5524">
      <c r="A5524" s="3"/>
      <c r="B5524" s="3"/>
      <c r="C5524" s="3"/>
    </row>
    <row r="5525">
      <c r="A5525" s="3"/>
      <c r="B5525" s="3"/>
      <c r="C5525" s="3"/>
    </row>
    <row r="5526">
      <c r="A5526" s="3"/>
      <c r="B5526" s="3"/>
      <c r="C5526" s="3"/>
    </row>
    <row r="5527">
      <c r="A5527" s="3"/>
      <c r="B5527" s="3"/>
      <c r="C5527" s="3"/>
    </row>
    <row r="5528">
      <c r="A5528" s="3"/>
      <c r="B5528" s="3"/>
      <c r="C5528" s="3"/>
    </row>
    <row r="5529">
      <c r="A5529" s="3"/>
      <c r="B5529" s="3"/>
      <c r="C5529" s="3"/>
    </row>
    <row r="5530">
      <c r="A5530" s="3"/>
      <c r="B5530" s="3"/>
      <c r="C5530" s="3"/>
    </row>
    <row r="5531">
      <c r="A5531" s="3"/>
      <c r="B5531" s="3"/>
      <c r="C5531" s="3"/>
    </row>
    <row r="5532">
      <c r="A5532" s="3"/>
      <c r="B5532" s="3"/>
      <c r="C5532" s="3"/>
    </row>
    <row r="5533">
      <c r="A5533" s="3"/>
      <c r="B5533" s="3"/>
      <c r="C5533" s="3"/>
    </row>
    <row r="5534">
      <c r="A5534" s="3"/>
      <c r="B5534" s="3"/>
      <c r="C5534" s="3"/>
    </row>
    <row r="5535">
      <c r="A5535" s="3"/>
      <c r="B5535" s="3"/>
      <c r="C5535" s="3"/>
    </row>
    <row r="5536">
      <c r="A5536" s="3"/>
      <c r="B5536" s="3"/>
      <c r="C5536" s="3"/>
    </row>
    <row r="5537">
      <c r="A5537" s="3"/>
      <c r="B5537" s="3"/>
      <c r="C5537" s="3"/>
    </row>
    <row r="5538">
      <c r="A5538" s="3"/>
      <c r="B5538" s="3"/>
      <c r="C5538" s="3"/>
    </row>
    <row r="5539">
      <c r="A5539" s="3"/>
      <c r="B5539" s="3"/>
      <c r="C5539" s="3"/>
    </row>
    <row r="5540">
      <c r="A5540" s="3"/>
      <c r="B5540" s="3"/>
      <c r="C5540" s="3"/>
    </row>
    <row r="5541">
      <c r="A5541" s="3"/>
      <c r="B5541" s="3"/>
      <c r="C5541" s="3"/>
    </row>
    <row r="5542">
      <c r="A5542" s="3"/>
      <c r="B5542" s="3"/>
      <c r="C5542" s="3"/>
    </row>
    <row r="5543">
      <c r="A5543" s="3"/>
      <c r="B5543" s="3"/>
      <c r="C5543" s="3"/>
    </row>
    <row r="5544">
      <c r="A5544" s="3"/>
      <c r="B5544" s="3"/>
      <c r="C5544" s="3"/>
    </row>
    <row r="5545">
      <c r="A5545" s="3"/>
      <c r="B5545" s="3"/>
      <c r="C5545" s="3"/>
    </row>
    <row r="5546">
      <c r="A5546" s="3"/>
      <c r="B5546" s="3"/>
      <c r="C5546" s="3"/>
    </row>
    <row r="5547">
      <c r="A5547" s="3"/>
      <c r="B5547" s="3"/>
      <c r="C5547" s="3"/>
    </row>
    <row r="5548">
      <c r="A5548" s="3"/>
      <c r="B5548" s="3"/>
      <c r="C5548" s="3"/>
    </row>
    <row r="5549">
      <c r="A5549" s="3"/>
      <c r="B5549" s="3"/>
      <c r="C5549" s="3"/>
    </row>
    <row r="5550">
      <c r="A5550" s="3"/>
      <c r="B5550" s="3"/>
      <c r="C5550" s="3"/>
    </row>
    <row r="5551">
      <c r="A5551" s="3"/>
      <c r="B5551" s="3"/>
      <c r="C5551" s="3"/>
    </row>
    <row r="5552">
      <c r="A5552" s="3"/>
      <c r="B5552" s="3"/>
      <c r="C5552" s="3"/>
    </row>
    <row r="5553">
      <c r="A5553" s="3"/>
      <c r="B5553" s="3"/>
      <c r="C5553" s="3"/>
    </row>
    <row r="5554">
      <c r="A5554" s="3"/>
      <c r="B5554" s="3"/>
      <c r="C5554" s="3"/>
    </row>
    <row r="5555">
      <c r="A5555" s="3"/>
      <c r="B5555" s="3"/>
      <c r="C5555" s="3"/>
    </row>
    <row r="5556">
      <c r="A5556" s="3"/>
      <c r="B5556" s="3"/>
      <c r="C5556" s="3"/>
    </row>
    <row r="5557">
      <c r="A5557" s="3"/>
      <c r="B5557" s="3"/>
      <c r="C5557" s="3"/>
    </row>
    <row r="5558">
      <c r="A5558" s="3"/>
      <c r="B5558" s="3"/>
      <c r="C5558" s="3"/>
    </row>
    <row r="5559">
      <c r="A5559" s="3"/>
      <c r="B5559" s="3"/>
      <c r="C5559" s="3"/>
    </row>
    <row r="5560">
      <c r="A5560" s="3"/>
      <c r="B5560" s="3"/>
      <c r="C5560" s="3"/>
    </row>
    <row r="5561">
      <c r="A5561" s="3"/>
      <c r="B5561" s="3"/>
      <c r="C5561" s="3"/>
    </row>
    <row r="5562">
      <c r="A5562" s="3"/>
      <c r="B5562" s="3"/>
      <c r="C5562" s="3"/>
    </row>
    <row r="5563">
      <c r="A5563" s="3"/>
      <c r="B5563" s="3"/>
      <c r="C5563" s="3"/>
    </row>
    <row r="5564">
      <c r="A5564" s="3"/>
      <c r="B5564" s="3"/>
      <c r="C5564" s="3"/>
    </row>
    <row r="5565">
      <c r="A5565" s="3"/>
      <c r="B5565" s="3"/>
      <c r="C5565" s="3"/>
    </row>
    <row r="5566">
      <c r="A5566" s="3"/>
      <c r="B5566" s="3"/>
      <c r="C5566" s="3"/>
    </row>
    <row r="5567">
      <c r="A5567" s="3"/>
      <c r="B5567" s="3"/>
      <c r="C5567" s="3"/>
    </row>
    <row r="5568">
      <c r="A5568" s="3"/>
      <c r="B5568" s="3"/>
      <c r="C5568" s="3"/>
    </row>
    <row r="5569">
      <c r="A5569" s="3"/>
      <c r="B5569" s="3"/>
      <c r="C5569" s="3"/>
    </row>
    <row r="5570">
      <c r="A5570" s="3"/>
      <c r="B5570" s="3"/>
      <c r="C5570" s="3"/>
    </row>
    <row r="5571">
      <c r="A5571" s="3"/>
      <c r="B5571" s="3"/>
      <c r="C5571" s="3"/>
    </row>
    <row r="5572">
      <c r="A5572" s="3"/>
      <c r="B5572" s="3"/>
      <c r="C5572" s="3"/>
    </row>
    <row r="5573">
      <c r="A5573" s="3"/>
      <c r="B5573" s="3"/>
      <c r="C5573" s="3"/>
    </row>
    <row r="5574">
      <c r="A5574" s="3"/>
      <c r="B5574" s="3"/>
      <c r="C5574" s="3"/>
    </row>
    <row r="5575">
      <c r="A5575" s="3"/>
      <c r="B5575" s="3"/>
      <c r="C5575" s="3"/>
    </row>
    <row r="5576">
      <c r="A5576" s="3"/>
      <c r="B5576" s="3"/>
      <c r="C5576" s="3"/>
    </row>
    <row r="5577">
      <c r="A5577" s="3"/>
      <c r="B5577" s="3"/>
      <c r="C5577" s="3"/>
    </row>
    <row r="5578">
      <c r="A5578" s="3"/>
      <c r="B5578" s="3"/>
      <c r="C5578" s="3"/>
    </row>
    <row r="5579">
      <c r="A5579" s="3"/>
      <c r="B5579" s="3"/>
      <c r="C5579" s="3"/>
    </row>
    <row r="5580">
      <c r="A5580" s="3"/>
      <c r="B5580" s="3"/>
      <c r="C5580" s="3"/>
    </row>
    <row r="5581">
      <c r="A5581" s="3"/>
      <c r="B5581" s="3"/>
      <c r="C5581" s="3"/>
    </row>
    <row r="5582">
      <c r="A5582" s="3"/>
      <c r="B5582" s="3"/>
      <c r="C5582" s="3"/>
    </row>
    <row r="5583">
      <c r="A5583" s="3"/>
      <c r="B5583" s="3"/>
      <c r="C5583" s="3"/>
    </row>
    <row r="5584">
      <c r="A5584" s="3"/>
      <c r="B5584" s="3"/>
      <c r="C5584" s="3"/>
    </row>
    <row r="5585">
      <c r="A5585" s="3"/>
      <c r="B5585" s="3"/>
      <c r="C5585" s="3"/>
    </row>
    <row r="5586">
      <c r="A5586" s="3"/>
      <c r="B5586" s="3"/>
      <c r="C5586" s="3"/>
    </row>
    <row r="5587">
      <c r="A5587" s="3"/>
      <c r="B5587" s="3"/>
      <c r="C5587" s="3"/>
    </row>
    <row r="5588">
      <c r="A5588" s="3"/>
      <c r="B5588" s="3"/>
      <c r="C5588" s="3"/>
    </row>
    <row r="5589">
      <c r="A5589" s="3"/>
      <c r="B5589" s="3"/>
      <c r="C5589" s="3"/>
    </row>
    <row r="5590">
      <c r="A5590" s="3"/>
      <c r="B5590" s="3"/>
      <c r="C5590" s="3"/>
    </row>
    <row r="5591">
      <c r="A5591" s="3"/>
      <c r="B5591" s="3"/>
      <c r="C5591" s="3"/>
    </row>
    <row r="5592">
      <c r="A5592" s="3"/>
      <c r="B5592" s="3"/>
      <c r="C5592" s="3"/>
    </row>
    <row r="5593">
      <c r="A5593" s="3"/>
      <c r="B5593" s="3"/>
      <c r="C5593" s="3"/>
    </row>
    <row r="5594">
      <c r="A5594" s="3"/>
      <c r="B5594" s="3"/>
      <c r="C5594" s="3"/>
    </row>
    <row r="5595">
      <c r="A5595" s="3"/>
      <c r="B5595" s="3"/>
      <c r="C5595" s="3"/>
    </row>
    <row r="5596">
      <c r="A5596" s="3"/>
      <c r="B5596" s="3"/>
      <c r="C5596" s="3"/>
    </row>
    <row r="5597">
      <c r="A5597" s="3"/>
      <c r="B5597" s="3"/>
      <c r="C5597" s="3"/>
    </row>
    <row r="5598">
      <c r="A5598" s="3"/>
      <c r="B5598" s="3"/>
      <c r="C5598" s="3"/>
    </row>
    <row r="5599">
      <c r="A5599" s="3"/>
      <c r="B5599" s="3"/>
      <c r="C5599" s="3"/>
    </row>
    <row r="5600">
      <c r="A5600" s="3"/>
      <c r="B5600" s="3"/>
      <c r="C5600" s="3"/>
    </row>
    <row r="5601">
      <c r="A5601" s="3"/>
      <c r="B5601" s="3"/>
      <c r="C5601" s="3"/>
    </row>
    <row r="5602">
      <c r="A5602" s="3"/>
      <c r="B5602" s="3"/>
      <c r="C5602" s="3"/>
    </row>
    <row r="5603">
      <c r="A5603" s="3"/>
      <c r="B5603" s="3"/>
      <c r="C5603" s="3"/>
    </row>
    <row r="5604">
      <c r="A5604" s="3"/>
      <c r="B5604" s="3"/>
      <c r="C5604" s="3"/>
    </row>
    <row r="5605">
      <c r="A5605" s="3"/>
      <c r="B5605" s="3"/>
      <c r="C5605" s="3"/>
    </row>
    <row r="5606">
      <c r="A5606" s="3"/>
      <c r="B5606" s="3"/>
      <c r="C5606" s="3"/>
    </row>
    <row r="5607">
      <c r="A5607" s="3"/>
      <c r="B5607" s="3"/>
      <c r="C5607" s="3"/>
    </row>
    <row r="5608">
      <c r="A5608" s="3"/>
      <c r="B5608" s="3"/>
      <c r="C5608" s="3"/>
    </row>
    <row r="5609">
      <c r="A5609" s="3"/>
      <c r="B5609" s="3"/>
      <c r="C5609" s="3"/>
    </row>
    <row r="5610">
      <c r="A5610" s="3"/>
      <c r="B5610" s="3"/>
      <c r="C5610" s="3"/>
    </row>
    <row r="5611">
      <c r="A5611" s="3"/>
      <c r="B5611" s="3"/>
      <c r="C5611" s="3"/>
    </row>
    <row r="5612">
      <c r="A5612" s="3"/>
      <c r="B5612" s="3"/>
      <c r="C5612" s="3"/>
    </row>
    <row r="5613">
      <c r="A5613" s="3"/>
      <c r="B5613" s="3"/>
      <c r="C5613" s="3"/>
    </row>
    <row r="5614">
      <c r="A5614" s="3"/>
      <c r="B5614" s="3"/>
      <c r="C5614" s="3"/>
    </row>
    <row r="5615">
      <c r="A5615" s="3"/>
      <c r="B5615" s="3"/>
      <c r="C5615" s="3"/>
    </row>
    <row r="5616">
      <c r="A5616" s="3"/>
      <c r="B5616" s="3"/>
      <c r="C5616" s="3"/>
    </row>
    <row r="5617">
      <c r="A5617" s="3"/>
      <c r="B5617" s="3"/>
      <c r="C5617" s="3"/>
    </row>
    <row r="5618">
      <c r="A5618" s="3"/>
      <c r="B5618" s="3"/>
      <c r="C5618" s="3"/>
    </row>
    <row r="5619">
      <c r="A5619" s="3"/>
      <c r="B5619" s="3"/>
      <c r="C5619" s="3"/>
    </row>
    <row r="5620">
      <c r="A5620" s="3"/>
      <c r="B5620" s="3"/>
      <c r="C5620" s="3"/>
    </row>
    <row r="5621">
      <c r="A5621" s="3"/>
      <c r="B5621" s="3"/>
      <c r="C5621" s="3"/>
    </row>
    <row r="5622">
      <c r="A5622" s="3"/>
      <c r="B5622" s="3"/>
      <c r="C5622" s="3"/>
    </row>
    <row r="5623">
      <c r="A5623" s="3"/>
      <c r="B5623" s="3"/>
      <c r="C5623" s="3"/>
    </row>
    <row r="5624">
      <c r="A5624" s="3"/>
      <c r="B5624" s="3"/>
      <c r="C5624" s="3"/>
    </row>
    <row r="5625">
      <c r="A5625" s="3"/>
      <c r="B5625" s="3"/>
      <c r="C5625" s="3"/>
    </row>
    <row r="5626">
      <c r="A5626" s="3"/>
      <c r="B5626" s="3"/>
      <c r="C5626" s="3"/>
    </row>
    <row r="5627">
      <c r="A5627" s="3"/>
      <c r="B5627" s="3"/>
      <c r="C5627" s="3"/>
    </row>
    <row r="5628">
      <c r="A5628" s="3"/>
      <c r="B5628" s="3"/>
      <c r="C5628" s="3"/>
    </row>
    <row r="5629">
      <c r="A5629" s="3"/>
      <c r="B5629" s="3"/>
      <c r="C5629" s="3"/>
    </row>
    <row r="5630">
      <c r="A5630" s="3"/>
      <c r="B5630" s="3"/>
      <c r="C5630" s="3"/>
    </row>
    <row r="5631">
      <c r="A5631" s="3"/>
      <c r="B5631" s="3"/>
      <c r="C5631" s="3"/>
    </row>
    <row r="5632">
      <c r="A5632" s="3"/>
      <c r="B5632" s="3"/>
      <c r="C5632" s="3"/>
    </row>
    <row r="5633">
      <c r="A5633" s="3"/>
      <c r="B5633" s="3"/>
      <c r="C5633" s="3"/>
    </row>
    <row r="5634">
      <c r="A5634" s="3"/>
      <c r="B5634" s="3"/>
      <c r="C5634" s="3"/>
    </row>
    <row r="5635">
      <c r="A5635" s="3"/>
      <c r="B5635" s="3"/>
      <c r="C5635" s="3"/>
    </row>
    <row r="5636">
      <c r="A5636" s="3"/>
      <c r="B5636" s="3"/>
      <c r="C5636" s="3"/>
    </row>
    <row r="5637">
      <c r="A5637" s="3"/>
      <c r="B5637" s="3"/>
      <c r="C5637" s="3"/>
    </row>
    <row r="5638">
      <c r="A5638" s="3"/>
      <c r="B5638" s="3"/>
      <c r="C5638" s="3"/>
    </row>
    <row r="5639">
      <c r="A5639" s="3"/>
      <c r="B5639" s="3"/>
      <c r="C5639" s="3"/>
    </row>
    <row r="5640">
      <c r="A5640" s="3"/>
      <c r="B5640" s="3"/>
      <c r="C5640" s="3"/>
    </row>
    <row r="5641">
      <c r="A5641" s="3"/>
      <c r="B5641" s="3"/>
      <c r="C5641" s="3"/>
    </row>
    <row r="5642">
      <c r="A5642" s="3"/>
      <c r="B5642" s="3"/>
      <c r="C5642" s="3"/>
    </row>
    <row r="5643">
      <c r="A5643" s="3"/>
      <c r="B5643" s="3"/>
      <c r="C5643" s="3"/>
    </row>
    <row r="5644">
      <c r="A5644" s="3"/>
      <c r="B5644" s="3"/>
      <c r="C5644" s="3"/>
    </row>
    <row r="5645">
      <c r="A5645" s="3"/>
      <c r="B5645" s="3"/>
      <c r="C5645" s="3"/>
    </row>
    <row r="5646">
      <c r="A5646" s="3"/>
      <c r="B5646" s="3"/>
      <c r="C5646" s="3"/>
    </row>
    <row r="5647">
      <c r="A5647" s="3"/>
      <c r="B5647" s="3"/>
      <c r="C5647" s="3"/>
    </row>
    <row r="5648">
      <c r="A5648" s="3"/>
      <c r="B5648" s="3"/>
      <c r="C5648" s="3"/>
    </row>
    <row r="5649">
      <c r="A5649" s="3"/>
      <c r="B5649" s="3"/>
      <c r="C5649" s="3"/>
    </row>
    <row r="5650">
      <c r="A5650" s="3"/>
      <c r="B5650" s="3"/>
      <c r="C5650" s="3"/>
    </row>
    <row r="5651">
      <c r="A5651" s="3"/>
      <c r="B5651" s="3"/>
      <c r="C5651" s="3"/>
    </row>
    <row r="5652">
      <c r="A5652" s="3"/>
      <c r="B5652" s="3"/>
      <c r="C5652" s="3"/>
    </row>
    <row r="5653">
      <c r="A5653" s="3"/>
      <c r="B5653" s="3"/>
      <c r="C5653" s="3"/>
    </row>
    <row r="5654">
      <c r="A5654" s="3"/>
      <c r="B5654" s="3"/>
      <c r="C5654" s="3"/>
    </row>
    <row r="5655">
      <c r="A5655" s="3"/>
      <c r="B5655" s="3"/>
      <c r="C5655" s="3"/>
    </row>
    <row r="5656">
      <c r="A5656" s="3"/>
      <c r="B5656" s="3"/>
      <c r="C5656" s="3"/>
    </row>
    <row r="5657">
      <c r="A5657" s="3"/>
      <c r="B5657" s="3"/>
      <c r="C5657" s="3"/>
    </row>
    <row r="5658">
      <c r="A5658" s="3"/>
      <c r="B5658" s="3"/>
      <c r="C5658" s="3"/>
    </row>
    <row r="5659">
      <c r="A5659" s="3"/>
      <c r="B5659" s="3"/>
      <c r="C5659" s="3"/>
    </row>
    <row r="5660">
      <c r="A5660" s="3"/>
      <c r="B5660" s="3"/>
      <c r="C5660" s="3"/>
    </row>
    <row r="5661">
      <c r="A5661" s="3"/>
      <c r="B5661" s="3"/>
      <c r="C5661" s="3"/>
    </row>
    <row r="5662">
      <c r="A5662" s="3"/>
      <c r="B5662" s="3"/>
      <c r="C5662" s="3"/>
    </row>
    <row r="5663">
      <c r="A5663" s="3"/>
      <c r="B5663" s="3"/>
      <c r="C5663" s="3"/>
    </row>
    <row r="5664">
      <c r="A5664" s="3"/>
      <c r="B5664" s="3"/>
      <c r="C5664" s="3"/>
    </row>
    <row r="5665">
      <c r="A5665" s="3"/>
      <c r="B5665" s="3"/>
      <c r="C5665" s="3"/>
    </row>
    <row r="5666">
      <c r="A5666" s="3"/>
      <c r="B5666" s="3"/>
      <c r="C5666" s="3"/>
    </row>
    <row r="5667">
      <c r="A5667" s="3"/>
      <c r="B5667" s="3"/>
      <c r="C5667" s="3"/>
    </row>
    <row r="5668">
      <c r="A5668" s="3"/>
      <c r="B5668" s="3"/>
      <c r="C5668" s="3"/>
    </row>
    <row r="5669">
      <c r="A5669" s="3"/>
      <c r="B5669" s="3"/>
      <c r="C5669" s="3"/>
    </row>
    <row r="5670">
      <c r="A5670" s="3"/>
      <c r="B5670" s="3"/>
      <c r="C5670" s="3"/>
    </row>
    <row r="5671">
      <c r="A5671" s="3"/>
      <c r="B5671" s="3"/>
      <c r="C5671" s="3"/>
    </row>
    <row r="5672">
      <c r="A5672" s="3"/>
      <c r="B5672" s="3"/>
      <c r="C5672" s="3"/>
    </row>
    <row r="5673">
      <c r="A5673" s="3"/>
      <c r="B5673" s="3"/>
      <c r="C5673" s="3"/>
    </row>
    <row r="5674">
      <c r="A5674" s="3"/>
      <c r="B5674" s="3"/>
      <c r="C5674" s="3"/>
    </row>
    <row r="5675">
      <c r="A5675" s="3"/>
      <c r="B5675" s="3"/>
      <c r="C5675" s="3"/>
    </row>
    <row r="5676">
      <c r="A5676" s="3"/>
      <c r="B5676" s="3"/>
      <c r="C5676" s="3"/>
    </row>
    <row r="5677">
      <c r="A5677" s="3"/>
      <c r="B5677" s="3"/>
      <c r="C5677" s="3"/>
    </row>
    <row r="5678">
      <c r="A5678" s="3"/>
      <c r="B5678" s="3"/>
      <c r="C5678" s="3"/>
    </row>
    <row r="5679">
      <c r="A5679" s="3"/>
      <c r="B5679" s="3"/>
      <c r="C5679" s="3"/>
    </row>
    <row r="5680">
      <c r="A5680" s="3"/>
      <c r="B5680" s="3"/>
      <c r="C5680" s="3"/>
    </row>
    <row r="5681">
      <c r="A5681" s="3"/>
      <c r="B5681" s="3"/>
      <c r="C5681" s="3"/>
    </row>
    <row r="5682">
      <c r="A5682" s="3"/>
      <c r="B5682" s="3"/>
      <c r="C5682" s="3"/>
    </row>
    <row r="5683">
      <c r="A5683" s="3"/>
      <c r="B5683" s="3"/>
      <c r="C5683" s="3"/>
    </row>
    <row r="5684">
      <c r="A5684" s="3"/>
      <c r="B5684" s="3"/>
      <c r="C5684" s="3"/>
    </row>
    <row r="5685">
      <c r="A5685" s="3"/>
      <c r="B5685" s="3"/>
      <c r="C5685" s="3"/>
    </row>
    <row r="5686">
      <c r="A5686" s="3"/>
      <c r="B5686" s="3"/>
      <c r="C5686" s="3"/>
    </row>
    <row r="5687">
      <c r="A5687" s="3"/>
      <c r="B5687" s="3"/>
      <c r="C5687" s="3"/>
    </row>
    <row r="5688">
      <c r="A5688" s="3"/>
      <c r="B5688" s="3"/>
      <c r="C5688" s="3"/>
    </row>
    <row r="5689">
      <c r="A5689" s="3"/>
      <c r="B5689" s="3"/>
      <c r="C5689" s="3"/>
    </row>
    <row r="5690">
      <c r="A5690" s="3"/>
      <c r="B5690" s="3"/>
      <c r="C5690" s="3"/>
    </row>
    <row r="5691">
      <c r="A5691" s="3"/>
      <c r="B5691" s="3"/>
      <c r="C5691" s="3"/>
    </row>
    <row r="5692">
      <c r="A5692" s="3"/>
      <c r="B5692" s="3"/>
      <c r="C5692" s="3"/>
    </row>
    <row r="5693">
      <c r="A5693" s="3"/>
      <c r="B5693" s="3"/>
      <c r="C5693" s="3"/>
    </row>
    <row r="5694">
      <c r="A5694" s="3"/>
      <c r="B5694" s="3"/>
      <c r="C5694" s="3"/>
    </row>
    <row r="5695">
      <c r="A5695" s="3"/>
      <c r="B5695" s="3"/>
      <c r="C5695" s="3"/>
    </row>
    <row r="5696">
      <c r="A5696" s="3"/>
      <c r="B5696" s="3"/>
      <c r="C5696" s="3"/>
    </row>
    <row r="5697">
      <c r="A5697" s="3"/>
      <c r="B5697" s="3"/>
      <c r="C5697" s="3"/>
    </row>
    <row r="5698">
      <c r="A5698" s="3"/>
      <c r="B5698" s="3"/>
      <c r="C5698" s="3"/>
    </row>
    <row r="5699">
      <c r="A5699" s="3"/>
      <c r="B5699" s="3"/>
      <c r="C5699" s="3"/>
    </row>
    <row r="5700">
      <c r="A5700" s="3"/>
      <c r="B5700" s="3"/>
      <c r="C5700" s="3"/>
    </row>
    <row r="5701">
      <c r="A5701" s="3"/>
      <c r="B5701" s="3"/>
      <c r="C5701" s="3"/>
    </row>
    <row r="5702">
      <c r="A5702" s="3"/>
      <c r="B5702" s="3"/>
      <c r="C5702" s="3"/>
    </row>
    <row r="5703">
      <c r="A5703" s="3"/>
      <c r="B5703" s="3"/>
      <c r="C5703" s="3"/>
    </row>
    <row r="5704">
      <c r="A5704" s="3"/>
      <c r="B5704" s="3"/>
      <c r="C5704" s="3"/>
    </row>
    <row r="5705">
      <c r="A5705" s="3"/>
      <c r="B5705" s="3"/>
      <c r="C5705" s="3"/>
    </row>
    <row r="5706">
      <c r="A5706" s="3"/>
      <c r="B5706" s="3"/>
      <c r="C5706" s="3"/>
    </row>
    <row r="5707">
      <c r="A5707" s="3"/>
      <c r="B5707" s="3"/>
      <c r="C5707" s="3"/>
    </row>
    <row r="5708">
      <c r="A5708" s="3"/>
      <c r="B5708" s="3"/>
      <c r="C5708" s="3"/>
    </row>
    <row r="5709">
      <c r="A5709" s="3"/>
      <c r="B5709" s="3"/>
      <c r="C5709" s="3"/>
    </row>
    <row r="5710">
      <c r="A5710" s="3"/>
      <c r="B5710" s="3"/>
      <c r="C5710" s="3"/>
    </row>
    <row r="5711">
      <c r="A5711" s="3"/>
      <c r="B5711" s="3"/>
      <c r="C5711" s="3"/>
    </row>
    <row r="5712">
      <c r="A5712" s="3"/>
      <c r="B5712" s="3"/>
      <c r="C5712" s="3"/>
    </row>
    <row r="5713">
      <c r="A5713" s="3"/>
      <c r="B5713" s="3"/>
      <c r="C5713" s="3"/>
    </row>
    <row r="5714">
      <c r="A5714" s="3"/>
      <c r="B5714" s="3"/>
      <c r="C5714" s="3"/>
    </row>
    <row r="5715">
      <c r="A5715" s="3"/>
      <c r="B5715" s="3"/>
      <c r="C5715" s="3"/>
    </row>
    <row r="5716">
      <c r="A5716" s="3"/>
      <c r="B5716" s="3"/>
      <c r="C5716" s="3"/>
    </row>
    <row r="5717">
      <c r="A5717" s="3"/>
      <c r="B5717" s="3"/>
      <c r="C5717" s="3"/>
    </row>
    <row r="5718">
      <c r="A5718" s="3"/>
      <c r="B5718" s="3"/>
      <c r="C5718" s="3"/>
    </row>
    <row r="5719">
      <c r="A5719" s="3"/>
      <c r="B5719" s="3"/>
      <c r="C5719" s="3"/>
    </row>
    <row r="5720">
      <c r="A5720" s="3"/>
      <c r="B5720" s="3"/>
      <c r="C5720" s="3"/>
    </row>
    <row r="5721">
      <c r="A5721" s="3"/>
      <c r="B5721" s="3"/>
      <c r="C5721" s="3"/>
    </row>
    <row r="5722">
      <c r="A5722" s="3"/>
      <c r="B5722" s="3"/>
      <c r="C5722" s="3"/>
    </row>
    <row r="5723">
      <c r="A5723" s="3"/>
      <c r="B5723" s="3"/>
      <c r="C5723" s="3"/>
    </row>
    <row r="5724">
      <c r="A5724" s="3"/>
      <c r="B5724" s="3"/>
      <c r="C5724" s="3"/>
    </row>
    <row r="5725">
      <c r="A5725" s="3"/>
      <c r="B5725" s="3"/>
      <c r="C5725" s="3"/>
    </row>
    <row r="5726">
      <c r="A5726" s="3"/>
      <c r="B5726" s="3"/>
      <c r="C5726" s="3"/>
    </row>
    <row r="5727">
      <c r="A5727" s="3"/>
      <c r="B5727" s="3"/>
      <c r="C5727" s="3"/>
    </row>
    <row r="5728">
      <c r="A5728" s="3"/>
      <c r="B5728" s="3"/>
      <c r="C5728" s="3"/>
    </row>
    <row r="5729">
      <c r="A5729" s="3"/>
      <c r="B5729" s="3"/>
      <c r="C5729" s="3"/>
    </row>
    <row r="5730">
      <c r="A5730" s="3"/>
      <c r="B5730" s="3"/>
      <c r="C5730" s="3"/>
    </row>
    <row r="5731">
      <c r="A5731" s="3"/>
      <c r="B5731" s="3"/>
      <c r="C5731" s="3"/>
    </row>
    <row r="5732">
      <c r="A5732" s="3"/>
      <c r="B5732" s="3"/>
      <c r="C5732" s="3"/>
    </row>
    <row r="5733">
      <c r="A5733" s="3"/>
      <c r="B5733" s="3"/>
      <c r="C5733" s="3"/>
    </row>
    <row r="5734">
      <c r="A5734" s="3"/>
      <c r="B5734" s="3"/>
      <c r="C5734" s="3"/>
    </row>
    <row r="5735">
      <c r="A5735" s="3"/>
      <c r="B5735" s="3"/>
      <c r="C5735" s="3"/>
    </row>
    <row r="5736">
      <c r="A5736" s="3"/>
      <c r="B5736" s="3"/>
      <c r="C5736" s="3"/>
    </row>
    <row r="5737">
      <c r="A5737" s="3"/>
      <c r="B5737" s="3"/>
      <c r="C5737" s="3"/>
    </row>
    <row r="5738">
      <c r="A5738" s="3"/>
      <c r="B5738" s="3"/>
      <c r="C5738" s="3"/>
    </row>
    <row r="5739">
      <c r="A5739" s="3"/>
      <c r="B5739" s="3"/>
      <c r="C5739" s="3"/>
    </row>
    <row r="5740">
      <c r="A5740" s="3"/>
      <c r="B5740" s="3"/>
      <c r="C5740" s="3"/>
    </row>
    <row r="5741">
      <c r="A5741" s="3"/>
      <c r="B5741" s="3"/>
      <c r="C5741" s="3"/>
    </row>
    <row r="5742">
      <c r="A5742" s="3"/>
      <c r="B5742" s="3"/>
      <c r="C5742" s="3"/>
    </row>
    <row r="5743">
      <c r="A5743" s="3"/>
      <c r="B5743" s="3"/>
      <c r="C5743" s="3"/>
    </row>
    <row r="5744">
      <c r="A5744" s="3"/>
      <c r="B5744" s="3"/>
      <c r="C5744" s="3"/>
    </row>
    <row r="5745">
      <c r="A5745" s="3"/>
      <c r="B5745" s="3"/>
      <c r="C5745" s="3"/>
    </row>
    <row r="5746">
      <c r="A5746" s="3"/>
      <c r="B5746" s="3"/>
      <c r="C5746" s="3"/>
    </row>
    <row r="5747">
      <c r="A5747" s="3"/>
      <c r="B5747" s="3"/>
      <c r="C5747" s="3"/>
    </row>
    <row r="5748">
      <c r="A5748" s="3"/>
      <c r="B5748" s="3"/>
      <c r="C5748" s="3"/>
    </row>
    <row r="5749">
      <c r="A5749" s="3"/>
      <c r="B5749" s="3"/>
      <c r="C5749" s="3"/>
    </row>
    <row r="5750">
      <c r="A5750" s="3"/>
      <c r="B5750" s="3"/>
      <c r="C5750" s="3"/>
    </row>
    <row r="5751">
      <c r="A5751" s="3"/>
      <c r="B5751" s="3"/>
      <c r="C5751" s="3"/>
    </row>
    <row r="5752">
      <c r="A5752" s="3"/>
      <c r="B5752" s="3"/>
      <c r="C5752" s="3"/>
    </row>
    <row r="5753">
      <c r="A5753" s="3"/>
      <c r="B5753" s="3"/>
      <c r="C5753" s="3"/>
    </row>
    <row r="5754">
      <c r="A5754" s="3"/>
      <c r="B5754" s="3"/>
      <c r="C5754" s="3"/>
    </row>
    <row r="5755">
      <c r="A5755" s="3"/>
      <c r="B5755" s="3"/>
      <c r="C5755" s="3"/>
    </row>
    <row r="5756">
      <c r="A5756" s="3"/>
      <c r="B5756" s="3"/>
      <c r="C5756" s="3"/>
    </row>
    <row r="5757">
      <c r="A5757" s="3"/>
      <c r="B5757" s="3"/>
      <c r="C5757" s="3"/>
    </row>
    <row r="5758">
      <c r="A5758" s="3"/>
      <c r="B5758" s="3"/>
      <c r="C5758" s="3"/>
    </row>
    <row r="5759">
      <c r="A5759" s="3"/>
      <c r="B5759" s="3"/>
      <c r="C5759" s="3"/>
    </row>
    <row r="5760">
      <c r="A5760" s="3"/>
      <c r="B5760" s="3"/>
      <c r="C5760" s="3"/>
    </row>
    <row r="5761">
      <c r="A5761" s="3"/>
      <c r="B5761" s="3"/>
      <c r="C5761" s="3"/>
    </row>
    <row r="5762">
      <c r="A5762" s="3"/>
      <c r="B5762" s="3"/>
      <c r="C5762" s="3"/>
    </row>
    <row r="5763">
      <c r="A5763" s="3"/>
      <c r="B5763" s="3"/>
      <c r="C5763" s="3"/>
    </row>
    <row r="5764">
      <c r="A5764" s="3"/>
      <c r="B5764" s="3"/>
      <c r="C5764" s="3"/>
    </row>
    <row r="5765">
      <c r="A5765" s="3"/>
      <c r="B5765" s="3"/>
      <c r="C5765" s="3"/>
    </row>
    <row r="5766">
      <c r="A5766" s="3"/>
      <c r="B5766" s="3"/>
      <c r="C5766" s="3"/>
    </row>
    <row r="5767">
      <c r="A5767" s="3"/>
      <c r="B5767" s="3"/>
      <c r="C5767" s="3"/>
    </row>
    <row r="5768">
      <c r="A5768" s="3"/>
      <c r="B5768" s="3"/>
      <c r="C5768" s="3"/>
    </row>
    <row r="5769">
      <c r="A5769" s="3"/>
      <c r="B5769" s="3"/>
      <c r="C5769" s="3"/>
    </row>
    <row r="5770">
      <c r="A5770" s="3"/>
      <c r="B5770" s="3"/>
      <c r="C5770" s="3"/>
    </row>
    <row r="5771">
      <c r="A5771" s="3"/>
      <c r="B5771" s="3"/>
      <c r="C5771" s="3"/>
    </row>
    <row r="5772">
      <c r="A5772" s="3"/>
      <c r="B5772" s="3"/>
      <c r="C5772" s="3"/>
    </row>
    <row r="5773">
      <c r="A5773" s="3"/>
      <c r="B5773" s="3"/>
      <c r="C5773" s="3"/>
    </row>
    <row r="5774">
      <c r="A5774" s="3"/>
      <c r="B5774" s="3"/>
      <c r="C5774" s="3"/>
    </row>
    <row r="5775">
      <c r="A5775" s="3"/>
      <c r="B5775" s="3"/>
      <c r="C5775" s="3"/>
    </row>
    <row r="5776">
      <c r="A5776" s="3"/>
      <c r="B5776" s="3"/>
      <c r="C5776" s="3"/>
    </row>
    <row r="5777">
      <c r="A5777" s="3"/>
      <c r="B5777" s="3"/>
      <c r="C5777" s="3"/>
    </row>
    <row r="5778">
      <c r="A5778" s="3"/>
      <c r="B5778" s="3"/>
      <c r="C5778" s="3"/>
    </row>
    <row r="5779">
      <c r="A5779" s="3"/>
      <c r="B5779" s="3"/>
      <c r="C5779" s="3"/>
    </row>
    <row r="5780">
      <c r="A5780" s="3"/>
      <c r="B5780" s="3"/>
      <c r="C5780" s="3"/>
    </row>
    <row r="5781">
      <c r="A5781" s="3"/>
      <c r="B5781" s="3"/>
      <c r="C5781" s="3"/>
    </row>
    <row r="5782">
      <c r="A5782" s="3"/>
      <c r="B5782" s="3"/>
      <c r="C5782" s="3"/>
    </row>
    <row r="5783">
      <c r="A5783" s="3"/>
      <c r="B5783" s="3"/>
      <c r="C5783" s="3"/>
    </row>
    <row r="5784">
      <c r="A5784" s="3"/>
      <c r="B5784" s="3"/>
      <c r="C5784" s="3"/>
    </row>
    <row r="5785">
      <c r="A5785" s="3"/>
      <c r="B5785" s="3"/>
      <c r="C5785" s="3"/>
    </row>
    <row r="5786">
      <c r="A5786" s="3"/>
      <c r="B5786" s="3"/>
      <c r="C5786" s="3"/>
    </row>
    <row r="5787">
      <c r="A5787" s="3"/>
      <c r="B5787" s="3"/>
      <c r="C5787" s="3"/>
    </row>
    <row r="5788">
      <c r="A5788" s="3"/>
      <c r="B5788" s="3"/>
      <c r="C5788" s="3"/>
    </row>
    <row r="5789">
      <c r="A5789" s="3"/>
      <c r="B5789" s="3"/>
      <c r="C5789" s="3"/>
    </row>
    <row r="5790">
      <c r="A5790" s="3"/>
      <c r="B5790" s="3"/>
      <c r="C5790" s="3"/>
    </row>
    <row r="5791">
      <c r="A5791" s="3"/>
      <c r="B5791" s="3"/>
      <c r="C5791" s="3"/>
    </row>
    <row r="5792">
      <c r="A5792" s="3"/>
      <c r="B5792" s="3"/>
      <c r="C5792" s="3"/>
    </row>
    <row r="5793">
      <c r="A5793" s="3"/>
      <c r="B5793" s="3"/>
      <c r="C5793" s="3"/>
    </row>
    <row r="5794">
      <c r="A5794" s="3"/>
      <c r="B5794" s="3"/>
      <c r="C5794" s="3"/>
    </row>
    <row r="5795">
      <c r="A5795" s="3"/>
      <c r="B5795" s="3"/>
      <c r="C5795" s="3"/>
    </row>
    <row r="5796">
      <c r="A5796" s="3"/>
      <c r="B5796" s="3"/>
      <c r="C5796" s="3"/>
    </row>
    <row r="5797">
      <c r="A5797" s="3"/>
      <c r="B5797" s="3"/>
      <c r="C5797" s="3"/>
    </row>
    <row r="5798">
      <c r="A5798" s="3"/>
      <c r="B5798" s="3"/>
      <c r="C5798" s="3"/>
    </row>
    <row r="5799">
      <c r="A5799" s="3"/>
      <c r="B5799" s="3"/>
      <c r="C5799" s="3"/>
    </row>
    <row r="5800">
      <c r="A5800" s="3"/>
      <c r="B5800" s="3"/>
      <c r="C5800" s="3"/>
    </row>
    <row r="5801">
      <c r="A5801" s="3"/>
      <c r="B5801" s="3"/>
      <c r="C5801" s="3"/>
    </row>
    <row r="5802">
      <c r="A5802" s="3"/>
      <c r="B5802" s="3"/>
      <c r="C5802" s="3"/>
    </row>
    <row r="5803">
      <c r="A5803" s="3"/>
      <c r="B5803" s="3"/>
      <c r="C5803" s="3"/>
    </row>
    <row r="5804">
      <c r="A5804" s="3"/>
      <c r="B5804" s="3"/>
      <c r="C5804" s="3"/>
    </row>
    <row r="5805">
      <c r="A5805" s="3"/>
      <c r="B5805" s="3"/>
      <c r="C5805" s="3"/>
    </row>
    <row r="5806">
      <c r="A5806" s="3"/>
      <c r="B5806" s="3"/>
      <c r="C5806" s="3"/>
    </row>
    <row r="5807">
      <c r="A5807" s="3"/>
      <c r="B5807" s="3"/>
      <c r="C5807" s="3"/>
    </row>
    <row r="5808">
      <c r="A5808" s="3"/>
      <c r="B5808" s="3"/>
      <c r="C5808" s="3"/>
    </row>
    <row r="5809">
      <c r="A5809" s="3"/>
      <c r="B5809" s="3"/>
      <c r="C5809" s="3"/>
    </row>
    <row r="5810">
      <c r="A5810" s="3"/>
      <c r="B5810" s="3"/>
      <c r="C5810" s="3"/>
    </row>
    <row r="5811">
      <c r="A5811" s="3"/>
      <c r="B5811" s="3"/>
      <c r="C5811" s="3"/>
    </row>
    <row r="5812">
      <c r="A5812" s="3"/>
      <c r="B5812" s="3"/>
      <c r="C5812" s="3"/>
    </row>
    <row r="5813">
      <c r="A5813" s="3"/>
      <c r="B5813" s="3"/>
      <c r="C5813" s="3"/>
    </row>
    <row r="5814">
      <c r="A5814" s="3"/>
      <c r="B5814" s="3"/>
      <c r="C5814" s="3"/>
    </row>
    <row r="5815">
      <c r="A5815" s="3"/>
      <c r="B5815" s="3"/>
      <c r="C5815" s="3"/>
    </row>
    <row r="5816">
      <c r="A5816" s="3"/>
      <c r="B5816" s="3"/>
      <c r="C5816" s="3"/>
    </row>
    <row r="5817">
      <c r="A5817" s="3"/>
      <c r="B5817" s="3"/>
      <c r="C5817" s="3"/>
    </row>
    <row r="5818">
      <c r="A5818" s="3"/>
      <c r="B5818" s="3"/>
      <c r="C5818" s="3"/>
    </row>
    <row r="5819">
      <c r="A5819" s="3"/>
      <c r="B5819" s="3"/>
      <c r="C5819" s="3"/>
    </row>
    <row r="5820">
      <c r="A5820" s="3"/>
      <c r="B5820" s="3"/>
      <c r="C5820" s="3"/>
    </row>
    <row r="5821">
      <c r="A5821" s="3"/>
      <c r="B5821" s="3"/>
      <c r="C5821" s="3"/>
    </row>
    <row r="5822">
      <c r="A5822" s="3"/>
      <c r="B5822" s="3"/>
      <c r="C5822" s="3"/>
    </row>
    <row r="5823">
      <c r="A5823" s="3"/>
      <c r="B5823" s="3"/>
      <c r="C5823" s="3"/>
    </row>
    <row r="5824">
      <c r="A5824" s="3"/>
      <c r="B5824" s="3"/>
      <c r="C5824" s="3"/>
    </row>
    <row r="5825">
      <c r="A5825" s="3"/>
      <c r="B5825" s="3"/>
      <c r="C5825" s="3"/>
    </row>
    <row r="5826">
      <c r="A5826" s="3"/>
      <c r="B5826" s="3"/>
      <c r="C5826" s="3"/>
    </row>
    <row r="5827">
      <c r="A5827" s="3"/>
      <c r="B5827" s="3"/>
      <c r="C5827" s="3"/>
    </row>
    <row r="5828">
      <c r="A5828" s="3"/>
      <c r="B5828" s="3"/>
      <c r="C5828" s="3"/>
    </row>
    <row r="5829">
      <c r="A5829" s="3"/>
      <c r="B5829" s="3"/>
      <c r="C5829" s="3"/>
    </row>
    <row r="5830">
      <c r="A5830" s="3"/>
      <c r="B5830" s="3"/>
      <c r="C5830" s="3"/>
    </row>
    <row r="5831">
      <c r="A5831" s="3"/>
      <c r="B5831" s="3"/>
      <c r="C5831" s="3"/>
    </row>
    <row r="5832">
      <c r="A5832" s="3"/>
      <c r="B5832" s="3"/>
      <c r="C5832" s="3"/>
    </row>
    <row r="5833">
      <c r="A5833" s="3"/>
      <c r="B5833" s="3"/>
      <c r="C5833" s="3"/>
    </row>
    <row r="5834">
      <c r="A5834" s="3"/>
      <c r="B5834" s="3"/>
      <c r="C5834" s="3"/>
    </row>
    <row r="5835">
      <c r="A5835" s="3"/>
      <c r="B5835" s="3"/>
      <c r="C5835" s="3"/>
    </row>
    <row r="5836">
      <c r="A5836" s="3"/>
      <c r="B5836" s="3"/>
      <c r="C5836" s="3"/>
    </row>
    <row r="5837">
      <c r="A5837" s="3"/>
      <c r="B5837" s="3"/>
      <c r="C5837" s="3"/>
    </row>
    <row r="5838">
      <c r="A5838" s="3"/>
      <c r="B5838" s="3"/>
      <c r="C5838" s="3"/>
    </row>
    <row r="5839">
      <c r="A5839" s="3"/>
      <c r="B5839" s="3"/>
      <c r="C5839" s="3"/>
    </row>
    <row r="5840">
      <c r="A5840" s="3"/>
      <c r="B5840" s="3"/>
      <c r="C5840" s="3"/>
    </row>
    <row r="5841">
      <c r="A5841" s="3"/>
      <c r="B5841" s="3"/>
      <c r="C5841" s="3"/>
    </row>
    <row r="5842">
      <c r="A5842" s="3"/>
      <c r="B5842" s="3"/>
      <c r="C5842" s="3"/>
    </row>
    <row r="5843">
      <c r="A5843" s="3"/>
      <c r="B5843" s="3"/>
      <c r="C5843" s="3"/>
    </row>
    <row r="5844">
      <c r="A5844" s="3"/>
      <c r="B5844" s="3"/>
      <c r="C5844" s="3"/>
    </row>
    <row r="5845">
      <c r="A5845" s="3"/>
      <c r="B5845" s="3"/>
      <c r="C5845" s="3"/>
    </row>
    <row r="5846">
      <c r="A5846" s="3"/>
      <c r="B5846" s="3"/>
      <c r="C5846" s="3"/>
    </row>
    <row r="5847">
      <c r="A5847" s="3"/>
      <c r="B5847" s="3"/>
      <c r="C5847" s="3"/>
    </row>
    <row r="5848">
      <c r="A5848" s="3"/>
      <c r="B5848" s="3"/>
      <c r="C5848" s="3"/>
    </row>
    <row r="5849">
      <c r="A5849" s="3"/>
      <c r="B5849" s="3"/>
      <c r="C5849" s="3"/>
    </row>
    <row r="5850">
      <c r="A5850" s="3"/>
      <c r="B5850" s="3"/>
      <c r="C5850" s="3"/>
    </row>
    <row r="5851">
      <c r="A5851" s="3"/>
      <c r="B5851" s="3"/>
      <c r="C5851" s="3"/>
    </row>
    <row r="5852">
      <c r="A5852" s="3"/>
      <c r="B5852" s="3"/>
      <c r="C5852" s="3"/>
    </row>
    <row r="5853">
      <c r="A5853" s="3"/>
      <c r="B5853" s="3"/>
      <c r="C5853" s="3"/>
    </row>
    <row r="5854">
      <c r="A5854" s="3"/>
      <c r="B5854" s="3"/>
      <c r="C5854" s="3"/>
    </row>
    <row r="5855">
      <c r="A5855" s="3"/>
      <c r="B5855" s="3"/>
      <c r="C5855" s="3"/>
    </row>
    <row r="5856">
      <c r="A5856" s="3"/>
      <c r="B5856" s="3"/>
      <c r="C5856" s="3"/>
    </row>
    <row r="5857">
      <c r="A5857" s="3"/>
      <c r="B5857" s="3"/>
      <c r="C5857" s="3"/>
    </row>
    <row r="5858">
      <c r="A5858" s="3"/>
      <c r="B5858" s="3"/>
      <c r="C5858" s="3"/>
    </row>
    <row r="5859">
      <c r="A5859" s="3"/>
      <c r="B5859" s="3"/>
      <c r="C5859" s="3"/>
    </row>
    <row r="5860">
      <c r="A5860" s="3"/>
      <c r="B5860" s="3"/>
      <c r="C5860" s="3"/>
    </row>
    <row r="5861">
      <c r="A5861" s="3"/>
      <c r="B5861" s="3"/>
      <c r="C5861" s="3"/>
    </row>
    <row r="5862">
      <c r="A5862" s="3"/>
      <c r="B5862" s="3"/>
      <c r="C5862" s="3"/>
    </row>
    <row r="5863">
      <c r="A5863" s="3"/>
      <c r="B5863" s="3"/>
      <c r="C5863" s="3"/>
    </row>
    <row r="5864">
      <c r="A5864" s="3"/>
      <c r="B5864" s="3"/>
      <c r="C5864" s="3"/>
    </row>
    <row r="5865">
      <c r="A5865" s="3"/>
      <c r="B5865" s="3"/>
      <c r="C5865" s="3"/>
    </row>
    <row r="5866">
      <c r="A5866" s="3"/>
      <c r="B5866" s="3"/>
      <c r="C5866" s="3"/>
    </row>
    <row r="5867">
      <c r="A5867" s="3"/>
      <c r="B5867" s="3"/>
      <c r="C5867" s="3"/>
    </row>
    <row r="5868">
      <c r="A5868" s="3"/>
      <c r="B5868" s="3"/>
      <c r="C5868" s="3"/>
    </row>
    <row r="5869">
      <c r="A5869" s="3"/>
      <c r="B5869" s="3"/>
      <c r="C5869" s="3"/>
    </row>
    <row r="5870">
      <c r="A5870" s="3"/>
      <c r="B5870" s="3"/>
      <c r="C5870" s="3"/>
    </row>
    <row r="5871">
      <c r="A5871" s="3"/>
      <c r="B5871" s="3"/>
      <c r="C5871" s="3"/>
    </row>
    <row r="5872">
      <c r="A5872" s="3"/>
      <c r="B5872" s="3"/>
      <c r="C5872" s="3"/>
    </row>
    <row r="5873">
      <c r="A5873" s="3"/>
      <c r="B5873" s="3"/>
      <c r="C5873" s="3"/>
    </row>
    <row r="5874">
      <c r="A5874" s="3"/>
      <c r="B5874" s="3"/>
      <c r="C5874" s="3"/>
    </row>
    <row r="5875">
      <c r="A5875" s="3"/>
      <c r="B5875" s="3"/>
      <c r="C5875" s="3"/>
    </row>
    <row r="5876">
      <c r="A5876" s="3"/>
      <c r="B5876" s="3"/>
      <c r="C5876" s="3"/>
    </row>
    <row r="5877">
      <c r="A5877" s="3"/>
      <c r="B5877" s="3"/>
      <c r="C5877" s="3"/>
    </row>
    <row r="5878">
      <c r="A5878" s="3"/>
      <c r="B5878" s="3"/>
      <c r="C5878" s="3"/>
    </row>
    <row r="5879">
      <c r="A5879" s="3"/>
      <c r="B5879" s="3"/>
      <c r="C5879" s="3"/>
    </row>
    <row r="5880">
      <c r="A5880" s="3"/>
      <c r="B5880" s="3"/>
      <c r="C5880" s="3"/>
    </row>
    <row r="5881">
      <c r="A5881" s="3"/>
      <c r="B5881" s="3"/>
      <c r="C5881" s="3"/>
    </row>
    <row r="5882">
      <c r="A5882" s="3"/>
      <c r="B5882" s="3"/>
      <c r="C5882" s="3"/>
    </row>
    <row r="5883">
      <c r="A5883" s="3"/>
      <c r="B5883" s="3"/>
      <c r="C5883" s="3"/>
    </row>
    <row r="5884">
      <c r="A5884" s="3"/>
      <c r="B5884" s="3"/>
      <c r="C5884" s="3"/>
    </row>
    <row r="5885">
      <c r="A5885" s="3"/>
      <c r="B5885" s="3"/>
      <c r="C5885" s="3"/>
    </row>
    <row r="5886">
      <c r="A5886" s="3"/>
      <c r="B5886" s="3"/>
      <c r="C5886" s="3"/>
    </row>
    <row r="5887">
      <c r="A5887" s="3"/>
      <c r="B5887" s="3"/>
      <c r="C5887" s="3"/>
    </row>
    <row r="5888">
      <c r="A5888" s="3"/>
      <c r="B5888" s="3"/>
      <c r="C5888" s="3"/>
    </row>
    <row r="5889">
      <c r="A5889" s="3"/>
      <c r="B5889" s="3"/>
      <c r="C5889" s="3"/>
    </row>
    <row r="5890">
      <c r="A5890" s="3"/>
      <c r="B5890" s="3"/>
      <c r="C5890" s="3"/>
    </row>
    <row r="5891">
      <c r="A5891" s="3"/>
      <c r="B5891" s="3"/>
      <c r="C5891" s="3"/>
    </row>
    <row r="5892">
      <c r="A5892" s="3"/>
      <c r="B5892" s="3"/>
      <c r="C5892" s="3"/>
    </row>
    <row r="5893">
      <c r="A5893" s="3"/>
      <c r="B5893" s="3"/>
      <c r="C5893" s="3"/>
    </row>
    <row r="5894">
      <c r="A5894" s="3"/>
      <c r="B5894" s="3"/>
      <c r="C5894" s="3"/>
    </row>
    <row r="5895">
      <c r="A5895" s="3"/>
      <c r="B5895" s="3"/>
      <c r="C5895" s="3"/>
    </row>
    <row r="5896">
      <c r="A5896" s="3"/>
      <c r="B5896" s="3"/>
      <c r="C5896" s="3"/>
    </row>
    <row r="5897">
      <c r="A5897" s="3"/>
      <c r="B5897" s="3"/>
      <c r="C5897" s="3"/>
    </row>
    <row r="5898">
      <c r="A5898" s="3"/>
      <c r="B5898" s="3"/>
      <c r="C5898" s="3"/>
    </row>
    <row r="5899">
      <c r="A5899" s="3"/>
      <c r="B5899" s="3"/>
      <c r="C5899" s="3"/>
    </row>
    <row r="5900">
      <c r="A5900" s="3"/>
      <c r="B5900" s="3"/>
      <c r="C5900" s="3"/>
    </row>
    <row r="5901">
      <c r="A5901" s="3"/>
      <c r="B5901" s="3"/>
      <c r="C5901" s="3"/>
    </row>
    <row r="5902">
      <c r="A5902" s="3"/>
      <c r="B5902" s="3"/>
      <c r="C5902" s="3"/>
    </row>
    <row r="5903">
      <c r="A5903" s="3"/>
      <c r="B5903" s="3"/>
      <c r="C5903" s="3"/>
    </row>
    <row r="5904">
      <c r="A5904" s="3"/>
      <c r="B5904" s="3"/>
      <c r="C5904" s="3"/>
    </row>
    <row r="5905">
      <c r="A5905" s="3"/>
      <c r="B5905" s="3"/>
      <c r="C5905" s="3"/>
    </row>
    <row r="5906">
      <c r="A5906" s="3"/>
      <c r="B5906" s="3"/>
      <c r="C5906" s="3"/>
    </row>
    <row r="5907">
      <c r="A5907" s="3"/>
      <c r="B5907" s="3"/>
      <c r="C5907" s="3"/>
    </row>
    <row r="5908">
      <c r="A5908" s="3"/>
      <c r="B5908" s="3"/>
      <c r="C5908" s="3"/>
    </row>
    <row r="5909">
      <c r="A5909" s="3"/>
      <c r="B5909" s="3"/>
      <c r="C5909" s="3"/>
    </row>
    <row r="5910">
      <c r="A5910" s="3"/>
      <c r="B5910" s="3"/>
      <c r="C5910" s="3"/>
    </row>
    <row r="5911">
      <c r="A5911" s="3"/>
      <c r="B5911" s="3"/>
      <c r="C5911" s="3"/>
    </row>
    <row r="5912">
      <c r="A5912" s="3"/>
      <c r="B5912" s="3"/>
      <c r="C5912" s="3"/>
    </row>
    <row r="5913">
      <c r="A5913" s="3"/>
      <c r="B5913" s="3"/>
      <c r="C5913" s="3"/>
    </row>
    <row r="5914">
      <c r="A5914" s="3"/>
      <c r="B5914" s="3"/>
      <c r="C5914" s="3"/>
    </row>
    <row r="5915">
      <c r="A5915" s="3"/>
      <c r="B5915" s="3"/>
      <c r="C5915" s="3"/>
    </row>
    <row r="5916">
      <c r="A5916" s="3"/>
      <c r="B5916" s="3"/>
      <c r="C5916" s="3"/>
    </row>
    <row r="5917">
      <c r="A5917" s="3"/>
      <c r="B5917" s="3"/>
      <c r="C5917" s="3"/>
    </row>
    <row r="5918">
      <c r="A5918" s="3"/>
      <c r="B5918" s="3"/>
      <c r="C5918" s="3"/>
    </row>
    <row r="5919">
      <c r="A5919" s="3"/>
      <c r="B5919" s="3"/>
      <c r="C5919" s="3"/>
    </row>
    <row r="5920">
      <c r="A5920" s="3"/>
      <c r="B5920" s="3"/>
      <c r="C5920" s="3"/>
    </row>
    <row r="5921">
      <c r="A5921" s="3"/>
      <c r="B5921" s="3"/>
      <c r="C5921" s="3"/>
    </row>
    <row r="5922">
      <c r="A5922" s="3"/>
      <c r="B5922" s="3"/>
      <c r="C5922" s="3"/>
    </row>
    <row r="5923">
      <c r="A5923" s="3"/>
      <c r="B5923" s="3"/>
      <c r="C5923" s="3"/>
    </row>
    <row r="5924">
      <c r="A5924" s="3"/>
      <c r="B5924" s="3"/>
      <c r="C5924" s="3"/>
    </row>
    <row r="5925">
      <c r="A5925" s="3"/>
      <c r="B5925" s="3"/>
      <c r="C5925" s="3"/>
    </row>
    <row r="5926">
      <c r="A5926" s="3"/>
      <c r="B5926" s="3"/>
      <c r="C5926" s="3"/>
    </row>
    <row r="5927">
      <c r="A5927" s="3"/>
      <c r="B5927" s="3"/>
      <c r="C5927" s="3"/>
    </row>
    <row r="5928">
      <c r="A5928" s="3"/>
      <c r="B5928" s="3"/>
      <c r="C5928" s="3"/>
    </row>
    <row r="5929">
      <c r="A5929" s="3"/>
      <c r="B5929" s="3"/>
      <c r="C5929" s="3"/>
    </row>
    <row r="5930">
      <c r="A5930" s="3"/>
      <c r="B5930" s="3"/>
      <c r="C5930" s="3"/>
    </row>
    <row r="5931">
      <c r="A5931" s="3"/>
      <c r="B5931" s="3"/>
      <c r="C5931" s="3"/>
    </row>
    <row r="5932">
      <c r="A5932" s="3"/>
      <c r="B5932" s="3"/>
      <c r="C5932" s="3"/>
    </row>
    <row r="5933">
      <c r="A5933" s="3"/>
      <c r="B5933" s="3"/>
      <c r="C5933" s="3"/>
    </row>
    <row r="5934">
      <c r="A5934" s="3"/>
      <c r="B5934" s="3"/>
      <c r="C5934" s="3"/>
    </row>
    <row r="5935">
      <c r="A5935" s="3"/>
      <c r="B5935" s="3"/>
      <c r="C5935" s="3"/>
    </row>
    <row r="5936">
      <c r="A5936" s="3"/>
      <c r="B5936" s="3"/>
      <c r="C5936" s="3"/>
    </row>
    <row r="5937">
      <c r="A5937" s="3"/>
      <c r="B5937" s="3"/>
      <c r="C5937" s="3"/>
    </row>
    <row r="5938">
      <c r="A5938" s="3"/>
      <c r="B5938" s="3"/>
      <c r="C5938" s="3"/>
    </row>
    <row r="5939">
      <c r="A5939" s="3"/>
      <c r="B5939" s="3"/>
      <c r="C5939" s="3"/>
    </row>
    <row r="5940">
      <c r="A5940" s="3"/>
      <c r="B5940" s="3"/>
      <c r="C5940" s="3"/>
    </row>
    <row r="5941">
      <c r="A5941" s="3"/>
      <c r="B5941" s="3"/>
      <c r="C5941" s="3"/>
    </row>
    <row r="5942">
      <c r="A5942" s="3"/>
      <c r="B5942" s="3"/>
      <c r="C5942" s="3"/>
    </row>
    <row r="5943">
      <c r="A5943" s="3"/>
      <c r="B5943" s="3"/>
      <c r="C5943" s="3"/>
    </row>
    <row r="5944">
      <c r="A5944" s="3"/>
      <c r="B5944" s="3"/>
      <c r="C5944" s="3"/>
    </row>
    <row r="5945">
      <c r="A5945" s="3"/>
      <c r="B5945" s="3"/>
      <c r="C5945" s="3"/>
    </row>
    <row r="5946">
      <c r="A5946" s="3"/>
      <c r="B5946" s="3"/>
      <c r="C5946" s="3"/>
    </row>
    <row r="5947">
      <c r="A5947" s="3"/>
      <c r="B5947" s="3"/>
      <c r="C5947" s="3"/>
    </row>
    <row r="5948">
      <c r="A5948" s="3"/>
      <c r="B5948" s="3"/>
      <c r="C5948" s="3"/>
    </row>
    <row r="5949">
      <c r="A5949" s="3"/>
      <c r="B5949" s="3"/>
      <c r="C5949" s="3"/>
    </row>
    <row r="5950">
      <c r="A5950" s="3"/>
      <c r="B5950" s="3"/>
      <c r="C5950" s="3"/>
    </row>
    <row r="5951">
      <c r="A5951" s="3"/>
      <c r="B5951" s="3"/>
      <c r="C5951" s="3"/>
    </row>
    <row r="5952">
      <c r="A5952" s="3"/>
      <c r="B5952" s="3"/>
      <c r="C5952" s="3"/>
    </row>
    <row r="5953">
      <c r="A5953" s="3"/>
      <c r="B5953" s="3"/>
      <c r="C5953" s="3"/>
    </row>
    <row r="5954">
      <c r="A5954" s="3"/>
      <c r="B5954" s="3"/>
      <c r="C5954" s="3"/>
    </row>
    <row r="5955">
      <c r="A5955" s="3"/>
      <c r="B5955" s="3"/>
      <c r="C5955" s="3"/>
    </row>
    <row r="5956">
      <c r="A5956" s="3"/>
      <c r="B5956" s="3"/>
      <c r="C5956" s="3"/>
    </row>
    <row r="5957">
      <c r="A5957" s="3"/>
      <c r="B5957" s="3"/>
      <c r="C5957" s="3"/>
    </row>
    <row r="5958">
      <c r="A5958" s="3"/>
      <c r="B5958" s="3"/>
      <c r="C5958" s="3"/>
    </row>
    <row r="5959">
      <c r="A5959" s="3"/>
      <c r="B5959" s="3"/>
      <c r="C5959" s="3"/>
    </row>
    <row r="5960">
      <c r="A5960" s="3"/>
      <c r="B5960" s="3"/>
      <c r="C5960" s="3"/>
    </row>
    <row r="5961">
      <c r="A5961" s="3"/>
      <c r="B5961" s="3"/>
      <c r="C5961" s="3"/>
    </row>
    <row r="5962">
      <c r="A5962" s="3"/>
      <c r="B5962" s="3"/>
      <c r="C5962" s="3"/>
    </row>
    <row r="5963">
      <c r="A5963" s="3"/>
      <c r="B5963" s="3"/>
      <c r="C5963" s="3"/>
    </row>
    <row r="5964">
      <c r="A5964" s="3"/>
      <c r="B5964" s="3"/>
      <c r="C5964" s="3"/>
    </row>
    <row r="5965">
      <c r="A5965" s="3"/>
      <c r="B5965" s="3"/>
      <c r="C5965" s="3"/>
    </row>
    <row r="5966">
      <c r="A5966" s="3"/>
      <c r="B5966" s="3"/>
      <c r="C5966" s="3"/>
    </row>
    <row r="5967">
      <c r="A5967" s="3"/>
      <c r="B5967" s="3"/>
      <c r="C5967" s="3"/>
    </row>
    <row r="5968">
      <c r="A5968" s="3"/>
      <c r="B5968" s="3"/>
      <c r="C5968" s="3"/>
    </row>
    <row r="5969">
      <c r="A5969" s="3"/>
      <c r="B5969" s="3"/>
      <c r="C5969" s="3"/>
    </row>
    <row r="5970">
      <c r="A5970" s="3"/>
      <c r="B5970" s="3"/>
      <c r="C5970" s="3"/>
    </row>
    <row r="5971">
      <c r="A5971" s="3"/>
      <c r="B5971" s="3"/>
      <c r="C5971" s="3"/>
    </row>
    <row r="5972">
      <c r="A5972" s="3"/>
      <c r="B5972" s="3"/>
      <c r="C5972" s="3"/>
    </row>
    <row r="5973">
      <c r="A5973" s="3"/>
      <c r="B5973" s="3"/>
      <c r="C5973" s="3"/>
    </row>
    <row r="5974">
      <c r="A5974" s="3"/>
      <c r="B5974" s="3"/>
      <c r="C5974" s="3"/>
    </row>
    <row r="5975">
      <c r="A5975" s="3"/>
      <c r="B5975" s="3"/>
      <c r="C5975" s="3"/>
    </row>
    <row r="5976">
      <c r="A5976" s="3"/>
      <c r="B5976" s="3"/>
      <c r="C5976" s="3"/>
    </row>
    <row r="5977">
      <c r="A5977" s="3"/>
      <c r="B5977" s="3"/>
      <c r="C5977" s="3"/>
    </row>
    <row r="5978">
      <c r="A5978" s="3"/>
      <c r="B5978" s="3"/>
      <c r="C5978" s="3"/>
    </row>
    <row r="5979">
      <c r="A5979" s="3"/>
      <c r="B5979" s="3"/>
      <c r="C5979" s="3"/>
    </row>
    <row r="5980">
      <c r="A5980" s="3"/>
      <c r="B5980" s="3"/>
      <c r="C5980" s="3"/>
    </row>
    <row r="5981">
      <c r="A5981" s="3"/>
      <c r="B5981" s="3"/>
      <c r="C5981" s="3"/>
    </row>
    <row r="5982">
      <c r="A5982" s="3"/>
      <c r="B5982" s="3"/>
      <c r="C5982" s="3"/>
    </row>
    <row r="5983">
      <c r="A5983" s="3"/>
      <c r="B5983" s="3"/>
      <c r="C5983" s="3"/>
    </row>
    <row r="5984">
      <c r="A5984" s="3"/>
      <c r="B5984" s="3"/>
      <c r="C5984" s="3"/>
    </row>
    <row r="5985">
      <c r="A5985" s="3"/>
      <c r="B5985" s="3"/>
      <c r="C5985" s="3"/>
    </row>
    <row r="5986">
      <c r="A5986" s="3"/>
      <c r="B5986" s="3"/>
      <c r="C5986" s="3"/>
    </row>
    <row r="5987">
      <c r="A5987" s="3"/>
      <c r="B5987" s="3"/>
      <c r="C5987" s="3"/>
    </row>
    <row r="5988">
      <c r="A5988" s="3"/>
      <c r="B5988" s="3"/>
      <c r="C5988" s="3"/>
    </row>
    <row r="5989">
      <c r="A5989" s="3"/>
      <c r="B5989" s="3"/>
      <c r="C5989" s="3"/>
    </row>
    <row r="5990">
      <c r="A5990" s="3"/>
      <c r="B5990" s="3"/>
      <c r="C5990" s="3"/>
    </row>
    <row r="5991">
      <c r="A5991" s="3"/>
      <c r="B5991" s="3"/>
      <c r="C5991" s="3"/>
    </row>
    <row r="5992">
      <c r="A5992" s="3"/>
      <c r="B5992" s="3"/>
      <c r="C5992" s="3"/>
    </row>
    <row r="5993">
      <c r="A5993" s="3"/>
      <c r="B5993" s="3"/>
      <c r="C5993" s="3"/>
    </row>
    <row r="5994">
      <c r="A5994" s="3"/>
      <c r="B5994" s="3"/>
      <c r="C5994" s="3"/>
    </row>
    <row r="5995">
      <c r="A5995" s="3"/>
      <c r="B5995" s="3"/>
      <c r="C5995" s="3"/>
    </row>
    <row r="5996">
      <c r="A5996" s="3"/>
      <c r="B5996" s="3"/>
      <c r="C5996" s="3"/>
    </row>
    <row r="5997">
      <c r="A5997" s="3"/>
      <c r="B5997" s="3"/>
      <c r="C5997" s="3"/>
    </row>
    <row r="5998">
      <c r="A5998" s="3"/>
      <c r="B5998" s="3"/>
      <c r="C5998" s="3"/>
    </row>
    <row r="5999">
      <c r="A5999" s="3"/>
      <c r="B5999" s="3"/>
      <c r="C5999" s="3"/>
    </row>
    <row r="6000">
      <c r="A6000" s="3"/>
      <c r="B6000" s="3"/>
      <c r="C6000" s="3"/>
    </row>
    <row r="6001">
      <c r="A6001" s="3"/>
      <c r="B6001" s="3"/>
      <c r="C6001" s="3"/>
    </row>
    <row r="6002">
      <c r="A6002" s="3"/>
      <c r="B6002" s="3"/>
      <c r="C6002" s="3"/>
    </row>
    <row r="6003">
      <c r="A6003" s="3"/>
      <c r="B6003" s="3"/>
      <c r="C6003" s="3"/>
    </row>
    <row r="6004">
      <c r="A6004" s="3"/>
      <c r="B6004" s="3"/>
      <c r="C6004" s="3"/>
    </row>
    <row r="6005">
      <c r="A6005" s="3"/>
      <c r="B6005" s="3"/>
      <c r="C6005" s="3"/>
    </row>
    <row r="6006">
      <c r="A6006" s="3"/>
      <c r="B6006" s="3"/>
      <c r="C6006" s="3"/>
    </row>
    <row r="6007">
      <c r="A6007" s="3"/>
      <c r="B6007" s="3"/>
      <c r="C6007" s="3"/>
    </row>
    <row r="6008">
      <c r="A6008" s="3"/>
      <c r="B6008" s="3"/>
      <c r="C6008" s="3"/>
    </row>
    <row r="6009">
      <c r="A6009" s="3"/>
      <c r="B6009" s="3"/>
      <c r="C6009" s="3"/>
    </row>
    <row r="6010">
      <c r="A6010" s="3"/>
      <c r="B6010" s="3"/>
      <c r="C6010" s="3"/>
    </row>
    <row r="6011">
      <c r="A6011" s="3"/>
      <c r="B6011" s="3"/>
      <c r="C6011" s="3"/>
    </row>
    <row r="6012">
      <c r="A6012" s="3"/>
      <c r="B6012" s="3"/>
      <c r="C6012" s="3"/>
    </row>
    <row r="6013">
      <c r="A6013" s="3"/>
      <c r="B6013" s="3"/>
      <c r="C6013" s="3"/>
    </row>
    <row r="6014">
      <c r="A6014" s="3"/>
      <c r="B6014" s="3"/>
      <c r="C6014" s="3"/>
    </row>
    <row r="6015">
      <c r="A6015" s="3"/>
      <c r="B6015" s="3"/>
      <c r="C6015" s="3"/>
    </row>
    <row r="6016">
      <c r="A6016" s="3"/>
      <c r="B6016" s="3"/>
      <c r="C6016" s="3"/>
    </row>
    <row r="6017">
      <c r="A6017" s="3"/>
      <c r="B6017" s="3"/>
      <c r="C6017" s="3"/>
    </row>
    <row r="6018">
      <c r="A6018" s="3"/>
      <c r="B6018" s="3"/>
      <c r="C6018" s="3"/>
    </row>
    <row r="6019">
      <c r="A6019" s="3"/>
      <c r="B6019" s="3"/>
      <c r="C6019" s="3"/>
    </row>
    <row r="6020">
      <c r="A6020" s="3"/>
      <c r="B6020" s="3"/>
      <c r="C6020" s="3"/>
    </row>
    <row r="6021">
      <c r="A6021" s="3"/>
      <c r="B6021" s="3"/>
      <c r="C6021" s="3"/>
    </row>
    <row r="6022">
      <c r="A6022" s="3"/>
      <c r="B6022" s="3"/>
      <c r="C6022" s="3"/>
    </row>
    <row r="6023">
      <c r="A6023" s="3"/>
      <c r="B6023" s="3"/>
      <c r="C6023" s="3"/>
    </row>
    <row r="6024">
      <c r="A6024" s="3"/>
      <c r="B6024" s="3"/>
      <c r="C6024" s="3"/>
    </row>
    <row r="6025">
      <c r="A6025" s="3"/>
      <c r="B6025" s="3"/>
      <c r="C6025" s="3"/>
    </row>
    <row r="6026">
      <c r="A6026" s="3"/>
      <c r="B6026" s="3"/>
      <c r="C6026" s="3"/>
    </row>
    <row r="6027">
      <c r="A6027" s="3"/>
      <c r="B6027" s="3"/>
      <c r="C6027" s="3"/>
    </row>
    <row r="6028">
      <c r="A6028" s="3"/>
      <c r="B6028" s="3"/>
      <c r="C6028" s="3"/>
    </row>
    <row r="6029">
      <c r="A6029" s="3"/>
      <c r="B6029" s="3"/>
      <c r="C6029" s="3"/>
    </row>
    <row r="6030">
      <c r="A6030" s="3"/>
      <c r="B6030" s="3"/>
      <c r="C6030" s="3"/>
    </row>
    <row r="6031">
      <c r="A6031" s="3"/>
      <c r="B6031" s="3"/>
      <c r="C6031" s="3"/>
    </row>
    <row r="6032">
      <c r="A6032" s="3"/>
      <c r="B6032" s="3"/>
      <c r="C6032" s="3"/>
    </row>
    <row r="6033">
      <c r="A6033" s="3"/>
      <c r="B6033" s="3"/>
      <c r="C6033" s="3"/>
    </row>
    <row r="6034">
      <c r="A6034" s="3"/>
      <c r="B6034" s="3"/>
      <c r="C6034" s="3"/>
    </row>
    <row r="6035">
      <c r="A6035" s="3"/>
      <c r="B6035" s="3"/>
      <c r="C6035" s="3"/>
    </row>
    <row r="6036">
      <c r="A6036" s="3"/>
      <c r="B6036" s="3"/>
      <c r="C6036" s="3"/>
    </row>
    <row r="6037">
      <c r="A6037" s="3"/>
      <c r="B6037" s="3"/>
      <c r="C6037" s="3"/>
    </row>
    <row r="6038">
      <c r="A6038" s="3"/>
      <c r="B6038" s="3"/>
      <c r="C6038" s="3"/>
    </row>
    <row r="6039">
      <c r="A6039" s="3"/>
      <c r="B6039" s="3"/>
      <c r="C6039" s="3"/>
    </row>
    <row r="6040">
      <c r="A6040" s="3"/>
      <c r="B6040" s="3"/>
      <c r="C6040" s="3"/>
    </row>
    <row r="6041">
      <c r="A6041" s="3"/>
      <c r="B6041" s="3"/>
      <c r="C6041" s="3"/>
    </row>
    <row r="6042">
      <c r="A6042" s="3"/>
      <c r="B6042" s="3"/>
      <c r="C6042" s="3"/>
    </row>
    <row r="6043">
      <c r="A6043" s="3"/>
      <c r="B6043" s="3"/>
      <c r="C6043" s="3"/>
    </row>
    <row r="6044">
      <c r="A6044" s="3"/>
      <c r="B6044" s="3"/>
      <c r="C6044" s="3"/>
    </row>
    <row r="6045">
      <c r="A6045" s="3"/>
      <c r="B6045" s="3"/>
      <c r="C6045" s="3"/>
    </row>
    <row r="6046">
      <c r="A6046" s="3"/>
      <c r="B6046" s="3"/>
      <c r="C6046" s="3"/>
    </row>
    <row r="6047">
      <c r="A6047" s="3"/>
      <c r="B6047" s="3"/>
      <c r="C6047" s="3"/>
    </row>
    <row r="6048">
      <c r="A6048" s="3"/>
      <c r="B6048" s="3"/>
      <c r="C6048" s="3"/>
    </row>
    <row r="6049">
      <c r="A6049" s="3"/>
      <c r="B6049" s="3"/>
      <c r="C6049" s="3"/>
    </row>
    <row r="6050">
      <c r="A6050" s="3"/>
      <c r="B6050" s="3"/>
      <c r="C6050" s="3"/>
    </row>
    <row r="6051">
      <c r="A6051" s="3"/>
      <c r="B6051" s="3"/>
      <c r="C6051" s="3"/>
    </row>
    <row r="6052">
      <c r="A6052" s="3"/>
      <c r="B6052" s="3"/>
      <c r="C6052" s="3"/>
    </row>
    <row r="6053">
      <c r="A6053" s="3"/>
      <c r="B6053" s="3"/>
      <c r="C6053" s="3"/>
    </row>
    <row r="6054">
      <c r="A6054" s="3"/>
      <c r="B6054" s="3"/>
      <c r="C6054" s="3"/>
    </row>
    <row r="6055">
      <c r="A6055" s="3"/>
      <c r="B6055" s="3"/>
      <c r="C6055" s="3"/>
    </row>
    <row r="6056">
      <c r="A6056" s="3"/>
      <c r="B6056" s="3"/>
      <c r="C6056" s="3"/>
    </row>
    <row r="6057">
      <c r="A6057" s="3"/>
      <c r="B6057" s="3"/>
      <c r="C6057" s="3"/>
    </row>
    <row r="6058">
      <c r="A6058" s="3"/>
      <c r="B6058" s="3"/>
      <c r="C6058" s="3"/>
    </row>
    <row r="6059">
      <c r="A6059" s="3"/>
      <c r="B6059" s="3"/>
      <c r="C6059" s="3"/>
    </row>
    <row r="6060">
      <c r="A6060" s="3"/>
      <c r="B6060" s="3"/>
      <c r="C6060" s="3"/>
    </row>
    <row r="6061">
      <c r="A6061" s="3"/>
      <c r="B6061" s="3"/>
      <c r="C6061" s="3"/>
    </row>
    <row r="6062">
      <c r="A6062" s="3"/>
      <c r="B6062" s="3"/>
      <c r="C6062" s="3"/>
    </row>
    <row r="6063">
      <c r="A6063" s="3"/>
      <c r="B6063" s="3"/>
      <c r="C6063" s="3"/>
    </row>
    <row r="6064">
      <c r="A6064" s="3"/>
      <c r="B6064" s="3"/>
      <c r="C6064" s="3"/>
    </row>
    <row r="6065">
      <c r="A6065" s="3"/>
      <c r="B6065" s="3"/>
      <c r="C6065" s="3"/>
    </row>
    <row r="6066">
      <c r="A6066" s="3"/>
      <c r="B6066" s="3"/>
      <c r="C6066" s="3"/>
    </row>
    <row r="6067">
      <c r="A6067" s="3"/>
      <c r="B6067" s="3"/>
      <c r="C6067" s="3"/>
    </row>
    <row r="6068">
      <c r="A6068" s="3"/>
      <c r="B6068" s="3"/>
      <c r="C6068" s="3"/>
    </row>
    <row r="6069">
      <c r="A6069" s="3"/>
      <c r="B6069" s="3"/>
      <c r="C6069" s="3"/>
    </row>
    <row r="6070">
      <c r="A6070" s="3"/>
      <c r="B6070" s="3"/>
      <c r="C6070" s="3"/>
    </row>
    <row r="6071">
      <c r="A6071" s="3"/>
      <c r="B6071" s="3"/>
      <c r="C6071" s="3"/>
    </row>
    <row r="6072">
      <c r="A6072" s="3"/>
      <c r="B6072" s="3"/>
      <c r="C6072" s="3"/>
    </row>
    <row r="6073">
      <c r="A6073" s="3"/>
      <c r="B6073" s="3"/>
      <c r="C6073" s="3"/>
    </row>
    <row r="6074">
      <c r="A6074" s="3"/>
      <c r="B6074" s="3"/>
      <c r="C6074" s="3"/>
    </row>
    <row r="6075">
      <c r="A6075" s="3"/>
      <c r="B6075" s="3"/>
      <c r="C6075" s="3"/>
    </row>
    <row r="6076">
      <c r="A6076" s="3"/>
      <c r="B6076" s="3"/>
      <c r="C6076" s="3"/>
    </row>
    <row r="6077">
      <c r="A6077" s="3"/>
      <c r="B6077" s="3"/>
      <c r="C6077" s="3"/>
    </row>
    <row r="6078">
      <c r="A6078" s="3"/>
      <c r="B6078" s="3"/>
      <c r="C6078" s="3"/>
    </row>
    <row r="6079">
      <c r="A6079" s="3"/>
      <c r="B6079" s="3"/>
      <c r="C6079" s="3"/>
    </row>
    <row r="6080">
      <c r="A6080" s="3"/>
      <c r="B6080" s="3"/>
      <c r="C6080" s="3"/>
    </row>
    <row r="6081">
      <c r="A6081" s="3"/>
      <c r="B6081" s="3"/>
      <c r="C6081" s="3"/>
    </row>
    <row r="6082">
      <c r="A6082" s="3"/>
      <c r="B6082" s="3"/>
      <c r="C6082" s="3"/>
    </row>
    <row r="6083">
      <c r="A6083" s="3"/>
      <c r="B6083" s="3"/>
      <c r="C6083" s="3"/>
    </row>
    <row r="6084">
      <c r="A6084" s="3"/>
      <c r="B6084" s="3"/>
      <c r="C6084" s="3"/>
    </row>
    <row r="6085">
      <c r="A6085" s="3"/>
      <c r="B6085" s="3"/>
      <c r="C6085" s="3"/>
    </row>
    <row r="6086">
      <c r="A6086" s="3"/>
      <c r="B6086" s="3"/>
      <c r="C6086" s="3"/>
    </row>
    <row r="6087">
      <c r="A6087" s="3"/>
      <c r="B6087" s="3"/>
      <c r="C6087" s="3"/>
    </row>
    <row r="6088">
      <c r="A6088" s="3"/>
      <c r="B6088" s="3"/>
      <c r="C6088" s="3"/>
    </row>
    <row r="6089">
      <c r="A6089" s="3"/>
      <c r="B6089" s="3"/>
      <c r="C6089" s="3"/>
    </row>
    <row r="6090">
      <c r="A6090" s="3"/>
      <c r="B6090" s="3"/>
      <c r="C6090" s="3"/>
    </row>
    <row r="6091">
      <c r="A6091" s="3"/>
      <c r="B6091" s="3"/>
      <c r="C6091" s="3"/>
    </row>
    <row r="6092">
      <c r="A6092" s="3"/>
      <c r="B6092" s="3"/>
      <c r="C6092" s="3"/>
    </row>
    <row r="6093">
      <c r="A6093" s="3"/>
      <c r="B6093" s="3"/>
      <c r="C6093" s="3"/>
    </row>
    <row r="6094">
      <c r="A6094" s="3"/>
      <c r="B6094" s="3"/>
      <c r="C6094" s="3"/>
    </row>
    <row r="6095">
      <c r="A6095" s="3"/>
      <c r="B6095" s="3"/>
      <c r="C6095" s="3"/>
    </row>
    <row r="6096">
      <c r="A6096" s="3"/>
      <c r="B6096" s="3"/>
      <c r="C6096" s="3"/>
    </row>
    <row r="6097">
      <c r="A6097" s="3"/>
      <c r="B6097" s="3"/>
      <c r="C6097" s="3"/>
    </row>
    <row r="6098">
      <c r="A6098" s="3"/>
      <c r="B6098" s="3"/>
      <c r="C6098" s="3"/>
    </row>
    <row r="6099">
      <c r="A6099" s="3"/>
      <c r="B6099" s="3"/>
      <c r="C6099" s="3"/>
    </row>
    <row r="6100">
      <c r="A6100" s="3"/>
      <c r="B6100" s="3"/>
      <c r="C6100" s="3"/>
    </row>
    <row r="6101">
      <c r="A6101" s="3"/>
      <c r="B6101" s="3"/>
      <c r="C6101" s="3"/>
    </row>
    <row r="6102">
      <c r="A6102" s="3"/>
      <c r="B6102" s="3"/>
      <c r="C6102" s="3"/>
    </row>
    <row r="6103">
      <c r="A6103" s="3"/>
      <c r="B6103" s="3"/>
      <c r="C6103" s="3"/>
    </row>
    <row r="6104">
      <c r="A6104" s="3"/>
      <c r="B6104" s="3"/>
      <c r="C6104" s="3"/>
    </row>
    <row r="6105">
      <c r="A6105" s="3"/>
      <c r="B6105" s="3"/>
      <c r="C6105" s="3"/>
    </row>
    <row r="6106">
      <c r="A6106" s="3"/>
      <c r="B6106" s="3"/>
      <c r="C6106" s="3"/>
    </row>
    <row r="6107">
      <c r="A6107" s="3"/>
      <c r="B6107" s="3"/>
      <c r="C6107" s="3"/>
    </row>
    <row r="6108">
      <c r="A6108" s="3"/>
      <c r="B6108" s="3"/>
      <c r="C6108" s="3"/>
    </row>
    <row r="6109">
      <c r="A6109" s="3"/>
      <c r="B6109" s="3"/>
      <c r="C6109" s="3"/>
    </row>
    <row r="6110">
      <c r="A6110" s="3"/>
      <c r="B6110" s="3"/>
      <c r="C6110" s="3"/>
    </row>
    <row r="6111">
      <c r="A6111" s="3"/>
      <c r="B6111" s="3"/>
      <c r="C6111" s="3"/>
    </row>
    <row r="6112">
      <c r="A6112" s="3"/>
      <c r="B6112" s="3"/>
      <c r="C6112" s="3"/>
    </row>
    <row r="6113">
      <c r="A6113" s="3"/>
      <c r="B6113" s="3"/>
      <c r="C6113" s="3"/>
    </row>
    <row r="6114">
      <c r="A6114" s="3"/>
      <c r="B6114" s="3"/>
      <c r="C6114" s="3"/>
    </row>
    <row r="6115">
      <c r="A6115" s="3"/>
      <c r="B6115" s="3"/>
      <c r="C6115" s="3"/>
    </row>
    <row r="6116">
      <c r="A6116" s="3"/>
      <c r="B6116" s="3"/>
      <c r="C6116" s="3"/>
    </row>
    <row r="6117">
      <c r="A6117" s="3"/>
      <c r="B6117" s="3"/>
      <c r="C6117" s="3"/>
    </row>
    <row r="6118">
      <c r="A6118" s="3"/>
      <c r="B6118" s="3"/>
      <c r="C6118" s="3"/>
    </row>
    <row r="6119">
      <c r="A6119" s="3"/>
      <c r="B6119" s="3"/>
      <c r="C6119" s="3"/>
    </row>
    <row r="6120">
      <c r="A6120" s="3"/>
      <c r="B6120" s="3"/>
      <c r="C6120" s="3"/>
    </row>
    <row r="6121">
      <c r="A6121" s="3"/>
      <c r="B6121" s="3"/>
      <c r="C6121" s="3"/>
    </row>
    <row r="6122">
      <c r="A6122" s="3"/>
      <c r="B6122" s="3"/>
      <c r="C6122" s="3"/>
    </row>
    <row r="6123">
      <c r="A6123" s="3"/>
      <c r="B6123" s="3"/>
      <c r="C6123" s="3"/>
    </row>
    <row r="6124">
      <c r="A6124" s="3"/>
      <c r="B6124" s="3"/>
      <c r="C6124" s="3"/>
    </row>
    <row r="6125">
      <c r="A6125" s="3"/>
      <c r="B6125" s="3"/>
      <c r="C6125" s="3"/>
    </row>
    <row r="6126">
      <c r="A6126" s="3"/>
      <c r="B6126" s="3"/>
      <c r="C6126" s="3"/>
    </row>
    <row r="6127">
      <c r="A6127" s="3"/>
      <c r="B6127" s="3"/>
      <c r="C6127" s="3"/>
    </row>
    <row r="6128">
      <c r="A6128" s="3"/>
      <c r="B6128" s="3"/>
      <c r="C6128" s="3"/>
    </row>
    <row r="6129">
      <c r="A6129" s="3"/>
      <c r="B6129" s="3"/>
      <c r="C6129" s="3"/>
    </row>
    <row r="6130">
      <c r="A6130" s="3"/>
      <c r="B6130" s="3"/>
      <c r="C6130" s="3"/>
    </row>
    <row r="6131">
      <c r="A6131" s="3"/>
      <c r="B6131" s="3"/>
      <c r="C6131" s="3"/>
    </row>
    <row r="6132">
      <c r="A6132" s="3"/>
      <c r="B6132" s="3"/>
      <c r="C6132" s="3"/>
    </row>
    <row r="6133">
      <c r="A6133" s="3"/>
      <c r="B6133" s="3"/>
      <c r="C6133" s="3"/>
    </row>
    <row r="6134">
      <c r="A6134" s="3"/>
      <c r="B6134" s="3"/>
      <c r="C6134" s="3"/>
    </row>
    <row r="6135">
      <c r="A6135" s="3"/>
      <c r="B6135" s="3"/>
      <c r="C6135" s="3"/>
    </row>
    <row r="6136">
      <c r="A6136" s="3"/>
      <c r="B6136" s="3"/>
      <c r="C6136" s="3"/>
    </row>
    <row r="6137">
      <c r="A6137" s="3"/>
      <c r="B6137" s="3"/>
      <c r="C6137" s="3"/>
    </row>
    <row r="6138">
      <c r="A6138" s="3"/>
      <c r="B6138" s="3"/>
      <c r="C6138" s="3"/>
    </row>
    <row r="6139">
      <c r="A6139" s="3"/>
      <c r="B6139" s="3"/>
      <c r="C6139" s="3"/>
    </row>
    <row r="6140">
      <c r="A6140" s="3"/>
      <c r="B6140" s="3"/>
      <c r="C6140" s="3"/>
    </row>
    <row r="6141">
      <c r="A6141" s="3"/>
      <c r="B6141" s="3"/>
      <c r="C6141" s="3"/>
    </row>
    <row r="6142">
      <c r="A6142" s="3"/>
      <c r="B6142" s="3"/>
      <c r="C6142" s="3"/>
    </row>
    <row r="6143">
      <c r="A6143" s="3"/>
      <c r="B6143" s="3"/>
      <c r="C6143" s="3"/>
    </row>
    <row r="6144">
      <c r="A6144" s="3"/>
      <c r="B6144" s="3"/>
      <c r="C6144" s="3"/>
    </row>
    <row r="6145">
      <c r="A6145" s="3"/>
      <c r="B6145" s="3"/>
      <c r="C6145" s="3"/>
    </row>
    <row r="6146">
      <c r="A6146" s="3"/>
      <c r="B6146" s="3"/>
      <c r="C6146" s="3"/>
    </row>
    <row r="6147">
      <c r="A6147" s="3"/>
      <c r="B6147" s="3"/>
      <c r="C6147" s="3"/>
    </row>
    <row r="6148">
      <c r="A6148" s="3"/>
      <c r="B6148" s="3"/>
      <c r="C6148" s="3"/>
    </row>
    <row r="6149">
      <c r="A6149" s="3"/>
      <c r="B6149" s="3"/>
      <c r="C6149" s="3"/>
    </row>
    <row r="6150">
      <c r="A6150" s="3"/>
      <c r="B6150" s="3"/>
      <c r="C6150" s="3"/>
    </row>
    <row r="6151">
      <c r="A6151" s="3"/>
      <c r="B6151" s="3"/>
      <c r="C6151" s="3"/>
    </row>
    <row r="6152">
      <c r="A6152" s="3"/>
      <c r="B6152" s="3"/>
      <c r="C6152" s="3"/>
    </row>
    <row r="6153">
      <c r="A6153" s="3"/>
      <c r="B6153" s="3"/>
      <c r="C6153" s="3"/>
    </row>
    <row r="6154">
      <c r="A6154" s="3"/>
      <c r="B6154" s="3"/>
      <c r="C6154" s="3"/>
    </row>
    <row r="6155">
      <c r="A6155" s="3"/>
      <c r="B6155" s="3"/>
      <c r="C6155" s="3"/>
    </row>
    <row r="6156">
      <c r="A6156" s="3"/>
      <c r="B6156" s="3"/>
      <c r="C6156" s="3"/>
    </row>
    <row r="6157">
      <c r="A6157" s="3"/>
      <c r="B6157" s="3"/>
      <c r="C6157" s="3"/>
    </row>
    <row r="6158">
      <c r="A6158" s="3"/>
      <c r="B6158" s="3"/>
      <c r="C6158" s="3"/>
    </row>
    <row r="6159">
      <c r="A6159" s="3"/>
      <c r="B6159" s="3"/>
      <c r="C6159" s="3"/>
    </row>
    <row r="6160">
      <c r="A6160" s="3"/>
      <c r="B6160" s="3"/>
      <c r="C6160" s="3"/>
    </row>
    <row r="6161">
      <c r="A6161" s="3"/>
      <c r="B6161" s="3"/>
      <c r="C6161" s="3"/>
    </row>
    <row r="6162">
      <c r="A6162" s="3"/>
      <c r="B6162" s="3"/>
      <c r="C6162" s="3"/>
    </row>
    <row r="6163">
      <c r="A6163" s="3"/>
      <c r="B6163" s="3"/>
      <c r="C6163" s="3"/>
    </row>
    <row r="6164">
      <c r="A6164" s="3"/>
      <c r="B6164" s="3"/>
      <c r="C6164" s="3"/>
    </row>
    <row r="6165">
      <c r="A6165" s="3"/>
      <c r="B6165" s="3"/>
      <c r="C6165" s="3"/>
    </row>
    <row r="6166">
      <c r="A6166" s="3"/>
      <c r="B6166" s="3"/>
      <c r="C6166" s="3"/>
    </row>
    <row r="6167">
      <c r="A6167" s="3"/>
      <c r="B6167" s="3"/>
      <c r="C6167" s="3"/>
    </row>
    <row r="6168">
      <c r="A6168" s="3"/>
      <c r="B6168" s="3"/>
      <c r="C6168" s="3"/>
    </row>
    <row r="6169">
      <c r="A6169" s="3"/>
      <c r="B6169" s="3"/>
      <c r="C6169" s="3"/>
    </row>
    <row r="6170">
      <c r="A6170" s="3"/>
      <c r="B6170" s="3"/>
      <c r="C6170" s="3"/>
    </row>
    <row r="6171">
      <c r="A6171" s="3"/>
      <c r="B6171" s="3"/>
      <c r="C6171" s="3"/>
    </row>
    <row r="6172">
      <c r="A6172" s="3"/>
      <c r="B6172" s="3"/>
      <c r="C6172" s="3"/>
    </row>
    <row r="6173">
      <c r="A6173" s="3"/>
      <c r="B6173" s="3"/>
      <c r="C6173" s="3"/>
    </row>
    <row r="6174">
      <c r="A6174" s="3"/>
      <c r="B6174" s="3"/>
      <c r="C6174" s="3"/>
    </row>
    <row r="6175">
      <c r="A6175" s="3"/>
      <c r="B6175" s="3"/>
      <c r="C6175" s="3"/>
    </row>
    <row r="6176">
      <c r="A6176" s="3"/>
      <c r="B6176" s="3"/>
      <c r="C6176" s="3"/>
    </row>
    <row r="6177">
      <c r="A6177" s="3"/>
      <c r="B6177" s="3"/>
      <c r="C6177" s="3"/>
    </row>
    <row r="6178">
      <c r="A6178" s="3"/>
      <c r="B6178" s="3"/>
      <c r="C6178" s="3"/>
    </row>
    <row r="6179">
      <c r="A6179" s="3"/>
      <c r="B6179" s="3"/>
      <c r="C6179" s="3"/>
    </row>
    <row r="6180">
      <c r="A6180" s="3"/>
      <c r="B6180" s="3"/>
      <c r="C6180" s="3"/>
    </row>
    <row r="6181">
      <c r="A6181" s="3"/>
      <c r="B6181" s="3"/>
      <c r="C6181" s="3"/>
    </row>
    <row r="6182">
      <c r="A6182" s="3"/>
      <c r="B6182" s="3"/>
      <c r="C6182" s="3"/>
    </row>
    <row r="6183">
      <c r="A6183" s="3"/>
      <c r="B6183" s="3"/>
      <c r="C6183" s="3"/>
    </row>
    <row r="6184">
      <c r="A6184" s="3"/>
      <c r="B6184" s="3"/>
      <c r="C6184" s="3"/>
    </row>
    <row r="6185">
      <c r="A6185" s="3"/>
      <c r="B6185" s="3"/>
      <c r="C6185" s="3"/>
    </row>
    <row r="6186">
      <c r="A6186" s="3"/>
      <c r="B6186" s="3"/>
      <c r="C6186" s="3"/>
    </row>
    <row r="6187">
      <c r="A6187" s="3"/>
      <c r="B6187" s="3"/>
      <c r="C6187" s="3"/>
    </row>
    <row r="6188">
      <c r="A6188" s="3"/>
      <c r="B6188" s="3"/>
      <c r="C6188" s="3"/>
    </row>
    <row r="6189">
      <c r="A6189" s="3"/>
      <c r="B6189" s="3"/>
      <c r="C6189" s="3"/>
    </row>
    <row r="6190">
      <c r="A6190" s="3"/>
      <c r="B6190" s="3"/>
      <c r="C6190" s="3"/>
    </row>
    <row r="6191">
      <c r="A6191" s="3"/>
      <c r="B6191" s="3"/>
      <c r="C6191" s="3"/>
    </row>
    <row r="6192">
      <c r="A6192" s="3"/>
      <c r="B6192" s="3"/>
      <c r="C6192" s="3"/>
    </row>
    <row r="6193">
      <c r="A6193" s="3"/>
      <c r="B6193" s="3"/>
      <c r="C6193" s="3"/>
    </row>
    <row r="6194">
      <c r="A6194" s="3"/>
      <c r="B6194" s="3"/>
      <c r="C6194" s="3"/>
    </row>
    <row r="6195">
      <c r="A6195" s="3"/>
      <c r="B6195" s="3"/>
      <c r="C6195" s="3"/>
    </row>
    <row r="6196">
      <c r="A6196" s="3"/>
      <c r="B6196" s="3"/>
      <c r="C6196" s="3"/>
    </row>
    <row r="6197">
      <c r="A6197" s="3"/>
      <c r="B6197" s="3"/>
      <c r="C6197" s="3"/>
    </row>
    <row r="6198">
      <c r="A6198" s="3"/>
      <c r="B6198" s="3"/>
      <c r="C6198" s="3"/>
    </row>
    <row r="6199">
      <c r="A6199" s="3"/>
      <c r="B6199" s="3"/>
      <c r="C6199" s="3"/>
    </row>
    <row r="6200">
      <c r="A6200" s="3"/>
      <c r="B6200" s="3"/>
      <c r="C6200" s="3"/>
    </row>
    <row r="6201">
      <c r="A6201" s="3"/>
      <c r="B6201" s="3"/>
      <c r="C6201" s="3"/>
    </row>
    <row r="6202">
      <c r="A6202" s="3"/>
      <c r="B6202" s="3"/>
      <c r="C6202" s="3"/>
    </row>
    <row r="6203">
      <c r="A6203" s="3"/>
      <c r="B6203" s="3"/>
      <c r="C6203" s="3"/>
    </row>
    <row r="6204">
      <c r="A6204" s="3"/>
      <c r="B6204" s="3"/>
      <c r="C6204" s="3"/>
    </row>
    <row r="6205">
      <c r="A6205" s="3"/>
      <c r="B6205" s="3"/>
      <c r="C6205" s="3"/>
    </row>
    <row r="6206">
      <c r="A6206" s="3"/>
      <c r="B6206" s="3"/>
      <c r="C6206" s="3"/>
    </row>
    <row r="6207">
      <c r="A6207" s="3"/>
      <c r="B6207" s="3"/>
      <c r="C6207" s="3"/>
    </row>
    <row r="6208">
      <c r="A6208" s="3"/>
      <c r="B6208" s="3"/>
      <c r="C6208" s="3"/>
    </row>
    <row r="6209">
      <c r="A6209" s="3"/>
      <c r="B6209" s="3"/>
      <c r="C6209" s="3"/>
    </row>
    <row r="6210">
      <c r="A6210" s="3"/>
      <c r="B6210" s="3"/>
      <c r="C6210" s="3"/>
    </row>
    <row r="6211">
      <c r="A6211" s="3"/>
      <c r="B6211" s="3"/>
      <c r="C6211" s="3"/>
    </row>
    <row r="6212">
      <c r="A6212" s="3"/>
      <c r="B6212" s="3"/>
      <c r="C6212" s="3"/>
    </row>
    <row r="6213">
      <c r="A6213" s="3"/>
      <c r="B6213" s="3"/>
      <c r="C6213" s="3"/>
    </row>
    <row r="6214">
      <c r="A6214" s="3"/>
      <c r="B6214" s="3"/>
      <c r="C6214" s="3"/>
    </row>
    <row r="6215">
      <c r="A6215" s="3"/>
      <c r="B6215" s="3"/>
      <c r="C6215" s="3"/>
    </row>
    <row r="6216">
      <c r="A6216" s="3"/>
      <c r="B6216" s="3"/>
      <c r="C6216" s="3"/>
    </row>
    <row r="6217">
      <c r="A6217" s="3"/>
      <c r="B6217" s="3"/>
      <c r="C6217" s="3"/>
    </row>
    <row r="6218">
      <c r="A6218" s="3"/>
      <c r="B6218" s="3"/>
      <c r="C6218" s="3"/>
    </row>
    <row r="6219">
      <c r="A6219" s="3"/>
      <c r="B6219" s="3"/>
      <c r="C6219" s="3"/>
    </row>
    <row r="6220">
      <c r="A6220" s="3"/>
      <c r="B6220" s="3"/>
      <c r="C6220" s="3"/>
    </row>
    <row r="6221">
      <c r="A6221" s="3"/>
      <c r="B6221" s="3"/>
      <c r="C6221" s="3"/>
    </row>
    <row r="6222">
      <c r="A6222" s="3"/>
      <c r="B6222" s="3"/>
      <c r="C6222" s="3"/>
    </row>
    <row r="6223">
      <c r="A6223" s="3"/>
      <c r="B6223" s="3"/>
      <c r="C6223" s="3"/>
    </row>
    <row r="6224">
      <c r="A6224" s="3"/>
      <c r="B6224" s="3"/>
      <c r="C6224" s="3"/>
    </row>
    <row r="6225">
      <c r="A6225" s="3"/>
      <c r="B6225" s="3"/>
      <c r="C6225" s="3"/>
    </row>
    <row r="6226">
      <c r="A6226" s="3"/>
      <c r="B6226" s="3"/>
      <c r="C6226" s="3"/>
    </row>
    <row r="6227">
      <c r="A6227" s="3"/>
      <c r="B6227" s="3"/>
      <c r="C6227" s="3"/>
    </row>
    <row r="6228">
      <c r="A6228" s="3"/>
      <c r="B6228" s="3"/>
      <c r="C6228" s="3"/>
    </row>
    <row r="6229">
      <c r="A6229" s="3"/>
      <c r="B6229" s="3"/>
      <c r="C6229" s="3"/>
    </row>
    <row r="6230">
      <c r="A6230" s="3"/>
      <c r="B6230" s="3"/>
      <c r="C6230" s="3"/>
    </row>
    <row r="6231">
      <c r="A6231" s="3"/>
      <c r="B6231" s="3"/>
      <c r="C6231" s="3"/>
    </row>
    <row r="6232">
      <c r="A6232" s="3"/>
      <c r="B6232" s="3"/>
      <c r="C6232" s="3"/>
    </row>
    <row r="6233">
      <c r="A6233" s="3"/>
      <c r="B6233" s="3"/>
      <c r="C6233" s="3"/>
    </row>
    <row r="6234">
      <c r="A6234" s="3"/>
      <c r="B6234" s="3"/>
      <c r="C6234" s="3"/>
    </row>
    <row r="6235">
      <c r="A6235" s="3"/>
      <c r="B6235" s="3"/>
      <c r="C6235" s="3"/>
    </row>
    <row r="6236">
      <c r="A6236" s="3"/>
      <c r="B6236" s="3"/>
      <c r="C6236" s="3"/>
    </row>
    <row r="6237">
      <c r="A6237" s="3"/>
      <c r="B6237" s="3"/>
      <c r="C6237" s="3"/>
    </row>
    <row r="6238">
      <c r="A6238" s="3"/>
      <c r="B6238" s="3"/>
      <c r="C6238" s="3"/>
    </row>
    <row r="6239">
      <c r="A6239" s="3"/>
      <c r="B6239" s="3"/>
      <c r="C6239" s="3"/>
    </row>
    <row r="6240">
      <c r="A6240" s="3"/>
      <c r="B6240" s="3"/>
      <c r="C6240" s="3"/>
    </row>
    <row r="6241">
      <c r="A6241" s="3"/>
      <c r="B6241" s="3"/>
      <c r="C6241" s="3"/>
    </row>
    <row r="6242">
      <c r="A6242" s="3"/>
      <c r="B6242" s="3"/>
      <c r="C6242" s="3"/>
    </row>
    <row r="6243">
      <c r="A6243" s="3"/>
      <c r="B6243" s="3"/>
      <c r="C6243" s="3"/>
    </row>
    <row r="6244">
      <c r="A6244" s="3"/>
      <c r="B6244" s="3"/>
      <c r="C6244" s="3"/>
    </row>
    <row r="6245">
      <c r="A6245" s="3"/>
      <c r="B6245" s="3"/>
      <c r="C6245" s="3"/>
    </row>
    <row r="6246">
      <c r="A6246" s="3"/>
      <c r="B6246" s="3"/>
      <c r="C6246" s="3"/>
    </row>
    <row r="6247">
      <c r="A6247" s="3"/>
      <c r="B6247" s="3"/>
      <c r="C6247" s="3"/>
    </row>
    <row r="6248">
      <c r="A6248" s="3"/>
      <c r="B6248" s="3"/>
      <c r="C6248" s="3"/>
    </row>
    <row r="6249">
      <c r="A6249" s="3"/>
      <c r="B6249" s="3"/>
      <c r="C6249" s="3"/>
    </row>
    <row r="6250">
      <c r="A6250" s="3"/>
      <c r="B6250" s="3"/>
      <c r="C6250" s="3"/>
    </row>
    <row r="6251">
      <c r="A6251" s="3"/>
      <c r="B6251" s="3"/>
      <c r="C6251" s="3"/>
    </row>
    <row r="6252">
      <c r="A6252" s="3"/>
      <c r="B6252" s="3"/>
      <c r="C6252" s="3"/>
    </row>
    <row r="6253">
      <c r="A6253" s="3"/>
      <c r="B6253" s="3"/>
      <c r="C6253" s="3"/>
    </row>
    <row r="6254">
      <c r="A6254" s="3"/>
      <c r="B6254" s="3"/>
      <c r="C6254" s="3"/>
    </row>
    <row r="6255">
      <c r="A6255" s="3"/>
      <c r="B6255" s="3"/>
      <c r="C6255" s="3"/>
    </row>
    <row r="6256">
      <c r="A6256" s="3"/>
      <c r="B6256" s="3"/>
      <c r="C6256" s="3"/>
    </row>
    <row r="6257">
      <c r="A6257" s="3"/>
      <c r="B6257" s="3"/>
      <c r="C6257" s="3"/>
    </row>
    <row r="6258">
      <c r="A6258" s="3"/>
      <c r="B6258" s="3"/>
      <c r="C6258" s="3"/>
    </row>
    <row r="6259">
      <c r="A6259" s="3"/>
      <c r="B6259" s="3"/>
      <c r="C6259" s="3"/>
    </row>
    <row r="6260">
      <c r="A6260" s="3"/>
      <c r="B6260" s="3"/>
      <c r="C6260" s="3"/>
    </row>
    <row r="6261">
      <c r="A6261" s="3"/>
      <c r="B6261" s="3"/>
      <c r="C6261" s="3"/>
    </row>
    <row r="6262">
      <c r="A6262" s="3"/>
      <c r="B6262" s="3"/>
      <c r="C6262" s="3"/>
    </row>
    <row r="6263">
      <c r="A6263" s="3"/>
      <c r="B6263" s="3"/>
      <c r="C6263" s="3"/>
    </row>
    <row r="6264">
      <c r="A6264" s="3"/>
      <c r="B6264" s="3"/>
      <c r="C6264" s="3"/>
    </row>
    <row r="6265">
      <c r="A6265" s="3"/>
      <c r="B6265" s="3"/>
      <c r="C6265" s="3"/>
    </row>
    <row r="6266">
      <c r="A6266" s="3"/>
      <c r="B6266" s="3"/>
      <c r="C6266" s="3"/>
    </row>
    <row r="6267">
      <c r="A6267" s="3"/>
      <c r="B6267" s="3"/>
      <c r="C6267" s="3"/>
    </row>
    <row r="6268">
      <c r="A6268" s="3"/>
      <c r="B6268" s="3"/>
      <c r="C6268" s="3"/>
    </row>
    <row r="6269">
      <c r="A6269" s="3"/>
      <c r="B6269" s="3"/>
      <c r="C6269" s="3"/>
    </row>
    <row r="6270">
      <c r="A6270" s="3"/>
      <c r="B6270" s="3"/>
      <c r="C6270" s="3"/>
    </row>
    <row r="6271">
      <c r="A6271" s="3"/>
      <c r="B6271" s="3"/>
      <c r="C6271" s="3"/>
    </row>
    <row r="6272">
      <c r="A6272" s="3"/>
      <c r="B6272" s="3"/>
      <c r="C6272" s="3"/>
    </row>
    <row r="6273">
      <c r="A6273" s="3"/>
      <c r="B6273" s="3"/>
      <c r="C6273" s="3"/>
    </row>
    <row r="6274">
      <c r="A6274" s="3"/>
      <c r="B6274" s="3"/>
      <c r="C6274" s="3"/>
    </row>
    <row r="6275">
      <c r="A6275" s="3"/>
      <c r="B6275" s="3"/>
      <c r="C6275" s="3"/>
    </row>
    <row r="6276">
      <c r="A6276" s="3"/>
      <c r="B6276" s="3"/>
      <c r="C6276" s="3"/>
    </row>
    <row r="6277">
      <c r="A6277" s="3"/>
      <c r="B6277" s="3"/>
      <c r="C6277" s="3"/>
    </row>
    <row r="6278">
      <c r="A6278" s="3"/>
      <c r="B6278" s="3"/>
      <c r="C6278" s="3"/>
    </row>
    <row r="6279">
      <c r="A6279" s="3"/>
      <c r="B6279" s="3"/>
      <c r="C6279" s="3"/>
    </row>
    <row r="6280">
      <c r="A6280" s="3"/>
      <c r="B6280" s="3"/>
      <c r="C6280" s="3"/>
    </row>
    <row r="6281">
      <c r="A6281" s="3"/>
      <c r="B6281" s="3"/>
      <c r="C6281" s="3"/>
    </row>
    <row r="6282">
      <c r="A6282" s="3"/>
      <c r="B6282" s="3"/>
      <c r="C6282" s="3"/>
    </row>
    <row r="6283">
      <c r="A6283" s="3"/>
      <c r="B6283" s="3"/>
      <c r="C6283" s="3"/>
    </row>
    <row r="6284">
      <c r="A6284" s="3"/>
      <c r="B6284" s="3"/>
      <c r="C6284" s="3"/>
    </row>
    <row r="6285">
      <c r="A6285" s="3"/>
      <c r="B6285" s="3"/>
      <c r="C6285" s="3"/>
    </row>
    <row r="6286">
      <c r="A6286" s="3"/>
      <c r="B6286" s="3"/>
      <c r="C6286" s="3"/>
    </row>
    <row r="6287">
      <c r="A6287" s="3"/>
      <c r="B6287" s="3"/>
      <c r="C6287" s="3"/>
    </row>
    <row r="6288">
      <c r="A6288" s="3"/>
      <c r="B6288" s="3"/>
      <c r="C6288" s="3"/>
    </row>
    <row r="6289">
      <c r="A6289" s="3"/>
      <c r="B6289" s="3"/>
      <c r="C6289" s="3"/>
    </row>
    <row r="6290">
      <c r="A6290" s="3"/>
      <c r="B6290" s="3"/>
      <c r="C6290" s="3"/>
    </row>
    <row r="6291">
      <c r="A6291" s="3"/>
      <c r="B6291" s="3"/>
      <c r="C6291" s="3"/>
    </row>
    <row r="6292">
      <c r="A6292" s="3"/>
      <c r="B6292" s="3"/>
      <c r="C6292" s="3"/>
    </row>
    <row r="6293">
      <c r="A6293" s="3"/>
      <c r="B6293" s="3"/>
      <c r="C6293" s="3"/>
    </row>
    <row r="6294">
      <c r="A6294" s="3"/>
      <c r="B6294" s="3"/>
      <c r="C6294" s="3"/>
    </row>
    <row r="6295">
      <c r="A6295" s="3"/>
      <c r="B6295" s="3"/>
      <c r="C6295" s="3"/>
    </row>
    <row r="6296">
      <c r="A6296" s="3"/>
      <c r="B6296" s="3"/>
      <c r="C6296" s="3"/>
    </row>
    <row r="6297">
      <c r="A6297" s="3"/>
      <c r="B6297" s="3"/>
      <c r="C6297" s="3"/>
    </row>
    <row r="6298">
      <c r="A6298" s="3"/>
      <c r="B6298" s="3"/>
      <c r="C6298" s="3"/>
    </row>
    <row r="6299">
      <c r="A6299" s="3"/>
      <c r="B6299" s="3"/>
      <c r="C6299" s="3"/>
    </row>
    <row r="6300">
      <c r="A6300" s="3"/>
      <c r="B6300" s="3"/>
      <c r="C6300" s="3"/>
    </row>
    <row r="6301">
      <c r="A6301" s="3"/>
      <c r="B6301" s="3"/>
      <c r="C6301" s="3"/>
    </row>
    <row r="6302">
      <c r="A6302" s="3"/>
      <c r="B6302" s="3"/>
      <c r="C6302" s="3"/>
    </row>
    <row r="6303">
      <c r="A6303" s="3"/>
      <c r="B6303" s="3"/>
      <c r="C6303" s="3"/>
    </row>
    <row r="6304">
      <c r="A6304" s="3"/>
      <c r="B6304" s="3"/>
      <c r="C6304" s="3"/>
    </row>
    <row r="6305">
      <c r="A6305" s="3"/>
      <c r="B6305" s="3"/>
      <c r="C6305" s="3"/>
    </row>
    <row r="6306">
      <c r="A6306" s="3"/>
      <c r="B6306" s="3"/>
      <c r="C6306" s="3"/>
    </row>
    <row r="6307">
      <c r="A6307" s="3"/>
      <c r="B6307" s="3"/>
      <c r="C6307" s="3"/>
    </row>
    <row r="6308">
      <c r="A6308" s="3"/>
      <c r="B6308" s="3"/>
      <c r="C6308" s="3"/>
    </row>
    <row r="6309">
      <c r="A6309" s="3"/>
      <c r="B6309" s="3"/>
      <c r="C6309" s="3"/>
    </row>
    <row r="6310">
      <c r="A6310" s="3"/>
      <c r="B6310" s="3"/>
      <c r="C6310" s="3"/>
    </row>
    <row r="6311">
      <c r="A6311" s="3"/>
      <c r="B6311" s="3"/>
      <c r="C6311" s="3"/>
    </row>
    <row r="6312">
      <c r="A6312" s="3"/>
      <c r="B6312" s="3"/>
      <c r="C6312" s="3"/>
    </row>
    <row r="6313">
      <c r="A6313" s="3"/>
      <c r="B6313" s="3"/>
      <c r="C6313" s="3"/>
    </row>
    <row r="6314">
      <c r="A6314" s="3"/>
      <c r="B6314" s="3"/>
      <c r="C6314" s="3"/>
    </row>
    <row r="6315">
      <c r="A6315" s="3"/>
      <c r="B6315" s="3"/>
      <c r="C6315" s="3"/>
    </row>
    <row r="6316">
      <c r="A6316" s="3"/>
      <c r="B6316" s="3"/>
      <c r="C6316" s="3"/>
    </row>
    <row r="6317">
      <c r="A6317" s="3"/>
      <c r="B6317" s="3"/>
      <c r="C6317" s="3"/>
    </row>
    <row r="6318">
      <c r="A6318" s="3"/>
      <c r="B6318" s="3"/>
      <c r="C6318" s="3"/>
    </row>
    <row r="6319">
      <c r="A6319" s="3"/>
      <c r="B6319" s="3"/>
      <c r="C6319" s="3"/>
    </row>
    <row r="6320">
      <c r="A6320" s="3"/>
      <c r="B6320" s="3"/>
      <c r="C6320" s="3"/>
    </row>
    <row r="6321">
      <c r="A6321" s="3"/>
      <c r="B6321" s="3"/>
      <c r="C6321" s="3"/>
    </row>
    <row r="6322">
      <c r="A6322" s="3"/>
      <c r="B6322" s="3"/>
      <c r="C6322" s="3"/>
    </row>
    <row r="6323">
      <c r="A6323" s="3"/>
      <c r="B6323" s="3"/>
      <c r="C6323" s="3"/>
    </row>
    <row r="6324">
      <c r="A6324" s="3"/>
      <c r="B6324" s="3"/>
      <c r="C6324" s="3"/>
    </row>
    <row r="6325">
      <c r="A6325" s="3"/>
      <c r="B6325" s="3"/>
      <c r="C6325" s="3"/>
    </row>
    <row r="6326">
      <c r="A6326" s="3"/>
      <c r="B6326" s="3"/>
      <c r="C6326" s="3"/>
    </row>
    <row r="6327">
      <c r="A6327" s="3"/>
      <c r="B6327" s="3"/>
      <c r="C6327" s="3"/>
    </row>
    <row r="6328">
      <c r="A6328" s="3"/>
      <c r="B6328" s="3"/>
      <c r="C6328" s="3"/>
    </row>
    <row r="6329">
      <c r="A6329" s="3"/>
      <c r="B6329" s="3"/>
      <c r="C6329" s="3"/>
    </row>
    <row r="6330">
      <c r="A6330" s="3"/>
      <c r="B6330" s="3"/>
      <c r="C6330" s="3"/>
    </row>
    <row r="6331">
      <c r="A6331" s="3"/>
      <c r="B6331" s="3"/>
      <c r="C6331" s="3"/>
    </row>
    <row r="6332">
      <c r="A6332" s="3"/>
      <c r="B6332" s="3"/>
      <c r="C6332" s="3"/>
    </row>
    <row r="6333">
      <c r="A6333" s="3"/>
      <c r="B6333" s="3"/>
      <c r="C6333" s="3"/>
    </row>
    <row r="6334">
      <c r="A6334" s="3"/>
      <c r="B6334" s="3"/>
      <c r="C6334" s="3"/>
    </row>
    <row r="6335">
      <c r="A6335" s="3"/>
      <c r="B6335" s="3"/>
      <c r="C6335" s="3"/>
    </row>
    <row r="6336">
      <c r="A6336" s="3"/>
      <c r="B6336" s="3"/>
      <c r="C6336" s="3"/>
    </row>
    <row r="6337">
      <c r="A6337" s="3"/>
      <c r="B6337" s="3"/>
      <c r="C6337" s="3"/>
    </row>
    <row r="6338">
      <c r="A6338" s="3"/>
      <c r="B6338" s="3"/>
      <c r="C6338" s="3"/>
    </row>
    <row r="6339">
      <c r="A6339" s="3"/>
      <c r="B6339" s="3"/>
      <c r="C6339" s="3"/>
    </row>
    <row r="6340">
      <c r="A6340" s="3"/>
      <c r="B6340" s="3"/>
      <c r="C6340" s="3"/>
    </row>
    <row r="6341">
      <c r="A6341" s="3"/>
      <c r="B6341" s="3"/>
      <c r="C6341" s="3"/>
    </row>
    <row r="6342">
      <c r="A6342" s="3"/>
      <c r="B6342" s="3"/>
      <c r="C6342" s="3"/>
    </row>
    <row r="6343">
      <c r="A6343" s="3"/>
      <c r="B6343" s="3"/>
      <c r="C6343" s="3"/>
    </row>
    <row r="6344">
      <c r="A6344" s="3"/>
      <c r="B6344" s="3"/>
      <c r="C6344" s="3"/>
    </row>
    <row r="6345">
      <c r="A6345" s="3"/>
      <c r="B6345" s="3"/>
      <c r="C6345" s="3"/>
    </row>
    <row r="6346">
      <c r="A6346" s="3"/>
      <c r="B6346" s="3"/>
      <c r="C6346" s="3"/>
    </row>
    <row r="6347">
      <c r="A6347" s="3"/>
      <c r="B6347" s="3"/>
      <c r="C6347" s="3"/>
    </row>
    <row r="6348">
      <c r="A6348" s="3"/>
      <c r="B6348" s="3"/>
      <c r="C6348" s="3"/>
    </row>
    <row r="6349">
      <c r="A6349" s="3"/>
      <c r="B6349" s="3"/>
      <c r="C6349" s="3"/>
    </row>
    <row r="6350">
      <c r="A6350" s="3"/>
      <c r="B6350" s="3"/>
      <c r="C6350" s="3"/>
    </row>
    <row r="6351">
      <c r="A6351" s="3"/>
      <c r="B6351" s="3"/>
      <c r="C6351" s="3"/>
    </row>
    <row r="6352">
      <c r="A6352" s="3"/>
      <c r="B6352" s="3"/>
      <c r="C6352" s="3"/>
    </row>
    <row r="6353">
      <c r="A6353" s="3"/>
      <c r="B6353" s="3"/>
      <c r="C6353" s="3"/>
    </row>
    <row r="6354">
      <c r="A6354" s="3"/>
      <c r="B6354" s="3"/>
      <c r="C6354" s="3"/>
    </row>
    <row r="6355">
      <c r="A6355" s="3"/>
      <c r="B6355" s="3"/>
      <c r="C6355" s="3"/>
    </row>
    <row r="6356">
      <c r="A6356" s="3"/>
      <c r="B6356" s="3"/>
      <c r="C6356" s="3"/>
    </row>
    <row r="6357">
      <c r="A6357" s="3"/>
      <c r="B6357" s="3"/>
      <c r="C6357" s="3"/>
    </row>
    <row r="6358">
      <c r="A6358" s="3"/>
      <c r="B6358" s="3"/>
      <c r="C6358" s="3"/>
    </row>
    <row r="6359">
      <c r="A6359" s="3"/>
      <c r="B6359" s="3"/>
      <c r="C6359" s="3"/>
    </row>
    <row r="6360">
      <c r="A6360" s="3"/>
      <c r="B6360" s="3"/>
      <c r="C6360" s="3"/>
    </row>
    <row r="6361">
      <c r="A6361" s="3"/>
      <c r="B6361" s="3"/>
      <c r="C6361" s="3"/>
    </row>
    <row r="6362">
      <c r="A6362" s="3"/>
      <c r="B6362" s="3"/>
      <c r="C6362" s="3"/>
    </row>
    <row r="6363">
      <c r="A6363" s="3"/>
      <c r="B6363" s="3"/>
      <c r="C6363" s="3"/>
    </row>
    <row r="6364">
      <c r="A6364" s="3"/>
      <c r="B6364" s="3"/>
      <c r="C6364" s="3"/>
    </row>
    <row r="6365">
      <c r="A6365" s="3"/>
      <c r="B6365" s="3"/>
      <c r="C6365" s="3"/>
    </row>
    <row r="6366">
      <c r="A6366" s="3"/>
      <c r="B6366" s="3"/>
      <c r="C6366" s="3"/>
    </row>
    <row r="6367">
      <c r="A6367" s="3"/>
      <c r="B6367" s="3"/>
      <c r="C6367" s="3"/>
    </row>
    <row r="6368">
      <c r="A6368" s="3"/>
      <c r="B6368" s="3"/>
      <c r="C6368" s="3"/>
    </row>
    <row r="6369">
      <c r="A6369" s="3"/>
      <c r="B6369" s="3"/>
      <c r="C6369" s="3"/>
    </row>
    <row r="6370">
      <c r="A6370" s="3"/>
      <c r="B6370" s="3"/>
      <c r="C6370" s="3"/>
    </row>
    <row r="6371">
      <c r="A6371" s="3"/>
      <c r="B6371" s="3"/>
      <c r="C6371" s="3"/>
    </row>
    <row r="6372">
      <c r="A6372" s="3"/>
      <c r="B6372" s="3"/>
      <c r="C6372" s="3"/>
    </row>
    <row r="6373">
      <c r="A6373" s="3"/>
      <c r="B6373" s="3"/>
      <c r="C6373" s="3"/>
    </row>
    <row r="6374">
      <c r="A6374" s="3"/>
      <c r="B6374" s="3"/>
      <c r="C6374" s="3"/>
    </row>
    <row r="6375">
      <c r="A6375" s="3"/>
      <c r="B6375" s="3"/>
      <c r="C6375" s="3"/>
    </row>
    <row r="6376">
      <c r="A6376" s="3"/>
      <c r="B6376" s="3"/>
      <c r="C6376" s="3"/>
    </row>
    <row r="6377">
      <c r="A6377" s="3"/>
      <c r="B6377" s="3"/>
      <c r="C6377" s="3"/>
    </row>
    <row r="6378">
      <c r="A6378" s="3"/>
      <c r="B6378" s="3"/>
      <c r="C6378" s="3"/>
    </row>
    <row r="6379">
      <c r="A6379" s="3"/>
      <c r="B6379" s="3"/>
      <c r="C6379" s="3"/>
    </row>
    <row r="6380">
      <c r="A6380" s="3"/>
      <c r="B6380" s="3"/>
      <c r="C6380" s="3"/>
    </row>
    <row r="6381">
      <c r="A6381" s="3"/>
      <c r="B6381" s="3"/>
      <c r="C6381" s="3"/>
    </row>
    <row r="6382">
      <c r="A6382" s="3"/>
      <c r="B6382" s="3"/>
      <c r="C6382" s="3"/>
    </row>
    <row r="6383">
      <c r="A6383" s="3"/>
      <c r="B6383" s="3"/>
      <c r="C6383" s="3"/>
    </row>
    <row r="6384">
      <c r="A6384" s="3"/>
      <c r="B6384" s="3"/>
      <c r="C6384" s="3"/>
    </row>
    <row r="6385">
      <c r="A6385" s="3"/>
      <c r="B6385" s="3"/>
      <c r="C6385" s="3"/>
    </row>
    <row r="6386">
      <c r="A6386" s="3"/>
      <c r="B6386" s="3"/>
      <c r="C6386" s="3"/>
    </row>
    <row r="6387">
      <c r="A6387" s="3"/>
      <c r="B6387" s="3"/>
      <c r="C6387" s="3"/>
    </row>
    <row r="6388">
      <c r="A6388" s="3"/>
      <c r="B6388" s="3"/>
      <c r="C6388" s="3"/>
    </row>
    <row r="6389">
      <c r="A6389" s="3"/>
      <c r="B6389" s="3"/>
      <c r="C6389" s="3"/>
    </row>
    <row r="6390">
      <c r="A6390" s="3"/>
      <c r="B6390" s="3"/>
      <c r="C6390" s="3"/>
    </row>
    <row r="6391">
      <c r="A6391" s="3"/>
      <c r="B6391" s="3"/>
      <c r="C6391" s="3"/>
    </row>
    <row r="6392">
      <c r="A6392" s="3"/>
      <c r="B6392" s="3"/>
      <c r="C6392" s="3"/>
    </row>
    <row r="6393">
      <c r="A6393" s="3"/>
      <c r="B6393" s="3"/>
      <c r="C6393" s="3"/>
    </row>
    <row r="6394">
      <c r="A6394" s="3"/>
      <c r="B6394" s="3"/>
      <c r="C6394" s="3"/>
    </row>
    <row r="6395">
      <c r="A6395" s="3"/>
      <c r="B6395" s="3"/>
      <c r="C6395" s="3"/>
    </row>
    <row r="6396">
      <c r="A6396" s="3"/>
      <c r="B6396" s="3"/>
      <c r="C6396" s="3"/>
    </row>
    <row r="6397">
      <c r="A6397" s="3"/>
      <c r="B6397" s="3"/>
      <c r="C6397" s="3"/>
    </row>
    <row r="6398">
      <c r="A6398" s="3"/>
      <c r="B6398" s="3"/>
      <c r="C6398" s="3"/>
    </row>
    <row r="6399">
      <c r="A6399" s="3"/>
      <c r="B6399" s="3"/>
      <c r="C6399" s="3"/>
    </row>
    <row r="6400">
      <c r="A6400" s="3"/>
      <c r="B6400" s="3"/>
      <c r="C6400" s="3"/>
    </row>
    <row r="6401">
      <c r="A6401" s="3"/>
      <c r="B6401" s="3"/>
      <c r="C6401" s="3"/>
    </row>
    <row r="6402">
      <c r="A6402" s="3"/>
      <c r="B6402" s="3"/>
      <c r="C6402" s="3"/>
    </row>
    <row r="6403">
      <c r="A6403" s="3"/>
      <c r="B6403" s="3"/>
      <c r="C6403" s="3"/>
    </row>
    <row r="6404">
      <c r="A6404" s="3"/>
      <c r="B6404" s="3"/>
      <c r="C6404" s="3"/>
    </row>
    <row r="6405">
      <c r="A6405" s="3"/>
      <c r="B6405" s="3"/>
      <c r="C6405" s="3"/>
    </row>
    <row r="6406">
      <c r="A6406" s="3"/>
      <c r="B6406" s="3"/>
      <c r="C6406" s="3"/>
    </row>
    <row r="6407">
      <c r="A6407" s="3"/>
      <c r="B6407" s="3"/>
      <c r="C6407" s="3"/>
    </row>
    <row r="6408">
      <c r="A6408" s="3"/>
      <c r="B6408" s="3"/>
      <c r="C6408" s="3"/>
    </row>
    <row r="6409">
      <c r="A6409" s="3"/>
      <c r="B6409" s="3"/>
      <c r="C6409" s="3"/>
    </row>
    <row r="6410">
      <c r="A6410" s="3"/>
      <c r="B6410" s="3"/>
      <c r="C6410" s="3"/>
    </row>
    <row r="6411">
      <c r="A6411" s="3"/>
      <c r="B6411" s="3"/>
      <c r="C6411" s="3"/>
    </row>
    <row r="6412">
      <c r="A6412" s="3"/>
      <c r="B6412" s="3"/>
      <c r="C6412" s="3"/>
    </row>
    <row r="6413">
      <c r="A6413" s="3"/>
      <c r="B6413" s="3"/>
      <c r="C6413" s="3"/>
    </row>
    <row r="6414">
      <c r="A6414" s="3"/>
      <c r="B6414" s="3"/>
      <c r="C6414" s="3"/>
    </row>
    <row r="6415">
      <c r="A6415" s="3"/>
      <c r="B6415" s="3"/>
      <c r="C6415" s="3"/>
    </row>
    <row r="6416">
      <c r="A6416" s="3"/>
      <c r="B6416" s="3"/>
      <c r="C6416" s="3"/>
    </row>
    <row r="6417">
      <c r="A6417" s="3"/>
      <c r="B6417" s="3"/>
      <c r="C6417" s="3"/>
    </row>
    <row r="6418">
      <c r="A6418" s="3"/>
      <c r="B6418" s="3"/>
      <c r="C6418" s="3"/>
    </row>
    <row r="6419">
      <c r="A6419" s="3"/>
      <c r="B6419" s="3"/>
      <c r="C6419" s="3"/>
    </row>
    <row r="6420">
      <c r="A6420" s="3"/>
      <c r="B6420" s="3"/>
      <c r="C6420" s="3"/>
    </row>
    <row r="6421">
      <c r="A6421" s="3"/>
      <c r="B6421" s="3"/>
      <c r="C6421" s="3"/>
    </row>
    <row r="6422">
      <c r="A6422" s="3"/>
      <c r="B6422" s="3"/>
      <c r="C6422" s="3"/>
    </row>
    <row r="6423">
      <c r="A6423" s="3"/>
      <c r="B6423" s="3"/>
      <c r="C6423" s="3"/>
    </row>
    <row r="6424">
      <c r="A6424" s="3"/>
      <c r="B6424" s="3"/>
      <c r="C6424" s="3"/>
    </row>
    <row r="6425">
      <c r="A6425" s="3"/>
      <c r="B6425" s="3"/>
      <c r="C6425" s="3"/>
    </row>
    <row r="6426">
      <c r="A6426" s="3"/>
      <c r="B6426" s="3"/>
      <c r="C6426" s="3"/>
    </row>
    <row r="6427">
      <c r="A6427" s="3"/>
      <c r="B6427" s="3"/>
      <c r="C6427" s="3"/>
    </row>
    <row r="6428">
      <c r="A6428" s="3"/>
      <c r="B6428" s="3"/>
      <c r="C6428" s="3"/>
    </row>
    <row r="6429">
      <c r="A6429" s="3"/>
      <c r="B6429" s="3"/>
      <c r="C6429" s="3"/>
    </row>
    <row r="6430">
      <c r="A6430" s="3"/>
      <c r="B6430" s="3"/>
      <c r="C6430" s="3"/>
    </row>
    <row r="6431">
      <c r="A6431" s="3"/>
      <c r="B6431" s="3"/>
      <c r="C6431" s="3"/>
    </row>
    <row r="6432">
      <c r="A6432" s="3"/>
      <c r="B6432" s="3"/>
      <c r="C6432" s="3"/>
    </row>
    <row r="6433">
      <c r="A6433" s="3"/>
      <c r="B6433" s="3"/>
      <c r="C6433" s="3"/>
    </row>
    <row r="6434">
      <c r="A6434" s="3"/>
      <c r="B6434" s="3"/>
      <c r="C6434" s="3"/>
    </row>
    <row r="6435">
      <c r="A6435" s="3"/>
      <c r="B6435" s="3"/>
      <c r="C6435" s="3"/>
    </row>
    <row r="6436">
      <c r="A6436" s="3"/>
      <c r="B6436" s="3"/>
      <c r="C6436" s="3"/>
    </row>
    <row r="6437">
      <c r="A6437" s="3"/>
      <c r="B6437" s="3"/>
      <c r="C6437" s="3"/>
    </row>
    <row r="6438">
      <c r="A6438" s="3"/>
      <c r="B6438" s="3"/>
      <c r="C6438" s="3"/>
    </row>
    <row r="6439">
      <c r="A6439" s="3"/>
      <c r="B6439" s="3"/>
      <c r="C6439" s="3"/>
    </row>
    <row r="6440">
      <c r="A6440" s="3"/>
      <c r="B6440" s="3"/>
      <c r="C6440" s="3"/>
    </row>
    <row r="6441">
      <c r="A6441" s="3"/>
      <c r="B6441" s="3"/>
      <c r="C6441" s="3"/>
    </row>
    <row r="6442">
      <c r="A6442" s="3"/>
      <c r="B6442" s="3"/>
      <c r="C6442" s="3"/>
    </row>
    <row r="6443">
      <c r="A6443" s="3"/>
      <c r="B6443" s="3"/>
      <c r="C6443" s="3"/>
    </row>
    <row r="6444">
      <c r="A6444" s="3"/>
      <c r="B6444" s="3"/>
      <c r="C6444" s="3"/>
    </row>
    <row r="6445">
      <c r="A6445" s="3"/>
      <c r="B6445" s="3"/>
      <c r="C6445" s="3"/>
    </row>
    <row r="6446">
      <c r="A6446" s="3"/>
      <c r="B6446" s="3"/>
      <c r="C6446" s="3"/>
    </row>
    <row r="6447">
      <c r="A6447" s="3"/>
      <c r="B6447" s="3"/>
      <c r="C6447" s="3"/>
    </row>
    <row r="6448">
      <c r="A6448" s="3"/>
      <c r="B6448" s="3"/>
      <c r="C6448" s="3"/>
    </row>
    <row r="6449">
      <c r="A6449" s="3"/>
      <c r="B6449" s="3"/>
      <c r="C6449" s="3"/>
    </row>
    <row r="6450">
      <c r="A6450" s="3"/>
      <c r="B6450" s="3"/>
      <c r="C6450" s="3"/>
    </row>
    <row r="6451">
      <c r="A6451" s="3"/>
      <c r="B6451" s="3"/>
      <c r="C6451" s="3"/>
    </row>
    <row r="6452">
      <c r="A6452" s="3"/>
      <c r="B6452" s="3"/>
      <c r="C6452" s="3"/>
    </row>
    <row r="6453">
      <c r="A6453" s="3"/>
      <c r="B6453" s="3"/>
      <c r="C6453" s="3"/>
    </row>
    <row r="6454">
      <c r="A6454" s="3"/>
      <c r="B6454" s="3"/>
      <c r="C6454" s="3"/>
    </row>
    <row r="6455">
      <c r="A6455" s="3"/>
      <c r="B6455" s="3"/>
      <c r="C6455" s="3"/>
    </row>
    <row r="6456">
      <c r="A6456" s="3"/>
      <c r="B6456" s="3"/>
      <c r="C6456" s="3"/>
    </row>
    <row r="6457">
      <c r="A6457" s="3"/>
      <c r="B6457" s="3"/>
      <c r="C6457" s="3"/>
    </row>
    <row r="6458">
      <c r="A6458" s="3"/>
      <c r="B6458" s="3"/>
      <c r="C6458" s="3"/>
    </row>
    <row r="6459">
      <c r="A6459" s="3"/>
      <c r="B6459" s="3"/>
      <c r="C6459" s="3"/>
    </row>
    <row r="6460">
      <c r="A6460" s="3"/>
      <c r="B6460" s="3"/>
      <c r="C6460" s="3"/>
    </row>
    <row r="6461">
      <c r="A6461" s="3"/>
      <c r="B6461" s="3"/>
      <c r="C6461" s="3"/>
    </row>
    <row r="6462">
      <c r="A6462" s="3"/>
      <c r="B6462" s="3"/>
      <c r="C6462" s="3"/>
    </row>
    <row r="6463">
      <c r="A6463" s="3"/>
      <c r="B6463" s="3"/>
      <c r="C6463" s="3"/>
    </row>
    <row r="6464">
      <c r="A6464" s="3"/>
      <c r="B6464" s="3"/>
      <c r="C6464" s="3"/>
    </row>
    <row r="6465">
      <c r="A6465" s="3"/>
      <c r="B6465" s="3"/>
      <c r="C6465" s="3"/>
    </row>
    <row r="6466">
      <c r="A6466" s="3"/>
      <c r="B6466" s="3"/>
      <c r="C6466" s="3"/>
    </row>
    <row r="6467">
      <c r="A6467" s="3"/>
      <c r="B6467" s="3"/>
      <c r="C6467" s="3"/>
    </row>
    <row r="6468">
      <c r="A6468" s="3"/>
      <c r="B6468" s="3"/>
      <c r="C6468" s="3"/>
    </row>
    <row r="6469">
      <c r="A6469" s="3"/>
      <c r="B6469" s="3"/>
      <c r="C6469" s="3"/>
    </row>
    <row r="6470">
      <c r="A6470" s="3"/>
      <c r="B6470" s="3"/>
      <c r="C6470" s="3"/>
    </row>
    <row r="6471">
      <c r="A6471" s="3"/>
      <c r="B6471" s="3"/>
      <c r="C6471" s="3"/>
    </row>
    <row r="6472">
      <c r="A6472" s="3"/>
      <c r="B6472" s="3"/>
      <c r="C6472" s="3"/>
    </row>
    <row r="6473">
      <c r="A6473" s="3"/>
      <c r="B6473" s="3"/>
      <c r="C6473" s="3"/>
    </row>
    <row r="6474">
      <c r="A6474" s="3"/>
      <c r="B6474" s="3"/>
      <c r="C6474" s="3"/>
    </row>
    <row r="6475">
      <c r="A6475" s="3"/>
      <c r="B6475" s="3"/>
      <c r="C6475" s="3"/>
    </row>
    <row r="6476">
      <c r="A6476" s="3"/>
      <c r="B6476" s="3"/>
      <c r="C6476" s="3"/>
    </row>
    <row r="6477">
      <c r="A6477" s="3"/>
      <c r="B6477" s="3"/>
      <c r="C6477" s="3"/>
    </row>
    <row r="6478">
      <c r="A6478" s="3"/>
      <c r="B6478" s="3"/>
      <c r="C6478" s="3"/>
    </row>
    <row r="6479">
      <c r="A6479" s="3"/>
      <c r="B6479" s="3"/>
      <c r="C6479" s="3"/>
    </row>
    <row r="6480">
      <c r="A6480" s="3"/>
      <c r="B6480" s="3"/>
      <c r="C6480" s="3"/>
    </row>
    <row r="6481">
      <c r="A6481" s="3"/>
      <c r="B6481" s="3"/>
      <c r="C6481" s="3"/>
    </row>
    <row r="6482">
      <c r="A6482" s="3"/>
      <c r="B6482" s="3"/>
      <c r="C6482" s="3"/>
    </row>
    <row r="6483">
      <c r="A6483" s="3"/>
      <c r="B6483" s="3"/>
      <c r="C6483" s="3"/>
    </row>
    <row r="6484">
      <c r="A6484" s="3"/>
      <c r="B6484" s="3"/>
      <c r="C6484" s="3"/>
    </row>
    <row r="6485">
      <c r="A6485" s="3"/>
      <c r="B6485" s="3"/>
      <c r="C6485" s="3"/>
    </row>
    <row r="6486">
      <c r="A6486" s="3"/>
      <c r="B6486" s="3"/>
      <c r="C6486" s="3"/>
    </row>
    <row r="6487">
      <c r="A6487" s="3"/>
      <c r="B6487" s="3"/>
      <c r="C6487" s="3"/>
    </row>
    <row r="6488">
      <c r="A6488" s="3"/>
      <c r="B6488" s="3"/>
      <c r="C6488" s="3"/>
    </row>
    <row r="6489">
      <c r="A6489" s="3"/>
      <c r="B6489" s="3"/>
      <c r="C6489" s="3"/>
    </row>
    <row r="6490">
      <c r="A6490" s="3"/>
      <c r="B6490" s="3"/>
      <c r="C6490" s="3"/>
    </row>
    <row r="6491">
      <c r="A6491" s="3"/>
      <c r="B6491" s="3"/>
      <c r="C6491" s="3"/>
    </row>
    <row r="6492">
      <c r="A6492" s="3"/>
      <c r="B6492" s="3"/>
      <c r="C6492" s="3"/>
    </row>
    <row r="6493">
      <c r="A6493" s="3"/>
      <c r="B6493" s="3"/>
      <c r="C6493" s="3"/>
    </row>
    <row r="6494">
      <c r="A6494" s="3"/>
      <c r="B6494" s="3"/>
      <c r="C6494" s="3"/>
    </row>
    <row r="6495">
      <c r="A6495" s="3"/>
      <c r="B6495" s="3"/>
      <c r="C6495" s="3"/>
    </row>
    <row r="6496">
      <c r="A6496" s="3"/>
      <c r="B6496" s="3"/>
      <c r="C6496" s="3"/>
    </row>
    <row r="6497">
      <c r="A6497" s="3"/>
      <c r="B6497" s="3"/>
      <c r="C6497" s="3"/>
    </row>
    <row r="6498">
      <c r="A6498" s="3"/>
      <c r="B6498" s="3"/>
      <c r="C6498" s="3"/>
    </row>
    <row r="6499">
      <c r="A6499" s="3"/>
      <c r="B6499" s="3"/>
      <c r="C6499" s="3"/>
    </row>
    <row r="6500">
      <c r="A6500" s="3"/>
      <c r="B6500" s="3"/>
      <c r="C6500" s="3"/>
    </row>
    <row r="6501">
      <c r="A6501" s="3"/>
      <c r="B6501" s="3"/>
      <c r="C6501" s="3"/>
    </row>
    <row r="6502">
      <c r="A6502" s="3"/>
      <c r="B6502" s="3"/>
      <c r="C6502" s="3"/>
    </row>
    <row r="6503">
      <c r="A6503" s="3"/>
      <c r="B6503" s="3"/>
      <c r="C6503" s="3"/>
    </row>
    <row r="6504">
      <c r="A6504" s="3"/>
      <c r="B6504" s="3"/>
      <c r="C6504" s="3"/>
    </row>
    <row r="6505">
      <c r="A6505" s="3"/>
      <c r="B6505" s="3"/>
      <c r="C6505" s="3"/>
    </row>
    <row r="6506">
      <c r="A6506" s="3"/>
      <c r="B6506" s="3"/>
      <c r="C6506" s="3"/>
    </row>
    <row r="6507">
      <c r="A6507" s="3"/>
      <c r="B6507" s="3"/>
      <c r="C6507" s="3"/>
    </row>
    <row r="6508">
      <c r="A6508" s="3"/>
      <c r="B6508" s="3"/>
      <c r="C6508" s="3"/>
    </row>
    <row r="6509">
      <c r="A6509" s="3"/>
      <c r="B6509" s="3"/>
      <c r="C6509" s="3"/>
    </row>
    <row r="6510">
      <c r="A6510" s="3"/>
      <c r="B6510" s="3"/>
      <c r="C6510" s="3"/>
    </row>
    <row r="6511">
      <c r="A6511" s="3"/>
      <c r="B6511" s="3"/>
      <c r="C6511" s="3"/>
    </row>
    <row r="6512">
      <c r="A6512" s="3"/>
      <c r="B6512" s="3"/>
      <c r="C6512" s="3"/>
    </row>
    <row r="6513">
      <c r="A6513" s="3"/>
      <c r="B6513" s="3"/>
      <c r="C6513" s="3"/>
    </row>
    <row r="6514">
      <c r="A6514" s="3"/>
      <c r="B6514" s="3"/>
      <c r="C6514" s="3"/>
    </row>
    <row r="6515">
      <c r="A6515" s="3"/>
      <c r="B6515" s="3"/>
      <c r="C6515" s="3"/>
    </row>
    <row r="6516">
      <c r="A6516" s="3"/>
      <c r="B6516" s="3"/>
      <c r="C6516" s="3"/>
    </row>
    <row r="6517">
      <c r="A6517" s="3"/>
      <c r="B6517" s="3"/>
      <c r="C6517" s="3"/>
    </row>
    <row r="6518">
      <c r="A6518" s="3"/>
      <c r="B6518" s="3"/>
      <c r="C6518" s="3"/>
    </row>
    <row r="6519">
      <c r="A6519" s="3"/>
      <c r="B6519" s="3"/>
      <c r="C6519" s="3"/>
    </row>
    <row r="6520">
      <c r="A6520" s="3"/>
      <c r="B6520" s="3"/>
      <c r="C6520" s="3"/>
    </row>
    <row r="6521">
      <c r="A6521" s="3"/>
      <c r="B6521" s="3"/>
      <c r="C6521" s="3"/>
    </row>
    <row r="6522">
      <c r="A6522" s="3"/>
      <c r="B6522" s="3"/>
      <c r="C6522" s="3"/>
    </row>
    <row r="6523">
      <c r="A6523" s="3"/>
      <c r="B6523" s="3"/>
      <c r="C6523" s="3"/>
    </row>
    <row r="6524">
      <c r="A6524" s="3"/>
      <c r="B6524" s="3"/>
      <c r="C6524" s="3"/>
    </row>
    <row r="6525">
      <c r="A6525" s="3"/>
      <c r="B6525" s="3"/>
      <c r="C6525" s="3"/>
    </row>
    <row r="6526">
      <c r="A6526" s="3"/>
      <c r="B6526" s="3"/>
      <c r="C6526" s="3"/>
    </row>
    <row r="6527">
      <c r="A6527" s="3"/>
      <c r="B6527" s="3"/>
      <c r="C6527" s="3"/>
    </row>
    <row r="6528">
      <c r="A6528" s="3"/>
      <c r="B6528" s="3"/>
      <c r="C6528" s="3"/>
    </row>
    <row r="6529">
      <c r="A6529" s="3"/>
      <c r="B6529" s="3"/>
      <c r="C6529" s="3"/>
    </row>
    <row r="6530">
      <c r="A6530" s="3"/>
      <c r="B6530" s="3"/>
      <c r="C6530" s="3"/>
    </row>
    <row r="6531">
      <c r="A6531" s="3"/>
      <c r="B6531" s="3"/>
      <c r="C6531" s="3"/>
    </row>
    <row r="6532">
      <c r="A6532" s="3"/>
      <c r="B6532" s="3"/>
      <c r="C6532" s="3"/>
    </row>
    <row r="6533">
      <c r="A6533" s="3"/>
      <c r="B6533" s="3"/>
      <c r="C6533" s="3"/>
    </row>
    <row r="6534">
      <c r="A6534" s="3"/>
      <c r="B6534" s="3"/>
      <c r="C6534" s="3"/>
    </row>
    <row r="6535">
      <c r="A6535" s="3"/>
      <c r="B6535" s="3"/>
      <c r="C6535" s="3"/>
    </row>
    <row r="6536">
      <c r="A6536" s="3"/>
      <c r="B6536" s="3"/>
      <c r="C6536" s="3"/>
    </row>
    <row r="6537">
      <c r="A6537" s="3"/>
      <c r="B6537" s="3"/>
      <c r="C6537" s="3"/>
    </row>
    <row r="6538">
      <c r="A6538" s="3"/>
      <c r="B6538" s="3"/>
      <c r="C6538" s="3"/>
    </row>
    <row r="6539">
      <c r="A6539" s="3"/>
      <c r="B6539" s="3"/>
      <c r="C6539" s="3"/>
    </row>
    <row r="6540">
      <c r="A6540" s="3"/>
      <c r="B6540" s="3"/>
      <c r="C6540" s="3"/>
    </row>
    <row r="6541">
      <c r="A6541" s="3"/>
      <c r="B6541" s="3"/>
      <c r="C6541" s="3"/>
    </row>
    <row r="6542">
      <c r="A6542" s="3"/>
      <c r="B6542" s="3"/>
      <c r="C6542" s="3"/>
    </row>
    <row r="6543">
      <c r="A6543" s="3"/>
      <c r="B6543" s="3"/>
      <c r="C6543" s="3"/>
    </row>
    <row r="6544">
      <c r="A6544" s="3"/>
      <c r="B6544" s="3"/>
      <c r="C6544" s="3"/>
    </row>
    <row r="6545">
      <c r="A6545" s="3"/>
      <c r="B6545" s="3"/>
      <c r="C6545" s="3"/>
    </row>
    <row r="6546">
      <c r="A6546" s="3"/>
      <c r="B6546" s="3"/>
      <c r="C6546" s="3"/>
    </row>
    <row r="6547">
      <c r="A6547" s="3"/>
      <c r="B6547" s="3"/>
      <c r="C6547" s="3"/>
    </row>
    <row r="6548">
      <c r="A6548" s="3"/>
      <c r="B6548" s="3"/>
      <c r="C6548" s="3"/>
    </row>
    <row r="6549">
      <c r="A6549" s="3"/>
      <c r="B6549" s="3"/>
      <c r="C6549" s="3"/>
    </row>
    <row r="6550">
      <c r="A6550" s="3"/>
      <c r="B6550" s="3"/>
      <c r="C6550" s="3"/>
    </row>
    <row r="6551">
      <c r="A6551" s="3"/>
      <c r="B6551" s="3"/>
      <c r="C6551" s="3"/>
    </row>
    <row r="6552">
      <c r="A6552" s="3"/>
      <c r="B6552" s="3"/>
      <c r="C6552" s="3"/>
    </row>
    <row r="6553">
      <c r="A6553" s="3"/>
      <c r="B6553" s="3"/>
      <c r="C6553" s="3"/>
    </row>
    <row r="6554">
      <c r="A6554" s="3"/>
      <c r="B6554" s="3"/>
      <c r="C6554" s="3"/>
    </row>
    <row r="6555">
      <c r="A6555" s="3"/>
      <c r="B6555" s="3"/>
      <c r="C6555" s="3"/>
    </row>
    <row r="6556">
      <c r="A6556" s="3"/>
      <c r="B6556" s="3"/>
      <c r="C6556" s="3"/>
    </row>
    <row r="6557">
      <c r="A6557" s="3"/>
      <c r="B6557" s="3"/>
      <c r="C6557" s="3"/>
    </row>
    <row r="6558">
      <c r="A6558" s="3"/>
      <c r="B6558" s="3"/>
      <c r="C6558" s="3"/>
    </row>
    <row r="6559">
      <c r="A6559" s="3"/>
      <c r="B6559" s="3"/>
      <c r="C6559" s="3"/>
    </row>
    <row r="6560">
      <c r="A6560" s="3"/>
      <c r="B6560" s="3"/>
      <c r="C6560" s="3"/>
    </row>
    <row r="6561">
      <c r="A6561" s="3"/>
      <c r="B6561" s="3"/>
      <c r="C6561" s="3"/>
    </row>
    <row r="6562">
      <c r="A6562" s="3"/>
      <c r="B6562" s="3"/>
      <c r="C6562" s="3"/>
    </row>
    <row r="6563">
      <c r="A6563" s="3"/>
      <c r="B6563" s="3"/>
      <c r="C6563" s="3"/>
    </row>
    <row r="6564">
      <c r="A6564" s="3"/>
      <c r="B6564" s="3"/>
      <c r="C6564" s="3"/>
    </row>
    <row r="6565">
      <c r="A6565" s="3"/>
      <c r="B6565" s="3"/>
      <c r="C6565" s="3"/>
    </row>
    <row r="6566">
      <c r="A6566" s="3"/>
      <c r="B6566" s="3"/>
      <c r="C6566" s="3"/>
    </row>
    <row r="6567">
      <c r="A6567" s="3"/>
      <c r="B6567" s="3"/>
      <c r="C6567" s="3"/>
    </row>
    <row r="6568">
      <c r="A6568" s="3"/>
      <c r="B6568" s="3"/>
      <c r="C6568" s="3"/>
    </row>
    <row r="6569">
      <c r="A6569" s="3"/>
      <c r="B6569" s="3"/>
      <c r="C6569" s="3"/>
    </row>
    <row r="6570">
      <c r="A6570" s="3"/>
      <c r="B6570" s="3"/>
      <c r="C6570" s="3"/>
    </row>
    <row r="6571">
      <c r="A6571" s="3"/>
      <c r="B6571" s="3"/>
      <c r="C6571" s="3"/>
    </row>
    <row r="6572">
      <c r="A6572" s="3"/>
      <c r="B6572" s="3"/>
      <c r="C6572" s="3"/>
    </row>
    <row r="6573">
      <c r="A6573" s="3"/>
      <c r="B6573" s="3"/>
      <c r="C6573" s="3"/>
    </row>
    <row r="6574">
      <c r="A6574" s="3"/>
      <c r="B6574" s="3"/>
      <c r="C6574" s="3"/>
    </row>
    <row r="6575">
      <c r="A6575" s="3"/>
      <c r="B6575" s="3"/>
      <c r="C6575" s="3"/>
    </row>
    <row r="6576">
      <c r="A6576" s="3"/>
      <c r="B6576" s="3"/>
      <c r="C6576" s="3"/>
    </row>
    <row r="6577">
      <c r="A6577" s="3"/>
      <c r="B6577" s="3"/>
      <c r="C6577" s="3"/>
    </row>
    <row r="6578">
      <c r="A6578" s="3"/>
      <c r="B6578" s="3"/>
      <c r="C6578" s="3"/>
    </row>
    <row r="6579">
      <c r="A6579" s="3"/>
      <c r="B6579" s="3"/>
      <c r="C6579" s="3"/>
    </row>
    <row r="6580">
      <c r="A6580" s="3"/>
      <c r="B6580" s="3"/>
      <c r="C6580" s="3"/>
    </row>
    <row r="6581">
      <c r="A6581" s="3"/>
      <c r="B6581" s="3"/>
      <c r="C6581" s="3"/>
    </row>
    <row r="6582">
      <c r="A6582" s="3"/>
      <c r="B6582" s="3"/>
      <c r="C6582" s="3"/>
    </row>
    <row r="6583">
      <c r="A6583" s="3"/>
      <c r="B6583" s="3"/>
      <c r="C6583" s="3"/>
    </row>
    <row r="6584">
      <c r="A6584" s="3"/>
      <c r="B6584" s="3"/>
      <c r="C6584" s="3"/>
    </row>
    <row r="6585">
      <c r="A6585" s="3"/>
      <c r="B6585" s="3"/>
      <c r="C6585" s="3"/>
    </row>
    <row r="6586">
      <c r="A6586" s="3"/>
      <c r="B6586" s="3"/>
      <c r="C6586" s="3"/>
    </row>
    <row r="6587">
      <c r="A6587" s="3"/>
      <c r="B6587" s="3"/>
      <c r="C6587" s="3"/>
    </row>
    <row r="6588">
      <c r="A6588" s="3"/>
      <c r="B6588" s="3"/>
      <c r="C6588" s="3"/>
    </row>
    <row r="6589">
      <c r="A6589" s="3"/>
      <c r="B6589" s="3"/>
      <c r="C6589" s="3"/>
    </row>
    <row r="6590">
      <c r="A6590" s="3"/>
      <c r="B6590" s="3"/>
      <c r="C6590" s="3"/>
    </row>
    <row r="6591">
      <c r="A6591" s="3"/>
      <c r="B6591" s="3"/>
      <c r="C6591" s="3"/>
    </row>
    <row r="6592">
      <c r="A6592" s="3"/>
      <c r="B6592" s="3"/>
      <c r="C6592" s="3"/>
    </row>
    <row r="6593">
      <c r="A6593" s="3"/>
      <c r="B6593" s="3"/>
      <c r="C6593" s="3"/>
    </row>
    <row r="6594">
      <c r="A6594" s="3"/>
      <c r="B6594" s="3"/>
      <c r="C6594" s="3"/>
    </row>
    <row r="6595">
      <c r="A6595" s="3"/>
      <c r="B6595" s="3"/>
      <c r="C6595" s="3"/>
    </row>
    <row r="6596">
      <c r="A6596" s="3"/>
      <c r="B6596" s="3"/>
      <c r="C6596" s="3"/>
    </row>
    <row r="6597">
      <c r="A6597" s="3"/>
      <c r="B6597" s="3"/>
      <c r="C6597" s="3"/>
    </row>
    <row r="6598">
      <c r="A6598" s="3"/>
      <c r="B6598" s="3"/>
      <c r="C6598" s="3"/>
    </row>
    <row r="6599">
      <c r="A6599" s="3"/>
      <c r="B6599" s="3"/>
      <c r="C6599" s="3"/>
    </row>
    <row r="6600">
      <c r="A6600" s="3"/>
      <c r="B6600" s="3"/>
      <c r="C6600" s="3"/>
    </row>
    <row r="6601">
      <c r="A6601" s="3"/>
      <c r="B6601" s="3"/>
      <c r="C6601" s="3"/>
    </row>
    <row r="6602">
      <c r="A6602" s="3"/>
      <c r="B6602" s="3"/>
      <c r="C6602" s="3"/>
    </row>
    <row r="6603">
      <c r="A6603" s="3"/>
      <c r="B6603" s="3"/>
      <c r="C6603" s="3"/>
    </row>
    <row r="6604">
      <c r="A6604" s="3"/>
      <c r="B6604" s="3"/>
      <c r="C6604" s="3"/>
    </row>
    <row r="6605">
      <c r="A6605" s="3"/>
      <c r="B6605" s="3"/>
      <c r="C6605" s="3"/>
    </row>
    <row r="6606">
      <c r="A6606" s="3"/>
      <c r="B6606" s="3"/>
      <c r="C6606" s="3"/>
    </row>
    <row r="6607">
      <c r="A6607" s="3"/>
      <c r="B6607" s="3"/>
      <c r="C6607" s="3"/>
    </row>
    <row r="6608">
      <c r="A6608" s="3"/>
      <c r="B6608" s="3"/>
      <c r="C6608" s="3"/>
    </row>
    <row r="6609">
      <c r="A6609" s="3"/>
      <c r="B6609" s="3"/>
      <c r="C6609" s="3"/>
    </row>
    <row r="6610">
      <c r="A6610" s="3"/>
      <c r="B6610" s="3"/>
      <c r="C6610" s="3"/>
    </row>
    <row r="6611">
      <c r="A6611" s="3"/>
      <c r="B6611" s="3"/>
      <c r="C6611" s="3"/>
    </row>
    <row r="6612">
      <c r="A6612" s="3"/>
      <c r="B6612" s="3"/>
      <c r="C6612" s="3"/>
    </row>
    <row r="6613">
      <c r="A6613" s="3"/>
      <c r="B6613" s="3"/>
      <c r="C6613" s="3"/>
    </row>
    <row r="6614">
      <c r="A6614" s="3"/>
      <c r="B6614" s="3"/>
      <c r="C6614" s="3"/>
    </row>
    <row r="6615">
      <c r="A6615" s="3"/>
      <c r="B6615" s="3"/>
      <c r="C6615" s="3"/>
    </row>
    <row r="6616">
      <c r="A6616" s="3"/>
      <c r="B6616" s="3"/>
      <c r="C6616" s="3"/>
    </row>
    <row r="6617">
      <c r="A6617" s="3"/>
      <c r="B6617" s="3"/>
      <c r="C6617" s="3"/>
    </row>
    <row r="6618">
      <c r="A6618" s="3"/>
      <c r="B6618" s="3"/>
      <c r="C6618" s="3"/>
    </row>
    <row r="6619">
      <c r="A6619" s="3"/>
      <c r="B6619" s="3"/>
      <c r="C6619" s="3"/>
    </row>
    <row r="6620">
      <c r="A6620" s="3"/>
      <c r="B6620" s="3"/>
      <c r="C6620" s="3"/>
    </row>
    <row r="6621">
      <c r="A6621" s="3"/>
      <c r="B6621" s="3"/>
      <c r="C6621" s="3"/>
    </row>
    <row r="6622">
      <c r="A6622" s="3"/>
      <c r="B6622" s="3"/>
      <c r="C6622" s="3"/>
    </row>
    <row r="6623">
      <c r="A6623" s="3"/>
      <c r="B6623" s="3"/>
      <c r="C6623" s="3"/>
    </row>
    <row r="6624">
      <c r="A6624" s="3"/>
      <c r="B6624" s="3"/>
      <c r="C6624" s="3"/>
    </row>
    <row r="6625">
      <c r="A6625" s="3"/>
      <c r="B6625" s="3"/>
      <c r="C6625" s="3"/>
    </row>
    <row r="6626">
      <c r="A6626" s="3"/>
      <c r="B6626" s="3"/>
      <c r="C6626" s="3"/>
    </row>
    <row r="6627">
      <c r="A6627" s="3"/>
      <c r="B6627" s="3"/>
      <c r="C6627" s="3"/>
    </row>
    <row r="6628">
      <c r="A6628" s="3"/>
      <c r="B6628" s="3"/>
      <c r="C6628" s="3"/>
    </row>
    <row r="6629">
      <c r="A6629" s="3"/>
      <c r="B6629" s="3"/>
      <c r="C6629" s="3"/>
    </row>
    <row r="6630">
      <c r="A6630" s="3"/>
      <c r="B6630" s="3"/>
      <c r="C6630" s="3"/>
    </row>
    <row r="6631">
      <c r="A6631" s="3"/>
      <c r="B6631" s="3"/>
      <c r="C6631" s="3"/>
    </row>
    <row r="6632">
      <c r="A6632" s="3"/>
      <c r="B6632" s="3"/>
      <c r="C6632" s="3"/>
    </row>
    <row r="6633">
      <c r="A6633" s="3"/>
      <c r="B6633" s="3"/>
      <c r="C6633" s="3"/>
    </row>
    <row r="6634">
      <c r="A6634" s="3"/>
      <c r="B6634" s="3"/>
      <c r="C6634" s="3"/>
    </row>
    <row r="6635">
      <c r="A6635" s="3"/>
      <c r="B6635" s="3"/>
      <c r="C6635" s="3"/>
    </row>
    <row r="6636">
      <c r="A6636" s="3"/>
      <c r="B6636" s="3"/>
      <c r="C6636" s="3"/>
    </row>
    <row r="6637">
      <c r="A6637" s="3"/>
      <c r="B6637" s="3"/>
      <c r="C6637" s="3"/>
    </row>
    <row r="6638">
      <c r="A6638" s="3"/>
      <c r="B6638" s="3"/>
      <c r="C6638" s="3"/>
    </row>
    <row r="6639">
      <c r="A6639" s="3"/>
      <c r="B6639" s="3"/>
      <c r="C6639" s="3"/>
    </row>
    <row r="6640">
      <c r="A6640" s="3"/>
      <c r="B6640" s="3"/>
      <c r="C6640" s="3"/>
    </row>
    <row r="6641">
      <c r="A6641" s="3"/>
      <c r="B6641" s="3"/>
      <c r="C6641" s="3"/>
    </row>
    <row r="6642">
      <c r="A6642" s="3"/>
      <c r="B6642" s="3"/>
      <c r="C6642" s="3"/>
    </row>
    <row r="6643">
      <c r="A6643" s="3"/>
      <c r="B6643" s="3"/>
      <c r="C6643" s="3"/>
    </row>
    <row r="6644">
      <c r="A6644" s="3"/>
      <c r="B6644" s="3"/>
      <c r="C6644" s="3"/>
    </row>
    <row r="6645">
      <c r="A6645" s="3"/>
      <c r="B6645" s="3"/>
      <c r="C6645" s="3"/>
    </row>
    <row r="6646">
      <c r="A6646" s="3"/>
      <c r="B6646" s="3"/>
      <c r="C6646" s="3"/>
    </row>
    <row r="6647">
      <c r="A6647" s="3"/>
      <c r="B6647" s="3"/>
      <c r="C6647" s="3"/>
    </row>
    <row r="6648">
      <c r="A6648" s="3"/>
      <c r="B6648" s="3"/>
      <c r="C6648" s="3"/>
    </row>
    <row r="6649">
      <c r="A6649" s="3"/>
      <c r="B6649" s="3"/>
      <c r="C6649" s="3"/>
    </row>
    <row r="6650">
      <c r="A6650" s="3"/>
      <c r="B6650" s="3"/>
      <c r="C6650" s="3"/>
    </row>
    <row r="6651">
      <c r="A6651" s="3"/>
      <c r="B6651" s="3"/>
      <c r="C6651" s="3"/>
    </row>
    <row r="6652">
      <c r="A6652" s="3"/>
      <c r="B6652" s="3"/>
      <c r="C6652" s="3"/>
    </row>
    <row r="6653">
      <c r="A6653" s="3"/>
      <c r="B6653" s="3"/>
      <c r="C6653" s="3"/>
    </row>
    <row r="6654">
      <c r="A6654" s="3"/>
      <c r="B6654" s="3"/>
      <c r="C6654" s="3"/>
    </row>
    <row r="6655">
      <c r="A6655" s="3"/>
      <c r="B6655" s="3"/>
      <c r="C6655" s="3"/>
    </row>
    <row r="6656">
      <c r="A6656" s="3"/>
      <c r="B6656" s="3"/>
      <c r="C6656" s="3"/>
    </row>
    <row r="6657">
      <c r="A6657" s="3"/>
      <c r="B6657" s="3"/>
      <c r="C6657" s="3"/>
    </row>
    <row r="6658">
      <c r="A6658" s="3"/>
      <c r="B6658" s="3"/>
      <c r="C6658" s="3"/>
    </row>
    <row r="6659">
      <c r="A6659" s="3"/>
      <c r="B6659" s="3"/>
      <c r="C6659" s="3"/>
    </row>
    <row r="6660">
      <c r="A6660" s="3"/>
      <c r="B6660" s="3"/>
      <c r="C6660" s="3"/>
    </row>
    <row r="6661">
      <c r="A6661" s="3"/>
      <c r="B6661" s="3"/>
      <c r="C6661" s="3"/>
    </row>
    <row r="6662">
      <c r="A6662" s="3"/>
      <c r="B6662" s="3"/>
      <c r="C6662" s="3"/>
    </row>
    <row r="6663">
      <c r="A6663" s="3"/>
      <c r="B6663" s="3"/>
      <c r="C6663" s="3"/>
    </row>
    <row r="6664">
      <c r="A6664" s="3"/>
      <c r="B6664" s="3"/>
      <c r="C6664" s="3"/>
    </row>
    <row r="6665">
      <c r="A6665" s="3"/>
      <c r="B6665" s="3"/>
      <c r="C6665" s="3"/>
    </row>
    <row r="6666">
      <c r="A6666" s="3"/>
      <c r="B6666" s="3"/>
      <c r="C6666" s="3"/>
    </row>
    <row r="6667">
      <c r="A6667" s="3"/>
      <c r="B6667" s="3"/>
      <c r="C6667" s="3"/>
    </row>
    <row r="6668">
      <c r="A6668" s="3"/>
      <c r="B6668" s="3"/>
      <c r="C6668" s="3"/>
    </row>
    <row r="6669">
      <c r="A6669" s="3"/>
      <c r="B6669" s="3"/>
      <c r="C6669" s="3"/>
    </row>
    <row r="6670">
      <c r="A6670" s="3"/>
      <c r="B6670" s="3"/>
      <c r="C6670" s="3"/>
    </row>
    <row r="6671">
      <c r="A6671" s="3"/>
      <c r="B6671" s="3"/>
      <c r="C6671" s="3"/>
    </row>
    <row r="6672">
      <c r="A6672" s="3"/>
      <c r="B6672" s="3"/>
      <c r="C6672" s="3"/>
    </row>
    <row r="6673">
      <c r="A6673" s="3"/>
      <c r="B6673" s="3"/>
      <c r="C6673" s="3"/>
    </row>
    <row r="6674">
      <c r="A6674" s="3"/>
      <c r="B6674" s="3"/>
      <c r="C6674" s="3"/>
    </row>
    <row r="6675">
      <c r="A6675" s="3"/>
      <c r="B6675" s="3"/>
      <c r="C6675" s="3"/>
    </row>
    <row r="6676">
      <c r="A6676" s="3"/>
      <c r="B6676" s="3"/>
      <c r="C6676" s="3"/>
    </row>
    <row r="6677">
      <c r="A6677" s="3"/>
      <c r="B6677" s="3"/>
      <c r="C6677" s="3"/>
    </row>
    <row r="6678">
      <c r="A6678" s="3"/>
      <c r="B6678" s="3"/>
      <c r="C6678" s="3"/>
    </row>
    <row r="6679">
      <c r="A6679" s="3"/>
      <c r="B6679" s="3"/>
      <c r="C6679" s="3"/>
    </row>
    <row r="6680">
      <c r="A6680" s="3"/>
      <c r="B6680" s="3"/>
      <c r="C6680" s="3"/>
    </row>
    <row r="6681">
      <c r="A6681" s="3"/>
      <c r="B6681" s="3"/>
      <c r="C6681" s="3"/>
    </row>
    <row r="6682">
      <c r="A6682" s="3"/>
      <c r="B6682" s="3"/>
      <c r="C6682" s="3"/>
    </row>
    <row r="6683">
      <c r="A6683" s="3"/>
      <c r="B6683" s="3"/>
      <c r="C6683" s="3"/>
    </row>
    <row r="6684">
      <c r="A6684" s="3"/>
      <c r="B6684" s="3"/>
      <c r="C6684" s="3"/>
    </row>
    <row r="6685">
      <c r="A6685" s="3"/>
      <c r="B6685" s="3"/>
      <c r="C6685" s="3"/>
    </row>
    <row r="6686">
      <c r="A6686" s="3"/>
      <c r="B6686" s="3"/>
      <c r="C6686" s="3"/>
    </row>
    <row r="6687">
      <c r="A6687" s="3"/>
      <c r="B6687" s="3"/>
      <c r="C6687" s="3"/>
    </row>
    <row r="6688">
      <c r="A6688" s="3"/>
      <c r="B6688" s="3"/>
      <c r="C6688" s="3"/>
    </row>
    <row r="6689">
      <c r="A6689" s="3"/>
      <c r="B6689" s="3"/>
      <c r="C6689" s="3"/>
    </row>
    <row r="6690">
      <c r="A6690" s="3"/>
      <c r="B6690" s="3"/>
      <c r="C6690" s="3"/>
    </row>
    <row r="6691">
      <c r="A6691" s="3"/>
      <c r="B6691" s="3"/>
      <c r="C6691" s="3"/>
    </row>
    <row r="6692">
      <c r="A6692" s="3"/>
      <c r="B6692" s="3"/>
      <c r="C6692" s="3"/>
    </row>
    <row r="6693">
      <c r="A6693" s="3"/>
      <c r="B6693" s="3"/>
      <c r="C6693" s="3"/>
    </row>
    <row r="6694">
      <c r="A6694" s="3"/>
      <c r="B6694" s="3"/>
      <c r="C6694" s="3"/>
    </row>
    <row r="6695">
      <c r="A6695" s="3"/>
      <c r="B6695" s="3"/>
      <c r="C6695" s="3"/>
    </row>
    <row r="6696">
      <c r="A6696" s="3"/>
      <c r="B6696" s="3"/>
      <c r="C6696" s="3"/>
    </row>
    <row r="6697">
      <c r="A6697" s="3"/>
      <c r="B6697" s="3"/>
      <c r="C6697" s="3"/>
    </row>
    <row r="6698">
      <c r="A6698" s="3"/>
      <c r="B6698" s="3"/>
      <c r="C6698" s="3"/>
    </row>
    <row r="6699">
      <c r="A6699" s="3"/>
      <c r="B6699" s="3"/>
      <c r="C6699" s="3"/>
    </row>
    <row r="6700">
      <c r="A6700" s="3"/>
      <c r="B6700" s="3"/>
      <c r="C6700" s="3"/>
    </row>
    <row r="6701">
      <c r="A6701" s="3"/>
      <c r="B6701" s="3"/>
      <c r="C6701" s="3"/>
    </row>
    <row r="6702">
      <c r="A6702" s="3"/>
      <c r="B6702" s="3"/>
      <c r="C6702" s="3"/>
    </row>
    <row r="6703">
      <c r="A6703" s="3"/>
      <c r="B6703" s="3"/>
      <c r="C6703" s="3"/>
    </row>
    <row r="6704">
      <c r="A6704" s="3"/>
      <c r="B6704" s="3"/>
      <c r="C6704" s="3"/>
    </row>
    <row r="6705">
      <c r="A6705" s="3"/>
      <c r="B6705" s="3"/>
      <c r="C6705" s="3"/>
    </row>
    <row r="6706">
      <c r="A6706" s="3"/>
      <c r="B6706" s="3"/>
      <c r="C6706" s="3"/>
    </row>
    <row r="6707">
      <c r="A6707" s="3"/>
      <c r="B6707" s="3"/>
      <c r="C6707" s="3"/>
    </row>
    <row r="6708">
      <c r="A6708" s="3"/>
      <c r="B6708" s="3"/>
      <c r="C6708" s="3"/>
    </row>
    <row r="6709">
      <c r="A6709" s="3"/>
      <c r="B6709" s="3"/>
      <c r="C6709" s="3"/>
    </row>
    <row r="6710">
      <c r="A6710" s="3"/>
      <c r="B6710" s="3"/>
      <c r="C6710" s="3"/>
    </row>
    <row r="6711">
      <c r="A6711" s="3"/>
      <c r="B6711" s="3"/>
      <c r="C6711" s="3"/>
    </row>
    <row r="6712">
      <c r="A6712" s="3"/>
      <c r="B6712" s="3"/>
      <c r="C6712" s="3"/>
    </row>
    <row r="6713">
      <c r="A6713" s="3"/>
      <c r="B6713" s="3"/>
      <c r="C6713" s="3"/>
    </row>
    <row r="6714">
      <c r="A6714" s="3"/>
      <c r="B6714" s="3"/>
      <c r="C6714" s="3"/>
    </row>
    <row r="6715">
      <c r="A6715" s="3"/>
      <c r="B6715" s="3"/>
      <c r="C6715" s="3"/>
    </row>
    <row r="6716">
      <c r="A6716" s="3"/>
      <c r="B6716" s="3"/>
      <c r="C6716" s="3"/>
    </row>
    <row r="6717">
      <c r="A6717" s="3"/>
      <c r="B6717" s="3"/>
      <c r="C6717" s="3"/>
    </row>
    <row r="6718">
      <c r="A6718" s="3"/>
      <c r="B6718" s="3"/>
      <c r="C6718" s="3"/>
    </row>
    <row r="6719">
      <c r="A6719" s="3"/>
      <c r="B6719" s="3"/>
      <c r="C6719" s="3"/>
    </row>
    <row r="6720">
      <c r="A6720" s="3"/>
      <c r="B6720" s="3"/>
      <c r="C6720" s="3"/>
    </row>
    <row r="6721">
      <c r="A6721" s="3"/>
      <c r="B6721" s="3"/>
      <c r="C6721" s="3"/>
    </row>
    <row r="6722">
      <c r="A6722" s="3"/>
      <c r="B6722" s="3"/>
      <c r="C6722" s="3"/>
    </row>
    <row r="6723">
      <c r="A6723" s="3"/>
      <c r="B6723" s="3"/>
      <c r="C6723" s="3"/>
    </row>
    <row r="6724">
      <c r="A6724" s="3"/>
      <c r="B6724" s="3"/>
      <c r="C6724" s="3"/>
    </row>
    <row r="6725">
      <c r="A6725" s="3"/>
      <c r="B6725" s="3"/>
      <c r="C6725" s="3"/>
    </row>
    <row r="6726">
      <c r="A6726" s="3"/>
      <c r="B6726" s="3"/>
      <c r="C6726" s="3"/>
    </row>
    <row r="6727">
      <c r="A6727" s="3"/>
      <c r="B6727" s="3"/>
      <c r="C6727" s="3"/>
    </row>
    <row r="6728">
      <c r="A6728" s="3"/>
      <c r="B6728" s="3"/>
      <c r="C6728" s="3"/>
    </row>
    <row r="6729">
      <c r="A6729" s="3"/>
      <c r="B6729" s="3"/>
      <c r="C6729" s="3"/>
    </row>
    <row r="6730">
      <c r="A6730" s="3"/>
      <c r="B6730" s="3"/>
      <c r="C6730" s="3"/>
    </row>
    <row r="6731">
      <c r="A6731" s="3"/>
      <c r="B6731" s="3"/>
      <c r="C6731" s="3"/>
    </row>
    <row r="6732">
      <c r="A6732" s="3"/>
      <c r="B6732" s="3"/>
      <c r="C6732" s="3"/>
    </row>
    <row r="6733">
      <c r="A6733" s="3"/>
      <c r="B6733" s="3"/>
      <c r="C6733" s="3"/>
    </row>
    <row r="6734">
      <c r="A6734" s="3"/>
      <c r="B6734" s="3"/>
      <c r="C6734" s="3"/>
    </row>
    <row r="6735">
      <c r="A6735" s="3"/>
      <c r="B6735" s="3"/>
      <c r="C6735" s="3"/>
    </row>
    <row r="6736">
      <c r="A6736" s="3"/>
      <c r="B6736" s="3"/>
      <c r="C6736" s="3"/>
    </row>
    <row r="6737">
      <c r="A6737" s="3"/>
      <c r="B6737" s="3"/>
      <c r="C6737" s="3"/>
    </row>
    <row r="6738">
      <c r="A6738" s="3"/>
      <c r="B6738" s="3"/>
      <c r="C6738" s="3"/>
    </row>
    <row r="6739">
      <c r="A6739" s="3"/>
      <c r="B6739" s="3"/>
      <c r="C6739" s="3"/>
    </row>
    <row r="6740">
      <c r="A6740" s="3"/>
      <c r="B6740" s="3"/>
      <c r="C6740" s="3"/>
    </row>
    <row r="6741">
      <c r="A6741" s="3"/>
      <c r="B6741" s="3"/>
      <c r="C6741" s="3"/>
    </row>
    <row r="6742">
      <c r="A6742" s="3"/>
      <c r="B6742" s="3"/>
      <c r="C6742" s="3"/>
    </row>
    <row r="6743">
      <c r="A6743" s="3"/>
      <c r="B6743" s="3"/>
      <c r="C6743" s="3"/>
    </row>
    <row r="6744">
      <c r="A6744" s="3"/>
      <c r="B6744" s="3"/>
      <c r="C6744" s="3"/>
    </row>
    <row r="6745">
      <c r="A6745" s="3"/>
      <c r="B6745" s="3"/>
      <c r="C6745" s="3"/>
    </row>
    <row r="6746">
      <c r="A6746" s="3"/>
      <c r="B6746" s="3"/>
      <c r="C6746" s="3"/>
    </row>
    <row r="6747">
      <c r="A6747" s="3"/>
      <c r="B6747" s="3"/>
      <c r="C6747" s="3"/>
    </row>
    <row r="6748">
      <c r="A6748" s="3"/>
      <c r="B6748" s="3"/>
      <c r="C6748" s="3"/>
    </row>
    <row r="6749">
      <c r="A6749" s="3"/>
      <c r="B6749" s="3"/>
      <c r="C6749" s="3"/>
    </row>
    <row r="6750">
      <c r="A6750" s="3"/>
      <c r="B6750" s="3"/>
      <c r="C6750" s="3"/>
    </row>
    <row r="6751">
      <c r="A6751" s="3"/>
      <c r="B6751" s="3"/>
      <c r="C6751" s="3"/>
    </row>
    <row r="6752">
      <c r="A6752" s="3"/>
      <c r="B6752" s="3"/>
      <c r="C6752" s="3"/>
    </row>
    <row r="6753">
      <c r="A6753" s="3"/>
      <c r="B6753" s="3"/>
      <c r="C6753" s="3"/>
    </row>
    <row r="6754">
      <c r="A6754" s="3"/>
      <c r="B6754" s="3"/>
      <c r="C6754" s="3"/>
    </row>
    <row r="6755">
      <c r="A6755" s="3"/>
      <c r="B6755" s="3"/>
      <c r="C6755" s="3"/>
    </row>
    <row r="6756">
      <c r="A6756" s="3"/>
      <c r="B6756" s="3"/>
      <c r="C6756" s="3"/>
    </row>
    <row r="6757">
      <c r="A6757" s="3"/>
      <c r="B6757" s="3"/>
      <c r="C6757" s="3"/>
    </row>
    <row r="6758">
      <c r="A6758" s="3"/>
      <c r="B6758" s="3"/>
      <c r="C6758" s="3"/>
    </row>
    <row r="6759">
      <c r="A6759" s="3"/>
      <c r="B6759" s="3"/>
      <c r="C6759" s="3"/>
    </row>
    <row r="6760">
      <c r="A6760" s="3"/>
      <c r="B6760" s="3"/>
      <c r="C6760" s="3"/>
    </row>
    <row r="6761">
      <c r="A6761" s="3"/>
      <c r="B6761" s="3"/>
      <c r="C6761" s="3"/>
    </row>
    <row r="6762">
      <c r="A6762" s="3"/>
      <c r="B6762" s="3"/>
      <c r="C6762" s="3"/>
    </row>
    <row r="6763">
      <c r="A6763" s="3"/>
      <c r="B6763" s="3"/>
      <c r="C6763" s="3"/>
    </row>
    <row r="6764">
      <c r="A6764" s="3"/>
      <c r="B6764" s="3"/>
      <c r="C6764" s="3"/>
    </row>
    <row r="6765">
      <c r="A6765" s="3"/>
      <c r="B6765" s="3"/>
      <c r="C6765" s="3"/>
    </row>
    <row r="6766">
      <c r="A6766" s="3"/>
      <c r="B6766" s="3"/>
      <c r="C6766" s="3"/>
    </row>
    <row r="6767">
      <c r="A6767" s="3"/>
      <c r="B6767" s="3"/>
      <c r="C6767" s="3"/>
    </row>
    <row r="6768">
      <c r="A6768" s="3"/>
      <c r="B6768" s="3"/>
      <c r="C6768" s="3"/>
    </row>
    <row r="6769">
      <c r="A6769" s="3"/>
      <c r="B6769" s="3"/>
      <c r="C6769" s="3"/>
    </row>
    <row r="6770">
      <c r="A6770" s="3"/>
      <c r="B6770" s="3"/>
      <c r="C6770" s="3"/>
    </row>
    <row r="6771">
      <c r="A6771" s="3"/>
      <c r="B6771" s="3"/>
      <c r="C6771" s="3"/>
    </row>
    <row r="6772">
      <c r="A6772" s="3"/>
      <c r="B6772" s="3"/>
      <c r="C6772" s="3"/>
    </row>
    <row r="6773">
      <c r="A6773" s="3"/>
      <c r="B6773" s="3"/>
      <c r="C6773" s="3"/>
    </row>
    <row r="6774">
      <c r="A6774" s="3"/>
      <c r="B6774" s="3"/>
      <c r="C6774" s="3"/>
    </row>
    <row r="6775">
      <c r="A6775" s="3"/>
      <c r="B6775" s="3"/>
      <c r="C6775" s="3"/>
    </row>
    <row r="6776">
      <c r="A6776" s="3"/>
      <c r="B6776" s="3"/>
      <c r="C6776" s="3"/>
    </row>
    <row r="6777">
      <c r="A6777" s="3"/>
      <c r="B6777" s="3"/>
      <c r="C6777" s="3"/>
    </row>
    <row r="6778">
      <c r="A6778" s="3"/>
      <c r="B6778" s="3"/>
      <c r="C6778" s="3"/>
    </row>
    <row r="6779">
      <c r="A6779" s="3"/>
      <c r="B6779" s="3"/>
      <c r="C6779" s="3"/>
    </row>
    <row r="6780">
      <c r="A6780" s="3"/>
      <c r="B6780" s="3"/>
      <c r="C6780" s="3"/>
    </row>
    <row r="6781">
      <c r="A6781" s="3"/>
      <c r="B6781" s="3"/>
      <c r="C6781" s="3"/>
    </row>
    <row r="6782">
      <c r="A6782" s="3"/>
      <c r="B6782" s="3"/>
      <c r="C6782" s="3"/>
    </row>
    <row r="6783">
      <c r="A6783" s="3"/>
      <c r="B6783" s="3"/>
      <c r="C6783" s="3"/>
    </row>
    <row r="6784">
      <c r="A6784" s="3"/>
      <c r="B6784" s="3"/>
      <c r="C6784" s="3"/>
    </row>
    <row r="6785">
      <c r="A6785" s="3"/>
      <c r="B6785" s="3"/>
      <c r="C6785" s="3"/>
    </row>
    <row r="6786">
      <c r="A6786" s="3"/>
      <c r="B6786" s="3"/>
      <c r="C6786" s="3"/>
    </row>
    <row r="6787">
      <c r="A6787" s="3"/>
      <c r="B6787" s="3"/>
      <c r="C6787" s="3"/>
    </row>
    <row r="6788">
      <c r="A6788" s="3"/>
      <c r="B6788" s="3"/>
      <c r="C6788" s="3"/>
    </row>
    <row r="6789">
      <c r="A6789" s="3"/>
      <c r="B6789" s="3"/>
      <c r="C6789" s="3"/>
    </row>
    <row r="6790">
      <c r="A6790" s="3"/>
      <c r="B6790" s="3"/>
      <c r="C6790" s="3"/>
    </row>
    <row r="6791">
      <c r="A6791" s="3"/>
      <c r="B6791" s="3"/>
      <c r="C6791" s="3"/>
    </row>
    <row r="6792">
      <c r="A6792" s="3"/>
      <c r="B6792" s="3"/>
      <c r="C6792" s="3"/>
    </row>
    <row r="6793">
      <c r="A6793" s="3"/>
      <c r="B6793" s="3"/>
      <c r="C6793" s="3"/>
    </row>
    <row r="6794">
      <c r="A6794" s="3"/>
      <c r="B6794" s="3"/>
      <c r="C6794" s="3"/>
    </row>
    <row r="6795">
      <c r="A6795" s="3"/>
      <c r="B6795" s="3"/>
      <c r="C6795" s="3"/>
    </row>
    <row r="6796">
      <c r="A6796" s="3"/>
      <c r="B6796" s="3"/>
      <c r="C6796" s="3"/>
    </row>
    <row r="6797">
      <c r="A6797" s="3"/>
      <c r="B6797" s="3"/>
      <c r="C6797" s="3"/>
    </row>
    <row r="6798">
      <c r="A6798" s="3"/>
      <c r="B6798" s="3"/>
      <c r="C6798" s="3"/>
    </row>
    <row r="6799">
      <c r="A6799" s="3"/>
      <c r="B6799" s="3"/>
      <c r="C6799" s="3"/>
    </row>
    <row r="6800">
      <c r="A6800" s="3"/>
      <c r="B6800" s="3"/>
      <c r="C6800" s="3"/>
    </row>
    <row r="6801">
      <c r="A6801" s="3"/>
      <c r="B6801" s="3"/>
      <c r="C6801" s="3"/>
    </row>
    <row r="6802">
      <c r="A6802" s="3"/>
      <c r="B6802" s="3"/>
      <c r="C6802" s="3"/>
    </row>
    <row r="6803">
      <c r="A6803" s="3"/>
      <c r="B6803" s="3"/>
      <c r="C6803" s="3"/>
    </row>
    <row r="6804">
      <c r="A6804" s="3"/>
      <c r="B6804" s="3"/>
      <c r="C6804" s="3"/>
    </row>
    <row r="6805">
      <c r="A6805" s="3"/>
      <c r="B6805" s="3"/>
      <c r="C6805" s="3"/>
    </row>
    <row r="6806">
      <c r="A6806" s="3"/>
      <c r="B6806" s="3"/>
      <c r="C6806" s="3"/>
    </row>
    <row r="6807">
      <c r="A6807" s="3"/>
      <c r="B6807" s="3"/>
      <c r="C6807" s="3"/>
    </row>
    <row r="6808">
      <c r="A6808" s="3"/>
      <c r="B6808" s="3"/>
      <c r="C6808" s="3"/>
    </row>
    <row r="6809">
      <c r="A6809" s="3"/>
      <c r="B6809" s="3"/>
      <c r="C6809" s="3"/>
    </row>
    <row r="6810">
      <c r="A6810" s="3"/>
      <c r="B6810" s="3"/>
      <c r="C6810" s="3"/>
    </row>
    <row r="6811">
      <c r="A6811" s="3"/>
      <c r="B6811" s="3"/>
      <c r="C6811" s="3"/>
    </row>
    <row r="6812">
      <c r="A6812" s="3"/>
      <c r="B6812" s="3"/>
      <c r="C6812" s="3"/>
    </row>
    <row r="6813">
      <c r="A6813" s="3"/>
      <c r="B6813" s="3"/>
      <c r="C6813" s="3"/>
    </row>
    <row r="6814">
      <c r="A6814" s="3"/>
      <c r="B6814" s="3"/>
      <c r="C6814" s="3"/>
    </row>
    <row r="6815">
      <c r="A6815" s="3"/>
      <c r="B6815" s="3"/>
      <c r="C6815" s="3"/>
    </row>
    <row r="6816">
      <c r="A6816" s="3"/>
      <c r="B6816" s="3"/>
      <c r="C6816" s="3"/>
    </row>
    <row r="6817">
      <c r="A6817" s="3"/>
      <c r="B6817" s="3"/>
      <c r="C6817" s="3"/>
    </row>
    <row r="6818">
      <c r="A6818" s="3"/>
      <c r="B6818" s="3"/>
      <c r="C6818" s="3"/>
    </row>
    <row r="6819">
      <c r="A6819" s="3"/>
      <c r="B6819" s="3"/>
      <c r="C6819" s="3"/>
    </row>
    <row r="6820">
      <c r="A6820" s="3"/>
      <c r="B6820" s="3"/>
      <c r="C6820" s="3"/>
    </row>
    <row r="6821">
      <c r="A6821" s="3"/>
      <c r="B6821" s="3"/>
      <c r="C6821" s="3"/>
    </row>
    <row r="6822">
      <c r="A6822" s="3"/>
      <c r="B6822" s="3"/>
      <c r="C6822" s="3"/>
    </row>
    <row r="6823">
      <c r="A6823" s="3"/>
      <c r="B6823" s="3"/>
      <c r="C6823" s="3"/>
    </row>
    <row r="6824">
      <c r="A6824" s="3"/>
      <c r="B6824" s="3"/>
      <c r="C6824" s="3"/>
    </row>
    <row r="6825">
      <c r="A6825" s="3"/>
      <c r="B6825" s="3"/>
      <c r="C6825" s="3"/>
    </row>
    <row r="6826">
      <c r="A6826" s="3"/>
      <c r="B6826" s="3"/>
      <c r="C6826" s="3"/>
    </row>
    <row r="6827">
      <c r="A6827" s="3"/>
      <c r="B6827" s="3"/>
      <c r="C6827" s="3"/>
    </row>
    <row r="6828">
      <c r="A6828" s="3"/>
      <c r="B6828" s="3"/>
      <c r="C6828" s="3"/>
    </row>
    <row r="6829">
      <c r="A6829" s="3"/>
      <c r="B6829" s="3"/>
      <c r="C6829" s="3"/>
    </row>
    <row r="6830">
      <c r="A6830" s="3"/>
      <c r="B6830" s="3"/>
      <c r="C6830" s="3"/>
    </row>
    <row r="6831">
      <c r="A6831" s="3"/>
      <c r="B6831" s="3"/>
      <c r="C6831" s="3"/>
    </row>
    <row r="6832">
      <c r="A6832" s="3"/>
      <c r="B6832" s="3"/>
      <c r="C6832" s="3"/>
    </row>
    <row r="6833">
      <c r="A6833" s="3"/>
      <c r="B6833" s="3"/>
      <c r="C6833" s="3"/>
    </row>
    <row r="6834">
      <c r="A6834" s="3"/>
      <c r="B6834" s="3"/>
      <c r="C6834" s="3"/>
    </row>
    <row r="6835">
      <c r="A6835" s="3"/>
      <c r="B6835" s="3"/>
      <c r="C6835" s="3"/>
    </row>
    <row r="6836">
      <c r="A6836" s="3"/>
      <c r="B6836" s="3"/>
      <c r="C6836" s="3"/>
    </row>
    <row r="6837">
      <c r="A6837" s="3"/>
      <c r="B6837" s="3"/>
      <c r="C6837" s="3"/>
    </row>
    <row r="6838">
      <c r="A6838" s="3"/>
      <c r="B6838" s="3"/>
      <c r="C6838" s="3"/>
    </row>
    <row r="6839">
      <c r="A6839" s="3"/>
      <c r="B6839" s="3"/>
      <c r="C6839" s="3"/>
    </row>
    <row r="6840">
      <c r="A6840" s="3"/>
      <c r="B6840" s="3"/>
      <c r="C6840" s="3"/>
    </row>
    <row r="6841">
      <c r="A6841" s="3"/>
      <c r="B6841" s="3"/>
      <c r="C6841" s="3"/>
    </row>
    <row r="6842">
      <c r="A6842" s="3"/>
      <c r="B6842" s="3"/>
      <c r="C6842" s="3"/>
    </row>
    <row r="6843">
      <c r="A6843" s="3"/>
      <c r="B6843" s="3"/>
      <c r="C6843" s="3"/>
    </row>
    <row r="6844">
      <c r="A6844" s="3"/>
      <c r="B6844" s="3"/>
      <c r="C6844" s="3"/>
    </row>
    <row r="6845">
      <c r="A6845" s="3"/>
      <c r="B6845" s="3"/>
      <c r="C6845" s="3"/>
    </row>
    <row r="6846">
      <c r="A6846" s="3"/>
      <c r="B6846" s="3"/>
      <c r="C6846" s="3"/>
    </row>
    <row r="6847">
      <c r="A6847" s="3"/>
      <c r="B6847" s="3"/>
      <c r="C6847" s="3"/>
    </row>
    <row r="6848">
      <c r="A6848" s="3"/>
      <c r="B6848" s="3"/>
      <c r="C6848" s="3"/>
    </row>
    <row r="6849">
      <c r="A6849" s="3"/>
      <c r="B6849" s="3"/>
      <c r="C6849" s="3"/>
    </row>
    <row r="6850">
      <c r="A6850" s="3"/>
      <c r="B6850" s="3"/>
      <c r="C6850" s="3"/>
    </row>
    <row r="6851">
      <c r="A6851" s="3"/>
      <c r="B6851" s="3"/>
      <c r="C6851" s="3"/>
    </row>
    <row r="6852">
      <c r="A6852" s="3"/>
      <c r="B6852" s="3"/>
      <c r="C6852" s="3"/>
    </row>
    <row r="6853">
      <c r="A6853" s="3"/>
      <c r="B6853" s="3"/>
      <c r="C6853" s="3"/>
    </row>
    <row r="6854">
      <c r="A6854" s="3"/>
      <c r="B6854" s="3"/>
      <c r="C6854" s="3"/>
    </row>
    <row r="6855">
      <c r="A6855" s="3"/>
      <c r="B6855" s="3"/>
      <c r="C6855" s="3"/>
    </row>
    <row r="6856">
      <c r="A6856" s="3"/>
      <c r="B6856" s="3"/>
      <c r="C6856" s="3"/>
    </row>
    <row r="6857">
      <c r="A6857" s="3"/>
      <c r="B6857" s="3"/>
      <c r="C6857" s="3"/>
    </row>
    <row r="6858">
      <c r="A6858" s="3"/>
      <c r="B6858" s="3"/>
      <c r="C6858" s="3"/>
    </row>
    <row r="6859">
      <c r="A6859" s="3"/>
      <c r="B6859" s="3"/>
      <c r="C6859" s="3"/>
    </row>
    <row r="6860">
      <c r="A6860" s="3"/>
      <c r="B6860" s="3"/>
      <c r="C6860" s="3"/>
    </row>
    <row r="6861">
      <c r="A6861" s="3"/>
      <c r="B6861" s="3"/>
      <c r="C6861" s="3"/>
    </row>
    <row r="6862">
      <c r="A6862" s="3"/>
      <c r="B6862" s="3"/>
      <c r="C6862" s="3"/>
    </row>
    <row r="6863">
      <c r="A6863" s="3"/>
      <c r="B6863" s="3"/>
      <c r="C6863" s="3"/>
    </row>
    <row r="6864">
      <c r="A6864" s="3"/>
      <c r="B6864" s="3"/>
      <c r="C6864" s="3"/>
    </row>
    <row r="6865">
      <c r="A6865" s="3"/>
      <c r="B6865" s="3"/>
      <c r="C6865" s="3"/>
    </row>
    <row r="6866">
      <c r="A6866" s="3"/>
      <c r="B6866" s="3"/>
      <c r="C6866" s="3"/>
    </row>
    <row r="6867">
      <c r="A6867" s="3"/>
      <c r="B6867" s="3"/>
      <c r="C6867" s="3"/>
    </row>
    <row r="6868">
      <c r="A6868" s="3"/>
      <c r="B6868" s="3"/>
      <c r="C6868" s="3"/>
    </row>
    <row r="6869">
      <c r="A6869" s="3"/>
      <c r="B6869" s="3"/>
      <c r="C6869" s="3"/>
    </row>
    <row r="6870">
      <c r="A6870" s="3"/>
      <c r="B6870" s="3"/>
      <c r="C6870" s="3"/>
    </row>
    <row r="6871">
      <c r="A6871" s="3"/>
      <c r="B6871" s="3"/>
      <c r="C6871" s="3"/>
    </row>
    <row r="6872">
      <c r="A6872" s="3"/>
      <c r="B6872" s="3"/>
      <c r="C6872" s="3"/>
    </row>
    <row r="6873">
      <c r="A6873" s="3"/>
      <c r="B6873" s="3"/>
      <c r="C6873" s="3"/>
    </row>
    <row r="6874">
      <c r="A6874" s="3"/>
      <c r="B6874" s="3"/>
      <c r="C6874" s="3"/>
    </row>
    <row r="6875">
      <c r="A6875" s="3"/>
      <c r="B6875" s="3"/>
      <c r="C6875" s="3"/>
    </row>
    <row r="6876">
      <c r="A6876" s="3"/>
      <c r="B6876" s="3"/>
      <c r="C6876" s="3"/>
    </row>
    <row r="6877">
      <c r="A6877" s="3"/>
      <c r="B6877" s="3"/>
      <c r="C6877" s="3"/>
    </row>
    <row r="6878">
      <c r="A6878" s="3"/>
      <c r="B6878" s="3"/>
      <c r="C6878" s="3"/>
    </row>
    <row r="6879">
      <c r="A6879" s="3"/>
      <c r="B6879" s="3"/>
      <c r="C6879" s="3"/>
    </row>
    <row r="6880">
      <c r="A6880" s="3"/>
      <c r="B6880" s="3"/>
      <c r="C6880" s="3"/>
    </row>
    <row r="6881">
      <c r="A6881" s="3"/>
      <c r="B6881" s="3"/>
      <c r="C6881" s="3"/>
    </row>
    <row r="6882">
      <c r="A6882" s="3"/>
      <c r="B6882" s="3"/>
      <c r="C6882" s="3"/>
    </row>
    <row r="6883">
      <c r="A6883" s="3"/>
      <c r="B6883" s="3"/>
      <c r="C6883" s="3"/>
    </row>
    <row r="6884">
      <c r="A6884" s="3"/>
      <c r="B6884" s="3"/>
      <c r="C6884" s="3"/>
    </row>
    <row r="6885">
      <c r="A6885" s="3"/>
      <c r="B6885" s="3"/>
      <c r="C6885" s="3"/>
    </row>
    <row r="6886">
      <c r="A6886" s="3"/>
      <c r="B6886" s="3"/>
      <c r="C6886" s="3"/>
    </row>
    <row r="6887">
      <c r="A6887" s="3"/>
      <c r="B6887" s="3"/>
      <c r="C6887" s="3"/>
    </row>
    <row r="6888">
      <c r="A6888" s="3"/>
      <c r="B6888" s="3"/>
      <c r="C6888" s="3"/>
    </row>
    <row r="6889">
      <c r="A6889" s="3"/>
      <c r="B6889" s="3"/>
      <c r="C6889" s="3"/>
    </row>
    <row r="6890">
      <c r="A6890" s="3"/>
      <c r="B6890" s="3"/>
      <c r="C6890" s="3"/>
    </row>
    <row r="6891">
      <c r="A6891" s="3"/>
      <c r="B6891" s="3"/>
      <c r="C6891" s="3"/>
    </row>
    <row r="6892">
      <c r="A6892" s="3"/>
      <c r="B6892" s="3"/>
      <c r="C6892" s="3"/>
    </row>
    <row r="6893">
      <c r="A6893" s="3"/>
      <c r="B6893" s="3"/>
      <c r="C6893" s="3"/>
    </row>
    <row r="6894">
      <c r="A6894" s="3"/>
      <c r="B6894" s="3"/>
      <c r="C6894" s="3"/>
    </row>
    <row r="6895">
      <c r="A6895" s="3"/>
      <c r="B6895" s="3"/>
      <c r="C6895" s="3"/>
    </row>
    <row r="6896">
      <c r="A6896" s="3"/>
      <c r="B6896" s="3"/>
      <c r="C6896" s="3"/>
    </row>
    <row r="6897">
      <c r="A6897" s="3"/>
      <c r="B6897" s="3"/>
      <c r="C6897" s="3"/>
    </row>
    <row r="6898">
      <c r="A6898" s="3"/>
      <c r="B6898" s="3"/>
      <c r="C6898" s="3"/>
    </row>
    <row r="6899">
      <c r="A6899" s="3"/>
      <c r="B6899" s="3"/>
      <c r="C6899" s="3"/>
    </row>
    <row r="6900">
      <c r="A6900" s="3"/>
      <c r="B6900" s="3"/>
      <c r="C6900" s="3"/>
    </row>
    <row r="6901">
      <c r="A6901" s="3"/>
      <c r="B6901" s="3"/>
      <c r="C6901" s="3"/>
    </row>
    <row r="6902">
      <c r="A6902" s="3"/>
      <c r="B6902" s="3"/>
      <c r="C6902" s="3"/>
    </row>
    <row r="6903">
      <c r="A6903" s="3"/>
      <c r="B6903" s="3"/>
      <c r="C6903" s="3"/>
    </row>
    <row r="6904">
      <c r="A6904" s="3"/>
      <c r="B6904" s="3"/>
      <c r="C6904" s="3"/>
    </row>
    <row r="6905">
      <c r="A6905" s="3"/>
      <c r="B6905" s="3"/>
      <c r="C6905" s="3"/>
    </row>
    <row r="6906">
      <c r="A6906" s="3"/>
      <c r="B6906" s="3"/>
      <c r="C6906" s="3"/>
    </row>
    <row r="6907">
      <c r="A6907" s="3"/>
      <c r="B6907" s="3"/>
      <c r="C6907" s="3"/>
    </row>
    <row r="6908">
      <c r="A6908" s="3"/>
      <c r="B6908" s="3"/>
      <c r="C6908" s="3"/>
    </row>
    <row r="6909">
      <c r="A6909" s="3"/>
      <c r="B6909" s="3"/>
      <c r="C6909" s="3"/>
    </row>
    <row r="6910">
      <c r="A6910" s="3"/>
      <c r="B6910" s="3"/>
      <c r="C6910" s="3"/>
    </row>
    <row r="6911">
      <c r="A6911" s="3"/>
      <c r="B6911" s="3"/>
      <c r="C6911" s="3"/>
    </row>
    <row r="6912">
      <c r="A6912" s="3"/>
      <c r="B6912" s="3"/>
      <c r="C6912" s="3"/>
    </row>
    <row r="6913">
      <c r="A6913" s="3"/>
      <c r="B6913" s="3"/>
      <c r="C6913" s="3"/>
    </row>
    <row r="6914">
      <c r="A6914" s="3"/>
      <c r="B6914" s="3"/>
      <c r="C6914" s="3"/>
    </row>
    <row r="6915">
      <c r="A6915" s="3"/>
      <c r="B6915" s="3"/>
      <c r="C6915" s="3"/>
    </row>
    <row r="6916">
      <c r="A6916" s="3"/>
      <c r="B6916" s="3"/>
      <c r="C6916" s="3"/>
    </row>
    <row r="6917">
      <c r="A6917" s="3"/>
      <c r="B6917" s="3"/>
      <c r="C6917" s="3"/>
    </row>
    <row r="6918">
      <c r="A6918" s="3"/>
      <c r="B6918" s="3"/>
      <c r="C6918" s="3"/>
    </row>
    <row r="6919">
      <c r="A6919" s="3"/>
      <c r="B6919" s="3"/>
      <c r="C6919" s="3"/>
    </row>
    <row r="6920">
      <c r="A6920" s="3"/>
      <c r="B6920" s="3"/>
      <c r="C6920" s="3"/>
    </row>
    <row r="6921">
      <c r="A6921" s="3"/>
      <c r="B6921" s="3"/>
      <c r="C6921" s="3"/>
    </row>
    <row r="6922">
      <c r="A6922" s="3"/>
      <c r="B6922" s="3"/>
      <c r="C6922" s="3"/>
    </row>
    <row r="6923">
      <c r="A6923" s="3"/>
      <c r="B6923" s="3"/>
      <c r="C6923" s="3"/>
    </row>
    <row r="6924">
      <c r="A6924" s="3"/>
      <c r="B6924" s="3"/>
      <c r="C6924" s="3"/>
    </row>
    <row r="6925">
      <c r="A6925" s="3"/>
      <c r="B6925" s="3"/>
      <c r="C6925" s="3"/>
    </row>
    <row r="6926">
      <c r="A6926" s="3"/>
      <c r="B6926" s="3"/>
      <c r="C6926" s="3"/>
    </row>
    <row r="6927">
      <c r="A6927" s="3"/>
      <c r="B6927" s="3"/>
      <c r="C6927" s="3"/>
    </row>
    <row r="6928">
      <c r="A6928" s="3"/>
      <c r="B6928" s="3"/>
      <c r="C6928" s="3"/>
    </row>
    <row r="6929">
      <c r="A6929" s="3"/>
      <c r="B6929" s="3"/>
      <c r="C6929" s="3"/>
    </row>
    <row r="6930">
      <c r="A6930" s="3"/>
      <c r="B6930" s="3"/>
      <c r="C6930" s="3"/>
    </row>
    <row r="6931">
      <c r="A6931" s="3"/>
      <c r="B6931" s="3"/>
      <c r="C6931" s="3"/>
    </row>
    <row r="6932">
      <c r="A6932" s="3"/>
      <c r="B6932" s="3"/>
      <c r="C6932" s="3"/>
    </row>
    <row r="6933">
      <c r="A6933" s="3"/>
      <c r="B6933" s="3"/>
      <c r="C6933" s="3"/>
    </row>
    <row r="6934">
      <c r="A6934" s="3"/>
      <c r="B6934" s="3"/>
      <c r="C6934" s="3"/>
    </row>
    <row r="6935">
      <c r="A6935" s="3"/>
      <c r="B6935" s="3"/>
      <c r="C6935" s="3"/>
    </row>
    <row r="6936">
      <c r="A6936" s="3"/>
      <c r="B6936" s="3"/>
      <c r="C6936" s="3"/>
    </row>
    <row r="6937">
      <c r="A6937" s="3"/>
      <c r="B6937" s="3"/>
      <c r="C6937" s="3"/>
    </row>
    <row r="6938">
      <c r="A6938" s="3"/>
      <c r="B6938" s="3"/>
      <c r="C6938" s="3"/>
    </row>
    <row r="6939">
      <c r="A6939" s="3"/>
      <c r="B6939" s="3"/>
      <c r="C6939" s="3"/>
    </row>
    <row r="6940">
      <c r="A6940" s="3"/>
      <c r="B6940" s="3"/>
      <c r="C6940" s="3"/>
    </row>
    <row r="6941">
      <c r="A6941" s="3"/>
      <c r="B6941" s="3"/>
      <c r="C6941" s="3"/>
    </row>
    <row r="6942">
      <c r="A6942" s="3"/>
      <c r="B6942" s="3"/>
      <c r="C6942" s="3"/>
    </row>
    <row r="6943">
      <c r="A6943" s="3"/>
      <c r="B6943" s="3"/>
      <c r="C6943" s="3"/>
    </row>
    <row r="6944">
      <c r="A6944" s="3"/>
      <c r="B6944" s="3"/>
      <c r="C6944" s="3"/>
    </row>
    <row r="6945">
      <c r="A6945" s="3"/>
      <c r="B6945" s="3"/>
      <c r="C6945" s="3"/>
    </row>
    <row r="6946">
      <c r="A6946" s="3"/>
      <c r="B6946" s="3"/>
      <c r="C6946" s="3"/>
    </row>
    <row r="6947">
      <c r="A6947" s="3"/>
      <c r="B6947" s="3"/>
      <c r="C6947" s="3"/>
    </row>
    <row r="6948">
      <c r="A6948" s="3"/>
      <c r="B6948" s="3"/>
      <c r="C6948" s="3"/>
    </row>
    <row r="6949">
      <c r="A6949" s="3"/>
      <c r="B6949" s="3"/>
      <c r="C6949" s="3"/>
    </row>
    <row r="6950">
      <c r="A6950" s="3"/>
      <c r="B6950" s="3"/>
      <c r="C6950" s="3"/>
    </row>
    <row r="6951">
      <c r="A6951" s="3"/>
      <c r="B6951" s="3"/>
      <c r="C6951" s="3"/>
    </row>
    <row r="6952">
      <c r="A6952" s="3"/>
      <c r="B6952" s="3"/>
      <c r="C6952" s="3"/>
    </row>
    <row r="6953">
      <c r="A6953" s="3"/>
      <c r="B6953" s="3"/>
      <c r="C6953" s="3"/>
    </row>
    <row r="6954">
      <c r="A6954" s="3"/>
      <c r="B6954" s="3"/>
      <c r="C6954" s="3"/>
    </row>
    <row r="6955">
      <c r="A6955" s="3"/>
      <c r="B6955" s="3"/>
      <c r="C6955" s="3"/>
    </row>
    <row r="6956">
      <c r="A6956" s="3"/>
      <c r="B6956" s="3"/>
      <c r="C6956" s="3"/>
    </row>
    <row r="6957">
      <c r="A6957" s="3"/>
      <c r="B6957" s="3"/>
      <c r="C6957" s="3"/>
    </row>
    <row r="6958">
      <c r="A6958" s="3"/>
      <c r="B6958" s="3"/>
      <c r="C6958" s="3"/>
    </row>
    <row r="6959">
      <c r="A6959" s="3"/>
      <c r="B6959" s="3"/>
      <c r="C6959" s="3"/>
    </row>
    <row r="6960">
      <c r="A6960" s="3"/>
      <c r="B6960" s="3"/>
      <c r="C6960" s="3"/>
    </row>
    <row r="6961">
      <c r="A6961" s="3"/>
      <c r="B6961" s="3"/>
      <c r="C6961" s="3"/>
    </row>
    <row r="6962">
      <c r="A6962" s="3"/>
      <c r="B6962" s="3"/>
      <c r="C6962" s="3"/>
    </row>
    <row r="6963">
      <c r="A6963" s="3"/>
      <c r="B6963" s="3"/>
      <c r="C6963" s="3"/>
    </row>
    <row r="6964">
      <c r="A6964" s="3"/>
      <c r="B6964" s="3"/>
      <c r="C6964" s="3"/>
    </row>
    <row r="6965">
      <c r="A6965" s="3"/>
      <c r="B6965" s="3"/>
      <c r="C6965" s="3"/>
    </row>
    <row r="6966">
      <c r="A6966" s="3"/>
      <c r="B6966" s="3"/>
      <c r="C6966" s="3"/>
    </row>
    <row r="6967">
      <c r="A6967" s="3"/>
      <c r="B6967" s="3"/>
      <c r="C6967" s="3"/>
    </row>
    <row r="6968">
      <c r="A6968" s="3"/>
      <c r="B6968" s="3"/>
      <c r="C6968" s="3"/>
    </row>
    <row r="6969">
      <c r="A6969" s="3"/>
      <c r="B6969" s="3"/>
      <c r="C6969" s="3"/>
    </row>
    <row r="6970">
      <c r="A6970" s="3"/>
      <c r="B6970" s="3"/>
      <c r="C6970" s="3"/>
    </row>
    <row r="6971">
      <c r="A6971" s="3"/>
      <c r="B6971" s="3"/>
      <c r="C6971" s="3"/>
    </row>
    <row r="6972">
      <c r="A6972" s="3"/>
      <c r="B6972" s="3"/>
      <c r="C6972" s="3"/>
    </row>
    <row r="6973">
      <c r="A6973" s="3"/>
      <c r="B6973" s="3"/>
      <c r="C6973" s="3"/>
    </row>
    <row r="6974">
      <c r="A6974" s="3"/>
      <c r="B6974" s="3"/>
      <c r="C6974" s="3"/>
    </row>
    <row r="6975">
      <c r="A6975" s="3"/>
      <c r="B6975" s="3"/>
      <c r="C6975" s="3"/>
    </row>
    <row r="6976">
      <c r="A6976" s="3"/>
      <c r="B6976" s="3"/>
      <c r="C6976" s="3"/>
    </row>
    <row r="6977">
      <c r="A6977" s="3"/>
      <c r="B6977" s="3"/>
      <c r="C6977" s="3"/>
    </row>
    <row r="6978">
      <c r="A6978" s="3"/>
      <c r="B6978" s="3"/>
      <c r="C6978" s="3"/>
    </row>
    <row r="6979">
      <c r="A6979" s="3"/>
      <c r="B6979" s="3"/>
      <c r="C6979" s="3"/>
    </row>
    <row r="6980">
      <c r="A6980" s="3"/>
      <c r="B6980" s="3"/>
      <c r="C6980" s="3"/>
    </row>
    <row r="6981">
      <c r="A6981" s="3"/>
      <c r="B6981" s="3"/>
      <c r="C6981" s="3"/>
    </row>
    <row r="6982">
      <c r="A6982" s="3"/>
      <c r="B6982" s="3"/>
      <c r="C6982" s="3"/>
    </row>
    <row r="6983">
      <c r="A6983" s="3"/>
      <c r="B6983" s="3"/>
      <c r="C6983" s="3"/>
    </row>
    <row r="6984">
      <c r="A6984" s="3"/>
      <c r="B6984" s="3"/>
      <c r="C6984" s="3"/>
    </row>
    <row r="6985">
      <c r="A6985" s="3"/>
      <c r="B6985" s="3"/>
      <c r="C6985" s="3"/>
    </row>
    <row r="6986">
      <c r="A6986" s="3"/>
      <c r="B6986" s="3"/>
      <c r="C6986" s="3"/>
    </row>
    <row r="6987">
      <c r="A6987" s="3"/>
      <c r="B6987" s="3"/>
      <c r="C6987" s="3"/>
    </row>
    <row r="6988">
      <c r="A6988" s="3"/>
      <c r="B6988" s="3"/>
      <c r="C6988" s="3"/>
    </row>
    <row r="6989">
      <c r="A6989" s="3"/>
      <c r="B6989" s="3"/>
      <c r="C6989" s="3"/>
    </row>
    <row r="6990">
      <c r="A6990" s="3"/>
      <c r="B6990" s="3"/>
      <c r="C6990" s="3"/>
    </row>
    <row r="6991">
      <c r="A6991" s="3"/>
      <c r="B6991" s="3"/>
      <c r="C6991" s="3"/>
    </row>
    <row r="6992">
      <c r="A6992" s="3"/>
      <c r="B6992" s="3"/>
      <c r="C6992" s="3"/>
    </row>
    <row r="6993">
      <c r="A6993" s="3"/>
      <c r="B6993" s="3"/>
      <c r="C6993" s="3"/>
    </row>
    <row r="6994">
      <c r="A6994" s="3"/>
      <c r="B6994" s="3"/>
      <c r="C6994" s="3"/>
    </row>
    <row r="6995">
      <c r="A6995" s="3"/>
      <c r="B6995" s="3"/>
      <c r="C6995" s="3"/>
    </row>
    <row r="6996">
      <c r="A6996" s="3"/>
      <c r="B6996" s="3"/>
      <c r="C6996" s="3"/>
    </row>
    <row r="6997">
      <c r="A6997" s="3"/>
      <c r="B6997" s="3"/>
      <c r="C6997" s="3"/>
    </row>
    <row r="6998">
      <c r="A6998" s="3"/>
      <c r="B6998" s="3"/>
      <c r="C6998" s="3"/>
    </row>
    <row r="6999">
      <c r="A6999" s="3"/>
      <c r="B6999" s="3"/>
      <c r="C6999" s="3"/>
    </row>
    <row r="7000">
      <c r="A7000" s="3"/>
      <c r="B7000" s="3"/>
      <c r="C7000" s="3"/>
    </row>
    <row r="7001">
      <c r="A7001" s="3"/>
      <c r="B7001" s="3"/>
      <c r="C7001" s="3"/>
    </row>
    <row r="7002">
      <c r="A7002" s="3"/>
      <c r="B7002" s="3"/>
      <c r="C7002" s="3"/>
    </row>
    <row r="7003">
      <c r="A7003" s="3"/>
      <c r="B7003" s="3"/>
      <c r="C7003" s="3"/>
    </row>
    <row r="7004">
      <c r="A7004" s="3"/>
      <c r="B7004" s="3"/>
      <c r="C7004" s="3"/>
    </row>
    <row r="7005">
      <c r="A7005" s="3"/>
      <c r="B7005" s="3"/>
      <c r="C7005" s="3"/>
    </row>
    <row r="7006">
      <c r="A7006" s="3"/>
      <c r="B7006" s="3"/>
      <c r="C7006" s="3"/>
    </row>
    <row r="7007">
      <c r="A7007" s="3"/>
      <c r="B7007" s="3"/>
      <c r="C7007" s="3"/>
    </row>
    <row r="7008">
      <c r="A7008" s="3"/>
      <c r="B7008" s="3"/>
      <c r="C7008" s="3"/>
    </row>
    <row r="7009">
      <c r="A7009" s="3"/>
      <c r="B7009" s="3"/>
      <c r="C7009" s="3"/>
    </row>
    <row r="7010">
      <c r="A7010" s="3"/>
      <c r="B7010" s="3"/>
      <c r="C7010" s="3"/>
    </row>
    <row r="7011">
      <c r="A7011" s="3"/>
      <c r="B7011" s="3"/>
      <c r="C7011" s="3"/>
    </row>
    <row r="7012">
      <c r="A7012" s="3"/>
      <c r="B7012" s="3"/>
      <c r="C7012" s="3"/>
    </row>
    <row r="7013">
      <c r="A7013" s="3"/>
      <c r="B7013" s="3"/>
      <c r="C7013" s="3"/>
    </row>
    <row r="7014">
      <c r="A7014" s="3"/>
      <c r="B7014" s="3"/>
      <c r="C7014" s="3"/>
    </row>
    <row r="7015">
      <c r="A7015" s="3"/>
      <c r="B7015" s="3"/>
      <c r="C7015" s="3"/>
    </row>
    <row r="7016">
      <c r="A7016" s="3"/>
      <c r="B7016" s="3"/>
      <c r="C7016" s="3"/>
    </row>
    <row r="7017">
      <c r="A7017" s="3"/>
      <c r="B7017" s="3"/>
      <c r="C7017" s="3"/>
    </row>
    <row r="7018">
      <c r="A7018" s="3"/>
      <c r="B7018" s="3"/>
      <c r="C7018" s="3"/>
    </row>
    <row r="7019">
      <c r="A7019" s="3"/>
      <c r="B7019" s="3"/>
      <c r="C7019" s="3"/>
    </row>
    <row r="7020">
      <c r="A7020" s="3"/>
      <c r="B7020" s="3"/>
      <c r="C7020" s="3"/>
    </row>
    <row r="7021">
      <c r="A7021" s="3"/>
      <c r="B7021" s="3"/>
      <c r="C7021" s="3"/>
    </row>
    <row r="7022">
      <c r="A7022" s="3"/>
      <c r="B7022" s="3"/>
      <c r="C7022" s="3"/>
    </row>
    <row r="7023">
      <c r="A7023" s="3"/>
      <c r="B7023" s="3"/>
      <c r="C7023" s="3"/>
    </row>
    <row r="7024">
      <c r="A7024" s="3"/>
      <c r="B7024" s="3"/>
      <c r="C7024" s="3"/>
    </row>
    <row r="7025">
      <c r="A7025" s="3"/>
      <c r="B7025" s="3"/>
      <c r="C7025" s="3"/>
    </row>
    <row r="7026">
      <c r="A7026" s="3"/>
      <c r="B7026" s="3"/>
      <c r="C7026" s="3"/>
    </row>
    <row r="7027">
      <c r="A7027" s="3"/>
      <c r="B7027" s="3"/>
      <c r="C7027" s="3"/>
    </row>
    <row r="7028">
      <c r="A7028" s="3"/>
      <c r="B7028" s="3"/>
      <c r="C7028" s="3"/>
    </row>
    <row r="7029">
      <c r="A7029" s="3"/>
      <c r="B7029" s="3"/>
      <c r="C7029" s="3"/>
    </row>
    <row r="7030">
      <c r="A7030" s="3"/>
      <c r="B7030" s="3"/>
      <c r="C7030" s="3"/>
    </row>
    <row r="7031">
      <c r="A7031" s="3"/>
      <c r="B7031" s="3"/>
      <c r="C7031" s="3"/>
    </row>
    <row r="7032">
      <c r="A7032" s="3"/>
      <c r="B7032" s="3"/>
      <c r="C7032" s="3"/>
    </row>
    <row r="7033">
      <c r="A7033" s="3"/>
      <c r="B7033" s="3"/>
      <c r="C7033" s="3"/>
    </row>
    <row r="7034">
      <c r="A7034" s="3"/>
      <c r="B7034" s="3"/>
      <c r="C7034" s="3"/>
    </row>
    <row r="7035">
      <c r="A7035" s="3"/>
      <c r="B7035" s="3"/>
      <c r="C7035" s="3"/>
    </row>
    <row r="7036">
      <c r="A7036" s="3"/>
      <c r="B7036" s="3"/>
      <c r="C7036" s="3"/>
    </row>
    <row r="7037">
      <c r="A7037" s="3"/>
      <c r="B7037" s="3"/>
      <c r="C7037" s="3"/>
    </row>
    <row r="7038">
      <c r="A7038" s="3"/>
      <c r="B7038" s="3"/>
      <c r="C7038" s="3"/>
    </row>
    <row r="7039">
      <c r="A7039" s="3"/>
      <c r="B7039" s="3"/>
      <c r="C7039" s="3"/>
    </row>
    <row r="7040">
      <c r="A7040" s="3"/>
      <c r="B7040" s="3"/>
      <c r="C7040" s="3"/>
    </row>
    <row r="7041">
      <c r="A7041" s="3"/>
      <c r="B7041" s="3"/>
      <c r="C7041" s="3"/>
    </row>
    <row r="7042">
      <c r="A7042" s="3"/>
      <c r="B7042" s="3"/>
      <c r="C7042" s="3"/>
    </row>
    <row r="7043">
      <c r="A7043" s="3"/>
      <c r="B7043" s="3"/>
      <c r="C7043" s="3"/>
    </row>
    <row r="7044">
      <c r="A7044" s="3"/>
      <c r="B7044" s="3"/>
      <c r="C7044" s="3"/>
    </row>
    <row r="7045">
      <c r="A7045" s="3"/>
      <c r="B7045" s="3"/>
      <c r="C7045" s="3"/>
    </row>
    <row r="7046">
      <c r="A7046" s="3"/>
      <c r="B7046" s="3"/>
      <c r="C7046" s="3"/>
    </row>
    <row r="7047">
      <c r="A7047" s="3"/>
      <c r="B7047" s="3"/>
      <c r="C7047" s="3"/>
    </row>
    <row r="7048">
      <c r="A7048" s="3"/>
      <c r="B7048" s="3"/>
      <c r="C7048" s="3"/>
    </row>
    <row r="7049">
      <c r="A7049" s="3"/>
      <c r="B7049" s="3"/>
      <c r="C7049" s="3"/>
    </row>
    <row r="7050">
      <c r="A7050" s="3"/>
      <c r="B7050" s="3"/>
      <c r="C7050" s="3"/>
    </row>
    <row r="7051">
      <c r="A7051" s="3"/>
      <c r="B7051" s="3"/>
      <c r="C7051" s="3"/>
    </row>
    <row r="7052">
      <c r="A7052" s="3"/>
      <c r="B7052" s="3"/>
      <c r="C7052" s="3"/>
    </row>
    <row r="7053">
      <c r="A7053" s="3"/>
      <c r="B7053" s="3"/>
      <c r="C7053" s="3"/>
    </row>
    <row r="7054">
      <c r="A7054" s="3"/>
      <c r="B7054" s="3"/>
      <c r="C7054" s="3"/>
    </row>
    <row r="7055">
      <c r="A7055" s="3"/>
      <c r="B7055" s="3"/>
      <c r="C7055" s="3"/>
    </row>
    <row r="7056">
      <c r="A7056" s="3"/>
      <c r="B7056" s="3"/>
      <c r="C7056" s="3"/>
    </row>
    <row r="7057">
      <c r="A7057" s="3"/>
      <c r="B7057" s="3"/>
      <c r="C7057" s="3"/>
    </row>
    <row r="7058">
      <c r="A7058" s="3"/>
      <c r="B7058" s="3"/>
      <c r="C7058" s="3"/>
    </row>
    <row r="7059">
      <c r="A7059" s="3"/>
      <c r="B7059" s="3"/>
      <c r="C7059" s="3"/>
    </row>
    <row r="7060">
      <c r="A7060" s="3"/>
      <c r="B7060" s="3"/>
      <c r="C7060" s="3"/>
    </row>
    <row r="7061">
      <c r="A7061" s="3"/>
      <c r="B7061" s="3"/>
      <c r="C7061" s="3"/>
    </row>
    <row r="7062">
      <c r="A7062" s="3"/>
      <c r="B7062" s="3"/>
      <c r="C7062" s="3"/>
    </row>
    <row r="7063">
      <c r="A7063" s="3"/>
      <c r="B7063" s="3"/>
      <c r="C7063" s="3"/>
    </row>
    <row r="7064">
      <c r="A7064" s="3"/>
      <c r="B7064" s="3"/>
      <c r="C7064" s="3"/>
    </row>
    <row r="7065">
      <c r="A7065" s="3"/>
      <c r="B7065" s="3"/>
      <c r="C7065" s="3"/>
    </row>
    <row r="7066">
      <c r="A7066" s="3"/>
      <c r="B7066" s="3"/>
      <c r="C7066" s="3"/>
    </row>
    <row r="7067">
      <c r="A7067" s="3"/>
      <c r="B7067" s="3"/>
      <c r="C7067" s="3"/>
    </row>
    <row r="7068">
      <c r="A7068" s="3"/>
      <c r="B7068" s="3"/>
      <c r="C7068" s="3"/>
    </row>
    <row r="7069">
      <c r="A7069" s="3"/>
      <c r="B7069" s="3"/>
      <c r="C7069" s="3"/>
    </row>
    <row r="7070">
      <c r="A7070" s="3"/>
      <c r="B7070" s="3"/>
      <c r="C7070" s="3"/>
    </row>
    <row r="7071">
      <c r="A7071" s="3"/>
      <c r="B7071" s="3"/>
      <c r="C7071" s="3"/>
    </row>
    <row r="7072">
      <c r="A7072" s="3"/>
      <c r="B7072" s="3"/>
      <c r="C7072" s="3"/>
    </row>
    <row r="7073">
      <c r="A7073" s="3"/>
      <c r="B7073" s="3"/>
      <c r="C7073" s="3"/>
    </row>
    <row r="7074">
      <c r="A7074" s="3"/>
      <c r="B7074" s="3"/>
      <c r="C7074" s="3"/>
    </row>
    <row r="7075">
      <c r="A7075" s="3"/>
      <c r="B7075" s="3"/>
      <c r="C7075" s="3"/>
    </row>
    <row r="7076">
      <c r="A7076" s="3"/>
      <c r="B7076" s="3"/>
      <c r="C7076" s="3"/>
    </row>
    <row r="7077">
      <c r="A7077" s="3"/>
      <c r="B7077" s="3"/>
      <c r="C7077" s="3"/>
    </row>
    <row r="7078">
      <c r="A7078" s="3"/>
      <c r="B7078" s="3"/>
      <c r="C7078" s="3"/>
    </row>
    <row r="7079">
      <c r="A7079" s="3"/>
      <c r="B7079" s="3"/>
      <c r="C7079" s="3"/>
    </row>
    <row r="7080">
      <c r="A7080" s="3"/>
      <c r="B7080" s="3"/>
      <c r="C7080" s="3"/>
    </row>
    <row r="7081">
      <c r="A7081" s="3"/>
      <c r="B7081" s="3"/>
      <c r="C7081" s="3"/>
    </row>
    <row r="7082">
      <c r="A7082" s="3"/>
      <c r="B7082" s="3"/>
      <c r="C7082" s="3"/>
    </row>
    <row r="7083">
      <c r="A7083" s="3"/>
      <c r="B7083" s="3"/>
      <c r="C7083" s="3"/>
    </row>
    <row r="7084">
      <c r="A7084" s="3"/>
      <c r="B7084" s="3"/>
      <c r="C7084" s="3"/>
    </row>
    <row r="7085">
      <c r="A7085" s="3"/>
      <c r="B7085" s="3"/>
      <c r="C7085" s="3"/>
    </row>
    <row r="7086">
      <c r="A7086" s="3"/>
      <c r="B7086" s="3"/>
      <c r="C7086" s="3"/>
    </row>
    <row r="7087">
      <c r="A7087" s="3"/>
      <c r="B7087" s="3"/>
      <c r="C7087" s="3"/>
    </row>
    <row r="7088">
      <c r="A7088" s="3"/>
      <c r="B7088" s="3"/>
      <c r="C7088" s="3"/>
    </row>
    <row r="7089">
      <c r="A7089" s="3"/>
      <c r="B7089" s="3"/>
      <c r="C7089" s="3"/>
    </row>
    <row r="7090">
      <c r="A7090" s="3"/>
      <c r="B7090" s="3"/>
      <c r="C7090" s="3"/>
    </row>
    <row r="7091">
      <c r="A7091" s="3"/>
      <c r="B7091" s="3"/>
      <c r="C7091" s="3"/>
    </row>
    <row r="7092">
      <c r="A7092" s="3"/>
      <c r="B7092" s="3"/>
      <c r="C7092" s="3"/>
    </row>
    <row r="7093">
      <c r="A7093" s="3"/>
      <c r="B7093" s="3"/>
      <c r="C7093" s="3"/>
    </row>
    <row r="7094">
      <c r="A7094" s="3"/>
      <c r="B7094" s="3"/>
      <c r="C7094" s="3"/>
    </row>
    <row r="7095">
      <c r="A7095" s="3"/>
      <c r="B7095" s="3"/>
      <c r="C7095" s="3"/>
    </row>
    <row r="7096">
      <c r="A7096" s="3"/>
      <c r="B7096" s="3"/>
      <c r="C7096" s="3"/>
    </row>
    <row r="7097">
      <c r="A7097" s="3"/>
      <c r="B7097" s="3"/>
      <c r="C7097" s="3"/>
    </row>
    <row r="7098">
      <c r="A7098" s="3"/>
      <c r="B7098" s="3"/>
      <c r="C7098" s="3"/>
    </row>
    <row r="7099">
      <c r="A7099" s="3"/>
      <c r="B7099" s="3"/>
      <c r="C7099" s="3"/>
    </row>
    <row r="7100">
      <c r="A7100" s="3"/>
      <c r="B7100" s="3"/>
      <c r="C7100" s="3"/>
    </row>
    <row r="7101">
      <c r="A7101" s="3"/>
      <c r="B7101" s="3"/>
      <c r="C7101" s="3"/>
    </row>
    <row r="7102">
      <c r="A7102" s="3"/>
      <c r="B7102" s="3"/>
      <c r="C7102" s="3"/>
    </row>
    <row r="7103">
      <c r="A7103" s="3"/>
      <c r="B7103" s="3"/>
      <c r="C7103" s="3"/>
    </row>
    <row r="7104">
      <c r="A7104" s="3"/>
      <c r="B7104" s="3"/>
      <c r="C7104" s="3"/>
    </row>
    <row r="7105">
      <c r="A7105" s="3"/>
      <c r="B7105" s="3"/>
      <c r="C7105" s="3"/>
    </row>
    <row r="7106">
      <c r="A7106" s="3"/>
      <c r="B7106" s="3"/>
      <c r="C7106" s="3"/>
    </row>
    <row r="7107">
      <c r="A7107" s="3"/>
      <c r="B7107" s="3"/>
      <c r="C7107" s="3"/>
    </row>
    <row r="7108">
      <c r="A7108" s="3"/>
      <c r="B7108" s="3"/>
      <c r="C7108" s="3"/>
    </row>
    <row r="7109">
      <c r="A7109" s="3"/>
      <c r="B7109" s="3"/>
      <c r="C7109" s="3"/>
    </row>
    <row r="7110">
      <c r="A7110" s="3"/>
      <c r="B7110" s="3"/>
      <c r="C7110" s="3"/>
    </row>
    <row r="7111">
      <c r="A7111" s="3"/>
      <c r="B7111" s="3"/>
      <c r="C7111" s="3"/>
    </row>
    <row r="7112">
      <c r="A7112" s="3"/>
      <c r="B7112" s="3"/>
      <c r="C7112" s="3"/>
    </row>
    <row r="7113">
      <c r="A7113" s="3"/>
      <c r="B7113" s="3"/>
      <c r="C7113" s="3"/>
    </row>
    <row r="7114">
      <c r="A7114" s="3"/>
      <c r="B7114" s="3"/>
      <c r="C7114" s="3"/>
    </row>
    <row r="7115">
      <c r="A7115" s="3"/>
      <c r="B7115" s="3"/>
      <c r="C7115" s="3"/>
    </row>
    <row r="7116">
      <c r="A7116" s="3"/>
      <c r="B7116" s="3"/>
      <c r="C7116" s="3"/>
    </row>
    <row r="7117">
      <c r="A7117" s="3"/>
      <c r="B7117" s="3"/>
      <c r="C7117" s="3"/>
    </row>
    <row r="7118">
      <c r="A7118" s="3"/>
      <c r="B7118" s="3"/>
      <c r="C7118" s="3"/>
    </row>
    <row r="7119">
      <c r="A7119" s="3"/>
      <c r="B7119" s="3"/>
      <c r="C7119" s="3"/>
    </row>
    <row r="7120">
      <c r="A7120" s="3"/>
      <c r="B7120" s="3"/>
      <c r="C7120" s="3"/>
    </row>
    <row r="7121">
      <c r="A7121" s="3"/>
      <c r="B7121" s="3"/>
      <c r="C7121" s="3"/>
    </row>
    <row r="7122">
      <c r="A7122" s="3"/>
      <c r="B7122" s="3"/>
      <c r="C7122" s="3"/>
    </row>
    <row r="7123">
      <c r="A7123" s="3"/>
      <c r="B7123" s="3"/>
      <c r="C7123" s="3"/>
    </row>
    <row r="7124">
      <c r="A7124" s="3"/>
      <c r="B7124" s="3"/>
      <c r="C7124" s="3"/>
    </row>
    <row r="7125">
      <c r="A7125" s="3"/>
      <c r="B7125" s="3"/>
      <c r="C7125" s="3"/>
    </row>
    <row r="7126">
      <c r="A7126" s="3"/>
      <c r="B7126" s="3"/>
      <c r="C7126" s="3"/>
    </row>
    <row r="7127">
      <c r="A7127" s="3"/>
      <c r="B7127" s="3"/>
      <c r="C7127" s="3"/>
    </row>
    <row r="7128">
      <c r="A7128" s="3"/>
      <c r="B7128" s="3"/>
      <c r="C7128" s="3"/>
    </row>
    <row r="7129">
      <c r="A7129" s="3"/>
      <c r="B7129" s="3"/>
      <c r="C7129" s="3"/>
    </row>
    <row r="7130">
      <c r="A7130" s="3"/>
      <c r="B7130" s="3"/>
      <c r="C7130" s="3"/>
    </row>
    <row r="7131">
      <c r="A7131" s="3"/>
      <c r="B7131" s="3"/>
      <c r="C7131" s="3"/>
    </row>
    <row r="7132">
      <c r="A7132" s="3"/>
      <c r="B7132" s="3"/>
      <c r="C7132" s="3"/>
    </row>
    <row r="7133">
      <c r="A7133" s="3"/>
      <c r="B7133" s="3"/>
      <c r="C7133" s="3"/>
    </row>
    <row r="7134">
      <c r="A7134" s="3"/>
      <c r="B7134" s="3"/>
      <c r="C7134" s="3"/>
    </row>
    <row r="7135">
      <c r="A7135" s="3"/>
      <c r="B7135" s="3"/>
      <c r="C7135" s="3"/>
    </row>
    <row r="7136">
      <c r="A7136" s="3"/>
      <c r="B7136" s="3"/>
      <c r="C7136" s="3"/>
    </row>
    <row r="7137">
      <c r="A7137" s="3"/>
      <c r="B7137" s="3"/>
      <c r="C7137" s="3"/>
    </row>
    <row r="7138">
      <c r="A7138" s="3"/>
      <c r="B7138" s="3"/>
      <c r="C7138" s="3"/>
    </row>
    <row r="7139">
      <c r="A7139" s="3"/>
      <c r="B7139" s="3"/>
      <c r="C7139" s="3"/>
    </row>
    <row r="7140">
      <c r="A7140" s="3"/>
      <c r="B7140" s="3"/>
      <c r="C7140" s="3"/>
    </row>
    <row r="7141">
      <c r="A7141" s="3"/>
      <c r="B7141" s="3"/>
      <c r="C7141" s="3"/>
    </row>
    <row r="7142">
      <c r="A7142" s="3"/>
      <c r="B7142" s="3"/>
      <c r="C7142" s="3"/>
    </row>
    <row r="7143">
      <c r="A7143" s="3"/>
      <c r="B7143" s="3"/>
      <c r="C7143" s="3"/>
    </row>
    <row r="7144">
      <c r="A7144" s="3"/>
      <c r="B7144" s="3"/>
      <c r="C7144" s="3"/>
    </row>
    <row r="7145">
      <c r="A7145" s="3"/>
      <c r="B7145" s="3"/>
      <c r="C7145" s="3"/>
    </row>
    <row r="7146">
      <c r="A7146" s="3"/>
      <c r="B7146" s="3"/>
      <c r="C7146" s="3"/>
    </row>
    <row r="7147">
      <c r="A7147" s="3"/>
      <c r="B7147" s="3"/>
      <c r="C7147" s="3"/>
    </row>
    <row r="7148">
      <c r="A7148" s="3"/>
      <c r="B7148" s="3"/>
      <c r="C7148" s="3"/>
    </row>
    <row r="7149">
      <c r="A7149" s="3"/>
      <c r="B7149" s="3"/>
      <c r="C7149" s="3"/>
    </row>
    <row r="7150">
      <c r="A7150" s="3"/>
      <c r="B7150" s="3"/>
      <c r="C7150" s="3"/>
    </row>
    <row r="7151">
      <c r="A7151" s="3"/>
      <c r="B7151" s="3"/>
      <c r="C7151" s="3"/>
    </row>
    <row r="7152">
      <c r="A7152" s="3"/>
      <c r="B7152" s="3"/>
      <c r="C7152" s="3"/>
    </row>
    <row r="7153">
      <c r="A7153" s="3"/>
      <c r="B7153" s="3"/>
      <c r="C7153" s="3"/>
    </row>
    <row r="7154">
      <c r="A7154" s="3"/>
      <c r="B7154" s="3"/>
      <c r="C7154" s="3"/>
    </row>
    <row r="7155">
      <c r="A7155" s="3"/>
      <c r="B7155" s="3"/>
      <c r="C7155" s="3"/>
    </row>
    <row r="7156">
      <c r="A7156" s="3"/>
      <c r="B7156" s="3"/>
      <c r="C7156" s="3"/>
    </row>
    <row r="7157">
      <c r="A7157" s="3"/>
      <c r="B7157" s="3"/>
      <c r="C7157" s="3"/>
    </row>
    <row r="7158">
      <c r="A7158" s="3"/>
      <c r="B7158" s="3"/>
      <c r="C7158" s="3"/>
    </row>
    <row r="7159">
      <c r="A7159" s="3"/>
      <c r="B7159" s="3"/>
      <c r="C7159" s="3"/>
    </row>
    <row r="7160">
      <c r="A7160" s="3"/>
      <c r="B7160" s="3"/>
      <c r="C7160" s="3"/>
    </row>
    <row r="7161">
      <c r="A7161" s="3"/>
      <c r="B7161" s="3"/>
      <c r="C7161" s="3"/>
    </row>
    <row r="7162">
      <c r="A7162" s="3"/>
      <c r="B7162" s="3"/>
      <c r="C7162" s="3"/>
    </row>
    <row r="7163">
      <c r="A7163" s="3"/>
      <c r="B7163" s="3"/>
      <c r="C7163" s="3"/>
    </row>
    <row r="7164">
      <c r="A7164" s="3"/>
      <c r="B7164" s="3"/>
      <c r="C7164" s="3"/>
    </row>
    <row r="7165">
      <c r="A7165" s="3"/>
      <c r="B7165" s="3"/>
      <c r="C7165" s="3"/>
    </row>
    <row r="7166">
      <c r="A7166" s="3"/>
      <c r="B7166" s="3"/>
      <c r="C7166" s="3"/>
    </row>
    <row r="7167">
      <c r="A7167" s="3"/>
      <c r="B7167" s="3"/>
      <c r="C7167" s="3"/>
    </row>
    <row r="7168">
      <c r="A7168" s="3"/>
      <c r="B7168" s="3"/>
      <c r="C7168" s="3"/>
    </row>
    <row r="7169">
      <c r="A7169" s="3"/>
      <c r="B7169" s="3"/>
      <c r="C7169" s="3"/>
    </row>
    <row r="7170">
      <c r="A7170" s="3"/>
      <c r="B7170" s="3"/>
      <c r="C7170" s="3"/>
    </row>
    <row r="7171">
      <c r="A7171" s="3"/>
      <c r="B7171" s="3"/>
      <c r="C7171" s="3"/>
    </row>
    <row r="7172">
      <c r="A7172" s="3"/>
      <c r="B7172" s="3"/>
      <c r="C7172" s="3"/>
    </row>
    <row r="7173">
      <c r="A7173" s="3"/>
      <c r="B7173" s="3"/>
      <c r="C7173" s="3"/>
    </row>
    <row r="7174">
      <c r="A7174" s="3"/>
      <c r="B7174" s="3"/>
      <c r="C7174" s="3"/>
    </row>
    <row r="7175">
      <c r="A7175" s="3"/>
      <c r="B7175" s="3"/>
      <c r="C7175" s="3"/>
    </row>
    <row r="7176">
      <c r="A7176" s="3"/>
      <c r="B7176" s="3"/>
      <c r="C7176" s="3"/>
    </row>
    <row r="7177">
      <c r="A7177" s="3"/>
      <c r="B7177" s="3"/>
      <c r="C7177" s="3"/>
    </row>
    <row r="7178">
      <c r="A7178" s="3"/>
      <c r="B7178" s="3"/>
      <c r="C7178" s="3"/>
    </row>
    <row r="7179">
      <c r="A7179" s="3"/>
      <c r="B7179" s="3"/>
      <c r="C7179" s="3"/>
    </row>
    <row r="7180">
      <c r="A7180" s="3"/>
      <c r="B7180" s="3"/>
      <c r="C7180" s="3"/>
    </row>
    <row r="7181">
      <c r="A7181" s="3"/>
      <c r="B7181" s="3"/>
      <c r="C7181" s="3"/>
    </row>
    <row r="7182">
      <c r="A7182" s="3"/>
      <c r="B7182" s="3"/>
      <c r="C7182" s="3"/>
    </row>
    <row r="7183">
      <c r="A7183" s="3"/>
      <c r="B7183" s="3"/>
      <c r="C7183" s="3"/>
    </row>
    <row r="7184">
      <c r="A7184" s="3"/>
      <c r="B7184" s="3"/>
      <c r="C7184" s="3"/>
    </row>
    <row r="7185">
      <c r="A7185" s="3"/>
      <c r="B7185" s="3"/>
      <c r="C7185" s="3"/>
    </row>
    <row r="7186">
      <c r="A7186" s="3"/>
      <c r="B7186" s="3"/>
      <c r="C7186" s="3"/>
    </row>
    <row r="7187">
      <c r="A7187" s="3"/>
      <c r="B7187" s="3"/>
      <c r="C7187" s="3"/>
    </row>
    <row r="7188">
      <c r="A7188" s="3"/>
      <c r="B7188" s="3"/>
      <c r="C7188" s="3"/>
    </row>
    <row r="7189">
      <c r="A7189" s="3"/>
      <c r="B7189" s="3"/>
      <c r="C7189" s="3"/>
    </row>
    <row r="7190">
      <c r="A7190" s="3"/>
      <c r="B7190" s="3"/>
      <c r="C7190" s="3"/>
    </row>
    <row r="7191">
      <c r="A7191" s="3"/>
      <c r="B7191" s="3"/>
      <c r="C7191" s="3"/>
    </row>
    <row r="7192">
      <c r="A7192" s="3"/>
      <c r="B7192" s="3"/>
      <c r="C7192" s="3"/>
    </row>
    <row r="7193">
      <c r="A7193" s="3"/>
      <c r="B7193" s="3"/>
      <c r="C7193" s="3"/>
    </row>
    <row r="7194">
      <c r="A7194" s="3"/>
      <c r="B7194" s="3"/>
      <c r="C7194" s="3"/>
    </row>
    <row r="7195">
      <c r="A7195" s="3"/>
      <c r="B7195" s="3"/>
      <c r="C7195" s="3"/>
    </row>
    <row r="7196">
      <c r="A7196" s="3"/>
      <c r="B7196" s="3"/>
      <c r="C7196" s="3"/>
    </row>
    <row r="7197">
      <c r="A7197" s="3"/>
      <c r="B7197" s="3"/>
      <c r="C7197" s="3"/>
    </row>
    <row r="7198">
      <c r="A7198" s="3"/>
      <c r="B7198" s="3"/>
      <c r="C7198" s="3"/>
    </row>
    <row r="7199">
      <c r="A7199" s="3"/>
      <c r="B7199" s="3"/>
      <c r="C7199" s="3"/>
    </row>
    <row r="7200">
      <c r="A7200" s="3"/>
      <c r="B7200" s="3"/>
      <c r="C7200" s="3"/>
    </row>
    <row r="7201">
      <c r="A7201" s="3"/>
      <c r="B7201" s="3"/>
      <c r="C7201" s="3"/>
    </row>
    <row r="7202">
      <c r="A7202" s="3"/>
      <c r="B7202" s="3"/>
      <c r="C7202" s="3"/>
    </row>
    <row r="7203">
      <c r="A7203" s="3"/>
      <c r="B7203" s="3"/>
      <c r="C7203" s="3"/>
    </row>
    <row r="7204">
      <c r="A7204" s="3"/>
      <c r="B7204" s="3"/>
      <c r="C7204" s="3"/>
    </row>
    <row r="7205">
      <c r="A7205" s="3"/>
      <c r="B7205" s="3"/>
      <c r="C7205" s="3"/>
    </row>
    <row r="7206">
      <c r="A7206" s="3"/>
      <c r="B7206" s="3"/>
      <c r="C7206" s="3"/>
    </row>
    <row r="7207">
      <c r="A7207" s="3"/>
      <c r="B7207" s="3"/>
      <c r="C7207" s="3"/>
    </row>
    <row r="7208">
      <c r="A7208" s="3"/>
      <c r="B7208" s="3"/>
      <c r="C7208" s="3"/>
    </row>
    <row r="7209">
      <c r="A7209" s="3"/>
      <c r="B7209" s="3"/>
      <c r="C7209" s="3"/>
    </row>
    <row r="7210">
      <c r="A7210" s="3"/>
      <c r="B7210" s="3"/>
      <c r="C7210" s="3"/>
    </row>
    <row r="7211">
      <c r="A7211" s="3"/>
      <c r="B7211" s="3"/>
      <c r="C7211" s="3"/>
    </row>
    <row r="7212">
      <c r="A7212" s="3"/>
      <c r="B7212" s="3"/>
      <c r="C7212" s="3"/>
    </row>
    <row r="7213">
      <c r="A7213" s="3"/>
      <c r="B7213" s="3"/>
      <c r="C7213" s="3"/>
    </row>
    <row r="7214">
      <c r="A7214" s="3"/>
      <c r="B7214" s="3"/>
      <c r="C7214" s="3"/>
    </row>
    <row r="7215">
      <c r="A7215" s="3"/>
      <c r="B7215" s="3"/>
      <c r="C7215" s="3"/>
    </row>
    <row r="7216">
      <c r="A7216" s="3"/>
      <c r="B7216" s="3"/>
      <c r="C7216" s="3"/>
    </row>
    <row r="7217">
      <c r="A7217" s="3"/>
      <c r="B7217" s="3"/>
      <c r="C7217" s="3"/>
    </row>
    <row r="7218">
      <c r="A7218" s="3"/>
      <c r="B7218" s="3"/>
      <c r="C7218" s="3"/>
    </row>
    <row r="7219">
      <c r="A7219" s="3"/>
      <c r="B7219" s="3"/>
      <c r="C7219" s="3"/>
    </row>
    <row r="7220">
      <c r="A7220" s="3"/>
      <c r="B7220" s="3"/>
      <c r="C7220" s="3"/>
    </row>
    <row r="7221">
      <c r="A7221" s="3"/>
      <c r="B7221" s="3"/>
      <c r="C7221" s="3"/>
    </row>
    <row r="7222">
      <c r="A7222" s="3"/>
      <c r="B7222" s="3"/>
      <c r="C7222" s="3"/>
    </row>
    <row r="7223">
      <c r="A7223" s="3"/>
      <c r="B7223" s="3"/>
      <c r="C7223" s="3"/>
    </row>
    <row r="7224">
      <c r="A7224" s="3"/>
      <c r="B7224" s="3"/>
      <c r="C7224" s="3"/>
    </row>
    <row r="7225">
      <c r="A7225" s="3"/>
      <c r="B7225" s="3"/>
      <c r="C7225" s="3"/>
    </row>
    <row r="7226">
      <c r="A7226" s="3"/>
      <c r="B7226" s="3"/>
      <c r="C7226" s="3"/>
    </row>
    <row r="7227">
      <c r="A7227" s="3"/>
      <c r="B7227" s="3"/>
      <c r="C7227" s="3"/>
    </row>
    <row r="7228">
      <c r="A7228" s="3"/>
      <c r="B7228" s="3"/>
      <c r="C7228" s="3"/>
    </row>
    <row r="7229">
      <c r="A7229" s="3"/>
      <c r="B7229" s="3"/>
      <c r="C7229" s="3"/>
    </row>
    <row r="7230">
      <c r="A7230" s="3"/>
      <c r="B7230" s="3"/>
      <c r="C7230" s="3"/>
    </row>
    <row r="7231">
      <c r="A7231" s="3"/>
      <c r="B7231" s="3"/>
      <c r="C7231" s="3"/>
    </row>
    <row r="7232">
      <c r="A7232" s="3"/>
      <c r="B7232" s="3"/>
      <c r="C7232" s="3"/>
    </row>
    <row r="7233">
      <c r="A7233" s="3"/>
      <c r="B7233" s="3"/>
      <c r="C7233" s="3"/>
    </row>
    <row r="7234">
      <c r="A7234" s="3"/>
      <c r="B7234" s="3"/>
      <c r="C7234" s="3"/>
    </row>
    <row r="7235">
      <c r="A7235" s="3"/>
      <c r="B7235" s="3"/>
      <c r="C7235" s="3"/>
    </row>
    <row r="7236">
      <c r="A7236" s="3"/>
      <c r="B7236" s="3"/>
      <c r="C7236" s="3"/>
    </row>
    <row r="7237">
      <c r="A7237" s="3"/>
      <c r="B7237" s="3"/>
      <c r="C7237" s="3"/>
    </row>
    <row r="7238">
      <c r="A7238" s="3"/>
      <c r="B7238" s="3"/>
      <c r="C7238" s="3"/>
    </row>
    <row r="7239">
      <c r="A7239" s="3"/>
      <c r="B7239" s="3"/>
      <c r="C7239" s="3"/>
    </row>
    <row r="7240">
      <c r="A7240" s="3"/>
      <c r="B7240" s="3"/>
      <c r="C7240" s="3"/>
    </row>
    <row r="7241">
      <c r="A7241" s="3"/>
      <c r="B7241" s="3"/>
      <c r="C7241" s="3"/>
    </row>
    <row r="7242">
      <c r="A7242" s="3"/>
      <c r="B7242" s="3"/>
      <c r="C7242" s="3"/>
    </row>
    <row r="7243">
      <c r="A7243" s="3"/>
      <c r="B7243" s="3"/>
      <c r="C7243" s="3"/>
    </row>
    <row r="7244">
      <c r="A7244" s="3"/>
      <c r="B7244" s="3"/>
      <c r="C7244" s="3"/>
    </row>
    <row r="7245">
      <c r="A7245" s="3"/>
      <c r="B7245" s="3"/>
      <c r="C7245" s="3"/>
    </row>
    <row r="7246">
      <c r="A7246" s="3"/>
      <c r="B7246" s="3"/>
      <c r="C7246" s="3"/>
    </row>
    <row r="7247">
      <c r="A7247" s="3"/>
      <c r="B7247" s="3"/>
      <c r="C7247" s="3"/>
    </row>
    <row r="7248">
      <c r="A7248" s="3"/>
      <c r="B7248" s="3"/>
      <c r="C7248" s="3"/>
    </row>
    <row r="7249">
      <c r="A7249" s="3"/>
      <c r="B7249" s="3"/>
      <c r="C7249" s="3"/>
    </row>
    <row r="7250">
      <c r="A7250" s="3"/>
      <c r="B7250" s="3"/>
      <c r="C7250" s="3"/>
    </row>
    <row r="7251">
      <c r="A7251" s="3"/>
      <c r="B7251" s="3"/>
      <c r="C7251" s="3"/>
    </row>
    <row r="7252">
      <c r="A7252" s="3"/>
      <c r="B7252" s="3"/>
      <c r="C7252" s="3"/>
    </row>
    <row r="7253">
      <c r="A7253" s="3"/>
      <c r="B7253" s="3"/>
      <c r="C7253" s="3"/>
    </row>
    <row r="7254">
      <c r="A7254" s="3"/>
      <c r="B7254" s="3"/>
      <c r="C7254" s="3"/>
    </row>
    <row r="7255">
      <c r="A7255" s="3"/>
      <c r="B7255" s="3"/>
      <c r="C7255" s="3"/>
    </row>
    <row r="7256">
      <c r="A7256" s="3"/>
      <c r="B7256" s="3"/>
      <c r="C7256" s="3"/>
    </row>
    <row r="7257">
      <c r="A7257" s="3"/>
      <c r="B7257" s="3"/>
      <c r="C7257" s="3"/>
    </row>
    <row r="7258">
      <c r="A7258" s="3"/>
      <c r="B7258" s="3"/>
      <c r="C7258" s="3"/>
    </row>
    <row r="7259">
      <c r="A7259" s="3"/>
      <c r="B7259" s="3"/>
      <c r="C7259" s="3"/>
    </row>
    <row r="7260">
      <c r="A7260" s="3"/>
      <c r="B7260" s="3"/>
      <c r="C7260" s="3"/>
    </row>
    <row r="7261">
      <c r="A7261" s="3"/>
      <c r="B7261" s="3"/>
      <c r="C7261" s="3"/>
    </row>
    <row r="7262">
      <c r="A7262" s="3"/>
      <c r="B7262" s="3"/>
      <c r="C7262" s="3"/>
    </row>
    <row r="7263">
      <c r="A7263" s="3"/>
      <c r="B7263" s="3"/>
      <c r="C7263" s="3"/>
    </row>
    <row r="7264">
      <c r="A7264" s="3"/>
      <c r="B7264" s="3"/>
      <c r="C7264" s="3"/>
    </row>
    <row r="7265">
      <c r="A7265" s="3"/>
      <c r="B7265" s="3"/>
      <c r="C7265" s="3"/>
    </row>
    <row r="7266">
      <c r="A7266" s="3"/>
      <c r="B7266" s="3"/>
      <c r="C7266" s="3"/>
    </row>
    <row r="7267">
      <c r="A7267" s="3"/>
      <c r="B7267" s="3"/>
      <c r="C7267" s="3"/>
    </row>
    <row r="7268">
      <c r="A7268" s="3"/>
      <c r="B7268" s="3"/>
      <c r="C7268" s="3"/>
    </row>
    <row r="7269">
      <c r="A7269" s="3"/>
      <c r="B7269" s="3"/>
      <c r="C7269" s="3"/>
    </row>
    <row r="7270">
      <c r="A7270" s="3"/>
      <c r="B7270" s="3"/>
      <c r="C7270" s="3"/>
    </row>
    <row r="7271">
      <c r="A7271" s="3"/>
      <c r="B7271" s="3"/>
      <c r="C7271" s="3"/>
    </row>
    <row r="7272">
      <c r="A7272" s="3"/>
      <c r="B7272" s="3"/>
      <c r="C7272" s="3"/>
    </row>
    <row r="7273">
      <c r="A7273" s="3"/>
      <c r="B7273" s="3"/>
      <c r="C7273" s="3"/>
    </row>
    <row r="7274">
      <c r="A7274" s="3"/>
      <c r="B7274" s="3"/>
      <c r="C7274" s="3"/>
    </row>
    <row r="7275">
      <c r="A7275" s="3"/>
      <c r="B7275" s="3"/>
      <c r="C7275" s="3"/>
    </row>
    <row r="7276">
      <c r="A7276" s="3"/>
      <c r="B7276" s="3"/>
      <c r="C7276" s="3"/>
    </row>
    <row r="7277">
      <c r="A7277" s="3"/>
      <c r="B7277" s="3"/>
      <c r="C7277" s="3"/>
    </row>
    <row r="7278">
      <c r="A7278" s="3"/>
      <c r="B7278" s="3"/>
      <c r="C7278" s="3"/>
    </row>
    <row r="7279">
      <c r="A7279" s="3"/>
      <c r="B7279" s="3"/>
      <c r="C7279" s="3"/>
    </row>
    <row r="7280">
      <c r="A7280" s="3"/>
      <c r="B7280" s="3"/>
      <c r="C7280" s="3"/>
    </row>
    <row r="7281">
      <c r="A7281" s="3"/>
      <c r="B7281" s="3"/>
      <c r="C7281" s="3"/>
    </row>
    <row r="7282">
      <c r="A7282" s="3"/>
      <c r="B7282" s="3"/>
      <c r="C7282" s="3"/>
    </row>
    <row r="7283">
      <c r="A7283" s="3"/>
      <c r="B7283" s="3"/>
      <c r="C7283" s="3"/>
    </row>
    <row r="7284">
      <c r="A7284" s="3"/>
      <c r="B7284" s="3"/>
      <c r="C7284" s="3"/>
    </row>
    <row r="7285">
      <c r="A7285" s="3"/>
      <c r="B7285" s="3"/>
      <c r="C7285" s="3"/>
    </row>
    <row r="7286">
      <c r="A7286" s="3"/>
      <c r="B7286" s="3"/>
      <c r="C7286" s="3"/>
    </row>
    <row r="7287">
      <c r="A7287" s="3"/>
      <c r="B7287" s="3"/>
      <c r="C7287" s="3"/>
    </row>
    <row r="7288">
      <c r="A7288" s="3"/>
      <c r="B7288" s="3"/>
      <c r="C7288" s="3"/>
    </row>
    <row r="7289">
      <c r="A7289" s="3"/>
      <c r="B7289" s="3"/>
      <c r="C7289" s="3"/>
    </row>
    <row r="7290">
      <c r="A7290" s="3"/>
      <c r="B7290" s="3"/>
      <c r="C7290" s="3"/>
    </row>
    <row r="7291">
      <c r="A7291" s="3"/>
      <c r="B7291" s="3"/>
      <c r="C7291" s="3"/>
    </row>
    <row r="7292">
      <c r="A7292" s="3"/>
      <c r="B7292" s="3"/>
      <c r="C7292" s="3"/>
    </row>
    <row r="7293">
      <c r="A7293" s="3"/>
      <c r="B7293" s="3"/>
      <c r="C7293" s="3"/>
    </row>
    <row r="7294">
      <c r="A7294" s="3"/>
      <c r="B7294" s="3"/>
      <c r="C7294" s="3"/>
    </row>
    <row r="7295">
      <c r="A7295" s="3"/>
      <c r="B7295" s="3"/>
      <c r="C7295" s="3"/>
    </row>
    <row r="7296">
      <c r="A7296" s="3"/>
      <c r="B7296" s="3"/>
      <c r="C7296" s="3"/>
    </row>
    <row r="7297">
      <c r="A7297" s="3"/>
      <c r="B7297" s="3"/>
      <c r="C7297" s="3"/>
    </row>
    <row r="7298">
      <c r="A7298" s="3"/>
      <c r="B7298" s="3"/>
      <c r="C7298" s="3"/>
    </row>
    <row r="7299">
      <c r="A7299" s="3"/>
      <c r="B7299" s="3"/>
      <c r="C7299" s="3"/>
    </row>
    <row r="7300">
      <c r="A7300" s="3"/>
      <c r="B7300" s="3"/>
      <c r="C7300" s="3"/>
    </row>
    <row r="7301">
      <c r="A7301" s="3"/>
      <c r="B7301" s="3"/>
      <c r="C7301" s="3"/>
    </row>
    <row r="7302">
      <c r="A7302" s="3"/>
      <c r="B7302" s="3"/>
      <c r="C7302" s="3"/>
    </row>
    <row r="7303">
      <c r="A7303" s="3"/>
      <c r="B7303" s="3"/>
      <c r="C7303" s="3"/>
    </row>
    <row r="7304">
      <c r="A7304" s="3"/>
      <c r="B7304" s="3"/>
      <c r="C7304" s="3"/>
    </row>
    <row r="7305">
      <c r="A7305" s="3"/>
      <c r="B7305" s="3"/>
      <c r="C7305" s="3"/>
    </row>
    <row r="7306">
      <c r="A7306" s="3"/>
      <c r="B7306" s="3"/>
      <c r="C7306" s="3"/>
    </row>
    <row r="7307">
      <c r="A7307" s="3"/>
      <c r="B7307" s="3"/>
      <c r="C7307" s="3"/>
    </row>
    <row r="7308">
      <c r="A7308" s="3"/>
      <c r="B7308" s="3"/>
      <c r="C7308" s="3"/>
    </row>
    <row r="7309">
      <c r="A7309" s="3"/>
      <c r="B7309" s="3"/>
      <c r="C7309" s="3"/>
    </row>
    <row r="7310">
      <c r="A7310" s="3"/>
      <c r="B7310" s="3"/>
      <c r="C7310" s="3"/>
    </row>
    <row r="7311">
      <c r="A7311" s="3"/>
      <c r="B7311" s="3"/>
      <c r="C7311" s="3"/>
    </row>
    <row r="7312">
      <c r="A7312" s="3"/>
      <c r="B7312" s="3"/>
      <c r="C7312" s="3"/>
    </row>
    <row r="7313">
      <c r="A7313" s="3"/>
      <c r="B7313" s="3"/>
      <c r="C7313" s="3"/>
    </row>
    <row r="7314">
      <c r="A7314" s="3"/>
      <c r="B7314" s="3"/>
      <c r="C7314" s="3"/>
    </row>
    <row r="7315">
      <c r="A7315" s="3"/>
      <c r="B7315" s="3"/>
      <c r="C7315" s="3"/>
    </row>
    <row r="7316">
      <c r="A7316" s="3"/>
      <c r="B7316" s="3"/>
      <c r="C7316" s="3"/>
    </row>
    <row r="7317">
      <c r="A7317" s="3"/>
      <c r="B7317" s="3"/>
      <c r="C7317" s="3"/>
    </row>
    <row r="7318">
      <c r="A7318" s="3"/>
      <c r="B7318" s="3"/>
      <c r="C7318" s="3"/>
    </row>
    <row r="7319">
      <c r="A7319" s="3"/>
      <c r="B7319" s="3"/>
      <c r="C7319" s="3"/>
    </row>
    <row r="7320">
      <c r="A7320" s="3"/>
      <c r="B7320" s="3"/>
      <c r="C7320" s="3"/>
    </row>
    <row r="7321">
      <c r="A7321" s="3"/>
      <c r="B7321" s="3"/>
      <c r="C7321" s="3"/>
    </row>
    <row r="7322">
      <c r="A7322" s="3"/>
      <c r="B7322" s="3"/>
      <c r="C7322" s="3"/>
    </row>
    <row r="7323">
      <c r="A7323" s="3"/>
      <c r="B7323" s="3"/>
      <c r="C7323" s="3"/>
    </row>
    <row r="7324">
      <c r="A7324" s="3"/>
      <c r="B7324" s="3"/>
      <c r="C7324" s="3"/>
    </row>
    <row r="7325">
      <c r="A7325" s="3"/>
      <c r="B7325" s="3"/>
      <c r="C7325" s="3"/>
    </row>
    <row r="7326">
      <c r="A7326" s="3"/>
      <c r="B7326" s="3"/>
      <c r="C7326" s="3"/>
    </row>
    <row r="7327">
      <c r="A7327" s="3"/>
      <c r="B7327" s="3"/>
      <c r="C7327" s="3"/>
    </row>
    <row r="7328">
      <c r="A7328" s="3"/>
      <c r="B7328" s="3"/>
      <c r="C7328" s="3"/>
    </row>
    <row r="7329">
      <c r="A7329" s="3"/>
      <c r="B7329" s="3"/>
      <c r="C7329" s="3"/>
    </row>
    <row r="7330">
      <c r="A7330" s="3"/>
      <c r="B7330" s="3"/>
      <c r="C7330" s="3"/>
    </row>
    <row r="7331">
      <c r="A7331" s="3"/>
      <c r="B7331" s="3"/>
      <c r="C7331" s="3"/>
    </row>
    <row r="7332">
      <c r="A7332" s="3"/>
      <c r="B7332" s="3"/>
      <c r="C7332" s="3"/>
    </row>
    <row r="7333">
      <c r="A7333" s="3"/>
      <c r="B7333" s="3"/>
      <c r="C7333" s="3"/>
    </row>
    <row r="7334">
      <c r="A7334" s="3"/>
      <c r="B7334" s="3"/>
      <c r="C7334" s="3"/>
    </row>
    <row r="7335">
      <c r="A7335" s="3"/>
      <c r="B7335" s="3"/>
      <c r="C7335" s="3"/>
    </row>
    <row r="7336">
      <c r="A7336" s="3"/>
      <c r="B7336" s="3"/>
      <c r="C7336" s="3"/>
    </row>
    <row r="7337">
      <c r="A7337" s="3"/>
      <c r="B7337" s="3"/>
      <c r="C7337" s="3"/>
    </row>
    <row r="7338">
      <c r="A7338" s="3"/>
      <c r="B7338" s="3"/>
      <c r="C7338" s="3"/>
    </row>
    <row r="7339">
      <c r="A7339" s="3"/>
      <c r="B7339" s="3"/>
      <c r="C7339" s="3"/>
    </row>
    <row r="7340">
      <c r="A7340" s="3"/>
      <c r="B7340" s="3"/>
      <c r="C7340" s="3"/>
    </row>
    <row r="7341">
      <c r="A7341" s="3"/>
      <c r="B7341" s="3"/>
      <c r="C7341" s="3"/>
    </row>
    <row r="7342">
      <c r="A7342" s="3"/>
      <c r="B7342" s="3"/>
      <c r="C7342" s="3"/>
    </row>
    <row r="7343">
      <c r="A7343" s="3"/>
      <c r="B7343" s="3"/>
      <c r="C7343" s="3"/>
    </row>
    <row r="7344">
      <c r="A7344" s="3"/>
      <c r="B7344" s="3"/>
      <c r="C7344" s="3"/>
    </row>
    <row r="7345">
      <c r="A7345" s="3"/>
      <c r="B7345" s="3"/>
      <c r="C7345" s="3"/>
    </row>
    <row r="7346">
      <c r="A7346" s="3"/>
      <c r="B7346" s="3"/>
      <c r="C7346" s="3"/>
    </row>
    <row r="7347">
      <c r="A7347" s="3"/>
      <c r="B7347" s="3"/>
      <c r="C7347" s="3"/>
    </row>
    <row r="7348">
      <c r="A7348" s="3"/>
      <c r="B7348" s="3"/>
      <c r="C7348" s="3"/>
    </row>
    <row r="7349">
      <c r="A7349" s="3"/>
      <c r="B7349" s="3"/>
      <c r="C7349" s="3"/>
    </row>
    <row r="7350">
      <c r="A7350" s="3"/>
      <c r="B7350" s="3"/>
      <c r="C7350" s="3"/>
    </row>
    <row r="7351">
      <c r="A7351" s="3"/>
      <c r="B7351" s="3"/>
      <c r="C7351" s="3"/>
    </row>
    <row r="7352">
      <c r="A7352" s="3"/>
      <c r="B7352" s="3"/>
      <c r="C7352" s="3"/>
    </row>
    <row r="7353">
      <c r="A7353" s="3"/>
      <c r="B7353" s="3"/>
      <c r="C7353" s="3"/>
    </row>
    <row r="7354">
      <c r="A7354" s="3"/>
      <c r="B7354" s="3"/>
      <c r="C7354" s="3"/>
    </row>
    <row r="7355">
      <c r="A7355" s="3"/>
      <c r="B7355" s="3"/>
      <c r="C7355" s="3"/>
    </row>
    <row r="7356">
      <c r="A7356" s="3"/>
      <c r="B7356" s="3"/>
      <c r="C7356" s="3"/>
    </row>
    <row r="7357">
      <c r="A7357" s="3"/>
      <c r="B7357" s="3"/>
      <c r="C7357" s="3"/>
    </row>
    <row r="7358">
      <c r="A7358" s="3"/>
      <c r="B7358" s="3"/>
      <c r="C7358" s="3"/>
    </row>
    <row r="7359">
      <c r="A7359" s="3"/>
      <c r="B7359" s="3"/>
      <c r="C7359" s="3"/>
    </row>
    <row r="7360">
      <c r="A7360" s="3"/>
      <c r="B7360" s="3"/>
      <c r="C7360" s="3"/>
    </row>
    <row r="7361">
      <c r="A7361" s="3"/>
      <c r="B7361" s="3"/>
      <c r="C7361" s="3"/>
    </row>
    <row r="7362">
      <c r="A7362" s="3"/>
      <c r="B7362" s="3"/>
      <c r="C7362" s="3"/>
    </row>
    <row r="7363">
      <c r="A7363" s="3"/>
      <c r="B7363" s="3"/>
      <c r="C7363" s="3"/>
    </row>
    <row r="7364">
      <c r="A7364" s="3"/>
      <c r="B7364" s="3"/>
      <c r="C7364" s="3"/>
    </row>
    <row r="7365">
      <c r="A7365" s="3"/>
      <c r="B7365" s="3"/>
      <c r="C7365" s="3"/>
    </row>
    <row r="7366">
      <c r="A7366" s="3"/>
      <c r="B7366" s="3"/>
      <c r="C7366" s="3"/>
    </row>
    <row r="7367">
      <c r="A7367" s="3"/>
      <c r="B7367" s="3"/>
      <c r="C7367" s="3"/>
    </row>
    <row r="7368">
      <c r="A7368" s="3"/>
      <c r="B7368" s="3"/>
      <c r="C7368" s="3"/>
    </row>
    <row r="7369">
      <c r="A7369" s="3"/>
      <c r="B7369" s="3"/>
      <c r="C7369" s="3"/>
    </row>
    <row r="7370">
      <c r="A7370" s="3"/>
      <c r="B7370" s="3"/>
      <c r="C7370" s="3"/>
    </row>
    <row r="7371">
      <c r="A7371" s="3"/>
      <c r="B7371" s="3"/>
      <c r="C7371" s="3"/>
    </row>
    <row r="7372">
      <c r="A7372" s="3"/>
      <c r="B7372" s="3"/>
      <c r="C7372" s="3"/>
    </row>
    <row r="7373">
      <c r="A7373" s="3"/>
      <c r="B7373" s="3"/>
      <c r="C7373" s="3"/>
    </row>
    <row r="7374">
      <c r="A7374" s="3"/>
      <c r="B7374" s="3"/>
      <c r="C7374" s="3"/>
    </row>
    <row r="7375">
      <c r="A7375" s="3"/>
      <c r="B7375" s="3"/>
      <c r="C7375" s="3"/>
    </row>
    <row r="7376">
      <c r="A7376" s="3"/>
      <c r="B7376" s="3"/>
      <c r="C7376" s="3"/>
    </row>
    <row r="7377">
      <c r="A7377" s="3"/>
      <c r="B7377" s="3"/>
      <c r="C7377" s="3"/>
    </row>
    <row r="7378">
      <c r="A7378" s="3"/>
      <c r="B7378" s="3"/>
      <c r="C7378" s="3"/>
    </row>
    <row r="7379">
      <c r="A7379" s="3"/>
      <c r="B7379" s="3"/>
      <c r="C7379" s="3"/>
    </row>
    <row r="7380">
      <c r="A7380" s="3"/>
      <c r="B7380" s="3"/>
      <c r="C7380" s="3"/>
    </row>
    <row r="7381">
      <c r="A7381" s="3"/>
      <c r="B7381" s="3"/>
      <c r="C7381" s="3"/>
    </row>
    <row r="7382">
      <c r="A7382" s="3"/>
      <c r="B7382" s="3"/>
      <c r="C7382" s="3"/>
    </row>
    <row r="7383">
      <c r="A7383" s="3"/>
      <c r="B7383" s="3"/>
      <c r="C7383" s="3"/>
    </row>
    <row r="7384">
      <c r="A7384" s="3"/>
      <c r="B7384" s="3"/>
      <c r="C7384" s="3"/>
    </row>
    <row r="7385">
      <c r="A7385" s="3"/>
      <c r="B7385" s="3"/>
      <c r="C7385" s="3"/>
    </row>
    <row r="7386">
      <c r="A7386" s="3"/>
      <c r="B7386" s="3"/>
      <c r="C7386" s="3"/>
    </row>
    <row r="7387">
      <c r="A7387" s="3"/>
      <c r="B7387" s="3"/>
      <c r="C7387" s="3"/>
    </row>
    <row r="7388">
      <c r="A7388" s="3"/>
      <c r="B7388" s="3"/>
      <c r="C7388" s="3"/>
    </row>
    <row r="7389">
      <c r="A7389" s="3"/>
      <c r="B7389" s="3"/>
      <c r="C7389" s="3"/>
    </row>
    <row r="7390">
      <c r="A7390" s="3"/>
      <c r="B7390" s="3"/>
      <c r="C7390" s="3"/>
    </row>
    <row r="7391">
      <c r="A7391" s="3"/>
      <c r="B7391" s="3"/>
      <c r="C7391" s="3"/>
    </row>
    <row r="7392">
      <c r="A7392" s="3"/>
      <c r="B7392" s="3"/>
      <c r="C7392" s="3"/>
    </row>
    <row r="7393">
      <c r="A7393" s="3"/>
      <c r="B7393" s="3"/>
      <c r="C7393" s="3"/>
    </row>
    <row r="7394">
      <c r="A7394" s="3"/>
      <c r="B7394" s="3"/>
      <c r="C7394" s="3"/>
    </row>
    <row r="7395">
      <c r="A7395" s="3"/>
      <c r="B7395" s="3"/>
      <c r="C7395" s="3"/>
    </row>
    <row r="7396">
      <c r="A7396" s="3"/>
      <c r="B7396" s="3"/>
      <c r="C7396" s="3"/>
    </row>
    <row r="7397">
      <c r="A7397" s="3"/>
      <c r="B7397" s="3"/>
      <c r="C7397" s="3"/>
    </row>
    <row r="7398">
      <c r="A7398" s="3"/>
      <c r="B7398" s="3"/>
      <c r="C7398" s="3"/>
    </row>
    <row r="7399">
      <c r="A7399" s="3"/>
      <c r="B7399" s="3"/>
      <c r="C7399" s="3"/>
    </row>
    <row r="7400">
      <c r="A7400" s="3"/>
      <c r="B7400" s="3"/>
      <c r="C7400" s="3"/>
    </row>
    <row r="7401">
      <c r="A7401" s="3"/>
      <c r="B7401" s="3"/>
      <c r="C7401" s="3"/>
    </row>
    <row r="7402">
      <c r="A7402" s="3"/>
      <c r="B7402" s="3"/>
      <c r="C7402" s="3"/>
    </row>
    <row r="7403">
      <c r="A7403" s="3"/>
      <c r="B7403" s="3"/>
      <c r="C7403" s="3"/>
    </row>
    <row r="7404">
      <c r="A7404" s="3"/>
      <c r="B7404" s="3"/>
      <c r="C7404" s="3"/>
    </row>
    <row r="7405">
      <c r="A7405" s="3"/>
      <c r="B7405" s="3"/>
      <c r="C7405" s="3"/>
    </row>
    <row r="7406">
      <c r="A7406" s="3"/>
      <c r="B7406" s="3"/>
      <c r="C7406" s="3"/>
    </row>
    <row r="7407">
      <c r="A7407" s="3"/>
      <c r="B7407" s="3"/>
      <c r="C7407" s="3"/>
    </row>
    <row r="7408">
      <c r="A7408" s="3"/>
      <c r="B7408" s="3"/>
      <c r="C7408" s="3"/>
    </row>
    <row r="7409">
      <c r="A7409" s="3"/>
      <c r="B7409" s="3"/>
      <c r="C7409" s="3"/>
    </row>
    <row r="7410">
      <c r="A7410" s="3"/>
      <c r="B7410" s="3"/>
      <c r="C7410" s="3"/>
    </row>
    <row r="7411">
      <c r="A7411" s="3"/>
      <c r="B7411" s="3"/>
      <c r="C7411" s="3"/>
    </row>
    <row r="7412">
      <c r="A7412" s="3"/>
      <c r="B7412" s="3"/>
      <c r="C7412" s="3"/>
    </row>
    <row r="7413">
      <c r="A7413" s="3"/>
      <c r="B7413" s="3"/>
      <c r="C7413" s="3"/>
    </row>
    <row r="7414">
      <c r="A7414" s="3"/>
      <c r="B7414" s="3"/>
      <c r="C7414" s="3"/>
    </row>
    <row r="7415">
      <c r="A7415" s="3"/>
      <c r="B7415" s="3"/>
      <c r="C7415" s="3"/>
    </row>
    <row r="7416">
      <c r="A7416" s="3"/>
      <c r="B7416" s="3"/>
      <c r="C7416" s="3"/>
    </row>
    <row r="7417">
      <c r="A7417" s="3"/>
      <c r="B7417" s="3"/>
      <c r="C7417" s="3"/>
    </row>
    <row r="7418">
      <c r="A7418" s="3"/>
      <c r="B7418" s="3"/>
      <c r="C7418" s="3"/>
    </row>
    <row r="7419">
      <c r="A7419" s="3"/>
      <c r="B7419" s="3"/>
      <c r="C7419" s="3"/>
    </row>
    <row r="7420">
      <c r="A7420" s="3"/>
      <c r="B7420" s="3"/>
      <c r="C7420" s="3"/>
    </row>
    <row r="7421">
      <c r="A7421" s="3"/>
      <c r="B7421" s="3"/>
      <c r="C7421" s="3"/>
    </row>
    <row r="7422">
      <c r="A7422" s="3"/>
      <c r="B7422" s="3"/>
      <c r="C7422" s="3"/>
    </row>
    <row r="7423">
      <c r="A7423" s="3"/>
      <c r="B7423" s="3"/>
      <c r="C7423" s="3"/>
    </row>
    <row r="7424">
      <c r="A7424" s="3"/>
      <c r="B7424" s="3"/>
      <c r="C7424" s="3"/>
    </row>
    <row r="7425">
      <c r="A7425" s="3"/>
      <c r="B7425" s="3"/>
      <c r="C7425" s="3"/>
    </row>
    <row r="7426">
      <c r="A7426" s="3"/>
      <c r="B7426" s="3"/>
      <c r="C7426" s="3"/>
    </row>
    <row r="7427">
      <c r="A7427" s="3"/>
      <c r="B7427" s="3"/>
      <c r="C7427" s="3"/>
    </row>
    <row r="7428">
      <c r="A7428" s="3"/>
      <c r="B7428" s="3"/>
      <c r="C7428" s="3"/>
    </row>
    <row r="7429">
      <c r="A7429" s="3"/>
      <c r="B7429" s="3"/>
      <c r="C7429" s="3"/>
    </row>
    <row r="7430">
      <c r="A7430" s="3"/>
      <c r="B7430" s="3"/>
      <c r="C7430" s="3"/>
    </row>
    <row r="7431">
      <c r="A7431" s="3"/>
      <c r="B7431" s="3"/>
      <c r="C7431" s="3"/>
    </row>
    <row r="7432">
      <c r="A7432" s="3"/>
      <c r="B7432" s="3"/>
      <c r="C7432" s="3"/>
    </row>
    <row r="7433">
      <c r="A7433" s="3"/>
      <c r="B7433" s="3"/>
      <c r="C7433" s="3"/>
    </row>
    <row r="7434">
      <c r="A7434" s="3"/>
      <c r="B7434" s="3"/>
      <c r="C7434" s="3"/>
    </row>
    <row r="7435">
      <c r="A7435" s="3"/>
      <c r="B7435" s="3"/>
      <c r="C7435" s="3"/>
    </row>
    <row r="7436">
      <c r="A7436" s="3"/>
      <c r="B7436" s="3"/>
      <c r="C7436" s="3"/>
    </row>
    <row r="7437">
      <c r="A7437" s="3"/>
      <c r="B7437" s="3"/>
      <c r="C7437" s="3"/>
    </row>
    <row r="7438">
      <c r="A7438" s="3"/>
      <c r="B7438" s="3"/>
      <c r="C7438" s="3"/>
    </row>
    <row r="7439">
      <c r="A7439" s="3"/>
      <c r="B7439" s="3"/>
      <c r="C7439" s="3"/>
    </row>
    <row r="7440">
      <c r="A7440" s="3"/>
      <c r="B7440" s="3"/>
      <c r="C7440" s="3"/>
    </row>
    <row r="7441">
      <c r="A7441" s="3"/>
      <c r="B7441" s="3"/>
      <c r="C7441" s="3"/>
    </row>
    <row r="7442">
      <c r="A7442" s="3"/>
      <c r="B7442" s="3"/>
      <c r="C7442" s="3"/>
    </row>
    <row r="7443">
      <c r="A7443" s="3"/>
      <c r="B7443" s="3"/>
      <c r="C7443" s="3"/>
    </row>
    <row r="7444">
      <c r="A7444" s="3"/>
      <c r="B7444" s="3"/>
      <c r="C7444" s="3"/>
    </row>
    <row r="7445">
      <c r="A7445" s="3"/>
      <c r="B7445" s="3"/>
      <c r="C7445" s="3"/>
    </row>
    <row r="7446">
      <c r="A7446" s="3"/>
      <c r="B7446" s="3"/>
      <c r="C7446" s="3"/>
    </row>
    <row r="7447">
      <c r="A7447" s="3"/>
      <c r="B7447" s="3"/>
      <c r="C7447" s="3"/>
    </row>
    <row r="7448">
      <c r="A7448" s="3"/>
      <c r="B7448" s="3"/>
      <c r="C7448" s="3"/>
    </row>
    <row r="7449">
      <c r="A7449" s="3"/>
      <c r="B7449" s="3"/>
      <c r="C7449" s="3"/>
    </row>
    <row r="7450">
      <c r="A7450" s="3"/>
      <c r="B7450" s="3"/>
      <c r="C7450" s="3"/>
    </row>
    <row r="7451">
      <c r="A7451" s="3"/>
      <c r="B7451" s="3"/>
      <c r="C7451" s="3"/>
    </row>
    <row r="7452">
      <c r="A7452" s="3"/>
      <c r="B7452" s="3"/>
      <c r="C7452" s="3"/>
    </row>
    <row r="7453">
      <c r="A7453" s="3"/>
      <c r="B7453" s="3"/>
      <c r="C7453" s="3"/>
    </row>
    <row r="7454">
      <c r="A7454" s="3"/>
      <c r="B7454" s="3"/>
      <c r="C7454" s="3"/>
    </row>
    <row r="7455">
      <c r="A7455" s="3"/>
      <c r="B7455" s="3"/>
      <c r="C7455" s="3"/>
    </row>
    <row r="7456">
      <c r="A7456" s="3"/>
      <c r="B7456" s="3"/>
      <c r="C7456" s="3"/>
    </row>
    <row r="7457">
      <c r="A7457" s="3"/>
      <c r="B7457" s="3"/>
      <c r="C7457" s="3"/>
    </row>
    <row r="7458">
      <c r="A7458" s="3"/>
      <c r="B7458" s="3"/>
      <c r="C7458" s="3"/>
    </row>
    <row r="7459">
      <c r="A7459" s="3"/>
      <c r="B7459" s="3"/>
      <c r="C7459" s="3"/>
    </row>
    <row r="7460">
      <c r="A7460" s="3"/>
      <c r="B7460" s="3"/>
      <c r="C7460" s="3"/>
    </row>
    <row r="7461">
      <c r="A7461" s="3"/>
      <c r="B7461" s="3"/>
      <c r="C7461" s="3"/>
    </row>
    <row r="7462">
      <c r="A7462" s="3"/>
      <c r="B7462" s="3"/>
      <c r="C7462" s="3"/>
    </row>
    <row r="7463">
      <c r="A7463" s="3"/>
      <c r="B7463" s="3"/>
      <c r="C7463" s="3"/>
    </row>
    <row r="7464">
      <c r="A7464" s="3"/>
      <c r="B7464" s="3"/>
      <c r="C7464" s="3"/>
    </row>
    <row r="7465">
      <c r="A7465" s="3"/>
      <c r="B7465" s="3"/>
      <c r="C7465" s="3"/>
    </row>
    <row r="7466">
      <c r="A7466" s="3"/>
      <c r="B7466" s="3"/>
      <c r="C7466" s="3"/>
    </row>
    <row r="7467">
      <c r="A7467" s="3"/>
      <c r="B7467" s="3"/>
      <c r="C7467" s="3"/>
    </row>
    <row r="7468">
      <c r="A7468" s="3"/>
      <c r="B7468" s="3"/>
      <c r="C7468" s="3"/>
    </row>
    <row r="7469">
      <c r="A7469" s="3"/>
      <c r="B7469" s="3"/>
      <c r="C7469" s="3"/>
    </row>
    <row r="7470">
      <c r="A7470" s="3"/>
      <c r="B7470" s="3"/>
      <c r="C7470" s="3"/>
    </row>
    <row r="7471">
      <c r="A7471" s="3"/>
      <c r="B7471" s="3"/>
      <c r="C7471" s="3"/>
    </row>
    <row r="7472">
      <c r="A7472" s="3"/>
      <c r="B7472" s="3"/>
      <c r="C7472" s="3"/>
    </row>
    <row r="7473">
      <c r="A7473" s="3"/>
      <c r="B7473" s="3"/>
      <c r="C7473" s="3"/>
    </row>
    <row r="7474">
      <c r="A7474" s="3"/>
      <c r="B7474" s="3"/>
      <c r="C7474" s="3"/>
    </row>
    <row r="7475">
      <c r="A7475" s="3"/>
      <c r="B7475" s="3"/>
      <c r="C7475" s="3"/>
    </row>
    <row r="7476">
      <c r="A7476" s="3"/>
      <c r="B7476" s="3"/>
      <c r="C7476" s="3"/>
    </row>
    <row r="7477">
      <c r="A7477" s="3"/>
      <c r="B7477" s="3"/>
      <c r="C7477" s="3"/>
    </row>
    <row r="7478">
      <c r="A7478" s="3"/>
      <c r="B7478" s="3"/>
      <c r="C7478" s="3"/>
    </row>
    <row r="7479">
      <c r="A7479" s="3"/>
      <c r="B7479" s="3"/>
      <c r="C7479" s="3"/>
    </row>
    <row r="7480">
      <c r="A7480" s="3"/>
      <c r="B7480" s="3"/>
      <c r="C7480" s="3"/>
    </row>
    <row r="7481">
      <c r="A7481" s="3"/>
      <c r="B7481" s="3"/>
      <c r="C7481" s="3"/>
    </row>
    <row r="7482">
      <c r="A7482" s="3"/>
      <c r="B7482" s="3"/>
      <c r="C7482" s="3"/>
    </row>
    <row r="7483">
      <c r="A7483" s="3"/>
      <c r="B7483" s="3"/>
      <c r="C7483" s="3"/>
    </row>
    <row r="7484">
      <c r="A7484" s="3"/>
      <c r="B7484" s="3"/>
      <c r="C7484" s="3"/>
    </row>
    <row r="7485">
      <c r="A7485" s="3"/>
      <c r="B7485" s="3"/>
      <c r="C7485" s="3"/>
    </row>
    <row r="7486">
      <c r="A7486" s="3"/>
      <c r="B7486" s="3"/>
      <c r="C7486" s="3"/>
    </row>
    <row r="7487">
      <c r="A7487" s="3"/>
      <c r="B7487" s="3"/>
      <c r="C7487" s="3"/>
    </row>
    <row r="7488">
      <c r="A7488" s="3"/>
      <c r="B7488" s="3"/>
      <c r="C7488" s="3"/>
    </row>
    <row r="7489">
      <c r="A7489" s="3"/>
      <c r="B7489" s="3"/>
      <c r="C7489" s="3"/>
    </row>
    <row r="7490">
      <c r="A7490" s="3"/>
      <c r="B7490" s="3"/>
      <c r="C7490" s="3"/>
    </row>
    <row r="7491">
      <c r="A7491" s="3"/>
      <c r="B7491" s="3"/>
      <c r="C7491" s="3"/>
    </row>
    <row r="7492">
      <c r="A7492" s="3"/>
      <c r="B7492" s="3"/>
      <c r="C7492" s="3"/>
    </row>
    <row r="7493">
      <c r="A7493" s="3"/>
      <c r="B7493" s="3"/>
      <c r="C7493" s="3"/>
    </row>
    <row r="7494">
      <c r="A7494" s="3"/>
      <c r="B7494" s="3"/>
      <c r="C7494" s="3"/>
    </row>
    <row r="7495">
      <c r="A7495" s="3"/>
      <c r="B7495" s="3"/>
      <c r="C7495" s="3"/>
    </row>
    <row r="7496">
      <c r="A7496" s="3"/>
      <c r="B7496" s="3"/>
      <c r="C7496" s="3"/>
    </row>
    <row r="7497">
      <c r="A7497" s="3"/>
      <c r="B7497" s="3"/>
      <c r="C7497" s="3"/>
    </row>
    <row r="7498">
      <c r="A7498" s="3"/>
      <c r="B7498" s="3"/>
      <c r="C7498" s="3"/>
    </row>
    <row r="7499">
      <c r="A7499" s="3"/>
      <c r="B7499" s="3"/>
      <c r="C7499" s="3"/>
    </row>
    <row r="7500">
      <c r="A7500" s="3"/>
      <c r="B7500" s="3"/>
      <c r="C7500" s="3"/>
    </row>
    <row r="7501">
      <c r="A7501" s="3"/>
      <c r="B7501" s="3"/>
      <c r="C7501" s="3"/>
    </row>
    <row r="7502">
      <c r="A7502" s="3"/>
      <c r="B7502" s="3"/>
      <c r="C7502" s="3"/>
    </row>
    <row r="7503">
      <c r="A7503" s="3"/>
      <c r="B7503" s="3"/>
      <c r="C7503" s="3"/>
    </row>
    <row r="7504">
      <c r="A7504" s="3"/>
      <c r="B7504" s="3"/>
      <c r="C7504" s="3"/>
    </row>
    <row r="7505">
      <c r="A7505" s="3"/>
      <c r="B7505" s="3"/>
      <c r="C7505" s="3"/>
    </row>
    <row r="7506">
      <c r="A7506" s="3"/>
      <c r="B7506" s="3"/>
      <c r="C7506" s="3"/>
    </row>
    <row r="7507">
      <c r="A7507" s="3"/>
      <c r="B7507" s="3"/>
      <c r="C7507" s="3"/>
    </row>
    <row r="7508">
      <c r="A7508" s="3"/>
      <c r="B7508" s="3"/>
      <c r="C7508" s="3"/>
    </row>
    <row r="7509">
      <c r="A7509" s="3"/>
      <c r="B7509" s="3"/>
      <c r="C7509" s="3"/>
    </row>
    <row r="7510">
      <c r="A7510" s="3"/>
      <c r="B7510" s="3"/>
      <c r="C7510" s="3"/>
    </row>
    <row r="7511">
      <c r="A7511" s="3"/>
      <c r="B7511" s="3"/>
      <c r="C7511" s="3"/>
    </row>
    <row r="7512">
      <c r="A7512" s="3"/>
      <c r="B7512" s="3"/>
      <c r="C7512" s="3"/>
    </row>
    <row r="7513">
      <c r="A7513" s="3"/>
      <c r="B7513" s="3"/>
      <c r="C7513" s="3"/>
    </row>
    <row r="7514">
      <c r="A7514" s="3"/>
      <c r="B7514" s="3"/>
      <c r="C7514" s="3"/>
    </row>
    <row r="7515">
      <c r="A7515" s="3"/>
      <c r="B7515" s="3"/>
      <c r="C7515" s="3"/>
    </row>
    <row r="7516">
      <c r="A7516" s="3"/>
      <c r="B7516" s="3"/>
      <c r="C7516" s="3"/>
    </row>
    <row r="7517">
      <c r="A7517" s="3"/>
      <c r="B7517" s="3"/>
      <c r="C7517" s="3"/>
    </row>
    <row r="7518">
      <c r="A7518" s="3"/>
      <c r="B7518" s="3"/>
      <c r="C7518" s="3"/>
    </row>
    <row r="7519">
      <c r="A7519" s="3"/>
      <c r="B7519" s="3"/>
      <c r="C7519" s="3"/>
    </row>
    <row r="7520">
      <c r="A7520" s="3"/>
      <c r="B7520" s="3"/>
      <c r="C7520" s="3"/>
    </row>
    <row r="7521">
      <c r="A7521" s="3"/>
      <c r="B7521" s="3"/>
      <c r="C7521" s="3"/>
    </row>
    <row r="7522">
      <c r="A7522" s="3"/>
      <c r="B7522" s="3"/>
      <c r="C7522" s="3"/>
    </row>
    <row r="7523">
      <c r="A7523" s="3"/>
      <c r="B7523" s="3"/>
      <c r="C7523" s="3"/>
    </row>
    <row r="7524">
      <c r="A7524" s="3"/>
      <c r="B7524" s="3"/>
      <c r="C7524" s="3"/>
    </row>
    <row r="7525">
      <c r="A7525" s="3"/>
      <c r="B7525" s="3"/>
      <c r="C7525" s="3"/>
    </row>
    <row r="7526">
      <c r="A7526" s="3"/>
      <c r="B7526" s="3"/>
      <c r="C7526" s="3"/>
    </row>
    <row r="7527">
      <c r="A7527" s="3"/>
      <c r="B7527" s="3"/>
      <c r="C7527" s="3"/>
    </row>
    <row r="7528">
      <c r="A7528" s="3"/>
      <c r="B7528" s="3"/>
      <c r="C7528" s="3"/>
    </row>
    <row r="7529">
      <c r="A7529" s="3"/>
      <c r="B7529" s="3"/>
      <c r="C7529" s="3"/>
    </row>
    <row r="7530">
      <c r="A7530" s="3"/>
      <c r="B7530" s="3"/>
      <c r="C7530" s="3"/>
    </row>
    <row r="7531">
      <c r="A7531" s="3"/>
      <c r="B7531" s="3"/>
      <c r="C7531" s="3"/>
    </row>
    <row r="7532">
      <c r="A7532" s="3"/>
      <c r="B7532" s="3"/>
      <c r="C7532" s="3"/>
    </row>
    <row r="7533">
      <c r="A7533" s="3"/>
      <c r="B7533" s="3"/>
      <c r="C7533" s="3"/>
    </row>
    <row r="7534">
      <c r="A7534" s="3"/>
      <c r="B7534" s="3"/>
      <c r="C7534" s="3"/>
    </row>
    <row r="7535">
      <c r="A7535" s="3"/>
      <c r="B7535" s="3"/>
      <c r="C7535" s="3"/>
    </row>
    <row r="7536">
      <c r="A7536" s="3"/>
      <c r="B7536" s="3"/>
      <c r="C7536" s="3"/>
    </row>
    <row r="7537">
      <c r="A7537" s="3"/>
      <c r="B7537" s="3"/>
      <c r="C7537" s="3"/>
    </row>
    <row r="7538">
      <c r="A7538" s="3"/>
      <c r="B7538" s="3"/>
      <c r="C7538" s="3"/>
    </row>
    <row r="7539">
      <c r="A7539" s="3"/>
      <c r="B7539" s="3"/>
      <c r="C7539" s="3"/>
    </row>
    <row r="7540">
      <c r="A7540" s="3"/>
      <c r="B7540" s="3"/>
      <c r="C7540" s="3"/>
    </row>
    <row r="7541">
      <c r="A7541" s="3"/>
      <c r="B7541" s="3"/>
      <c r="C7541" s="3"/>
    </row>
    <row r="7542">
      <c r="A7542" s="3"/>
      <c r="B7542" s="3"/>
      <c r="C7542" s="3"/>
    </row>
    <row r="7543">
      <c r="A7543" s="3"/>
      <c r="B7543" s="3"/>
      <c r="C7543" s="3"/>
    </row>
    <row r="7544">
      <c r="A7544" s="3"/>
      <c r="B7544" s="3"/>
      <c r="C7544" s="3"/>
    </row>
    <row r="7545">
      <c r="A7545" s="3"/>
      <c r="B7545" s="3"/>
      <c r="C7545" s="3"/>
    </row>
    <row r="7546">
      <c r="A7546" s="3"/>
      <c r="B7546" s="3"/>
      <c r="C7546" s="3"/>
    </row>
    <row r="7547">
      <c r="A7547" s="3"/>
      <c r="B7547" s="3"/>
      <c r="C7547" s="3"/>
    </row>
    <row r="7548">
      <c r="A7548" s="3"/>
      <c r="B7548" s="3"/>
      <c r="C7548" s="3"/>
    </row>
    <row r="7549">
      <c r="A7549" s="3"/>
      <c r="B7549" s="3"/>
      <c r="C7549" s="3"/>
    </row>
    <row r="7550">
      <c r="A7550" s="3"/>
      <c r="B7550" s="3"/>
      <c r="C7550" s="3"/>
    </row>
    <row r="7551">
      <c r="A7551" s="3"/>
      <c r="B7551" s="3"/>
      <c r="C7551" s="3"/>
    </row>
    <row r="7552">
      <c r="A7552" s="3"/>
      <c r="B7552" s="3"/>
      <c r="C7552" s="3"/>
    </row>
    <row r="7553">
      <c r="A7553" s="3"/>
      <c r="B7553" s="3"/>
      <c r="C7553" s="3"/>
    </row>
    <row r="7554">
      <c r="A7554" s="3"/>
      <c r="B7554" s="3"/>
      <c r="C7554" s="3"/>
    </row>
    <row r="7555">
      <c r="A7555" s="3"/>
      <c r="B7555" s="3"/>
      <c r="C7555" s="3"/>
    </row>
    <row r="7556">
      <c r="A7556" s="3"/>
      <c r="B7556" s="3"/>
      <c r="C7556" s="3"/>
    </row>
    <row r="7557">
      <c r="A7557" s="3"/>
      <c r="B7557" s="3"/>
      <c r="C7557" s="3"/>
    </row>
    <row r="7558">
      <c r="A7558" s="3"/>
      <c r="B7558" s="3"/>
      <c r="C7558" s="3"/>
    </row>
    <row r="7559">
      <c r="A7559" s="3"/>
      <c r="B7559" s="3"/>
      <c r="C7559" s="3"/>
    </row>
    <row r="7560">
      <c r="A7560" s="3"/>
      <c r="B7560" s="3"/>
      <c r="C7560" s="3"/>
    </row>
    <row r="7561">
      <c r="A7561" s="3"/>
      <c r="B7561" s="3"/>
      <c r="C7561" s="3"/>
    </row>
    <row r="7562">
      <c r="A7562" s="3"/>
      <c r="B7562" s="3"/>
      <c r="C7562" s="3"/>
    </row>
    <row r="7563">
      <c r="A7563" s="3"/>
      <c r="B7563" s="3"/>
      <c r="C7563" s="3"/>
    </row>
    <row r="7564">
      <c r="A7564" s="3"/>
      <c r="B7564" s="3"/>
      <c r="C7564" s="3"/>
    </row>
    <row r="7565">
      <c r="A7565" s="3"/>
      <c r="B7565" s="3"/>
      <c r="C7565" s="3"/>
    </row>
    <row r="7566">
      <c r="A7566" s="3"/>
      <c r="B7566" s="3"/>
      <c r="C7566" s="3"/>
    </row>
    <row r="7567">
      <c r="A7567" s="3"/>
      <c r="B7567" s="3"/>
      <c r="C7567" s="3"/>
    </row>
    <row r="7568">
      <c r="A7568" s="3"/>
      <c r="B7568" s="3"/>
      <c r="C7568" s="3"/>
    </row>
    <row r="7569">
      <c r="A7569" s="3"/>
      <c r="B7569" s="3"/>
      <c r="C7569" s="3"/>
    </row>
    <row r="7570">
      <c r="A7570" s="3"/>
      <c r="B7570" s="3"/>
      <c r="C7570" s="3"/>
    </row>
    <row r="7571">
      <c r="A7571" s="3"/>
      <c r="B7571" s="3"/>
      <c r="C7571" s="3"/>
    </row>
    <row r="7572">
      <c r="A7572" s="3"/>
      <c r="B7572" s="3"/>
      <c r="C7572" s="3"/>
    </row>
    <row r="7573">
      <c r="A7573" s="3"/>
      <c r="B7573" s="3"/>
      <c r="C7573" s="3"/>
    </row>
    <row r="7574">
      <c r="A7574" s="3"/>
      <c r="B7574" s="3"/>
      <c r="C7574" s="3"/>
    </row>
    <row r="7575">
      <c r="A7575" s="3"/>
      <c r="B7575" s="3"/>
      <c r="C7575" s="3"/>
    </row>
    <row r="7576">
      <c r="A7576" s="3"/>
      <c r="B7576" s="3"/>
      <c r="C7576" s="3"/>
    </row>
    <row r="7577">
      <c r="A7577" s="3"/>
      <c r="B7577" s="3"/>
      <c r="C7577" s="3"/>
    </row>
    <row r="7578">
      <c r="A7578" s="3"/>
      <c r="B7578" s="3"/>
      <c r="C7578" s="3"/>
    </row>
    <row r="7579">
      <c r="A7579" s="3"/>
      <c r="B7579" s="3"/>
      <c r="C7579" s="3"/>
    </row>
    <row r="7580">
      <c r="A7580" s="3"/>
      <c r="B7580" s="3"/>
      <c r="C7580" s="3"/>
    </row>
    <row r="7581">
      <c r="A7581" s="3"/>
      <c r="B7581" s="3"/>
      <c r="C7581" s="3"/>
    </row>
    <row r="7582">
      <c r="A7582" s="3"/>
      <c r="B7582" s="3"/>
      <c r="C7582" s="3"/>
    </row>
    <row r="7583">
      <c r="A7583" s="3"/>
      <c r="B7583" s="3"/>
      <c r="C7583" s="3"/>
    </row>
    <row r="7584">
      <c r="A7584" s="3"/>
      <c r="B7584" s="3"/>
      <c r="C7584" s="3"/>
    </row>
    <row r="7585">
      <c r="A7585" s="3"/>
      <c r="B7585" s="3"/>
      <c r="C7585" s="3"/>
    </row>
    <row r="7586">
      <c r="A7586" s="3"/>
      <c r="B7586" s="3"/>
      <c r="C7586" s="3"/>
    </row>
    <row r="7587">
      <c r="A7587" s="3"/>
      <c r="B7587" s="3"/>
      <c r="C7587" s="3"/>
    </row>
    <row r="7588">
      <c r="A7588" s="3"/>
      <c r="B7588" s="3"/>
      <c r="C7588" s="3"/>
    </row>
    <row r="7589">
      <c r="A7589" s="3"/>
      <c r="B7589" s="3"/>
      <c r="C7589" s="3"/>
    </row>
    <row r="7590">
      <c r="A7590" s="3"/>
      <c r="B7590" s="3"/>
      <c r="C7590" s="3"/>
    </row>
    <row r="7591">
      <c r="A7591" s="3"/>
      <c r="B7591" s="3"/>
      <c r="C7591" s="3"/>
    </row>
    <row r="7592">
      <c r="A7592" s="3"/>
      <c r="B7592" s="3"/>
      <c r="C7592" s="3"/>
    </row>
    <row r="7593">
      <c r="A7593" s="3"/>
      <c r="B7593" s="3"/>
      <c r="C7593" s="3"/>
    </row>
    <row r="7594">
      <c r="A7594" s="3"/>
      <c r="B7594" s="3"/>
      <c r="C7594" s="3"/>
    </row>
    <row r="7595">
      <c r="A7595" s="3"/>
      <c r="B7595" s="3"/>
      <c r="C7595" s="3"/>
    </row>
    <row r="7596">
      <c r="A7596" s="3"/>
      <c r="B7596" s="3"/>
      <c r="C7596" s="3"/>
    </row>
    <row r="7597">
      <c r="A7597" s="3"/>
      <c r="B7597" s="3"/>
      <c r="C7597" s="3"/>
    </row>
    <row r="7598">
      <c r="A7598" s="3"/>
      <c r="B7598" s="3"/>
      <c r="C7598" s="3"/>
    </row>
    <row r="7599">
      <c r="A7599" s="3"/>
      <c r="B7599" s="3"/>
      <c r="C7599" s="3"/>
    </row>
    <row r="7600">
      <c r="A7600" s="3"/>
      <c r="B7600" s="3"/>
      <c r="C7600" s="3"/>
    </row>
    <row r="7601">
      <c r="A7601" s="3"/>
      <c r="B7601" s="3"/>
      <c r="C7601" s="3"/>
    </row>
    <row r="7602">
      <c r="A7602" s="3"/>
      <c r="B7602" s="3"/>
      <c r="C7602" s="3"/>
    </row>
    <row r="7603">
      <c r="A7603" s="3"/>
      <c r="B7603" s="3"/>
      <c r="C7603" s="3"/>
    </row>
    <row r="7604">
      <c r="A7604" s="3"/>
      <c r="B7604" s="3"/>
      <c r="C7604" s="3"/>
    </row>
    <row r="7605">
      <c r="A7605" s="3"/>
      <c r="B7605" s="3"/>
      <c r="C7605" s="3"/>
    </row>
    <row r="7606">
      <c r="A7606" s="3"/>
      <c r="B7606" s="3"/>
      <c r="C7606" s="3"/>
    </row>
    <row r="7607">
      <c r="A7607" s="3"/>
      <c r="B7607" s="3"/>
      <c r="C7607" s="3"/>
    </row>
    <row r="7608">
      <c r="A7608" s="3"/>
      <c r="B7608" s="3"/>
      <c r="C7608" s="3"/>
    </row>
    <row r="7609">
      <c r="A7609" s="3"/>
      <c r="B7609" s="3"/>
      <c r="C7609" s="3"/>
    </row>
    <row r="7610">
      <c r="A7610" s="3"/>
      <c r="B7610" s="3"/>
      <c r="C7610" s="3"/>
    </row>
    <row r="7611">
      <c r="A7611" s="3"/>
      <c r="B7611" s="3"/>
      <c r="C7611" s="3"/>
    </row>
    <row r="7612">
      <c r="A7612" s="3"/>
      <c r="B7612" s="3"/>
      <c r="C7612" s="3"/>
    </row>
    <row r="7613">
      <c r="A7613" s="3"/>
      <c r="B7613" s="3"/>
      <c r="C7613" s="3"/>
    </row>
    <row r="7614">
      <c r="A7614" s="3"/>
      <c r="B7614" s="3"/>
      <c r="C7614" s="3"/>
    </row>
    <row r="7615">
      <c r="A7615" s="3"/>
      <c r="B7615" s="3"/>
      <c r="C7615" s="3"/>
    </row>
    <row r="7616">
      <c r="A7616" s="3"/>
      <c r="B7616" s="3"/>
      <c r="C7616" s="3"/>
    </row>
    <row r="7617">
      <c r="A7617" s="3"/>
      <c r="B7617" s="3"/>
      <c r="C7617" s="3"/>
    </row>
    <row r="7618">
      <c r="A7618" s="3"/>
      <c r="B7618" s="3"/>
      <c r="C7618" s="3"/>
    </row>
    <row r="7619">
      <c r="A7619" s="3"/>
      <c r="B7619" s="3"/>
      <c r="C7619" s="3"/>
    </row>
    <row r="7620">
      <c r="A7620" s="3"/>
      <c r="B7620" s="3"/>
      <c r="C7620" s="3"/>
    </row>
    <row r="7621">
      <c r="A7621" s="3"/>
      <c r="B7621" s="3"/>
      <c r="C7621" s="3"/>
    </row>
    <row r="7622">
      <c r="A7622" s="3"/>
      <c r="B7622" s="3"/>
      <c r="C7622" s="3"/>
    </row>
    <row r="7623">
      <c r="A7623" s="3"/>
      <c r="B7623" s="3"/>
      <c r="C7623" s="3"/>
    </row>
    <row r="7624">
      <c r="A7624" s="3"/>
      <c r="B7624" s="3"/>
      <c r="C7624" s="3"/>
    </row>
    <row r="7625">
      <c r="A7625" s="3"/>
      <c r="B7625" s="3"/>
      <c r="C7625" s="3"/>
    </row>
    <row r="7626">
      <c r="A7626" s="3"/>
      <c r="B7626" s="3"/>
      <c r="C7626" s="3"/>
    </row>
    <row r="7627">
      <c r="A7627" s="3"/>
      <c r="B7627" s="3"/>
      <c r="C7627" s="3"/>
    </row>
    <row r="7628">
      <c r="A7628" s="3"/>
      <c r="B7628" s="3"/>
      <c r="C7628" s="3"/>
    </row>
    <row r="7629">
      <c r="A7629" s="3"/>
      <c r="B7629" s="3"/>
      <c r="C7629" s="3"/>
    </row>
    <row r="7630">
      <c r="A7630" s="3"/>
      <c r="B7630" s="3"/>
      <c r="C7630" s="3"/>
    </row>
    <row r="7631">
      <c r="A7631" s="3"/>
      <c r="B7631" s="3"/>
      <c r="C7631" s="3"/>
    </row>
    <row r="7632">
      <c r="A7632" s="3"/>
      <c r="B7632" s="3"/>
      <c r="C7632" s="3"/>
    </row>
    <row r="7633">
      <c r="A7633" s="3"/>
      <c r="B7633" s="3"/>
      <c r="C7633" s="3"/>
    </row>
    <row r="7634">
      <c r="A7634" s="3"/>
      <c r="B7634" s="3"/>
      <c r="C7634" s="3"/>
    </row>
    <row r="7635">
      <c r="A7635" s="3"/>
      <c r="B7635" s="3"/>
      <c r="C7635" s="3"/>
    </row>
    <row r="7636">
      <c r="A7636" s="3"/>
      <c r="B7636" s="3"/>
      <c r="C7636" s="3"/>
    </row>
    <row r="7637">
      <c r="A7637" s="3"/>
      <c r="B7637" s="3"/>
      <c r="C7637" s="3"/>
    </row>
    <row r="7638">
      <c r="A7638" s="3"/>
      <c r="B7638" s="3"/>
      <c r="C7638" s="3"/>
    </row>
    <row r="7639">
      <c r="A7639" s="3"/>
      <c r="B7639" s="3"/>
      <c r="C7639" s="3"/>
    </row>
    <row r="7640">
      <c r="A7640" s="3"/>
      <c r="B7640" s="3"/>
      <c r="C7640" s="3"/>
    </row>
    <row r="7641">
      <c r="A7641" s="3"/>
      <c r="B7641" s="3"/>
      <c r="C7641" s="3"/>
    </row>
    <row r="7642">
      <c r="A7642" s="3"/>
      <c r="B7642" s="3"/>
      <c r="C7642" s="3"/>
    </row>
    <row r="7643">
      <c r="A7643" s="3"/>
      <c r="B7643" s="3"/>
      <c r="C7643" s="3"/>
    </row>
    <row r="7644">
      <c r="A7644" s="3"/>
      <c r="B7644" s="3"/>
      <c r="C7644" s="3"/>
    </row>
    <row r="7645">
      <c r="A7645" s="3"/>
      <c r="B7645" s="3"/>
      <c r="C7645" s="3"/>
    </row>
    <row r="7646">
      <c r="A7646" s="3"/>
      <c r="B7646" s="3"/>
      <c r="C7646" s="3"/>
    </row>
    <row r="7647">
      <c r="A7647" s="3"/>
      <c r="B7647" s="3"/>
      <c r="C7647" s="3"/>
    </row>
    <row r="7648">
      <c r="A7648" s="3"/>
      <c r="B7648" s="3"/>
      <c r="C7648" s="3"/>
    </row>
    <row r="7649">
      <c r="A7649" s="3"/>
      <c r="B7649" s="3"/>
      <c r="C7649" s="3"/>
    </row>
    <row r="7650">
      <c r="A7650" s="3"/>
      <c r="B7650" s="3"/>
      <c r="C7650" s="3"/>
    </row>
    <row r="7651">
      <c r="A7651" s="3"/>
      <c r="B7651" s="3"/>
      <c r="C7651" s="3"/>
    </row>
    <row r="7652">
      <c r="A7652" s="3"/>
      <c r="B7652" s="3"/>
      <c r="C7652" s="3"/>
    </row>
    <row r="7653">
      <c r="A7653" s="3"/>
      <c r="B7653" s="3"/>
      <c r="C7653" s="3"/>
    </row>
    <row r="7654">
      <c r="A7654" s="3"/>
      <c r="B7654" s="3"/>
      <c r="C7654" s="3"/>
    </row>
    <row r="7655">
      <c r="A7655" s="3"/>
      <c r="B7655" s="3"/>
      <c r="C7655" s="3"/>
    </row>
    <row r="7656">
      <c r="A7656" s="3"/>
      <c r="B7656" s="3"/>
      <c r="C7656" s="3"/>
    </row>
    <row r="7657">
      <c r="A7657" s="3"/>
      <c r="B7657" s="3"/>
      <c r="C7657" s="3"/>
    </row>
    <row r="7658">
      <c r="A7658" s="3"/>
      <c r="B7658" s="3"/>
      <c r="C7658" s="3"/>
    </row>
    <row r="7659">
      <c r="A7659" s="3"/>
      <c r="B7659" s="3"/>
      <c r="C7659" s="3"/>
    </row>
    <row r="7660">
      <c r="A7660" s="3"/>
      <c r="B7660" s="3"/>
      <c r="C7660" s="3"/>
    </row>
    <row r="7661">
      <c r="A7661" s="3"/>
      <c r="B7661" s="3"/>
      <c r="C7661" s="3"/>
    </row>
    <row r="7662">
      <c r="A7662" s="3"/>
      <c r="B7662" s="3"/>
      <c r="C7662" s="3"/>
    </row>
    <row r="7663">
      <c r="A7663" s="3"/>
      <c r="B7663" s="3"/>
      <c r="C7663" s="3"/>
    </row>
    <row r="7664">
      <c r="A7664" s="3"/>
      <c r="B7664" s="3"/>
      <c r="C7664" s="3"/>
    </row>
    <row r="7665">
      <c r="A7665" s="3"/>
      <c r="B7665" s="3"/>
      <c r="C7665" s="3"/>
    </row>
    <row r="7666">
      <c r="A7666" s="3"/>
      <c r="B7666" s="3"/>
      <c r="C7666" s="3"/>
    </row>
    <row r="7667">
      <c r="A7667" s="3"/>
      <c r="B7667" s="3"/>
      <c r="C7667" s="3"/>
    </row>
    <row r="7668">
      <c r="A7668" s="3"/>
      <c r="B7668" s="3"/>
      <c r="C7668" s="3"/>
    </row>
    <row r="7669">
      <c r="A7669" s="3"/>
      <c r="B7669" s="3"/>
      <c r="C7669" s="3"/>
    </row>
    <row r="7670">
      <c r="A7670" s="3"/>
      <c r="B7670" s="3"/>
      <c r="C7670" s="3"/>
    </row>
    <row r="7671">
      <c r="A7671" s="3"/>
      <c r="B7671" s="3"/>
      <c r="C7671" s="3"/>
    </row>
    <row r="7672">
      <c r="A7672" s="3"/>
      <c r="B7672" s="3"/>
      <c r="C7672" s="3"/>
    </row>
    <row r="7673">
      <c r="A7673" s="3"/>
      <c r="B7673" s="3"/>
      <c r="C7673" s="3"/>
    </row>
    <row r="7674">
      <c r="A7674" s="3"/>
      <c r="B7674" s="3"/>
      <c r="C7674" s="3"/>
    </row>
    <row r="7675">
      <c r="A7675" s="3"/>
      <c r="B7675" s="3"/>
      <c r="C7675" s="3"/>
    </row>
    <row r="7676">
      <c r="A7676" s="3"/>
      <c r="B7676" s="3"/>
      <c r="C7676" s="3"/>
    </row>
    <row r="7677">
      <c r="A7677" s="3"/>
      <c r="B7677" s="3"/>
      <c r="C7677" s="3"/>
    </row>
    <row r="7678">
      <c r="A7678" s="3"/>
      <c r="B7678" s="3"/>
      <c r="C7678" s="3"/>
    </row>
    <row r="7679">
      <c r="A7679" s="3"/>
      <c r="B7679" s="3"/>
      <c r="C7679" s="3"/>
    </row>
    <row r="7680">
      <c r="A7680" s="3"/>
      <c r="B7680" s="3"/>
      <c r="C7680" s="3"/>
    </row>
    <row r="7681">
      <c r="A7681" s="3"/>
      <c r="B7681" s="3"/>
      <c r="C7681" s="3"/>
    </row>
    <row r="7682">
      <c r="A7682" s="3"/>
      <c r="B7682" s="3"/>
      <c r="C7682" s="3"/>
    </row>
    <row r="7683">
      <c r="A7683" s="3"/>
      <c r="B7683" s="3"/>
      <c r="C7683" s="3"/>
    </row>
    <row r="7684">
      <c r="A7684" s="3"/>
      <c r="B7684" s="3"/>
      <c r="C7684" s="3"/>
    </row>
    <row r="7685">
      <c r="A7685" s="3"/>
      <c r="B7685" s="3"/>
      <c r="C7685" s="3"/>
    </row>
    <row r="7686">
      <c r="A7686" s="3"/>
      <c r="B7686" s="3"/>
      <c r="C7686" s="3"/>
    </row>
    <row r="7687">
      <c r="A7687" s="3"/>
      <c r="B7687" s="3"/>
      <c r="C7687" s="3"/>
    </row>
    <row r="7688">
      <c r="A7688" s="3"/>
      <c r="B7688" s="3"/>
      <c r="C7688" s="3"/>
    </row>
    <row r="7689">
      <c r="A7689" s="3"/>
      <c r="B7689" s="3"/>
      <c r="C7689" s="3"/>
    </row>
    <row r="7690">
      <c r="A7690" s="3"/>
      <c r="B7690" s="3"/>
      <c r="C7690" s="3"/>
    </row>
    <row r="7691">
      <c r="A7691" s="3"/>
      <c r="B7691" s="3"/>
      <c r="C7691" s="3"/>
    </row>
    <row r="7692">
      <c r="A7692" s="3"/>
      <c r="B7692" s="3"/>
      <c r="C7692" s="3"/>
    </row>
    <row r="7693">
      <c r="A7693" s="3"/>
      <c r="B7693" s="3"/>
      <c r="C7693" s="3"/>
    </row>
    <row r="7694">
      <c r="A7694" s="3"/>
      <c r="B7694" s="3"/>
      <c r="C7694" s="3"/>
    </row>
    <row r="7695">
      <c r="A7695" s="3"/>
      <c r="B7695" s="3"/>
      <c r="C7695" s="3"/>
    </row>
    <row r="7696">
      <c r="A7696" s="3"/>
      <c r="B7696" s="3"/>
      <c r="C7696" s="3"/>
    </row>
    <row r="7697">
      <c r="A7697" s="3"/>
      <c r="B7697" s="3"/>
      <c r="C7697" s="3"/>
    </row>
    <row r="7698">
      <c r="A7698" s="3"/>
      <c r="B7698" s="3"/>
      <c r="C7698" s="3"/>
    </row>
    <row r="7699">
      <c r="A7699" s="3"/>
      <c r="B7699" s="3"/>
      <c r="C7699" s="3"/>
    </row>
    <row r="7700">
      <c r="A7700" s="3"/>
      <c r="B7700" s="3"/>
      <c r="C7700" s="3"/>
    </row>
    <row r="7701">
      <c r="A7701" s="3"/>
      <c r="B7701" s="3"/>
      <c r="C7701" s="3"/>
    </row>
    <row r="7702">
      <c r="A7702" s="3"/>
      <c r="B7702" s="3"/>
      <c r="C7702" s="3"/>
    </row>
    <row r="7703">
      <c r="A7703" s="3"/>
      <c r="B7703" s="3"/>
      <c r="C7703" s="3"/>
    </row>
    <row r="7704">
      <c r="A7704" s="3"/>
      <c r="B7704" s="3"/>
      <c r="C7704" s="3"/>
    </row>
    <row r="7705">
      <c r="A7705" s="3"/>
      <c r="B7705" s="3"/>
      <c r="C7705" s="3"/>
    </row>
    <row r="7706">
      <c r="A7706" s="3"/>
      <c r="B7706" s="3"/>
      <c r="C7706" s="3"/>
    </row>
    <row r="7707">
      <c r="A7707" s="3"/>
      <c r="B7707" s="3"/>
      <c r="C7707" s="3"/>
    </row>
    <row r="7708">
      <c r="A7708" s="3"/>
      <c r="B7708" s="3"/>
      <c r="C7708" s="3"/>
    </row>
    <row r="7709">
      <c r="A7709" s="3"/>
      <c r="B7709" s="3"/>
      <c r="C7709" s="3"/>
    </row>
    <row r="7710">
      <c r="A7710" s="3"/>
      <c r="B7710" s="3"/>
      <c r="C7710" s="3"/>
    </row>
    <row r="7711">
      <c r="A7711" s="3"/>
      <c r="B7711" s="3"/>
      <c r="C7711" s="3"/>
    </row>
    <row r="7712">
      <c r="A7712" s="3"/>
      <c r="B7712" s="3"/>
      <c r="C7712" s="3"/>
    </row>
    <row r="7713">
      <c r="A7713" s="3"/>
      <c r="B7713" s="3"/>
      <c r="C7713" s="3"/>
    </row>
    <row r="7714">
      <c r="A7714" s="3"/>
      <c r="B7714" s="3"/>
      <c r="C7714" s="3"/>
    </row>
    <row r="7715">
      <c r="A7715" s="3"/>
      <c r="B7715" s="3"/>
      <c r="C7715" s="3"/>
    </row>
    <row r="7716">
      <c r="A7716" s="3"/>
      <c r="B7716" s="3"/>
      <c r="C7716" s="3"/>
    </row>
    <row r="7717">
      <c r="A7717" s="3"/>
      <c r="B7717" s="3"/>
      <c r="C7717" s="3"/>
    </row>
    <row r="7718">
      <c r="A7718" s="3"/>
      <c r="B7718" s="3"/>
      <c r="C7718" s="3"/>
    </row>
    <row r="7719">
      <c r="A7719" s="3"/>
      <c r="B7719" s="3"/>
      <c r="C7719" s="3"/>
    </row>
    <row r="7720">
      <c r="A7720" s="3"/>
      <c r="B7720" s="3"/>
      <c r="C7720" s="3"/>
    </row>
    <row r="7721">
      <c r="A7721" s="3"/>
      <c r="B7721" s="3"/>
      <c r="C7721" s="3"/>
    </row>
    <row r="7722">
      <c r="A7722" s="3"/>
      <c r="B7722" s="3"/>
      <c r="C7722" s="3"/>
    </row>
    <row r="7723">
      <c r="A7723" s="3"/>
      <c r="B7723" s="3"/>
      <c r="C7723" s="3"/>
    </row>
    <row r="7724">
      <c r="A7724" s="3"/>
      <c r="B7724" s="3"/>
      <c r="C7724" s="3"/>
    </row>
    <row r="7725">
      <c r="A7725" s="3"/>
      <c r="B7725" s="3"/>
      <c r="C7725" s="3"/>
    </row>
    <row r="7726">
      <c r="A7726" s="3"/>
      <c r="B7726" s="3"/>
      <c r="C7726" s="3"/>
    </row>
    <row r="7727">
      <c r="A7727" s="3"/>
      <c r="B7727" s="3"/>
      <c r="C7727" s="3"/>
    </row>
    <row r="7728">
      <c r="A7728" s="3"/>
      <c r="B7728" s="3"/>
      <c r="C7728" s="3"/>
    </row>
    <row r="7729">
      <c r="A7729" s="3"/>
      <c r="B7729" s="3"/>
      <c r="C7729" s="3"/>
    </row>
    <row r="7730">
      <c r="A7730" s="3"/>
      <c r="B7730" s="3"/>
      <c r="C7730" s="3"/>
    </row>
    <row r="7731">
      <c r="A7731" s="3"/>
      <c r="B7731" s="3"/>
      <c r="C7731" s="3"/>
    </row>
    <row r="7732">
      <c r="A7732" s="3"/>
      <c r="B7732" s="3"/>
      <c r="C7732" s="3"/>
    </row>
    <row r="7733">
      <c r="A7733" s="3"/>
      <c r="B7733" s="3"/>
      <c r="C7733" s="3"/>
    </row>
    <row r="7734">
      <c r="A7734" s="3"/>
      <c r="B7734" s="3"/>
      <c r="C7734" s="3"/>
    </row>
    <row r="7735">
      <c r="A7735" s="3"/>
      <c r="B7735" s="3"/>
      <c r="C7735" s="3"/>
    </row>
    <row r="7736">
      <c r="A7736" s="3"/>
      <c r="B7736" s="3"/>
      <c r="C7736" s="3"/>
    </row>
    <row r="7737">
      <c r="A7737" s="3"/>
      <c r="B7737" s="3"/>
      <c r="C7737" s="3"/>
    </row>
    <row r="7738">
      <c r="A7738" s="3"/>
      <c r="B7738" s="3"/>
      <c r="C7738" s="3"/>
    </row>
    <row r="7739">
      <c r="A7739" s="3"/>
      <c r="B7739" s="3"/>
      <c r="C7739" s="3"/>
    </row>
    <row r="7740">
      <c r="A7740" s="3"/>
      <c r="B7740" s="3"/>
      <c r="C7740" s="3"/>
    </row>
    <row r="7741">
      <c r="A7741" s="3"/>
      <c r="B7741" s="3"/>
      <c r="C7741" s="3"/>
    </row>
    <row r="7742">
      <c r="A7742" s="3"/>
      <c r="B7742" s="3"/>
      <c r="C7742" s="3"/>
    </row>
    <row r="7743">
      <c r="A7743" s="3"/>
      <c r="B7743" s="3"/>
      <c r="C7743" s="3"/>
    </row>
    <row r="7744">
      <c r="A7744" s="3"/>
      <c r="B7744" s="3"/>
      <c r="C7744" s="3"/>
    </row>
    <row r="7745">
      <c r="A7745" s="3"/>
      <c r="B7745" s="3"/>
      <c r="C7745" s="3"/>
    </row>
    <row r="7746">
      <c r="A7746" s="3"/>
      <c r="B7746" s="3"/>
      <c r="C7746" s="3"/>
    </row>
    <row r="7747">
      <c r="A7747" s="3"/>
      <c r="B7747" s="3"/>
      <c r="C7747" s="3"/>
    </row>
    <row r="7748">
      <c r="A7748" s="3"/>
      <c r="B7748" s="3"/>
      <c r="C7748" s="3"/>
    </row>
    <row r="7749">
      <c r="A7749" s="3"/>
      <c r="B7749" s="3"/>
      <c r="C7749" s="3"/>
    </row>
    <row r="7750">
      <c r="A7750" s="3"/>
      <c r="B7750" s="3"/>
      <c r="C7750" s="3"/>
    </row>
    <row r="7751">
      <c r="A7751" s="3"/>
      <c r="B7751" s="3"/>
      <c r="C7751" s="3"/>
    </row>
    <row r="7752">
      <c r="A7752" s="3"/>
      <c r="B7752" s="3"/>
      <c r="C7752" s="3"/>
    </row>
    <row r="7753">
      <c r="A7753" s="3"/>
      <c r="B7753" s="3"/>
      <c r="C7753" s="3"/>
    </row>
    <row r="7754">
      <c r="A7754" s="3"/>
      <c r="B7754" s="3"/>
      <c r="C7754" s="3"/>
    </row>
    <row r="7755">
      <c r="A7755" s="3"/>
      <c r="B7755" s="3"/>
      <c r="C7755" s="3"/>
    </row>
    <row r="7756">
      <c r="A7756" s="3"/>
      <c r="B7756" s="3"/>
      <c r="C7756" s="3"/>
    </row>
    <row r="7757">
      <c r="A7757" s="3"/>
      <c r="B7757" s="3"/>
      <c r="C7757" s="3"/>
    </row>
    <row r="7758">
      <c r="A7758" s="3"/>
      <c r="B7758" s="3"/>
      <c r="C7758" s="3"/>
    </row>
    <row r="7759">
      <c r="A7759" s="3"/>
      <c r="B7759" s="3"/>
      <c r="C7759" s="3"/>
    </row>
    <row r="7760">
      <c r="A7760" s="3"/>
      <c r="B7760" s="3"/>
      <c r="C7760" s="3"/>
    </row>
    <row r="7761">
      <c r="A7761" s="3"/>
      <c r="B7761" s="3"/>
      <c r="C7761" s="3"/>
    </row>
    <row r="7762">
      <c r="A7762" s="3"/>
      <c r="B7762" s="3"/>
      <c r="C7762" s="3"/>
    </row>
    <row r="7763">
      <c r="A7763" s="3"/>
      <c r="B7763" s="3"/>
      <c r="C7763" s="3"/>
    </row>
    <row r="7764">
      <c r="A7764" s="3"/>
      <c r="B7764" s="3"/>
      <c r="C7764" s="3"/>
    </row>
    <row r="7765">
      <c r="A7765" s="3"/>
      <c r="B7765" s="3"/>
      <c r="C7765" s="3"/>
    </row>
    <row r="7766">
      <c r="A7766" s="3"/>
      <c r="B7766" s="3"/>
      <c r="C7766" s="3"/>
    </row>
    <row r="7767">
      <c r="A7767" s="3"/>
      <c r="B7767" s="3"/>
      <c r="C7767" s="3"/>
    </row>
    <row r="7768">
      <c r="A7768" s="3"/>
      <c r="B7768" s="3"/>
      <c r="C7768" s="3"/>
    </row>
    <row r="7769">
      <c r="A7769" s="3"/>
      <c r="B7769" s="3"/>
      <c r="C7769" s="3"/>
    </row>
    <row r="7770">
      <c r="A7770" s="3"/>
      <c r="B7770" s="3"/>
      <c r="C7770" s="3"/>
    </row>
    <row r="7771">
      <c r="A7771" s="3"/>
      <c r="B7771" s="3"/>
      <c r="C7771" s="3"/>
    </row>
    <row r="7772">
      <c r="A7772" s="3"/>
      <c r="B7772" s="3"/>
      <c r="C7772" s="3"/>
    </row>
    <row r="7773">
      <c r="A7773" s="3"/>
      <c r="B7773" s="3"/>
      <c r="C7773" s="3"/>
    </row>
    <row r="7774">
      <c r="A7774" s="3"/>
      <c r="B7774" s="3"/>
      <c r="C7774" s="3"/>
    </row>
    <row r="7775">
      <c r="A7775" s="3"/>
      <c r="B7775" s="3"/>
      <c r="C7775" s="3"/>
    </row>
    <row r="7776">
      <c r="A7776" s="3"/>
      <c r="B7776" s="3"/>
      <c r="C7776" s="3"/>
    </row>
    <row r="7777">
      <c r="A7777" s="3"/>
      <c r="B7777" s="3"/>
      <c r="C7777" s="3"/>
    </row>
    <row r="7778">
      <c r="A7778" s="3"/>
      <c r="B7778" s="3"/>
      <c r="C7778" s="3"/>
    </row>
    <row r="7779">
      <c r="A7779" s="3"/>
      <c r="B7779" s="3"/>
      <c r="C7779" s="3"/>
    </row>
    <row r="7780">
      <c r="A7780" s="3"/>
      <c r="B7780" s="3"/>
      <c r="C7780" s="3"/>
    </row>
    <row r="7781">
      <c r="A7781" s="3"/>
      <c r="B7781" s="3"/>
      <c r="C7781" s="3"/>
    </row>
    <row r="7782">
      <c r="A7782" s="3"/>
      <c r="B7782" s="3"/>
      <c r="C7782" s="3"/>
    </row>
    <row r="7783">
      <c r="A7783" s="3"/>
      <c r="B7783" s="3"/>
      <c r="C7783" s="3"/>
    </row>
    <row r="7784">
      <c r="A7784" s="3"/>
      <c r="B7784" s="3"/>
      <c r="C7784" s="3"/>
    </row>
    <row r="7785">
      <c r="A7785" s="3"/>
      <c r="B7785" s="3"/>
      <c r="C7785" s="3"/>
    </row>
    <row r="7786">
      <c r="A7786" s="3"/>
      <c r="B7786" s="3"/>
      <c r="C7786" s="3"/>
    </row>
    <row r="7787">
      <c r="A7787" s="3"/>
      <c r="B7787" s="3"/>
      <c r="C7787" s="3"/>
    </row>
    <row r="7788">
      <c r="A7788" s="3"/>
      <c r="B7788" s="3"/>
      <c r="C7788" s="3"/>
    </row>
    <row r="7789">
      <c r="A7789" s="3"/>
      <c r="B7789" s="3"/>
      <c r="C7789" s="3"/>
    </row>
    <row r="7790">
      <c r="A7790" s="3"/>
      <c r="B7790" s="3"/>
      <c r="C7790" s="3"/>
    </row>
    <row r="7791">
      <c r="A7791" s="3"/>
      <c r="B7791" s="3"/>
      <c r="C7791" s="3"/>
    </row>
    <row r="7792">
      <c r="A7792" s="3"/>
      <c r="B7792" s="3"/>
      <c r="C7792" s="3"/>
    </row>
    <row r="7793">
      <c r="A7793" s="3"/>
      <c r="B7793" s="3"/>
      <c r="C7793" s="3"/>
    </row>
    <row r="7794">
      <c r="A7794" s="3"/>
      <c r="B7794" s="3"/>
      <c r="C7794" s="3"/>
    </row>
    <row r="7795">
      <c r="A7795" s="3"/>
      <c r="B7795" s="3"/>
      <c r="C7795" s="3"/>
    </row>
    <row r="7796">
      <c r="A7796" s="3"/>
      <c r="B7796" s="3"/>
      <c r="C7796" s="3"/>
    </row>
    <row r="7797">
      <c r="A7797" s="3"/>
      <c r="B7797" s="3"/>
      <c r="C7797" s="3"/>
    </row>
    <row r="7798">
      <c r="A7798" s="3"/>
      <c r="B7798" s="3"/>
      <c r="C7798" s="3"/>
    </row>
    <row r="7799">
      <c r="A7799" s="3"/>
      <c r="B7799" s="3"/>
      <c r="C7799" s="3"/>
    </row>
    <row r="7800">
      <c r="A7800" s="3"/>
      <c r="B7800" s="3"/>
      <c r="C7800" s="3"/>
    </row>
    <row r="7801">
      <c r="A7801" s="3"/>
      <c r="B7801" s="3"/>
      <c r="C7801" s="3"/>
    </row>
    <row r="7802">
      <c r="A7802" s="3"/>
      <c r="B7802" s="3"/>
      <c r="C7802" s="3"/>
    </row>
    <row r="7803">
      <c r="A7803" s="3"/>
      <c r="B7803" s="3"/>
      <c r="C7803" s="3"/>
    </row>
    <row r="7804">
      <c r="A7804" s="3"/>
      <c r="B7804" s="3"/>
      <c r="C7804" s="3"/>
    </row>
    <row r="7805">
      <c r="A7805" s="3"/>
      <c r="B7805" s="3"/>
      <c r="C7805" s="3"/>
    </row>
    <row r="7806">
      <c r="A7806" s="3"/>
      <c r="B7806" s="3"/>
      <c r="C7806" s="3"/>
    </row>
    <row r="7807">
      <c r="A7807" s="3"/>
      <c r="B7807" s="3"/>
      <c r="C7807" s="3"/>
    </row>
    <row r="7808">
      <c r="A7808" s="3"/>
      <c r="B7808" s="3"/>
      <c r="C7808" s="3"/>
    </row>
    <row r="7809">
      <c r="A7809" s="3"/>
      <c r="B7809" s="3"/>
      <c r="C7809" s="3"/>
    </row>
    <row r="7810">
      <c r="A7810" s="3"/>
      <c r="B7810" s="3"/>
      <c r="C7810" s="3"/>
    </row>
    <row r="7811">
      <c r="A7811" s="3"/>
      <c r="B7811" s="3"/>
      <c r="C7811" s="3"/>
    </row>
    <row r="7812">
      <c r="A7812" s="3"/>
      <c r="B7812" s="3"/>
      <c r="C7812" s="3"/>
    </row>
    <row r="7813">
      <c r="A7813" s="3"/>
      <c r="B7813" s="3"/>
      <c r="C7813" s="3"/>
    </row>
    <row r="7814">
      <c r="A7814" s="3"/>
      <c r="B7814" s="3"/>
      <c r="C7814" s="3"/>
    </row>
    <row r="7815">
      <c r="A7815" s="3"/>
      <c r="B7815" s="3"/>
      <c r="C7815" s="3"/>
    </row>
    <row r="7816">
      <c r="A7816" s="3"/>
      <c r="B7816" s="3"/>
      <c r="C7816" s="3"/>
    </row>
    <row r="7817">
      <c r="A7817" s="3"/>
      <c r="B7817" s="3"/>
      <c r="C7817" s="3"/>
    </row>
    <row r="7818">
      <c r="A7818" s="3"/>
      <c r="B7818" s="3"/>
      <c r="C7818" s="3"/>
    </row>
    <row r="7819">
      <c r="A7819" s="3"/>
      <c r="B7819" s="3"/>
      <c r="C7819" s="3"/>
    </row>
    <row r="7820">
      <c r="A7820" s="3"/>
      <c r="B7820" s="3"/>
      <c r="C7820" s="3"/>
    </row>
    <row r="7821">
      <c r="A7821" s="3"/>
      <c r="B7821" s="3"/>
      <c r="C7821" s="3"/>
    </row>
    <row r="7822">
      <c r="A7822" s="3"/>
      <c r="B7822" s="3"/>
      <c r="C7822" s="3"/>
    </row>
    <row r="7823">
      <c r="A7823" s="3"/>
      <c r="B7823" s="3"/>
      <c r="C7823" s="3"/>
    </row>
    <row r="7824">
      <c r="A7824" s="3"/>
      <c r="B7824" s="3"/>
      <c r="C7824" s="3"/>
    </row>
    <row r="7825">
      <c r="A7825" s="3"/>
      <c r="B7825" s="3"/>
      <c r="C7825" s="3"/>
    </row>
    <row r="7826">
      <c r="A7826" s="3"/>
      <c r="B7826" s="3"/>
      <c r="C7826" s="3"/>
    </row>
    <row r="7827">
      <c r="A7827" s="3"/>
      <c r="B7827" s="3"/>
      <c r="C7827" s="3"/>
    </row>
    <row r="7828">
      <c r="A7828" s="3"/>
      <c r="B7828" s="3"/>
      <c r="C7828" s="3"/>
    </row>
    <row r="7829">
      <c r="A7829" s="3"/>
      <c r="B7829" s="3"/>
      <c r="C7829" s="3"/>
    </row>
    <row r="7830">
      <c r="A7830" s="3"/>
      <c r="B7830" s="3"/>
      <c r="C7830" s="3"/>
    </row>
    <row r="7831">
      <c r="A7831" s="3"/>
      <c r="B7831" s="3"/>
      <c r="C7831" s="3"/>
    </row>
    <row r="7832">
      <c r="A7832" s="3"/>
      <c r="B7832" s="3"/>
      <c r="C7832" s="3"/>
    </row>
    <row r="7833">
      <c r="A7833" s="3"/>
      <c r="B7833" s="3"/>
      <c r="C7833" s="3"/>
    </row>
    <row r="7834">
      <c r="A7834" s="3"/>
      <c r="B7834" s="3"/>
      <c r="C7834" s="3"/>
    </row>
    <row r="7835">
      <c r="A7835" s="3"/>
      <c r="B7835" s="3"/>
      <c r="C7835" s="3"/>
    </row>
    <row r="7836">
      <c r="A7836" s="3"/>
      <c r="B7836" s="3"/>
      <c r="C7836" s="3"/>
    </row>
    <row r="7837">
      <c r="A7837" s="3"/>
      <c r="B7837" s="3"/>
      <c r="C7837" s="3"/>
    </row>
    <row r="7838">
      <c r="A7838" s="3"/>
      <c r="B7838" s="3"/>
      <c r="C7838" s="3"/>
    </row>
    <row r="7839">
      <c r="A7839" s="3"/>
      <c r="B7839" s="3"/>
      <c r="C7839" s="3"/>
    </row>
    <row r="7840">
      <c r="A7840" s="3"/>
      <c r="B7840" s="3"/>
      <c r="C7840" s="3"/>
    </row>
    <row r="7841">
      <c r="A7841" s="3"/>
      <c r="B7841" s="3"/>
      <c r="C7841" s="3"/>
    </row>
    <row r="7842">
      <c r="A7842" s="3"/>
      <c r="B7842" s="3"/>
      <c r="C7842" s="3"/>
    </row>
    <row r="7843">
      <c r="A7843" s="3"/>
      <c r="B7843" s="3"/>
      <c r="C7843" s="3"/>
    </row>
    <row r="7844">
      <c r="A7844" s="3"/>
      <c r="B7844" s="3"/>
      <c r="C7844" s="3"/>
    </row>
    <row r="7845">
      <c r="A7845" s="3"/>
      <c r="B7845" s="3"/>
      <c r="C7845" s="3"/>
    </row>
    <row r="7846">
      <c r="A7846" s="3"/>
      <c r="B7846" s="3"/>
      <c r="C7846" s="3"/>
    </row>
    <row r="7847">
      <c r="A7847" s="3"/>
      <c r="B7847" s="3"/>
      <c r="C7847" s="3"/>
    </row>
    <row r="7848">
      <c r="A7848" s="3"/>
      <c r="B7848" s="3"/>
      <c r="C7848" s="3"/>
    </row>
    <row r="7849">
      <c r="A7849" s="3"/>
      <c r="B7849" s="3"/>
      <c r="C7849" s="3"/>
    </row>
    <row r="7850">
      <c r="A7850" s="3"/>
      <c r="B7850" s="3"/>
      <c r="C7850" s="3"/>
    </row>
    <row r="7851">
      <c r="A7851" s="3"/>
      <c r="B7851" s="3"/>
      <c r="C7851" s="3"/>
    </row>
    <row r="7852">
      <c r="A7852" s="3"/>
      <c r="B7852" s="3"/>
      <c r="C7852" s="3"/>
    </row>
    <row r="7853">
      <c r="A7853" s="3"/>
      <c r="B7853" s="3"/>
      <c r="C7853" s="3"/>
    </row>
    <row r="7854">
      <c r="A7854" s="3"/>
      <c r="B7854" s="3"/>
      <c r="C7854" s="3"/>
    </row>
    <row r="7855">
      <c r="A7855" s="3"/>
      <c r="B7855" s="3"/>
      <c r="C7855" s="3"/>
    </row>
    <row r="7856">
      <c r="A7856" s="3"/>
      <c r="B7856" s="3"/>
      <c r="C7856" s="3"/>
    </row>
    <row r="7857">
      <c r="A7857" s="3"/>
      <c r="B7857" s="3"/>
      <c r="C7857" s="3"/>
    </row>
    <row r="7858">
      <c r="A7858" s="3"/>
      <c r="B7858" s="3"/>
      <c r="C7858" s="3"/>
    </row>
    <row r="7859">
      <c r="A7859" s="3"/>
      <c r="B7859" s="3"/>
      <c r="C7859" s="3"/>
    </row>
    <row r="7860">
      <c r="A7860" s="3"/>
      <c r="B7860" s="3"/>
      <c r="C7860" s="3"/>
    </row>
    <row r="7861">
      <c r="A7861" s="3"/>
      <c r="B7861" s="3"/>
      <c r="C7861" s="3"/>
    </row>
    <row r="7862">
      <c r="A7862" s="3"/>
      <c r="B7862" s="3"/>
      <c r="C7862" s="3"/>
    </row>
    <row r="7863">
      <c r="A7863" s="3"/>
      <c r="B7863" s="3"/>
      <c r="C7863" s="3"/>
    </row>
    <row r="7864">
      <c r="A7864" s="3"/>
      <c r="B7864" s="3"/>
      <c r="C7864" s="3"/>
    </row>
    <row r="7865">
      <c r="A7865" s="3"/>
      <c r="B7865" s="3"/>
      <c r="C7865" s="3"/>
    </row>
    <row r="7866">
      <c r="A7866" s="3"/>
      <c r="B7866" s="3"/>
      <c r="C7866" s="3"/>
    </row>
    <row r="7867">
      <c r="A7867" s="3"/>
      <c r="B7867" s="3"/>
      <c r="C7867" s="3"/>
    </row>
    <row r="7868">
      <c r="A7868" s="3"/>
      <c r="B7868" s="3"/>
      <c r="C7868" s="3"/>
    </row>
    <row r="7869">
      <c r="A7869" s="3"/>
      <c r="B7869" s="3"/>
      <c r="C7869" s="3"/>
    </row>
    <row r="7870">
      <c r="A7870" s="3"/>
      <c r="B7870" s="3"/>
      <c r="C7870" s="3"/>
    </row>
    <row r="7871">
      <c r="A7871" s="3"/>
      <c r="B7871" s="3"/>
      <c r="C7871" s="3"/>
    </row>
    <row r="7872">
      <c r="A7872" s="3"/>
      <c r="B7872" s="3"/>
      <c r="C7872" s="3"/>
    </row>
    <row r="7873">
      <c r="A7873" s="3"/>
      <c r="B7873" s="3"/>
      <c r="C7873" s="3"/>
    </row>
    <row r="7874">
      <c r="A7874" s="3"/>
      <c r="B7874" s="3"/>
      <c r="C7874" s="3"/>
    </row>
    <row r="7875">
      <c r="A7875" s="3"/>
      <c r="B7875" s="3"/>
      <c r="C7875" s="3"/>
    </row>
    <row r="7876">
      <c r="A7876" s="3"/>
      <c r="B7876" s="3"/>
      <c r="C7876" s="3"/>
    </row>
    <row r="7877">
      <c r="A7877" s="3"/>
      <c r="B7877" s="3"/>
      <c r="C7877" s="3"/>
    </row>
    <row r="7878">
      <c r="A7878" s="3"/>
      <c r="B7878" s="3"/>
      <c r="C7878" s="3"/>
    </row>
    <row r="7879">
      <c r="A7879" s="3"/>
      <c r="B7879" s="3"/>
      <c r="C7879" s="3"/>
    </row>
    <row r="7880">
      <c r="A7880" s="3"/>
      <c r="B7880" s="3"/>
      <c r="C7880" s="3"/>
    </row>
    <row r="7881">
      <c r="A7881" s="3"/>
      <c r="B7881" s="3"/>
      <c r="C7881" s="3"/>
    </row>
    <row r="7882">
      <c r="A7882" s="3"/>
      <c r="B7882" s="3"/>
      <c r="C7882" s="3"/>
    </row>
    <row r="7883">
      <c r="A7883" s="3"/>
      <c r="B7883" s="3"/>
      <c r="C7883" s="3"/>
    </row>
    <row r="7884">
      <c r="A7884" s="3"/>
      <c r="B7884" s="3"/>
      <c r="C7884" s="3"/>
    </row>
    <row r="7885">
      <c r="A7885" s="3"/>
      <c r="B7885" s="3"/>
      <c r="C7885" s="3"/>
    </row>
    <row r="7886">
      <c r="A7886" s="3"/>
      <c r="B7886" s="3"/>
      <c r="C7886" s="3"/>
    </row>
    <row r="7887">
      <c r="A7887" s="3"/>
      <c r="B7887" s="3"/>
      <c r="C7887" s="3"/>
    </row>
    <row r="7888">
      <c r="A7888" s="3"/>
      <c r="B7888" s="3"/>
      <c r="C7888" s="3"/>
    </row>
    <row r="7889">
      <c r="A7889" s="3"/>
      <c r="B7889" s="3"/>
      <c r="C7889" s="3"/>
    </row>
    <row r="7890">
      <c r="A7890" s="3"/>
      <c r="B7890" s="3"/>
      <c r="C7890" s="3"/>
    </row>
    <row r="7891">
      <c r="A7891" s="3"/>
      <c r="B7891" s="3"/>
      <c r="C7891" s="3"/>
    </row>
    <row r="7892">
      <c r="A7892" s="3"/>
      <c r="B7892" s="3"/>
      <c r="C7892" s="3"/>
    </row>
    <row r="7893">
      <c r="A7893" s="3"/>
      <c r="B7893" s="3"/>
      <c r="C7893" s="3"/>
    </row>
    <row r="7894">
      <c r="A7894" s="3"/>
      <c r="B7894" s="3"/>
      <c r="C7894" s="3"/>
    </row>
    <row r="7895">
      <c r="A7895" s="3"/>
      <c r="B7895" s="3"/>
      <c r="C7895" s="3"/>
    </row>
    <row r="7896">
      <c r="A7896" s="3"/>
      <c r="B7896" s="3"/>
      <c r="C7896" s="3"/>
    </row>
    <row r="7897">
      <c r="A7897" s="3"/>
      <c r="B7897" s="3"/>
      <c r="C7897" s="3"/>
    </row>
    <row r="7898">
      <c r="A7898" s="3"/>
      <c r="B7898" s="3"/>
      <c r="C7898" s="3"/>
    </row>
    <row r="7899">
      <c r="A7899" s="3"/>
      <c r="B7899" s="3"/>
      <c r="C7899" s="3"/>
    </row>
    <row r="7900">
      <c r="A7900" s="3"/>
      <c r="B7900" s="3"/>
      <c r="C7900" s="3"/>
    </row>
    <row r="7901">
      <c r="A7901" s="3"/>
      <c r="B7901" s="3"/>
      <c r="C7901" s="3"/>
    </row>
    <row r="7902">
      <c r="A7902" s="3"/>
      <c r="B7902" s="3"/>
      <c r="C7902" s="3"/>
    </row>
    <row r="7903">
      <c r="A7903" s="3"/>
      <c r="B7903" s="3"/>
      <c r="C7903" s="3"/>
    </row>
    <row r="7904">
      <c r="A7904" s="3"/>
      <c r="B7904" s="3"/>
      <c r="C7904" s="3"/>
    </row>
    <row r="7905">
      <c r="A7905" s="3"/>
      <c r="B7905" s="3"/>
      <c r="C7905" s="3"/>
    </row>
    <row r="7906">
      <c r="A7906" s="3"/>
      <c r="B7906" s="3"/>
      <c r="C7906" s="3"/>
    </row>
    <row r="7907">
      <c r="A7907" s="3"/>
      <c r="B7907" s="3"/>
      <c r="C7907" s="3"/>
    </row>
    <row r="7908">
      <c r="A7908" s="3"/>
      <c r="B7908" s="3"/>
      <c r="C7908" s="3"/>
    </row>
    <row r="7909">
      <c r="A7909" s="3"/>
      <c r="B7909" s="3"/>
      <c r="C7909" s="3"/>
    </row>
    <row r="7910">
      <c r="A7910" s="3"/>
      <c r="B7910" s="3"/>
      <c r="C7910" s="3"/>
    </row>
    <row r="7911">
      <c r="A7911" s="3"/>
      <c r="B7911" s="3"/>
      <c r="C7911" s="3"/>
    </row>
    <row r="7912">
      <c r="A7912" s="3"/>
      <c r="B7912" s="3"/>
      <c r="C7912" s="3"/>
    </row>
    <row r="7913">
      <c r="A7913" s="3"/>
      <c r="B7913" s="3"/>
      <c r="C7913" s="3"/>
    </row>
    <row r="7914">
      <c r="A7914" s="3"/>
      <c r="B7914" s="3"/>
      <c r="C7914" s="3"/>
    </row>
    <row r="7915">
      <c r="A7915" s="3"/>
      <c r="B7915" s="3"/>
      <c r="C7915" s="3"/>
    </row>
    <row r="7916">
      <c r="A7916" s="3"/>
      <c r="B7916" s="3"/>
      <c r="C7916" s="3"/>
    </row>
    <row r="7917">
      <c r="A7917" s="3"/>
      <c r="B7917" s="3"/>
      <c r="C7917" s="3"/>
    </row>
    <row r="7918">
      <c r="A7918" s="3"/>
      <c r="B7918" s="3"/>
      <c r="C7918" s="3"/>
    </row>
    <row r="7919">
      <c r="A7919" s="3"/>
      <c r="B7919" s="3"/>
      <c r="C7919" s="3"/>
    </row>
    <row r="7920">
      <c r="A7920" s="3"/>
      <c r="B7920" s="3"/>
      <c r="C7920" s="3"/>
    </row>
    <row r="7921">
      <c r="A7921" s="3"/>
      <c r="B7921" s="3"/>
      <c r="C7921" s="3"/>
    </row>
    <row r="7922">
      <c r="A7922" s="3"/>
      <c r="B7922" s="3"/>
      <c r="C7922" s="3"/>
    </row>
    <row r="7923">
      <c r="A7923" s="3"/>
      <c r="B7923" s="3"/>
      <c r="C7923" s="3"/>
    </row>
    <row r="7924">
      <c r="A7924" s="3"/>
      <c r="B7924" s="3"/>
      <c r="C7924" s="3"/>
    </row>
    <row r="7925">
      <c r="A7925" s="3"/>
      <c r="B7925" s="3"/>
      <c r="C7925" s="3"/>
    </row>
    <row r="7926">
      <c r="A7926" s="3"/>
      <c r="B7926" s="3"/>
      <c r="C7926" s="3"/>
    </row>
    <row r="7927">
      <c r="A7927" s="3"/>
      <c r="B7927" s="3"/>
      <c r="C7927" s="3"/>
    </row>
    <row r="7928">
      <c r="A7928" s="3"/>
      <c r="B7928" s="3"/>
      <c r="C7928" s="3"/>
    </row>
    <row r="7929">
      <c r="A7929" s="3"/>
      <c r="B7929" s="3"/>
      <c r="C7929" s="3"/>
    </row>
    <row r="7930">
      <c r="A7930" s="3"/>
      <c r="B7930" s="3"/>
      <c r="C7930" s="3"/>
    </row>
    <row r="7931">
      <c r="A7931" s="3"/>
      <c r="B7931" s="3"/>
      <c r="C7931" s="3"/>
    </row>
    <row r="7932">
      <c r="A7932" s="3"/>
      <c r="B7932" s="3"/>
      <c r="C7932" s="3"/>
    </row>
    <row r="7933">
      <c r="A7933" s="3"/>
      <c r="B7933" s="3"/>
      <c r="C7933" s="3"/>
    </row>
    <row r="7934">
      <c r="A7934" s="3"/>
      <c r="B7934" s="3"/>
      <c r="C7934" s="3"/>
    </row>
    <row r="7935">
      <c r="A7935" s="3"/>
      <c r="B7935" s="3"/>
      <c r="C7935" s="3"/>
    </row>
    <row r="7936">
      <c r="A7936" s="3"/>
      <c r="B7936" s="3"/>
      <c r="C7936" s="3"/>
    </row>
    <row r="7937">
      <c r="A7937" s="3"/>
      <c r="B7937" s="3"/>
      <c r="C7937" s="3"/>
    </row>
    <row r="7938">
      <c r="A7938" s="3"/>
      <c r="B7938" s="3"/>
      <c r="C7938" s="3"/>
    </row>
    <row r="7939">
      <c r="A7939" s="3"/>
      <c r="B7939" s="3"/>
      <c r="C7939" s="3"/>
    </row>
    <row r="7940">
      <c r="A7940" s="3"/>
      <c r="B7940" s="3"/>
      <c r="C7940" s="3"/>
    </row>
    <row r="7941">
      <c r="A7941" s="3"/>
      <c r="B7941" s="3"/>
      <c r="C7941" s="3"/>
    </row>
    <row r="7942">
      <c r="A7942" s="3"/>
      <c r="B7942" s="3"/>
      <c r="C7942" s="3"/>
    </row>
    <row r="7943">
      <c r="A7943" s="3"/>
      <c r="B7943" s="3"/>
      <c r="C7943" s="3"/>
    </row>
    <row r="7944">
      <c r="A7944" s="3"/>
      <c r="B7944" s="3"/>
      <c r="C7944" s="3"/>
    </row>
    <row r="7945">
      <c r="A7945" s="3"/>
      <c r="B7945" s="3"/>
      <c r="C7945" s="3"/>
    </row>
    <row r="7946">
      <c r="A7946" s="3"/>
      <c r="B7946" s="3"/>
      <c r="C7946" s="3"/>
    </row>
    <row r="7947">
      <c r="A7947" s="3"/>
      <c r="B7947" s="3"/>
      <c r="C7947" s="3"/>
    </row>
    <row r="7948">
      <c r="A7948" s="3"/>
      <c r="B7948" s="3"/>
      <c r="C7948" s="3"/>
    </row>
    <row r="7949">
      <c r="A7949" s="3"/>
      <c r="B7949" s="3"/>
      <c r="C7949" s="3"/>
    </row>
    <row r="7950">
      <c r="A7950" s="3"/>
      <c r="B7950" s="3"/>
      <c r="C7950" s="3"/>
    </row>
    <row r="7951">
      <c r="A7951" s="3"/>
      <c r="B7951" s="3"/>
      <c r="C7951" s="3"/>
    </row>
    <row r="7952">
      <c r="A7952" s="3"/>
      <c r="B7952" s="3"/>
      <c r="C7952" s="3"/>
    </row>
    <row r="7953">
      <c r="A7953" s="3"/>
      <c r="B7953" s="3"/>
      <c r="C7953" s="3"/>
    </row>
    <row r="7954">
      <c r="A7954" s="3"/>
      <c r="B7954" s="3"/>
      <c r="C7954" s="3"/>
    </row>
    <row r="7955">
      <c r="A7955" s="3"/>
      <c r="B7955" s="3"/>
      <c r="C7955" s="3"/>
    </row>
    <row r="7956">
      <c r="A7956" s="3"/>
      <c r="B7956" s="3"/>
      <c r="C7956" s="3"/>
    </row>
    <row r="7957">
      <c r="A7957" s="3"/>
      <c r="B7957" s="3"/>
      <c r="C7957" s="3"/>
    </row>
    <row r="7958">
      <c r="A7958" s="3"/>
      <c r="B7958" s="3"/>
      <c r="C7958" s="3"/>
    </row>
    <row r="7959">
      <c r="A7959" s="3"/>
      <c r="B7959" s="3"/>
      <c r="C7959" s="3"/>
    </row>
    <row r="7960">
      <c r="A7960" s="3"/>
      <c r="B7960" s="3"/>
      <c r="C7960" s="3"/>
    </row>
    <row r="7961">
      <c r="A7961" s="3"/>
      <c r="B7961" s="3"/>
      <c r="C7961" s="3"/>
    </row>
    <row r="7962">
      <c r="A7962" s="3"/>
      <c r="B7962" s="3"/>
      <c r="C7962" s="3"/>
    </row>
    <row r="7963">
      <c r="A7963" s="3"/>
      <c r="B7963" s="3"/>
      <c r="C7963" s="3"/>
    </row>
    <row r="7964">
      <c r="A7964" s="3"/>
      <c r="B7964" s="3"/>
      <c r="C7964" s="3"/>
    </row>
    <row r="7965">
      <c r="A7965" s="3"/>
      <c r="B7965" s="3"/>
      <c r="C7965" s="3"/>
    </row>
    <row r="7966">
      <c r="A7966" s="3"/>
      <c r="B7966" s="3"/>
      <c r="C7966" s="3"/>
    </row>
    <row r="7967">
      <c r="A7967" s="3"/>
      <c r="B7967" s="3"/>
      <c r="C7967" s="3"/>
    </row>
    <row r="7968">
      <c r="A7968" s="3"/>
      <c r="B7968" s="3"/>
      <c r="C7968" s="3"/>
    </row>
    <row r="7969">
      <c r="A7969" s="3"/>
      <c r="B7969" s="3"/>
      <c r="C7969" s="3"/>
    </row>
    <row r="7970">
      <c r="A7970" s="3"/>
      <c r="B7970" s="3"/>
      <c r="C7970" s="3"/>
    </row>
    <row r="7971">
      <c r="A7971" s="3"/>
      <c r="B7971" s="3"/>
      <c r="C7971" s="3"/>
    </row>
    <row r="7972">
      <c r="A7972" s="3"/>
      <c r="B7972" s="3"/>
      <c r="C7972" s="3"/>
    </row>
    <row r="7973">
      <c r="A7973" s="3"/>
      <c r="B7973" s="3"/>
      <c r="C7973" s="3"/>
    </row>
    <row r="7974">
      <c r="A7974" s="3"/>
      <c r="B7974" s="3"/>
      <c r="C7974" s="3"/>
    </row>
    <row r="7975">
      <c r="A7975" s="3"/>
      <c r="B7975" s="3"/>
      <c r="C7975" s="3"/>
    </row>
    <row r="7976">
      <c r="A7976" s="3"/>
      <c r="B7976" s="3"/>
      <c r="C7976" s="3"/>
    </row>
    <row r="7977">
      <c r="A7977" s="3"/>
      <c r="B7977" s="3"/>
      <c r="C7977" s="3"/>
    </row>
    <row r="7978">
      <c r="A7978" s="3"/>
      <c r="B7978" s="3"/>
      <c r="C7978" s="3"/>
    </row>
    <row r="7979">
      <c r="A7979" s="3"/>
      <c r="B7979" s="3"/>
      <c r="C7979" s="3"/>
    </row>
    <row r="7980">
      <c r="A7980" s="3"/>
      <c r="B7980" s="3"/>
      <c r="C7980" s="3"/>
    </row>
    <row r="7981">
      <c r="A7981" s="3"/>
      <c r="B7981" s="3"/>
      <c r="C7981" s="3"/>
    </row>
    <row r="7982">
      <c r="A7982" s="3"/>
      <c r="B7982" s="3"/>
      <c r="C7982" s="3"/>
    </row>
    <row r="7983">
      <c r="A7983" s="3"/>
      <c r="B7983" s="3"/>
      <c r="C7983" s="3"/>
    </row>
    <row r="7984">
      <c r="A7984" s="3"/>
      <c r="B7984" s="3"/>
      <c r="C7984" s="3"/>
    </row>
    <row r="7985">
      <c r="A7985" s="3"/>
      <c r="B7985" s="3"/>
      <c r="C7985" s="3"/>
    </row>
    <row r="7986">
      <c r="A7986" s="3"/>
      <c r="B7986" s="3"/>
      <c r="C7986" s="3"/>
    </row>
    <row r="7987">
      <c r="A7987" s="3"/>
      <c r="B7987" s="3"/>
      <c r="C7987" s="3"/>
    </row>
    <row r="7988">
      <c r="A7988" s="3"/>
      <c r="B7988" s="3"/>
      <c r="C7988" s="3"/>
    </row>
    <row r="7989">
      <c r="A7989" s="3"/>
      <c r="B7989" s="3"/>
      <c r="C7989" s="3"/>
    </row>
    <row r="7990">
      <c r="A7990" s="3"/>
      <c r="B7990" s="3"/>
      <c r="C7990" s="3"/>
    </row>
    <row r="7991">
      <c r="A7991" s="3"/>
      <c r="B7991" s="3"/>
      <c r="C7991" s="3"/>
    </row>
    <row r="7992">
      <c r="A7992" s="3"/>
      <c r="B7992" s="3"/>
      <c r="C7992" s="3"/>
    </row>
    <row r="7993">
      <c r="A7993" s="3"/>
      <c r="B7993" s="3"/>
      <c r="C7993" s="3"/>
    </row>
    <row r="7994">
      <c r="A7994" s="3"/>
      <c r="B7994" s="3"/>
      <c r="C7994" s="3"/>
    </row>
    <row r="7995">
      <c r="A7995" s="3"/>
      <c r="B7995" s="3"/>
      <c r="C7995" s="3"/>
    </row>
    <row r="7996">
      <c r="A7996" s="3"/>
      <c r="B7996" s="3"/>
      <c r="C7996" s="3"/>
    </row>
    <row r="7997">
      <c r="A7997" s="3"/>
      <c r="B7997" s="3"/>
      <c r="C7997" s="3"/>
    </row>
    <row r="7998">
      <c r="A7998" s="3"/>
      <c r="B7998" s="3"/>
      <c r="C7998" s="3"/>
    </row>
    <row r="7999">
      <c r="A7999" s="3"/>
      <c r="B7999" s="3"/>
      <c r="C7999" s="3"/>
    </row>
    <row r="8000">
      <c r="A8000" s="3"/>
      <c r="B8000" s="3"/>
      <c r="C8000" s="3"/>
    </row>
    <row r="8001">
      <c r="A8001" s="3"/>
      <c r="B8001" s="3"/>
      <c r="C8001" s="3"/>
    </row>
    <row r="8002">
      <c r="A8002" s="3"/>
      <c r="B8002" s="3"/>
      <c r="C8002" s="3"/>
    </row>
    <row r="8003">
      <c r="A8003" s="3"/>
      <c r="B8003" s="3"/>
      <c r="C8003" s="3"/>
    </row>
    <row r="8004">
      <c r="A8004" s="3"/>
      <c r="B8004" s="3"/>
      <c r="C8004" s="3"/>
    </row>
    <row r="8005">
      <c r="A8005" s="3"/>
      <c r="B8005" s="3"/>
      <c r="C8005" s="3"/>
    </row>
    <row r="8006">
      <c r="A8006" s="3"/>
      <c r="B8006" s="3"/>
      <c r="C8006" s="3"/>
    </row>
    <row r="8007">
      <c r="A8007" s="3"/>
      <c r="B8007" s="3"/>
      <c r="C8007" s="3"/>
    </row>
    <row r="8008">
      <c r="A8008" s="3"/>
      <c r="B8008" s="3"/>
      <c r="C8008" s="3"/>
    </row>
    <row r="8009">
      <c r="A8009" s="3"/>
      <c r="B8009" s="3"/>
      <c r="C8009" s="3"/>
    </row>
    <row r="8010">
      <c r="A8010" s="3"/>
      <c r="B8010" s="3"/>
      <c r="C8010" s="3"/>
    </row>
    <row r="8011">
      <c r="A8011" s="3"/>
      <c r="B8011" s="3"/>
      <c r="C8011" s="3"/>
    </row>
    <row r="8012">
      <c r="A8012" s="3"/>
      <c r="B8012" s="3"/>
      <c r="C8012" s="3"/>
    </row>
    <row r="8013">
      <c r="A8013" s="3"/>
      <c r="B8013" s="3"/>
      <c r="C8013" s="3"/>
    </row>
    <row r="8014">
      <c r="A8014" s="3"/>
      <c r="B8014" s="3"/>
      <c r="C8014" s="3"/>
    </row>
    <row r="8015">
      <c r="A8015" s="3"/>
      <c r="B8015" s="3"/>
      <c r="C8015" s="3"/>
    </row>
    <row r="8016">
      <c r="A8016" s="3"/>
      <c r="B8016" s="3"/>
      <c r="C8016" s="3"/>
    </row>
    <row r="8017">
      <c r="A8017" s="3"/>
      <c r="B8017" s="3"/>
      <c r="C8017" s="3"/>
    </row>
    <row r="8018">
      <c r="A8018" s="3"/>
      <c r="B8018" s="3"/>
      <c r="C8018" s="3"/>
    </row>
    <row r="8019">
      <c r="A8019" s="3"/>
      <c r="B8019" s="3"/>
      <c r="C8019" s="3"/>
    </row>
    <row r="8020">
      <c r="A8020" s="3"/>
      <c r="B8020" s="3"/>
      <c r="C8020" s="3"/>
    </row>
    <row r="8021">
      <c r="A8021" s="3"/>
      <c r="B8021" s="3"/>
      <c r="C8021" s="3"/>
    </row>
    <row r="8022">
      <c r="A8022" s="3"/>
      <c r="B8022" s="3"/>
      <c r="C8022" s="3"/>
    </row>
    <row r="8023">
      <c r="A8023" s="3"/>
      <c r="B8023" s="3"/>
      <c r="C8023" s="3"/>
    </row>
    <row r="8024">
      <c r="A8024" s="3"/>
      <c r="B8024" s="3"/>
      <c r="C8024" s="3"/>
    </row>
    <row r="8025">
      <c r="A8025" s="3"/>
      <c r="B8025" s="3"/>
      <c r="C8025" s="3"/>
    </row>
    <row r="8026">
      <c r="A8026" s="3"/>
      <c r="B8026" s="3"/>
      <c r="C8026" s="3"/>
    </row>
    <row r="8027">
      <c r="A8027" s="3"/>
      <c r="B8027" s="3"/>
      <c r="C8027" s="3"/>
    </row>
    <row r="8028">
      <c r="A8028" s="3"/>
      <c r="B8028" s="3"/>
      <c r="C8028" s="3"/>
    </row>
    <row r="8029">
      <c r="A8029" s="3"/>
      <c r="B8029" s="3"/>
      <c r="C8029" s="3"/>
    </row>
    <row r="8030">
      <c r="A8030" s="3"/>
      <c r="B8030" s="3"/>
      <c r="C8030" s="3"/>
    </row>
    <row r="8031">
      <c r="A8031" s="3"/>
      <c r="B8031" s="3"/>
      <c r="C8031" s="3"/>
    </row>
    <row r="8032">
      <c r="A8032" s="3"/>
      <c r="B8032" s="3"/>
      <c r="C8032" s="3"/>
    </row>
    <row r="8033">
      <c r="A8033" s="3"/>
      <c r="B8033" s="3"/>
      <c r="C8033" s="3"/>
    </row>
    <row r="8034">
      <c r="A8034" s="3"/>
      <c r="B8034" s="3"/>
      <c r="C8034" s="3"/>
    </row>
    <row r="8035">
      <c r="A8035" s="3"/>
      <c r="B8035" s="3"/>
      <c r="C8035" s="3"/>
    </row>
    <row r="8036">
      <c r="A8036" s="3"/>
      <c r="B8036" s="3"/>
      <c r="C8036" s="3"/>
    </row>
    <row r="8037">
      <c r="A8037" s="3"/>
      <c r="B8037" s="3"/>
      <c r="C8037" s="3"/>
    </row>
    <row r="8038">
      <c r="A8038" s="3"/>
      <c r="B8038" s="3"/>
      <c r="C8038" s="3"/>
    </row>
    <row r="8039">
      <c r="A8039" s="3"/>
      <c r="B8039" s="3"/>
      <c r="C8039" s="3"/>
    </row>
    <row r="8040">
      <c r="A8040" s="3"/>
      <c r="B8040" s="3"/>
      <c r="C8040" s="3"/>
    </row>
    <row r="8041">
      <c r="A8041" s="3"/>
      <c r="B8041" s="3"/>
      <c r="C8041" s="3"/>
    </row>
    <row r="8042">
      <c r="A8042" s="3"/>
      <c r="B8042" s="3"/>
      <c r="C8042" s="3"/>
    </row>
    <row r="8043">
      <c r="A8043" s="3"/>
      <c r="B8043" s="3"/>
      <c r="C8043" s="3"/>
    </row>
    <row r="8044">
      <c r="A8044" s="3"/>
      <c r="B8044" s="3"/>
      <c r="C8044" s="3"/>
    </row>
    <row r="8045">
      <c r="A8045" s="3"/>
      <c r="B8045" s="3"/>
      <c r="C8045" s="3"/>
    </row>
    <row r="8046">
      <c r="A8046" s="3"/>
      <c r="B8046" s="3"/>
      <c r="C8046" s="3"/>
    </row>
    <row r="8047">
      <c r="A8047" s="3"/>
      <c r="B8047" s="3"/>
      <c r="C8047" s="3"/>
    </row>
    <row r="8048">
      <c r="A8048" s="3"/>
      <c r="B8048" s="3"/>
      <c r="C8048" s="3"/>
    </row>
    <row r="8049">
      <c r="A8049" s="3"/>
      <c r="B8049" s="3"/>
      <c r="C8049" s="3"/>
    </row>
    <row r="8050">
      <c r="A8050" s="3"/>
      <c r="B8050" s="3"/>
      <c r="C8050" s="3"/>
    </row>
    <row r="8051">
      <c r="A8051" s="3"/>
      <c r="B8051" s="3"/>
      <c r="C8051" s="3"/>
    </row>
    <row r="8052">
      <c r="A8052" s="3"/>
      <c r="B8052" s="3"/>
      <c r="C8052" s="3"/>
    </row>
    <row r="8053">
      <c r="A8053" s="3"/>
      <c r="B8053" s="3"/>
      <c r="C8053" s="3"/>
    </row>
    <row r="8054">
      <c r="A8054" s="3"/>
      <c r="B8054" s="3"/>
      <c r="C8054" s="3"/>
    </row>
    <row r="8055">
      <c r="A8055" s="3"/>
      <c r="B8055" s="3"/>
      <c r="C8055" s="3"/>
    </row>
    <row r="8056">
      <c r="A8056" s="3"/>
      <c r="B8056" s="3"/>
      <c r="C8056" s="3"/>
    </row>
    <row r="8057">
      <c r="A8057" s="3"/>
      <c r="B8057" s="3"/>
      <c r="C8057" s="3"/>
    </row>
    <row r="8058">
      <c r="A8058" s="3"/>
      <c r="B8058" s="3"/>
      <c r="C8058" s="3"/>
    </row>
    <row r="8059">
      <c r="A8059" s="3"/>
      <c r="B8059" s="3"/>
      <c r="C8059" s="3"/>
    </row>
    <row r="8060">
      <c r="A8060" s="3"/>
      <c r="B8060" s="3"/>
      <c r="C8060" s="3"/>
    </row>
    <row r="8061">
      <c r="A8061" s="3"/>
      <c r="B8061" s="3"/>
      <c r="C8061" s="3"/>
    </row>
    <row r="8062">
      <c r="A8062" s="3"/>
      <c r="B8062" s="3"/>
      <c r="C8062" s="3"/>
    </row>
    <row r="8063">
      <c r="A8063" s="3"/>
      <c r="B8063" s="3"/>
      <c r="C8063" s="3"/>
    </row>
    <row r="8064">
      <c r="A8064" s="3"/>
      <c r="B8064" s="3"/>
      <c r="C8064" s="3"/>
    </row>
    <row r="8065">
      <c r="A8065" s="3"/>
      <c r="B8065" s="3"/>
      <c r="C8065" s="3"/>
    </row>
    <row r="8066">
      <c r="A8066" s="3"/>
      <c r="B8066" s="3"/>
      <c r="C8066" s="3"/>
    </row>
    <row r="8067">
      <c r="A8067" s="3"/>
      <c r="B8067" s="3"/>
      <c r="C8067" s="3"/>
    </row>
    <row r="8068">
      <c r="A8068" s="3"/>
      <c r="B8068" s="3"/>
      <c r="C8068" s="3"/>
    </row>
    <row r="8069">
      <c r="A8069" s="3"/>
      <c r="B8069" s="3"/>
      <c r="C8069" s="3"/>
    </row>
    <row r="8070">
      <c r="A8070" s="3"/>
      <c r="B8070" s="3"/>
      <c r="C8070" s="3"/>
    </row>
    <row r="8071">
      <c r="A8071" s="3"/>
      <c r="B8071" s="3"/>
      <c r="C8071" s="3"/>
    </row>
    <row r="8072">
      <c r="A8072" s="3"/>
      <c r="B8072" s="3"/>
      <c r="C8072" s="3"/>
    </row>
    <row r="8073">
      <c r="A8073" s="3"/>
      <c r="B8073" s="3"/>
      <c r="C8073" s="3"/>
    </row>
    <row r="8074">
      <c r="A8074" s="3"/>
      <c r="B8074" s="3"/>
      <c r="C8074" s="3"/>
    </row>
    <row r="8075">
      <c r="A8075" s="3"/>
      <c r="B8075" s="3"/>
      <c r="C8075" s="3"/>
    </row>
    <row r="8076">
      <c r="A8076" s="3"/>
      <c r="B8076" s="3"/>
      <c r="C8076" s="3"/>
    </row>
    <row r="8077">
      <c r="A8077" s="3"/>
      <c r="B8077" s="3"/>
      <c r="C8077" s="3"/>
    </row>
    <row r="8078">
      <c r="A8078" s="3"/>
      <c r="B8078" s="3"/>
      <c r="C8078" s="3"/>
    </row>
    <row r="8079">
      <c r="A8079" s="3"/>
      <c r="B8079" s="3"/>
      <c r="C8079" s="3"/>
    </row>
    <row r="8080">
      <c r="A8080" s="3"/>
      <c r="B8080" s="3"/>
      <c r="C8080" s="3"/>
    </row>
    <row r="8081">
      <c r="A8081" s="3"/>
      <c r="B8081" s="3"/>
      <c r="C8081" s="3"/>
    </row>
    <row r="8082">
      <c r="A8082" s="3"/>
      <c r="B8082" s="3"/>
      <c r="C8082" s="3"/>
    </row>
    <row r="8083">
      <c r="A8083" s="3"/>
      <c r="B8083" s="3"/>
      <c r="C8083" s="3"/>
    </row>
    <row r="8084">
      <c r="A8084" s="3"/>
      <c r="B8084" s="3"/>
      <c r="C8084" s="3"/>
    </row>
    <row r="8085">
      <c r="A8085" s="3"/>
      <c r="B8085" s="3"/>
      <c r="C8085" s="3"/>
    </row>
    <row r="8086">
      <c r="A8086" s="3"/>
      <c r="B8086" s="3"/>
      <c r="C8086" s="3"/>
    </row>
    <row r="8087">
      <c r="A8087" s="3"/>
      <c r="B8087" s="3"/>
      <c r="C8087" s="3"/>
    </row>
    <row r="8088">
      <c r="A8088" s="3"/>
      <c r="B8088" s="3"/>
      <c r="C8088" s="3"/>
    </row>
    <row r="8089">
      <c r="A8089" s="3"/>
      <c r="B8089" s="3"/>
      <c r="C8089" s="3"/>
    </row>
    <row r="8090">
      <c r="A8090" s="3"/>
      <c r="B8090" s="3"/>
      <c r="C8090" s="3"/>
    </row>
    <row r="8091">
      <c r="A8091" s="3"/>
      <c r="B8091" s="3"/>
      <c r="C8091" s="3"/>
    </row>
    <row r="8092">
      <c r="A8092" s="3"/>
      <c r="B8092" s="3"/>
      <c r="C8092" s="3"/>
    </row>
    <row r="8093">
      <c r="A8093" s="3"/>
      <c r="B8093" s="3"/>
      <c r="C8093" s="3"/>
    </row>
    <row r="8094">
      <c r="A8094" s="3"/>
      <c r="B8094" s="3"/>
      <c r="C8094" s="3"/>
    </row>
    <row r="8095">
      <c r="A8095" s="3"/>
      <c r="B8095" s="3"/>
      <c r="C8095" s="3"/>
    </row>
    <row r="8096">
      <c r="A8096" s="3"/>
      <c r="B8096" s="3"/>
      <c r="C8096" s="3"/>
    </row>
    <row r="8097">
      <c r="A8097" s="3"/>
      <c r="B8097" s="3"/>
      <c r="C8097" s="3"/>
    </row>
    <row r="8098">
      <c r="A8098" s="3"/>
      <c r="B8098" s="3"/>
      <c r="C8098" s="3"/>
    </row>
    <row r="8099">
      <c r="A8099" s="3"/>
      <c r="B8099" s="3"/>
      <c r="C8099" s="3"/>
    </row>
    <row r="8100">
      <c r="A8100" s="3"/>
      <c r="B8100" s="3"/>
      <c r="C8100" s="3"/>
    </row>
    <row r="8101">
      <c r="A8101" s="3"/>
      <c r="B8101" s="3"/>
      <c r="C8101" s="3"/>
    </row>
    <row r="8102">
      <c r="A8102" s="3"/>
      <c r="B8102" s="3"/>
      <c r="C8102" s="3"/>
    </row>
    <row r="8103">
      <c r="A8103" s="3"/>
      <c r="B8103" s="3"/>
      <c r="C8103" s="3"/>
    </row>
    <row r="8104">
      <c r="A8104" s="3"/>
      <c r="B8104" s="3"/>
      <c r="C8104" s="3"/>
    </row>
    <row r="8105">
      <c r="A8105" s="3"/>
      <c r="B8105" s="3"/>
      <c r="C8105" s="3"/>
    </row>
    <row r="8106">
      <c r="A8106" s="3"/>
      <c r="B8106" s="3"/>
      <c r="C8106" s="3"/>
    </row>
    <row r="8107">
      <c r="A8107" s="3"/>
      <c r="B8107" s="3"/>
      <c r="C8107" s="3"/>
    </row>
    <row r="8108">
      <c r="A8108" s="3"/>
      <c r="B8108" s="3"/>
      <c r="C8108" s="3"/>
    </row>
    <row r="8109">
      <c r="A8109" s="3"/>
      <c r="B8109" s="3"/>
      <c r="C8109" s="3"/>
    </row>
    <row r="8110">
      <c r="A8110" s="3"/>
      <c r="B8110" s="3"/>
      <c r="C8110" s="3"/>
    </row>
    <row r="8111">
      <c r="A8111" s="3"/>
      <c r="B8111" s="3"/>
      <c r="C8111" s="3"/>
    </row>
    <row r="8112">
      <c r="A8112" s="3"/>
      <c r="B8112" s="3"/>
      <c r="C8112" s="3"/>
    </row>
    <row r="8113">
      <c r="A8113" s="3"/>
      <c r="B8113" s="3"/>
      <c r="C8113" s="3"/>
    </row>
    <row r="8114">
      <c r="A8114" s="3"/>
      <c r="B8114" s="3"/>
      <c r="C8114" s="3"/>
    </row>
    <row r="8115">
      <c r="A8115" s="3"/>
      <c r="B8115" s="3"/>
      <c r="C8115" s="3"/>
    </row>
    <row r="8116">
      <c r="A8116" s="3"/>
      <c r="B8116" s="3"/>
      <c r="C8116" s="3"/>
    </row>
    <row r="8117">
      <c r="A8117" s="3"/>
      <c r="B8117" s="3"/>
      <c r="C8117" s="3"/>
    </row>
    <row r="8118">
      <c r="A8118" s="3"/>
      <c r="B8118" s="3"/>
      <c r="C8118" s="3"/>
    </row>
    <row r="8119">
      <c r="A8119" s="3"/>
      <c r="B8119" s="3"/>
      <c r="C8119" s="3"/>
    </row>
    <row r="8120">
      <c r="A8120" s="3"/>
      <c r="B8120" s="3"/>
      <c r="C8120" s="3"/>
    </row>
    <row r="8121">
      <c r="A8121" s="3"/>
      <c r="B8121" s="3"/>
      <c r="C8121" s="3"/>
    </row>
    <row r="8122">
      <c r="A8122" s="3"/>
      <c r="B8122" s="3"/>
      <c r="C8122" s="3"/>
    </row>
    <row r="8123">
      <c r="A8123" s="3"/>
      <c r="B8123" s="3"/>
      <c r="C8123" s="3"/>
    </row>
    <row r="8124">
      <c r="A8124" s="3"/>
      <c r="B8124" s="3"/>
      <c r="C8124" s="3"/>
    </row>
    <row r="8125">
      <c r="A8125" s="3"/>
      <c r="B8125" s="3"/>
      <c r="C8125" s="3"/>
    </row>
    <row r="8126">
      <c r="A8126" s="3"/>
      <c r="B8126" s="3"/>
      <c r="C8126" s="3"/>
    </row>
    <row r="8127">
      <c r="A8127" s="3"/>
      <c r="B8127" s="3"/>
      <c r="C8127" s="3"/>
    </row>
    <row r="8128">
      <c r="A8128" s="3"/>
      <c r="B8128" s="3"/>
      <c r="C8128" s="3"/>
    </row>
    <row r="8129">
      <c r="A8129" s="3"/>
      <c r="B8129" s="3"/>
      <c r="C8129" s="3"/>
    </row>
    <row r="8130">
      <c r="A8130" s="3"/>
      <c r="B8130" s="3"/>
      <c r="C8130" s="3"/>
    </row>
    <row r="8131">
      <c r="A8131" s="3"/>
      <c r="B8131" s="3"/>
      <c r="C8131" s="3"/>
    </row>
    <row r="8132">
      <c r="A8132" s="3"/>
      <c r="B8132" s="3"/>
      <c r="C8132" s="3"/>
    </row>
    <row r="8133">
      <c r="A8133" s="3"/>
      <c r="B8133" s="3"/>
      <c r="C8133" s="3"/>
    </row>
    <row r="8134">
      <c r="A8134" s="3"/>
      <c r="B8134" s="3"/>
      <c r="C8134" s="3"/>
    </row>
    <row r="8135">
      <c r="A8135" s="3"/>
      <c r="B8135" s="3"/>
      <c r="C8135" s="3"/>
    </row>
    <row r="8136">
      <c r="A8136" s="3"/>
      <c r="B8136" s="3"/>
      <c r="C8136" s="3"/>
    </row>
    <row r="8137">
      <c r="A8137" s="3"/>
      <c r="B8137" s="3"/>
      <c r="C8137" s="3"/>
    </row>
    <row r="8138">
      <c r="A8138" s="3"/>
      <c r="B8138" s="3"/>
      <c r="C8138" s="3"/>
    </row>
    <row r="8139">
      <c r="A8139" s="3"/>
      <c r="B8139" s="3"/>
      <c r="C8139" s="3"/>
    </row>
    <row r="8140">
      <c r="A8140" s="3"/>
      <c r="B8140" s="3"/>
      <c r="C8140" s="3"/>
    </row>
    <row r="8141">
      <c r="A8141" s="3"/>
      <c r="B8141" s="3"/>
      <c r="C8141" s="3"/>
    </row>
    <row r="8142">
      <c r="A8142" s="3"/>
      <c r="B8142" s="3"/>
      <c r="C8142" s="3"/>
    </row>
    <row r="8143">
      <c r="A8143" s="3"/>
      <c r="B8143" s="3"/>
      <c r="C8143" s="3"/>
    </row>
    <row r="8144">
      <c r="A8144" s="3"/>
      <c r="B8144" s="3"/>
      <c r="C8144" s="3"/>
    </row>
    <row r="8145">
      <c r="A8145" s="3"/>
      <c r="B8145" s="3"/>
      <c r="C8145" s="3"/>
    </row>
    <row r="8146">
      <c r="A8146" s="3"/>
      <c r="B8146" s="3"/>
      <c r="C8146" s="3"/>
    </row>
    <row r="8147">
      <c r="A8147" s="3"/>
      <c r="B8147" s="3"/>
      <c r="C8147" s="3"/>
    </row>
    <row r="8148">
      <c r="A8148" s="3"/>
      <c r="B8148" s="3"/>
      <c r="C8148" s="3"/>
    </row>
    <row r="8149">
      <c r="A8149" s="3"/>
      <c r="B8149" s="3"/>
      <c r="C8149" s="3"/>
    </row>
    <row r="8150">
      <c r="A8150" s="3"/>
      <c r="B8150" s="3"/>
      <c r="C8150" s="3"/>
    </row>
    <row r="8151">
      <c r="A8151" s="3"/>
      <c r="B8151" s="3"/>
      <c r="C8151" s="3"/>
    </row>
    <row r="8152">
      <c r="A8152" s="3"/>
      <c r="B8152" s="3"/>
      <c r="C8152" s="3"/>
    </row>
    <row r="8153">
      <c r="A8153" s="3"/>
      <c r="B8153" s="3"/>
      <c r="C8153" s="3"/>
    </row>
    <row r="8154">
      <c r="A8154" s="3"/>
      <c r="B8154" s="3"/>
      <c r="C8154" s="3"/>
    </row>
    <row r="8155">
      <c r="A8155" s="3"/>
      <c r="B8155" s="3"/>
      <c r="C8155" s="3"/>
    </row>
    <row r="8156">
      <c r="A8156" s="3"/>
      <c r="B8156" s="3"/>
      <c r="C8156" s="3"/>
    </row>
    <row r="8157">
      <c r="A8157" s="3"/>
      <c r="B8157" s="3"/>
      <c r="C8157" s="3"/>
    </row>
    <row r="8158">
      <c r="A8158" s="3"/>
      <c r="B8158" s="3"/>
      <c r="C8158" s="3"/>
    </row>
    <row r="8159">
      <c r="A8159" s="3"/>
      <c r="B8159" s="3"/>
      <c r="C8159" s="3"/>
    </row>
    <row r="8160">
      <c r="A8160" s="3"/>
      <c r="B8160" s="3"/>
      <c r="C8160" s="3"/>
    </row>
    <row r="8161">
      <c r="A8161" s="3"/>
      <c r="B8161" s="3"/>
      <c r="C8161" s="3"/>
    </row>
    <row r="8162">
      <c r="A8162" s="3"/>
      <c r="B8162" s="3"/>
      <c r="C8162" s="3"/>
    </row>
    <row r="8163">
      <c r="A8163" s="3"/>
      <c r="B8163" s="3"/>
      <c r="C8163" s="3"/>
    </row>
    <row r="8164">
      <c r="A8164" s="3"/>
      <c r="B8164" s="3"/>
      <c r="C8164" s="3"/>
    </row>
    <row r="8165">
      <c r="A8165" s="3"/>
      <c r="B8165" s="3"/>
      <c r="C8165" s="3"/>
    </row>
    <row r="8166">
      <c r="A8166" s="3"/>
      <c r="B8166" s="3"/>
      <c r="C8166" s="3"/>
    </row>
    <row r="8167">
      <c r="A8167" s="3"/>
      <c r="B8167" s="3"/>
      <c r="C8167" s="3"/>
    </row>
    <row r="8168">
      <c r="A8168" s="3"/>
      <c r="B8168" s="3"/>
      <c r="C8168" s="3"/>
    </row>
    <row r="8169">
      <c r="A8169" s="3"/>
      <c r="B8169" s="3"/>
      <c r="C8169" s="3"/>
    </row>
    <row r="8170">
      <c r="A8170" s="3"/>
      <c r="B8170" s="3"/>
      <c r="C8170" s="3"/>
    </row>
    <row r="8171">
      <c r="A8171" s="3"/>
      <c r="B8171" s="3"/>
      <c r="C8171" s="3"/>
    </row>
    <row r="8172">
      <c r="A8172" s="3"/>
      <c r="B8172" s="3"/>
      <c r="C8172" s="3"/>
    </row>
    <row r="8173">
      <c r="A8173" s="3"/>
      <c r="B8173" s="3"/>
      <c r="C8173" s="3"/>
    </row>
    <row r="8174">
      <c r="A8174" s="3"/>
      <c r="B8174" s="3"/>
      <c r="C8174" s="3"/>
    </row>
    <row r="8175">
      <c r="A8175" s="3"/>
      <c r="B8175" s="3"/>
      <c r="C8175" s="3"/>
    </row>
    <row r="8176">
      <c r="A8176" s="3"/>
      <c r="B8176" s="3"/>
      <c r="C8176" s="3"/>
    </row>
    <row r="8177">
      <c r="A8177" s="3"/>
      <c r="B8177" s="3"/>
      <c r="C8177" s="3"/>
    </row>
    <row r="8178">
      <c r="A8178" s="3"/>
      <c r="B8178" s="3"/>
      <c r="C8178" s="3"/>
    </row>
    <row r="8179">
      <c r="A8179" s="3"/>
      <c r="B8179" s="3"/>
      <c r="C8179" s="3"/>
    </row>
    <row r="8180">
      <c r="A8180" s="3"/>
      <c r="B8180" s="3"/>
      <c r="C8180" s="3"/>
    </row>
    <row r="8181">
      <c r="A8181" s="3"/>
      <c r="B8181" s="3"/>
      <c r="C8181" s="3"/>
    </row>
    <row r="8182">
      <c r="A8182" s="3"/>
      <c r="B8182" s="3"/>
      <c r="C8182" s="3"/>
    </row>
    <row r="8183">
      <c r="A8183" s="3"/>
      <c r="B8183" s="3"/>
      <c r="C8183" s="3"/>
    </row>
    <row r="8184">
      <c r="A8184" s="3"/>
      <c r="B8184" s="3"/>
      <c r="C8184" s="3"/>
    </row>
    <row r="8185">
      <c r="A8185" s="3"/>
      <c r="B8185" s="3"/>
      <c r="C8185" s="3"/>
    </row>
    <row r="8186">
      <c r="A8186" s="3"/>
      <c r="B8186" s="3"/>
      <c r="C8186" s="3"/>
    </row>
    <row r="8187">
      <c r="A8187" s="3"/>
      <c r="B8187" s="3"/>
      <c r="C8187" s="3"/>
    </row>
    <row r="8188">
      <c r="A8188" s="3"/>
      <c r="B8188" s="3"/>
      <c r="C8188" s="3"/>
    </row>
    <row r="8189">
      <c r="A8189" s="3"/>
      <c r="B8189" s="3"/>
      <c r="C8189" s="3"/>
    </row>
    <row r="8190">
      <c r="A8190" s="3"/>
      <c r="B8190" s="3"/>
      <c r="C8190" s="3"/>
    </row>
    <row r="8191">
      <c r="A8191" s="3"/>
      <c r="B8191" s="3"/>
      <c r="C8191" s="3"/>
    </row>
    <row r="8192">
      <c r="A8192" s="3"/>
      <c r="B8192" s="3"/>
      <c r="C8192" s="3"/>
    </row>
    <row r="8193">
      <c r="A8193" s="3"/>
      <c r="B8193" s="3"/>
      <c r="C8193" s="3"/>
    </row>
    <row r="8194">
      <c r="A8194" s="3"/>
      <c r="B8194" s="3"/>
      <c r="C8194" s="3"/>
    </row>
    <row r="8195">
      <c r="A8195" s="3"/>
      <c r="B8195" s="3"/>
      <c r="C8195" s="3"/>
    </row>
    <row r="8196">
      <c r="A8196" s="3"/>
      <c r="B8196" s="3"/>
      <c r="C8196" s="3"/>
    </row>
    <row r="8197">
      <c r="A8197" s="3"/>
      <c r="B8197" s="3"/>
      <c r="C8197" s="3"/>
    </row>
    <row r="8198">
      <c r="A8198" s="3"/>
      <c r="B8198" s="3"/>
      <c r="C8198" s="3"/>
    </row>
    <row r="8199">
      <c r="A8199" s="3"/>
      <c r="B8199" s="3"/>
      <c r="C8199" s="3"/>
    </row>
    <row r="8200">
      <c r="A8200" s="3"/>
      <c r="B8200" s="3"/>
      <c r="C8200" s="3"/>
    </row>
    <row r="8201">
      <c r="A8201" s="3"/>
      <c r="B8201" s="3"/>
      <c r="C8201" s="3"/>
    </row>
    <row r="8202">
      <c r="A8202" s="3"/>
      <c r="B8202" s="3"/>
      <c r="C8202" s="3"/>
    </row>
    <row r="8203">
      <c r="A8203" s="3"/>
      <c r="B8203" s="3"/>
      <c r="C8203" s="3"/>
    </row>
    <row r="8204">
      <c r="A8204" s="3"/>
      <c r="B8204" s="3"/>
      <c r="C8204" s="3"/>
    </row>
    <row r="8205">
      <c r="A8205" s="3"/>
      <c r="B8205" s="3"/>
      <c r="C8205" s="3"/>
    </row>
    <row r="8206">
      <c r="A8206" s="3"/>
      <c r="B8206" s="3"/>
      <c r="C8206" s="3"/>
    </row>
    <row r="8207">
      <c r="A8207" s="3"/>
      <c r="B8207" s="3"/>
      <c r="C8207" s="3"/>
    </row>
    <row r="8208">
      <c r="A8208" s="3"/>
      <c r="B8208" s="3"/>
      <c r="C8208" s="3"/>
    </row>
    <row r="8209">
      <c r="A8209" s="3"/>
      <c r="B8209" s="3"/>
      <c r="C8209" s="3"/>
    </row>
    <row r="8210">
      <c r="A8210" s="3"/>
      <c r="B8210" s="3"/>
      <c r="C8210" s="3"/>
    </row>
    <row r="8211">
      <c r="A8211" s="3"/>
      <c r="B8211" s="3"/>
      <c r="C8211" s="3"/>
    </row>
    <row r="8212">
      <c r="A8212" s="3"/>
      <c r="B8212" s="3"/>
      <c r="C8212" s="3"/>
    </row>
    <row r="8213">
      <c r="A8213" s="3"/>
      <c r="B8213" s="3"/>
      <c r="C8213" s="3"/>
    </row>
    <row r="8214">
      <c r="A8214" s="3"/>
      <c r="B8214" s="3"/>
      <c r="C8214" s="3"/>
    </row>
    <row r="8215">
      <c r="A8215" s="3"/>
      <c r="B8215" s="3"/>
      <c r="C8215" s="3"/>
    </row>
    <row r="8216">
      <c r="A8216" s="3"/>
      <c r="B8216" s="3"/>
      <c r="C8216" s="3"/>
    </row>
    <row r="8217">
      <c r="A8217" s="3"/>
      <c r="B8217" s="3"/>
      <c r="C8217" s="3"/>
    </row>
    <row r="8218">
      <c r="A8218" s="3"/>
      <c r="B8218" s="3"/>
      <c r="C8218" s="3"/>
    </row>
    <row r="8219">
      <c r="A8219" s="3"/>
      <c r="B8219" s="3"/>
      <c r="C8219" s="3"/>
    </row>
    <row r="8220">
      <c r="A8220" s="3"/>
      <c r="B8220" s="3"/>
      <c r="C8220" s="3"/>
    </row>
    <row r="8221">
      <c r="A8221" s="3"/>
      <c r="B8221" s="3"/>
      <c r="C8221" s="3"/>
    </row>
    <row r="8222">
      <c r="A8222" s="3"/>
      <c r="B8222" s="3"/>
      <c r="C8222" s="3"/>
    </row>
    <row r="8223">
      <c r="A8223" s="3"/>
      <c r="B8223" s="3"/>
      <c r="C8223" s="3"/>
    </row>
    <row r="8224">
      <c r="A8224" s="3"/>
      <c r="B8224" s="3"/>
      <c r="C8224" s="3"/>
    </row>
    <row r="8225">
      <c r="A8225" s="3"/>
      <c r="B8225" s="3"/>
      <c r="C8225" s="3"/>
    </row>
    <row r="8226">
      <c r="A8226" s="3"/>
      <c r="B8226" s="3"/>
      <c r="C8226" s="3"/>
    </row>
    <row r="8227">
      <c r="A8227" s="3"/>
      <c r="B8227" s="3"/>
      <c r="C8227" s="3"/>
    </row>
    <row r="8228">
      <c r="A8228" s="3"/>
      <c r="B8228" s="3"/>
      <c r="C8228" s="3"/>
    </row>
    <row r="8229">
      <c r="A8229" s="3"/>
      <c r="B8229" s="3"/>
      <c r="C8229" s="3"/>
    </row>
    <row r="8230">
      <c r="A8230" s="3"/>
      <c r="B8230" s="3"/>
      <c r="C8230" s="3"/>
    </row>
    <row r="8231">
      <c r="A8231" s="3"/>
      <c r="B8231" s="3"/>
      <c r="C8231" s="3"/>
    </row>
    <row r="8232">
      <c r="A8232" s="3"/>
      <c r="B8232" s="3"/>
      <c r="C8232" s="3"/>
    </row>
    <row r="8233">
      <c r="A8233" s="3"/>
      <c r="B8233" s="3"/>
      <c r="C8233" s="3"/>
    </row>
    <row r="8234">
      <c r="A8234" s="3"/>
      <c r="B8234" s="3"/>
      <c r="C8234" s="3"/>
    </row>
    <row r="8235">
      <c r="A8235" s="3"/>
      <c r="B8235" s="3"/>
      <c r="C8235" s="3"/>
    </row>
    <row r="8236">
      <c r="A8236" s="3"/>
      <c r="B8236" s="3"/>
      <c r="C8236" s="3"/>
    </row>
    <row r="8237">
      <c r="A8237" s="3"/>
      <c r="B8237" s="3"/>
      <c r="C8237" s="3"/>
    </row>
    <row r="8238">
      <c r="A8238" s="3"/>
      <c r="B8238" s="3"/>
      <c r="C8238" s="3"/>
    </row>
    <row r="8239">
      <c r="A8239" s="3"/>
      <c r="B8239" s="3"/>
      <c r="C8239" s="3"/>
    </row>
    <row r="8240">
      <c r="A8240" s="3"/>
      <c r="B8240" s="3"/>
      <c r="C8240" s="3"/>
    </row>
    <row r="8241">
      <c r="A8241" s="3"/>
      <c r="B8241" s="3"/>
      <c r="C8241" s="3"/>
    </row>
    <row r="8242">
      <c r="A8242" s="3"/>
      <c r="B8242" s="3"/>
      <c r="C8242" s="3"/>
    </row>
    <row r="8243">
      <c r="A8243" s="3"/>
      <c r="B8243" s="3"/>
      <c r="C8243" s="3"/>
    </row>
    <row r="8244">
      <c r="A8244" s="3"/>
      <c r="B8244" s="3"/>
      <c r="C8244" s="3"/>
    </row>
    <row r="8245">
      <c r="A8245" s="3"/>
      <c r="B8245" s="3"/>
      <c r="C8245" s="3"/>
    </row>
    <row r="8246">
      <c r="A8246" s="3"/>
      <c r="B8246" s="3"/>
      <c r="C8246" s="3"/>
    </row>
    <row r="8247">
      <c r="A8247" s="3"/>
      <c r="B8247" s="3"/>
      <c r="C8247" s="3"/>
    </row>
    <row r="8248">
      <c r="A8248" s="3"/>
      <c r="B8248" s="3"/>
      <c r="C8248" s="3"/>
    </row>
    <row r="8249">
      <c r="A8249" s="3"/>
      <c r="B8249" s="3"/>
      <c r="C8249" s="3"/>
    </row>
    <row r="8250">
      <c r="A8250" s="3"/>
      <c r="B8250" s="3"/>
      <c r="C8250" s="3"/>
    </row>
    <row r="8251">
      <c r="A8251" s="3"/>
      <c r="B8251" s="3"/>
      <c r="C8251" s="3"/>
    </row>
    <row r="8252">
      <c r="A8252" s="3"/>
      <c r="B8252" s="3"/>
      <c r="C8252" s="3"/>
    </row>
    <row r="8253">
      <c r="A8253" s="3"/>
      <c r="B8253" s="3"/>
      <c r="C8253" s="3"/>
    </row>
    <row r="8254">
      <c r="A8254" s="3"/>
      <c r="B8254" s="3"/>
      <c r="C8254" s="3"/>
    </row>
    <row r="8255">
      <c r="A8255" s="3"/>
      <c r="B8255" s="3"/>
      <c r="C8255" s="3"/>
    </row>
    <row r="8256">
      <c r="A8256" s="3"/>
      <c r="B8256" s="3"/>
      <c r="C8256" s="3"/>
    </row>
    <row r="8257">
      <c r="A8257" s="3"/>
      <c r="B8257" s="3"/>
      <c r="C8257" s="3"/>
    </row>
    <row r="8258">
      <c r="A8258" s="3"/>
      <c r="B8258" s="3"/>
      <c r="C8258" s="3"/>
    </row>
    <row r="8259">
      <c r="A8259" s="3"/>
      <c r="B8259" s="3"/>
      <c r="C8259" s="3"/>
    </row>
    <row r="8260">
      <c r="A8260" s="3"/>
      <c r="B8260" s="3"/>
      <c r="C8260" s="3"/>
    </row>
    <row r="8261">
      <c r="A8261" s="3"/>
      <c r="B8261" s="3"/>
      <c r="C8261" s="3"/>
    </row>
    <row r="8262">
      <c r="A8262" s="3"/>
      <c r="B8262" s="3"/>
      <c r="C8262" s="3"/>
    </row>
    <row r="8263">
      <c r="A8263" s="3"/>
      <c r="B8263" s="3"/>
      <c r="C8263" s="3"/>
    </row>
    <row r="8264">
      <c r="A8264" s="3"/>
      <c r="B8264" s="3"/>
      <c r="C8264" s="3"/>
    </row>
    <row r="8265">
      <c r="A8265" s="3"/>
      <c r="B8265" s="3"/>
      <c r="C8265" s="3"/>
    </row>
    <row r="8266">
      <c r="A8266" s="3"/>
      <c r="B8266" s="3"/>
      <c r="C8266" s="3"/>
    </row>
    <row r="8267">
      <c r="A8267" s="3"/>
      <c r="B8267" s="3"/>
      <c r="C8267" s="3"/>
    </row>
    <row r="8268">
      <c r="A8268" s="3"/>
      <c r="B8268" s="3"/>
      <c r="C8268" s="3"/>
    </row>
    <row r="8269">
      <c r="A8269" s="3"/>
      <c r="B8269" s="3"/>
      <c r="C8269" s="3"/>
    </row>
    <row r="8270">
      <c r="A8270" s="3"/>
      <c r="B8270" s="3"/>
      <c r="C8270" s="3"/>
    </row>
    <row r="8271">
      <c r="A8271" s="3"/>
      <c r="B8271" s="3"/>
      <c r="C8271" s="3"/>
    </row>
    <row r="8272">
      <c r="A8272" s="3"/>
      <c r="B8272" s="3"/>
      <c r="C8272" s="3"/>
    </row>
    <row r="8273">
      <c r="A8273" s="3"/>
      <c r="B8273" s="3"/>
      <c r="C8273" s="3"/>
    </row>
    <row r="8274">
      <c r="A8274" s="3"/>
      <c r="B8274" s="3"/>
      <c r="C8274" s="3"/>
    </row>
    <row r="8275">
      <c r="A8275" s="3"/>
      <c r="B8275" s="3"/>
      <c r="C8275" s="3"/>
    </row>
    <row r="8276">
      <c r="A8276" s="3"/>
      <c r="B8276" s="3"/>
      <c r="C8276" s="3"/>
    </row>
    <row r="8277">
      <c r="A8277" s="3"/>
      <c r="B8277" s="3"/>
      <c r="C8277" s="3"/>
    </row>
    <row r="8278">
      <c r="A8278" s="3"/>
      <c r="B8278" s="3"/>
      <c r="C8278" s="3"/>
    </row>
    <row r="8279">
      <c r="A8279" s="3"/>
      <c r="B8279" s="3"/>
      <c r="C8279" s="3"/>
    </row>
    <row r="8280">
      <c r="A8280" s="3"/>
      <c r="B8280" s="3"/>
      <c r="C8280" s="3"/>
    </row>
    <row r="8281">
      <c r="A8281" s="3"/>
      <c r="B8281" s="3"/>
      <c r="C8281" s="3"/>
    </row>
    <row r="8282">
      <c r="A8282" s="3"/>
      <c r="B8282" s="3"/>
      <c r="C8282" s="3"/>
    </row>
    <row r="8283">
      <c r="A8283" s="3"/>
      <c r="B8283" s="3"/>
      <c r="C8283" s="3"/>
    </row>
    <row r="8284">
      <c r="A8284" s="3"/>
      <c r="B8284" s="3"/>
      <c r="C8284" s="3"/>
    </row>
    <row r="8285">
      <c r="A8285" s="3"/>
      <c r="B8285" s="3"/>
      <c r="C8285" s="3"/>
    </row>
    <row r="8286">
      <c r="A8286" s="3"/>
      <c r="B8286" s="3"/>
      <c r="C8286" s="3"/>
    </row>
    <row r="8287">
      <c r="A8287" s="3"/>
      <c r="B8287" s="3"/>
      <c r="C8287" s="3"/>
    </row>
    <row r="8288">
      <c r="A8288" s="3"/>
      <c r="B8288" s="3"/>
      <c r="C8288" s="3"/>
    </row>
    <row r="8289">
      <c r="A8289" s="3"/>
      <c r="B8289" s="3"/>
      <c r="C8289" s="3"/>
    </row>
    <row r="8290">
      <c r="A8290" s="3"/>
      <c r="B8290" s="3"/>
      <c r="C8290" s="3"/>
    </row>
    <row r="8291">
      <c r="A8291" s="3"/>
      <c r="B8291" s="3"/>
      <c r="C8291" s="3"/>
    </row>
    <row r="8292">
      <c r="A8292" s="3"/>
      <c r="B8292" s="3"/>
      <c r="C8292" s="3"/>
    </row>
    <row r="8293">
      <c r="A8293" s="3"/>
      <c r="B8293" s="3"/>
      <c r="C8293" s="3"/>
    </row>
    <row r="8294">
      <c r="A8294" s="3"/>
      <c r="B8294" s="3"/>
      <c r="C8294" s="3"/>
    </row>
    <row r="8295">
      <c r="A8295" s="3"/>
      <c r="B8295" s="3"/>
      <c r="C8295" s="3"/>
    </row>
    <row r="8296">
      <c r="A8296" s="3"/>
      <c r="B8296" s="3"/>
      <c r="C8296" s="3"/>
    </row>
    <row r="8297">
      <c r="A8297" s="3"/>
      <c r="B8297" s="3"/>
      <c r="C8297" s="3"/>
    </row>
    <row r="8298">
      <c r="A8298" s="3"/>
      <c r="B8298" s="3"/>
      <c r="C8298" s="3"/>
    </row>
    <row r="8299">
      <c r="A8299" s="3"/>
      <c r="B8299" s="3"/>
      <c r="C8299" s="3"/>
    </row>
    <row r="8300">
      <c r="A8300" s="3"/>
      <c r="B8300" s="3"/>
      <c r="C8300" s="3"/>
    </row>
    <row r="8301">
      <c r="A8301" s="3"/>
      <c r="B8301" s="3"/>
      <c r="C8301" s="3"/>
    </row>
    <row r="8302">
      <c r="A8302" s="3"/>
      <c r="B8302" s="3"/>
      <c r="C8302" s="3"/>
    </row>
    <row r="8303">
      <c r="A8303" s="3"/>
      <c r="B8303" s="3"/>
      <c r="C8303" s="3"/>
    </row>
    <row r="8304">
      <c r="A8304" s="3"/>
      <c r="B8304" s="3"/>
      <c r="C8304" s="3"/>
    </row>
    <row r="8305">
      <c r="A8305" s="3"/>
      <c r="B8305" s="3"/>
      <c r="C8305" s="3"/>
    </row>
    <row r="8306">
      <c r="A8306" s="3"/>
      <c r="B8306" s="3"/>
      <c r="C8306" s="3"/>
    </row>
    <row r="8307">
      <c r="A8307" s="3"/>
      <c r="B8307" s="3"/>
      <c r="C8307" s="3"/>
    </row>
    <row r="8308">
      <c r="A8308" s="3"/>
      <c r="B8308" s="3"/>
      <c r="C8308" s="3"/>
    </row>
    <row r="8309">
      <c r="A8309" s="3"/>
      <c r="B8309" s="3"/>
      <c r="C8309" s="3"/>
    </row>
    <row r="8310">
      <c r="A8310" s="3"/>
      <c r="B8310" s="3"/>
      <c r="C8310" s="3"/>
    </row>
    <row r="8311">
      <c r="A8311" s="3"/>
      <c r="B8311" s="3"/>
      <c r="C8311" s="3"/>
    </row>
    <row r="8312">
      <c r="A8312" s="3"/>
      <c r="B8312" s="3"/>
      <c r="C8312" s="3"/>
    </row>
    <row r="8313">
      <c r="A8313" s="3"/>
      <c r="B8313" s="3"/>
      <c r="C8313" s="3"/>
    </row>
    <row r="8314">
      <c r="A8314" s="3"/>
      <c r="B8314" s="3"/>
      <c r="C8314" s="3"/>
    </row>
    <row r="8315">
      <c r="A8315" s="3"/>
      <c r="B8315" s="3"/>
      <c r="C8315" s="3"/>
    </row>
    <row r="8316">
      <c r="A8316" s="3"/>
      <c r="B8316" s="3"/>
      <c r="C8316" s="3"/>
    </row>
    <row r="8317">
      <c r="A8317" s="3"/>
      <c r="B8317" s="3"/>
      <c r="C8317" s="3"/>
    </row>
    <row r="8318">
      <c r="A8318" s="3"/>
      <c r="B8318" s="3"/>
      <c r="C8318" s="3"/>
    </row>
    <row r="8319">
      <c r="A8319" s="3"/>
      <c r="B8319" s="3"/>
      <c r="C8319" s="3"/>
    </row>
    <row r="8320">
      <c r="A8320" s="3"/>
      <c r="B8320" s="3"/>
      <c r="C8320" s="3"/>
    </row>
    <row r="8321">
      <c r="A8321" s="3"/>
      <c r="B8321" s="3"/>
      <c r="C8321" s="3"/>
    </row>
    <row r="8322">
      <c r="A8322" s="3"/>
      <c r="B8322" s="3"/>
      <c r="C8322" s="3"/>
    </row>
    <row r="8323">
      <c r="A8323" s="3"/>
      <c r="B8323" s="3"/>
      <c r="C8323" s="3"/>
    </row>
    <row r="8324">
      <c r="A8324" s="3"/>
      <c r="B8324" s="3"/>
      <c r="C8324" s="3"/>
    </row>
    <row r="8325">
      <c r="A8325" s="3"/>
      <c r="B8325" s="3"/>
      <c r="C8325" s="3"/>
    </row>
    <row r="8326">
      <c r="A8326" s="3"/>
      <c r="B8326" s="3"/>
      <c r="C8326" s="3"/>
    </row>
    <row r="8327">
      <c r="A8327" s="3"/>
      <c r="B8327" s="3"/>
      <c r="C8327" s="3"/>
    </row>
    <row r="8328">
      <c r="A8328" s="3"/>
      <c r="B8328" s="3"/>
      <c r="C8328" s="3"/>
    </row>
    <row r="8329">
      <c r="A8329" s="3"/>
      <c r="B8329" s="3"/>
      <c r="C8329" s="3"/>
    </row>
    <row r="8330">
      <c r="A8330" s="3"/>
      <c r="B8330" s="3"/>
      <c r="C8330" s="3"/>
    </row>
    <row r="8331">
      <c r="A8331" s="3"/>
      <c r="B8331" s="3"/>
      <c r="C8331" s="3"/>
    </row>
    <row r="8332">
      <c r="A8332" s="3"/>
      <c r="B8332" s="3"/>
      <c r="C8332" s="3"/>
    </row>
    <row r="8333">
      <c r="A8333" s="3"/>
      <c r="B8333" s="3"/>
      <c r="C8333" s="3"/>
    </row>
    <row r="8334">
      <c r="A8334" s="3"/>
      <c r="B8334" s="3"/>
      <c r="C8334" s="3"/>
    </row>
    <row r="8335">
      <c r="A8335" s="3"/>
      <c r="B8335" s="3"/>
      <c r="C8335" s="3"/>
    </row>
    <row r="8336">
      <c r="A8336" s="3"/>
      <c r="B8336" s="3"/>
      <c r="C8336" s="3"/>
    </row>
    <row r="8337">
      <c r="A8337" s="3"/>
      <c r="B8337" s="3"/>
      <c r="C8337" s="3"/>
    </row>
    <row r="8338">
      <c r="A8338" s="3"/>
      <c r="B8338" s="3"/>
      <c r="C8338" s="3"/>
    </row>
    <row r="8339">
      <c r="A8339" s="3"/>
      <c r="B8339" s="3"/>
      <c r="C8339" s="3"/>
    </row>
    <row r="8340">
      <c r="A8340" s="3"/>
      <c r="B8340" s="3"/>
      <c r="C8340" s="3"/>
    </row>
    <row r="8341">
      <c r="A8341" s="3"/>
      <c r="B8341" s="3"/>
      <c r="C8341" s="3"/>
    </row>
    <row r="8342">
      <c r="A8342" s="3"/>
      <c r="B8342" s="3"/>
      <c r="C8342" s="3"/>
    </row>
    <row r="8343">
      <c r="A8343" s="3"/>
      <c r="B8343" s="3"/>
      <c r="C8343" s="3"/>
    </row>
    <row r="8344">
      <c r="A8344" s="3"/>
      <c r="B8344" s="3"/>
      <c r="C8344" s="3"/>
    </row>
    <row r="8345">
      <c r="A8345" s="3"/>
      <c r="B8345" s="3"/>
      <c r="C8345" s="3"/>
    </row>
    <row r="8346">
      <c r="A8346" s="3"/>
      <c r="B8346" s="3"/>
      <c r="C8346" s="3"/>
    </row>
    <row r="8347">
      <c r="A8347" s="3"/>
      <c r="B8347" s="3"/>
      <c r="C8347" s="3"/>
    </row>
    <row r="8348">
      <c r="A8348" s="3"/>
      <c r="B8348" s="3"/>
      <c r="C8348" s="3"/>
    </row>
    <row r="8349">
      <c r="A8349" s="3"/>
      <c r="B8349" s="3"/>
      <c r="C8349" s="3"/>
    </row>
    <row r="8350">
      <c r="A8350" s="3"/>
      <c r="B8350" s="3"/>
      <c r="C8350" s="3"/>
    </row>
    <row r="8351">
      <c r="A8351" s="3"/>
      <c r="B8351" s="3"/>
      <c r="C8351" s="3"/>
    </row>
    <row r="8352">
      <c r="A8352" s="3"/>
      <c r="B8352" s="3"/>
      <c r="C8352" s="3"/>
    </row>
    <row r="8353">
      <c r="A8353" s="3"/>
      <c r="B8353" s="3"/>
      <c r="C8353" s="3"/>
    </row>
    <row r="8354">
      <c r="A8354" s="3"/>
      <c r="B8354" s="3"/>
      <c r="C8354" s="3"/>
    </row>
    <row r="8355">
      <c r="A8355" s="3"/>
      <c r="B8355" s="3"/>
      <c r="C8355" s="3"/>
    </row>
    <row r="8356">
      <c r="A8356" s="3"/>
      <c r="B8356" s="3"/>
      <c r="C8356" s="3"/>
    </row>
    <row r="8357">
      <c r="A8357" s="3"/>
      <c r="B8357" s="3"/>
      <c r="C8357" s="3"/>
    </row>
    <row r="8358">
      <c r="A8358" s="3"/>
      <c r="B8358" s="3"/>
      <c r="C8358" s="3"/>
    </row>
    <row r="8359">
      <c r="A8359" s="3"/>
      <c r="B8359" s="3"/>
      <c r="C8359" s="3"/>
    </row>
    <row r="8360">
      <c r="A8360" s="3"/>
      <c r="B8360" s="3"/>
      <c r="C8360" s="3"/>
    </row>
    <row r="8361">
      <c r="A8361" s="3"/>
      <c r="B8361" s="3"/>
      <c r="C8361" s="3"/>
    </row>
    <row r="8362">
      <c r="A8362" s="3"/>
      <c r="B8362" s="3"/>
      <c r="C8362" s="3"/>
    </row>
    <row r="8363">
      <c r="A8363" s="3"/>
      <c r="B8363" s="3"/>
      <c r="C8363" s="3"/>
    </row>
    <row r="8364">
      <c r="A8364" s="3"/>
      <c r="B8364" s="3"/>
      <c r="C8364" s="3"/>
    </row>
    <row r="8365">
      <c r="A8365" s="3"/>
      <c r="B8365" s="3"/>
      <c r="C8365" s="3"/>
    </row>
    <row r="8366">
      <c r="A8366" s="3"/>
      <c r="B8366" s="3"/>
      <c r="C8366" s="3"/>
    </row>
    <row r="8367">
      <c r="A8367" s="3"/>
      <c r="B8367" s="3"/>
      <c r="C8367" s="3"/>
    </row>
    <row r="8368">
      <c r="A8368" s="3"/>
      <c r="B8368" s="3"/>
      <c r="C8368" s="3"/>
    </row>
    <row r="8369">
      <c r="A8369" s="3"/>
      <c r="B8369" s="3"/>
      <c r="C8369" s="3"/>
    </row>
    <row r="8370">
      <c r="A8370" s="3"/>
      <c r="B8370" s="3"/>
      <c r="C8370" s="3"/>
    </row>
    <row r="8371">
      <c r="A8371" s="3"/>
      <c r="B8371" s="3"/>
      <c r="C8371" s="3"/>
    </row>
    <row r="8372">
      <c r="A8372" s="3"/>
      <c r="B8372" s="3"/>
      <c r="C8372" s="3"/>
    </row>
    <row r="8373">
      <c r="A8373" s="3"/>
      <c r="B8373" s="3"/>
      <c r="C8373" s="3"/>
    </row>
    <row r="8374">
      <c r="A8374" s="3"/>
      <c r="B8374" s="3"/>
      <c r="C8374" s="3"/>
    </row>
    <row r="8375">
      <c r="A8375" s="3"/>
      <c r="B8375" s="3"/>
      <c r="C8375" s="3"/>
    </row>
    <row r="8376">
      <c r="A8376" s="3"/>
      <c r="B8376" s="3"/>
      <c r="C8376" s="3"/>
    </row>
    <row r="8377">
      <c r="A8377" s="3"/>
      <c r="B8377" s="3"/>
      <c r="C8377" s="3"/>
    </row>
    <row r="8378">
      <c r="A8378" s="3"/>
      <c r="B8378" s="3"/>
      <c r="C8378" s="3"/>
    </row>
    <row r="8379">
      <c r="A8379" s="3"/>
      <c r="B8379" s="3"/>
      <c r="C8379" s="3"/>
    </row>
    <row r="8380">
      <c r="A8380" s="3"/>
      <c r="B8380" s="3"/>
      <c r="C8380" s="3"/>
    </row>
    <row r="8381">
      <c r="A8381" s="3"/>
      <c r="B8381" s="3"/>
      <c r="C8381" s="3"/>
    </row>
    <row r="8382">
      <c r="A8382" s="3"/>
      <c r="B8382" s="3"/>
      <c r="C8382" s="3"/>
    </row>
    <row r="8383">
      <c r="A8383" s="3"/>
      <c r="B8383" s="3"/>
      <c r="C8383" s="3"/>
    </row>
    <row r="8384">
      <c r="A8384" s="3"/>
      <c r="B8384" s="3"/>
      <c r="C8384" s="3"/>
    </row>
    <row r="8385">
      <c r="A8385" s="3"/>
      <c r="B8385" s="3"/>
      <c r="C8385" s="3"/>
    </row>
    <row r="8386">
      <c r="A8386" s="3"/>
      <c r="B8386" s="3"/>
      <c r="C8386" s="3"/>
    </row>
    <row r="8387">
      <c r="A8387" s="3"/>
      <c r="B8387" s="3"/>
      <c r="C8387" s="3"/>
    </row>
    <row r="8388">
      <c r="A8388" s="3"/>
      <c r="B8388" s="3"/>
      <c r="C8388" s="3"/>
    </row>
    <row r="8389">
      <c r="A8389" s="3"/>
      <c r="B8389" s="3"/>
      <c r="C8389" s="3"/>
    </row>
    <row r="8390">
      <c r="A8390" s="3"/>
      <c r="B8390" s="3"/>
      <c r="C8390" s="3"/>
    </row>
    <row r="8391">
      <c r="A8391" s="3"/>
      <c r="B8391" s="3"/>
      <c r="C8391" s="3"/>
    </row>
    <row r="8392">
      <c r="A8392" s="3"/>
      <c r="B8392" s="3"/>
      <c r="C8392" s="3"/>
    </row>
    <row r="8393">
      <c r="A8393" s="3"/>
      <c r="B8393" s="3"/>
      <c r="C8393" s="3"/>
    </row>
    <row r="8394">
      <c r="A8394" s="3"/>
      <c r="B8394" s="3"/>
      <c r="C8394" s="3"/>
    </row>
    <row r="8395">
      <c r="A8395" s="3"/>
      <c r="B8395" s="3"/>
      <c r="C8395" s="3"/>
    </row>
    <row r="8396">
      <c r="A8396" s="3"/>
      <c r="B8396" s="3"/>
      <c r="C8396" s="3"/>
    </row>
    <row r="8397">
      <c r="A8397" s="3"/>
      <c r="B8397" s="3"/>
      <c r="C8397" s="3"/>
    </row>
    <row r="8398">
      <c r="A8398" s="3"/>
      <c r="B8398" s="3"/>
      <c r="C8398" s="3"/>
    </row>
    <row r="8399">
      <c r="A8399" s="3"/>
      <c r="B8399" s="3"/>
      <c r="C8399" s="3"/>
    </row>
    <row r="8400">
      <c r="A8400" s="3"/>
      <c r="B8400" s="3"/>
      <c r="C8400" s="3"/>
    </row>
    <row r="8401">
      <c r="A8401" s="3"/>
      <c r="B8401" s="3"/>
      <c r="C8401" s="3"/>
    </row>
    <row r="8402">
      <c r="A8402" s="3"/>
      <c r="B8402" s="3"/>
      <c r="C8402" s="3"/>
    </row>
    <row r="8403">
      <c r="A8403" s="3"/>
      <c r="B8403" s="3"/>
      <c r="C8403" s="3"/>
    </row>
    <row r="8404">
      <c r="A8404" s="3"/>
      <c r="B8404" s="3"/>
      <c r="C8404" s="3"/>
    </row>
    <row r="8405">
      <c r="A8405" s="3"/>
      <c r="B8405" s="3"/>
      <c r="C8405" s="3"/>
    </row>
    <row r="8406">
      <c r="A8406" s="3"/>
      <c r="B8406" s="3"/>
      <c r="C8406" s="3"/>
    </row>
    <row r="8407">
      <c r="A8407" s="3"/>
      <c r="B8407" s="3"/>
      <c r="C8407" s="3"/>
    </row>
    <row r="8408">
      <c r="A8408" s="3"/>
      <c r="B8408" s="3"/>
      <c r="C8408" s="3"/>
    </row>
    <row r="8409">
      <c r="A8409" s="3"/>
      <c r="B8409" s="3"/>
      <c r="C8409" s="3"/>
    </row>
    <row r="8410">
      <c r="A8410" s="3"/>
      <c r="B8410" s="3"/>
      <c r="C8410" s="3"/>
    </row>
    <row r="8411">
      <c r="A8411" s="3"/>
      <c r="B8411" s="3"/>
      <c r="C8411" s="3"/>
    </row>
    <row r="8412">
      <c r="A8412" s="3"/>
      <c r="B8412" s="3"/>
      <c r="C8412" s="3"/>
    </row>
    <row r="8413">
      <c r="A8413" s="3"/>
      <c r="B8413" s="3"/>
      <c r="C8413" s="3"/>
    </row>
    <row r="8414">
      <c r="A8414" s="3"/>
      <c r="B8414" s="3"/>
      <c r="C8414" s="3"/>
    </row>
    <row r="8415">
      <c r="A8415" s="3"/>
      <c r="B8415" s="3"/>
      <c r="C8415" s="3"/>
    </row>
    <row r="8416">
      <c r="A8416" s="3"/>
      <c r="B8416" s="3"/>
      <c r="C8416" s="3"/>
    </row>
    <row r="8417">
      <c r="A8417" s="3"/>
      <c r="B8417" s="3"/>
      <c r="C8417" s="3"/>
    </row>
    <row r="8418">
      <c r="A8418" s="3"/>
      <c r="B8418" s="3"/>
      <c r="C8418" s="3"/>
    </row>
    <row r="8419">
      <c r="A8419" s="3"/>
      <c r="B8419" s="3"/>
      <c r="C8419" s="3"/>
    </row>
    <row r="8420">
      <c r="A8420" s="3"/>
      <c r="B8420" s="3"/>
      <c r="C8420" s="3"/>
    </row>
    <row r="8421">
      <c r="A8421" s="3"/>
      <c r="B8421" s="3"/>
      <c r="C8421" s="3"/>
    </row>
    <row r="8422">
      <c r="A8422" s="3"/>
      <c r="B8422" s="3"/>
      <c r="C8422" s="3"/>
    </row>
    <row r="8423">
      <c r="A8423" s="3"/>
      <c r="B8423" s="3"/>
      <c r="C8423" s="3"/>
    </row>
    <row r="8424">
      <c r="A8424" s="3"/>
      <c r="B8424" s="3"/>
      <c r="C8424" s="3"/>
    </row>
    <row r="8425">
      <c r="A8425" s="3"/>
      <c r="B8425" s="3"/>
      <c r="C8425" s="3"/>
    </row>
    <row r="8426">
      <c r="A8426" s="3"/>
      <c r="B8426" s="3"/>
      <c r="C8426" s="3"/>
    </row>
    <row r="8427">
      <c r="A8427" s="3"/>
      <c r="B8427" s="3"/>
      <c r="C8427" s="3"/>
    </row>
    <row r="8428">
      <c r="A8428" s="3"/>
      <c r="B8428" s="3"/>
      <c r="C8428" s="3"/>
    </row>
    <row r="8429">
      <c r="A8429" s="3"/>
      <c r="B8429" s="3"/>
      <c r="C8429" s="3"/>
    </row>
    <row r="8430">
      <c r="A8430" s="3"/>
      <c r="B8430" s="3"/>
      <c r="C8430" s="3"/>
    </row>
    <row r="8431">
      <c r="A8431" s="3"/>
      <c r="B8431" s="3"/>
      <c r="C8431" s="3"/>
    </row>
    <row r="8432">
      <c r="A8432" s="3"/>
      <c r="B8432" s="3"/>
      <c r="C8432" s="3"/>
    </row>
    <row r="8433">
      <c r="A8433" s="3"/>
      <c r="B8433" s="3"/>
      <c r="C8433" s="3"/>
    </row>
    <row r="8434">
      <c r="A8434" s="3"/>
      <c r="B8434" s="3"/>
      <c r="C8434" s="3"/>
    </row>
    <row r="8435">
      <c r="A8435" s="3"/>
      <c r="B8435" s="3"/>
      <c r="C8435" s="3"/>
    </row>
    <row r="8436">
      <c r="A8436" s="3"/>
      <c r="B8436" s="3"/>
      <c r="C8436" s="3"/>
    </row>
    <row r="8437">
      <c r="A8437" s="3"/>
      <c r="B8437" s="3"/>
      <c r="C8437" s="3"/>
    </row>
    <row r="8438">
      <c r="A8438" s="3"/>
      <c r="B8438" s="3"/>
      <c r="C8438" s="3"/>
    </row>
    <row r="8439">
      <c r="A8439" s="3"/>
      <c r="B8439" s="3"/>
      <c r="C8439" s="3"/>
    </row>
    <row r="8440">
      <c r="A8440" s="3"/>
      <c r="B8440" s="3"/>
      <c r="C8440" s="3"/>
    </row>
    <row r="8441">
      <c r="A8441" s="3"/>
      <c r="B8441" s="3"/>
      <c r="C8441" s="3"/>
    </row>
    <row r="8442">
      <c r="A8442" s="3"/>
      <c r="B8442" s="3"/>
      <c r="C8442" s="3"/>
    </row>
    <row r="8443">
      <c r="A8443" s="3"/>
      <c r="B8443" s="3"/>
      <c r="C8443" s="3"/>
    </row>
    <row r="8444">
      <c r="A8444" s="3"/>
      <c r="B8444" s="3"/>
      <c r="C8444" s="3"/>
    </row>
    <row r="8445">
      <c r="A8445" s="3"/>
      <c r="B8445" s="3"/>
      <c r="C8445" s="3"/>
    </row>
    <row r="8446">
      <c r="A8446" s="3"/>
      <c r="B8446" s="3"/>
      <c r="C8446" s="3"/>
    </row>
    <row r="8447">
      <c r="A8447" s="3"/>
      <c r="B8447" s="3"/>
      <c r="C8447" s="3"/>
    </row>
    <row r="8448">
      <c r="A8448" s="3"/>
      <c r="B8448" s="3"/>
      <c r="C8448" s="3"/>
    </row>
    <row r="8449">
      <c r="A8449" s="3"/>
      <c r="B8449" s="3"/>
      <c r="C8449" s="3"/>
    </row>
    <row r="8450">
      <c r="A8450" s="3"/>
      <c r="B8450" s="3"/>
      <c r="C8450" s="3"/>
    </row>
    <row r="8451">
      <c r="A8451" s="3"/>
      <c r="B8451" s="3"/>
      <c r="C8451" s="3"/>
    </row>
    <row r="8452">
      <c r="A8452" s="3"/>
      <c r="B8452" s="3"/>
      <c r="C8452" s="3"/>
    </row>
    <row r="8453">
      <c r="A8453" s="3"/>
      <c r="B8453" s="3"/>
      <c r="C8453" s="3"/>
    </row>
    <row r="8454">
      <c r="A8454" s="3"/>
      <c r="B8454" s="3"/>
      <c r="C8454" s="3"/>
    </row>
    <row r="8455">
      <c r="A8455" s="3"/>
      <c r="B8455" s="3"/>
      <c r="C8455" s="3"/>
    </row>
    <row r="8456">
      <c r="A8456" s="3"/>
      <c r="B8456" s="3"/>
      <c r="C8456" s="3"/>
    </row>
    <row r="8457">
      <c r="A8457" s="3"/>
      <c r="B8457" s="3"/>
      <c r="C8457" s="3"/>
    </row>
    <row r="8458">
      <c r="A8458" s="3"/>
      <c r="B8458" s="3"/>
      <c r="C8458" s="3"/>
    </row>
    <row r="8459">
      <c r="A8459" s="3"/>
      <c r="B8459" s="3"/>
      <c r="C8459" s="3"/>
    </row>
    <row r="8460">
      <c r="A8460" s="3"/>
      <c r="B8460" s="3"/>
      <c r="C8460" s="3"/>
    </row>
    <row r="8461">
      <c r="A8461" s="3"/>
      <c r="B8461" s="3"/>
      <c r="C8461" s="3"/>
    </row>
    <row r="8462">
      <c r="A8462" s="3"/>
      <c r="B8462" s="3"/>
      <c r="C8462" s="3"/>
    </row>
    <row r="8463">
      <c r="A8463" s="3"/>
      <c r="B8463" s="3"/>
      <c r="C8463" s="3"/>
    </row>
    <row r="8464">
      <c r="A8464" s="3"/>
      <c r="B8464" s="3"/>
      <c r="C8464" s="3"/>
    </row>
    <row r="8465">
      <c r="A8465" s="3"/>
      <c r="B8465" s="3"/>
      <c r="C8465" s="3"/>
    </row>
    <row r="8466">
      <c r="A8466" s="3"/>
      <c r="B8466" s="3"/>
      <c r="C8466" s="3"/>
    </row>
    <row r="8467">
      <c r="A8467" s="3"/>
      <c r="B8467" s="3"/>
      <c r="C8467" s="3"/>
    </row>
    <row r="8468">
      <c r="A8468" s="3"/>
      <c r="B8468" s="3"/>
      <c r="C8468" s="3"/>
    </row>
    <row r="8469">
      <c r="A8469" s="3"/>
      <c r="B8469" s="3"/>
      <c r="C8469" s="3"/>
    </row>
    <row r="8470">
      <c r="A8470" s="3"/>
      <c r="B8470" s="3"/>
      <c r="C8470" s="3"/>
    </row>
    <row r="8471">
      <c r="A8471" s="3"/>
      <c r="B8471" s="3"/>
      <c r="C8471" s="3"/>
    </row>
    <row r="8472">
      <c r="A8472" s="3"/>
      <c r="B8472" s="3"/>
      <c r="C8472" s="3"/>
    </row>
    <row r="8473">
      <c r="A8473" s="3"/>
      <c r="B8473" s="3"/>
      <c r="C8473" s="3"/>
    </row>
    <row r="8474">
      <c r="A8474" s="3"/>
      <c r="B8474" s="3"/>
      <c r="C8474" s="3"/>
    </row>
    <row r="8475">
      <c r="A8475" s="3"/>
      <c r="B8475" s="3"/>
      <c r="C8475" s="3"/>
    </row>
    <row r="8476">
      <c r="A8476" s="3"/>
      <c r="B8476" s="3"/>
      <c r="C8476" s="3"/>
    </row>
    <row r="8477">
      <c r="A8477" s="3"/>
      <c r="B8477" s="3"/>
      <c r="C8477" s="3"/>
    </row>
    <row r="8478">
      <c r="A8478" s="3"/>
      <c r="B8478" s="3"/>
      <c r="C8478" s="3"/>
    </row>
    <row r="8479">
      <c r="A8479" s="3"/>
      <c r="B8479" s="3"/>
      <c r="C8479" s="3"/>
    </row>
    <row r="8480">
      <c r="A8480" s="3"/>
      <c r="B8480" s="3"/>
      <c r="C8480" s="3"/>
    </row>
    <row r="8481">
      <c r="A8481" s="3"/>
      <c r="B8481" s="3"/>
      <c r="C8481" s="3"/>
    </row>
    <row r="8482">
      <c r="A8482" s="3"/>
      <c r="B8482" s="3"/>
      <c r="C8482" s="3"/>
    </row>
    <row r="8483">
      <c r="A8483" s="3"/>
      <c r="B8483" s="3"/>
      <c r="C8483" s="3"/>
    </row>
    <row r="8484">
      <c r="A8484" s="3"/>
      <c r="B8484" s="3"/>
      <c r="C8484" s="3"/>
    </row>
    <row r="8485">
      <c r="A8485" s="3"/>
      <c r="B8485" s="3"/>
      <c r="C8485" s="3"/>
    </row>
    <row r="8486">
      <c r="A8486" s="3"/>
      <c r="B8486" s="3"/>
      <c r="C8486" s="3"/>
    </row>
    <row r="8487">
      <c r="A8487" s="3"/>
      <c r="B8487" s="3"/>
      <c r="C8487" s="3"/>
    </row>
    <row r="8488">
      <c r="A8488" s="3"/>
      <c r="B8488" s="3"/>
      <c r="C8488" s="3"/>
    </row>
    <row r="8489">
      <c r="A8489" s="3"/>
      <c r="B8489" s="3"/>
      <c r="C8489" s="3"/>
    </row>
    <row r="8490">
      <c r="A8490" s="3"/>
      <c r="B8490" s="3"/>
      <c r="C8490" s="3"/>
    </row>
    <row r="8491">
      <c r="A8491" s="3"/>
      <c r="B8491" s="3"/>
      <c r="C8491" s="3"/>
    </row>
    <row r="8492">
      <c r="A8492" s="3"/>
      <c r="B8492" s="3"/>
      <c r="C8492" s="3"/>
    </row>
    <row r="8493">
      <c r="A8493" s="3"/>
      <c r="B8493" s="3"/>
      <c r="C8493" s="3"/>
    </row>
    <row r="8494">
      <c r="A8494" s="3"/>
      <c r="B8494" s="3"/>
      <c r="C8494" s="3"/>
    </row>
    <row r="8495">
      <c r="A8495" s="3"/>
      <c r="B8495" s="3"/>
      <c r="C8495" s="3"/>
    </row>
    <row r="8496">
      <c r="A8496" s="3"/>
      <c r="B8496" s="3"/>
      <c r="C8496" s="3"/>
    </row>
    <row r="8497">
      <c r="A8497" s="3"/>
      <c r="B8497" s="3"/>
      <c r="C8497" s="3"/>
    </row>
    <row r="8498">
      <c r="A8498" s="3"/>
      <c r="B8498" s="3"/>
      <c r="C8498" s="3"/>
    </row>
    <row r="8499">
      <c r="A8499" s="3"/>
      <c r="B8499" s="3"/>
      <c r="C8499" s="3"/>
    </row>
    <row r="8500">
      <c r="A8500" s="3"/>
      <c r="B8500" s="3"/>
      <c r="C8500" s="3"/>
    </row>
    <row r="8501">
      <c r="A8501" s="3"/>
      <c r="B8501" s="3"/>
      <c r="C8501" s="3"/>
    </row>
    <row r="8502">
      <c r="A8502" s="3"/>
      <c r="B8502" s="3"/>
      <c r="C8502" s="3"/>
    </row>
    <row r="8503">
      <c r="A8503" s="3"/>
      <c r="B8503" s="3"/>
      <c r="C8503" s="3"/>
    </row>
    <row r="8504">
      <c r="A8504" s="3"/>
      <c r="B8504" s="3"/>
      <c r="C8504" s="3"/>
    </row>
    <row r="8505">
      <c r="A8505" s="3"/>
      <c r="B8505" s="3"/>
      <c r="C8505" s="3"/>
    </row>
    <row r="8506">
      <c r="A8506" s="3"/>
      <c r="B8506" s="3"/>
      <c r="C8506" s="3"/>
    </row>
    <row r="8507">
      <c r="A8507" s="3"/>
      <c r="B8507" s="3"/>
      <c r="C8507" s="3"/>
    </row>
    <row r="8508">
      <c r="A8508" s="3"/>
      <c r="B8508" s="3"/>
      <c r="C8508" s="3"/>
    </row>
    <row r="8509">
      <c r="A8509" s="3"/>
      <c r="B8509" s="3"/>
      <c r="C8509" s="3"/>
    </row>
    <row r="8510">
      <c r="A8510" s="3"/>
      <c r="B8510" s="3"/>
      <c r="C8510" s="3"/>
    </row>
    <row r="8511">
      <c r="A8511" s="3"/>
      <c r="B8511" s="3"/>
      <c r="C8511" s="3"/>
    </row>
    <row r="8512">
      <c r="A8512" s="3"/>
      <c r="B8512" s="3"/>
      <c r="C8512" s="3"/>
    </row>
    <row r="8513">
      <c r="A8513" s="3"/>
      <c r="B8513" s="3"/>
      <c r="C8513" s="3"/>
    </row>
    <row r="8514">
      <c r="A8514" s="3"/>
      <c r="B8514" s="3"/>
      <c r="C8514" s="3"/>
    </row>
    <row r="8515">
      <c r="A8515" s="3"/>
      <c r="B8515" s="3"/>
      <c r="C8515" s="3"/>
    </row>
    <row r="8516">
      <c r="A8516" s="3"/>
      <c r="B8516" s="3"/>
      <c r="C8516" s="3"/>
    </row>
    <row r="8517">
      <c r="A8517" s="3"/>
      <c r="B8517" s="3"/>
      <c r="C8517" s="3"/>
    </row>
    <row r="8518">
      <c r="A8518" s="3"/>
      <c r="B8518" s="3"/>
      <c r="C8518" s="3"/>
    </row>
    <row r="8519">
      <c r="A8519" s="3"/>
      <c r="B8519" s="3"/>
      <c r="C8519" s="3"/>
    </row>
    <row r="8520">
      <c r="A8520" s="3"/>
      <c r="B8520" s="3"/>
      <c r="C8520" s="3"/>
    </row>
    <row r="8521">
      <c r="A8521" s="3"/>
      <c r="B8521" s="3"/>
      <c r="C8521" s="3"/>
    </row>
    <row r="8522">
      <c r="A8522" s="3"/>
      <c r="B8522" s="3"/>
      <c r="C8522" s="3"/>
    </row>
    <row r="8523">
      <c r="A8523" s="3"/>
      <c r="B8523" s="3"/>
      <c r="C8523" s="3"/>
    </row>
    <row r="8524">
      <c r="A8524" s="3"/>
      <c r="B8524" s="3"/>
      <c r="C8524" s="3"/>
    </row>
    <row r="8525">
      <c r="A8525" s="3"/>
      <c r="B8525" s="3"/>
      <c r="C8525" s="3"/>
    </row>
    <row r="8526">
      <c r="A8526" s="3"/>
      <c r="B8526" s="3"/>
      <c r="C8526" s="3"/>
    </row>
    <row r="8527">
      <c r="A8527" s="3"/>
      <c r="B8527" s="3"/>
      <c r="C8527" s="3"/>
    </row>
    <row r="8528">
      <c r="A8528" s="3"/>
      <c r="B8528" s="3"/>
      <c r="C8528" s="3"/>
    </row>
    <row r="8529">
      <c r="A8529" s="3"/>
      <c r="B8529" s="3"/>
      <c r="C8529" s="3"/>
    </row>
    <row r="8530">
      <c r="A8530" s="3"/>
      <c r="B8530" s="3"/>
      <c r="C8530" s="3"/>
    </row>
    <row r="8531">
      <c r="A8531" s="3"/>
      <c r="B8531" s="3"/>
      <c r="C8531" s="3"/>
    </row>
    <row r="8532">
      <c r="A8532" s="3"/>
      <c r="B8532" s="3"/>
      <c r="C8532" s="3"/>
    </row>
    <row r="8533">
      <c r="A8533" s="3"/>
      <c r="B8533" s="3"/>
      <c r="C8533" s="3"/>
    </row>
    <row r="8534">
      <c r="A8534" s="3"/>
      <c r="B8534" s="3"/>
      <c r="C8534" s="3"/>
    </row>
    <row r="8535">
      <c r="A8535" s="3"/>
      <c r="B8535" s="3"/>
      <c r="C8535" s="3"/>
    </row>
    <row r="8536">
      <c r="A8536" s="3"/>
      <c r="B8536" s="3"/>
      <c r="C8536" s="3"/>
    </row>
    <row r="8537">
      <c r="A8537" s="3"/>
      <c r="B8537" s="3"/>
      <c r="C8537" s="3"/>
    </row>
    <row r="8538">
      <c r="A8538" s="3"/>
      <c r="B8538" s="3"/>
      <c r="C8538" s="3"/>
    </row>
    <row r="8539">
      <c r="A8539" s="3"/>
      <c r="B8539" s="3"/>
      <c r="C8539" s="3"/>
    </row>
    <row r="8540">
      <c r="A8540" s="3"/>
      <c r="B8540" s="3"/>
      <c r="C8540" s="3"/>
    </row>
    <row r="8541">
      <c r="A8541" s="3"/>
      <c r="B8541" s="3"/>
      <c r="C8541" s="3"/>
    </row>
    <row r="8542">
      <c r="A8542" s="3"/>
      <c r="B8542" s="3"/>
      <c r="C8542" s="3"/>
    </row>
    <row r="8543">
      <c r="A8543" s="3"/>
      <c r="B8543" s="3"/>
      <c r="C8543" s="3"/>
    </row>
    <row r="8544">
      <c r="A8544" s="3"/>
      <c r="B8544" s="3"/>
      <c r="C8544" s="3"/>
    </row>
    <row r="8545">
      <c r="A8545" s="3"/>
      <c r="B8545" s="3"/>
      <c r="C8545" s="3"/>
    </row>
    <row r="8546">
      <c r="A8546" s="3"/>
      <c r="B8546" s="3"/>
      <c r="C8546" s="3"/>
    </row>
    <row r="8547">
      <c r="A8547" s="3"/>
      <c r="B8547" s="3"/>
      <c r="C8547" s="3"/>
    </row>
    <row r="8548">
      <c r="A8548" s="3"/>
      <c r="B8548" s="3"/>
      <c r="C8548" s="3"/>
    </row>
    <row r="8549">
      <c r="A8549" s="3"/>
      <c r="B8549" s="3"/>
      <c r="C8549" s="3"/>
    </row>
    <row r="8550">
      <c r="A8550" s="3"/>
      <c r="B8550" s="3"/>
      <c r="C8550" s="3"/>
    </row>
    <row r="8551">
      <c r="A8551" s="3"/>
      <c r="B8551" s="3"/>
      <c r="C8551" s="3"/>
    </row>
    <row r="8552">
      <c r="A8552" s="3"/>
      <c r="B8552" s="3"/>
      <c r="C8552" s="3"/>
    </row>
    <row r="8553">
      <c r="A8553" s="3"/>
      <c r="B8553" s="3"/>
      <c r="C8553" s="3"/>
    </row>
    <row r="8554">
      <c r="A8554" s="3"/>
      <c r="B8554" s="3"/>
      <c r="C8554" s="3"/>
    </row>
    <row r="8555">
      <c r="A8555" s="3"/>
      <c r="B8555" s="3"/>
      <c r="C8555" s="3"/>
    </row>
    <row r="8556">
      <c r="A8556" s="3"/>
      <c r="B8556" s="3"/>
      <c r="C8556" s="3"/>
    </row>
    <row r="8557">
      <c r="A8557" s="3"/>
      <c r="B8557" s="3"/>
      <c r="C8557" s="3"/>
    </row>
    <row r="8558">
      <c r="A8558" s="3"/>
      <c r="B8558" s="3"/>
      <c r="C8558" s="3"/>
    </row>
    <row r="8559">
      <c r="A8559" s="3"/>
      <c r="B8559" s="3"/>
      <c r="C8559" s="3"/>
    </row>
    <row r="8560">
      <c r="A8560" s="3"/>
      <c r="B8560" s="3"/>
      <c r="C8560" s="3"/>
    </row>
    <row r="8561">
      <c r="A8561" s="3"/>
      <c r="B8561" s="3"/>
      <c r="C8561" s="3"/>
    </row>
    <row r="8562">
      <c r="A8562" s="3"/>
      <c r="B8562" s="3"/>
      <c r="C8562" s="3"/>
    </row>
    <row r="8563">
      <c r="A8563" s="3"/>
      <c r="B8563" s="3"/>
      <c r="C8563" s="3"/>
    </row>
    <row r="8564">
      <c r="A8564" s="3"/>
      <c r="B8564" s="3"/>
      <c r="C8564" s="3"/>
    </row>
    <row r="8565">
      <c r="A8565" s="3"/>
      <c r="B8565" s="3"/>
      <c r="C8565" s="3"/>
    </row>
    <row r="8566">
      <c r="A8566" s="3"/>
      <c r="B8566" s="3"/>
      <c r="C8566" s="3"/>
    </row>
    <row r="8567">
      <c r="A8567" s="3"/>
      <c r="B8567" s="3"/>
      <c r="C8567" s="3"/>
    </row>
    <row r="8568">
      <c r="A8568" s="3"/>
      <c r="B8568" s="3"/>
      <c r="C8568" s="3"/>
    </row>
    <row r="8569">
      <c r="A8569" s="3"/>
      <c r="B8569" s="3"/>
      <c r="C8569" s="3"/>
    </row>
    <row r="8570">
      <c r="A8570" s="3"/>
      <c r="B8570" s="3"/>
      <c r="C8570" s="3"/>
    </row>
    <row r="8571">
      <c r="A8571" s="3"/>
      <c r="B8571" s="3"/>
      <c r="C8571" s="3"/>
    </row>
    <row r="8572">
      <c r="A8572" s="3"/>
      <c r="B8572" s="3"/>
      <c r="C8572" s="3"/>
    </row>
    <row r="8573">
      <c r="A8573" s="3"/>
      <c r="B8573" s="3"/>
      <c r="C8573" s="3"/>
    </row>
    <row r="8574">
      <c r="A8574" s="3"/>
      <c r="B8574" s="3"/>
      <c r="C8574" s="3"/>
    </row>
    <row r="8575">
      <c r="A8575" s="3"/>
      <c r="B8575" s="3"/>
      <c r="C8575" s="3"/>
    </row>
    <row r="8576">
      <c r="A8576" s="3"/>
      <c r="B8576" s="3"/>
      <c r="C8576" s="3"/>
    </row>
    <row r="8577">
      <c r="A8577" s="3"/>
      <c r="B8577" s="3"/>
      <c r="C8577" s="3"/>
    </row>
    <row r="8578">
      <c r="A8578" s="3"/>
      <c r="B8578" s="3"/>
      <c r="C8578" s="3"/>
    </row>
    <row r="8579">
      <c r="A8579" s="3"/>
      <c r="B8579" s="3"/>
      <c r="C8579" s="3"/>
    </row>
    <row r="8580">
      <c r="A8580" s="3"/>
      <c r="B8580" s="3"/>
      <c r="C8580" s="3"/>
    </row>
    <row r="8581">
      <c r="A8581" s="3"/>
      <c r="B8581" s="3"/>
      <c r="C8581" s="3"/>
    </row>
    <row r="8582">
      <c r="A8582" s="3"/>
      <c r="B8582" s="3"/>
      <c r="C8582" s="3"/>
    </row>
    <row r="8583">
      <c r="A8583" s="3"/>
      <c r="B8583" s="3"/>
      <c r="C8583" s="3"/>
    </row>
    <row r="8584">
      <c r="A8584" s="3"/>
      <c r="B8584" s="3"/>
      <c r="C8584" s="3"/>
    </row>
    <row r="8585">
      <c r="A8585" s="3"/>
      <c r="B8585" s="3"/>
      <c r="C8585" s="3"/>
    </row>
    <row r="8586">
      <c r="A8586" s="3"/>
      <c r="B8586" s="3"/>
      <c r="C8586" s="3"/>
    </row>
    <row r="8587">
      <c r="A8587" s="3"/>
      <c r="B8587" s="3"/>
      <c r="C8587" s="3"/>
    </row>
    <row r="8588">
      <c r="A8588" s="3"/>
      <c r="B8588" s="3"/>
      <c r="C8588" s="3"/>
    </row>
    <row r="8589">
      <c r="A8589" s="3"/>
      <c r="B8589" s="3"/>
      <c r="C8589" s="3"/>
    </row>
    <row r="8590">
      <c r="A8590" s="3"/>
      <c r="B8590" s="3"/>
      <c r="C8590" s="3"/>
    </row>
    <row r="8591">
      <c r="A8591" s="3"/>
      <c r="B8591" s="3"/>
      <c r="C8591" s="3"/>
    </row>
    <row r="8592">
      <c r="A8592" s="3"/>
      <c r="B8592" s="3"/>
      <c r="C8592" s="3"/>
    </row>
    <row r="8593">
      <c r="A8593" s="3"/>
      <c r="B8593" s="3"/>
      <c r="C8593" s="3"/>
    </row>
    <row r="8594">
      <c r="A8594" s="3"/>
      <c r="B8594" s="3"/>
      <c r="C8594" s="3"/>
    </row>
    <row r="8595">
      <c r="A8595" s="3"/>
      <c r="B8595" s="3"/>
      <c r="C8595" s="3"/>
    </row>
    <row r="8596">
      <c r="A8596" s="3"/>
      <c r="B8596" s="3"/>
      <c r="C8596" s="3"/>
    </row>
    <row r="8597">
      <c r="A8597" s="3"/>
      <c r="B8597" s="3"/>
      <c r="C8597" s="3"/>
    </row>
    <row r="8598">
      <c r="A8598" s="3"/>
      <c r="B8598" s="3"/>
      <c r="C8598" s="3"/>
    </row>
    <row r="8599">
      <c r="A8599" s="3"/>
      <c r="B8599" s="3"/>
      <c r="C8599" s="3"/>
    </row>
    <row r="8600">
      <c r="A8600" s="3"/>
      <c r="B8600" s="3"/>
      <c r="C8600" s="3"/>
    </row>
    <row r="8601">
      <c r="A8601" s="3"/>
      <c r="B8601" s="3"/>
      <c r="C8601" s="3"/>
    </row>
    <row r="8602">
      <c r="A8602" s="3"/>
      <c r="B8602" s="3"/>
      <c r="C8602" s="3"/>
    </row>
    <row r="8603">
      <c r="A8603" s="3"/>
      <c r="B8603" s="3"/>
      <c r="C8603" s="3"/>
    </row>
    <row r="8604">
      <c r="A8604" s="3"/>
      <c r="B8604" s="3"/>
      <c r="C8604" s="3"/>
    </row>
    <row r="8605">
      <c r="A8605" s="3"/>
      <c r="B8605" s="3"/>
      <c r="C8605" s="3"/>
    </row>
    <row r="8606">
      <c r="A8606" s="3"/>
      <c r="B8606" s="3"/>
      <c r="C8606" s="3"/>
    </row>
    <row r="8607">
      <c r="A8607" s="3"/>
      <c r="B8607" s="3"/>
      <c r="C8607" s="3"/>
    </row>
    <row r="8608">
      <c r="A8608" s="3"/>
      <c r="B8608" s="3"/>
      <c r="C8608" s="3"/>
    </row>
    <row r="8609">
      <c r="A8609" s="3"/>
      <c r="B8609" s="3"/>
      <c r="C8609" s="3"/>
    </row>
    <row r="8610">
      <c r="A8610" s="3"/>
      <c r="B8610" s="3"/>
      <c r="C8610" s="3"/>
    </row>
    <row r="8611">
      <c r="A8611" s="3"/>
      <c r="B8611" s="3"/>
      <c r="C8611" s="3"/>
    </row>
    <row r="8612">
      <c r="A8612" s="3"/>
      <c r="B8612" s="3"/>
      <c r="C8612" s="3"/>
    </row>
    <row r="8613">
      <c r="A8613" s="3"/>
      <c r="B8613" s="3"/>
      <c r="C8613" s="3"/>
    </row>
    <row r="8614">
      <c r="A8614" s="3"/>
      <c r="B8614" s="3"/>
      <c r="C8614" s="3"/>
    </row>
    <row r="8615">
      <c r="A8615" s="3"/>
      <c r="B8615" s="3"/>
      <c r="C8615" s="3"/>
    </row>
    <row r="8616">
      <c r="A8616" s="3"/>
      <c r="B8616" s="3"/>
      <c r="C8616" s="3"/>
    </row>
    <row r="8617">
      <c r="A8617" s="3"/>
      <c r="B8617" s="3"/>
      <c r="C8617" s="3"/>
    </row>
    <row r="8618">
      <c r="A8618" s="3"/>
      <c r="B8618" s="3"/>
      <c r="C8618" s="3"/>
    </row>
    <row r="8619">
      <c r="A8619" s="3"/>
      <c r="B8619" s="3"/>
      <c r="C8619" s="3"/>
    </row>
    <row r="8620">
      <c r="A8620" s="3"/>
      <c r="B8620" s="3"/>
      <c r="C8620" s="3"/>
    </row>
    <row r="8621">
      <c r="A8621" s="3"/>
      <c r="B8621" s="3"/>
      <c r="C8621" s="3"/>
    </row>
    <row r="8622">
      <c r="A8622" s="3"/>
      <c r="B8622" s="3"/>
      <c r="C8622" s="3"/>
    </row>
    <row r="8623">
      <c r="A8623" s="3"/>
      <c r="B8623" s="3"/>
      <c r="C8623" s="3"/>
    </row>
    <row r="8624">
      <c r="A8624" s="3"/>
      <c r="B8624" s="3"/>
      <c r="C8624" s="3"/>
    </row>
    <row r="8625">
      <c r="A8625" s="3"/>
      <c r="B8625" s="3"/>
      <c r="C8625" s="3"/>
    </row>
    <row r="8626">
      <c r="A8626" s="3"/>
      <c r="B8626" s="3"/>
      <c r="C8626" s="3"/>
    </row>
    <row r="8627">
      <c r="A8627" s="3"/>
      <c r="B8627" s="3"/>
      <c r="C8627" s="3"/>
    </row>
    <row r="8628">
      <c r="A8628" s="3"/>
      <c r="B8628" s="3"/>
      <c r="C8628" s="3"/>
    </row>
    <row r="8629">
      <c r="A8629" s="3"/>
      <c r="B8629" s="3"/>
      <c r="C8629" s="3"/>
    </row>
    <row r="8630">
      <c r="A8630" s="3"/>
      <c r="B8630" s="3"/>
      <c r="C8630" s="3"/>
    </row>
    <row r="8631">
      <c r="A8631" s="3"/>
      <c r="B8631" s="3"/>
      <c r="C8631" s="3"/>
    </row>
    <row r="8632">
      <c r="A8632" s="3"/>
      <c r="B8632" s="3"/>
      <c r="C8632" s="3"/>
    </row>
    <row r="8633">
      <c r="A8633" s="3"/>
      <c r="B8633" s="3"/>
      <c r="C8633" s="3"/>
    </row>
    <row r="8634">
      <c r="A8634" s="3"/>
      <c r="B8634" s="3"/>
      <c r="C8634" s="3"/>
    </row>
    <row r="8635">
      <c r="A8635" s="3"/>
      <c r="B8635" s="3"/>
      <c r="C8635" s="3"/>
    </row>
    <row r="8636">
      <c r="A8636" s="3"/>
      <c r="B8636" s="3"/>
      <c r="C8636" s="3"/>
    </row>
    <row r="8637">
      <c r="A8637" s="3"/>
      <c r="B8637" s="3"/>
      <c r="C8637" s="3"/>
    </row>
    <row r="8638">
      <c r="A8638" s="3"/>
      <c r="B8638" s="3"/>
      <c r="C8638" s="3"/>
    </row>
    <row r="8639">
      <c r="A8639" s="3"/>
      <c r="B8639" s="3"/>
      <c r="C8639" s="3"/>
    </row>
    <row r="8640">
      <c r="A8640" s="3"/>
      <c r="B8640" s="3"/>
      <c r="C8640" s="3"/>
    </row>
    <row r="8641">
      <c r="A8641" s="3"/>
      <c r="B8641" s="3"/>
      <c r="C8641" s="3"/>
    </row>
    <row r="8642">
      <c r="A8642" s="3"/>
      <c r="B8642" s="3"/>
      <c r="C8642" s="3"/>
    </row>
    <row r="8643">
      <c r="A8643" s="3"/>
      <c r="B8643" s="3"/>
      <c r="C8643" s="3"/>
    </row>
    <row r="8644">
      <c r="A8644" s="3"/>
      <c r="B8644" s="3"/>
      <c r="C8644" s="3"/>
    </row>
    <row r="8645">
      <c r="A8645" s="3"/>
      <c r="B8645" s="3"/>
      <c r="C8645" s="3"/>
    </row>
    <row r="8646">
      <c r="A8646" s="3"/>
      <c r="B8646" s="3"/>
      <c r="C8646" s="3"/>
    </row>
    <row r="8647">
      <c r="A8647" s="3"/>
      <c r="B8647" s="3"/>
      <c r="C8647" s="3"/>
    </row>
    <row r="8648">
      <c r="A8648" s="3"/>
      <c r="B8648" s="3"/>
      <c r="C8648" s="3"/>
    </row>
    <row r="8649">
      <c r="A8649" s="3"/>
      <c r="B8649" s="3"/>
      <c r="C8649" s="3"/>
    </row>
    <row r="8650">
      <c r="A8650" s="3"/>
      <c r="B8650" s="3"/>
      <c r="C8650" s="3"/>
    </row>
    <row r="8651">
      <c r="A8651" s="3"/>
      <c r="B8651" s="3"/>
      <c r="C8651" s="3"/>
    </row>
    <row r="8652">
      <c r="A8652" s="3"/>
      <c r="B8652" s="3"/>
      <c r="C8652" s="3"/>
    </row>
    <row r="8653">
      <c r="A8653" s="3"/>
      <c r="B8653" s="3"/>
      <c r="C8653" s="3"/>
    </row>
    <row r="8654">
      <c r="A8654" s="3"/>
      <c r="B8654" s="3"/>
      <c r="C8654" s="3"/>
    </row>
    <row r="8655">
      <c r="A8655" s="3"/>
      <c r="B8655" s="3"/>
      <c r="C8655" s="3"/>
    </row>
    <row r="8656">
      <c r="A8656" s="3"/>
      <c r="B8656" s="3"/>
      <c r="C8656" s="3"/>
    </row>
    <row r="8657">
      <c r="A8657" s="3"/>
      <c r="B8657" s="3"/>
      <c r="C8657" s="3"/>
    </row>
    <row r="8658">
      <c r="A8658" s="3"/>
      <c r="B8658" s="3"/>
      <c r="C8658" s="3"/>
    </row>
    <row r="8659">
      <c r="A8659" s="3"/>
      <c r="B8659" s="3"/>
      <c r="C8659" s="3"/>
    </row>
    <row r="8660">
      <c r="A8660" s="3"/>
      <c r="B8660" s="3"/>
      <c r="C8660" s="3"/>
    </row>
    <row r="8661">
      <c r="A8661" s="3"/>
      <c r="B8661" s="3"/>
      <c r="C8661" s="3"/>
    </row>
    <row r="8662">
      <c r="A8662" s="3"/>
      <c r="B8662" s="3"/>
      <c r="C8662" s="3"/>
    </row>
    <row r="8663">
      <c r="A8663" s="3"/>
      <c r="B8663" s="3"/>
      <c r="C8663" s="3"/>
    </row>
    <row r="8664">
      <c r="A8664" s="3"/>
      <c r="B8664" s="3"/>
      <c r="C8664" s="3"/>
    </row>
    <row r="8665">
      <c r="A8665" s="3"/>
      <c r="B8665" s="3"/>
      <c r="C8665" s="3"/>
    </row>
    <row r="8666">
      <c r="A8666" s="3"/>
      <c r="B8666" s="3"/>
      <c r="C8666" s="3"/>
    </row>
    <row r="8667">
      <c r="A8667" s="3"/>
      <c r="B8667" s="3"/>
      <c r="C8667" s="3"/>
    </row>
    <row r="8668">
      <c r="A8668" s="3"/>
      <c r="B8668" s="3"/>
      <c r="C8668" s="3"/>
    </row>
    <row r="8669">
      <c r="A8669" s="3"/>
      <c r="B8669" s="3"/>
      <c r="C8669" s="3"/>
    </row>
    <row r="8670">
      <c r="A8670" s="3"/>
      <c r="B8670" s="3"/>
      <c r="C8670" s="3"/>
    </row>
    <row r="8671">
      <c r="A8671" s="3"/>
      <c r="B8671" s="3"/>
      <c r="C8671" s="3"/>
    </row>
    <row r="8672">
      <c r="A8672" s="3"/>
      <c r="B8672" s="3"/>
      <c r="C8672" s="3"/>
    </row>
    <row r="8673">
      <c r="A8673" s="3"/>
      <c r="B8673" s="3"/>
      <c r="C8673" s="3"/>
    </row>
    <row r="8674">
      <c r="A8674" s="3"/>
      <c r="B8674" s="3"/>
      <c r="C8674" s="3"/>
    </row>
    <row r="8675">
      <c r="A8675" s="3"/>
      <c r="B8675" s="3"/>
      <c r="C8675" s="3"/>
    </row>
    <row r="8676">
      <c r="A8676" s="3"/>
      <c r="B8676" s="3"/>
      <c r="C8676" s="3"/>
    </row>
    <row r="8677">
      <c r="A8677" s="3"/>
      <c r="B8677" s="3"/>
      <c r="C8677" s="3"/>
    </row>
    <row r="8678">
      <c r="A8678" s="3"/>
      <c r="B8678" s="3"/>
      <c r="C8678" s="3"/>
    </row>
    <row r="8679">
      <c r="A8679" s="3"/>
      <c r="B8679" s="3"/>
      <c r="C8679" s="3"/>
    </row>
    <row r="8680">
      <c r="A8680" s="3"/>
      <c r="B8680" s="3"/>
      <c r="C8680" s="3"/>
    </row>
    <row r="8681">
      <c r="A8681" s="3"/>
      <c r="B8681" s="3"/>
      <c r="C8681" s="3"/>
    </row>
    <row r="8682">
      <c r="A8682" s="3"/>
      <c r="B8682" s="3"/>
      <c r="C8682" s="3"/>
    </row>
    <row r="8683">
      <c r="A8683" s="3"/>
      <c r="B8683" s="3"/>
      <c r="C8683" s="3"/>
    </row>
    <row r="8684">
      <c r="A8684" s="3"/>
      <c r="B8684" s="3"/>
      <c r="C8684" s="3"/>
    </row>
    <row r="8685">
      <c r="A8685" s="3"/>
      <c r="B8685" s="3"/>
      <c r="C8685" s="3"/>
    </row>
    <row r="8686">
      <c r="A8686" s="3"/>
      <c r="B8686" s="3"/>
      <c r="C8686" s="3"/>
    </row>
    <row r="8687">
      <c r="A8687" s="3"/>
      <c r="B8687" s="3"/>
      <c r="C8687" s="3"/>
    </row>
    <row r="8688">
      <c r="A8688" s="3"/>
      <c r="B8688" s="3"/>
      <c r="C8688" s="3"/>
    </row>
    <row r="8689">
      <c r="A8689" s="3"/>
      <c r="B8689" s="3"/>
      <c r="C8689" s="3"/>
    </row>
    <row r="8690">
      <c r="A8690" s="3"/>
      <c r="B8690" s="3"/>
      <c r="C8690" s="3"/>
    </row>
    <row r="8691">
      <c r="A8691" s="3"/>
      <c r="B8691" s="3"/>
      <c r="C8691" s="3"/>
    </row>
    <row r="8692">
      <c r="A8692" s="3"/>
      <c r="B8692" s="3"/>
      <c r="C8692" s="3"/>
    </row>
    <row r="8693">
      <c r="A8693" s="3"/>
      <c r="B8693" s="3"/>
      <c r="C8693" s="3"/>
    </row>
    <row r="8694">
      <c r="A8694" s="3"/>
      <c r="B8694" s="3"/>
      <c r="C8694" s="3"/>
    </row>
    <row r="8695">
      <c r="A8695" s="3"/>
      <c r="B8695" s="3"/>
      <c r="C8695" s="3"/>
    </row>
    <row r="8696">
      <c r="A8696" s="3"/>
      <c r="B8696" s="3"/>
      <c r="C8696" s="3"/>
    </row>
    <row r="8697">
      <c r="A8697" s="3"/>
      <c r="B8697" s="3"/>
      <c r="C8697" s="3"/>
    </row>
    <row r="8698">
      <c r="A8698" s="3"/>
      <c r="B8698" s="3"/>
      <c r="C8698" s="3"/>
    </row>
    <row r="8699">
      <c r="A8699" s="3"/>
      <c r="B8699" s="3"/>
      <c r="C8699" s="3"/>
    </row>
    <row r="8700">
      <c r="A8700" s="3"/>
      <c r="B8700" s="3"/>
      <c r="C8700" s="3"/>
    </row>
    <row r="8701">
      <c r="A8701" s="3"/>
      <c r="B8701" s="3"/>
      <c r="C8701" s="3"/>
    </row>
    <row r="8702">
      <c r="A8702" s="3"/>
      <c r="B8702" s="3"/>
      <c r="C8702" s="3"/>
    </row>
    <row r="8703">
      <c r="A8703" s="3"/>
      <c r="B8703" s="3"/>
      <c r="C8703" s="3"/>
    </row>
    <row r="8704">
      <c r="A8704" s="3"/>
      <c r="B8704" s="3"/>
      <c r="C8704" s="3"/>
    </row>
    <row r="8705">
      <c r="A8705" s="3"/>
      <c r="B8705" s="3"/>
      <c r="C8705" s="3"/>
    </row>
    <row r="8706">
      <c r="A8706" s="3"/>
      <c r="B8706" s="3"/>
      <c r="C8706" s="3"/>
    </row>
    <row r="8707">
      <c r="A8707" s="3"/>
      <c r="B8707" s="3"/>
      <c r="C8707" s="3"/>
    </row>
    <row r="8708">
      <c r="A8708" s="3"/>
      <c r="B8708" s="3"/>
      <c r="C8708" s="3"/>
    </row>
    <row r="8709">
      <c r="A8709" s="3"/>
      <c r="B8709" s="3"/>
      <c r="C8709" s="3"/>
    </row>
    <row r="8710">
      <c r="A8710" s="3"/>
      <c r="B8710" s="3"/>
      <c r="C8710" s="3"/>
    </row>
    <row r="8711">
      <c r="A8711" s="3"/>
      <c r="B8711" s="3"/>
      <c r="C8711" s="3"/>
    </row>
    <row r="8712">
      <c r="A8712" s="3"/>
      <c r="B8712" s="3"/>
      <c r="C8712" s="3"/>
    </row>
    <row r="8713">
      <c r="A8713" s="3"/>
      <c r="B8713" s="3"/>
      <c r="C8713" s="3"/>
    </row>
    <row r="8714">
      <c r="A8714" s="3"/>
      <c r="B8714" s="3"/>
      <c r="C8714" s="3"/>
    </row>
    <row r="8715">
      <c r="A8715" s="3"/>
      <c r="B8715" s="3"/>
      <c r="C8715" s="3"/>
    </row>
    <row r="8716">
      <c r="A8716" s="3"/>
      <c r="B8716" s="3"/>
      <c r="C8716" s="3"/>
    </row>
    <row r="8717">
      <c r="A8717" s="3"/>
      <c r="B8717" s="3"/>
      <c r="C8717" s="3"/>
    </row>
    <row r="8718">
      <c r="A8718" s="3"/>
      <c r="B8718" s="3"/>
      <c r="C8718" s="3"/>
    </row>
    <row r="8719">
      <c r="A8719" s="3"/>
      <c r="B8719" s="3"/>
      <c r="C8719" s="3"/>
    </row>
    <row r="8720">
      <c r="A8720" s="3"/>
      <c r="B8720" s="3"/>
      <c r="C8720" s="3"/>
    </row>
    <row r="8721">
      <c r="A8721" s="3"/>
      <c r="B8721" s="3"/>
      <c r="C8721" s="3"/>
    </row>
    <row r="8722">
      <c r="A8722" s="3"/>
      <c r="B8722" s="3"/>
      <c r="C8722" s="3"/>
    </row>
    <row r="8723">
      <c r="A8723" s="3"/>
      <c r="B8723" s="3"/>
      <c r="C8723" s="3"/>
    </row>
    <row r="8724">
      <c r="A8724" s="3"/>
      <c r="B8724" s="3"/>
      <c r="C8724" s="3"/>
    </row>
    <row r="8725">
      <c r="A8725" s="3"/>
      <c r="B8725" s="3"/>
      <c r="C8725" s="3"/>
    </row>
    <row r="8726">
      <c r="A8726" s="3"/>
      <c r="B8726" s="3"/>
      <c r="C8726" s="3"/>
    </row>
    <row r="8727">
      <c r="A8727" s="3"/>
      <c r="B8727" s="3"/>
      <c r="C8727" s="3"/>
    </row>
    <row r="8728">
      <c r="A8728" s="3"/>
      <c r="B8728" s="3"/>
      <c r="C8728" s="3"/>
    </row>
    <row r="8729">
      <c r="A8729" s="3"/>
      <c r="B8729" s="3"/>
      <c r="C8729" s="3"/>
    </row>
    <row r="8730">
      <c r="A8730" s="3"/>
      <c r="B8730" s="3"/>
      <c r="C8730" s="3"/>
    </row>
    <row r="8731">
      <c r="A8731" s="3"/>
      <c r="B8731" s="3"/>
      <c r="C8731" s="3"/>
    </row>
    <row r="8732">
      <c r="A8732" s="3"/>
      <c r="B8732" s="3"/>
      <c r="C8732" s="3"/>
    </row>
    <row r="8733">
      <c r="A8733" s="3"/>
      <c r="B8733" s="3"/>
      <c r="C8733" s="3"/>
    </row>
    <row r="8734">
      <c r="A8734" s="3"/>
      <c r="B8734" s="3"/>
      <c r="C8734" s="3"/>
    </row>
    <row r="8735">
      <c r="A8735" s="3"/>
      <c r="B8735" s="3"/>
      <c r="C8735" s="3"/>
    </row>
    <row r="8736">
      <c r="A8736" s="3"/>
      <c r="B8736" s="3"/>
      <c r="C8736" s="3"/>
    </row>
    <row r="8737">
      <c r="A8737" s="3"/>
      <c r="B8737" s="3"/>
      <c r="C8737" s="3"/>
    </row>
    <row r="8738">
      <c r="A8738" s="3"/>
      <c r="B8738" s="3"/>
      <c r="C8738" s="3"/>
    </row>
    <row r="8739">
      <c r="A8739" s="3"/>
      <c r="B8739" s="3"/>
      <c r="C8739" s="3"/>
    </row>
    <row r="8740">
      <c r="A8740" s="3"/>
      <c r="B8740" s="3"/>
      <c r="C8740" s="3"/>
    </row>
    <row r="8741">
      <c r="A8741" s="3"/>
      <c r="B8741" s="3"/>
      <c r="C8741" s="3"/>
    </row>
    <row r="8742">
      <c r="A8742" s="3"/>
      <c r="B8742" s="3"/>
      <c r="C8742" s="3"/>
    </row>
    <row r="8743">
      <c r="A8743" s="3"/>
      <c r="B8743" s="3"/>
      <c r="C8743" s="3"/>
    </row>
    <row r="8744">
      <c r="A8744" s="3"/>
      <c r="B8744" s="3"/>
      <c r="C8744" s="3"/>
    </row>
    <row r="8745">
      <c r="A8745" s="3"/>
      <c r="B8745" s="3"/>
      <c r="C8745" s="3"/>
    </row>
    <row r="8746">
      <c r="A8746" s="3"/>
      <c r="B8746" s="3"/>
      <c r="C8746" s="3"/>
    </row>
    <row r="8747">
      <c r="A8747" s="3"/>
      <c r="B8747" s="3"/>
      <c r="C8747" s="3"/>
    </row>
    <row r="8748">
      <c r="A8748" s="3"/>
      <c r="B8748" s="3"/>
      <c r="C8748" s="3"/>
    </row>
    <row r="8749">
      <c r="A8749" s="3"/>
      <c r="B8749" s="3"/>
      <c r="C8749" s="3"/>
    </row>
    <row r="8750">
      <c r="A8750" s="3"/>
      <c r="B8750" s="3"/>
      <c r="C8750" s="3"/>
    </row>
    <row r="8751">
      <c r="A8751" s="3"/>
      <c r="B8751" s="3"/>
      <c r="C8751" s="3"/>
    </row>
    <row r="8752">
      <c r="A8752" s="3"/>
      <c r="B8752" s="3"/>
      <c r="C8752" s="3"/>
    </row>
    <row r="8753">
      <c r="A8753" s="3"/>
      <c r="B8753" s="3"/>
      <c r="C8753" s="3"/>
    </row>
    <row r="8754">
      <c r="A8754" s="3"/>
      <c r="B8754" s="3"/>
      <c r="C8754" s="3"/>
    </row>
    <row r="8755">
      <c r="A8755" s="3"/>
      <c r="B8755" s="3"/>
      <c r="C8755" s="3"/>
    </row>
    <row r="8756">
      <c r="A8756" s="3"/>
      <c r="B8756" s="3"/>
      <c r="C8756" s="3"/>
    </row>
    <row r="8757">
      <c r="A8757" s="3"/>
      <c r="B8757" s="3"/>
      <c r="C8757" s="3"/>
    </row>
    <row r="8758">
      <c r="A8758" s="3"/>
      <c r="B8758" s="3"/>
      <c r="C8758" s="3"/>
    </row>
    <row r="8759">
      <c r="A8759" s="3"/>
      <c r="B8759" s="3"/>
      <c r="C8759" s="3"/>
    </row>
    <row r="8760">
      <c r="A8760" s="3"/>
      <c r="B8760" s="3"/>
      <c r="C8760" s="3"/>
    </row>
    <row r="8761">
      <c r="A8761" s="3"/>
      <c r="B8761" s="3"/>
      <c r="C8761" s="3"/>
    </row>
    <row r="8762">
      <c r="A8762" s="3"/>
      <c r="B8762" s="3"/>
      <c r="C8762" s="3"/>
    </row>
    <row r="8763">
      <c r="A8763" s="3"/>
      <c r="B8763" s="3"/>
      <c r="C8763" s="3"/>
    </row>
    <row r="8764">
      <c r="A8764" s="3"/>
      <c r="B8764" s="3"/>
      <c r="C8764" s="3"/>
    </row>
    <row r="8765">
      <c r="A8765" s="3"/>
      <c r="B8765" s="3"/>
      <c r="C8765" s="3"/>
    </row>
    <row r="8766">
      <c r="A8766" s="3"/>
      <c r="B8766" s="3"/>
      <c r="C8766" s="3"/>
    </row>
    <row r="8767">
      <c r="A8767" s="3"/>
      <c r="B8767" s="3"/>
      <c r="C8767" s="3"/>
    </row>
    <row r="8768">
      <c r="A8768" s="3"/>
      <c r="B8768" s="3"/>
      <c r="C8768" s="3"/>
    </row>
    <row r="8769">
      <c r="A8769" s="3"/>
      <c r="B8769" s="3"/>
      <c r="C8769" s="3"/>
    </row>
    <row r="8770">
      <c r="A8770" s="3"/>
      <c r="B8770" s="3"/>
      <c r="C8770" s="3"/>
    </row>
    <row r="8771">
      <c r="A8771" s="3"/>
      <c r="B8771" s="3"/>
      <c r="C8771" s="3"/>
    </row>
    <row r="8772">
      <c r="A8772" s="3"/>
      <c r="B8772" s="3"/>
      <c r="C8772" s="3"/>
    </row>
    <row r="8773">
      <c r="A8773" s="3"/>
      <c r="B8773" s="3"/>
      <c r="C8773" s="3"/>
    </row>
    <row r="8774">
      <c r="A8774" s="3"/>
      <c r="B8774" s="3"/>
      <c r="C8774" s="3"/>
    </row>
    <row r="8775">
      <c r="A8775" s="3"/>
      <c r="B8775" s="3"/>
      <c r="C8775" s="3"/>
    </row>
    <row r="8776">
      <c r="A8776" s="3"/>
      <c r="B8776" s="3"/>
      <c r="C8776" s="3"/>
    </row>
    <row r="8777">
      <c r="A8777" s="3"/>
      <c r="B8777" s="3"/>
      <c r="C8777" s="3"/>
    </row>
    <row r="8778">
      <c r="A8778" s="3"/>
      <c r="B8778" s="3"/>
      <c r="C8778" s="3"/>
    </row>
    <row r="8779">
      <c r="A8779" s="3"/>
      <c r="B8779" s="3"/>
      <c r="C8779" s="3"/>
    </row>
    <row r="8780">
      <c r="A8780" s="3"/>
      <c r="B8780" s="3"/>
      <c r="C8780" s="3"/>
    </row>
    <row r="8781">
      <c r="A8781" s="3"/>
      <c r="B8781" s="3"/>
      <c r="C8781" s="3"/>
    </row>
    <row r="8782">
      <c r="A8782" s="3"/>
      <c r="B8782" s="3"/>
      <c r="C8782" s="3"/>
    </row>
    <row r="8783">
      <c r="A8783" s="3"/>
      <c r="B8783" s="3"/>
      <c r="C8783" s="3"/>
    </row>
    <row r="8784">
      <c r="A8784" s="3"/>
      <c r="B8784" s="3"/>
      <c r="C8784" s="3"/>
    </row>
    <row r="8785">
      <c r="A8785" s="3"/>
      <c r="B8785" s="3"/>
      <c r="C8785" s="3"/>
    </row>
    <row r="8786">
      <c r="A8786" s="3"/>
      <c r="B8786" s="3"/>
      <c r="C8786" s="3"/>
    </row>
    <row r="8787">
      <c r="A8787" s="3"/>
      <c r="B8787" s="3"/>
      <c r="C8787" s="3"/>
    </row>
    <row r="8788">
      <c r="A8788" s="3"/>
      <c r="B8788" s="3"/>
      <c r="C8788" s="3"/>
    </row>
    <row r="8789">
      <c r="A8789" s="3"/>
      <c r="B8789" s="3"/>
      <c r="C8789" s="3"/>
    </row>
    <row r="8790">
      <c r="A8790" s="3"/>
      <c r="B8790" s="3"/>
      <c r="C8790" s="3"/>
    </row>
    <row r="8791">
      <c r="A8791" s="3"/>
      <c r="B8791" s="3"/>
      <c r="C8791" s="3"/>
    </row>
    <row r="8792">
      <c r="A8792" s="3"/>
      <c r="B8792" s="3"/>
      <c r="C8792" s="3"/>
    </row>
    <row r="8793">
      <c r="A8793" s="3"/>
      <c r="B8793" s="3"/>
      <c r="C8793" s="3"/>
    </row>
    <row r="8794">
      <c r="A8794" s="3"/>
      <c r="B8794" s="3"/>
      <c r="C8794" s="3"/>
    </row>
    <row r="8795">
      <c r="A8795" s="3"/>
      <c r="B8795" s="3"/>
      <c r="C8795" s="3"/>
    </row>
    <row r="8796">
      <c r="A8796" s="3"/>
      <c r="B8796" s="3"/>
      <c r="C8796" s="3"/>
    </row>
    <row r="8797">
      <c r="A8797" s="3"/>
      <c r="B8797" s="3"/>
      <c r="C8797" s="3"/>
    </row>
    <row r="8798">
      <c r="A8798" s="3"/>
      <c r="B8798" s="3"/>
      <c r="C8798" s="3"/>
    </row>
    <row r="8799">
      <c r="A8799" s="3"/>
      <c r="B8799" s="3"/>
      <c r="C8799" s="3"/>
    </row>
    <row r="8800">
      <c r="A8800" s="3"/>
      <c r="B8800" s="3"/>
      <c r="C8800" s="3"/>
    </row>
    <row r="8801">
      <c r="A8801" s="3"/>
      <c r="B8801" s="3"/>
      <c r="C8801" s="3"/>
    </row>
    <row r="8802">
      <c r="A8802" s="3"/>
      <c r="B8802" s="3"/>
      <c r="C8802" s="3"/>
    </row>
    <row r="8803">
      <c r="A8803" s="3"/>
      <c r="B8803" s="3"/>
      <c r="C8803" s="3"/>
    </row>
    <row r="8804">
      <c r="A8804" s="3"/>
      <c r="B8804" s="3"/>
      <c r="C8804" s="3"/>
    </row>
    <row r="8805">
      <c r="A8805" s="3"/>
      <c r="B8805" s="3"/>
      <c r="C8805" s="3"/>
    </row>
    <row r="8806">
      <c r="A8806" s="3"/>
      <c r="B8806" s="3"/>
      <c r="C8806" s="3"/>
    </row>
    <row r="8807">
      <c r="A8807" s="3"/>
      <c r="B8807" s="3"/>
      <c r="C8807" s="3"/>
    </row>
    <row r="8808">
      <c r="A8808" s="3"/>
      <c r="B8808" s="3"/>
      <c r="C8808" s="3"/>
    </row>
    <row r="8809">
      <c r="A8809" s="3"/>
      <c r="B8809" s="3"/>
      <c r="C8809" s="3"/>
    </row>
    <row r="8810">
      <c r="A8810" s="3"/>
      <c r="B8810" s="3"/>
      <c r="C8810" s="3"/>
    </row>
    <row r="8811">
      <c r="A8811" s="3"/>
      <c r="B8811" s="3"/>
      <c r="C8811" s="3"/>
    </row>
    <row r="8812">
      <c r="A8812" s="3"/>
      <c r="B8812" s="3"/>
      <c r="C8812" s="3"/>
    </row>
    <row r="8813">
      <c r="A8813" s="3"/>
      <c r="B8813" s="3"/>
      <c r="C8813" s="3"/>
    </row>
    <row r="8814">
      <c r="A8814" s="3"/>
      <c r="B8814" s="3"/>
      <c r="C8814" s="3"/>
    </row>
    <row r="8815">
      <c r="A8815" s="3"/>
      <c r="B8815" s="3"/>
      <c r="C8815" s="3"/>
    </row>
    <row r="8816">
      <c r="A8816" s="3"/>
      <c r="B8816" s="3"/>
      <c r="C8816" s="3"/>
    </row>
    <row r="8817">
      <c r="A8817" s="3"/>
      <c r="B8817" s="3"/>
      <c r="C8817" s="3"/>
    </row>
    <row r="8818">
      <c r="A8818" s="3"/>
      <c r="B8818" s="3"/>
      <c r="C8818" s="3"/>
    </row>
    <row r="8819">
      <c r="A8819" s="3"/>
      <c r="B8819" s="3"/>
      <c r="C8819" s="3"/>
    </row>
    <row r="8820">
      <c r="A8820" s="3"/>
      <c r="B8820" s="3"/>
      <c r="C8820" s="3"/>
    </row>
    <row r="8821">
      <c r="A8821" s="3"/>
      <c r="B8821" s="3"/>
      <c r="C8821" s="3"/>
    </row>
    <row r="8822">
      <c r="A8822" s="3"/>
      <c r="B8822" s="3"/>
      <c r="C8822" s="3"/>
    </row>
    <row r="8823">
      <c r="A8823" s="3"/>
      <c r="B8823" s="3"/>
      <c r="C8823" s="3"/>
    </row>
    <row r="8824">
      <c r="A8824" s="3"/>
      <c r="B8824" s="3"/>
      <c r="C8824" s="3"/>
    </row>
    <row r="8825">
      <c r="A8825" s="3"/>
      <c r="B8825" s="3"/>
      <c r="C8825" s="3"/>
    </row>
    <row r="8826">
      <c r="A8826" s="3"/>
      <c r="B8826" s="3"/>
      <c r="C8826" s="3"/>
    </row>
    <row r="8827">
      <c r="A8827" s="3"/>
      <c r="B8827" s="3"/>
      <c r="C8827" s="3"/>
    </row>
    <row r="8828">
      <c r="A8828" s="3"/>
      <c r="B8828" s="3"/>
      <c r="C8828" s="3"/>
    </row>
    <row r="8829">
      <c r="A8829" s="3"/>
      <c r="B8829" s="3"/>
      <c r="C8829" s="3"/>
    </row>
    <row r="8830">
      <c r="A8830" s="3"/>
      <c r="B8830" s="3"/>
      <c r="C8830" s="3"/>
    </row>
    <row r="8831">
      <c r="A8831" s="3"/>
      <c r="B8831" s="3"/>
      <c r="C8831" s="3"/>
    </row>
    <row r="8832">
      <c r="A8832" s="3"/>
      <c r="B8832" s="3"/>
      <c r="C8832" s="3"/>
    </row>
    <row r="8833">
      <c r="A8833" s="3"/>
      <c r="B8833" s="3"/>
      <c r="C8833" s="3"/>
    </row>
    <row r="8834">
      <c r="A8834" s="3"/>
      <c r="B8834" s="3"/>
      <c r="C8834" s="3"/>
    </row>
    <row r="8835">
      <c r="A8835" s="3"/>
      <c r="B8835" s="3"/>
      <c r="C8835" s="3"/>
    </row>
    <row r="8836">
      <c r="A8836" s="3"/>
      <c r="B8836" s="3"/>
      <c r="C8836" s="3"/>
    </row>
    <row r="8837">
      <c r="A8837" s="3"/>
      <c r="B8837" s="3"/>
      <c r="C8837" s="3"/>
    </row>
    <row r="8838">
      <c r="A8838" s="3"/>
      <c r="B8838" s="3"/>
      <c r="C8838" s="3"/>
    </row>
    <row r="8839">
      <c r="A8839" s="3"/>
      <c r="B8839" s="3"/>
      <c r="C8839" s="3"/>
    </row>
    <row r="8840">
      <c r="A8840" s="3"/>
      <c r="B8840" s="3"/>
      <c r="C8840" s="3"/>
    </row>
    <row r="8841">
      <c r="A8841" s="3"/>
      <c r="B8841" s="3"/>
      <c r="C8841" s="3"/>
    </row>
    <row r="8842">
      <c r="A8842" s="3"/>
      <c r="B8842" s="3"/>
      <c r="C8842" s="3"/>
    </row>
    <row r="8843">
      <c r="A8843" s="3"/>
      <c r="B8843" s="3"/>
      <c r="C8843" s="3"/>
    </row>
    <row r="8844">
      <c r="A8844" s="3"/>
      <c r="B8844" s="3"/>
      <c r="C8844" s="3"/>
    </row>
    <row r="8845">
      <c r="A8845" s="3"/>
      <c r="B8845" s="3"/>
      <c r="C8845" s="3"/>
    </row>
    <row r="8846">
      <c r="A8846" s="3"/>
      <c r="B8846" s="3"/>
      <c r="C8846" s="3"/>
    </row>
    <row r="8847">
      <c r="A8847" s="3"/>
      <c r="B8847" s="3"/>
      <c r="C8847" s="3"/>
    </row>
    <row r="8848">
      <c r="A8848" s="3"/>
      <c r="B8848" s="3"/>
      <c r="C8848" s="3"/>
    </row>
    <row r="8849">
      <c r="A8849" s="3"/>
      <c r="B8849" s="3"/>
      <c r="C8849" s="3"/>
    </row>
    <row r="8850">
      <c r="A8850" s="3"/>
      <c r="B8850" s="3"/>
      <c r="C8850" s="3"/>
    </row>
    <row r="8851">
      <c r="A8851" s="3"/>
      <c r="B8851" s="3"/>
      <c r="C8851" s="3"/>
    </row>
    <row r="8852">
      <c r="A8852" s="3"/>
      <c r="B8852" s="3"/>
      <c r="C8852" s="3"/>
    </row>
    <row r="8853">
      <c r="A8853" s="3"/>
      <c r="B8853" s="3"/>
      <c r="C8853" s="3"/>
    </row>
    <row r="8854">
      <c r="A8854" s="3"/>
      <c r="B8854" s="3"/>
      <c r="C8854" s="3"/>
    </row>
    <row r="8855">
      <c r="A8855" s="3"/>
      <c r="B8855" s="3"/>
      <c r="C8855" s="3"/>
    </row>
    <row r="8856">
      <c r="A8856" s="3"/>
      <c r="B8856" s="3"/>
      <c r="C8856" s="3"/>
    </row>
    <row r="8857">
      <c r="A8857" s="3"/>
      <c r="B8857" s="3"/>
      <c r="C8857" s="3"/>
    </row>
    <row r="8858">
      <c r="A8858" s="3"/>
      <c r="B8858" s="3"/>
      <c r="C8858" s="3"/>
    </row>
    <row r="8859">
      <c r="A8859" s="3"/>
      <c r="B8859" s="3"/>
      <c r="C8859" s="3"/>
    </row>
    <row r="8860">
      <c r="A8860" s="3"/>
      <c r="B8860" s="3"/>
      <c r="C8860" s="3"/>
    </row>
    <row r="8861">
      <c r="A8861" s="3"/>
      <c r="B8861" s="3"/>
      <c r="C8861" s="3"/>
    </row>
    <row r="8862">
      <c r="A8862" s="3"/>
      <c r="B8862" s="3"/>
      <c r="C8862" s="3"/>
    </row>
    <row r="8863">
      <c r="A8863" s="3"/>
      <c r="B8863" s="3"/>
      <c r="C8863" s="3"/>
    </row>
    <row r="8864">
      <c r="A8864" s="3"/>
      <c r="B8864" s="3"/>
      <c r="C8864" s="3"/>
    </row>
    <row r="8865">
      <c r="A8865" s="3"/>
      <c r="B8865" s="3"/>
      <c r="C8865" s="3"/>
    </row>
    <row r="8866">
      <c r="A8866" s="3"/>
      <c r="B8866" s="3"/>
      <c r="C8866" s="3"/>
    </row>
    <row r="8867">
      <c r="A8867" s="3"/>
      <c r="B8867" s="3"/>
      <c r="C8867" s="3"/>
    </row>
    <row r="8868">
      <c r="A8868" s="3"/>
      <c r="B8868" s="3"/>
      <c r="C8868" s="3"/>
    </row>
    <row r="8869">
      <c r="A8869" s="3"/>
      <c r="B8869" s="3"/>
      <c r="C8869" s="3"/>
    </row>
    <row r="8870">
      <c r="A8870" s="3"/>
      <c r="B8870" s="3"/>
      <c r="C8870" s="3"/>
    </row>
    <row r="8871">
      <c r="A8871" s="3"/>
      <c r="B8871" s="3"/>
      <c r="C8871" s="3"/>
    </row>
    <row r="8872">
      <c r="A8872" s="3"/>
      <c r="B8872" s="3"/>
      <c r="C8872" s="3"/>
    </row>
    <row r="8873">
      <c r="A8873" s="3"/>
      <c r="B8873" s="3"/>
      <c r="C8873" s="3"/>
    </row>
    <row r="8874">
      <c r="A8874" s="3"/>
      <c r="B8874" s="3"/>
      <c r="C8874" s="3"/>
    </row>
    <row r="8875">
      <c r="A8875" s="3"/>
      <c r="B8875" s="3"/>
      <c r="C8875" s="3"/>
    </row>
    <row r="8876">
      <c r="A8876" s="3"/>
      <c r="B8876" s="3"/>
      <c r="C8876" s="3"/>
    </row>
    <row r="8877">
      <c r="A8877" s="3"/>
      <c r="B8877" s="3"/>
      <c r="C8877" s="3"/>
    </row>
    <row r="8878">
      <c r="A8878" s="3"/>
      <c r="B8878" s="3"/>
      <c r="C8878" s="3"/>
    </row>
    <row r="8879">
      <c r="A8879" s="3"/>
      <c r="B8879" s="3"/>
      <c r="C8879" s="3"/>
    </row>
    <row r="8880">
      <c r="A8880" s="3"/>
      <c r="B8880" s="3"/>
      <c r="C8880" s="3"/>
    </row>
    <row r="8881">
      <c r="A8881" s="3"/>
      <c r="B8881" s="3"/>
      <c r="C8881" s="3"/>
    </row>
    <row r="8882">
      <c r="A8882" s="3"/>
      <c r="B8882" s="3"/>
      <c r="C8882" s="3"/>
    </row>
    <row r="8883">
      <c r="A8883" s="3"/>
      <c r="B8883" s="3"/>
      <c r="C8883" s="3"/>
    </row>
    <row r="8884">
      <c r="A8884" s="3"/>
      <c r="B8884" s="3"/>
      <c r="C8884" s="3"/>
    </row>
    <row r="8885">
      <c r="A8885" s="3"/>
      <c r="B8885" s="3"/>
      <c r="C8885" s="3"/>
    </row>
    <row r="8886">
      <c r="A8886" s="3"/>
      <c r="B8886" s="3"/>
      <c r="C8886" s="3"/>
    </row>
    <row r="8887">
      <c r="A8887" s="3"/>
      <c r="B8887" s="3"/>
      <c r="C8887" s="3"/>
    </row>
    <row r="8888">
      <c r="A8888" s="3"/>
      <c r="B8888" s="3"/>
      <c r="C8888" s="3"/>
    </row>
    <row r="8889">
      <c r="A8889" s="3"/>
      <c r="B8889" s="3"/>
      <c r="C8889" s="3"/>
    </row>
    <row r="8890">
      <c r="A8890" s="3"/>
      <c r="B8890" s="3"/>
      <c r="C8890" s="3"/>
    </row>
    <row r="8891">
      <c r="A8891" s="3"/>
      <c r="B8891" s="3"/>
      <c r="C8891" s="3"/>
    </row>
    <row r="8892">
      <c r="A8892" s="3"/>
      <c r="B8892" s="3"/>
      <c r="C8892" s="3"/>
    </row>
    <row r="8893">
      <c r="A8893" s="3"/>
      <c r="B8893" s="3"/>
      <c r="C8893" s="3"/>
    </row>
    <row r="8894">
      <c r="A8894" s="3"/>
      <c r="B8894" s="3"/>
      <c r="C8894" s="3"/>
    </row>
    <row r="8895">
      <c r="A8895" s="3"/>
      <c r="B8895" s="3"/>
      <c r="C8895" s="3"/>
    </row>
    <row r="8896">
      <c r="A8896" s="3"/>
      <c r="B8896" s="3"/>
      <c r="C8896" s="3"/>
    </row>
    <row r="8897">
      <c r="A8897" s="3"/>
      <c r="B8897" s="3"/>
      <c r="C8897" s="3"/>
    </row>
    <row r="8898">
      <c r="A8898" s="3"/>
      <c r="B8898" s="3"/>
      <c r="C8898" s="3"/>
    </row>
    <row r="8899">
      <c r="A8899" s="3"/>
      <c r="B8899" s="3"/>
      <c r="C8899" s="3"/>
    </row>
    <row r="8900">
      <c r="A8900" s="3"/>
      <c r="B8900" s="3"/>
      <c r="C8900" s="3"/>
    </row>
    <row r="8901">
      <c r="A8901" s="3"/>
      <c r="B8901" s="3"/>
      <c r="C8901" s="3"/>
    </row>
    <row r="8902">
      <c r="A8902" s="3"/>
      <c r="B8902" s="3"/>
      <c r="C8902" s="3"/>
    </row>
    <row r="8903">
      <c r="A8903" s="3"/>
      <c r="B8903" s="3"/>
      <c r="C8903" s="3"/>
    </row>
    <row r="8904">
      <c r="A8904" s="3"/>
      <c r="B8904" s="3"/>
      <c r="C8904" s="3"/>
    </row>
    <row r="8905">
      <c r="A8905" s="3"/>
      <c r="B8905" s="3"/>
      <c r="C8905" s="3"/>
    </row>
    <row r="8906">
      <c r="A8906" s="3"/>
      <c r="B8906" s="3"/>
      <c r="C8906" s="3"/>
    </row>
    <row r="8907">
      <c r="A8907" s="3"/>
      <c r="B8907" s="3"/>
      <c r="C8907" s="3"/>
    </row>
    <row r="8908">
      <c r="A8908" s="3"/>
      <c r="B8908" s="3"/>
      <c r="C8908" s="3"/>
    </row>
    <row r="8909">
      <c r="A8909" s="3"/>
      <c r="B8909" s="3"/>
      <c r="C8909" s="3"/>
    </row>
    <row r="8910">
      <c r="A8910" s="3"/>
      <c r="B8910" s="3"/>
      <c r="C8910" s="3"/>
    </row>
    <row r="8911">
      <c r="A8911" s="3"/>
      <c r="B8911" s="3"/>
      <c r="C8911" s="3"/>
    </row>
    <row r="8912">
      <c r="A8912" s="3"/>
      <c r="B8912" s="3"/>
      <c r="C8912" s="3"/>
    </row>
    <row r="8913">
      <c r="A8913" s="3"/>
      <c r="B8913" s="3"/>
      <c r="C8913" s="3"/>
    </row>
    <row r="8914">
      <c r="A8914" s="3"/>
      <c r="B8914" s="3"/>
      <c r="C8914" s="3"/>
    </row>
    <row r="8915">
      <c r="A8915" s="3"/>
      <c r="B8915" s="3"/>
      <c r="C8915" s="3"/>
    </row>
    <row r="8916">
      <c r="A8916" s="3"/>
      <c r="B8916" s="3"/>
      <c r="C8916" s="3"/>
    </row>
    <row r="8917">
      <c r="A8917" s="3"/>
      <c r="B8917" s="3"/>
      <c r="C8917" s="3"/>
    </row>
    <row r="8918">
      <c r="A8918" s="3"/>
      <c r="B8918" s="3"/>
      <c r="C8918" s="3"/>
    </row>
    <row r="8919">
      <c r="A8919" s="3"/>
      <c r="B8919" s="3"/>
      <c r="C8919" s="3"/>
    </row>
    <row r="8920">
      <c r="A8920" s="3"/>
      <c r="B8920" s="3"/>
      <c r="C8920" s="3"/>
    </row>
    <row r="8921">
      <c r="A8921" s="3"/>
      <c r="B8921" s="3"/>
      <c r="C8921" s="3"/>
    </row>
    <row r="8922">
      <c r="A8922" s="3"/>
      <c r="B8922" s="3"/>
      <c r="C8922" s="3"/>
    </row>
    <row r="8923">
      <c r="A8923" s="3"/>
      <c r="B8923" s="3"/>
      <c r="C8923" s="3"/>
    </row>
    <row r="8924">
      <c r="A8924" s="3"/>
      <c r="B8924" s="3"/>
      <c r="C8924" s="3"/>
    </row>
    <row r="8925">
      <c r="A8925" s="3"/>
      <c r="B8925" s="3"/>
      <c r="C8925" s="3"/>
    </row>
    <row r="8926">
      <c r="A8926" s="3"/>
      <c r="B8926" s="3"/>
      <c r="C8926" s="3"/>
    </row>
    <row r="8927">
      <c r="A8927" s="3"/>
      <c r="B8927" s="3"/>
      <c r="C8927" s="3"/>
    </row>
    <row r="8928">
      <c r="A8928" s="3"/>
      <c r="B8928" s="3"/>
      <c r="C8928" s="3"/>
    </row>
    <row r="8929">
      <c r="A8929" s="3"/>
      <c r="B8929" s="3"/>
      <c r="C8929" s="3"/>
    </row>
    <row r="8930">
      <c r="A8930" s="3"/>
      <c r="B8930" s="3"/>
      <c r="C8930" s="3"/>
    </row>
    <row r="8931">
      <c r="A8931" s="3"/>
      <c r="B8931" s="3"/>
      <c r="C8931" s="3"/>
    </row>
    <row r="8932">
      <c r="A8932" s="3"/>
      <c r="B8932" s="3"/>
      <c r="C8932" s="3"/>
    </row>
    <row r="8933">
      <c r="A8933" s="3"/>
      <c r="B8933" s="3"/>
      <c r="C8933" s="3"/>
    </row>
    <row r="8934">
      <c r="A8934" s="3"/>
      <c r="B8934" s="3"/>
      <c r="C8934" s="3"/>
    </row>
    <row r="8935">
      <c r="A8935" s="3"/>
      <c r="B8935" s="3"/>
      <c r="C8935" s="3"/>
    </row>
    <row r="8936">
      <c r="A8936" s="3"/>
      <c r="B8936" s="3"/>
      <c r="C8936" s="3"/>
    </row>
    <row r="8937">
      <c r="A8937" s="3"/>
      <c r="B8937" s="3"/>
      <c r="C8937" s="3"/>
    </row>
    <row r="8938">
      <c r="A8938" s="3"/>
      <c r="B8938" s="3"/>
      <c r="C8938" s="3"/>
    </row>
    <row r="8939">
      <c r="A8939" s="3"/>
      <c r="B8939" s="3"/>
      <c r="C8939" s="3"/>
    </row>
    <row r="8940">
      <c r="A8940" s="3"/>
      <c r="B8940" s="3"/>
      <c r="C8940" s="3"/>
    </row>
    <row r="8941">
      <c r="A8941" s="3"/>
      <c r="B8941" s="3"/>
      <c r="C8941" s="3"/>
    </row>
    <row r="8942">
      <c r="A8942" s="3"/>
      <c r="B8942" s="3"/>
      <c r="C8942" s="3"/>
    </row>
    <row r="8943">
      <c r="A8943" s="3"/>
      <c r="B8943" s="3"/>
      <c r="C8943" s="3"/>
    </row>
    <row r="8944">
      <c r="A8944" s="3"/>
      <c r="B8944" s="3"/>
      <c r="C8944" s="3"/>
    </row>
    <row r="8945">
      <c r="A8945" s="3"/>
      <c r="B8945" s="3"/>
      <c r="C8945" s="3"/>
    </row>
    <row r="8946">
      <c r="A8946" s="3"/>
      <c r="B8946" s="3"/>
      <c r="C8946" s="3"/>
    </row>
    <row r="8947">
      <c r="A8947" s="3"/>
      <c r="B8947" s="3"/>
      <c r="C8947" s="3"/>
    </row>
    <row r="8948">
      <c r="A8948" s="3"/>
      <c r="B8948" s="3"/>
      <c r="C8948" s="3"/>
    </row>
    <row r="8949">
      <c r="A8949" s="3"/>
      <c r="B8949" s="3"/>
      <c r="C8949" s="3"/>
    </row>
    <row r="8950">
      <c r="A8950" s="3"/>
      <c r="B8950" s="3"/>
      <c r="C8950" s="3"/>
    </row>
    <row r="8951">
      <c r="A8951" s="3"/>
      <c r="B8951" s="3"/>
      <c r="C8951" s="3"/>
    </row>
    <row r="8952">
      <c r="A8952" s="3"/>
      <c r="B8952" s="3"/>
      <c r="C8952" s="3"/>
    </row>
    <row r="8953">
      <c r="A8953" s="3"/>
      <c r="B8953" s="3"/>
      <c r="C8953" s="3"/>
    </row>
    <row r="8954">
      <c r="A8954" s="3"/>
      <c r="B8954" s="3"/>
      <c r="C8954" s="3"/>
    </row>
    <row r="8955">
      <c r="A8955" s="3"/>
      <c r="B8955" s="3"/>
      <c r="C8955" s="3"/>
    </row>
    <row r="8956">
      <c r="A8956" s="3"/>
      <c r="B8956" s="3"/>
      <c r="C8956" s="3"/>
    </row>
    <row r="8957">
      <c r="A8957" s="3"/>
      <c r="B8957" s="3"/>
      <c r="C8957" s="3"/>
    </row>
    <row r="8958">
      <c r="A8958" s="3"/>
      <c r="B8958" s="3"/>
      <c r="C8958" s="3"/>
    </row>
    <row r="8959">
      <c r="A8959" s="3"/>
      <c r="B8959" s="3"/>
      <c r="C8959" s="3"/>
    </row>
    <row r="8960">
      <c r="A8960" s="3"/>
      <c r="B8960" s="3"/>
      <c r="C8960" s="3"/>
    </row>
    <row r="8961">
      <c r="A8961" s="3"/>
      <c r="B8961" s="3"/>
      <c r="C8961" s="3"/>
    </row>
    <row r="8962">
      <c r="A8962" s="3"/>
      <c r="B8962" s="3"/>
      <c r="C8962" s="3"/>
    </row>
    <row r="8963">
      <c r="A8963" s="3"/>
      <c r="B8963" s="3"/>
      <c r="C8963" s="3"/>
    </row>
    <row r="8964">
      <c r="A8964" s="3"/>
      <c r="B8964" s="3"/>
      <c r="C8964" s="3"/>
    </row>
    <row r="8965">
      <c r="A8965" s="3"/>
      <c r="B8965" s="3"/>
      <c r="C8965" s="3"/>
    </row>
    <row r="8966">
      <c r="A8966" s="3"/>
      <c r="B8966" s="3"/>
      <c r="C8966" s="3"/>
    </row>
    <row r="8967">
      <c r="A8967" s="3"/>
      <c r="B8967" s="3"/>
      <c r="C8967" s="3"/>
    </row>
    <row r="8968">
      <c r="A8968" s="3"/>
      <c r="B8968" s="3"/>
      <c r="C8968" s="3"/>
    </row>
    <row r="8969">
      <c r="A8969" s="3"/>
      <c r="B8969" s="3"/>
      <c r="C8969" s="3"/>
    </row>
    <row r="8970">
      <c r="A8970" s="3"/>
      <c r="B8970" s="3"/>
      <c r="C8970" s="3"/>
    </row>
    <row r="8971">
      <c r="A8971" s="3"/>
      <c r="B8971" s="3"/>
      <c r="C8971" s="3"/>
    </row>
    <row r="8972">
      <c r="A8972" s="3"/>
      <c r="B8972" s="3"/>
      <c r="C8972" s="3"/>
    </row>
    <row r="8973">
      <c r="A8973" s="3"/>
      <c r="B8973" s="3"/>
      <c r="C8973" s="3"/>
    </row>
    <row r="8974">
      <c r="A8974" s="3"/>
      <c r="B8974" s="3"/>
      <c r="C8974" s="3"/>
    </row>
    <row r="8975">
      <c r="A8975" s="3"/>
      <c r="B8975" s="3"/>
      <c r="C8975" s="3"/>
    </row>
    <row r="8976">
      <c r="A8976" s="3"/>
      <c r="B8976" s="3"/>
      <c r="C8976" s="3"/>
    </row>
    <row r="8977">
      <c r="A8977" s="3"/>
      <c r="B8977" s="3"/>
      <c r="C8977" s="3"/>
    </row>
    <row r="8978">
      <c r="A8978" s="3"/>
      <c r="B8978" s="3"/>
      <c r="C8978" s="3"/>
    </row>
    <row r="8979">
      <c r="A8979" s="3"/>
      <c r="B8979" s="3"/>
      <c r="C8979" s="3"/>
    </row>
    <row r="8980">
      <c r="A8980" s="3"/>
      <c r="B8980" s="3"/>
      <c r="C8980" s="3"/>
    </row>
    <row r="8981">
      <c r="A8981" s="3"/>
      <c r="B8981" s="3"/>
      <c r="C8981" s="3"/>
    </row>
    <row r="8982">
      <c r="A8982" s="3"/>
      <c r="B8982" s="3"/>
      <c r="C8982" s="3"/>
    </row>
    <row r="8983">
      <c r="A8983" s="3"/>
      <c r="B8983" s="3"/>
      <c r="C8983" s="3"/>
    </row>
    <row r="8984">
      <c r="A8984" s="3"/>
      <c r="B8984" s="3"/>
      <c r="C8984" s="3"/>
    </row>
    <row r="8985">
      <c r="A8985" s="3"/>
      <c r="B8985" s="3"/>
      <c r="C8985" s="3"/>
    </row>
    <row r="8986">
      <c r="A8986" s="3"/>
      <c r="B8986" s="3"/>
      <c r="C8986" s="3"/>
    </row>
    <row r="8987">
      <c r="A8987" s="3"/>
      <c r="B8987" s="3"/>
      <c r="C8987" s="3"/>
    </row>
    <row r="8988">
      <c r="A8988" s="3"/>
      <c r="B8988" s="3"/>
      <c r="C8988" s="3"/>
    </row>
    <row r="8989">
      <c r="A8989" s="3"/>
      <c r="B8989" s="3"/>
      <c r="C8989" s="3"/>
    </row>
    <row r="8990">
      <c r="A8990" s="3"/>
      <c r="B8990" s="3"/>
      <c r="C8990" s="3"/>
    </row>
    <row r="8991">
      <c r="A8991" s="3"/>
      <c r="B8991" s="3"/>
      <c r="C8991" s="3"/>
    </row>
    <row r="8992">
      <c r="A8992" s="3"/>
      <c r="B8992" s="3"/>
      <c r="C8992" s="3"/>
    </row>
    <row r="8993">
      <c r="A8993" s="3"/>
      <c r="B8993" s="3"/>
      <c r="C8993" s="3"/>
    </row>
    <row r="8994">
      <c r="A8994" s="3"/>
      <c r="B8994" s="3"/>
      <c r="C8994" s="3"/>
    </row>
    <row r="8995">
      <c r="A8995" s="3"/>
      <c r="B8995" s="3"/>
      <c r="C8995" s="3"/>
    </row>
    <row r="8996">
      <c r="A8996" s="3"/>
      <c r="B8996" s="3"/>
      <c r="C8996" s="3"/>
    </row>
    <row r="8997">
      <c r="A8997" s="3"/>
      <c r="B8997" s="3"/>
      <c r="C8997" s="3"/>
    </row>
    <row r="8998">
      <c r="A8998" s="3"/>
      <c r="B8998" s="3"/>
      <c r="C8998" s="3"/>
    </row>
    <row r="8999">
      <c r="A8999" s="3"/>
      <c r="B8999" s="3"/>
      <c r="C8999" s="3"/>
    </row>
    <row r="9000">
      <c r="A9000" s="3"/>
      <c r="B9000" s="3"/>
      <c r="C9000" s="3"/>
    </row>
    <row r="9001">
      <c r="A9001" s="3"/>
      <c r="B9001" s="3"/>
      <c r="C9001" s="3"/>
    </row>
    <row r="9002">
      <c r="A9002" s="3"/>
      <c r="B9002" s="3"/>
      <c r="C9002" s="3"/>
    </row>
    <row r="9003">
      <c r="A9003" s="3"/>
      <c r="B9003" s="3"/>
      <c r="C9003" s="3"/>
    </row>
    <row r="9004">
      <c r="A9004" s="3"/>
      <c r="B9004" s="3"/>
      <c r="C9004" s="3"/>
    </row>
    <row r="9005">
      <c r="A9005" s="3"/>
      <c r="B9005" s="3"/>
      <c r="C9005" s="3"/>
    </row>
    <row r="9006">
      <c r="A9006" s="3"/>
      <c r="B9006" s="3"/>
      <c r="C9006" s="3"/>
    </row>
    <row r="9007">
      <c r="A9007" s="3"/>
      <c r="B9007" s="3"/>
      <c r="C9007" s="3"/>
    </row>
    <row r="9008">
      <c r="A9008" s="3"/>
      <c r="B9008" s="3"/>
      <c r="C9008" s="3"/>
    </row>
    <row r="9009">
      <c r="A9009" s="3"/>
      <c r="B9009" s="3"/>
      <c r="C9009" s="3"/>
    </row>
    <row r="9010">
      <c r="A9010" s="3"/>
      <c r="B9010" s="3"/>
      <c r="C9010" s="3"/>
    </row>
    <row r="9011">
      <c r="A9011" s="3"/>
      <c r="B9011" s="3"/>
      <c r="C9011" s="3"/>
    </row>
    <row r="9012">
      <c r="A9012" s="3"/>
      <c r="B9012" s="3"/>
      <c r="C9012" s="3"/>
    </row>
    <row r="9013">
      <c r="A9013" s="3"/>
      <c r="B9013" s="3"/>
      <c r="C9013" s="3"/>
    </row>
    <row r="9014">
      <c r="A9014" s="3"/>
      <c r="B9014" s="3"/>
      <c r="C9014" s="3"/>
    </row>
    <row r="9015">
      <c r="A9015" s="3"/>
      <c r="B9015" s="3"/>
      <c r="C9015" s="3"/>
    </row>
    <row r="9016">
      <c r="A9016" s="3"/>
      <c r="B9016" s="3"/>
      <c r="C9016" s="3"/>
    </row>
    <row r="9017">
      <c r="A9017" s="3"/>
      <c r="B9017" s="3"/>
      <c r="C9017" s="3"/>
    </row>
    <row r="9018">
      <c r="A9018" s="3"/>
      <c r="B9018" s="3"/>
      <c r="C9018" s="3"/>
    </row>
    <row r="9019">
      <c r="A9019" s="3"/>
      <c r="B9019" s="3"/>
      <c r="C9019" s="3"/>
    </row>
    <row r="9020">
      <c r="A9020" s="3"/>
      <c r="B9020" s="3"/>
      <c r="C9020" s="3"/>
    </row>
    <row r="9021">
      <c r="A9021" s="3"/>
      <c r="B9021" s="3"/>
      <c r="C9021" s="3"/>
    </row>
    <row r="9022">
      <c r="A9022" s="3"/>
      <c r="B9022" s="3"/>
      <c r="C9022" s="3"/>
    </row>
    <row r="9023">
      <c r="A9023" s="3"/>
      <c r="B9023" s="3"/>
      <c r="C9023" s="3"/>
    </row>
    <row r="9024">
      <c r="A9024" s="3"/>
      <c r="B9024" s="3"/>
      <c r="C9024" s="3"/>
    </row>
    <row r="9025">
      <c r="A9025" s="3"/>
      <c r="B9025" s="3"/>
      <c r="C9025" s="3"/>
    </row>
    <row r="9026">
      <c r="A9026" s="3"/>
      <c r="B9026" s="3"/>
      <c r="C9026" s="3"/>
    </row>
    <row r="9027">
      <c r="A9027" s="3"/>
      <c r="B9027" s="3"/>
      <c r="C9027" s="3"/>
    </row>
    <row r="9028">
      <c r="A9028" s="3"/>
      <c r="B9028" s="3"/>
      <c r="C9028" s="3"/>
    </row>
    <row r="9029">
      <c r="A9029" s="3"/>
      <c r="B9029" s="3"/>
      <c r="C9029" s="3"/>
    </row>
    <row r="9030">
      <c r="A9030" s="3"/>
      <c r="B9030" s="3"/>
      <c r="C9030" s="3"/>
    </row>
    <row r="9031">
      <c r="A9031" s="3"/>
      <c r="B9031" s="3"/>
      <c r="C9031" s="3"/>
    </row>
    <row r="9032">
      <c r="A9032" s="3"/>
      <c r="B9032" s="3"/>
      <c r="C9032" s="3"/>
    </row>
  </sheetData>
  <autoFilter ref="$A$1:$C$9032"/>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3465</v>
      </c>
      <c r="B1" s="7" t="s">
        <v>3466</v>
      </c>
      <c r="C1" s="7" t="s">
        <v>3467</v>
      </c>
      <c r="D1" s="7" t="s">
        <v>3468</v>
      </c>
      <c r="E1" s="7" t="s">
        <v>3469</v>
      </c>
      <c r="F1" s="7" t="s">
        <v>3470</v>
      </c>
      <c r="G1" s="7" t="s">
        <v>3471</v>
      </c>
      <c r="H1" s="7" t="s">
        <v>3472</v>
      </c>
      <c r="I1" s="7" t="s">
        <v>3473</v>
      </c>
      <c r="J1" s="7" t="s">
        <v>3474</v>
      </c>
      <c r="K1" s="7" t="s">
        <v>3475</v>
      </c>
      <c r="L1" s="7" t="s">
        <v>3476</v>
      </c>
      <c r="M1" s="7" t="s">
        <v>3477</v>
      </c>
      <c r="N1" s="7" t="s">
        <v>19424</v>
      </c>
      <c r="O1" s="7" t="s">
        <v>19425</v>
      </c>
      <c r="P1" s="7" t="s">
        <v>19426</v>
      </c>
      <c r="Q1" s="7" t="s">
        <v>19427</v>
      </c>
      <c r="R1" s="7" t="s">
        <v>19428</v>
      </c>
      <c r="S1" s="7" t="s">
        <v>19429</v>
      </c>
      <c r="T1" s="7" t="s">
        <v>3479</v>
      </c>
      <c r="U1" s="7" t="s">
        <v>3480</v>
      </c>
      <c r="V1" s="7" t="s">
        <v>3481</v>
      </c>
    </row>
    <row r="2">
      <c r="A2" s="7" t="s">
        <v>19490</v>
      </c>
      <c r="B2" s="7">
        <v>11970.0</v>
      </c>
      <c r="C2" s="7" t="s">
        <v>3483</v>
      </c>
      <c r="D2" s="7" t="s">
        <v>3484</v>
      </c>
      <c r="E2" s="7" t="s">
        <v>3485</v>
      </c>
      <c r="F2" s="7" t="s">
        <v>3486</v>
      </c>
      <c r="G2" s="7" t="s">
        <v>3487</v>
      </c>
      <c r="H2" s="7" t="s">
        <v>3488</v>
      </c>
      <c r="I2" s="119">
        <v>45292.0</v>
      </c>
      <c r="K2" s="7" t="s">
        <v>3489</v>
      </c>
      <c r="L2" s="7" t="s">
        <v>991</v>
      </c>
      <c r="M2" s="7" t="s">
        <v>3490</v>
      </c>
      <c r="N2" s="7" t="s">
        <v>3489</v>
      </c>
      <c r="O2" s="7" t="s">
        <v>3489</v>
      </c>
      <c r="P2" s="7" t="s">
        <v>19491</v>
      </c>
      <c r="Q2" s="7" t="s">
        <v>169</v>
      </c>
      <c r="R2" s="7" t="s">
        <v>19492</v>
      </c>
      <c r="T2" s="7" t="s">
        <v>3492</v>
      </c>
      <c r="U2" s="7" t="s">
        <v>3493</v>
      </c>
      <c r="V2" s="7">
        <v>1.0</v>
      </c>
    </row>
    <row r="3">
      <c r="A3" s="7" t="s">
        <v>19493</v>
      </c>
      <c r="B3" s="7">
        <v>14274.0</v>
      </c>
      <c r="C3" s="7" t="s">
        <v>3495</v>
      </c>
      <c r="D3" s="7" t="s">
        <v>3496</v>
      </c>
      <c r="E3" s="7" t="s">
        <v>3497</v>
      </c>
      <c r="F3" s="7" t="s">
        <v>3498</v>
      </c>
      <c r="G3" s="7" t="s">
        <v>3499</v>
      </c>
      <c r="H3" s="7" t="s">
        <v>3500</v>
      </c>
      <c r="I3" s="119">
        <v>45292.0</v>
      </c>
      <c r="K3" s="7" t="s">
        <v>419</v>
      </c>
      <c r="L3" s="7" t="s">
        <v>991</v>
      </c>
      <c r="M3" s="7" t="s">
        <v>3501</v>
      </c>
      <c r="N3" s="7" t="s">
        <v>419</v>
      </c>
      <c r="O3" s="7" t="s">
        <v>19430</v>
      </c>
      <c r="P3" s="7" t="s">
        <v>717</v>
      </c>
      <c r="Q3" s="7" t="s">
        <v>725</v>
      </c>
      <c r="R3" s="7" t="s">
        <v>19494</v>
      </c>
      <c r="S3" s="7" t="s">
        <v>19495</v>
      </c>
      <c r="T3" s="7" t="s">
        <v>3503</v>
      </c>
      <c r="U3" s="7" t="s">
        <v>3493</v>
      </c>
      <c r="V3" s="7">
        <v>1.0</v>
      </c>
    </row>
    <row r="4">
      <c r="A4" s="7" t="s">
        <v>19496</v>
      </c>
      <c r="B4" s="7">
        <v>2200515.0</v>
      </c>
      <c r="C4" s="7" t="s">
        <v>3505</v>
      </c>
      <c r="D4" s="7" t="s">
        <v>3506</v>
      </c>
      <c r="E4" s="7" t="s">
        <v>3507</v>
      </c>
      <c r="F4" s="7" t="s">
        <v>3508</v>
      </c>
      <c r="G4" s="7" t="s">
        <v>3509</v>
      </c>
      <c r="H4" s="7" t="s">
        <v>3510</v>
      </c>
      <c r="I4" s="119">
        <v>45292.0</v>
      </c>
      <c r="K4" s="7" t="s">
        <v>419</v>
      </c>
      <c r="L4" s="7" t="s">
        <v>991</v>
      </c>
      <c r="M4" s="7" t="s">
        <v>3501</v>
      </c>
      <c r="N4" s="7" t="s">
        <v>419</v>
      </c>
      <c r="O4" s="7" t="s">
        <v>19432</v>
      </c>
      <c r="P4" s="7" t="s">
        <v>391</v>
      </c>
      <c r="Q4" s="7" t="s">
        <v>890</v>
      </c>
      <c r="R4" s="7" t="s">
        <v>19497</v>
      </c>
      <c r="T4" s="7" t="s">
        <v>7757</v>
      </c>
      <c r="U4" s="7" t="s">
        <v>3604</v>
      </c>
      <c r="V4" s="7">
        <v>1.0</v>
      </c>
    </row>
    <row r="5">
      <c r="A5" s="7" t="s">
        <v>19498</v>
      </c>
      <c r="B5" s="7">
        <v>11139.0</v>
      </c>
      <c r="C5" s="7" t="s">
        <v>3505</v>
      </c>
      <c r="D5" s="7" t="s">
        <v>3516</v>
      </c>
      <c r="E5" s="7" t="s">
        <v>3507</v>
      </c>
      <c r="F5" s="7" t="s">
        <v>3517</v>
      </c>
      <c r="G5" s="7" t="s">
        <v>3518</v>
      </c>
      <c r="H5" s="7" t="s">
        <v>3519</v>
      </c>
      <c r="I5" s="119">
        <v>45292.0</v>
      </c>
      <c r="K5" s="7" t="s">
        <v>419</v>
      </c>
      <c r="L5" s="7" t="s">
        <v>991</v>
      </c>
      <c r="M5" s="7" t="s">
        <v>3501</v>
      </c>
      <c r="N5" s="7" t="s">
        <v>419</v>
      </c>
      <c r="O5" s="7" t="s">
        <v>19437</v>
      </c>
      <c r="P5" s="7" t="s">
        <v>478</v>
      </c>
      <c r="Q5" s="7" t="s">
        <v>487</v>
      </c>
      <c r="R5" s="7" t="s">
        <v>19499</v>
      </c>
      <c r="T5" s="7" t="s">
        <v>8093</v>
      </c>
      <c r="U5" s="7" t="s">
        <v>3493</v>
      </c>
      <c r="V5" s="7">
        <v>1.0</v>
      </c>
    </row>
    <row r="6">
      <c r="A6" s="7" t="s">
        <v>19500</v>
      </c>
      <c r="B6" s="7">
        <v>12864.0</v>
      </c>
      <c r="C6" s="7" t="s">
        <v>3525</v>
      </c>
      <c r="D6" s="7" t="s">
        <v>3526</v>
      </c>
      <c r="E6" s="7" t="s">
        <v>3527</v>
      </c>
      <c r="F6" s="7" t="s">
        <v>3528</v>
      </c>
      <c r="G6" s="7" t="s">
        <v>3529</v>
      </c>
      <c r="H6" s="7" t="s">
        <v>3530</v>
      </c>
      <c r="I6" s="119">
        <v>45292.0</v>
      </c>
      <c r="K6" s="7" t="s">
        <v>419</v>
      </c>
      <c r="L6" s="7" t="s">
        <v>991</v>
      </c>
      <c r="M6" s="7" t="s">
        <v>3531</v>
      </c>
      <c r="N6" s="7" t="s">
        <v>419</v>
      </c>
      <c r="O6" s="7" t="s">
        <v>19430</v>
      </c>
      <c r="P6" s="7" t="s">
        <v>717</v>
      </c>
      <c r="Q6" s="7" t="s">
        <v>725</v>
      </c>
      <c r="R6" s="7" t="s">
        <v>19501</v>
      </c>
      <c r="S6" s="7" t="s">
        <v>19502</v>
      </c>
      <c r="T6" s="7" t="s">
        <v>3533</v>
      </c>
      <c r="U6" s="7" t="s">
        <v>3493</v>
      </c>
      <c r="V6" s="7">
        <v>1.0</v>
      </c>
    </row>
    <row r="7">
      <c r="A7" s="7" t="s">
        <v>19503</v>
      </c>
      <c r="B7" s="7">
        <v>2300429.0</v>
      </c>
      <c r="C7" s="7" t="s">
        <v>3535</v>
      </c>
      <c r="D7" s="7" t="s">
        <v>3536</v>
      </c>
      <c r="E7" s="7" t="s">
        <v>3537</v>
      </c>
      <c r="F7" s="7" t="s">
        <v>3538</v>
      </c>
      <c r="G7" s="7" t="s">
        <v>3539</v>
      </c>
      <c r="H7" s="7" t="s">
        <v>3540</v>
      </c>
      <c r="I7" s="119">
        <v>45292.0</v>
      </c>
      <c r="K7" s="7" t="s">
        <v>3541</v>
      </c>
      <c r="L7" s="7" t="s">
        <v>3542</v>
      </c>
      <c r="M7" s="7" t="s">
        <v>3543</v>
      </c>
      <c r="N7" s="7" t="s">
        <v>419</v>
      </c>
      <c r="O7" s="7" t="s">
        <v>19430</v>
      </c>
      <c r="P7" s="7" t="s">
        <v>854</v>
      </c>
      <c r="Q7" s="7" t="s">
        <v>864</v>
      </c>
      <c r="R7" s="7" t="s">
        <v>19504</v>
      </c>
      <c r="T7" s="7" t="s">
        <v>19505</v>
      </c>
      <c r="U7" s="7" t="s">
        <v>3493</v>
      </c>
      <c r="V7" s="7">
        <v>1.0</v>
      </c>
    </row>
    <row r="8">
      <c r="A8" s="7" t="s">
        <v>2111</v>
      </c>
      <c r="B8" s="7">
        <v>554.0</v>
      </c>
      <c r="C8" s="7" t="s">
        <v>3535</v>
      </c>
      <c r="D8" s="7" t="s">
        <v>3548</v>
      </c>
      <c r="E8" s="7" t="s">
        <v>3537</v>
      </c>
      <c r="F8" s="7" t="s">
        <v>3549</v>
      </c>
      <c r="G8" s="7" t="s">
        <v>3550</v>
      </c>
      <c r="H8" s="7" t="s">
        <v>3551</v>
      </c>
      <c r="I8" s="119">
        <v>45292.0</v>
      </c>
      <c r="K8" s="7" t="s">
        <v>419</v>
      </c>
      <c r="L8" s="7" t="s">
        <v>991</v>
      </c>
      <c r="M8" s="7" t="s">
        <v>3501</v>
      </c>
      <c r="N8" s="7" t="s">
        <v>419</v>
      </c>
      <c r="O8" s="7" t="s">
        <v>19430</v>
      </c>
      <c r="P8" s="7" t="s">
        <v>717</v>
      </c>
      <c r="Q8" s="7" t="s">
        <v>223</v>
      </c>
      <c r="T8" s="7" t="s">
        <v>19431</v>
      </c>
      <c r="U8" s="7" t="s">
        <v>5585</v>
      </c>
      <c r="V8" s="7">
        <v>1.0</v>
      </c>
    </row>
    <row r="9">
      <c r="A9" s="7" t="s">
        <v>19506</v>
      </c>
      <c r="B9" s="7">
        <v>10495.0</v>
      </c>
      <c r="C9" s="7" t="s">
        <v>3557</v>
      </c>
      <c r="D9" s="7" t="s">
        <v>3558</v>
      </c>
      <c r="E9" s="7" t="s">
        <v>3559</v>
      </c>
      <c r="F9" s="7" t="s">
        <v>3560</v>
      </c>
      <c r="G9" s="7" t="s">
        <v>3561</v>
      </c>
      <c r="H9" s="7" t="s">
        <v>3562</v>
      </c>
      <c r="I9" s="119">
        <v>45292.0</v>
      </c>
      <c r="K9" s="7" t="s">
        <v>3541</v>
      </c>
      <c r="L9" s="7" t="s">
        <v>3542</v>
      </c>
      <c r="M9" s="7" t="s">
        <v>3563</v>
      </c>
      <c r="N9" s="7" t="s">
        <v>419</v>
      </c>
      <c r="O9" s="7" t="s">
        <v>19430</v>
      </c>
      <c r="P9" s="7" t="s">
        <v>854</v>
      </c>
      <c r="Q9" s="7" t="s">
        <v>864</v>
      </c>
      <c r="R9" s="7" t="s">
        <v>19504</v>
      </c>
      <c r="T9" s="7" t="s">
        <v>19505</v>
      </c>
      <c r="U9" s="7" t="s">
        <v>3604</v>
      </c>
      <c r="V9" s="7">
        <v>1.0</v>
      </c>
    </row>
    <row r="10">
      <c r="A10" s="7" t="s">
        <v>19507</v>
      </c>
      <c r="B10" s="7">
        <v>2200211.0</v>
      </c>
      <c r="C10" s="7" t="s">
        <v>3568</v>
      </c>
      <c r="D10" s="7" t="s">
        <v>3569</v>
      </c>
      <c r="E10" s="7" t="s">
        <v>3570</v>
      </c>
      <c r="F10" s="7" t="s">
        <v>3571</v>
      </c>
      <c r="G10" s="7" t="s">
        <v>3572</v>
      </c>
      <c r="H10" s="7" t="s">
        <v>3573</v>
      </c>
      <c r="I10" s="119">
        <v>45292.0</v>
      </c>
      <c r="K10" s="7" t="s">
        <v>419</v>
      </c>
      <c r="L10" s="7" t="s">
        <v>991</v>
      </c>
      <c r="M10" s="7" t="s">
        <v>3501</v>
      </c>
      <c r="N10" s="7" t="s">
        <v>419</v>
      </c>
      <c r="O10" s="7" t="s">
        <v>19432</v>
      </c>
      <c r="P10" s="7" t="s">
        <v>391</v>
      </c>
      <c r="Q10" s="7" t="s">
        <v>399</v>
      </c>
      <c r="R10" s="7" t="s">
        <v>19508</v>
      </c>
      <c r="T10" s="7" t="s">
        <v>7225</v>
      </c>
      <c r="U10" s="7" t="s">
        <v>3493</v>
      </c>
      <c r="V10" s="7">
        <v>1.0</v>
      </c>
    </row>
    <row r="11">
      <c r="A11" s="7" t="s">
        <v>19509</v>
      </c>
      <c r="B11" s="7">
        <v>2400006.0</v>
      </c>
      <c r="C11" s="7" t="s">
        <v>3577</v>
      </c>
      <c r="D11" s="7" t="s">
        <v>3578</v>
      </c>
      <c r="E11" s="7" t="s">
        <v>3579</v>
      </c>
      <c r="F11" s="7" t="s">
        <v>3580</v>
      </c>
      <c r="G11" s="7" t="s">
        <v>3581</v>
      </c>
      <c r="H11" s="7" t="s">
        <v>3582</v>
      </c>
      <c r="I11" s="119">
        <v>45292.0</v>
      </c>
      <c r="K11" s="7" t="s">
        <v>419</v>
      </c>
      <c r="L11" s="7" t="s">
        <v>991</v>
      </c>
      <c r="M11" s="7" t="s">
        <v>3583</v>
      </c>
      <c r="N11" s="7" t="s">
        <v>419</v>
      </c>
      <c r="O11" s="7" t="s">
        <v>19443</v>
      </c>
      <c r="P11" s="7" t="s">
        <v>1242</v>
      </c>
      <c r="Q11" s="7" t="s">
        <v>51</v>
      </c>
      <c r="R11" s="7" t="s">
        <v>19510</v>
      </c>
      <c r="S11" s="7" t="s">
        <v>19511</v>
      </c>
      <c r="T11" s="7" t="s">
        <v>3585</v>
      </c>
      <c r="U11" s="7" t="s">
        <v>3493</v>
      </c>
      <c r="V11" s="7">
        <v>1.0</v>
      </c>
    </row>
    <row r="12">
      <c r="A12" s="7" t="s">
        <v>19512</v>
      </c>
      <c r="B12" s="7">
        <v>11252.0</v>
      </c>
      <c r="C12" s="7" t="s">
        <v>3587</v>
      </c>
      <c r="D12" s="7" t="s">
        <v>3588</v>
      </c>
      <c r="E12" s="7" t="s">
        <v>3589</v>
      </c>
      <c r="F12" s="7" t="s">
        <v>3590</v>
      </c>
      <c r="G12" s="7" t="s">
        <v>3591</v>
      </c>
      <c r="H12" s="7" t="s">
        <v>3592</v>
      </c>
      <c r="I12" s="119">
        <v>45292.0</v>
      </c>
      <c r="K12" s="7" t="s">
        <v>419</v>
      </c>
      <c r="L12" s="7" t="s">
        <v>991</v>
      </c>
      <c r="M12" s="7" t="s">
        <v>3501</v>
      </c>
      <c r="N12" s="7" t="s">
        <v>419</v>
      </c>
      <c r="O12" s="7" t="s">
        <v>19430</v>
      </c>
      <c r="P12" s="7" t="s">
        <v>717</v>
      </c>
      <c r="Q12" s="7" t="s">
        <v>251</v>
      </c>
      <c r="R12" s="7" t="s">
        <v>19513</v>
      </c>
      <c r="S12" s="7" t="s">
        <v>19514</v>
      </c>
      <c r="T12" s="7" t="s">
        <v>3594</v>
      </c>
      <c r="U12" s="7" t="s">
        <v>3493</v>
      </c>
      <c r="V12" s="7">
        <v>1.0</v>
      </c>
    </row>
    <row r="13">
      <c r="A13" s="7" t="s">
        <v>19515</v>
      </c>
      <c r="B13" s="7">
        <v>2200002.0</v>
      </c>
      <c r="C13" s="7" t="s">
        <v>3596</v>
      </c>
      <c r="D13" s="7" t="s">
        <v>3597</v>
      </c>
      <c r="E13" s="7" t="s">
        <v>3598</v>
      </c>
      <c r="F13" s="7" t="s">
        <v>3599</v>
      </c>
      <c r="G13" s="7" t="s">
        <v>3600</v>
      </c>
      <c r="H13" s="7" t="s">
        <v>3601</v>
      </c>
      <c r="I13" s="119">
        <v>45292.0</v>
      </c>
      <c r="K13" s="7" t="s">
        <v>419</v>
      </c>
      <c r="L13" s="7" t="s">
        <v>991</v>
      </c>
      <c r="M13" s="7" t="s">
        <v>3501</v>
      </c>
      <c r="N13" s="7" t="s">
        <v>419</v>
      </c>
      <c r="O13" s="7" t="s">
        <v>19430</v>
      </c>
      <c r="P13" s="7" t="s">
        <v>854</v>
      </c>
      <c r="Q13" s="7" t="s">
        <v>861</v>
      </c>
      <c r="R13" s="7" t="s">
        <v>19516</v>
      </c>
      <c r="T13" s="7" t="s">
        <v>3603</v>
      </c>
      <c r="U13" s="7" t="s">
        <v>3604</v>
      </c>
      <c r="V13" s="7">
        <v>1.0</v>
      </c>
    </row>
    <row r="14">
      <c r="A14" s="7" t="s">
        <v>19517</v>
      </c>
      <c r="B14" s="7">
        <v>3000003.0</v>
      </c>
      <c r="C14" s="7" t="s">
        <v>3606</v>
      </c>
      <c r="D14" s="7" t="s">
        <v>3607</v>
      </c>
      <c r="E14" s="7" t="s">
        <v>3608</v>
      </c>
      <c r="F14" s="7" t="s">
        <v>3609</v>
      </c>
      <c r="G14" s="7" t="s">
        <v>3610</v>
      </c>
      <c r="H14" s="7" t="s">
        <v>3611</v>
      </c>
      <c r="I14" s="119">
        <v>45428.0</v>
      </c>
      <c r="K14" s="7" t="s">
        <v>419</v>
      </c>
      <c r="L14" s="7" t="s">
        <v>991</v>
      </c>
      <c r="M14" s="7" t="s">
        <v>3501</v>
      </c>
      <c r="N14" s="7" t="s">
        <v>419</v>
      </c>
      <c r="O14" s="7" t="s">
        <v>19432</v>
      </c>
      <c r="P14" s="7" t="s">
        <v>693</v>
      </c>
      <c r="Q14" s="7" t="s">
        <v>701</v>
      </c>
      <c r="R14" s="7" t="s">
        <v>19518</v>
      </c>
      <c r="S14" s="7" t="s">
        <v>19519</v>
      </c>
      <c r="T14" s="7" t="s">
        <v>7004</v>
      </c>
      <c r="U14" s="7" t="s">
        <v>3843</v>
      </c>
      <c r="V14" s="7">
        <v>1.0</v>
      </c>
    </row>
    <row r="15">
      <c r="A15" s="7" t="s">
        <v>19520</v>
      </c>
      <c r="B15" s="7">
        <v>2200589.0</v>
      </c>
      <c r="C15" s="7" t="s">
        <v>3616</v>
      </c>
      <c r="D15" s="7" t="s">
        <v>3617</v>
      </c>
      <c r="E15" s="7" t="s">
        <v>3618</v>
      </c>
      <c r="F15" s="7" t="s">
        <v>3619</v>
      </c>
      <c r="G15" s="7" t="s">
        <v>3620</v>
      </c>
      <c r="H15" s="7" t="s">
        <v>3621</v>
      </c>
      <c r="I15" s="119">
        <v>45292.0</v>
      </c>
      <c r="K15" s="7" t="s">
        <v>3622</v>
      </c>
      <c r="L15" s="7" t="s">
        <v>991</v>
      </c>
      <c r="M15" s="7" t="s">
        <v>3531</v>
      </c>
      <c r="N15" s="7" t="s">
        <v>3622</v>
      </c>
      <c r="O15" s="7" t="s">
        <v>3622</v>
      </c>
      <c r="P15" s="7" t="s">
        <v>19521</v>
      </c>
      <c r="T15" s="7" t="s">
        <v>3624</v>
      </c>
      <c r="U15" s="7" t="s">
        <v>3493</v>
      </c>
      <c r="V15" s="7">
        <v>1.0</v>
      </c>
    </row>
    <row r="16">
      <c r="A16" s="7" t="s">
        <v>19522</v>
      </c>
      <c r="B16" s="7">
        <v>2300216.0</v>
      </c>
      <c r="C16" s="7" t="s">
        <v>3626</v>
      </c>
      <c r="D16" s="7" t="s">
        <v>3627</v>
      </c>
      <c r="E16" s="7" t="s">
        <v>3628</v>
      </c>
      <c r="F16" s="7" t="s">
        <v>3629</v>
      </c>
      <c r="G16" s="7" t="s">
        <v>3630</v>
      </c>
      <c r="H16" s="7" t="s">
        <v>3631</v>
      </c>
      <c r="I16" s="119">
        <v>45292.0</v>
      </c>
      <c r="K16" s="7" t="s">
        <v>3632</v>
      </c>
      <c r="L16" s="7" t="s">
        <v>991</v>
      </c>
      <c r="M16" s="7" t="s">
        <v>3501</v>
      </c>
      <c r="N16" s="7" t="s">
        <v>3632</v>
      </c>
      <c r="O16" s="7" t="s">
        <v>3632</v>
      </c>
      <c r="P16" s="7" t="s">
        <v>22</v>
      </c>
      <c r="Q16" s="7" t="s">
        <v>23</v>
      </c>
      <c r="T16" s="7" t="s">
        <v>10846</v>
      </c>
      <c r="U16" s="7" t="s">
        <v>3493</v>
      </c>
      <c r="V16" s="7">
        <v>1.0</v>
      </c>
    </row>
    <row r="17">
      <c r="A17" s="7" t="s">
        <v>19523</v>
      </c>
      <c r="B17" s="7">
        <v>2300790.0</v>
      </c>
      <c r="C17" s="7" t="s">
        <v>3636</v>
      </c>
      <c r="D17" s="7" t="s">
        <v>3637</v>
      </c>
      <c r="E17" s="7" t="s">
        <v>3638</v>
      </c>
      <c r="F17" s="7" t="s">
        <v>3639</v>
      </c>
      <c r="G17" s="7" t="s">
        <v>3640</v>
      </c>
      <c r="H17" s="7" t="s">
        <v>3641</v>
      </c>
      <c r="I17" s="119">
        <v>45292.0</v>
      </c>
      <c r="K17" s="7" t="s">
        <v>3642</v>
      </c>
      <c r="L17" s="7" t="s">
        <v>991</v>
      </c>
      <c r="M17" s="7" t="s">
        <v>3501</v>
      </c>
      <c r="N17" s="7" t="s">
        <v>3642</v>
      </c>
      <c r="O17" s="7" t="s">
        <v>3642</v>
      </c>
      <c r="P17" s="7" t="s">
        <v>19524</v>
      </c>
      <c r="T17" s="7" t="s">
        <v>3644</v>
      </c>
      <c r="U17" s="7" t="s">
        <v>3493</v>
      </c>
      <c r="V17" s="7">
        <v>1.0</v>
      </c>
    </row>
    <row r="18">
      <c r="A18" s="7" t="s">
        <v>19525</v>
      </c>
      <c r="B18" s="7">
        <v>12295.0</v>
      </c>
      <c r="C18" s="7" t="s">
        <v>3646</v>
      </c>
      <c r="D18" s="7" t="s">
        <v>3647</v>
      </c>
      <c r="E18" s="7" t="s">
        <v>3648</v>
      </c>
      <c r="F18" s="7" t="s">
        <v>3649</v>
      </c>
      <c r="G18" s="7" t="s">
        <v>3650</v>
      </c>
      <c r="H18" s="7" t="s">
        <v>3651</v>
      </c>
      <c r="I18" s="119">
        <v>45292.0</v>
      </c>
      <c r="K18" s="7" t="s">
        <v>419</v>
      </c>
      <c r="L18" s="7" t="s">
        <v>991</v>
      </c>
      <c r="M18" s="7" t="s">
        <v>3501</v>
      </c>
      <c r="N18" s="7" t="s">
        <v>419</v>
      </c>
      <c r="O18" s="7" t="s">
        <v>19432</v>
      </c>
      <c r="P18" s="7" t="s">
        <v>298</v>
      </c>
      <c r="Q18" s="7" t="s">
        <v>798</v>
      </c>
      <c r="R18" s="7" t="s">
        <v>19526</v>
      </c>
      <c r="T18" s="7" t="s">
        <v>3653</v>
      </c>
      <c r="U18" s="7" t="s">
        <v>3604</v>
      </c>
      <c r="V18" s="7">
        <v>1.0</v>
      </c>
    </row>
    <row r="19">
      <c r="A19" s="7" t="s">
        <v>19527</v>
      </c>
      <c r="B19" s="7">
        <v>2100480.0</v>
      </c>
      <c r="C19" s="7" t="s">
        <v>3646</v>
      </c>
      <c r="D19" s="7" t="s">
        <v>3655</v>
      </c>
      <c r="E19" s="7" t="s">
        <v>3648</v>
      </c>
      <c r="F19" s="7" t="s">
        <v>3656</v>
      </c>
      <c r="G19" s="7" t="s">
        <v>3657</v>
      </c>
      <c r="H19" s="7" t="s">
        <v>3658</v>
      </c>
      <c r="I19" s="119">
        <v>45292.0</v>
      </c>
      <c r="K19" s="7" t="s">
        <v>419</v>
      </c>
      <c r="L19" s="7" t="s">
        <v>991</v>
      </c>
      <c r="M19" s="7" t="s">
        <v>3501</v>
      </c>
      <c r="N19" s="7" t="s">
        <v>419</v>
      </c>
      <c r="O19" s="7" t="s">
        <v>19440</v>
      </c>
      <c r="P19" s="7" t="s">
        <v>613</v>
      </c>
      <c r="Q19" s="7" t="s">
        <v>106</v>
      </c>
      <c r="R19" s="7" t="s">
        <v>19528</v>
      </c>
      <c r="T19" s="7" t="s">
        <v>3660</v>
      </c>
      <c r="U19" s="7" t="s">
        <v>3493</v>
      </c>
      <c r="V19" s="7">
        <v>1.0</v>
      </c>
    </row>
    <row r="20">
      <c r="A20" s="7" t="s">
        <v>19529</v>
      </c>
      <c r="B20" s="7">
        <v>10001.0</v>
      </c>
      <c r="C20" s="7" t="s">
        <v>3662</v>
      </c>
      <c r="D20" s="7" t="s">
        <v>3663</v>
      </c>
      <c r="E20" s="7" t="s">
        <v>3664</v>
      </c>
      <c r="F20" s="7" t="s">
        <v>3665</v>
      </c>
      <c r="G20" s="7" t="s">
        <v>3666</v>
      </c>
      <c r="H20" s="7" t="s">
        <v>3667</v>
      </c>
      <c r="I20" s="119">
        <v>45292.0</v>
      </c>
      <c r="K20" s="7" t="s">
        <v>419</v>
      </c>
      <c r="L20" s="7" t="s">
        <v>991</v>
      </c>
      <c r="M20" s="7" t="s">
        <v>3501</v>
      </c>
      <c r="N20" s="7" t="s">
        <v>419</v>
      </c>
      <c r="O20" s="7" t="s">
        <v>19430</v>
      </c>
      <c r="P20" s="7" t="s">
        <v>717</v>
      </c>
      <c r="Q20" s="7" t="s">
        <v>251</v>
      </c>
      <c r="R20" s="7" t="s">
        <v>19530</v>
      </c>
      <c r="S20" s="7" t="s">
        <v>19531</v>
      </c>
      <c r="T20" s="7" t="s">
        <v>3669</v>
      </c>
      <c r="U20" s="7" t="s">
        <v>3493</v>
      </c>
      <c r="V20" s="7">
        <v>1.0</v>
      </c>
    </row>
    <row r="21">
      <c r="A21" s="7" t="s">
        <v>19532</v>
      </c>
      <c r="B21" s="7">
        <v>2200544.0</v>
      </c>
      <c r="C21" s="7" t="s">
        <v>3671</v>
      </c>
      <c r="D21" s="7" t="s">
        <v>3672</v>
      </c>
      <c r="E21" s="7" t="s">
        <v>3673</v>
      </c>
      <c r="F21" s="7" t="s">
        <v>3674</v>
      </c>
      <c r="G21" s="7" t="s">
        <v>3675</v>
      </c>
      <c r="H21" s="7" t="s">
        <v>3676</v>
      </c>
      <c r="I21" s="119">
        <v>45292.0</v>
      </c>
      <c r="K21" s="7" t="s">
        <v>3632</v>
      </c>
      <c r="L21" s="7" t="s">
        <v>991</v>
      </c>
      <c r="M21" s="7" t="s">
        <v>3501</v>
      </c>
      <c r="N21" s="7" t="s">
        <v>3632</v>
      </c>
      <c r="O21" s="7" t="s">
        <v>3632</v>
      </c>
      <c r="P21" s="7" t="s">
        <v>22</v>
      </c>
      <c r="Q21" s="7" t="s">
        <v>23</v>
      </c>
      <c r="T21" s="7" t="s">
        <v>10846</v>
      </c>
      <c r="U21" s="7" t="s">
        <v>3493</v>
      </c>
      <c r="V21" s="7">
        <v>1.0</v>
      </c>
    </row>
    <row r="22">
      <c r="A22" s="7" t="s">
        <v>2142</v>
      </c>
      <c r="B22" s="7">
        <v>1283.0</v>
      </c>
      <c r="C22" s="7" t="s">
        <v>3678</v>
      </c>
      <c r="D22" s="7" t="s">
        <v>3679</v>
      </c>
      <c r="E22" s="7" t="s">
        <v>3680</v>
      </c>
      <c r="F22" s="7" t="s">
        <v>3681</v>
      </c>
      <c r="G22" s="7" t="s">
        <v>3682</v>
      </c>
      <c r="H22" s="7" t="s">
        <v>3683</v>
      </c>
      <c r="I22" s="119">
        <v>45292.0</v>
      </c>
      <c r="K22" s="7" t="s">
        <v>419</v>
      </c>
      <c r="L22" s="7" t="s">
        <v>991</v>
      </c>
      <c r="M22" s="7" t="s">
        <v>3501</v>
      </c>
      <c r="N22" s="7" t="s">
        <v>419</v>
      </c>
      <c r="O22" s="7" t="s">
        <v>19432</v>
      </c>
      <c r="P22" s="7" t="s">
        <v>298</v>
      </c>
      <c r="Q22" s="7" t="s">
        <v>1284</v>
      </c>
      <c r="T22" s="7" t="s">
        <v>15811</v>
      </c>
      <c r="U22" s="7" t="s">
        <v>5585</v>
      </c>
      <c r="V22" s="7">
        <v>1.0</v>
      </c>
    </row>
    <row r="23">
      <c r="A23" s="7" t="s">
        <v>19533</v>
      </c>
      <c r="B23" s="7">
        <v>2100675.0</v>
      </c>
      <c r="C23" s="7" t="s">
        <v>3689</v>
      </c>
      <c r="D23" s="7" t="s">
        <v>3690</v>
      </c>
      <c r="E23" s="7" t="s">
        <v>3691</v>
      </c>
      <c r="F23" s="7" t="s">
        <v>3692</v>
      </c>
      <c r="G23" s="7" t="s">
        <v>3693</v>
      </c>
      <c r="H23" s="7" t="s">
        <v>3694</v>
      </c>
      <c r="I23" s="119">
        <v>45292.0</v>
      </c>
      <c r="K23" s="7" t="s">
        <v>419</v>
      </c>
      <c r="L23" s="7" t="s">
        <v>991</v>
      </c>
      <c r="M23" s="7" t="s">
        <v>3501</v>
      </c>
      <c r="N23" s="7" t="s">
        <v>419</v>
      </c>
      <c r="O23" s="7" t="s">
        <v>19432</v>
      </c>
      <c r="P23" s="7" t="s">
        <v>391</v>
      </c>
      <c r="Q23" s="7" t="s">
        <v>392</v>
      </c>
      <c r="R23" s="7" t="s">
        <v>19534</v>
      </c>
      <c r="T23" s="7" t="s">
        <v>5350</v>
      </c>
      <c r="U23" s="7" t="s">
        <v>3493</v>
      </c>
      <c r="V23" s="7">
        <v>1.0</v>
      </c>
    </row>
    <row r="24">
      <c r="A24" s="7" t="s">
        <v>19535</v>
      </c>
      <c r="B24" s="7">
        <v>12489.0</v>
      </c>
      <c r="C24" s="7" t="s">
        <v>3700</v>
      </c>
      <c r="D24" s="7" t="s">
        <v>3701</v>
      </c>
      <c r="E24" s="7" t="s">
        <v>3702</v>
      </c>
      <c r="F24" s="7" t="s">
        <v>3549</v>
      </c>
      <c r="G24" s="7" t="s">
        <v>3703</v>
      </c>
      <c r="H24" s="7" t="s">
        <v>3704</v>
      </c>
      <c r="I24" s="119">
        <v>45292.0</v>
      </c>
      <c r="K24" s="7" t="s">
        <v>3705</v>
      </c>
      <c r="L24" s="7" t="s">
        <v>3706</v>
      </c>
      <c r="M24" s="7" t="s">
        <v>3707</v>
      </c>
      <c r="N24" s="7" t="s">
        <v>419</v>
      </c>
      <c r="O24" s="7" t="s">
        <v>19433</v>
      </c>
      <c r="P24" s="7" t="s">
        <v>587</v>
      </c>
      <c r="Q24" s="7" t="s">
        <v>74</v>
      </c>
      <c r="R24" s="7" t="s">
        <v>19536</v>
      </c>
      <c r="S24" s="7" t="s">
        <v>19537</v>
      </c>
      <c r="T24" s="7" t="s">
        <v>19538</v>
      </c>
      <c r="U24" s="7" t="s">
        <v>3493</v>
      </c>
      <c r="V24" s="7">
        <v>1.0</v>
      </c>
    </row>
    <row r="25">
      <c r="A25" s="7" t="s">
        <v>19539</v>
      </c>
      <c r="B25" s="7">
        <v>13710.0</v>
      </c>
      <c r="C25" s="7" t="s">
        <v>3712</v>
      </c>
      <c r="D25" s="7" t="s">
        <v>3713</v>
      </c>
      <c r="E25" s="7" t="s">
        <v>3702</v>
      </c>
      <c r="F25" s="7" t="s">
        <v>3714</v>
      </c>
      <c r="G25" s="7" t="s">
        <v>3715</v>
      </c>
      <c r="H25" s="7" t="s">
        <v>3716</v>
      </c>
      <c r="I25" s="119">
        <v>45292.0</v>
      </c>
      <c r="K25" s="7" t="s">
        <v>3632</v>
      </c>
      <c r="L25" s="7" t="s">
        <v>991</v>
      </c>
      <c r="M25" s="7" t="s">
        <v>3531</v>
      </c>
      <c r="N25" s="7" t="s">
        <v>3632</v>
      </c>
      <c r="O25" s="7" t="s">
        <v>3632</v>
      </c>
      <c r="P25" s="7" t="s">
        <v>625</v>
      </c>
      <c r="Q25" s="7" t="s">
        <v>118</v>
      </c>
      <c r="R25" s="7" t="s">
        <v>19540</v>
      </c>
      <c r="T25" s="7" t="s">
        <v>3718</v>
      </c>
      <c r="U25" s="7" t="s">
        <v>3493</v>
      </c>
      <c r="V25" s="7">
        <v>1.0</v>
      </c>
    </row>
    <row r="26">
      <c r="A26" s="7" t="s">
        <v>19541</v>
      </c>
      <c r="B26" s="7">
        <v>2300398.0</v>
      </c>
      <c r="C26" s="7" t="s">
        <v>3712</v>
      </c>
      <c r="D26" s="7" t="s">
        <v>3720</v>
      </c>
      <c r="E26" s="7" t="s">
        <v>3702</v>
      </c>
      <c r="F26" s="7" t="s">
        <v>3721</v>
      </c>
      <c r="G26" s="7" t="s">
        <v>3722</v>
      </c>
      <c r="H26" s="7" t="s">
        <v>3723</v>
      </c>
      <c r="I26" s="119">
        <v>45292.0</v>
      </c>
      <c r="K26" s="7" t="s">
        <v>419</v>
      </c>
      <c r="L26" s="7" t="s">
        <v>991</v>
      </c>
      <c r="M26" s="7" t="s">
        <v>3583</v>
      </c>
      <c r="N26" s="7" t="s">
        <v>419</v>
      </c>
      <c r="O26" s="7" t="s">
        <v>19430</v>
      </c>
      <c r="P26" s="7" t="s">
        <v>717</v>
      </c>
      <c r="Q26" s="7" t="s">
        <v>720</v>
      </c>
      <c r="R26" s="7" t="s">
        <v>19542</v>
      </c>
      <c r="T26" s="7" t="s">
        <v>3725</v>
      </c>
      <c r="U26" s="7" t="s">
        <v>3493</v>
      </c>
      <c r="V26" s="7">
        <v>1.0</v>
      </c>
    </row>
    <row r="27">
      <c r="A27" s="7" t="s">
        <v>19543</v>
      </c>
      <c r="B27" s="7">
        <v>13048.0</v>
      </c>
      <c r="C27" s="7" t="s">
        <v>3727</v>
      </c>
      <c r="D27" s="7" t="s">
        <v>3728</v>
      </c>
      <c r="E27" s="7" t="s">
        <v>3729</v>
      </c>
      <c r="F27" s="7" t="s">
        <v>3730</v>
      </c>
      <c r="G27" s="7" t="s">
        <v>3731</v>
      </c>
      <c r="H27" s="7" t="s">
        <v>3732</v>
      </c>
      <c r="I27" s="119">
        <v>45292.0</v>
      </c>
      <c r="K27" s="7" t="s">
        <v>419</v>
      </c>
      <c r="L27" s="7" t="s">
        <v>991</v>
      </c>
      <c r="M27" s="7" t="s">
        <v>3501</v>
      </c>
      <c r="N27" s="7" t="s">
        <v>419</v>
      </c>
      <c r="O27" s="7" t="s">
        <v>19433</v>
      </c>
      <c r="P27" s="7" t="s">
        <v>648</v>
      </c>
      <c r="Q27" s="7" t="s">
        <v>148</v>
      </c>
      <c r="R27" s="7" t="s">
        <v>19544</v>
      </c>
      <c r="T27" s="7" t="s">
        <v>3734</v>
      </c>
      <c r="U27" s="7" t="s">
        <v>3493</v>
      </c>
      <c r="V27" s="7">
        <v>1.0</v>
      </c>
    </row>
    <row r="28">
      <c r="A28" s="7" t="s">
        <v>19545</v>
      </c>
      <c r="B28" s="7">
        <v>2300454.0</v>
      </c>
      <c r="C28" s="7" t="s">
        <v>3736</v>
      </c>
      <c r="D28" s="7" t="s">
        <v>3737</v>
      </c>
      <c r="E28" s="7" t="s">
        <v>3738</v>
      </c>
      <c r="F28" s="7" t="s">
        <v>3739</v>
      </c>
      <c r="G28" s="7" t="s">
        <v>3740</v>
      </c>
      <c r="H28" s="7" t="s">
        <v>3741</v>
      </c>
      <c r="I28" s="119">
        <v>45292.0</v>
      </c>
      <c r="K28" s="7" t="s">
        <v>419</v>
      </c>
      <c r="L28" s="7" t="s">
        <v>991</v>
      </c>
      <c r="M28" s="7" t="s">
        <v>3531</v>
      </c>
      <c r="N28" s="7" t="s">
        <v>419</v>
      </c>
      <c r="O28" s="7" t="s">
        <v>19430</v>
      </c>
      <c r="P28" s="7" t="s">
        <v>717</v>
      </c>
      <c r="Q28" s="7" t="s">
        <v>1163</v>
      </c>
      <c r="R28" s="7" t="s">
        <v>19546</v>
      </c>
      <c r="S28" s="7" t="s">
        <v>19547</v>
      </c>
      <c r="T28" s="7" t="s">
        <v>3743</v>
      </c>
      <c r="U28" s="7" t="s">
        <v>3493</v>
      </c>
      <c r="V28" s="7">
        <v>1.0</v>
      </c>
    </row>
    <row r="29">
      <c r="A29" s="7" t="s">
        <v>19548</v>
      </c>
      <c r="B29" s="7">
        <v>2200486.0</v>
      </c>
      <c r="C29" s="7" t="s">
        <v>3745</v>
      </c>
      <c r="D29" s="7" t="s">
        <v>3746</v>
      </c>
      <c r="E29" s="7" t="s">
        <v>3747</v>
      </c>
      <c r="F29" s="7" t="s">
        <v>3748</v>
      </c>
      <c r="G29" s="7" t="s">
        <v>3749</v>
      </c>
      <c r="H29" s="7" t="s">
        <v>3750</v>
      </c>
      <c r="I29" s="119">
        <v>45292.0</v>
      </c>
      <c r="K29" s="7" t="s">
        <v>419</v>
      </c>
      <c r="L29" s="7" t="s">
        <v>991</v>
      </c>
      <c r="M29" s="7" t="s">
        <v>3501</v>
      </c>
      <c r="N29" s="7" t="s">
        <v>419</v>
      </c>
      <c r="O29" s="7" t="s">
        <v>19443</v>
      </c>
      <c r="P29" s="7" t="s">
        <v>1242</v>
      </c>
      <c r="Q29" s="7" t="s">
        <v>51</v>
      </c>
      <c r="R29" s="7" t="s">
        <v>19549</v>
      </c>
      <c r="S29" s="7" t="s">
        <v>19550</v>
      </c>
      <c r="T29" s="7" t="s">
        <v>3752</v>
      </c>
      <c r="U29" s="7" t="s">
        <v>3493</v>
      </c>
      <c r="V29" s="7">
        <v>1.0</v>
      </c>
    </row>
    <row r="30">
      <c r="A30" s="7" t="s">
        <v>19551</v>
      </c>
      <c r="B30" s="7">
        <v>2300756.0</v>
      </c>
      <c r="C30" s="7" t="s">
        <v>3754</v>
      </c>
      <c r="D30" s="7" t="s">
        <v>3755</v>
      </c>
      <c r="E30" s="7" t="s">
        <v>3756</v>
      </c>
      <c r="F30" s="7" t="s">
        <v>3757</v>
      </c>
      <c r="G30" s="7" t="s">
        <v>3758</v>
      </c>
      <c r="H30" s="7" t="s">
        <v>3759</v>
      </c>
      <c r="I30" s="119">
        <v>45292.0</v>
      </c>
      <c r="K30" s="7" t="s">
        <v>419</v>
      </c>
      <c r="L30" s="7" t="s">
        <v>991</v>
      </c>
      <c r="M30" s="7" t="s">
        <v>3501</v>
      </c>
      <c r="N30" s="7" t="s">
        <v>419</v>
      </c>
      <c r="O30" s="7" t="s">
        <v>19432</v>
      </c>
      <c r="P30" s="7" t="s">
        <v>391</v>
      </c>
      <c r="Q30" s="7" t="s">
        <v>392</v>
      </c>
      <c r="R30" s="7" t="s">
        <v>19552</v>
      </c>
      <c r="T30" s="7" t="s">
        <v>6965</v>
      </c>
      <c r="U30" s="7" t="s">
        <v>3493</v>
      </c>
      <c r="V30" s="7">
        <v>1.0</v>
      </c>
    </row>
    <row r="31">
      <c r="A31" s="7" t="s">
        <v>19553</v>
      </c>
      <c r="B31" s="7">
        <v>2200146.0</v>
      </c>
      <c r="C31" s="7" t="s">
        <v>3763</v>
      </c>
      <c r="D31" s="7" t="s">
        <v>3764</v>
      </c>
      <c r="E31" s="7" t="s">
        <v>3765</v>
      </c>
      <c r="F31" s="7" t="s">
        <v>3766</v>
      </c>
      <c r="G31" s="7" t="s">
        <v>3767</v>
      </c>
      <c r="H31" s="7" t="s">
        <v>3768</v>
      </c>
      <c r="I31" s="119">
        <v>45292.0</v>
      </c>
      <c r="K31" s="7" t="s">
        <v>419</v>
      </c>
      <c r="L31" s="7" t="s">
        <v>991</v>
      </c>
      <c r="M31" s="7" t="s">
        <v>3501</v>
      </c>
      <c r="N31" s="7" t="s">
        <v>419</v>
      </c>
      <c r="O31" s="7" t="s">
        <v>19430</v>
      </c>
      <c r="P31" s="7" t="s">
        <v>780</v>
      </c>
      <c r="Q31" s="7" t="s">
        <v>284</v>
      </c>
      <c r="R31" s="7" t="s">
        <v>19554</v>
      </c>
      <c r="T31" s="7" t="s">
        <v>5454</v>
      </c>
      <c r="U31" s="7" t="s">
        <v>3493</v>
      </c>
      <c r="V31" s="7">
        <v>1.0</v>
      </c>
    </row>
    <row r="32">
      <c r="A32" s="7" t="s">
        <v>1593</v>
      </c>
      <c r="B32" s="7">
        <v>1290.0</v>
      </c>
      <c r="C32" s="7" t="s">
        <v>3771</v>
      </c>
      <c r="D32" s="7" t="s">
        <v>3772</v>
      </c>
      <c r="E32" s="7" t="s">
        <v>3773</v>
      </c>
      <c r="F32" s="7" t="s">
        <v>3774</v>
      </c>
      <c r="G32" s="7" t="s">
        <v>3775</v>
      </c>
      <c r="H32" s="7" t="s">
        <v>3776</v>
      </c>
      <c r="I32" s="119">
        <v>45292.0</v>
      </c>
      <c r="K32" s="7" t="s">
        <v>419</v>
      </c>
      <c r="L32" s="7" t="s">
        <v>991</v>
      </c>
      <c r="M32" s="7" t="s">
        <v>3501</v>
      </c>
      <c r="N32" s="7" t="s">
        <v>419</v>
      </c>
      <c r="O32" s="7" t="s">
        <v>19432</v>
      </c>
      <c r="P32" s="7" t="s">
        <v>298</v>
      </c>
      <c r="Q32" s="7" t="s">
        <v>802</v>
      </c>
      <c r="R32" s="7" t="s">
        <v>19555</v>
      </c>
      <c r="T32" s="7" t="s">
        <v>3778</v>
      </c>
      <c r="U32" s="7" t="s">
        <v>3493</v>
      </c>
      <c r="V32" s="7">
        <v>1.0</v>
      </c>
    </row>
    <row r="33">
      <c r="A33" s="7" t="s">
        <v>19556</v>
      </c>
      <c r="B33" s="7">
        <v>12496.0</v>
      </c>
      <c r="C33" s="7" t="s">
        <v>3771</v>
      </c>
      <c r="D33" s="7" t="s">
        <v>3780</v>
      </c>
      <c r="E33" s="7" t="s">
        <v>3773</v>
      </c>
      <c r="F33" s="7" t="s">
        <v>3781</v>
      </c>
      <c r="G33" s="7" t="s">
        <v>3782</v>
      </c>
      <c r="H33" s="7" t="s">
        <v>3783</v>
      </c>
      <c r="I33" s="119">
        <v>45292.0</v>
      </c>
      <c r="K33" s="7" t="s">
        <v>419</v>
      </c>
      <c r="L33" s="7" t="s">
        <v>991</v>
      </c>
      <c r="M33" s="7" t="s">
        <v>3501</v>
      </c>
      <c r="N33" s="7" t="s">
        <v>419</v>
      </c>
      <c r="O33" s="7" t="s">
        <v>19432</v>
      </c>
      <c r="P33" s="7" t="s">
        <v>298</v>
      </c>
      <c r="Q33" s="7" t="s">
        <v>798</v>
      </c>
      <c r="R33" s="7" t="s">
        <v>19526</v>
      </c>
      <c r="T33" s="7" t="s">
        <v>3653</v>
      </c>
      <c r="U33" s="7" t="s">
        <v>3493</v>
      </c>
      <c r="V33" s="7">
        <v>1.0</v>
      </c>
    </row>
    <row r="34">
      <c r="A34" s="7" t="s">
        <v>19557</v>
      </c>
      <c r="B34" s="7">
        <v>11919.0</v>
      </c>
      <c r="C34" s="7" t="s">
        <v>3771</v>
      </c>
      <c r="D34" s="7" t="s">
        <v>3787</v>
      </c>
      <c r="E34" s="7" t="s">
        <v>3773</v>
      </c>
      <c r="F34" s="7" t="s">
        <v>3748</v>
      </c>
      <c r="G34" s="7" t="s">
        <v>3788</v>
      </c>
      <c r="H34" s="7" t="s">
        <v>3789</v>
      </c>
      <c r="I34" s="119">
        <v>45292.0</v>
      </c>
      <c r="K34" s="7" t="s">
        <v>419</v>
      </c>
      <c r="L34" s="7" t="s">
        <v>991</v>
      </c>
      <c r="M34" s="7" t="s">
        <v>3501</v>
      </c>
      <c r="N34" s="7" t="s">
        <v>419</v>
      </c>
      <c r="O34" s="7" t="s">
        <v>19433</v>
      </c>
      <c r="P34" s="7" t="s">
        <v>648</v>
      </c>
      <c r="Q34" s="7" t="s">
        <v>148</v>
      </c>
      <c r="R34" s="7" t="s">
        <v>19544</v>
      </c>
      <c r="T34" s="7" t="s">
        <v>3734</v>
      </c>
      <c r="U34" s="7" t="s">
        <v>3493</v>
      </c>
      <c r="V34" s="7">
        <v>1.0</v>
      </c>
    </row>
    <row r="35">
      <c r="A35" s="7" t="s">
        <v>19558</v>
      </c>
      <c r="B35" s="7">
        <v>11856.0</v>
      </c>
      <c r="C35" s="7" t="s">
        <v>3771</v>
      </c>
      <c r="D35" s="7" t="s">
        <v>3791</v>
      </c>
      <c r="E35" s="7" t="s">
        <v>3773</v>
      </c>
      <c r="F35" s="7" t="s">
        <v>3792</v>
      </c>
      <c r="G35" s="7" t="s">
        <v>3793</v>
      </c>
      <c r="H35" s="7" t="s">
        <v>3794</v>
      </c>
      <c r="I35" s="119">
        <v>45292.0</v>
      </c>
      <c r="K35" s="7" t="s">
        <v>419</v>
      </c>
      <c r="L35" s="7" t="s">
        <v>991</v>
      </c>
      <c r="M35" s="7" t="s">
        <v>3501</v>
      </c>
      <c r="N35" s="7" t="s">
        <v>419</v>
      </c>
      <c r="O35" s="7" t="s">
        <v>19430</v>
      </c>
      <c r="P35" s="7" t="s">
        <v>780</v>
      </c>
      <c r="Q35" s="7" t="s">
        <v>786</v>
      </c>
      <c r="R35" s="7" t="s">
        <v>19559</v>
      </c>
      <c r="S35" s="7" t="s">
        <v>19560</v>
      </c>
      <c r="T35" s="7" t="s">
        <v>19561</v>
      </c>
      <c r="U35" s="7" t="s">
        <v>3493</v>
      </c>
      <c r="V35" s="7">
        <v>1.0</v>
      </c>
    </row>
    <row r="36">
      <c r="A36" s="7" t="s">
        <v>19562</v>
      </c>
      <c r="B36" s="7">
        <v>2200271.0</v>
      </c>
      <c r="C36" s="7" t="s">
        <v>3771</v>
      </c>
      <c r="D36" s="7" t="s">
        <v>3798</v>
      </c>
      <c r="E36" s="7" t="s">
        <v>3773</v>
      </c>
      <c r="F36" s="7" t="s">
        <v>3799</v>
      </c>
      <c r="G36" s="7" t="s">
        <v>3800</v>
      </c>
      <c r="H36" s="7" t="s">
        <v>3801</v>
      </c>
      <c r="I36" s="119">
        <v>45292.0</v>
      </c>
      <c r="K36" s="7" t="s">
        <v>419</v>
      </c>
      <c r="L36" s="7" t="s">
        <v>991</v>
      </c>
      <c r="M36" s="7" t="s">
        <v>3531</v>
      </c>
      <c r="N36" s="7" t="s">
        <v>419</v>
      </c>
      <c r="O36" s="7" t="s">
        <v>19443</v>
      </c>
      <c r="P36" s="7" t="s">
        <v>1242</v>
      </c>
      <c r="Q36" s="7" t="s">
        <v>51</v>
      </c>
      <c r="R36" s="7" t="s">
        <v>19563</v>
      </c>
      <c r="S36" s="7" t="s">
        <v>19564</v>
      </c>
      <c r="T36" s="7" t="s">
        <v>3803</v>
      </c>
      <c r="U36" s="7" t="s">
        <v>3493</v>
      </c>
      <c r="V36" s="7">
        <v>1.0</v>
      </c>
    </row>
    <row r="37">
      <c r="A37" s="7" t="s">
        <v>19565</v>
      </c>
      <c r="B37" s="7">
        <v>2200679.0</v>
      </c>
      <c r="C37" s="7" t="s">
        <v>3771</v>
      </c>
      <c r="D37" s="7" t="s">
        <v>3805</v>
      </c>
      <c r="E37" s="7" t="s">
        <v>3773</v>
      </c>
      <c r="F37" s="7" t="s">
        <v>3806</v>
      </c>
      <c r="G37" s="7" t="s">
        <v>3807</v>
      </c>
      <c r="H37" s="7" t="s">
        <v>3808</v>
      </c>
      <c r="I37" s="119">
        <v>45292.0</v>
      </c>
      <c r="K37" s="7" t="s">
        <v>419</v>
      </c>
      <c r="L37" s="7" t="s">
        <v>991</v>
      </c>
      <c r="M37" s="7" t="s">
        <v>3501</v>
      </c>
      <c r="N37" s="7" t="s">
        <v>419</v>
      </c>
      <c r="O37" s="7" t="s">
        <v>19430</v>
      </c>
      <c r="P37" s="7" t="s">
        <v>854</v>
      </c>
      <c r="Q37" s="7" t="s">
        <v>173</v>
      </c>
      <c r="R37" s="7" t="s">
        <v>19566</v>
      </c>
      <c r="T37" s="7" t="s">
        <v>3810</v>
      </c>
      <c r="U37" s="7" t="s">
        <v>3493</v>
      </c>
      <c r="V37" s="7">
        <v>1.0</v>
      </c>
    </row>
    <row r="38">
      <c r="A38" s="7" t="s">
        <v>19567</v>
      </c>
      <c r="B38" s="7">
        <v>2300794.0</v>
      </c>
      <c r="C38" s="7" t="s">
        <v>3771</v>
      </c>
      <c r="D38" s="7" t="s">
        <v>3812</v>
      </c>
      <c r="E38" s="7" t="s">
        <v>3773</v>
      </c>
      <c r="F38" s="7" t="s">
        <v>3609</v>
      </c>
      <c r="G38" s="7" t="s">
        <v>3813</v>
      </c>
      <c r="H38" s="7" t="s">
        <v>3814</v>
      </c>
      <c r="I38" s="119">
        <v>45292.0</v>
      </c>
      <c r="K38" s="7" t="s">
        <v>3642</v>
      </c>
      <c r="L38" s="7" t="s">
        <v>991</v>
      </c>
      <c r="M38" s="7" t="s">
        <v>3501</v>
      </c>
      <c r="N38" s="7" t="s">
        <v>3642</v>
      </c>
      <c r="O38" s="7" t="s">
        <v>3642</v>
      </c>
      <c r="P38" s="7" t="s">
        <v>19524</v>
      </c>
      <c r="T38" s="7" t="s">
        <v>3644</v>
      </c>
      <c r="U38" s="7" t="s">
        <v>3493</v>
      </c>
      <c r="V38" s="7">
        <v>1.0</v>
      </c>
    </row>
    <row r="39">
      <c r="A39" s="7" t="s">
        <v>19568</v>
      </c>
      <c r="B39" s="7">
        <v>2200616.0</v>
      </c>
      <c r="C39" s="7" t="s">
        <v>3816</v>
      </c>
      <c r="D39" s="7" t="s">
        <v>3817</v>
      </c>
      <c r="E39" s="7" t="s">
        <v>3773</v>
      </c>
      <c r="F39" s="7" t="s">
        <v>3818</v>
      </c>
      <c r="G39" s="7" t="s">
        <v>3819</v>
      </c>
      <c r="I39" s="119">
        <v>45292.0</v>
      </c>
      <c r="K39" s="7" t="s">
        <v>419</v>
      </c>
      <c r="L39" s="7" t="s">
        <v>991</v>
      </c>
      <c r="M39" s="7" t="s">
        <v>3531</v>
      </c>
      <c r="N39" s="7" t="s">
        <v>419</v>
      </c>
      <c r="O39" s="7" t="s">
        <v>19430</v>
      </c>
      <c r="P39" s="7" t="s">
        <v>854</v>
      </c>
      <c r="Q39" s="7" t="s">
        <v>859</v>
      </c>
      <c r="T39" s="7" t="s">
        <v>3821</v>
      </c>
      <c r="U39" s="7" t="s">
        <v>3493</v>
      </c>
      <c r="V39" s="7">
        <v>1.0</v>
      </c>
    </row>
    <row r="40">
      <c r="A40" s="7" t="s">
        <v>19569</v>
      </c>
      <c r="B40" s="7">
        <v>2300360.0</v>
      </c>
      <c r="C40" s="7" t="s">
        <v>3771</v>
      </c>
      <c r="D40" s="7" t="s">
        <v>3823</v>
      </c>
      <c r="E40" s="7" t="s">
        <v>3773</v>
      </c>
      <c r="F40" s="7" t="s">
        <v>3824</v>
      </c>
      <c r="G40" s="7" t="s">
        <v>3825</v>
      </c>
      <c r="H40" s="7" t="s">
        <v>3826</v>
      </c>
      <c r="I40" s="119">
        <v>45292.0</v>
      </c>
      <c r="K40" s="7" t="s">
        <v>419</v>
      </c>
      <c r="L40" s="7" t="s">
        <v>991</v>
      </c>
      <c r="M40" s="7" t="s">
        <v>3501</v>
      </c>
      <c r="N40" s="7" t="s">
        <v>419</v>
      </c>
      <c r="O40" s="7" t="s">
        <v>19443</v>
      </c>
      <c r="P40" s="7" t="s">
        <v>323</v>
      </c>
      <c r="Q40" s="7" t="s">
        <v>824</v>
      </c>
      <c r="R40" s="7" t="s">
        <v>19570</v>
      </c>
      <c r="S40" s="7" t="s">
        <v>19571</v>
      </c>
      <c r="T40" s="7" t="s">
        <v>19572</v>
      </c>
      <c r="U40" s="7" t="s">
        <v>3843</v>
      </c>
      <c r="V40" s="7">
        <v>1.0</v>
      </c>
    </row>
    <row r="41">
      <c r="A41" s="7" t="s">
        <v>19573</v>
      </c>
      <c r="B41" s="7">
        <v>2300199.0</v>
      </c>
      <c r="C41" s="7" t="s">
        <v>3771</v>
      </c>
      <c r="D41" s="7" t="s">
        <v>3830</v>
      </c>
      <c r="E41" s="7" t="s">
        <v>3773</v>
      </c>
      <c r="F41" s="7" t="s">
        <v>3831</v>
      </c>
      <c r="G41" s="7" t="s">
        <v>3832</v>
      </c>
      <c r="H41" s="7" t="s">
        <v>3833</v>
      </c>
      <c r="I41" s="119">
        <v>45307.0</v>
      </c>
      <c r="K41" s="7" t="s">
        <v>419</v>
      </c>
      <c r="L41" s="7" t="s">
        <v>991</v>
      </c>
      <c r="M41" s="7" t="s">
        <v>3501</v>
      </c>
      <c r="N41" s="7" t="s">
        <v>419</v>
      </c>
      <c r="O41" s="7" t="s">
        <v>19430</v>
      </c>
      <c r="P41" s="7" t="s">
        <v>780</v>
      </c>
      <c r="Q41" s="7" t="s">
        <v>786</v>
      </c>
      <c r="R41" s="7" t="s">
        <v>19574</v>
      </c>
      <c r="S41" s="7" t="s">
        <v>19575</v>
      </c>
      <c r="T41" s="7" t="s">
        <v>3835</v>
      </c>
      <c r="U41" s="7" t="s">
        <v>3493</v>
      </c>
      <c r="V41" s="7">
        <v>1.0</v>
      </c>
    </row>
    <row r="42">
      <c r="A42" s="7" t="s">
        <v>19576</v>
      </c>
      <c r="B42" s="7">
        <v>938.0</v>
      </c>
      <c r="C42" s="7" t="s">
        <v>3771</v>
      </c>
      <c r="D42" s="7" t="s">
        <v>3837</v>
      </c>
      <c r="E42" s="7" t="s">
        <v>3773</v>
      </c>
      <c r="F42" s="7" t="s">
        <v>3838</v>
      </c>
      <c r="G42" s="7" t="s">
        <v>3839</v>
      </c>
      <c r="H42" s="7" t="s">
        <v>3840</v>
      </c>
      <c r="I42" s="119">
        <v>45292.0</v>
      </c>
      <c r="K42" s="7" t="s">
        <v>419</v>
      </c>
      <c r="L42" s="7" t="s">
        <v>991</v>
      </c>
      <c r="M42" s="7" t="s">
        <v>3501</v>
      </c>
      <c r="N42" s="7" t="s">
        <v>419</v>
      </c>
      <c r="O42" s="7" t="s">
        <v>19443</v>
      </c>
      <c r="P42" s="7" t="s">
        <v>1242</v>
      </c>
      <c r="Q42" s="7" t="s">
        <v>51</v>
      </c>
      <c r="R42" s="7" t="s">
        <v>19549</v>
      </c>
      <c r="S42" s="7" t="s">
        <v>19577</v>
      </c>
      <c r="T42" s="7" t="s">
        <v>3842</v>
      </c>
      <c r="U42" s="7" t="s">
        <v>3843</v>
      </c>
      <c r="V42" s="7">
        <v>1.0</v>
      </c>
    </row>
    <row r="43">
      <c r="A43" s="7" t="s">
        <v>19578</v>
      </c>
      <c r="B43" s="7">
        <v>2300636.0</v>
      </c>
      <c r="C43" s="7" t="s">
        <v>3845</v>
      </c>
      <c r="D43" s="7" t="s">
        <v>3846</v>
      </c>
      <c r="E43" s="7" t="s">
        <v>3847</v>
      </c>
      <c r="F43" s="7" t="s">
        <v>3848</v>
      </c>
      <c r="G43" s="7" t="s">
        <v>3849</v>
      </c>
      <c r="H43" s="7" t="s">
        <v>3850</v>
      </c>
      <c r="I43" s="119">
        <v>45292.0</v>
      </c>
      <c r="K43" s="7" t="s">
        <v>419</v>
      </c>
      <c r="L43" s="7" t="s">
        <v>991</v>
      </c>
      <c r="M43" s="7" t="s">
        <v>3501</v>
      </c>
      <c r="N43" s="7" t="s">
        <v>419</v>
      </c>
      <c r="O43" s="7" t="s">
        <v>19432</v>
      </c>
      <c r="P43" s="7" t="s">
        <v>693</v>
      </c>
      <c r="Q43" s="7" t="s">
        <v>703</v>
      </c>
      <c r="R43" s="7" t="s">
        <v>19579</v>
      </c>
      <c r="S43" s="7" t="s">
        <v>19580</v>
      </c>
      <c r="T43" s="7" t="s">
        <v>3852</v>
      </c>
      <c r="U43" s="7" t="s">
        <v>3493</v>
      </c>
      <c r="V43" s="7">
        <v>1.0</v>
      </c>
    </row>
    <row r="44">
      <c r="A44" s="7" t="s">
        <v>19581</v>
      </c>
      <c r="B44" s="7">
        <v>2300193.0</v>
      </c>
      <c r="C44" s="7" t="s">
        <v>3854</v>
      </c>
      <c r="D44" s="7" t="s">
        <v>3855</v>
      </c>
      <c r="E44" s="7" t="s">
        <v>3580</v>
      </c>
      <c r="F44" s="7" t="s">
        <v>3549</v>
      </c>
      <c r="G44" s="7" t="s">
        <v>3856</v>
      </c>
      <c r="H44" s="7" t="s">
        <v>3857</v>
      </c>
      <c r="I44" s="119">
        <v>45292.0</v>
      </c>
      <c r="K44" s="7" t="s">
        <v>419</v>
      </c>
      <c r="L44" s="7" t="s">
        <v>991</v>
      </c>
      <c r="M44" s="7" t="s">
        <v>3501</v>
      </c>
      <c r="N44" s="7" t="s">
        <v>419</v>
      </c>
      <c r="O44" s="7" t="s">
        <v>19443</v>
      </c>
      <c r="P44" s="7" t="s">
        <v>323</v>
      </c>
      <c r="Q44" s="7" t="s">
        <v>824</v>
      </c>
      <c r="R44" s="7" t="s">
        <v>19582</v>
      </c>
      <c r="T44" s="7" t="s">
        <v>11951</v>
      </c>
      <c r="U44" s="7" t="s">
        <v>3493</v>
      </c>
      <c r="V44" s="7">
        <v>1.0</v>
      </c>
    </row>
    <row r="45">
      <c r="A45" s="7" t="s">
        <v>19583</v>
      </c>
      <c r="B45" s="7">
        <v>2300160.0</v>
      </c>
      <c r="C45" s="7" t="s">
        <v>3861</v>
      </c>
      <c r="D45" s="7" t="s">
        <v>3862</v>
      </c>
      <c r="E45" s="7" t="s">
        <v>3863</v>
      </c>
      <c r="F45" s="7" t="s">
        <v>3508</v>
      </c>
      <c r="G45" s="7" t="s">
        <v>3864</v>
      </c>
      <c r="H45" s="7" t="s">
        <v>3865</v>
      </c>
      <c r="I45" s="119">
        <v>45292.0</v>
      </c>
      <c r="K45" s="7" t="s">
        <v>3622</v>
      </c>
      <c r="L45" s="7" t="s">
        <v>991</v>
      </c>
      <c r="M45" s="7" t="s">
        <v>3866</v>
      </c>
      <c r="N45" s="7" t="s">
        <v>3622</v>
      </c>
      <c r="O45" s="7" t="s">
        <v>3622</v>
      </c>
      <c r="P45" s="7" t="s">
        <v>19521</v>
      </c>
      <c r="T45" s="7" t="s">
        <v>3624</v>
      </c>
      <c r="U45" s="7" t="s">
        <v>3493</v>
      </c>
      <c r="V45" s="7">
        <v>1.0</v>
      </c>
    </row>
    <row r="46">
      <c r="A46" s="7" t="s">
        <v>19584</v>
      </c>
      <c r="B46" s="7">
        <v>2300786.0</v>
      </c>
      <c r="C46" s="7" t="s">
        <v>3861</v>
      </c>
      <c r="D46" s="7" t="s">
        <v>3868</v>
      </c>
      <c r="E46" s="7" t="s">
        <v>3863</v>
      </c>
      <c r="F46" s="7" t="s">
        <v>3869</v>
      </c>
      <c r="G46" s="7" t="s">
        <v>3870</v>
      </c>
      <c r="H46" s="7" t="s">
        <v>3871</v>
      </c>
      <c r="I46" s="119">
        <v>45292.0</v>
      </c>
      <c r="K46" s="7" t="s">
        <v>3642</v>
      </c>
      <c r="L46" s="7" t="s">
        <v>991</v>
      </c>
      <c r="M46" s="7" t="s">
        <v>3501</v>
      </c>
      <c r="N46" s="7" t="s">
        <v>3642</v>
      </c>
      <c r="O46" s="7" t="s">
        <v>3642</v>
      </c>
      <c r="P46" s="7" t="s">
        <v>19524</v>
      </c>
      <c r="T46" s="7" t="s">
        <v>3644</v>
      </c>
      <c r="U46" s="7" t="s">
        <v>3493</v>
      </c>
      <c r="V46" s="7">
        <v>1.0</v>
      </c>
    </row>
    <row r="47">
      <c r="A47" s="7" t="s">
        <v>19585</v>
      </c>
      <c r="B47" s="7">
        <v>11280.0</v>
      </c>
      <c r="C47" s="7" t="s">
        <v>3861</v>
      </c>
      <c r="D47" s="7" t="s">
        <v>3873</v>
      </c>
      <c r="E47" s="7" t="s">
        <v>3863</v>
      </c>
      <c r="F47" s="7" t="s">
        <v>3874</v>
      </c>
      <c r="G47" s="7" t="s">
        <v>3875</v>
      </c>
      <c r="H47" s="7" t="s">
        <v>3876</v>
      </c>
      <c r="I47" s="119">
        <v>45292.0</v>
      </c>
      <c r="K47" s="7" t="s">
        <v>419</v>
      </c>
      <c r="L47" s="7" t="s">
        <v>991</v>
      </c>
      <c r="M47" s="7" t="s">
        <v>3501</v>
      </c>
      <c r="N47" s="7" t="s">
        <v>419</v>
      </c>
      <c r="O47" s="7" t="s">
        <v>19430</v>
      </c>
      <c r="P47" s="7" t="s">
        <v>854</v>
      </c>
      <c r="Q47" s="7" t="s">
        <v>857</v>
      </c>
      <c r="R47" s="7" t="s">
        <v>19574</v>
      </c>
      <c r="T47" s="7" t="s">
        <v>3878</v>
      </c>
      <c r="U47" s="7" t="s">
        <v>3493</v>
      </c>
      <c r="V47" s="7">
        <v>1.0</v>
      </c>
    </row>
    <row r="48">
      <c r="A48" s="7" t="s">
        <v>19586</v>
      </c>
      <c r="B48" s="7">
        <v>2100499.0</v>
      </c>
      <c r="C48" s="7" t="s">
        <v>3880</v>
      </c>
      <c r="D48" s="7" t="s">
        <v>3881</v>
      </c>
      <c r="E48" s="7" t="s">
        <v>3863</v>
      </c>
      <c r="F48" s="7" t="s">
        <v>3882</v>
      </c>
      <c r="G48" s="7" t="s">
        <v>3883</v>
      </c>
      <c r="H48" s="7" t="s">
        <v>3884</v>
      </c>
      <c r="I48" s="119">
        <v>45292.0</v>
      </c>
      <c r="K48" s="7" t="s">
        <v>3885</v>
      </c>
      <c r="L48" s="7" t="s">
        <v>3542</v>
      </c>
      <c r="M48" s="7" t="s">
        <v>3543</v>
      </c>
      <c r="N48" s="7" t="s">
        <v>419</v>
      </c>
      <c r="O48" s="7" t="s">
        <v>19433</v>
      </c>
      <c r="P48" s="7" t="s">
        <v>648</v>
      </c>
      <c r="Q48" s="7" t="s">
        <v>651</v>
      </c>
      <c r="R48" s="7" t="s">
        <v>19587</v>
      </c>
      <c r="S48" s="7" t="s">
        <v>19588</v>
      </c>
      <c r="T48" s="7" t="s">
        <v>19589</v>
      </c>
      <c r="U48" s="7" t="s">
        <v>3493</v>
      </c>
      <c r="V48" s="7">
        <v>1.0</v>
      </c>
    </row>
    <row r="49">
      <c r="A49" s="7" t="s">
        <v>19590</v>
      </c>
      <c r="B49" s="7">
        <v>11371.0</v>
      </c>
      <c r="C49" s="7" t="s">
        <v>3880</v>
      </c>
      <c r="D49" s="7" t="s">
        <v>3888</v>
      </c>
      <c r="E49" s="7" t="s">
        <v>3863</v>
      </c>
      <c r="F49" s="7" t="s">
        <v>3889</v>
      </c>
      <c r="G49" s="7" t="s">
        <v>3890</v>
      </c>
      <c r="H49" s="7" t="s">
        <v>3891</v>
      </c>
      <c r="I49" s="119">
        <v>45292.0</v>
      </c>
      <c r="K49" s="7" t="s">
        <v>419</v>
      </c>
      <c r="L49" s="7" t="s">
        <v>991</v>
      </c>
      <c r="M49" s="7" t="s">
        <v>3501</v>
      </c>
      <c r="N49" s="7" t="s">
        <v>419</v>
      </c>
      <c r="O49" s="7" t="s">
        <v>19440</v>
      </c>
      <c r="P49" s="7" t="s">
        <v>613</v>
      </c>
      <c r="Q49" s="7" t="s">
        <v>104</v>
      </c>
      <c r="R49" s="7" t="s">
        <v>19591</v>
      </c>
      <c r="T49" s="7" t="s">
        <v>17940</v>
      </c>
      <c r="U49" s="7" t="s">
        <v>3604</v>
      </c>
      <c r="V49" s="7">
        <v>1.0</v>
      </c>
    </row>
    <row r="50">
      <c r="A50" s="7" t="s">
        <v>19592</v>
      </c>
      <c r="B50" s="7">
        <v>10972.0</v>
      </c>
      <c r="C50" s="7" t="s">
        <v>3861</v>
      </c>
      <c r="D50" s="7" t="s">
        <v>3817</v>
      </c>
      <c r="E50" s="7" t="s">
        <v>3863</v>
      </c>
      <c r="F50" s="7" t="s">
        <v>3896</v>
      </c>
      <c r="G50" s="7" t="s">
        <v>3897</v>
      </c>
      <c r="H50" s="7" t="s">
        <v>3898</v>
      </c>
      <c r="I50" s="119">
        <v>45292.0</v>
      </c>
      <c r="K50" s="7" t="s">
        <v>419</v>
      </c>
      <c r="L50" s="7" t="s">
        <v>991</v>
      </c>
      <c r="M50" s="7" t="s">
        <v>3501</v>
      </c>
      <c r="N50" s="7" t="s">
        <v>419</v>
      </c>
      <c r="O50" s="7" t="s">
        <v>19430</v>
      </c>
      <c r="P50" s="7" t="s">
        <v>717</v>
      </c>
      <c r="Q50" s="7" t="s">
        <v>251</v>
      </c>
      <c r="R50" s="7" t="s">
        <v>19593</v>
      </c>
      <c r="S50" s="7" t="s">
        <v>19594</v>
      </c>
      <c r="T50" s="7" t="s">
        <v>3900</v>
      </c>
      <c r="U50" s="7" t="s">
        <v>3493</v>
      </c>
      <c r="V50" s="7">
        <v>1.0</v>
      </c>
    </row>
    <row r="51">
      <c r="A51" s="7" t="s">
        <v>19595</v>
      </c>
      <c r="B51" s="7">
        <v>2200617.0</v>
      </c>
      <c r="C51" s="7" t="s">
        <v>3880</v>
      </c>
      <c r="D51" s="7" t="s">
        <v>3902</v>
      </c>
      <c r="E51" s="7" t="s">
        <v>3863</v>
      </c>
      <c r="F51" s="7" t="s">
        <v>3903</v>
      </c>
      <c r="G51" s="7" t="s">
        <v>3904</v>
      </c>
      <c r="I51" s="119">
        <v>45292.0</v>
      </c>
      <c r="K51" s="7" t="s">
        <v>419</v>
      </c>
      <c r="L51" s="7" t="s">
        <v>991</v>
      </c>
      <c r="M51" s="7" t="s">
        <v>3531</v>
      </c>
      <c r="N51" s="7" t="s">
        <v>419</v>
      </c>
      <c r="O51" s="7" t="s">
        <v>19430</v>
      </c>
      <c r="P51" s="7" t="s">
        <v>854</v>
      </c>
      <c r="Q51" s="7" t="s">
        <v>859</v>
      </c>
      <c r="T51" s="7" t="s">
        <v>3821</v>
      </c>
      <c r="U51" s="7" t="s">
        <v>3493</v>
      </c>
      <c r="V51" s="7">
        <v>1.0</v>
      </c>
    </row>
    <row r="52">
      <c r="A52" s="7" t="s">
        <v>19596</v>
      </c>
      <c r="B52" s="7">
        <v>11737.0</v>
      </c>
      <c r="C52" s="7" t="s">
        <v>3906</v>
      </c>
      <c r="D52" s="7" t="s">
        <v>3907</v>
      </c>
      <c r="E52" s="7" t="s">
        <v>3908</v>
      </c>
      <c r="F52" s="7" t="s">
        <v>3909</v>
      </c>
      <c r="G52" s="7" t="s">
        <v>3910</v>
      </c>
      <c r="H52" s="7" t="s">
        <v>3911</v>
      </c>
      <c r="I52" s="119">
        <v>45292.0</v>
      </c>
      <c r="K52" s="7" t="s">
        <v>419</v>
      </c>
      <c r="L52" s="7" t="s">
        <v>991</v>
      </c>
      <c r="M52" s="7" t="s">
        <v>3501</v>
      </c>
      <c r="N52" s="7" t="s">
        <v>419</v>
      </c>
      <c r="O52" s="7" t="s">
        <v>19443</v>
      </c>
      <c r="P52" s="7" t="s">
        <v>1242</v>
      </c>
      <c r="Q52" s="7" t="s">
        <v>51</v>
      </c>
      <c r="R52" s="7" t="s">
        <v>19597</v>
      </c>
      <c r="S52" s="7" t="s">
        <v>19598</v>
      </c>
      <c r="T52" s="7" t="s">
        <v>3913</v>
      </c>
      <c r="U52" s="7" t="s">
        <v>3843</v>
      </c>
      <c r="V52" s="7">
        <v>1.0</v>
      </c>
    </row>
    <row r="53">
      <c r="A53" s="7" t="s">
        <v>1634</v>
      </c>
      <c r="B53" s="7">
        <v>117.0</v>
      </c>
      <c r="C53" s="7" t="s">
        <v>3914</v>
      </c>
      <c r="D53" s="7" t="s">
        <v>3915</v>
      </c>
      <c r="E53" s="7" t="s">
        <v>3916</v>
      </c>
      <c r="F53" s="7" t="s">
        <v>3917</v>
      </c>
      <c r="G53" s="7" t="s">
        <v>3918</v>
      </c>
      <c r="H53" s="7" t="s">
        <v>3919</v>
      </c>
      <c r="I53" s="119">
        <v>45292.0</v>
      </c>
      <c r="K53" s="7" t="s">
        <v>419</v>
      </c>
      <c r="L53" s="7" t="s">
        <v>991</v>
      </c>
      <c r="M53" s="7" t="s">
        <v>3501</v>
      </c>
      <c r="N53" s="7" t="s">
        <v>419</v>
      </c>
      <c r="O53" s="7" t="s">
        <v>19443</v>
      </c>
      <c r="P53" s="7" t="s">
        <v>323</v>
      </c>
      <c r="Q53" s="7" t="s">
        <v>324</v>
      </c>
      <c r="R53" s="7" t="s">
        <v>19599</v>
      </c>
      <c r="T53" s="7" t="s">
        <v>3921</v>
      </c>
      <c r="U53" s="7" t="s">
        <v>3604</v>
      </c>
      <c r="V53" s="7">
        <v>1.0</v>
      </c>
    </row>
    <row r="54">
      <c r="A54" s="7" t="s">
        <v>19600</v>
      </c>
      <c r="B54" s="7">
        <v>14214.0</v>
      </c>
      <c r="C54" s="7" t="s">
        <v>3923</v>
      </c>
      <c r="D54" s="7" t="s">
        <v>3924</v>
      </c>
      <c r="E54" s="7" t="s">
        <v>3925</v>
      </c>
      <c r="F54" s="7" t="s">
        <v>3926</v>
      </c>
      <c r="G54" s="7" t="s">
        <v>3927</v>
      </c>
      <c r="H54" s="7" t="s">
        <v>3928</v>
      </c>
      <c r="I54" s="119">
        <v>45292.0</v>
      </c>
      <c r="J54" s="7" t="s">
        <v>3929</v>
      </c>
      <c r="K54" s="7" t="s">
        <v>419</v>
      </c>
      <c r="L54" s="7" t="s">
        <v>991</v>
      </c>
      <c r="M54" s="7" t="s">
        <v>3501</v>
      </c>
      <c r="N54" s="7" t="s">
        <v>419</v>
      </c>
      <c r="O54" s="7" t="s">
        <v>19430</v>
      </c>
      <c r="P54" s="7" t="s">
        <v>717</v>
      </c>
      <c r="Q54" s="7" t="s">
        <v>1163</v>
      </c>
      <c r="R54" s="7" t="s">
        <v>19601</v>
      </c>
      <c r="S54" s="7" t="s">
        <v>19602</v>
      </c>
      <c r="T54" s="7" t="s">
        <v>3931</v>
      </c>
      <c r="U54" s="7" t="s">
        <v>3493</v>
      </c>
      <c r="V54" s="7">
        <v>1.0</v>
      </c>
    </row>
    <row r="55">
      <c r="A55" s="7" t="s">
        <v>2198</v>
      </c>
      <c r="B55" s="7">
        <v>12737.0</v>
      </c>
      <c r="C55" s="7" t="s">
        <v>3923</v>
      </c>
      <c r="D55" s="7" t="s">
        <v>3933</v>
      </c>
      <c r="E55" s="7" t="s">
        <v>3925</v>
      </c>
      <c r="F55" s="7" t="s">
        <v>3934</v>
      </c>
      <c r="G55" s="7" t="s">
        <v>3935</v>
      </c>
      <c r="H55" s="7" t="s">
        <v>3936</v>
      </c>
      <c r="I55" s="119">
        <v>45292.0</v>
      </c>
      <c r="K55" s="7" t="s">
        <v>3937</v>
      </c>
      <c r="L55" s="7" t="s">
        <v>3706</v>
      </c>
      <c r="M55" s="7" t="s">
        <v>3938</v>
      </c>
      <c r="N55" s="7" t="s">
        <v>419</v>
      </c>
      <c r="O55" s="7" t="s">
        <v>19433</v>
      </c>
      <c r="P55" s="7" t="s">
        <v>587</v>
      </c>
      <c r="T55" s="7" t="s">
        <v>19480</v>
      </c>
      <c r="U55" s="7" t="s">
        <v>12011</v>
      </c>
      <c r="V55" s="7">
        <v>1.0</v>
      </c>
    </row>
    <row r="56">
      <c r="A56" s="7" t="s">
        <v>19603</v>
      </c>
      <c r="B56" s="7">
        <v>12340.0</v>
      </c>
      <c r="C56" s="7" t="s">
        <v>3923</v>
      </c>
      <c r="D56" s="7" t="s">
        <v>3944</v>
      </c>
      <c r="E56" s="7" t="s">
        <v>3925</v>
      </c>
      <c r="F56" s="7" t="s">
        <v>3945</v>
      </c>
      <c r="G56" s="7" t="s">
        <v>3946</v>
      </c>
      <c r="H56" s="7" t="s">
        <v>3947</v>
      </c>
      <c r="I56" s="119">
        <v>45292.0</v>
      </c>
      <c r="K56" s="7" t="s">
        <v>419</v>
      </c>
      <c r="L56" s="7" t="s">
        <v>991</v>
      </c>
      <c r="M56" s="7" t="s">
        <v>3501</v>
      </c>
      <c r="N56" s="7" t="s">
        <v>419</v>
      </c>
      <c r="O56" s="7" t="s">
        <v>19432</v>
      </c>
      <c r="P56" s="7" t="s">
        <v>298</v>
      </c>
      <c r="Q56" s="7" t="s">
        <v>802</v>
      </c>
      <c r="R56" s="7" t="s">
        <v>19604</v>
      </c>
      <c r="T56" s="7" t="s">
        <v>3949</v>
      </c>
      <c r="U56" s="7" t="s">
        <v>3493</v>
      </c>
      <c r="V56" s="7">
        <v>1.0</v>
      </c>
    </row>
    <row r="57">
      <c r="A57" s="7" t="s">
        <v>19605</v>
      </c>
      <c r="B57" s="7">
        <v>14250.0</v>
      </c>
      <c r="C57" s="7" t="s">
        <v>3951</v>
      </c>
      <c r="D57" s="7" t="s">
        <v>3952</v>
      </c>
      <c r="E57" s="7" t="s">
        <v>3953</v>
      </c>
      <c r="F57" s="7" t="s">
        <v>3954</v>
      </c>
      <c r="G57" s="7" t="s">
        <v>3955</v>
      </c>
      <c r="H57" s="7" t="s">
        <v>3956</v>
      </c>
      <c r="I57" s="119">
        <v>45292.0</v>
      </c>
      <c r="K57" s="7" t="s">
        <v>419</v>
      </c>
      <c r="L57" s="7" t="s">
        <v>991</v>
      </c>
      <c r="M57" s="7" t="s">
        <v>3531</v>
      </c>
      <c r="N57" s="7" t="s">
        <v>419</v>
      </c>
      <c r="O57" s="7" t="s">
        <v>19430</v>
      </c>
      <c r="P57" s="7" t="s">
        <v>780</v>
      </c>
      <c r="Q57" s="7" t="s">
        <v>284</v>
      </c>
      <c r="R57" s="7" t="s">
        <v>19606</v>
      </c>
      <c r="T57" s="7" t="s">
        <v>3958</v>
      </c>
      <c r="U57" s="7" t="s">
        <v>3493</v>
      </c>
      <c r="V57" s="7">
        <v>1.0</v>
      </c>
    </row>
    <row r="58">
      <c r="A58" s="7" t="s">
        <v>19607</v>
      </c>
      <c r="B58" s="7">
        <v>2300633.0</v>
      </c>
      <c r="C58" s="7" t="s">
        <v>3960</v>
      </c>
      <c r="D58" s="7" t="s">
        <v>3961</v>
      </c>
      <c r="E58" s="7" t="s">
        <v>3962</v>
      </c>
      <c r="F58" s="7" t="s">
        <v>3963</v>
      </c>
      <c r="G58" s="7" t="s">
        <v>3964</v>
      </c>
      <c r="H58" s="7" t="s">
        <v>3965</v>
      </c>
      <c r="I58" s="119">
        <v>45292.0</v>
      </c>
      <c r="K58" s="7" t="s">
        <v>419</v>
      </c>
      <c r="L58" s="7" t="s">
        <v>991</v>
      </c>
      <c r="M58" s="7" t="s">
        <v>3501</v>
      </c>
      <c r="N58" s="7" t="s">
        <v>419</v>
      </c>
      <c r="O58" s="7" t="s">
        <v>19430</v>
      </c>
      <c r="P58" s="7" t="s">
        <v>717</v>
      </c>
      <c r="Q58" s="7" t="s">
        <v>1163</v>
      </c>
      <c r="R58" s="7" t="s">
        <v>19608</v>
      </c>
      <c r="S58" s="7" t="s">
        <v>19609</v>
      </c>
      <c r="T58" s="7" t="s">
        <v>3967</v>
      </c>
      <c r="U58" s="7" t="s">
        <v>3493</v>
      </c>
      <c r="V58" s="7">
        <v>1.0</v>
      </c>
    </row>
    <row r="59">
      <c r="A59" s="7" t="s">
        <v>19610</v>
      </c>
      <c r="B59" s="7">
        <v>939.0</v>
      </c>
      <c r="C59" s="7" t="s">
        <v>3969</v>
      </c>
      <c r="D59" s="7" t="s">
        <v>3548</v>
      </c>
      <c r="E59" s="7" t="s">
        <v>3970</v>
      </c>
      <c r="F59" s="7" t="s">
        <v>3549</v>
      </c>
      <c r="G59" s="7" t="s">
        <v>3971</v>
      </c>
      <c r="H59" s="7" t="s">
        <v>3972</v>
      </c>
      <c r="I59" s="119">
        <v>45292.0</v>
      </c>
      <c r="K59" s="7" t="s">
        <v>3885</v>
      </c>
      <c r="L59" s="7" t="s">
        <v>3542</v>
      </c>
      <c r="M59" s="7" t="s">
        <v>3543</v>
      </c>
      <c r="N59" s="7" t="s">
        <v>419</v>
      </c>
      <c r="O59" s="7" t="s">
        <v>19433</v>
      </c>
      <c r="P59" s="7" t="s">
        <v>648</v>
      </c>
      <c r="Q59" s="7" t="s">
        <v>651</v>
      </c>
      <c r="R59" s="7" t="s">
        <v>19587</v>
      </c>
      <c r="S59" s="7" t="s">
        <v>19611</v>
      </c>
      <c r="T59" s="7" t="s">
        <v>19612</v>
      </c>
      <c r="U59" s="7" t="s">
        <v>3493</v>
      </c>
      <c r="V59" s="7">
        <v>1.0</v>
      </c>
    </row>
    <row r="60">
      <c r="A60" s="7" t="s">
        <v>19613</v>
      </c>
      <c r="B60" s="7">
        <v>1043.0</v>
      </c>
      <c r="C60" s="7" t="s">
        <v>3969</v>
      </c>
      <c r="D60" s="7" t="s">
        <v>3976</v>
      </c>
      <c r="E60" s="7" t="s">
        <v>3970</v>
      </c>
      <c r="F60" s="7" t="s">
        <v>3977</v>
      </c>
      <c r="G60" s="7" t="s">
        <v>3978</v>
      </c>
      <c r="H60" s="7" t="s">
        <v>3979</v>
      </c>
      <c r="I60" s="119">
        <v>45292.0</v>
      </c>
      <c r="K60" s="7" t="s">
        <v>419</v>
      </c>
      <c r="L60" s="7" t="s">
        <v>991</v>
      </c>
      <c r="M60" s="7" t="s">
        <v>3490</v>
      </c>
      <c r="N60" s="7" t="s">
        <v>419</v>
      </c>
      <c r="O60" s="7" t="s">
        <v>19440</v>
      </c>
      <c r="P60" s="7" t="s">
        <v>3</v>
      </c>
      <c r="Q60" s="7" t="s">
        <v>4</v>
      </c>
      <c r="R60" s="7" t="s">
        <v>19614</v>
      </c>
      <c r="S60" s="7" t="s">
        <v>19615</v>
      </c>
      <c r="T60" s="7" t="s">
        <v>3981</v>
      </c>
      <c r="U60" s="7" t="s">
        <v>3493</v>
      </c>
      <c r="V60" s="7">
        <v>1.0</v>
      </c>
    </row>
    <row r="61">
      <c r="A61" s="7" t="s">
        <v>19616</v>
      </c>
      <c r="B61" s="7">
        <v>2200581.0</v>
      </c>
      <c r="C61" s="7" t="s">
        <v>3983</v>
      </c>
      <c r="D61" s="7" t="s">
        <v>3984</v>
      </c>
      <c r="E61" s="7" t="s">
        <v>3985</v>
      </c>
      <c r="F61" s="7" t="s">
        <v>3986</v>
      </c>
      <c r="G61" s="7" t="s">
        <v>3987</v>
      </c>
      <c r="H61" s="7" t="s">
        <v>3988</v>
      </c>
      <c r="I61" s="119">
        <v>45292.0</v>
      </c>
      <c r="K61" s="7" t="s">
        <v>3622</v>
      </c>
      <c r="L61" s="7" t="s">
        <v>991</v>
      </c>
      <c r="M61" s="7" t="s">
        <v>3501</v>
      </c>
      <c r="N61" s="7" t="s">
        <v>3622</v>
      </c>
      <c r="O61" s="7" t="s">
        <v>3622</v>
      </c>
      <c r="P61" s="7" t="s">
        <v>19521</v>
      </c>
      <c r="T61" s="7" t="s">
        <v>3624</v>
      </c>
      <c r="U61" s="7" t="s">
        <v>3493</v>
      </c>
      <c r="V61" s="7">
        <v>1.0</v>
      </c>
    </row>
    <row r="62">
      <c r="A62" s="7" t="s">
        <v>19617</v>
      </c>
      <c r="B62" s="7">
        <v>13827.0</v>
      </c>
      <c r="C62" s="7" t="s">
        <v>3990</v>
      </c>
      <c r="D62" s="7" t="s">
        <v>3991</v>
      </c>
      <c r="E62" s="7" t="s">
        <v>3992</v>
      </c>
      <c r="F62" s="7" t="s">
        <v>3993</v>
      </c>
      <c r="G62" s="7" t="s">
        <v>3994</v>
      </c>
      <c r="H62" s="7" t="s">
        <v>3995</v>
      </c>
      <c r="I62" s="119">
        <v>45292.0</v>
      </c>
      <c r="K62" s="7" t="s">
        <v>419</v>
      </c>
      <c r="L62" s="7" t="s">
        <v>991</v>
      </c>
      <c r="M62" s="7" t="s">
        <v>3531</v>
      </c>
      <c r="N62" s="7" t="s">
        <v>419</v>
      </c>
      <c r="O62" s="7" t="s">
        <v>19430</v>
      </c>
      <c r="P62" s="7" t="s">
        <v>717</v>
      </c>
      <c r="Q62" s="7" t="s">
        <v>1163</v>
      </c>
      <c r="R62" s="7" t="s">
        <v>19608</v>
      </c>
      <c r="S62" s="7" t="s">
        <v>19618</v>
      </c>
      <c r="T62" s="7" t="s">
        <v>3997</v>
      </c>
      <c r="U62" s="7" t="s">
        <v>3493</v>
      </c>
      <c r="V62" s="7">
        <v>1.0</v>
      </c>
    </row>
    <row r="63">
      <c r="A63" s="7" t="s">
        <v>19619</v>
      </c>
      <c r="B63" s="7">
        <v>44.0</v>
      </c>
      <c r="C63" s="7" t="s">
        <v>3999</v>
      </c>
      <c r="D63" s="7" t="s">
        <v>4000</v>
      </c>
      <c r="E63" s="7" t="s">
        <v>4001</v>
      </c>
      <c r="F63" s="7" t="s">
        <v>4002</v>
      </c>
      <c r="G63" s="7" t="s">
        <v>4003</v>
      </c>
      <c r="H63" s="7" t="s">
        <v>4004</v>
      </c>
      <c r="I63" s="119">
        <v>45292.0</v>
      </c>
      <c r="K63" s="7" t="s">
        <v>419</v>
      </c>
      <c r="L63" s="7" t="s">
        <v>991</v>
      </c>
      <c r="M63" s="7" t="s">
        <v>3501</v>
      </c>
      <c r="N63" s="7" t="s">
        <v>419</v>
      </c>
      <c r="O63" s="7" t="s">
        <v>19443</v>
      </c>
      <c r="P63" s="7" t="s">
        <v>323</v>
      </c>
      <c r="Q63" s="7" t="s">
        <v>324</v>
      </c>
      <c r="R63" s="7" t="s">
        <v>19599</v>
      </c>
      <c r="T63" s="7" t="s">
        <v>3921</v>
      </c>
      <c r="U63" s="7" t="s">
        <v>3493</v>
      </c>
      <c r="V63" s="7">
        <v>1.0</v>
      </c>
    </row>
    <row r="64">
      <c r="A64" s="7" t="s">
        <v>19620</v>
      </c>
      <c r="B64" s="7">
        <v>2200212.0</v>
      </c>
      <c r="C64" s="7" t="s">
        <v>4006</v>
      </c>
      <c r="D64" s="7" t="s">
        <v>4007</v>
      </c>
      <c r="E64" s="7" t="s">
        <v>4008</v>
      </c>
      <c r="F64" s="7" t="s">
        <v>4009</v>
      </c>
      <c r="G64" s="7" t="s">
        <v>4010</v>
      </c>
      <c r="H64" s="7" t="s">
        <v>4011</v>
      </c>
      <c r="I64" s="119">
        <v>45292.0</v>
      </c>
      <c r="K64" s="7" t="s">
        <v>419</v>
      </c>
      <c r="L64" s="7" t="s">
        <v>991</v>
      </c>
      <c r="M64" s="7" t="s">
        <v>3501</v>
      </c>
      <c r="N64" s="7" t="s">
        <v>419</v>
      </c>
      <c r="O64" s="7" t="s">
        <v>19430</v>
      </c>
      <c r="P64" s="7" t="s">
        <v>717</v>
      </c>
      <c r="Q64" s="7" t="s">
        <v>725</v>
      </c>
      <c r="R64" s="7" t="s">
        <v>19621</v>
      </c>
      <c r="S64" s="7" t="s">
        <v>19622</v>
      </c>
      <c r="T64" s="7" t="s">
        <v>4013</v>
      </c>
      <c r="U64" s="7" t="s">
        <v>3843</v>
      </c>
      <c r="V64" s="7">
        <v>1.0</v>
      </c>
    </row>
    <row r="65">
      <c r="A65" s="7" t="s">
        <v>19623</v>
      </c>
      <c r="B65" s="7">
        <v>2300516.0</v>
      </c>
      <c r="C65" s="7" t="s">
        <v>4015</v>
      </c>
      <c r="D65" s="7" t="s">
        <v>4016</v>
      </c>
      <c r="E65" s="7" t="s">
        <v>4017</v>
      </c>
      <c r="F65" s="7" t="s">
        <v>4018</v>
      </c>
      <c r="G65" s="7" t="s">
        <v>4019</v>
      </c>
      <c r="H65" s="7" t="s">
        <v>4020</v>
      </c>
      <c r="I65" s="119">
        <v>45292.0</v>
      </c>
      <c r="K65" s="7" t="s">
        <v>419</v>
      </c>
      <c r="L65" s="7" t="s">
        <v>991</v>
      </c>
      <c r="M65" s="7" t="s">
        <v>3501</v>
      </c>
      <c r="N65" s="7" t="s">
        <v>419</v>
      </c>
      <c r="O65" s="7" t="s">
        <v>19437</v>
      </c>
      <c r="P65" s="7" t="s">
        <v>478</v>
      </c>
      <c r="Q65" s="7" t="s">
        <v>484</v>
      </c>
      <c r="R65" s="7" t="s">
        <v>19624</v>
      </c>
      <c r="T65" s="7" t="s">
        <v>7835</v>
      </c>
      <c r="U65" s="7" t="s">
        <v>3493</v>
      </c>
      <c r="V65" s="7">
        <v>1.0</v>
      </c>
    </row>
    <row r="66">
      <c r="A66" s="7" t="s">
        <v>19625</v>
      </c>
      <c r="B66" s="7">
        <v>11231.0</v>
      </c>
      <c r="C66" s="7" t="s">
        <v>4024</v>
      </c>
      <c r="D66" s="7" t="s">
        <v>4016</v>
      </c>
      <c r="E66" s="7" t="s">
        <v>4025</v>
      </c>
      <c r="F66" s="7" t="s">
        <v>4018</v>
      </c>
      <c r="G66" s="7" t="s">
        <v>4026</v>
      </c>
      <c r="H66" s="7" t="s">
        <v>4027</v>
      </c>
      <c r="I66" s="119">
        <v>45292.0</v>
      </c>
      <c r="K66" s="7" t="s">
        <v>419</v>
      </c>
      <c r="L66" s="7" t="s">
        <v>991</v>
      </c>
      <c r="M66" s="7" t="s">
        <v>3501</v>
      </c>
      <c r="N66" s="7" t="s">
        <v>419</v>
      </c>
      <c r="O66" s="7" t="s">
        <v>19430</v>
      </c>
      <c r="P66" s="7" t="s">
        <v>717</v>
      </c>
      <c r="Q66" s="7" t="s">
        <v>720</v>
      </c>
      <c r="R66" s="7" t="s">
        <v>19626</v>
      </c>
      <c r="S66" s="7" t="s">
        <v>19627</v>
      </c>
      <c r="T66" s="7" t="s">
        <v>4029</v>
      </c>
      <c r="U66" s="7" t="s">
        <v>3493</v>
      </c>
      <c r="V66" s="7">
        <v>1.0</v>
      </c>
    </row>
    <row r="67">
      <c r="A67" s="7" t="s">
        <v>19628</v>
      </c>
      <c r="B67" s="7">
        <v>761.0</v>
      </c>
      <c r="C67" s="7" t="s">
        <v>4024</v>
      </c>
      <c r="D67" s="7" t="s">
        <v>4031</v>
      </c>
      <c r="E67" s="7" t="s">
        <v>4025</v>
      </c>
      <c r="F67" s="7" t="s">
        <v>4032</v>
      </c>
      <c r="G67" s="7" t="s">
        <v>4033</v>
      </c>
      <c r="H67" s="7" t="s">
        <v>4034</v>
      </c>
      <c r="I67" s="119">
        <v>45292.0</v>
      </c>
      <c r="K67" s="7" t="s">
        <v>419</v>
      </c>
      <c r="L67" s="7" t="s">
        <v>991</v>
      </c>
      <c r="M67" s="7" t="s">
        <v>3501</v>
      </c>
      <c r="N67" s="7" t="s">
        <v>419</v>
      </c>
      <c r="O67" s="7" t="s">
        <v>19443</v>
      </c>
      <c r="P67" s="7" t="s">
        <v>323</v>
      </c>
      <c r="Q67" s="7" t="s">
        <v>824</v>
      </c>
      <c r="R67" s="7" t="s">
        <v>19570</v>
      </c>
      <c r="S67" s="7" t="s">
        <v>19629</v>
      </c>
      <c r="T67" s="7" t="s">
        <v>19630</v>
      </c>
      <c r="U67" s="7" t="s">
        <v>3493</v>
      </c>
      <c r="V67" s="7">
        <v>1.0</v>
      </c>
    </row>
    <row r="68">
      <c r="A68" s="7" t="s">
        <v>19631</v>
      </c>
      <c r="B68" s="7">
        <v>2200725.0</v>
      </c>
      <c r="C68" s="7" t="s">
        <v>4024</v>
      </c>
      <c r="D68" s="7" t="s">
        <v>4038</v>
      </c>
      <c r="E68" s="7" t="s">
        <v>4025</v>
      </c>
      <c r="F68" s="7" t="s">
        <v>4039</v>
      </c>
      <c r="G68" s="7" t="s">
        <v>4040</v>
      </c>
      <c r="H68" s="7" t="s">
        <v>4041</v>
      </c>
      <c r="I68" s="119">
        <v>45292.0</v>
      </c>
      <c r="K68" s="7" t="s">
        <v>4042</v>
      </c>
      <c r="L68" s="7" t="s">
        <v>991</v>
      </c>
      <c r="M68" s="7" t="s">
        <v>3866</v>
      </c>
      <c r="N68" s="7" t="s">
        <v>4042</v>
      </c>
      <c r="O68" s="7" t="s">
        <v>4042</v>
      </c>
      <c r="P68" s="7" t="s">
        <v>19632</v>
      </c>
      <c r="T68" s="7" t="s">
        <v>4044</v>
      </c>
      <c r="U68" s="7" t="s">
        <v>3493</v>
      </c>
      <c r="V68" s="7">
        <v>1.0</v>
      </c>
    </row>
    <row r="69">
      <c r="A69" s="7" t="s">
        <v>19633</v>
      </c>
      <c r="B69" s="7">
        <v>2200302.0</v>
      </c>
      <c r="C69" s="7" t="s">
        <v>4046</v>
      </c>
      <c r="D69" s="7" t="s">
        <v>4047</v>
      </c>
      <c r="E69" s="7" t="s">
        <v>4048</v>
      </c>
      <c r="F69" s="7" t="s">
        <v>4049</v>
      </c>
      <c r="G69" s="7" t="s">
        <v>4050</v>
      </c>
      <c r="H69" s="7" t="s">
        <v>4051</v>
      </c>
      <c r="I69" s="119">
        <v>45292.0</v>
      </c>
      <c r="K69" s="7" t="s">
        <v>419</v>
      </c>
      <c r="L69" s="7" t="s">
        <v>991</v>
      </c>
      <c r="M69" s="7" t="s">
        <v>3501</v>
      </c>
      <c r="N69" s="7" t="s">
        <v>419</v>
      </c>
      <c r="O69" s="7" t="s">
        <v>19430</v>
      </c>
      <c r="P69" s="7" t="s">
        <v>854</v>
      </c>
      <c r="Q69" s="7" t="s">
        <v>861</v>
      </c>
      <c r="R69" s="7" t="s">
        <v>19516</v>
      </c>
      <c r="T69" s="7" t="s">
        <v>3603</v>
      </c>
      <c r="U69" s="7" t="s">
        <v>3493</v>
      </c>
      <c r="V69" s="7">
        <v>1.0</v>
      </c>
    </row>
    <row r="70">
      <c r="A70" s="7" t="s">
        <v>19634</v>
      </c>
      <c r="B70" s="7">
        <v>2300179.0</v>
      </c>
      <c r="C70" s="7" t="s">
        <v>4046</v>
      </c>
      <c r="D70" s="7" t="s">
        <v>4053</v>
      </c>
      <c r="E70" s="7" t="s">
        <v>4048</v>
      </c>
      <c r="F70" s="7" t="s">
        <v>4054</v>
      </c>
      <c r="G70" s="7" t="s">
        <v>4055</v>
      </c>
      <c r="H70" s="7" t="s">
        <v>4056</v>
      </c>
      <c r="I70" s="119">
        <v>45292.0</v>
      </c>
      <c r="K70" s="7" t="s">
        <v>4042</v>
      </c>
      <c r="L70" s="7" t="s">
        <v>991</v>
      </c>
      <c r="M70" s="7" t="s">
        <v>3501</v>
      </c>
      <c r="N70" s="7" t="s">
        <v>4042</v>
      </c>
      <c r="O70" s="7" t="s">
        <v>4042</v>
      </c>
      <c r="P70" s="7" t="s">
        <v>19632</v>
      </c>
      <c r="T70" s="7" t="s">
        <v>4044</v>
      </c>
      <c r="U70" s="7" t="s">
        <v>3493</v>
      </c>
      <c r="V70" s="7">
        <v>1.0</v>
      </c>
    </row>
    <row r="71">
      <c r="A71" s="7" t="s">
        <v>19635</v>
      </c>
      <c r="B71" s="7">
        <v>2100403.0</v>
      </c>
      <c r="C71" s="7" t="s">
        <v>4058</v>
      </c>
      <c r="D71" s="7" t="s">
        <v>4059</v>
      </c>
      <c r="E71" s="7" t="s">
        <v>4060</v>
      </c>
      <c r="F71" s="7" t="s">
        <v>3549</v>
      </c>
      <c r="G71" s="7" t="s">
        <v>4061</v>
      </c>
      <c r="H71" s="7" t="s">
        <v>4062</v>
      </c>
      <c r="I71" s="119">
        <v>45292.0</v>
      </c>
      <c r="K71" s="7" t="s">
        <v>419</v>
      </c>
      <c r="L71" s="7" t="s">
        <v>991</v>
      </c>
      <c r="M71" s="7" t="s">
        <v>3501</v>
      </c>
      <c r="N71" s="7" t="s">
        <v>419</v>
      </c>
      <c r="O71" s="7" t="s">
        <v>19430</v>
      </c>
      <c r="P71" s="7" t="s">
        <v>854</v>
      </c>
      <c r="Q71" s="7" t="s">
        <v>859</v>
      </c>
      <c r="R71" s="7" t="s">
        <v>19566</v>
      </c>
      <c r="S71" s="7" t="s">
        <v>19636</v>
      </c>
      <c r="T71" s="7" t="s">
        <v>4064</v>
      </c>
      <c r="U71" s="7" t="s">
        <v>3843</v>
      </c>
      <c r="V71" s="7">
        <v>1.0</v>
      </c>
    </row>
    <row r="72">
      <c r="A72" s="7" t="s">
        <v>19637</v>
      </c>
      <c r="B72" s="7">
        <v>2200726.0</v>
      </c>
      <c r="C72" s="7" t="s">
        <v>4058</v>
      </c>
      <c r="D72" s="7" t="s">
        <v>4066</v>
      </c>
      <c r="E72" s="7" t="s">
        <v>4067</v>
      </c>
      <c r="F72" s="7" t="s">
        <v>4068</v>
      </c>
      <c r="G72" s="7" t="s">
        <v>4069</v>
      </c>
      <c r="H72" s="7" t="s">
        <v>4070</v>
      </c>
      <c r="I72" s="119">
        <v>45292.0</v>
      </c>
      <c r="K72" s="7" t="s">
        <v>4042</v>
      </c>
      <c r="L72" s="7" t="s">
        <v>991</v>
      </c>
      <c r="M72" s="7" t="s">
        <v>3866</v>
      </c>
      <c r="N72" s="7" t="s">
        <v>4042</v>
      </c>
      <c r="O72" s="7" t="s">
        <v>4042</v>
      </c>
      <c r="P72" s="7" t="s">
        <v>19632</v>
      </c>
      <c r="T72" s="7" t="s">
        <v>4044</v>
      </c>
      <c r="U72" s="7" t="s">
        <v>3493</v>
      </c>
      <c r="V72" s="7">
        <v>1.0</v>
      </c>
    </row>
    <row r="73">
      <c r="A73" s="7" t="s">
        <v>19638</v>
      </c>
      <c r="B73" s="7">
        <v>13171.0</v>
      </c>
      <c r="C73" s="7" t="s">
        <v>4072</v>
      </c>
      <c r="D73" s="7" t="s">
        <v>4073</v>
      </c>
      <c r="E73" s="7" t="s">
        <v>4074</v>
      </c>
      <c r="F73" s="7" t="s">
        <v>4075</v>
      </c>
      <c r="G73" s="7" t="s">
        <v>4076</v>
      </c>
      <c r="H73" s="7" t="s">
        <v>4077</v>
      </c>
      <c r="I73" s="119">
        <v>45292.0</v>
      </c>
      <c r="K73" s="7" t="s">
        <v>419</v>
      </c>
      <c r="L73" s="7" t="s">
        <v>991</v>
      </c>
      <c r="M73" s="7" t="s">
        <v>3501</v>
      </c>
      <c r="N73" s="7" t="s">
        <v>419</v>
      </c>
      <c r="O73" s="7" t="s">
        <v>19430</v>
      </c>
      <c r="P73" s="7" t="s">
        <v>717</v>
      </c>
      <c r="Q73" s="7" t="s">
        <v>1163</v>
      </c>
      <c r="R73" s="7" t="s">
        <v>19639</v>
      </c>
      <c r="T73" s="7" t="s">
        <v>4079</v>
      </c>
      <c r="U73" s="7" t="s">
        <v>3604</v>
      </c>
      <c r="V73" s="7">
        <v>1.0</v>
      </c>
    </row>
    <row r="74">
      <c r="A74" s="7" t="s">
        <v>19640</v>
      </c>
      <c r="B74" s="7">
        <v>13972.0</v>
      </c>
      <c r="C74" s="7" t="s">
        <v>4081</v>
      </c>
      <c r="D74" s="7" t="s">
        <v>4082</v>
      </c>
      <c r="E74" s="7" t="s">
        <v>4083</v>
      </c>
      <c r="F74" s="7" t="s">
        <v>4084</v>
      </c>
      <c r="G74" s="7" t="s">
        <v>4085</v>
      </c>
      <c r="H74" s="7" t="s">
        <v>4086</v>
      </c>
      <c r="I74" s="119">
        <v>45292.0</v>
      </c>
      <c r="K74" s="7" t="s">
        <v>419</v>
      </c>
      <c r="L74" s="7" t="s">
        <v>991</v>
      </c>
      <c r="M74" s="7" t="s">
        <v>3501</v>
      </c>
      <c r="N74" s="7" t="s">
        <v>419</v>
      </c>
      <c r="O74" s="7" t="s">
        <v>19432</v>
      </c>
      <c r="P74" s="7" t="s">
        <v>391</v>
      </c>
      <c r="Q74" s="7" t="s">
        <v>392</v>
      </c>
      <c r="R74" s="7" t="s">
        <v>19641</v>
      </c>
      <c r="T74" s="7" t="s">
        <v>4088</v>
      </c>
      <c r="U74" s="7" t="s">
        <v>3604</v>
      </c>
      <c r="V74" s="7">
        <v>1.0</v>
      </c>
    </row>
    <row r="75">
      <c r="A75" s="7" t="s">
        <v>19642</v>
      </c>
      <c r="B75" s="7">
        <v>14342.0</v>
      </c>
      <c r="C75" s="7" t="s">
        <v>4090</v>
      </c>
      <c r="D75" s="7" t="s">
        <v>4091</v>
      </c>
      <c r="E75" s="7" t="s">
        <v>4092</v>
      </c>
      <c r="F75" s="7" t="s">
        <v>4093</v>
      </c>
      <c r="G75" s="7" t="s">
        <v>4094</v>
      </c>
      <c r="H75" s="7" t="s">
        <v>4095</v>
      </c>
      <c r="I75" s="119">
        <v>45292.0</v>
      </c>
      <c r="K75" s="7" t="s">
        <v>419</v>
      </c>
      <c r="L75" s="7" t="s">
        <v>991</v>
      </c>
      <c r="M75" s="7" t="s">
        <v>3531</v>
      </c>
      <c r="N75" s="7" t="s">
        <v>419</v>
      </c>
      <c r="O75" s="7" t="s">
        <v>19430</v>
      </c>
      <c r="P75" s="7" t="s">
        <v>717</v>
      </c>
      <c r="Q75" s="7" t="s">
        <v>725</v>
      </c>
      <c r="R75" s="7" t="s">
        <v>19501</v>
      </c>
      <c r="S75" s="7" t="s">
        <v>19643</v>
      </c>
      <c r="T75" s="7" t="s">
        <v>4097</v>
      </c>
      <c r="U75" s="7" t="s">
        <v>3493</v>
      </c>
      <c r="V75" s="7">
        <v>1.0</v>
      </c>
    </row>
    <row r="76">
      <c r="A76" s="7" t="s">
        <v>19644</v>
      </c>
      <c r="B76" s="7">
        <v>2100632.0</v>
      </c>
      <c r="C76" s="7" t="s">
        <v>4099</v>
      </c>
      <c r="D76" s="7" t="s">
        <v>4100</v>
      </c>
      <c r="E76" s="7" t="s">
        <v>4101</v>
      </c>
      <c r="F76" s="7" t="s">
        <v>3486</v>
      </c>
      <c r="G76" s="7" t="s">
        <v>4102</v>
      </c>
      <c r="I76" s="119">
        <v>45292.0</v>
      </c>
      <c r="K76" s="7" t="s">
        <v>419</v>
      </c>
      <c r="L76" s="7" t="s">
        <v>991</v>
      </c>
      <c r="M76" s="7" t="s">
        <v>3531</v>
      </c>
      <c r="N76" s="7" t="s">
        <v>419</v>
      </c>
      <c r="O76" s="7" t="s">
        <v>19430</v>
      </c>
      <c r="P76" s="7" t="s">
        <v>854</v>
      </c>
      <c r="Q76" s="7" t="s">
        <v>857</v>
      </c>
      <c r="T76" s="7" t="s">
        <v>4104</v>
      </c>
      <c r="U76" s="7" t="s">
        <v>3493</v>
      </c>
      <c r="V76" s="7">
        <v>1.0</v>
      </c>
    </row>
    <row r="77">
      <c r="A77" s="7" t="s">
        <v>19645</v>
      </c>
      <c r="B77" s="7">
        <v>13664.0</v>
      </c>
      <c r="C77" s="7" t="s">
        <v>4106</v>
      </c>
      <c r="D77" s="7" t="s">
        <v>4107</v>
      </c>
      <c r="E77" s="7" t="s">
        <v>4108</v>
      </c>
      <c r="F77" s="7" t="s">
        <v>4109</v>
      </c>
      <c r="G77" s="7" t="s">
        <v>4110</v>
      </c>
      <c r="H77" s="7" t="s">
        <v>4111</v>
      </c>
      <c r="I77" s="119">
        <v>45292.0</v>
      </c>
      <c r="K77" s="7" t="s">
        <v>3632</v>
      </c>
      <c r="L77" s="7" t="s">
        <v>991</v>
      </c>
      <c r="M77" s="7" t="s">
        <v>3501</v>
      </c>
      <c r="N77" s="7" t="s">
        <v>3632</v>
      </c>
      <c r="O77" s="7" t="s">
        <v>3632</v>
      </c>
      <c r="P77" s="7" t="s">
        <v>625</v>
      </c>
      <c r="Q77" s="7" t="s">
        <v>124</v>
      </c>
      <c r="R77" s="7" t="s">
        <v>19646</v>
      </c>
      <c r="T77" s="7" t="s">
        <v>11150</v>
      </c>
      <c r="U77" s="7" t="s">
        <v>3604</v>
      </c>
      <c r="V77" s="7">
        <v>1.0</v>
      </c>
    </row>
    <row r="78">
      <c r="A78" s="7" t="s">
        <v>19647</v>
      </c>
      <c r="B78" s="7">
        <v>11346.0</v>
      </c>
      <c r="C78" s="7" t="s">
        <v>4115</v>
      </c>
      <c r="D78" s="7" t="s">
        <v>4116</v>
      </c>
      <c r="E78" s="7" t="s">
        <v>4117</v>
      </c>
      <c r="F78" s="7" t="s">
        <v>4009</v>
      </c>
      <c r="G78" s="7" t="s">
        <v>4118</v>
      </c>
      <c r="H78" s="7" t="s">
        <v>4119</v>
      </c>
      <c r="I78" s="119">
        <v>45292.0</v>
      </c>
      <c r="K78" s="7" t="s">
        <v>419</v>
      </c>
      <c r="L78" s="7" t="s">
        <v>991</v>
      </c>
      <c r="M78" s="7" t="s">
        <v>3501</v>
      </c>
      <c r="N78" s="7" t="s">
        <v>419</v>
      </c>
      <c r="O78" s="7" t="s">
        <v>19430</v>
      </c>
      <c r="P78" s="7" t="s">
        <v>717</v>
      </c>
      <c r="Q78" s="7" t="s">
        <v>251</v>
      </c>
      <c r="R78" s="7" t="s">
        <v>19530</v>
      </c>
      <c r="S78" s="7" t="s">
        <v>19648</v>
      </c>
      <c r="T78" s="7" t="s">
        <v>4121</v>
      </c>
      <c r="U78" s="7" t="s">
        <v>3493</v>
      </c>
      <c r="V78" s="7">
        <v>1.0</v>
      </c>
    </row>
    <row r="79">
      <c r="A79" s="7" t="s">
        <v>19649</v>
      </c>
      <c r="B79" s="7">
        <v>2300223.0</v>
      </c>
      <c r="C79" s="7" t="s">
        <v>4115</v>
      </c>
      <c r="D79" s="7" t="s">
        <v>4123</v>
      </c>
      <c r="E79" s="7" t="s">
        <v>4117</v>
      </c>
      <c r="F79" s="7" t="s">
        <v>4124</v>
      </c>
      <c r="G79" s="7" t="s">
        <v>4125</v>
      </c>
      <c r="H79" s="7" t="s">
        <v>4126</v>
      </c>
      <c r="I79" s="119">
        <v>45292.0</v>
      </c>
      <c r="K79" s="7" t="s">
        <v>419</v>
      </c>
      <c r="L79" s="7" t="s">
        <v>991</v>
      </c>
      <c r="M79" s="7" t="s">
        <v>3531</v>
      </c>
      <c r="N79" s="7" t="s">
        <v>419</v>
      </c>
      <c r="O79" s="7" t="s">
        <v>19443</v>
      </c>
      <c r="P79" s="7" t="s">
        <v>1242</v>
      </c>
      <c r="Q79" s="7" t="s">
        <v>51</v>
      </c>
      <c r="R79" s="7" t="s">
        <v>19597</v>
      </c>
      <c r="S79" s="7" t="s">
        <v>19650</v>
      </c>
      <c r="T79" s="7" t="s">
        <v>4128</v>
      </c>
      <c r="U79" s="7" t="s">
        <v>3493</v>
      </c>
      <c r="V79" s="7">
        <v>1.0</v>
      </c>
    </row>
    <row r="80">
      <c r="A80" s="7" t="s">
        <v>19651</v>
      </c>
      <c r="B80" s="7">
        <v>2200229.0</v>
      </c>
      <c r="C80" s="7" t="s">
        <v>4115</v>
      </c>
      <c r="D80" s="7" t="s">
        <v>4130</v>
      </c>
      <c r="E80" s="7" t="s">
        <v>4117</v>
      </c>
      <c r="F80" s="7" t="s">
        <v>4131</v>
      </c>
      <c r="G80" s="7" t="s">
        <v>4132</v>
      </c>
      <c r="H80" s="7" t="s">
        <v>4133</v>
      </c>
      <c r="I80" s="119">
        <v>45292.0</v>
      </c>
      <c r="K80" s="7" t="s">
        <v>419</v>
      </c>
      <c r="L80" s="7" t="s">
        <v>991</v>
      </c>
      <c r="M80" s="7" t="s">
        <v>3501</v>
      </c>
      <c r="N80" s="7" t="s">
        <v>419</v>
      </c>
      <c r="O80" s="7" t="s">
        <v>19432</v>
      </c>
      <c r="P80" s="7" t="s">
        <v>693</v>
      </c>
      <c r="Q80" s="7" t="s">
        <v>698</v>
      </c>
      <c r="R80" s="7" t="s">
        <v>19652</v>
      </c>
      <c r="S80" s="7" t="s">
        <v>19653</v>
      </c>
      <c r="T80" s="7" t="s">
        <v>4135</v>
      </c>
      <c r="U80" s="7" t="s">
        <v>3493</v>
      </c>
      <c r="V80" s="7">
        <v>1.0</v>
      </c>
    </row>
    <row r="81">
      <c r="A81" s="7" t="s">
        <v>19654</v>
      </c>
      <c r="B81" s="7">
        <v>2300355.0</v>
      </c>
      <c r="C81" s="7" t="s">
        <v>4115</v>
      </c>
      <c r="D81" s="7" t="s">
        <v>4137</v>
      </c>
      <c r="E81" s="7" t="s">
        <v>4117</v>
      </c>
      <c r="F81" s="7" t="s">
        <v>3692</v>
      </c>
      <c r="G81" s="7" t="s">
        <v>4138</v>
      </c>
      <c r="H81" s="7" t="s">
        <v>4139</v>
      </c>
      <c r="I81" s="119">
        <v>45292.0</v>
      </c>
      <c r="K81" s="7" t="s">
        <v>419</v>
      </c>
      <c r="L81" s="7" t="s">
        <v>991</v>
      </c>
      <c r="M81" s="7" t="s">
        <v>3583</v>
      </c>
      <c r="N81" s="7" t="s">
        <v>419</v>
      </c>
      <c r="O81" s="7" t="s">
        <v>19430</v>
      </c>
      <c r="P81" s="7" t="s">
        <v>717</v>
      </c>
      <c r="Q81" s="7" t="s">
        <v>722</v>
      </c>
      <c r="R81" s="7" t="s">
        <v>19655</v>
      </c>
      <c r="S81" s="7" t="s">
        <v>19656</v>
      </c>
      <c r="T81" s="7" t="s">
        <v>4141</v>
      </c>
      <c r="U81" s="7" t="s">
        <v>3493</v>
      </c>
      <c r="V81" s="7">
        <v>1.0</v>
      </c>
    </row>
    <row r="82">
      <c r="A82" s="7" t="s">
        <v>19657</v>
      </c>
      <c r="B82" s="7">
        <v>1075.0</v>
      </c>
      <c r="C82" s="7" t="s">
        <v>4115</v>
      </c>
      <c r="D82" s="7" t="s">
        <v>4143</v>
      </c>
      <c r="E82" s="7" t="s">
        <v>4117</v>
      </c>
      <c r="F82" s="7" t="s">
        <v>4144</v>
      </c>
      <c r="G82" s="7" t="s">
        <v>4145</v>
      </c>
      <c r="H82" s="7" t="s">
        <v>4146</v>
      </c>
      <c r="I82" s="119">
        <v>45292.0</v>
      </c>
      <c r="K82" s="7" t="s">
        <v>419</v>
      </c>
      <c r="L82" s="7" t="s">
        <v>991</v>
      </c>
      <c r="M82" s="7" t="s">
        <v>3501</v>
      </c>
      <c r="N82" s="7" t="s">
        <v>419</v>
      </c>
      <c r="O82" s="7" t="s">
        <v>19430</v>
      </c>
      <c r="P82" s="7" t="s">
        <v>717</v>
      </c>
      <c r="Q82" s="7" t="s">
        <v>720</v>
      </c>
      <c r="R82" s="7" t="s">
        <v>19658</v>
      </c>
      <c r="S82" s="7" t="s">
        <v>19659</v>
      </c>
      <c r="T82" s="7" t="s">
        <v>4148</v>
      </c>
      <c r="U82" s="7" t="s">
        <v>3493</v>
      </c>
      <c r="V82" s="7">
        <v>1.0</v>
      </c>
    </row>
    <row r="83">
      <c r="A83" s="7" t="s">
        <v>19660</v>
      </c>
      <c r="B83" s="7">
        <v>2200395.0</v>
      </c>
      <c r="C83" s="7" t="s">
        <v>4115</v>
      </c>
      <c r="D83" s="7" t="s">
        <v>3526</v>
      </c>
      <c r="E83" s="7" t="s">
        <v>4117</v>
      </c>
      <c r="F83" s="7" t="s">
        <v>3528</v>
      </c>
      <c r="G83" s="7" t="s">
        <v>4150</v>
      </c>
      <c r="H83" s="7" t="s">
        <v>4151</v>
      </c>
      <c r="I83" s="119">
        <v>45292.0</v>
      </c>
      <c r="K83" s="7" t="s">
        <v>419</v>
      </c>
      <c r="L83" s="7" t="s">
        <v>991</v>
      </c>
      <c r="M83" s="7" t="s">
        <v>3501</v>
      </c>
      <c r="N83" s="7" t="s">
        <v>419</v>
      </c>
      <c r="O83" s="7" t="s">
        <v>19432</v>
      </c>
      <c r="P83" s="7" t="s">
        <v>391</v>
      </c>
      <c r="Q83" s="7" t="s">
        <v>392</v>
      </c>
      <c r="R83" s="7" t="s">
        <v>19661</v>
      </c>
      <c r="T83" s="7" t="s">
        <v>19662</v>
      </c>
      <c r="U83" s="7" t="s">
        <v>3493</v>
      </c>
      <c r="V83" s="7">
        <v>1.0</v>
      </c>
    </row>
    <row r="84">
      <c r="A84" s="7" t="s">
        <v>19663</v>
      </c>
      <c r="B84" s="7">
        <v>12735.0</v>
      </c>
      <c r="C84" s="7" t="s">
        <v>4115</v>
      </c>
      <c r="D84" s="7" t="s">
        <v>4157</v>
      </c>
      <c r="E84" s="7" t="s">
        <v>4117</v>
      </c>
      <c r="F84" s="7" t="s">
        <v>4158</v>
      </c>
      <c r="G84" s="7" t="s">
        <v>4159</v>
      </c>
      <c r="H84" s="7" t="s">
        <v>4160</v>
      </c>
      <c r="I84" s="119">
        <v>45292.0</v>
      </c>
      <c r="K84" s="7" t="s">
        <v>419</v>
      </c>
      <c r="L84" s="7" t="s">
        <v>991</v>
      </c>
      <c r="M84" s="7" t="s">
        <v>3501</v>
      </c>
      <c r="N84" s="7" t="s">
        <v>419</v>
      </c>
      <c r="O84" s="7" t="s">
        <v>19430</v>
      </c>
      <c r="P84" s="7" t="s">
        <v>854</v>
      </c>
      <c r="Q84" s="7" t="s">
        <v>861</v>
      </c>
      <c r="R84" s="7" t="s">
        <v>19664</v>
      </c>
      <c r="T84" s="7" t="s">
        <v>9590</v>
      </c>
      <c r="U84" s="7" t="s">
        <v>3604</v>
      </c>
      <c r="V84" s="7">
        <v>1.0</v>
      </c>
    </row>
    <row r="85">
      <c r="A85" s="7" t="s">
        <v>19665</v>
      </c>
      <c r="B85" s="7">
        <v>14294.0</v>
      </c>
      <c r="C85" s="7" t="s">
        <v>4115</v>
      </c>
      <c r="D85" s="7" t="s">
        <v>4165</v>
      </c>
      <c r="E85" s="7" t="s">
        <v>4117</v>
      </c>
      <c r="F85" s="7" t="s">
        <v>3656</v>
      </c>
      <c r="G85" s="7" t="s">
        <v>4166</v>
      </c>
      <c r="H85" s="7" t="s">
        <v>4167</v>
      </c>
      <c r="I85" s="119">
        <v>45292.0</v>
      </c>
      <c r="J85" s="7" t="s">
        <v>3929</v>
      </c>
      <c r="K85" s="7" t="s">
        <v>419</v>
      </c>
      <c r="L85" s="7" t="s">
        <v>991</v>
      </c>
      <c r="M85" s="7" t="s">
        <v>3501</v>
      </c>
      <c r="N85" s="7" t="s">
        <v>419</v>
      </c>
      <c r="O85" s="7" t="s">
        <v>19430</v>
      </c>
      <c r="P85" s="7" t="s">
        <v>780</v>
      </c>
      <c r="Q85" s="7" t="s">
        <v>786</v>
      </c>
      <c r="R85" s="7" t="s">
        <v>19666</v>
      </c>
      <c r="T85" s="7" t="s">
        <v>4169</v>
      </c>
      <c r="U85" s="7" t="s">
        <v>3493</v>
      </c>
      <c r="V85" s="7">
        <v>1.0</v>
      </c>
    </row>
    <row r="86">
      <c r="A86" s="7" t="s">
        <v>19667</v>
      </c>
      <c r="B86" s="7">
        <v>2200466.0</v>
      </c>
      <c r="C86" s="7" t="s">
        <v>4115</v>
      </c>
      <c r="D86" s="7" t="s">
        <v>4171</v>
      </c>
      <c r="E86" s="7" t="s">
        <v>4117</v>
      </c>
      <c r="F86" s="7" t="s">
        <v>4172</v>
      </c>
      <c r="G86" s="7" t="s">
        <v>4173</v>
      </c>
      <c r="H86" s="7" t="s">
        <v>4174</v>
      </c>
      <c r="I86" s="119">
        <v>45292.0</v>
      </c>
      <c r="K86" s="7" t="s">
        <v>419</v>
      </c>
      <c r="L86" s="7" t="s">
        <v>991</v>
      </c>
      <c r="M86" s="7" t="s">
        <v>3531</v>
      </c>
      <c r="N86" s="7" t="s">
        <v>419</v>
      </c>
      <c r="O86" s="7" t="s">
        <v>19443</v>
      </c>
      <c r="P86" s="7" t="s">
        <v>1242</v>
      </c>
      <c r="Q86" s="7" t="s">
        <v>51</v>
      </c>
      <c r="R86" s="7" t="s">
        <v>19549</v>
      </c>
      <c r="S86" s="7" t="s">
        <v>19668</v>
      </c>
      <c r="T86" s="7" t="s">
        <v>4176</v>
      </c>
      <c r="U86" s="7" t="s">
        <v>3493</v>
      </c>
      <c r="V86" s="7">
        <v>1.0</v>
      </c>
    </row>
    <row r="87">
      <c r="A87" s="7" t="s">
        <v>1403</v>
      </c>
      <c r="B87" s="7">
        <v>1056.0</v>
      </c>
      <c r="C87" s="7" t="s">
        <v>4177</v>
      </c>
      <c r="D87" s="7" t="s">
        <v>3764</v>
      </c>
      <c r="E87" s="7" t="s">
        <v>4178</v>
      </c>
      <c r="F87" s="7" t="s">
        <v>3766</v>
      </c>
      <c r="G87" s="7" t="s">
        <v>4179</v>
      </c>
      <c r="H87" s="7" t="s">
        <v>4180</v>
      </c>
      <c r="I87" s="119">
        <v>45292.0</v>
      </c>
      <c r="K87" s="7" t="s">
        <v>419</v>
      </c>
      <c r="L87" s="7" t="s">
        <v>991</v>
      </c>
      <c r="M87" s="7" t="s">
        <v>3501</v>
      </c>
      <c r="N87" s="7" t="s">
        <v>419</v>
      </c>
      <c r="O87" s="7" t="s">
        <v>19437</v>
      </c>
      <c r="P87" s="7" t="s">
        <v>440</v>
      </c>
      <c r="Q87" s="7" t="s">
        <v>441</v>
      </c>
      <c r="R87" s="7" t="s">
        <v>19669</v>
      </c>
      <c r="T87" s="7" t="s">
        <v>19670</v>
      </c>
      <c r="U87" s="7" t="s">
        <v>3604</v>
      </c>
      <c r="V87" s="7">
        <v>1.0</v>
      </c>
    </row>
    <row r="88">
      <c r="A88" s="7" t="s">
        <v>19671</v>
      </c>
      <c r="B88" s="7">
        <v>2200488.0</v>
      </c>
      <c r="C88" s="7" t="s">
        <v>4185</v>
      </c>
      <c r="D88" s="7" t="s">
        <v>4186</v>
      </c>
      <c r="E88" s="7" t="s">
        <v>4187</v>
      </c>
      <c r="F88" s="7" t="s">
        <v>3571</v>
      </c>
      <c r="G88" s="7" t="s">
        <v>4188</v>
      </c>
      <c r="H88" s="7" t="s">
        <v>4189</v>
      </c>
      <c r="I88" s="119">
        <v>45292.0</v>
      </c>
      <c r="K88" s="7" t="s">
        <v>3632</v>
      </c>
      <c r="L88" s="7" t="s">
        <v>991</v>
      </c>
      <c r="M88" s="7" t="s">
        <v>3866</v>
      </c>
      <c r="N88" s="7" t="s">
        <v>3632</v>
      </c>
      <c r="O88" s="7" t="s">
        <v>3632</v>
      </c>
      <c r="P88" s="7" t="s">
        <v>625</v>
      </c>
      <c r="Q88" s="7" t="s">
        <v>626</v>
      </c>
      <c r="R88" s="7" t="s">
        <v>19672</v>
      </c>
      <c r="T88" s="7" t="s">
        <v>4191</v>
      </c>
      <c r="U88" s="7" t="s">
        <v>3493</v>
      </c>
      <c r="V88" s="7">
        <v>1.0</v>
      </c>
    </row>
    <row r="89">
      <c r="A89" s="7" t="s">
        <v>19673</v>
      </c>
      <c r="B89" s="7">
        <v>4028.0</v>
      </c>
      <c r="C89" s="7" t="s">
        <v>4185</v>
      </c>
      <c r="D89" s="7" t="s">
        <v>4193</v>
      </c>
      <c r="E89" s="7" t="s">
        <v>4187</v>
      </c>
      <c r="F89" s="7" t="s">
        <v>4194</v>
      </c>
      <c r="G89" s="7" t="s">
        <v>4195</v>
      </c>
      <c r="H89" s="7" t="s">
        <v>4196</v>
      </c>
      <c r="I89" s="119">
        <v>45292.0</v>
      </c>
      <c r="K89" s="7" t="s">
        <v>419</v>
      </c>
      <c r="L89" s="7" t="s">
        <v>991</v>
      </c>
      <c r="M89" s="7" t="s">
        <v>3501</v>
      </c>
      <c r="N89" s="7" t="s">
        <v>419</v>
      </c>
      <c r="O89" s="7" t="s">
        <v>19430</v>
      </c>
      <c r="P89" s="7" t="s">
        <v>854</v>
      </c>
      <c r="Q89" s="7" t="s">
        <v>173</v>
      </c>
      <c r="R89" s="7" t="s">
        <v>19674</v>
      </c>
      <c r="T89" s="7" t="s">
        <v>19675</v>
      </c>
      <c r="U89" s="7" t="s">
        <v>3493</v>
      </c>
      <c r="V89" s="7">
        <v>1.0</v>
      </c>
    </row>
    <row r="90">
      <c r="A90" s="7" t="s">
        <v>19676</v>
      </c>
      <c r="B90" s="7">
        <v>13856.0</v>
      </c>
      <c r="C90" s="7" t="s">
        <v>4200</v>
      </c>
      <c r="D90" s="7" t="s">
        <v>4201</v>
      </c>
      <c r="E90" s="7" t="s">
        <v>4202</v>
      </c>
      <c r="F90" s="7" t="s">
        <v>4203</v>
      </c>
      <c r="G90" s="7" t="s">
        <v>4204</v>
      </c>
      <c r="H90" s="7" t="s">
        <v>4205</v>
      </c>
      <c r="I90" s="119">
        <v>45292.0</v>
      </c>
      <c r="K90" s="7" t="s">
        <v>4206</v>
      </c>
      <c r="L90" s="7" t="s">
        <v>3542</v>
      </c>
      <c r="M90" s="7" t="s">
        <v>3543</v>
      </c>
      <c r="N90" s="7" t="s">
        <v>419</v>
      </c>
      <c r="O90" s="7" t="s">
        <v>19433</v>
      </c>
      <c r="P90" s="7" t="s">
        <v>587</v>
      </c>
      <c r="Q90" s="7" t="s">
        <v>72</v>
      </c>
      <c r="R90" s="7" t="s">
        <v>19677</v>
      </c>
      <c r="S90" s="7" t="s">
        <v>19678</v>
      </c>
      <c r="T90" s="7" t="s">
        <v>19679</v>
      </c>
      <c r="U90" s="7" t="s">
        <v>3493</v>
      </c>
      <c r="V90" s="7">
        <v>1.0</v>
      </c>
    </row>
    <row r="91">
      <c r="A91" s="7" t="s">
        <v>19680</v>
      </c>
      <c r="B91" s="7">
        <v>12596.0</v>
      </c>
      <c r="C91" s="7" t="s">
        <v>4210</v>
      </c>
      <c r="D91" s="7" t="s">
        <v>4211</v>
      </c>
      <c r="E91" s="7" t="s">
        <v>4212</v>
      </c>
      <c r="F91" s="7" t="s">
        <v>4213</v>
      </c>
      <c r="G91" s="7" t="s">
        <v>4214</v>
      </c>
      <c r="H91" s="7" t="s">
        <v>4215</v>
      </c>
      <c r="I91" s="119">
        <v>45292.0</v>
      </c>
      <c r="J91" s="7" t="s">
        <v>4216</v>
      </c>
      <c r="K91" s="7" t="s">
        <v>419</v>
      </c>
      <c r="L91" s="7" t="s">
        <v>991</v>
      </c>
      <c r="M91" s="7" t="s">
        <v>3501</v>
      </c>
      <c r="N91" s="7" t="s">
        <v>419</v>
      </c>
      <c r="O91" s="7" t="s">
        <v>19440</v>
      </c>
      <c r="P91" s="7" t="s">
        <v>613</v>
      </c>
      <c r="Q91" s="7" t="s">
        <v>106</v>
      </c>
      <c r="R91" s="7" t="s">
        <v>19528</v>
      </c>
      <c r="T91" s="7" t="s">
        <v>3660</v>
      </c>
      <c r="U91" s="7" t="s">
        <v>3493</v>
      </c>
      <c r="V91" s="7">
        <v>1.0</v>
      </c>
    </row>
    <row r="92">
      <c r="A92" s="7" t="s">
        <v>19681</v>
      </c>
      <c r="B92" s="7">
        <v>14256.0</v>
      </c>
      <c r="C92" s="7" t="s">
        <v>4218</v>
      </c>
      <c r="D92" s="7" t="s">
        <v>4219</v>
      </c>
      <c r="E92" s="7" t="s">
        <v>4220</v>
      </c>
      <c r="F92" s="7" t="s">
        <v>4221</v>
      </c>
      <c r="G92" s="7" t="s">
        <v>4222</v>
      </c>
      <c r="H92" s="7" t="s">
        <v>4223</v>
      </c>
      <c r="I92" s="119">
        <v>45292.0</v>
      </c>
      <c r="K92" s="7" t="s">
        <v>419</v>
      </c>
      <c r="L92" s="7" t="s">
        <v>991</v>
      </c>
      <c r="M92" s="7" t="s">
        <v>3501</v>
      </c>
      <c r="N92" s="7" t="s">
        <v>419</v>
      </c>
      <c r="O92" s="7" t="s">
        <v>19430</v>
      </c>
      <c r="P92" s="7" t="s">
        <v>854</v>
      </c>
      <c r="Q92" s="7" t="s">
        <v>857</v>
      </c>
      <c r="R92" s="7" t="s">
        <v>19682</v>
      </c>
      <c r="T92" s="7" t="s">
        <v>4225</v>
      </c>
      <c r="U92" s="7" t="s">
        <v>3493</v>
      </c>
      <c r="V92" s="7">
        <v>1.0</v>
      </c>
    </row>
    <row r="93">
      <c r="A93" s="7" t="s">
        <v>1498</v>
      </c>
      <c r="B93" s="7">
        <v>526.0</v>
      </c>
      <c r="C93" s="7" t="s">
        <v>4218</v>
      </c>
      <c r="D93" s="7" t="s">
        <v>4226</v>
      </c>
      <c r="E93" s="7" t="s">
        <v>4220</v>
      </c>
      <c r="F93" s="7" t="s">
        <v>3498</v>
      </c>
      <c r="G93" s="7" t="s">
        <v>4227</v>
      </c>
      <c r="H93" s="7" t="s">
        <v>4228</v>
      </c>
      <c r="I93" s="119">
        <v>45292.0</v>
      </c>
      <c r="K93" s="7" t="s">
        <v>419</v>
      </c>
      <c r="L93" s="7" t="s">
        <v>991</v>
      </c>
      <c r="M93" s="7" t="s">
        <v>3501</v>
      </c>
      <c r="N93" s="7" t="s">
        <v>419</v>
      </c>
      <c r="O93" s="7" t="s">
        <v>19430</v>
      </c>
      <c r="P93" s="7" t="s">
        <v>780</v>
      </c>
      <c r="T93" s="7" t="s">
        <v>19481</v>
      </c>
      <c r="U93" s="7" t="s">
        <v>12011</v>
      </c>
      <c r="V93" s="7">
        <v>1.0</v>
      </c>
    </row>
    <row r="94">
      <c r="A94" s="7" t="s">
        <v>19683</v>
      </c>
      <c r="B94" s="7">
        <v>2100275.0</v>
      </c>
      <c r="C94" s="7" t="s">
        <v>4218</v>
      </c>
      <c r="D94" s="7" t="s">
        <v>4233</v>
      </c>
      <c r="E94" s="7" t="s">
        <v>4220</v>
      </c>
      <c r="F94" s="7" t="s">
        <v>4234</v>
      </c>
      <c r="G94" s="7" t="s">
        <v>4235</v>
      </c>
      <c r="H94" s="7" t="s">
        <v>4236</v>
      </c>
      <c r="I94" s="119">
        <v>45292.0</v>
      </c>
      <c r="K94" s="7" t="s">
        <v>419</v>
      </c>
      <c r="L94" s="7" t="s">
        <v>991</v>
      </c>
      <c r="M94" s="7" t="s">
        <v>3531</v>
      </c>
      <c r="N94" s="7" t="s">
        <v>419</v>
      </c>
      <c r="O94" s="7" t="s">
        <v>19430</v>
      </c>
      <c r="P94" s="7" t="s">
        <v>717</v>
      </c>
      <c r="Q94" s="7" t="s">
        <v>1163</v>
      </c>
      <c r="R94" s="7" t="s">
        <v>19546</v>
      </c>
      <c r="S94" s="7" t="s">
        <v>19684</v>
      </c>
      <c r="T94" s="7" t="s">
        <v>4238</v>
      </c>
      <c r="U94" s="7" t="s">
        <v>3493</v>
      </c>
      <c r="V94" s="7">
        <v>1.0</v>
      </c>
    </row>
    <row r="95">
      <c r="A95" s="7" t="s">
        <v>19685</v>
      </c>
      <c r="B95" s="7">
        <v>14014.0</v>
      </c>
      <c r="C95" s="7" t="s">
        <v>4218</v>
      </c>
      <c r="D95" s="7" t="s">
        <v>4240</v>
      </c>
      <c r="E95" s="7" t="s">
        <v>4220</v>
      </c>
      <c r="F95" s="7" t="s">
        <v>4241</v>
      </c>
      <c r="G95" s="7" t="s">
        <v>4242</v>
      </c>
      <c r="H95" s="7" t="s">
        <v>4243</v>
      </c>
      <c r="I95" s="119">
        <v>45292.0</v>
      </c>
      <c r="K95" s="7" t="s">
        <v>419</v>
      </c>
      <c r="L95" s="7" t="s">
        <v>991</v>
      </c>
      <c r="M95" s="7" t="s">
        <v>3501</v>
      </c>
      <c r="N95" s="7" t="s">
        <v>419</v>
      </c>
      <c r="O95" s="7" t="s">
        <v>19430</v>
      </c>
      <c r="P95" s="7" t="s">
        <v>717</v>
      </c>
      <c r="Q95" s="7" t="s">
        <v>1163</v>
      </c>
      <c r="R95" s="7" t="s">
        <v>19608</v>
      </c>
      <c r="T95" s="7" t="s">
        <v>4245</v>
      </c>
      <c r="U95" s="7" t="s">
        <v>3604</v>
      </c>
      <c r="V95" s="7">
        <v>1.0</v>
      </c>
    </row>
    <row r="96">
      <c r="A96" s="7" t="s">
        <v>19686</v>
      </c>
      <c r="B96" s="7">
        <v>10974.0</v>
      </c>
      <c r="C96" s="7" t="s">
        <v>4218</v>
      </c>
      <c r="D96" s="7" t="s">
        <v>4247</v>
      </c>
      <c r="E96" s="7" t="s">
        <v>4220</v>
      </c>
      <c r="F96" s="7" t="s">
        <v>3818</v>
      </c>
      <c r="G96" s="7" t="s">
        <v>4248</v>
      </c>
      <c r="H96" s="7" t="s">
        <v>4249</v>
      </c>
      <c r="I96" s="119">
        <v>45292.0</v>
      </c>
      <c r="K96" s="7" t="s">
        <v>419</v>
      </c>
      <c r="L96" s="7" t="s">
        <v>991</v>
      </c>
      <c r="M96" s="7" t="s">
        <v>3501</v>
      </c>
      <c r="N96" s="7" t="s">
        <v>419</v>
      </c>
      <c r="O96" s="7" t="s">
        <v>19430</v>
      </c>
      <c r="P96" s="7" t="s">
        <v>717</v>
      </c>
      <c r="Q96" s="7" t="s">
        <v>1163</v>
      </c>
      <c r="R96" s="7" t="s">
        <v>19546</v>
      </c>
      <c r="S96" s="7" t="s">
        <v>19687</v>
      </c>
      <c r="T96" s="7" t="s">
        <v>4251</v>
      </c>
      <c r="U96" s="7" t="s">
        <v>3493</v>
      </c>
      <c r="V96" s="7">
        <v>1.0</v>
      </c>
    </row>
    <row r="97">
      <c r="A97" s="7" t="s">
        <v>1564</v>
      </c>
      <c r="B97" s="7">
        <v>1040.0</v>
      </c>
      <c r="C97" s="7" t="s">
        <v>4218</v>
      </c>
      <c r="D97" s="7" t="s">
        <v>4252</v>
      </c>
      <c r="E97" s="7" t="s">
        <v>4220</v>
      </c>
      <c r="F97" s="7" t="s">
        <v>4253</v>
      </c>
      <c r="G97" s="7" t="s">
        <v>4254</v>
      </c>
      <c r="H97" s="7" t="s">
        <v>4255</v>
      </c>
      <c r="I97" s="119">
        <v>45292.0</v>
      </c>
      <c r="K97" s="7" t="s">
        <v>419</v>
      </c>
      <c r="L97" s="7" t="s">
        <v>991</v>
      </c>
      <c r="M97" s="7" t="s">
        <v>3501</v>
      </c>
      <c r="N97" s="7" t="s">
        <v>419</v>
      </c>
      <c r="O97" s="7" t="s">
        <v>19430</v>
      </c>
      <c r="P97" s="7" t="s">
        <v>717</v>
      </c>
      <c r="Q97" s="7" t="s">
        <v>725</v>
      </c>
      <c r="R97" s="7" t="s">
        <v>19501</v>
      </c>
      <c r="S97" s="7" t="s">
        <v>19688</v>
      </c>
      <c r="T97" s="7" t="s">
        <v>4257</v>
      </c>
      <c r="U97" s="7" t="s">
        <v>3493</v>
      </c>
      <c r="V97" s="7">
        <v>1.0</v>
      </c>
    </row>
    <row r="98">
      <c r="A98" s="7" t="s">
        <v>19689</v>
      </c>
      <c r="B98" s="7">
        <v>12733.0</v>
      </c>
      <c r="C98" s="7" t="s">
        <v>4259</v>
      </c>
      <c r="D98" s="7" t="s">
        <v>4260</v>
      </c>
      <c r="E98" s="7" t="s">
        <v>4261</v>
      </c>
      <c r="F98" s="7" t="s">
        <v>4262</v>
      </c>
      <c r="G98" s="7" t="s">
        <v>4263</v>
      </c>
      <c r="H98" s="7" t="s">
        <v>4264</v>
      </c>
      <c r="I98" s="119">
        <v>45292.0</v>
      </c>
      <c r="K98" s="7" t="s">
        <v>419</v>
      </c>
      <c r="L98" s="7" t="s">
        <v>991</v>
      </c>
      <c r="M98" s="7" t="s">
        <v>3501</v>
      </c>
      <c r="N98" s="7" t="s">
        <v>419</v>
      </c>
      <c r="O98" s="7" t="s">
        <v>19437</v>
      </c>
      <c r="P98" s="7" t="s">
        <v>603</v>
      </c>
      <c r="Q98" s="7" t="s">
        <v>90</v>
      </c>
      <c r="R98" s="7" t="s">
        <v>19690</v>
      </c>
      <c r="S98" s="7" t="s">
        <v>19691</v>
      </c>
      <c r="T98" s="7" t="s">
        <v>4266</v>
      </c>
      <c r="U98" s="7" t="s">
        <v>3843</v>
      </c>
      <c r="V98" s="7">
        <v>1.0</v>
      </c>
    </row>
    <row r="99">
      <c r="A99" s="7" t="s">
        <v>19692</v>
      </c>
      <c r="B99" s="7">
        <v>14016.0</v>
      </c>
      <c r="C99" s="7" t="s">
        <v>4268</v>
      </c>
      <c r="D99" s="7" t="s">
        <v>4269</v>
      </c>
      <c r="E99" s="7" t="s">
        <v>4270</v>
      </c>
      <c r="F99" s="7" t="s">
        <v>4271</v>
      </c>
      <c r="G99" s="7" t="s">
        <v>4272</v>
      </c>
      <c r="H99" s="7" t="s">
        <v>4273</v>
      </c>
      <c r="I99" s="119">
        <v>45292.0</v>
      </c>
      <c r="K99" s="7" t="s">
        <v>3632</v>
      </c>
      <c r="L99" s="7" t="s">
        <v>991</v>
      </c>
      <c r="M99" s="7" t="s">
        <v>3501</v>
      </c>
      <c r="N99" s="7" t="s">
        <v>3632</v>
      </c>
      <c r="O99" s="7" t="s">
        <v>3632</v>
      </c>
      <c r="P99" s="7" t="s">
        <v>429</v>
      </c>
      <c r="Q99" s="7" t="s">
        <v>432</v>
      </c>
      <c r="T99" s="7" t="s">
        <v>19446</v>
      </c>
      <c r="U99" s="7" t="s">
        <v>3493</v>
      </c>
      <c r="V99" s="7">
        <v>1.0</v>
      </c>
    </row>
    <row r="100">
      <c r="A100" s="7" t="s">
        <v>19693</v>
      </c>
      <c r="B100" s="7">
        <v>14163.0</v>
      </c>
      <c r="C100" s="7" t="s">
        <v>4277</v>
      </c>
      <c r="D100" s="7" t="s">
        <v>4278</v>
      </c>
      <c r="E100" s="7" t="s">
        <v>4279</v>
      </c>
      <c r="F100" s="7" t="s">
        <v>4280</v>
      </c>
      <c r="G100" s="7" t="s">
        <v>4281</v>
      </c>
      <c r="H100" s="7" t="s">
        <v>4282</v>
      </c>
      <c r="I100" s="119">
        <v>45292.0</v>
      </c>
      <c r="K100" s="7" t="s">
        <v>419</v>
      </c>
      <c r="L100" s="7" t="s">
        <v>991</v>
      </c>
      <c r="M100" s="7" t="s">
        <v>3501</v>
      </c>
      <c r="N100" s="7" t="s">
        <v>419</v>
      </c>
      <c r="O100" s="7" t="s">
        <v>19433</v>
      </c>
      <c r="P100" s="7" t="s">
        <v>648</v>
      </c>
      <c r="Q100" s="7" t="s">
        <v>143</v>
      </c>
      <c r="R100" s="7" t="s">
        <v>19672</v>
      </c>
      <c r="S100" s="7" t="s">
        <v>19694</v>
      </c>
      <c r="T100" s="7" t="s">
        <v>4284</v>
      </c>
      <c r="U100" s="7" t="s">
        <v>3493</v>
      </c>
      <c r="V100" s="7">
        <v>1.0</v>
      </c>
    </row>
    <row r="101">
      <c r="A101" s="7" t="s">
        <v>19695</v>
      </c>
      <c r="B101" s="7">
        <v>2200230.0</v>
      </c>
      <c r="C101" s="7" t="s">
        <v>4277</v>
      </c>
      <c r="D101" s="7" t="s">
        <v>4286</v>
      </c>
      <c r="E101" s="7" t="s">
        <v>4279</v>
      </c>
      <c r="F101" s="7" t="s">
        <v>4287</v>
      </c>
      <c r="G101" s="7" t="s">
        <v>4288</v>
      </c>
      <c r="H101" s="7" t="s">
        <v>4289</v>
      </c>
      <c r="I101" s="119">
        <v>45292.0</v>
      </c>
      <c r="K101" s="7" t="s">
        <v>419</v>
      </c>
      <c r="L101" s="7" t="s">
        <v>991</v>
      </c>
      <c r="M101" s="7" t="s">
        <v>3501</v>
      </c>
      <c r="N101" s="7" t="s">
        <v>419</v>
      </c>
      <c r="O101" s="7" t="s">
        <v>19433</v>
      </c>
      <c r="P101" s="7" t="s">
        <v>648</v>
      </c>
      <c r="Q101" s="7" t="s">
        <v>141</v>
      </c>
      <c r="R101" s="7" t="s">
        <v>19696</v>
      </c>
      <c r="T101" s="7" t="s">
        <v>4291</v>
      </c>
      <c r="U101" s="7" t="s">
        <v>3493</v>
      </c>
      <c r="V101" s="7">
        <v>1.0</v>
      </c>
    </row>
    <row r="102">
      <c r="A102" s="7" t="s">
        <v>19697</v>
      </c>
      <c r="B102" s="7">
        <v>2200409.0</v>
      </c>
      <c r="C102" s="7" t="s">
        <v>4277</v>
      </c>
      <c r="D102" s="7" t="s">
        <v>4293</v>
      </c>
      <c r="E102" s="7" t="s">
        <v>4279</v>
      </c>
      <c r="F102" s="7" t="s">
        <v>4144</v>
      </c>
      <c r="G102" s="7" t="s">
        <v>4294</v>
      </c>
      <c r="H102" s="7" t="s">
        <v>4295</v>
      </c>
      <c r="I102" s="119">
        <v>45292.0</v>
      </c>
      <c r="K102" s="7" t="s">
        <v>419</v>
      </c>
      <c r="L102" s="7" t="s">
        <v>991</v>
      </c>
      <c r="M102" s="7" t="s">
        <v>3531</v>
      </c>
      <c r="N102" s="7" t="s">
        <v>419</v>
      </c>
      <c r="O102" s="7" t="s">
        <v>19443</v>
      </c>
      <c r="P102" s="7" t="s">
        <v>323</v>
      </c>
      <c r="Q102" s="7" t="s">
        <v>824</v>
      </c>
      <c r="R102" s="7" t="s">
        <v>19698</v>
      </c>
      <c r="T102" s="7" t="s">
        <v>4297</v>
      </c>
      <c r="U102" s="7" t="s">
        <v>3493</v>
      </c>
      <c r="V102" s="7">
        <v>1.0</v>
      </c>
    </row>
    <row r="103">
      <c r="A103" s="7" t="s">
        <v>19699</v>
      </c>
      <c r="B103" s="7">
        <v>182.0</v>
      </c>
      <c r="C103" s="7" t="s">
        <v>4277</v>
      </c>
      <c r="D103" s="7" t="s">
        <v>4299</v>
      </c>
      <c r="E103" s="7" t="s">
        <v>4279</v>
      </c>
      <c r="F103" s="7" t="s">
        <v>4300</v>
      </c>
      <c r="G103" s="7" t="s">
        <v>4301</v>
      </c>
      <c r="H103" s="7" t="s">
        <v>4302</v>
      </c>
      <c r="I103" s="119">
        <v>45292.0</v>
      </c>
      <c r="K103" s="7" t="s">
        <v>419</v>
      </c>
      <c r="L103" s="7" t="s">
        <v>991</v>
      </c>
      <c r="M103" s="7" t="s">
        <v>3501</v>
      </c>
      <c r="N103" s="7" t="s">
        <v>419</v>
      </c>
      <c r="O103" s="7" t="s">
        <v>19443</v>
      </c>
      <c r="P103" s="7" t="s">
        <v>1242</v>
      </c>
      <c r="Q103" s="7" t="s">
        <v>48</v>
      </c>
      <c r="R103" s="7" t="s">
        <v>19700</v>
      </c>
      <c r="S103" s="7" t="s">
        <v>19701</v>
      </c>
      <c r="T103" s="7" t="s">
        <v>4304</v>
      </c>
      <c r="U103" s="7" t="s">
        <v>3493</v>
      </c>
      <c r="V103" s="7">
        <v>1.0</v>
      </c>
    </row>
    <row r="104">
      <c r="A104" s="7" t="s">
        <v>19702</v>
      </c>
      <c r="B104" s="7">
        <v>2300010.0</v>
      </c>
      <c r="C104" s="7" t="s">
        <v>4277</v>
      </c>
      <c r="D104" s="7" t="s">
        <v>4306</v>
      </c>
      <c r="E104" s="7" t="s">
        <v>4279</v>
      </c>
      <c r="F104" s="7" t="s">
        <v>4307</v>
      </c>
      <c r="G104" s="7" t="s">
        <v>4308</v>
      </c>
      <c r="H104" s="7" t="s">
        <v>4309</v>
      </c>
      <c r="I104" s="119">
        <v>45292.0</v>
      </c>
      <c r="K104" s="7" t="s">
        <v>419</v>
      </c>
      <c r="L104" s="7" t="s">
        <v>991</v>
      </c>
      <c r="M104" s="7" t="s">
        <v>3583</v>
      </c>
      <c r="N104" s="7" t="s">
        <v>419</v>
      </c>
      <c r="O104" s="7" t="s">
        <v>19430</v>
      </c>
      <c r="P104" s="7" t="s">
        <v>717</v>
      </c>
      <c r="Q104" s="7" t="s">
        <v>722</v>
      </c>
      <c r="R104" s="7" t="s">
        <v>19703</v>
      </c>
      <c r="S104" s="7" t="s">
        <v>19704</v>
      </c>
      <c r="T104" s="7" t="s">
        <v>4311</v>
      </c>
      <c r="U104" s="7" t="s">
        <v>3493</v>
      </c>
      <c r="V104" s="7">
        <v>1.0</v>
      </c>
    </row>
    <row r="105">
      <c r="A105" s="7" t="s">
        <v>19705</v>
      </c>
      <c r="B105" s="7">
        <v>2100389.0</v>
      </c>
      <c r="C105" s="7" t="s">
        <v>4277</v>
      </c>
      <c r="D105" s="7" t="s">
        <v>4313</v>
      </c>
      <c r="E105" s="7" t="s">
        <v>4279</v>
      </c>
      <c r="F105" s="7" t="s">
        <v>4314</v>
      </c>
      <c r="G105" s="7" t="s">
        <v>4315</v>
      </c>
      <c r="H105" s="7" t="s">
        <v>4316</v>
      </c>
      <c r="I105" s="119">
        <v>45292.0</v>
      </c>
      <c r="J105" s="7" t="s">
        <v>3929</v>
      </c>
      <c r="K105" s="7" t="s">
        <v>419</v>
      </c>
      <c r="L105" s="7" t="s">
        <v>991</v>
      </c>
      <c r="M105" s="7" t="s">
        <v>3501</v>
      </c>
      <c r="N105" s="7" t="s">
        <v>419</v>
      </c>
      <c r="O105" s="7" t="s">
        <v>19432</v>
      </c>
      <c r="P105" s="7" t="s">
        <v>391</v>
      </c>
      <c r="Q105" s="7" t="s">
        <v>392</v>
      </c>
      <c r="R105" s="7" t="s">
        <v>19706</v>
      </c>
      <c r="T105" s="7" t="s">
        <v>18578</v>
      </c>
      <c r="U105" s="7" t="s">
        <v>3493</v>
      </c>
      <c r="V105" s="7">
        <v>1.0</v>
      </c>
    </row>
    <row r="106">
      <c r="A106" s="7" t="s">
        <v>19707</v>
      </c>
      <c r="B106" s="7">
        <v>2100181.0</v>
      </c>
      <c r="C106" s="7" t="s">
        <v>4277</v>
      </c>
      <c r="D106" s="7" t="s">
        <v>4320</v>
      </c>
      <c r="E106" s="7" t="s">
        <v>4279</v>
      </c>
      <c r="F106" s="7" t="s">
        <v>4321</v>
      </c>
      <c r="G106" s="7" t="s">
        <v>4322</v>
      </c>
      <c r="H106" s="7" t="s">
        <v>4323</v>
      </c>
      <c r="I106" s="119">
        <v>45292.0</v>
      </c>
      <c r="K106" s="7" t="s">
        <v>3632</v>
      </c>
      <c r="L106" s="7" t="s">
        <v>991</v>
      </c>
      <c r="M106" s="7" t="s">
        <v>3531</v>
      </c>
      <c r="N106" s="7" t="s">
        <v>3632</v>
      </c>
      <c r="O106" s="7" t="s">
        <v>3632</v>
      </c>
      <c r="P106" s="7" t="s">
        <v>429</v>
      </c>
      <c r="Q106" s="7" t="s">
        <v>436</v>
      </c>
      <c r="R106" s="7" t="s">
        <v>19708</v>
      </c>
      <c r="T106" s="7" t="s">
        <v>4325</v>
      </c>
      <c r="U106" s="7" t="s">
        <v>3493</v>
      </c>
      <c r="V106" s="7">
        <v>1.0</v>
      </c>
    </row>
    <row r="107">
      <c r="A107" s="7" t="s">
        <v>19709</v>
      </c>
      <c r="B107" s="7">
        <v>276.0</v>
      </c>
      <c r="C107" s="7" t="s">
        <v>4277</v>
      </c>
      <c r="D107" s="7" t="s">
        <v>4327</v>
      </c>
      <c r="E107" s="7" t="s">
        <v>4279</v>
      </c>
      <c r="F107" s="7" t="s">
        <v>3649</v>
      </c>
      <c r="G107" s="7" t="s">
        <v>4328</v>
      </c>
      <c r="H107" s="7" t="s">
        <v>4329</v>
      </c>
      <c r="I107" s="119">
        <v>45292.0</v>
      </c>
      <c r="K107" s="7" t="s">
        <v>419</v>
      </c>
      <c r="L107" s="7" t="s">
        <v>991</v>
      </c>
      <c r="M107" s="7" t="s">
        <v>3501</v>
      </c>
      <c r="N107" s="7" t="s">
        <v>419</v>
      </c>
      <c r="O107" s="7" t="s">
        <v>19443</v>
      </c>
      <c r="P107" s="7" t="s">
        <v>1242</v>
      </c>
      <c r="Q107" s="7" t="s">
        <v>48</v>
      </c>
      <c r="R107" s="7" t="s">
        <v>19710</v>
      </c>
      <c r="T107" s="7" t="s">
        <v>4331</v>
      </c>
      <c r="U107" s="7" t="s">
        <v>3493</v>
      </c>
      <c r="V107" s="7">
        <v>1.0</v>
      </c>
    </row>
    <row r="108">
      <c r="A108" s="7" t="s">
        <v>19711</v>
      </c>
      <c r="B108" s="7">
        <v>575.0</v>
      </c>
      <c r="C108" s="7" t="s">
        <v>4333</v>
      </c>
      <c r="D108" s="7" t="s">
        <v>4334</v>
      </c>
      <c r="E108" s="7" t="s">
        <v>4335</v>
      </c>
      <c r="F108" s="7" t="s">
        <v>4336</v>
      </c>
      <c r="G108" s="7" t="s">
        <v>4337</v>
      </c>
      <c r="H108" s="7" t="s">
        <v>4338</v>
      </c>
      <c r="I108" s="119">
        <v>45292.0</v>
      </c>
      <c r="K108" s="7" t="s">
        <v>419</v>
      </c>
      <c r="L108" s="7" t="s">
        <v>991</v>
      </c>
      <c r="M108" s="7" t="s">
        <v>3501</v>
      </c>
      <c r="N108" s="7" t="s">
        <v>419</v>
      </c>
      <c r="O108" s="7" t="s">
        <v>19443</v>
      </c>
      <c r="P108" s="7" t="s">
        <v>1242</v>
      </c>
      <c r="Q108" s="7" t="s">
        <v>39</v>
      </c>
      <c r="R108" s="7" t="s">
        <v>19712</v>
      </c>
      <c r="S108" s="7" t="s">
        <v>19713</v>
      </c>
      <c r="T108" s="7" t="s">
        <v>4340</v>
      </c>
      <c r="U108" s="7" t="s">
        <v>3493</v>
      </c>
      <c r="V108" s="7">
        <v>1.0</v>
      </c>
    </row>
    <row r="109">
      <c r="A109" s="7" t="s">
        <v>1723</v>
      </c>
      <c r="B109" s="7">
        <v>11605.0</v>
      </c>
      <c r="C109" s="7" t="s">
        <v>4333</v>
      </c>
      <c r="D109" s="7" t="s">
        <v>4341</v>
      </c>
      <c r="E109" s="7" t="s">
        <v>4335</v>
      </c>
      <c r="F109" s="7" t="s">
        <v>4342</v>
      </c>
      <c r="G109" s="7" t="s">
        <v>4343</v>
      </c>
      <c r="H109" s="7" t="s">
        <v>4344</v>
      </c>
      <c r="I109" s="119">
        <v>45292.0</v>
      </c>
      <c r="K109" s="7" t="s">
        <v>4345</v>
      </c>
      <c r="L109" s="7" t="s">
        <v>3706</v>
      </c>
      <c r="M109" s="7" t="s">
        <v>3938</v>
      </c>
      <c r="N109" s="7" t="s">
        <v>419</v>
      </c>
      <c r="O109" s="7" t="s">
        <v>19437</v>
      </c>
      <c r="P109" s="7" t="s">
        <v>440</v>
      </c>
      <c r="T109" s="7" t="s">
        <v>19482</v>
      </c>
      <c r="U109" s="7" t="s">
        <v>12011</v>
      </c>
      <c r="V109" s="7">
        <v>1.0</v>
      </c>
    </row>
    <row r="110">
      <c r="A110" s="7" t="s">
        <v>19714</v>
      </c>
      <c r="B110" s="7">
        <v>2200404.0</v>
      </c>
      <c r="C110" s="7" t="s">
        <v>4333</v>
      </c>
      <c r="D110" s="7" t="s">
        <v>4351</v>
      </c>
      <c r="E110" s="7" t="s">
        <v>4335</v>
      </c>
      <c r="F110" s="7" t="s">
        <v>4352</v>
      </c>
      <c r="G110" s="7" t="s">
        <v>4353</v>
      </c>
      <c r="H110" s="7" t="s">
        <v>4354</v>
      </c>
      <c r="I110" s="119">
        <v>45292.0</v>
      </c>
      <c r="K110" s="7" t="s">
        <v>419</v>
      </c>
      <c r="L110" s="7" t="s">
        <v>991</v>
      </c>
      <c r="M110" s="7" t="s">
        <v>3531</v>
      </c>
      <c r="N110" s="7" t="s">
        <v>419</v>
      </c>
      <c r="O110" s="7" t="s">
        <v>19430</v>
      </c>
      <c r="P110" s="7" t="s">
        <v>717</v>
      </c>
      <c r="Q110" s="7" t="s">
        <v>720</v>
      </c>
      <c r="R110" s="7" t="s">
        <v>19542</v>
      </c>
      <c r="T110" s="7" t="s">
        <v>3725</v>
      </c>
      <c r="U110" s="7" t="s">
        <v>3493</v>
      </c>
      <c r="V110" s="7">
        <v>1.0</v>
      </c>
    </row>
    <row r="111">
      <c r="A111" s="7" t="s">
        <v>19715</v>
      </c>
      <c r="B111" s="7">
        <v>1168.0</v>
      </c>
      <c r="C111" s="7" t="s">
        <v>4333</v>
      </c>
      <c r="D111" s="7" t="s">
        <v>4356</v>
      </c>
      <c r="E111" s="7" t="s">
        <v>4335</v>
      </c>
      <c r="F111" s="7" t="s">
        <v>4357</v>
      </c>
      <c r="G111" s="7" t="s">
        <v>4358</v>
      </c>
      <c r="H111" s="7" t="s">
        <v>4359</v>
      </c>
      <c r="I111" s="119">
        <v>45292.0</v>
      </c>
      <c r="K111" s="7" t="s">
        <v>419</v>
      </c>
      <c r="L111" s="7" t="s">
        <v>991</v>
      </c>
      <c r="M111" s="7" t="s">
        <v>3501</v>
      </c>
      <c r="N111" s="7" t="s">
        <v>419</v>
      </c>
      <c r="O111" s="7" t="s">
        <v>19430</v>
      </c>
      <c r="P111" s="7" t="s">
        <v>717</v>
      </c>
      <c r="Q111" s="7" t="s">
        <v>251</v>
      </c>
      <c r="R111" s="7" t="s">
        <v>19716</v>
      </c>
      <c r="T111" s="7" t="s">
        <v>4361</v>
      </c>
      <c r="U111" s="7" t="s">
        <v>3604</v>
      </c>
      <c r="V111" s="7">
        <v>1.0</v>
      </c>
    </row>
    <row r="112">
      <c r="A112" s="7" t="s">
        <v>19717</v>
      </c>
      <c r="B112" s="7">
        <v>2200520.0</v>
      </c>
      <c r="C112" s="7" t="s">
        <v>4333</v>
      </c>
      <c r="D112" s="7" t="s">
        <v>4363</v>
      </c>
      <c r="E112" s="7" t="s">
        <v>4335</v>
      </c>
      <c r="F112" s="7" t="s">
        <v>4364</v>
      </c>
      <c r="G112" s="7" t="s">
        <v>4365</v>
      </c>
      <c r="H112" s="7" t="s">
        <v>4366</v>
      </c>
      <c r="I112" s="119">
        <v>45292.0</v>
      </c>
      <c r="K112" s="7" t="s">
        <v>419</v>
      </c>
      <c r="L112" s="7" t="s">
        <v>991</v>
      </c>
      <c r="M112" s="7" t="s">
        <v>3501</v>
      </c>
      <c r="N112" s="7" t="s">
        <v>419</v>
      </c>
      <c r="O112" s="7" t="s">
        <v>19430</v>
      </c>
      <c r="P112" s="7" t="s">
        <v>717</v>
      </c>
      <c r="Q112" s="7" t="s">
        <v>720</v>
      </c>
      <c r="R112" s="7" t="s">
        <v>19626</v>
      </c>
      <c r="S112" s="7" t="s">
        <v>19718</v>
      </c>
      <c r="T112" s="7" t="s">
        <v>4368</v>
      </c>
      <c r="U112" s="7" t="s">
        <v>3493</v>
      </c>
      <c r="V112" s="7">
        <v>1.0</v>
      </c>
    </row>
    <row r="113">
      <c r="A113" s="7" t="s">
        <v>19719</v>
      </c>
      <c r="B113" s="7">
        <v>14018.0</v>
      </c>
      <c r="C113" s="7" t="s">
        <v>4333</v>
      </c>
      <c r="D113" s="7" t="s">
        <v>4370</v>
      </c>
      <c r="E113" s="7" t="s">
        <v>4335</v>
      </c>
      <c r="F113" s="7" t="s">
        <v>4371</v>
      </c>
      <c r="G113" s="7" t="s">
        <v>4372</v>
      </c>
      <c r="H113" s="7" t="s">
        <v>4373</v>
      </c>
      <c r="I113" s="119">
        <v>45292.0</v>
      </c>
      <c r="K113" s="7" t="s">
        <v>419</v>
      </c>
      <c r="L113" s="7" t="s">
        <v>991</v>
      </c>
      <c r="M113" s="7" t="s">
        <v>3531</v>
      </c>
      <c r="N113" s="7" t="s">
        <v>419</v>
      </c>
      <c r="O113" s="7" t="s">
        <v>19437</v>
      </c>
      <c r="P113" s="7" t="s">
        <v>440</v>
      </c>
      <c r="Q113" s="7" t="s">
        <v>924</v>
      </c>
      <c r="T113" s="7" t="s">
        <v>4375</v>
      </c>
      <c r="U113" s="7" t="s">
        <v>3493</v>
      </c>
      <c r="V113" s="7">
        <v>1.0</v>
      </c>
    </row>
    <row r="114">
      <c r="A114" s="7" t="s">
        <v>19720</v>
      </c>
      <c r="B114" s="7">
        <v>2300565.0</v>
      </c>
      <c r="C114" s="7" t="s">
        <v>4377</v>
      </c>
      <c r="D114" s="7" t="s">
        <v>4378</v>
      </c>
      <c r="E114" s="7" t="s">
        <v>4379</v>
      </c>
      <c r="F114" s="7" t="s">
        <v>4380</v>
      </c>
      <c r="G114" s="7" t="s">
        <v>4381</v>
      </c>
      <c r="H114" s="7" t="s">
        <v>4382</v>
      </c>
      <c r="I114" s="119">
        <v>45292.0</v>
      </c>
      <c r="K114" s="7" t="s">
        <v>3541</v>
      </c>
      <c r="L114" s="7" t="s">
        <v>3542</v>
      </c>
      <c r="M114" s="7" t="s">
        <v>4383</v>
      </c>
      <c r="N114" s="7" t="s">
        <v>419</v>
      </c>
      <c r="O114" s="7" t="s">
        <v>19430</v>
      </c>
      <c r="P114" s="7" t="s">
        <v>854</v>
      </c>
      <c r="Q114" s="7" t="s">
        <v>864</v>
      </c>
      <c r="R114" s="7" t="s">
        <v>19721</v>
      </c>
      <c r="T114" s="7" t="s">
        <v>5517</v>
      </c>
      <c r="U114" s="7" t="s">
        <v>3493</v>
      </c>
      <c r="V114" s="7">
        <v>1.0</v>
      </c>
    </row>
    <row r="115">
      <c r="A115" s="7" t="s">
        <v>19722</v>
      </c>
      <c r="B115" s="7">
        <v>2100352.0</v>
      </c>
      <c r="C115" s="7" t="s">
        <v>4387</v>
      </c>
      <c r="D115" s="7" t="s">
        <v>4388</v>
      </c>
      <c r="E115" s="7" t="s">
        <v>4389</v>
      </c>
      <c r="F115" s="7" t="s">
        <v>4390</v>
      </c>
      <c r="G115" s="7" t="s">
        <v>4391</v>
      </c>
      <c r="H115" s="7" t="s">
        <v>4392</v>
      </c>
      <c r="I115" s="119">
        <v>45292.0</v>
      </c>
      <c r="K115" s="7" t="s">
        <v>419</v>
      </c>
      <c r="L115" s="7" t="s">
        <v>991</v>
      </c>
      <c r="M115" s="7" t="s">
        <v>3501</v>
      </c>
      <c r="N115" s="7" t="s">
        <v>419</v>
      </c>
      <c r="O115" s="7" t="s">
        <v>19433</v>
      </c>
      <c r="P115" s="7" t="s">
        <v>648</v>
      </c>
      <c r="Q115" s="7" t="s">
        <v>143</v>
      </c>
      <c r="R115" s="7" t="s">
        <v>19723</v>
      </c>
      <c r="S115" s="7" t="s">
        <v>19724</v>
      </c>
      <c r="T115" s="7" t="s">
        <v>4394</v>
      </c>
      <c r="U115" s="7" t="s">
        <v>3843</v>
      </c>
      <c r="V115" s="7">
        <v>1.0</v>
      </c>
    </row>
    <row r="116">
      <c r="A116" s="7" t="s">
        <v>19725</v>
      </c>
      <c r="B116" s="7">
        <v>8147.0</v>
      </c>
      <c r="C116" s="7" t="s">
        <v>4387</v>
      </c>
      <c r="D116" s="7" t="s">
        <v>4396</v>
      </c>
      <c r="E116" s="7" t="s">
        <v>4389</v>
      </c>
      <c r="F116" s="7" t="s">
        <v>4262</v>
      </c>
      <c r="G116" s="7" t="s">
        <v>4397</v>
      </c>
      <c r="H116" s="7" t="s">
        <v>4398</v>
      </c>
      <c r="I116" s="119">
        <v>45292.0</v>
      </c>
      <c r="K116" s="7" t="s">
        <v>419</v>
      </c>
      <c r="L116" s="7" t="s">
        <v>991</v>
      </c>
      <c r="M116" s="7" t="s">
        <v>3531</v>
      </c>
      <c r="N116" s="7" t="s">
        <v>419</v>
      </c>
      <c r="O116" s="7" t="s">
        <v>19430</v>
      </c>
      <c r="P116" s="7" t="s">
        <v>717</v>
      </c>
      <c r="Q116" s="7" t="s">
        <v>725</v>
      </c>
      <c r="R116" s="7" t="s">
        <v>19501</v>
      </c>
      <c r="S116" s="7" t="s">
        <v>19726</v>
      </c>
      <c r="T116" s="7" t="s">
        <v>4400</v>
      </c>
      <c r="U116" s="7" t="s">
        <v>3493</v>
      </c>
      <c r="V116" s="7">
        <v>1.0</v>
      </c>
    </row>
    <row r="117">
      <c r="A117" s="7" t="s">
        <v>2246</v>
      </c>
      <c r="B117" s="7">
        <v>12418.0</v>
      </c>
      <c r="C117" s="7" t="s">
        <v>4387</v>
      </c>
      <c r="D117" s="7" t="s">
        <v>4402</v>
      </c>
      <c r="E117" s="7" t="s">
        <v>4389</v>
      </c>
      <c r="F117" s="7" t="s">
        <v>4203</v>
      </c>
      <c r="G117" s="7" t="s">
        <v>4403</v>
      </c>
      <c r="H117" s="7" t="s">
        <v>4404</v>
      </c>
      <c r="I117" s="119">
        <v>45292.0</v>
      </c>
      <c r="K117" s="7" t="s">
        <v>4405</v>
      </c>
      <c r="L117" s="7" t="s">
        <v>4406</v>
      </c>
      <c r="M117" s="7" t="s">
        <v>4407</v>
      </c>
      <c r="N117" s="7" t="s">
        <v>419</v>
      </c>
      <c r="O117" s="7" t="s">
        <v>19433</v>
      </c>
      <c r="P117" s="7" t="s">
        <v>648</v>
      </c>
      <c r="Q117" s="7" t="s">
        <v>651</v>
      </c>
      <c r="T117" s="7" t="s">
        <v>4914</v>
      </c>
      <c r="U117" s="7" t="s">
        <v>5585</v>
      </c>
      <c r="V117" s="7">
        <v>1.0</v>
      </c>
    </row>
    <row r="118">
      <c r="A118" s="7" t="s">
        <v>19727</v>
      </c>
      <c r="B118" s="7">
        <v>2100658.0</v>
      </c>
      <c r="C118" s="7" t="s">
        <v>4412</v>
      </c>
      <c r="D118" s="7" t="s">
        <v>4413</v>
      </c>
      <c r="E118" s="7" t="s">
        <v>4414</v>
      </c>
      <c r="F118" s="7" t="s">
        <v>4415</v>
      </c>
      <c r="G118" s="7" t="s">
        <v>4416</v>
      </c>
      <c r="H118" s="7" t="s">
        <v>4417</v>
      </c>
      <c r="I118" s="119">
        <v>45292.0</v>
      </c>
      <c r="K118" s="7" t="s">
        <v>419</v>
      </c>
      <c r="L118" s="7" t="s">
        <v>991</v>
      </c>
      <c r="M118" s="7" t="s">
        <v>3501</v>
      </c>
      <c r="N118" s="7" t="s">
        <v>419</v>
      </c>
      <c r="O118" s="7" t="s">
        <v>19430</v>
      </c>
      <c r="P118" s="7" t="s">
        <v>717</v>
      </c>
      <c r="Q118" s="7" t="s">
        <v>722</v>
      </c>
      <c r="R118" s="7" t="s">
        <v>19655</v>
      </c>
      <c r="T118" s="7" t="s">
        <v>9090</v>
      </c>
      <c r="U118" s="7" t="s">
        <v>3604</v>
      </c>
      <c r="V118" s="7">
        <v>1.0</v>
      </c>
    </row>
    <row r="119">
      <c r="A119" s="7" t="s">
        <v>19728</v>
      </c>
      <c r="B119" s="7">
        <v>638.0</v>
      </c>
      <c r="C119" s="7" t="s">
        <v>4421</v>
      </c>
      <c r="D119" s="7" t="s">
        <v>4422</v>
      </c>
      <c r="E119" s="7" t="s">
        <v>4423</v>
      </c>
      <c r="F119" s="7" t="s">
        <v>4424</v>
      </c>
      <c r="G119" s="7" t="s">
        <v>4425</v>
      </c>
      <c r="H119" s="7" t="s">
        <v>4426</v>
      </c>
      <c r="I119" s="119">
        <v>45292.0</v>
      </c>
      <c r="K119" s="7" t="s">
        <v>419</v>
      </c>
      <c r="L119" s="7" t="s">
        <v>991</v>
      </c>
      <c r="M119" s="7" t="s">
        <v>3501</v>
      </c>
      <c r="N119" s="7" t="s">
        <v>419</v>
      </c>
      <c r="O119" s="7" t="s">
        <v>19440</v>
      </c>
      <c r="P119" s="7" t="s">
        <v>613</v>
      </c>
      <c r="Q119" s="7" t="s">
        <v>104</v>
      </c>
      <c r="R119" s="7" t="s">
        <v>19729</v>
      </c>
      <c r="T119" s="7" t="s">
        <v>19730</v>
      </c>
      <c r="U119" s="7" t="s">
        <v>3604</v>
      </c>
      <c r="V119" s="7">
        <v>1.0</v>
      </c>
    </row>
    <row r="120">
      <c r="A120" s="7" t="s">
        <v>19731</v>
      </c>
      <c r="B120" s="7">
        <v>2100567.0</v>
      </c>
      <c r="C120" s="7" t="s">
        <v>4431</v>
      </c>
      <c r="D120" s="7" t="s">
        <v>4432</v>
      </c>
      <c r="E120" s="7" t="s">
        <v>4433</v>
      </c>
      <c r="F120" s="7" t="s">
        <v>4434</v>
      </c>
      <c r="G120" s="7" t="s">
        <v>4435</v>
      </c>
      <c r="H120" s="7" t="s">
        <v>4436</v>
      </c>
      <c r="I120" s="119">
        <v>45292.0</v>
      </c>
      <c r="K120" s="7" t="s">
        <v>419</v>
      </c>
      <c r="L120" s="7" t="s">
        <v>991</v>
      </c>
      <c r="M120" s="7" t="s">
        <v>3501</v>
      </c>
      <c r="N120" s="7" t="s">
        <v>419</v>
      </c>
      <c r="O120" s="7" t="s">
        <v>19432</v>
      </c>
      <c r="P120" s="7" t="s">
        <v>391</v>
      </c>
      <c r="Q120" s="7" t="s">
        <v>399</v>
      </c>
      <c r="R120" s="7" t="s">
        <v>19732</v>
      </c>
      <c r="T120" s="7" t="s">
        <v>4438</v>
      </c>
      <c r="U120" s="7" t="s">
        <v>3493</v>
      </c>
      <c r="V120" s="7">
        <v>1.0</v>
      </c>
    </row>
    <row r="121">
      <c r="A121" s="7" t="s">
        <v>19733</v>
      </c>
      <c r="B121" s="7">
        <v>2100670.0</v>
      </c>
      <c r="C121" s="7" t="s">
        <v>4431</v>
      </c>
      <c r="D121" s="7" t="s">
        <v>4440</v>
      </c>
      <c r="E121" s="7" t="s">
        <v>4433</v>
      </c>
      <c r="F121" s="7" t="s">
        <v>4441</v>
      </c>
      <c r="G121" s="7" t="s">
        <v>4442</v>
      </c>
      <c r="H121" s="7" t="s">
        <v>4443</v>
      </c>
      <c r="I121" s="119">
        <v>45292.0</v>
      </c>
      <c r="K121" s="7" t="s">
        <v>419</v>
      </c>
      <c r="L121" s="7" t="s">
        <v>991</v>
      </c>
      <c r="M121" s="7" t="s">
        <v>3531</v>
      </c>
      <c r="N121" s="7" t="s">
        <v>419</v>
      </c>
      <c r="O121" s="7" t="s">
        <v>19433</v>
      </c>
      <c r="P121" s="7" t="s">
        <v>648</v>
      </c>
      <c r="Q121" s="7" t="s">
        <v>148</v>
      </c>
      <c r="R121" s="7" t="s">
        <v>19501</v>
      </c>
      <c r="T121" s="7" t="s">
        <v>4445</v>
      </c>
      <c r="U121" s="7" t="s">
        <v>3493</v>
      </c>
      <c r="V121" s="7">
        <v>1.0</v>
      </c>
    </row>
    <row r="122">
      <c r="A122" s="7" t="s">
        <v>19734</v>
      </c>
      <c r="B122" s="7">
        <v>2300735.0</v>
      </c>
      <c r="C122" s="7" t="s">
        <v>4447</v>
      </c>
      <c r="D122" s="7" t="s">
        <v>4448</v>
      </c>
      <c r="E122" s="7" t="s">
        <v>4449</v>
      </c>
      <c r="F122" s="7" t="s">
        <v>3508</v>
      </c>
      <c r="G122" s="7" t="s">
        <v>4450</v>
      </c>
      <c r="I122" s="119">
        <v>45292.0</v>
      </c>
      <c r="K122" s="7" t="s">
        <v>419</v>
      </c>
      <c r="L122" s="7" t="s">
        <v>991</v>
      </c>
      <c r="M122" s="7" t="s">
        <v>3531</v>
      </c>
      <c r="N122" s="7" t="s">
        <v>419</v>
      </c>
      <c r="O122" s="7" t="s">
        <v>19430</v>
      </c>
      <c r="P122" s="7" t="s">
        <v>854</v>
      </c>
      <c r="Q122" s="7" t="s">
        <v>859</v>
      </c>
      <c r="T122" s="7" t="s">
        <v>3821</v>
      </c>
      <c r="U122" s="7" t="s">
        <v>3493</v>
      </c>
      <c r="V122" s="7">
        <v>1.0</v>
      </c>
    </row>
    <row r="123">
      <c r="A123" s="7" t="s">
        <v>19735</v>
      </c>
      <c r="B123" s="7">
        <v>13068.0</v>
      </c>
      <c r="C123" s="7" t="s">
        <v>4452</v>
      </c>
      <c r="D123" s="7" t="s">
        <v>4453</v>
      </c>
      <c r="E123" s="7" t="s">
        <v>4454</v>
      </c>
      <c r="F123" s="7" t="s">
        <v>4455</v>
      </c>
      <c r="G123" s="7" t="s">
        <v>4456</v>
      </c>
      <c r="H123" s="7" t="s">
        <v>4457</v>
      </c>
      <c r="I123" s="119">
        <v>45292.0</v>
      </c>
      <c r="K123" s="7" t="s">
        <v>419</v>
      </c>
      <c r="L123" s="7" t="s">
        <v>991</v>
      </c>
      <c r="M123" s="7" t="s">
        <v>3531</v>
      </c>
      <c r="N123" s="7" t="s">
        <v>419</v>
      </c>
      <c r="O123" s="7" t="s">
        <v>19430</v>
      </c>
      <c r="P123" s="7" t="s">
        <v>717</v>
      </c>
      <c r="Q123" s="7" t="s">
        <v>720</v>
      </c>
      <c r="R123" s="7" t="s">
        <v>19542</v>
      </c>
      <c r="T123" s="7" t="s">
        <v>3725</v>
      </c>
      <c r="U123" s="7" t="s">
        <v>3493</v>
      </c>
      <c r="V123" s="7">
        <v>1.0</v>
      </c>
    </row>
    <row r="124">
      <c r="A124" s="7" t="s">
        <v>19736</v>
      </c>
      <c r="B124" s="7">
        <v>1139.0</v>
      </c>
      <c r="C124" s="7" t="s">
        <v>4452</v>
      </c>
      <c r="D124" s="7" t="s">
        <v>4459</v>
      </c>
      <c r="E124" s="7" t="s">
        <v>4454</v>
      </c>
      <c r="F124" s="7" t="s">
        <v>4460</v>
      </c>
      <c r="G124" s="7" t="s">
        <v>4461</v>
      </c>
      <c r="H124" s="7" t="s">
        <v>4462</v>
      </c>
      <c r="I124" s="119">
        <v>45292.0</v>
      </c>
      <c r="K124" s="7" t="s">
        <v>419</v>
      </c>
      <c r="L124" s="7" t="s">
        <v>991</v>
      </c>
      <c r="M124" s="7" t="s">
        <v>3501</v>
      </c>
      <c r="N124" s="7" t="s">
        <v>419</v>
      </c>
      <c r="O124" s="7" t="s">
        <v>19432</v>
      </c>
      <c r="P124" s="7" t="s">
        <v>693</v>
      </c>
      <c r="Q124" s="7" t="s">
        <v>701</v>
      </c>
      <c r="R124" s="7" t="s">
        <v>19518</v>
      </c>
      <c r="T124" s="7" t="s">
        <v>4464</v>
      </c>
      <c r="U124" s="7" t="s">
        <v>3604</v>
      </c>
      <c r="V124" s="7">
        <v>1.0</v>
      </c>
    </row>
    <row r="125">
      <c r="A125" s="7" t="s">
        <v>19737</v>
      </c>
      <c r="B125" s="7">
        <v>12935.0</v>
      </c>
      <c r="C125" s="7" t="s">
        <v>4466</v>
      </c>
      <c r="D125" s="7" t="s">
        <v>4467</v>
      </c>
      <c r="E125" s="7" t="s">
        <v>4468</v>
      </c>
      <c r="F125" s="7" t="s">
        <v>4469</v>
      </c>
      <c r="G125" s="7" t="s">
        <v>4470</v>
      </c>
      <c r="H125" s="7" t="s">
        <v>4471</v>
      </c>
      <c r="I125" s="119">
        <v>45292.0</v>
      </c>
      <c r="K125" s="7" t="s">
        <v>419</v>
      </c>
      <c r="L125" s="7" t="s">
        <v>991</v>
      </c>
      <c r="M125" s="7" t="s">
        <v>3501</v>
      </c>
      <c r="N125" s="7" t="s">
        <v>419</v>
      </c>
      <c r="O125" s="7" t="s">
        <v>19440</v>
      </c>
      <c r="P125" s="7" t="s">
        <v>613</v>
      </c>
      <c r="Q125" s="7" t="s">
        <v>104</v>
      </c>
      <c r="R125" s="7" t="s">
        <v>19738</v>
      </c>
      <c r="S125" s="7" t="s">
        <v>19739</v>
      </c>
      <c r="T125" s="7" t="s">
        <v>4473</v>
      </c>
      <c r="U125" s="7" t="s">
        <v>3843</v>
      </c>
      <c r="V125" s="7">
        <v>1.0</v>
      </c>
    </row>
    <row r="126">
      <c r="A126" s="7" t="s">
        <v>19740</v>
      </c>
      <c r="B126" s="7">
        <v>8207.0</v>
      </c>
      <c r="C126" s="7" t="s">
        <v>4475</v>
      </c>
      <c r="D126" s="7" t="s">
        <v>4476</v>
      </c>
      <c r="E126" s="7" t="s">
        <v>4477</v>
      </c>
      <c r="F126" s="7" t="s">
        <v>4478</v>
      </c>
      <c r="G126" s="7" t="s">
        <v>4479</v>
      </c>
      <c r="H126" s="7" t="s">
        <v>4480</v>
      </c>
      <c r="I126" s="119">
        <v>45292.0</v>
      </c>
      <c r="K126" s="7" t="s">
        <v>419</v>
      </c>
      <c r="L126" s="7" t="s">
        <v>991</v>
      </c>
      <c r="M126" s="7" t="s">
        <v>3531</v>
      </c>
      <c r="N126" s="7" t="s">
        <v>419</v>
      </c>
      <c r="O126" s="7" t="s">
        <v>19430</v>
      </c>
      <c r="P126" s="7" t="s">
        <v>717</v>
      </c>
      <c r="Q126" s="7" t="s">
        <v>725</v>
      </c>
      <c r="R126" s="7" t="s">
        <v>19741</v>
      </c>
      <c r="S126" s="7" t="s">
        <v>19742</v>
      </c>
      <c r="T126" s="7" t="s">
        <v>4482</v>
      </c>
      <c r="U126" s="7" t="s">
        <v>3493</v>
      </c>
      <c r="V126" s="7">
        <v>1.0</v>
      </c>
    </row>
    <row r="127">
      <c r="A127" s="7" t="s">
        <v>19743</v>
      </c>
      <c r="B127" s="7">
        <v>14324.0</v>
      </c>
      <c r="C127" s="7" t="s">
        <v>4484</v>
      </c>
      <c r="D127" s="7" t="s">
        <v>4485</v>
      </c>
      <c r="E127" s="7" t="s">
        <v>4486</v>
      </c>
      <c r="F127" s="7" t="s">
        <v>4487</v>
      </c>
      <c r="G127" s="7" t="s">
        <v>4488</v>
      </c>
      <c r="H127" s="7" t="s">
        <v>4489</v>
      </c>
      <c r="I127" s="119">
        <v>45292.0</v>
      </c>
      <c r="K127" s="7" t="s">
        <v>3885</v>
      </c>
      <c r="L127" s="7" t="s">
        <v>3542</v>
      </c>
      <c r="M127" s="7" t="s">
        <v>3543</v>
      </c>
      <c r="N127" s="7" t="s">
        <v>419</v>
      </c>
      <c r="O127" s="7" t="s">
        <v>19432</v>
      </c>
      <c r="P127" s="7" t="s">
        <v>391</v>
      </c>
      <c r="Q127" s="7" t="s">
        <v>890</v>
      </c>
      <c r="R127" s="7" t="s">
        <v>19744</v>
      </c>
      <c r="T127" s="7" t="s">
        <v>7846</v>
      </c>
      <c r="U127" s="7" t="s">
        <v>3493</v>
      </c>
      <c r="V127" s="7">
        <v>1.0</v>
      </c>
    </row>
    <row r="128">
      <c r="A128" s="7" t="s">
        <v>19745</v>
      </c>
      <c r="B128" s="7">
        <v>2200295.0</v>
      </c>
      <c r="C128" s="7" t="s">
        <v>4493</v>
      </c>
      <c r="D128" s="7" t="s">
        <v>4494</v>
      </c>
      <c r="E128" s="7" t="s">
        <v>4495</v>
      </c>
      <c r="F128" s="7" t="s">
        <v>4496</v>
      </c>
      <c r="G128" s="7" t="s">
        <v>4497</v>
      </c>
      <c r="H128" s="7" t="s">
        <v>4498</v>
      </c>
      <c r="I128" s="119">
        <v>45292.0</v>
      </c>
      <c r="K128" s="7" t="s">
        <v>419</v>
      </c>
      <c r="L128" s="7" t="s">
        <v>991</v>
      </c>
      <c r="M128" s="7" t="s">
        <v>3501</v>
      </c>
      <c r="N128" s="7" t="s">
        <v>419</v>
      </c>
      <c r="O128" s="7" t="s">
        <v>19433</v>
      </c>
      <c r="P128" s="7" t="s">
        <v>648</v>
      </c>
      <c r="Q128" s="7" t="s">
        <v>141</v>
      </c>
      <c r="T128" s="7" t="s">
        <v>4500</v>
      </c>
      <c r="U128" s="7" t="s">
        <v>3493</v>
      </c>
      <c r="V128" s="7">
        <v>1.0</v>
      </c>
    </row>
    <row r="129">
      <c r="A129" s="7" t="s">
        <v>19746</v>
      </c>
      <c r="B129" s="7">
        <v>2100653.0</v>
      </c>
      <c r="C129" s="7" t="s">
        <v>4502</v>
      </c>
      <c r="D129" s="7" t="s">
        <v>4503</v>
      </c>
      <c r="E129" s="7" t="s">
        <v>4504</v>
      </c>
      <c r="F129" s="7" t="s">
        <v>3692</v>
      </c>
      <c r="G129" s="7" t="s">
        <v>4505</v>
      </c>
      <c r="H129" s="7" t="s">
        <v>4506</v>
      </c>
      <c r="I129" s="119">
        <v>45292.0</v>
      </c>
      <c r="K129" s="7" t="s">
        <v>419</v>
      </c>
      <c r="L129" s="7" t="s">
        <v>991</v>
      </c>
      <c r="M129" s="7" t="s">
        <v>3501</v>
      </c>
      <c r="N129" s="7" t="s">
        <v>419</v>
      </c>
      <c r="O129" s="7" t="s">
        <v>19437</v>
      </c>
      <c r="P129" s="7" t="s">
        <v>440</v>
      </c>
      <c r="Q129" s="7" t="s">
        <v>441</v>
      </c>
      <c r="R129" s="7" t="s">
        <v>19669</v>
      </c>
      <c r="S129" s="7" t="s">
        <v>19747</v>
      </c>
      <c r="T129" s="7" t="s">
        <v>7396</v>
      </c>
      <c r="U129" s="7" t="s">
        <v>3843</v>
      </c>
      <c r="V129" s="7">
        <v>1.0</v>
      </c>
    </row>
    <row r="130">
      <c r="A130" s="7" t="s">
        <v>19748</v>
      </c>
      <c r="B130" s="7">
        <v>10544.0</v>
      </c>
      <c r="C130" s="7" t="s">
        <v>4502</v>
      </c>
      <c r="D130" s="7" t="s">
        <v>4510</v>
      </c>
      <c r="E130" s="7" t="s">
        <v>4504</v>
      </c>
      <c r="F130" s="7" t="s">
        <v>4511</v>
      </c>
      <c r="G130" s="7" t="s">
        <v>4512</v>
      </c>
      <c r="H130" s="7" t="s">
        <v>4513</v>
      </c>
      <c r="I130" s="119">
        <v>45292.0</v>
      </c>
      <c r="K130" s="7" t="s">
        <v>419</v>
      </c>
      <c r="L130" s="7" t="s">
        <v>991</v>
      </c>
      <c r="M130" s="7" t="s">
        <v>3501</v>
      </c>
      <c r="N130" s="7" t="s">
        <v>419</v>
      </c>
      <c r="O130" s="7" t="s">
        <v>19443</v>
      </c>
      <c r="P130" s="7" t="s">
        <v>1242</v>
      </c>
      <c r="Q130" s="7" t="s">
        <v>48</v>
      </c>
      <c r="R130" s="7" t="s">
        <v>19700</v>
      </c>
      <c r="S130" s="7" t="s">
        <v>19749</v>
      </c>
      <c r="T130" s="7" t="s">
        <v>4515</v>
      </c>
      <c r="U130" s="7" t="s">
        <v>3493</v>
      </c>
      <c r="V130" s="7">
        <v>1.0</v>
      </c>
    </row>
    <row r="131">
      <c r="A131" s="7" t="s">
        <v>19750</v>
      </c>
      <c r="B131" s="7">
        <v>13921.0</v>
      </c>
      <c r="C131" s="7" t="s">
        <v>4502</v>
      </c>
      <c r="D131" s="7" t="s">
        <v>4517</v>
      </c>
      <c r="E131" s="7" t="s">
        <v>4504</v>
      </c>
      <c r="F131" s="7" t="s">
        <v>4518</v>
      </c>
      <c r="G131" s="7" t="s">
        <v>4519</v>
      </c>
      <c r="H131" s="7" t="s">
        <v>4520</v>
      </c>
      <c r="I131" s="119">
        <v>45292.0</v>
      </c>
      <c r="K131" s="7" t="s">
        <v>419</v>
      </c>
      <c r="L131" s="7" t="s">
        <v>991</v>
      </c>
      <c r="M131" s="7" t="s">
        <v>3501</v>
      </c>
      <c r="N131" s="7" t="s">
        <v>419</v>
      </c>
      <c r="O131" s="7" t="s">
        <v>19437</v>
      </c>
      <c r="P131" s="7" t="s">
        <v>478</v>
      </c>
      <c r="Q131" s="7" t="s">
        <v>484</v>
      </c>
      <c r="R131" s="7" t="s">
        <v>19751</v>
      </c>
      <c r="T131" s="7" t="s">
        <v>19752</v>
      </c>
      <c r="U131" s="7" t="s">
        <v>3604</v>
      </c>
      <c r="V131" s="7">
        <v>1.0</v>
      </c>
    </row>
    <row r="132">
      <c r="A132" s="7" t="s">
        <v>19753</v>
      </c>
      <c r="B132" s="7">
        <v>2100104.0</v>
      </c>
      <c r="C132" s="7" t="s">
        <v>4502</v>
      </c>
      <c r="D132" s="7" t="s">
        <v>4524</v>
      </c>
      <c r="E132" s="7" t="s">
        <v>4504</v>
      </c>
      <c r="F132" s="7" t="s">
        <v>4525</v>
      </c>
      <c r="G132" s="7" t="s">
        <v>4526</v>
      </c>
      <c r="H132" s="7" t="s">
        <v>4527</v>
      </c>
      <c r="I132" s="119">
        <v>45292.0</v>
      </c>
      <c r="K132" s="7" t="s">
        <v>419</v>
      </c>
      <c r="L132" s="7" t="s">
        <v>991</v>
      </c>
      <c r="M132" s="7" t="s">
        <v>3501</v>
      </c>
      <c r="N132" s="7" t="s">
        <v>419</v>
      </c>
      <c r="O132" s="7" t="s">
        <v>19443</v>
      </c>
      <c r="P132" s="7" t="s">
        <v>323</v>
      </c>
      <c r="Q132" s="7" t="s">
        <v>824</v>
      </c>
      <c r="R132" s="7" t="s">
        <v>19698</v>
      </c>
      <c r="S132" s="7" t="s">
        <v>19754</v>
      </c>
      <c r="T132" s="7" t="s">
        <v>19755</v>
      </c>
      <c r="U132" s="7" t="s">
        <v>3843</v>
      </c>
      <c r="V132" s="7">
        <v>1.0</v>
      </c>
    </row>
    <row r="133">
      <c r="A133" s="7" t="s">
        <v>19756</v>
      </c>
      <c r="B133" s="7">
        <v>2100569.0</v>
      </c>
      <c r="C133" s="7" t="s">
        <v>4502</v>
      </c>
      <c r="D133" s="7" t="s">
        <v>4532</v>
      </c>
      <c r="E133" s="7" t="s">
        <v>4504</v>
      </c>
      <c r="F133" s="7" t="s">
        <v>3748</v>
      </c>
      <c r="G133" s="7" t="s">
        <v>4533</v>
      </c>
      <c r="H133" s="7" t="s">
        <v>4534</v>
      </c>
      <c r="I133" s="119">
        <v>45292.0</v>
      </c>
      <c r="K133" s="7" t="s">
        <v>419</v>
      </c>
      <c r="L133" s="7" t="s">
        <v>991</v>
      </c>
      <c r="M133" s="7" t="s">
        <v>3501</v>
      </c>
      <c r="N133" s="7" t="s">
        <v>419</v>
      </c>
      <c r="O133" s="7" t="s">
        <v>19443</v>
      </c>
      <c r="P133" s="7" t="s">
        <v>1242</v>
      </c>
      <c r="Q133" s="7" t="s">
        <v>39</v>
      </c>
      <c r="R133" s="7" t="s">
        <v>19757</v>
      </c>
      <c r="T133" s="7" t="s">
        <v>4536</v>
      </c>
      <c r="U133" s="7" t="s">
        <v>3493</v>
      </c>
      <c r="V133" s="7">
        <v>1.0</v>
      </c>
    </row>
    <row r="134">
      <c r="A134" s="7" t="s">
        <v>19758</v>
      </c>
      <c r="B134" s="7">
        <v>2200008.0</v>
      </c>
      <c r="C134" s="7" t="s">
        <v>4502</v>
      </c>
      <c r="D134" s="7" t="s">
        <v>4538</v>
      </c>
      <c r="E134" s="7" t="s">
        <v>4504</v>
      </c>
      <c r="F134" s="7" t="s">
        <v>4539</v>
      </c>
      <c r="G134" s="7" t="s">
        <v>4540</v>
      </c>
      <c r="H134" s="7" t="s">
        <v>4541</v>
      </c>
      <c r="I134" s="119">
        <v>45292.0</v>
      </c>
      <c r="K134" s="7" t="s">
        <v>3632</v>
      </c>
      <c r="L134" s="7" t="s">
        <v>991</v>
      </c>
      <c r="M134" s="7" t="s">
        <v>3501</v>
      </c>
      <c r="N134" s="7" t="s">
        <v>3632</v>
      </c>
      <c r="O134" s="7" t="s">
        <v>3632</v>
      </c>
      <c r="P134" s="7" t="s">
        <v>3463</v>
      </c>
      <c r="Q134" s="7" t="s">
        <v>356</v>
      </c>
      <c r="R134" s="7" t="s">
        <v>19759</v>
      </c>
      <c r="T134" s="7" t="s">
        <v>18604</v>
      </c>
      <c r="U134" s="7" t="s">
        <v>3493</v>
      </c>
      <c r="V134" s="7">
        <v>1.0</v>
      </c>
    </row>
    <row r="135">
      <c r="A135" s="7" t="s">
        <v>19760</v>
      </c>
      <c r="B135" s="7">
        <v>12459.0</v>
      </c>
      <c r="C135" s="7" t="s">
        <v>4502</v>
      </c>
      <c r="D135" s="7" t="s">
        <v>4545</v>
      </c>
      <c r="E135" s="7" t="s">
        <v>4504</v>
      </c>
      <c r="F135" s="7" t="s">
        <v>4546</v>
      </c>
      <c r="G135" s="7" t="s">
        <v>4547</v>
      </c>
      <c r="H135" s="7" t="s">
        <v>4548</v>
      </c>
      <c r="I135" s="119">
        <v>45292.0</v>
      </c>
      <c r="K135" s="7" t="s">
        <v>419</v>
      </c>
      <c r="L135" s="7" t="s">
        <v>991</v>
      </c>
      <c r="M135" s="7" t="s">
        <v>3490</v>
      </c>
      <c r="N135" s="7" t="s">
        <v>419</v>
      </c>
      <c r="O135" s="7" t="s">
        <v>19430</v>
      </c>
      <c r="P135" s="7" t="s">
        <v>717</v>
      </c>
      <c r="Q135" s="7" t="s">
        <v>725</v>
      </c>
      <c r="R135" s="7" t="s">
        <v>19501</v>
      </c>
      <c r="T135" s="7" t="s">
        <v>14257</v>
      </c>
      <c r="U135" s="7" t="s">
        <v>3493</v>
      </c>
      <c r="V135" s="7">
        <v>1.0</v>
      </c>
    </row>
    <row r="136">
      <c r="A136" s="7" t="s">
        <v>19761</v>
      </c>
      <c r="B136" s="7">
        <v>14310.0</v>
      </c>
      <c r="C136" s="7" t="s">
        <v>4502</v>
      </c>
      <c r="D136" s="7" t="s">
        <v>4554</v>
      </c>
      <c r="E136" s="7" t="s">
        <v>4504</v>
      </c>
      <c r="F136" s="7" t="s">
        <v>4469</v>
      </c>
      <c r="G136" s="7" t="s">
        <v>4555</v>
      </c>
      <c r="H136" s="7" t="s">
        <v>4556</v>
      </c>
      <c r="I136" s="119">
        <v>45292.0</v>
      </c>
      <c r="K136" s="7" t="s">
        <v>419</v>
      </c>
      <c r="L136" s="7" t="s">
        <v>991</v>
      </c>
      <c r="M136" s="7" t="s">
        <v>3531</v>
      </c>
      <c r="N136" s="7" t="s">
        <v>419</v>
      </c>
      <c r="O136" s="7" t="s">
        <v>19430</v>
      </c>
      <c r="P136" s="7" t="s">
        <v>717</v>
      </c>
      <c r="Q136" s="7" t="s">
        <v>1163</v>
      </c>
      <c r="R136" s="7" t="s">
        <v>19546</v>
      </c>
      <c r="S136" s="7" t="s">
        <v>19762</v>
      </c>
      <c r="T136" s="7" t="s">
        <v>4558</v>
      </c>
      <c r="U136" s="7" t="s">
        <v>3493</v>
      </c>
      <c r="V136" s="7">
        <v>1.0</v>
      </c>
    </row>
    <row r="137">
      <c r="A137" s="7" t="s">
        <v>19763</v>
      </c>
      <c r="B137" s="7">
        <v>12851.0</v>
      </c>
      <c r="C137" s="7" t="s">
        <v>4502</v>
      </c>
      <c r="D137" s="7" t="s">
        <v>4560</v>
      </c>
      <c r="E137" s="7" t="s">
        <v>4504</v>
      </c>
      <c r="F137" s="7" t="s">
        <v>4561</v>
      </c>
      <c r="G137" s="7" t="s">
        <v>4562</v>
      </c>
      <c r="H137" s="7" t="s">
        <v>4563</v>
      </c>
      <c r="I137" s="119">
        <v>45292.0</v>
      </c>
      <c r="K137" s="7" t="s">
        <v>419</v>
      </c>
      <c r="L137" s="7" t="s">
        <v>991</v>
      </c>
      <c r="M137" s="7" t="s">
        <v>3501</v>
      </c>
      <c r="N137" s="7" t="s">
        <v>419</v>
      </c>
      <c r="O137" s="7" t="s">
        <v>19430</v>
      </c>
      <c r="P137" s="7" t="s">
        <v>717</v>
      </c>
      <c r="Q137" s="7" t="s">
        <v>223</v>
      </c>
      <c r="R137" s="7" t="s">
        <v>19764</v>
      </c>
      <c r="S137" s="7" t="s">
        <v>19765</v>
      </c>
      <c r="T137" s="7" t="s">
        <v>4565</v>
      </c>
      <c r="U137" s="7" t="s">
        <v>3493</v>
      </c>
      <c r="V137" s="7">
        <v>1.0</v>
      </c>
    </row>
    <row r="138">
      <c r="A138" s="7" t="s">
        <v>19766</v>
      </c>
      <c r="B138" s="7">
        <v>2300682.0</v>
      </c>
      <c r="C138" s="7" t="s">
        <v>4502</v>
      </c>
      <c r="D138" s="7" t="s">
        <v>4567</v>
      </c>
      <c r="E138" s="7" t="s">
        <v>4504</v>
      </c>
      <c r="F138" s="7" t="s">
        <v>3831</v>
      </c>
      <c r="G138" s="7" t="s">
        <v>4568</v>
      </c>
      <c r="H138" s="7" t="s">
        <v>4569</v>
      </c>
      <c r="I138" s="119">
        <v>45292.0</v>
      </c>
      <c r="K138" s="7" t="s">
        <v>419</v>
      </c>
      <c r="L138" s="7" t="s">
        <v>991</v>
      </c>
      <c r="M138" s="7" t="s">
        <v>3583</v>
      </c>
      <c r="N138" s="7" t="s">
        <v>419</v>
      </c>
      <c r="O138" s="7" t="s">
        <v>19440</v>
      </c>
      <c r="P138" s="7" t="s">
        <v>613</v>
      </c>
      <c r="Q138" s="7" t="s">
        <v>106</v>
      </c>
      <c r="T138" s="7" t="s">
        <v>19441</v>
      </c>
      <c r="U138" s="7" t="s">
        <v>3493</v>
      </c>
      <c r="V138" s="7">
        <v>1.0</v>
      </c>
    </row>
    <row r="139">
      <c r="A139" s="7" t="s">
        <v>19767</v>
      </c>
      <c r="B139" s="7">
        <v>2300657.0</v>
      </c>
      <c r="C139" s="7" t="s">
        <v>4502</v>
      </c>
      <c r="D139" s="7" t="s">
        <v>4573</v>
      </c>
      <c r="E139" s="7" t="s">
        <v>4504</v>
      </c>
      <c r="F139" s="7" t="s">
        <v>3909</v>
      </c>
      <c r="G139" s="7" t="s">
        <v>4574</v>
      </c>
      <c r="H139" s="7" t="s">
        <v>4575</v>
      </c>
      <c r="I139" s="119">
        <v>45292.0</v>
      </c>
      <c r="K139" s="7" t="s">
        <v>3632</v>
      </c>
      <c r="L139" s="7" t="s">
        <v>991</v>
      </c>
      <c r="M139" s="7" t="s">
        <v>3531</v>
      </c>
      <c r="N139" s="7" t="s">
        <v>3632</v>
      </c>
      <c r="O139" s="7" t="s">
        <v>3632</v>
      </c>
      <c r="P139" s="7" t="s">
        <v>625</v>
      </c>
      <c r="Q139" s="7" t="s">
        <v>118</v>
      </c>
      <c r="R139" s="7" t="s">
        <v>19768</v>
      </c>
      <c r="T139" s="7" t="s">
        <v>4577</v>
      </c>
      <c r="U139" s="7" t="s">
        <v>3493</v>
      </c>
      <c r="V139" s="7">
        <v>1.0</v>
      </c>
    </row>
    <row r="140">
      <c r="A140" s="7" t="s">
        <v>19769</v>
      </c>
      <c r="B140" s="7">
        <v>10975.0</v>
      </c>
      <c r="C140" s="7" t="s">
        <v>4502</v>
      </c>
      <c r="D140" s="7" t="s">
        <v>4579</v>
      </c>
      <c r="E140" s="7" t="s">
        <v>4504</v>
      </c>
      <c r="F140" s="7" t="s">
        <v>3909</v>
      </c>
      <c r="G140" s="7" t="s">
        <v>4580</v>
      </c>
      <c r="H140" s="7" t="s">
        <v>4581</v>
      </c>
      <c r="I140" s="119">
        <v>45292.0</v>
      </c>
      <c r="K140" s="7" t="s">
        <v>419</v>
      </c>
      <c r="L140" s="7" t="s">
        <v>991</v>
      </c>
      <c r="M140" s="7" t="s">
        <v>3501</v>
      </c>
      <c r="N140" s="7" t="s">
        <v>419</v>
      </c>
      <c r="O140" s="7" t="s">
        <v>19430</v>
      </c>
      <c r="P140" s="7" t="s">
        <v>780</v>
      </c>
      <c r="Q140" s="7" t="s">
        <v>786</v>
      </c>
      <c r="R140" s="7" t="s">
        <v>19666</v>
      </c>
      <c r="T140" s="7" t="s">
        <v>4169</v>
      </c>
      <c r="U140" s="7" t="s">
        <v>3493</v>
      </c>
      <c r="V140" s="7">
        <v>1.0</v>
      </c>
    </row>
    <row r="141">
      <c r="A141" s="7" t="s">
        <v>19770</v>
      </c>
      <c r="B141" s="7">
        <v>2300639.0</v>
      </c>
      <c r="C141" s="7" t="s">
        <v>4502</v>
      </c>
      <c r="D141" s="7" t="s">
        <v>4583</v>
      </c>
      <c r="E141" s="7" t="s">
        <v>4504</v>
      </c>
      <c r="F141" s="7" t="s">
        <v>4584</v>
      </c>
      <c r="G141" s="7" t="s">
        <v>4585</v>
      </c>
      <c r="H141" s="7" t="s">
        <v>4586</v>
      </c>
      <c r="I141" s="119">
        <v>45292.0</v>
      </c>
      <c r="K141" s="7" t="s">
        <v>419</v>
      </c>
      <c r="L141" s="7" t="s">
        <v>991</v>
      </c>
      <c r="M141" s="7" t="s">
        <v>3501</v>
      </c>
      <c r="N141" s="7" t="s">
        <v>419</v>
      </c>
      <c r="O141" s="7" t="s">
        <v>19443</v>
      </c>
      <c r="P141" s="7" t="s">
        <v>323</v>
      </c>
      <c r="Q141" s="7" t="s">
        <v>824</v>
      </c>
      <c r="R141" s="7" t="s">
        <v>19771</v>
      </c>
      <c r="T141" s="7" t="s">
        <v>12660</v>
      </c>
      <c r="U141" s="7" t="s">
        <v>3493</v>
      </c>
      <c r="V141" s="7">
        <v>1.0</v>
      </c>
    </row>
    <row r="142">
      <c r="A142" s="7" t="s">
        <v>19772</v>
      </c>
      <c r="B142" s="7">
        <v>2100485.0</v>
      </c>
      <c r="C142" s="7" t="s">
        <v>4502</v>
      </c>
      <c r="D142" s="7" t="s">
        <v>4590</v>
      </c>
      <c r="E142" s="7" t="s">
        <v>4504</v>
      </c>
      <c r="F142" s="7" t="s">
        <v>4203</v>
      </c>
      <c r="G142" s="7" t="s">
        <v>4591</v>
      </c>
      <c r="H142" s="7" t="s">
        <v>4592</v>
      </c>
      <c r="I142" s="119">
        <v>45292.0</v>
      </c>
      <c r="K142" s="7" t="s">
        <v>419</v>
      </c>
      <c r="L142" s="7" t="s">
        <v>991</v>
      </c>
      <c r="M142" s="7" t="s">
        <v>3501</v>
      </c>
      <c r="N142" s="7" t="s">
        <v>419</v>
      </c>
      <c r="O142" s="7" t="s">
        <v>19437</v>
      </c>
      <c r="P142" s="7" t="s">
        <v>440</v>
      </c>
      <c r="Q142" s="7" t="s">
        <v>924</v>
      </c>
      <c r="R142" s="7" t="s">
        <v>19773</v>
      </c>
      <c r="S142" s="7" t="s">
        <v>19774</v>
      </c>
      <c r="T142" s="7" t="s">
        <v>4594</v>
      </c>
      <c r="U142" s="7" t="s">
        <v>3493</v>
      </c>
      <c r="V142" s="7">
        <v>1.0</v>
      </c>
    </row>
    <row r="143">
      <c r="A143" s="7" t="s">
        <v>19775</v>
      </c>
      <c r="B143" s="7">
        <v>715.0</v>
      </c>
      <c r="C143" s="7" t="s">
        <v>4596</v>
      </c>
      <c r="D143" s="7" t="s">
        <v>4597</v>
      </c>
      <c r="E143" s="7" t="s">
        <v>4504</v>
      </c>
      <c r="F143" s="7" t="s">
        <v>4598</v>
      </c>
      <c r="G143" s="7" t="s">
        <v>4599</v>
      </c>
      <c r="H143" s="7" t="s">
        <v>4600</v>
      </c>
      <c r="I143" s="119">
        <v>45292.0</v>
      </c>
      <c r="K143" s="7" t="s">
        <v>419</v>
      </c>
      <c r="L143" s="7" t="s">
        <v>991</v>
      </c>
      <c r="M143" s="7" t="s">
        <v>3501</v>
      </c>
      <c r="N143" s="7" t="s">
        <v>419</v>
      </c>
      <c r="O143" s="7" t="s">
        <v>19432</v>
      </c>
      <c r="P143" s="7" t="s">
        <v>391</v>
      </c>
      <c r="Q143" s="7" t="s">
        <v>392</v>
      </c>
      <c r="R143" s="7" t="s">
        <v>19534</v>
      </c>
      <c r="T143" s="7" t="s">
        <v>5350</v>
      </c>
      <c r="U143" s="7" t="s">
        <v>3493</v>
      </c>
      <c r="V143" s="7">
        <v>1.0</v>
      </c>
    </row>
    <row r="144">
      <c r="A144" s="7" t="s">
        <v>19776</v>
      </c>
      <c r="B144" s="7">
        <v>2300268.0</v>
      </c>
      <c r="C144" s="7" t="s">
        <v>4502</v>
      </c>
      <c r="D144" s="7" t="s">
        <v>3837</v>
      </c>
      <c r="E144" s="7" t="s">
        <v>4504</v>
      </c>
      <c r="F144" s="7" t="s">
        <v>3838</v>
      </c>
      <c r="G144" s="7" t="s">
        <v>4603</v>
      </c>
      <c r="H144" s="7" t="s">
        <v>4604</v>
      </c>
      <c r="I144" s="119">
        <v>45292.0</v>
      </c>
      <c r="K144" s="7" t="s">
        <v>419</v>
      </c>
      <c r="L144" s="7" t="s">
        <v>991</v>
      </c>
      <c r="M144" s="7" t="s">
        <v>3501</v>
      </c>
      <c r="N144" s="7" t="s">
        <v>419</v>
      </c>
      <c r="O144" s="7" t="s">
        <v>19430</v>
      </c>
      <c r="P144" s="7" t="s">
        <v>717</v>
      </c>
      <c r="Q144" s="7" t="s">
        <v>720</v>
      </c>
      <c r="R144" s="7" t="s">
        <v>19542</v>
      </c>
      <c r="S144" s="7" t="s">
        <v>19659</v>
      </c>
      <c r="T144" s="7" t="s">
        <v>4606</v>
      </c>
      <c r="U144" s="7" t="s">
        <v>3493</v>
      </c>
      <c r="V144" s="7">
        <v>1.0</v>
      </c>
    </row>
    <row r="145">
      <c r="A145" s="7" t="s">
        <v>19777</v>
      </c>
      <c r="B145" s="7">
        <v>2200344.0</v>
      </c>
      <c r="C145" s="7" t="s">
        <v>4608</v>
      </c>
      <c r="D145" s="7" t="s">
        <v>3578</v>
      </c>
      <c r="E145" s="7" t="s">
        <v>4609</v>
      </c>
      <c r="F145" s="7" t="s">
        <v>3580</v>
      </c>
      <c r="G145" s="7" t="s">
        <v>4610</v>
      </c>
      <c r="H145" s="7" t="s">
        <v>4611</v>
      </c>
      <c r="I145" s="119">
        <v>45292.0</v>
      </c>
      <c r="K145" s="7" t="s">
        <v>419</v>
      </c>
      <c r="L145" s="7" t="s">
        <v>991</v>
      </c>
      <c r="M145" s="7" t="s">
        <v>3501</v>
      </c>
      <c r="N145" s="7" t="s">
        <v>419</v>
      </c>
      <c r="O145" s="7" t="s">
        <v>19443</v>
      </c>
      <c r="P145" s="7" t="s">
        <v>323</v>
      </c>
      <c r="Q145" s="7" t="s">
        <v>819</v>
      </c>
      <c r="R145" s="7" t="s">
        <v>19778</v>
      </c>
      <c r="S145" s="7" t="s">
        <v>19779</v>
      </c>
      <c r="T145" s="7" t="s">
        <v>19780</v>
      </c>
      <c r="U145" s="7" t="s">
        <v>3843</v>
      </c>
      <c r="V145" s="7">
        <v>1.0</v>
      </c>
    </row>
    <row r="146">
      <c r="A146" s="7" t="s">
        <v>19781</v>
      </c>
      <c r="B146" s="7">
        <v>2200707.0</v>
      </c>
      <c r="C146" s="7" t="s">
        <v>4608</v>
      </c>
      <c r="D146" s="7" t="s">
        <v>4615</v>
      </c>
      <c r="E146" s="7" t="s">
        <v>4609</v>
      </c>
      <c r="F146" s="7" t="s">
        <v>4616</v>
      </c>
      <c r="G146" s="7" t="s">
        <v>4617</v>
      </c>
      <c r="H146" s="7" t="s">
        <v>4618</v>
      </c>
      <c r="I146" s="119">
        <v>45292.0</v>
      </c>
      <c r="K146" s="7" t="s">
        <v>4042</v>
      </c>
      <c r="L146" s="7" t="s">
        <v>991</v>
      </c>
      <c r="M146" s="7" t="s">
        <v>3501</v>
      </c>
      <c r="N146" s="7" t="s">
        <v>4042</v>
      </c>
      <c r="O146" s="7" t="s">
        <v>4042</v>
      </c>
      <c r="P146" s="7" t="s">
        <v>19632</v>
      </c>
      <c r="T146" s="7" t="s">
        <v>4044</v>
      </c>
      <c r="U146" s="7" t="s">
        <v>3493</v>
      </c>
      <c r="V146" s="7">
        <v>1.0</v>
      </c>
    </row>
    <row r="147">
      <c r="A147" s="7" t="s">
        <v>19782</v>
      </c>
      <c r="B147" s="7">
        <v>1036.0</v>
      </c>
      <c r="C147" s="7" t="s">
        <v>4608</v>
      </c>
      <c r="D147" s="7" t="s">
        <v>4620</v>
      </c>
      <c r="E147" s="7" t="s">
        <v>4609</v>
      </c>
      <c r="F147" s="7" t="s">
        <v>3792</v>
      </c>
      <c r="G147" s="7" t="s">
        <v>4621</v>
      </c>
      <c r="H147" s="7" t="s">
        <v>4622</v>
      </c>
      <c r="I147" s="119">
        <v>45292.0</v>
      </c>
      <c r="K147" s="7" t="s">
        <v>419</v>
      </c>
      <c r="L147" s="7" t="s">
        <v>991</v>
      </c>
      <c r="M147" s="7" t="s">
        <v>3501</v>
      </c>
      <c r="N147" s="7" t="s">
        <v>419</v>
      </c>
      <c r="O147" s="7" t="s">
        <v>19432</v>
      </c>
      <c r="P147" s="7" t="s">
        <v>693</v>
      </c>
      <c r="Q147" s="7" t="s">
        <v>698</v>
      </c>
      <c r="R147" s="7" t="s">
        <v>19783</v>
      </c>
      <c r="S147" s="7" t="s">
        <v>19784</v>
      </c>
      <c r="T147" s="7" t="s">
        <v>4624</v>
      </c>
      <c r="U147" s="7" t="s">
        <v>3493</v>
      </c>
      <c r="V147" s="7">
        <v>1.0</v>
      </c>
    </row>
    <row r="148">
      <c r="A148" s="7" t="s">
        <v>19785</v>
      </c>
      <c r="B148" s="7">
        <v>2200714.0</v>
      </c>
      <c r="C148" s="7" t="s">
        <v>4608</v>
      </c>
      <c r="D148" s="7" t="s">
        <v>4626</v>
      </c>
      <c r="E148" s="7" t="s">
        <v>4609</v>
      </c>
      <c r="F148" s="7" t="s">
        <v>4627</v>
      </c>
      <c r="G148" s="7" t="s">
        <v>4628</v>
      </c>
      <c r="H148" s="7" t="s">
        <v>4629</v>
      </c>
      <c r="I148" s="119">
        <v>45292.0</v>
      </c>
      <c r="K148" s="7" t="s">
        <v>4042</v>
      </c>
      <c r="L148" s="7" t="s">
        <v>991</v>
      </c>
      <c r="M148" s="7" t="s">
        <v>3501</v>
      </c>
      <c r="N148" s="7" t="s">
        <v>4042</v>
      </c>
      <c r="O148" s="7" t="s">
        <v>4042</v>
      </c>
      <c r="P148" s="7" t="s">
        <v>19632</v>
      </c>
      <c r="T148" s="7" t="s">
        <v>4044</v>
      </c>
      <c r="U148" s="7" t="s">
        <v>3493</v>
      </c>
      <c r="V148" s="7">
        <v>1.0</v>
      </c>
    </row>
    <row r="149">
      <c r="A149" s="7" t="s">
        <v>19786</v>
      </c>
      <c r="B149" s="7">
        <v>13603.0</v>
      </c>
      <c r="C149" s="7" t="s">
        <v>4631</v>
      </c>
      <c r="D149" s="7" t="s">
        <v>4632</v>
      </c>
      <c r="E149" s="7" t="s">
        <v>4633</v>
      </c>
      <c r="F149" s="7" t="s">
        <v>4632</v>
      </c>
      <c r="G149" s="7" t="s">
        <v>4634</v>
      </c>
      <c r="H149" s="7" t="s">
        <v>4635</v>
      </c>
      <c r="I149" s="119">
        <v>45292.0</v>
      </c>
      <c r="K149" s="7" t="s">
        <v>419</v>
      </c>
      <c r="L149" s="7" t="s">
        <v>991</v>
      </c>
      <c r="M149" s="7" t="s">
        <v>3501</v>
      </c>
      <c r="N149" s="7" t="s">
        <v>419</v>
      </c>
      <c r="O149" s="7" t="s">
        <v>19430</v>
      </c>
      <c r="P149" s="7" t="s">
        <v>717</v>
      </c>
      <c r="Q149" s="7" t="s">
        <v>722</v>
      </c>
      <c r="R149" s="7" t="s">
        <v>19787</v>
      </c>
      <c r="S149" s="7" t="s">
        <v>19788</v>
      </c>
      <c r="T149" s="7" t="s">
        <v>4637</v>
      </c>
      <c r="U149" s="7" t="s">
        <v>3493</v>
      </c>
      <c r="V149" s="7">
        <v>1.0</v>
      </c>
    </row>
    <row r="150">
      <c r="A150" s="7" t="s">
        <v>19789</v>
      </c>
      <c r="B150" s="7">
        <v>2200698.0</v>
      </c>
      <c r="C150" s="7" t="s">
        <v>4639</v>
      </c>
      <c r="D150" s="7" t="s">
        <v>4640</v>
      </c>
      <c r="E150" s="7" t="s">
        <v>4633</v>
      </c>
      <c r="F150" s="7" t="s">
        <v>4641</v>
      </c>
      <c r="G150" s="7" t="s">
        <v>4642</v>
      </c>
      <c r="H150" s="7" t="s">
        <v>4643</v>
      </c>
      <c r="I150" s="119">
        <v>45292.0</v>
      </c>
      <c r="K150" s="7" t="s">
        <v>4042</v>
      </c>
      <c r="L150" s="7" t="s">
        <v>991</v>
      </c>
      <c r="M150" s="7" t="s">
        <v>4644</v>
      </c>
      <c r="N150" s="7" t="s">
        <v>4042</v>
      </c>
      <c r="O150" s="7" t="s">
        <v>4042</v>
      </c>
      <c r="P150" s="7" t="s">
        <v>19632</v>
      </c>
      <c r="T150" s="7" t="s">
        <v>4044</v>
      </c>
      <c r="U150" s="7" t="s">
        <v>420</v>
      </c>
      <c r="V150" s="7">
        <v>1.0</v>
      </c>
    </row>
    <row r="151">
      <c r="A151" s="7" t="s">
        <v>19790</v>
      </c>
      <c r="B151" s="7">
        <v>2200137.0</v>
      </c>
      <c r="C151" s="7" t="s">
        <v>4646</v>
      </c>
      <c r="D151" s="7" t="s">
        <v>4647</v>
      </c>
      <c r="E151" s="7" t="s">
        <v>4648</v>
      </c>
      <c r="F151" s="7" t="s">
        <v>3889</v>
      </c>
      <c r="G151" s="7" t="s">
        <v>4649</v>
      </c>
      <c r="H151" s="7" t="s">
        <v>4650</v>
      </c>
      <c r="I151" s="119">
        <v>45292.0</v>
      </c>
      <c r="K151" s="7" t="s">
        <v>419</v>
      </c>
      <c r="L151" s="7" t="s">
        <v>991</v>
      </c>
      <c r="M151" s="7" t="s">
        <v>3501</v>
      </c>
      <c r="N151" s="7" t="s">
        <v>419</v>
      </c>
      <c r="O151" s="7" t="s">
        <v>19430</v>
      </c>
      <c r="P151" s="7" t="s">
        <v>717</v>
      </c>
      <c r="Q151" s="7" t="s">
        <v>725</v>
      </c>
      <c r="R151" s="7" t="s">
        <v>19494</v>
      </c>
      <c r="S151" s="7" t="s">
        <v>19791</v>
      </c>
      <c r="T151" s="7" t="s">
        <v>4652</v>
      </c>
      <c r="U151" s="7" t="s">
        <v>3493</v>
      </c>
      <c r="V151" s="7">
        <v>1.0</v>
      </c>
    </row>
    <row r="152">
      <c r="A152" s="7" t="s">
        <v>19792</v>
      </c>
      <c r="B152" s="7">
        <v>13554.0</v>
      </c>
      <c r="C152" s="7" t="s">
        <v>4654</v>
      </c>
      <c r="D152" s="7" t="s">
        <v>4655</v>
      </c>
      <c r="E152" s="7" t="s">
        <v>4656</v>
      </c>
      <c r="F152" s="7" t="s">
        <v>4657</v>
      </c>
      <c r="G152" s="7" t="s">
        <v>4658</v>
      </c>
      <c r="H152" s="7" t="s">
        <v>4659</v>
      </c>
      <c r="I152" s="119">
        <v>45292.0</v>
      </c>
      <c r="K152" s="7" t="s">
        <v>419</v>
      </c>
      <c r="L152" s="7" t="s">
        <v>991</v>
      </c>
      <c r="M152" s="7" t="s">
        <v>3583</v>
      </c>
      <c r="N152" s="7" t="s">
        <v>419</v>
      </c>
      <c r="O152" s="7" t="s">
        <v>19437</v>
      </c>
      <c r="P152" s="7" t="s">
        <v>440</v>
      </c>
      <c r="Q152" s="7" t="s">
        <v>924</v>
      </c>
      <c r="R152" s="7" t="s">
        <v>19793</v>
      </c>
      <c r="S152" s="7" t="s">
        <v>19794</v>
      </c>
      <c r="T152" s="7" t="s">
        <v>4661</v>
      </c>
      <c r="U152" s="7" t="s">
        <v>3493</v>
      </c>
      <c r="V152" s="7">
        <v>1.0</v>
      </c>
    </row>
    <row r="153">
      <c r="A153" s="7" t="s">
        <v>19795</v>
      </c>
      <c r="B153" s="7">
        <v>3000270.0</v>
      </c>
      <c r="C153" s="7" t="s">
        <v>4663</v>
      </c>
      <c r="D153" s="7" t="s">
        <v>4664</v>
      </c>
      <c r="E153" s="7" t="s">
        <v>4665</v>
      </c>
      <c r="F153" s="7" t="s">
        <v>4666</v>
      </c>
      <c r="G153" s="7" t="s">
        <v>4667</v>
      </c>
      <c r="H153" s="7" t="s">
        <v>4668</v>
      </c>
      <c r="I153" s="119">
        <v>45566.0</v>
      </c>
      <c r="K153" s="7" t="s">
        <v>419</v>
      </c>
      <c r="L153" s="7" t="s">
        <v>991</v>
      </c>
      <c r="M153" s="7" t="s">
        <v>3501</v>
      </c>
      <c r="N153" s="7" t="s">
        <v>419</v>
      </c>
      <c r="O153" s="7" t="s">
        <v>19437</v>
      </c>
      <c r="P153" s="7" t="s">
        <v>478</v>
      </c>
      <c r="Q153" s="7" t="s">
        <v>487</v>
      </c>
      <c r="R153" s="7" t="s">
        <v>19796</v>
      </c>
      <c r="S153" s="7" t="s">
        <v>19797</v>
      </c>
      <c r="T153" s="7" t="s">
        <v>4670</v>
      </c>
      <c r="U153" s="7" t="s">
        <v>3493</v>
      </c>
      <c r="V153" s="7">
        <v>1.0</v>
      </c>
    </row>
    <row r="154">
      <c r="A154" s="7" t="s">
        <v>19798</v>
      </c>
      <c r="B154" s="7">
        <v>2300797.0</v>
      </c>
      <c r="C154" s="7" t="s">
        <v>4663</v>
      </c>
      <c r="D154" s="7" t="s">
        <v>4672</v>
      </c>
      <c r="E154" s="7" t="s">
        <v>4665</v>
      </c>
      <c r="F154" s="7" t="s">
        <v>4673</v>
      </c>
      <c r="G154" s="7" t="s">
        <v>4674</v>
      </c>
      <c r="I154" s="119">
        <v>45292.0</v>
      </c>
      <c r="K154" s="7" t="s">
        <v>419</v>
      </c>
      <c r="L154" s="7" t="s">
        <v>991</v>
      </c>
      <c r="M154" s="7" t="s">
        <v>3531</v>
      </c>
      <c r="N154" s="7" t="s">
        <v>419</v>
      </c>
      <c r="O154" s="7" t="s">
        <v>19430</v>
      </c>
      <c r="P154" s="7" t="s">
        <v>854</v>
      </c>
      <c r="Q154" s="7" t="s">
        <v>859</v>
      </c>
      <c r="T154" s="7" t="s">
        <v>3821</v>
      </c>
      <c r="U154" s="7" t="s">
        <v>3493</v>
      </c>
      <c r="V154" s="7">
        <v>1.0</v>
      </c>
    </row>
    <row r="155">
      <c r="A155" s="7" t="s">
        <v>19799</v>
      </c>
      <c r="B155" s="7">
        <v>12702.0</v>
      </c>
      <c r="C155" s="7" t="s">
        <v>4663</v>
      </c>
      <c r="D155" s="7" t="s">
        <v>4676</v>
      </c>
      <c r="E155" s="7" t="s">
        <v>4665</v>
      </c>
      <c r="F155" s="7" t="s">
        <v>4677</v>
      </c>
      <c r="G155" s="7" t="s">
        <v>4678</v>
      </c>
      <c r="H155" s="7" t="s">
        <v>4679</v>
      </c>
      <c r="I155" s="119">
        <v>45292.0</v>
      </c>
      <c r="K155" s="7" t="s">
        <v>419</v>
      </c>
      <c r="L155" s="7" t="s">
        <v>991</v>
      </c>
      <c r="M155" s="7" t="s">
        <v>3501</v>
      </c>
      <c r="N155" s="7" t="s">
        <v>419</v>
      </c>
      <c r="O155" s="7" t="s">
        <v>19430</v>
      </c>
      <c r="P155" s="7" t="s">
        <v>854</v>
      </c>
      <c r="Q155" s="7" t="s">
        <v>861</v>
      </c>
      <c r="R155" s="7" t="s">
        <v>19800</v>
      </c>
      <c r="S155" s="7" t="s">
        <v>19801</v>
      </c>
      <c r="T155" s="7" t="s">
        <v>4681</v>
      </c>
      <c r="U155" s="7" t="s">
        <v>3493</v>
      </c>
      <c r="V155" s="7">
        <v>1.0</v>
      </c>
    </row>
    <row r="156">
      <c r="A156" s="7" t="s">
        <v>19802</v>
      </c>
      <c r="B156" s="7">
        <v>2200585.0</v>
      </c>
      <c r="C156" s="7" t="s">
        <v>4663</v>
      </c>
      <c r="D156" s="7" t="s">
        <v>3597</v>
      </c>
      <c r="E156" s="7" t="s">
        <v>4665</v>
      </c>
      <c r="F156" s="7" t="s">
        <v>3599</v>
      </c>
      <c r="G156" s="7" t="s">
        <v>4683</v>
      </c>
      <c r="H156" s="7" t="s">
        <v>4684</v>
      </c>
      <c r="I156" s="119">
        <v>45292.0</v>
      </c>
      <c r="K156" s="7" t="s">
        <v>3622</v>
      </c>
      <c r="L156" s="7" t="s">
        <v>991</v>
      </c>
      <c r="M156" s="7" t="s">
        <v>3501</v>
      </c>
      <c r="N156" s="7" t="s">
        <v>3622</v>
      </c>
      <c r="O156" s="7" t="s">
        <v>3622</v>
      </c>
      <c r="P156" s="7" t="s">
        <v>19521</v>
      </c>
      <c r="T156" s="7" t="s">
        <v>3624</v>
      </c>
      <c r="U156" s="7" t="s">
        <v>3493</v>
      </c>
      <c r="V156" s="7">
        <v>1.0</v>
      </c>
    </row>
    <row r="157">
      <c r="A157" s="7" t="s">
        <v>2107</v>
      </c>
      <c r="B157" s="7">
        <v>12501.0</v>
      </c>
      <c r="C157" s="7" t="s">
        <v>4663</v>
      </c>
      <c r="D157" s="7" t="s">
        <v>4686</v>
      </c>
      <c r="E157" s="7" t="s">
        <v>4665</v>
      </c>
      <c r="F157" s="7" t="s">
        <v>4687</v>
      </c>
      <c r="G157" s="7" t="s">
        <v>4688</v>
      </c>
      <c r="H157" s="7" t="s">
        <v>4689</v>
      </c>
      <c r="I157" s="119">
        <v>45292.0</v>
      </c>
      <c r="K157" s="7" t="s">
        <v>419</v>
      </c>
      <c r="L157" s="7" t="s">
        <v>991</v>
      </c>
      <c r="M157" s="7" t="s">
        <v>3501</v>
      </c>
      <c r="N157" s="7" t="s">
        <v>419</v>
      </c>
      <c r="O157" s="7" t="s">
        <v>19437</v>
      </c>
      <c r="P157" s="7" t="s">
        <v>603</v>
      </c>
      <c r="T157" s="7" t="s">
        <v>19483</v>
      </c>
      <c r="U157" s="7" t="s">
        <v>12011</v>
      </c>
      <c r="V157" s="7">
        <v>1.0</v>
      </c>
    </row>
    <row r="158">
      <c r="A158" s="7" t="s">
        <v>19803</v>
      </c>
      <c r="B158" s="7">
        <v>2300788.0</v>
      </c>
      <c r="C158" s="7" t="s">
        <v>4663</v>
      </c>
      <c r="D158" s="7" t="s">
        <v>4694</v>
      </c>
      <c r="E158" s="7" t="s">
        <v>4665</v>
      </c>
      <c r="F158" s="7" t="s">
        <v>4695</v>
      </c>
      <c r="G158" s="7" t="s">
        <v>4696</v>
      </c>
      <c r="H158" s="7" t="s">
        <v>4697</v>
      </c>
      <c r="I158" s="119">
        <v>45292.0</v>
      </c>
      <c r="K158" s="7" t="s">
        <v>3642</v>
      </c>
      <c r="L158" s="7" t="s">
        <v>991</v>
      </c>
      <c r="M158" s="7" t="s">
        <v>3501</v>
      </c>
      <c r="N158" s="7" t="s">
        <v>3642</v>
      </c>
      <c r="O158" s="7" t="s">
        <v>3642</v>
      </c>
      <c r="P158" s="7" t="s">
        <v>19524</v>
      </c>
      <c r="T158" s="7" t="s">
        <v>3644</v>
      </c>
      <c r="U158" s="7" t="s">
        <v>3493</v>
      </c>
      <c r="V158" s="7">
        <v>1.0</v>
      </c>
    </row>
    <row r="159">
      <c r="A159" s="7" t="s">
        <v>19804</v>
      </c>
      <c r="B159" s="7">
        <v>10412.0</v>
      </c>
      <c r="C159" s="7" t="s">
        <v>4663</v>
      </c>
      <c r="D159" s="7" t="s">
        <v>4699</v>
      </c>
      <c r="E159" s="7" t="s">
        <v>4665</v>
      </c>
      <c r="F159" s="7" t="s">
        <v>4700</v>
      </c>
      <c r="G159" s="7" t="s">
        <v>4701</v>
      </c>
      <c r="H159" s="7" t="s">
        <v>4702</v>
      </c>
      <c r="I159" s="119">
        <v>45292.0</v>
      </c>
      <c r="K159" s="7" t="s">
        <v>419</v>
      </c>
      <c r="L159" s="7" t="s">
        <v>991</v>
      </c>
      <c r="M159" s="7" t="s">
        <v>3501</v>
      </c>
      <c r="N159" s="7" t="s">
        <v>419</v>
      </c>
      <c r="O159" s="7" t="s">
        <v>19430</v>
      </c>
      <c r="P159" s="7" t="s">
        <v>717</v>
      </c>
      <c r="Q159" s="7" t="s">
        <v>720</v>
      </c>
      <c r="R159" s="7" t="s">
        <v>19805</v>
      </c>
      <c r="S159" s="7" t="s">
        <v>19806</v>
      </c>
      <c r="T159" s="7" t="s">
        <v>4704</v>
      </c>
      <c r="U159" s="7" t="s">
        <v>3493</v>
      </c>
      <c r="V159" s="7">
        <v>1.0</v>
      </c>
    </row>
    <row r="160">
      <c r="A160" s="7" t="s">
        <v>19807</v>
      </c>
      <c r="B160" s="7">
        <v>2300441.0</v>
      </c>
      <c r="C160" s="7" t="s">
        <v>4663</v>
      </c>
      <c r="D160" s="7" t="s">
        <v>4706</v>
      </c>
      <c r="E160" s="7" t="s">
        <v>4665</v>
      </c>
      <c r="F160" s="7" t="s">
        <v>4707</v>
      </c>
      <c r="G160" s="7" t="s">
        <v>4708</v>
      </c>
      <c r="H160" s="7" t="s">
        <v>4709</v>
      </c>
      <c r="I160" s="119">
        <v>45292.0</v>
      </c>
      <c r="K160" s="7" t="s">
        <v>419</v>
      </c>
      <c r="L160" s="7" t="s">
        <v>991</v>
      </c>
      <c r="M160" s="7" t="s">
        <v>3583</v>
      </c>
      <c r="N160" s="7" t="s">
        <v>419</v>
      </c>
      <c r="O160" s="7" t="s">
        <v>19443</v>
      </c>
      <c r="P160" s="7" t="s">
        <v>1242</v>
      </c>
      <c r="Q160" s="7" t="s">
        <v>39</v>
      </c>
      <c r="R160" s="7" t="s">
        <v>19757</v>
      </c>
      <c r="T160" s="7" t="s">
        <v>4536</v>
      </c>
      <c r="U160" s="7" t="s">
        <v>3493</v>
      </c>
      <c r="V160" s="7">
        <v>1.0</v>
      </c>
    </row>
    <row r="161">
      <c r="A161" s="7" t="s">
        <v>19808</v>
      </c>
      <c r="B161" s="7">
        <v>2200249.0</v>
      </c>
      <c r="C161" s="7" t="s">
        <v>4663</v>
      </c>
      <c r="D161" s="7" t="s">
        <v>4711</v>
      </c>
      <c r="E161" s="7" t="s">
        <v>4665</v>
      </c>
      <c r="F161" s="7" t="s">
        <v>4262</v>
      </c>
      <c r="G161" s="7" t="s">
        <v>4712</v>
      </c>
      <c r="H161" s="7" t="s">
        <v>4713</v>
      </c>
      <c r="I161" s="119">
        <v>45292.0</v>
      </c>
      <c r="K161" s="7" t="s">
        <v>3632</v>
      </c>
      <c r="L161" s="7" t="s">
        <v>991</v>
      </c>
      <c r="M161" s="7" t="s">
        <v>3501</v>
      </c>
      <c r="N161" s="7" t="s">
        <v>3632</v>
      </c>
      <c r="O161" s="7" t="s">
        <v>3632</v>
      </c>
      <c r="P161" s="7" t="s">
        <v>22</v>
      </c>
      <c r="Q161" s="7" t="s">
        <v>549</v>
      </c>
      <c r="R161" s="7" t="s">
        <v>19809</v>
      </c>
      <c r="T161" s="7" t="s">
        <v>15462</v>
      </c>
      <c r="U161" s="7" t="s">
        <v>3493</v>
      </c>
      <c r="V161" s="7">
        <v>1.0</v>
      </c>
    </row>
    <row r="162">
      <c r="A162" s="7" t="s">
        <v>19810</v>
      </c>
      <c r="B162" s="7">
        <v>1141.0</v>
      </c>
      <c r="C162" s="7" t="s">
        <v>4663</v>
      </c>
      <c r="D162" s="7" t="s">
        <v>4717</v>
      </c>
      <c r="E162" s="7" t="s">
        <v>4665</v>
      </c>
      <c r="F162" s="7" t="s">
        <v>4262</v>
      </c>
      <c r="G162" s="7" t="s">
        <v>4718</v>
      </c>
      <c r="H162" s="7" t="s">
        <v>4719</v>
      </c>
      <c r="I162" s="119">
        <v>45292.0</v>
      </c>
      <c r="K162" s="7" t="s">
        <v>419</v>
      </c>
      <c r="L162" s="7" t="s">
        <v>991</v>
      </c>
      <c r="M162" s="7" t="s">
        <v>3501</v>
      </c>
      <c r="N162" s="7" t="s">
        <v>419</v>
      </c>
      <c r="O162" s="7" t="s">
        <v>19430</v>
      </c>
      <c r="P162" s="7" t="s">
        <v>717</v>
      </c>
      <c r="Q162" s="7" t="s">
        <v>1163</v>
      </c>
      <c r="R162" s="7" t="s">
        <v>19601</v>
      </c>
      <c r="S162" s="7" t="s">
        <v>19811</v>
      </c>
      <c r="T162" s="7" t="s">
        <v>4721</v>
      </c>
      <c r="U162" s="7" t="s">
        <v>3493</v>
      </c>
      <c r="V162" s="7">
        <v>1.0</v>
      </c>
    </row>
    <row r="163">
      <c r="A163" s="7" t="s">
        <v>19812</v>
      </c>
      <c r="B163" s="7">
        <v>1171.0</v>
      </c>
      <c r="C163" s="7" t="s">
        <v>4663</v>
      </c>
      <c r="D163" s="7" t="s">
        <v>4723</v>
      </c>
      <c r="E163" s="7" t="s">
        <v>4665</v>
      </c>
      <c r="F163" s="7" t="s">
        <v>4724</v>
      </c>
      <c r="G163" s="7" t="s">
        <v>4725</v>
      </c>
      <c r="H163" s="7" t="s">
        <v>4726</v>
      </c>
      <c r="I163" s="119">
        <v>45292.0</v>
      </c>
      <c r="K163" s="7" t="s">
        <v>419</v>
      </c>
      <c r="L163" s="7" t="s">
        <v>991</v>
      </c>
      <c r="M163" s="7" t="s">
        <v>3501</v>
      </c>
      <c r="N163" s="7" t="s">
        <v>419</v>
      </c>
      <c r="O163" s="7" t="s">
        <v>19432</v>
      </c>
      <c r="P163" s="7" t="s">
        <v>693</v>
      </c>
      <c r="Q163" s="7" t="s">
        <v>696</v>
      </c>
      <c r="R163" s="7" t="s">
        <v>19813</v>
      </c>
      <c r="S163" s="7" t="s">
        <v>19739</v>
      </c>
      <c r="T163" s="7" t="s">
        <v>4728</v>
      </c>
      <c r="U163" s="7" t="s">
        <v>3493</v>
      </c>
      <c r="V163" s="7">
        <v>1.0</v>
      </c>
    </row>
    <row r="164">
      <c r="A164" s="7" t="s">
        <v>19814</v>
      </c>
      <c r="B164" s="7">
        <v>2100397.0</v>
      </c>
      <c r="C164" s="7" t="s">
        <v>4663</v>
      </c>
      <c r="D164" s="7" t="s">
        <v>4730</v>
      </c>
      <c r="E164" s="7" t="s">
        <v>4665</v>
      </c>
      <c r="F164" s="7" t="s">
        <v>4321</v>
      </c>
      <c r="G164" s="7" t="s">
        <v>4731</v>
      </c>
      <c r="H164" s="7" t="s">
        <v>4732</v>
      </c>
      <c r="I164" s="119">
        <v>45292.0</v>
      </c>
      <c r="K164" s="7" t="s">
        <v>419</v>
      </c>
      <c r="L164" s="7" t="s">
        <v>991</v>
      </c>
      <c r="M164" s="7" t="s">
        <v>3501</v>
      </c>
      <c r="N164" s="7" t="s">
        <v>419</v>
      </c>
      <c r="O164" s="7" t="s">
        <v>19432</v>
      </c>
      <c r="P164" s="7" t="s">
        <v>693</v>
      </c>
      <c r="Q164" s="7" t="s">
        <v>703</v>
      </c>
      <c r="R164" s="7" t="s">
        <v>19815</v>
      </c>
      <c r="S164" s="7" t="s">
        <v>19816</v>
      </c>
      <c r="T164" s="7" t="s">
        <v>4734</v>
      </c>
      <c r="U164" s="7" t="s">
        <v>3493</v>
      </c>
      <c r="V164" s="7">
        <v>1.0</v>
      </c>
    </row>
    <row r="165">
      <c r="A165" s="7" t="s">
        <v>19817</v>
      </c>
      <c r="B165" s="7">
        <v>2300132.0</v>
      </c>
      <c r="C165" s="7" t="s">
        <v>4663</v>
      </c>
      <c r="D165" s="7" t="s">
        <v>4597</v>
      </c>
      <c r="E165" s="7" t="s">
        <v>4665</v>
      </c>
      <c r="F165" s="7" t="s">
        <v>4598</v>
      </c>
      <c r="G165" s="7" t="s">
        <v>4736</v>
      </c>
      <c r="H165" s="7" t="s">
        <v>4737</v>
      </c>
      <c r="I165" s="119">
        <v>45292.0</v>
      </c>
      <c r="K165" s="7" t="s">
        <v>419</v>
      </c>
      <c r="L165" s="7" t="s">
        <v>991</v>
      </c>
      <c r="M165" s="7" t="s">
        <v>3531</v>
      </c>
      <c r="N165" s="7" t="s">
        <v>419</v>
      </c>
      <c r="O165" s="7" t="s">
        <v>19430</v>
      </c>
      <c r="P165" s="7" t="s">
        <v>717</v>
      </c>
      <c r="Q165" s="7" t="s">
        <v>738</v>
      </c>
      <c r="R165" s="7" t="s">
        <v>19818</v>
      </c>
      <c r="S165" s="7" t="s">
        <v>19668</v>
      </c>
      <c r="T165" s="7" t="s">
        <v>4739</v>
      </c>
      <c r="U165" s="7" t="s">
        <v>3493</v>
      </c>
      <c r="V165" s="7">
        <v>1.0</v>
      </c>
    </row>
    <row r="166">
      <c r="A166" s="7" t="s">
        <v>19819</v>
      </c>
      <c r="B166" s="7">
        <v>2200738.0</v>
      </c>
      <c r="C166" s="7" t="s">
        <v>4741</v>
      </c>
      <c r="D166" s="7" t="s">
        <v>4742</v>
      </c>
      <c r="E166" s="7" t="s">
        <v>4743</v>
      </c>
      <c r="F166" s="7" t="s">
        <v>4525</v>
      </c>
      <c r="G166" s="7" t="s">
        <v>4744</v>
      </c>
      <c r="H166" s="7" t="s">
        <v>4745</v>
      </c>
      <c r="I166" s="119">
        <v>45292.0</v>
      </c>
      <c r="K166" s="7" t="s">
        <v>419</v>
      </c>
      <c r="L166" s="7" t="s">
        <v>991</v>
      </c>
      <c r="M166" s="7" t="s">
        <v>3501</v>
      </c>
      <c r="N166" s="7" t="s">
        <v>419</v>
      </c>
      <c r="O166" s="7" t="s">
        <v>19430</v>
      </c>
      <c r="P166" s="7" t="s">
        <v>717</v>
      </c>
      <c r="Q166" s="7" t="s">
        <v>738</v>
      </c>
      <c r="R166" s="7" t="s">
        <v>19723</v>
      </c>
      <c r="S166" s="7" t="s">
        <v>19820</v>
      </c>
      <c r="T166" s="7" t="s">
        <v>4747</v>
      </c>
      <c r="U166" s="7" t="s">
        <v>3843</v>
      </c>
      <c r="V166" s="7">
        <v>1.0</v>
      </c>
    </row>
    <row r="167">
      <c r="A167" s="7" t="s">
        <v>19821</v>
      </c>
      <c r="B167" s="7">
        <v>12915.0</v>
      </c>
      <c r="C167" s="7" t="s">
        <v>4749</v>
      </c>
      <c r="D167" s="7" t="s">
        <v>4706</v>
      </c>
      <c r="E167" s="7" t="s">
        <v>4750</v>
      </c>
      <c r="F167" s="7" t="s">
        <v>4751</v>
      </c>
      <c r="G167" s="7" t="s">
        <v>4752</v>
      </c>
      <c r="H167" s="7" t="s">
        <v>4753</v>
      </c>
      <c r="I167" s="119">
        <v>45292.0</v>
      </c>
      <c r="K167" s="7" t="s">
        <v>419</v>
      </c>
      <c r="L167" s="7" t="s">
        <v>991</v>
      </c>
      <c r="M167" s="7" t="s">
        <v>3501</v>
      </c>
      <c r="N167" s="7" t="s">
        <v>419</v>
      </c>
      <c r="O167" s="7" t="s">
        <v>19430</v>
      </c>
      <c r="P167" s="7" t="s">
        <v>854</v>
      </c>
      <c r="Q167" s="7" t="s">
        <v>861</v>
      </c>
      <c r="T167" s="7" t="s">
        <v>4755</v>
      </c>
      <c r="U167" s="7" t="s">
        <v>3493</v>
      </c>
      <c r="V167" s="7">
        <v>1.0</v>
      </c>
    </row>
    <row r="168">
      <c r="A168" s="7" t="s">
        <v>19822</v>
      </c>
      <c r="B168" s="7">
        <v>12644.0</v>
      </c>
      <c r="C168" s="7" t="s">
        <v>4757</v>
      </c>
      <c r="D168" s="7" t="s">
        <v>4758</v>
      </c>
      <c r="E168" s="7" t="s">
        <v>4757</v>
      </c>
      <c r="F168" s="7" t="s">
        <v>4758</v>
      </c>
      <c r="G168" s="7" t="s">
        <v>4759</v>
      </c>
      <c r="H168" s="7" t="s">
        <v>4760</v>
      </c>
      <c r="I168" s="119">
        <v>45292.0</v>
      </c>
      <c r="K168" s="7" t="s">
        <v>419</v>
      </c>
      <c r="L168" s="7" t="s">
        <v>991</v>
      </c>
      <c r="M168" s="7" t="s">
        <v>3501</v>
      </c>
      <c r="N168" s="7" t="s">
        <v>419</v>
      </c>
      <c r="O168" s="7" t="s">
        <v>19430</v>
      </c>
      <c r="P168" s="7" t="s">
        <v>717</v>
      </c>
      <c r="Q168" s="7" t="s">
        <v>720</v>
      </c>
      <c r="R168" s="7" t="s">
        <v>19823</v>
      </c>
      <c r="T168" s="7" t="s">
        <v>4762</v>
      </c>
      <c r="U168" s="7" t="s">
        <v>3604</v>
      </c>
      <c r="V168" s="7">
        <v>1.0</v>
      </c>
    </row>
    <row r="169">
      <c r="A169" s="7" t="s">
        <v>19824</v>
      </c>
      <c r="B169" s="7">
        <v>10334.0</v>
      </c>
      <c r="C169" s="7" t="s">
        <v>4764</v>
      </c>
      <c r="D169" s="7" t="s">
        <v>4765</v>
      </c>
      <c r="E169" s="7" t="s">
        <v>4766</v>
      </c>
      <c r="F169" s="7" t="s">
        <v>4213</v>
      </c>
      <c r="G169" s="7" t="s">
        <v>4767</v>
      </c>
      <c r="H169" s="7" t="s">
        <v>4768</v>
      </c>
      <c r="I169" s="119">
        <v>45292.0</v>
      </c>
      <c r="K169" s="7" t="s">
        <v>419</v>
      </c>
      <c r="L169" s="7" t="s">
        <v>991</v>
      </c>
      <c r="M169" s="7" t="s">
        <v>3501</v>
      </c>
      <c r="N169" s="7" t="s">
        <v>419</v>
      </c>
      <c r="O169" s="7" t="s">
        <v>19432</v>
      </c>
      <c r="P169" s="7" t="s">
        <v>298</v>
      </c>
      <c r="Q169" s="7" t="s">
        <v>802</v>
      </c>
      <c r="R169" s="7" t="s">
        <v>19825</v>
      </c>
      <c r="T169" s="7" t="s">
        <v>4770</v>
      </c>
      <c r="U169" s="7" t="s">
        <v>3604</v>
      </c>
      <c r="V169" s="7">
        <v>1.0</v>
      </c>
    </row>
    <row r="170">
      <c r="A170" s="7" t="s">
        <v>19826</v>
      </c>
      <c r="B170" s="7">
        <v>2200238.0</v>
      </c>
      <c r="C170" s="7" t="s">
        <v>4772</v>
      </c>
      <c r="D170" s="7" t="s">
        <v>4773</v>
      </c>
      <c r="E170" s="7" t="s">
        <v>4774</v>
      </c>
      <c r="F170" s="7" t="s">
        <v>4775</v>
      </c>
      <c r="G170" s="7" t="s">
        <v>4776</v>
      </c>
      <c r="H170" s="7" t="s">
        <v>4777</v>
      </c>
      <c r="I170" s="119">
        <v>45292.0</v>
      </c>
      <c r="K170" s="7" t="s">
        <v>419</v>
      </c>
      <c r="L170" s="7" t="s">
        <v>991</v>
      </c>
      <c r="M170" s="7" t="s">
        <v>3531</v>
      </c>
      <c r="N170" s="7" t="s">
        <v>419</v>
      </c>
      <c r="O170" s="7" t="s">
        <v>19432</v>
      </c>
      <c r="P170" s="7" t="s">
        <v>298</v>
      </c>
      <c r="Q170" s="7" t="s">
        <v>802</v>
      </c>
      <c r="R170" s="7" t="s">
        <v>19827</v>
      </c>
      <c r="S170" s="7" t="s">
        <v>19828</v>
      </c>
      <c r="T170" s="7" t="s">
        <v>4779</v>
      </c>
      <c r="U170" s="7" t="s">
        <v>3493</v>
      </c>
      <c r="V170" s="7">
        <v>1.0</v>
      </c>
    </row>
    <row r="171">
      <c r="A171" s="7" t="s">
        <v>19434</v>
      </c>
      <c r="B171" s="7">
        <v>13649.0</v>
      </c>
      <c r="C171" s="7" t="s">
        <v>4781</v>
      </c>
      <c r="D171" s="7" t="s">
        <v>4782</v>
      </c>
      <c r="E171" s="7" t="s">
        <v>4783</v>
      </c>
      <c r="F171" s="7" t="s">
        <v>4782</v>
      </c>
      <c r="G171" s="7" t="s">
        <v>4784</v>
      </c>
      <c r="H171" s="7" t="s">
        <v>4785</v>
      </c>
      <c r="I171" s="119">
        <v>45292.0</v>
      </c>
      <c r="K171" s="7" t="s">
        <v>3632</v>
      </c>
      <c r="L171" s="7" t="s">
        <v>991</v>
      </c>
      <c r="M171" s="7" t="s">
        <v>3501</v>
      </c>
      <c r="N171" s="7" t="s">
        <v>3632</v>
      </c>
      <c r="O171" s="7" t="s">
        <v>3632</v>
      </c>
      <c r="P171" s="7" t="s">
        <v>625</v>
      </c>
      <c r="Q171" s="7" t="s">
        <v>124</v>
      </c>
      <c r="T171" s="7" t="s">
        <v>19435</v>
      </c>
      <c r="U171" s="7" t="s">
        <v>5585</v>
      </c>
      <c r="V171" s="7">
        <v>1.0</v>
      </c>
    </row>
    <row r="172">
      <c r="A172" s="7" t="s">
        <v>19829</v>
      </c>
      <c r="B172" s="7">
        <v>14338.0</v>
      </c>
      <c r="C172" s="7" t="s">
        <v>4790</v>
      </c>
      <c r="D172" s="7" t="s">
        <v>4791</v>
      </c>
      <c r="E172" s="7" t="s">
        <v>4792</v>
      </c>
      <c r="F172" s="7" t="s">
        <v>4793</v>
      </c>
      <c r="G172" s="7" t="s">
        <v>4794</v>
      </c>
      <c r="H172" s="7" t="s">
        <v>4795</v>
      </c>
      <c r="I172" s="119">
        <v>45292.0</v>
      </c>
      <c r="K172" s="7" t="s">
        <v>419</v>
      </c>
      <c r="L172" s="7" t="s">
        <v>991</v>
      </c>
      <c r="M172" s="7" t="s">
        <v>3531</v>
      </c>
      <c r="N172" s="7" t="s">
        <v>419</v>
      </c>
      <c r="O172" s="7" t="s">
        <v>19433</v>
      </c>
      <c r="P172" s="7" t="s">
        <v>648</v>
      </c>
      <c r="Q172" s="7" t="s">
        <v>143</v>
      </c>
      <c r="R172" s="7" t="s">
        <v>19712</v>
      </c>
      <c r="S172" s="7" t="s">
        <v>19830</v>
      </c>
      <c r="T172" s="7" t="s">
        <v>4797</v>
      </c>
      <c r="U172" s="7" t="s">
        <v>3493</v>
      </c>
      <c r="V172" s="7">
        <v>1.0</v>
      </c>
    </row>
    <row r="173">
      <c r="A173" s="7" t="s">
        <v>19831</v>
      </c>
      <c r="B173" s="7">
        <v>2200818.0</v>
      </c>
      <c r="C173" s="7" t="s">
        <v>4790</v>
      </c>
      <c r="D173" s="7" t="s">
        <v>4799</v>
      </c>
      <c r="E173" s="7" t="s">
        <v>4792</v>
      </c>
      <c r="F173" s="7" t="s">
        <v>4800</v>
      </c>
      <c r="G173" s="7" t="s">
        <v>4801</v>
      </c>
      <c r="H173" s="7" t="s">
        <v>4802</v>
      </c>
      <c r="I173" s="119">
        <v>45292.0</v>
      </c>
      <c r="K173" s="7" t="s">
        <v>419</v>
      </c>
      <c r="L173" s="7" t="s">
        <v>991</v>
      </c>
      <c r="M173" s="7" t="s">
        <v>3501</v>
      </c>
      <c r="N173" s="7" t="s">
        <v>419</v>
      </c>
      <c r="O173" s="7" t="s">
        <v>19430</v>
      </c>
      <c r="P173" s="7" t="s">
        <v>717</v>
      </c>
      <c r="Q173" s="7" t="s">
        <v>738</v>
      </c>
      <c r="R173" s="7" t="s">
        <v>19818</v>
      </c>
      <c r="S173" s="7" t="s">
        <v>19832</v>
      </c>
      <c r="T173" s="7" t="s">
        <v>5894</v>
      </c>
      <c r="U173" s="7" t="s">
        <v>3843</v>
      </c>
      <c r="V173" s="7">
        <v>1.0</v>
      </c>
    </row>
    <row r="174">
      <c r="A174" s="7" t="s">
        <v>19833</v>
      </c>
      <c r="B174" s="7">
        <v>13339.0</v>
      </c>
      <c r="C174" s="7" t="s">
        <v>4806</v>
      </c>
      <c r="D174" s="7" t="s">
        <v>4031</v>
      </c>
      <c r="E174" s="7" t="s">
        <v>4807</v>
      </c>
      <c r="F174" s="7" t="s">
        <v>4032</v>
      </c>
      <c r="G174" s="7" t="s">
        <v>4808</v>
      </c>
      <c r="H174" s="7" t="s">
        <v>4809</v>
      </c>
      <c r="I174" s="119">
        <v>45292.0</v>
      </c>
      <c r="K174" s="7" t="s">
        <v>419</v>
      </c>
      <c r="L174" s="7" t="s">
        <v>991</v>
      </c>
      <c r="M174" s="7" t="s">
        <v>3531</v>
      </c>
      <c r="N174" s="7" t="s">
        <v>419</v>
      </c>
      <c r="O174" s="7" t="s">
        <v>19430</v>
      </c>
      <c r="P174" s="7" t="s">
        <v>717</v>
      </c>
      <c r="Q174" s="7" t="s">
        <v>720</v>
      </c>
      <c r="R174" s="7" t="s">
        <v>19834</v>
      </c>
      <c r="S174" s="7" t="s">
        <v>19835</v>
      </c>
      <c r="T174" s="7" t="s">
        <v>4811</v>
      </c>
      <c r="U174" s="7" t="s">
        <v>3493</v>
      </c>
      <c r="V174" s="7">
        <v>1.0</v>
      </c>
    </row>
    <row r="175">
      <c r="A175" s="7" t="s">
        <v>2298</v>
      </c>
      <c r="B175" s="7">
        <v>14010.0</v>
      </c>
      <c r="C175" s="7" t="s">
        <v>4806</v>
      </c>
      <c r="D175" s="7" t="s">
        <v>4813</v>
      </c>
      <c r="E175" s="7" t="s">
        <v>4807</v>
      </c>
      <c r="F175" s="7" t="s">
        <v>4814</v>
      </c>
      <c r="G175" s="7" t="s">
        <v>4815</v>
      </c>
      <c r="H175" s="7" t="s">
        <v>4816</v>
      </c>
      <c r="I175" s="119">
        <v>45292.0</v>
      </c>
      <c r="K175" s="7" t="s">
        <v>4817</v>
      </c>
      <c r="L175" s="7" t="s">
        <v>4406</v>
      </c>
      <c r="M175" s="7" t="s">
        <v>4407</v>
      </c>
      <c r="N175" s="7" t="s">
        <v>419</v>
      </c>
      <c r="O175" s="7" t="s">
        <v>19433</v>
      </c>
      <c r="P175" s="7" t="s">
        <v>648</v>
      </c>
      <c r="Q175" s="7" t="s">
        <v>141</v>
      </c>
      <c r="T175" s="7" t="s">
        <v>4500</v>
      </c>
      <c r="U175" s="7" t="s">
        <v>6078</v>
      </c>
      <c r="V175" s="7">
        <v>1.0</v>
      </c>
    </row>
    <row r="176">
      <c r="A176" s="7" t="s">
        <v>19836</v>
      </c>
      <c r="B176" s="7">
        <v>13561.0</v>
      </c>
      <c r="C176" s="7" t="s">
        <v>4821</v>
      </c>
      <c r="D176" s="7" t="s">
        <v>4016</v>
      </c>
      <c r="E176" s="7" t="s">
        <v>4822</v>
      </c>
      <c r="F176" s="7" t="s">
        <v>4018</v>
      </c>
      <c r="G176" s="7" t="s">
        <v>4823</v>
      </c>
      <c r="H176" s="7" t="s">
        <v>4824</v>
      </c>
      <c r="I176" s="119">
        <v>45292.0</v>
      </c>
      <c r="K176" s="7" t="s">
        <v>3632</v>
      </c>
      <c r="L176" s="7" t="s">
        <v>991</v>
      </c>
      <c r="M176" s="7" t="s">
        <v>3501</v>
      </c>
      <c r="N176" s="7" t="s">
        <v>3632</v>
      </c>
      <c r="O176" s="7" t="s">
        <v>3632</v>
      </c>
      <c r="P176" s="7" t="s">
        <v>429</v>
      </c>
      <c r="Q176" s="7" t="s">
        <v>432</v>
      </c>
      <c r="T176" s="7" t="s">
        <v>19446</v>
      </c>
      <c r="U176" s="7" t="s">
        <v>3493</v>
      </c>
      <c r="V176" s="7">
        <v>1.0</v>
      </c>
    </row>
    <row r="177">
      <c r="A177" s="7" t="s">
        <v>19837</v>
      </c>
      <c r="B177" s="7">
        <v>2200580.0</v>
      </c>
      <c r="C177" s="7" t="s">
        <v>4821</v>
      </c>
      <c r="D177" s="7" t="s">
        <v>4826</v>
      </c>
      <c r="E177" s="7" t="s">
        <v>4822</v>
      </c>
      <c r="F177" s="7" t="s">
        <v>3963</v>
      </c>
      <c r="G177" s="7" t="s">
        <v>4827</v>
      </c>
      <c r="H177" s="7" t="s">
        <v>4828</v>
      </c>
      <c r="I177" s="119">
        <v>45292.0</v>
      </c>
      <c r="K177" s="7" t="s">
        <v>3622</v>
      </c>
      <c r="L177" s="7" t="s">
        <v>991</v>
      </c>
      <c r="M177" s="7" t="s">
        <v>3501</v>
      </c>
      <c r="N177" s="7" t="s">
        <v>3622</v>
      </c>
      <c r="O177" s="7" t="s">
        <v>3622</v>
      </c>
      <c r="P177" s="7" t="s">
        <v>19521</v>
      </c>
      <c r="T177" s="7" t="s">
        <v>3624</v>
      </c>
      <c r="U177" s="7" t="s">
        <v>3493</v>
      </c>
      <c r="V177" s="7">
        <v>1.0</v>
      </c>
    </row>
    <row r="178">
      <c r="A178" s="7" t="s">
        <v>19838</v>
      </c>
      <c r="B178" s="7">
        <v>11579.0</v>
      </c>
      <c r="C178" s="7" t="s">
        <v>4821</v>
      </c>
      <c r="D178" s="7" t="s">
        <v>4830</v>
      </c>
      <c r="E178" s="7" t="s">
        <v>4822</v>
      </c>
      <c r="F178" s="7" t="s">
        <v>4831</v>
      </c>
      <c r="G178" s="7" t="s">
        <v>4832</v>
      </c>
      <c r="H178" s="7" t="s">
        <v>4833</v>
      </c>
      <c r="I178" s="119">
        <v>45292.0</v>
      </c>
      <c r="K178" s="7" t="s">
        <v>419</v>
      </c>
      <c r="L178" s="7" t="s">
        <v>991</v>
      </c>
      <c r="M178" s="7" t="s">
        <v>3501</v>
      </c>
      <c r="N178" s="7" t="s">
        <v>419</v>
      </c>
      <c r="O178" s="7" t="s">
        <v>19430</v>
      </c>
      <c r="P178" s="7" t="s">
        <v>780</v>
      </c>
      <c r="Q178" s="7" t="s">
        <v>786</v>
      </c>
      <c r="R178" s="7" t="s">
        <v>19839</v>
      </c>
      <c r="T178" s="7" t="s">
        <v>4835</v>
      </c>
      <c r="U178" s="7" t="s">
        <v>3493</v>
      </c>
      <c r="V178" s="7">
        <v>1.0</v>
      </c>
    </row>
    <row r="179">
      <c r="A179" s="7" t="s">
        <v>19840</v>
      </c>
      <c r="B179" s="7">
        <v>2300488.0</v>
      </c>
      <c r="C179" s="7" t="s">
        <v>4821</v>
      </c>
      <c r="D179" s="7" t="s">
        <v>4837</v>
      </c>
      <c r="E179" s="7" t="s">
        <v>4822</v>
      </c>
      <c r="F179" s="7" t="s">
        <v>4253</v>
      </c>
      <c r="G179" s="7" t="s">
        <v>4838</v>
      </c>
      <c r="H179" s="7" t="s">
        <v>4839</v>
      </c>
      <c r="I179" s="119">
        <v>45292.0</v>
      </c>
      <c r="K179" s="7" t="s">
        <v>3622</v>
      </c>
      <c r="L179" s="7" t="s">
        <v>991</v>
      </c>
      <c r="M179" s="7" t="s">
        <v>3501</v>
      </c>
      <c r="N179" s="7" t="s">
        <v>3622</v>
      </c>
      <c r="O179" s="7" t="s">
        <v>3622</v>
      </c>
      <c r="P179" s="7" t="s">
        <v>19521</v>
      </c>
      <c r="T179" s="7" t="s">
        <v>3624</v>
      </c>
      <c r="U179" s="7" t="s">
        <v>3493</v>
      </c>
      <c r="V179" s="7">
        <v>1.0</v>
      </c>
    </row>
    <row r="180">
      <c r="A180" s="7" t="s">
        <v>19841</v>
      </c>
      <c r="B180" s="7">
        <v>12900.0</v>
      </c>
      <c r="C180" s="7" t="s">
        <v>4821</v>
      </c>
      <c r="D180" s="7" t="s">
        <v>4841</v>
      </c>
      <c r="E180" s="7" t="s">
        <v>4822</v>
      </c>
      <c r="F180" s="7" t="s">
        <v>3629</v>
      </c>
      <c r="G180" s="7" t="s">
        <v>4842</v>
      </c>
      <c r="H180" s="7" t="s">
        <v>4843</v>
      </c>
      <c r="I180" s="119">
        <v>45292.0</v>
      </c>
      <c r="K180" s="7" t="s">
        <v>419</v>
      </c>
      <c r="L180" s="7" t="s">
        <v>991</v>
      </c>
      <c r="M180" s="7" t="s">
        <v>3531</v>
      </c>
      <c r="N180" s="7" t="s">
        <v>419</v>
      </c>
      <c r="O180" s="7" t="s">
        <v>19437</v>
      </c>
      <c r="P180" s="7" t="s">
        <v>440</v>
      </c>
      <c r="Q180" s="7" t="s">
        <v>443</v>
      </c>
      <c r="T180" s="7" t="s">
        <v>4845</v>
      </c>
      <c r="U180" s="7" t="s">
        <v>3493</v>
      </c>
      <c r="V180" s="7">
        <v>1.0</v>
      </c>
    </row>
    <row r="181">
      <c r="A181" s="7" t="s">
        <v>19842</v>
      </c>
      <c r="B181" s="7">
        <v>2100577.0</v>
      </c>
      <c r="C181" s="7" t="s">
        <v>4847</v>
      </c>
      <c r="D181" s="7" t="s">
        <v>4848</v>
      </c>
      <c r="E181" s="7" t="s">
        <v>4849</v>
      </c>
      <c r="F181" s="7" t="s">
        <v>4850</v>
      </c>
      <c r="G181" s="7" t="s">
        <v>4851</v>
      </c>
      <c r="H181" s="7" t="s">
        <v>4852</v>
      </c>
      <c r="I181" s="119">
        <v>45292.0</v>
      </c>
      <c r="K181" s="7" t="s">
        <v>419</v>
      </c>
      <c r="L181" s="7" t="s">
        <v>991</v>
      </c>
      <c r="M181" s="7" t="s">
        <v>3501</v>
      </c>
      <c r="N181" s="7" t="s">
        <v>419</v>
      </c>
      <c r="O181" s="7" t="s">
        <v>19432</v>
      </c>
      <c r="P181" s="7" t="s">
        <v>693</v>
      </c>
      <c r="Q181" s="7" t="s">
        <v>698</v>
      </c>
      <c r="R181" s="7" t="s">
        <v>19652</v>
      </c>
      <c r="S181" s="7" t="s">
        <v>19843</v>
      </c>
      <c r="T181" s="7" t="s">
        <v>4854</v>
      </c>
      <c r="U181" s="7" t="s">
        <v>3493</v>
      </c>
      <c r="V181" s="7">
        <v>1.0</v>
      </c>
    </row>
    <row r="182">
      <c r="A182" s="7" t="s">
        <v>19844</v>
      </c>
      <c r="B182" s="7">
        <v>2300164.0</v>
      </c>
      <c r="C182" s="7" t="s">
        <v>4856</v>
      </c>
      <c r="D182" s="7" t="s">
        <v>4857</v>
      </c>
      <c r="E182" s="7" t="s">
        <v>4858</v>
      </c>
      <c r="F182" s="7" t="s">
        <v>4859</v>
      </c>
      <c r="G182" s="7" t="s">
        <v>4860</v>
      </c>
      <c r="H182" s="7" t="s">
        <v>4861</v>
      </c>
      <c r="I182" s="119">
        <v>45292.0</v>
      </c>
      <c r="K182" s="7" t="s">
        <v>419</v>
      </c>
      <c r="L182" s="7" t="s">
        <v>991</v>
      </c>
      <c r="M182" s="7" t="s">
        <v>3583</v>
      </c>
      <c r="N182" s="7" t="s">
        <v>419</v>
      </c>
      <c r="O182" s="7" t="s">
        <v>19432</v>
      </c>
      <c r="P182" s="7" t="s">
        <v>298</v>
      </c>
      <c r="Q182" s="7" t="s">
        <v>1284</v>
      </c>
      <c r="R182" s="7" t="s">
        <v>19845</v>
      </c>
      <c r="T182" s="7" t="s">
        <v>4863</v>
      </c>
      <c r="U182" s="7" t="s">
        <v>3493</v>
      </c>
      <c r="V182" s="7">
        <v>1.0</v>
      </c>
    </row>
    <row r="183">
      <c r="A183" s="7" t="s">
        <v>19846</v>
      </c>
      <c r="B183" s="7">
        <v>12880.0</v>
      </c>
      <c r="C183" s="7" t="s">
        <v>4865</v>
      </c>
      <c r="D183" s="7" t="s">
        <v>4866</v>
      </c>
      <c r="E183" s="7" t="s">
        <v>4867</v>
      </c>
      <c r="F183" s="7" t="s">
        <v>4868</v>
      </c>
      <c r="G183" s="7" t="s">
        <v>4869</v>
      </c>
      <c r="H183" s="7" t="s">
        <v>4870</v>
      </c>
      <c r="I183" s="119">
        <v>45292.0</v>
      </c>
      <c r="K183" s="7" t="s">
        <v>419</v>
      </c>
      <c r="L183" s="7" t="s">
        <v>991</v>
      </c>
      <c r="M183" s="7" t="s">
        <v>3501</v>
      </c>
      <c r="N183" s="7" t="s">
        <v>419</v>
      </c>
      <c r="O183" s="7" t="s">
        <v>19443</v>
      </c>
      <c r="P183" s="7" t="s">
        <v>1242</v>
      </c>
      <c r="Q183" s="7" t="s">
        <v>43</v>
      </c>
      <c r="R183" s="7" t="s">
        <v>19847</v>
      </c>
      <c r="T183" s="7" t="s">
        <v>5002</v>
      </c>
      <c r="U183" s="7" t="s">
        <v>3493</v>
      </c>
      <c r="V183" s="7">
        <v>1.0</v>
      </c>
    </row>
    <row r="184">
      <c r="A184" s="7" t="s">
        <v>19848</v>
      </c>
      <c r="B184" s="7">
        <v>2200729.0</v>
      </c>
      <c r="C184" s="7" t="s">
        <v>4874</v>
      </c>
      <c r="D184" s="7" t="s">
        <v>4875</v>
      </c>
      <c r="E184" s="7" t="s">
        <v>4876</v>
      </c>
      <c r="F184" s="7" t="s">
        <v>3896</v>
      </c>
      <c r="G184" s="7" t="s">
        <v>4877</v>
      </c>
      <c r="H184" s="7" t="s">
        <v>4878</v>
      </c>
      <c r="I184" s="119">
        <v>45292.0</v>
      </c>
      <c r="K184" s="7" t="s">
        <v>4042</v>
      </c>
      <c r="L184" s="7" t="s">
        <v>991</v>
      </c>
      <c r="M184" s="7" t="s">
        <v>3866</v>
      </c>
      <c r="N184" s="7" t="s">
        <v>4042</v>
      </c>
      <c r="O184" s="7" t="s">
        <v>4042</v>
      </c>
      <c r="P184" s="7" t="s">
        <v>19632</v>
      </c>
      <c r="T184" s="7" t="s">
        <v>4044</v>
      </c>
      <c r="U184" s="7" t="s">
        <v>3493</v>
      </c>
      <c r="V184" s="7">
        <v>1.0</v>
      </c>
    </row>
    <row r="185">
      <c r="A185" s="7" t="s">
        <v>19849</v>
      </c>
      <c r="B185" s="7">
        <v>2200708.0</v>
      </c>
      <c r="C185" s="7" t="s">
        <v>4880</v>
      </c>
      <c r="D185" s="7" t="s">
        <v>4881</v>
      </c>
      <c r="E185" s="7" t="s">
        <v>4882</v>
      </c>
      <c r="F185" s="7" t="s">
        <v>4883</v>
      </c>
      <c r="G185" s="7" t="s">
        <v>4884</v>
      </c>
      <c r="H185" s="7" t="s">
        <v>4885</v>
      </c>
      <c r="I185" s="119">
        <v>45292.0</v>
      </c>
      <c r="K185" s="7" t="s">
        <v>4042</v>
      </c>
      <c r="L185" s="7" t="s">
        <v>991</v>
      </c>
      <c r="M185" s="7" t="s">
        <v>3501</v>
      </c>
      <c r="N185" s="7" t="s">
        <v>4042</v>
      </c>
      <c r="O185" s="7" t="s">
        <v>4042</v>
      </c>
      <c r="P185" s="7" t="s">
        <v>19632</v>
      </c>
      <c r="T185" s="7" t="s">
        <v>4044</v>
      </c>
      <c r="U185" s="7" t="s">
        <v>3493</v>
      </c>
      <c r="V185" s="7">
        <v>1.0</v>
      </c>
    </row>
    <row r="186">
      <c r="A186" s="7" t="s">
        <v>19850</v>
      </c>
      <c r="B186" s="7">
        <v>8166.0</v>
      </c>
      <c r="C186" s="7" t="s">
        <v>4887</v>
      </c>
      <c r="D186" s="7" t="s">
        <v>4059</v>
      </c>
      <c r="E186" s="7" t="s">
        <v>4888</v>
      </c>
      <c r="F186" s="7" t="s">
        <v>3549</v>
      </c>
      <c r="G186" s="7" t="s">
        <v>4889</v>
      </c>
      <c r="H186" s="7" t="s">
        <v>4890</v>
      </c>
      <c r="I186" s="119">
        <v>45292.0</v>
      </c>
      <c r="K186" s="7" t="s">
        <v>419</v>
      </c>
      <c r="L186" s="7" t="s">
        <v>991</v>
      </c>
      <c r="M186" s="7" t="s">
        <v>3531</v>
      </c>
      <c r="N186" s="7" t="s">
        <v>419</v>
      </c>
      <c r="O186" s="7" t="s">
        <v>19430</v>
      </c>
      <c r="P186" s="7" t="s">
        <v>717</v>
      </c>
      <c r="Q186" s="7" t="s">
        <v>1163</v>
      </c>
      <c r="R186" s="7" t="s">
        <v>19608</v>
      </c>
      <c r="S186" s="7" t="s">
        <v>19618</v>
      </c>
      <c r="T186" s="7" t="s">
        <v>3997</v>
      </c>
      <c r="U186" s="7" t="s">
        <v>3493</v>
      </c>
      <c r="V186" s="7">
        <v>1.0</v>
      </c>
    </row>
    <row r="187">
      <c r="A187" s="7" t="s">
        <v>19851</v>
      </c>
      <c r="B187" s="7">
        <v>2300739.0</v>
      </c>
      <c r="C187" s="7" t="s">
        <v>4887</v>
      </c>
      <c r="D187" s="7" t="s">
        <v>4892</v>
      </c>
      <c r="E187" s="7" t="s">
        <v>4888</v>
      </c>
      <c r="F187" s="7" t="s">
        <v>4893</v>
      </c>
      <c r="G187" s="7" t="s">
        <v>4894</v>
      </c>
      <c r="H187" s="7" t="s">
        <v>4895</v>
      </c>
      <c r="I187" s="119">
        <v>45292.0</v>
      </c>
      <c r="K187" s="7" t="s">
        <v>419</v>
      </c>
      <c r="L187" s="7" t="s">
        <v>991</v>
      </c>
      <c r="M187" s="7" t="s">
        <v>3501</v>
      </c>
      <c r="N187" s="7" t="s">
        <v>419</v>
      </c>
      <c r="O187" s="7" t="s">
        <v>19443</v>
      </c>
      <c r="P187" s="7" t="s">
        <v>323</v>
      </c>
      <c r="Q187" s="7" t="s">
        <v>824</v>
      </c>
      <c r="R187" s="7" t="s">
        <v>19698</v>
      </c>
      <c r="T187" s="7" t="s">
        <v>4297</v>
      </c>
      <c r="U187" s="7" t="s">
        <v>3493</v>
      </c>
      <c r="V187" s="7">
        <v>1.0</v>
      </c>
    </row>
    <row r="188">
      <c r="A188" s="7" t="s">
        <v>19852</v>
      </c>
      <c r="B188" s="7">
        <v>2300272.0</v>
      </c>
      <c r="C188" s="7" t="s">
        <v>4898</v>
      </c>
      <c r="D188" s="7" t="s">
        <v>4899</v>
      </c>
      <c r="E188" s="7" t="s">
        <v>4888</v>
      </c>
      <c r="F188" s="7" t="s">
        <v>4900</v>
      </c>
      <c r="G188" s="7" t="s">
        <v>4901</v>
      </c>
      <c r="H188" s="7" t="s">
        <v>4902</v>
      </c>
      <c r="I188" s="119">
        <v>45292.0</v>
      </c>
      <c r="K188" s="7" t="s">
        <v>4042</v>
      </c>
      <c r="L188" s="7" t="s">
        <v>991</v>
      </c>
      <c r="M188" s="7" t="s">
        <v>3866</v>
      </c>
      <c r="N188" s="7" t="s">
        <v>4042</v>
      </c>
      <c r="O188" s="7" t="s">
        <v>4042</v>
      </c>
      <c r="P188" s="7" t="s">
        <v>19632</v>
      </c>
      <c r="T188" s="7" t="s">
        <v>4044</v>
      </c>
      <c r="U188" s="7" t="s">
        <v>3493</v>
      </c>
      <c r="V188" s="7">
        <v>1.0</v>
      </c>
    </row>
    <row r="189">
      <c r="A189" s="7" t="s">
        <v>19853</v>
      </c>
      <c r="B189" s="7">
        <v>13035.0</v>
      </c>
      <c r="C189" s="7" t="s">
        <v>4887</v>
      </c>
      <c r="D189" s="7" t="s">
        <v>4904</v>
      </c>
      <c r="E189" s="7" t="s">
        <v>4888</v>
      </c>
      <c r="F189" s="7" t="s">
        <v>4424</v>
      </c>
      <c r="G189" s="7" t="s">
        <v>4905</v>
      </c>
      <c r="I189" s="119">
        <v>45292.0</v>
      </c>
      <c r="K189" s="7" t="s">
        <v>419</v>
      </c>
      <c r="L189" s="7" t="s">
        <v>991</v>
      </c>
      <c r="M189" s="7" t="s">
        <v>4644</v>
      </c>
      <c r="N189" s="7" t="s">
        <v>419</v>
      </c>
      <c r="O189" s="7" t="s">
        <v>19438</v>
      </c>
      <c r="P189" s="7" t="s">
        <v>424</v>
      </c>
      <c r="T189" s="7" t="s">
        <v>4907</v>
      </c>
      <c r="U189" s="7" t="s">
        <v>4908</v>
      </c>
      <c r="V189" s="7">
        <v>1.0</v>
      </c>
    </row>
    <row r="190">
      <c r="A190" s="7" t="s">
        <v>19854</v>
      </c>
      <c r="B190" s="7">
        <v>14100.0</v>
      </c>
      <c r="C190" s="7" t="s">
        <v>4887</v>
      </c>
      <c r="D190" s="7" t="s">
        <v>4910</v>
      </c>
      <c r="E190" s="7" t="s">
        <v>4888</v>
      </c>
      <c r="F190" s="7" t="s">
        <v>4911</v>
      </c>
      <c r="G190" s="7" t="s">
        <v>4912</v>
      </c>
      <c r="H190" s="7" t="s">
        <v>4913</v>
      </c>
      <c r="I190" s="119">
        <v>45292.0</v>
      </c>
      <c r="K190" s="7" t="s">
        <v>419</v>
      </c>
      <c r="L190" s="7" t="s">
        <v>991</v>
      </c>
      <c r="M190" s="7" t="s">
        <v>3531</v>
      </c>
      <c r="N190" s="7" t="s">
        <v>419</v>
      </c>
      <c r="O190" s="7" t="s">
        <v>19433</v>
      </c>
      <c r="P190" s="7" t="s">
        <v>648</v>
      </c>
      <c r="Q190" s="7" t="s">
        <v>651</v>
      </c>
      <c r="T190" s="7" t="s">
        <v>4914</v>
      </c>
      <c r="U190" s="7" t="s">
        <v>3493</v>
      </c>
      <c r="V190" s="7">
        <v>1.0</v>
      </c>
    </row>
    <row r="191">
      <c r="A191" s="7" t="s">
        <v>19855</v>
      </c>
      <c r="B191" s="7">
        <v>8160.0</v>
      </c>
      <c r="C191" s="7" t="s">
        <v>4887</v>
      </c>
      <c r="D191" s="7" t="s">
        <v>4916</v>
      </c>
      <c r="E191" s="7" t="s">
        <v>4888</v>
      </c>
      <c r="F191" s="7" t="s">
        <v>4917</v>
      </c>
      <c r="G191" s="7" t="s">
        <v>4918</v>
      </c>
      <c r="H191" s="7" t="s">
        <v>4919</v>
      </c>
      <c r="I191" s="119">
        <v>45292.0</v>
      </c>
      <c r="K191" s="7" t="s">
        <v>419</v>
      </c>
      <c r="L191" s="7" t="s">
        <v>991</v>
      </c>
      <c r="M191" s="7" t="s">
        <v>3531</v>
      </c>
      <c r="N191" s="7" t="s">
        <v>419</v>
      </c>
      <c r="O191" s="7" t="s">
        <v>19430</v>
      </c>
      <c r="P191" s="7" t="s">
        <v>717</v>
      </c>
      <c r="Q191" s="7" t="s">
        <v>725</v>
      </c>
      <c r="R191" s="7" t="s">
        <v>19494</v>
      </c>
      <c r="S191" s="7" t="s">
        <v>19742</v>
      </c>
      <c r="T191" s="7" t="s">
        <v>4921</v>
      </c>
      <c r="U191" s="7" t="s">
        <v>3493</v>
      </c>
      <c r="V191" s="7">
        <v>1.0</v>
      </c>
    </row>
    <row r="192">
      <c r="A192" s="7" t="s">
        <v>19856</v>
      </c>
      <c r="B192" s="7">
        <v>2400002.0</v>
      </c>
      <c r="C192" s="7" t="s">
        <v>4887</v>
      </c>
      <c r="D192" s="7" t="s">
        <v>4923</v>
      </c>
      <c r="E192" s="7" t="s">
        <v>4888</v>
      </c>
      <c r="F192" s="7" t="s">
        <v>4924</v>
      </c>
      <c r="G192" s="7" t="s">
        <v>4925</v>
      </c>
      <c r="H192" s="7" t="s">
        <v>4926</v>
      </c>
      <c r="I192" s="119">
        <v>45292.0</v>
      </c>
      <c r="K192" s="7" t="s">
        <v>419</v>
      </c>
      <c r="L192" s="7" t="s">
        <v>991</v>
      </c>
      <c r="M192" s="7" t="s">
        <v>3501</v>
      </c>
      <c r="N192" s="7" t="s">
        <v>419</v>
      </c>
      <c r="O192" s="7" t="s">
        <v>19443</v>
      </c>
      <c r="P192" s="7" t="s">
        <v>323</v>
      </c>
      <c r="Q192" s="7" t="s">
        <v>824</v>
      </c>
      <c r="R192" s="7" t="s">
        <v>19582</v>
      </c>
      <c r="T192" s="7" t="s">
        <v>11951</v>
      </c>
      <c r="U192" s="7" t="s">
        <v>3493</v>
      </c>
      <c r="V192" s="7">
        <v>1.0</v>
      </c>
    </row>
    <row r="193">
      <c r="A193" s="7" t="s">
        <v>19857</v>
      </c>
      <c r="B193" s="7">
        <v>943.0</v>
      </c>
      <c r="C193" s="7" t="s">
        <v>4928</v>
      </c>
      <c r="D193" s="7" t="s">
        <v>4929</v>
      </c>
      <c r="E193" s="7" t="s">
        <v>4930</v>
      </c>
      <c r="F193" s="7" t="s">
        <v>4929</v>
      </c>
      <c r="G193" s="7" t="s">
        <v>4931</v>
      </c>
      <c r="H193" s="7" t="s">
        <v>4932</v>
      </c>
      <c r="I193" s="119">
        <v>45292.0</v>
      </c>
      <c r="K193" s="7" t="s">
        <v>419</v>
      </c>
      <c r="L193" s="7" t="s">
        <v>991</v>
      </c>
      <c r="M193" s="7" t="s">
        <v>3501</v>
      </c>
      <c r="N193" s="7" t="s">
        <v>419</v>
      </c>
      <c r="O193" s="7" t="s">
        <v>19440</v>
      </c>
      <c r="P193" s="7" t="s">
        <v>3</v>
      </c>
      <c r="Q193" s="7" t="s">
        <v>4</v>
      </c>
      <c r="R193" s="7" t="s">
        <v>19858</v>
      </c>
      <c r="S193" s="7" t="s">
        <v>19859</v>
      </c>
      <c r="T193" s="7" t="s">
        <v>4934</v>
      </c>
      <c r="U193" s="7" t="s">
        <v>3493</v>
      </c>
      <c r="V193" s="7">
        <v>1.0</v>
      </c>
    </row>
    <row r="194">
      <c r="A194" s="7" t="s">
        <v>19860</v>
      </c>
      <c r="B194" s="7">
        <v>637.0</v>
      </c>
      <c r="C194" s="7" t="s">
        <v>4935</v>
      </c>
      <c r="D194" s="7" t="s">
        <v>4936</v>
      </c>
      <c r="E194" s="7" t="s">
        <v>4930</v>
      </c>
      <c r="F194" s="7" t="s">
        <v>4937</v>
      </c>
      <c r="G194" s="7" t="s">
        <v>4938</v>
      </c>
      <c r="H194" s="7" t="s">
        <v>4939</v>
      </c>
      <c r="I194" s="119">
        <v>45292.0</v>
      </c>
      <c r="K194" s="7" t="s">
        <v>419</v>
      </c>
      <c r="L194" s="7" t="s">
        <v>991</v>
      </c>
      <c r="M194" s="7" t="s">
        <v>3501</v>
      </c>
      <c r="N194" s="7" t="s">
        <v>419</v>
      </c>
      <c r="O194" s="7" t="s">
        <v>19432</v>
      </c>
      <c r="P194" s="7" t="s">
        <v>298</v>
      </c>
      <c r="Q194" s="7" t="s">
        <v>1284</v>
      </c>
      <c r="R194" s="7" t="s">
        <v>19845</v>
      </c>
      <c r="T194" s="7" t="s">
        <v>4863</v>
      </c>
      <c r="U194" s="7" t="s">
        <v>3604</v>
      </c>
      <c r="V194" s="7">
        <v>1.0</v>
      </c>
    </row>
    <row r="195">
      <c r="A195" s="7" t="s">
        <v>19861</v>
      </c>
      <c r="B195" s="7">
        <v>13610.0</v>
      </c>
      <c r="C195" s="7" t="s">
        <v>4942</v>
      </c>
      <c r="D195" s="7" t="s">
        <v>4943</v>
      </c>
      <c r="E195" s="7" t="s">
        <v>4944</v>
      </c>
      <c r="F195" s="7" t="s">
        <v>3792</v>
      </c>
      <c r="G195" s="7" t="s">
        <v>4945</v>
      </c>
      <c r="H195" s="7" t="s">
        <v>4946</v>
      </c>
      <c r="I195" s="119">
        <v>45292.0</v>
      </c>
      <c r="K195" s="7" t="s">
        <v>419</v>
      </c>
      <c r="L195" s="7" t="s">
        <v>991</v>
      </c>
      <c r="M195" s="7" t="s">
        <v>3501</v>
      </c>
      <c r="N195" s="7" t="s">
        <v>419</v>
      </c>
      <c r="O195" s="7" t="s">
        <v>19430</v>
      </c>
      <c r="P195" s="7" t="s">
        <v>717</v>
      </c>
      <c r="Q195" s="7" t="s">
        <v>725</v>
      </c>
      <c r="R195" s="7" t="s">
        <v>19621</v>
      </c>
      <c r="S195" s="7" t="s">
        <v>19622</v>
      </c>
      <c r="T195" s="7" t="s">
        <v>4013</v>
      </c>
      <c r="U195" s="7" t="s">
        <v>3493</v>
      </c>
      <c r="V195" s="7">
        <v>1.0</v>
      </c>
    </row>
    <row r="196">
      <c r="A196" s="7" t="s">
        <v>19862</v>
      </c>
      <c r="B196" s="7">
        <v>2200213.0</v>
      </c>
      <c r="C196" s="7" t="s">
        <v>4948</v>
      </c>
      <c r="D196" s="7" t="s">
        <v>4949</v>
      </c>
      <c r="E196" s="7" t="s">
        <v>4950</v>
      </c>
      <c r="F196" s="7" t="s">
        <v>4951</v>
      </c>
      <c r="G196" s="7" t="s">
        <v>4952</v>
      </c>
      <c r="H196" s="7" t="s">
        <v>4953</v>
      </c>
      <c r="I196" s="119">
        <v>45292.0</v>
      </c>
      <c r="K196" s="7" t="s">
        <v>419</v>
      </c>
      <c r="L196" s="7" t="s">
        <v>991</v>
      </c>
      <c r="M196" s="7" t="s">
        <v>3501</v>
      </c>
      <c r="N196" s="7" t="s">
        <v>419</v>
      </c>
      <c r="O196" s="7" t="s">
        <v>19430</v>
      </c>
      <c r="P196" s="7" t="s">
        <v>717</v>
      </c>
      <c r="Q196" s="7" t="s">
        <v>722</v>
      </c>
      <c r="R196" s="7" t="s">
        <v>19863</v>
      </c>
      <c r="S196" s="7" t="s">
        <v>19864</v>
      </c>
      <c r="T196" s="7" t="s">
        <v>4955</v>
      </c>
      <c r="U196" s="7" t="s">
        <v>3493</v>
      </c>
      <c r="V196" s="7">
        <v>1.0</v>
      </c>
    </row>
    <row r="197">
      <c r="A197" s="7" t="s">
        <v>19865</v>
      </c>
      <c r="B197" s="7">
        <v>11454.0</v>
      </c>
      <c r="C197" s="7" t="s">
        <v>4957</v>
      </c>
      <c r="D197" s="7" t="s">
        <v>4958</v>
      </c>
      <c r="E197" s="7" t="s">
        <v>4959</v>
      </c>
      <c r="F197" s="7" t="s">
        <v>4960</v>
      </c>
      <c r="G197" s="7" t="s">
        <v>4961</v>
      </c>
      <c r="H197" s="7" t="s">
        <v>4962</v>
      </c>
      <c r="I197" s="119">
        <v>45292.0</v>
      </c>
      <c r="K197" s="7" t="s">
        <v>419</v>
      </c>
      <c r="L197" s="7" t="s">
        <v>991</v>
      </c>
      <c r="M197" s="7" t="s">
        <v>3501</v>
      </c>
      <c r="N197" s="7" t="s">
        <v>419</v>
      </c>
      <c r="O197" s="7" t="s">
        <v>19433</v>
      </c>
      <c r="P197" s="7" t="s">
        <v>648</v>
      </c>
      <c r="Q197" s="7" t="s">
        <v>141</v>
      </c>
      <c r="T197" s="7" t="s">
        <v>4500</v>
      </c>
      <c r="U197" s="7" t="s">
        <v>3493</v>
      </c>
      <c r="V197" s="7">
        <v>1.0</v>
      </c>
    </row>
    <row r="198">
      <c r="A198" s="7" t="s">
        <v>19866</v>
      </c>
      <c r="B198" s="7">
        <v>635.0</v>
      </c>
      <c r="C198" s="7" t="s">
        <v>4964</v>
      </c>
      <c r="D198" s="7" t="s">
        <v>4965</v>
      </c>
      <c r="E198" s="7" t="s">
        <v>4966</v>
      </c>
      <c r="F198" s="7" t="s">
        <v>4967</v>
      </c>
      <c r="G198" s="7" t="s">
        <v>4968</v>
      </c>
      <c r="H198" s="7" t="s">
        <v>4969</v>
      </c>
      <c r="I198" s="119">
        <v>45292.0</v>
      </c>
      <c r="K198" s="7" t="s">
        <v>419</v>
      </c>
      <c r="L198" s="7" t="s">
        <v>991</v>
      </c>
      <c r="M198" s="7" t="s">
        <v>3501</v>
      </c>
      <c r="N198" s="7" t="s">
        <v>419</v>
      </c>
      <c r="O198" s="7" t="s">
        <v>19432</v>
      </c>
      <c r="P198" s="7" t="s">
        <v>298</v>
      </c>
      <c r="Q198" s="7" t="s">
        <v>802</v>
      </c>
      <c r="R198" s="7" t="s">
        <v>19867</v>
      </c>
      <c r="T198" s="7" t="s">
        <v>5775</v>
      </c>
      <c r="U198" s="7" t="s">
        <v>3493</v>
      </c>
      <c r="V198" s="7">
        <v>1.0</v>
      </c>
    </row>
    <row r="199">
      <c r="A199" s="7" t="s">
        <v>19868</v>
      </c>
      <c r="B199" s="7">
        <v>2200109.0</v>
      </c>
      <c r="C199" s="7" t="s">
        <v>4975</v>
      </c>
      <c r="D199" s="7" t="s">
        <v>4579</v>
      </c>
      <c r="E199" s="7" t="s">
        <v>4976</v>
      </c>
      <c r="F199" s="7" t="s">
        <v>3909</v>
      </c>
      <c r="G199" s="7" t="s">
        <v>4977</v>
      </c>
      <c r="H199" s="7" t="s">
        <v>4978</v>
      </c>
      <c r="I199" s="119">
        <v>45292.0</v>
      </c>
      <c r="K199" s="7" t="s">
        <v>419</v>
      </c>
      <c r="L199" s="7" t="s">
        <v>991</v>
      </c>
      <c r="M199" s="7" t="s">
        <v>3501</v>
      </c>
      <c r="N199" s="7" t="s">
        <v>419</v>
      </c>
      <c r="O199" s="7" t="s">
        <v>19430</v>
      </c>
      <c r="P199" s="7" t="s">
        <v>717</v>
      </c>
      <c r="Q199" s="7" t="s">
        <v>722</v>
      </c>
      <c r="R199" s="7" t="s">
        <v>19863</v>
      </c>
      <c r="S199" s="7" t="s">
        <v>19869</v>
      </c>
      <c r="T199" s="7" t="s">
        <v>4980</v>
      </c>
      <c r="U199" s="7" t="s">
        <v>3493</v>
      </c>
      <c r="V199" s="7">
        <v>1.0</v>
      </c>
    </row>
    <row r="200">
      <c r="A200" s="7" t="s">
        <v>19870</v>
      </c>
      <c r="B200" s="7">
        <v>1069.0</v>
      </c>
      <c r="C200" s="7" t="s">
        <v>4981</v>
      </c>
      <c r="D200" s="7" t="s">
        <v>4982</v>
      </c>
      <c r="E200" s="7" t="s">
        <v>4983</v>
      </c>
      <c r="F200" s="7" t="s">
        <v>4984</v>
      </c>
      <c r="G200" s="7" t="s">
        <v>4985</v>
      </c>
      <c r="H200" s="7" t="s">
        <v>4986</v>
      </c>
      <c r="I200" s="119">
        <v>45292.0</v>
      </c>
      <c r="K200" s="7" t="s">
        <v>419</v>
      </c>
      <c r="L200" s="7" t="s">
        <v>991</v>
      </c>
      <c r="M200" s="7" t="s">
        <v>3501</v>
      </c>
      <c r="N200" s="7" t="s">
        <v>419</v>
      </c>
      <c r="O200" s="7" t="s">
        <v>19440</v>
      </c>
      <c r="P200" s="7" t="s">
        <v>3</v>
      </c>
      <c r="Q200" s="7" t="s">
        <v>9</v>
      </c>
      <c r="R200" s="7" t="s">
        <v>19871</v>
      </c>
      <c r="S200" s="7" t="s">
        <v>19872</v>
      </c>
      <c r="T200" s="7" t="s">
        <v>4988</v>
      </c>
      <c r="U200" s="7" t="s">
        <v>3493</v>
      </c>
      <c r="V200" s="7">
        <v>1.0</v>
      </c>
    </row>
    <row r="201">
      <c r="A201" s="7" t="s">
        <v>19873</v>
      </c>
      <c r="B201" s="7">
        <v>11577.0</v>
      </c>
      <c r="C201" s="7" t="s">
        <v>4990</v>
      </c>
      <c r="D201" s="7" t="s">
        <v>3578</v>
      </c>
      <c r="E201" s="7" t="s">
        <v>4991</v>
      </c>
      <c r="F201" s="7" t="s">
        <v>3580</v>
      </c>
      <c r="G201" s="7" t="s">
        <v>4992</v>
      </c>
      <c r="H201" s="7" t="s">
        <v>4993</v>
      </c>
      <c r="I201" s="119">
        <v>45292.0</v>
      </c>
      <c r="K201" s="7" t="s">
        <v>419</v>
      </c>
      <c r="L201" s="7" t="s">
        <v>991</v>
      </c>
      <c r="M201" s="7" t="s">
        <v>3501</v>
      </c>
      <c r="N201" s="7" t="s">
        <v>419</v>
      </c>
      <c r="O201" s="7" t="s">
        <v>19432</v>
      </c>
      <c r="P201" s="7" t="s">
        <v>693</v>
      </c>
      <c r="Q201" s="7" t="s">
        <v>698</v>
      </c>
      <c r="R201" s="7" t="s">
        <v>19783</v>
      </c>
      <c r="S201" s="7" t="s">
        <v>19874</v>
      </c>
      <c r="T201" s="7" t="s">
        <v>4995</v>
      </c>
      <c r="U201" s="7" t="s">
        <v>3493</v>
      </c>
      <c r="V201" s="7">
        <v>1.0</v>
      </c>
    </row>
    <row r="202">
      <c r="A202" s="7" t="s">
        <v>1882</v>
      </c>
      <c r="B202" s="7">
        <v>766.0</v>
      </c>
      <c r="C202" s="7" t="s">
        <v>4996</v>
      </c>
      <c r="D202" s="7" t="s">
        <v>4997</v>
      </c>
      <c r="E202" s="7" t="s">
        <v>4998</v>
      </c>
      <c r="F202" s="7" t="s">
        <v>4999</v>
      </c>
      <c r="G202" s="7" t="s">
        <v>5000</v>
      </c>
      <c r="H202" s="7" t="s">
        <v>5001</v>
      </c>
      <c r="I202" s="119">
        <v>45292.0</v>
      </c>
      <c r="K202" s="7" t="s">
        <v>419</v>
      </c>
      <c r="L202" s="7" t="s">
        <v>991</v>
      </c>
      <c r="M202" s="7" t="s">
        <v>3501</v>
      </c>
      <c r="N202" s="7" t="s">
        <v>419</v>
      </c>
      <c r="O202" s="7" t="s">
        <v>19443</v>
      </c>
      <c r="P202" s="7" t="s">
        <v>1242</v>
      </c>
      <c r="Q202" s="7" t="s">
        <v>43</v>
      </c>
      <c r="R202" s="7" t="s">
        <v>19847</v>
      </c>
      <c r="T202" s="7" t="s">
        <v>5002</v>
      </c>
      <c r="U202" s="7" t="s">
        <v>3493</v>
      </c>
      <c r="V202" s="7">
        <v>1.0</v>
      </c>
    </row>
    <row r="203">
      <c r="A203" s="7" t="s">
        <v>2200</v>
      </c>
      <c r="B203" s="7">
        <v>2200076.0</v>
      </c>
      <c r="C203" s="7" t="s">
        <v>5004</v>
      </c>
      <c r="D203" s="7" t="s">
        <v>5005</v>
      </c>
      <c r="E203" s="7" t="s">
        <v>5006</v>
      </c>
      <c r="F203" s="7" t="s">
        <v>5007</v>
      </c>
      <c r="G203" s="7" t="s">
        <v>5008</v>
      </c>
      <c r="H203" s="7" t="s">
        <v>5009</v>
      </c>
      <c r="I203" s="119">
        <v>45292.0</v>
      </c>
      <c r="K203" s="7" t="s">
        <v>5010</v>
      </c>
      <c r="L203" s="7" t="s">
        <v>5011</v>
      </c>
      <c r="M203" s="7" t="s">
        <v>5012</v>
      </c>
      <c r="N203" s="7" t="s">
        <v>419</v>
      </c>
      <c r="O203" s="7" t="s">
        <v>19433</v>
      </c>
      <c r="P203" s="7" t="s">
        <v>587</v>
      </c>
      <c r="Q203" s="7" t="s">
        <v>72</v>
      </c>
      <c r="T203" s="7" t="s">
        <v>5706</v>
      </c>
      <c r="U203" s="7" t="s">
        <v>5585</v>
      </c>
      <c r="V203" s="7">
        <v>1.0</v>
      </c>
    </row>
    <row r="204">
      <c r="A204" s="7" t="s">
        <v>19875</v>
      </c>
      <c r="B204" s="7">
        <v>2300767.0</v>
      </c>
      <c r="C204" s="7" t="s">
        <v>5018</v>
      </c>
      <c r="D204" s="7" t="s">
        <v>4699</v>
      </c>
      <c r="E204" s="7" t="s">
        <v>5019</v>
      </c>
      <c r="F204" s="7" t="s">
        <v>4700</v>
      </c>
      <c r="G204" s="7" t="s">
        <v>5020</v>
      </c>
      <c r="H204" s="7" t="s">
        <v>5021</v>
      </c>
      <c r="I204" s="119">
        <v>45292.0</v>
      </c>
      <c r="K204" s="7" t="s">
        <v>419</v>
      </c>
      <c r="L204" s="7" t="s">
        <v>991</v>
      </c>
      <c r="M204" s="7" t="s">
        <v>3531</v>
      </c>
      <c r="N204" s="7" t="s">
        <v>419</v>
      </c>
      <c r="O204" s="7" t="s">
        <v>19432</v>
      </c>
      <c r="P204" s="7" t="s">
        <v>693</v>
      </c>
      <c r="Q204" s="7" t="s">
        <v>701</v>
      </c>
      <c r="R204" s="7" t="s">
        <v>19518</v>
      </c>
      <c r="S204" s="7" t="s">
        <v>19519</v>
      </c>
      <c r="T204" s="7" t="s">
        <v>7004</v>
      </c>
      <c r="U204" s="7" t="s">
        <v>3493</v>
      </c>
      <c r="V204" s="7">
        <v>1.0</v>
      </c>
    </row>
    <row r="205">
      <c r="A205" s="7" t="s">
        <v>19876</v>
      </c>
      <c r="B205" s="7">
        <v>11299.0</v>
      </c>
      <c r="C205" s="7" t="s">
        <v>5018</v>
      </c>
      <c r="D205" s="7" t="s">
        <v>3873</v>
      </c>
      <c r="E205" s="7" t="s">
        <v>5019</v>
      </c>
      <c r="F205" s="7" t="s">
        <v>3874</v>
      </c>
      <c r="G205" s="7" t="s">
        <v>5024</v>
      </c>
      <c r="H205" s="7" t="s">
        <v>5025</v>
      </c>
      <c r="I205" s="119">
        <v>45292.0</v>
      </c>
      <c r="K205" s="7" t="s">
        <v>419</v>
      </c>
      <c r="L205" s="7" t="s">
        <v>991</v>
      </c>
      <c r="M205" s="7" t="s">
        <v>3501</v>
      </c>
      <c r="N205" s="7" t="s">
        <v>419</v>
      </c>
      <c r="O205" s="7" t="s">
        <v>19430</v>
      </c>
      <c r="P205" s="7" t="s">
        <v>717</v>
      </c>
      <c r="Q205" s="7" t="s">
        <v>1163</v>
      </c>
      <c r="R205" s="7" t="s">
        <v>19601</v>
      </c>
      <c r="S205" s="7" t="s">
        <v>19877</v>
      </c>
      <c r="T205" s="7" t="s">
        <v>5027</v>
      </c>
      <c r="U205" s="7" t="s">
        <v>3493</v>
      </c>
      <c r="V205" s="7">
        <v>1.0</v>
      </c>
    </row>
    <row r="206">
      <c r="A206" s="7" t="s">
        <v>19878</v>
      </c>
      <c r="B206" s="7">
        <v>11580.0</v>
      </c>
      <c r="C206" s="7" t="s">
        <v>5018</v>
      </c>
      <c r="D206" s="7" t="s">
        <v>3764</v>
      </c>
      <c r="E206" s="7" t="s">
        <v>5019</v>
      </c>
      <c r="F206" s="7" t="s">
        <v>3766</v>
      </c>
      <c r="G206" s="7" t="s">
        <v>5028</v>
      </c>
      <c r="H206" s="7" t="s">
        <v>5029</v>
      </c>
      <c r="I206" s="119">
        <v>45292.0</v>
      </c>
      <c r="K206" s="7" t="s">
        <v>419</v>
      </c>
      <c r="L206" s="7" t="s">
        <v>991</v>
      </c>
      <c r="M206" s="7" t="s">
        <v>3501</v>
      </c>
      <c r="N206" s="7" t="s">
        <v>419</v>
      </c>
      <c r="O206" s="7" t="s">
        <v>19430</v>
      </c>
      <c r="P206" s="7" t="s">
        <v>780</v>
      </c>
      <c r="Q206" s="7" t="s">
        <v>786</v>
      </c>
      <c r="R206" s="7" t="s">
        <v>19559</v>
      </c>
      <c r="S206" s="7" t="s">
        <v>19560</v>
      </c>
      <c r="T206" s="7" t="s">
        <v>19561</v>
      </c>
      <c r="U206" s="7" t="s">
        <v>3493</v>
      </c>
      <c r="V206" s="7">
        <v>1.0</v>
      </c>
    </row>
    <row r="207">
      <c r="A207" s="7" t="s">
        <v>19879</v>
      </c>
      <c r="B207" s="7">
        <v>14139.0</v>
      </c>
      <c r="C207" s="7" t="s">
        <v>5031</v>
      </c>
      <c r="D207" s="7" t="s">
        <v>5032</v>
      </c>
      <c r="E207" s="7" t="s">
        <v>5033</v>
      </c>
      <c r="F207" s="7" t="s">
        <v>5034</v>
      </c>
      <c r="G207" s="7" t="s">
        <v>5035</v>
      </c>
      <c r="H207" s="7" t="s">
        <v>5036</v>
      </c>
      <c r="I207" s="119">
        <v>45292.0</v>
      </c>
      <c r="K207" s="7" t="s">
        <v>3632</v>
      </c>
      <c r="L207" s="7" t="s">
        <v>991</v>
      </c>
      <c r="M207" s="7" t="s">
        <v>3531</v>
      </c>
      <c r="N207" s="7" t="s">
        <v>3632</v>
      </c>
      <c r="O207" s="7" t="s">
        <v>3632</v>
      </c>
      <c r="P207" s="7" t="s">
        <v>3463</v>
      </c>
      <c r="Q207" s="7" t="s">
        <v>356</v>
      </c>
      <c r="R207" s="7" t="s">
        <v>19880</v>
      </c>
      <c r="T207" s="7" t="s">
        <v>5038</v>
      </c>
      <c r="U207" s="7" t="s">
        <v>3493</v>
      </c>
      <c r="V207" s="7">
        <v>1.0</v>
      </c>
    </row>
    <row r="208">
      <c r="A208" s="7" t="s">
        <v>19881</v>
      </c>
      <c r="B208" s="7">
        <v>8243.0</v>
      </c>
      <c r="C208" s="7" t="s">
        <v>5040</v>
      </c>
      <c r="D208" s="7" t="s">
        <v>5041</v>
      </c>
      <c r="E208" s="7" t="s">
        <v>5042</v>
      </c>
      <c r="F208" s="7" t="s">
        <v>4314</v>
      </c>
      <c r="G208" s="7" t="s">
        <v>5043</v>
      </c>
      <c r="H208" s="7" t="s">
        <v>5044</v>
      </c>
      <c r="I208" s="119">
        <v>45292.0</v>
      </c>
      <c r="K208" s="7" t="s">
        <v>419</v>
      </c>
      <c r="L208" s="7" t="s">
        <v>991</v>
      </c>
      <c r="M208" s="7" t="s">
        <v>3531</v>
      </c>
      <c r="N208" s="7" t="s">
        <v>419</v>
      </c>
      <c r="O208" s="7" t="s">
        <v>19432</v>
      </c>
      <c r="P208" s="7" t="s">
        <v>693</v>
      </c>
      <c r="Q208" s="7" t="s">
        <v>703</v>
      </c>
      <c r="R208" s="7" t="s">
        <v>19815</v>
      </c>
      <c r="S208" s="7" t="s">
        <v>19816</v>
      </c>
      <c r="T208" s="7" t="s">
        <v>4734</v>
      </c>
      <c r="U208" s="7" t="s">
        <v>3493</v>
      </c>
      <c r="V208" s="7">
        <v>1.0</v>
      </c>
    </row>
    <row r="209">
      <c r="A209" s="7" t="s">
        <v>19882</v>
      </c>
      <c r="B209" s="7">
        <v>2200495.0</v>
      </c>
      <c r="C209" s="7" t="s">
        <v>5046</v>
      </c>
      <c r="D209" s="7" t="s">
        <v>5047</v>
      </c>
      <c r="E209" s="7" t="s">
        <v>5048</v>
      </c>
      <c r="F209" s="7" t="s">
        <v>5049</v>
      </c>
      <c r="G209" s="7" t="s">
        <v>5050</v>
      </c>
      <c r="H209" s="7" t="s">
        <v>5051</v>
      </c>
      <c r="I209" s="119">
        <v>45292.0</v>
      </c>
      <c r="K209" s="7" t="s">
        <v>3632</v>
      </c>
      <c r="L209" s="7" t="s">
        <v>991</v>
      </c>
      <c r="M209" s="7" t="s">
        <v>3501</v>
      </c>
      <c r="N209" s="7" t="s">
        <v>3632</v>
      </c>
      <c r="O209" s="7" t="s">
        <v>3632</v>
      </c>
      <c r="P209" s="7" t="s">
        <v>19462</v>
      </c>
      <c r="Q209" s="7" t="s">
        <v>19463</v>
      </c>
      <c r="R209" s="7" t="s">
        <v>19883</v>
      </c>
      <c r="T209" s="7" t="s">
        <v>15149</v>
      </c>
      <c r="U209" s="7" t="s">
        <v>3493</v>
      </c>
      <c r="V209" s="7">
        <v>1.0</v>
      </c>
    </row>
    <row r="210">
      <c r="A210" s="7" t="s">
        <v>3402</v>
      </c>
      <c r="B210" s="7">
        <v>13673.0</v>
      </c>
      <c r="C210" s="7" t="s">
        <v>5055</v>
      </c>
      <c r="D210" s="7" t="s">
        <v>5056</v>
      </c>
      <c r="E210" s="7" t="s">
        <v>5057</v>
      </c>
      <c r="F210" s="7" t="s">
        <v>5058</v>
      </c>
      <c r="G210" s="7" t="s">
        <v>5059</v>
      </c>
      <c r="H210" s="7" t="s">
        <v>5060</v>
      </c>
      <c r="I210" s="119">
        <v>45292.0</v>
      </c>
      <c r="K210" s="7" t="s">
        <v>3632</v>
      </c>
      <c r="L210" s="7" t="s">
        <v>991</v>
      </c>
      <c r="M210" s="7" t="s">
        <v>3501</v>
      </c>
      <c r="N210" s="7" t="s">
        <v>3632</v>
      </c>
      <c r="O210" s="7" t="s">
        <v>3632</v>
      </c>
      <c r="P210" s="7" t="s">
        <v>625</v>
      </c>
      <c r="T210" s="7" t="s">
        <v>19484</v>
      </c>
      <c r="U210" s="7" t="s">
        <v>12011</v>
      </c>
      <c r="V210" s="7">
        <v>1.0</v>
      </c>
    </row>
    <row r="211">
      <c r="A211" s="7" t="s">
        <v>19884</v>
      </c>
      <c r="B211" s="7">
        <v>11651.0</v>
      </c>
      <c r="C211" s="7" t="s">
        <v>5064</v>
      </c>
      <c r="D211" s="7" t="s">
        <v>5065</v>
      </c>
      <c r="E211" s="7" t="s">
        <v>5066</v>
      </c>
      <c r="F211" s="7" t="s">
        <v>5067</v>
      </c>
      <c r="G211" s="7" t="s">
        <v>5068</v>
      </c>
      <c r="H211" s="7" t="s">
        <v>5069</v>
      </c>
      <c r="I211" s="119">
        <v>45292.0</v>
      </c>
      <c r="K211" s="7" t="s">
        <v>419</v>
      </c>
      <c r="L211" s="7" t="s">
        <v>991</v>
      </c>
      <c r="M211" s="7" t="s">
        <v>3531</v>
      </c>
      <c r="N211" s="7" t="s">
        <v>419</v>
      </c>
      <c r="O211" s="7" t="s">
        <v>19430</v>
      </c>
      <c r="P211" s="7" t="s">
        <v>717</v>
      </c>
      <c r="Q211" s="7" t="s">
        <v>725</v>
      </c>
      <c r="R211" s="7" t="s">
        <v>19501</v>
      </c>
      <c r="S211" s="7" t="s">
        <v>19726</v>
      </c>
      <c r="T211" s="7" t="s">
        <v>4400</v>
      </c>
      <c r="U211" s="7" t="s">
        <v>3493</v>
      </c>
      <c r="V211" s="7">
        <v>1.0</v>
      </c>
    </row>
    <row r="212">
      <c r="A212" s="7" t="s">
        <v>19885</v>
      </c>
      <c r="B212" s="7">
        <v>227.0</v>
      </c>
      <c r="C212" s="7" t="s">
        <v>5071</v>
      </c>
      <c r="D212" s="7" t="s">
        <v>5072</v>
      </c>
      <c r="E212" s="7" t="s">
        <v>5073</v>
      </c>
      <c r="F212" s="7" t="s">
        <v>5074</v>
      </c>
      <c r="G212" s="7" t="s">
        <v>5075</v>
      </c>
      <c r="H212" s="7" t="s">
        <v>5076</v>
      </c>
      <c r="I212" s="119">
        <v>45292.0</v>
      </c>
      <c r="K212" s="7" t="s">
        <v>419</v>
      </c>
      <c r="L212" s="7" t="s">
        <v>991</v>
      </c>
      <c r="M212" s="7" t="s">
        <v>3501</v>
      </c>
      <c r="N212" s="7" t="s">
        <v>419</v>
      </c>
      <c r="O212" s="7" t="s">
        <v>19433</v>
      </c>
      <c r="P212" s="7" t="s">
        <v>648</v>
      </c>
      <c r="Q212" s="7" t="s">
        <v>141</v>
      </c>
      <c r="R212" s="7" t="s">
        <v>19886</v>
      </c>
      <c r="T212" s="7" t="s">
        <v>5078</v>
      </c>
      <c r="U212" s="7" t="s">
        <v>3604</v>
      </c>
      <c r="V212" s="7">
        <v>1.0</v>
      </c>
    </row>
    <row r="213">
      <c r="A213" s="7" t="s">
        <v>1437</v>
      </c>
      <c r="B213" s="7">
        <v>13790.0</v>
      </c>
      <c r="C213" s="7" t="s">
        <v>5079</v>
      </c>
      <c r="D213" s="7" t="s">
        <v>5080</v>
      </c>
      <c r="E213" s="7" t="s">
        <v>5081</v>
      </c>
      <c r="F213" s="7" t="s">
        <v>5082</v>
      </c>
      <c r="G213" s="7" t="s">
        <v>5083</v>
      </c>
      <c r="H213" s="7" t="s">
        <v>5084</v>
      </c>
      <c r="I213" s="119">
        <v>45292.0</v>
      </c>
      <c r="K213" s="7" t="s">
        <v>419</v>
      </c>
      <c r="L213" s="7" t="s">
        <v>991</v>
      </c>
      <c r="M213" s="7" t="s">
        <v>3501</v>
      </c>
      <c r="N213" s="7" t="s">
        <v>419</v>
      </c>
      <c r="O213" s="7" t="s">
        <v>19437</v>
      </c>
      <c r="P213" s="7" t="s">
        <v>478</v>
      </c>
      <c r="Q213" s="7" t="s">
        <v>491</v>
      </c>
      <c r="R213" s="7" t="s">
        <v>19887</v>
      </c>
      <c r="T213" s="7" t="s">
        <v>5086</v>
      </c>
      <c r="U213" s="7" t="s">
        <v>3604</v>
      </c>
      <c r="V213" s="7">
        <v>1.0</v>
      </c>
    </row>
    <row r="214">
      <c r="A214" s="7" t="s">
        <v>19888</v>
      </c>
      <c r="B214" s="7">
        <v>2300188.0</v>
      </c>
      <c r="C214" s="7" t="s">
        <v>5088</v>
      </c>
      <c r="D214" s="7" t="s">
        <v>5089</v>
      </c>
      <c r="E214" s="7" t="s">
        <v>5090</v>
      </c>
      <c r="F214" s="7" t="s">
        <v>5091</v>
      </c>
      <c r="G214" s="7" t="s">
        <v>5092</v>
      </c>
      <c r="H214" s="7" t="s">
        <v>5093</v>
      </c>
      <c r="I214" s="119">
        <v>45292.0</v>
      </c>
      <c r="K214" s="7" t="s">
        <v>419</v>
      </c>
      <c r="L214" s="7" t="s">
        <v>991</v>
      </c>
      <c r="M214" s="7" t="s">
        <v>3501</v>
      </c>
      <c r="N214" s="7" t="s">
        <v>419</v>
      </c>
      <c r="O214" s="7" t="s">
        <v>19430</v>
      </c>
      <c r="P214" s="7" t="s">
        <v>717</v>
      </c>
      <c r="Q214" s="7" t="s">
        <v>725</v>
      </c>
      <c r="R214" s="7" t="s">
        <v>19494</v>
      </c>
      <c r="S214" s="7" t="s">
        <v>19791</v>
      </c>
      <c r="T214" s="7" t="s">
        <v>4652</v>
      </c>
      <c r="U214" s="7" t="s">
        <v>3493</v>
      </c>
      <c r="V214" s="7">
        <v>1.0</v>
      </c>
    </row>
    <row r="215">
      <c r="A215" s="7" t="s">
        <v>19889</v>
      </c>
      <c r="B215" s="7">
        <v>709.0</v>
      </c>
      <c r="C215" s="7" t="s">
        <v>5095</v>
      </c>
      <c r="D215" s="7" t="s">
        <v>5096</v>
      </c>
      <c r="E215" s="7" t="s">
        <v>5097</v>
      </c>
      <c r="F215" s="7" t="s">
        <v>5098</v>
      </c>
      <c r="G215" s="7" t="s">
        <v>5099</v>
      </c>
      <c r="H215" s="7" t="s">
        <v>5100</v>
      </c>
      <c r="I215" s="119">
        <v>45292.0</v>
      </c>
      <c r="K215" s="7" t="s">
        <v>419</v>
      </c>
      <c r="L215" s="7" t="s">
        <v>991</v>
      </c>
      <c r="M215" s="7" t="s">
        <v>3501</v>
      </c>
      <c r="N215" s="7" t="s">
        <v>419</v>
      </c>
      <c r="O215" s="7" t="s">
        <v>19432</v>
      </c>
      <c r="P215" s="7" t="s">
        <v>391</v>
      </c>
      <c r="Q215" s="7" t="s">
        <v>392</v>
      </c>
      <c r="R215" s="7" t="s">
        <v>19890</v>
      </c>
      <c r="T215" s="7" t="s">
        <v>5102</v>
      </c>
      <c r="U215" s="7" t="s">
        <v>3604</v>
      </c>
      <c r="V215" s="7">
        <v>1.0</v>
      </c>
    </row>
    <row r="216">
      <c r="A216" s="7" t="s">
        <v>19891</v>
      </c>
      <c r="B216" s="7">
        <v>2300668.0</v>
      </c>
      <c r="C216" s="7" t="s">
        <v>5104</v>
      </c>
      <c r="D216" s="7" t="s">
        <v>5105</v>
      </c>
      <c r="E216" s="7" t="s">
        <v>5106</v>
      </c>
      <c r="F216" s="7" t="s">
        <v>5107</v>
      </c>
      <c r="G216" s="7" t="s">
        <v>5108</v>
      </c>
      <c r="H216" s="7" t="s">
        <v>5109</v>
      </c>
      <c r="I216" s="119">
        <v>45292.0</v>
      </c>
      <c r="K216" s="7" t="s">
        <v>419</v>
      </c>
      <c r="L216" s="7" t="s">
        <v>991</v>
      </c>
      <c r="M216" s="7" t="s">
        <v>5110</v>
      </c>
      <c r="N216" s="7" t="s">
        <v>419</v>
      </c>
      <c r="O216" s="7" t="s">
        <v>19433</v>
      </c>
      <c r="P216" s="7" t="s">
        <v>587</v>
      </c>
      <c r="Q216" s="7" t="s">
        <v>74</v>
      </c>
      <c r="T216" s="7" t="s">
        <v>5112</v>
      </c>
      <c r="U216" s="7" t="s">
        <v>3493</v>
      </c>
      <c r="V216" s="7">
        <v>1.0</v>
      </c>
    </row>
    <row r="217">
      <c r="A217" s="7" t="s">
        <v>2345</v>
      </c>
      <c r="B217" s="7">
        <v>14118.0</v>
      </c>
      <c r="C217" s="7" t="s">
        <v>5104</v>
      </c>
      <c r="D217" s="7" t="s">
        <v>5114</v>
      </c>
      <c r="E217" s="7" t="s">
        <v>5106</v>
      </c>
      <c r="F217" s="7" t="s">
        <v>4984</v>
      </c>
      <c r="G217" s="7" t="s">
        <v>5115</v>
      </c>
      <c r="H217" s="7" t="s">
        <v>5116</v>
      </c>
      <c r="I217" s="119">
        <v>45292.0</v>
      </c>
      <c r="K217" s="7" t="s">
        <v>3541</v>
      </c>
      <c r="L217" s="7" t="s">
        <v>3542</v>
      </c>
      <c r="M217" s="7" t="s">
        <v>3563</v>
      </c>
      <c r="N217" s="7" t="s">
        <v>419</v>
      </c>
      <c r="O217" s="7" t="s">
        <v>19430</v>
      </c>
      <c r="P217" s="7" t="s">
        <v>854</v>
      </c>
      <c r="Q217" s="7" t="s">
        <v>864</v>
      </c>
      <c r="R217" s="7" t="s">
        <v>19892</v>
      </c>
      <c r="T217" s="7" t="s">
        <v>19893</v>
      </c>
      <c r="U217" s="7" t="s">
        <v>3604</v>
      </c>
      <c r="V217" s="7">
        <v>1.0</v>
      </c>
    </row>
    <row r="218">
      <c r="A218" s="7" t="s">
        <v>19894</v>
      </c>
      <c r="B218" s="7">
        <v>14210.0</v>
      </c>
      <c r="C218" s="7" t="s">
        <v>5122</v>
      </c>
      <c r="D218" s="7" t="s">
        <v>5123</v>
      </c>
      <c r="E218" s="7" t="s">
        <v>5124</v>
      </c>
      <c r="F218" s="7" t="s">
        <v>5125</v>
      </c>
      <c r="G218" s="7" t="s">
        <v>5126</v>
      </c>
      <c r="H218" s="7" t="s">
        <v>5127</v>
      </c>
      <c r="I218" s="119">
        <v>45292.0</v>
      </c>
      <c r="K218" s="7" t="s">
        <v>419</v>
      </c>
      <c r="L218" s="7" t="s">
        <v>991</v>
      </c>
      <c r="M218" s="7" t="s">
        <v>3501</v>
      </c>
      <c r="N218" s="7" t="s">
        <v>419</v>
      </c>
      <c r="O218" s="7" t="s">
        <v>19437</v>
      </c>
      <c r="P218" s="7" t="s">
        <v>478</v>
      </c>
      <c r="Q218" s="7" t="s">
        <v>487</v>
      </c>
      <c r="R218" s="7" t="s">
        <v>19796</v>
      </c>
      <c r="S218" s="7" t="s">
        <v>19797</v>
      </c>
      <c r="T218" s="7" t="s">
        <v>4670</v>
      </c>
      <c r="U218" s="7" t="s">
        <v>3493</v>
      </c>
      <c r="V218" s="7">
        <v>1.0</v>
      </c>
    </row>
    <row r="219">
      <c r="A219" s="7" t="s">
        <v>19895</v>
      </c>
      <c r="B219" s="7">
        <v>2100524.0</v>
      </c>
      <c r="C219" s="7" t="s">
        <v>5129</v>
      </c>
      <c r="D219" s="7" t="s">
        <v>5130</v>
      </c>
      <c r="E219" s="7" t="s">
        <v>5131</v>
      </c>
      <c r="F219" s="7" t="s">
        <v>5132</v>
      </c>
      <c r="G219" s="7" t="s">
        <v>5133</v>
      </c>
      <c r="H219" s="7" t="s">
        <v>5134</v>
      </c>
      <c r="I219" s="119">
        <v>45292.0</v>
      </c>
      <c r="K219" s="7" t="s">
        <v>5135</v>
      </c>
      <c r="L219" s="7" t="s">
        <v>3706</v>
      </c>
      <c r="M219" s="7" t="s">
        <v>3707</v>
      </c>
      <c r="N219" s="7" t="s">
        <v>419</v>
      </c>
      <c r="O219" s="7" t="s">
        <v>19433</v>
      </c>
      <c r="P219" s="7" t="s">
        <v>587</v>
      </c>
      <c r="Q219" s="7" t="s">
        <v>74</v>
      </c>
      <c r="R219" s="7" t="s">
        <v>19536</v>
      </c>
      <c r="S219" s="7" t="s">
        <v>19896</v>
      </c>
      <c r="T219" s="7" t="s">
        <v>19897</v>
      </c>
      <c r="U219" s="7" t="s">
        <v>3493</v>
      </c>
      <c r="V219" s="7">
        <v>1.0</v>
      </c>
    </row>
    <row r="220">
      <c r="A220" s="7" t="s">
        <v>19898</v>
      </c>
      <c r="B220" s="7">
        <v>2300197.0</v>
      </c>
      <c r="C220" s="7" t="s">
        <v>5139</v>
      </c>
      <c r="D220" s="7" t="s">
        <v>5140</v>
      </c>
      <c r="E220" s="7" t="s">
        <v>5141</v>
      </c>
      <c r="F220" s="7" t="s">
        <v>5142</v>
      </c>
      <c r="G220" s="7" t="s">
        <v>5143</v>
      </c>
      <c r="H220" s="7" t="s">
        <v>5144</v>
      </c>
      <c r="I220" s="119">
        <v>45292.0</v>
      </c>
      <c r="K220" s="7" t="s">
        <v>419</v>
      </c>
      <c r="L220" s="7" t="s">
        <v>991</v>
      </c>
      <c r="M220" s="7" t="s">
        <v>3501</v>
      </c>
      <c r="N220" s="7" t="s">
        <v>419</v>
      </c>
      <c r="O220" s="7" t="s">
        <v>19430</v>
      </c>
      <c r="P220" s="7" t="s">
        <v>717</v>
      </c>
      <c r="Q220" s="7" t="s">
        <v>1163</v>
      </c>
      <c r="R220" s="7" t="s">
        <v>19546</v>
      </c>
      <c r="S220" s="7" t="s">
        <v>19762</v>
      </c>
      <c r="T220" s="7" t="s">
        <v>4558</v>
      </c>
      <c r="U220" s="7" t="s">
        <v>3493</v>
      </c>
      <c r="V220" s="7">
        <v>1.0</v>
      </c>
    </row>
    <row r="221">
      <c r="A221" s="7" t="s">
        <v>19899</v>
      </c>
      <c r="B221" s="7">
        <v>2200308.0</v>
      </c>
      <c r="C221" s="7" t="s">
        <v>5146</v>
      </c>
      <c r="D221" s="7" t="s">
        <v>5147</v>
      </c>
      <c r="E221" s="7" t="s">
        <v>5148</v>
      </c>
      <c r="F221" s="7" t="s">
        <v>5149</v>
      </c>
      <c r="G221" s="7" t="s">
        <v>5150</v>
      </c>
      <c r="I221" s="119">
        <v>45292.0</v>
      </c>
      <c r="K221" s="7" t="s">
        <v>419</v>
      </c>
      <c r="L221" s="7" t="s">
        <v>991</v>
      </c>
      <c r="M221" s="7" t="s">
        <v>3531</v>
      </c>
      <c r="N221" s="7" t="s">
        <v>419</v>
      </c>
      <c r="O221" s="7" t="s">
        <v>19430</v>
      </c>
      <c r="P221" s="7" t="s">
        <v>854</v>
      </c>
      <c r="Q221" s="7" t="s">
        <v>859</v>
      </c>
      <c r="T221" s="7" t="s">
        <v>3821</v>
      </c>
      <c r="U221" s="7" t="s">
        <v>3493</v>
      </c>
      <c r="V221" s="7">
        <v>1.0</v>
      </c>
    </row>
    <row r="222">
      <c r="A222" s="7" t="s">
        <v>19900</v>
      </c>
      <c r="B222" s="7">
        <v>10933.0</v>
      </c>
      <c r="C222" s="7" t="s">
        <v>5152</v>
      </c>
      <c r="D222" s="7" t="s">
        <v>5153</v>
      </c>
      <c r="E222" s="7" t="s">
        <v>5154</v>
      </c>
      <c r="F222" s="7" t="s">
        <v>5155</v>
      </c>
      <c r="G222" s="7" t="s">
        <v>5156</v>
      </c>
      <c r="H222" s="7" t="s">
        <v>5157</v>
      </c>
      <c r="I222" s="119">
        <v>45292.0</v>
      </c>
      <c r="K222" s="7" t="s">
        <v>419</v>
      </c>
      <c r="L222" s="7" t="s">
        <v>991</v>
      </c>
      <c r="M222" s="7" t="s">
        <v>3501</v>
      </c>
      <c r="N222" s="7" t="s">
        <v>419</v>
      </c>
      <c r="O222" s="7" t="s">
        <v>19432</v>
      </c>
      <c r="P222" s="7" t="s">
        <v>693</v>
      </c>
      <c r="Q222" s="7" t="s">
        <v>703</v>
      </c>
      <c r="R222" s="7" t="s">
        <v>19815</v>
      </c>
      <c r="T222" s="7" t="s">
        <v>5159</v>
      </c>
      <c r="U222" s="7" t="s">
        <v>3604</v>
      </c>
      <c r="V222" s="7">
        <v>1.0</v>
      </c>
    </row>
    <row r="223">
      <c r="A223" s="7" t="s">
        <v>19901</v>
      </c>
      <c r="B223" s="7">
        <v>12211.0</v>
      </c>
      <c r="C223" s="7" t="s">
        <v>5161</v>
      </c>
      <c r="D223" s="7" t="s">
        <v>5162</v>
      </c>
      <c r="E223" s="7" t="s">
        <v>5163</v>
      </c>
      <c r="F223" s="7" t="s">
        <v>3945</v>
      </c>
      <c r="G223" s="7" t="s">
        <v>5164</v>
      </c>
      <c r="H223" s="7" t="s">
        <v>5165</v>
      </c>
      <c r="I223" s="119">
        <v>45292.0</v>
      </c>
      <c r="K223" s="7" t="s">
        <v>419</v>
      </c>
      <c r="L223" s="7" t="s">
        <v>991</v>
      </c>
      <c r="M223" s="7" t="s">
        <v>3501</v>
      </c>
      <c r="N223" s="7" t="s">
        <v>419</v>
      </c>
      <c r="O223" s="7" t="s">
        <v>19430</v>
      </c>
      <c r="P223" s="7" t="s">
        <v>717</v>
      </c>
      <c r="Q223" s="7" t="s">
        <v>738</v>
      </c>
      <c r="R223" s="7" t="s">
        <v>19902</v>
      </c>
      <c r="S223" s="7" t="s">
        <v>19903</v>
      </c>
      <c r="T223" s="7" t="s">
        <v>5167</v>
      </c>
      <c r="U223" s="7" t="s">
        <v>3493</v>
      </c>
      <c r="V223" s="7">
        <v>1.0</v>
      </c>
    </row>
    <row r="224">
      <c r="A224" s="7" t="s">
        <v>19904</v>
      </c>
      <c r="B224" s="7">
        <v>10885.0</v>
      </c>
      <c r="C224" s="7" t="s">
        <v>5169</v>
      </c>
      <c r="D224" s="7" t="s">
        <v>5170</v>
      </c>
      <c r="E224" s="7" t="s">
        <v>5171</v>
      </c>
      <c r="F224" s="7" t="s">
        <v>3926</v>
      </c>
      <c r="G224" s="7" t="s">
        <v>5172</v>
      </c>
      <c r="H224" s="7" t="s">
        <v>5173</v>
      </c>
      <c r="I224" s="119">
        <v>45292.0</v>
      </c>
      <c r="K224" s="7" t="s">
        <v>419</v>
      </c>
      <c r="L224" s="7" t="s">
        <v>991</v>
      </c>
      <c r="M224" s="7" t="s">
        <v>3501</v>
      </c>
      <c r="N224" s="7" t="s">
        <v>419</v>
      </c>
      <c r="O224" s="7" t="s">
        <v>19432</v>
      </c>
      <c r="P224" s="7" t="s">
        <v>298</v>
      </c>
      <c r="Q224" s="7" t="s">
        <v>304</v>
      </c>
      <c r="R224" s="7" t="s">
        <v>19905</v>
      </c>
      <c r="S224" s="7" t="s">
        <v>19906</v>
      </c>
      <c r="T224" s="7" t="s">
        <v>5175</v>
      </c>
      <c r="U224" s="7" t="s">
        <v>3493</v>
      </c>
      <c r="V224" s="7">
        <v>1.0</v>
      </c>
    </row>
    <row r="225">
      <c r="A225" s="7" t="s">
        <v>19907</v>
      </c>
      <c r="B225" s="7">
        <v>2100404.0</v>
      </c>
      <c r="C225" s="7" t="s">
        <v>5177</v>
      </c>
      <c r="D225" s="7" t="s">
        <v>5178</v>
      </c>
      <c r="E225" s="7" t="s">
        <v>5179</v>
      </c>
      <c r="F225" s="7" t="s">
        <v>5180</v>
      </c>
      <c r="G225" s="7" t="s">
        <v>5181</v>
      </c>
      <c r="H225" s="7" t="s">
        <v>5182</v>
      </c>
      <c r="I225" s="119">
        <v>45292.0</v>
      </c>
      <c r="K225" s="7" t="s">
        <v>419</v>
      </c>
      <c r="L225" s="7" t="s">
        <v>991</v>
      </c>
      <c r="M225" s="7" t="s">
        <v>3501</v>
      </c>
      <c r="N225" s="7" t="s">
        <v>419</v>
      </c>
      <c r="O225" s="7" t="s">
        <v>19433</v>
      </c>
      <c r="P225" s="7" t="s">
        <v>587</v>
      </c>
      <c r="Q225" s="7" t="s">
        <v>74</v>
      </c>
      <c r="R225" s="7" t="s">
        <v>19908</v>
      </c>
      <c r="T225" s="7" t="s">
        <v>5184</v>
      </c>
      <c r="U225" s="7" t="s">
        <v>3604</v>
      </c>
      <c r="V225" s="7">
        <v>1.0</v>
      </c>
    </row>
    <row r="226">
      <c r="A226" s="7" t="s">
        <v>19909</v>
      </c>
      <c r="B226" s="7">
        <v>2300629.0</v>
      </c>
      <c r="C226" s="7" t="s">
        <v>5186</v>
      </c>
      <c r="D226" s="7" t="s">
        <v>5187</v>
      </c>
      <c r="E226" s="7" t="s">
        <v>5188</v>
      </c>
      <c r="F226" s="7" t="s">
        <v>4511</v>
      </c>
      <c r="G226" s="7" t="s">
        <v>5189</v>
      </c>
      <c r="H226" s="7" t="s">
        <v>5190</v>
      </c>
      <c r="I226" s="119">
        <v>45292.0</v>
      </c>
      <c r="K226" s="7" t="s">
        <v>419</v>
      </c>
      <c r="L226" s="7" t="s">
        <v>991</v>
      </c>
      <c r="M226" s="7" t="s">
        <v>3501</v>
      </c>
      <c r="N226" s="7" t="s">
        <v>419</v>
      </c>
      <c r="O226" s="7" t="s">
        <v>19432</v>
      </c>
      <c r="P226" s="7" t="s">
        <v>391</v>
      </c>
      <c r="Q226" s="7" t="s">
        <v>890</v>
      </c>
      <c r="R226" s="7" t="s">
        <v>19497</v>
      </c>
      <c r="T226" s="7" t="s">
        <v>7757</v>
      </c>
      <c r="U226" s="7" t="s">
        <v>3493</v>
      </c>
      <c r="V226" s="7">
        <v>1.0</v>
      </c>
    </row>
    <row r="227">
      <c r="A227" s="7" t="s">
        <v>19910</v>
      </c>
      <c r="B227" s="7">
        <v>2300688.0</v>
      </c>
      <c r="C227" s="7" t="s">
        <v>5192</v>
      </c>
      <c r="D227" s="7" t="s">
        <v>5193</v>
      </c>
      <c r="E227" s="7" t="s">
        <v>5194</v>
      </c>
      <c r="F227" s="7" t="s">
        <v>5195</v>
      </c>
      <c r="G227" s="7" t="s">
        <v>5196</v>
      </c>
      <c r="I227" s="119">
        <v>45292.0</v>
      </c>
      <c r="K227" s="7" t="s">
        <v>419</v>
      </c>
      <c r="L227" s="7" t="s">
        <v>991</v>
      </c>
      <c r="M227" s="7" t="s">
        <v>3531</v>
      </c>
      <c r="N227" s="7" t="s">
        <v>419</v>
      </c>
      <c r="O227" s="7" t="s">
        <v>19433</v>
      </c>
      <c r="P227" s="7" t="s">
        <v>587</v>
      </c>
      <c r="Q227" s="7" t="s">
        <v>74</v>
      </c>
      <c r="R227" s="7" t="s">
        <v>19911</v>
      </c>
      <c r="T227" s="7" t="s">
        <v>5198</v>
      </c>
      <c r="U227" s="7" t="s">
        <v>3493</v>
      </c>
      <c r="V227" s="7">
        <v>1.0</v>
      </c>
    </row>
    <row r="228">
      <c r="A228" s="7" t="s">
        <v>19912</v>
      </c>
      <c r="B228" s="7">
        <v>11167.0</v>
      </c>
      <c r="C228" s="7" t="s">
        <v>5200</v>
      </c>
      <c r="D228" s="7" t="s">
        <v>5201</v>
      </c>
      <c r="E228" s="7" t="s">
        <v>5202</v>
      </c>
      <c r="F228" s="7" t="s">
        <v>5203</v>
      </c>
      <c r="G228" s="7" t="s">
        <v>5204</v>
      </c>
      <c r="H228" s="7" t="s">
        <v>5205</v>
      </c>
      <c r="I228" s="119">
        <v>45292.0</v>
      </c>
      <c r="K228" s="7" t="s">
        <v>419</v>
      </c>
      <c r="L228" s="7" t="s">
        <v>991</v>
      </c>
      <c r="M228" s="7" t="s">
        <v>3501</v>
      </c>
      <c r="N228" s="7" t="s">
        <v>419</v>
      </c>
      <c r="O228" s="7" t="s">
        <v>19432</v>
      </c>
      <c r="P228" s="7" t="s">
        <v>298</v>
      </c>
      <c r="Q228" s="7" t="s">
        <v>304</v>
      </c>
      <c r="R228" s="7" t="s">
        <v>19905</v>
      </c>
      <c r="T228" s="7" t="s">
        <v>5207</v>
      </c>
      <c r="U228" s="7" t="s">
        <v>3604</v>
      </c>
      <c r="V228" s="7">
        <v>1.0</v>
      </c>
    </row>
    <row r="229">
      <c r="A229" s="7" t="s">
        <v>19913</v>
      </c>
      <c r="B229" s="7">
        <v>13571.0</v>
      </c>
      <c r="C229" s="7" t="s">
        <v>5209</v>
      </c>
      <c r="D229" s="7" t="s">
        <v>4717</v>
      </c>
      <c r="E229" s="7" t="s">
        <v>5210</v>
      </c>
      <c r="F229" s="7" t="s">
        <v>4262</v>
      </c>
      <c r="G229" s="7" t="s">
        <v>5211</v>
      </c>
      <c r="H229" s="7" t="s">
        <v>5212</v>
      </c>
      <c r="I229" s="119">
        <v>45292.0</v>
      </c>
      <c r="K229" s="7" t="s">
        <v>419</v>
      </c>
      <c r="L229" s="7" t="s">
        <v>991</v>
      </c>
      <c r="M229" s="7" t="s">
        <v>3501</v>
      </c>
      <c r="N229" s="7" t="s">
        <v>419</v>
      </c>
      <c r="O229" s="7" t="s">
        <v>19443</v>
      </c>
      <c r="P229" s="7" t="s">
        <v>1242</v>
      </c>
      <c r="Q229" s="7" t="s">
        <v>51</v>
      </c>
      <c r="R229" s="7" t="s">
        <v>19549</v>
      </c>
      <c r="S229" s="7" t="s">
        <v>19577</v>
      </c>
      <c r="T229" s="7" t="s">
        <v>3842</v>
      </c>
      <c r="U229" s="7" t="s">
        <v>3493</v>
      </c>
      <c r="V229" s="7">
        <v>1.0</v>
      </c>
    </row>
    <row r="230">
      <c r="A230" s="7" t="s">
        <v>1708</v>
      </c>
      <c r="B230" s="7">
        <v>1177.0</v>
      </c>
      <c r="C230" s="7" t="s">
        <v>5213</v>
      </c>
      <c r="D230" s="7" t="s">
        <v>5214</v>
      </c>
      <c r="E230" s="7" t="s">
        <v>5215</v>
      </c>
      <c r="F230" s="7" t="s">
        <v>4598</v>
      </c>
      <c r="G230" s="7" t="s">
        <v>5216</v>
      </c>
      <c r="H230" s="7" t="s">
        <v>5217</v>
      </c>
      <c r="I230" s="119">
        <v>45292.0</v>
      </c>
      <c r="K230" s="7" t="s">
        <v>419</v>
      </c>
      <c r="L230" s="7" t="s">
        <v>991</v>
      </c>
      <c r="M230" s="7" t="s">
        <v>3501</v>
      </c>
      <c r="N230" s="7" t="s">
        <v>419</v>
      </c>
      <c r="O230" s="7" t="s">
        <v>19430</v>
      </c>
      <c r="P230" s="7" t="s">
        <v>780</v>
      </c>
      <c r="Q230" s="7" t="s">
        <v>286</v>
      </c>
      <c r="R230" s="7" t="s">
        <v>19914</v>
      </c>
      <c r="T230" s="7" t="s">
        <v>18038</v>
      </c>
      <c r="U230" s="7" t="s">
        <v>3493</v>
      </c>
      <c r="V230" s="7">
        <v>1.0</v>
      </c>
    </row>
    <row r="231">
      <c r="A231" s="7" t="s">
        <v>19915</v>
      </c>
      <c r="B231" s="7">
        <v>2200724.0</v>
      </c>
      <c r="C231" s="7" t="s">
        <v>5221</v>
      </c>
      <c r="D231" s="7" t="s">
        <v>5222</v>
      </c>
      <c r="E231" s="7" t="s">
        <v>5223</v>
      </c>
      <c r="F231" s="7" t="s">
        <v>5224</v>
      </c>
      <c r="G231" s="7" t="s">
        <v>5225</v>
      </c>
      <c r="H231" s="7" t="s">
        <v>5226</v>
      </c>
      <c r="I231" s="119">
        <v>45292.0</v>
      </c>
      <c r="K231" s="7" t="s">
        <v>4042</v>
      </c>
      <c r="L231" s="7" t="s">
        <v>991</v>
      </c>
      <c r="M231" s="7" t="s">
        <v>3866</v>
      </c>
      <c r="N231" s="7" t="s">
        <v>4042</v>
      </c>
      <c r="O231" s="7" t="s">
        <v>4042</v>
      </c>
      <c r="P231" s="7" t="s">
        <v>19632</v>
      </c>
      <c r="T231" s="7" t="s">
        <v>4044</v>
      </c>
      <c r="U231" s="7" t="s">
        <v>3493</v>
      </c>
      <c r="V231" s="7">
        <v>1.0</v>
      </c>
    </row>
    <row r="232">
      <c r="A232" s="7" t="s">
        <v>19916</v>
      </c>
      <c r="B232" s="7">
        <v>11740.0</v>
      </c>
      <c r="C232" s="7" t="s">
        <v>5228</v>
      </c>
      <c r="D232" s="7" t="s">
        <v>5229</v>
      </c>
      <c r="E232" s="7" t="s">
        <v>5230</v>
      </c>
      <c r="F232" s="7" t="s">
        <v>5229</v>
      </c>
      <c r="G232" s="7" t="s">
        <v>5231</v>
      </c>
      <c r="H232" s="7" t="s">
        <v>5232</v>
      </c>
      <c r="I232" s="119">
        <v>45292.0</v>
      </c>
      <c r="K232" s="7" t="s">
        <v>419</v>
      </c>
      <c r="L232" s="7" t="s">
        <v>991</v>
      </c>
      <c r="M232" s="7" t="s">
        <v>3501</v>
      </c>
      <c r="N232" s="7" t="s">
        <v>419</v>
      </c>
      <c r="O232" s="7" t="s">
        <v>19430</v>
      </c>
      <c r="P232" s="7" t="s">
        <v>854</v>
      </c>
      <c r="Q232" s="7" t="s">
        <v>861</v>
      </c>
      <c r="R232" s="7" t="s">
        <v>19516</v>
      </c>
      <c r="T232" s="7" t="s">
        <v>3603</v>
      </c>
      <c r="U232" s="7" t="s">
        <v>3493</v>
      </c>
      <c r="V232" s="7">
        <v>1.0</v>
      </c>
    </row>
    <row r="233">
      <c r="A233" s="7" t="s">
        <v>19917</v>
      </c>
      <c r="B233" s="7">
        <v>13009.0</v>
      </c>
      <c r="C233" s="7" t="s">
        <v>5228</v>
      </c>
      <c r="D233" s="7" t="s">
        <v>5234</v>
      </c>
      <c r="E233" s="7" t="s">
        <v>5230</v>
      </c>
      <c r="F233" s="7" t="s">
        <v>5235</v>
      </c>
      <c r="G233" s="7" t="s">
        <v>5236</v>
      </c>
      <c r="H233" s="7" t="s">
        <v>5237</v>
      </c>
      <c r="I233" s="119">
        <v>45292.0</v>
      </c>
      <c r="K233" s="7" t="s">
        <v>419</v>
      </c>
      <c r="L233" s="7" t="s">
        <v>991</v>
      </c>
      <c r="M233" s="7" t="s">
        <v>3531</v>
      </c>
      <c r="N233" s="7" t="s">
        <v>419</v>
      </c>
      <c r="O233" s="7" t="s">
        <v>19430</v>
      </c>
      <c r="P233" s="7" t="s">
        <v>717</v>
      </c>
      <c r="Q233" s="7" t="s">
        <v>738</v>
      </c>
      <c r="R233" s="7" t="s">
        <v>19818</v>
      </c>
      <c r="S233" s="7" t="s">
        <v>19668</v>
      </c>
      <c r="T233" s="7" t="s">
        <v>4739</v>
      </c>
      <c r="U233" s="7" t="s">
        <v>3493</v>
      </c>
      <c r="V233" s="7">
        <v>1.0</v>
      </c>
    </row>
    <row r="234">
      <c r="A234" s="7" t="s">
        <v>19918</v>
      </c>
      <c r="B234" s="7">
        <v>2200237.0</v>
      </c>
      <c r="C234" s="7" t="s">
        <v>5239</v>
      </c>
      <c r="D234" s="7" t="s">
        <v>5240</v>
      </c>
      <c r="E234" s="7" t="s">
        <v>5241</v>
      </c>
      <c r="F234" s="7" t="s">
        <v>5132</v>
      </c>
      <c r="G234" s="7" t="s">
        <v>5242</v>
      </c>
      <c r="H234" s="7" t="s">
        <v>5243</v>
      </c>
      <c r="I234" s="119">
        <v>45292.0</v>
      </c>
      <c r="K234" s="7" t="s">
        <v>419</v>
      </c>
      <c r="L234" s="7" t="s">
        <v>991</v>
      </c>
      <c r="M234" s="7" t="s">
        <v>3501</v>
      </c>
      <c r="N234" s="7" t="s">
        <v>419</v>
      </c>
      <c r="O234" s="7" t="s">
        <v>19430</v>
      </c>
      <c r="P234" s="7" t="s">
        <v>854</v>
      </c>
      <c r="Q234" s="7" t="s">
        <v>173</v>
      </c>
      <c r="R234" s="7" t="s">
        <v>19919</v>
      </c>
      <c r="S234" s="7" t="s">
        <v>19920</v>
      </c>
      <c r="T234" s="7" t="s">
        <v>5245</v>
      </c>
      <c r="U234" s="7" t="s">
        <v>3843</v>
      </c>
      <c r="V234" s="7">
        <v>1.0</v>
      </c>
    </row>
    <row r="235">
      <c r="A235" s="7" t="s">
        <v>19921</v>
      </c>
      <c r="B235" s="7">
        <v>10288.0</v>
      </c>
      <c r="C235" s="7" t="s">
        <v>5247</v>
      </c>
      <c r="D235" s="7" t="s">
        <v>5248</v>
      </c>
      <c r="E235" s="7" t="s">
        <v>5249</v>
      </c>
      <c r="F235" s="7" t="s">
        <v>5250</v>
      </c>
      <c r="G235" s="7" t="s">
        <v>5251</v>
      </c>
      <c r="H235" s="7" t="s">
        <v>5252</v>
      </c>
      <c r="I235" s="119">
        <v>45292.0</v>
      </c>
      <c r="K235" s="7" t="s">
        <v>3885</v>
      </c>
      <c r="L235" s="7" t="s">
        <v>3542</v>
      </c>
      <c r="M235" s="7" t="s">
        <v>3543</v>
      </c>
      <c r="N235" s="7" t="s">
        <v>419</v>
      </c>
      <c r="O235" s="7" t="s">
        <v>19433</v>
      </c>
      <c r="P235" s="7" t="s">
        <v>648</v>
      </c>
      <c r="Q235" s="7" t="s">
        <v>651</v>
      </c>
      <c r="R235" s="7" t="s">
        <v>19922</v>
      </c>
      <c r="S235" s="7" t="s">
        <v>19749</v>
      </c>
      <c r="T235" s="7" t="s">
        <v>19923</v>
      </c>
      <c r="U235" s="7" t="s">
        <v>3493</v>
      </c>
      <c r="V235" s="7">
        <v>1.0</v>
      </c>
    </row>
    <row r="236">
      <c r="A236" s="7" t="s">
        <v>19924</v>
      </c>
      <c r="B236" s="7">
        <v>2100057.0</v>
      </c>
      <c r="C236" s="7" t="s">
        <v>5256</v>
      </c>
      <c r="D236" s="7" t="s">
        <v>4717</v>
      </c>
      <c r="E236" s="7" t="s">
        <v>5257</v>
      </c>
      <c r="F236" s="7" t="s">
        <v>4262</v>
      </c>
      <c r="G236" s="7" t="s">
        <v>5258</v>
      </c>
      <c r="H236" s="7" t="s">
        <v>5259</v>
      </c>
      <c r="I236" s="119">
        <v>45292.0</v>
      </c>
      <c r="K236" s="7" t="s">
        <v>419</v>
      </c>
      <c r="L236" s="7" t="s">
        <v>991</v>
      </c>
      <c r="M236" s="7" t="s">
        <v>3501</v>
      </c>
      <c r="N236" s="7" t="s">
        <v>419</v>
      </c>
      <c r="O236" s="7" t="s">
        <v>19433</v>
      </c>
      <c r="P236" s="7" t="s">
        <v>648</v>
      </c>
      <c r="Q236" s="7" t="s">
        <v>148</v>
      </c>
      <c r="R236" s="7" t="s">
        <v>19544</v>
      </c>
      <c r="T236" s="7" t="s">
        <v>3734</v>
      </c>
      <c r="U236" s="7" t="s">
        <v>3493</v>
      </c>
      <c r="V236" s="7">
        <v>1.0</v>
      </c>
    </row>
    <row r="237">
      <c r="A237" s="7" t="s">
        <v>19925</v>
      </c>
      <c r="B237" s="7">
        <v>2100566.0</v>
      </c>
      <c r="C237" s="7" t="s">
        <v>5261</v>
      </c>
      <c r="D237" s="7" t="s">
        <v>5262</v>
      </c>
      <c r="E237" s="7" t="s">
        <v>5263</v>
      </c>
      <c r="F237" s="7" t="s">
        <v>5264</v>
      </c>
      <c r="G237" s="7" t="s">
        <v>5265</v>
      </c>
      <c r="H237" s="7" t="s">
        <v>5266</v>
      </c>
      <c r="I237" s="119">
        <v>45292.0</v>
      </c>
      <c r="K237" s="7" t="s">
        <v>4206</v>
      </c>
      <c r="L237" s="7" t="s">
        <v>3542</v>
      </c>
      <c r="M237" s="7" t="s">
        <v>3543</v>
      </c>
      <c r="N237" s="7" t="s">
        <v>419</v>
      </c>
      <c r="O237" s="7" t="s">
        <v>19433</v>
      </c>
      <c r="P237" s="7" t="s">
        <v>587</v>
      </c>
      <c r="Q237" s="7" t="s">
        <v>72</v>
      </c>
      <c r="R237" s="7" t="s">
        <v>19677</v>
      </c>
      <c r="S237" s="7" t="s">
        <v>19678</v>
      </c>
      <c r="T237" s="7" t="s">
        <v>19679</v>
      </c>
      <c r="U237" s="7" t="s">
        <v>3493</v>
      </c>
      <c r="V237" s="7">
        <v>1.0</v>
      </c>
    </row>
    <row r="238">
      <c r="A238" s="7" t="s">
        <v>19926</v>
      </c>
      <c r="B238" s="7">
        <v>13834.0</v>
      </c>
      <c r="C238" s="7" t="s">
        <v>5268</v>
      </c>
      <c r="D238" s="7" t="s">
        <v>5269</v>
      </c>
      <c r="E238" s="7" t="s">
        <v>5270</v>
      </c>
      <c r="F238" s="7" t="s">
        <v>3889</v>
      </c>
      <c r="G238" s="7" t="s">
        <v>5271</v>
      </c>
      <c r="H238" s="7" t="s">
        <v>5272</v>
      </c>
      <c r="I238" s="119">
        <v>45292.0</v>
      </c>
      <c r="K238" s="7" t="s">
        <v>419</v>
      </c>
      <c r="L238" s="7" t="s">
        <v>991</v>
      </c>
      <c r="M238" s="7" t="s">
        <v>3531</v>
      </c>
      <c r="N238" s="7" t="s">
        <v>419</v>
      </c>
      <c r="O238" s="7" t="s">
        <v>19432</v>
      </c>
      <c r="P238" s="7" t="s">
        <v>298</v>
      </c>
      <c r="Q238" s="7" t="s">
        <v>798</v>
      </c>
      <c r="T238" s="7" t="s">
        <v>5274</v>
      </c>
      <c r="U238" s="7" t="s">
        <v>3493</v>
      </c>
      <c r="V238" s="7">
        <v>1.0</v>
      </c>
    </row>
    <row r="239">
      <c r="A239" s="7" t="s">
        <v>19927</v>
      </c>
      <c r="B239" s="7">
        <v>2100024.0</v>
      </c>
      <c r="C239" s="7" t="s">
        <v>5276</v>
      </c>
      <c r="D239" s="7" t="s">
        <v>5277</v>
      </c>
      <c r="E239" s="7" t="s">
        <v>5278</v>
      </c>
      <c r="F239" s="7" t="s">
        <v>5279</v>
      </c>
      <c r="G239" s="7" t="s">
        <v>5280</v>
      </c>
      <c r="H239" s="7" t="s">
        <v>5281</v>
      </c>
      <c r="I239" s="119">
        <v>45292.0</v>
      </c>
      <c r="K239" s="7" t="s">
        <v>419</v>
      </c>
      <c r="L239" s="7" t="s">
        <v>991</v>
      </c>
      <c r="M239" s="7" t="s">
        <v>3501</v>
      </c>
      <c r="N239" s="7" t="s">
        <v>419</v>
      </c>
      <c r="O239" s="7" t="s">
        <v>19437</v>
      </c>
      <c r="P239" s="7" t="s">
        <v>440</v>
      </c>
      <c r="Q239" s="7" t="s">
        <v>924</v>
      </c>
      <c r="R239" s="7" t="s">
        <v>19793</v>
      </c>
      <c r="S239" s="7" t="s">
        <v>19794</v>
      </c>
      <c r="T239" s="7" t="s">
        <v>4661</v>
      </c>
      <c r="U239" s="7" t="s">
        <v>3493</v>
      </c>
      <c r="V239" s="7">
        <v>1.0</v>
      </c>
    </row>
    <row r="240">
      <c r="A240" s="7" t="s">
        <v>19928</v>
      </c>
      <c r="B240" s="7">
        <v>2200394.0</v>
      </c>
      <c r="C240" s="7" t="s">
        <v>5283</v>
      </c>
      <c r="D240" s="7" t="s">
        <v>5284</v>
      </c>
      <c r="E240" s="7" t="s">
        <v>5285</v>
      </c>
      <c r="F240" s="7" t="s">
        <v>5286</v>
      </c>
      <c r="G240" s="7" t="s">
        <v>5287</v>
      </c>
      <c r="H240" s="7" t="s">
        <v>5288</v>
      </c>
      <c r="I240" s="119">
        <v>45292.0</v>
      </c>
      <c r="K240" s="7" t="s">
        <v>419</v>
      </c>
      <c r="L240" s="7" t="s">
        <v>991</v>
      </c>
      <c r="M240" s="7" t="s">
        <v>3501</v>
      </c>
      <c r="N240" s="7" t="s">
        <v>419</v>
      </c>
      <c r="O240" s="7" t="s">
        <v>19443</v>
      </c>
      <c r="P240" s="7" t="s">
        <v>1242</v>
      </c>
      <c r="Q240" s="7" t="s">
        <v>39</v>
      </c>
      <c r="R240" s="7" t="s">
        <v>19929</v>
      </c>
      <c r="S240" s="7" t="s">
        <v>19930</v>
      </c>
      <c r="T240" s="7" t="s">
        <v>5290</v>
      </c>
      <c r="U240" s="7" t="s">
        <v>3493</v>
      </c>
      <c r="V240" s="7">
        <v>1.0</v>
      </c>
    </row>
    <row r="241">
      <c r="A241" s="7" t="s">
        <v>19931</v>
      </c>
      <c r="B241" s="7">
        <v>2200903.0</v>
      </c>
      <c r="C241" s="7" t="s">
        <v>5292</v>
      </c>
      <c r="D241" s="7" t="s">
        <v>5293</v>
      </c>
      <c r="E241" s="7" t="s">
        <v>5294</v>
      </c>
      <c r="F241" s="7" t="s">
        <v>5295</v>
      </c>
      <c r="G241" s="7" t="s">
        <v>5296</v>
      </c>
      <c r="H241" s="7" t="s">
        <v>5297</v>
      </c>
      <c r="I241" s="119">
        <v>45292.0</v>
      </c>
      <c r="K241" s="7" t="s">
        <v>419</v>
      </c>
      <c r="L241" s="7" t="s">
        <v>991</v>
      </c>
      <c r="M241" s="7" t="s">
        <v>3501</v>
      </c>
      <c r="N241" s="7" t="s">
        <v>419</v>
      </c>
      <c r="O241" s="7" t="s">
        <v>19430</v>
      </c>
      <c r="P241" s="7" t="s">
        <v>780</v>
      </c>
      <c r="Q241" s="7" t="s">
        <v>284</v>
      </c>
      <c r="R241" s="7" t="s">
        <v>19932</v>
      </c>
      <c r="T241" s="7" t="s">
        <v>8002</v>
      </c>
      <c r="U241" s="7" t="s">
        <v>3493</v>
      </c>
      <c r="V241" s="7">
        <v>1.0</v>
      </c>
    </row>
    <row r="242">
      <c r="A242" s="7" t="s">
        <v>19933</v>
      </c>
      <c r="B242" s="7">
        <v>861.0</v>
      </c>
      <c r="C242" s="7" t="s">
        <v>5292</v>
      </c>
      <c r="D242" s="7" t="s">
        <v>5301</v>
      </c>
      <c r="E242" s="7" t="s">
        <v>5294</v>
      </c>
      <c r="F242" s="7" t="s">
        <v>5295</v>
      </c>
      <c r="G242" s="7" t="s">
        <v>5302</v>
      </c>
      <c r="H242" s="7" t="s">
        <v>5303</v>
      </c>
      <c r="I242" s="119">
        <v>45292.0</v>
      </c>
      <c r="K242" s="7" t="s">
        <v>419</v>
      </c>
      <c r="L242" s="7" t="s">
        <v>991</v>
      </c>
      <c r="M242" s="7" t="s">
        <v>3501</v>
      </c>
      <c r="N242" s="7" t="s">
        <v>419</v>
      </c>
      <c r="O242" s="7" t="s">
        <v>19432</v>
      </c>
      <c r="P242" s="7" t="s">
        <v>693</v>
      </c>
      <c r="Q242" s="7" t="s">
        <v>696</v>
      </c>
      <c r="R242" s="7" t="s">
        <v>19934</v>
      </c>
      <c r="S242" s="7" t="s">
        <v>19739</v>
      </c>
      <c r="T242" s="7" t="s">
        <v>11449</v>
      </c>
      <c r="U242" s="7" t="s">
        <v>3843</v>
      </c>
      <c r="V242" s="7">
        <v>1.0</v>
      </c>
    </row>
    <row r="243">
      <c r="A243" s="7" t="s">
        <v>19935</v>
      </c>
      <c r="B243" s="7">
        <v>11562.0</v>
      </c>
      <c r="C243" s="7" t="s">
        <v>5292</v>
      </c>
      <c r="D243" s="7" t="s">
        <v>5307</v>
      </c>
      <c r="E243" s="7" t="s">
        <v>5294</v>
      </c>
      <c r="F243" s="7" t="s">
        <v>4487</v>
      </c>
      <c r="G243" s="7" t="s">
        <v>5308</v>
      </c>
      <c r="H243" s="7" t="s">
        <v>5309</v>
      </c>
      <c r="I243" s="119">
        <v>45292.0</v>
      </c>
      <c r="K243" s="7" t="s">
        <v>419</v>
      </c>
      <c r="L243" s="7" t="s">
        <v>991</v>
      </c>
      <c r="M243" s="7" t="s">
        <v>3531</v>
      </c>
      <c r="N243" s="7" t="s">
        <v>419</v>
      </c>
      <c r="O243" s="7" t="s">
        <v>19430</v>
      </c>
      <c r="P243" s="7" t="s">
        <v>717</v>
      </c>
      <c r="Q243" s="7" t="s">
        <v>720</v>
      </c>
      <c r="R243" s="7" t="s">
        <v>19542</v>
      </c>
      <c r="T243" s="7" t="s">
        <v>3725</v>
      </c>
      <c r="U243" s="7" t="s">
        <v>3493</v>
      </c>
      <c r="V243" s="7">
        <v>1.0</v>
      </c>
    </row>
    <row r="244">
      <c r="A244" s="7" t="s">
        <v>19936</v>
      </c>
      <c r="B244" s="7">
        <v>13654.0</v>
      </c>
      <c r="C244" s="7" t="s">
        <v>5292</v>
      </c>
      <c r="D244" s="7" t="s">
        <v>5311</v>
      </c>
      <c r="E244" s="7" t="s">
        <v>5294</v>
      </c>
      <c r="F244" s="7" t="s">
        <v>5312</v>
      </c>
      <c r="G244" s="7" t="s">
        <v>5313</v>
      </c>
      <c r="H244" s="7" t="s">
        <v>5314</v>
      </c>
      <c r="I244" s="119">
        <v>45292.0</v>
      </c>
      <c r="K244" s="7" t="s">
        <v>3632</v>
      </c>
      <c r="L244" s="7" t="s">
        <v>991</v>
      </c>
      <c r="M244" s="7" t="s">
        <v>3501</v>
      </c>
      <c r="N244" s="7" t="s">
        <v>3632</v>
      </c>
      <c r="O244" s="7" t="s">
        <v>3632</v>
      </c>
      <c r="P244" s="7" t="s">
        <v>3463</v>
      </c>
      <c r="Q244" s="7" t="s">
        <v>356</v>
      </c>
      <c r="R244" s="7" t="s">
        <v>19759</v>
      </c>
      <c r="T244" s="7" t="s">
        <v>18604</v>
      </c>
      <c r="U244" s="7" t="s">
        <v>3493</v>
      </c>
      <c r="V244" s="7">
        <v>1.0</v>
      </c>
    </row>
    <row r="245">
      <c r="A245" s="7" t="s">
        <v>19937</v>
      </c>
      <c r="B245" s="7">
        <v>2300628.0</v>
      </c>
      <c r="C245" s="7" t="s">
        <v>5292</v>
      </c>
      <c r="D245" s="7" t="s">
        <v>5316</v>
      </c>
      <c r="E245" s="7" t="s">
        <v>5294</v>
      </c>
      <c r="F245" s="7" t="s">
        <v>5317</v>
      </c>
      <c r="G245" s="7" t="s">
        <v>5318</v>
      </c>
      <c r="H245" s="7" t="s">
        <v>5319</v>
      </c>
      <c r="I245" s="119">
        <v>45292.0</v>
      </c>
      <c r="K245" s="7" t="s">
        <v>419</v>
      </c>
      <c r="L245" s="7" t="s">
        <v>991</v>
      </c>
      <c r="M245" s="7" t="s">
        <v>3501</v>
      </c>
      <c r="N245" s="7" t="s">
        <v>419</v>
      </c>
      <c r="O245" s="7" t="s">
        <v>19437</v>
      </c>
      <c r="P245" s="7" t="s">
        <v>603</v>
      </c>
      <c r="Q245" s="7" t="s">
        <v>90</v>
      </c>
      <c r="R245" s="7" t="s">
        <v>19938</v>
      </c>
      <c r="T245" s="7" t="s">
        <v>5321</v>
      </c>
      <c r="U245" s="7" t="s">
        <v>3604</v>
      </c>
      <c r="V245" s="7">
        <v>1.0</v>
      </c>
    </row>
    <row r="246">
      <c r="A246" s="7" t="s">
        <v>19939</v>
      </c>
      <c r="B246" s="7">
        <v>2200006.0</v>
      </c>
      <c r="C246" s="7" t="s">
        <v>5292</v>
      </c>
      <c r="D246" s="7" t="s">
        <v>5323</v>
      </c>
      <c r="E246" s="7" t="s">
        <v>5294</v>
      </c>
      <c r="F246" s="7" t="s">
        <v>3665</v>
      </c>
      <c r="G246" s="7" t="s">
        <v>5324</v>
      </c>
      <c r="H246" s="7" t="s">
        <v>5325</v>
      </c>
      <c r="I246" s="119">
        <v>45292.0</v>
      </c>
      <c r="K246" s="7" t="s">
        <v>419</v>
      </c>
      <c r="L246" s="7" t="s">
        <v>991</v>
      </c>
      <c r="M246" s="7" t="s">
        <v>3501</v>
      </c>
      <c r="N246" s="7" t="s">
        <v>419</v>
      </c>
      <c r="O246" s="7" t="s">
        <v>19437</v>
      </c>
      <c r="P246" s="7" t="s">
        <v>478</v>
      </c>
      <c r="Q246" s="7" t="s">
        <v>487</v>
      </c>
      <c r="R246" s="7" t="s">
        <v>19796</v>
      </c>
      <c r="S246" s="7" t="s">
        <v>19940</v>
      </c>
      <c r="T246" s="7" t="s">
        <v>5327</v>
      </c>
      <c r="U246" s="7" t="s">
        <v>3843</v>
      </c>
      <c r="V246" s="7">
        <v>1.0</v>
      </c>
    </row>
    <row r="247">
      <c r="A247" s="7" t="s">
        <v>19941</v>
      </c>
      <c r="B247" s="7">
        <v>12449.0</v>
      </c>
      <c r="C247" s="7" t="s">
        <v>5292</v>
      </c>
      <c r="D247" s="7" t="s">
        <v>5329</v>
      </c>
      <c r="E247" s="7" t="s">
        <v>5294</v>
      </c>
      <c r="F247" s="7" t="s">
        <v>5330</v>
      </c>
      <c r="G247" s="7" t="s">
        <v>5331</v>
      </c>
      <c r="H247" s="7" t="s">
        <v>5332</v>
      </c>
      <c r="I247" s="119">
        <v>45292.0</v>
      </c>
      <c r="K247" s="7" t="s">
        <v>3885</v>
      </c>
      <c r="L247" s="7" t="s">
        <v>3542</v>
      </c>
      <c r="M247" s="7" t="s">
        <v>3543</v>
      </c>
      <c r="N247" s="7" t="s">
        <v>419</v>
      </c>
      <c r="O247" s="7" t="s">
        <v>19433</v>
      </c>
      <c r="P247" s="7" t="s">
        <v>648</v>
      </c>
      <c r="Q247" s="7" t="s">
        <v>651</v>
      </c>
      <c r="R247" s="7" t="s">
        <v>19587</v>
      </c>
      <c r="S247" s="7" t="s">
        <v>19942</v>
      </c>
      <c r="T247" s="7" t="s">
        <v>19943</v>
      </c>
      <c r="U247" s="7" t="s">
        <v>3493</v>
      </c>
      <c r="V247" s="7">
        <v>1.0</v>
      </c>
    </row>
    <row r="248">
      <c r="A248" s="7" t="s">
        <v>19944</v>
      </c>
      <c r="B248" s="7">
        <v>2300646.0</v>
      </c>
      <c r="C248" s="7" t="s">
        <v>5336</v>
      </c>
      <c r="D248" s="7" t="s">
        <v>5337</v>
      </c>
      <c r="E248" s="7" t="s">
        <v>5338</v>
      </c>
      <c r="F248" s="7" t="s">
        <v>3498</v>
      </c>
      <c r="G248" s="7" t="s">
        <v>5339</v>
      </c>
      <c r="H248" s="7" t="s">
        <v>5340</v>
      </c>
      <c r="I248" s="119">
        <v>45292.0</v>
      </c>
      <c r="K248" s="7" t="s">
        <v>419</v>
      </c>
      <c r="L248" s="7" t="s">
        <v>991</v>
      </c>
      <c r="M248" s="7" t="s">
        <v>3501</v>
      </c>
      <c r="N248" s="7" t="s">
        <v>419</v>
      </c>
      <c r="O248" s="7" t="s">
        <v>19432</v>
      </c>
      <c r="P248" s="7" t="s">
        <v>693</v>
      </c>
      <c r="Q248" s="7" t="s">
        <v>703</v>
      </c>
      <c r="R248" s="7" t="s">
        <v>19945</v>
      </c>
      <c r="S248" s="7" t="s">
        <v>19946</v>
      </c>
      <c r="T248" s="7" t="s">
        <v>5342</v>
      </c>
      <c r="U248" s="7" t="s">
        <v>3843</v>
      </c>
      <c r="V248" s="7">
        <v>1.0</v>
      </c>
    </row>
    <row r="249">
      <c r="A249" s="7" t="s">
        <v>19947</v>
      </c>
      <c r="B249" s="7">
        <v>10977.0</v>
      </c>
      <c r="C249" s="7" t="s">
        <v>5344</v>
      </c>
      <c r="D249" s="7" t="s">
        <v>5345</v>
      </c>
      <c r="E249" s="7" t="s">
        <v>5346</v>
      </c>
      <c r="F249" s="7" t="s">
        <v>5347</v>
      </c>
      <c r="G249" s="7" t="s">
        <v>5348</v>
      </c>
      <c r="H249" s="7" t="s">
        <v>5349</v>
      </c>
      <c r="I249" s="119">
        <v>45292.0</v>
      </c>
      <c r="K249" s="7" t="s">
        <v>419</v>
      </c>
      <c r="L249" s="7" t="s">
        <v>991</v>
      </c>
      <c r="M249" s="7" t="s">
        <v>3501</v>
      </c>
      <c r="N249" s="7" t="s">
        <v>419</v>
      </c>
      <c r="O249" s="7" t="s">
        <v>19432</v>
      </c>
      <c r="P249" s="7" t="s">
        <v>391</v>
      </c>
      <c r="Q249" s="7" t="s">
        <v>392</v>
      </c>
      <c r="R249" s="7" t="s">
        <v>19534</v>
      </c>
      <c r="T249" s="7" t="s">
        <v>5350</v>
      </c>
      <c r="U249" s="7" t="s">
        <v>3493</v>
      </c>
      <c r="V249" s="7">
        <v>1.0</v>
      </c>
    </row>
    <row r="250">
      <c r="A250" s="7" t="s">
        <v>19948</v>
      </c>
      <c r="B250" s="7">
        <v>11097.0</v>
      </c>
      <c r="C250" s="7" t="s">
        <v>5352</v>
      </c>
      <c r="D250" s="7" t="s">
        <v>5353</v>
      </c>
      <c r="E250" s="7" t="s">
        <v>5354</v>
      </c>
      <c r="F250" s="7" t="s">
        <v>5355</v>
      </c>
      <c r="G250" s="7" t="s">
        <v>5356</v>
      </c>
      <c r="H250" s="7" t="s">
        <v>5357</v>
      </c>
      <c r="I250" s="119">
        <v>45292.0</v>
      </c>
      <c r="K250" s="7" t="s">
        <v>419</v>
      </c>
      <c r="L250" s="7" t="s">
        <v>991</v>
      </c>
      <c r="M250" s="7" t="s">
        <v>3501</v>
      </c>
      <c r="N250" s="7" t="s">
        <v>419</v>
      </c>
      <c r="O250" s="7" t="s">
        <v>19437</v>
      </c>
      <c r="P250" s="7" t="s">
        <v>440</v>
      </c>
      <c r="Q250" s="7" t="s">
        <v>441</v>
      </c>
      <c r="R250" s="7" t="s">
        <v>19949</v>
      </c>
      <c r="S250" s="7" t="s">
        <v>19950</v>
      </c>
      <c r="T250" s="7" t="s">
        <v>5359</v>
      </c>
      <c r="U250" s="7" t="s">
        <v>3493</v>
      </c>
      <c r="V250" s="7">
        <v>1.0</v>
      </c>
    </row>
    <row r="251">
      <c r="A251" s="7" t="s">
        <v>19951</v>
      </c>
      <c r="B251" s="7">
        <v>825.0</v>
      </c>
      <c r="C251" s="7" t="s">
        <v>5352</v>
      </c>
      <c r="D251" s="7" t="s">
        <v>5361</v>
      </c>
      <c r="E251" s="7" t="s">
        <v>5354</v>
      </c>
      <c r="F251" s="7" t="s">
        <v>5362</v>
      </c>
      <c r="G251" s="7" t="s">
        <v>5363</v>
      </c>
      <c r="H251" s="7" t="s">
        <v>5364</v>
      </c>
      <c r="I251" s="119">
        <v>45292.0</v>
      </c>
      <c r="K251" s="7" t="s">
        <v>419</v>
      </c>
      <c r="L251" s="7" t="s">
        <v>991</v>
      </c>
      <c r="M251" s="7" t="s">
        <v>3501</v>
      </c>
      <c r="N251" s="7" t="s">
        <v>419</v>
      </c>
      <c r="O251" s="7" t="s">
        <v>19432</v>
      </c>
      <c r="P251" s="7" t="s">
        <v>391</v>
      </c>
      <c r="Q251" s="7" t="s">
        <v>392</v>
      </c>
      <c r="R251" s="7" t="s">
        <v>19661</v>
      </c>
      <c r="T251" s="7" t="s">
        <v>19662</v>
      </c>
      <c r="U251" s="7" t="s">
        <v>3604</v>
      </c>
      <c r="V251" s="7">
        <v>1.0</v>
      </c>
    </row>
    <row r="252">
      <c r="A252" s="7" t="s">
        <v>19952</v>
      </c>
      <c r="B252" s="7">
        <v>2200649.0</v>
      </c>
      <c r="C252" s="7" t="s">
        <v>5352</v>
      </c>
      <c r="D252" s="7" t="s">
        <v>5368</v>
      </c>
      <c r="E252" s="7" t="s">
        <v>5354</v>
      </c>
      <c r="F252" s="7" t="s">
        <v>5369</v>
      </c>
      <c r="G252" s="7" t="s">
        <v>5370</v>
      </c>
      <c r="H252" s="7" t="s">
        <v>5371</v>
      </c>
      <c r="I252" s="119">
        <v>45292.0</v>
      </c>
      <c r="K252" s="7" t="s">
        <v>419</v>
      </c>
      <c r="L252" s="7" t="s">
        <v>991</v>
      </c>
      <c r="M252" s="7" t="s">
        <v>3531</v>
      </c>
      <c r="N252" s="7" t="s">
        <v>419</v>
      </c>
      <c r="O252" s="7" t="s">
        <v>19443</v>
      </c>
      <c r="P252" s="7" t="s">
        <v>1242</v>
      </c>
      <c r="Q252" s="7" t="s">
        <v>51</v>
      </c>
      <c r="R252" s="7" t="s">
        <v>19563</v>
      </c>
      <c r="S252" s="7" t="s">
        <v>19953</v>
      </c>
      <c r="T252" s="7" t="s">
        <v>5373</v>
      </c>
      <c r="U252" s="7" t="s">
        <v>3493</v>
      </c>
      <c r="V252" s="7">
        <v>1.0</v>
      </c>
    </row>
    <row r="253">
      <c r="A253" s="7" t="s">
        <v>19954</v>
      </c>
      <c r="B253" s="7">
        <v>12282.0</v>
      </c>
      <c r="C253" s="7" t="s">
        <v>5375</v>
      </c>
      <c r="D253" s="7" t="s">
        <v>4545</v>
      </c>
      <c r="E253" s="7" t="s">
        <v>5376</v>
      </c>
      <c r="F253" s="7" t="s">
        <v>4546</v>
      </c>
      <c r="G253" s="7" t="s">
        <v>5377</v>
      </c>
      <c r="H253" s="7" t="s">
        <v>5378</v>
      </c>
      <c r="I253" s="119">
        <v>45292.0</v>
      </c>
      <c r="K253" s="7" t="s">
        <v>419</v>
      </c>
      <c r="L253" s="7" t="s">
        <v>991</v>
      </c>
      <c r="M253" s="7" t="s">
        <v>3501</v>
      </c>
      <c r="N253" s="7" t="s">
        <v>419</v>
      </c>
      <c r="O253" s="7" t="s">
        <v>19438</v>
      </c>
      <c r="P253" s="7" t="s">
        <v>19475</v>
      </c>
      <c r="Q253" s="7" t="s">
        <v>188</v>
      </c>
      <c r="R253" s="7" t="s">
        <v>19955</v>
      </c>
      <c r="T253" s="7" t="s">
        <v>5380</v>
      </c>
      <c r="U253" s="7" t="s">
        <v>3493</v>
      </c>
      <c r="V253" s="7">
        <v>1.0</v>
      </c>
    </row>
    <row r="254">
      <c r="A254" s="7" t="s">
        <v>19956</v>
      </c>
      <c r="B254" s="7">
        <v>13150.0</v>
      </c>
      <c r="C254" s="7" t="s">
        <v>5382</v>
      </c>
      <c r="D254" s="7" t="s">
        <v>5383</v>
      </c>
      <c r="E254" s="7" t="s">
        <v>5384</v>
      </c>
      <c r="F254" s="7" t="s">
        <v>3486</v>
      </c>
      <c r="G254" s="7" t="s">
        <v>5385</v>
      </c>
      <c r="H254" s="7" t="s">
        <v>5386</v>
      </c>
      <c r="I254" s="119">
        <v>45292.0</v>
      </c>
      <c r="K254" s="7" t="s">
        <v>419</v>
      </c>
      <c r="L254" s="7" t="s">
        <v>991</v>
      </c>
      <c r="M254" s="7" t="s">
        <v>3531</v>
      </c>
      <c r="N254" s="7" t="s">
        <v>419</v>
      </c>
      <c r="O254" s="7" t="s">
        <v>19430</v>
      </c>
      <c r="P254" s="7" t="s">
        <v>717</v>
      </c>
      <c r="Q254" s="7" t="s">
        <v>720</v>
      </c>
      <c r="R254" s="7" t="s">
        <v>19542</v>
      </c>
      <c r="T254" s="7" t="s">
        <v>3725</v>
      </c>
      <c r="U254" s="7" t="s">
        <v>3493</v>
      </c>
      <c r="V254" s="7">
        <v>1.0</v>
      </c>
    </row>
    <row r="255">
      <c r="A255" s="7" t="s">
        <v>19957</v>
      </c>
      <c r="B255" s="7">
        <v>2200310.0</v>
      </c>
      <c r="C255" s="7" t="s">
        <v>5388</v>
      </c>
      <c r="D255" s="7" t="s">
        <v>5153</v>
      </c>
      <c r="E255" s="7" t="s">
        <v>5389</v>
      </c>
      <c r="F255" s="7" t="s">
        <v>5155</v>
      </c>
      <c r="G255" s="7" t="s">
        <v>5390</v>
      </c>
      <c r="I255" s="119">
        <v>45292.0</v>
      </c>
      <c r="K255" s="7" t="s">
        <v>419</v>
      </c>
      <c r="L255" s="7" t="s">
        <v>991</v>
      </c>
      <c r="M255" s="7" t="s">
        <v>3531</v>
      </c>
      <c r="N255" s="7" t="s">
        <v>419</v>
      </c>
      <c r="O255" s="7" t="s">
        <v>19430</v>
      </c>
      <c r="P255" s="7" t="s">
        <v>854</v>
      </c>
      <c r="Q255" s="7" t="s">
        <v>859</v>
      </c>
      <c r="T255" s="7" t="s">
        <v>3821</v>
      </c>
      <c r="U255" s="7" t="s">
        <v>3493</v>
      </c>
      <c r="V255" s="7">
        <v>1.0</v>
      </c>
    </row>
    <row r="256">
      <c r="A256" s="7" t="s">
        <v>19958</v>
      </c>
      <c r="B256" s="7">
        <v>13428.0</v>
      </c>
      <c r="C256" s="7" t="s">
        <v>5392</v>
      </c>
      <c r="D256" s="7" t="s">
        <v>5393</v>
      </c>
      <c r="E256" s="7" t="s">
        <v>5394</v>
      </c>
      <c r="F256" s="7" t="s">
        <v>5395</v>
      </c>
      <c r="G256" s="7" t="s">
        <v>5396</v>
      </c>
      <c r="H256" s="7" t="s">
        <v>5397</v>
      </c>
      <c r="I256" s="119">
        <v>45292.0</v>
      </c>
      <c r="K256" s="7" t="s">
        <v>419</v>
      </c>
      <c r="L256" s="7" t="s">
        <v>991</v>
      </c>
      <c r="M256" s="7" t="s">
        <v>3501</v>
      </c>
      <c r="N256" s="7" t="s">
        <v>419</v>
      </c>
      <c r="O256" s="7" t="s">
        <v>19443</v>
      </c>
      <c r="P256" s="7" t="s">
        <v>1242</v>
      </c>
      <c r="Q256" s="7" t="s">
        <v>51</v>
      </c>
      <c r="R256" s="7" t="s">
        <v>19563</v>
      </c>
      <c r="S256" s="7" t="s">
        <v>19564</v>
      </c>
      <c r="T256" s="7" t="s">
        <v>3803</v>
      </c>
      <c r="U256" s="7" t="s">
        <v>3493</v>
      </c>
      <c r="V256" s="7">
        <v>1.0</v>
      </c>
    </row>
    <row r="257">
      <c r="A257" s="7" t="s">
        <v>19959</v>
      </c>
      <c r="B257" s="7">
        <v>2300437.0</v>
      </c>
      <c r="C257" s="7" t="s">
        <v>5399</v>
      </c>
      <c r="D257" s="7" t="s">
        <v>5400</v>
      </c>
      <c r="E257" s="7" t="s">
        <v>5401</v>
      </c>
      <c r="F257" s="7" t="s">
        <v>4546</v>
      </c>
      <c r="G257" s="7" t="s">
        <v>5402</v>
      </c>
      <c r="H257" s="7" t="s">
        <v>5403</v>
      </c>
      <c r="I257" s="119">
        <v>45292.0</v>
      </c>
      <c r="K257" s="7" t="s">
        <v>419</v>
      </c>
      <c r="L257" s="7" t="s">
        <v>991</v>
      </c>
      <c r="M257" s="7" t="s">
        <v>3501</v>
      </c>
      <c r="N257" s="7" t="s">
        <v>419</v>
      </c>
      <c r="O257" s="7" t="s">
        <v>19437</v>
      </c>
      <c r="P257" s="7" t="s">
        <v>478</v>
      </c>
      <c r="Q257" s="7" t="s">
        <v>491</v>
      </c>
      <c r="R257" s="7" t="s">
        <v>19887</v>
      </c>
      <c r="T257" s="7" t="s">
        <v>5086</v>
      </c>
      <c r="U257" s="7" t="s">
        <v>3493</v>
      </c>
      <c r="V257" s="7">
        <v>1.0</v>
      </c>
    </row>
    <row r="258">
      <c r="A258" s="7" t="s">
        <v>19960</v>
      </c>
      <c r="B258" s="7">
        <v>11250.0</v>
      </c>
      <c r="C258" s="7" t="s">
        <v>5405</v>
      </c>
      <c r="D258" s="7" t="s">
        <v>5406</v>
      </c>
      <c r="E258" s="7" t="s">
        <v>5407</v>
      </c>
      <c r="F258" s="7" t="s">
        <v>5408</v>
      </c>
      <c r="G258" s="7" t="s">
        <v>5409</v>
      </c>
      <c r="H258" s="7" t="s">
        <v>5410</v>
      </c>
      <c r="I258" s="119">
        <v>45292.0</v>
      </c>
      <c r="K258" s="7" t="s">
        <v>419</v>
      </c>
      <c r="L258" s="7" t="s">
        <v>991</v>
      </c>
      <c r="M258" s="7" t="s">
        <v>3501</v>
      </c>
      <c r="N258" s="7" t="s">
        <v>419</v>
      </c>
      <c r="O258" s="7" t="s">
        <v>19430</v>
      </c>
      <c r="P258" s="7" t="s">
        <v>717</v>
      </c>
      <c r="Q258" s="7" t="s">
        <v>730</v>
      </c>
      <c r="R258" s="7" t="s">
        <v>19961</v>
      </c>
      <c r="S258" s="7" t="s">
        <v>19962</v>
      </c>
      <c r="T258" s="7" t="s">
        <v>5412</v>
      </c>
      <c r="U258" s="7" t="s">
        <v>3493</v>
      </c>
      <c r="V258" s="7">
        <v>1.0</v>
      </c>
    </row>
    <row r="259">
      <c r="A259" s="7" t="s">
        <v>19963</v>
      </c>
      <c r="B259" s="7">
        <v>2300583.0</v>
      </c>
      <c r="C259" s="7" t="s">
        <v>5414</v>
      </c>
      <c r="D259" s="7" t="s">
        <v>5415</v>
      </c>
      <c r="E259" s="7" t="s">
        <v>5416</v>
      </c>
      <c r="F259" s="7" t="s">
        <v>5417</v>
      </c>
      <c r="G259" s="7" t="s">
        <v>5418</v>
      </c>
      <c r="H259" s="7" t="s">
        <v>5419</v>
      </c>
      <c r="I259" s="119">
        <v>45292.0</v>
      </c>
      <c r="K259" s="7" t="s">
        <v>419</v>
      </c>
      <c r="L259" s="7" t="s">
        <v>991</v>
      </c>
      <c r="M259" s="7" t="s">
        <v>3501</v>
      </c>
      <c r="N259" s="7" t="s">
        <v>419</v>
      </c>
      <c r="O259" s="7" t="s">
        <v>19433</v>
      </c>
      <c r="P259" s="7" t="s">
        <v>587</v>
      </c>
      <c r="Q259" s="7" t="s">
        <v>74</v>
      </c>
      <c r="R259" s="7" t="s">
        <v>19911</v>
      </c>
      <c r="S259" s="7" t="s">
        <v>19964</v>
      </c>
      <c r="T259" s="7" t="s">
        <v>5421</v>
      </c>
      <c r="U259" s="7" t="s">
        <v>3493</v>
      </c>
      <c r="V259" s="7">
        <v>1.0</v>
      </c>
    </row>
    <row r="260">
      <c r="A260" s="7" t="s">
        <v>19965</v>
      </c>
      <c r="B260" s="7">
        <v>2400009.0</v>
      </c>
      <c r="C260" s="7" t="s">
        <v>5423</v>
      </c>
      <c r="D260" s="7" t="s">
        <v>5424</v>
      </c>
      <c r="E260" s="7" t="s">
        <v>5425</v>
      </c>
      <c r="F260" s="7" t="s">
        <v>5426</v>
      </c>
      <c r="G260" s="7" t="s">
        <v>5427</v>
      </c>
      <c r="H260" s="7" t="s">
        <v>5428</v>
      </c>
      <c r="I260" s="119">
        <v>45292.0</v>
      </c>
      <c r="K260" s="7" t="s">
        <v>419</v>
      </c>
      <c r="L260" s="7" t="s">
        <v>991</v>
      </c>
      <c r="M260" s="7" t="s">
        <v>3531</v>
      </c>
      <c r="N260" s="7" t="s">
        <v>419</v>
      </c>
      <c r="O260" s="7" t="s">
        <v>19443</v>
      </c>
      <c r="P260" s="7" t="s">
        <v>1242</v>
      </c>
      <c r="Q260" s="7" t="s">
        <v>51</v>
      </c>
      <c r="R260" s="7" t="s">
        <v>19549</v>
      </c>
      <c r="S260" s="7" t="s">
        <v>19577</v>
      </c>
      <c r="T260" s="7" t="s">
        <v>3842</v>
      </c>
      <c r="U260" s="7" t="s">
        <v>3493</v>
      </c>
      <c r="V260" s="7">
        <v>1.0</v>
      </c>
    </row>
    <row r="261">
      <c r="A261" s="7" t="s">
        <v>19966</v>
      </c>
      <c r="B261" s="7">
        <v>13670.0</v>
      </c>
      <c r="C261" s="7" t="s">
        <v>5430</v>
      </c>
      <c r="D261" s="7" t="s">
        <v>5431</v>
      </c>
      <c r="E261" s="7" t="s">
        <v>5432</v>
      </c>
      <c r="F261" s="7" t="s">
        <v>5433</v>
      </c>
      <c r="G261" s="7" t="s">
        <v>5434</v>
      </c>
      <c r="H261" s="7" t="s">
        <v>5435</v>
      </c>
      <c r="I261" s="119">
        <v>45292.0</v>
      </c>
      <c r="K261" s="7" t="s">
        <v>3632</v>
      </c>
      <c r="L261" s="7" t="s">
        <v>991</v>
      </c>
      <c r="M261" s="7" t="s">
        <v>3501</v>
      </c>
      <c r="N261" s="7" t="s">
        <v>3632</v>
      </c>
      <c r="O261" s="7" t="s">
        <v>3632</v>
      </c>
      <c r="P261" s="7" t="s">
        <v>625</v>
      </c>
      <c r="Q261" s="7" t="s">
        <v>626</v>
      </c>
      <c r="R261" s="7" t="s">
        <v>19967</v>
      </c>
      <c r="T261" s="7" t="s">
        <v>19968</v>
      </c>
      <c r="U261" s="7" t="s">
        <v>3493</v>
      </c>
      <c r="V261" s="7">
        <v>1.0</v>
      </c>
    </row>
    <row r="262">
      <c r="A262" s="7" t="s">
        <v>1410</v>
      </c>
      <c r="B262" s="7">
        <v>302.0</v>
      </c>
      <c r="C262" s="7" t="s">
        <v>5438</v>
      </c>
      <c r="D262" s="7" t="s">
        <v>5439</v>
      </c>
      <c r="E262" s="7" t="s">
        <v>5440</v>
      </c>
      <c r="F262" s="7" t="s">
        <v>5441</v>
      </c>
      <c r="G262" s="7" t="s">
        <v>5442</v>
      </c>
      <c r="H262" s="7" t="s">
        <v>5443</v>
      </c>
      <c r="I262" s="119">
        <v>45292.0</v>
      </c>
      <c r="K262" s="7" t="s">
        <v>419</v>
      </c>
      <c r="L262" s="7" t="s">
        <v>991</v>
      </c>
      <c r="M262" s="7" t="s">
        <v>3501</v>
      </c>
      <c r="N262" s="7" t="s">
        <v>419</v>
      </c>
      <c r="O262" s="7" t="s">
        <v>19430</v>
      </c>
      <c r="P262" s="7" t="s">
        <v>854</v>
      </c>
      <c r="T262" s="7" t="s">
        <v>10108</v>
      </c>
      <c r="U262" s="7" t="s">
        <v>12011</v>
      </c>
      <c r="V262" s="7">
        <v>1.0</v>
      </c>
    </row>
    <row r="263">
      <c r="A263" s="7" t="s">
        <v>19969</v>
      </c>
      <c r="B263" s="7">
        <v>2200286.0</v>
      </c>
      <c r="C263" s="7" t="s">
        <v>5448</v>
      </c>
      <c r="D263" s="7" t="s">
        <v>5449</v>
      </c>
      <c r="E263" s="7" t="s">
        <v>5450</v>
      </c>
      <c r="F263" s="7" t="s">
        <v>5451</v>
      </c>
      <c r="G263" s="7" t="s">
        <v>5452</v>
      </c>
      <c r="H263" s="7" t="s">
        <v>5453</v>
      </c>
      <c r="I263" s="119">
        <v>45292.0</v>
      </c>
      <c r="K263" s="7" t="s">
        <v>419</v>
      </c>
      <c r="L263" s="7" t="s">
        <v>991</v>
      </c>
      <c r="M263" s="7" t="s">
        <v>3501</v>
      </c>
      <c r="N263" s="7" t="s">
        <v>419</v>
      </c>
      <c r="O263" s="7" t="s">
        <v>19430</v>
      </c>
      <c r="P263" s="7" t="s">
        <v>780</v>
      </c>
      <c r="Q263" s="7" t="s">
        <v>284</v>
      </c>
      <c r="R263" s="7" t="s">
        <v>19554</v>
      </c>
      <c r="T263" s="7" t="s">
        <v>5454</v>
      </c>
      <c r="U263" s="7" t="s">
        <v>3493</v>
      </c>
      <c r="V263" s="7">
        <v>1.0</v>
      </c>
    </row>
    <row r="264">
      <c r="A264" s="7" t="s">
        <v>19970</v>
      </c>
      <c r="B264" s="7">
        <v>10737.0</v>
      </c>
      <c r="C264" s="7" t="s">
        <v>5456</v>
      </c>
      <c r="D264" s="7" t="s">
        <v>5457</v>
      </c>
      <c r="E264" s="7" t="s">
        <v>5458</v>
      </c>
      <c r="F264" s="7" t="s">
        <v>4960</v>
      </c>
      <c r="G264" s="7" t="s">
        <v>5459</v>
      </c>
      <c r="H264" s="7" t="s">
        <v>5460</v>
      </c>
      <c r="I264" s="119">
        <v>45292.0</v>
      </c>
      <c r="K264" s="7" t="s">
        <v>419</v>
      </c>
      <c r="L264" s="7" t="s">
        <v>991</v>
      </c>
      <c r="M264" s="7" t="s">
        <v>3501</v>
      </c>
      <c r="N264" s="7" t="s">
        <v>419</v>
      </c>
      <c r="O264" s="7" t="s">
        <v>19432</v>
      </c>
      <c r="P264" s="7" t="s">
        <v>693</v>
      </c>
      <c r="Q264" s="7" t="s">
        <v>698</v>
      </c>
      <c r="R264" s="7" t="s">
        <v>19563</v>
      </c>
      <c r="S264" s="7" t="s">
        <v>19971</v>
      </c>
      <c r="T264" s="7" t="s">
        <v>5462</v>
      </c>
      <c r="U264" s="7" t="s">
        <v>3493</v>
      </c>
      <c r="V264" s="7">
        <v>1.0</v>
      </c>
    </row>
    <row r="265">
      <c r="A265" s="7" t="s">
        <v>19972</v>
      </c>
      <c r="B265" s="7">
        <v>14041.0</v>
      </c>
      <c r="C265" s="7" t="s">
        <v>5464</v>
      </c>
      <c r="D265" s="7" t="s">
        <v>5465</v>
      </c>
      <c r="E265" s="7" t="s">
        <v>5458</v>
      </c>
      <c r="F265" s="7" t="s">
        <v>5466</v>
      </c>
      <c r="G265" s="7" t="s">
        <v>5467</v>
      </c>
      <c r="H265" s="7" t="s">
        <v>5468</v>
      </c>
      <c r="I265" s="119">
        <v>45292.0</v>
      </c>
      <c r="K265" s="7" t="s">
        <v>419</v>
      </c>
      <c r="L265" s="7" t="s">
        <v>991</v>
      </c>
      <c r="M265" s="7" t="s">
        <v>3501</v>
      </c>
      <c r="N265" s="7" t="s">
        <v>419</v>
      </c>
      <c r="O265" s="7" t="s">
        <v>19437</v>
      </c>
      <c r="P265" s="7" t="s">
        <v>603</v>
      </c>
      <c r="Q265" s="7" t="s">
        <v>90</v>
      </c>
      <c r="R265" s="7" t="s">
        <v>19973</v>
      </c>
      <c r="S265" s="7" t="s">
        <v>19974</v>
      </c>
      <c r="T265" s="7" t="s">
        <v>5470</v>
      </c>
      <c r="U265" s="7" t="s">
        <v>3843</v>
      </c>
      <c r="V265" s="7">
        <v>1.0</v>
      </c>
    </row>
    <row r="266">
      <c r="A266" s="7" t="s">
        <v>19975</v>
      </c>
      <c r="B266" s="7">
        <v>1095.0</v>
      </c>
      <c r="C266" s="7" t="s">
        <v>5472</v>
      </c>
      <c r="D266" s="7" t="s">
        <v>5473</v>
      </c>
      <c r="E266" s="7" t="s">
        <v>5474</v>
      </c>
      <c r="F266" s="7" t="s">
        <v>5475</v>
      </c>
      <c r="G266" s="7" t="s">
        <v>5476</v>
      </c>
      <c r="H266" s="7" t="s">
        <v>5477</v>
      </c>
      <c r="I266" s="119">
        <v>45292.0</v>
      </c>
      <c r="K266" s="7" t="s">
        <v>419</v>
      </c>
      <c r="L266" s="7" t="s">
        <v>991</v>
      </c>
      <c r="M266" s="7" t="s">
        <v>3501</v>
      </c>
      <c r="N266" s="7" t="s">
        <v>419</v>
      </c>
      <c r="O266" s="7" t="s">
        <v>19443</v>
      </c>
      <c r="P266" s="7" t="s">
        <v>1242</v>
      </c>
      <c r="Q266" s="7" t="s">
        <v>43</v>
      </c>
      <c r="R266" s="7" t="s">
        <v>19566</v>
      </c>
      <c r="S266" s="7" t="s">
        <v>19976</v>
      </c>
      <c r="T266" s="7" t="s">
        <v>19977</v>
      </c>
      <c r="U266" s="7" t="s">
        <v>3493</v>
      </c>
      <c r="V266" s="7">
        <v>1.0</v>
      </c>
    </row>
    <row r="267">
      <c r="A267" s="7" t="s">
        <v>19978</v>
      </c>
      <c r="B267" s="7">
        <v>2100070.0</v>
      </c>
      <c r="C267" s="7" t="s">
        <v>5481</v>
      </c>
      <c r="D267" s="7" t="s">
        <v>5482</v>
      </c>
      <c r="E267" s="7" t="s">
        <v>5483</v>
      </c>
      <c r="F267" s="7" t="s">
        <v>5441</v>
      </c>
      <c r="G267" s="7" t="s">
        <v>5484</v>
      </c>
      <c r="H267" s="7" t="s">
        <v>5485</v>
      </c>
      <c r="I267" s="119">
        <v>45292.0</v>
      </c>
      <c r="K267" s="7" t="s">
        <v>419</v>
      </c>
      <c r="L267" s="7" t="s">
        <v>991</v>
      </c>
      <c r="M267" s="7" t="s">
        <v>3501</v>
      </c>
      <c r="N267" s="7" t="s">
        <v>419</v>
      </c>
      <c r="O267" s="7" t="s">
        <v>19430</v>
      </c>
      <c r="P267" s="7" t="s">
        <v>717</v>
      </c>
      <c r="Q267" s="7" t="s">
        <v>730</v>
      </c>
      <c r="R267" s="7" t="s">
        <v>19979</v>
      </c>
      <c r="S267" s="7" t="s">
        <v>19980</v>
      </c>
      <c r="T267" s="7" t="s">
        <v>5487</v>
      </c>
      <c r="U267" s="7" t="s">
        <v>3843</v>
      </c>
      <c r="V267" s="7">
        <v>1.0</v>
      </c>
    </row>
    <row r="268">
      <c r="A268" s="7" t="s">
        <v>19981</v>
      </c>
      <c r="B268" s="7">
        <v>1063.0</v>
      </c>
      <c r="C268" s="7" t="s">
        <v>5481</v>
      </c>
      <c r="D268" s="7" t="s">
        <v>5489</v>
      </c>
      <c r="E268" s="7" t="s">
        <v>5483</v>
      </c>
      <c r="F268" s="7" t="s">
        <v>5490</v>
      </c>
      <c r="G268" s="7" t="s">
        <v>5491</v>
      </c>
      <c r="H268" s="7" t="s">
        <v>5492</v>
      </c>
      <c r="I268" s="119">
        <v>45292.0</v>
      </c>
      <c r="K268" s="7" t="s">
        <v>419</v>
      </c>
      <c r="L268" s="7" t="s">
        <v>991</v>
      </c>
      <c r="M268" s="7" t="s">
        <v>3501</v>
      </c>
      <c r="N268" s="7" t="s">
        <v>419</v>
      </c>
      <c r="O268" s="7" t="s">
        <v>19437</v>
      </c>
      <c r="P268" s="7" t="s">
        <v>478</v>
      </c>
      <c r="Q268" s="7" t="s">
        <v>487</v>
      </c>
      <c r="R268" s="7" t="s">
        <v>19982</v>
      </c>
      <c r="T268" s="7" t="s">
        <v>19983</v>
      </c>
      <c r="U268" s="7" t="s">
        <v>3604</v>
      </c>
      <c r="V268" s="7">
        <v>1.0</v>
      </c>
    </row>
    <row r="269">
      <c r="A269" s="7" t="s">
        <v>19984</v>
      </c>
      <c r="B269" s="7">
        <v>2100498.0</v>
      </c>
      <c r="C269" s="7" t="s">
        <v>5481</v>
      </c>
      <c r="D269" s="7" t="s">
        <v>5496</v>
      </c>
      <c r="E269" s="7" t="s">
        <v>5483</v>
      </c>
      <c r="F269" s="7" t="s">
        <v>5497</v>
      </c>
      <c r="G269" s="7" t="s">
        <v>5498</v>
      </c>
      <c r="H269" s="7" t="s">
        <v>5499</v>
      </c>
      <c r="I269" s="119">
        <v>45292.0</v>
      </c>
      <c r="K269" s="7" t="s">
        <v>419</v>
      </c>
      <c r="L269" s="7" t="s">
        <v>991</v>
      </c>
      <c r="M269" s="7" t="s">
        <v>3501</v>
      </c>
      <c r="N269" s="7" t="s">
        <v>419</v>
      </c>
      <c r="O269" s="7" t="s">
        <v>19437</v>
      </c>
      <c r="P269" s="7" t="s">
        <v>603</v>
      </c>
      <c r="Q269" s="7" t="s">
        <v>97</v>
      </c>
      <c r="R269" s="7" t="s">
        <v>19985</v>
      </c>
      <c r="T269" s="7" t="s">
        <v>5501</v>
      </c>
      <c r="U269" s="7" t="s">
        <v>3604</v>
      </c>
      <c r="V269" s="7">
        <v>1.0</v>
      </c>
    </row>
    <row r="270">
      <c r="A270" s="7" t="s">
        <v>19986</v>
      </c>
      <c r="B270" s="7">
        <v>2100401.0</v>
      </c>
      <c r="C270" s="7" t="s">
        <v>5481</v>
      </c>
      <c r="D270" s="7" t="s">
        <v>3713</v>
      </c>
      <c r="E270" s="7" t="s">
        <v>5483</v>
      </c>
      <c r="F270" s="7" t="s">
        <v>3909</v>
      </c>
      <c r="G270" s="7" t="s">
        <v>5503</v>
      </c>
      <c r="H270" s="7" t="s">
        <v>5504</v>
      </c>
      <c r="I270" s="119">
        <v>45292.0</v>
      </c>
      <c r="J270" s="7" t="s">
        <v>3929</v>
      </c>
      <c r="K270" s="7" t="s">
        <v>419</v>
      </c>
      <c r="L270" s="7" t="s">
        <v>991</v>
      </c>
      <c r="M270" s="7" t="s">
        <v>3501</v>
      </c>
      <c r="N270" s="7" t="s">
        <v>419</v>
      </c>
      <c r="O270" s="7" t="s">
        <v>19433</v>
      </c>
      <c r="P270" s="7" t="s">
        <v>648</v>
      </c>
      <c r="Q270" s="7" t="s">
        <v>143</v>
      </c>
      <c r="R270" s="7" t="s">
        <v>19712</v>
      </c>
      <c r="S270" s="7" t="s">
        <v>19987</v>
      </c>
      <c r="T270" s="7" t="s">
        <v>5506</v>
      </c>
      <c r="U270" s="7" t="s">
        <v>3493</v>
      </c>
      <c r="V270" s="7">
        <v>1.0</v>
      </c>
    </row>
    <row r="271">
      <c r="A271" s="7" t="s">
        <v>19988</v>
      </c>
      <c r="B271" s="7">
        <v>2200870.0</v>
      </c>
      <c r="C271" s="7" t="s">
        <v>5481</v>
      </c>
      <c r="D271" s="7" t="s">
        <v>5508</v>
      </c>
      <c r="E271" s="7" t="s">
        <v>5483</v>
      </c>
      <c r="F271" s="7" t="s">
        <v>5509</v>
      </c>
      <c r="G271" s="7" t="s">
        <v>5510</v>
      </c>
      <c r="H271" s="7" t="s">
        <v>5511</v>
      </c>
      <c r="I271" s="119">
        <v>45292.0</v>
      </c>
      <c r="K271" s="7" t="s">
        <v>3632</v>
      </c>
      <c r="L271" s="7" t="s">
        <v>991</v>
      </c>
      <c r="M271" s="7" t="s">
        <v>3866</v>
      </c>
      <c r="N271" s="7" t="s">
        <v>3632</v>
      </c>
      <c r="O271" s="7" t="s">
        <v>3632</v>
      </c>
      <c r="P271" s="7" t="s">
        <v>625</v>
      </c>
      <c r="Q271" s="7" t="s">
        <v>626</v>
      </c>
      <c r="R271" s="7" t="s">
        <v>19672</v>
      </c>
      <c r="T271" s="7" t="s">
        <v>4191</v>
      </c>
      <c r="U271" s="7" t="s">
        <v>3493</v>
      </c>
      <c r="V271" s="7">
        <v>1.0</v>
      </c>
    </row>
    <row r="272">
      <c r="A272" s="7" t="s">
        <v>19989</v>
      </c>
      <c r="B272" s="7">
        <v>2200074.0</v>
      </c>
      <c r="C272" s="7" t="s">
        <v>5481</v>
      </c>
      <c r="D272" s="7" t="s">
        <v>5513</v>
      </c>
      <c r="E272" s="7" t="s">
        <v>5483</v>
      </c>
      <c r="F272" s="7" t="s">
        <v>5514</v>
      </c>
      <c r="G272" s="7" t="s">
        <v>5515</v>
      </c>
      <c r="H272" s="7" t="s">
        <v>5516</v>
      </c>
      <c r="I272" s="119">
        <v>45292.0</v>
      </c>
      <c r="K272" s="7" t="s">
        <v>419</v>
      </c>
      <c r="L272" s="7" t="s">
        <v>991</v>
      </c>
      <c r="M272" s="7" t="s">
        <v>3501</v>
      </c>
      <c r="N272" s="7" t="s">
        <v>419</v>
      </c>
      <c r="O272" s="7" t="s">
        <v>19430</v>
      </c>
      <c r="P272" s="7" t="s">
        <v>854</v>
      </c>
      <c r="Q272" s="7" t="s">
        <v>864</v>
      </c>
      <c r="R272" s="7" t="s">
        <v>19721</v>
      </c>
      <c r="T272" s="7" t="s">
        <v>5517</v>
      </c>
      <c r="U272" s="7" t="s">
        <v>3493</v>
      </c>
      <c r="V272" s="7">
        <v>1.0</v>
      </c>
    </row>
    <row r="273">
      <c r="A273" s="7" t="s">
        <v>19990</v>
      </c>
      <c r="B273" s="7">
        <v>2300637.0</v>
      </c>
      <c r="C273" s="7" t="s">
        <v>5519</v>
      </c>
      <c r="D273" s="7" t="s">
        <v>5520</v>
      </c>
      <c r="E273" s="7" t="s">
        <v>5521</v>
      </c>
      <c r="F273" s="7" t="s">
        <v>5522</v>
      </c>
      <c r="G273" s="7" t="s">
        <v>5523</v>
      </c>
      <c r="H273" s="7" t="s">
        <v>5524</v>
      </c>
      <c r="I273" s="119">
        <v>45292.0</v>
      </c>
      <c r="K273" s="7" t="s">
        <v>419</v>
      </c>
      <c r="L273" s="7" t="s">
        <v>991</v>
      </c>
      <c r="M273" s="7" t="s">
        <v>3531</v>
      </c>
      <c r="N273" s="7" t="s">
        <v>419</v>
      </c>
      <c r="O273" s="7" t="s">
        <v>19432</v>
      </c>
      <c r="P273" s="7" t="s">
        <v>693</v>
      </c>
      <c r="Q273" s="7" t="s">
        <v>703</v>
      </c>
      <c r="R273" s="7" t="s">
        <v>19945</v>
      </c>
      <c r="S273" s="7" t="s">
        <v>19946</v>
      </c>
      <c r="T273" s="7" t="s">
        <v>5342</v>
      </c>
      <c r="U273" s="7" t="s">
        <v>3493</v>
      </c>
      <c r="V273" s="7">
        <v>1.0</v>
      </c>
    </row>
    <row r="274">
      <c r="A274" s="7" t="s">
        <v>19991</v>
      </c>
      <c r="B274" s="7">
        <v>12031.0</v>
      </c>
      <c r="C274" s="7" t="s">
        <v>5526</v>
      </c>
      <c r="D274" s="7" t="s">
        <v>5527</v>
      </c>
      <c r="E274" s="7" t="s">
        <v>5528</v>
      </c>
      <c r="F274" s="7" t="s">
        <v>5529</v>
      </c>
      <c r="G274" s="7" t="s">
        <v>5530</v>
      </c>
      <c r="H274" s="7" t="s">
        <v>5531</v>
      </c>
      <c r="I274" s="119">
        <v>45292.0</v>
      </c>
      <c r="K274" s="7" t="s">
        <v>419</v>
      </c>
      <c r="L274" s="7" t="s">
        <v>991</v>
      </c>
      <c r="M274" s="7" t="s">
        <v>3501</v>
      </c>
      <c r="N274" s="7" t="s">
        <v>419</v>
      </c>
      <c r="O274" s="7" t="s">
        <v>19430</v>
      </c>
      <c r="P274" s="7" t="s">
        <v>854</v>
      </c>
      <c r="Q274" s="7" t="s">
        <v>864</v>
      </c>
      <c r="R274" s="7" t="s">
        <v>19721</v>
      </c>
      <c r="T274" s="7" t="s">
        <v>5517</v>
      </c>
      <c r="U274" s="7" t="s">
        <v>3493</v>
      </c>
      <c r="V274" s="7">
        <v>1.0</v>
      </c>
    </row>
    <row r="275">
      <c r="A275" s="7" t="s">
        <v>19992</v>
      </c>
      <c r="B275" s="7">
        <v>2300591.0</v>
      </c>
      <c r="C275" s="7" t="s">
        <v>5533</v>
      </c>
      <c r="D275" s="7" t="s">
        <v>5534</v>
      </c>
      <c r="E275" s="7" t="s">
        <v>5535</v>
      </c>
      <c r="F275" s="7" t="s">
        <v>5536</v>
      </c>
      <c r="G275" s="7" t="s">
        <v>5537</v>
      </c>
      <c r="H275" s="7" t="s">
        <v>5538</v>
      </c>
      <c r="I275" s="119">
        <v>45292.0</v>
      </c>
      <c r="K275" s="7" t="s">
        <v>419</v>
      </c>
      <c r="L275" s="7" t="s">
        <v>991</v>
      </c>
      <c r="M275" s="7" t="s">
        <v>3501</v>
      </c>
      <c r="N275" s="7" t="s">
        <v>419</v>
      </c>
      <c r="O275" s="7" t="s">
        <v>19440</v>
      </c>
      <c r="P275" s="7" t="s">
        <v>613</v>
      </c>
      <c r="Q275" s="7" t="s">
        <v>106</v>
      </c>
      <c r="R275" s="7" t="s">
        <v>19993</v>
      </c>
      <c r="T275" s="7" t="s">
        <v>5540</v>
      </c>
      <c r="U275" s="7" t="s">
        <v>3493</v>
      </c>
      <c r="V275" s="7">
        <v>1.0</v>
      </c>
    </row>
    <row r="276">
      <c r="A276" s="7" t="s">
        <v>19994</v>
      </c>
      <c r="B276" s="7">
        <v>12562.0</v>
      </c>
      <c r="C276" s="7" t="s">
        <v>5542</v>
      </c>
      <c r="D276" s="7" t="s">
        <v>5543</v>
      </c>
      <c r="E276" s="7" t="s">
        <v>5544</v>
      </c>
      <c r="F276" s="7" t="s">
        <v>5545</v>
      </c>
      <c r="G276" s="7" t="s">
        <v>5546</v>
      </c>
      <c r="H276" s="7" t="s">
        <v>5547</v>
      </c>
      <c r="I276" s="119">
        <v>45292.0</v>
      </c>
      <c r="K276" s="7" t="s">
        <v>419</v>
      </c>
      <c r="L276" s="7" t="s">
        <v>991</v>
      </c>
      <c r="M276" s="7" t="s">
        <v>3501</v>
      </c>
      <c r="N276" s="7" t="s">
        <v>419</v>
      </c>
      <c r="O276" s="7" t="s">
        <v>19437</v>
      </c>
      <c r="P276" s="7" t="s">
        <v>478</v>
      </c>
      <c r="Q276" s="7" t="s">
        <v>487</v>
      </c>
      <c r="R276" s="7" t="s">
        <v>19796</v>
      </c>
      <c r="S276" s="7" t="s">
        <v>19797</v>
      </c>
      <c r="T276" s="7" t="s">
        <v>4670</v>
      </c>
      <c r="U276" s="7" t="s">
        <v>3843</v>
      </c>
      <c r="V276" s="7">
        <v>1.0</v>
      </c>
    </row>
    <row r="277">
      <c r="A277" s="7" t="s">
        <v>19995</v>
      </c>
      <c r="B277" s="7">
        <v>2300640.0</v>
      </c>
      <c r="C277" s="7" t="s">
        <v>5550</v>
      </c>
      <c r="D277" s="7" t="s">
        <v>5551</v>
      </c>
      <c r="E277" s="7" t="s">
        <v>5552</v>
      </c>
      <c r="F277" s="7" t="s">
        <v>5553</v>
      </c>
      <c r="G277" s="7" t="s">
        <v>5554</v>
      </c>
      <c r="H277" s="7" t="s">
        <v>5555</v>
      </c>
      <c r="I277" s="119">
        <v>45292.0</v>
      </c>
      <c r="K277" s="7" t="s">
        <v>419</v>
      </c>
      <c r="L277" s="7" t="s">
        <v>991</v>
      </c>
      <c r="M277" s="7" t="s">
        <v>3501</v>
      </c>
      <c r="N277" s="7" t="s">
        <v>419</v>
      </c>
      <c r="O277" s="7" t="s">
        <v>19432</v>
      </c>
      <c r="P277" s="7" t="s">
        <v>693</v>
      </c>
      <c r="Q277" s="7" t="s">
        <v>701</v>
      </c>
      <c r="R277" s="7" t="s">
        <v>19518</v>
      </c>
      <c r="S277" s="7" t="s">
        <v>19996</v>
      </c>
      <c r="T277" s="7" t="s">
        <v>19997</v>
      </c>
      <c r="U277" s="7" t="s">
        <v>3493</v>
      </c>
      <c r="V277" s="7">
        <v>1.0</v>
      </c>
    </row>
    <row r="278">
      <c r="A278" s="7" t="s">
        <v>19998</v>
      </c>
      <c r="B278" s="7">
        <v>2200770.0</v>
      </c>
      <c r="C278" s="7" t="s">
        <v>5561</v>
      </c>
      <c r="D278" s="7" t="s">
        <v>5562</v>
      </c>
      <c r="E278" s="7" t="s">
        <v>5563</v>
      </c>
      <c r="F278" s="7" t="s">
        <v>5564</v>
      </c>
      <c r="G278" s="7" t="s">
        <v>5565</v>
      </c>
      <c r="H278" s="7" t="s">
        <v>5566</v>
      </c>
      <c r="I278" s="119">
        <v>45292.0</v>
      </c>
      <c r="K278" s="7" t="s">
        <v>419</v>
      </c>
      <c r="L278" s="7" t="s">
        <v>991</v>
      </c>
      <c r="M278" s="7" t="s">
        <v>3531</v>
      </c>
      <c r="N278" s="7" t="s">
        <v>419</v>
      </c>
      <c r="O278" s="7" t="s">
        <v>19430</v>
      </c>
      <c r="P278" s="7" t="s">
        <v>717</v>
      </c>
      <c r="Q278" s="7" t="s">
        <v>738</v>
      </c>
      <c r="R278" s="7" t="s">
        <v>19818</v>
      </c>
      <c r="S278" s="7" t="s">
        <v>19668</v>
      </c>
      <c r="T278" s="7" t="s">
        <v>4739</v>
      </c>
      <c r="U278" s="7" t="s">
        <v>3493</v>
      </c>
      <c r="V278" s="7">
        <v>1.0</v>
      </c>
    </row>
    <row r="279">
      <c r="A279" s="7" t="s">
        <v>19999</v>
      </c>
      <c r="B279" s="7">
        <v>769.0</v>
      </c>
      <c r="C279" s="7" t="s">
        <v>5561</v>
      </c>
      <c r="D279" s="7" t="s">
        <v>5568</v>
      </c>
      <c r="E279" s="7" t="s">
        <v>5563</v>
      </c>
      <c r="F279" s="7" t="s">
        <v>5569</v>
      </c>
      <c r="G279" s="7" t="s">
        <v>5570</v>
      </c>
      <c r="H279" s="7" t="s">
        <v>5571</v>
      </c>
      <c r="I279" s="119">
        <v>45292.0</v>
      </c>
      <c r="K279" s="7" t="s">
        <v>419</v>
      </c>
      <c r="L279" s="7" t="s">
        <v>991</v>
      </c>
      <c r="M279" s="7" t="s">
        <v>3501</v>
      </c>
      <c r="N279" s="7" t="s">
        <v>419</v>
      </c>
      <c r="O279" s="7" t="s">
        <v>19443</v>
      </c>
      <c r="P279" s="7" t="s">
        <v>1242</v>
      </c>
      <c r="Q279" s="7" t="s">
        <v>48</v>
      </c>
      <c r="R279" s="7" t="s">
        <v>19710</v>
      </c>
      <c r="T279" s="7" t="s">
        <v>4331</v>
      </c>
      <c r="U279" s="7" t="s">
        <v>3493</v>
      </c>
      <c r="V279" s="7">
        <v>1.0</v>
      </c>
    </row>
    <row r="280">
      <c r="A280" s="7" t="s">
        <v>20000</v>
      </c>
      <c r="B280" s="7">
        <v>881.0</v>
      </c>
      <c r="C280" s="7" t="s">
        <v>5561</v>
      </c>
      <c r="D280" s="7" t="s">
        <v>5573</v>
      </c>
      <c r="E280" s="7" t="s">
        <v>5563</v>
      </c>
      <c r="F280" s="7" t="s">
        <v>4478</v>
      </c>
      <c r="G280" s="7" t="s">
        <v>5574</v>
      </c>
      <c r="H280" s="7" t="s">
        <v>5575</v>
      </c>
      <c r="I280" s="119">
        <v>45292.0</v>
      </c>
      <c r="K280" s="7" t="s">
        <v>419</v>
      </c>
      <c r="L280" s="7" t="s">
        <v>991</v>
      </c>
      <c r="M280" s="7" t="s">
        <v>3501</v>
      </c>
      <c r="N280" s="7" t="s">
        <v>419</v>
      </c>
      <c r="O280" s="7" t="s">
        <v>19432</v>
      </c>
      <c r="P280" s="7" t="s">
        <v>391</v>
      </c>
      <c r="Q280" s="7" t="s">
        <v>392</v>
      </c>
      <c r="R280" s="7" t="s">
        <v>19534</v>
      </c>
      <c r="T280" s="7" t="s">
        <v>5350</v>
      </c>
      <c r="U280" s="7" t="s">
        <v>3493</v>
      </c>
      <c r="V280" s="7">
        <v>1.0</v>
      </c>
    </row>
    <row r="281">
      <c r="A281" s="7" t="s">
        <v>2211</v>
      </c>
      <c r="B281" s="7">
        <v>2100468.0</v>
      </c>
      <c r="C281" s="7" t="s">
        <v>5577</v>
      </c>
      <c r="D281" s="7" t="s">
        <v>5578</v>
      </c>
      <c r="E281" s="7" t="s">
        <v>5579</v>
      </c>
      <c r="F281" s="7" t="s">
        <v>5580</v>
      </c>
      <c r="G281" s="7" t="s">
        <v>5581</v>
      </c>
      <c r="H281" s="7" t="s">
        <v>5582</v>
      </c>
      <c r="I281" s="119">
        <v>45292.0</v>
      </c>
      <c r="K281" s="7" t="s">
        <v>419</v>
      </c>
      <c r="L281" s="7" t="s">
        <v>991</v>
      </c>
      <c r="M281" s="7" t="s">
        <v>3501</v>
      </c>
      <c r="N281" s="7" t="s">
        <v>419</v>
      </c>
      <c r="O281" s="7" t="s">
        <v>19430</v>
      </c>
      <c r="P281" s="7" t="s">
        <v>717</v>
      </c>
      <c r="Q281" s="7" t="s">
        <v>738</v>
      </c>
      <c r="T281" s="7" t="s">
        <v>5584</v>
      </c>
      <c r="U281" s="7" t="s">
        <v>5585</v>
      </c>
      <c r="V281" s="7">
        <v>1.0</v>
      </c>
    </row>
    <row r="282">
      <c r="A282" s="7" t="s">
        <v>20001</v>
      </c>
      <c r="B282" s="7">
        <v>2200252.0</v>
      </c>
      <c r="C282" s="7" t="s">
        <v>5577</v>
      </c>
      <c r="D282" s="7" t="s">
        <v>5587</v>
      </c>
      <c r="E282" s="7" t="s">
        <v>5579</v>
      </c>
      <c r="F282" s="7" t="s">
        <v>5588</v>
      </c>
      <c r="G282" s="7" t="s">
        <v>5589</v>
      </c>
      <c r="H282" s="7" t="s">
        <v>5590</v>
      </c>
      <c r="I282" s="119">
        <v>45292.0</v>
      </c>
      <c r="K282" s="7" t="s">
        <v>419</v>
      </c>
      <c r="L282" s="7" t="s">
        <v>991</v>
      </c>
      <c r="M282" s="7" t="s">
        <v>3501</v>
      </c>
      <c r="N282" s="7" t="s">
        <v>419</v>
      </c>
      <c r="O282" s="7" t="s">
        <v>19432</v>
      </c>
      <c r="P282" s="7" t="s">
        <v>391</v>
      </c>
      <c r="Q282" s="7" t="s">
        <v>392</v>
      </c>
      <c r="R282" s="7" t="s">
        <v>19552</v>
      </c>
      <c r="T282" s="7" t="s">
        <v>6965</v>
      </c>
      <c r="U282" s="7" t="s">
        <v>3493</v>
      </c>
      <c r="V282" s="7">
        <v>1.0</v>
      </c>
    </row>
    <row r="283">
      <c r="A283" s="7" t="s">
        <v>20002</v>
      </c>
      <c r="B283" s="7">
        <v>738.0</v>
      </c>
      <c r="C283" s="7" t="s">
        <v>5592</v>
      </c>
      <c r="D283" s="7" t="s">
        <v>5593</v>
      </c>
      <c r="E283" s="7" t="s">
        <v>5594</v>
      </c>
      <c r="F283" s="7" t="s">
        <v>5595</v>
      </c>
      <c r="G283" s="7" t="s">
        <v>5596</v>
      </c>
      <c r="H283" s="7" t="s">
        <v>5597</v>
      </c>
      <c r="I283" s="119">
        <v>45292.0</v>
      </c>
      <c r="K283" s="7" t="s">
        <v>3885</v>
      </c>
      <c r="L283" s="7" t="s">
        <v>3542</v>
      </c>
      <c r="M283" s="7" t="s">
        <v>3543</v>
      </c>
      <c r="N283" s="7" t="s">
        <v>419</v>
      </c>
      <c r="O283" s="7" t="s">
        <v>19433</v>
      </c>
      <c r="P283" s="7" t="s">
        <v>648</v>
      </c>
      <c r="Q283" s="7" t="s">
        <v>141</v>
      </c>
      <c r="R283" s="7" t="s">
        <v>19696</v>
      </c>
      <c r="T283" s="7" t="s">
        <v>4291</v>
      </c>
      <c r="U283" s="7" t="s">
        <v>3493</v>
      </c>
      <c r="V283" s="7">
        <v>1.0</v>
      </c>
    </row>
    <row r="284">
      <c r="A284" s="7" t="s">
        <v>20003</v>
      </c>
      <c r="B284" s="7">
        <v>2200607.0</v>
      </c>
      <c r="C284" s="7" t="s">
        <v>5600</v>
      </c>
      <c r="D284" s="7" t="s">
        <v>5601</v>
      </c>
      <c r="E284" s="7" t="s">
        <v>5602</v>
      </c>
      <c r="F284" s="7" t="s">
        <v>4075</v>
      </c>
      <c r="G284" s="7" t="s">
        <v>5603</v>
      </c>
      <c r="H284" s="7" t="s">
        <v>5604</v>
      </c>
      <c r="I284" s="119">
        <v>45292.0</v>
      </c>
      <c r="K284" s="7" t="s">
        <v>419</v>
      </c>
      <c r="L284" s="7" t="s">
        <v>991</v>
      </c>
      <c r="M284" s="7" t="s">
        <v>3531</v>
      </c>
      <c r="N284" s="7" t="s">
        <v>419</v>
      </c>
      <c r="O284" s="7" t="s">
        <v>19432</v>
      </c>
      <c r="P284" s="7" t="s">
        <v>693</v>
      </c>
      <c r="Q284" s="7" t="s">
        <v>698</v>
      </c>
      <c r="R284" s="7" t="s">
        <v>20004</v>
      </c>
      <c r="S284" s="7" t="s">
        <v>19820</v>
      </c>
      <c r="T284" s="7" t="s">
        <v>5606</v>
      </c>
      <c r="U284" s="7" t="s">
        <v>3493</v>
      </c>
      <c r="V284" s="7">
        <v>1.0</v>
      </c>
    </row>
    <row r="285">
      <c r="A285" s="7" t="s">
        <v>20005</v>
      </c>
      <c r="B285" s="7">
        <v>2300183.0</v>
      </c>
      <c r="C285" s="7" t="s">
        <v>5608</v>
      </c>
      <c r="D285" s="7" t="s">
        <v>4073</v>
      </c>
      <c r="E285" s="7" t="s">
        <v>5609</v>
      </c>
      <c r="F285" s="7" t="s">
        <v>4075</v>
      </c>
      <c r="G285" s="7" t="s">
        <v>5610</v>
      </c>
      <c r="H285" s="7" t="s">
        <v>5611</v>
      </c>
      <c r="I285" s="119">
        <v>45292.0</v>
      </c>
      <c r="K285" s="7" t="s">
        <v>4042</v>
      </c>
      <c r="L285" s="7" t="s">
        <v>991</v>
      </c>
      <c r="M285" s="7" t="s">
        <v>3501</v>
      </c>
      <c r="N285" s="7" t="s">
        <v>4042</v>
      </c>
      <c r="O285" s="7" t="s">
        <v>4042</v>
      </c>
      <c r="P285" s="7" t="s">
        <v>19632</v>
      </c>
      <c r="T285" s="7" t="s">
        <v>4044</v>
      </c>
      <c r="U285" s="7" t="s">
        <v>3493</v>
      </c>
      <c r="V285" s="7">
        <v>1.0</v>
      </c>
    </row>
    <row r="286">
      <c r="A286" s="7" t="s">
        <v>20006</v>
      </c>
      <c r="B286" s="7">
        <v>2300217.0</v>
      </c>
      <c r="C286" s="7" t="s">
        <v>5613</v>
      </c>
      <c r="D286" s="7" t="s">
        <v>5614</v>
      </c>
      <c r="E286" s="7" t="s">
        <v>5615</v>
      </c>
      <c r="F286" s="7" t="s">
        <v>3656</v>
      </c>
      <c r="G286" s="7" t="s">
        <v>5616</v>
      </c>
      <c r="H286" s="7" t="s">
        <v>5617</v>
      </c>
      <c r="I286" s="119">
        <v>45292.0</v>
      </c>
      <c r="K286" s="7" t="s">
        <v>3632</v>
      </c>
      <c r="L286" s="7" t="s">
        <v>991</v>
      </c>
      <c r="M286" s="7" t="s">
        <v>3501</v>
      </c>
      <c r="N286" s="7" t="s">
        <v>3632</v>
      </c>
      <c r="O286" s="7" t="s">
        <v>3632</v>
      </c>
      <c r="P286" s="7" t="s">
        <v>429</v>
      </c>
      <c r="Q286" s="7" t="s">
        <v>436</v>
      </c>
      <c r="R286" s="7" t="s">
        <v>19708</v>
      </c>
      <c r="T286" s="7" t="s">
        <v>4325</v>
      </c>
      <c r="U286" s="7" t="s">
        <v>3604</v>
      </c>
      <c r="V286" s="7">
        <v>1.0</v>
      </c>
    </row>
    <row r="287">
      <c r="A287" s="7" t="s">
        <v>20007</v>
      </c>
      <c r="B287" s="7">
        <v>2100395.0</v>
      </c>
      <c r="C287" s="7" t="s">
        <v>5620</v>
      </c>
      <c r="D287" s="7" t="s">
        <v>5621</v>
      </c>
      <c r="E287" s="7" t="s">
        <v>5622</v>
      </c>
      <c r="F287" s="7" t="s">
        <v>5441</v>
      </c>
      <c r="G287" s="7" t="s">
        <v>5623</v>
      </c>
      <c r="H287" s="7" t="s">
        <v>5624</v>
      </c>
      <c r="I287" s="119">
        <v>45292.0</v>
      </c>
      <c r="K287" s="7" t="s">
        <v>419</v>
      </c>
      <c r="L287" s="7" t="s">
        <v>991</v>
      </c>
      <c r="M287" s="7" t="s">
        <v>3501</v>
      </c>
      <c r="N287" s="7" t="s">
        <v>419</v>
      </c>
      <c r="O287" s="7" t="s">
        <v>19430</v>
      </c>
      <c r="P287" s="7" t="s">
        <v>717</v>
      </c>
      <c r="Q287" s="7" t="s">
        <v>720</v>
      </c>
      <c r="R287" s="7" t="s">
        <v>19805</v>
      </c>
      <c r="S287" s="7" t="s">
        <v>19806</v>
      </c>
      <c r="T287" s="7" t="s">
        <v>4704</v>
      </c>
      <c r="U287" s="7" t="s">
        <v>3493</v>
      </c>
      <c r="V287" s="7">
        <v>1.0</v>
      </c>
    </row>
    <row r="288">
      <c r="A288" s="7" t="s">
        <v>20008</v>
      </c>
      <c r="B288" s="7">
        <v>11741.0</v>
      </c>
      <c r="C288" s="7" t="s">
        <v>5620</v>
      </c>
      <c r="D288" s="7" t="s">
        <v>5626</v>
      </c>
      <c r="E288" s="7" t="s">
        <v>5622</v>
      </c>
      <c r="F288" s="7" t="s">
        <v>5627</v>
      </c>
      <c r="G288" s="7" t="s">
        <v>5628</v>
      </c>
      <c r="H288" s="7" t="s">
        <v>5629</v>
      </c>
      <c r="I288" s="119">
        <v>45292.0</v>
      </c>
      <c r="K288" s="7" t="s">
        <v>419</v>
      </c>
      <c r="L288" s="7" t="s">
        <v>991</v>
      </c>
      <c r="M288" s="7" t="s">
        <v>3501</v>
      </c>
      <c r="N288" s="7" t="s">
        <v>419</v>
      </c>
      <c r="O288" s="7" t="s">
        <v>19430</v>
      </c>
      <c r="P288" s="7" t="s">
        <v>717</v>
      </c>
      <c r="Q288" s="7" t="s">
        <v>720</v>
      </c>
      <c r="R288" s="7" t="s">
        <v>19834</v>
      </c>
      <c r="S288" s="7" t="s">
        <v>19835</v>
      </c>
      <c r="T288" s="7" t="s">
        <v>4811</v>
      </c>
      <c r="U288" s="7" t="s">
        <v>3843</v>
      </c>
      <c r="V288" s="7">
        <v>1.0</v>
      </c>
    </row>
    <row r="289">
      <c r="A289" s="7" t="s">
        <v>20009</v>
      </c>
      <c r="B289" s="7">
        <v>2400008.0</v>
      </c>
      <c r="C289" s="7" t="s">
        <v>5631</v>
      </c>
      <c r="D289" s="7" t="s">
        <v>5632</v>
      </c>
      <c r="E289" s="7" t="s">
        <v>5633</v>
      </c>
      <c r="F289" s="7" t="s">
        <v>5634</v>
      </c>
      <c r="G289" s="7" t="s">
        <v>5635</v>
      </c>
      <c r="H289" s="7" t="s">
        <v>5636</v>
      </c>
      <c r="I289" s="119">
        <v>45292.0</v>
      </c>
      <c r="K289" s="7" t="s">
        <v>419</v>
      </c>
      <c r="L289" s="7" t="s">
        <v>991</v>
      </c>
      <c r="M289" s="7" t="s">
        <v>3501</v>
      </c>
      <c r="N289" s="7" t="s">
        <v>419</v>
      </c>
      <c r="O289" s="7" t="s">
        <v>19432</v>
      </c>
      <c r="P289" s="7" t="s">
        <v>391</v>
      </c>
      <c r="Q289" s="7" t="s">
        <v>399</v>
      </c>
      <c r="R289" s="7" t="s">
        <v>20010</v>
      </c>
      <c r="T289" s="7" t="s">
        <v>5638</v>
      </c>
      <c r="U289" s="7" t="s">
        <v>3493</v>
      </c>
      <c r="V289" s="7">
        <v>1.0</v>
      </c>
    </row>
    <row r="290">
      <c r="A290" s="7" t="s">
        <v>20011</v>
      </c>
      <c r="B290" s="7">
        <v>2100494.0</v>
      </c>
      <c r="C290" s="7" t="s">
        <v>5631</v>
      </c>
      <c r="D290" s="7" t="s">
        <v>5640</v>
      </c>
      <c r="E290" s="7" t="s">
        <v>5633</v>
      </c>
      <c r="F290" s="7" t="s">
        <v>4478</v>
      </c>
      <c r="G290" s="7" t="s">
        <v>5641</v>
      </c>
      <c r="H290" s="7" t="s">
        <v>5642</v>
      </c>
      <c r="I290" s="119">
        <v>45292.0</v>
      </c>
      <c r="K290" s="7" t="s">
        <v>419</v>
      </c>
      <c r="L290" s="7" t="s">
        <v>991</v>
      </c>
      <c r="M290" s="7" t="s">
        <v>3501</v>
      </c>
      <c r="N290" s="7" t="s">
        <v>419</v>
      </c>
      <c r="O290" s="7" t="s">
        <v>19430</v>
      </c>
      <c r="P290" s="7" t="s">
        <v>717</v>
      </c>
      <c r="Q290" s="7" t="s">
        <v>738</v>
      </c>
      <c r="R290" s="7" t="s">
        <v>20012</v>
      </c>
      <c r="T290" s="7" t="s">
        <v>20013</v>
      </c>
      <c r="U290" s="7" t="s">
        <v>3604</v>
      </c>
      <c r="V290" s="7">
        <v>1.0</v>
      </c>
    </row>
    <row r="291">
      <c r="A291" s="7" t="s">
        <v>20014</v>
      </c>
      <c r="B291" s="7">
        <v>2200239.0</v>
      </c>
      <c r="C291" s="7" t="s">
        <v>5631</v>
      </c>
      <c r="D291" s="7" t="s">
        <v>5646</v>
      </c>
      <c r="E291" s="7" t="s">
        <v>5633</v>
      </c>
      <c r="F291" s="7" t="s">
        <v>5647</v>
      </c>
      <c r="G291" s="7" t="s">
        <v>5648</v>
      </c>
      <c r="H291" s="7" t="s">
        <v>5649</v>
      </c>
      <c r="I291" s="119">
        <v>45292.0</v>
      </c>
      <c r="K291" s="7" t="s">
        <v>3489</v>
      </c>
      <c r="L291" s="7" t="s">
        <v>991</v>
      </c>
      <c r="M291" s="7" t="s">
        <v>3490</v>
      </c>
      <c r="N291" s="7" t="s">
        <v>3489</v>
      </c>
      <c r="O291" s="7" t="s">
        <v>3489</v>
      </c>
      <c r="P291" s="7" t="s">
        <v>19491</v>
      </c>
      <c r="Q291" s="7" t="s">
        <v>169</v>
      </c>
      <c r="R291" s="7" t="s">
        <v>19492</v>
      </c>
      <c r="T291" s="7" t="s">
        <v>3492</v>
      </c>
      <c r="U291" s="7" t="s">
        <v>3493</v>
      </c>
      <c r="V291" s="7">
        <v>1.0</v>
      </c>
    </row>
    <row r="292">
      <c r="A292" s="7" t="s">
        <v>20015</v>
      </c>
      <c r="B292" s="7">
        <v>1246.0</v>
      </c>
      <c r="C292" s="7" t="s">
        <v>5651</v>
      </c>
      <c r="D292" s="7" t="s">
        <v>5222</v>
      </c>
      <c r="E292" s="7" t="s">
        <v>5652</v>
      </c>
      <c r="F292" s="7" t="s">
        <v>5224</v>
      </c>
      <c r="G292" s="7" t="s">
        <v>5653</v>
      </c>
      <c r="H292" s="7" t="s">
        <v>5654</v>
      </c>
      <c r="I292" s="119">
        <v>45292.0</v>
      </c>
      <c r="K292" s="7" t="s">
        <v>419</v>
      </c>
      <c r="L292" s="7" t="s">
        <v>991</v>
      </c>
      <c r="M292" s="7" t="s">
        <v>3501</v>
      </c>
      <c r="N292" s="7" t="s">
        <v>419</v>
      </c>
      <c r="O292" s="7" t="s">
        <v>19432</v>
      </c>
      <c r="P292" s="7" t="s">
        <v>693</v>
      </c>
      <c r="Q292" s="7" t="s">
        <v>696</v>
      </c>
      <c r="R292" s="7" t="s">
        <v>19563</v>
      </c>
      <c r="T292" s="7" t="s">
        <v>9922</v>
      </c>
      <c r="U292" s="7" t="s">
        <v>3493</v>
      </c>
      <c r="V292" s="7">
        <v>1.0</v>
      </c>
    </row>
    <row r="293">
      <c r="A293" s="7" t="s">
        <v>20016</v>
      </c>
      <c r="B293" s="7">
        <v>2200711.0</v>
      </c>
      <c r="C293" s="7" t="s">
        <v>5658</v>
      </c>
      <c r="D293" s="7" t="s">
        <v>5659</v>
      </c>
      <c r="E293" s="7" t="s">
        <v>5660</v>
      </c>
      <c r="F293" s="7" t="s">
        <v>5661</v>
      </c>
      <c r="G293" s="7" t="s">
        <v>5662</v>
      </c>
      <c r="H293" s="7" t="s">
        <v>5663</v>
      </c>
      <c r="I293" s="119">
        <v>45292.0</v>
      </c>
      <c r="K293" s="7" t="s">
        <v>4042</v>
      </c>
      <c r="L293" s="7" t="s">
        <v>991</v>
      </c>
      <c r="M293" s="7" t="s">
        <v>3501</v>
      </c>
      <c r="N293" s="7" t="s">
        <v>4042</v>
      </c>
      <c r="O293" s="7" t="s">
        <v>4042</v>
      </c>
      <c r="P293" s="7" t="s">
        <v>19632</v>
      </c>
      <c r="T293" s="7" t="s">
        <v>4044</v>
      </c>
      <c r="U293" s="7" t="s">
        <v>3493</v>
      </c>
      <c r="V293" s="7">
        <v>1.0</v>
      </c>
    </row>
    <row r="294">
      <c r="A294" s="7" t="s">
        <v>20017</v>
      </c>
      <c r="B294" s="7">
        <v>2100429.0</v>
      </c>
      <c r="C294" s="7" t="s">
        <v>5665</v>
      </c>
      <c r="D294" s="7" t="s">
        <v>5666</v>
      </c>
      <c r="E294" s="7" t="s">
        <v>5667</v>
      </c>
      <c r="F294" s="7" t="s">
        <v>5668</v>
      </c>
      <c r="G294" s="7" t="s">
        <v>5669</v>
      </c>
      <c r="H294" s="7" t="s">
        <v>5670</v>
      </c>
      <c r="I294" s="119">
        <v>45292.0</v>
      </c>
      <c r="K294" s="7" t="s">
        <v>419</v>
      </c>
      <c r="L294" s="7" t="s">
        <v>991</v>
      </c>
      <c r="M294" s="7" t="s">
        <v>3501</v>
      </c>
      <c r="N294" s="7" t="s">
        <v>419</v>
      </c>
      <c r="O294" s="7" t="s">
        <v>19433</v>
      </c>
      <c r="P294" s="7" t="s">
        <v>587</v>
      </c>
      <c r="Q294" s="7" t="s">
        <v>72</v>
      </c>
      <c r="R294" s="7" t="s">
        <v>19566</v>
      </c>
      <c r="T294" s="7" t="s">
        <v>5672</v>
      </c>
      <c r="U294" s="7" t="s">
        <v>3493</v>
      </c>
      <c r="V294" s="7">
        <v>1.0</v>
      </c>
    </row>
    <row r="295">
      <c r="A295" s="7" t="s">
        <v>20018</v>
      </c>
      <c r="B295" s="7">
        <v>618.0</v>
      </c>
      <c r="C295" s="7" t="s">
        <v>5674</v>
      </c>
      <c r="D295" s="7" t="s">
        <v>5675</v>
      </c>
      <c r="E295" s="7" t="s">
        <v>5676</v>
      </c>
      <c r="F295" s="7" t="s">
        <v>4539</v>
      </c>
      <c r="G295" s="7" t="s">
        <v>5677</v>
      </c>
      <c r="H295" s="7" t="s">
        <v>5678</v>
      </c>
      <c r="I295" s="119">
        <v>45292.0</v>
      </c>
      <c r="K295" s="7" t="s">
        <v>419</v>
      </c>
      <c r="L295" s="7" t="s">
        <v>991</v>
      </c>
      <c r="M295" s="7" t="s">
        <v>3501</v>
      </c>
      <c r="N295" s="7" t="s">
        <v>419</v>
      </c>
      <c r="O295" s="7" t="s">
        <v>19443</v>
      </c>
      <c r="P295" s="7" t="s">
        <v>323</v>
      </c>
      <c r="Q295" s="7" t="s">
        <v>324</v>
      </c>
      <c r="R295" s="7" t="s">
        <v>19599</v>
      </c>
      <c r="T295" s="7" t="s">
        <v>3921</v>
      </c>
      <c r="U295" s="7" t="s">
        <v>3493</v>
      </c>
      <c r="V295" s="7">
        <v>1.0</v>
      </c>
    </row>
    <row r="296">
      <c r="A296" s="7" t="s">
        <v>20019</v>
      </c>
      <c r="B296" s="7">
        <v>2100008.0</v>
      </c>
      <c r="C296" s="7" t="s">
        <v>5680</v>
      </c>
      <c r="D296" s="7" t="s">
        <v>5681</v>
      </c>
      <c r="E296" s="7" t="s">
        <v>5682</v>
      </c>
      <c r="F296" s="7" t="s">
        <v>5683</v>
      </c>
      <c r="G296" s="7" t="s">
        <v>5684</v>
      </c>
      <c r="H296" s="7" t="s">
        <v>5685</v>
      </c>
      <c r="I296" s="119">
        <v>45292.0</v>
      </c>
      <c r="K296" s="7" t="s">
        <v>3489</v>
      </c>
      <c r="L296" s="7" t="s">
        <v>991</v>
      </c>
      <c r="M296" s="7" t="s">
        <v>3490</v>
      </c>
      <c r="N296" s="7" t="s">
        <v>3489</v>
      </c>
      <c r="O296" s="7" t="s">
        <v>3489</v>
      </c>
      <c r="P296" s="7" t="s">
        <v>19491</v>
      </c>
      <c r="Q296" s="7" t="s">
        <v>169</v>
      </c>
      <c r="R296" s="7" t="s">
        <v>19492</v>
      </c>
      <c r="T296" s="7" t="s">
        <v>3492</v>
      </c>
      <c r="U296" s="7" t="s">
        <v>3493</v>
      </c>
      <c r="V296" s="7">
        <v>1.0</v>
      </c>
    </row>
    <row r="297">
      <c r="A297" s="7" t="s">
        <v>20020</v>
      </c>
      <c r="B297" s="7">
        <v>8389.0</v>
      </c>
      <c r="C297" s="7" t="s">
        <v>5687</v>
      </c>
      <c r="D297" s="7" t="s">
        <v>5688</v>
      </c>
      <c r="E297" s="7" t="s">
        <v>5689</v>
      </c>
      <c r="F297" s="7" t="s">
        <v>3498</v>
      </c>
      <c r="G297" s="7" t="s">
        <v>5690</v>
      </c>
      <c r="H297" s="7" t="s">
        <v>5691</v>
      </c>
      <c r="I297" s="119">
        <v>45292.0</v>
      </c>
      <c r="K297" s="7" t="s">
        <v>419</v>
      </c>
      <c r="L297" s="7" t="s">
        <v>991</v>
      </c>
      <c r="M297" s="7" t="s">
        <v>3531</v>
      </c>
      <c r="N297" s="7" t="s">
        <v>419</v>
      </c>
      <c r="O297" s="7" t="s">
        <v>19430</v>
      </c>
      <c r="P297" s="7" t="s">
        <v>717</v>
      </c>
      <c r="Q297" s="7" t="s">
        <v>725</v>
      </c>
      <c r="R297" s="7" t="s">
        <v>19494</v>
      </c>
      <c r="S297" s="7" t="s">
        <v>19742</v>
      </c>
      <c r="T297" s="7" t="s">
        <v>4921</v>
      </c>
      <c r="U297" s="7" t="s">
        <v>3493</v>
      </c>
      <c r="V297" s="7">
        <v>1.0</v>
      </c>
    </row>
    <row r="298">
      <c r="A298" s="7" t="s">
        <v>20021</v>
      </c>
      <c r="B298" s="7">
        <v>2200492.0</v>
      </c>
      <c r="C298" s="7" t="s">
        <v>5693</v>
      </c>
      <c r="D298" s="7" t="s">
        <v>5694</v>
      </c>
      <c r="E298" s="7" t="s">
        <v>5695</v>
      </c>
      <c r="F298" s="7" t="s">
        <v>4707</v>
      </c>
      <c r="G298" s="7" t="s">
        <v>5696</v>
      </c>
      <c r="H298" s="7" t="s">
        <v>5697</v>
      </c>
      <c r="I298" s="119">
        <v>45292.0</v>
      </c>
      <c r="K298" s="7" t="s">
        <v>419</v>
      </c>
      <c r="L298" s="7" t="s">
        <v>991</v>
      </c>
      <c r="M298" s="7" t="s">
        <v>3501</v>
      </c>
      <c r="N298" s="7" t="s">
        <v>419</v>
      </c>
      <c r="O298" s="7" t="s">
        <v>19433</v>
      </c>
      <c r="P298" s="7" t="s">
        <v>648</v>
      </c>
      <c r="Q298" s="7" t="s">
        <v>143</v>
      </c>
      <c r="R298" s="7" t="s">
        <v>19723</v>
      </c>
      <c r="S298" s="7" t="s">
        <v>19920</v>
      </c>
      <c r="T298" s="7" t="s">
        <v>5699</v>
      </c>
      <c r="U298" s="7" t="s">
        <v>3493</v>
      </c>
      <c r="V298" s="7">
        <v>1.0</v>
      </c>
    </row>
    <row r="299">
      <c r="A299" s="7" t="s">
        <v>20022</v>
      </c>
      <c r="B299" s="7">
        <v>13895.0</v>
      </c>
      <c r="C299" s="7" t="s">
        <v>5701</v>
      </c>
      <c r="D299" s="7" t="s">
        <v>5702</v>
      </c>
      <c r="E299" s="7" t="s">
        <v>5703</v>
      </c>
      <c r="F299" s="7" t="s">
        <v>3799</v>
      </c>
      <c r="G299" s="7" t="s">
        <v>5704</v>
      </c>
      <c r="H299" s="7" t="s">
        <v>5705</v>
      </c>
      <c r="I299" s="119">
        <v>45292.0</v>
      </c>
      <c r="K299" s="7" t="s">
        <v>419</v>
      </c>
      <c r="L299" s="7" t="s">
        <v>991</v>
      </c>
      <c r="M299" s="7" t="s">
        <v>3531</v>
      </c>
      <c r="N299" s="7" t="s">
        <v>419</v>
      </c>
      <c r="O299" s="7" t="s">
        <v>19433</v>
      </c>
      <c r="P299" s="7" t="s">
        <v>587</v>
      </c>
      <c r="Q299" s="7" t="s">
        <v>72</v>
      </c>
      <c r="T299" s="7" t="s">
        <v>5706</v>
      </c>
      <c r="U299" s="7" t="s">
        <v>3493</v>
      </c>
      <c r="V299" s="7">
        <v>1.0</v>
      </c>
    </row>
    <row r="300">
      <c r="A300" s="7" t="s">
        <v>20023</v>
      </c>
      <c r="B300" s="7">
        <v>10905.0</v>
      </c>
      <c r="C300" s="7" t="s">
        <v>5701</v>
      </c>
      <c r="D300" s="7" t="s">
        <v>5708</v>
      </c>
      <c r="E300" s="7" t="s">
        <v>5703</v>
      </c>
      <c r="F300" s="7" t="s">
        <v>5426</v>
      </c>
      <c r="G300" s="7" t="s">
        <v>5709</v>
      </c>
      <c r="H300" s="7" t="s">
        <v>5710</v>
      </c>
      <c r="I300" s="119">
        <v>45292.0</v>
      </c>
      <c r="K300" s="7" t="s">
        <v>419</v>
      </c>
      <c r="L300" s="7" t="s">
        <v>991</v>
      </c>
      <c r="M300" s="7" t="s">
        <v>3501</v>
      </c>
      <c r="N300" s="7" t="s">
        <v>419</v>
      </c>
      <c r="O300" s="7" t="s">
        <v>19432</v>
      </c>
      <c r="P300" s="7" t="s">
        <v>693</v>
      </c>
      <c r="Q300" s="7" t="s">
        <v>698</v>
      </c>
      <c r="R300" s="7" t="s">
        <v>19783</v>
      </c>
      <c r="S300" s="7" t="s">
        <v>19784</v>
      </c>
      <c r="T300" s="7" t="s">
        <v>4624</v>
      </c>
      <c r="U300" s="7" t="s">
        <v>3843</v>
      </c>
      <c r="V300" s="7">
        <v>1.0</v>
      </c>
    </row>
    <row r="301">
      <c r="A301" s="7" t="s">
        <v>20024</v>
      </c>
      <c r="B301" s="7">
        <v>937.0</v>
      </c>
      <c r="C301" s="7" t="s">
        <v>5712</v>
      </c>
      <c r="D301" s="7" t="s">
        <v>5713</v>
      </c>
      <c r="E301" s="7" t="s">
        <v>5714</v>
      </c>
      <c r="F301" s="7" t="s">
        <v>5715</v>
      </c>
      <c r="G301" s="7" t="s">
        <v>5716</v>
      </c>
      <c r="H301" s="7" t="s">
        <v>5717</v>
      </c>
      <c r="I301" s="119">
        <v>45292.0</v>
      </c>
      <c r="K301" s="7" t="s">
        <v>419</v>
      </c>
      <c r="L301" s="7" t="s">
        <v>991</v>
      </c>
      <c r="M301" s="7" t="s">
        <v>3501</v>
      </c>
      <c r="N301" s="7" t="s">
        <v>419</v>
      </c>
      <c r="O301" s="7" t="s">
        <v>19443</v>
      </c>
      <c r="P301" s="7" t="s">
        <v>323</v>
      </c>
      <c r="Q301" s="7" t="s">
        <v>324</v>
      </c>
      <c r="R301" s="7" t="s">
        <v>20025</v>
      </c>
      <c r="T301" s="7" t="s">
        <v>20026</v>
      </c>
      <c r="U301" s="7" t="s">
        <v>3604</v>
      </c>
      <c r="V301" s="7">
        <v>1.0</v>
      </c>
    </row>
    <row r="302">
      <c r="A302" s="7" t="s">
        <v>20027</v>
      </c>
      <c r="B302" s="7">
        <v>14064.0</v>
      </c>
      <c r="C302" s="7" t="s">
        <v>5712</v>
      </c>
      <c r="D302" s="7" t="s">
        <v>5722</v>
      </c>
      <c r="E302" s="7" t="s">
        <v>5714</v>
      </c>
      <c r="F302" s="7" t="s">
        <v>5723</v>
      </c>
      <c r="G302" s="7" t="s">
        <v>5724</v>
      </c>
      <c r="H302" s="7" t="s">
        <v>5725</v>
      </c>
      <c r="I302" s="119">
        <v>45292.0</v>
      </c>
      <c r="K302" s="7" t="s">
        <v>419</v>
      </c>
      <c r="L302" s="7" t="s">
        <v>991</v>
      </c>
      <c r="M302" s="7" t="s">
        <v>3531</v>
      </c>
      <c r="N302" s="7" t="s">
        <v>419</v>
      </c>
      <c r="O302" s="7" t="s">
        <v>19433</v>
      </c>
      <c r="P302" s="7" t="s">
        <v>648</v>
      </c>
      <c r="Q302" s="7" t="s">
        <v>148</v>
      </c>
      <c r="R302" s="7" t="s">
        <v>19501</v>
      </c>
      <c r="T302" s="7" t="s">
        <v>4445</v>
      </c>
      <c r="U302" s="7" t="s">
        <v>3493</v>
      </c>
      <c r="V302" s="7">
        <v>1.0</v>
      </c>
    </row>
    <row r="303">
      <c r="A303" s="7" t="s">
        <v>20028</v>
      </c>
      <c r="B303" s="7">
        <v>327.0</v>
      </c>
      <c r="C303" s="7" t="s">
        <v>5727</v>
      </c>
      <c r="D303" s="7" t="s">
        <v>5728</v>
      </c>
      <c r="E303" s="7" t="s">
        <v>5729</v>
      </c>
      <c r="F303" s="7" t="s">
        <v>3692</v>
      </c>
      <c r="G303" s="7" t="s">
        <v>5730</v>
      </c>
      <c r="H303" s="7" t="s">
        <v>5731</v>
      </c>
      <c r="I303" s="119">
        <v>45292.0</v>
      </c>
      <c r="K303" s="7" t="s">
        <v>419</v>
      </c>
      <c r="L303" s="7" t="s">
        <v>991</v>
      </c>
      <c r="M303" s="7" t="s">
        <v>3501</v>
      </c>
      <c r="N303" s="7" t="s">
        <v>419</v>
      </c>
      <c r="O303" s="7" t="s">
        <v>19430</v>
      </c>
      <c r="P303" s="7" t="s">
        <v>717</v>
      </c>
      <c r="Q303" s="7" t="s">
        <v>730</v>
      </c>
      <c r="R303" s="7" t="s">
        <v>19961</v>
      </c>
      <c r="S303" s="7" t="s">
        <v>20029</v>
      </c>
      <c r="T303" s="7" t="s">
        <v>7042</v>
      </c>
      <c r="U303" s="7" t="s">
        <v>3493</v>
      </c>
      <c r="V303" s="7">
        <v>1.0</v>
      </c>
    </row>
    <row r="304">
      <c r="A304" s="7" t="s">
        <v>20030</v>
      </c>
      <c r="B304" s="7">
        <v>2400020.0</v>
      </c>
      <c r="C304" s="7" t="s">
        <v>5735</v>
      </c>
      <c r="D304" s="7" t="s">
        <v>5736</v>
      </c>
      <c r="E304" s="7" t="s">
        <v>5737</v>
      </c>
      <c r="F304" s="7" t="s">
        <v>4673</v>
      </c>
      <c r="G304" s="7" t="s">
        <v>5738</v>
      </c>
      <c r="H304" s="7" t="s">
        <v>5739</v>
      </c>
      <c r="I304" s="119">
        <v>45292.0</v>
      </c>
      <c r="K304" s="7" t="s">
        <v>419</v>
      </c>
      <c r="L304" s="7" t="s">
        <v>991</v>
      </c>
      <c r="M304" s="7" t="s">
        <v>3531</v>
      </c>
      <c r="N304" s="7" t="s">
        <v>419</v>
      </c>
      <c r="O304" s="7" t="s">
        <v>19430</v>
      </c>
      <c r="P304" s="7" t="s">
        <v>717</v>
      </c>
      <c r="Q304" s="7" t="s">
        <v>738</v>
      </c>
      <c r="R304" s="7" t="s">
        <v>19723</v>
      </c>
      <c r="S304" s="7" t="s">
        <v>20031</v>
      </c>
      <c r="T304" s="7" t="s">
        <v>5741</v>
      </c>
      <c r="U304" s="7" t="s">
        <v>3493</v>
      </c>
      <c r="V304" s="7">
        <v>1.0</v>
      </c>
    </row>
    <row r="305">
      <c r="A305" s="7" t="s">
        <v>20032</v>
      </c>
      <c r="B305" s="7">
        <v>2200139.0</v>
      </c>
      <c r="C305" s="7" t="s">
        <v>5735</v>
      </c>
      <c r="D305" s="7" t="s">
        <v>5743</v>
      </c>
      <c r="E305" s="7" t="s">
        <v>5737</v>
      </c>
      <c r="F305" s="7" t="s">
        <v>5058</v>
      </c>
      <c r="G305" s="7" t="s">
        <v>5744</v>
      </c>
      <c r="H305" s="7" t="s">
        <v>5745</v>
      </c>
      <c r="I305" s="119">
        <v>45292.0</v>
      </c>
      <c r="K305" s="7" t="s">
        <v>419</v>
      </c>
      <c r="L305" s="7" t="s">
        <v>991</v>
      </c>
      <c r="M305" s="7" t="s">
        <v>3501</v>
      </c>
      <c r="N305" s="7" t="s">
        <v>419</v>
      </c>
      <c r="O305" s="7" t="s">
        <v>19432</v>
      </c>
      <c r="P305" s="7" t="s">
        <v>298</v>
      </c>
      <c r="Q305" s="7" t="s">
        <v>1284</v>
      </c>
      <c r="R305" s="7" t="s">
        <v>20033</v>
      </c>
      <c r="S305" s="7" t="s">
        <v>20034</v>
      </c>
      <c r="T305" s="7" t="s">
        <v>5747</v>
      </c>
      <c r="U305" s="7" t="s">
        <v>3843</v>
      </c>
      <c r="V305" s="7">
        <v>1.0</v>
      </c>
    </row>
    <row r="306">
      <c r="A306" s="7" t="s">
        <v>20035</v>
      </c>
      <c r="B306" s="7">
        <v>2300019.0</v>
      </c>
      <c r="C306" s="7" t="s">
        <v>5749</v>
      </c>
      <c r="D306" s="7" t="s">
        <v>5750</v>
      </c>
      <c r="E306" s="7" t="s">
        <v>5751</v>
      </c>
      <c r="F306" s="7" t="s">
        <v>5752</v>
      </c>
      <c r="G306" s="7" t="s">
        <v>5753</v>
      </c>
      <c r="H306" s="7" t="s">
        <v>5754</v>
      </c>
      <c r="I306" s="119">
        <v>45292.0</v>
      </c>
      <c r="K306" s="7" t="s">
        <v>419</v>
      </c>
      <c r="L306" s="7" t="s">
        <v>991</v>
      </c>
      <c r="M306" s="7" t="s">
        <v>3501</v>
      </c>
      <c r="N306" s="7" t="s">
        <v>419</v>
      </c>
      <c r="O306" s="7" t="s">
        <v>19430</v>
      </c>
      <c r="P306" s="7" t="s">
        <v>717</v>
      </c>
      <c r="Q306" s="7" t="s">
        <v>223</v>
      </c>
      <c r="R306" s="7" t="s">
        <v>19764</v>
      </c>
      <c r="S306" s="7" t="s">
        <v>20036</v>
      </c>
      <c r="T306" s="7" t="s">
        <v>5756</v>
      </c>
      <c r="U306" s="7" t="s">
        <v>3493</v>
      </c>
      <c r="V306" s="7">
        <v>1.0</v>
      </c>
    </row>
    <row r="307">
      <c r="A307" s="7" t="s">
        <v>20037</v>
      </c>
      <c r="B307" s="7">
        <v>2300615.0</v>
      </c>
      <c r="C307" s="7" t="s">
        <v>5749</v>
      </c>
      <c r="D307" s="7" t="s">
        <v>5758</v>
      </c>
      <c r="E307" s="7" t="s">
        <v>5751</v>
      </c>
      <c r="F307" s="7" t="s">
        <v>5759</v>
      </c>
      <c r="G307" s="7" t="s">
        <v>5760</v>
      </c>
      <c r="H307" s="7" t="s">
        <v>5761</v>
      </c>
      <c r="I307" s="119">
        <v>45292.0</v>
      </c>
      <c r="K307" s="7" t="s">
        <v>419</v>
      </c>
      <c r="L307" s="7" t="s">
        <v>991</v>
      </c>
      <c r="M307" s="7" t="s">
        <v>3531</v>
      </c>
      <c r="N307" s="7" t="s">
        <v>419</v>
      </c>
      <c r="O307" s="7" t="s">
        <v>19430</v>
      </c>
      <c r="P307" s="7" t="s">
        <v>717</v>
      </c>
      <c r="Q307" s="7" t="s">
        <v>725</v>
      </c>
      <c r="R307" s="7" t="s">
        <v>19501</v>
      </c>
      <c r="S307" s="7" t="s">
        <v>19643</v>
      </c>
      <c r="T307" s="7" t="s">
        <v>4097</v>
      </c>
      <c r="U307" s="7" t="s">
        <v>3493</v>
      </c>
      <c r="V307" s="7">
        <v>1.0</v>
      </c>
    </row>
    <row r="308">
      <c r="A308" s="7" t="s">
        <v>20038</v>
      </c>
      <c r="B308" s="7">
        <v>8571.0</v>
      </c>
      <c r="C308" s="7" t="s">
        <v>5763</v>
      </c>
      <c r="D308" s="7" t="s">
        <v>5764</v>
      </c>
      <c r="E308" s="7" t="s">
        <v>5765</v>
      </c>
      <c r="F308" s="7" t="s">
        <v>5766</v>
      </c>
      <c r="G308" s="7" t="s">
        <v>5767</v>
      </c>
      <c r="H308" s="7" t="s">
        <v>5768</v>
      </c>
      <c r="I308" s="119">
        <v>45292.0</v>
      </c>
      <c r="K308" s="7" t="s">
        <v>419</v>
      </c>
      <c r="L308" s="7" t="s">
        <v>991</v>
      </c>
      <c r="M308" s="7" t="s">
        <v>3531</v>
      </c>
      <c r="N308" s="7" t="s">
        <v>419</v>
      </c>
      <c r="O308" s="7" t="s">
        <v>19443</v>
      </c>
      <c r="P308" s="7" t="s">
        <v>1242</v>
      </c>
      <c r="Q308" s="7" t="s">
        <v>48</v>
      </c>
      <c r="R308" s="7" t="s">
        <v>19700</v>
      </c>
      <c r="S308" s="7" t="s">
        <v>20039</v>
      </c>
      <c r="T308" s="7" t="s">
        <v>5770</v>
      </c>
      <c r="U308" s="7" t="s">
        <v>3493</v>
      </c>
      <c r="V308" s="7">
        <v>1.0</v>
      </c>
    </row>
    <row r="309">
      <c r="A309" s="7" t="s">
        <v>20040</v>
      </c>
      <c r="B309" s="7">
        <v>13266.0</v>
      </c>
      <c r="C309" s="7" t="s">
        <v>5763</v>
      </c>
      <c r="D309" s="7" t="s">
        <v>5772</v>
      </c>
      <c r="E309" s="7" t="s">
        <v>5765</v>
      </c>
      <c r="F309" s="7" t="s">
        <v>5107</v>
      </c>
      <c r="G309" s="7" t="s">
        <v>5773</v>
      </c>
      <c r="H309" s="7" t="s">
        <v>5774</v>
      </c>
      <c r="I309" s="119">
        <v>45292.0</v>
      </c>
      <c r="K309" s="7" t="s">
        <v>419</v>
      </c>
      <c r="L309" s="7" t="s">
        <v>991</v>
      </c>
      <c r="M309" s="7" t="s">
        <v>3501</v>
      </c>
      <c r="N309" s="7" t="s">
        <v>419</v>
      </c>
      <c r="O309" s="7" t="s">
        <v>19432</v>
      </c>
      <c r="P309" s="7" t="s">
        <v>298</v>
      </c>
      <c r="Q309" s="7" t="s">
        <v>802</v>
      </c>
      <c r="R309" s="7" t="s">
        <v>19867</v>
      </c>
      <c r="T309" s="7" t="s">
        <v>5775</v>
      </c>
      <c r="U309" s="7" t="s">
        <v>3604</v>
      </c>
      <c r="V309" s="7">
        <v>1.0</v>
      </c>
    </row>
    <row r="310">
      <c r="A310" s="7" t="s">
        <v>20041</v>
      </c>
      <c r="B310" s="7">
        <v>2300260.0</v>
      </c>
      <c r="C310" s="7" t="s">
        <v>5763</v>
      </c>
      <c r="D310" s="7" t="s">
        <v>5777</v>
      </c>
      <c r="E310" s="7" t="s">
        <v>5765</v>
      </c>
      <c r="F310" s="7" t="s">
        <v>4032</v>
      </c>
      <c r="G310" s="7" t="s">
        <v>5778</v>
      </c>
      <c r="H310" s="7" t="s">
        <v>5779</v>
      </c>
      <c r="I310" s="119">
        <v>45292.0</v>
      </c>
      <c r="K310" s="7" t="s">
        <v>419</v>
      </c>
      <c r="L310" s="7" t="s">
        <v>991</v>
      </c>
      <c r="M310" s="7" t="s">
        <v>3531</v>
      </c>
      <c r="N310" s="7" t="s">
        <v>419</v>
      </c>
      <c r="O310" s="7" t="s">
        <v>19443</v>
      </c>
      <c r="P310" s="7" t="s">
        <v>1242</v>
      </c>
      <c r="Q310" s="7" t="s">
        <v>51</v>
      </c>
      <c r="R310" s="7" t="s">
        <v>19549</v>
      </c>
      <c r="S310" s="7" t="s">
        <v>20042</v>
      </c>
      <c r="T310" s="7" t="s">
        <v>5781</v>
      </c>
      <c r="U310" s="7" t="s">
        <v>3493</v>
      </c>
      <c r="V310" s="7">
        <v>1.0</v>
      </c>
    </row>
    <row r="311">
      <c r="A311" s="7" t="s">
        <v>20043</v>
      </c>
      <c r="B311" s="7">
        <v>2300084.0</v>
      </c>
      <c r="C311" s="7" t="s">
        <v>5763</v>
      </c>
      <c r="D311" s="7" t="s">
        <v>5783</v>
      </c>
      <c r="E311" s="7" t="s">
        <v>5765</v>
      </c>
      <c r="F311" s="7" t="s">
        <v>5784</v>
      </c>
      <c r="G311" s="7" t="s">
        <v>5785</v>
      </c>
      <c r="I311" s="119">
        <v>45292.0</v>
      </c>
      <c r="K311" s="7" t="s">
        <v>419</v>
      </c>
      <c r="L311" s="7" t="s">
        <v>991</v>
      </c>
      <c r="M311" s="7" t="s">
        <v>3531</v>
      </c>
      <c r="N311" s="7" t="s">
        <v>419</v>
      </c>
      <c r="O311" s="7" t="s">
        <v>19430</v>
      </c>
      <c r="P311" s="7" t="s">
        <v>854</v>
      </c>
      <c r="Q311" s="7" t="s">
        <v>859</v>
      </c>
      <c r="T311" s="7" t="s">
        <v>3821</v>
      </c>
      <c r="U311" s="7" t="s">
        <v>3493</v>
      </c>
      <c r="V311" s="7">
        <v>1.0</v>
      </c>
    </row>
    <row r="312">
      <c r="A312" s="7" t="s">
        <v>20044</v>
      </c>
      <c r="B312" s="7">
        <v>13665.0</v>
      </c>
      <c r="C312" s="7" t="s">
        <v>5763</v>
      </c>
      <c r="D312" s="7" t="s">
        <v>5787</v>
      </c>
      <c r="E312" s="7" t="s">
        <v>5765</v>
      </c>
      <c r="F312" s="7" t="s">
        <v>5788</v>
      </c>
      <c r="G312" s="7" t="s">
        <v>5789</v>
      </c>
      <c r="H312" s="7" t="s">
        <v>5790</v>
      </c>
      <c r="I312" s="119">
        <v>45292.0</v>
      </c>
      <c r="K312" s="7" t="s">
        <v>3632</v>
      </c>
      <c r="L312" s="7" t="s">
        <v>991</v>
      </c>
      <c r="M312" s="7" t="s">
        <v>3501</v>
      </c>
      <c r="N312" s="7" t="s">
        <v>3632</v>
      </c>
      <c r="O312" s="7" t="s">
        <v>3632</v>
      </c>
      <c r="P312" s="7" t="s">
        <v>19462</v>
      </c>
      <c r="Q312" s="7" t="s">
        <v>19463</v>
      </c>
      <c r="R312" s="7" t="s">
        <v>19883</v>
      </c>
      <c r="T312" s="7" t="s">
        <v>15149</v>
      </c>
      <c r="U312" s="7" t="s">
        <v>3493</v>
      </c>
      <c r="V312" s="7">
        <v>1.0</v>
      </c>
    </row>
    <row r="313">
      <c r="A313" s="7" t="s">
        <v>20045</v>
      </c>
      <c r="B313" s="7">
        <v>2300489.0</v>
      </c>
      <c r="C313" s="7" t="s">
        <v>5763</v>
      </c>
      <c r="D313" s="7" t="s">
        <v>5792</v>
      </c>
      <c r="E313" s="7" t="s">
        <v>5765</v>
      </c>
      <c r="F313" s="7" t="s">
        <v>3838</v>
      </c>
      <c r="G313" s="7" t="s">
        <v>5793</v>
      </c>
      <c r="H313" s="7" t="s">
        <v>5794</v>
      </c>
      <c r="I313" s="119">
        <v>45292.0</v>
      </c>
      <c r="K313" s="7" t="s">
        <v>419</v>
      </c>
      <c r="L313" s="7" t="s">
        <v>991</v>
      </c>
      <c r="M313" s="7" t="s">
        <v>3531</v>
      </c>
      <c r="N313" s="7" t="s">
        <v>419</v>
      </c>
      <c r="O313" s="7" t="s">
        <v>19430</v>
      </c>
      <c r="P313" s="7" t="s">
        <v>717</v>
      </c>
      <c r="Q313" s="7" t="s">
        <v>1163</v>
      </c>
      <c r="R313" s="7" t="s">
        <v>19608</v>
      </c>
      <c r="S313" s="7" t="s">
        <v>20046</v>
      </c>
      <c r="T313" s="7" t="s">
        <v>5796</v>
      </c>
      <c r="U313" s="7" t="s">
        <v>3493</v>
      </c>
      <c r="V313" s="7">
        <v>1.0</v>
      </c>
    </row>
    <row r="314">
      <c r="A314" s="7" t="s">
        <v>20047</v>
      </c>
      <c r="B314" s="7">
        <v>2100487.0</v>
      </c>
      <c r="C314" s="7" t="s">
        <v>5798</v>
      </c>
      <c r="D314" s="7" t="s">
        <v>5799</v>
      </c>
      <c r="E314" s="7" t="s">
        <v>5800</v>
      </c>
      <c r="F314" s="7" t="s">
        <v>5801</v>
      </c>
      <c r="G314" s="7" t="s">
        <v>5802</v>
      </c>
      <c r="H314" s="7" t="s">
        <v>5803</v>
      </c>
      <c r="I314" s="119">
        <v>45292.0</v>
      </c>
      <c r="K314" s="7" t="s">
        <v>419</v>
      </c>
      <c r="L314" s="7" t="s">
        <v>991</v>
      </c>
      <c r="M314" s="7" t="s">
        <v>3501</v>
      </c>
      <c r="N314" s="7" t="s">
        <v>419</v>
      </c>
      <c r="O314" s="7" t="s">
        <v>19430</v>
      </c>
      <c r="P314" s="7" t="s">
        <v>780</v>
      </c>
      <c r="Q314" s="7" t="s">
        <v>786</v>
      </c>
      <c r="R314" s="7" t="s">
        <v>19666</v>
      </c>
      <c r="T314" s="7" t="s">
        <v>4169</v>
      </c>
      <c r="U314" s="7" t="s">
        <v>3604</v>
      </c>
      <c r="V314" s="7">
        <v>1.0</v>
      </c>
    </row>
    <row r="315">
      <c r="A315" s="7" t="s">
        <v>20048</v>
      </c>
      <c r="B315" s="7">
        <v>2200673.0</v>
      </c>
      <c r="C315" s="7" t="s">
        <v>5805</v>
      </c>
      <c r="D315" s="7" t="s">
        <v>5806</v>
      </c>
      <c r="E315" s="7" t="s">
        <v>5800</v>
      </c>
      <c r="F315" s="7" t="s">
        <v>4203</v>
      </c>
      <c r="G315" s="7" t="s">
        <v>5807</v>
      </c>
      <c r="H315" s="7" t="s">
        <v>5808</v>
      </c>
      <c r="I315" s="119">
        <v>45292.0</v>
      </c>
      <c r="K315" s="7" t="s">
        <v>419</v>
      </c>
      <c r="L315" s="7" t="s">
        <v>991</v>
      </c>
      <c r="M315" s="7" t="s">
        <v>3531</v>
      </c>
      <c r="N315" s="7" t="s">
        <v>419</v>
      </c>
      <c r="O315" s="7" t="s">
        <v>19430</v>
      </c>
      <c r="P315" s="7" t="s">
        <v>717</v>
      </c>
      <c r="Q315" s="7" t="s">
        <v>725</v>
      </c>
      <c r="R315" s="7" t="s">
        <v>19501</v>
      </c>
      <c r="S315" s="7" t="s">
        <v>19643</v>
      </c>
      <c r="T315" s="7" t="s">
        <v>4097</v>
      </c>
      <c r="U315" s="7" t="s">
        <v>3493</v>
      </c>
      <c r="V315" s="7">
        <v>1.0</v>
      </c>
    </row>
    <row r="316">
      <c r="A316" s="7" t="s">
        <v>20049</v>
      </c>
      <c r="B316" s="7">
        <v>8152.0</v>
      </c>
      <c r="C316" s="7" t="s">
        <v>5810</v>
      </c>
      <c r="D316" s="7" t="s">
        <v>5811</v>
      </c>
      <c r="E316" s="7" t="s">
        <v>5812</v>
      </c>
      <c r="F316" s="7" t="s">
        <v>5813</v>
      </c>
      <c r="G316" s="7" t="s">
        <v>5814</v>
      </c>
      <c r="H316" s="7" t="s">
        <v>5815</v>
      </c>
      <c r="I316" s="119">
        <v>45292.0</v>
      </c>
      <c r="K316" s="7" t="s">
        <v>419</v>
      </c>
      <c r="L316" s="7" t="s">
        <v>991</v>
      </c>
      <c r="M316" s="7" t="s">
        <v>3531</v>
      </c>
      <c r="N316" s="7" t="s">
        <v>419</v>
      </c>
      <c r="O316" s="7" t="s">
        <v>19432</v>
      </c>
      <c r="P316" s="7" t="s">
        <v>298</v>
      </c>
      <c r="Q316" s="7" t="s">
        <v>802</v>
      </c>
      <c r="R316" s="7" t="s">
        <v>20050</v>
      </c>
      <c r="S316" s="7" t="s">
        <v>20051</v>
      </c>
      <c r="T316" s="7" t="s">
        <v>5817</v>
      </c>
      <c r="U316" s="7" t="s">
        <v>3493</v>
      </c>
      <c r="V316" s="7">
        <v>1.0</v>
      </c>
    </row>
    <row r="317">
      <c r="A317" s="7" t="s">
        <v>20052</v>
      </c>
      <c r="B317" s="7">
        <v>2200077.0</v>
      </c>
      <c r="C317" s="7" t="s">
        <v>5810</v>
      </c>
      <c r="D317" s="7" t="s">
        <v>5819</v>
      </c>
      <c r="E317" s="7" t="s">
        <v>5812</v>
      </c>
      <c r="F317" s="7" t="s">
        <v>5820</v>
      </c>
      <c r="G317" s="7" t="s">
        <v>5821</v>
      </c>
      <c r="H317" s="7" t="s">
        <v>5822</v>
      </c>
      <c r="I317" s="119">
        <v>45292.0</v>
      </c>
      <c r="K317" s="7" t="s">
        <v>419</v>
      </c>
      <c r="L317" s="7" t="s">
        <v>991</v>
      </c>
      <c r="M317" s="7" t="s">
        <v>3501</v>
      </c>
      <c r="N317" s="7" t="s">
        <v>419</v>
      </c>
      <c r="O317" s="7" t="s">
        <v>19433</v>
      </c>
      <c r="P317" s="7" t="s">
        <v>587</v>
      </c>
      <c r="Q317" s="7" t="s">
        <v>74</v>
      </c>
      <c r="R317" s="7" t="s">
        <v>19721</v>
      </c>
      <c r="S317" s="7" t="s">
        <v>20053</v>
      </c>
      <c r="T317" s="7" t="s">
        <v>13111</v>
      </c>
      <c r="U317" s="7" t="s">
        <v>3843</v>
      </c>
      <c r="V317" s="7">
        <v>1.0</v>
      </c>
    </row>
    <row r="318">
      <c r="A318" s="7" t="s">
        <v>20054</v>
      </c>
      <c r="B318" s="7">
        <v>10384.0</v>
      </c>
      <c r="C318" s="7" t="s">
        <v>5810</v>
      </c>
      <c r="D318" s="7" t="s">
        <v>5826</v>
      </c>
      <c r="E318" s="7" t="s">
        <v>5812</v>
      </c>
      <c r="F318" s="7" t="s">
        <v>4525</v>
      </c>
      <c r="G318" s="7" t="s">
        <v>5827</v>
      </c>
      <c r="H318" s="7" t="s">
        <v>5828</v>
      </c>
      <c r="I318" s="119">
        <v>45292.0</v>
      </c>
      <c r="K318" s="7" t="s">
        <v>419</v>
      </c>
      <c r="L318" s="7" t="s">
        <v>991</v>
      </c>
      <c r="M318" s="7" t="s">
        <v>3531</v>
      </c>
      <c r="N318" s="7" t="s">
        <v>419</v>
      </c>
      <c r="O318" s="7" t="s">
        <v>19430</v>
      </c>
      <c r="P318" s="7" t="s">
        <v>717</v>
      </c>
      <c r="Q318" s="7" t="s">
        <v>720</v>
      </c>
      <c r="R318" s="7" t="s">
        <v>19542</v>
      </c>
      <c r="T318" s="7" t="s">
        <v>3725</v>
      </c>
      <c r="U318" s="7" t="s">
        <v>3493</v>
      </c>
      <c r="V318" s="7">
        <v>1.0</v>
      </c>
    </row>
    <row r="319">
      <c r="A319" s="7" t="s">
        <v>20055</v>
      </c>
      <c r="B319" s="7">
        <v>2200215.0</v>
      </c>
      <c r="C319" s="7" t="s">
        <v>5830</v>
      </c>
      <c r="D319" s="7" t="s">
        <v>5831</v>
      </c>
      <c r="E319" s="7" t="s">
        <v>5832</v>
      </c>
      <c r="F319" s="7" t="s">
        <v>3508</v>
      </c>
      <c r="G319" s="7" t="s">
        <v>5833</v>
      </c>
      <c r="H319" s="7" t="s">
        <v>5834</v>
      </c>
      <c r="I319" s="119">
        <v>45292.0</v>
      </c>
      <c r="K319" s="7" t="s">
        <v>3885</v>
      </c>
      <c r="L319" s="7" t="s">
        <v>3542</v>
      </c>
      <c r="M319" s="7" t="s">
        <v>3543</v>
      </c>
      <c r="N319" s="7" t="s">
        <v>419</v>
      </c>
      <c r="O319" s="7" t="s">
        <v>19433</v>
      </c>
      <c r="P319" s="7" t="s">
        <v>648</v>
      </c>
      <c r="Q319" s="7" t="s">
        <v>148</v>
      </c>
      <c r="R319" s="7" t="s">
        <v>19544</v>
      </c>
      <c r="T319" s="7" t="s">
        <v>3734</v>
      </c>
      <c r="U319" s="7" t="s">
        <v>3493</v>
      </c>
      <c r="V319" s="7">
        <v>1.0</v>
      </c>
    </row>
    <row r="320">
      <c r="A320" s="7" t="s">
        <v>20056</v>
      </c>
      <c r="B320" s="7">
        <v>2300771.0</v>
      </c>
      <c r="C320" s="7" t="s">
        <v>5830</v>
      </c>
      <c r="D320" s="7" t="s">
        <v>5837</v>
      </c>
      <c r="E320" s="7" t="s">
        <v>5832</v>
      </c>
      <c r="F320" s="7" t="s">
        <v>5838</v>
      </c>
      <c r="G320" s="7" t="s">
        <v>5839</v>
      </c>
      <c r="H320" s="7" t="s">
        <v>5840</v>
      </c>
      <c r="I320" s="119">
        <v>45292.0</v>
      </c>
      <c r="K320" s="7" t="s">
        <v>419</v>
      </c>
      <c r="L320" s="7" t="s">
        <v>991</v>
      </c>
      <c r="M320" s="7" t="s">
        <v>3531</v>
      </c>
      <c r="N320" s="7" t="s">
        <v>419</v>
      </c>
      <c r="O320" s="7" t="s">
        <v>19430</v>
      </c>
      <c r="P320" s="7" t="s">
        <v>717</v>
      </c>
      <c r="Q320" s="7" t="s">
        <v>738</v>
      </c>
      <c r="R320" s="7" t="s">
        <v>19818</v>
      </c>
      <c r="S320" s="7" t="s">
        <v>19668</v>
      </c>
      <c r="T320" s="7" t="s">
        <v>4739</v>
      </c>
      <c r="U320" s="7" t="s">
        <v>3493</v>
      </c>
      <c r="V320" s="7">
        <v>1.0</v>
      </c>
    </row>
    <row r="321">
      <c r="A321" s="7" t="s">
        <v>2213</v>
      </c>
      <c r="B321" s="7">
        <v>11742.0</v>
      </c>
      <c r="C321" s="7" t="s">
        <v>5830</v>
      </c>
      <c r="D321" s="7" t="s">
        <v>4100</v>
      </c>
      <c r="E321" s="7" t="s">
        <v>5832</v>
      </c>
      <c r="F321" s="7" t="s">
        <v>3486</v>
      </c>
      <c r="G321" s="7" t="s">
        <v>5842</v>
      </c>
      <c r="H321" s="7" t="s">
        <v>5843</v>
      </c>
      <c r="I321" s="119">
        <v>45292.0</v>
      </c>
      <c r="K321" s="7" t="s">
        <v>419</v>
      </c>
      <c r="L321" s="7" t="s">
        <v>991</v>
      </c>
      <c r="M321" s="7" t="s">
        <v>3501</v>
      </c>
      <c r="N321" s="7" t="s">
        <v>419</v>
      </c>
      <c r="O321" s="7" t="s">
        <v>19430</v>
      </c>
      <c r="P321" s="7" t="s">
        <v>717</v>
      </c>
      <c r="Q321" s="7" t="s">
        <v>725</v>
      </c>
      <c r="T321" s="7" t="s">
        <v>19436</v>
      </c>
      <c r="U321" s="7" t="s">
        <v>5585</v>
      </c>
      <c r="V321" s="7">
        <v>1.0</v>
      </c>
    </row>
    <row r="322">
      <c r="A322" s="7" t="s">
        <v>20057</v>
      </c>
      <c r="B322" s="7">
        <v>8150.0</v>
      </c>
      <c r="C322" s="7" t="s">
        <v>5830</v>
      </c>
      <c r="D322" s="7" t="s">
        <v>5848</v>
      </c>
      <c r="E322" s="7" t="s">
        <v>5832</v>
      </c>
      <c r="F322" s="7" t="s">
        <v>5849</v>
      </c>
      <c r="G322" s="7" t="s">
        <v>5850</v>
      </c>
      <c r="H322" s="7" t="s">
        <v>5851</v>
      </c>
      <c r="I322" s="119">
        <v>45292.0</v>
      </c>
      <c r="K322" s="7" t="s">
        <v>419</v>
      </c>
      <c r="L322" s="7" t="s">
        <v>991</v>
      </c>
      <c r="M322" s="7" t="s">
        <v>3531</v>
      </c>
      <c r="N322" s="7" t="s">
        <v>419</v>
      </c>
      <c r="O322" s="7" t="s">
        <v>19432</v>
      </c>
      <c r="P322" s="7" t="s">
        <v>298</v>
      </c>
      <c r="Q322" s="7" t="s">
        <v>802</v>
      </c>
      <c r="R322" s="7" t="s">
        <v>20050</v>
      </c>
      <c r="S322" s="7" t="s">
        <v>20051</v>
      </c>
      <c r="T322" s="7" t="s">
        <v>5817</v>
      </c>
      <c r="U322" s="7" t="s">
        <v>3493</v>
      </c>
      <c r="V322" s="7">
        <v>1.0</v>
      </c>
    </row>
    <row r="323">
      <c r="A323" s="7" t="s">
        <v>20058</v>
      </c>
      <c r="B323" s="7">
        <v>2300385.0</v>
      </c>
      <c r="C323" s="7" t="s">
        <v>5853</v>
      </c>
      <c r="D323" s="7" t="s">
        <v>5854</v>
      </c>
      <c r="E323" s="7" t="s">
        <v>5855</v>
      </c>
      <c r="F323" s="7" t="s">
        <v>5441</v>
      </c>
      <c r="G323" s="7" t="s">
        <v>5856</v>
      </c>
      <c r="H323" s="7" t="s">
        <v>5857</v>
      </c>
      <c r="I323" s="119">
        <v>45292.0</v>
      </c>
      <c r="K323" s="7" t="s">
        <v>419</v>
      </c>
      <c r="L323" s="7" t="s">
        <v>991</v>
      </c>
      <c r="M323" s="7" t="s">
        <v>3531</v>
      </c>
      <c r="N323" s="7" t="s">
        <v>419</v>
      </c>
      <c r="O323" s="7" t="s">
        <v>19430</v>
      </c>
      <c r="P323" s="7" t="s">
        <v>780</v>
      </c>
      <c r="Q323" s="7" t="s">
        <v>284</v>
      </c>
      <c r="R323" s="7" t="s">
        <v>19606</v>
      </c>
      <c r="T323" s="7" t="s">
        <v>3958</v>
      </c>
      <c r="U323" s="7" t="s">
        <v>3493</v>
      </c>
      <c r="V323" s="7">
        <v>1.0</v>
      </c>
    </row>
    <row r="324">
      <c r="A324" s="7" t="s">
        <v>20059</v>
      </c>
      <c r="B324" s="7">
        <v>2200767.0</v>
      </c>
      <c r="C324" s="7" t="s">
        <v>5853</v>
      </c>
      <c r="D324" s="7" t="s">
        <v>5859</v>
      </c>
      <c r="E324" s="7" t="s">
        <v>5855</v>
      </c>
      <c r="F324" s="7" t="s">
        <v>5860</v>
      </c>
      <c r="G324" s="7" t="s">
        <v>5861</v>
      </c>
      <c r="H324" s="7" t="s">
        <v>5862</v>
      </c>
      <c r="I324" s="119">
        <v>45292.0</v>
      </c>
      <c r="K324" s="7" t="s">
        <v>419</v>
      </c>
      <c r="L324" s="7" t="s">
        <v>991</v>
      </c>
      <c r="M324" s="7" t="s">
        <v>3501</v>
      </c>
      <c r="N324" s="7" t="s">
        <v>419</v>
      </c>
      <c r="O324" s="7" t="s">
        <v>19433</v>
      </c>
      <c r="P324" s="7" t="s">
        <v>648</v>
      </c>
      <c r="Q324" s="7" t="s">
        <v>148</v>
      </c>
      <c r="R324" s="7" t="s">
        <v>19544</v>
      </c>
      <c r="T324" s="7" t="s">
        <v>3734</v>
      </c>
      <c r="U324" s="7" t="s">
        <v>3493</v>
      </c>
      <c r="V324" s="7">
        <v>1.0</v>
      </c>
    </row>
    <row r="325">
      <c r="A325" s="7" t="s">
        <v>20060</v>
      </c>
      <c r="B325" s="7">
        <v>1167.0</v>
      </c>
      <c r="C325" s="7" t="s">
        <v>5853</v>
      </c>
      <c r="D325" s="7" t="s">
        <v>4699</v>
      </c>
      <c r="E325" s="7" t="s">
        <v>5855</v>
      </c>
      <c r="F325" s="7" t="s">
        <v>4700</v>
      </c>
      <c r="G325" s="7" t="s">
        <v>5863</v>
      </c>
      <c r="H325" s="7" t="s">
        <v>5864</v>
      </c>
      <c r="I325" s="119">
        <v>45292.0</v>
      </c>
      <c r="K325" s="7" t="s">
        <v>419</v>
      </c>
      <c r="L325" s="7" t="s">
        <v>991</v>
      </c>
      <c r="M325" s="7" t="s">
        <v>3501</v>
      </c>
      <c r="N325" s="7" t="s">
        <v>419</v>
      </c>
      <c r="O325" s="7" t="s">
        <v>19430</v>
      </c>
      <c r="P325" s="7" t="s">
        <v>854</v>
      </c>
      <c r="Q325" s="7" t="s">
        <v>173</v>
      </c>
      <c r="R325" s="7" t="s">
        <v>19674</v>
      </c>
      <c r="T325" s="7" t="s">
        <v>19675</v>
      </c>
      <c r="U325" s="7" t="s">
        <v>3604</v>
      </c>
      <c r="V325" s="7">
        <v>1.0</v>
      </c>
    </row>
    <row r="326">
      <c r="A326" s="7" t="s">
        <v>20061</v>
      </c>
      <c r="B326" s="7">
        <v>14141.0</v>
      </c>
      <c r="C326" s="7" t="s">
        <v>5853</v>
      </c>
      <c r="D326" s="7" t="s">
        <v>4717</v>
      </c>
      <c r="E326" s="7" t="s">
        <v>5855</v>
      </c>
      <c r="F326" s="7" t="s">
        <v>4262</v>
      </c>
      <c r="G326" s="7" t="s">
        <v>5866</v>
      </c>
      <c r="H326" s="7" t="s">
        <v>5867</v>
      </c>
      <c r="I326" s="119">
        <v>45292.0</v>
      </c>
      <c r="K326" s="7" t="s">
        <v>419</v>
      </c>
      <c r="L326" s="7" t="s">
        <v>991</v>
      </c>
      <c r="M326" s="7" t="s">
        <v>3531</v>
      </c>
      <c r="N326" s="7" t="s">
        <v>419</v>
      </c>
      <c r="O326" s="7" t="s">
        <v>19430</v>
      </c>
      <c r="P326" s="7" t="s">
        <v>717</v>
      </c>
      <c r="Q326" s="7" t="s">
        <v>738</v>
      </c>
      <c r="R326" s="7" t="s">
        <v>19902</v>
      </c>
      <c r="S326" s="7" t="s">
        <v>20062</v>
      </c>
      <c r="T326" s="7" t="s">
        <v>5869</v>
      </c>
      <c r="U326" s="7" t="s">
        <v>3493</v>
      </c>
      <c r="V326" s="7">
        <v>1.0</v>
      </c>
    </row>
    <row r="327">
      <c r="A327" s="7" t="s">
        <v>20063</v>
      </c>
      <c r="B327" s="7">
        <v>13060.0</v>
      </c>
      <c r="C327" s="7" t="s">
        <v>5853</v>
      </c>
      <c r="D327" s="7" t="s">
        <v>5871</v>
      </c>
      <c r="E327" s="7" t="s">
        <v>5855</v>
      </c>
      <c r="F327" s="7" t="s">
        <v>5872</v>
      </c>
      <c r="G327" s="7" t="s">
        <v>5873</v>
      </c>
      <c r="H327" s="7" t="s">
        <v>5874</v>
      </c>
      <c r="I327" s="119">
        <v>45292.0</v>
      </c>
      <c r="K327" s="7" t="s">
        <v>419</v>
      </c>
      <c r="L327" s="7" t="s">
        <v>991</v>
      </c>
      <c r="M327" s="7" t="s">
        <v>3531</v>
      </c>
      <c r="N327" s="7" t="s">
        <v>419</v>
      </c>
      <c r="O327" s="7" t="s">
        <v>19443</v>
      </c>
      <c r="P327" s="7" t="s">
        <v>1242</v>
      </c>
      <c r="Q327" s="7" t="s">
        <v>48</v>
      </c>
      <c r="R327" s="7" t="s">
        <v>20064</v>
      </c>
      <c r="T327" s="7" t="s">
        <v>5876</v>
      </c>
      <c r="U327" s="7" t="s">
        <v>3493</v>
      </c>
      <c r="V327" s="7">
        <v>1.0</v>
      </c>
    </row>
    <row r="328">
      <c r="A328" s="7" t="s">
        <v>20065</v>
      </c>
      <c r="B328" s="7">
        <v>2100296.0</v>
      </c>
      <c r="C328" s="7" t="s">
        <v>5853</v>
      </c>
      <c r="D328" s="7" t="s">
        <v>5878</v>
      </c>
      <c r="E328" s="7" t="s">
        <v>5855</v>
      </c>
      <c r="F328" s="7" t="s">
        <v>5595</v>
      </c>
      <c r="G328" s="7" t="s">
        <v>5879</v>
      </c>
      <c r="I328" s="119">
        <v>45292.0</v>
      </c>
      <c r="K328" s="7" t="s">
        <v>419</v>
      </c>
      <c r="L328" s="7" t="s">
        <v>991</v>
      </c>
      <c r="M328" s="7" t="s">
        <v>3531</v>
      </c>
      <c r="N328" s="7" t="s">
        <v>419</v>
      </c>
      <c r="O328" s="7" t="s">
        <v>19433</v>
      </c>
      <c r="P328" s="7" t="s">
        <v>587</v>
      </c>
      <c r="Q328" s="7" t="s">
        <v>74</v>
      </c>
      <c r="R328" s="7" t="s">
        <v>19911</v>
      </c>
      <c r="T328" s="7" t="s">
        <v>5198</v>
      </c>
      <c r="U328" s="7" t="s">
        <v>3493</v>
      </c>
      <c r="V328" s="7">
        <v>1.0</v>
      </c>
    </row>
    <row r="329">
      <c r="A329" s="7" t="s">
        <v>20066</v>
      </c>
      <c r="B329" s="7">
        <v>2300144.0</v>
      </c>
      <c r="C329" s="7" t="s">
        <v>5853</v>
      </c>
      <c r="D329" s="7" t="s">
        <v>5881</v>
      </c>
      <c r="E329" s="7" t="s">
        <v>5855</v>
      </c>
      <c r="F329" s="7" t="s">
        <v>4546</v>
      </c>
      <c r="G329" s="7" t="s">
        <v>5882</v>
      </c>
      <c r="H329" s="7" t="s">
        <v>5883</v>
      </c>
      <c r="I329" s="119">
        <v>45292.0</v>
      </c>
      <c r="K329" s="7" t="s">
        <v>419</v>
      </c>
      <c r="L329" s="7" t="s">
        <v>991</v>
      </c>
      <c r="M329" s="7" t="s">
        <v>3531</v>
      </c>
      <c r="N329" s="7" t="s">
        <v>419</v>
      </c>
      <c r="O329" s="7" t="s">
        <v>19430</v>
      </c>
      <c r="P329" s="7" t="s">
        <v>717</v>
      </c>
      <c r="Q329" s="7" t="s">
        <v>725</v>
      </c>
      <c r="R329" s="7" t="s">
        <v>19501</v>
      </c>
      <c r="S329" s="7" t="s">
        <v>19688</v>
      </c>
      <c r="T329" s="7" t="s">
        <v>4257</v>
      </c>
      <c r="U329" s="7" t="s">
        <v>3493</v>
      </c>
      <c r="V329" s="7">
        <v>1.0</v>
      </c>
    </row>
    <row r="330">
      <c r="A330" s="7" t="s">
        <v>20067</v>
      </c>
      <c r="B330" s="7">
        <v>2200768.0</v>
      </c>
      <c r="C330" s="7" t="s">
        <v>5853</v>
      </c>
      <c r="D330" s="7" t="s">
        <v>5885</v>
      </c>
      <c r="E330" s="7" t="s">
        <v>5855</v>
      </c>
      <c r="F330" s="7" t="s">
        <v>3766</v>
      </c>
      <c r="G330" s="7" t="s">
        <v>5886</v>
      </c>
      <c r="H330" s="7" t="s">
        <v>5887</v>
      </c>
      <c r="I330" s="119">
        <v>45292.0</v>
      </c>
      <c r="K330" s="7" t="s">
        <v>419</v>
      </c>
      <c r="L330" s="7" t="s">
        <v>991</v>
      </c>
      <c r="M330" s="7" t="s">
        <v>3531</v>
      </c>
      <c r="N330" s="7" t="s">
        <v>419</v>
      </c>
      <c r="O330" s="7" t="s">
        <v>19430</v>
      </c>
      <c r="P330" s="7" t="s">
        <v>717</v>
      </c>
      <c r="Q330" s="7" t="s">
        <v>738</v>
      </c>
      <c r="R330" s="7" t="s">
        <v>20012</v>
      </c>
      <c r="S330" s="7" t="s">
        <v>20068</v>
      </c>
      <c r="T330" s="7" t="s">
        <v>5889</v>
      </c>
      <c r="U330" s="7" t="s">
        <v>3493</v>
      </c>
      <c r="V330" s="7">
        <v>1.0</v>
      </c>
    </row>
    <row r="331">
      <c r="A331" s="7" t="s">
        <v>20069</v>
      </c>
      <c r="B331" s="7">
        <v>2200823.0</v>
      </c>
      <c r="C331" s="7" t="s">
        <v>5853</v>
      </c>
      <c r="D331" s="7" t="s">
        <v>5891</v>
      </c>
      <c r="E331" s="7" t="s">
        <v>5855</v>
      </c>
      <c r="F331" s="7" t="s">
        <v>5514</v>
      </c>
      <c r="G331" s="7" t="s">
        <v>5892</v>
      </c>
      <c r="H331" s="7" t="s">
        <v>5893</v>
      </c>
      <c r="I331" s="119">
        <v>45292.0</v>
      </c>
      <c r="K331" s="7" t="s">
        <v>419</v>
      </c>
      <c r="L331" s="7" t="s">
        <v>991</v>
      </c>
      <c r="M331" s="7" t="s">
        <v>3583</v>
      </c>
      <c r="N331" s="7" t="s">
        <v>419</v>
      </c>
      <c r="O331" s="7" t="s">
        <v>19430</v>
      </c>
      <c r="P331" s="7" t="s">
        <v>717</v>
      </c>
      <c r="Q331" s="7" t="s">
        <v>738</v>
      </c>
      <c r="R331" s="7" t="s">
        <v>19818</v>
      </c>
      <c r="S331" s="7" t="s">
        <v>19832</v>
      </c>
      <c r="T331" s="7" t="s">
        <v>5894</v>
      </c>
      <c r="U331" s="7" t="s">
        <v>3493</v>
      </c>
      <c r="V331" s="7">
        <v>1.0</v>
      </c>
    </row>
    <row r="332">
      <c r="A332" s="7" t="s">
        <v>20070</v>
      </c>
      <c r="B332" s="7">
        <v>10106.0</v>
      </c>
      <c r="C332" s="7" t="s">
        <v>5896</v>
      </c>
      <c r="D332" s="7" t="s">
        <v>5897</v>
      </c>
      <c r="E332" s="7" t="s">
        <v>5898</v>
      </c>
      <c r="F332" s="7" t="s">
        <v>5899</v>
      </c>
      <c r="G332" s="7" t="s">
        <v>5900</v>
      </c>
      <c r="H332" s="7" t="s">
        <v>5901</v>
      </c>
      <c r="I332" s="119">
        <v>45292.0</v>
      </c>
      <c r="K332" s="7" t="s">
        <v>4206</v>
      </c>
      <c r="L332" s="7" t="s">
        <v>3542</v>
      </c>
      <c r="M332" s="7" t="s">
        <v>3543</v>
      </c>
      <c r="N332" s="7" t="s">
        <v>419</v>
      </c>
      <c r="O332" s="7" t="s">
        <v>19433</v>
      </c>
      <c r="P332" s="7" t="s">
        <v>587</v>
      </c>
      <c r="Q332" s="7" t="s">
        <v>72</v>
      </c>
      <c r="R332" s="7" t="s">
        <v>19677</v>
      </c>
      <c r="S332" s="7" t="s">
        <v>20071</v>
      </c>
      <c r="T332" s="7" t="s">
        <v>8240</v>
      </c>
      <c r="U332" s="7" t="s">
        <v>3493</v>
      </c>
      <c r="V332" s="7">
        <v>1.0</v>
      </c>
    </row>
    <row r="333">
      <c r="A333" s="7" t="s">
        <v>20072</v>
      </c>
      <c r="B333" s="7">
        <v>2100576.0</v>
      </c>
      <c r="C333" s="7" t="s">
        <v>5905</v>
      </c>
      <c r="D333" s="7" t="s">
        <v>5906</v>
      </c>
      <c r="E333" s="7" t="s">
        <v>5907</v>
      </c>
      <c r="F333" s="7" t="s">
        <v>5908</v>
      </c>
      <c r="G333" s="7" t="s">
        <v>5909</v>
      </c>
      <c r="H333" s="7" t="s">
        <v>5910</v>
      </c>
      <c r="I333" s="119">
        <v>45292.0</v>
      </c>
      <c r="K333" s="7" t="s">
        <v>419</v>
      </c>
      <c r="L333" s="7" t="s">
        <v>991</v>
      </c>
      <c r="M333" s="7" t="s">
        <v>3501</v>
      </c>
      <c r="N333" s="7" t="s">
        <v>419</v>
      </c>
      <c r="O333" s="7" t="s">
        <v>19432</v>
      </c>
      <c r="P333" s="7" t="s">
        <v>693</v>
      </c>
      <c r="Q333" s="7" t="s">
        <v>698</v>
      </c>
      <c r="R333" s="7" t="s">
        <v>20004</v>
      </c>
      <c r="T333" s="7" t="s">
        <v>5912</v>
      </c>
      <c r="U333" s="7" t="s">
        <v>3604</v>
      </c>
      <c r="V333" s="7">
        <v>1.0</v>
      </c>
    </row>
    <row r="334">
      <c r="A334" s="7" t="s">
        <v>20073</v>
      </c>
      <c r="B334" s="7">
        <v>1186.0</v>
      </c>
      <c r="C334" s="7" t="s">
        <v>5914</v>
      </c>
      <c r="D334" s="7" t="s">
        <v>5915</v>
      </c>
      <c r="E334" s="7" t="s">
        <v>5916</v>
      </c>
      <c r="F334" s="7" t="s">
        <v>5917</v>
      </c>
      <c r="G334" s="7" t="s">
        <v>5918</v>
      </c>
      <c r="H334" s="7" t="s">
        <v>5919</v>
      </c>
      <c r="I334" s="119">
        <v>45292.0</v>
      </c>
      <c r="K334" s="7" t="s">
        <v>419</v>
      </c>
      <c r="L334" s="7" t="s">
        <v>991</v>
      </c>
      <c r="M334" s="7" t="s">
        <v>3501</v>
      </c>
      <c r="N334" s="7" t="s">
        <v>419</v>
      </c>
      <c r="O334" s="7" t="s">
        <v>19430</v>
      </c>
      <c r="P334" s="7" t="s">
        <v>717</v>
      </c>
      <c r="Q334" s="7" t="s">
        <v>738</v>
      </c>
      <c r="R334" s="7" t="s">
        <v>19723</v>
      </c>
      <c r="S334" s="7" t="s">
        <v>20031</v>
      </c>
      <c r="T334" s="7" t="s">
        <v>5741</v>
      </c>
      <c r="U334" s="7" t="s">
        <v>3493</v>
      </c>
      <c r="V334" s="7">
        <v>1.0</v>
      </c>
    </row>
    <row r="335">
      <c r="A335" s="7" t="s">
        <v>20074</v>
      </c>
      <c r="B335" s="7">
        <v>2100123.0</v>
      </c>
      <c r="C335" s="7" t="s">
        <v>5921</v>
      </c>
      <c r="D335" s="7" t="s">
        <v>4620</v>
      </c>
      <c r="E335" s="7" t="s">
        <v>5922</v>
      </c>
      <c r="F335" s="7" t="s">
        <v>3792</v>
      </c>
      <c r="G335" s="7" t="s">
        <v>5923</v>
      </c>
      <c r="H335" s="7" t="s">
        <v>5924</v>
      </c>
      <c r="I335" s="119">
        <v>45383.0</v>
      </c>
      <c r="K335" s="7" t="s">
        <v>3541</v>
      </c>
      <c r="L335" s="7" t="s">
        <v>3542</v>
      </c>
      <c r="M335" s="7" t="s">
        <v>3543</v>
      </c>
      <c r="N335" s="7" t="s">
        <v>419</v>
      </c>
      <c r="O335" s="7" t="s">
        <v>19430</v>
      </c>
      <c r="P335" s="7" t="s">
        <v>854</v>
      </c>
      <c r="Q335" s="7" t="s">
        <v>864</v>
      </c>
      <c r="R335" s="7" t="s">
        <v>19504</v>
      </c>
      <c r="T335" s="7" t="s">
        <v>19505</v>
      </c>
      <c r="U335" s="7" t="s">
        <v>3493</v>
      </c>
      <c r="V335" s="7">
        <v>1.0</v>
      </c>
    </row>
    <row r="336">
      <c r="A336" s="7" t="s">
        <v>20075</v>
      </c>
      <c r="B336" s="7">
        <v>13674.0</v>
      </c>
      <c r="C336" s="7" t="s">
        <v>5926</v>
      </c>
      <c r="D336" s="7" t="s">
        <v>5927</v>
      </c>
      <c r="E336" s="7" t="s">
        <v>5928</v>
      </c>
      <c r="F336" s="7" t="s">
        <v>5759</v>
      </c>
      <c r="G336" s="7" t="s">
        <v>5929</v>
      </c>
      <c r="H336" s="7" t="s">
        <v>5930</v>
      </c>
      <c r="I336" s="119">
        <v>45292.0</v>
      </c>
      <c r="K336" s="7" t="s">
        <v>3632</v>
      </c>
      <c r="L336" s="7" t="s">
        <v>991</v>
      </c>
      <c r="M336" s="7" t="s">
        <v>3501</v>
      </c>
      <c r="N336" s="7" t="s">
        <v>3632</v>
      </c>
      <c r="O336" s="7" t="s">
        <v>3632</v>
      </c>
      <c r="P336" s="7" t="s">
        <v>625</v>
      </c>
      <c r="Q336" s="7" t="s">
        <v>118</v>
      </c>
      <c r="R336" s="7" t="s">
        <v>20076</v>
      </c>
      <c r="T336" s="7" t="s">
        <v>6924</v>
      </c>
      <c r="U336" s="7" t="s">
        <v>3604</v>
      </c>
      <c r="V336" s="7">
        <v>1.0</v>
      </c>
    </row>
    <row r="337">
      <c r="A337" s="7" t="s">
        <v>20077</v>
      </c>
      <c r="B337" s="7">
        <v>2400014.0</v>
      </c>
      <c r="C337" s="7" t="s">
        <v>5934</v>
      </c>
      <c r="D337" s="7" t="s">
        <v>5935</v>
      </c>
      <c r="E337" s="7" t="s">
        <v>5936</v>
      </c>
      <c r="F337" s="7" t="s">
        <v>4700</v>
      </c>
      <c r="G337" s="7" t="s">
        <v>5937</v>
      </c>
      <c r="H337" s="7" t="s">
        <v>5938</v>
      </c>
      <c r="I337" s="119">
        <v>45292.0</v>
      </c>
      <c r="K337" s="7" t="s">
        <v>3642</v>
      </c>
      <c r="L337" s="7" t="s">
        <v>991</v>
      </c>
      <c r="M337" s="7" t="s">
        <v>3583</v>
      </c>
      <c r="N337" s="7" t="s">
        <v>3642</v>
      </c>
      <c r="O337" s="7" t="s">
        <v>3642</v>
      </c>
      <c r="P337" s="7" t="s">
        <v>19524</v>
      </c>
      <c r="T337" s="7" t="s">
        <v>3644</v>
      </c>
      <c r="U337" s="7" t="s">
        <v>3493</v>
      </c>
      <c r="V337" s="7">
        <v>1.0</v>
      </c>
    </row>
    <row r="338">
      <c r="A338" s="7" t="s">
        <v>20078</v>
      </c>
      <c r="B338" s="7">
        <v>14326.0</v>
      </c>
      <c r="C338" s="7" t="s">
        <v>5940</v>
      </c>
      <c r="D338" s="7" t="s">
        <v>5941</v>
      </c>
      <c r="E338" s="7" t="s">
        <v>5942</v>
      </c>
      <c r="F338" s="7" t="s">
        <v>5943</v>
      </c>
      <c r="G338" s="7" t="s">
        <v>5944</v>
      </c>
      <c r="H338" s="7" t="s">
        <v>5945</v>
      </c>
      <c r="I338" s="119">
        <v>45292.0</v>
      </c>
      <c r="K338" s="7" t="s">
        <v>419</v>
      </c>
      <c r="L338" s="7" t="s">
        <v>991</v>
      </c>
      <c r="M338" s="7" t="s">
        <v>3501</v>
      </c>
      <c r="N338" s="7" t="s">
        <v>419</v>
      </c>
      <c r="O338" s="7" t="s">
        <v>19430</v>
      </c>
      <c r="P338" s="7" t="s">
        <v>717</v>
      </c>
      <c r="Q338" s="7" t="s">
        <v>1163</v>
      </c>
      <c r="R338" s="7" t="s">
        <v>19608</v>
      </c>
      <c r="S338" s="7" t="s">
        <v>19609</v>
      </c>
      <c r="T338" s="7" t="s">
        <v>3967</v>
      </c>
      <c r="U338" s="7" t="s">
        <v>3843</v>
      </c>
      <c r="V338" s="7">
        <v>1.0</v>
      </c>
    </row>
    <row r="339">
      <c r="A339" s="7" t="s">
        <v>20079</v>
      </c>
      <c r="B339" s="7">
        <v>13801.0</v>
      </c>
      <c r="C339" s="7" t="s">
        <v>5947</v>
      </c>
      <c r="D339" s="7" t="s">
        <v>5948</v>
      </c>
      <c r="E339" s="7" t="s">
        <v>5949</v>
      </c>
      <c r="F339" s="7" t="s">
        <v>4511</v>
      </c>
      <c r="G339" s="7" t="s">
        <v>5950</v>
      </c>
      <c r="H339" s="7" t="s">
        <v>5951</v>
      </c>
      <c r="I339" s="119">
        <v>45292.0</v>
      </c>
      <c r="K339" s="7" t="s">
        <v>3632</v>
      </c>
      <c r="L339" s="7" t="s">
        <v>991</v>
      </c>
      <c r="M339" s="7" t="s">
        <v>3501</v>
      </c>
      <c r="N339" s="7" t="s">
        <v>3632</v>
      </c>
      <c r="O339" s="7" t="s">
        <v>3632</v>
      </c>
      <c r="P339" s="7" t="s">
        <v>22</v>
      </c>
      <c r="Q339" s="7" t="s">
        <v>549</v>
      </c>
      <c r="R339" s="7" t="s">
        <v>20080</v>
      </c>
      <c r="T339" s="7" t="s">
        <v>9775</v>
      </c>
      <c r="U339" s="7" t="s">
        <v>3493</v>
      </c>
      <c r="V339" s="7">
        <v>1.0</v>
      </c>
    </row>
    <row r="340">
      <c r="A340" s="7" t="s">
        <v>20081</v>
      </c>
      <c r="B340" s="7">
        <v>14039.0</v>
      </c>
      <c r="C340" s="7" t="s">
        <v>5955</v>
      </c>
      <c r="D340" s="7" t="s">
        <v>5956</v>
      </c>
      <c r="E340" s="7" t="s">
        <v>5957</v>
      </c>
      <c r="F340" s="7" t="s">
        <v>4687</v>
      </c>
      <c r="G340" s="7" t="s">
        <v>5958</v>
      </c>
      <c r="H340" s="7" t="s">
        <v>5959</v>
      </c>
      <c r="I340" s="119">
        <v>45292.0</v>
      </c>
      <c r="K340" s="7" t="s">
        <v>3632</v>
      </c>
      <c r="L340" s="7" t="s">
        <v>991</v>
      </c>
      <c r="M340" s="7" t="s">
        <v>3501</v>
      </c>
      <c r="N340" s="7" t="s">
        <v>3632</v>
      </c>
      <c r="O340" s="7" t="s">
        <v>3632</v>
      </c>
      <c r="P340" s="7" t="s">
        <v>22</v>
      </c>
      <c r="Q340" s="7" t="s">
        <v>23</v>
      </c>
      <c r="T340" s="7" t="s">
        <v>10846</v>
      </c>
      <c r="U340" s="7" t="s">
        <v>3493</v>
      </c>
      <c r="V340" s="7">
        <v>1.0</v>
      </c>
    </row>
    <row r="341">
      <c r="A341" s="7" t="s">
        <v>20082</v>
      </c>
      <c r="B341" s="7">
        <v>13697.0</v>
      </c>
      <c r="C341" s="7" t="s">
        <v>5955</v>
      </c>
      <c r="D341" s="7" t="s">
        <v>5962</v>
      </c>
      <c r="E341" s="7" t="s">
        <v>5957</v>
      </c>
      <c r="F341" s="7" t="s">
        <v>5723</v>
      </c>
      <c r="G341" s="7" t="s">
        <v>5963</v>
      </c>
      <c r="H341" s="7" t="s">
        <v>5964</v>
      </c>
      <c r="I341" s="119">
        <v>45292.0</v>
      </c>
      <c r="K341" s="7" t="s">
        <v>3632</v>
      </c>
      <c r="L341" s="7" t="s">
        <v>991</v>
      </c>
      <c r="M341" s="7" t="s">
        <v>3501</v>
      </c>
      <c r="N341" s="7" t="s">
        <v>3632</v>
      </c>
      <c r="O341" s="7" t="s">
        <v>3632</v>
      </c>
      <c r="P341" s="7" t="s">
        <v>625</v>
      </c>
      <c r="Q341" s="7" t="s">
        <v>626</v>
      </c>
      <c r="R341" s="7" t="s">
        <v>20083</v>
      </c>
      <c r="T341" s="7" t="s">
        <v>13868</v>
      </c>
      <c r="U341" s="7" t="s">
        <v>3493</v>
      </c>
      <c r="V341" s="7">
        <v>1.0</v>
      </c>
    </row>
    <row r="342">
      <c r="A342" s="7" t="s">
        <v>20084</v>
      </c>
      <c r="B342" s="7">
        <v>12558.0</v>
      </c>
      <c r="C342" s="7" t="s">
        <v>5968</v>
      </c>
      <c r="D342" s="7" t="s">
        <v>5969</v>
      </c>
      <c r="E342" s="7" t="s">
        <v>5970</v>
      </c>
      <c r="F342" s="7" t="s">
        <v>3909</v>
      </c>
      <c r="G342" s="7" t="s">
        <v>5971</v>
      </c>
      <c r="H342" s="7" t="s">
        <v>5972</v>
      </c>
      <c r="I342" s="119">
        <v>45292.0</v>
      </c>
      <c r="K342" s="7" t="s">
        <v>5973</v>
      </c>
      <c r="L342" s="7" t="s">
        <v>3542</v>
      </c>
      <c r="M342" s="7" t="s">
        <v>3543</v>
      </c>
      <c r="N342" s="7" t="s">
        <v>419</v>
      </c>
      <c r="O342" s="7" t="s">
        <v>19433</v>
      </c>
      <c r="P342" s="7" t="s">
        <v>648</v>
      </c>
      <c r="Q342" s="7" t="s">
        <v>662</v>
      </c>
      <c r="R342" s="7" t="s">
        <v>19922</v>
      </c>
      <c r="T342" s="7" t="s">
        <v>20085</v>
      </c>
      <c r="U342" s="7" t="s">
        <v>3493</v>
      </c>
      <c r="V342" s="7">
        <v>1.0</v>
      </c>
    </row>
    <row r="343">
      <c r="A343" s="7" t="s">
        <v>2295</v>
      </c>
      <c r="B343" s="7">
        <v>10290.0</v>
      </c>
      <c r="C343" s="7" t="s">
        <v>5976</v>
      </c>
      <c r="D343" s="7" t="s">
        <v>3780</v>
      </c>
      <c r="E343" s="7" t="s">
        <v>5977</v>
      </c>
      <c r="F343" s="7" t="s">
        <v>3781</v>
      </c>
      <c r="G343" s="7" t="s">
        <v>5978</v>
      </c>
      <c r="H343" s="7" t="s">
        <v>5979</v>
      </c>
      <c r="I343" s="119">
        <v>45292.0</v>
      </c>
      <c r="K343" s="7" t="s">
        <v>3885</v>
      </c>
      <c r="L343" s="7" t="s">
        <v>3542</v>
      </c>
      <c r="M343" s="7" t="s">
        <v>3563</v>
      </c>
      <c r="N343" s="7" t="s">
        <v>419</v>
      </c>
      <c r="O343" s="7" t="s">
        <v>19438</v>
      </c>
      <c r="P343" s="7" t="s">
        <v>422</v>
      </c>
      <c r="T343" s="7" t="s">
        <v>20086</v>
      </c>
      <c r="U343" s="7" t="s">
        <v>422</v>
      </c>
      <c r="V343" s="7">
        <v>1.0</v>
      </c>
    </row>
    <row r="344">
      <c r="A344" s="7" t="s">
        <v>20087</v>
      </c>
      <c r="B344" s="7">
        <v>13565.0</v>
      </c>
      <c r="C344" s="7" t="s">
        <v>5984</v>
      </c>
      <c r="D344" s="7" t="s">
        <v>5985</v>
      </c>
      <c r="E344" s="7" t="s">
        <v>5986</v>
      </c>
      <c r="F344" s="7" t="s">
        <v>5987</v>
      </c>
      <c r="G344" s="7" t="s">
        <v>5988</v>
      </c>
      <c r="H344" s="7" t="s">
        <v>5989</v>
      </c>
      <c r="I344" s="119">
        <v>45292.0</v>
      </c>
      <c r="K344" s="7" t="s">
        <v>3632</v>
      </c>
      <c r="L344" s="7" t="s">
        <v>991</v>
      </c>
      <c r="M344" s="7" t="s">
        <v>3501</v>
      </c>
      <c r="N344" s="7" t="s">
        <v>3632</v>
      </c>
      <c r="O344" s="7" t="s">
        <v>3632</v>
      </c>
      <c r="P344" s="7" t="s">
        <v>429</v>
      </c>
      <c r="Q344" s="7" t="s">
        <v>436</v>
      </c>
      <c r="R344" s="7" t="s">
        <v>20088</v>
      </c>
      <c r="T344" s="7" t="s">
        <v>20089</v>
      </c>
      <c r="U344" s="7" t="s">
        <v>3604</v>
      </c>
      <c r="V344" s="7">
        <v>1.0</v>
      </c>
    </row>
    <row r="345">
      <c r="A345" s="7" t="s">
        <v>20090</v>
      </c>
      <c r="B345" s="7">
        <v>911.0</v>
      </c>
      <c r="C345" s="7" t="s">
        <v>5984</v>
      </c>
      <c r="D345" s="7" t="s">
        <v>5994</v>
      </c>
      <c r="E345" s="7" t="s">
        <v>5986</v>
      </c>
      <c r="F345" s="7" t="s">
        <v>5995</v>
      </c>
      <c r="G345" s="7" t="s">
        <v>5996</v>
      </c>
      <c r="H345" s="7" t="s">
        <v>5997</v>
      </c>
      <c r="I345" s="119">
        <v>45292.0</v>
      </c>
      <c r="K345" s="7" t="s">
        <v>419</v>
      </c>
      <c r="L345" s="7" t="s">
        <v>991</v>
      </c>
      <c r="M345" s="7" t="s">
        <v>3501</v>
      </c>
      <c r="N345" s="7" t="s">
        <v>419</v>
      </c>
      <c r="O345" s="7" t="s">
        <v>19437</v>
      </c>
      <c r="P345" s="7" t="s">
        <v>440</v>
      </c>
      <c r="Q345" s="7" t="s">
        <v>924</v>
      </c>
      <c r="R345" s="7" t="s">
        <v>19793</v>
      </c>
      <c r="S345" s="7" t="s">
        <v>19794</v>
      </c>
      <c r="T345" s="7" t="s">
        <v>4661</v>
      </c>
      <c r="U345" s="7" t="s">
        <v>3493</v>
      </c>
      <c r="V345" s="7">
        <v>1.0</v>
      </c>
    </row>
    <row r="346">
      <c r="A346" s="7" t="s">
        <v>20091</v>
      </c>
      <c r="B346" s="7">
        <v>2100292.0</v>
      </c>
      <c r="C346" s="7" t="s">
        <v>5984</v>
      </c>
      <c r="D346" s="7" t="s">
        <v>5999</v>
      </c>
      <c r="E346" s="7" t="s">
        <v>5986</v>
      </c>
      <c r="F346" s="7" t="s">
        <v>4751</v>
      </c>
      <c r="G346" s="7" t="s">
        <v>6000</v>
      </c>
      <c r="H346" s="7" t="s">
        <v>6001</v>
      </c>
      <c r="I346" s="119">
        <v>45292.0</v>
      </c>
      <c r="K346" s="7" t="s">
        <v>419</v>
      </c>
      <c r="L346" s="7" t="s">
        <v>991</v>
      </c>
      <c r="M346" s="7" t="s">
        <v>3531</v>
      </c>
      <c r="N346" s="7" t="s">
        <v>419</v>
      </c>
      <c r="O346" s="7" t="s">
        <v>19430</v>
      </c>
      <c r="P346" s="7" t="s">
        <v>717</v>
      </c>
      <c r="Q346" s="7" t="s">
        <v>725</v>
      </c>
      <c r="R346" s="7" t="s">
        <v>19741</v>
      </c>
      <c r="S346" s="7" t="s">
        <v>19742</v>
      </c>
      <c r="T346" s="7" t="s">
        <v>4482</v>
      </c>
      <c r="U346" s="7" t="s">
        <v>3493</v>
      </c>
      <c r="V346" s="7">
        <v>1.0</v>
      </c>
    </row>
    <row r="347">
      <c r="A347" s="7" t="s">
        <v>20092</v>
      </c>
      <c r="B347" s="7">
        <v>1123.0</v>
      </c>
      <c r="C347" s="7" t="s">
        <v>5984</v>
      </c>
      <c r="D347" s="7" t="s">
        <v>6003</v>
      </c>
      <c r="E347" s="7" t="s">
        <v>5986</v>
      </c>
      <c r="F347" s="7" t="s">
        <v>6004</v>
      </c>
      <c r="G347" s="7" t="s">
        <v>6005</v>
      </c>
      <c r="H347" s="7" t="s">
        <v>6006</v>
      </c>
      <c r="I347" s="119">
        <v>45292.0</v>
      </c>
      <c r="K347" s="7" t="s">
        <v>419</v>
      </c>
      <c r="L347" s="7" t="s">
        <v>991</v>
      </c>
      <c r="M347" s="7" t="s">
        <v>3501</v>
      </c>
      <c r="N347" s="7" t="s">
        <v>419</v>
      </c>
      <c r="O347" s="7" t="s">
        <v>19443</v>
      </c>
      <c r="P347" s="7" t="s">
        <v>323</v>
      </c>
      <c r="Q347" s="7" t="s">
        <v>324</v>
      </c>
      <c r="R347" s="7" t="s">
        <v>19599</v>
      </c>
      <c r="T347" s="7" t="s">
        <v>3921</v>
      </c>
      <c r="U347" s="7" t="s">
        <v>3493</v>
      </c>
      <c r="V347" s="7">
        <v>1.0</v>
      </c>
    </row>
    <row r="348">
      <c r="A348" s="7" t="s">
        <v>20093</v>
      </c>
      <c r="B348" s="7">
        <v>2200014.0</v>
      </c>
      <c r="C348" s="7" t="s">
        <v>6008</v>
      </c>
      <c r="D348" s="7" t="s">
        <v>6009</v>
      </c>
      <c r="E348" s="7" t="s">
        <v>6010</v>
      </c>
      <c r="F348" s="7" t="s">
        <v>6011</v>
      </c>
      <c r="G348" s="7" t="s">
        <v>6012</v>
      </c>
      <c r="H348" s="7" t="s">
        <v>6013</v>
      </c>
      <c r="I348" s="119">
        <v>45292.0</v>
      </c>
      <c r="K348" s="7" t="s">
        <v>419</v>
      </c>
      <c r="L348" s="7" t="s">
        <v>991</v>
      </c>
      <c r="M348" s="7" t="s">
        <v>3501</v>
      </c>
      <c r="N348" s="7" t="s">
        <v>419</v>
      </c>
      <c r="O348" s="7" t="s">
        <v>19432</v>
      </c>
      <c r="P348" s="7" t="s">
        <v>693</v>
      </c>
      <c r="Q348" s="7" t="s">
        <v>696</v>
      </c>
      <c r="R348" s="7" t="s">
        <v>19934</v>
      </c>
      <c r="T348" s="7" t="s">
        <v>20094</v>
      </c>
      <c r="U348" s="7" t="s">
        <v>3604</v>
      </c>
      <c r="V348" s="7">
        <v>1.0</v>
      </c>
    </row>
    <row r="349">
      <c r="A349" s="7" t="s">
        <v>20095</v>
      </c>
      <c r="B349" s="7">
        <v>1292.0</v>
      </c>
      <c r="C349" s="7" t="s">
        <v>6008</v>
      </c>
      <c r="D349" s="7" t="s">
        <v>5400</v>
      </c>
      <c r="E349" s="7" t="s">
        <v>6010</v>
      </c>
      <c r="F349" s="7" t="s">
        <v>5723</v>
      </c>
      <c r="G349" s="7" t="s">
        <v>6017</v>
      </c>
      <c r="H349" s="7" t="s">
        <v>6018</v>
      </c>
      <c r="I349" s="119">
        <v>45292.0</v>
      </c>
      <c r="K349" s="7" t="s">
        <v>419</v>
      </c>
      <c r="L349" s="7" t="s">
        <v>991</v>
      </c>
      <c r="M349" s="7" t="s">
        <v>3501</v>
      </c>
      <c r="N349" s="7" t="s">
        <v>419</v>
      </c>
      <c r="O349" s="7" t="s">
        <v>19430</v>
      </c>
      <c r="P349" s="7" t="s">
        <v>717</v>
      </c>
      <c r="Q349" s="7" t="s">
        <v>720</v>
      </c>
      <c r="R349" s="7" t="s">
        <v>19658</v>
      </c>
      <c r="T349" s="7" t="s">
        <v>6020</v>
      </c>
      <c r="U349" s="7" t="s">
        <v>3604</v>
      </c>
      <c r="V349" s="7">
        <v>1.0</v>
      </c>
    </row>
    <row r="350">
      <c r="A350" s="7" t="s">
        <v>20096</v>
      </c>
      <c r="B350" s="7">
        <v>2200824.0</v>
      </c>
      <c r="C350" s="7" t="s">
        <v>6022</v>
      </c>
      <c r="D350" s="7" t="s">
        <v>6023</v>
      </c>
      <c r="E350" s="7" t="s">
        <v>6024</v>
      </c>
      <c r="F350" s="7" t="s">
        <v>4364</v>
      </c>
      <c r="G350" s="7" t="s">
        <v>6025</v>
      </c>
      <c r="H350" s="7" t="s">
        <v>6026</v>
      </c>
      <c r="I350" s="119">
        <v>45292.0</v>
      </c>
      <c r="K350" s="7" t="s">
        <v>419</v>
      </c>
      <c r="L350" s="7" t="s">
        <v>991</v>
      </c>
      <c r="M350" s="7" t="s">
        <v>3501</v>
      </c>
      <c r="N350" s="7" t="s">
        <v>419</v>
      </c>
      <c r="O350" s="7" t="s">
        <v>19430</v>
      </c>
      <c r="P350" s="7" t="s">
        <v>717</v>
      </c>
      <c r="Q350" s="7" t="s">
        <v>730</v>
      </c>
      <c r="R350" s="7" t="s">
        <v>20097</v>
      </c>
      <c r="S350" s="7" t="s">
        <v>20098</v>
      </c>
      <c r="T350" s="7" t="s">
        <v>6028</v>
      </c>
      <c r="U350" s="7" t="s">
        <v>3493</v>
      </c>
      <c r="V350" s="7">
        <v>1.0</v>
      </c>
    </row>
    <row r="351">
      <c r="A351" s="7" t="s">
        <v>20099</v>
      </c>
      <c r="B351" s="7">
        <v>14344.0</v>
      </c>
      <c r="C351" s="7" t="s">
        <v>6030</v>
      </c>
      <c r="D351" s="7" t="s">
        <v>6031</v>
      </c>
      <c r="E351" s="7" t="s">
        <v>6032</v>
      </c>
      <c r="F351" s="7" t="s">
        <v>4478</v>
      </c>
      <c r="G351" s="7" t="s">
        <v>6033</v>
      </c>
      <c r="H351" s="7" t="s">
        <v>6034</v>
      </c>
      <c r="I351" s="119">
        <v>45292.0</v>
      </c>
      <c r="K351" s="7" t="s">
        <v>419</v>
      </c>
      <c r="L351" s="7" t="s">
        <v>991</v>
      </c>
      <c r="M351" s="7" t="s">
        <v>3531</v>
      </c>
      <c r="N351" s="7" t="s">
        <v>419</v>
      </c>
      <c r="O351" s="7" t="s">
        <v>19430</v>
      </c>
      <c r="P351" s="7" t="s">
        <v>717</v>
      </c>
      <c r="Q351" s="7" t="s">
        <v>725</v>
      </c>
      <c r="R351" s="7" t="s">
        <v>19501</v>
      </c>
      <c r="S351" s="7" t="s">
        <v>19643</v>
      </c>
      <c r="T351" s="7" t="s">
        <v>4097</v>
      </c>
      <c r="U351" s="7" t="s">
        <v>3493</v>
      </c>
      <c r="V351" s="7">
        <v>1.0</v>
      </c>
    </row>
    <row r="352">
      <c r="A352" s="7" t="s">
        <v>20100</v>
      </c>
      <c r="B352" s="7">
        <v>2200047.0</v>
      </c>
      <c r="C352" s="7" t="s">
        <v>6030</v>
      </c>
      <c r="D352" s="7" t="s">
        <v>6036</v>
      </c>
      <c r="E352" s="7" t="s">
        <v>6032</v>
      </c>
      <c r="F352" s="7" t="s">
        <v>6037</v>
      </c>
      <c r="G352" s="7" t="s">
        <v>6038</v>
      </c>
      <c r="H352" s="7" t="s">
        <v>6039</v>
      </c>
      <c r="I352" s="119">
        <v>45292.0</v>
      </c>
      <c r="K352" s="7" t="s">
        <v>419</v>
      </c>
      <c r="L352" s="7" t="s">
        <v>991</v>
      </c>
      <c r="M352" s="7" t="s">
        <v>3490</v>
      </c>
      <c r="N352" s="7" t="s">
        <v>419</v>
      </c>
      <c r="O352" s="7" t="s">
        <v>19437</v>
      </c>
      <c r="P352" s="7" t="s">
        <v>478</v>
      </c>
      <c r="Q352" s="7" t="s">
        <v>953</v>
      </c>
      <c r="R352" s="7" t="s">
        <v>20101</v>
      </c>
      <c r="T352" s="7" t="s">
        <v>6041</v>
      </c>
      <c r="U352" s="7" t="s">
        <v>3493</v>
      </c>
      <c r="V352" s="7">
        <v>1.0</v>
      </c>
    </row>
    <row r="353">
      <c r="A353" s="7" t="s">
        <v>20102</v>
      </c>
      <c r="B353" s="7">
        <v>864.0</v>
      </c>
      <c r="C353" s="7" t="s">
        <v>6043</v>
      </c>
      <c r="D353" s="7" t="s">
        <v>5248</v>
      </c>
      <c r="E353" s="7" t="s">
        <v>6044</v>
      </c>
      <c r="F353" s="7" t="s">
        <v>5250</v>
      </c>
      <c r="G353" s="7" t="s">
        <v>6045</v>
      </c>
      <c r="H353" s="7" t="s">
        <v>6046</v>
      </c>
      <c r="I353" s="119">
        <v>45292.0</v>
      </c>
      <c r="K353" s="7" t="s">
        <v>419</v>
      </c>
      <c r="L353" s="7" t="s">
        <v>991</v>
      </c>
      <c r="M353" s="7" t="s">
        <v>3501</v>
      </c>
      <c r="N353" s="7" t="s">
        <v>419</v>
      </c>
      <c r="O353" s="7" t="s">
        <v>19443</v>
      </c>
      <c r="P353" s="7" t="s">
        <v>323</v>
      </c>
      <c r="Q353" s="7" t="s">
        <v>821</v>
      </c>
      <c r="R353" s="7" t="s">
        <v>20103</v>
      </c>
      <c r="T353" s="7" t="s">
        <v>20104</v>
      </c>
      <c r="U353" s="7" t="s">
        <v>3493</v>
      </c>
      <c r="V353" s="7">
        <v>1.0</v>
      </c>
    </row>
    <row r="354">
      <c r="A354" s="7" t="s">
        <v>20105</v>
      </c>
      <c r="B354" s="7">
        <v>11743.0</v>
      </c>
      <c r="C354" s="7" t="s">
        <v>6050</v>
      </c>
      <c r="D354" s="7" t="s">
        <v>6051</v>
      </c>
      <c r="E354" s="7" t="s">
        <v>6052</v>
      </c>
      <c r="F354" s="7" t="s">
        <v>6053</v>
      </c>
      <c r="G354" s="7" t="s">
        <v>6054</v>
      </c>
      <c r="H354" s="7" t="s">
        <v>6055</v>
      </c>
      <c r="I354" s="119">
        <v>45292.0</v>
      </c>
      <c r="K354" s="7" t="s">
        <v>419</v>
      </c>
      <c r="L354" s="7" t="s">
        <v>991</v>
      </c>
      <c r="M354" s="7" t="s">
        <v>3501</v>
      </c>
      <c r="N354" s="7" t="s">
        <v>419</v>
      </c>
      <c r="O354" s="7" t="s">
        <v>19430</v>
      </c>
      <c r="P354" s="7" t="s">
        <v>717</v>
      </c>
      <c r="Q354" s="7" t="s">
        <v>720</v>
      </c>
      <c r="R354" s="7" t="s">
        <v>19823</v>
      </c>
      <c r="S354" s="7" t="s">
        <v>20106</v>
      </c>
      <c r="T354" s="7" t="s">
        <v>6057</v>
      </c>
      <c r="U354" s="7" t="s">
        <v>3843</v>
      </c>
      <c r="V354" s="7">
        <v>1.0</v>
      </c>
    </row>
    <row r="355">
      <c r="A355" s="7" t="s">
        <v>1385</v>
      </c>
      <c r="B355" s="7">
        <v>1126.0</v>
      </c>
      <c r="C355" s="7" t="s">
        <v>6058</v>
      </c>
      <c r="D355" s="7" t="s">
        <v>6059</v>
      </c>
      <c r="E355" s="7" t="s">
        <v>6060</v>
      </c>
      <c r="F355" s="7" t="s">
        <v>6061</v>
      </c>
      <c r="G355" s="7" t="s">
        <v>6062</v>
      </c>
      <c r="H355" s="7" t="s">
        <v>6063</v>
      </c>
      <c r="I355" s="119">
        <v>45292.0</v>
      </c>
      <c r="K355" s="7" t="s">
        <v>419</v>
      </c>
      <c r="L355" s="7" t="s">
        <v>991</v>
      </c>
      <c r="M355" s="7" t="s">
        <v>3501</v>
      </c>
      <c r="N355" s="7" t="s">
        <v>419</v>
      </c>
      <c r="O355" s="7" t="s">
        <v>19443</v>
      </c>
      <c r="P355" s="7" t="s">
        <v>323</v>
      </c>
      <c r="Q355" s="7" t="s">
        <v>821</v>
      </c>
      <c r="R355" s="7" t="s">
        <v>20103</v>
      </c>
      <c r="T355" s="7" t="s">
        <v>20104</v>
      </c>
      <c r="U355" s="7" t="s">
        <v>3493</v>
      </c>
      <c r="V355" s="7">
        <v>1.0</v>
      </c>
    </row>
    <row r="356">
      <c r="A356" s="7" t="s">
        <v>20107</v>
      </c>
      <c r="B356" s="7">
        <v>14183.0</v>
      </c>
      <c r="C356" s="7" t="s">
        <v>6065</v>
      </c>
      <c r="D356" s="7" t="s">
        <v>6066</v>
      </c>
      <c r="E356" s="7" t="s">
        <v>6067</v>
      </c>
      <c r="F356" s="7" t="s">
        <v>5497</v>
      </c>
      <c r="G356" s="7" t="s">
        <v>6068</v>
      </c>
      <c r="H356" s="7" t="s">
        <v>6069</v>
      </c>
      <c r="I356" s="119">
        <v>45292.0</v>
      </c>
      <c r="K356" s="7" t="s">
        <v>419</v>
      </c>
      <c r="L356" s="7" t="s">
        <v>991</v>
      </c>
      <c r="M356" s="7" t="s">
        <v>3501</v>
      </c>
      <c r="N356" s="7" t="s">
        <v>419</v>
      </c>
      <c r="O356" s="7" t="s">
        <v>19430</v>
      </c>
      <c r="P356" s="7" t="s">
        <v>717</v>
      </c>
      <c r="Q356" s="7" t="s">
        <v>223</v>
      </c>
      <c r="R356" s="7" t="s">
        <v>20108</v>
      </c>
      <c r="T356" s="7" t="s">
        <v>6071</v>
      </c>
      <c r="U356" s="7" t="s">
        <v>3493</v>
      </c>
      <c r="V356" s="7">
        <v>1.0</v>
      </c>
    </row>
    <row r="357">
      <c r="A357" s="7" t="s">
        <v>1463</v>
      </c>
      <c r="B357" s="7">
        <v>1165.0</v>
      </c>
      <c r="C357" s="7" t="s">
        <v>6072</v>
      </c>
      <c r="D357" s="7" t="s">
        <v>5626</v>
      </c>
      <c r="E357" s="7" t="s">
        <v>6073</v>
      </c>
      <c r="F357" s="7" t="s">
        <v>5627</v>
      </c>
      <c r="G357" s="7" t="s">
        <v>6074</v>
      </c>
      <c r="H357" s="7" t="s">
        <v>6075</v>
      </c>
      <c r="I357" s="119">
        <v>45292.0</v>
      </c>
      <c r="K357" s="7" t="s">
        <v>419</v>
      </c>
      <c r="L357" s="7" t="s">
        <v>991</v>
      </c>
      <c r="M357" s="7" t="s">
        <v>3501</v>
      </c>
      <c r="N357" s="7" t="s">
        <v>419</v>
      </c>
      <c r="O357" s="7" t="s">
        <v>19432</v>
      </c>
      <c r="P357" s="7" t="s">
        <v>693</v>
      </c>
      <c r="Q357" s="7" t="s">
        <v>698</v>
      </c>
      <c r="T357" s="7" t="s">
        <v>6077</v>
      </c>
      <c r="U357" s="7" t="s">
        <v>6078</v>
      </c>
      <c r="V357" s="7">
        <v>1.0</v>
      </c>
    </row>
    <row r="358">
      <c r="A358" s="7" t="s">
        <v>20109</v>
      </c>
      <c r="B358" s="7">
        <v>10938.0</v>
      </c>
      <c r="C358" s="7" t="s">
        <v>6072</v>
      </c>
      <c r="D358" s="7" t="s">
        <v>6080</v>
      </c>
      <c r="E358" s="7" t="s">
        <v>6073</v>
      </c>
      <c r="F358" s="7" t="s">
        <v>5917</v>
      </c>
      <c r="G358" s="7" t="s">
        <v>6081</v>
      </c>
      <c r="H358" s="7" t="s">
        <v>6082</v>
      </c>
      <c r="I358" s="119">
        <v>45292.0</v>
      </c>
      <c r="K358" s="7" t="s">
        <v>419</v>
      </c>
      <c r="L358" s="7" t="s">
        <v>991</v>
      </c>
      <c r="M358" s="7" t="s">
        <v>3501</v>
      </c>
      <c r="N358" s="7" t="s">
        <v>419</v>
      </c>
      <c r="O358" s="7" t="s">
        <v>19430</v>
      </c>
      <c r="P358" s="7" t="s">
        <v>717</v>
      </c>
      <c r="Q358" s="7" t="s">
        <v>1163</v>
      </c>
      <c r="R358" s="7" t="s">
        <v>20110</v>
      </c>
      <c r="S358" s="7" t="s">
        <v>20111</v>
      </c>
      <c r="T358" s="7" t="s">
        <v>6084</v>
      </c>
      <c r="U358" s="7" t="s">
        <v>3843</v>
      </c>
      <c r="V358" s="7">
        <v>1.0</v>
      </c>
    </row>
    <row r="359">
      <c r="A359" s="7" t="s">
        <v>20112</v>
      </c>
      <c r="B359" s="7">
        <v>2200443.0</v>
      </c>
      <c r="C359" s="7" t="s">
        <v>6086</v>
      </c>
      <c r="D359" s="7" t="s">
        <v>6087</v>
      </c>
      <c r="E359" s="7" t="s">
        <v>6088</v>
      </c>
      <c r="F359" s="7" t="s">
        <v>6089</v>
      </c>
      <c r="G359" s="7" t="s">
        <v>6090</v>
      </c>
      <c r="H359" s="7" t="s">
        <v>6091</v>
      </c>
      <c r="I359" s="119">
        <v>45292.0</v>
      </c>
      <c r="K359" s="7" t="s">
        <v>419</v>
      </c>
      <c r="L359" s="7" t="s">
        <v>991</v>
      </c>
      <c r="M359" s="7" t="s">
        <v>3501</v>
      </c>
      <c r="N359" s="7" t="s">
        <v>419</v>
      </c>
      <c r="O359" s="7" t="s">
        <v>19430</v>
      </c>
      <c r="P359" s="7" t="s">
        <v>717</v>
      </c>
      <c r="Q359" s="7" t="s">
        <v>223</v>
      </c>
      <c r="R359" s="7" t="s">
        <v>20108</v>
      </c>
      <c r="T359" s="7" t="s">
        <v>6071</v>
      </c>
      <c r="U359" s="7" t="s">
        <v>3604</v>
      </c>
      <c r="V359" s="7">
        <v>1.0</v>
      </c>
    </row>
    <row r="360">
      <c r="A360" s="7" t="s">
        <v>20113</v>
      </c>
      <c r="B360" s="7">
        <v>2100285.0</v>
      </c>
      <c r="C360" s="7" t="s">
        <v>6093</v>
      </c>
      <c r="D360" s="7" t="s">
        <v>3787</v>
      </c>
      <c r="E360" s="7" t="s">
        <v>6094</v>
      </c>
      <c r="F360" s="7" t="s">
        <v>3799</v>
      </c>
      <c r="G360" s="7" t="s">
        <v>6095</v>
      </c>
      <c r="H360" s="7" t="s">
        <v>6096</v>
      </c>
      <c r="I360" s="119">
        <v>45292.0</v>
      </c>
      <c r="K360" s="7" t="s">
        <v>3632</v>
      </c>
      <c r="L360" s="7" t="s">
        <v>991</v>
      </c>
      <c r="M360" s="7" t="s">
        <v>3501</v>
      </c>
      <c r="N360" s="7" t="s">
        <v>3632</v>
      </c>
      <c r="O360" s="7" t="s">
        <v>3632</v>
      </c>
      <c r="P360" s="7" t="s">
        <v>22</v>
      </c>
      <c r="Q360" s="7" t="s">
        <v>549</v>
      </c>
      <c r="R360" s="7" t="s">
        <v>19809</v>
      </c>
      <c r="T360" s="7" t="s">
        <v>15462</v>
      </c>
      <c r="U360" s="7" t="s">
        <v>3604</v>
      </c>
      <c r="V360" s="7">
        <v>1.0</v>
      </c>
    </row>
    <row r="361">
      <c r="A361" s="7" t="s">
        <v>20114</v>
      </c>
      <c r="B361" s="7">
        <v>12537.0</v>
      </c>
      <c r="C361" s="7" t="s">
        <v>6098</v>
      </c>
      <c r="D361" s="7" t="s">
        <v>6099</v>
      </c>
      <c r="E361" s="7" t="s">
        <v>6100</v>
      </c>
      <c r="F361" s="7" t="s">
        <v>6101</v>
      </c>
      <c r="G361" s="7" t="s">
        <v>6102</v>
      </c>
      <c r="H361" s="7" t="s">
        <v>6103</v>
      </c>
      <c r="I361" s="119">
        <v>45292.0</v>
      </c>
      <c r="J361" s="7" t="s">
        <v>4216</v>
      </c>
      <c r="K361" s="7" t="s">
        <v>419</v>
      </c>
      <c r="L361" s="7" t="s">
        <v>991</v>
      </c>
      <c r="M361" s="7" t="s">
        <v>3531</v>
      </c>
      <c r="N361" s="7" t="s">
        <v>419</v>
      </c>
      <c r="O361" s="7" t="s">
        <v>19430</v>
      </c>
      <c r="P361" s="7" t="s">
        <v>717</v>
      </c>
      <c r="Q361" s="7" t="s">
        <v>725</v>
      </c>
      <c r="R361" s="7" t="s">
        <v>19501</v>
      </c>
      <c r="S361" s="7" t="s">
        <v>19643</v>
      </c>
      <c r="T361" s="7" t="s">
        <v>4097</v>
      </c>
      <c r="U361" s="7" t="s">
        <v>3493</v>
      </c>
      <c r="V361" s="7">
        <v>1.0</v>
      </c>
    </row>
    <row r="362">
      <c r="A362" s="7" t="s">
        <v>1899</v>
      </c>
      <c r="B362" s="7">
        <v>10908.0</v>
      </c>
      <c r="C362" s="7" t="s">
        <v>6104</v>
      </c>
      <c r="D362" s="7" t="s">
        <v>6105</v>
      </c>
      <c r="E362" s="7" t="s">
        <v>6106</v>
      </c>
      <c r="F362" s="7" t="s">
        <v>3498</v>
      </c>
      <c r="G362" s="7" t="s">
        <v>6107</v>
      </c>
      <c r="H362" s="7" t="s">
        <v>6108</v>
      </c>
      <c r="I362" s="119">
        <v>45292.0</v>
      </c>
      <c r="K362" s="7" t="s">
        <v>419</v>
      </c>
      <c r="L362" s="7" t="s">
        <v>991</v>
      </c>
      <c r="M362" s="7" t="s">
        <v>3501</v>
      </c>
      <c r="N362" s="7" t="s">
        <v>419</v>
      </c>
      <c r="O362" s="7" t="s">
        <v>19443</v>
      </c>
      <c r="P362" s="7" t="s">
        <v>1242</v>
      </c>
      <c r="Q362" s="7" t="s">
        <v>43</v>
      </c>
      <c r="R362" s="7" t="s">
        <v>20115</v>
      </c>
      <c r="T362" s="7" t="s">
        <v>6110</v>
      </c>
      <c r="U362" s="7" t="s">
        <v>3604</v>
      </c>
      <c r="V362" s="7">
        <v>1.0</v>
      </c>
    </row>
    <row r="363">
      <c r="A363" s="7" t="s">
        <v>20116</v>
      </c>
      <c r="B363" s="7">
        <v>2200439.0</v>
      </c>
      <c r="C363" s="7" t="s">
        <v>6112</v>
      </c>
      <c r="D363" s="7" t="s">
        <v>6113</v>
      </c>
      <c r="E363" s="7" t="s">
        <v>6114</v>
      </c>
      <c r="F363" s="7" t="s">
        <v>4511</v>
      </c>
      <c r="G363" s="7" t="s">
        <v>6115</v>
      </c>
      <c r="H363" s="7" t="s">
        <v>6116</v>
      </c>
      <c r="I363" s="119">
        <v>45292.0</v>
      </c>
      <c r="K363" s="7" t="s">
        <v>419</v>
      </c>
      <c r="L363" s="7" t="s">
        <v>991</v>
      </c>
      <c r="M363" s="7" t="s">
        <v>3501</v>
      </c>
      <c r="N363" s="7" t="s">
        <v>419</v>
      </c>
      <c r="O363" s="7" t="s">
        <v>19443</v>
      </c>
      <c r="P363" s="7" t="s">
        <v>323</v>
      </c>
      <c r="Q363" s="7" t="s">
        <v>824</v>
      </c>
      <c r="R363" s="7" t="s">
        <v>19570</v>
      </c>
      <c r="T363" s="7" t="s">
        <v>8116</v>
      </c>
      <c r="U363" s="7" t="s">
        <v>3604</v>
      </c>
      <c r="V363" s="7">
        <v>1.0</v>
      </c>
    </row>
    <row r="364">
      <c r="A364" s="7" t="s">
        <v>20117</v>
      </c>
      <c r="B364" s="7">
        <v>2200815.0</v>
      </c>
      <c r="C364" s="7" t="s">
        <v>6112</v>
      </c>
      <c r="D364" s="7" t="s">
        <v>6121</v>
      </c>
      <c r="E364" s="7" t="s">
        <v>6114</v>
      </c>
      <c r="F364" s="7" t="s">
        <v>5595</v>
      </c>
      <c r="G364" s="7" t="s">
        <v>6122</v>
      </c>
      <c r="H364" s="7" t="s">
        <v>6123</v>
      </c>
      <c r="I364" s="119">
        <v>45292.0</v>
      </c>
      <c r="K364" s="7" t="s">
        <v>6124</v>
      </c>
      <c r="L364" s="7" t="s">
        <v>3542</v>
      </c>
      <c r="M364" s="7" t="s">
        <v>3543</v>
      </c>
      <c r="N364" s="7" t="s">
        <v>419</v>
      </c>
      <c r="O364" s="7" t="s">
        <v>19437</v>
      </c>
      <c r="P364" s="7" t="s">
        <v>478</v>
      </c>
      <c r="Q364" s="7" t="s">
        <v>953</v>
      </c>
      <c r="R364" s="7" t="s">
        <v>19492</v>
      </c>
      <c r="S364" s="7" t="s">
        <v>20118</v>
      </c>
      <c r="T364" s="7" t="s">
        <v>20119</v>
      </c>
      <c r="U364" s="7" t="s">
        <v>3493</v>
      </c>
      <c r="V364" s="7">
        <v>1.0</v>
      </c>
    </row>
    <row r="365">
      <c r="A365" s="7" t="s">
        <v>20120</v>
      </c>
      <c r="B365" s="7">
        <v>2100319.0</v>
      </c>
      <c r="C365" s="7" t="s">
        <v>6128</v>
      </c>
      <c r="D365" s="7" t="s">
        <v>6129</v>
      </c>
      <c r="E365" s="7" t="s">
        <v>6130</v>
      </c>
      <c r="F365" s="7" t="s">
        <v>6131</v>
      </c>
      <c r="G365" s="7" t="s">
        <v>6132</v>
      </c>
      <c r="H365" s="7" t="s">
        <v>6133</v>
      </c>
      <c r="I365" s="119">
        <v>45292.0</v>
      </c>
      <c r="K365" s="7" t="s">
        <v>419</v>
      </c>
      <c r="L365" s="7" t="s">
        <v>991</v>
      </c>
      <c r="M365" s="7" t="s">
        <v>3501</v>
      </c>
      <c r="N365" s="7" t="s">
        <v>419</v>
      </c>
      <c r="O365" s="7" t="s">
        <v>19438</v>
      </c>
      <c r="P365" s="7" t="s">
        <v>19465</v>
      </c>
      <c r="Q365" s="7" t="s">
        <v>186</v>
      </c>
      <c r="R365" s="7" t="s">
        <v>20121</v>
      </c>
      <c r="S365" s="7" t="s">
        <v>20122</v>
      </c>
      <c r="T365" s="7" t="s">
        <v>6135</v>
      </c>
      <c r="U365" s="7" t="s">
        <v>3843</v>
      </c>
      <c r="V365" s="7">
        <v>1.0</v>
      </c>
    </row>
    <row r="366">
      <c r="A366" s="7" t="s">
        <v>20123</v>
      </c>
      <c r="B366" s="7">
        <v>14346.0</v>
      </c>
      <c r="C366" s="7" t="s">
        <v>6137</v>
      </c>
      <c r="D366" s="7" t="s">
        <v>3888</v>
      </c>
      <c r="E366" s="7" t="s">
        <v>6138</v>
      </c>
      <c r="F366" s="7" t="s">
        <v>3889</v>
      </c>
      <c r="G366" s="7" t="s">
        <v>6139</v>
      </c>
      <c r="H366" s="7" t="s">
        <v>6140</v>
      </c>
      <c r="I366" s="119">
        <v>45292.0</v>
      </c>
      <c r="K366" s="7" t="s">
        <v>419</v>
      </c>
      <c r="L366" s="7" t="s">
        <v>991</v>
      </c>
      <c r="M366" s="7" t="s">
        <v>3531</v>
      </c>
      <c r="N366" s="7" t="s">
        <v>419</v>
      </c>
      <c r="O366" s="7" t="s">
        <v>19430</v>
      </c>
      <c r="P366" s="7" t="s">
        <v>717</v>
      </c>
      <c r="Q366" s="7" t="s">
        <v>1163</v>
      </c>
      <c r="R366" s="7" t="s">
        <v>19608</v>
      </c>
      <c r="S366" s="7" t="s">
        <v>20124</v>
      </c>
      <c r="T366" s="7" t="s">
        <v>6142</v>
      </c>
      <c r="U366" s="7" t="s">
        <v>3493</v>
      </c>
      <c r="V366" s="7">
        <v>1.0</v>
      </c>
    </row>
    <row r="367">
      <c r="A367" s="7" t="s">
        <v>20125</v>
      </c>
      <c r="B367" s="7">
        <v>2300758.0</v>
      </c>
      <c r="C367" s="7" t="s">
        <v>6137</v>
      </c>
      <c r="D367" s="7" t="s">
        <v>6144</v>
      </c>
      <c r="E367" s="7" t="s">
        <v>6138</v>
      </c>
      <c r="F367" s="7" t="s">
        <v>6145</v>
      </c>
      <c r="G367" s="7" t="s">
        <v>6146</v>
      </c>
      <c r="I367" s="119">
        <v>45292.0</v>
      </c>
      <c r="K367" s="7" t="s">
        <v>419</v>
      </c>
      <c r="L367" s="7" t="s">
        <v>991</v>
      </c>
      <c r="M367" s="7" t="s">
        <v>3531</v>
      </c>
      <c r="N367" s="7" t="s">
        <v>419</v>
      </c>
      <c r="O367" s="7" t="s">
        <v>19430</v>
      </c>
      <c r="P367" s="7" t="s">
        <v>854</v>
      </c>
      <c r="Q367" s="7" t="s">
        <v>859</v>
      </c>
      <c r="T367" s="7" t="s">
        <v>3821</v>
      </c>
      <c r="U367" s="7" t="s">
        <v>3493</v>
      </c>
      <c r="V367" s="7">
        <v>1.0</v>
      </c>
    </row>
    <row r="368">
      <c r="A368" s="7" t="s">
        <v>20126</v>
      </c>
      <c r="B368" s="7">
        <v>13899.0</v>
      </c>
      <c r="C368" s="7" t="s">
        <v>6148</v>
      </c>
      <c r="D368" s="7" t="s">
        <v>6149</v>
      </c>
      <c r="E368" s="7" t="s">
        <v>6150</v>
      </c>
      <c r="F368" s="7" t="s">
        <v>6151</v>
      </c>
      <c r="G368" s="7" t="s">
        <v>6152</v>
      </c>
      <c r="H368" s="7" t="s">
        <v>6153</v>
      </c>
      <c r="I368" s="119">
        <v>45292.0</v>
      </c>
      <c r="K368" s="7" t="s">
        <v>419</v>
      </c>
      <c r="L368" s="7" t="s">
        <v>991</v>
      </c>
      <c r="M368" s="7" t="s">
        <v>3531</v>
      </c>
      <c r="N368" s="7" t="s">
        <v>419</v>
      </c>
      <c r="O368" s="7" t="s">
        <v>19433</v>
      </c>
      <c r="P368" s="7" t="s">
        <v>587</v>
      </c>
      <c r="Q368" s="7" t="s">
        <v>72</v>
      </c>
      <c r="T368" s="7" t="s">
        <v>5706</v>
      </c>
      <c r="U368" s="7" t="s">
        <v>3493</v>
      </c>
      <c r="V368" s="7">
        <v>1.0</v>
      </c>
    </row>
    <row r="369">
      <c r="A369" s="7" t="s">
        <v>20127</v>
      </c>
      <c r="B369" s="7">
        <v>12543.0</v>
      </c>
      <c r="C369" s="7" t="s">
        <v>6155</v>
      </c>
      <c r="D369" s="7" t="s">
        <v>6156</v>
      </c>
      <c r="E369" s="7" t="s">
        <v>6157</v>
      </c>
      <c r="F369" s="7" t="s">
        <v>3486</v>
      </c>
      <c r="G369" s="7" t="s">
        <v>6158</v>
      </c>
      <c r="H369" s="7" t="s">
        <v>6159</v>
      </c>
      <c r="I369" s="119">
        <v>45292.0</v>
      </c>
      <c r="K369" s="7" t="s">
        <v>419</v>
      </c>
      <c r="L369" s="7" t="s">
        <v>991</v>
      </c>
      <c r="M369" s="7" t="s">
        <v>3501</v>
      </c>
      <c r="N369" s="7" t="s">
        <v>419</v>
      </c>
      <c r="O369" s="7" t="s">
        <v>19430</v>
      </c>
      <c r="P369" s="7" t="s">
        <v>717</v>
      </c>
      <c r="Q369" s="7" t="s">
        <v>720</v>
      </c>
      <c r="R369" s="7" t="s">
        <v>19823</v>
      </c>
      <c r="S369" s="7" t="s">
        <v>20128</v>
      </c>
      <c r="T369" s="7" t="s">
        <v>6161</v>
      </c>
      <c r="U369" s="7" t="s">
        <v>3493</v>
      </c>
      <c r="V369" s="7">
        <v>1.0</v>
      </c>
    </row>
    <row r="370">
      <c r="A370" s="7" t="s">
        <v>20129</v>
      </c>
      <c r="B370" s="7">
        <v>2300608.0</v>
      </c>
      <c r="C370" s="7" t="s">
        <v>6163</v>
      </c>
      <c r="D370" s="7" t="s">
        <v>6164</v>
      </c>
      <c r="E370" s="7" t="s">
        <v>6165</v>
      </c>
      <c r="F370" s="7" t="s">
        <v>6166</v>
      </c>
      <c r="G370" s="7" t="s">
        <v>6167</v>
      </c>
      <c r="H370" s="7" t="s">
        <v>6168</v>
      </c>
      <c r="I370" s="119">
        <v>45292.0</v>
      </c>
      <c r="K370" s="7" t="s">
        <v>419</v>
      </c>
      <c r="L370" s="7" t="s">
        <v>991</v>
      </c>
      <c r="M370" s="7" t="s">
        <v>3583</v>
      </c>
      <c r="N370" s="7" t="s">
        <v>419</v>
      </c>
      <c r="O370" s="7" t="s">
        <v>19443</v>
      </c>
      <c r="P370" s="7" t="s">
        <v>323</v>
      </c>
      <c r="Q370" s="7" t="s">
        <v>324</v>
      </c>
      <c r="R370" s="7" t="s">
        <v>20130</v>
      </c>
      <c r="T370" s="7" t="s">
        <v>16135</v>
      </c>
      <c r="U370" s="7" t="s">
        <v>3493</v>
      </c>
      <c r="V370" s="7">
        <v>1.0</v>
      </c>
    </row>
    <row r="371">
      <c r="A371" s="7" t="s">
        <v>20131</v>
      </c>
      <c r="B371" s="7">
        <v>2200131.0</v>
      </c>
      <c r="C371" s="7" t="s">
        <v>6172</v>
      </c>
      <c r="D371" s="7" t="s">
        <v>6173</v>
      </c>
      <c r="E371" s="7" t="s">
        <v>6174</v>
      </c>
      <c r="F371" s="7" t="s">
        <v>6175</v>
      </c>
      <c r="G371" s="7" t="s">
        <v>6176</v>
      </c>
      <c r="H371" s="7" t="s">
        <v>6177</v>
      </c>
      <c r="I371" s="119">
        <v>45292.0</v>
      </c>
      <c r="K371" s="7" t="s">
        <v>419</v>
      </c>
      <c r="L371" s="7" t="s">
        <v>991</v>
      </c>
      <c r="M371" s="7" t="s">
        <v>3501</v>
      </c>
      <c r="N371" s="7" t="s">
        <v>419</v>
      </c>
      <c r="O371" s="7" t="s">
        <v>19432</v>
      </c>
      <c r="P371" s="7" t="s">
        <v>693</v>
      </c>
      <c r="Q371" s="7" t="s">
        <v>698</v>
      </c>
      <c r="R371" s="7" t="s">
        <v>19783</v>
      </c>
      <c r="T371" s="7" t="s">
        <v>6179</v>
      </c>
      <c r="U371" s="7" t="s">
        <v>3604</v>
      </c>
      <c r="V371" s="7">
        <v>1.0</v>
      </c>
    </row>
    <row r="372">
      <c r="A372" s="7" t="s">
        <v>20132</v>
      </c>
      <c r="B372" s="7">
        <v>2100109.0</v>
      </c>
      <c r="C372" s="7" t="s">
        <v>6181</v>
      </c>
      <c r="D372" s="7" t="s">
        <v>6182</v>
      </c>
      <c r="E372" s="7" t="s">
        <v>6183</v>
      </c>
      <c r="F372" s="7" t="s">
        <v>6184</v>
      </c>
      <c r="G372" s="7" t="s">
        <v>6185</v>
      </c>
      <c r="H372" s="7" t="s">
        <v>6186</v>
      </c>
      <c r="I372" s="119">
        <v>45292.0</v>
      </c>
      <c r="K372" s="7" t="s">
        <v>419</v>
      </c>
      <c r="L372" s="7" t="s">
        <v>991</v>
      </c>
      <c r="M372" s="7" t="s">
        <v>3501</v>
      </c>
      <c r="N372" s="7" t="s">
        <v>419</v>
      </c>
      <c r="O372" s="7" t="s">
        <v>19430</v>
      </c>
      <c r="P372" s="7" t="s">
        <v>780</v>
      </c>
      <c r="Q372" s="7" t="s">
        <v>786</v>
      </c>
      <c r="R372" s="7" t="s">
        <v>19666</v>
      </c>
      <c r="T372" s="7" t="s">
        <v>4169</v>
      </c>
      <c r="U372" s="7" t="s">
        <v>3493</v>
      </c>
      <c r="V372" s="7">
        <v>1.0</v>
      </c>
    </row>
    <row r="373">
      <c r="A373" s="7" t="s">
        <v>20133</v>
      </c>
      <c r="B373" s="7">
        <v>2200798.0</v>
      </c>
      <c r="C373" s="7" t="s">
        <v>6188</v>
      </c>
      <c r="D373" s="7" t="s">
        <v>6189</v>
      </c>
      <c r="E373" s="7" t="s">
        <v>5752</v>
      </c>
      <c r="F373" s="7" t="s">
        <v>5987</v>
      </c>
      <c r="G373" s="7" t="s">
        <v>6190</v>
      </c>
      <c r="H373" s="7" t="s">
        <v>6191</v>
      </c>
      <c r="I373" s="119">
        <v>45292.0</v>
      </c>
      <c r="K373" s="7" t="s">
        <v>3632</v>
      </c>
      <c r="L373" s="7" t="s">
        <v>991</v>
      </c>
      <c r="M373" s="7" t="s">
        <v>3501</v>
      </c>
      <c r="N373" s="7" t="s">
        <v>3632</v>
      </c>
      <c r="O373" s="7" t="s">
        <v>3632</v>
      </c>
      <c r="P373" s="7" t="s">
        <v>22</v>
      </c>
      <c r="Q373" s="7" t="s">
        <v>23</v>
      </c>
      <c r="T373" s="7" t="s">
        <v>10846</v>
      </c>
      <c r="U373" s="7" t="s">
        <v>3493</v>
      </c>
      <c r="V373" s="7">
        <v>1.0</v>
      </c>
    </row>
    <row r="374">
      <c r="A374" s="7" t="s">
        <v>20134</v>
      </c>
      <c r="B374" s="7">
        <v>11501.0</v>
      </c>
      <c r="C374" s="7" t="s">
        <v>6193</v>
      </c>
      <c r="D374" s="7" t="s">
        <v>6059</v>
      </c>
      <c r="E374" s="7" t="s">
        <v>6194</v>
      </c>
      <c r="F374" s="7" t="s">
        <v>6061</v>
      </c>
      <c r="G374" s="7" t="s">
        <v>6195</v>
      </c>
      <c r="H374" s="7" t="s">
        <v>6196</v>
      </c>
      <c r="I374" s="119">
        <v>45292.0</v>
      </c>
      <c r="K374" s="7" t="s">
        <v>419</v>
      </c>
      <c r="L374" s="7" t="s">
        <v>991</v>
      </c>
      <c r="M374" s="7" t="s">
        <v>3501</v>
      </c>
      <c r="N374" s="7" t="s">
        <v>419</v>
      </c>
      <c r="O374" s="7" t="s">
        <v>19437</v>
      </c>
      <c r="P374" s="7" t="s">
        <v>440</v>
      </c>
      <c r="Q374" s="7" t="s">
        <v>924</v>
      </c>
      <c r="R374" s="7" t="s">
        <v>20135</v>
      </c>
      <c r="T374" s="7" t="s">
        <v>15414</v>
      </c>
      <c r="U374" s="7" t="s">
        <v>3604</v>
      </c>
      <c r="V374" s="7">
        <v>1.0</v>
      </c>
    </row>
    <row r="375">
      <c r="A375" s="7" t="s">
        <v>1521</v>
      </c>
      <c r="B375" s="7">
        <v>531.0</v>
      </c>
      <c r="C375" s="7" t="s">
        <v>6199</v>
      </c>
      <c r="D375" s="7" t="s">
        <v>6200</v>
      </c>
      <c r="E375" s="7" t="s">
        <v>6201</v>
      </c>
      <c r="F375" s="7" t="s">
        <v>6202</v>
      </c>
      <c r="G375" s="7" t="s">
        <v>6203</v>
      </c>
      <c r="H375" s="7" t="s">
        <v>6204</v>
      </c>
      <c r="I375" s="119">
        <v>45292.0</v>
      </c>
      <c r="K375" s="7" t="s">
        <v>419</v>
      </c>
      <c r="L375" s="7" t="s">
        <v>991</v>
      </c>
      <c r="M375" s="7" t="s">
        <v>3501</v>
      </c>
      <c r="N375" s="7" t="s">
        <v>419</v>
      </c>
      <c r="O375" s="7" t="s">
        <v>19437</v>
      </c>
      <c r="P375" s="7" t="s">
        <v>478</v>
      </c>
      <c r="Q375" s="7" t="s">
        <v>482</v>
      </c>
      <c r="R375" s="7" t="s">
        <v>20136</v>
      </c>
      <c r="T375" s="7" t="s">
        <v>18547</v>
      </c>
      <c r="U375" s="7" t="s">
        <v>3604</v>
      </c>
      <c r="V375" s="7">
        <v>1.0</v>
      </c>
    </row>
    <row r="376">
      <c r="A376" s="7" t="s">
        <v>20137</v>
      </c>
      <c r="B376" s="7">
        <v>13687.0</v>
      </c>
      <c r="C376" s="7" t="s">
        <v>6208</v>
      </c>
      <c r="D376" s="7" t="s">
        <v>6209</v>
      </c>
      <c r="E376" s="7" t="s">
        <v>6210</v>
      </c>
      <c r="F376" s="7" t="s">
        <v>6211</v>
      </c>
      <c r="G376" s="7" t="s">
        <v>6212</v>
      </c>
      <c r="H376" s="7" t="s">
        <v>6213</v>
      </c>
      <c r="I376" s="119">
        <v>45292.0</v>
      </c>
      <c r="K376" s="7" t="s">
        <v>3632</v>
      </c>
      <c r="L376" s="7" t="s">
        <v>991</v>
      </c>
      <c r="M376" s="7" t="s">
        <v>3501</v>
      </c>
      <c r="N376" s="7" t="s">
        <v>3632</v>
      </c>
      <c r="O376" s="7" t="s">
        <v>3632</v>
      </c>
      <c r="P376" s="7" t="s">
        <v>625</v>
      </c>
      <c r="Q376" s="7" t="s">
        <v>118</v>
      </c>
      <c r="R376" s="7" t="s">
        <v>20138</v>
      </c>
      <c r="T376" s="7" t="s">
        <v>12840</v>
      </c>
      <c r="U376" s="7" t="s">
        <v>3493</v>
      </c>
      <c r="V376" s="7">
        <v>1.0</v>
      </c>
    </row>
    <row r="377">
      <c r="A377" s="7" t="s">
        <v>20139</v>
      </c>
      <c r="B377" s="7">
        <v>11092.0</v>
      </c>
      <c r="C377" s="7" t="s">
        <v>6217</v>
      </c>
      <c r="D377" s="7" t="s">
        <v>6218</v>
      </c>
      <c r="E377" s="7" t="s">
        <v>6219</v>
      </c>
      <c r="F377" s="7" t="s">
        <v>6220</v>
      </c>
      <c r="G377" s="7" t="s">
        <v>6221</v>
      </c>
      <c r="H377" s="7" t="s">
        <v>6222</v>
      </c>
      <c r="I377" s="119">
        <v>45292.0</v>
      </c>
      <c r="K377" s="7" t="s">
        <v>419</v>
      </c>
      <c r="L377" s="7" t="s">
        <v>991</v>
      </c>
      <c r="M377" s="7" t="s">
        <v>3501</v>
      </c>
      <c r="N377" s="7" t="s">
        <v>419</v>
      </c>
      <c r="O377" s="7" t="s">
        <v>19430</v>
      </c>
      <c r="P377" s="7" t="s">
        <v>854</v>
      </c>
      <c r="Q377" s="7" t="s">
        <v>861</v>
      </c>
      <c r="R377" s="7" t="s">
        <v>19800</v>
      </c>
      <c r="S377" s="7" t="s">
        <v>19801</v>
      </c>
      <c r="T377" s="7" t="s">
        <v>4681</v>
      </c>
      <c r="U377" s="7" t="s">
        <v>3843</v>
      </c>
      <c r="V377" s="7">
        <v>1.0</v>
      </c>
    </row>
    <row r="378">
      <c r="A378" s="7" t="s">
        <v>20140</v>
      </c>
      <c r="B378" s="7">
        <v>1205.0</v>
      </c>
      <c r="C378" s="7" t="s">
        <v>6224</v>
      </c>
      <c r="D378" s="7" t="s">
        <v>5987</v>
      </c>
      <c r="E378" s="7" t="s">
        <v>6225</v>
      </c>
      <c r="F378" s="7" t="s">
        <v>5987</v>
      </c>
      <c r="G378" s="7" t="s">
        <v>6226</v>
      </c>
      <c r="H378" s="7" t="s">
        <v>6227</v>
      </c>
      <c r="I378" s="119">
        <v>45292.0</v>
      </c>
      <c r="K378" s="7" t="s">
        <v>419</v>
      </c>
      <c r="L378" s="7" t="s">
        <v>991</v>
      </c>
      <c r="M378" s="7" t="s">
        <v>3501</v>
      </c>
      <c r="N378" s="7" t="s">
        <v>419</v>
      </c>
      <c r="O378" s="7" t="s">
        <v>19430</v>
      </c>
      <c r="P378" s="7" t="s">
        <v>717</v>
      </c>
      <c r="Q378" s="7" t="s">
        <v>1163</v>
      </c>
      <c r="R378" s="7" t="s">
        <v>19546</v>
      </c>
      <c r="S378" s="7" t="s">
        <v>19687</v>
      </c>
      <c r="T378" s="7" t="s">
        <v>4251</v>
      </c>
      <c r="U378" s="7" t="s">
        <v>3843</v>
      </c>
      <c r="V378" s="7">
        <v>1.0</v>
      </c>
    </row>
    <row r="379">
      <c r="A379" s="7" t="s">
        <v>20141</v>
      </c>
      <c r="B379" s="7">
        <v>14322.0</v>
      </c>
      <c r="C379" s="7" t="s">
        <v>6229</v>
      </c>
      <c r="D379" s="7" t="s">
        <v>6230</v>
      </c>
      <c r="E379" s="7" t="s">
        <v>6225</v>
      </c>
      <c r="F379" s="7" t="s">
        <v>6231</v>
      </c>
      <c r="G379" s="7" t="s">
        <v>6232</v>
      </c>
      <c r="H379" s="7" t="s">
        <v>6233</v>
      </c>
      <c r="I379" s="119">
        <v>45292.0</v>
      </c>
      <c r="K379" s="7" t="s">
        <v>419</v>
      </c>
      <c r="L379" s="7" t="s">
        <v>991</v>
      </c>
      <c r="M379" s="7" t="s">
        <v>3501</v>
      </c>
      <c r="N379" s="7" t="s">
        <v>419</v>
      </c>
      <c r="O379" s="7" t="s">
        <v>19432</v>
      </c>
      <c r="P379" s="7" t="s">
        <v>693</v>
      </c>
      <c r="Q379" s="7" t="s">
        <v>698</v>
      </c>
      <c r="R379" s="7" t="s">
        <v>19652</v>
      </c>
      <c r="S379" s="7" t="s">
        <v>19843</v>
      </c>
      <c r="T379" s="7" t="s">
        <v>4854</v>
      </c>
      <c r="U379" s="7" t="s">
        <v>3843</v>
      </c>
      <c r="V379" s="7">
        <v>1.0</v>
      </c>
    </row>
    <row r="380">
      <c r="A380" s="7" t="s">
        <v>20142</v>
      </c>
      <c r="B380" s="7">
        <v>2200452.0</v>
      </c>
      <c r="C380" s="7" t="s">
        <v>6235</v>
      </c>
      <c r="D380" s="7" t="s">
        <v>6236</v>
      </c>
      <c r="E380" s="7" t="s">
        <v>6225</v>
      </c>
      <c r="F380" s="7" t="s">
        <v>6089</v>
      </c>
      <c r="G380" s="7" t="s">
        <v>6237</v>
      </c>
      <c r="H380" s="7" t="s">
        <v>6238</v>
      </c>
      <c r="I380" s="119">
        <v>45292.0</v>
      </c>
      <c r="K380" s="7" t="s">
        <v>419</v>
      </c>
      <c r="L380" s="7" t="s">
        <v>991</v>
      </c>
      <c r="M380" s="7" t="s">
        <v>3501</v>
      </c>
      <c r="N380" s="7" t="s">
        <v>419</v>
      </c>
      <c r="O380" s="7" t="s">
        <v>19430</v>
      </c>
      <c r="P380" s="7" t="s">
        <v>717</v>
      </c>
      <c r="Q380" s="7" t="s">
        <v>725</v>
      </c>
      <c r="R380" s="7" t="s">
        <v>19741</v>
      </c>
      <c r="S380" s="7" t="s">
        <v>19791</v>
      </c>
      <c r="T380" s="7" t="s">
        <v>6240</v>
      </c>
      <c r="U380" s="7" t="s">
        <v>3493</v>
      </c>
      <c r="V380" s="7">
        <v>1.0</v>
      </c>
    </row>
    <row r="381">
      <c r="A381" s="7" t="s">
        <v>20143</v>
      </c>
      <c r="B381" s="7">
        <v>2400001.0</v>
      </c>
      <c r="C381" s="7" t="s">
        <v>6242</v>
      </c>
      <c r="D381" s="7" t="s">
        <v>6243</v>
      </c>
      <c r="E381" s="7" t="s">
        <v>6244</v>
      </c>
      <c r="F381" s="7" t="s">
        <v>6245</v>
      </c>
      <c r="G381" s="7" t="s">
        <v>6246</v>
      </c>
      <c r="H381" s="7" t="s">
        <v>6247</v>
      </c>
      <c r="I381" s="119">
        <v>45292.0</v>
      </c>
      <c r="K381" s="7" t="s">
        <v>419</v>
      </c>
      <c r="L381" s="7" t="s">
        <v>991</v>
      </c>
      <c r="M381" s="7" t="s">
        <v>3501</v>
      </c>
      <c r="N381" s="7" t="s">
        <v>419</v>
      </c>
      <c r="O381" s="7" t="s">
        <v>19432</v>
      </c>
      <c r="P381" s="7" t="s">
        <v>298</v>
      </c>
      <c r="Q381" s="7" t="s">
        <v>798</v>
      </c>
      <c r="T381" s="7" t="s">
        <v>5274</v>
      </c>
      <c r="U381" s="7" t="s">
        <v>3493</v>
      </c>
      <c r="V381" s="7">
        <v>1.0</v>
      </c>
    </row>
    <row r="382">
      <c r="A382" s="7" t="s">
        <v>20144</v>
      </c>
      <c r="B382" s="7">
        <v>10005.0</v>
      </c>
      <c r="C382" s="7" t="s">
        <v>6250</v>
      </c>
      <c r="D382" s="7" t="s">
        <v>6251</v>
      </c>
      <c r="E382" s="7" t="s">
        <v>6252</v>
      </c>
      <c r="F382" s="7" t="s">
        <v>6253</v>
      </c>
      <c r="G382" s="7" t="s">
        <v>6254</v>
      </c>
      <c r="H382" s="7" t="s">
        <v>6255</v>
      </c>
      <c r="I382" s="119">
        <v>45292.0</v>
      </c>
      <c r="K382" s="7" t="s">
        <v>419</v>
      </c>
      <c r="L382" s="7" t="s">
        <v>991</v>
      </c>
      <c r="M382" s="7" t="s">
        <v>3501</v>
      </c>
      <c r="N382" s="7" t="s">
        <v>419</v>
      </c>
      <c r="O382" s="7" t="s">
        <v>19432</v>
      </c>
      <c r="P382" s="7" t="s">
        <v>693</v>
      </c>
      <c r="Q382" s="7" t="s">
        <v>698</v>
      </c>
      <c r="R382" s="7" t="s">
        <v>19563</v>
      </c>
      <c r="T382" s="7" t="s">
        <v>20145</v>
      </c>
      <c r="U382" s="7" t="s">
        <v>3604</v>
      </c>
      <c r="V382" s="7">
        <v>1.0</v>
      </c>
    </row>
    <row r="383">
      <c r="A383" s="7" t="s">
        <v>20146</v>
      </c>
      <c r="B383" s="7">
        <v>13514.0</v>
      </c>
      <c r="C383" s="7" t="s">
        <v>6259</v>
      </c>
      <c r="D383" s="7" t="s">
        <v>6260</v>
      </c>
      <c r="E383" s="7" t="s">
        <v>6261</v>
      </c>
      <c r="F383" s="7" t="s">
        <v>6262</v>
      </c>
      <c r="G383" s="7" t="s">
        <v>6263</v>
      </c>
      <c r="H383" s="7" t="s">
        <v>6264</v>
      </c>
      <c r="I383" s="119">
        <v>45292.0</v>
      </c>
      <c r="K383" s="7" t="s">
        <v>419</v>
      </c>
      <c r="L383" s="7" t="s">
        <v>991</v>
      </c>
      <c r="M383" s="7" t="s">
        <v>3501</v>
      </c>
      <c r="N383" s="7" t="s">
        <v>419</v>
      </c>
      <c r="O383" s="7" t="s">
        <v>19430</v>
      </c>
      <c r="P383" s="7" t="s">
        <v>717</v>
      </c>
      <c r="Q383" s="7" t="s">
        <v>722</v>
      </c>
      <c r="R383" s="7" t="s">
        <v>19655</v>
      </c>
      <c r="S383" s="7" t="s">
        <v>20147</v>
      </c>
      <c r="T383" s="7" t="s">
        <v>6266</v>
      </c>
      <c r="U383" s="7" t="s">
        <v>3843</v>
      </c>
      <c r="V383" s="7">
        <v>1.0</v>
      </c>
    </row>
    <row r="384">
      <c r="A384" s="7" t="s">
        <v>20148</v>
      </c>
      <c r="B384" s="7">
        <v>2300070.0</v>
      </c>
      <c r="C384" s="7" t="s">
        <v>6268</v>
      </c>
      <c r="D384" s="7" t="s">
        <v>6269</v>
      </c>
      <c r="E384" s="7" t="s">
        <v>6270</v>
      </c>
      <c r="F384" s="7" t="s">
        <v>6271</v>
      </c>
      <c r="G384" s="7" t="s">
        <v>6272</v>
      </c>
      <c r="H384" s="7" t="s">
        <v>6273</v>
      </c>
      <c r="I384" s="119">
        <v>45292.0</v>
      </c>
      <c r="K384" s="7" t="s">
        <v>419</v>
      </c>
      <c r="L384" s="7" t="s">
        <v>991</v>
      </c>
      <c r="M384" s="7" t="s">
        <v>3501</v>
      </c>
      <c r="N384" s="7" t="s">
        <v>419</v>
      </c>
      <c r="O384" s="7" t="s">
        <v>19430</v>
      </c>
      <c r="P384" s="7" t="s">
        <v>717</v>
      </c>
      <c r="Q384" s="7" t="s">
        <v>730</v>
      </c>
      <c r="R384" s="7" t="s">
        <v>20149</v>
      </c>
      <c r="S384" s="7" t="s">
        <v>20150</v>
      </c>
      <c r="T384" s="7" t="s">
        <v>8357</v>
      </c>
      <c r="U384" s="7" t="s">
        <v>3493</v>
      </c>
      <c r="V384" s="7">
        <v>1.0</v>
      </c>
    </row>
    <row r="385">
      <c r="A385" s="7" t="s">
        <v>20151</v>
      </c>
      <c r="B385" s="7">
        <v>2100019.0</v>
      </c>
      <c r="C385" s="7" t="s">
        <v>6276</v>
      </c>
      <c r="D385" s="7" t="s">
        <v>6277</v>
      </c>
      <c r="E385" s="7" t="s">
        <v>6278</v>
      </c>
      <c r="F385" s="7" t="s">
        <v>6279</v>
      </c>
      <c r="G385" s="7" t="s">
        <v>6280</v>
      </c>
      <c r="H385" s="7" t="s">
        <v>6281</v>
      </c>
      <c r="I385" s="119">
        <v>45292.0</v>
      </c>
      <c r="K385" s="7" t="s">
        <v>419</v>
      </c>
      <c r="L385" s="7" t="s">
        <v>991</v>
      </c>
      <c r="M385" s="7" t="s">
        <v>3501</v>
      </c>
      <c r="N385" s="7" t="s">
        <v>419</v>
      </c>
      <c r="O385" s="7" t="s">
        <v>19432</v>
      </c>
      <c r="P385" s="7" t="s">
        <v>693</v>
      </c>
      <c r="Q385" s="7" t="s">
        <v>698</v>
      </c>
      <c r="R385" s="7" t="s">
        <v>19652</v>
      </c>
      <c r="T385" s="7" t="s">
        <v>6283</v>
      </c>
      <c r="U385" s="7" t="s">
        <v>3604</v>
      </c>
      <c r="V385" s="7">
        <v>1.0</v>
      </c>
    </row>
    <row r="386">
      <c r="A386" s="7" t="s">
        <v>2135</v>
      </c>
      <c r="B386" s="7">
        <v>1.0</v>
      </c>
      <c r="C386" s="7" t="s">
        <v>6285</v>
      </c>
      <c r="D386" s="7" t="s">
        <v>6286</v>
      </c>
      <c r="E386" s="7" t="s">
        <v>6287</v>
      </c>
      <c r="F386" s="7" t="s">
        <v>6288</v>
      </c>
      <c r="G386" s="7" t="s">
        <v>6289</v>
      </c>
      <c r="H386" s="7" t="s">
        <v>6290</v>
      </c>
      <c r="I386" s="119">
        <v>45292.0</v>
      </c>
      <c r="K386" s="7" t="s">
        <v>6291</v>
      </c>
      <c r="L386" s="7" t="s">
        <v>3542</v>
      </c>
      <c r="M386" s="7" t="s">
        <v>6292</v>
      </c>
      <c r="N386" s="7" t="s">
        <v>419</v>
      </c>
      <c r="O386" s="7" t="s">
        <v>19438</v>
      </c>
      <c r="P386" s="7" t="s">
        <v>420</v>
      </c>
      <c r="T386" s="7" t="s">
        <v>12210</v>
      </c>
      <c r="U386" s="7" t="s">
        <v>420</v>
      </c>
      <c r="V386" s="7">
        <v>1.0</v>
      </c>
    </row>
    <row r="387">
      <c r="A387" s="7" t="s">
        <v>20152</v>
      </c>
      <c r="B387" s="7">
        <v>12599.0</v>
      </c>
      <c r="C387" s="7" t="s">
        <v>6298</v>
      </c>
      <c r="D387" s="7" t="s">
        <v>6299</v>
      </c>
      <c r="E387" s="7" t="s">
        <v>6300</v>
      </c>
      <c r="F387" s="7" t="s">
        <v>6301</v>
      </c>
      <c r="G387" s="7" t="s">
        <v>6302</v>
      </c>
      <c r="H387" s="7" t="s">
        <v>6303</v>
      </c>
      <c r="I387" s="119">
        <v>45292.0</v>
      </c>
      <c r="K387" s="7" t="s">
        <v>419</v>
      </c>
      <c r="L387" s="7" t="s">
        <v>991</v>
      </c>
      <c r="M387" s="7" t="s">
        <v>3501</v>
      </c>
      <c r="N387" s="7" t="s">
        <v>419</v>
      </c>
      <c r="O387" s="7" t="s">
        <v>19430</v>
      </c>
      <c r="P387" s="7" t="s">
        <v>717</v>
      </c>
      <c r="Q387" s="7" t="s">
        <v>1163</v>
      </c>
      <c r="R387" s="7" t="s">
        <v>19546</v>
      </c>
      <c r="S387" s="7" t="s">
        <v>20153</v>
      </c>
      <c r="T387" s="7" t="s">
        <v>6305</v>
      </c>
      <c r="U387" s="7" t="s">
        <v>3493</v>
      </c>
      <c r="V387" s="7">
        <v>1.0</v>
      </c>
    </row>
    <row r="388">
      <c r="A388" s="7" t="s">
        <v>20154</v>
      </c>
      <c r="B388" s="7">
        <v>14329.0</v>
      </c>
      <c r="C388" s="7" t="s">
        <v>6307</v>
      </c>
      <c r="D388" s="7" t="s">
        <v>6308</v>
      </c>
      <c r="E388" s="7" t="s">
        <v>6309</v>
      </c>
      <c r="F388" s="7" t="s">
        <v>4960</v>
      </c>
      <c r="G388" s="7" t="s">
        <v>6310</v>
      </c>
      <c r="H388" s="7" t="s">
        <v>6311</v>
      </c>
      <c r="I388" s="119">
        <v>45292.0</v>
      </c>
      <c r="K388" s="7" t="s">
        <v>419</v>
      </c>
      <c r="L388" s="7" t="s">
        <v>991</v>
      </c>
      <c r="M388" s="7" t="s">
        <v>3501</v>
      </c>
      <c r="N388" s="7" t="s">
        <v>419</v>
      </c>
      <c r="O388" s="7" t="s">
        <v>19430</v>
      </c>
      <c r="P388" s="7" t="s">
        <v>780</v>
      </c>
      <c r="Q388" s="7" t="s">
        <v>786</v>
      </c>
      <c r="R388" s="7" t="s">
        <v>19574</v>
      </c>
      <c r="S388" s="7" t="s">
        <v>19575</v>
      </c>
      <c r="T388" s="7" t="s">
        <v>3835</v>
      </c>
      <c r="U388" s="7" t="s">
        <v>3843</v>
      </c>
      <c r="V388" s="7">
        <v>1.0</v>
      </c>
    </row>
    <row r="389">
      <c r="A389" s="7" t="s">
        <v>20155</v>
      </c>
      <c r="B389" s="7">
        <v>2300645.0</v>
      </c>
      <c r="C389" s="7" t="s">
        <v>6313</v>
      </c>
      <c r="D389" s="7" t="s">
        <v>6314</v>
      </c>
      <c r="E389" s="7" t="s">
        <v>6315</v>
      </c>
      <c r="F389" s="7" t="s">
        <v>4831</v>
      </c>
      <c r="G389" s="7" t="s">
        <v>6316</v>
      </c>
      <c r="H389" s="7" t="s">
        <v>6317</v>
      </c>
      <c r="I389" s="119">
        <v>45292.0</v>
      </c>
      <c r="K389" s="7" t="s">
        <v>419</v>
      </c>
      <c r="L389" s="7" t="s">
        <v>991</v>
      </c>
      <c r="M389" s="7" t="s">
        <v>3501</v>
      </c>
      <c r="N389" s="7" t="s">
        <v>419</v>
      </c>
      <c r="O389" s="7" t="s">
        <v>19432</v>
      </c>
      <c r="P389" s="7" t="s">
        <v>391</v>
      </c>
      <c r="Q389" s="7" t="s">
        <v>392</v>
      </c>
      <c r="R389" s="7" t="s">
        <v>19890</v>
      </c>
      <c r="T389" s="7" t="s">
        <v>5102</v>
      </c>
      <c r="U389" s="7" t="s">
        <v>3493</v>
      </c>
      <c r="V389" s="7">
        <v>1.0</v>
      </c>
    </row>
    <row r="390">
      <c r="A390" s="7" t="s">
        <v>20156</v>
      </c>
      <c r="B390" s="7">
        <v>628.0</v>
      </c>
      <c r="C390" s="7" t="s">
        <v>6313</v>
      </c>
      <c r="D390" s="7" t="s">
        <v>6319</v>
      </c>
      <c r="E390" s="7" t="s">
        <v>6315</v>
      </c>
      <c r="F390" s="7" t="s">
        <v>5132</v>
      </c>
      <c r="G390" s="7" t="s">
        <v>6320</v>
      </c>
      <c r="H390" s="7" t="s">
        <v>6321</v>
      </c>
      <c r="I390" s="119">
        <v>45292.0</v>
      </c>
      <c r="K390" s="7" t="s">
        <v>419</v>
      </c>
      <c r="L390" s="7" t="s">
        <v>991</v>
      </c>
      <c r="M390" s="7" t="s">
        <v>3501</v>
      </c>
      <c r="N390" s="7" t="s">
        <v>419</v>
      </c>
      <c r="O390" s="7" t="s">
        <v>19437</v>
      </c>
      <c r="P390" s="7" t="s">
        <v>440</v>
      </c>
      <c r="Q390" s="7" t="s">
        <v>924</v>
      </c>
      <c r="R390" s="7" t="s">
        <v>19773</v>
      </c>
      <c r="S390" s="7" t="s">
        <v>19774</v>
      </c>
      <c r="T390" s="7" t="s">
        <v>4594</v>
      </c>
      <c r="U390" s="7" t="s">
        <v>3493</v>
      </c>
      <c r="V390" s="7">
        <v>1.0</v>
      </c>
    </row>
    <row r="391">
      <c r="A391" s="7" t="s">
        <v>20157</v>
      </c>
      <c r="B391" s="7">
        <v>1273.0</v>
      </c>
      <c r="C391" s="7" t="s">
        <v>6323</v>
      </c>
      <c r="D391" s="7" t="s">
        <v>6324</v>
      </c>
      <c r="E391" s="7" t="s">
        <v>6325</v>
      </c>
      <c r="F391" s="7" t="s">
        <v>6326</v>
      </c>
      <c r="G391" s="7" t="s">
        <v>6327</v>
      </c>
      <c r="H391" s="7" t="s">
        <v>6328</v>
      </c>
      <c r="I391" s="119">
        <v>45292.0</v>
      </c>
      <c r="K391" s="7" t="s">
        <v>419</v>
      </c>
      <c r="L391" s="7" t="s">
        <v>991</v>
      </c>
      <c r="M391" s="7" t="s">
        <v>3501</v>
      </c>
      <c r="N391" s="7" t="s">
        <v>419</v>
      </c>
      <c r="O391" s="7" t="s">
        <v>19430</v>
      </c>
      <c r="P391" s="7" t="s">
        <v>717</v>
      </c>
      <c r="Q391" s="7" t="s">
        <v>720</v>
      </c>
      <c r="R391" s="7" t="s">
        <v>19626</v>
      </c>
      <c r="S391" s="7" t="s">
        <v>20158</v>
      </c>
      <c r="T391" s="7" t="s">
        <v>6330</v>
      </c>
      <c r="U391" s="7" t="s">
        <v>3843</v>
      </c>
      <c r="V391" s="7">
        <v>1.0</v>
      </c>
    </row>
    <row r="392">
      <c r="A392" s="7" t="s">
        <v>20159</v>
      </c>
      <c r="B392" s="7">
        <v>2100390.0</v>
      </c>
      <c r="C392" s="7" t="s">
        <v>6332</v>
      </c>
      <c r="D392" s="7" t="s">
        <v>6333</v>
      </c>
      <c r="E392" s="7" t="s">
        <v>6334</v>
      </c>
      <c r="F392" s="7" t="s">
        <v>6335</v>
      </c>
      <c r="G392" s="7" t="s">
        <v>6336</v>
      </c>
      <c r="H392" s="7" t="s">
        <v>6337</v>
      </c>
      <c r="I392" s="119">
        <v>45292.0</v>
      </c>
      <c r="K392" s="7" t="s">
        <v>419</v>
      </c>
      <c r="L392" s="7" t="s">
        <v>991</v>
      </c>
      <c r="M392" s="7" t="s">
        <v>3501</v>
      </c>
      <c r="N392" s="7" t="s">
        <v>419</v>
      </c>
      <c r="O392" s="7" t="s">
        <v>19430</v>
      </c>
      <c r="P392" s="7" t="s">
        <v>854</v>
      </c>
      <c r="Q392" s="7" t="s">
        <v>859</v>
      </c>
      <c r="T392" s="7" t="s">
        <v>3821</v>
      </c>
      <c r="U392" s="7" t="s">
        <v>3493</v>
      </c>
      <c r="V392" s="7">
        <v>1.0</v>
      </c>
    </row>
    <row r="393">
      <c r="A393" s="7" t="s">
        <v>20160</v>
      </c>
      <c r="B393" s="7">
        <v>11871.0</v>
      </c>
      <c r="C393" s="7" t="s">
        <v>6340</v>
      </c>
      <c r="D393" s="7" t="s">
        <v>6341</v>
      </c>
      <c r="E393" s="7" t="s">
        <v>6342</v>
      </c>
      <c r="F393" s="7" t="s">
        <v>4357</v>
      </c>
      <c r="G393" s="7" t="s">
        <v>6343</v>
      </c>
      <c r="H393" s="7" t="s">
        <v>6344</v>
      </c>
      <c r="I393" s="119">
        <v>45292.0</v>
      </c>
      <c r="J393" s="7" t="s">
        <v>3929</v>
      </c>
      <c r="K393" s="7" t="s">
        <v>419</v>
      </c>
      <c r="L393" s="7" t="s">
        <v>991</v>
      </c>
      <c r="M393" s="7" t="s">
        <v>3501</v>
      </c>
      <c r="N393" s="7" t="s">
        <v>419</v>
      </c>
      <c r="O393" s="7" t="s">
        <v>19443</v>
      </c>
      <c r="P393" s="7" t="s">
        <v>1242</v>
      </c>
      <c r="Q393" s="7" t="s">
        <v>51</v>
      </c>
      <c r="R393" s="7" t="s">
        <v>19599</v>
      </c>
      <c r="S393" s="7" t="s">
        <v>20161</v>
      </c>
      <c r="T393" s="7" t="s">
        <v>6346</v>
      </c>
      <c r="U393" s="7" t="s">
        <v>3493</v>
      </c>
      <c r="V393" s="7">
        <v>1.0</v>
      </c>
    </row>
    <row r="394">
      <c r="A394" s="7" t="s">
        <v>20162</v>
      </c>
      <c r="B394" s="7">
        <v>1261.0</v>
      </c>
      <c r="C394" s="7" t="s">
        <v>6348</v>
      </c>
      <c r="D394" s="7" t="s">
        <v>6349</v>
      </c>
      <c r="E394" s="7" t="s">
        <v>6350</v>
      </c>
      <c r="F394" s="7" t="s">
        <v>4314</v>
      </c>
      <c r="G394" s="7" t="s">
        <v>6351</v>
      </c>
      <c r="H394" s="7" t="s">
        <v>6352</v>
      </c>
      <c r="I394" s="119">
        <v>45292.0</v>
      </c>
      <c r="K394" s="7" t="s">
        <v>419</v>
      </c>
      <c r="L394" s="7" t="s">
        <v>991</v>
      </c>
      <c r="M394" s="7" t="s">
        <v>3501</v>
      </c>
      <c r="N394" s="7" t="s">
        <v>419</v>
      </c>
      <c r="O394" s="7" t="s">
        <v>19430</v>
      </c>
      <c r="P394" s="7" t="s">
        <v>717</v>
      </c>
      <c r="Q394" s="7" t="s">
        <v>722</v>
      </c>
      <c r="R394" s="7" t="s">
        <v>20163</v>
      </c>
      <c r="S394" s="7" t="s">
        <v>20164</v>
      </c>
      <c r="T394" s="7" t="s">
        <v>18531</v>
      </c>
      <c r="U394" s="7" t="s">
        <v>3843</v>
      </c>
      <c r="V394" s="7">
        <v>1.0</v>
      </c>
    </row>
    <row r="395">
      <c r="A395" s="7" t="s">
        <v>20165</v>
      </c>
      <c r="B395" s="7">
        <v>2400026.0</v>
      </c>
      <c r="C395" s="7" t="s">
        <v>6356</v>
      </c>
      <c r="D395" s="7" t="s">
        <v>6357</v>
      </c>
      <c r="E395" s="7" t="s">
        <v>6358</v>
      </c>
      <c r="F395" s="7" t="s">
        <v>4314</v>
      </c>
      <c r="G395" s="7" t="s">
        <v>6359</v>
      </c>
      <c r="H395" s="7" t="s">
        <v>6360</v>
      </c>
      <c r="I395" s="119">
        <v>45292.0</v>
      </c>
      <c r="K395" s="7" t="s">
        <v>419</v>
      </c>
      <c r="L395" s="7" t="s">
        <v>991</v>
      </c>
      <c r="M395" s="7" t="s">
        <v>3531</v>
      </c>
      <c r="N395" s="7" t="s">
        <v>419</v>
      </c>
      <c r="O395" s="7" t="s">
        <v>19430</v>
      </c>
      <c r="P395" s="7" t="s">
        <v>717</v>
      </c>
      <c r="Q395" s="7" t="s">
        <v>722</v>
      </c>
      <c r="R395" s="7" t="s">
        <v>19655</v>
      </c>
      <c r="S395" s="7" t="s">
        <v>20147</v>
      </c>
      <c r="T395" s="7" t="s">
        <v>6266</v>
      </c>
      <c r="U395" s="7" t="s">
        <v>3493</v>
      </c>
      <c r="V395" s="7">
        <v>1.0</v>
      </c>
    </row>
    <row r="396">
      <c r="A396" s="7" t="s">
        <v>20166</v>
      </c>
      <c r="B396" s="7">
        <v>2200489.0</v>
      </c>
      <c r="C396" s="7" t="s">
        <v>6362</v>
      </c>
      <c r="D396" s="7" t="s">
        <v>6363</v>
      </c>
      <c r="E396" s="7" t="s">
        <v>6364</v>
      </c>
      <c r="F396" s="7" t="s">
        <v>4539</v>
      </c>
      <c r="G396" s="7" t="s">
        <v>6365</v>
      </c>
      <c r="H396" s="7" t="s">
        <v>6366</v>
      </c>
      <c r="I396" s="119">
        <v>45292.0</v>
      </c>
      <c r="K396" s="7" t="s">
        <v>419</v>
      </c>
      <c r="L396" s="7" t="s">
        <v>991</v>
      </c>
      <c r="M396" s="7" t="s">
        <v>3531</v>
      </c>
      <c r="N396" s="7" t="s">
        <v>419</v>
      </c>
      <c r="O396" s="7" t="s">
        <v>19430</v>
      </c>
      <c r="P396" s="7" t="s">
        <v>717</v>
      </c>
      <c r="Q396" s="7" t="s">
        <v>725</v>
      </c>
      <c r="R396" s="7" t="s">
        <v>19501</v>
      </c>
      <c r="S396" s="7" t="s">
        <v>19502</v>
      </c>
      <c r="T396" s="7" t="s">
        <v>3533</v>
      </c>
      <c r="U396" s="7" t="s">
        <v>3493</v>
      </c>
      <c r="V396" s="7">
        <v>1.0</v>
      </c>
    </row>
    <row r="397">
      <c r="A397" s="7" t="s">
        <v>20167</v>
      </c>
      <c r="B397" s="7">
        <v>2200719.0</v>
      </c>
      <c r="C397" s="7" t="s">
        <v>6368</v>
      </c>
      <c r="D397" s="7" t="s">
        <v>6369</v>
      </c>
      <c r="E397" s="7" t="s">
        <v>6370</v>
      </c>
      <c r="F397" s="7" t="s">
        <v>3528</v>
      </c>
      <c r="G397" s="7" t="s">
        <v>6371</v>
      </c>
      <c r="H397" s="7" t="s">
        <v>6372</v>
      </c>
      <c r="I397" s="119">
        <v>45292.0</v>
      </c>
      <c r="K397" s="7" t="s">
        <v>4042</v>
      </c>
      <c r="L397" s="7" t="s">
        <v>991</v>
      </c>
      <c r="M397" s="7" t="s">
        <v>3531</v>
      </c>
      <c r="N397" s="7" t="s">
        <v>4042</v>
      </c>
      <c r="O397" s="7" t="s">
        <v>4042</v>
      </c>
      <c r="P397" s="7" t="s">
        <v>19632</v>
      </c>
      <c r="T397" s="7" t="s">
        <v>4044</v>
      </c>
      <c r="U397" s="7" t="s">
        <v>3493</v>
      </c>
      <c r="V397" s="7">
        <v>1.0</v>
      </c>
    </row>
    <row r="398">
      <c r="A398" s="7" t="s">
        <v>20168</v>
      </c>
      <c r="B398" s="7">
        <v>2200189.0</v>
      </c>
      <c r="C398" s="7" t="s">
        <v>6374</v>
      </c>
      <c r="D398" s="7" t="s">
        <v>6375</v>
      </c>
      <c r="E398" s="7" t="s">
        <v>6376</v>
      </c>
      <c r="F398" s="7" t="s">
        <v>3674</v>
      </c>
      <c r="G398" s="7" t="s">
        <v>6377</v>
      </c>
      <c r="H398" s="7" t="s">
        <v>6378</v>
      </c>
      <c r="I398" s="119">
        <v>45292.0</v>
      </c>
      <c r="K398" s="7" t="s">
        <v>3541</v>
      </c>
      <c r="L398" s="7" t="s">
        <v>3542</v>
      </c>
      <c r="M398" s="7" t="s">
        <v>3543</v>
      </c>
      <c r="N398" s="7" t="s">
        <v>419</v>
      </c>
      <c r="O398" s="7" t="s">
        <v>19430</v>
      </c>
      <c r="P398" s="7" t="s">
        <v>854</v>
      </c>
      <c r="Q398" s="7" t="s">
        <v>864</v>
      </c>
      <c r="R398" s="7" t="s">
        <v>19504</v>
      </c>
      <c r="T398" s="7" t="s">
        <v>19505</v>
      </c>
      <c r="U398" s="7" t="s">
        <v>3493</v>
      </c>
      <c r="V398" s="7">
        <v>1.0</v>
      </c>
    </row>
    <row r="399">
      <c r="A399" s="7" t="s">
        <v>20169</v>
      </c>
      <c r="B399" s="7">
        <v>2200817.0</v>
      </c>
      <c r="C399" s="7" t="s">
        <v>6380</v>
      </c>
      <c r="D399" s="7" t="s">
        <v>6381</v>
      </c>
      <c r="E399" s="7" t="s">
        <v>6382</v>
      </c>
      <c r="F399" s="7" t="s">
        <v>6383</v>
      </c>
      <c r="G399" s="7" t="s">
        <v>6384</v>
      </c>
      <c r="H399" s="7" t="s">
        <v>6385</v>
      </c>
      <c r="I399" s="119">
        <v>45292.0</v>
      </c>
      <c r="K399" s="7" t="s">
        <v>419</v>
      </c>
      <c r="L399" s="7" t="s">
        <v>991</v>
      </c>
      <c r="M399" s="7" t="s">
        <v>3501</v>
      </c>
      <c r="N399" s="7" t="s">
        <v>419</v>
      </c>
      <c r="O399" s="7" t="s">
        <v>19443</v>
      </c>
      <c r="P399" s="7" t="s">
        <v>1242</v>
      </c>
      <c r="Q399" s="7" t="s">
        <v>51</v>
      </c>
      <c r="R399" s="7" t="s">
        <v>19510</v>
      </c>
      <c r="T399" s="7" t="s">
        <v>6387</v>
      </c>
      <c r="U399" s="7" t="s">
        <v>3604</v>
      </c>
      <c r="V399" s="7">
        <v>1.0</v>
      </c>
    </row>
    <row r="400">
      <c r="A400" s="7" t="s">
        <v>20170</v>
      </c>
      <c r="B400" s="7">
        <v>8498.0</v>
      </c>
      <c r="C400" s="7" t="s">
        <v>6389</v>
      </c>
      <c r="D400" s="7" t="s">
        <v>6390</v>
      </c>
      <c r="E400" s="7" t="s">
        <v>6391</v>
      </c>
      <c r="F400" s="7" t="s">
        <v>6392</v>
      </c>
      <c r="G400" s="7" t="s">
        <v>6393</v>
      </c>
      <c r="H400" s="7" t="s">
        <v>6394</v>
      </c>
      <c r="I400" s="119">
        <v>45292.0</v>
      </c>
      <c r="K400" s="7" t="s">
        <v>419</v>
      </c>
      <c r="L400" s="7" t="s">
        <v>991</v>
      </c>
      <c r="M400" s="7" t="s">
        <v>3531</v>
      </c>
      <c r="N400" s="7" t="s">
        <v>419</v>
      </c>
      <c r="O400" s="7" t="s">
        <v>19430</v>
      </c>
      <c r="P400" s="7" t="s">
        <v>717</v>
      </c>
      <c r="Q400" s="7" t="s">
        <v>1163</v>
      </c>
      <c r="R400" s="7" t="s">
        <v>19546</v>
      </c>
      <c r="S400" s="7" t="s">
        <v>19687</v>
      </c>
      <c r="T400" s="7" t="s">
        <v>4251</v>
      </c>
      <c r="U400" s="7" t="s">
        <v>3493</v>
      </c>
      <c r="V400" s="7">
        <v>1.0</v>
      </c>
    </row>
    <row r="401">
      <c r="A401" s="7" t="s">
        <v>20171</v>
      </c>
      <c r="B401" s="7">
        <v>2200017.0</v>
      </c>
      <c r="C401" s="7" t="s">
        <v>6396</v>
      </c>
      <c r="D401" s="7" t="s">
        <v>6397</v>
      </c>
      <c r="E401" s="7" t="s">
        <v>6398</v>
      </c>
      <c r="F401" s="7" t="s">
        <v>6399</v>
      </c>
      <c r="G401" s="7" t="s">
        <v>6400</v>
      </c>
      <c r="H401" s="7" t="s">
        <v>6401</v>
      </c>
      <c r="I401" s="119">
        <v>45292.0</v>
      </c>
      <c r="K401" s="7" t="s">
        <v>419</v>
      </c>
      <c r="L401" s="7" t="s">
        <v>991</v>
      </c>
      <c r="M401" s="7" t="s">
        <v>3501</v>
      </c>
      <c r="N401" s="7" t="s">
        <v>419</v>
      </c>
      <c r="O401" s="7" t="s">
        <v>19443</v>
      </c>
      <c r="P401" s="7" t="s">
        <v>1242</v>
      </c>
      <c r="Q401" s="7" t="s">
        <v>51</v>
      </c>
      <c r="R401" s="7" t="s">
        <v>20172</v>
      </c>
      <c r="T401" s="7" t="s">
        <v>6403</v>
      </c>
      <c r="U401" s="7" t="s">
        <v>3493</v>
      </c>
      <c r="V401" s="7">
        <v>1.0</v>
      </c>
    </row>
    <row r="402">
      <c r="A402" s="7" t="s">
        <v>20173</v>
      </c>
      <c r="B402" s="7">
        <v>2400266.0</v>
      </c>
      <c r="C402" s="7" t="s">
        <v>6405</v>
      </c>
      <c r="D402" s="7" t="s">
        <v>6406</v>
      </c>
      <c r="E402" s="7" t="s">
        <v>6407</v>
      </c>
      <c r="F402" s="7" t="s">
        <v>6408</v>
      </c>
      <c r="G402" s="7" t="s">
        <v>6409</v>
      </c>
      <c r="H402" s="7" t="s">
        <v>6410</v>
      </c>
      <c r="I402" s="119">
        <v>45383.0</v>
      </c>
      <c r="K402" s="7" t="s">
        <v>4042</v>
      </c>
      <c r="L402" s="7" t="s">
        <v>991</v>
      </c>
      <c r="M402" s="7" t="s">
        <v>3501</v>
      </c>
      <c r="N402" s="7" t="s">
        <v>4042</v>
      </c>
      <c r="O402" s="7" t="s">
        <v>4042</v>
      </c>
      <c r="P402" s="7" t="s">
        <v>19632</v>
      </c>
      <c r="T402" s="7" t="s">
        <v>4044</v>
      </c>
      <c r="U402" s="7" t="s">
        <v>3493</v>
      </c>
      <c r="V402" s="7">
        <v>1.0</v>
      </c>
    </row>
    <row r="403">
      <c r="A403" s="7" t="s">
        <v>20174</v>
      </c>
      <c r="B403" s="7">
        <v>2300777.0</v>
      </c>
      <c r="C403" s="7" t="s">
        <v>6405</v>
      </c>
      <c r="D403" s="7" t="s">
        <v>6412</v>
      </c>
      <c r="E403" s="7" t="s">
        <v>6407</v>
      </c>
      <c r="F403" s="7" t="s">
        <v>3926</v>
      </c>
      <c r="G403" s="7" t="s">
        <v>6413</v>
      </c>
      <c r="H403" s="7" t="s">
        <v>6414</v>
      </c>
      <c r="I403" s="119">
        <v>45292.0</v>
      </c>
      <c r="J403" s="7" t="s">
        <v>4216</v>
      </c>
      <c r="K403" s="7" t="s">
        <v>3642</v>
      </c>
      <c r="L403" s="7" t="s">
        <v>991</v>
      </c>
      <c r="M403" s="7" t="s">
        <v>3501</v>
      </c>
      <c r="N403" s="7" t="s">
        <v>3642</v>
      </c>
      <c r="O403" s="7" t="s">
        <v>3642</v>
      </c>
      <c r="P403" s="7" t="s">
        <v>19524</v>
      </c>
      <c r="T403" s="7" t="s">
        <v>3644</v>
      </c>
      <c r="U403" s="7" t="s">
        <v>3493</v>
      </c>
      <c r="V403" s="7">
        <v>1.0</v>
      </c>
    </row>
    <row r="404">
      <c r="A404" s="7" t="s">
        <v>20175</v>
      </c>
      <c r="B404" s="7">
        <v>1062.0</v>
      </c>
      <c r="C404" s="7" t="s">
        <v>6405</v>
      </c>
      <c r="D404" s="7" t="s">
        <v>6416</v>
      </c>
      <c r="E404" s="7" t="s">
        <v>6407</v>
      </c>
      <c r="F404" s="7" t="s">
        <v>5441</v>
      </c>
      <c r="G404" s="7" t="s">
        <v>6417</v>
      </c>
      <c r="H404" s="7" t="s">
        <v>6418</v>
      </c>
      <c r="I404" s="119">
        <v>45292.0</v>
      </c>
      <c r="K404" s="7" t="s">
        <v>419</v>
      </c>
      <c r="L404" s="7" t="s">
        <v>991</v>
      </c>
      <c r="M404" s="7" t="s">
        <v>3501</v>
      </c>
      <c r="N404" s="7" t="s">
        <v>419</v>
      </c>
      <c r="O404" s="7" t="s">
        <v>19432</v>
      </c>
      <c r="P404" s="7" t="s">
        <v>391</v>
      </c>
      <c r="Q404" s="7" t="s">
        <v>392</v>
      </c>
      <c r="R404" s="7" t="s">
        <v>20176</v>
      </c>
      <c r="T404" s="7" t="s">
        <v>6420</v>
      </c>
      <c r="U404" s="7" t="s">
        <v>3493</v>
      </c>
      <c r="V404" s="7">
        <v>1.0</v>
      </c>
    </row>
    <row r="405">
      <c r="A405" s="7" t="s">
        <v>20177</v>
      </c>
      <c r="B405" s="7">
        <v>2100322.0</v>
      </c>
      <c r="C405" s="7" t="s">
        <v>6405</v>
      </c>
      <c r="D405" s="7" t="s">
        <v>6422</v>
      </c>
      <c r="E405" s="7" t="s">
        <v>6407</v>
      </c>
      <c r="F405" s="7" t="s">
        <v>4068</v>
      </c>
      <c r="G405" s="7" t="s">
        <v>6423</v>
      </c>
      <c r="H405" s="7" t="s">
        <v>6424</v>
      </c>
      <c r="I405" s="119">
        <v>45292.0</v>
      </c>
      <c r="K405" s="7" t="s">
        <v>419</v>
      </c>
      <c r="L405" s="7" t="s">
        <v>991</v>
      </c>
      <c r="M405" s="7" t="s">
        <v>3501</v>
      </c>
      <c r="N405" s="7" t="s">
        <v>419</v>
      </c>
      <c r="O405" s="7" t="s">
        <v>19430</v>
      </c>
      <c r="P405" s="7" t="s">
        <v>717</v>
      </c>
      <c r="Q405" s="7" t="s">
        <v>1163</v>
      </c>
      <c r="R405" s="7" t="s">
        <v>19601</v>
      </c>
      <c r="S405" s="7" t="s">
        <v>19602</v>
      </c>
      <c r="T405" s="7" t="s">
        <v>3931</v>
      </c>
      <c r="U405" s="7" t="s">
        <v>3493</v>
      </c>
      <c r="V405" s="7">
        <v>1.0</v>
      </c>
    </row>
    <row r="406">
      <c r="A406" s="7" t="s">
        <v>20178</v>
      </c>
      <c r="B406" s="7">
        <v>2300140.0</v>
      </c>
      <c r="C406" s="7" t="s">
        <v>6405</v>
      </c>
      <c r="D406" s="7" t="s">
        <v>6426</v>
      </c>
      <c r="E406" s="7" t="s">
        <v>6407</v>
      </c>
      <c r="F406" s="7" t="s">
        <v>5107</v>
      </c>
      <c r="G406" s="7" t="s">
        <v>6427</v>
      </c>
      <c r="H406" s="7" t="s">
        <v>6428</v>
      </c>
      <c r="I406" s="119">
        <v>45292.0</v>
      </c>
      <c r="K406" s="7" t="s">
        <v>419</v>
      </c>
      <c r="L406" s="7" t="s">
        <v>991</v>
      </c>
      <c r="M406" s="7" t="s">
        <v>3531</v>
      </c>
      <c r="N406" s="7" t="s">
        <v>419</v>
      </c>
      <c r="O406" s="7" t="s">
        <v>19430</v>
      </c>
      <c r="P406" s="7" t="s">
        <v>717</v>
      </c>
      <c r="Q406" s="7" t="s">
        <v>722</v>
      </c>
      <c r="R406" s="7" t="s">
        <v>19703</v>
      </c>
      <c r="S406" s="7" t="s">
        <v>19704</v>
      </c>
      <c r="T406" s="7" t="s">
        <v>4311</v>
      </c>
      <c r="U406" s="7" t="s">
        <v>3493</v>
      </c>
      <c r="V406" s="7">
        <v>1.0</v>
      </c>
    </row>
    <row r="407">
      <c r="A407" s="7" t="s">
        <v>20179</v>
      </c>
      <c r="B407" s="7">
        <v>13401.0</v>
      </c>
      <c r="C407" s="7" t="s">
        <v>6405</v>
      </c>
      <c r="D407" s="7" t="s">
        <v>6430</v>
      </c>
      <c r="E407" s="7" t="s">
        <v>6407</v>
      </c>
      <c r="F407" s="7" t="s">
        <v>6431</v>
      </c>
      <c r="G407" s="7" t="s">
        <v>6432</v>
      </c>
      <c r="H407" s="7" t="s">
        <v>6433</v>
      </c>
      <c r="I407" s="119">
        <v>45292.0</v>
      </c>
      <c r="K407" s="7" t="s">
        <v>419</v>
      </c>
      <c r="L407" s="7" t="s">
        <v>991</v>
      </c>
      <c r="M407" s="7" t="s">
        <v>3501</v>
      </c>
      <c r="N407" s="7" t="s">
        <v>419</v>
      </c>
      <c r="O407" s="7" t="s">
        <v>19430</v>
      </c>
      <c r="P407" s="7" t="s">
        <v>717</v>
      </c>
      <c r="Q407" s="7" t="s">
        <v>720</v>
      </c>
      <c r="R407" s="7" t="s">
        <v>19658</v>
      </c>
      <c r="S407" s="7" t="s">
        <v>19659</v>
      </c>
      <c r="T407" s="7" t="s">
        <v>4148</v>
      </c>
      <c r="U407" s="7" t="s">
        <v>3493</v>
      </c>
      <c r="V407" s="7">
        <v>1.0</v>
      </c>
    </row>
    <row r="408">
      <c r="A408" s="7" t="s">
        <v>20180</v>
      </c>
      <c r="B408" s="7">
        <v>2300106.0</v>
      </c>
      <c r="C408" s="7" t="s">
        <v>6405</v>
      </c>
      <c r="D408" s="7" t="s">
        <v>6435</v>
      </c>
      <c r="E408" s="7" t="s">
        <v>6407</v>
      </c>
      <c r="F408" s="7" t="s">
        <v>6436</v>
      </c>
      <c r="G408" s="7" t="s">
        <v>6437</v>
      </c>
      <c r="H408" s="7" t="s">
        <v>6438</v>
      </c>
      <c r="I408" s="119">
        <v>45292.0</v>
      </c>
      <c r="K408" s="7" t="s">
        <v>6439</v>
      </c>
      <c r="L408" s="7" t="s">
        <v>991</v>
      </c>
      <c r="M408" s="7" t="s">
        <v>3531</v>
      </c>
      <c r="N408" s="7" t="s">
        <v>6439</v>
      </c>
      <c r="O408" s="7" t="s">
        <v>6439</v>
      </c>
      <c r="P408" s="7" t="s">
        <v>20181</v>
      </c>
      <c r="T408" s="7" t="s">
        <v>6441</v>
      </c>
      <c r="U408" s="7" t="s">
        <v>3493</v>
      </c>
      <c r="V408" s="7">
        <v>1.0</v>
      </c>
    </row>
    <row r="409">
      <c r="A409" s="7" t="s">
        <v>20182</v>
      </c>
      <c r="B409" s="7">
        <v>2200055.0</v>
      </c>
      <c r="C409" s="7" t="s">
        <v>6405</v>
      </c>
      <c r="D409" s="7" t="s">
        <v>6443</v>
      </c>
      <c r="E409" s="7" t="s">
        <v>6407</v>
      </c>
      <c r="F409" s="7" t="s">
        <v>6436</v>
      </c>
      <c r="G409" s="7" t="s">
        <v>6444</v>
      </c>
      <c r="H409" s="7" t="s">
        <v>6445</v>
      </c>
      <c r="I409" s="119">
        <v>45292.0</v>
      </c>
      <c r="K409" s="7" t="s">
        <v>419</v>
      </c>
      <c r="L409" s="7" t="s">
        <v>991</v>
      </c>
      <c r="M409" s="7" t="s">
        <v>3531</v>
      </c>
      <c r="N409" s="7" t="s">
        <v>419</v>
      </c>
      <c r="O409" s="7" t="s">
        <v>19433</v>
      </c>
      <c r="P409" s="7" t="s">
        <v>587</v>
      </c>
      <c r="Q409" s="7" t="s">
        <v>74</v>
      </c>
      <c r="T409" s="7" t="s">
        <v>5112</v>
      </c>
      <c r="U409" s="7" t="s">
        <v>3493</v>
      </c>
      <c r="V409" s="7">
        <v>1.0</v>
      </c>
    </row>
    <row r="410">
      <c r="A410" s="7" t="s">
        <v>20183</v>
      </c>
      <c r="B410" s="7">
        <v>2200745.0</v>
      </c>
      <c r="C410" s="7" t="s">
        <v>6405</v>
      </c>
      <c r="D410" s="7" t="s">
        <v>6447</v>
      </c>
      <c r="E410" s="7" t="s">
        <v>6407</v>
      </c>
      <c r="F410" s="7" t="s">
        <v>6448</v>
      </c>
      <c r="G410" s="7" t="s">
        <v>6449</v>
      </c>
      <c r="H410" s="7" t="s">
        <v>6450</v>
      </c>
      <c r="I410" s="119">
        <v>45292.0</v>
      </c>
      <c r="K410" s="7" t="s">
        <v>419</v>
      </c>
      <c r="L410" s="7" t="s">
        <v>991</v>
      </c>
      <c r="M410" s="7" t="s">
        <v>3501</v>
      </c>
      <c r="N410" s="7" t="s">
        <v>419</v>
      </c>
      <c r="O410" s="7" t="s">
        <v>19437</v>
      </c>
      <c r="P410" s="7" t="s">
        <v>478</v>
      </c>
      <c r="Q410" s="7" t="s">
        <v>482</v>
      </c>
      <c r="R410" s="7" t="s">
        <v>20184</v>
      </c>
      <c r="T410" s="7" t="s">
        <v>20185</v>
      </c>
      <c r="U410" s="7" t="s">
        <v>3493</v>
      </c>
      <c r="V410" s="7">
        <v>1.0</v>
      </c>
    </row>
    <row r="411">
      <c r="A411" s="7" t="s">
        <v>20186</v>
      </c>
      <c r="B411" s="7">
        <v>2100055.0</v>
      </c>
      <c r="C411" s="7" t="s">
        <v>6405</v>
      </c>
      <c r="D411" s="7" t="s">
        <v>6454</v>
      </c>
      <c r="E411" s="7" t="s">
        <v>6407</v>
      </c>
      <c r="F411" s="7" t="s">
        <v>6455</v>
      </c>
      <c r="G411" s="7" t="s">
        <v>6456</v>
      </c>
      <c r="H411" s="7" t="s">
        <v>6457</v>
      </c>
      <c r="I411" s="119">
        <v>45292.0</v>
      </c>
      <c r="K411" s="7" t="s">
        <v>419</v>
      </c>
      <c r="L411" s="7" t="s">
        <v>991</v>
      </c>
      <c r="M411" s="7" t="s">
        <v>3501</v>
      </c>
      <c r="N411" s="7" t="s">
        <v>419</v>
      </c>
      <c r="O411" s="7" t="s">
        <v>19443</v>
      </c>
      <c r="P411" s="7" t="s">
        <v>1242</v>
      </c>
      <c r="Q411" s="7" t="s">
        <v>39</v>
      </c>
      <c r="R411" s="7" t="s">
        <v>19712</v>
      </c>
      <c r="S411" s="7" t="s">
        <v>20187</v>
      </c>
      <c r="T411" s="7" t="s">
        <v>6459</v>
      </c>
      <c r="U411" s="7" t="s">
        <v>3843</v>
      </c>
      <c r="V411" s="7">
        <v>1.0</v>
      </c>
    </row>
    <row r="412">
      <c r="A412" s="7" t="s">
        <v>2259</v>
      </c>
      <c r="B412" s="7">
        <v>743.0</v>
      </c>
      <c r="C412" s="7" t="s">
        <v>6405</v>
      </c>
      <c r="D412" s="7" t="s">
        <v>6461</v>
      </c>
      <c r="E412" s="7" t="s">
        <v>6407</v>
      </c>
      <c r="F412" s="7" t="s">
        <v>6462</v>
      </c>
      <c r="G412" s="7" t="s">
        <v>6463</v>
      </c>
      <c r="H412" s="7" t="s">
        <v>6464</v>
      </c>
      <c r="I412" s="119">
        <v>45292.0</v>
      </c>
      <c r="K412" s="7" t="s">
        <v>419</v>
      </c>
      <c r="L412" s="7" t="s">
        <v>991</v>
      </c>
      <c r="M412" s="7" t="s">
        <v>3501</v>
      </c>
      <c r="N412" s="7" t="s">
        <v>419</v>
      </c>
      <c r="O412" s="7" t="s">
        <v>19430</v>
      </c>
      <c r="P412" s="7" t="s">
        <v>854</v>
      </c>
      <c r="Q412" s="7" t="s">
        <v>861</v>
      </c>
      <c r="T412" s="7" t="s">
        <v>4755</v>
      </c>
      <c r="U412" s="7" t="s">
        <v>5585</v>
      </c>
      <c r="V412" s="7">
        <v>1.0</v>
      </c>
    </row>
    <row r="413">
      <c r="A413" s="7" t="s">
        <v>20188</v>
      </c>
      <c r="B413" s="7">
        <v>3000273.0</v>
      </c>
      <c r="C413" s="7" t="s">
        <v>6405</v>
      </c>
      <c r="D413" s="7" t="s">
        <v>6466</v>
      </c>
      <c r="E413" s="7" t="s">
        <v>6407</v>
      </c>
      <c r="F413" s="7" t="s">
        <v>6467</v>
      </c>
      <c r="G413" s="7" t="s">
        <v>6468</v>
      </c>
      <c r="H413" s="7" t="s">
        <v>6469</v>
      </c>
      <c r="I413" s="119">
        <v>45566.0</v>
      </c>
      <c r="K413" s="7" t="s">
        <v>419</v>
      </c>
      <c r="L413" s="7" t="s">
        <v>991</v>
      </c>
      <c r="M413" s="7" t="s">
        <v>3501</v>
      </c>
      <c r="N413" s="7" t="s">
        <v>419</v>
      </c>
      <c r="O413" s="7" t="s">
        <v>19430</v>
      </c>
      <c r="P413" s="7" t="s">
        <v>717</v>
      </c>
      <c r="Q413" s="7" t="s">
        <v>720</v>
      </c>
      <c r="R413" s="7" t="s">
        <v>19823</v>
      </c>
      <c r="S413" s="7" t="s">
        <v>20128</v>
      </c>
      <c r="T413" s="7" t="s">
        <v>6161</v>
      </c>
      <c r="U413" s="7" t="s">
        <v>3843</v>
      </c>
      <c r="V413" s="7">
        <v>1.0</v>
      </c>
    </row>
    <row r="414">
      <c r="A414" s="7" t="s">
        <v>20189</v>
      </c>
      <c r="B414" s="7">
        <v>2100153.0</v>
      </c>
      <c r="C414" s="7" t="s">
        <v>6405</v>
      </c>
      <c r="D414" s="7" t="s">
        <v>4881</v>
      </c>
      <c r="E414" s="7" t="s">
        <v>6407</v>
      </c>
      <c r="F414" s="7" t="s">
        <v>4883</v>
      </c>
      <c r="G414" s="7" t="s">
        <v>6471</v>
      </c>
      <c r="H414" s="7" t="s">
        <v>6472</v>
      </c>
      <c r="I414" s="119">
        <v>45292.0</v>
      </c>
      <c r="K414" s="7" t="s">
        <v>419</v>
      </c>
      <c r="L414" s="7" t="s">
        <v>991</v>
      </c>
      <c r="M414" s="7" t="s">
        <v>3531</v>
      </c>
      <c r="N414" s="7" t="s">
        <v>419</v>
      </c>
      <c r="O414" s="7" t="s">
        <v>19432</v>
      </c>
      <c r="P414" s="7" t="s">
        <v>298</v>
      </c>
      <c r="Q414" s="7" t="s">
        <v>1284</v>
      </c>
      <c r="R414" s="7" t="s">
        <v>20190</v>
      </c>
      <c r="S414" s="7" t="s">
        <v>20191</v>
      </c>
      <c r="T414" s="7" t="s">
        <v>6474</v>
      </c>
      <c r="U414" s="7" t="s">
        <v>3493</v>
      </c>
      <c r="V414" s="7">
        <v>1.0</v>
      </c>
    </row>
    <row r="415">
      <c r="A415" s="7" t="s">
        <v>1798</v>
      </c>
      <c r="B415" s="7">
        <v>150.0</v>
      </c>
      <c r="C415" s="7" t="s">
        <v>6405</v>
      </c>
      <c r="D415" s="7" t="s">
        <v>6475</v>
      </c>
      <c r="E415" s="7" t="s">
        <v>6407</v>
      </c>
      <c r="F415" s="7" t="s">
        <v>6476</v>
      </c>
      <c r="G415" s="7" t="s">
        <v>6477</v>
      </c>
      <c r="H415" s="7" t="s">
        <v>6478</v>
      </c>
      <c r="I415" s="119">
        <v>45292.0</v>
      </c>
      <c r="K415" s="7" t="s">
        <v>419</v>
      </c>
      <c r="L415" s="7" t="s">
        <v>991</v>
      </c>
      <c r="M415" s="7" t="s">
        <v>3501</v>
      </c>
      <c r="N415" s="7" t="s">
        <v>419</v>
      </c>
      <c r="O415" s="7" t="s">
        <v>19432</v>
      </c>
      <c r="P415" s="7" t="s">
        <v>298</v>
      </c>
      <c r="Q415" s="7" t="s">
        <v>798</v>
      </c>
      <c r="T415" s="7" t="s">
        <v>5274</v>
      </c>
      <c r="U415" s="7" t="s">
        <v>5585</v>
      </c>
      <c r="V415" s="7">
        <v>1.0</v>
      </c>
    </row>
    <row r="416">
      <c r="A416" s="7" t="s">
        <v>20192</v>
      </c>
      <c r="B416" s="7">
        <v>2100417.0</v>
      </c>
      <c r="C416" s="7" t="s">
        <v>6405</v>
      </c>
      <c r="D416" s="7" t="s">
        <v>6480</v>
      </c>
      <c r="E416" s="7" t="s">
        <v>6407</v>
      </c>
      <c r="F416" s="7" t="s">
        <v>4469</v>
      </c>
      <c r="G416" s="7" t="s">
        <v>6481</v>
      </c>
      <c r="H416" s="7" t="s">
        <v>6482</v>
      </c>
      <c r="I416" s="119">
        <v>45292.0</v>
      </c>
      <c r="K416" s="7" t="s">
        <v>419</v>
      </c>
      <c r="L416" s="7" t="s">
        <v>991</v>
      </c>
      <c r="M416" s="7" t="s">
        <v>3501</v>
      </c>
      <c r="N416" s="7" t="s">
        <v>419</v>
      </c>
      <c r="O416" s="7" t="s">
        <v>19430</v>
      </c>
      <c r="P416" s="7" t="s">
        <v>854</v>
      </c>
      <c r="Q416" s="7" t="s">
        <v>861</v>
      </c>
      <c r="R416" s="7" t="s">
        <v>19516</v>
      </c>
      <c r="T416" s="7" t="s">
        <v>3603</v>
      </c>
      <c r="U416" s="7" t="s">
        <v>3493</v>
      </c>
      <c r="V416" s="7">
        <v>1.0</v>
      </c>
    </row>
    <row r="417">
      <c r="A417" s="7" t="s">
        <v>20193</v>
      </c>
      <c r="B417" s="7">
        <v>2100006.0</v>
      </c>
      <c r="C417" s="7" t="s">
        <v>6405</v>
      </c>
      <c r="D417" s="7" t="s">
        <v>6484</v>
      </c>
      <c r="E417" s="7" t="s">
        <v>6407</v>
      </c>
      <c r="F417" s="7" t="s">
        <v>4478</v>
      </c>
      <c r="G417" s="7" t="s">
        <v>6485</v>
      </c>
      <c r="H417" s="7" t="s">
        <v>6486</v>
      </c>
      <c r="I417" s="119">
        <v>45292.0</v>
      </c>
      <c r="K417" s="7" t="s">
        <v>419</v>
      </c>
      <c r="L417" s="7" t="s">
        <v>991</v>
      </c>
      <c r="M417" s="7" t="s">
        <v>3501</v>
      </c>
      <c r="N417" s="7" t="s">
        <v>419</v>
      </c>
      <c r="O417" s="7" t="s">
        <v>19432</v>
      </c>
      <c r="P417" s="7" t="s">
        <v>391</v>
      </c>
      <c r="Q417" s="7" t="s">
        <v>399</v>
      </c>
      <c r="R417" s="7" t="s">
        <v>20194</v>
      </c>
      <c r="T417" s="7" t="s">
        <v>6534</v>
      </c>
      <c r="U417" s="7" t="s">
        <v>3604</v>
      </c>
      <c r="V417" s="7">
        <v>1.0</v>
      </c>
    </row>
    <row r="418">
      <c r="A418" s="7" t="s">
        <v>20195</v>
      </c>
      <c r="B418" s="7">
        <v>11205.0</v>
      </c>
      <c r="C418" s="7" t="s">
        <v>6405</v>
      </c>
      <c r="D418" s="7" t="s">
        <v>6490</v>
      </c>
      <c r="E418" s="7" t="s">
        <v>6407</v>
      </c>
      <c r="F418" s="7" t="s">
        <v>3609</v>
      </c>
      <c r="G418" s="7" t="s">
        <v>6491</v>
      </c>
      <c r="H418" s="7" t="s">
        <v>6492</v>
      </c>
      <c r="I418" s="119">
        <v>45292.0</v>
      </c>
      <c r="K418" s="7" t="s">
        <v>419</v>
      </c>
      <c r="L418" s="7" t="s">
        <v>991</v>
      </c>
      <c r="M418" s="7" t="s">
        <v>3583</v>
      </c>
      <c r="N418" s="7" t="s">
        <v>419</v>
      </c>
      <c r="O418" s="7" t="s">
        <v>19430</v>
      </c>
      <c r="P418" s="7" t="s">
        <v>717</v>
      </c>
      <c r="Q418" s="7" t="s">
        <v>1163</v>
      </c>
      <c r="R418" s="7" t="s">
        <v>19608</v>
      </c>
      <c r="S418" s="7" t="s">
        <v>19618</v>
      </c>
      <c r="T418" s="7" t="s">
        <v>3997</v>
      </c>
      <c r="U418" s="7" t="s">
        <v>3493</v>
      </c>
      <c r="V418" s="7">
        <v>1.0</v>
      </c>
    </row>
    <row r="419">
      <c r="A419" s="7" t="s">
        <v>20196</v>
      </c>
      <c r="B419" s="7">
        <v>167.0</v>
      </c>
      <c r="C419" s="7" t="s">
        <v>6405</v>
      </c>
      <c r="D419" s="7" t="s">
        <v>6494</v>
      </c>
      <c r="E419" s="7" t="s">
        <v>6407</v>
      </c>
      <c r="F419" s="7" t="s">
        <v>6495</v>
      </c>
      <c r="G419" s="7" t="s">
        <v>6496</v>
      </c>
      <c r="H419" s="7" t="s">
        <v>6497</v>
      </c>
      <c r="I419" s="119">
        <v>45292.0</v>
      </c>
      <c r="K419" s="7" t="s">
        <v>419</v>
      </c>
      <c r="L419" s="7" t="s">
        <v>991</v>
      </c>
      <c r="M419" s="7" t="s">
        <v>3501</v>
      </c>
      <c r="N419" s="7" t="s">
        <v>419</v>
      </c>
      <c r="O419" s="7" t="s">
        <v>19443</v>
      </c>
      <c r="P419" s="7" t="s">
        <v>1242</v>
      </c>
      <c r="Q419" s="7" t="s">
        <v>48</v>
      </c>
      <c r="R419" s="7" t="s">
        <v>20064</v>
      </c>
      <c r="T419" s="7" t="s">
        <v>5876</v>
      </c>
      <c r="U419" s="7" t="s">
        <v>3604</v>
      </c>
      <c r="V419" s="7">
        <v>1.0</v>
      </c>
    </row>
    <row r="420">
      <c r="A420" s="7" t="s">
        <v>20197</v>
      </c>
      <c r="B420" s="7">
        <v>2300384.0</v>
      </c>
      <c r="C420" s="7" t="s">
        <v>6405</v>
      </c>
      <c r="D420" s="7" t="s">
        <v>6499</v>
      </c>
      <c r="E420" s="7" t="s">
        <v>6407</v>
      </c>
      <c r="F420" s="7" t="s">
        <v>6499</v>
      </c>
      <c r="G420" s="7" t="s">
        <v>6500</v>
      </c>
      <c r="H420" s="7" t="s">
        <v>6501</v>
      </c>
      <c r="I420" s="119">
        <v>45292.0</v>
      </c>
      <c r="K420" s="7" t="s">
        <v>419</v>
      </c>
      <c r="L420" s="7" t="s">
        <v>991</v>
      </c>
      <c r="M420" s="7" t="s">
        <v>3531</v>
      </c>
      <c r="N420" s="7" t="s">
        <v>419</v>
      </c>
      <c r="O420" s="7" t="s">
        <v>19432</v>
      </c>
      <c r="P420" s="7" t="s">
        <v>693</v>
      </c>
      <c r="Q420" s="7" t="s">
        <v>698</v>
      </c>
      <c r="R420" s="7" t="s">
        <v>19563</v>
      </c>
      <c r="S420" s="7" t="s">
        <v>19971</v>
      </c>
      <c r="T420" s="7" t="s">
        <v>5462</v>
      </c>
      <c r="U420" s="7" t="s">
        <v>3493</v>
      </c>
      <c r="V420" s="7">
        <v>1.0</v>
      </c>
    </row>
    <row r="421">
      <c r="A421" s="7" t="s">
        <v>2104</v>
      </c>
      <c r="B421" s="7">
        <v>13975.0</v>
      </c>
      <c r="C421" s="7" t="s">
        <v>6405</v>
      </c>
      <c r="D421" s="7" t="s">
        <v>6503</v>
      </c>
      <c r="E421" s="7" t="s">
        <v>6407</v>
      </c>
      <c r="F421" s="7" t="s">
        <v>6202</v>
      </c>
      <c r="G421" s="7" t="s">
        <v>6504</v>
      </c>
      <c r="H421" s="7" t="s">
        <v>6505</v>
      </c>
      <c r="I421" s="119">
        <v>45292.0</v>
      </c>
      <c r="K421" s="7" t="s">
        <v>419</v>
      </c>
      <c r="L421" s="7" t="s">
        <v>991</v>
      </c>
      <c r="M421" s="7" t="s">
        <v>3501</v>
      </c>
      <c r="N421" s="7" t="s">
        <v>419</v>
      </c>
      <c r="O421" s="7" t="s">
        <v>19437</v>
      </c>
      <c r="P421" s="7" t="s">
        <v>478</v>
      </c>
      <c r="Q421" s="7" t="s">
        <v>482</v>
      </c>
      <c r="T421" s="7" t="s">
        <v>16801</v>
      </c>
      <c r="U421" s="7" t="s">
        <v>5585</v>
      </c>
      <c r="V421" s="7">
        <v>1.0</v>
      </c>
    </row>
    <row r="422">
      <c r="A422" s="7" t="s">
        <v>20198</v>
      </c>
      <c r="B422" s="7">
        <v>2100492.0</v>
      </c>
      <c r="C422" s="7" t="s">
        <v>6405</v>
      </c>
      <c r="D422" s="7" t="s">
        <v>6260</v>
      </c>
      <c r="E422" s="7" t="s">
        <v>6407</v>
      </c>
      <c r="F422" s="7" t="s">
        <v>6509</v>
      </c>
      <c r="G422" s="7" t="s">
        <v>6510</v>
      </c>
      <c r="H422" s="7" t="s">
        <v>6511</v>
      </c>
      <c r="I422" s="119">
        <v>45292.0</v>
      </c>
      <c r="K422" s="7" t="s">
        <v>419</v>
      </c>
      <c r="L422" s="7" t="s">
        <v>991</v>
      </c>
      <c r="M422" s="7" t="s">
        <v>3501</v>
      </c>
      <c r="N422" s="7" t="s">
        <v>419</v>
      </c>
      <c r="O422" s="7" t="s">
        <v>19433</v>
      </c>
      <c r="P422" s="7" t="s">
        <v>648</v>
      </c>
      <c r="Q422" s="7" t="s">
        <v>148</v>
      </c>
      <c r="R422" s="7" t="s">
        <v>19501</v>
      </c>
      <c r="T422" s="7" t="s">
        <v>4445</v>
      </c>
      <c r="U422" s="7" t="s">
        <v>3493</v>
      </c>
      <c r="V422" s="7">
        <v>1.0</v>
      </c>
    </row>
    <row r="423">
      <c r="A423" s="7" t="s">
        <v>20199</v>
      </c>
      <c r="B423" s="7">
        <v>12309.0</v>
      </c>
      <c r="C423" s="7" t="s">
        <v>6405</v>
      </c>
      <c r="D423" s="7" t="s">
        <v>6513</v>
      </c>
      <c r="E423" s="7" t="s">
        <v>6407</v>
      </c>
      <c r="F423" s="7" t="s">
        <v>4598</v>
      </c>
      <c r="G423" s="7" t="s">
        <v>6514</v>
      </c>
      <c r="H423" s="7" t="s">
        <v>6515</v>
      </c>
      <c r="I423" s="119">
        <v>45292.0</v>
      </c>
      <c r="K423" s="7" t="s">
        <v>419</v>
      </c>
      <c r="L423" s="7" t="s">
        <v>991</v>
      </c>
      <c r="M423" s="7" t="s">
        <v>3531</v>
      </c>
      <c r="N423" s="7" t="s">
        <v>419</v>
      </c>
      <c r="O423" s="7" t="s">
        <v>19432</v>
      </c>
      <c r="P423" s="7" t="s">
        <v>391</v>
      </c>
      <c r="Q423" s="7" t="s">
        <v>392</v>
      </c>
      <c r="R423" s="7" t="s">
        <v>19534</v>
      </c>
      <c r="T423" s="7" t="s">
        <v>5350</v>
      </c>
      <c r="U423" s="7" t="s">
        <v>3493</v>
      </c>
      <c r="V423" s="7">
        <v>1.0</v>
      </c>
    </row>
    <row r="424">
      <c r="A424" s="7" t="s">
        <v>20200</v>
      </c>
      <c r="B424" s="7">
        <v>2300205.0</v>
      </c>
      <c r="C424" s="7" t="s">
        <v>6405</v>
      </c>
      <c r="D424" s="7" t="s">
        <v>6518</v>
      </c>
      <c r="E424" s="7" t="s">
        <v>6407</v>
      </c>
      <c r="F424" s="7" t="s">
        <v>4598</v>
      </c>
      <c r="G424" s="7" t="s">
        <v>6519</v>
      </c>
      <c r="H424" s="7" t="s">
        <v>6520</v>
      </c>
      <c r="I424" s="119">
        <v>45292.0</v>
      </c>
      <c r="K424" s="7" t="s">
        <v>4042</v>
      </c>
      <c r="L424" s="7" t="s">
        <v>991</v>
      </c>
      <c r="M424" s="7" t="s">
        <v>3531</v>
      </c>
      <c r="N424" s="7" t="s">
        <v>4042</v>
      </c>
      <c r="O424" s="7" t="s">
        <v>4042</v>
      </c>
      <c r="P424" s="7" t="s">
        <v>19632</v>
      </c>
      <c r="T424" s="7" t="s">
        <v>4044</v>
      </c>
      <c r="U424" s="7" t="s">
        <v>3493</v>
      </c>
      <c r="V424" s="7">
        <v>1.0</v>
      </c>
    </row>
    <row r="425">
      <c r="A425" s="7" t="s">
        <v>20201</v>
      </c>
      <c r="B425" s="7">
        <v>13562.0</v>
      </c>
      <c r="C425" s="7" t="s">
        <v>6405</v>
      </c>
      <c r="D425" s="7" t="s">
        <v>6522</v>
      </c>
      <c r="E425" s="7" t="s">
        <v>6407</v>
      </c>
      <c r="F425" s="7" t="s">
        <v>6523</v>
      </c>
      <c r="G425" s="7" t="s">
        <v>6524</v>
      </c>
      <c r="H425" s="7" t="s">
        <v>6525</v>
      </c>
      <c r="I425" s="119">
        <v>45292.0</v>
      </c>
      <c r="K425" s="7" t="s">
        <v>3632</v>
      </c>
      <c r="L425" s="7" t="s">
        <v>991</v>
      </c>
      <c r="M425" s="7" t="s">
        <v>3501</v>
      </c>
      <c r="N425" s="7" t="s">
        <v>3632</v>
      </c>
      <c r="O425" s="7" t="s">
        <v>3632</v>
      </c>
      <c r="P425" s="7" t="s">
        <v>625</v>
      </c>
      <c r="Q425" s="7" t="s">
        <v>118</v>
      </c>
      <c r="R425" s="7" t="s">
        <v>20202</v>
      </c>
      <c r="T425" s="7" t="s">
        <v>12942</v>
      </c>
      <c r="U425" s="7" t="s">
        <v>3493</v>
      </c>
      <c r="V425" s="7">
        <v>1.0</v>
      </c>
    </row>
    <row r="426">
      <c r="A426" s="7" t="s">
        <v>20203</v>
      </c>
      <c r="B426" s="7">
        <v>2300518.0</v>
      </c>
      <c r="C426" s="7" t="s">
        <v>6529</v>
      </c>
      <c r="D426" s="7" t="s">
        <v>6530</v>
      </c>
      <c r="E426" s="7" t="s">
        <v>6531</v>
      </c>
      <c r="F426" s="7" t="s">
        <v>6530</v>
      </c>
      <c r="G426" s="7" t="s">
        <v>6532</v>
      </c>
      <c r="H426" s="7" t="s">
        <v>6533</v>
      </c>
      <c r="I426" s="119">
        <v>45292.0</v>
      </c>
      <c r="K426" s="7" t="s">
        <v>419</v>
      </c>
      <c r="L426" s="7" t="s">
        <v>991</v>
      </c>
      <c r="M426" s="7" t="s">
        <v>3531</v>
      </c>
      <c r="N426" s="7" t="s">
        <v>419</v>
      </c>
      <c r="O426" s="7" t="s">
        <v>19432</v>
      </c>
      <c r="P426" s="7" t="s">
        <v>391</v>
      </c>
      <c r="Q426" s="7" t="s">
        <v>399</v>
      </c>
      <c r="R426" s="7" t="s">
        <v>20194</v>
      </c>
      <c r="T426" s="7" t="s">
        <v>6534</v>
      </c>
      <c r="U426" s="7" t="s">
        <v>3493</v>
      </c>
      <c r="V426" s="7">
        <v>1.0</v>
      </c>
    </row>
    <row r="427">
      <c r="A427" s="7" t="s">
        <v>20204</v>
      </c>
      <c r="B427" s="7">
        <v>2100014.0</v>
      </c>
      <c r="C427" s="7" t="s">
        <v>6536</v>
      </c>
      <c r="D427" s="7" t="s">
        <v>6537</v>
      </c>
      <c r="E427" s="7" t="s">
        <v>6538</v>
      </c>
      <c r="F427" s="7" t="s">
        <v>6539</v>
      </c>
      <c r="G427" s="7" t="s">
        <v>6540</v>
      </c>
      <c r="H427" s="7" t="s">
        <v>6541</v>
      </c>
      <c r="I427" s="119">
        <v>45292.0</v>
      </c>
      <c r="K427" s="7" t="s">
        <v>419</v>
      </c>
      <c r="L427" s="7" t="s">
        <v>991</v>
      </c>
      <c r="M427" s="7" t="s">
        <v>3501</v>
      </c>
      <c r="N427" s="7" t="s">
        <v>419</v>
      </c>
      <c r="O427" s="7" t="s">
        <v>19432</v>
      </c>
      <c r="P427" s="7" t="s">
        <v>391</v>
      </c>
      <c r="Q427" s="7" t="s">
        <v>392</v>
      </c>
      <c r="R427" s="7" t="s">
        <v>19641</v>
      </c>
      <c r="T427" s="7" t="s">
        <v>4088</v>
      </c>
      <c r="U427" s="7" t="s">
        <v>3493</v>
      </c>
      <c r="V427" s="7">
        <v>1.0</v>
      </c>
    </row>
    <row r="428">
      <c r="A428" s="7" t="s">
        <v>20205</v>
      </c>
      <c r="B428" s="7">
        <v>2200895.0</v>
      </c>
      <c r="C428" s="7" t="s">
        <v>6543</v>
      </c>
      <c r="D428" s="7" t="s">
        <v>6299</v>
      </c>
      <c r="E428" s="7" t="s">
        <v>6544</v>
      </c>
      <c r="F428" s="7" t="s">
        <v>6301</v>
      </c>
      <c r="G428" s="7" t="s">
        <v>6545</v>
      </c>
      <c r="H428" s="7" t="s">
        <v>6546</v>
      </c>
      <c r="I428" s="119">
        <v>45292.0</v>
      </c>
      <c r="K428" s="7" t="s">
        <v>419</v>
      </c>
      <c r="L428" s="7" t="s">
        <v>991</v>
      </c>
      <c r="M428" s="7" t="s">
        <v>3531</v>
      </c>
      <c r="N428" s="7" t="s">
        <v>419</v>
      </c>
      <c r="O428" s="7" t="s">
        <v>19430</v>
      </c>
      <c r="P428" s="7" t="s">
        <v>717</v>
      </c>
      <c r="Q428" s="7" t="s">
        <v>725</v>
      </c>
      <c r="R428" s="7" t="s">
        <v>19501</v>
      </c>
      <c r="S428" s="7" t="s">
        <v>19726</v>
      </c>
      <c r="T428" s="7" t="s">
        <v>4400</v>
      </c>
      <c r="U428" s="7" t="s">
        <v>3493</v>
      </c>
      <c r="V428" s="7">
        <v>1.0</v>
      </c>
    </row>
    <row r="429">
      <c r="A429" s="7" t="s">
        <v>20206</v>
      </c>
      <c r="B429" s="7">
        <v>2200300.0</v>
      </c>
      <c r="C429" s="7" t="s">
        <v>6548</v>
      </c>
      <c r="D429" s="7" t="s">
        <v>6549</v>
      </c>
      <c r="E429" s="7" t="s">
        <v>6550</v>
      </c>
      <c r="F429" s="7" t="s">
        <v>4695</v>
      </c>
      <c r="G429" s="7" t="s">
        <v>6551</v>
      </c>
      <c r="H429" s="7" t="s">
        <v>6552</v>
      </c>
      <c r="I429" s="119">
        <v>45292.0</v>
      </c>
      <c r="K429" s="7" t="s">
        <v>419</v>
      </c>
      <c r="L429" s="7" t="s">
        <v>991</v>
      </c>
      <c r="M429" s="7" t="s">
        <v>3531</v>
      </c>
      <c r="N429" s="7" t="s">
        <v>419</v>
      </c>
      <c r="O429" s="7" t="s">
        <v>19430</v>
      </c>
      <c r="P429" s="7" t="s">
        <v>717</v>
      </c>
      <c r="Q429" s="7" t="s">
        <v>1163</v>
      </c>
      <c r="R429" s="7" t="s">
        <v>19608</v>
      </c>
      <c r="S429" s="7" t="s">
        <v>19618</v>
      </c>
      <c r="T429" s="7" t="s">
        <v>3997</v>
      </c>
      <c r="U429" s="7" t="s">
        <v>3493</v>
      </c>
      <c r="V429" s="7">
        <v>1.0</v>
      </c>
    </row>
    <row r="430">
      <c r="A430" s="7" t="s">
        <v>1914</v>
      </c>
      <c r="B430" s="7">
        <v>10823.0</v>
      </c>
      <c r="C430" s="7" t="s">
        <v>6553</v>
      </c>
      <c r="D430" s="7" t="s">
        <v>6554</v>
      </c>
      <c r="E430" s="7" t="s">
        <v>6555</v>
      </c>
      <c r="F430" s="7" t="s">
        <v>4598</v>
      </c>
      <c r="G430" s="7" t="s">
        <v>6556</v>
      </c>
      <c r="H430" s="7" t="s">
        <v>6557</v>
      </c>
      <c r="I430" s="119">
        <v>45292.0</v>
      </c>
      <c r="K430" s="7" t="s">
        <v>419</v>
      </c>
      <c r="L430" s="7" t="s">
        <v>991</v>
      </c>
      <c r="M430" s="7" t="s">
        <v>3501</v>
      </c>
      <c r="N430" s="7" t="s">
        <v>419</v>
      </c>
      <c r="O430" s="7" t="s">
        <v>19430</v>
      </c>
      <c r="P430" s="7" t="s">
        <v>854</v>
      </c>
      <c r="Q430" s="7" t="s">
        <v>857</v>
      </c>
      <c r="R430" s="7" t="s">
        <v>19574</v>
      </c>
      <c r="T430" s="7" t="s">
        <v>3878</v>
      </c>
      <c r="U430" s="7" t="s">
        <v>3493</v>
      </c>
      <c r="V430" s="7">
        <v>1.0</v>
      </c>
    </row>
    <row r="431">
      <c r="A431" s="7" t="s">
        <v>20207</v>
      </c>
      <c r="B431" s="7">
        <v>14066.0</v>
      </c>
      <c r="C431" s="7" t="s">
        <v>6559</v>
      </c>
      <c r="D431" s="7" t="s">
        <v>6560</v>
      </c>
      <c r="E431" s="7" t="s">
        <v>6561</v>
      </c>
      <c r="F431" s="7" t="s">
        <v>6560</v>
      </c>
      <c r="G431" s="7" t="s">
        <v>6562</v>
      </c>
      <c r="H431" s="7" t="s">
        <v>6563</v>
      </c>
      <c r="I431" s="119">
        <v>45292.0</v>
      </c>
      <c r="K431" s="7" t="s">
        <v>3541</v>
      </c>
      <c r="L431" s="7" t="s">
        <v>3542</v>
      </c>
      <c r="M431" s="7" t="s">
        <v>3543</v>
      </c>
      <c r="N431" s="7" t="s">
        <v>419</v>
      </c>
      <c r="O431" s="7" t="s">
        <v>19430</v>
      </c>
      <c r="P431" s="7" t="s">
        <v>854</v>
      </c>
      <c r="Q431" s="7" t="s">
        <v>864</v>
      </c>
      <c r="R431" s="7" t="s">
        <v>19504</v>
      </c>
      <c r="T431" s="7" t="s">
        <v>19505</v>
      </c>
      <c r="U431" s="7" t="s">
        <v>3493</v>
      </c>
      <c r="V431" s="7">
        <v>1.0</v>
      </c>
    </row>
    <row r="432">
      <c r="A432" s="7" t="s">
        <v>20208</v>
      </c>
      <c r="B432" s="7">
        <v>13449.0</v>
      </c>
      <c r="C432" s="7" t="s">
        <v>6559</v>
      </c>
      <c r="D432" s="7" t="s">
        <v>6565</v>
      </c>
      <c r="E432" s="7" t="s">
        <v>6561</v>
      </c>
      <c r="F432" s="7" t="s">
        <v>5250</v>
      </c>
      <c r="G432" s="7" t="s">
        <v>6566</v>
      </c>
      <c r="H432" s="7" t="s">
        <v>6567</v>
      </c>
      <c r="I432" s="119">
        <v>45292.0</v>
      </c>
      <c r="K432" s="7" t="s">
        <v>419</v>
      </c>
      <c r="L432" s="7" t="s">
        <v>991</v>
      </c>
      <c r="M432" s="7" t="s">
        <v>3501</v>
      </c>
      <c r="N432" s="7" t="s">
        <v>419</v>
      </c>
      <c r="O432" s="7" t="s">
        <v>19430</v>
      </c>
      <c r="P432" s="7" t="s">
        <v>717</v>
      </c>
      <c r="Q432" s="7" t="s">
        <v>722</v>
      </c>
      <c r="R432" s="7" t="s">
        <v>20209</v>
      </c>
      <c r="S432" s="7" t="s">
        <v>20210</v>
      </c>
      <c r="T432" s="7" t="s">
        <v>6569</v>
      </c>
      <c r="U432" s="7" t="s">
        <v>3493</v>
      </c>
      <c r="V432" s="7">
        <v>1.0</v>
      </c>
    </row>
    <row r="433">
      <c r="A433" s="7" t="s">
        <v>20211</v>
      </c>
      <c r="B433" s="7">
        <v>10666.0</v>
      </c>
      <c r="C433" s="7" t="s">
        <v>6559</v>
      </c>
      <c r="D433" s="7" t="s">
        <v>6571</v>
      </c>
      <c r="E433" s="7" t="s">
        <v>6561</v>
      </c>
      <c r="F433" s="7" t="s">
        <v>3909</v>
      </c>
      <c r="G433" s="7" t="s">
        <v>6572</v>
      </c>
      <c r="H433" s="7" t="s">
        <v>6573</v>
      </c>
      <c r="I433" s="119">
        <v>45292.0</v>
      </c>
      <c r="K433" s="7" t="s">
        <v>419</v>
      </c>
      <c r="L433" s="7" t="s">
        <v>991</v>
      </c>
      <c r="M433" s="7" t="s">
        <v>3501</v>
      </c>
      <c r="N433" s="7" t="s">
        <v>419</v>
      </c>
      <c r="O433" s="7" t="s">
        <v>19430</v>
      </c>
      <c r="P433" s="7" t="s">
        <v>717</v>
      </c>
      <c r="Q433" s="7" t="s">
        <v>720</v>
      </c>
      <c r="R433" s="7" t="s">
        <v>19834</v>
      </c>
      <c r="S433" s="7" t="s">
        <v>19835</v>
      </c>
      <c r="T433" s="7" t="s">
        <v>4811</v>
      </c>
      <c r="U433" s="7" t="s">
        <v>3493</v>
      </c>
      <c r="V433" s="7">
        <v>1.0</v>
      </c>
    </row>
    <row r="434">
      <c r="A434" s="7" t="s">
        <v>20212</v>
      </c>
      <c r="B434" s="7">
        <v>10939.0</v>
      </c>
      <c r="C434" s="7" t="s">
        <v>6559</v>
      </c>
      <c r="D434" s="7" t="s">
        <v>6575</v>
      </c>
      <c r="E434" s="7" t="s">
        <v>6561</v>
      </c>
      <c r="F434" s="7" t="s">
        <v>6576</v>
      </c>
      <c r="G434" s="7" t="s">
        <v>6577</v>
      </c>
      <c r="H434" s="7" t="s">
        <v>6578</v>
      </c>
      <c r="I434" s="119">
        <v>45292.0</v>
      </c>
      <c r="K434" s="7" t="s">
        <v>419</v>
      </c>
      <c r="L434" s="7" t="s">
        <v>991</v>
      </c>
      <c r="M434" s="7" t="s">
        <v>3501</v>
      </c>
      <c r="N434" s="7" t="s">
        <v>419</v>
      </c>
      <c r="O434" s="7" t="s">
        <v>19430</v>
      </c>
      <c r="P434" s="7" t="s">
        <v>717</v>
      </c>
      <c r="Q434" s="7" t="s">
        <v>1163</v>
      </c>
      <c r="R434" s="7" t="s">
        <v>20110</v>
      </c>
      <c r="S434" s="7" t="s">
        <v>20213</v>
      </c>
      <c r="T434" s="7" t="s">
        <v>6580</v>
      </c>
      <c r="U434" s="7" t="s">
        <v>3493</v>
      </c>
      <c r="V434" s="7">
        <v>1.0</v>
      </c>
    </row>
    <row r="435">
      <c r="A435" s="7" t="s">
        <v>20214</v>
      </c>
      <c r="B435" s="7">
        <v>13006.0</v>
      </c>
      <c r="C435" s="7" t="s">
        <v>6582</v>
      </c>
      <c r="D435" s="7" t="s">
        <v>6583</v>
      </c>
      <c r="E435" s="7" t="s">
        <v>6584</v>
      </c>
      <c r="F435" s="7" t="s">
        <v>6585</v>
      </c>
      <c r="G435" s="7" t="s">
        <v>6586</v>
      </c>
      <c r="H435" s="7" t="s">
        <v>6587</v>
      </c>
      <c r="I435" s="119">
        <v>45292.0</v>
      </c>
      <c r="K435" s="7" t="s">
        <v>419</v>
      </c>
      <c r="L435" s="7" t="s">
        <v>991</v>
      </c>
      <c r="M435" s="7" t="s">
        <v>3531</v>
      </c>
      <c r="N435" s="7" t="s">
        <v>419</v>
      </c>
      <c r="O435" s="7" t="s">
        <v>19430</v>
      </c>
      <c r="P435" s="7" t="s">
        <v>717</v>
      </c>
      <c r="Q435" s="7" t="s">
        <v>738</v>
      </c>
      <c r="R435" s="7" t="s">
        <v>19902</v>
      </c>
      <c r="S435" s="7" t="s">
        <v>19903</v>
      </c>
      <c r="T435" s="7" t="s">
        <v>5167</v>
      </c>
      <c r="U435" s="7" t="s">
        <v>3493</v>
      </c>
      <c r="V435" s="7">
        <v>1.0</v>
      </c>
    </row>
    <row r="436">
      <c r="A436" s="7" t="s">
        <v>20215</v>
      </c>
      <c r="B436" s="7">
        <v>12600.0</v>
      </c>
      <c r="C436" s="7" t="s">
        <v>6589</v>
      </c>
      <c r="D436" s="7" t="s">
        <v>6590</v>
      </c>
      <c r="E436" s="7" t="s">
        <v>6591</v>
      </c>
      <c r="F436" s="7" t="s">
        <v>6592</v>
      </c>
      <c r="G436" s="7" t="s">
        <v>6593</v>
      </c>
      <c r="H436" s="7" t="s">
        <v>6594</v>
      </c>
      <c r="I436" s="119">
        <v>45292.0</v>
      </c>
      <c r="K436" s="7" t="s">
        <v>419</v>
      </c>
      <c r="L436" s="7" t="s">
        <v>991</v>
      </c>
      <c r="M436" s="7" t="s">
        <v>3501</v>
      </c>
      <c r="N436" s="7" t="s">
        <v>419</v>
      </c>
      <c r="O436" s="7" t="s">
        <v>19438</v>
      </c>
      <c r="P436" s="7" t="s">
        <v>19465</v>
      </c>
      <c r="Q436" s="7" t="s">
        <v>186</v>
      </c>
      <c r="R436" s="7" t="s">
        <v>20121</v>
      </c>
      <c r="T436" s="7" t="s">
        <v>6596</v>
      </c>
      <c r="U436" s="7" t="s">
        <v>3493</v>
      </c>
      <c r="V436" s="7">
        <v>1.0</v>
      </c>
    </row>
    <row r="437">
      <c r="A437" s="7" t="s">
        <v>20216</v>
      </c>
      <c r="B437" s="7">
        <v>11503.0</v>
      </c>
      <c r="C437" s="7" t="s">
        <v>6598</v>
      </c>
      <c r="D437" s="7" t="s">
        <v>6182</v>
      </c>
      <c r="E437" s="7" t="s">
        <v>6599</v>
      </c>
      <c r="F437" s="7" t="s">
        <v>6184</v>
      </c>
      <c r="G437" s="7" t="s">
        <v>6600</v>
      </c>
      <c r="H437" s="7" t="s">
        <v>6601</v>
      </c>
      <c r="I437" s="119">
        <v>45292.0</v>
      </c>
      <c r="K437" s="7" t="s">
        <v>419</v>
      </c>
      <c r="L437" s="7" t="s">
        <v>991</v>
      </c>
      <c r="M437" s="7" t="s">
        <v>3501</v>
      </c>
      <c r="N437" s="7" t="s">
        <v>419</v>
      </c>
      <c r="O437" s="7" t="s">
        <v>19430</v>
      </c>
      <c r="P437" s="7" t="s">
        <v>717</v>
      </c>
      <c r="Q437" s="7" t="s">
        <v>251</v>
      </c>
      <c r="R437" s="7" t="s">
        <v>19716</v>
      </c>
      <c r="S437" s="7" t="s">
        <v>19694</v>
      </c>
      <c r="T437" s="7" t="s">
        <v>6603</v>
      </c>
      <c r="U437" s="7" t="s">
        <v>3843</v>
      </c>
      <c r="V437" s="7">
        <v>1.0</v>
      </c>
    </row>
    <row r="438">
      <c r="A438" s="7" t="s">
        <v>20217</v>
      </c>
      <c r="B438" s="7">
        <v>11827.0</v>
      </c>
      <c r="C438" s="7" t="s">
        <v>6598</v>
      </c>
      <c r="D438" s="7" t="s">
        <v>6605</v>
      </c>
      <c r="E438" s="7" t="s">
        <v>6599</v>
      </c>
      <c r="F438" s="7" t="s">
        <v>6606</v>
      </c>
      <c r="G438" s="7" t="s">
        <v>6607</v>
      </c>
      <c r="H438" s="7" t="s">
        <v>6608</v>
      </c>
      <c r="I438" s="119">
        <v>45292.0</v>
      </c>
      <c r="K438" s="7" t="s">
        <v>419</v>
      </c>
      <c r="L438" s="7" t="s">
        <v>991</v>
      </c>
      <c r="M438" s="7" t="s">
        <v>3501</v>
      </c>
      <c r="N438" s="7" t="s">
        <v>419</v>
      </c>
      <c r="O438" s="7" t="s">
        <v>19430</v>
      </c>
      <c r="P438" s="7" t="s">
        <v>717</v>
      </c>
      <c r="Q438" s="7" t="s">
        <v>725</v>
      </c>
      <c r="R438" s="7" t="s">
        <v>19501</v>
      </c>
      <c r="S438" s="7" t="s">
        <v>19688</v>
      </c>
      <c r="T438" s="7" t="s">
        <v>4257</v>
      </c>
      <c r="U438" s="7" t="s">
        <v>3493</v>
      </c>
      <c r="V438" s="7">
        <v>1.0</v>
      </c>
    </row>
    <row r="439">
      <c r="A439" s="7" t="s">
        <v>20218</v>
      </c>
      <c r="B439" s="7">
        <v>13657.0</v>
      </c>
      <c r="C439" s="7" t="s">
        <v>6598</v>
      </c>
      <c r="D439" s="7" t="s">
        <v>6610</v>
      </c>
      <c r="E439" s="7" t="s">
        <v>6611</v>
      </c>
      <c r="F439" s="7" t="s">
        <v>6612</v>
      </c>
      <c r="G439" s="7" t="s">
        <v>6613</v>
      </c>
      <c r="H439" s="7" t="s">
        <v>6614</v>
      </c>
      <c r="I439" s="119">
        <v>45292.0</v>
      </c>
      <c r="K439" s="7" t="s">
        <v>3632</v>
      </c>
      <c r="L439" s="7" t="s">
        <v>991</v>
      </c>
      <c r="M439" s="7" t="s">
        <v>3501</v>
      </c>
      <c r="N439" s="7" t="s">
        <v>3632</v>
      </c>
      <c r="O439" s="7" t="s">
        <v>3632</v>
      </c>
      <c r="P439" s="7" t="s">
        <v>19462</v>
      </c>
      <c r="Q439" s="7" t="s">
        <v>19463</v>
      </c>
      <c r="R439" s="7" t="s">
        <v>19587</v>
      </c>
      <c r="T439" s="7" t="s">
        <v>17794</v>
      </c>
      <c r="U439" s="7" t="s">
        <v>3493</v>
      </c>
      <c r="V439" s="7">
        <v>1.0</v>
      </c>
    </row>
    <row r="440">
      <c r="A440" s="7" t="s">
        <v>20219</v>
      </c>
      <c r="B440" s="7">
        <v>11901.0</v>
      </c>
      <c r="C440" s="7" t="s">
        <v>6618</v>
      </c>
      <c r="D440" s="7" t="s">
        <v>6619</v>
      </c>
      <c r="E440" s="7" t="s">
        <v>6620</v>
      </c>
      <c r="F440" s="7" t="s">
        <v>6621</v>
      </c>
      <c r="G440" s="7" t="s">
        <v>6622</v>
      </c>
      <c r="H440" s="7" t="s">
        <v>6623</v>
      </c>
      <c r="I440" s="119">
        <v>45292.0</v>
      </c>
      <c r="K440" s="7" t="s">
        <v>419</v>
      </c>
      <c r="L440" s="7" t="s">
        <v>991</v>
      </c>
      <c r="M440" s="7" t="s">
        <v>3501</v>
      </c>
      <c r="N440" s="7" t="s">
        <v>419</v>
      </c>
      <c r="O440" s="7" t="s">
        <v>19432</v>
      </c>
      <c r="P440" s="7" t="s">
        <v>298</v>
      </c>
      <c r="Q440" s="7" t="s">
        <v>1284</v>
      </c>
      <c r="R440" s="7" t="s">
        <v>20190</v>
      </c>
      <c r="S440" s="7" t="s">
        <v>20220</v>
      </c>
      <c r="T440" s="7" t="s">
        <v>9604</v>
      </c>
      <c r="U440" s="7" t="s">
        <v>3493</v>
      </c>
      <c r="V440" s="7">
        <v>1.0</v>
      </c>
    </row>
    <row r="441">
      <c r="A441" s="7" t="s">
        <v>20221</v>
      </c>
      <c r="B441" s="7">
        <v>2100503.0</v>
      </c>
      <c r="C441" s="7" t="s">
        <v>6627</v>
      </c>
      <c r="D441" s="7" t="s">
        <v>6628</v>
      </c>
      <c r="E441" s="7" t="s">
        <v>6629</v>
      </c>
      <c r="F441" s="7" t="s">
        <v>6630</v>
      </c>
      <c r="G441" s="7" t="s">
        <v>6631</v>
      </c>
      <c r="H441" s="7" t="s">
        <v>6632</v>
      </c>
      <c r="I441" s="119">
        <v>45292.0</v>
      </c>
      <c r="K441" s="7" t="s">
        <v>419</v>
      </c>
      <c r="L441" s="7" t="s">
        <v>991</v>
      </c>
      <c r="M441" s="7" t="s">
        <v>3501</v>
      </c>
      <c r="N441" s="7" t="s">
        <v>419</v>
      </c>
      <c r="O441" s="7" t="s">
        <v>19443</v>
      </c>
      <c r="P441" s="7" t="s">
        <v>1242</v>
      </c>
      <c r="Q441" s="7" t="s">
        <v>51</v>
      </c>
      <c r="R441" s="7" t="s">
        <v>19599</v>
      </c>
      <c r="S441" s="7" t="s">
        <v>20161</v>
      </c>
      <c r="T441" s="7" t="s">
        <v>6346</v>
      </c>
      <c r="U441" s="7" t="s">
        <v>3493</v>
      </c>
      <c r="V441" s="7">
        <v>1.0</v>
      </c>
    </row>
    <row r="442">
      <c r="A442" s="7" t="s">
        <v>20222</v>
      </c>
      <c r="B442" s="7">
        <v>1152.0</v>
      </c>
      <c r="C442" s="7" t="s">
        <v>6633</v>
      </c>
      <c r="D442" s="7" t="s">
        <v>5311</v>
      </c>
      <c r="E442" s="7" t="s">
        <v>6634</v>
      </c>
      <c r="F442" s="7" t="s">
        <v>5312</v>
      </c>
      <c r="G442" s="7" t="s">
        <v>6635</v>
      </c>
      <c r="H442" s="7" t="s">
        <v>6636</v>
      </c>
      <c r="I442" s="119">
        <v>45292.0</v>
      </c>
      <c r="K442" s="7" t="s">
        <v>419</v>
      </c>
      <c r="L442" s="7" t="s">
        <v>991</v>
      </c>
      <c r="M442" s="7" t="s">
        <v>3501</v>
      </c>
      <c r="N442" s="7" t="s">
        <v>419</v>
      </c>
      <c r="O442" s="7" t="s">
        <v>19430</v>
      </c>
      <c r="P442" s="7" t="s">
        <v>717</v>
      </c>
      <c r="Q442" s="7" t="s">
        <v>720</v>
      </c>
      <c r="R442" s="7" t="s">
        <v>20223</v>
      </c>
      <c r="T442" s="7" t="s">
        <v>6638</v>
      </c>
      <c r="U442" s="7" t="s">
        <v>3493</v>
      </c>
      <c r="V442" s="7">
        <v>1.0</v>
      </c>
    </row>
    <row r="443">
      <c r="A443" s="7" t="s">
        <v>20224</v>
      </c>
      <c r="B443" s="7">
        <v>2200897.0</v>
      </c>
      <c r="C443" s="7" t="s">
        <v>6640</v>
      </c>
      <c r="D443" s="7" t="s">
        <v>6641</v>
      </c>
      <c r="E443" s="7" t="s">
        <v>6642</v>
      </c>
      <c r="F443" s="7" t="s">
        <v>6643</v>
      </c>
      <c r="G443" s="7" t="s">
        <v>6644</v>
      </c>
      <c r="H443" s="7" t="s">
        <v>6645</v>
      </c>
      <c r="I443" s="119">
        <v>45292.0</v>
      </c>
      <c r="K443" s="7" t="s">
        <v>419</v>
      </c>
      <c r="L443" s="7" t="s">
        <v>991</v>
      </c>
      <c r="M443" s="7" t="s">
        <v>3501</v>
      </c>
      <c r="N443" s="7" t="s">
        <v>419</v>
      </c>
      <c r="O443" s="7" t="s">
        <v>19430</v>
      </c>
      <c r="P443" s="7" t="s">
        <v>717</v>
      </c>
      <c r="Q443" s="7" t="s">
        <v>1163</v>
      </c>
      <c r="R443" s="7" t="s">
        <v>19639</v>
      </c>
      <c r="S443" s="7" t="s">
        <v>19971</v>
      </c>
      <c r="T443" s="7" t="s">
        <v>8015</v>
      </c>
      <c r="U443" s="7" t="s">
        <v>3493</v>
      </c>
      <c r="V443" s="7">
        <v>1.0</v>
      </c>
    </row>
    <row r="444">
      <c r="A444" s="7" t="s">
        <v>20225</v>
      </c>
      <c r="B444" s="7">
        <v>12704.0</v>
      </c>
      <c r="C444" s="7" t="s">
        <v>6649</v>
      </c>
      <c r="D444" s="7" t="s">
        <v>6650</v>
      </c>
      <c r="E444" s="7" t="s">
        <v>6651</v>
      </c>
      <c r="F444" s="7" t="s">
        <v>3517</v>
      </c>
      <c r="G444" s="7" t="s">
        <v>6652</v>
      </c>
      <c r="H444" s="7" t="s">
        <v>6653</v>
      </c>
      <c r="I444" s="119">
        <v>45292.0</v>
      </c>
      <c r="K444" s="7" t="s">
        <v>6654</v>
      </c>
      <c r="L444" s="7" t="s">
        <v>6655</v>
      </c>
      <c r="M444" s="7" t="s">
        <v>6656</v>
      </c>
      <c r="N444" s="7" t="s">
        <v>419</v>
      </c>
      <c r="O444" s="7" t="s">
        <v>19433</v>
      </c>
      <c r="P444" s="7" t="s">
        <v>648</v>
      </c>
      <c r="Q444" s="7" t="s">
        <v>651</v>
      </c>
      <c r="R444" s="7" t="s">
        <v>19587</v>
      </c>
      <c r="S444" s="7" t="s">
        <v>19611</v>
      </c>
      <c r="T444" s="7" t="s">
        <v>19612</v>
      </c>
      <c r="U444" s="7" t="s">
        <v>3493</v>
      </c>
      <c r="V444" s="7">
        <v>1.0</v>
      </c>
    </row>
    <row r="445">
      <c r="A445" s="7" t="s">
        <v>2129</v>
      </c>
      <c r="B445" s="7">
        <v>1151.0</v>
      </c>
      <c r="C445" s="7" t="s">
        <v>6657</v>
      </c>
      <c r="D445" s="7" t="s">
        <v>6658</v>
      </c>
      <c r="E445" s="7" t="s">
        <v>6659</v>
      </c>
      <c r="F445" s="7" t="s">
        <v>5155</v>
      </c>
      <c r="G445" s="7" t="s">
        <v>6660</v>
      </c>
      <c r="H445" s="7" t="s">
        <v>6661</v>
      </c>
      <c r="I445" s="119">
        <v>45292.0</v>
      </c>
      <c r="K445" s="7" t="s">
        <v>419</v>
      </c>
      <c r="L445" s="7" t="s">
        <v>991</v>
      </c>
      <c r="M445" s="7" t="s">
        <v>3501</v>
      </c>
      <c r="N445" s="7" t="s">
        <v>419</v>
      </c>
      <c r="O445" s="7" t="s">
        <v>19432</v>
      </c>
      <c r="P445" s="7" t="s">
        <v>1433</v>
      </c>
      <c r="T445" s="7" t="s">
        <v>20226</v>
      </c>
      <c r="U445" s="7" t="s">
        <v>12935</v>
      </c>
      <c r="V445" s="7">
        <v>1.0</v>
      </c>
    </row>
    <row r="446">
      <c r="A446" s="7" t="s">
        <v>20227</v>
      </c>
      <c r="B446" s="7">
        <v>2300564.0</v>
      </c>
      <c r="C446" s="7" t="s">
        <v>6666</v>
      </c>
      <c r="D446" s="7" t="s">
        <v>6667</v>
      </c>
      <c r="E446" s="7" t="s">
        <v>6668</v>
      </c>
      <c r="F446" s="7" t="s">
        <v>6669</v>
      </c>
      <c r="G446" s="7" t="s">
        <v>6670</v>
      </c>
      <c r="H446" s="7" t="s">
        <v>6671</v>
      </c>
      <c r="I446" s="119">
        <v>45292.0</v>
      </c>
      <c r="K446" s="7" t="s">
        <v>419</v>
      </c>
      <c r="L446" s="7" t="s">
        <v>991</v>
      </c>
      <c r="M446" s="7" t="s">
        <v>3501</v>
      </c>
      <c r="N446" s="7" t="s">
        <v>419</v>
      </c>
      <c r="O446" s="7" t="s">
        <v>19443</v>
      </c>
      <c r="P446" s="7" t="s">
        <v>323</v>
      </c>
      <c r="Q446" s="7" t="s">
        <v>824</v>
      </c>
      <c r="R446" s="7" t="s">
        <v>20228</v>
      </c>
      <c r="T446" s="7" t="s">
        <v>20229</v>
      </c>
      <c r="U446" s="7" t="s">
        <v>3493</v>
      </c>
      <c r="V446" s="7">
        <v>1.0</v>
      </c>
    </row>
    <row r="447">
      <c r="A447" s="7" t="s">
        <v>20230</v>
      </c>
      <c r="B447" s="7">
        <v>2100003.0</v>
      </c>
      <c r="C447" s="7" t="s">
        <v>6675</v>
      </c>
      <c r="D447" s="7" t="s">
        <v>6676</v>
      </c>
      <c r="E447" s="7" t="s">
        <v>6677</v>
      </c>
      <c r="F447" s="7" t="s">
        <v>6678</v>
      </c>
      <c r="G447" s="7" t="s">
        <v>6679</v>
      </c>
      <c r="H447" s="7" t="s">
        <v>6680</v>
      </c>
      <c r="I447" s="119">
        <v>45292.0</v>
      </c>
      <c r="K447" s="7" t="s">
        <v>6681</v>
      </c>
      <c r="L447" s="7" t="s">
        <v>3542</v>
      </c>
      <c r="M447" s="7" t="s">
        <v>3563</v>
      </c>
      <c r="N447" s="7" t="s">
        <v>419</v>
      </c>
      <c r="O447" s="7" t="s">
        <v>19433</v>
      </c>
      <c r="P447" s="7" t="s">
        <v>587</v>
      </c>
      <c r="Q447" s="7" t="s">
        <v>74</v>
      </c>
      <c r="R447" s="7" t="s">
        <v>19911</v>
      </c>
      <c r="T447" s="7" t="s">
        <v>5198</v>
      </c>
      <c r="U447" s="7" t="s">
        <v>3604</v>
      </c>
      <c r="V447" s="7">
        <v>1.0</v>
      </c>
    </row>
    <row r="448">
      <c r="A448" s="7" t="s">
        <v>1663</v>
      </c>
      <c r="B448" s="7">
        <v>523.0</v>
      </c>
      <c r="C448" s="7" t="s">
        <v>6684</v>
      </c>
      <c r="D448" s="7" t="s">
        <v>6685</v>
      </c>
      <c r="E448" s="7" t="s">
        <v>6686</v>
      </c>
      <c r="F448" s="7" t="s">
        <v>3977</v>
      </c>
      <c r="G448" s="7" t="s">
        <v>6687</v>
      </c>
      <c r="H448" s="7" t="s">
        <v>6688</v>
      </c>
      <c r="I448" s="119">
        <v>45292.0</v>
      </c>
      <c r="K448" s="7" t="s">
        <v>419</v>
      </c>
      <c r="L448" s="7" t="s">
        <v>991</v>
      </c>
      <c r="M448" s="7" t="s">
        <v>3501</v>
      </c>
      <c r="N448" s="7" t="s">
        <v>419</v>
      </c>
      <c r="O448" s="7" t="s">
        <v>19443</v>
      </c>
      <c r="P448" s="7" t="s">
        <v>1242</v>
      </c>
      <c r="Q448" s="7" t="s">
        <v>48</v>
      </c>
      <c r="R448" s="7" t="s">
        <v>19700</v>
      </c>
      <c r="T448" s="7" t="s">
        <v>6690</v>
      </c>
      <c r="U448" s="7" t="s">
        <v>3604</v>
      </c>
      <c r="V448" s="7">
        <v>1.0</v>
      </c>
    </row>
    <row r="449">
      <c r="A449" s="7" t="s">
        <v>20231</v>
      </c>
      <c r="B449" s="7">
        <v>2200739.0</v>
      </c>
      <c r="C449" s="7" t="s">
        <v>6692</v>
      </c>
      <c r="D449" s="7" t="s">
        <v>6693</v>
      </c>
      <c r="E449" s="7" t="s">
        <v>6694</v>
      </c>
      <c r="F449" s="7" t="s">
        <v>5203</v>
      </c>
      <c r="G449" s="7" t="s">
        <v>6695</v>
      </c>
      <c r="H449" s="7" t="s">
        <v>6696</v>
      </c>
      <c r="I449" s="119">
        <v>45292.0</v>
      </c>
      <c r="K449" s="7" t="s">
        <v>419</v>
      </c>
      <c r="L449" s="7" t="s">
        <v>991</v>
      </c>
      <c r="M449" s="7" t="s">
        <v>3501</v>
      </c>
      <c r="N449" s="7" t="s">
        <v>419</v>
      </c>
      <c r="O449" s="7" t="s">
        <v>19432</v>
      </c>
      <c r="P449" s="7" t="s">
        <v>298</v>
      </c>
      <c r="Q449" s="7" t="s">
        <v>304</v>
      </c>
      <c r="R449" s="7" t="s">
        <v>19905</v>
      </c>
      <c r="S449" s="7" t="s">
        <v>20232</v>
      </c>
      <c r="T449" s="7" t="s">
        <v>6698</v>
      </c>
      <c r="U449" s="7" t="s">
        <v>3843</v>
      </c>
      <c r="V449" s="7">
        <v>1.0</v>
      </c>
    </row>
    <row r="450">
      <c r="A450" s="7" t="s">
        <v>20233</v>
      </c>
      <c r="B450" s="7">
        <v>12447.0</v>
      </c>
      <c r="C450" s="7" t="s">
        <v>6700</v>
      </c>
      <c r="D450" s="7" t="s">
        <v>6701</v>
      </c>
      <c r="E450" s="7" t="s">
        <v>6702</v>
      </c>
      <c r="F450" s="7" t="s">
        <v>6703</v>
      </c>
      <c r="G450" s="7" t="s">
        <v>6704</v>
      </c>
      <c r="H450" s="7" t="s">
        <v>6705</v>
      </c>
      <c r="I450" s="119">
        <v>45292.0</v>
      </c>
      <c r="K450" s="7" t="s">
        <v>419</v>
      </c>
      <c r="L450" s="7" t="s">
        <v>991</v>
      </c>
      <c r="M450" s="7" t="s">
        <v>3501</v>
      </c>
      <c r="N450" s="7" t="s">
        <v>419</v>
      </c>
      <c r="O450" s="7" t="s">
        <v>19440</v>
      </c>
      <c r="P450" s="7" t="s">
        <v>613</v>
      </c>
      <c r="Q450" s="7" t="s">
        <v>104</v>
      </c>
      <c r="R450" s="7" t="s">
        <v>19738</v>
      </c>
      <c r="T450" s="7" t="s">
        <v>6707</v>
      </c>
      <c r="U450" s="7" t="s">
        <v>3604</v>
      </c>
      <c r="V450" s="7">
        <v>1.0</v>
      </c>
    </row>
    <row r="451">
      <c r="A451" s="7" t="s">
        <v>20234</v>
      </c>
      <c r="B451" s="7">
        <v>11842.0</v>
      </c>
      <c r="C451" s="7" t="s">
        <v>6709</v>
      </c>
      <c r="D451" s="7" t="s">
        <v>6710</v>
      </c>
      <c r="E451" s="7" t="s">
        <v>6711</v>
      </c>
      <c r="F451" s="7" t="s">
        <v>4677</v>
      </c>
      <c r="G451" s="7" t="s">
        <v>6712</v>
      </c>
      <c r="H451" s="7" t="s">
        <v>6713</v>
      </c>
      <c r="I451" s="119">
        <v>45292.0</v>
      </c>
      <c r="K451" s="7" t="s">
        <v>419</v>
      </c>
      <c r="L451" s="7" t="s">
        <v>991</v>
      </c>
      <c r="M451" s="7" t="s">
        <v>3501</v>
      </c>
      <c r="N451" s="7" t="s">
        <v>419</v>
      </c>
      <c r="O451" s="7" t="s">
        <v>19432</v>
      </c>
      <c r="P451" s="7" t="s">
        <v>1433</v>
      </c>
      <c r="Q451" s="7" t="s">
        <v>644</v>
      </c>
      <c r="R451" s="7" t="s">
        <v>20235</v>
      </c>
      <c r="T451" s="7" t="s">
        <v>10143</v>
      </c>
      <c r="U451" s="7" t="s">
        <v>3604</v>
      </c>
      <c r="V451" s="7">
        <v>1.0</v>
      </c>
    </row>
    <row r="452">
      <c r="A452" s="7" t="s">
        <v>20236</v>
      </c>
      <c r="B452" s="7">
        <v>2100667.0</v>
      </c>
      <c r="C452" s="7" t="s">
        <v>20237</v>
      </c>
      <c r="D452" s="7" t="s">
        <v>20238</v>
      </c>
      <c r="E452" s="7" t="s">
        <v>6719</v>
      </c>
      <c r="F452" s="7" t="s">
        <v>6720</v>
      </c>
      <c r="G452" s="7" t="s">
        <v>6721</v>
      </c>
      <c r="H452" s="7" t="s">
        <v>6722</v>
      </c>
      <c r="I452" s="119">
        <v>45292.0</v>
      </c>
      <c r="K452" s="7" t="s">
        <v>419</v>
      </c>
      <c r="L452" s="7" t="s">
        <v>991</v>
      </c>
      <c r="M452" s="7" t="s">
        <v>3501</v>
      </c>
      <c r="N452" s="7" t="s">
        <v>419</v>
      </c>
      <c r="O452" s="7" t="s">
        <v>19432</v>
      </c>
      <c r="P452" s="7" t="s">
        <v>298</v>
      </c>
      <c r="Q452" s="7" t="s">
        <v>802</v>
      </c>
      <c r="R452" s="7" t="s">
        <v>19825</v>
      </c>
      <c r="T452" s="7" t="s">
        <v>4770</v>
      </c>
      <c r="U452" s="7" t="s">
        <v>3493</v>
      </c>
      <c r="V452" s="7">
        <v>1.0</v>
      </c>
    </row>
    <row r="453">
      <c r="A453" s="7" t="s">
        <v>20239</v>
      </c>
      <c r="B453" s="7">
        <v>2200695.0</v>
      </c>
      <c r="C453" s="7" t="s">
        <v>6724</v>
      </c>
      <c r="D453" s="7" t="s">
        <v>6725</v>
      </c>
      <c r="E453" s="7" t="s">
        <v>6726</v>
      </c>
      <c r="F453" s="7" t="s">
        <v>6727</v>
      </c>
      <c r="G453" s="7" t="s">
        <v>6728</v>
      </c>
      <c r="H453" s="7" t="s">
        <v>6729</v>
      </c>
      <c r="I453" s="119">
        <v>45292.0</v>
      </c>
      <c r="K453" s="7" t="s">
        <v>419</v>
      </c>
      <c r="L453" s="7" t="s">
        <v>991</v>
      </c>
      <c r="M453" s="7" t="s">
        <v>3531</v>
      </c>
      <c r="N453" s="7" t="s">
        <v>419</v>
      </c>
      <c r="O453" s="7" t="s">
        <v>19430</v>
      </c>
      <c r="P453" s="7" t="s">
        <v>717</v>
      </c>
      <c r="Q453" s="7" t="s">
        <v>725</v>
      </c>
      <c r="R453" s="7" t="s">
        <v>19501</v>
      </c>
      <c r="S453" s="7" t="s">
        <v>19688</v>
      </c>
      <c r="T453" s="7" t="s">
        <v>4257</v>
      </c>
      <c r="U453" s="7" t="s">
        <v>3493</v>
      </c>
      <c r="V453" s="7">
        <v>1.0</v>
      </c>
    </row>
    <row r="454">
      <c r="A454" s="7" t="s">
        <v>20240</v>
      </c>
      <c r="B454" s="7">
        <v>2100606.0</v>
      </c>
      <c r="C454" s="7" t="s">
        <v>6731</v>
      </c>
      <c r="D454" s="7" t="s">
        <v>6406</v>
      </c>
      <c r="E454" s="7" t="s">
        <v>6732</v>
      </c>
      <c r="F454" s="7" t="s">
        <v>6408</v>
      </c>
      <c r="G454" s="7" t="s">
        <v>6733</v>
      </c>
      <c r="H454" s="7" t="s">
        <v>6734</v>
      </c>
      <c r="I454" s="119">
        <v>45292.0</v>
      </c>
      <c r="K454" s="7" t="s">
        <v>419</v>
      </c>
      <c r="L454" s="7" t="s">
        <v>991</v>
      </c>
      <c r="M454" s="7" t="s">
        <v>3531</v>
      </c>
      <c r="N454" s="7" t="s">
        <v>419</v>
      </c>
      <c r="O454" s="7" t="s">
        <v>19430</v>
      </c>
      <c r="P454" s="7" t="s">
        <v>717</v>
      </c>
      <c r="Q454" s="7" t="s">
        <v>1163</v>
      </c>
      <c r="R454" s="7" t="s">
        <v>19608</v>
      </c>
      <c r="S454" s="7" t="s">
        <v>20124</v>
      </c>
      <c r="T454" s="7" t="s">
        <v>6142</v>
      </c>
      <c r="U454" s="7" t="s">
        <v>3493</v>
      </c>
      <c r="V454" s="7">
        <v>1.0</v>
      </c>
    </row>
    <row r="455">
      <c r="A455" s="7" t="s">
        <v>20241</v>
      </c>
      <c r="B455" s="7">
        <v>8222.0</v>
      </c>
      <c r="C455" s="7" t="s">
        <v>6736</v>
      </c>
      <c r="D455" s="7" t="s">
        <v>6737</v>
      </c>
      <c r="E455" s="7" t="s">
        <v>6732</v>
      </c>
      <c r="F455" s="7" t="s">
        <v>6738</v>
      </c>
      <c r="G455" s="7" t="s">
        <v>6739</v>
      </c>
      <c r="H455" s="7" t="s">
        <v>6740</v>
      </c>
      <c r="I455" s="119">
        <v>45292.0</v>
      </c>
      <c r="K455" s="7" t="s">
        <v>419</v>
      </c>
      <c r="L455" s="7" t="s">
        <v>991</v>
      </c>
      <c r="M455" s="7" t="s">
        <v>3531</v>
      </c>
      <c r="N455" s="7" t="s">
        <v>419</v>
      </c>
      <c r="O455" s="7" t="s">
        <v>19430</v>
      </c>
      <c r="P455" s="7" t="s">
        <v>717</v>
      </c>
      <c r="Q455" s="7" t="s">
        <v>725</v>
      </c>
      <c r="R455" s="7" t="s">
        <v>19621</v>
      </c>
      <c r="S455" s="7" t="s">
        <v>19622</v>
      </c>
      <c r="T455" s="7" t="s">
        <v>4013</v>
      </c>
      <c r="U455" s="7" t="s">
        <v>3493</v>
      </c>
      <c r="V455" s="7">
        <v>1.0</v>
      </c>
    </row>
    <row r="456">
      <c r="A456" s="7" t="s">
        <v>20242</v>
      </c>
      <c r="B456" s="7">
        <v>241.0</v>
      </c>
      <c r="C456" s="7" t="s">
        <v>6742</v>
      </c>
      <c r="D456" s="7" t="s">
        <v>6743</v>
      </c>
      <c r="E456" s="7" t="s">
        <v>6744</v>
      </c>
      <c r="F456" s="7" t="s">
        <v>4049</v>
      </c>
      <c r="G456" s="7" t="s">
        <v>6745</v>
      </c>
      <c r="H456" s="7" t="s">
        <v>6746</v>
      </c>
      <c r="I456" s="119">
        <v>45292.0</v>
      </c>
      <c r="K456" s="7" t="s">
        <v>4206</v>
      </c>
      <c r="L456" s="7" t="s">
        <v>3542</v>
      </c>
      <c r="M456" s="7" t="s">
        <v>3543</v>
      </c>
      <c r="N456" s="7" t="s">
        <v>419</v>
      </c>
      <c r="O456" s="7" t="s">
        <v>19433</v>
      </c>
      <c r="P456" s="7" t="s">
        <v>587</v>
      </c>
      <c r="Q456" s="7" t="s">
        <v>72</v>
      </c>
      <c r="R456" s="7" t="s">
        <v>19566</v>
      </c>
      <c r="T456" s="7" t="s">
        <v>5672</v>
      </c>
      <c r="U456" s="7" t="s">
        <v>3493</v>
      </c>
      <c r="V456" s="7">
        <v>1.0</v>
      </c>
    </row>
    <row r="457">
      <c r="A457" s="7" t="s">
        <v>20243</v>
      </c>
      <c r="B457" s="7">
        <v>12333.0</v>
      </c>
      <c r="C457" s="7" t="s">
        <v>6742</v>
      </c>
      <c r="D457" s="7" t="s">
        <v>6749</v>
      </c>
      <c r="E457" s="7" t="s">
        <v>6744</v>
      </c>
      <c r="F457" s="7" t="s">
        <v>6750</v>
      </c>
      <c r="G457" s="7" t="s">
        <v>6751</v>
      </c>
      <c r="H457" s="7" t="s">
        <v>6752</v>
      </c>
      <c r="I457" s="119">
        <v>45292.0</v>
      </c>
      <c r="K457" s="7" t="s">
        <v>419</v>
      </c>
      <c r="L457" s="7" t="s">
        <v>991</v>
      </c>
      <c r="M457" s="7" t="s">
        <v>3501</v>
      </c>
      <c r="N457" s="7" t="s">
        <v>419</v>
      </c>
      <c r="O457" s="7" t="s">
        <v>19432</v>
      </c>
      <c r="P457" s="7" t="s">
        <v>693</v>
      </c>
      <c r="Q457" s="7" t="s">
        <v>701</v>
      </c>
      <c r="R457" s="7" t="s">
        <v>20244</v>
      </c>
      <c r="T457" s="7" t="s">
        <v>6754</v>
      </c>
      <c r="U457" s="7" t="s">
        <v>3493</v>
      </c>
      <c r="V457" s="7">
        <v>1.0</v>
      </c>
    </row>
    <row r="458">
      <c r="A458" s="7" t="s">
        <v>2232</v>
      </c>
      <c r="B458" s="7">
        <v>13849.0</v>
      </c>
      <c r="C458" s="7" t="s">
        <v>6756</v>
      </c>
      <c r="D458" s="7" t="s">
        <v>6757</v>
      </c>
      <c r="E458" s="7" t="s">
        <v>6758</v>
      </c>
      <c r="F458" s="7" t="s">
        <v>6759</v>
      </c>
      <c r="G458" s="7" t="s">
        <v>6760</v>
      </c>
      <c r="H458" s="7" t="s">
        <v>6761</v>
      </c>
      <c r="I458" s="119">
        <v>45292.0</v>
      </c>
      <c r="K458" s="7" t="s">
        <v>419</v>
      </c>
      <c r="L458" s="7" t="s">
        <v>991</v>
      </c>
      <c r="M458" s="7" t="s">
        <v>3501</v>
      </c>
      <c r="N458" s="7" t="s">
        <v>419</v>
      </c>
      <c r="O458" s="7" t="s">
        <v>19430</v>
      </c>
      <c r="P458" s="7" t="s">
        <v>854</v>
      </c>
      <c r="Q458" s="7" t="s">
        <v>859</v>
      </c>
      <c r="T458" s="7" t="s">
        <v>3821</v>
      </c>
      <c r="U458" s="7" t="s">
        <v>5585</v>
      </c>
      <c r="V458" s="7">
        <v>1.0</v>
      </c>
    </row>
    <row r="459">
      <c r="A459" s="7" t="s">
        <v>20245</v>
      </c>
      <c r="B459" s="7">
        <v>12731.0</v>
      </c>
      <c r="C459" s="7" t="s">
        <v>6765</v>
      </c>
      <c r="D459" s="7" t="s">
        <v>6105</v>
      </c>
      <c r="E459" s="7" t="s">
        <v>6766</v>
      </c>
      <c r="F459" s="7" t="s">
        <v>3498</v>
      </c>
      <c r="G459" s="7" t="s">
        <v>6767</v>
      </c>
      <c r="H459" s="7" t="s">
        <v>6768</v>
      </c>
      <c r="I459" s="119">
        <v>45292.0</v>
      </c>
      <c r="K459" s="7" t="s">
        <v>419</v>
      </c>
      <c r="L459" s="7" t="s">
        <v>991</v>
      </c>
      <c r="M459" s="7" t="s">
        <v>3501</v>
      </c>
      <c r="N459" s="7" t="s">
        <v>419</v>
      </c>
      <c r="O459" s="7" t="s">
        <v>19437</v>
      </c>
      <c r="P459" s="7" t="s">
        <v>603</v>
      </c>
      <c r="Q459" s="7" t="s">
        <v>90</v>
      </c>
      <c r="R459" s="7" t="s">
        <v>19973</v>
      </c>
      <c r="S459" s="7" t="s">
        <v>19974</v>
      </c>
      <c r="T459" s="7" t="s">
        <v>5470</v>
      </c>
      <c r="U459" s="7" t="s">
        <v>3493</v>
      </c>
      <c r="V459" s="7">
        <v>1.0</v>
      </c>
    </row>
    <row r="460">
      <c r="A460" s="7" t="s">
        <v>20246</v>
      </c>
      <c r="B460" s="7">
        <v>2100013.0</v>
      </c>
      <c r="C460" s="7" t="s">
        <v>6765</v>
      </c>
      <c r="D460" s="7" t="s">
        <v>6770</v>
      </c>
      <c r="E460" s="7" t="s">
        <v>6766</v>
      </c>
      <c r="F460" s="7" t="s">
        <v>3549</v>
      </c>
      <c r="G460" s="7" t="s">
        <v>6771</v>
      </c>
      <c r="H460" s="7" t="s">
        <v>6772</v>
      </c>
      <c r="I460" s="119">
        <v>45292.0</v>
      </c>
      <c r="K460" s="7" t="s">
        <v>419</v>
      </c>
      <c r="L460" s="7" t="s">
        <v>991</v>
      </c>
      <c r="M460" s="7" t="s">
        <v>3501</v>
      </c>
      <c r="N460" s="7" t="s">
        <v>419</v>
      </c>
      <c r="O460" s="7" t="s">
        <v>19430</v>
      </c>
      <c r="P460" s="7" t="s">
        <v>717</v>
      </c>
      <c r="Q460" s="7" t="s">
        <v>725</v>
      </c>
      <c r="R460" s="7" t="s">
        <v>19501</v>
      </c>
      <c r="S460" s="7" t="s">
        <v>19643</v>
      </c>
      <c r="T460" s="7" t="s">
        <v>4097</v>
      </c>
      <c r="U460" s="7" t="s">
        <v>3493</v>
      </c>
      <c r="V460" s="7">
        <v>1.0</v>
      </c>
    </row>
    <row r="461">
      <c r="A461" s="7" t="s">
        <v>20247</v>
      </c>
      <c r="B461" s="7">
        <v>2200715.0</v>
      </c>
      <c r="C461" s="7" t="s">
        <v>6765</v>
      </c>
      <c r="D461" s="7" t="s">
        <v>3764</v>
      </c>
      <c r="E461" s="7" t="s">
        <v>6766</v>
      </c>
      <c r="F461" s="7" t="s">
        <v>3766</v>
      </c>
      <c r="G461" s="7" t="s">
        <v>6775</v>
      </c>
      <c r="H461" s="7" t="s">
        <v>6776</v>
      </c>
      <c r="I461" s="119">
        <v>45292.0</v>
      </c>
      <c r="K461" s="7" t="s">
        <v>4042</v>
      </c>
      <c r="L461" s="7" t="s">
        <v>991</v>
      </c>
      <c r="M461" s="7" t="s">
        <v>3501</v>
      </c>
      <c r="N461" s="7" t="s">
        <v>4042</v>
      </c>
      <c r="O461" s="7" t="s">
        <v>4042</v>
      </c>
      <c r="P461" s="7" t="s">
        <v>19632</v>
      </c>
      <c r="T461" s="7" t="s">
        <v>4044</v>
      </c>
      <c r="U461" s="7" t="s">
        <v>3493</v>
      </c>
      <c r="V461" s="7">
        <v>1.0</v>
      </c>
    </row>
    <row r="462">
      <c r="A462" s="7" t="s">
        <v>20248</v>
      </c>
      <c r="B462" s="7">
        <v>1280.0</v>
      </c>
      <c r="C462" s="7" t="s">
        <v>6778</v>
      </c>
      <c r="D462" s="7" t="s">
        <v>6779</v>
      </c>
      <c r="E462" s="7" t="s">
        <v>6780</v>
      </c>
      <c r="F462" s="7" t="s">
        <v>6781</v>
      </c>
      <c r="G462" s="7" t="s">
        <v>6782</v>
      </c>
      <c r="H462" s="7" t="s">
        <v>6783</v>
      </c>
      <c r="I462" s="119">
        <v>45292.0</v>
      </c>
      <c r="K462" s="7" t="s">
        <v>419</v>
      </c>
      <c r="L462" s="7" t="s">
        <v>991</v>
      </c>
      <c r="M462" s="7" t="s">
        <v>3501</v>
      </c>
      <c r="N462" s="7" t="s">
        <v>419</v>
      </c>
      <c r="O462" s="7" t="s">
        <v>19432</v>
      </c>
      <c r="P462" s="7" t="s">
        <v>693</v>
      </c>
      <c r="Q462" s="7" t="s">
        <v>698</v>
      </c>
      <c r="T462" s="7" t="s">
        <v>6077</v>
      </c>
      <c r="U462" s="7" t="s">
        <v>3493</v>
      </c>
      <c r="V462" s="7">
        <v>1.0</v>
      </c>
    </row>
    <row r="463">
      <c r="A463" s="7" t="s">
        <v>2325</v>
      </c>
      <c r="B463" s="7">
        <v>11414.0</v>
      </c>
      <c r="C463" s="7" t="s">
        <v>6785</v>
      </c>
      <c r="D463" s="7" t="s">
        <v>5234</v>
      </c>
      <c r="E463" s="7" t="s">
        <v>6786</v>
      </c>
      <c r="F463" s="7" t="s">
        <v>5312</v>
      </c>
      <c r="G463" s="7" t="s">
        <v>6787</v>
      </c>
      <c r="H463" s="7" t="s">
        <v>6788</v>
      </c>
      <c r="I463" s="119">
        <v>45292.0</v>
      </c>
      <c r="K463" s="7" t="s">
        <v>419</v>
      </c>
      <c r="L463" s="7" t="s">
        <v>991</v>
      </c>
      <c r="M463" s="7" t="s">
        <v>3501</v>
      </c>
      <c r="N463" s="7" t="s">
        <v>419</v>
      </c>
      <c r="O463" s="7" t="s">
        <v>19438</v>
      </c>
      <c r="P463" s="7" t="s">
        <v>19439</v>
      </c>
      <c r="Q463" s="7" t="s">
        <v>475</v>
      </c>
      <c r="T463" s="7" t="s">
        <v>7718</v>
      </c>
      <c r="U463" s="7" t="s">
        <v>5585</v>
      </c>
      <c r="V463" s="7">
        <v>1.0</v>
      </c>
    </row>
    <row r="464">
      <c r="A464" s="7" t="s">
        <v>20249</v>
      </c>
      <c r="B464" s="7">
        <v>14325.0</v>
      </c>
      <c r="C464" s="7" t="s">
        <v>6792</v>
      </c>
      <c r="D464" s="7" t="s">
        <v>4717</v>
      </c>
      <c r="E464" s="7" t="s">
        <v>6793</v>
      </c>
      <c r="F464" s="7" t="s">
        <v>4262</v>
      </c>
      <c r="G464" s="7" t="s">
        <v>6794</v>
      </c>
      <c r="H464" s="7" t="s">
        <v>6795</v>
      </c>
      <c r="I464" s="119">
        <v>45292.0</v>
      </c>
      <c r="K464" s="7" t="s">
        <v>419</v>
      </c>
      <c r="L464" s="7" t="s">
        <v>991</v>
      </c>
      <c r="M464" s="7" t="s">
        <v>3501</v>
      </c>
      <c r="N464" s="7" t="s">
        <v>419</v>
      </c>
      <c r="O464" s="7" t="s">
        <v>19430</v>
      </c>
      <c r="P464" s="7" t="s">
        <v>717</v>
      </c>
      <c r="Q464" s="7" t="s">
        <v>738</v>
      </c>
      <c r="R464" s="7" t="s">
        <v>19902</v>
      </c>
      <c r="S464" s="7" t="s">
        <v>19903</v>
      </c>
      <c r="T464" s="7" t="s">
        <v>5167</v>
      </c>
      <c r="U464" s="7" t="s">
        <v>3843</v>
      </c>
      <c r="V464" s="7">
        <v>1.0</v>
      </c>
    </row>
    <row r="465">
      <c r="A465" s="7" t="s">
        <v>20250</v>
      </c>
      <c r="B465" s="7">
        <v>12380.0</v>
      </c>
      <c r="C465" s="7" t="s">
        <v>6797</v>
      </c>
      <c r="D465" s="7" t="s">
        <v>6798</v>
      </c>
      <c r="E465" s="7" t="s">
        <v>6799</v>
      </c>
      <c r="F465" s="7" t="s">
        <v>6800</v>
      </c>
      <c r="G465" s="7" t="s">
        <v>6801</v>
      </c>
      <c r="H465" s="7" t="s">
        <v>6802</v>
      </c>
      <c r="I465" s="119">
        <v>45292.0</v>
      </c>
      <c r="K465" s="7" t="s">
        <v>3489</v>
      </c>
      <c r="L465" s="7" t="s">
        <v>991</v>
      </c>
      <c r="M465" s="7" t="s">
        <v>3490</v>
      </c>
      <c r="N465" s="7" t="s">
        <v>3489</v>
      </c>
      <c r="O465" s="7" t="s">
        <v>3489</v>
      </c>
      <c r="P465" s="7" t="s">
        <v>19491</v>
      </c>
      <c r="Q465" s="7" t="s">
        <v>169</v>
      </c>
      <c r="R465" s="7" t="s">
        <v>19492</v>
      </c>
      <c r="T465" s="7" t="s">
        <v>3492</v>
      </c>
      <c r="U465" s="7" t="s">
        <v>3493</v>
      </c>
      <c r="V465" s="7">
        <v>1.0</v>
      </c>
    </row>
    <row r="466">
      <c r="A466" s="7" t="s">
        <v>20251</v>
      </c>
      <c r="B466" s="7">
        <v>2200342.0</v>
      </c>
      <c r="C466" s="7" t="s">
        <v>6804</v>
      </c>
      <c r="D466" s="7" t="s">
        <v>6805</v>
      </c>
      <c r="E466" s="7" t="s">
        <v>6799</v>
      </c>
      <c r="F466" s="7" t="s">
        <v>6806</v>
      </c>
      <c r="G466" s="7" t="s">
        <v>6807</v>
      </c>
      <c r="H466" s="7" t="s">
        <v>6808</v>
      </c>
      <c r="I466" s="119">
        <v>45292.0</v>
      </c>
      <c r="K466" s="7" t="s">
        <v>419</v>
      </c>
      <c r="L466" s="7" t="s">
        <v>991</v>
      </c>
      <c r="M466" s="7" t="s">
        <v>3501</v>
      </c>
      <c r="N466" s="7" t="s">
        <v>419</v>
      </c>
      <c r="O466" s="7" t="s">
        <v>19437</v>
      </c>
      <c r="P466" s="7" t="s">
        <v>440</v>
      </c>
      <c r="Q466" s="7" t="s">
        <v>924</v>
      </c>
      <c r="R466" s="7" t="s">
        <v>19793</v>
      </c>
      <c r="S466" s="7" t="s">
        <v>19794</v>
      </c>
      <c r="T466" s="7" t="s">
        <v>4661</v>
      </c>
      <c r="U466" s="7" t="s">
        <v>3493</v>
      </c>
      <c r="V466" s="7">
        <v>1.0</v>
      </c>
    </row>
    <row r="467">
      <c r="A467" s="7" t="s">
        <v>20252</v>
      </c>
      <c r="B467" s="7">
        <v>2100392.0</v>
      </c>
      <c r="C467" s="7" t="s">
        <v>6804</v>
      </c>
      <c r="D467" s="7" t="s">
        <v>6810</v>
      </c>
      <c r="E467" s="7" t="s">
        <v>6799</v>
      </c>
      <c r="F467" s="7" t="s">
        <v>6811</v>
      </c>
      <c r="G467" s="7" t="s">
        <v>6812</v>
      </c>
      <c r="H467" s="7" t="s">
        <v>6813</v>
      </c>
      <c r="I467" s="119">
        <v>45292.0</v>
      </c>
      <c r="K467" s="7" t="s">
        <v>419</v>
      </c>
      <c r="L467" s="7" t="s">
        <v>991</v>
      </c>
      <c r="M467" s="7" t="s">
        <v>3501</v>
      </c>
      <c r="N467" s="7" t="s">
        <v>419</v>
      </c>
      <c r="O467" s="7" t="s">
        <v>19430</v>
      </c>
      <c r="P467" s="7" t="s">
        <v>717</v>
      </c>
      <c r="Q467" s="7" t="s">
        <v>725</v>
      </c>
      <c r="R467" s="7" t="s">
        <v>20253</v>
      </c>
      <c r="S467" s="7" t="s">
        <v>19749</v>
      </c>
      <c r="T467" s="7" t="s">
        <v>6815</v>
      </c>
      <c r="U467" s="7" t="s">
        <v>3493</v>
      </c>
      <c r="V467" s="7">
        <v>1.0</v>
      </c>
    </row>
    <row r="468">
      <c r="A468" s="7" t="s">
        <v>20254</v>
      </c>
      <c r="B468" s="7">
        <v>1304.0</v>
      </c>
      <c r="C468" s="7" t="s">
        <v>6797</v>
      </c>
      <c r="D468" s="7" t="s">
        <v>6817</v>
      </c>
      <c r="E468" s="7" t="s">
        <v>6799</v>
      </c>
      <c r="F468" s="7" t="s">
        <v>6818</v>
      </c>
      <c r="G468" s="7" t="s">
        <v>6819</v>
      </c>
      <c r="H468" s="7" t="s">
        <v>6820</v>
      </c>
      <c r="I468" s="119">
        <v>45292.0</v>
      </c>
      <c r="K468" s="7" t="s">
        <v>419</v>
      </c>
      <c r="L468" s="7" t="s">
        <v>991</v>
      </c>
      <c r="M468" s="7" t="s">
        <v>3501</v>
      </c>
      <c r="N468" s="7" t="s">
        <v>419</v>
      </c>
      <c r="O468" s="7" t="s">
        <v>19430</v>
      </c>
      <c r="P468" s="7" t="s">
        <v>717</v>
      </c>
      <c r="Q468" s="7" t="s">
        <v>725</v>
      </c>
      <c r="R468" s="7" t="s">
        <v>19501</v>
      </c>
      <c r="S468" s="7" t="s">
        <v>19643</v>
      </c>
      <c r="T468" s="7" t="s">
        <v>4097</v>
      </c>
      <c r="U468" s="7" t="s">
        <v>3493</v>
      </c>
      <c r="V468" s="7">
        <v>1.0</v>
      </c>
    </row>
    <row r="469">
      <c r="A469" s="7" t="s">
        <v>20255</v>
      </c>
      <c r="B469" s="7">
        <v>2200441.0</v>
      </c>
      <c r="C469" s="7" t="s">
        <v>6822</v>
      </c>
      <c r="D469" s="7" t="s">
        <v>6823</v>
      </c>
      <c r="E469" s="7" t="s">
        <v>6824</v>
      </c>
      <c r="F469" s="7" t="s">
        <v>6825</v>
      </c>
      <c r="G469" s="7" t="s">
        <v>6826</v>
      </c>
      <c r="H469" s="7" t="s">
        <v>6827</v>
      </c>
      <c r="I469" s="119">
        <v>45292.0</v>
      </c>
      <c r="K469" s="7" t="s">
        <v>6828</v>
      </c>
      <c r="L469" s="7" t="s">
        <v>3706</v>
      </c>
      <c r="M469" s="7" t="s">
        <v>6829</v>
      </c>
      <c r="N469" s="7" t="s">
        <v>419</v>
      </c>
      <c r="O469" s="7" t="s">
        <v>19433</v>
      </c>
      <c r="P469" s="7" t="s">
        <v>648</v>
      </c>
      <c r="Q469" s="7" t="s">
        <v>651</v>
      </c>
      <c r="R469" s="7" t="s">
        <v>19587</v>
      </c>
      <c r="S469" s="7" t="s">
        <v>19588</v>
      </c>
      <c r="T469" s="7" t="s">
        <v>19589</v>
      </c>
      <c r="U469" s="7" t="s">
        <v>3843</v>
      </c>
      <c r="V469" s="7">
        <v>1.0</v>
      </c>
    </row>
    <row r="470">
      <c r="A470" s="7" t="s">
        <v>20256</v>
      </c>
      <c r="B470" s="7">
        <v>2300191.0</v>
      </c>
      <c r="C470" s="7" t="s">
        <v>6833</v>
      </c>
      <c r="D470" s="7" t="s">
        <v>6834</v>
      </c>
      <c r="E470" s="7" t="s">
        <v>6835</v>
      </c>
      <c r="F470" s="7" t="s">
        <v>6836</v>
      </c>
      <c r="G470" s="7" t="s">
        <v>6837</v>
      </c>
      <c r="H470" s="7" t="s">
        <v>6838</v>
      </c>
      <c r="I470" s="119">
        <v>45292.0</v>
      </c>
      <c r="K470" s="7" t="s">
        <v>419</v>
      </c>
      <c r="L470" s="7" t="s">
        <v>991</v>
      </c>
      <c r="M470" s="7" t="s">
        <v>3501</v>
      </c>
      <c r="N470" s="7" t="s">
        <v>419</v>
      </c>
      <c r="O470" s="7" t="s">
        <v>19432</v>
      </c>
      <c r="P470" s="7" t="s">
        <v>391</v>
      </c>
      <c r="Q470" s="7" t="s">
        <v>392</v>
      </c>
      <c r="R470" s="7" t="s">
        <v>19534</v>
      </c>
      <c r="T470" s="7" t="s">
        <v>5350</v>
      </c>
      <c r="U470" s="7" t="s">
        <v>3493</v>
      </c>
      <c r="V470" s="7">
        <v>1.0</v>
      </c>
    </row>
    <row r="471">
      <c r="A471" s="7" t="s">
        <v>20257</v>
      </c>
      <c r="B471" s="7">
        <v>250.0</v>
      </c>
      <c r="C471" s="7" t="s">
        <v>6841</v>
      </c>
      <c r="D471" s="7" t="s">
        <v>6842</v>
      </c>
      <c r="E471" s="7" t="s">
        <v>6843</v>
      </c>
      <c r="F471" s="7" t="s">
        <v>6844</v>
      </c>
      <c r="G471" s="7" t="s">
        <v>6845</v>
      </c>
      <c r="H471" s="7" t="s">
        <v>6846</v>
      </c>
      <c r="I471" s="119">
        <v>45292.0</v>
      </c>
      <c r="K471" s="7" t="s">
        <v>419</v>
      </c>
      <c r="L471" s="7" t="s">
        <v>991</v>
      </c>
      <c r="M471" s="7" t="s">
        <v>3501</v>
      </c>
      <c r="N471" s="7" t="s">
        <v>419</v>
      </c>
      <c r="O471" s="7" t="s">
        <v>19443</v>
      </c>
      <c r="P471" s="7" t="s">
        <v>323</v>
      </c>
      <c r="Q471" s="7" t="s">
        <v>819</v>
      </c>
      <c r="R471" s="7" t="s">
        <v>19716</v>
      </c>
      <c r="S471" s="7" t="s">
        <v>20258</v>
      </c>
      <c r="T471" s="7" t="s">
        <v>16125</v>
      </c>
      <c r="U471" s="7" t="s">
        <v>3843</v>
      </c>
      <c r="V471" s="7">
        <v>1.0</v>
      </c>
    </row>
    <row r="472">
      <c r="A472" s="7" t="s">
        <v>20259</v>
      </c>
      <c r="B472" s="7">
        <v>14133.0</v>
      </c>
      <c r="C472" s="7" t="s">
        <v>6850</v>
      </c>
      <c r="D472" s="7" t="s">
        <v>6851</v>
      </c>
      <c r="E472" s="7" t="s">
        <v>6852</v>
      </c>
      <c r="F472" s="7" t="s">
        <v>4677</v>
      </c>
      <c r="G472" s="7" t="s">
        <v>6853</v>
      </c>
      <c r="H472" s="7" t="s">
        <v>6854</v>
      </c>
      <c r="I472" s="119">
        <v>45292.0</v>
      </c>
      <c r="K472" s="7" t="s">
        <v>419</v>
      </c>
      <c r="L472" s="7" t="s">
        <v>991</v>
      </c>
      <c r="M472" s="7" t="s">
        <v>3531</v>
      </c>
      <c r="N472" s="7" t="s">
        <v>419</v>
      </c>
      <c r="O472" s="7" t="s">
        <v>19433</v>
      </c>
      <c r="P472" s="7" t="s">
        <v>648</v>
      </c>
      <c r="Q472" s="7" t="s">
        <v>148</v>
      </c>
      <c r="R472" s="7" t="s">
        <v>19501</v>
      </c>
      <c r="T472" s="7" t="s">
        <v>4445</v>
      </c>
      <c r="U472" s="7" t="s">
        <v>3493</v>
      </c>
      <c r="V472" s="7">
        <v>1.0</v>
      </c>
    </row>
    <row r="473">
      <c r="A473" s="7" t="s">
        <v>20260</v>
      </c>
      <c r="B473" s="7">
        <v>515.0</v>
      </c>
      <c r="C473" s="7" t="s">
        <v>6856</v>
      </c>
      <c r="D473" s="7" t="s">
        <v>6857</v>
      </c>
      <c r="E473" s="7" t="s">
        <v>6858</v>
      </c>
      <c r="F473" s="7" t="s">
        <v>6859</v>
      </c>
      <c r="G473" s="7" t="s">
        <v>6860</v>
      </c>
      <c r="H473" s="7" t="s">
        <v>6861</v>
      </c>
      <c r="I473" s="119">
        <v>45292.0</v>
      </c>
      <c r="K473" s="7" t="s">
        <v>419</v>
      </c>
      <c r="L473" s="7" t="s">
        <v>991</v>
      </c>
      <c r="M473" s="7" t="s">
        <v>3501</v>
      </c>
      <c r="N473" s="7" t="s">
        <v>419</v>
      </c>
      <c r="O473" s="7" t="s">
        <v>19443</v>
      </c>
      <c r="P473" s="7" t="s">
        <v>1242</v>
      </c>
      <c r="Q473" s="7" t="s">
        <v>48</v>
      </c>
      <c r="R473" s="7" t="s">
        <v>19700</v>
      </c>
      <c r="S473" s="7" t="s">
        <v>19749</v>
      </c>
      <c r="T473" s="7" t="s">
        <v>4515</v>
      </c>
      <c r="U473" s="7" t="s">
        <v>3493</v>
      </c>
      <c r="V473" s="7">
        <v>1.0</v>
      </c>
    </row>
    <row r="474">
      <c r="A474" s="7" t="s">
        <v>20261</v>
      </c>
      <c r="B474" s="7">
        <v>2100594.0</v>
      </c>
      <c r="C474" s="7" t="s">
        <v>6863</v>
      </c>
      <c r="D474" s="7" t="s">
        <v>6864</v>
      </c>
      <c r="E474" s="7" t="s">
        <v>6865</v>
      </c>
      <c r="F474" s="7" t="s">
        <v>4194</v>
      </c>
      <c r="G474" s="7" t="s">
        <v>6866</v>
      </c>
      <c r="H474" s="7" t="s">
        <v>6867</v>
      </c>
      <c r="I474" s="119">
        <v>45292.0</v>
      </c>
      <c r="K474" s="7" t="s">
        <v>419</v>
      </c>
      <c r="L474" s="7" t="s">
        <v>991</v>
      </c>
      <c r="M474" s="7" t="s">
        <v>3501</v>
      </c>
      <c r="N474" s="7" t="s">
        <v>419</v>
      </c>
      <c r="O474" s="7" t="s">
        <v>19443</v>
      </c>
      <c r="P474" s="7" t="s">
        <v>1242</v>
      </c>
      <c r="Q474" s="7" t="s">
        <v>51</v>
      </c>
      <c r="R474" s="7" t="s">
        <v>19597</v>
      </c>
      <c r="S474" s="7" t="s">
        <v>19650</v>
      </c>
      <c r="T474" s="7" t="s">
        <v>4128</v>
      </c>
      <c r="U474" s="7" t="s">
        <v>3493</v>
      </c>
      <c r="V474" s="7">
        <v>1.0</v>
      </c>
    </row>
    <row r="475">
      <c r="A475" s="7" t="s">
        <v>20262</v>
      </c>
      <c r="B475" s="7">
        <v>10983.0</v>
      </c>
      <c r="C475" s="7" t="s">
        <v>6863</v>
      </c>
      <c r="D475" s="7" t="s">
        <v>6869</v>
      </c>
      <c r="E475" s="7" t="s">
        <v>6865</v>
      </c>
      <c r="F475" s="7" t="s">
        <v>6870</v>
      </c>
      <c r="G475" s="7" t="s">
        <v>6871</v>
      </c>
      <c r="H475" s="7" t="s">
        <v>6872</v>
      </c>
      <c r="I475" s="119">
        <v>45292.0</v>
      </c>
      <c r="K475" s="7" t="s">
        <v>419</v>
      </c>
      <c r="L475" s="7" t="s">
        <v>991</v>
      </c>
      <c r="M475" s="7" t="s">
        <v>3501</v>
      </c>
      <c r="N475" s="7" t="s">
        <v>419</v>
      </c>
      <c r="O475" s="7" t="s">
        <v>19430</v>
      </c>
      <c r="P475" s="7" t="s">
        <v>717</v>
      </c>
      <c r="Q475" s="7" t="s">
        <v>722</v>
      </c>
      <c r="R475" s="7" t="s">
        <v>19863</v>
      </c>
      <c r="S475" s="7" t="s">
        <v>19864</v>
      </c>
      <c r="T475" s="7" t="s">
        <v>4955</v>
      </c>
      <c r="U475" s="7" t="s">
        <v>3493</v>
      </c>
      <c r="V475" s="7">
        <v>1.0</v>
      </c>
    </row>
    <row r="476">
      <c r="A476" s="7" t="s">
        <v>20263</v>
      </c>
      <c r="B476" s="7">
        <v>14188.0</v>
      </c>
      <c r="C476" s="7" t="s">
        <v>6863</v>
      </c>
      <c r="D476" s="7" t="s">
        <v>6874</v>
      </c>
      <c r="E476" s="7" t="s">
        <v>6865</v>
      </c>
      <c r="F476" s="7" t="s">
        <v>5347</v>
      </c>
      <c r="G476" s="7" t="s">
        <v>6875</v>
      </c>
      <c r="H476" s="7" t="s">
        <v>6876</v>
      </c>
      <c r="I476" s="119">
        <v>45292.0</v>
      </c>
      <c r="K476" s="7" t="s">
        <v>419</v>
      </c>
      <c r="L476" s="7" t="s">
        <v>991</v>
      </c>
      <c r="M476" s="7" t="s">
        <v>3501</v>
      </c>
      <c r="N476" s="7" t="s">
        <v>419</v>
      </c>
      <c r="O476" s="7" t="s">
        <v>19430</v>
      </c>
      <c r="P476" s="7" t="s">
        <v>717</v>
      </c>
      <c r="Q476" s="7" t="s">
        <v>725</v>
      </c>
      <c r="R476" s="7" t="s">
        <v>19741</v>
      </c>
      <c r="S476" s="7" t="s">
        <v>19791</v>
      </c>
      <c r="T476" s="7" t="s">
        <v>6240</v>
      </c>
      <c r="U476" s="7" t="s">
        <v>3493</v>
      </c>
      <c r="V476" s="7">
        <v>1.0</v>
      </c>
    </row>
    <row r="477">
      <c r="A477" s="7" t="s">
        <v>20264</v>
      </c>
      <c r="B477" s="7">
        <v>2300222.0</v>
      </c>
      <c r="C477" s="7" t="s">
        <v>6878</v>
      </c>
      <c r="D477" s="7" t="s">
        <v>6879</v>
      </c>
      <c r="E477" s="7" t="s">
        <v>6880</v>
      </c>
      <c r="F477" s="7" t="s">
        <v>4321</v>
      </c>
      <c r="G477" s="7" t="s">
        <v>6881</v>
      </c>
      <c r="H477" s="7" t="s">
        <v>6882</v>
      </c>
      <c r="I477" s="119">
        <v>45292.0</v>
      </c>
      <c r="K477" s="7" t="s">
        <v>419</v>
      </c>
      <c r="L477" s="7" t="s">
        <v>991</v>
      </c>
      <c r="M477" s="7" t="s">
        <v>3583</v>
      </c>
      <c r="N477" s="7" t="s">
        <v>419</v>
      </c>
      <c r="O477" s="7" t="s">
        <v>19430</v>
      </c>
      <c r="P477" s="7" t="s">
        <v>717</v>
      </c>
      <c r="Q477" s="7" t="s">
        <v>725</v>
      </c>
      <c r="R477" s="7" t="s">
        <v>19501</v>
      </c>
      <c r="S477" s="7" t="s">
        <v>19502</v>
      </c>
      <c r="T477" s="7" t="s">
        <v>3533</v>
      </c>
      <c r="U477" s="7" t="s">
        <v>3493</v>
      </c>
      <c r="V477" s="7">
        <v>1.0</v>
      </c>
    </row>
    <row r="478">
      <c r="A478" s="7" t="s">
        <v>20265</v>
      </c>
      <c r="B478" s="7">
        <v>14048.0</v>
      </c>
      <c r="C478" s="7" t="s">
        <v>6884</v>
      </c>
      <c r="D478" s="7" t="s">
        <v>3516</v>
      </c>
      <c r="E478" s="7" t="s">
        <v>6880</v>
      </c>
      <c r="F478" s="7" t="s">
        <v>3517</v>
      </c>
      <c r="G478" s="7" t="s">
        <v>6885</v>
      </c>
      <c r="H478" s="7" t="s">
        <v>6886</v>
      </c>
      <c r="I478" s="119">
        <v>45292.0</v>
      </c>
      <c r="K478" s="7" t="s">
        <v>419</v>
      </c>
      <c r="L478" s="7" t="s">
        <v>991</v>
      </c>
      <c r="M478" s="7" t="s">
        <v>3501</v>
      </c>
      <c r="N478" s="7" t="s">
        <v>419</v>
      </c>
      <c r="O478" s="7" t="s">
        <v>19437</v>
      </c>
      <c r="P478" s="7" t="s">
        <v>478</v>
      </c>
      <c r="Q478" s="7" t="s">
        <v>487</v>
      </c>
      <c r="R478" s="7" t="s">
        <v>19796</v>
      </c>
      <c r="T478" s="7" t="s">
        <v>20266</v>
      </c>
      <c r="U478" s="7" t="s">
        <v>3604</v>
      </c>
      <c r="V478" s="7">
        <v>1.0</v>
      </c>
    </row>
    <row r="479">
      <c r="A479" s="7" t="s">
        <v>20267</v>
      </c>
      <c r="B479" s="7">
        <v>2300593.0</v>
      </c>
      <c r="C479" s="7" t="s">
        <v>6891</v>
      </c>
      <c r="D479" s="7" t="s">
        <v>6892</v>
      </c>
      <c r="E479" s="7" t="s">
        <v>6893</v>
      </c>
      <c r="F479" s="7" t="s">
        <v>5229</v>
      </c>
      <c r="G479" s="7" t="s">
        <v>6894</v>
      </c>
      <c r="H479" s="7" t="s">
        <v>6895</v>
      </c>
      <c r="I479" s="119">
        <v>45292.0</v>
      </c>
      <c r="J479" s="7" t="s">
        <v>3929</v>
      </c>
      <c r="K479" s="7" t="s">
        <v>419</v>
      </c>
      <c r="L479" s="7" t="s">
        <v>991</v>
      </c>
      <c r="M479" s="7" t="s">
        <v>3501</v>
      </c>
      <c r="N479" s="7" t="s">
        <v>419</v>
      </c>
      <c r="O479" s="7" t="s">
        <v>19437</v>
      </c>
      <c r="P479" s="7" t="s">
        <v>603</v>
      </c>
      <c r="Q479" s="7" t="s">
        <v>90</v>
      </c>
      <c r="R479" s="7" t="s">
        <v>19690</v>
      </c>
      <c r="S479" s="7" t="s">
        <v>20268</v>
      </c>
      <c r="T479" s="7" t="s">
        <v>6897</v>
      </c>
      <c r="U479" s="7" t="s">
        <v>3843</v>
      </c>
      <c r="V479" s="7">
        <v>1.0</v>
      </c>
    </row>
    <row r="480">
      <c r="A480" s="7" t="s">
        <v>2156</v>
      </c>
      <c r="B480" s="7">
        <v>10305.0</v>
      </c>
      <c r="C480" s="7" t="s">
        <v>6899</v>
      </c>
      <c r="D480" s="7" t="s">
        <v>6900</v>
      </c>
      <c r="E480" s="7" t="s">
        <v>6901</v>
      </c>
      <c r="F480" s="7" t="s">
        <v>6902</v>
      </c>
      <c r="G480" s="7" t="s">
        <v>6903</v>
      </c>
      <c r="H480" s="7" t="s">
        <v>6904</v>
      </c>
      <c r="I480" s="119">
        <v>45292.0</v>
      </c>
      <c r="K480" s="7" t="s">
        <v>3885</v>
      </c>
      <c r="L480" s="7" t="s">
        <v>3542</v>
      </c>
      <c r="M480" s="7" t="s">
        <v>3543</v>
      </c>
      <c r="N480" s="7" t="s">
        <v>419</v>
      </c>
      <c r="O480" s="7" t="s">
        <v>19433</v>
      </c>
      <c r="P480" s="7" t="s">
        <v>648</v>
      </c>
      <c r="Q480" s="7" t="s">
        <v>148</v>
      </c>
      <c r="T480" s="7" t="s">
        <v>11084</v>
      </c>
      <c r="U480" s="7" t="s">
        <v>6078</v>
      </c>
      <c r="V480" s="7">
        <v>1.0</v>
      </c>
    </row>
    <row r="481">
      <c r="A481" s="7" t="s">
        <v>20269</v>
      </c>
      <c r="B481" s="7">
        <v>11652.0</v>
      </c>
      <c r="C481" s="7" t="s">
        <v>6908</v>
      </c>
      <c r="D481" s="7" t="s">
        <v>6909</v>
      </c>
      <c r="E481" s="7" t="s">
        <v>6910</v>
      </c>
      <c r="F481" s="7" t="s">
        <v>6911</v>
      </c>
      <c r="G481" s="7" t="s">
        <v>6912</v>
      </c>
      <c r="H481" s="7" t="s">
        <v>6913</v>
      </c>
      <c r="I481" s="119">
        <v>45292.0</v>
      </c>
      <c r="K481" s="7" t="s">
        <v>419</v>
      </c>
      <c r="L481" s="7" t="s">
        <v>991</v>
      </c>
      <c r="M481" s="7" t="s">
        <v>3501</v>
      </c>
      <c r="N481" s="7" t="s">
        <v>419</v>
      </c>
      <c r="O481" s="7" t="s">
        <v>19430</v>
      </c>
      <c r="P481" s="7" t="s">
        <v>717</v>
      </c>
      <c r="Q481" s="7" t="s">
        <v>251</v>
      </c>
      <c r="R481" s="7" t="s">
        <v>19593</v>
      </c>
      <c r="T481" s="7" t="s">
        <v>6915</v>
      </c>
      <c r="U481" s="7" t="s">
        <v>3604</v>
      </c>
      <c r="V481" s="7">
        <v>1.0</v>
      </c>
    </row>
    <row r="482">
      <c r="A482" s="7" t="s">
        <v>20270</v>
      </c>
      <c r="B482" s="7">
        <v>2200700.0</v>
      </c>
      <c r="C482" s="7" t="s">
        <v>6908</v>
      </c>
      <c r="D482" s="7" t="s">
        <v>6917</v>
      </c>
      <c r="E482" s="7" t="s">
        <v>6910</v>
      </c>
      <c r="F482" s="7" t="s">
        <v>3571</v>
      </c>
      <c r="G482" s="7" t="s">
        <v>6918</v>
      </c>
      <c r="H482" s="7" t="s">
        <v>6919</v>
      </c>
      <c r="I482" s="119">
        <v>45292.0</v>
      </c>
      <c r="K482" s="7" t="s">
        <v>4042</v>
      </c>
      <c r="L482" s="7" t="s">
        <v>991</v>
      </c>
      <c r="M482" s="7" t="s">
        <v>3501</v>
      </c>
      <c r="N482" s="7" t="s">
        <v>4042</v>
      </c>
      <c r="O482" s="7" t="s">
        <v>4042</v>
      </c>
      <c r="P482" s="7" t="s">
        <v>19632</v>
      </c>
      <c r="T482" s="7" t="s">
        <v>4044</v>
      </c>
      <c r="U482" s="7" t="s">
        <v>3493</v>
      </c>
      <c r="V482" s="7">
        <v>1.0</v>
      </c>
    </row>
    <row r="483">
      <c r="A483" s="7" t="s">
        <v>20271</v>
      </c>
      <c r="B483" s="7">
        <v>2100282.0</v>
      </c>
      <c r="C483" s="7" t="s">
        <v>6908</v>
      </c>
      <c r="D483" s="7" t="s">
        <v>6921</v>
      </c>
      <c r="E483" s="7" t="s">
        <v>6910</v>
      </c>
      <c r="F483" s="7" t="s">
        <v>4831</v>
      </c>
      <c r="G483" s="7" t="s">
        <v>6922</v>
      </c>
      <c r="H483" s="7" t="s">
        <v>6923</v>
      </c>
      <c r="I483" s="119">
        <v>45292.0</v>
      </c>
      <c r="K483" s="7" t="s">
        <v>3632</v>
      </c>
      <c r="L483" s="7" t="s">
        <v>991</v>
      </c>
      <c r="M483" s="7" t="s">
        <v>3531</v>
      </c>
      <c r="N483" s="7" t="s">
        <v>3632</v>
      </c>
      <c r="O483" s="7" t="s">
        <v>3632</v>
      </c>
      <c r="P483" s="7" t="s">
        <v>625</v>
      </c>
      <c r="Q483" s="7" t="s">
        <v>118</v>
      </c>
      <c r="R483" s="7" t="s">
        <v>20076</v>
      </c>
      <c r="T483" s="7" t="s">
        <v>6924</v>
      </c>
      <c r="U483" s="7" t="s">
        <v>3493</v>
      </c>
      <c r="V483" s="7">
        <v>1.0</v>
      </c>
    </row>
    <row r="484">
      <c r="A484" s="7" t="s">
        <v>20272</v>
      </c>
      <c r="B484" s="7">
        <v>12597.0</v>
      </c>
      <c r="C484" s="7" t="s">
        <v>6908</v>
      </c>
      <c r="D484" s="7" t="s">
        <v>6926</v>
      </c>
      <c r="E484" s="7" t="s">
        <v>6910</v>
      </c>
      <c r="F484" s="7" t="s">
        <v>6262</v>
      </c>
      <c r="G484" s="7" t="s">
        <v>6927</v>
      </c>
      <c r="H484" s="7" t="s">
        <v>6928</v>
      </c>
      <c r="I484" s="119">
        <v>45292.0</v>
      </c>
      <c r="K484" s="7" t="s">
        <v>419</v>
      </c>
      <c r="L484" s="7" t="s">
        <v>991</v>
      </c>
      <c r="M484" s="7" t="s">
        <v>3501</v>
      </c>
      <c r="N484" s="7" t="s">
        <v>419</v>
      </c>
      <c r="O484" s="7" t="s">
        <v>19437</v>
      </c>
      <c r="P484" s="7" t="s">
        <v>440</v>
      </c>
      <c r="Q484" s="7" t="s">
        <v>19453</v>
      </c>
      <c r="R484" s="7" t="s">
        <v>20273</v>
      </c>
      <c r="S484" s="7" t="s">
        <v>20274</v>
      </c>
      <c r="T484" s="7" t="s">
        <v>6930</v>
      </c>
      <c r="U484" s="7" t="s">
        <v>3843</v>
      </c>
      <c r="V484" s="7">
        <v>1.0</v>
      </c>
    </row>
    <row r="485">
      <c r="A485" s="7" t="s">
        <v>20275</v>
      </c>
      <c r="B485" s="7">
        <v>2300627.0</v>
      </c>
      <c r="C485" s="7" t="s">
        <v>6932</v>
      </c>
      <c r="D485" s="7" t="s">
        <v>4066</v>
      </c>
      <c r="E485" s="7" t="s">
        <v>6933</v>
      </c>
      <c r="F485" s="7" t="s">
        <v>4068</v>
      </c>
      <c r="G485" s="7" t="s">
        <v>6934</v>
      </c>
      <c r="H485" s="7" t="s">
        <v>6935</v>
      </c>
      <c r="I485" s="119">
        <v>45292.0</v>
      </c>
      <c r="K485" s="7" t="s">
        <v>419</v>
      </c>
      <c r="L485" s="7" t="s">
        <v>991</v>
      </c>
      <c r="M485" s="7" t="s">
        <v>3501</v>
      </c>
      <c r="N485" s="7" t="s">
        <v>419</v>
      </c>
      <c r="O485" s="7" t="s">
        <v>19443</v>
      </c>
      <c r="P485" s="7" t="s">
        <v>1242</v>
      </c>
      <c r="Q485" s="7" t="s">
        <v>39</v>
      </c>
      <c r="R485" s="7" t="s">
        <v>19757</v>
      </c>
      <c r="T485" s="7" t="s">
        <v>4536</v>
      </c>
      <c r="U485" s="7" t="s">
        <v>3493</v>
      </c>
      <c r="V485" s="7">
        <v>1.0</v>
      </c>
    </row>
    <row r="486">
      <c r="A486" s="7" t="s">
        <v>20276</v>
      </c>
      <c r="B486" s="7">
        <v>2100519.0</v>
      </c>
      <c r="C486" s="7" t="s">
        <v>6932</v>
      </c>
      <c r="D486" s="7" t="s">
        <v>6937</v>
      </c>
      <c r="E486" s="7" t="s">
        <v>6933</v>
      </c>
      <c r="F486" s="7" t="s">
        <v>3571</v>
      </c>
      <c r="G486" s="7" t="s">
        <v>6938</v>
      </c>
      <c r="H486" s="7" t="s">
        <v>6939</v>
      </c>
      <c r="I486" s="119">
        <v>45292.0</v>
      </c>
      <c r="K486" s="7" t="s">
        <v>419</v>
      </c>
      <c r="L486" s="7" t="s">
        <v>991</v>
      </c>
      <c r="M486" s="7" t="s">
        <v>3501</v>
      </c>
      <c r="N486" s="7" t="s">
        <v>419</v>
      </c>
      <c r="O486" s="7" t="s">
        <v>19443</v>
      </c>
      <c r="P486" s="7" t="s">
        <v>1242</v>
      </c>
      <c r="Q486" s="7" t="s">
        <v>51</v>
      </c>
      <c r="R486" s="7" t="s">
        <v>19549</v>
      </c>
      <c r="S486" s="7" t="s">
        <v>19577</v>
      </c>
      <c r="T486" s="7" t="s">
        <v>3842</v>
      </c>
      <c r="U486" s="7" t="s">
        <v>3493</v>
      </c>
      <c r="V486" s="7">
        <v>1.0</v>
      </c>
    </row>
    <row r="487">
      <c r="A487" s="7" t="s">
        <v>20277</v>
      </c>
      <c r="B487" s="7">
        <v>2300766.0</v>
      </c>
      <c r="C487" s="7" t="s">
        <v>6932</v>
      </c>
      <c r="D487" s="7" t="s">
        <v>6941</v>
      </c>
      <c r="E487" s="7" t="s">
        <v>6933</v>
      </c>
      <c r="F487" s="7" t="s">
        <v>6942</v>
      </c>
      <c r="G487" s="7" t="s">
        <v>6943</v>
      </c>
      <c r="H487" s="7" t="s">
        <v>6944</v>
      </c>
      <c r="I487" s="119">
        <v>45292.0</v>
      </c>
      <c r="K487" s="7" t="s">
        <v>419</v>
      </c>
      <c r="L487" s="7" t="s">
        <v>991</v>
      </c>
      <c r="M487" s="7" t="s">
        <v>3531</v>
      </c>
      <c r="N487" s="7" t="s">
        <v>419</v>
      </c>
      <c r="O487" s="7" t="s">
        <v>19433</v>
      </c>
      <c r="P487" s="7" t="s">
        <v>648</v>
      </c>
      <c r="Q487" s="7" t="s">
        <v>148</v>
      </c>
      <c r="R487" s="7" t="s">
        <v>19501</v>
      </c>
      <c r="T487" s="7" t="s">
        <v>4445</v>
      </c>
      <c r="U487" s="7" t="s">
        <v>3493</v>
      </c>
      <c r="V487" s="7">
        <v>1.0</v>
      </c>
    </row>
    <row r="488">
      <c r="A488" s="7" t="s">
        <v>20278</v>
      </c>
      <c r="B488" s="7">
        <v>2200021.0</v>
      </c>
      <c r="C488" s="7" t="s">
        <v>6946</v>
      </c>
      <c r="D488" s="7" t="s">
        <v>5383</v>
      </c>
      <c r="E488" s="7" t="s">
        <v>6933</v>
      </c>
      <c r="F488" s="7" t="s">
        <v>3486</v>
      </c>
      <c r="G488" s="7" t="s">
        <v>6947</v>
      </c>
      <c r="H488" s="7" t="s">
        <v>6948</v>
      </c>
      <c r="I488" s="119">
        <v>45292.0</v>
      </c>
      <c r="K488" s="7" t="s">
        <v>419</v>
      </c>
      <c r="L488" s="7" t="s">
        <v>991</v>
      </c>
      <c r="M488" s="7" t="s">
        <v>3501</v>
      </c>
      <c r="N488" s="7" t="s">
        <v>419</v>
      </c>
      <c r="O488" s="7" t="s">
        <v>19437</v>
      </c>
      <c r="P488" s="7" t="s">
        <v>440</v>
      </c>
      <c r="Q488" s="7" t="s">
        <v>924</v>
      </c>
      <c r="R488" s="7" t="s">
        <v>20135</v>
      </c>
      <c r="S488" s="7" t="s">
        <v>20279</v>
      </c>
      <c r="T488" s="7" t="s">
        <v>6950</v>
      </c>
      <c r="U488" s="7" t="s">
        <v>3843</v>
      </c>
      <c r="V488" s="7">
        <v>1.0</v>
      </c>
    </row>
    <row r="489">
      <c r="A489" s="7" t="s">
        <v>20280</v>
      </c>
      <c r="B489" s="7">
        <v>2300642.0</v>
      </c>
      <c r="C489" s="7" t="s">
        <v>6952</v>
      </c>
      <c r="D489" s="7" t="s">
        <v>6953</v>
      </c>
      <c r="E489" s="7" t="s">
        <v>6954</v>
      </c>
      <c r="F489" s="7" t="s">
        <v>6669</v>
      </c>
      <c r="G489" s="7" t="s">
        <v>6955</v>
      </c>
      <c r="H489" s="7" t="s">
        <v>6956</v>
      </c>
      <c r="I489" s="119">
        <v>45292.0</v>
      </c>
      <c r="K489" s="7" t="s">
        <v>419</v>
      </c>
      <c r="L489" s="7" t="s">
        <v>991</v>
      </c>
      <c r="M489" s="7" t="s">
        <v>3501</v>
      </c>
      <c r="N489" s="7" t="s">
        <v>419</v>
      </c>
      <c r="O489" s="7" t="s">
        <v>19430</v>
      </c>
      <c r="P489" s="7" t="s">
        <v>717</v>
      </c>
      <c r="Q489" s="7" t="s">
        <v>1163</v>
      </c>
      <c r="R489" s="7" t="s">
        <v>19601</v>
      </c>
      <c r="S489" s="7" t="s">
        <v>20281</v>
      </c>
      <c r="T489" s="7" t="s">
        <v>6958</v>
      </c>
      <c r="U489" s="7" t="s">
        <v>3843</v>
      </c>
      <c r="V489" s="7">
        <v>1.0</v>
      </c>
    </row>
    <row r="490">
      <c r="A490" s="7" t="s">
        <v>20282</v>
      </c>
      <c r="B490" s="7">
        <v>11519.0</v>
      </c>
      <c r="C490" s="7" t="s">
        <v>6960</v>
      </c>
      <c r="D490" s="7" t="s">
        <v>6961</v>
      </c>
      <c r="E490" s="7" t="s">
        <v>6962</v>
      </c>
      <c r="F490" s="7" t="s">
        <v>4280</v>
      </c>
      <c r="G490" s="7" t="s">
        <v>6963</v>
      </c>
      <c r="H490" s="7" t="s">
        <v>6964</v>
      </c>
      <c r="I490" s="119">
        <v>45292.0</v>
      </c>
      <c r="K490" s="7" t="s">
        <v>419</v>
      </c>
      <c r="L490" s="7" t="s">
        <v>991</v>
      </c>
      <c r="M490" s="7" t="s">
        <v>3501</v>
      </c>
      <c r="N490" s="7" t="s">
        <v>419</v>
      </c>
      <c r="O490" s="7" t="s">
        <v>19432</v>
      </c>
      <c r="P490" s="7" t="s">
        <v>391</v>
      </c>
      <c r="Q490" s="7" t="s">
        <v>392</v>
      </c>
      <c r="R490" s="7" t="s">
        <v>19552</v>
      </c>
      <c r="T490" s="7" t="s">
        <v>6965</v>
      </c>
      <c r="U490" s="7" t="s">
        <v>3604</v>
      </c>
      <c r="V490" s="7">
        <v>1.0</v>
      </c>
    </row>
    <row r="491">
      <c r="A491" s="7" t="s">
        <v>20283</v>
      </c>
      <c r="B491" s="7">
        <v>237.0</v>
      </c>
      <c r="C491" s="7" t="s">
        <v>6960</v>
      </c>
      <c r="D491" s="7" t="s">
        <v>6967</v>
      </c>
      <c r="E491" s="7" t="s">
        <v>6962</v>
      </c>
      <c r="F491" s="7" t="s">
        <v>6968</v>
      </c>
      <c r="G491" s="7" t="s">
        <v>6969</v>
      </c>
      <c r="H491" s="7" t="s">
        <v>6970</v>
      </c>
      <c r="I491" s="119">
        <v>45292.0</v>
      </c>
      <c r="J491" s="7" t="s">
        <v>4216</v>
      </c>
      <c r="K491" s="7" t="s">
        <v>419</v>
      </c>
      <c r="L491" s="7" t="s">
        <v>991</v>
      </c>
      <c r="M491" s="7" t="s">
        <v>3501</v>
      </c>
      <c r="N491" s="7" t="s">
        <v>419</v>
      </c>
      <c r="O491" s="7" t="s">
        <v>19432</v>
      </c>
      <c r="P491" s="7" t="s">
        <v>693</v>
      </c>
      <c r="T491" s="7" t="s">
        <v>6972</v>
      </c>
      <c r="U491" s="7" t="s">
        <v>3493</v>
      </c>
      <c r="V491" s="7">
        <v>1.0</v>
      </c>
    </row>
    <row r="492">
      <c r="A492" s="7" t="s">
        <v>20284</v>
      </c>
      <c r="B492" s="7">
        <v>12734.0</v>
      </c>
      <c r="C492" s="7" t="s">
        <v>6974</v>
      </c>
      <c r="D492" s="7" t="s">
        <v>6975</v>
      </c>
      <c r="E492" s="7" t="s">
        <v>6976</v>
      </c>
      <c r="F492" s="7" t="s">
        <v>6977</v>
      </c>
      <c r="G492" s="7" t="s">
        <v>6978</v>
      </c>
      <c r="H492" s="7" t="s">
        <v>6979</v>
      </c>
      <c r="I492" s="119">
        <v>45292.0</v>
      </c>
      <c r="K492" s="7" t="s">
        <v>419</v>
      </c>
      <c r="L492" s="7" t="s">
        <v>991</v>
      </c>
      <c r="M492" s="7" t="s">
        <v>3501</v>
      </c>
      <c r="N492" s="7" t="s">
        <v>419</v>
      </c>
      <c r="O492" s="7" t="s">
        <v>19430</v>
      </c>
      <c r="P492" s="7" t="s">
        <v>717</v>
      </c>
      <c r="Q492" s="7" t="s">
        <v>730</v>
      </c>
      <c r="R492" s="7" t="s">
        <v>20285</v>
      </c>
      <c r="T492" s="7" t="s">
        <v>6981</v>
      </c>
      <c r="U492" s="7" t="s">
        <v>3493</v>
      </c>
      <c r="V492" s="7">
        <v>1.0</v>
      </c>
    </row>
    <row r="493">
      <c r="A493" s="7" t="s">
        <v>20286</v>
      </c>
      <c r="B493" s="7">
        <v>13601.0</v>
      </c>
      <c r="C493" s="7" t="s">
        <v>6983</v>
      </c>
      <c r="D493" s="7" t="s">
        <v>6984</v>
      </c>
      <c r="E493" s="7" t="s">
        <v>6985</v>
      </c>
      <c r="F493" s="7" t="s">
        <v>3806</v>
      </c>
      <c r="G493" s="7" t="s">
        <v>6986</v>
      </c>
      <c r="H493" s="7" t="s">
        <v>6987</v>
      </c>
      <c r="I493" s="119">
        <v>45292.0</v>
      </c>
      <c r="K493" s="7" t="s">
        <v>419</v>
      </c>
      <c r="L493" s="7" t="s">
        <v>991</v>
      </c>
      <c r="M493" s="7" t="s">
        <v>3501</v>
      </c>
      <c r="N493" s="7" t="s">
        <v>419</v>
      </c>
      <c r="O493" s="7" t="s">
        <v>19430</v>
      </c>
      <c r="P493" s="7" t="s">
        <v>717</v>
      </c>
      <c r="Q493" s="7" t="s">
        <v>722</v>
      </c>
      <c r="R493" s="7" t="s">
        <v>19703</v>
      </c>
      <c r="T493" s="7" t="s">
        <v>11005</v>
      </c>
      <c r="U493" s="7" t="s">
        <v>3604</v>
      </c>
      <c r="V493" s="7">
        <v>1.0</v>
      </c>
    </row>
    <row r="494">
      <c r="A494" s="7" t="s">
        <v>20287</v>
      </c>
      <c r="B494" s="7">
        <v>2100506.0</v>
      </c>
      <c r="C494" s="7" t="s">
        <v>6991</v>
      </c>
      <c r="D494" s="7" t="s">
        <v>6992</v>
      </c>
      <c r="E494" s="7" t="s">
        <v>6993</v>
      </c>
      <c r="F494" s="7" t="s">
        <v>6994</v>
      </c>
      <c r="G494" s="7" t="s">
        <v>6995</v>
      </c>
      <c r="H494" s="7" t="s">
        <v>6996</v>
      </c>
      <c r="I494" s="119">
        <v>45292.0</v>
      </c>
      <c r="K494" s="7" t="s">
        <v>3489</v>
      </c>
      <c r="L494" s="7" t="s">
        <v>991</v>
      </c>
      <c r="M494" s="7" t="s">
        <v>3490</v>
      </c>
      <c r="N494" s="7" t="s">
        <v>3489</v>
      </c>
      <c r="O494" s="7" t="s">
        <v>3489</v>
      </c>
      <c r="P494" s="7" t="s">
        <v>19491</v>
      </c>
      <c r="Q494" s="7" t="s">
        <v>169</v>
      </c>
      <c r="R494" s="7" t="s">
        <v>19492</v>
      </c>
      <c r="T494" s="7" t="s">
        <v>3492</v>
      </c>
      <c r="U494" s="7" t="s">
        <v>3493</v>
      </c>
      <c r="V494" s="7">
        <v>1.0</v>
      </c>
    </row>
    <row r="495">
      <c r="A495" s="7" t="s">
        <v>20288</v>
      </c>
      <c r="B495" s="7">
        <v>11461.0</v>
      </c>
      <c r="C495" s="7" t="s">
        <v>6991</v>
      </c>
      <c r="D495" s="7" t="s">
        <v>6998</v>
      </c>
      <c r="E495" s="7" t="s">
        <v>6993</v>
      </c>
      <c r="F495" s="7" t="s">
        <v>6301</v>
      </c>
      <c r="G495" s="7" t="s">
        <v>6999</v>
      </c>
      <c r="H495" s="7" t="s">
        <v>7000</v>
      </c>
      <c r="I495" s="119">
        <v>45292.0</v>
      </c>
      <c r="K495" s="7" t="s">
        <v>419</v>
      </c>
      <c r="L495" s="7" t="s">
        <v>991</v>
      </c>
      <c r="M495" s="7" t="s">
        <v>3501</v>
      </c>
      <c r="N495" s="7" t="s">
        <v>419</v>
      </c>
      <c r="O495" s="7" t="s">
        <v>19432</v>
      </c>
      <c r="P495" s="7" t="s">
        <v>693</v>
      </c>
      <c r="Q495" s="7" t="s">
        <v>698</v>
      </c>
      <c r="R495" s="7" t="s">
        <v>19783</v>
      </c>
      <c r="S495" s="7" t="s">
        <v>19874</v>
      </c>
      <c r="T495" s="7" t="s">
        <v>4995</v>
      </c>
      <c r="U495" s="7" t="s">
        <v>3493</v>
      </c>
      <c r="V495" s="7">
        <v>1.0</v>
      </c>
    </row>
    <row r="496">
      <c r="A496" s="7" t="s">
        <v>20289</v>
      </c>
      <c r="B496" s="7">
        <v>12415.0</v>
      </c>
      <c r="C496" s="7" t="s">
        <v>6991</v>
      </c>
      <c r="D496" s="7" t="s">
        <v>6571</v>
      </c>
      <c r="E496" s="7" t="s">
        <v>6993</v>
      </c>
      <c r="F496" s="7" t="s">
        <v>3909</v>
      </c>
      <c r="G496" s="7" t="s">
        <v>7002</v>
      </c>
      <c r="H496" s="7" t="s">
        <v>7003</v>
      </c>
      <c r="I496" s="119">
        <v>45292.0</v>
      </c>
      <c r="K496" s="7" t="s">
        <v>419</v>
      </c>
      <c r="L496" s="7" t="s">
        <v>991</v>
      </c>
      <c r="M496" s="7" t="s">
        <v>3501</v>
      </c>
      <c r="N496" s="7" t="s">
        <v>419</v>
      </c>
      <c r="O496" s="7" t="s">
        <v>19432</v>
      </c>
      <c r="P496" s="7" t="s">
        <v>693</v>
      </c>
      <c r="Q496" s="7" t="s">
        <v>701</v>
      </c>
      <c r="R496" s="7" t="s">
        <v>19518</v>
      </c>
      <c r="S496" s="7" t="s">
        <v>19519</v>
      </c>
      <c r="T496" s="7" t="s">
        <v>7004</v>
      </c>
      <c r="U496" s="7" t="s">
        <v>3493</v>
      </c>
      <c r="V496" s="7">
        <v>1.0</v>
      </c>
    </row>
    <row r="497">
      <c r="A497" s="7" t="s">
        <v>20290</v>
      </c>
      <c r="B497" s="7">
        <v>2300278.0</v>
      </c>
      <c r="C497" s="7" t="s">
        <v>6991</v>
      </c>
      <c r="D497" s="7" t="s">
        <v>7006</v>
      </c>
      <c r="E497" s="7" t="s">
        <v>6993</v>
      </c>
      <c r="F497" s="7" t="s">
        <v>7007</v>
      </c>
      <c r="G497" s="7" t="s">
        <v>7008</v>
      </c>
      <c r="H497" s="7" t="s">
        <v>7009</v>
      </c>
      <c r="I497" s="119">
        <v>45292.0</v>
      </c>
      <c r="K497" s="7" t="s">
        <v>419</v>
      </c>
      <c r="L497" s="7" t="s">
        <v>991</v>
      </c>
      <c r="M497" s="7" t="s">
        <v>3531</v>
      </c>
      <c r="N497" s="7" t="s">
        <v>419</v>
      </c>
      <c r="O497" s="7" t="s">
        <v>19432</v>
      </c>
      <c r="P497" s="7" t="s">
        <v>693</v>
      </c>
      <c r="Q497" s="7" t="s">
        <v>696</v>
      </c>
      <c r="R497" s="7" t="s">
        <v>19813</v>
      </c>
      <c r="S497" s="7" t="s">
        <v>19739</v>
      </c>
      <c r="T497" s="7" t="s">
        <v>4728</v>
      </c>
      <c r="U497" s="7" t="s">
        <v>3493</v>
      </c>
      <c r="V497" s="7">
        <v>1.0</v>
      </c>
    </row>
    <row r="498">
      <c r="A498" s="7" t="s">
        <v>20291</v>
      </c>
      <c r="B498" s="7">
        <v>2300273.0</v>
      </c>
      <c r="C498" s="7" t="s">
        <v>7011</v>
      </c>
      <c r="D498" s="7" t="s">
        <v>7012</v>
      </c>
      <c r="E498" s="7" t="s">
        <v>7013</v>
      </c>
      <c r="F498" s="7" t="s">
        <v>7014</v>
      </c>
      <c r="G498" s="7" t="s">
        <v>7015</v>
      </c>
      <c r="H498" s="7" t="s">
        <v>7016</v>
      </c>
      <c r="I498" s="119">
        <v>45292.0</v>
      </c>
      <c r="K498" s="7" t="s">
        <v>4042</v>
      </c>
      <c r="L498" s="7" t="s">
        <v>991</v>
      </c>
      <c r="M498" s="7" t="s">
        <v>3866</v>
      </c>
      <c r="N498" s="7" t="s">
        <v>4042</v>
      </c>
      <c r="O498" s="7" t="s">
        <v>4042</v>
      </c>
      <c r="P498" s="7" t="s">
        <v>19632</v>
      </c>
      <c r="T498" s="7" t="s">
        <v>4044</v>
      </c>
      <c r="U498" s="7" t="s">
        <v>3493</v>
      </c>
      <c r="V498" s="7">
        <v>1.0</v>
      </c>
    </row>
    <row r="499">
      <c r="A499" s="7" t="s">
        <v>20292</v>
      </c>
      <c r="B499" s="7">
        <v>2300609.0</v>
      </c>
      <c r="C499" s="7" t="s">
        <v>7018</v>
      </c>
      <c r="D499" s="7" t="s">
        <v>7019</v>
      </c>
      <c r="E499" s="7" t="s">
        <v>7020</v>
      </c>
      <c r="F499" s="7" t="s">
        <v>7021</v>
      </c>
      <c r="G499" s="7" t="s">
        <v>7022</v>
      </c>
      <c r="H499" s="7" t="s">
        <v>7023</v>
      </c>
      <c r="I499" s="119">
        <v>45292.0</v>
      </c>
      <c r="K499" s="7" t="s">
        <v>419</v>
      </c>
      <c r="L499" s="7" t="s">
        <v>991</v>
      </c>
      <c r="M499" s="7" t="s">
        <v>3531</v>
      </c>
      <c r="N499" s="7" t="s">
        <v>419</v>
      </c>
      <c r="O499" s="7" t="s">
        <v>19430</v>
      </c>
      <c r="P499" s="7" t="s">
        <v>717</v>
      </c>
      <c r="Q499" s="7" t="s">
        <v>722</v>
      </c>
      <c r="R499" s="7" t="s">
        <v>19703</v>
      </c>
      <c r="S499" s="7" t="s">
        <v>19704</v>
      </c>
      <c r="T499" s="7" t="s">
        <v>4311</v>
      </c>
      <c r="U499" s="7" t="s">
        <v>3493</v>
      </c>
      <c r="V499" s="7">
        <v>1.0</v>
      </c>
    </row>
    <row r="500">
      <c r="A500" s="7" t="s">
        <v>20293</v>
      </c>
      <c r="B500" s="7">
        <v>2300264.0</v>
      </c>
      <c r="C500" s="7" t="s">
        <v>7025</v>
      </c>
      <c r="D500" s="7" t="s">
        <v>7026</v>
      </c>
      <c r="E500" s="7" t="s">
        <v>7027</v>
      </c>
      <c r="F500" s="7" t="s">
        <v>4598</v>
      </c>
      <c r="G500" s="7" t="s">
        <v>7028</v>
      </c>
      <c r="H500" s="7" t="s">
        <v>7029</v>
      </c>
      <c r="I500" s="119">
        <v>45292.0</v>
      </c>
      <c r="K500" s="7" t="s">
        <v>419</v>
      </c>
      <c r="L500" s="7" t="s">
        <v>991</v>
      </c>
      <c r="M500" s="7" t="s">
        <v>3583</v>
      </c>
      <c r="N500" s="7" t="s">
        <v>419</v>
      </c>
      <c r="O500" s="7" t="s">
        <v>19443</v>
      </c>
      <c r="P500" s="7" t="s">
        <v>1242</v>
      </c>
      <c r="Q500" s="7" t="s">
        <v>39</v>
      </c>
      <c r="R500" s="7" t="s">
        <v>19757</v>
      </c>
      <c r="T500" s="7" t="s">
        <v>4536</v>
      </c>
      <c r="U500" s="7" t="s">
        <v>3493</v>
      </c>
      <c r="V500" s="7">
        <v>1.0</v>
      </c>
    </row>
    <row r="501">
      <c r="A501" s="7" t="s">
        <v>20294</v>
      </c>
      <c r="B501" s="7">
        <v>11604.0</v>
      </c>
      <c r="C501" s="7" t="s">
        <v>7031</v>
      </c>
      <c r="D501" s="7" t="s">
        <v>7032</v>
      </c>
      <c r="E501" s="7" t="s">
        <v>7033</v>
      </c>
      <c r="F501" s="7" t="s">
        <v>7032</v>
      </c>
      <c r="G501" s="7" t="s">
        <v>7034</v>
      </c>
      <c r="H501" s="7" t="s">
        <v>7035</v>
      </c>
      <c r="I501" s="119">
        <v>45292.0</v>
      </c>
      <c r="K501" s="7" t="s">
        <v>419</v>
      </c>
      <c r="L501" s="7" t="s">
        <v>991</v>
      </c>
      <c r="M501" s="7" t="s">
        <v>3501</v>
      </c>
      <c r="N501" s="7" t="s">
        <v>419</v>
      </c>
      <c r="O501" s="7" t="s">
        <v>19432</v>
      </c>
      <c r="P501" s="7" t="s">
        <v>298</v>
      </c>
      <c r="Q501" s="7" t="s">
        <v>802</v>
      </c>
      <c r="R501" s="7" t="s">
        <v>19867</v>
      </c>
      <c r="T501" s="7" t="s">
        <v>5775</v>
      </c>
      <c r="U501" s="7" t="s">
        <v>3493</v>
      </c>
      <c r="V501" s="7">
        <v>1.0</v>
      </c>
    </row>
    <row r="502">
      <c r="A502" s="7" t="s">
        <v>20295</v>
      </c>
      <c r="B502" s="7">
        <v>1277.0</v>
      </c>
      <c r="C502" s="7" t="s">
        <v>7037</v>
      </c>
      <c r="D502" s="7" t="s">
        <v>7038</v>
      </c>
      <c r="E502" s="7" t="s">
        <v>7033</v>
      </c>
      <c r="F502" s="7" t="s">
        <v>7039</v>
      </c>
      <c r="G502" s="7" t="s">
        <v>7040</v>
      </c>
      <c r="H502" s="7" t="s">
        <v>7041</v>
      </c>
      <c r="I502" s="119">
        <v>45292.0</v>
      </c>
      <c r="K502" s="7" t="s">
        <v>419</v>
      </c>
      <c r="L502" s="7" t="s">
        <v>991</v>
      </c>
      <c r="M502" s="7" t="s">
        <v>3501</v>
      </c>
      <c r="N502" s="7" t="s">
        <v>419</v>
      </c>
      <c r="O502" s="7" t="s">
        <v>19430</v>
      </c>
      <c r="P502" s="7" t="s">
        <v>717</v>
      </c>
      <c r="Q502" s="7" t="s">
        <v>730</v>
      </c>
      <c r="R502" s="7" t="s">
        <v>19961</v>
      </c>
      <c r="S502" s="7" t="s">
        <v>20029</v>
      </c>
      <c r="T502" s="7" t="s">
        <v>7042</v>
      </c>
      <c r="U502" s="7" t="s">
        <v>3493</v>
      </c>
      <c r="V502" s="7">
        <v>1.0</v>
      </c>
    </row>
    <row r="503">
      <c r="A503" s="7" t="s">
        <v>20296</v>
      </c>
      <c r="B503" s="7">
        <v>13688.0</v>
      </c>
      <c r="C503" s="7" t="s">
        <v>7037</v>
      </c>
      <c r="D503" s="7" t="s">
        <v>3862</v>
      </c>
      <c r="E503" s="7" t="s">
        <v>7033</v>
      </c>
      <c r="F503" s="7" t="s">
        <v>3508</v>
      </c>
      <c r="G503" s="7" t="s">
        <v>7044</v>
      </c>
      <c r="H503" s="7" t="s">
        <v>7045</v>
      </c>
      <c r="I503" s="119">
        <v>45292.0</v>
      </c>
      <c r="K503" s="7" t="s">
        <v>3632</v>
      </c>
      <c r="L503" s="7" t="s">
        <v>991</v>
      </c>
      <c r="M503" s="7" t="s">
        <v>3501</v>
      </c>
      <c r="N503" s="7" t="s">
        <v>3632</v>
      </c>
      <c r="O503" s="7" t="s">
        <v>3632</v>
      </c>
      <c r="P503" s="7" t="s">
        <v>22</v>
      </c>
      <c r="Q503" s="7" t="s">
        <v>552</v>
      </c>
      <c r="T503" s="7" t="s">
        <v>16888</v>
      </c>
      <c r="U503" s="7" t="s">
        <v>3493</v>
      </c>
      <c r="V503" s="7">
        <v>1.0</v>
      </c>
    </row>
    <row r="504">
      <c r="A504" s="7" t="s">
        <v>20297</v>
      </c>
      <c r="B504" s="7">
        <v>13676.0</v>
      </c>
      <c r="C504" s="7" t="s">
        <v>7031</v>
      </c>
      <c r="D504" s="7" t="s">
        <v>7049</v>
      </c>
      <c r="E504" s="7" t="s">
        <v>7033</v>
      </c>
      <c r="F504" s="7" t="s">
        <v>4525</v>
      </c>
      <c r="G504" s="7" t="s">
        <v>7050</v>
      </c>
      <c r="H504" s="7" t="s">
        <v>7051</v>
      </c>
      <c r="I504" s="119">
        <v>45292.0</v>
      </c>
      <c r="K504" s="7" t="s">
        <v>3632</v>
      </c>
      <c r="L504" s="7" t="s">
        <v>991</v>
      </c>
      <c r="M504" s="7" t="s">
        <v>3501</v>
      </c>
      <c r="N504" s="7" t="s">
        <v>3632</v>
      </c>
      <c r="O504" s="7" t="s">
        <v>3632</v>
      </c>
      <c r="P504" s="7" t="s">
        <v>625</v>
      </c>
      <c r="Q504" s="7" t="s">
        <v>626</v>
      </c>
      <c r="R504" s="7" t="s">
        <v>19672</v>
      </c>
      <c r="T504" s="7" t="s">
        <v>4191</v>
      </c>
      <c r="U504" s="7" t="s">
        <v>3493</v>
      </c>
      <c r="V504" s="7">
        <v>1.0</v>
      </c>
    </row>
    <row r="505">
      <c r="A505" s="7" t="s">
        <v>2119</v>
      </c>
      <c r="B505" s="7">
        <v>1091.0</v>
      </c>
      <c r="C505" s="7" t="s">
        <v>7037</v>
      </c>
      <c r="D505" s="7" t="s">
        <v>3597</v>
      </c>
      <c r="E505" s="7" t="s">
        <v>7033</v>
      </c>
      <c r="F505" s="7" t="s">
        <v>3599</v>
      </c>
      <c r="G505" s="7" t="s">
        <v>7053</v>
      </c>
      <c r="H505" s="7" t="s">
        <v>7054</v>
      </c>
      <c r="I505" s="119">
        <v>45292.0</v>
      </c>
      <c r="K505" s="7" t="s">
        <v>419</v>
      </c>
      <c r="L505" s="7" t="s">
        <v>991</v>
      </c>
      <c r="M505" s="7" t="s">
        <v>3501</v>
      </c>
      <c r="N505" s="7" t="s">
        <v>419</v>
      </c>
      <c r="O505" s="7" t="s">
        <v>19437</v>
      </c>
      <c r="P505" s="7" t="s">
        <v>440</v>
      </c>
      <c r="Q505" s="7" t="s">
        <v>441</v>
      </c>
      <c r="T505" s="7" t="s">
        <v>7056</v>
      </c>
      <c r="U505" s="7" t="s">
        <v>5585</v>
      </c>
      <c r="V505" s="7">
        <v>1.0</v>
      </c>
    </row>
    <row r="506">
      <c r="A506" s="7" t="s">
        <v>20298</v>
      </c>
      <c r="B506" s="7">
        <v>1250.0</v>
      </c>
      <c r="C506" s="7" t="s">
        <v>7037</v>
      </c>
      <c r="D506" s="7" t="s">
        <v>4982</v>
      </c>
      <c r="E506" s="7" t="s">
        <v>7033</v>
      </c>
      <c r="F506" s="7" t="s">
        <v>4984</v>
      </c>
      <c r="G506" s="7" t="s">
        <v>7058</v>
      </c>
      <c r="H506" s="7" t="s">
        <v>7059</v>
      </c>
      <c r="I506" s="119">
        <v>45292.0</v>
      </c>
      <c r="K506" s="7" t="s">
        <v>419</v>
      </c>
      <c r="L506" s="7" t="s">
        <v>991</v>
      </c>
      <c r="M506" s="7" t="s">
        <v>3501</v>
      </c>
      <c r="N506" s="7" t="s">
        <v>419</v>
      </c>
      <c r="O506" s="7" t="s">
        <v>19443</v>
      </c>
      <c r="P506" s="7" t="s">
        <v>1242</v>
      </c>
      <c r="Q506" s="7" t="s">
        <v>39</v>
      </c>
      <c r="R506" s="7" t="s">
        <v>19929</v>
      </c>
      <c r="S506" s="7" t="s">
        <v>20299</v>
      </c>
      <c r="T506" s="7" t="s">
        <v>7061</v>
      </c>
      <c r="U506" s="7" t="s">
        <v>3493</v>
      </c>
      <c r="V506" s="7">
        <v>1.0</v>
      </c>
    </row>
    <row r="507">
      <c r="A507" s="7" t="s">
        <v>20300</v>
      </c>
      <c r="B507" s="7">
        <v>13775.0</v>
      </c>
      <c r="C507" s="7" t="s">
        <v>7063</v>
      </c>
      <c r="D507" s="7" t="s">
        <v>7064</v>
      </c>
      <c r="E507" s="7" t="s">
        <v>7065</v>
      </c>
      <c r="F507" s="7" t="s">
        <v>7066</v>
      </c>
      <c r="G507" s="7" t="s">
        <v>7067</v>
      </c>
      <c r="H507" s="7" t="s">
        <v>7068</v>
      </c>
      <c r="I507" s="119">
        <v>45292.0</v>
      </c>
      <c r="K507" s="7" t="s">
        <v>7069</v>
      </c>
      <c r="L507" s="7" t="s">
        <v>4406</v>
      </c>
      <c r="M507" s="7" t="s">
        <v>7070</v>
      </c>
      <c r="N507" s="7" t="s">
        <v>419</v>
      </c>
      <c r="O507" s="7" t="s">
        <v>19440</v>
      </c>
      <c r="P507" s="7" t="s">
        <v>3</v>
      </c>
      <c r="Q507" s="7" t="s">
        <v>4</v>
      </c>
      <c r="R507" s="7" t="s">
        <v>19614</v>
      </c>
      <c r="T507" s="7" t="s">
        <v>20301</v>
      </c>
      <c r="U507" s="7" t="s">
        <v>3604</v>
      </c>
      <c r="V507" s="7">
        <v>1.0</v>
      </c>
    </row>
    <row r="508">
      <c r="A508" s="7" t="s">
        <v>20302</v>
      </c>
      <c r="B508" s="7">
        <v>2200263.0</v>
      </c>
      <c r="C508" s="7" t="s">
        <v>7075</v>
      </c>
      <c r="D508" s="7" t="s">
        <v>7076</v>
      </c>
      <c r="E508" s="7" t="s">
        <v>7077</v>
      </c>
      <c r="F508" s="7" t="s">
        <v>7078</v>
      </c>
      <c r="G508" s="7" t="s">
        <v>7079</v>
      </c>
      <c r="H508" s="7" t="s">
        <v>7080</v>
      </c>
      <c r="I508" s="119">
        <v>45292.0</v>
      </c>
      <c r="K508" s="7" t="s">
        <v>419</v>
      </c>
      <c r="L508" s="7" t="s">
        <v>991</v>
      </c>
      <c r="M508" s="7" t="s">
        <v>3531</v>
      </c>
      <c r="N508" s="7" t="s">
        <v>419</v>
      </c>
      <c r="O508" s="7" t="s">
        <v>19437</v>
      </c>
      <c r="P508" s="7" t="s">
        <v>603</v>
      </c>
      <c r="Q508" s="7" t="s">
        <v>90</v>
      </c>
      <c r="R508" s="7" t="s">
        <v>19938</v>
      </c>
      <c r="T508" s="7" t="s">
        <v>5321</v>
      </c>
      <c r="U508" s="7" t="s">
        <v>3493</v>
      </c>
      <c r="V508" s="7">
        <v>1.0</v>
      </c>
    </row>
    <row r="509">
      <c r="A509" s="7" t="s">
        <v>20303</v>
      </c>
      <c r="B509" s="7">
        <v>13692.0</v>
      </c>
      <c r="C509" s="7" t="s">
        <v>7082</v>
      </c>
      <c r="D509" s="7" t="s">
        <v>4936</v>
      </c>
      <c r="E509" s="7" t="s">
        <v>7083</v>
      </c>
      <c r="F509" s="7" t="s">
        <v>4937</v>
      </c>
      <c r="G509" s="7" t="s">
        <v>7084</v>
      </c>
      <c r="H509" s="7" t="s">
        <v>7085</v>
      </c>
      <c r="I509" s="119">
        <v>45292.0</v>
      </c>
      <c r="K509" s="7" t="s">
        <v>3632</v>
      </c>
      <c r="L509" s="7" t="s">
        <v>991</v>
      </c>
      <c r="M509" s="7" t="s">
        <v>3501</v>
      </c>
      <c r="N509" s="7" t="s">
        <v>3632</v>
      </c>
      <c r="O509" s="7" t="s">
        <v>3632</v>
      </c>
      <c r="P509" s="7" t="s">
        <v>22</v>
      </c>
      <c r="Q509" s="7" t="s">
        <v>549</v>
      </c>
      <c r="R509" s="7" t="s">
        <v>19809</v>
      </c>
      <c r="T509" s="7" t="s">
        <v>15462</v>
      </c>
      <c r="U509" s="7" t="s">
        <v>3493</v>
      </c>
      <c r="V509" s="7">
        <v>1.0</v>
      </c>
    </row>
    <row r="510">
      <c r="A510" s="7" t="s">
        <v>20304</v>
      </c>
      <c r="B510" s="7">
        <v>2300189.0</v>
      </c>
      <c r="C510" s="7" t="s">
        <v>7088</v>
      </c>
      <c r="D510" s="7" t="s">
        <v>7089</v>
      </c>
      <c r="E510" s="7" t="s">
        <v>7090</v>
      </c>
      <c r="F510" s="7" t="s">
        <v>6262</v>
      </c>
      <c r="G510" s="7" t="s">
        <v>7091</v>
      </c>
      <c r="H510" s="7" t="s">
        <v>7092</v>
      </c>
      <c r="I510" s="119">
        <v>45292.0</v>
      </c>
      <c r="K510" s="7" t="s">
        <v>419</v>
      </c>
      <c r="L510" s="7" t="s">
        <v>991</v>
      </c>
      <c r="M510" s="7" t="s">
        <v>3501</v>
      </c>
      <c r="N510" s="7" t="s">
        <v>419</v>
      </c>
      <c r="O510" s="7" t="s">
        <v>19430</v>
      </c>
      <c r="P510" s="7" t="s">
        <v>717</v>
      </c>
      <c r="Q510" s="7" t="s">
        <v>738</v>
      </c>
      <c r="R510" s="7" t="s">
        <v>20305</v>
      </c>
      <c r="S510" s="7" t="s">
        <v>20306</v>
      </c>
      <c r="T510" s="7" t="s">
        <v>7094</v>
      </c>
      <c r="U510" s="7" t="s">
        <v>3493</v>
      </c>
      <c r="V510" s="7">
        <v>1.0</v>
      </c>
    </row>
    <row r="511">
      <c r="A511" s="7" t="s">
        <v>20307</v>
      </c>
      <c r="B511" s="7">
        <v>13407.0</v>
      </c>
      <c r="C511" s="7" t="s">
        <v>7096</v>
      </c>
      <c r="D511" s="7" t="s">
        <v>7097</v>
      </c>
      <c r="E511" s="7" t="s">
        <v>7098</v>
      </c>
      <c r="F511" s="7" t="s">
        <v>7099</v>
      </c>
      <c r="G511" s="7" t="s">
        <v>7100</v>
      </c>
      <c r="H511" s="7" t="s">
        <v>7101</v>
      </c>
      <c r="I511" s="119">
        <v>45292.0</v>
      </c>
      <c r="K511" s="7" t="s">
        <v>419</v>
      </c>
      <c r="L511" s="7" t="s">
        <v>991</v>
      </c>
      <c r="M511" s="7" t="s">
        <v>3501</v>
      </c>
      <c r="N511" s="7" t="s">
        <v>419</v>
      </c>
      <c r="O511" s="7" t="s">
        <v>19432</v>
      </c>
      <c r="P511" s="7" t="s">
        <v>693</v>
      </c>
      <c r="Q511" s="7" t="s">
        <v>701</v>
      </c>
      <c r="R511" s="7" t="s">
        <v>20244</v>
      </c>
      <c r="T511" s="7" t="s">
        <v>6754</v>
      </c>
      <c r="U511" s="7" t="s">
        <v>3493</v>
      </c>
      <c r="V511" s="7">
        <v>1.0</v>
      </c>
    </row>
    <row r="512">
      <c r="A512" s="7" t="s">
        <v>20308</v>
      </c>
      <c r="B512" s="7">
        <v>10984.0</v>
      </c>
      <c r="C512" s="7" t="s">
        <v>7104</v>
      </c>
      <c r="D512" s="7" t="s">
        <v>7105</v>
      </c>
      <c r="E512" s="7" t="s">
        <v>7106</v>
      </c>
      <c r="F512" s="7" t="s">
        <v>7107</v>
      </c>
      <c r="G512" s="7" t="s">
        <v>7108</v>
      </c>
      <c r="H512" s="7" t="s">
        <v>7109</v>
      </c>
      <c r="I512" s="119">
        <v>45292.0</v>
      </c>
      <c r="J512" s="7" t="s">
        <v>4216</v>
      </c>
      <c r="K512" s="7" t="s">
        <v>419</v>
      </c>
      <c r="L512" s="7" t="s">
        <v>991</v>
      </c>
      <c r="M512" s="7" t="s">
        <v>3501</v>
      </c>
      <c r="N512" s="7" t="s">
        <v>419</v>
      </c>
      <c r="O512" s="7" t="s">
        <v>19443</v>
      </c>
      <c r="P512" s="7" t="s">
        <v>1242</v>
      </c>
      <c r="Q512" s="7" t="s">
        <v>51</v>
      </c>
      <c r="R512" s="7" t="s">
        <v>19563</v>
      </c>
      <c r="S512" s="7" t="s">
        <v>19564</v>
      </c>
      <c r="T512" s="7" t="s">
        <v>3803</v>
      </c>
      <c r="U512" s="7" t="s">
        <v>3493</v>
      </c>
      <c r="V512" s="7">
        <v>1.0</v>
      </c>
    </row>
    <row r="513">
      <c r="A513" s="7" t="s">
        <v>20309</v>
      </c>
      <c r="B513" s="7">
        <v>772.0</v>
      </c>
      <c r="C513" s="7" t="s">
        <v>7111</v>
      </c>
      <c r="D513" s="7" t="s">
        <v>7112</v>
      </c>
      <c r="E513" s="7" t="s">
        <v>7113</v>
      </c>
      <c r="F513" s="7" t="s">
        <v>3498</v>
      </c>
      <c r="G513" s="7" t="s">
        <v>7114</v>
      </c>
      <c r="H513" s="7" t="s">
        <v>7115</v>
      </c>
      <c r="I513" s="119">
        <v>45292.0</v>
      </c>
      <c r="K513" s="7" t="s">
        <v>419</v>
      </c>
      <c r="L513" s="7" t="s">
        <v>991</v>
      </c>
      <c r="M513" s="7" t="s">
        <v>3501</v>
      </c>
      <c r="N513" s="7" t="s">
        <v>419</v>
      </c>
      <c r="O513" s="7" t="s">
        <v>19443</v>
      </c>
      <c r="P513" s="7" t="s">
        <v>1242</v>
      </c>
      <c r="Q513" s="7" t="s">
        <v>51</v>
      </c>
      <c r="R513" s="7" t="s">
        <v>19597</v>
      </c>
      <c r="S513" s="7" t="s">
        <v>19830</v>
      </c>
      <c r="T513" s="7" t="s">
        <v>7117</v>
      </c>
      <c r="U513" s="7" t="s">
        <v>3843</v>
      </c>
      <c r="V513" s="7">
        <v>1.0</v>
      </c>
    </row>
    <row r="514">
      <c r="A514" s="7" t="s">
        <v>1550</v>
      </c>
      <c r="B514" s="7">
        <v>12250.0</v>
      </c>
      <c r="C514" s="7" t="s">
        <v>7118</v>
      </c>
      <c r="D514" s="7" t="s">
        <v>7119</v>
      </c>
      <c r="E514" s="7" t="s">
        <v>7113</v>
      </c>
      <c r="F514" s="7" t="s">
        <v>4967</v>
      </c>
      <c r="G514" s="7" t="s">
        <v>7120</v>
      </c>
      <c r="H514" s="7" t="s">
        <v>7121</v>
      </c>
      <c r="I514" s="119">
        <v>45292.0</v>
      </c>
      <c r="K514" s="7" t="s">
        <v>419</v>
      </c>
      <c r="L514" s="7" t="s">
        <v>991</v>
      </c>
      <c r="M514" s="7" t="s">
        <v>3501</v>
      </c>
      <c r="N514" s="7" t="s">
        <v>419</v>
      </c>
      <c r="O514" s="7" t="s">
        <v>19443</v>
      </c>
      <c r="P514" s="7" t="s">
        <v>1242</v>
      </c>
      <c r="Q514" s="7" t="s">
        <v>43</v>
      </c>
      <c r="R514" s="7" t="s">
        <v>19566</v>
      </c>
      <c r="S514" s="7" t="s">
        <v>19976</v>
      </c>
      <c r="T514" s="7" t="s">
        <v>19977</v>
      </c>
      <c r="U514" s="7" t="s">
        <v>3493</v>
      </c>
      <c r="V514" s="7">
        <v>1.0</v>
      </c>
    </row>
    <row r="515">
      <c r="A515" s="7" t="s">
        <v>20310</v>
      </c>
      <c r="B515" s="7">
        <v>2200650.0</v>
      </c>
      <c r="C515" s="7" t="s">
        <v>7126</v>
      </c>
      <c r="D515" s="7" t="s">
        <v>7127</v>
      </c>
      <c r="E515" s="7" t="s">
        <v>7128</v>
      </c>
      <c r="F515" s="7" t="s">
        <v>5441</v>
      </c>
      <c r="G515" s="7" t="s">
        <v>7129</v>
      </c>
      <c r="H515" s="7" t="s">
        <v>7130</v>
      </c>
      <c r="I515" s="119">
        <v>45292.0</v>
      </c>
      <c r="K515" s="7" t="s">
        <v>419</v>
      </c>
      <c r="L515" s="7" t="s">
        <v>991</v>
      </c>
      <c r="M515" s="7" t="s">
        <v>3531</v>
      </c>
      <c r="N515" s="7" t="s">
        <v>419</v>
      </c>
      <c r="O515" s="7" t="s">
        <v>19443</v>
      </c>
      <c r="P515" s="7" t="s">
        <v>323</v>
      </c>
      <c r="Q515" s="7" t="s">
        <v>824</v>
      </c>
      <c r="R515" s="7" t="s">
        <v>20311</v>
      </c>
      <c r="T515" s="7" t="s">
        <v>7132</v>
      </c>
      <c r="U515" s="7" t="s">
        <v>3493</v>
      </c>
      <c r="V515" s="7">
        <v>1.0</v>
      </c>
    </row>
    <row r="516">
      <c r="A516" s="7" t="s">
        <v>20312</v>
      </c>
      <c r="B516" s="7">
        <v>12807.0</v>
      </c>
      <c r="C516" s="7" t="s">
        <v>7134</v>
      </c>
      <c r="D516" s="7" t="s">
        <v>7135</v>
      </c>
      <c r="E516" s="7" t="s">
        <v>7136</v>
      </c>
      <c r="F516" s="7" t="s">
        <v>3498</v>
      </c>
      <c r="G516" s="7" t="s">
        <v>7137</v>
      </c>
      <c r="H516" s="7" t="s">
        <v>7138</v>
      </c>
      <c r="I516" s="119">
        <v>45292.0</v>
      </c>
      <c r="K516" s="7" t="s">
        <v>419</v>
      </c>
      <c r="L516" s="7" t="s">
        <v>991</v>
      </c>
      <c r="M516" s="7" t="s">
        <v>3501</v>
      </c>
      <c r="N516" s="7" t="s">
        <v>419</v>
      </c>
      <c r="O516" s="7" t="s">
        <v>19430</v>
      </c>
      <c r="P516" s="7" t="s">
        <v>717</v>
      </c>
      <c r="Q516" s="7" t="s">
        <v>730</v>
      </c>
      <c r="R516" s="7" t="s">
        <v>20149</v>
      </c>
      <c r="S516" s="7" t="s">
        <v>20313</v>
      </c>
      <c r="T516" s="7" t="s">
        <v>7140</v>
      </c>
      <c r="U516" s="7" t="s">
        <v>3843</v>
      </c>
      <c r="V516" s="7">
        <v>1.0</v>
      </c>
    </row>
    <row r="517">
      <c r="A517" s="7" t="s">
        <v>20314</v>
      </c>
      <c r="B517" s="7">
        <v>12766.0</v>
      </c>
      <c r="C517" s="7" t="s">
        <v>7142</v>
      </c>
      <c r="D517" s="7" t="s">
        <v>7143</v>
      </c>
      <c r="E517" s="7" t="s">
        <v>7144</v>
      </c>
      <c r="F517" s="7" t="s">
        <v>4525</v>
      </c>
      <c r="G517" s="7" t="s">
        <v>7145</v>
      </c>
      <c r="H517" s="7" t="s">
        <v>7146</v>
      </c>
      <c r="I517" s="119">
        <v>45292.0</v>
      </c>
      <c r="K517" s="7" t="s">
        <v>419</v>
      </c>
      <c r="L517" s="7" t="s">
        <v>991</v>
      </c>
      <c r="M517" s="7" t="s">
        <v>3501</v>
      </c>
      <c r="N517" s="7" t="s">
        <v>419</v>
      </c>
      <c r="O517" s="7" t="s">
        <v>19430</v>
      </c>
      <c r="P517" s="7" t="s">
        <v>717</v>
      </c>
      <c r="Q517" s="7" t="s">
        <v>223</v>
      </c>
      <c r="R517" s="7" t="s">
        <v>20315</v>
      </c>
      <c r="S517" s="7" t="s">
        <v>20316</v>
      </c>
      <c r="T517" s="7" t="s">
        <v>7148</v>
      </c>
      <c r="U517" s="7" t="s">
        <v>3493</v>
      </c>
      <c r="V517" s="7">
        <v>1.0</v>
      </c>
    </row>
    <row r="518">
      <c r="A518" s="7" t="s">
        <v>20317</v>
      </c>
      <c r="B518" s="7">
        <v>13826.0</v>
      </c>
      <c r="C518" s="7" t="s">
        <v>7150</v>
      </c>
      <c r="D518" s="7" t="s">
        <v>7151</v>
      </c>
      <c r="E518" s="7" t="s">
        <v>7152</v>
      </c>
      <c r="F518" s="7" t="s">
        <v>6727</v>
      </c>
      <c r="G518" s="7" t="s">
        <v>7153</v>
      </c>
      <c r="H518" s="7" t="s">
        <v>7154</v>
      </c>
      <c r="I518" s="119">
        <v>45292.0</v>
      </c>
      <c r="K518" s="7" t="s">
        <v>419</v>
      </c>
      <c r="L518" s="7" t="s">
        <v>991</v>
      </c>
      <c r="M518" s="7" t="s">
        <v>3531</v>
      </c>
      <c r="N518" s="7" t="s">
        <v>419</v>
      </c>
      <c r="O518" s="7" t="s">
        <v>19443</v>
      </c>
      <c r="P518" s="7" t="s">
        <v>1242</v>
      </c>
      <c r="Q518" s="7" t="s">
        <v>51</v>
      </c>
      <c r="R518" s="7" t="s">
        <v>19597</v>
      </c>
      <c r="S518" s="7" t="s">
        <v>19598</v>
      </c>
      <c r="T518" s="7" t="s">
        <v>3913</v>
      </c>
      <c r="U518" s="7" t="s">
        <v>3493</v>
      </c>
      <c r="V518" s="7">
        <v>1.0</v>
      </c>
    </row>
    <row r="519">
      <c r="A519" s="7" t="s">
        <v>20318</v>
      </c>
      <c r="B519" s="7">
        <v>12533.0</v>
      </c>
      <c r="C519" s="7" t="s">
        <v>7150</v>
      </c>
      <c r="D519" s="7" t="s">
        <v>7156</v>
      </c>
      <c r="E519" s="7" t="s">
        <v>7152</v>
      </c>
      <c r="F519" s="7" t="s">
        <v>7157</v>
      </c>
      <c r="G519" s="7" t="s">
        <v>7158</v>
      </c>
      <c r="H519" s="7" t="s">
        <v>7159</v>
      </c>
      <c r="I519" s="119">
        <v>45292.0</v>
      </c>
      <c r="K519" s="7" t="s">
        <v>419</v>
      </c>
      <c r="L519" s="7" t="s">
        <v>991</v>
      </c>
      <c r="M519" s="7" t="s">
        <v>3501</v>
      </c>
      <c r="N519" s="7" t="s">
        <v>419</v>
      </c>
      <c r="O519" s="7" t="s">
        <v>19430</v>
      </c>
      <c r="P519" s="7" t="s">
        <v>717</v>
      </c>
      <c r="Q519" s="7" t="s">
        <v>722</v>
      </c>
      <c r="R519" s="7" t="s">
        <v>19703</v>
      </c>
      <c r="S519" s="7" t="s">
        <v>19704</v>
      </c>
      <c r="T519" s="7" t="s">
        <v>4311</v>
      </c>
      <c r="U519" s="7" t="s">
        <v>3493</v>
      </c>
      <c r="V519" s="7">
        <v>1.0</v>
      </c>
    </row>
    <row r="520">
      <c r="A520" s="7" t="s">
        <v>1992</v>
      </c>
      <c r="B520" s="7">
        <v>13233.0</v>
      </c>
      <c r="C520" s="7" t="s">
        <v>7160</v>
      </c>
      <c r="D520" s="7" t="s">
        <v>7161</v>
      </c>
      <c r="E520" s="7" t="s">
        <v>7162</v>
      </c>
      <c r="F520" s="7" t="s">
        <v>5788</v>
      </c>
      <c r="G520" s="7" t="s">
        <v>7163</v>
      </c>
      <c r="H520" s="7" t="s">
        <v>7164</v>
      </c>
      <c r="I520" s="119">
        <v>45292.0</v>
      </c>
      <c r="K520" s="7" t="s">
        <v>6124</v>
      </c>
      <c r="L520" s="7" t="s">
        <v>3542</v>
      </c>
      <c r="M520" s="7" t="s">
        <v>4383</v>
      </c>
      <c r="N520" s="7" t="s">
        <v>419</v>
      </c>
      <c r="O520" s="7" t="s">
        <v>19437</v>
      </c>
      <c r="P520" s="7" t="s">
        <v>478</v>
      </c>
      <c r="Q520" s="7" t="s">
        <v>953</v>
      </c>
      <c r="R520" s="7" t="s">
        <v>20101</v>
      </c>
      <c r="T520" s="7" t="s">
        <v>6041</v>
      </c>
      <c r="U520" s="7" t="s">
        <v>3604</v>
      </c>
      <c r="V520" s="7">
        <v>1.0</v>
      </c>
    </row>
    <row r="521">
      <c r="A521" s="7" t="s">
        <v>2293</v>
      </c>
      <c r="B521" s="7">
        <v>11195.0</v>
      </c>
      <c r="C521" s="7" t="s">
        <v>7160</v>
      </c>
      <c r="D521" s="7" t="s">
        <v>7168</v>
      </c>
      <c r="E521" s="7" t="s">
        <v>7162</v>
      </c>
      <c r="F521" s="7" t="s">
        <v>7169</v>
      </c>
      <c r="G521" s="7" t="s">
        <v>7170</v>
      </c>
      <c r="H521" s="7" t="s">
        <v>7171</v>
      </c>
      <c r="I521" s="119">
        <v>45292.0</v>
      </c>
      <c r="K521" s="7" t="s">
        <v>419</v>
      </c>
      <c r="L521" s="7" t="s">
        <v>991</v>
      </c>
      <c r="M521" s="7" t="s">
        <v>3501</v>
      </c>
      <c r="N521" s="7" t="s">
        <v>419</v>
      </c>
      <c r="O521" s="7" t="s">
        <v>19430</v>
      </c>
      <c r="P521" s="7" t="s">
        <v>780</v>
      </c>
      <c r="Q521" s="7" t="s">
        <v>786</v>
      </c>
      <c r="T521" s="7" t="s">
        <v>16907</v>
      </c>
      <c r="U521" s="7" t="s">
        <v>6078</v>
      </c>
      <c r="V521" s="7">
        <v>1.0</v>
      </c>
    </row>
    <row r="522">
      <c r="A522" s="7" t="s">
        <v>20319</v>
      </c>
      <c r="B522" s="7">
        <v>11775.0</v>
      </c>
      <c r="C522" s="7" t="s">
        <v>7160</v>
      </c>
      <c r="D522" s="7" t="s">
        <v>6554</v>
      </c>
      <c r="E522" s="7" t="s">
        <v>7162</v>
      </c>
      <c r="F522" s="7" t="s">
        <v>4598</v>
      </c>
      <c r="G522" s="7" t="s">
        <v>7176</v>
      </c>
      <c r="H522" s="7" t="s">
        <v>7177</v>
      </c>
      <c r="I522" s="119">
        <v>45292.0</v>
      </c>
      <c r="K522" s="7" t="s">
        <v>419</v>
      </c>
      <c r="L522" s="7" t="s">
        <v>991</v>
      </c>
      <c r="M522" s="7" t="s">
        <v>3501</v>
      </c>
      <c r="N522" s="7" t="s">
        <v>419</v>
      </c>
      <c r="O522" s="7" t="s">
        <v>19433</v>
      </c>
      <c r="P522" s="7" t="s">
        <v>648</v>
      </c>
      <c r="Q522" s="7" t="s">
        <v>155</v>
      </c>
      <c r="R522" s="7" t="s">
        <v>19566</v>
      </c>
      <c r="T522" s="7" t="s">
        <v>7179</v>
      </c>
      <c r="U522" s="7" t="s">
        <v>3604</v>
      </c>
      <c r="V522" s="7">
        <v>1.0</v>
      </c>
    </row>
    <row r="523">
      <c r="A523" s="7" t="s">
        <v>20320</v>
      </c>
      <c r="B523" s="7">
        <v>13172.0</v>
      </c>
      <c r="C523" s="7" t="s">
        <v>7181</v>
      </c>
      <c r="D523" s="7" t="s">
        <v>5096</v>
      </c>
      <c r="E523" s="7" t="s">
        <v>7182</v>
      </c>
      <c r="F523" s="7" t="s">
        <v>5098</v>
      </c>
      <c r="G523" s="7" t="s">
        <v>7183</v>
      </c>
      <c r="H523" s="7" t="s">
        <v>7184</v>
      </c>
      <c r="I523" s="119">
        <v>45292.0</v>
      </c>
      <c r="K523" s="7" t="s">
        <v>419</v>
      </c>
      <c r="L523" s="7" t="s">
        <v>991</v>
      </c>
      <c r="M523" s="7" t="s">
        <v>3501</v>
      </c>
      <c r="N523" s="7" t="s">
        <v>419</v>
      </c>
      <c r="O523" s="7" t="s">
        <v>19432</v>
      </c>
      <c r="P523" s="7" t="s">
        <v>693</v>
      </c>
      <c r="Q523" s="7" t="s">
        <v>698</v>
      </c>
      <c r="R523" s="7" t="s">
        <v>19652</v>
      </c>
      <c r="S523" s="7" t="s">
        <v>19653</v>
      </c>
      <c r="T523" s="7" t="s">
        <v>4135</v>
      </c>
      <c r="U523" s="7" t="s">
        <v>3493</v>
      </c>
      <c r="V523" s="7">
        <v>1.0</v>
      </c>
    </row>
    <row r="524">
      <c r="A524" s="7" t="s">
        <v>20321</v>
      </c>
      <c r="B524" s="7">
        <v>11079.0</v>
      </c>
      <c r="C524" s="7" t="s">
        <v>7186</v>
      </c>
      <c r="D524" s="7" t="s">
        <v>7187</v>
      </c>
      <c r="E524" s="7" t="s">
        <v>7188</v>
      </c>
      <c r="F524" s="7" t="s">
        <v>5098</v>
      </c>
      <c r="G524" s="7" t="s">
        <v>7189</v>
      </c>
      <c r="H524" s="7" t="s">
        <v>7190</v>
      </c>
      <c r="I524" s="119">
        <v>45292.0</v>
      </c>
      <c r="K524" s="7" t="s">
        <v>419</v>
      </c>
      <c r="L524" s="7" t="s">
        <v>991</v>
      </c>
      <c r="M524" s="7" t="s">
        <v>3531</v>
      </c>
      <c r="N524" s="7" t="s">
        <v>419</v>
      </c>
      <c r="O524" s="7" t="s">
        <v>19430</v>
      </c>
      <c r="P524" s="7" t="s">
        <v>717</v>
      </c>
      <c r="Q524" s="7" t="s">
        <v>725</v>
      </c>
      <c r="R524" s="7" t="s">
        <v>19501</v>
      </c>
      <c r="S524" s="7" t="s">
        <v>19726</v>
      </c>
      <c r="T524" s="7" t="s">
        <v>4400</v>
      </c>
      <c r="U524" s="7" t="s">
        <v>3493</v>
      </c>
      <c r="V524" s="7">
        <v>1.0</v>
      </c>
    </row>
    <row r="525">
      <c r="A525" s="7" t="s">
        <v>20322</v>
      </c>
      <c r="B525" s="7">
        <v>2200723.0</v>
      </c>
      <c r="C525" s="7" t="s">
        <v>7192</v>
      </c>
      <c r="D525" s="7" t="s">
        <v>4422</v>
      </c>
      <c r="E525" s="7" t="s">
        <v>7193</v>
      </c>
      <c r="F525" s="7" t="s">
        <v>4424</v>
      </c>
      <c r="G525" s="7" t="s">
        <v>7194</v>
      </c>
      <c r="H525" s="7" t="s">
        <v>7195</v>
      </c>
      <c r="I525" s="119">
        <v>45292.0</v>
      </c>
      <c r="K525" s="7" t="s">
        <v>4042</v>
      </c>
      <c r="L525" s="7" t="s">
        <v>991</v>
      </c>
      <c r="M525" s="7" t="s">
        <v>3866</v>
      </c>
      <c r="N525" s="7" t="s">
        <v>4042</v>
      </c>
      <c r="O525" s="7" t="s">
        <v>4042</v>
      </c>
      <c r="P525" s="7" t="s">
        <v>19632</v>
      </c>
      <c r="T525" s="7" t="s">
        <v>4044</v>
      </c>
      <c r="U525" s="7" t="s">
        <v>3493</v>
      </c>
      <c r="V525" s="7">
        <v>1.0</v>
      </c>
    </row>
    <row r="526">
      <c r="A526" s="7" t="s">
        <v>20323</v>
      </c>
      <c r="B526" s="7">
        <v>13662.0</v>
      </c>
      <c r="C526" s="7" t="s">
        <v>7197</v>
      </c>
      <c r="D526" s="7" t="s">
        <v>7198</v>
      </c>
      <c r="E526" s="7" t="s">
        <v>7199</v>
      </c>
      <c r="F526" s="7" t="s">
        <v>4203</v>
      </c>
      <c r="G526" s="7" t="s">
        <v>7200</v>
      </c>
      <c r="H526" s="7" t="s">
        <v>7201</v>
      </c>
      <c r="I526" s="119">
        <v>45292.0</v>
      </c>
      <c r="K526" s="7" t="s">
        <v>3632</v>
      </c>
      <c r="L526" s="7" t="s">
        <v>991</v>
      </c>
      <c r="M526" s="7" t="s">
        <v>3501</v>
      </c>
      <c r="N526" s="7" t="s">
        <v>3632</v>
      </c>
      <c r="O526" s="7" t="s">
        <v>3632</v>
      </c>
      <c r="P526" s="7" t="s">
        <v>22</v>
      </c>
      <c r="Q526" s="7" t="s">
        <v>544</v>
      </c>
      <c r="T526" s="7" t="s">
        <v>7472</v>
      </c>
      <c r="U526" s="7" t="s">
        <v>3493</v>
      </c>
      <c r="V526" s="7">
        <v>1.0</v>
      </c>
    </row>
    <row r="527">
      <c r="A527" s="7" t="s">
        <v>1701</v>
      </c>
      <c r="B527" s="7">
        <v>516.0</v>
      </c>
      <c r="C527" s="7" t="s">
        <v>7204</v>
      </c>
      <c r="D527" s="7" t="s">
        <v>7205</v>
      </c>
      <c r="E527" s="7" t="s">
        <v>7206</v>
      </c>
      <c r="F527" s="7" t="s">
        <v>7207</v>
      </c>
      <c r="G527" s="7" t="s">
        <v>7208</v>
      </c>
      <c r="H527" s="7" t="s">
        <v>7209</v>
      </c>
      <c r="I527" s="119">
        <v>45292.0</v>
      </c>
      <c r="K527" s="7" t="s">
        <v>419</v>
      </c>
      <c r="L527" s="7" t="s">
        <v>991</v>
      </c>
      <c r="M527" s="7" t="s">
        <v>3501</v>
      </c>
      <c r="N527" s="7" t="s">
        <v>419</v>
      </c>
      <c r="O527" s="7" t="s">
        <v>19437</v>
      </c>
      <c r="P527" s="7" t="s">
        <v>440</v>
      </c>
      <c r="Q527" s="7" t="s">
        <v>441</v>
      </c>
      <c r="R527" s="7" t="s">
        <v>19949</v>
      </c>
      <c r="S527" s="7" t="s">
        <v>19950</v>
      </c>
      <c r="T527" s="7" t="s">
        <v>5359</v>
      </c>
      <c r="U527" s="7" t="s">
        <v>3493</v>
      </c>
      <c r="V527" s="7">
        <v>1.0</v>
      </c>
    </row>
    <row r="528">
      <c r="A528" s="7" t="s">
        <v>20324</v>
      </c>
      <c r="B528" s="7">
        <v>12810.0</v>
      </c>
      <c r="C528" s="7" t="s">
        <v>7212</v>
      </c>
      <c r="D528" s="7" t="s">
        <v>7213</v>
      </c>
      <c r="E528" s="7" t="s">
        <v>7214</v>
      </c>
      <c r="F528" s="7" t="s">
        <v>7215</v>
      </c>
      <c r="G528" s="7" t="s">
        <v>7216</v>
      </c>
      <c r="H528" s="7" t="s">
        <v>7217</v>
      </c>
      <c r="I528" s="119">
        <v>45292.0</v>
      </c>
      <c r="K528" s="7" t="s">
        <v>419</v>
      </c>
      <c r="L528" s="7" t="s">
        <v>991</v>
      </c>
      <c r="M528" s="7" t="s">
        <v>3501</v>
      </c>
      <c r="N528" s="7" t="s">
        <v>419</v>
      </c>
      <c r="O528" s="7" t="s">
        <v>19430</v>
      </c>
      <c r="P528" s="7" t="s">
        <v>854</v>
      </c>
      <c r="Q528" s="7" t="s">
        <v>859</v>
      </c>
      <c r="R528" s="7" t="s">
        <v>19566</v>
      </c>
      <c r="S528" s="7" t="s">
        <v>20325</v>
      </c>
      <c r="T528" s="7" t="s">
        <v>7219</v>
      </c>
      <c r="U528" s="7" t="s">
        <v>3843</v>
      </c>
      <c r="V528" s="7">
        <v>1.0</v>
      </c>
    </row>
    <row r="529">
      <c r="A529" s="7" t="s">
        <v>20326</v>
      </c>
      <c r="B529" s="7">
        <v>2100357.0</v>
      </c>
      <c r="C529" s="7" t="s">
        <v>7221</v>
      </c>
      <c r="D529" s="7" t="s">
        <v>4699</v>
      </c>
      <c r="E529" s="7" t="s">
        <v>7222</v>
      </c>
      <c r="F529" s="7" t="s">
        <v>4700</v>
      </c>
      <c r="G529" s="7" t="s">
        <v>7223</v>
      </c>
      <c r="H529" s="7" t="s">
        <v>7224</v>
      </c>
      <c r="I529" s="119">
        <v>45292.0</v>
      </c>
      <c r="K529" s="7" t="s">
        <v>419</v>
      </c>
      <c r="L529" s="7" t="s">
        <v>991</v>
      </c>
      <c r="M529" s="7" t="s">
        <v>3501</v>
      </c>
      <c r="N529" s="7" t="s">
        <v>419</v>
      </c>
      <c r="O529" s="7" t="s">
        <v>19432</v>
      </c>
      <c r="P529" s="7" t="s">
        <v>391</v>
      </c>
      <c r="Q529" s="7" t="s">
        <v>399</v>
      </c>
      <c r="R529" s="7" t="s">
        <v>19508</v>
      </c>
      <c r="T529" s="7" t="s">
        <v>7225</v>
      </c>
      <c r="U529" s="7" t="s">
        <v>3493</v>
      </c>
      <c r="V529" s="7">
        <v>1.0</v>
      </c>
    </row>
    <row r="530">
      <c r="A530" s="7" t="s">
        <v>20327</v>
      </c>
      <c r="B530" s="7">
        <v>2100535.0</v>
      </c>
      <c r="C530" s="7" t="s">
        <v>7227</v>
      </c>
      <c r="D530" s="7" t="s">
        <v>7228</v>
      </c>
      <c r="E530" s="7" t="s">
        <v>7229</v>
      </c>
      <c r="F530" s="7" t="s">
        <v>7230</v>
      </c>
      <c r="G530" s="7" t="s">
        <v>7231</v>
      </c>
      <c r="H530" s="7" t="s">
        <v>7232</v>
      </c>
      <c r="I530" s="119">
        <v>45292.0</v>
      </c>
      <c r="K530" s="7" t="s">
        <v>419</v>
      </c>
      <c r="L530" s="7" t="s">
        <v>991</v>
      </c>
      <c r="M530" s="7" t="s">
        <v>3501</v>
      </c>
      <c r="N530" s="7" t="s">
        <v>419</v>
      </c>
      <c r="O530" s="7" t="s">
        <v>19432</v>
      </c>
      <c r="P530" s="7" t="s">
        <v>391</v>
      </c>
      <c r="Q530" s="7" t="s">
        <v>399</v>
      </c>
      <c r="R530" s="7" t="s">
        <v>19732</v>
      </c>
      <c r="T530" s="7" t="s">
        <v>4438</v>
      </c>
      <c r="U530" s="7" t="s">
        <v>3604</v>
      </c>
      <c r="V530" s="7">
        <v>1.0</v>
      </c>
    </row>
    <row r="531">
      <c r="A531" s="7" t="s">
        <v>20328</v>
      </c>
      <c r="B531" s="7">
        <v>2300579.0</v>
      </c>
      <c r="C531" s="7" t="s">
        <v>7234</v>
      </c>
      <c r="D531" s="7" t="s">
        <v>7235</v>
      </c>
      <c r="E531" s="7" t="s">
        <v>7236</v>
      </c>
      <c r="F531" s="7" t="s">
        <v>7237</v>
      </c>
      <c r="G531" s="7" t="s">
        <v>7238</v>
      </c>
      <c r="I531" s="119">
        <v>45292.0</v>
      </c>
      <c r="K531" s="7" t="s">
        <v>419</v>
      </c>
      <c r="L531" s="7" t="s">
        <v>991</v>
      </c>
      <c r="M531" s="7" t="s">
        <v>3531</v>
      </c>
      <c r="N531" s="7" t="s">
        <v>419</v>
      </c>
      <c r="O531" s="7" t="s">
        <v>19430</v>
      </c>
      <c r="P531" s="7" t="s">
        <v>854</v>
      </c>
      <c r="Q531" s="7" t="s">
        <v>859</v>
      </c>
      <c r="T531" s="7" t="s">
        <v>3821</v>
      </c>
      <c r="U531" s="7" t="s">
        <v>3493</v>
      </c>
      <c r="V531" s="7">
        <v>1.0</v>
      </c>
    </row>
    <row r="532">
      <c r="A532" s="7" t="s">
        <v>1627</v>
      </c>
      <c r="B532" s="7">
        <v>334.0</v>
      </c>
      <c r="C532" s="7" t="s">
        <v>7234</v>
      </c>
      <c r="D532" s="7" t="s">
        <v>7239</v>
      </c>
      <c r="E532" s="7" t="s">
        <v>7236</v>
      </c>
      <c r="F532" s="7" t="s">
        <v>3571</v>
      </c>
      <c r="G532" s="7" t="s">
        <v>7240</v>
      </c>
      <c r="H532" s="7" t="s">
        <v>7241</v>
      </c>
      <c r="I532" s="119">
        <v>45292.0</v>
      </c>
      <c r="K532" s="7" t="s">
        <v>419</v>
      </c>
      <c r="L532" s="7" t="s">
        <v>991</v>
      </c>
      <c r="M532" s="7" t="s">
        <v>4644</v>
      </c>
      <c r="N532" s="7" t="s">
        <v>419</v>
      </c>
      <c r="O532" s="7" t="s">
        <v>19438</v>
      </c>
      <c r="P532" s="7" t="s">
        <v>420</v>
      </c>
      <c r="T532" s="7" t="s">
        <v>12210</v>
      </c>
      <c r="U532" s="7" t="s">
        <v>7953</v>
      </c>
      <c r="V532" s="7">
        <v>1.0</v>
      </c>
    </row>
    <row r="533">
      <c r="A533" s="7" t="s">
        <v>20329</v>
      </c>
      <c r="B533" s="7">
        <v>13897.0</v>
      </c>
      <c r="C533" s="7" t="s">
        <v>7234</v>
      </c>
      <c r="D533" s="7" t="s">
        <v>7245</v>
      </c>
      <c r="E533" s="7" t="s">
        <v>7236</v>
      </c>
      <c r="F533" s="7" t="s">
        <v>4525</v>
      </c>
      <c r="G533" s="7" t="s">
        <v>7246</v>
      </c>
      <c r="H533" s="7" t="s">
        <v>7247</v>
      </c>
      <c r="I533" s="119">
        <v>45292.0</v>
      </c>
      <c r="K533" s="7" t="s">
        <v>419</v>
      </c>
      <c r="L533" s="7" t="s">
        <v>991</v>
      </c>
      <c r="M533" s="7" t="s">
        <v>3531</v>
      </c>
      <c r="N533" s="7" t="s">
        <v>419</v>
      </c>
      <c r="O533" s="7" t="s">
        <v>19433</v>
      </c>
      <c r="P533" s="7" t="s">
        <v>587</v>
      </c>
      <c r="Q533" s="7" t="s">
        <v>72</v>
      </c>
      <c r="T533" s="7" t="s">
        <v>5706</v>
      </c>
      <c r="U533" s="7" t="s">
        <v>3493</v>
      </c>
      <c r="V533" s="7">
        <v>1.0</v>
      </c>
    </row>
    <row r="534">
      <c r="A534" s="7" t="s">
        <v>20330</v>
      </c>
      <c r="B534" s="7">
        <v>12325.0</v>
      </c>
      <c r="C534" s="7" t="s">
        <v>7234</v>
      </c>
      <c r="D534" s="7" t="s">
        <v>7249</v>
      </c>
      <c r="E534" s="7" t="s">
        <v>7236</v>
      </c>
      <c r="F534" s="7" t="s">
        <v>5312</v>
      </c>
      <c r="G534" s="7" t="s">
        <v>7250</v>
      </c>
      <c r="H534" s="7" t="s">
        <v>7251</v>
      </c>
      <c r="I534" s="119">
        <v>45292.0</v>
      </c>
      <c r="K534" s="7" t="s">
        <v>419</v>
      </c>
      <c r="L534" s="7" t="s">
        <v>991</v>
      </c>
      <c r="M534" s="7" t="s">
        <v>3501</v>
      </c>
      <c r="N534" s="7" t="s">
        <v>419</v>
      </c>
      <c r="O534" s="7" t="s">
        <v>19433</v>
      </c>
      <c r="P534" s="7" t="s">
        <v>648</v>
      </c>
      <c r="Q534" s="7" t="s">
        <v>141</v>
      </c>
      <c r="R534" s="7" t="s">
        <v>19886</v>
      </c>
      <c r="S534" s="7" t="s">
        <v>20331</v>
      </c>
      <c r="T534" s="7" t="s">
        <v>7253</v>
      </c>
      <c r="U534" s="7" t="s">
        <v>3843</v>
      </c>
      <c r="V534" s="7">
        <v>1.0</v>
      </c>
    </row>
    <row r="535">
      <c r="A535" s="7" t="s">
        <v>20332</v>
      </c>
      <c r="B535" s="7">
        <v>2300344.0</v>
      </c>
      <c r="C535" s="7" t="s">
        <v>7234</v>
      </c>
      <c r="D535" s="7" t="s">
        <v>7255</v>
      </c>
      <c r="E535" s="7" t="s">
        <v>7236</v>
      </c>
      <c r="F535" s="7" t="s">
        <v>3714</v>
      </c>
      <c r="G535" s="7" t="s">
        <v>7256</v>
      </c>
      <c r="H535" s="7" t="s">
        <v>7257</v>
      </c>
      <c r="I535" s="119">
        <v>45292.0</v>
      </c>
      <c r="K535" s="7" t="s">
        <v>419</v>
      </c>
      <c r="L535" s="7" t="s">
        <v>991</v>
      </c>
      <c r="M535" s="7" t="s">
        <v>3531</v>
      </c>
      <c r="N535" s="7" t="s">
        <v>419</v>
      </c>
      <c r="O535" s="7" t="s">
        <v>19432</v>
      </c>
      <c r="P535" s="7" t="s">
        <v>693</v>
      </c>
      <c r="Q535" s="7" t="s">
        <v>698</v>
      </c>
      <c r="R535" s="7" t="s">
        <v>20004</v>
      </c>
      <c r="S535" s="7" t="s">
        <v>19820</v>
      </c>
      <c r="T535" s="7" t="s">
        <v>5606</v>
      </c>
      <c r="U535" s="7" t="s">
        <v>3493</v>
      </c>
      <c r="V535" s="7">
        <v>1.0</v>
      </c>
    </row>
    <row r="536">
      <c r="A536" s="7" t="s">
        <v>20333</v>
      </c>
      <c r="B536" s="7">
        <v>12653.0</v>
      </c>
      <c r="C536" s="7" t="s">
        <v>7234</v>
      </c>
      <c r="D536" s="7" t="s">
        <v>7259</v>
      </c>
      <c r="E536" s="7" t="s">
        <v>7236</v>
      </c>
      <c r="F536" s="7" t="s">
        <v>4460</v>
      </c>
      <c r="G536" s="7" t="s">
        <v>7260</v>
      </c>
      <c r="H536" s="7" t="s">
        <v>7261</v>
      </c>
      <c r="I536" s="119">
        <v>45292.0</v>
      </c>
      <c r="K536" s="7" t="s">
        <v>419</v>
      </c>
      <c r="L536" s="7" t="s">
        <v>991</v>
      </c>
      <c r="M536" s="7" t="s">
        <v>3501</v>
      </c>
      <c r="N536" s="7" t="s">
        <v>419</v>
      </c>
      <c r="O536" s="7" t="s">
        <v>19432</v>
      </c>
      <c r="P536" s="7" t="s">
        <v>298</v>
      </c>
      <c r="Q536" s="7" t="s">
        <v>304</v>
      </c>
      <c r="R536" s="7" t="s">
        <v>20334</v>
      </c>
      <c r="S536" s="7" t="s">
        <v>20335</v>
      </c>
      <c r="T536" s="7" t="s">
        <v>7263</v>
      </c>
      <c r="U536" s="7" t="s">
        <v>3843</v>
      </c>
      <c r="V536" s="7">
        <v>1.0</v>
      </c>
    </row>
    <row r="537">
      <c r="A537" s="7" t="s">
        <v>20336</v>
      </c>
      <c r="B537" s="7">
        <v>13355.0</v>
      </c>
      <c r="C537" s="7" t="s">
        <v>7234</v>
      </c>
      <c r="D537" s="7" t="s">
        <v>7265</v>
      </c>
      <c r="E537" s="7" t="s">
        <v>7236</v>
      </c>
      <c r="F537" s="7" t="s">
        <v>7266</v>
      </c>
      <c r="G537" s="7" t="s">
        <v>7267</v>
      </c>
      <c r="H537" s="7" t="s">
        <v>7268</v>
      </c>
      <c r="I537" s="119">
        <v>45292.0</v>
      </c>
      <c r="K537" s="7" t="s">
        <v>419</v>
      </c>
      <c r="L537" s="7" t="s">
        <v>991</v>
      </c>
      <c r="M537" s="7" t="s">
        <v>3531</v>
      </c>
      <c r="N537" s="7" t="s">
        <v>419</v>
      </c>
      <c r="O537" s="7" t="s">
        <v>19430</v>
      </c>
      <c r="P537" s="7" t="s">
        <v>717</v>
      </c>
      <c r="Q537" s="7" t="s">
        <v>725</v>
      </c>
      <c r="R537" s="7" t="s">
        <v>19501</v>
      </c>
      <c r="S537" s="7" t="s">
        <v>19688</v>
      </c>
      <c r="T537" s="7" t="s">
        <v>4257</v>
      </c>
      <c r="U537" s="7" t="s">
        <v>3493</v>
      </c>
      <c r="V537" s="7">
        <v>1.0</v>
      </c>
    </row>
    <row r="538">
      <c r="A538" s="7" t="s">
        <v>20337</v>
      </c>
      <c r="B538" s="7">
        <v>13609.0</v>
      </c>
      <c r="C538" s="7" t="s">
        <v>7270</v>
      </c>
      <c r="D538" s="7" t="s">
        <v>7271</v>
      </c>
      <c r="E538" s="7" t="s">
        <v>7272</v>
      </c>
      <c r="F538" s="7" t="s">
        <v>3909</v>
      </c>
      <c r="G538" s="7" t="s">
        <v>7273</v>
      </c>
      <c r="H538" s="7" t="s">
        <v>7274</v>
      </c>
      <c r="I538" s="119">
        <v>45292.0</v>
      </c>
      <c r="J538" s="7" t="s">
        <v>3929</v>
      </c>
      <c r="K538" s="7" t="s">
        <v>419</v>
      </c>
      <c r="L538" s="7" t="s">
        <v>991</v>
      </c>
      <c r="M538" s="7" t="s">
        <v>3501</v>
      </c>
      <c r="N538" s="7" t="s">
        <v>419</v>
      </c>
      <c r="O538" s="7" t="s">
        <v>19430</v>
      </c>
      <c r="P538" s="7" t="s">
        <v>717</v>
      </c>
      <c r="Q538" s="7" t="s">
        <v>738</v>
      </c>
      <c r="R538" s="7" t="s">
        <v>20012</v>
      </c>
      <c r="S538" s="7" t="s">
        <v>20068</v>
      </c>
      <c r="T538" s="7" t="s">
        <v>5889</v>
      </c>
      <c r="U538" s="7" t="s">
        <v>3493</v>
      </c>
      <c r="V538" s="7">
        <v>1.0</v>
      </c>
    </row>
    <row r="539">
      <c r="A539" s="7" t="s">
        <v>20338</v>
      </c>
      <c r="B539" s="7">
        <v>4029.0</v>
      </c>
      <c r="C539" s="7" t="s">
        <v>7276</v>
      </c>
      <c r="D539" s="7" t="s">
        <v>3578</v>
      </c>
      <c r="E539" s="7" t="s">
        <v>7277</v>
      </c>
      <c r="F539" s="7" t="s">
        <v>3580</v>
      </c>
      <c r="G539" s="7" t="s">
        <v>7278</v>
      </c>
      <c r="H539" s="7" t="s">
        <v>7279</v>
      </c>
      <c r="I539" s="119">
        <v>45292.0</v>
      </c>
      <c r="K539" s="7" t="s">
        <v>3885</v>
      </c>
      <c r="L539" s="7" t="s">
        <v>3542</v>
      </c>
      <c r="M539" s="7" t="s">
        <v>3543</v>
      </c>
      <c r="N539" s="7" t="s">
        <v>419</v>
      </c>
      <c r="O539" s="7" t="s">
        <v>19437</v>
      </c>
      <c r="P539" s="7" t="s">
        <v>478</v>
      </c>
      <c r="Q539" s="7" t="s">
        <v>491</v>
      </c>
      <c r="R539" s="7" t="s">
        <v>20339</v>
      </c>
      <c r="T539" s="7" t="s">
        <v>15801</v>
      </c>
      <c r="U539" s="7" t="s">
        <v>3493</v>
      </c>
      <c r="V539" s="7">
        <v>1.0</v>
      </c>
    </row>
    <row r="540">
      <c r="A540" s="7" t="s">
        <v>20340</v>
      </c>
      <c r="B540" s="7">
        <v>2300590.0</v>
      </c>
      <c r="C540" s="7" t="s">
        <v>7283</v>
      </c>
      <c r="D540" s="7" t="s">
        <v>7284</v>
      </c>
      <c r="E540" s="7" t="s">
        <v>7285</v>
      </c>
      <c r="F540" s="7" t="s">
        <v>4032</v>
      </c>
      <c r="G540" s="7" t="s">
        <v>7286</v>
      </c>
      <c r="H540" s="7" t="s">
        <v>7287</v>
      </c>
      <c r="I540" s="119">
        <v>45292.0</v>
      </c>
      <c r="K540" s="7" t="s">
        <v>419</v>
      </c>
      <c r="L540" s="7" t="s">
        <v>991</v>
      </c>
      <c r="M540" s="7" t="s">
        <v>3501</v>
      </c>
      <c r="N540" s="7" t="s">
        <v>419</v>
      </c>
      <c r="O540" s="7" t="s">
        <v>19437</v>
      </c>
      <c r="P540" s="7" t="s">
        <v>478</v>
      </c>
      <c r="Q540" s="7" t="s">
        <v>484</v>
      </c>
      <c r="R540" s="7" t="s">
        <v>19751</v>
      </c>
      <c r="S540" s="7" t="s">
        <v>20341</v>
      </c>
      <c r="T540" s="7" t="s">
        <v>17918</v>
      </c>
      <c r="U540" s="7" t="s">
        <v>3843</v>
      </c>
      <c r="V540" s="7">
        <v>1.0</v>
      </c>
    </row>
    <row r="541">
      <c r="A541" s="7" t="s">
        <v>20342</v>
      </c>
      <c r="B541" s="7">
        <v>2300357.0</v>
      </c>
      <c r="C541" s="7" t="s">
        <v>7292</v>
      </c>
      <c r="D541" s="7" t="s">
        <v>7293</v>
      </c>
      <c r="E541" s="7" t="s">
        <v>7294</v>
      </c>
      <c r="F541" s="7" t="s">
        <v>7295</v>
      </c>
      <c r="G541" s="7" t="s">
        <v>7296</v>
      </c>
      <c r="H541" s="7" t="s">
        <v>7297</v>
      </c>
      <c r="I541" s="119">
        <v>45292.0</v>
      </c>
      <c r="K541" s="7" t="s">
        <v>419</v>
      </c>
      <c r="L541" s="7" t="s">
        <v>991</v>
      </c>
      <c r="M541" s="7" t="s">
        <v>3501</v>
      </c>
      <c r="N541" s="7" t="s">
        <v>419</v>
      </c>
      <c r="O541" s="7" t="s">
        <v>19432</v>
      </c>
      <c r="P541" s="7" t="s">
        <v>391</v>
      </c>
      <c r="Q541" s="7" t="s">
        <v>399</v>
      </c>
      <c r="R541" s="7" t="s">
        <v>20343</v>
      </c>
      <c r="T541" s="7" t="s">
        <v>7379</v>
      </c>
      <c r="U541" s="7" t="s">
        <v>3493</v>
      </c>
      <c r="V541" s="7">
        <v>1.0</v>
      </c>
    </row>
    <row r="542">
      <c r="A542" s="7" t="s">
        <v>20344</v>
      </c>
      <c r="B542" s="7">
        <v>2400217.0</v>
      </c>
      <c r="C542" s="7" t="s">
        <v>7301</v>
      </c>
      <c r="D542" s="7" t="s">
        <v>7302</v>
      </c>
      <c r="E542" s="7" t="s">
        <v>7303</v>
      </c>
      <c r="F542" s="7" t="s">
        <v>7304</v>
      </c>
      <c r="G542" s="7" t="s">
        <v>7305</v>
      </c>
      <c r="H542" s="7" t="s">
        <v>7306</v>
      </c>
      <c r="I542" s="119">
        <v>45383.0</v>
      </c>
      <c r="K542" s="7" t="s">
        <v>3622</v>
      </c>
      <c r="L542" s="7" t="s">
        <v>991</v>
      </c>
      <c r="M542" s="7" t="s">
        <v>3501</v>
      </c>
      <c r="N542" s="7" t="s">
        <v>3622</v>
      </c>
      <c r="O542" s="7" t="s">
        <v>3622</v>
      </c>
      <c r="P542" s="7" t="s">
        <v>19521</v>
      </c>
      <c r="T542" s="7" t="s">
        <v>3624</v>
      </c>
      <c r="U542" s="7" t="s">
        <v>3493</v>
      </c>
      <c r="V542" s="7">
        <v>1.0</v>
      </c>
    </row>
    <row r="543">
      <c r="A543" s="7" t="s">
        <v>20345</v>
      </c>
      <c r="B543" s="7">
        <v>2300126.0</v>
      </c>
      <c r="C543" s="7" t="s">
        <v>7308</v>
      </c>
      <c r="D543" s="7" t="s">
        <v>7309</v>
      </c>
      <c r="E543" s="7" t="s">
        <v>7310</v>
      </c>
      <c r="F543" s="7" t="s">
        <v>5509</v>
      </c>
      <c r="G543" s="7" t="s">
        <v>7311</v>
      </c>
      <c r="H543" s="7" t="s">
        <v>7312</v>
      </c>
      <c r="I543" s="119">
        <v>45292.0</v>
      </c>
      <c r="J543" s="7" t="s">
        <v>3929</v>
      </c>
      <c r="K543" s="7" t="s">
        <v>419</v>
      </c>
      <c r="L543" s="7" t="s">
        <v>991</v>
      </c>
      <c r="M543" s="7" t="s">
        <v>3501</v>
      </c>
      <c r="N543" s="7" t="s">
        <v>419</v>
      </c>
      <c r="O543" s="7" t="s">
        <v>19430</v>
      </c>
      <c r="P543" s="7" t="s">
        <v>717</v>
      </c>
      <c r="Q543" s="7" t="s">
        <v>251</v>
      </c>
      <c r="T543" s="7" t="s">
        <v>7314</v>
      </c>
      <c r="U543" s="7" t="s">
        <v>3493</v>
      </c>
      <c r="V543" s="7">
        <v>1.0</v>
      </c>
    </row>
    <row r="544">
      <c r="A544" s="7" t="s">
        <v>20346</v>
      </c>
      <c r="B544" s="7">
        <v>2200751.0</v>
      </c>
      <c r="C544" s="7" t="s">
        <v>7316</v>
      </c>
      <c r="D544" s="7" t="s">
        <v>4260</v>
      </c>
      <c r="E544" s="7" t="s">
        <v>7317</v>
      </c>
      <c r="F544" s="7" t="s">
        <v>4262</v>
      </c>
      <c r="G544" s="7" t="s">
        <v>7318</v>
      </c>
      <c r="H544" s="7" t="s">
        <v>7319</v>
      </c>
      <c r="I544" s="119">
        <v>45292.0</v>
      </c>
      <c r="K544" s="7" t="s">
        <v>3632</v>
      </c>
      <c r="L544" s="7" t="s">
        <v>991</v>
      </c>
      <c r="M544" s="7" t="s">
        <v>3501</v>
      </c>
      <c r="N544" s="7" t="s">
        <v>3632</v>
      </c>
      <c r="O544" s="7" t="s">
        <v>3632</v>
      </c>
      <c r="P544" s="7" t="s">
        <v>19462</v>
      </c>
      <c r="Q544" s="7" t="s">
        <v>19463</v>
      </c>
      <c r="R544" s="7" t="s">
        <v>19883</v>
      </c>
      <c r="T544" s="7" t="s">
        <v>15149</v>
      </c>
      <c r="U544" s="7" t="s">
        <v>3493</v>
      </c>
      <c r="V544" s="7">
        <v>1.0</v>
      </c>
    </row>
    <row r="545">
      <c r="A545" s="7" t="s">
        <v>20347</v>
      </c>
      <c r="B545" s="7">
        <v>11539.0</v>
      </c>
      <c r="C545" s="7" t="s">
        <v>7321</v>
      </c>
      <c r="D545" s="7" t="s">
        <v>7322</v>
      </c>
      <c r="E545" s="7" t="s">
        <v>7323</v>
      </c>
      <c r="F545" s="7" t="s">
        <v>4525</v>
      </c>
      <c r="G545" s="7" t="s">
        <v>7324</v>
      </c>
      <c r="H545" s="7" t="s">
        <v>7325</v>
      </c>
      <c r="I545" s="119">
        <v>45292.0</v>
      </c>
      <c r="K545" s="7" t="s">
        <v>419</v>
      </c>
      <c r="L545" s="7" t="s">
        <v>991</v>
      </c>
      <c r="M545" s="7" t="s">
        <v>3501</v>
      </c>
      <c r="N545" s="7" t="s">
        <v>419</v>
      </c>
      <c r="O545" s="7" t="s">
        <v>19430</v>
      </c>
      <c r="P545" s="7" t="s">
        <v>717</v>
      </c>
      <c r="Q545" s="7" t="s">
        <v>725</v>
      </c>
      <c r="R545" s="7" t="s">
        <v>19501</v>
      </c>
      <c r="S545" s="7" t="s">
        <v>19502</v>
      </c>
      <c r="T545" s="7" t="s">
        <v>3533</v>
      </c>
      <c r="U545" s="7" t="s">
        <v>3843</v>
      </c>
      <c r="V545" s="7">
        <v>1.0</v>
      </c>
    </row>
    <row r="546">
      <c r="A546" s="7" t="s">
        <v>20348</v>
      </c>
      <c r="B546" s="7">
        <v>11704.0</v>
      </c>
      <c r="C546" s="7" t="s">
        <v>7327</v>
      </c>
      <c r="D546" s="7" t="s">
        <v>7328</v>
      </c>
      <c r="E546" s="7" t="s">
        <v>7327</v>
      </c>
      <c r="F546" s="7" t="s">
        <v>7328</v>
      </c>
      <c r="G546" s="7" t="s">
        <v>7329</v>
      </c>
      <c r="H546" s="7" t="s">
        <v>7330</v>
      </c>
      <c r="I546" s="119">
        <v>45292.0</v>
      </c>
      <c r="K546" s="7" t="s">
        <v>419</v>
      </c>
      <c r="L546" s="7" t="s">
        <v>991</v>
      </c>
      <c r="M546" s="7" t="s">
        <v>3501</v>
      </c>
      <c r="N546" s="7" t="s">
        <v>419</v>
      </c>
      <c r="O546" s="7" t="s">
        <v>19432</v>
      </c>
      <c r="P546" s="7" t="s">
        <v>298</v>
      </c>
      <c r="Q546" s="7" t="s">
        <v>802</v>
      </c>
      <c r="R546" s="7" t="s">
        <v>19827</v>
      </c>
      <c r="T546" s="7" t="s">
        <v>20349</v>
      </c>
      <c r="U546" s="7" t="s">
        <v>3604</v>
      </c>
      <c r="V546" s="7">
        <v>1.0</v>
      </c>
    </row>
    <row r="547">
      <c r="A547" s="7" t="s">
        <v>20350</v>
      </c>
      <c r="B547" s="7">
        <v>2100311.0</v>
      </c>
      <c r="C547" s="7" t="s">
        <v>7335</v>
      </c>
      <c r="D547" s="7" t="s">
        <v>7336</v>
      </c>
      <c r="E547" s="7" t="s">
        <v>7337</v>
      </c>
      <c r="F547" s="7" t="s">
        <v>3926</v>
      </c>
      <c r="G547" s="7" t="s">
        <v>7338</v>
      </c>
      <c r="H547" s="7" t="s">
        <v>7339</v>
      </c>
      <c r="I547" s="119">
        <v>45292.0</v>
      </c>
      <c r="K547" s="7" t="s">
        <v>419</v>
      </c>
      <c r="L547" s="7" t="s">
        <v>991</v>
      </c>
      <c r="M547" s="7" t="s">
        <v>3501</v>
      </c>
      <c r="N547" s="7" t="s">
        <v>419</v>
      </c>
      <c r="O547" s="7" t="s">
        <v>19432</v>
      </c>
      <c r="P547" s="7" t="s">
        <v>391</v>
      </c>
      <c r="Q547" s="7" t="s">
        <v>392</v>
      </c>
      <c r="R547" s="7" t="s">
        <v>19552</v>
      </c>
      <c r="T547" s="7" t="s">
        <v>6965</v>
      </c>
      <c r="U547" s="7" t="s">
        <v>3493</v>
      </c>
      <c r="V547" s="7">
        <v>1.0</v>
      </c>
    </row>
    <row r="548">
      <c r="A548" s="7" t="s">
        <v>20351</v>
      </c>
      <c r="B548" s="7">
        <v>12768.0</v>
      </c>
      <c r="C548" s="7" t="s">
        <v>7335</v>
      </c>
      <c r="D548" s="7" t="s">
        <v>4672</v>
      </c>
      <c r="E548" s="7" t="s">
        <v>7337</v>
      </c>
      <c r="F548" s="7" t="s">
        <v>4673</v>
      </c>
      <c r="G548" s="7" t="s">
        <v>7341</v>
      </c>
      <c r="H548" s="7" t="s">
        <v>7342</v>
      </c>
      <c r="I548" s="119">
        <v>45292.0</v>
      </c>
      <c r="K548" s="7" t="s">
        <v>419</v>
      </c>
      <c r="L548" s="7" t="s">
        <v>991</v>
      </c>
      <c r="M548" s="7" t="s">
        <v>3501</v>
      </c>
      <c r="N548" s="7" t="s">
        <v>419</v>
      </c>
      <c r="O548" s="7" t="s">
        <v>19443</v>
      </c>
      <c r="P548" s="7" t="s">
        <v>323</v>
      </c>
      <c r="Q548" s="7" t="s">
        <v>324</v>
      </c>
      <c r="R548" s="7" t="s">
        <v>20352</v>
      </c>
      <c r="T548" s="7" t="s">
        <v>7344</v>
      </c>
      <c r="U548" s="7" t="s">
        <v>3493</v>
      </c>
      <c r="V548" s="7">
        <v>1.0</v>
      </c>
    </row>
    <row r="549">
      <c r="A549" s="7" t="s">
        <v>20353</v>
      </c>
      <c r="B549" s="7">
        <v>13828.0</v>
      </c>
      <c r="C549" s="7" t="s">
        <v>7335</v>
      </c>
      <c r="D549" s="7" t="s">
        <v>7345</v>
      </c>
      <c r="E549" s="7" t="s">
        <v>7337</v>
      </c>
      <c r="F549" s="7" t="s">
        <v>7345</v>
      </c>
      <c r="G549" s="7" t="s">
        <v>7346</v>
      </c>
      <c r="H549" s="7" t="s">
        <v>7347</v>
      </c>
      <c r="I549" s="119">
        <v>45292.0</v>
      </c>
      <c r="K549" s="7" t="s">
        <v>419</v>
      </c>
      <c r="L549" s="7" t="s">
        <v>991</v>
      </c>
      <c r="M549" s="7" t="s">
        <v>3501</v>
      </c>
      <c r="N549" s="7" t="s">
        <v>419</v>
      </c>
      <c r="O549" s="7" t="s">
        <v>19437</v>
      </c>
      <c r="P549" s="7" t="s">
        <v>478</v>
      </c>
      <c r="Q549" s="7" t="s">
        <v>484</v>
      </c>
      <c r="R549" s="7" t="s">
        <v>20354</v>
      </c>
      <c r="S549" s="7" t="s">
        <v>20355</v>
      </c>
      <c r="T549" s="7" t="s">
        <v>7349</v>
      </c>
      <c r="U549" s="7" t="s">
        <v>3843</v>
      </c>
      <c r="V549" s="7">
        <v>1.0</v>
      </c>
    </row>
    <row r="550">
      <c r="A550" s="7" t="s">
        <v>1591</v>
      </c>
      <c r="B550" s="7">
        <v>1198.0</v>
      </c>
      <c r="C550" s="7" t="s">
        <v>7350</v>
      </c>
      <c r="D550" s="7" t="s">
        <v>7351</v>
      </c>
      <c r="E550" s="7" t="s">
        <v>7352</v>
      </c>
      <c r="F550" s="7" t="s">
        <v>6166</v>
      </c>
      <c r="G550" s="7" t="s">
        <v>7353</v>
      </c>
      <c r="H550" s="7" t="s">
        <v>7354</v>
      </c>
      <c r="I550" s="119">
        <v>45292.0</v>
      </c>
      <c r="K550" s="7" t="s">
        <v>419</v>
      </c>
      <c r="L550" s="7" t="s">
        <v>991</v>
      </c>
      <c r="M550" s="7" t="s">
        <v>3501</v>
      </c>
      <c r="N550" s="7" t="s">
        <v>419</v>
      </c>
      <c r="O550" s="7" t="s">
        <v>19432</v>
      </c>
      <c r="P550" s="7" t="s">
        <v>391</v>
      </c>
      <c r="Q550" s="7" t="s">
        <v>392</v>
      </c>
      <c r="R550" s="7" t="s">
        <v>20356</v>
      </c>
      <c r="T550" s="7" t="s">
        <v>20357</v>
      </c>
      <c r="U550" s="7" t="s">
        <v>3493</v>
      </c>
      <c r="V550" s="7">
        <v>1.0</v>
      </c>
    </row>
    <row r="551">
      <c r="A551" s="7" t="s">
        <v>20358</v>
      </c>
      <c r="B551" s="7">
        <v>13305.0</v>
      </c>
      <c r="C551" s="7" t="s">
        <v>7358</v>
      </c>
      <c r="D551" s="7" t="s">
        <v>7359</v>
      </c>
      <c r="E551" s="7" t="s">
        <v>7360</v>
      </c>
      <c r="F551" s="7" t="s">
        <v>7361</v>
      </c>
      <c r="G551" s="7" t="s">
        <v>7362</v>
      </c>
      <c r="H551" s="7" t="s">
        <v>7363</v>
      </c>
      <c r="I551" s="119">
        <v>45292.0</v>
      </c>
      <c r="K551" s="7" t="s">
        <v>419</v>
      </c>
      <c r="L551" s="7" t="s">
        <v>991</v>
      </c>
      <c r="M551" s="7" t="s">
        <v>3501</v>
      </c>
      <c r="N551" s="7" t="s">
        <v>419</v>
      </c>
      <c r="O551" s="7" t="s">
        <v>19430</v>
      </c>
      <c r="P551" s="7" t="s">
        <v>717</v>
      </c>
      <c r="Q551" s="7" t="s">
        <v>223</v>
      </c>
      <c r="T551" s="7" t="s">
        <v>19431</v>
      </c>
      <c r="U551" s="7" t="s">
        <v>3493</v>
      </c>
      <c r="V551" s="7">
        <v>1.0</v>
      </c>
    </row>
    <row r="552">
      <c r="A552" s="7" t="s">
        <v>20359</v>
      </c>
      <c r="B552" s="7">
        <v>2200685.0</v>
      </c>
      <c r="C552" s="7" t="s">
        <v>7368</v>
      </c>
      <c r="D552" s="7" t="s">
        <v>7369</v>
      </c>
      <c r="E552" s="7" t="s">
        <v>7370</v>
      </c>
      <c r="F552" s="7" t="s">
        <v>3498</v>
      </c>
      <c r="G552" s="7" t="s">
        <v>7371</v>
      </c>
      <c r="H552" s="7" t="s">
        <v>7372</v>
      </c>
      <c r="I552" s="119">
        <v>45292.0</v>
      </c>
      <c r="K552" s="7" t="s">
        <v>419</v>
      </c>
      <c r="L552" s="7" t="s">
        <v>991</v>
      </c>
      <c r="M552" s="7" t="s">
        <v>3531</v>
      </c>
      <c r="N552" s="7" t="s">
        <v>419</v>
      </c>
      <c r="O552" s="7" t="s">
        <v>19432</v>
      </c>
      <c r="P552" s="7" t="s">
        <v>298</v>
      </c>
      <c r="Q552" s="7" t="s">
        <v>304</v>
      </c>
      <c r="T552" s="7" t="s">
        <v>7374</v>
      </c>
      <c r="U552" s="7" t="s">
        <v>3493</v>
      </c>
      <c r="V552" s="7">
        <v>1.0</v>
      </c>
    </row>
    <row r="553">
      <c r="A553" s="7" t="s">
        <v>20360</v>
      </c>
      <c r="B553" s="7">
        <v>13444.0</v>
      </c>
      <c r="C553" s="7" t="s">
        <v>7368</v>
      </c>
      <c r="D553" s="7" t="s">
        <v>7376</v>
      </c>
      <c r="E553" s="7" t="s">
        <v>7370</v>
      </c>
      <c r="F553" s="7" t="s">
        <v>7295</v>
      </c>
      <c r="G553" s="7" t="s">
        <v>7377</v>
      </c>
      <c r="H553" s="7" t="s">
        <v>7378</v>
      </c>
      <c r="I553" s="119">
        <v>45292.0</v>
      </c>
      <c r="K553" s="7" t="s">
        <v>419</v>
      </c>
      <c r="L553" s="7" t="s">
        <v>991</v>
      </c>
      <c r="M553" s="7" t="s">
        <v>3501</v>
      </c>
      <c r="N553" s="7" t="s">
        <v>419</v>
      </c>
      <c r="O553" s="7" t="s">
        <v>19432</v>
      </c>
      <c r="P553" s="7" t="s">
        <v>391</v>
      </c>
      <c r="Q553" s="7" t="s">
        <v>399</v>
      </c>
      <c r="R553" s="7" t="s">
        <v>20343</v>
      </c>
      <c r="T553" s="7" t="s">
        <v>7379</v>
      </c>
      <c r="U553" s="7" t="s">
        <v>3493</v>
      </c>
      <c r="V553" s="7">
        <v>1.0</v>
      </c>
    </row>
    <row r="554">
      <c r="A554" s="7" t="s">
        <v>20361</v>
      </c>
      <c r="B554" s="7">
        <v>2300237.0</v>
      </c>
      <c r="C554" s="7" t="s">
        <v>7368</v>
      </c>
      <c r="D554" s="7" t="s">
        <v>7381</v>
      </c>
      <c r="E554" s="7" t="s">
        <v>7370</v>
      </c>
      <c r="F554" s="7" t="s">
        <v>7382</v>
      </c>
      <c r="G554" s="7" t="s">
        <v>7383</v>
      </c>
      <c r="H554" s="7" t="s">
        <v>7384</v>
      </c>
      <c r="I554" s="119">
        <v>45292.0</v>
      </c>
      <c r="K554" s="7" t="s">
        <v>3489</v>
      </c>
      <c r="L554" s="7" t="s">
        <v>991</v>
      </c>
      <c r="M554" s="7" t="s">
        <v>3490</v>
      </c>
      <c r="N554" s="7" t="s">
        <v>3489</v>
      </c>
      <c r="O554" s="7" t="s">
        <v>3489</v>
      </c>
      <c r="P554" s="7" t="s">
        <v>19491</v>
      </c>
      <c r="Q554" s="7" t="s">
        <v>169</v>
      </c>
      <c r="R554" s="7" t="s">
        <v>19492</v>
      </c>
      <c r="T554" s="7" t="s">
        <v>3492</v>
      </c>
      <c r="U554" s="7" t="s">
        <v>3493</v>
      </c>
      <c r="V554" s="7">
        <v>1.0</v>
      </c>
    </row>
    <row r="555">
      <c r="A555" s="7" t="s">
        <v>20362</v>
      </c>
      <c r="B555" s="7">
        <v>12179.0</v>
      </c>
      <c r="C555" s="7" t="s">
        <v>7368</v>
      </c>
      <c r="D555" s="7" t="s">
        <v>7386</v>
      </c>
      <c r="E555" s="7" t="s">
        <v>7370</v>
      </c>
      <c r="F555" s="7" t="s">
        <v>4172</v>
      </c>
      <c r="G555" s="7" t="s">
        <v>7387</v>
      </c>
      <c r="H555" s="7" t="s">
        <v>7388</v>
      </c>
      <c r="I555" s="119">
        <v>45292.0</v>
      </c>
      <c r="K555" s="7" t="s">
        <v>419</v>
      </c>
      <c r="L555" s="7" t="s">
        <v>991</v>
      </c>
      <c r="M555" s="7" t="s">
        <v>3501</v>
      </c>
      <c r="N555" s="7" t="s">
        <v>419</v>
      </c>
      <c r="O555" s="7" t="s">
        <v>19430</v>
      </c>
      <c r="P555" s="7" t="s">
        <v>717</v>
      </c>
      <c r="Q555" s="7" t="s">
        <v>223</v>
      </c>
      <c r="R555" s="7" t="s">
        <v>19764</v>
      </c>
      <c r="S555" s="7" t="s">
        <v>20036</v>
      </c>
      <c r="T555" s="7" t="s">
        <v>5756</v>
      </c>
      <c r="U555" s="7" t="s">
        <v>3493</v>
      </c>
      <c r="V555" s="7">
        <v>1.0</v>
      </c>
    </row>
    <row r="556">
      <c r="A556" s="7" t="s">
        <v>20363</v>
      </c>
      <c r="B556" s="7">
        <v>2200392.0</v>
      </c>
      <c r="C556" s="7" t="s">
        <v>7390</v>
      </c>
      <c r="D556" s="7" t="s">
        <v>7391</v>
      </c>
      <c r="E556" s="7" t="s">
        <v>7392</v>
      </c>
      <c r="F556" s="7" t="s">
        <v>7393</v>
      </c>
      <c r="G556" s="7" t="s">
        <v>7394</v>
      </c>
      <c r="H556" s="7" t="s">
        <v>7395</v>
      </c>
      <c r="I556" s="119">
        <v>45292.0</v>
      </c>
      <c r="K556" s="7" t="s">
        <v>419</v>
      </c>
      <c r="L556" s="7" t="s">
        <v>991</v>
      </c>
      <c r="M556" s="7" t="s">
        <v>3501</v>
      </c>
      <c r="N556" s="7" t="s">
        <v>419</v>
      </c>
      <c r="O556" s="7" t="s">
        <v>19437</v>
      </c>
      <c r="P556" s="7" t="s">
        <v>440</v>
      </c>
      <c r="Q556" s="7" t="s">
        <v>441</v>
      </c>
      <c r="R556" s="7" t="s">
        <v>19669</v>
      </c>
      <c r="S556" s="7" t="s">
        <v>19747</v>
      </c>
      <c r="T556" s="7" t="s">
        <v>7396</v>
      </c>
      <c r="U556" s="7" t="s">
        <v>3493</v>
      </c>
      <c r="V556" s="7">
        <v>1.0</v>
      </c>
    </row>
    <row r="557">
      <c r="A557" s="7" t="s">
        <v>20364</v>
      </c>
      <c r="B557" s="7">
        <v>2100052.0</v>
      </c>
      <c r="C557" s="7" t="s">
        <v>7398</v>
      </c>
      <c r="D557" s="7" t="s">
        <v>7399</v>
      </c>
      <c r="E557" s="7" t="s">
        <v>7400</v>
      </c>
      <c r="F557" s="7" t="s">
        <v>7401</v>
      </c>
      <c r="G557" s="7" t="s">
        <v>7402</v>
      </c>
      <c r="H557" s="7" t="s">
        <v>7403</v>
      </c>
      <c r="I557" s="119">
        <v>45292.0</v>
      </c>
      <c r="K557" s="7" t="s">
        <v>419</v>
      </c>
      <c r="L557" s="7" t="s">
        <v>991</v>
      </c>
      <c r="M557" s="7" t="s">
        <v>3501</v>
      </c>
      <c r="N557" s="7" t="s">
        <v>419</v>
      </c>
      <c r="O557" s="7" t="s">
        <v>19432</v>
      </c>
      <c r="P557" s="7" t="s">
        <v>391</v>
      </c>
      <c r="Q557" s="7" t="s">
        <v>392</v>
      </c>
      <c r="R557" s="7" t="s">
        <v>19552</v>
      </c>
      <c r="T557" s="7" t="s">
        <v>6965</v>
      </c>
      <c r="U557" s="7" t="s">
        <v>3493</v>
      </c>
      <c r="V557" s="7">
        <v>1.0</v>
      </c>
    </row>
    <row r="558">
      <c r="A558" s="7" t="s">
        <v>20365</v>
      </c>
      <c r="B558" s="7">
        <v>12769.0</v>
      </c>
      <c r="C558" s="7" t="s">
        <v>7405</v>
      </c>
      <c r="D558" s="7" t="s">
        <v>7406</v>
      </c>
      <c r="E558" s="7" t="s">
        <v>7407</v>
      </c>
      <c r="F558" s="7" t="s">
        <v>4598</v>
      </c>
      <c r="G558" s="7" t="s">
        <v>7408</v>
      </c>
      <c r="H558" s="7" t="s">
        <v>7409</v>
      </c>
      <c r="I558" s="119">
        <v>45292.0</v>
      </c>
      <c r="K558" s="7" t="s">
        <v>419</v>
      </c>
      <c r="L558" s="7" t="s">
        <v>991</v>
      </c>
      <c r="M558" s="7" t="s">
        <v>3501</v>
      </c>
      <c r="N558" s="7" t="s">
        <v>419</v>
      </c>
      <c r="O558" s="7" t="s">
        <v>19430</v>
      </c>
      <c r="P558" s="7" t="s">
        <v>717</v>
      </c>
      <c r="Q558" s="7" t="s">
        <v>720</v>
      </c>
      <c r="R558" s="7" t="s">
        <v>19805</v>
      </c>
      <c r="S558" s="7" t="s">
        <v>19806</v>
      </c>
      <c r="T558" s="7" t="s">
        <v>4704</v>
      </c>
      <c r="U558" s="7" t="s">
        <v>3493</v>
      </c>
      <c r="V558" s="7">
        <v>1.0</v>
      </c>
    </row>
    <row r="559">
      <c r="A559" s="7" t="s">
        <v>20366</v>
      </c>
      <c r="B559" s="7">
        <v>2300631.0</v>
      </c>
      <c r="C559" s="7" t="s">
        <v>7411</v>
      </c>
      <c r="D559" s="7" t="s">
        <v>7412</v>
      </c>
      <c r="E559" s="7" t="s">
        <v>7413</v>
      </c>
      <c r="F559" s="7" t="s">
        <v>7414</v>
      </c>
      <c r="G559" s="7" t="s">
        <v>7415</v>
      </c>
      <c r="H559" s="7" t="s">
        <v>7416</v>
      </c>
      <c r="I559" s="119">
        <v>45292.0</v>
      </c>
      <c r="K559" s="7" t="s">
        <v>419</v>
      </c>
      <c r="L559" s="7" t="s">
        <v>991</v>
      </c>
      <c r="M559" s="7" t="s">
        <v>3501</v>
      </c>
      <c r="N559" s="7" t="s">
        <v>419</v>
      </c>
      <c r="O559" s="7" t="s">
        <v>19443</v>
      </c>
      <c r="P559" s="7" t="s">
        <v>323</v>
      </c>
      <c r="Q559" s="7" t="s">
        <v>324</v>
      </c>
      <c r="R559" s="7" t="s">
        <v>20367</v>
      </c>
      <c r="T559" s="7" t="s">
        <v>7418</v>
      </c>
      <c r="U559" s="7" t="s">
        <v>3604</v>
      </c>
      <c r="V559" s="7">
        <v>1.0</v>
      </c>
    </row>
    <row r="560">
      <c r="A560" s="7" t="s">
        <v>20368</v>
      </c>
      <c r="B560" s="7">
        <v>12784.0</v>
      </c>
      <c r="C560" s="7" t="s">
        <v>7411</v>
      </c>
      <c r="D560" s="7" t="s">
        <v>7420</v>
      </c>
      <c r="E560" s="7" t="s">
        <v>7413</v>
      </c>
      <c r="F560" s="7" t="s">
        <v>7014</v>
      </c>
      <c r="G560" s="7" t="s">
        <v>7421</v>
      </c>
      <c r="H560" s="7" t="s">
        <v>7422</v>
      </c>
      <c r="I560" s="119">
        <v>45292.0</v>
      </c>
      <c r="K560" s="7" t="s">
        <v>419</v>
      </c>
      <c r="L560" s="7" t="s">
        <v>991</v>
      </c>
      <c r="M560" s="7" t="s">
        <v>3501</v>
      </c>
      <c r="N560" s="7" t="s">
        <v>419</v>
      </c>
      <c r="O560" s="7" t="s">
        <v>19430</v>
      </c>
      <c r="P560" s="7" t="s">
        <v>717</v>
      </c>
      <c r="Q560" s="7" t="s">
        <v>738</v>
      </c>
      <c r="R560" s="7" t="s">
        <v>19723</v>
      </c>
      <c r="S560" s="7" t="s">
        <v>20031</v>
      </c>
      <c r="T560" s="7" t="s">
        <v>5741</v>
      </c>
      <c r="U560" s="7" t="s">
        <v>3843</v>
      </c>
      <c r="V560" s="7">
        <v>1.0</v>
      </c>
    </row>
    <row r="561">
      <c r="A561" s="7" t="s">
        <v>20369</v>
      </c>
      <c r="B561" s="7">
        <v>2200190.0</v>
      </c>
      <c r="C561" s="7" t="s">
        <v>7411</v>
      </c>
      <c r="D561" s="7" t="s">
        <v>7424</v>
      </c>
      <c r="E561" s="7" t="s">
        <v>7413</v>
      </c>
      <c r="F561" s="7" t="s">
        <v>6037</v>
      </c>
      <c r="G561" s="7" t="s">
        <v>7425</v>
      </c>
      <c r="H561" s="7" t="s">
        <v>7426</v>
      </c>
      <c r="I561" s="119">
        <v>45292.0</v>
      </c>
      <c r="K561" s="7" t="s">
        <v>419</v>
      </c>
      <c r="L561" s="7" t="s">
        <v>991</v>
      </c>
      <c r="M561" s="7" t="s">
        <v>3501</v>
      </c>
      <c r="N561" s="7" t="s">
        <v>419</v>
      </c>
      <c r="O561" s="7" t="s">
        <v>19430</v>
      </c>
      <c r="P561" s="7" t="s">
        <v>717</v>
      </c>
      <c r="Q561" s="7" t="s">
        <v>1163</v>
      </c>
      <c r="R561" s="7" t="s">
        <v>19546</v>
      </c>
      <c r="S561" s="7" t="s">
        <v>19684</v>
      </c>
      <c r="T561" s="7" t="s">
        <v>4238</v>
      </c>
      <c r="U561" s="7" t="s">
        <v>3843</v>
      </c>
      <c r="V561" s="7">
        <v>1.0</v>
      </c>
    </row>
    <row r="562">
      <c r="A562" s="7" t="s">
        <v>20370</v>
      </c>
      <c r="B562" s="7">
        <v>14248.0</v>
      </c>
      <c r="C562" s="7" t="s">
        <v>7428</v>
      </c>
      <c r="D562" s="7" t="s">
        <v>7429</v>
      </c>
      <c r="E562" s="7" t="s">
        <v>7430</v>
      </c>
      <c r="F562" s="7" t="s">
        <v>4469</v>
      </c>
      <c r="G562" s="7" t="s">
        <v>7431</v>
      </c>
      <c r="H562" s="7" t="s">
        <v>7432</v>
      </c>
      <c r="I562" s="119">
        <v>45292.0</v>
      </c>
      <c r="K562" s="7" t="s">
        <v>419</v>
      </c>
      <c r="L562" s="7" t="s">
        <v>991</v>
      </c>
      <c r="M562" s="7" t="s">
        <v>3501</v>
      </c>
      <c r="N562" s="7" t="s">
        <v>419</v>
      </c>
      <c r="O562" s="7" t="s">
        <v>19433</v>
      </c>
      <c r="P562" s="7" t="s">
        <v>648</v>
      </c>
      <c r="Q562" s="7" t="s">
        <v>143</v>
      </c>
      <c r="R562" s="7" t="s">
        <v>19672</v>
      </c>
      <c r="S562" s="7" t="s">
        <v>20371</v>
      </c>
      <c r="T562" s="7" t="s">
        <v>7434</v>
      </c>
      <c r="U562" s="7" t="s">
        <v>3493</v>
      </c>
      <c r="V562" s="7">
        <v>1.0</v>
      </c>
    </row>
    <row r="563">
      <c r="A563" s="7" t="s">
        <v>20372</v>
      </c>
      <c r="B563" s="7">
        <v>13632.0</v>
      </c>
      <c r="C563" s="7" t="s">
        <v>7436</v>
      </c>
      <c r="D563" s="7" t="s">
        <v>7437</v>
      </c>
      <c r="E563" s="7" t="s">
        <v>7438</v>
      </c>
      <c r="F563" s="7" t="s">
        <v>3498</v>
      </c>
      <c r="G563" s="7" t="s">
        <v>7439</v>
      </c>
      <c r="H563" s="7" t="s">
        <v>7440</v>
      </c>
      <c r="I563" s="119">
        <v>45292.0</v>
      </c>
      <c r="K563" s="7" t="s">
        <v>419</v>
      </c>
      <c r="L563" s="7" t="s">
        <v>991</v>
      </c>
      <c r="M563" s="7" t="s">
        <v>3501</v>
      </c>
      <c r="N563" s="7" t="s">
        <v>419</v>
      </c>
      <c r="O563" s="7" t="s">
        <v>19432</v>
      </c>
      <c r="P563" s="7" t="s">
        <v>693</v>
      </c>
      <c r="Q563" s="7" t="s">
        <v>698</v>
      </c>
      <c r="R563" s="7" t="s">
        <v>20004</v>
      </c>
      <c r="S563" s="7" t="s">
        <v>19820</v>
      </c>
      <c r="T563" s="7" t="s">
        <v>5606</v>
      </c>
      <c r="U563" s="7" t="s">
        <v>3493</v>
      </c>
      <c r="V563" s="7">
        <v>1.0</v>
      </c>
    </row>
    <row r="564">
      <c r="A564" s="7" t="s">
        <v>20373</v>
      </c>
      <c r="B564" s="7">
        <v>13919.0</v>
      </c>
      <c r="C564" s="7" t="s">
        <v>7442</v>
      </c>
      <c r="D564" s="7" t="s">
        <v>7443</v>
      </c>
      <c r="E564" s="7" t="s">
        <v>7438</v>
      </c>
      <c r="F564" s="7" t="s">
        <v>7444</v>
      </c>
      <c r="G564" s="7" t="s">
        <v>7445</v>
      </c>
      <c r="H564" s="7" t="s">
        <v>7446</v>
      </c>
      <c r="I564" s="119">
        <v>45292.0</v>
      </c>
      <c r="K564" s="7" t="s">
        <v>419</v>
      </c>
      <c r="L564" s="7" t="s">
        <v>991</v>
      </c>
      <c r="M564" s="7" t="s">
        <v>3531</v>
      </c>
      <c r="N564" s="7" t="s">
        <v>419</v>
      </c>
      <c r="O564" s="7" t="s">
        <v>19430</v>
      </c>
      <c r="P564" s="7" t="s">
        <v>717</v>
      </c>
      <c r="Q564" s="7" t="s">
        <v>725</v>
      </c>
      <c r="R564" s="7" t="s">
        <v>19501</v>
      </c>
      <c r="S564" s="7" t="s">
        <v>19726</v>
      </c>
      <c r="T564" s="7" t="s">
        <v>4400</v>
      </c>
      <c r="U564" s="7" t="s">
        <v>3493</v>
      </c>
      <c r="V564" s="7">
        <v>1.0</v>
      </c>
    </row>
    <row r="565">
      <c r="A565" s="7" t="s">
        <v>20374</v>
      </c>
      <c r="B565" s="7">
        <v>2200210.0</v>
      </c>
      <c r="C565" s="7" t="s">
        <v>7448</v>
      </c>
      <c r="D565" s="7" t="s">
        <v>7449</v>
      </c>
      <c r="E565" s="7" t="s">
        <v>7450</v>
      </c>
      <c r="F565" s="7" t="s">
        <v>7451</v>
      </c>
      <c r="G565" s="7" t="s">
        <v>7452</v>
      </c>
      <c r="I565" s="119">
        <v>45292.0</v>
      </c>
      <c r="K565" s="7" t="s">
        <v>419</v>
      </c>
      <c r="L565" s="7" t="s">
        <v>991</v>
      </c>
      <c r="M565" s="7" t="s">
        <v>3531</v>
      </c>
      <c r="N565" s="7" t="s">
        <v>419</v>
      </c>
      <c r="O565" s="7" t="s">
        <v>19430</v>
      </c>
      <c r="P565" s="7" t="s">
        <v>854</v>
      </c>
      <c r="Q565" s="7" t="s">
        <v>857</v>
      </c>
      <c r="T565" s="7" t="s">
        <v>4104</v>
      </c>
      <c r="U565" s="7" t="s">
        <v>3493</v>
      </c>
      <c r="V565" s="7">
        <v>1.0</v>
      </c>
    </row>
    <row r="566">
      <c r="A566" s="7" t="s">
        <v>20375</v>
      </c>
      <c r="B566" s="7">
        <v>2100542.0</v>
      </c>
      <c r="C566" s="7" t="s">
        <v>7448</v>
      </c>
      <c r="D566" s="7" t="s">
        <v>7454</v>
      </c>
      <c r="E566" s="7" t="s">
        <v>7450</v>
      </c>
      <c r="F566" s="7" t="s">
        <v>6175</v>
      </c>
      <c r="G566" s="7" t="s">
        <v>7455</v>
      </c>
      <c r="H566" s="7" t="s">
        <v>7456</v>
      </c>
      <c r="I566" s="119">
        <v>45292.0</v>
      </c>
      <c r="K566" s="7" t="s">
        <v>419</v>
      </c>
      <c r="L566" s="7" t="s">
        <v>991</v>
      </c>
      <c r="M566" s="7" t="s">
        <v>3501</v>
      </c>
      <c r="N566" s="7" t="s">
        <v>419</v>
      </c>
      <c r="O566" s="7" t="s">
        <v>19437</v>
      </c>
      <c r="P566" s="7" t="s">
        <v>440</v>
      </c>
      <c r="Q566" s="7" t="s">
        <v>19453</v>
      </c>
      <c r="R566" s="7" t="s">
        <v>20376</v>
      </c>
      <c r="T566" s="7" t="s">
        <v>9355</v>
      </c>
      <c r="U566" s="7" t="s">
        <v>3493</v>
      </c>
      <c r="V566" s="7">
        <v>1.0</v>
      </c>
    </row>
    <row r="567">
      <c r="A567" s="7" t="s">
        <v>20377</v>
      </c>
      <c r="B567" s="7">
        <v>2100597.0</v>
      </c>
      <c r="C567" s="7" t="s">
        <v>7460</v>
      </c>
      <c r="D567" s="7" t="s">
        <v>7461</v>
      </c>
      <c r="E567" s="7" t="s">
        <v>7462</v>
      </c>
      <c r="F567" s="7" t="s">
        <v>6301</v>
      </c>
      <c r="G567" s="7" t="s">
        <v>7463</v>
      </c>
      <c r="H567" s="7" t="s">
        <v>7464</v>
      </c>
      <c r="I567" s="119">
        <v>45292.0</v>
      </c>
      <c r="K567" s="7" t="s">
        <v>419</v>
      </c>
      <c r="L567" s="7" t="s">
        <v>991</v>
      </c>
      <c r="M567" s="7" t="s">
        <v>3531</v>
      </c>
      <c r="N567" s="7" t="s">
        <v>419</v>
      </c>
      <c r="O567" s="7" t="s">
        <v>19432</v>
      </c>
      <c r="P567" s="7" t="s">
        <v>693</v>
      </c>
      <c r="Q567" s="7" t="s">
        <v>698</v>
      </c>
      <c r="R567" s="7" t="s">
        <v>19652</v>
      </c>
      <c r="S567" s="7" t="s">
        <v>19653</v>
      </c>
      <c r="T567" s="7" t="s">
        <v>4135</v>
      </c>
      <c r="U567" s="7" t="s">
        <v>3493</v>
      </c>
      <c r="V567" s="7">
        <v>1.0</v>
      </c>
    </row>
    <row r="568">
      <c r="A568" s="7" t="s">
        <v>20378</v>
      </c>
      <c r="B568" s="7">
        <v>2300220.0</v>
      </c>
      <c r="C568" s="7" t="s">
        <v>7466</v>
      </c>
      <c r="D568" s="7" t="s">
        <v>7467</v>
      </c>
      <c r="E568" s="7" t="s">
        <v>7468</v>
      </c>
      <c r="F568" s="7" t="s">
        <v>7469</v>
      </c>
      <c r="G568" s="7" t="s">
        <v>7470</v>
      </c>
      <c r="H568" s="7" t="s">
        <v>7471</v>
      </c>
      <c r="I568" s="119">
        <v>45292.0</v>
      </c>
      <c r="K568" s="7" t="s">
        <v>3632</v>
      </c>
      <c r="L568" s="7" t="s">
        <v>991</v>
      </c>
      <c r="M568" s="7" t="s">
        <v>3866</v>
      </c>
      <c r="N568" s="7" t="s">
        <v>3632</v>
      </c>
      <c r="O568" s="7" t="s">
        <v>3632</v>
      </c>
      <c r="P568" s="7" t="s">
        <v>22</v>
      </c>
      <c r="Q568" s="7" t="s">
        <v>544</v>
      </c>
      <c r="T568" s="7" t="s">
        <v>7472</v>
      </c>
      <c r="U568" s="7" t="s">
        <v>3493</v>
      </c>
      <c r="V568" s="7">
        <v>1.0</v>
      </c>
    </row>
    <row r="569">
      <c r="A569" s="7" t="s">
        <v>20379</v>
      </c>
      <c r="B569" s="7">
        <v>14205.0</v>
      </c>
      <c r="C569" s="7" t="s">
        <v>7474</v>
      </c>
      <c r="D569" s="7" t="s">
        <v>7475</v>
      </c>
      <c r="E569" s="7" t="s">
        <v>7476</v>
      </c>
      <c r="F569" s="7" t="s">
        <v>7477</v>
      </c>
      <c r="G569" s="7" t="s">
        <v>7478</v>
      </c>
      <c r="H569" s="7" t="s">
        <v>7479</v>
      </c>
      <c r="I569" s="119">
        <v>45292.0</v>
      </c>
      <c r="K569" s="7" t="s">
        <v>419</v>
      </c>
      <c r="L569" s="7" t="s">
        <v>991</v>
      </c>
      <c r="M569" s="7" t="s">
        <v>3501</v>
      </c>
      <c r="N569" s="7" t="s">
        <v>419</v>
      </c>
      <c r="O569" s="7" t="s">
        <v>19432</v>
      </c>
      <c r="P569" s="7" t="s">
        <v>298</v>
      </c>
      <c r="Q569" s="7" t="s">
        <v>304</v>
      </c>
      <c r="R569" s="7" t="s">
        <v>20334</v>
      </c>
      <c r="S569" s="7" t="s">
        <v>20335</v>
      </c>
      <c r="T569" s="7" t="s">
        <v>7263</v>
      </c>
      <c r="U569" s="7" t="s">
        <v>3493</v>
      </c>
      <c r="V569" s="7">
        <v>1.0</v>
      </c>
    </row>
    <row r="570">
      <c r="A570" s="7" t="s">
        <v>20380</v>
      </c>
      <c r="B570" s="7">
        <v>13778.0</v>
      </c>
      <c r="C570" s="7" t="s">
        <v>7481</v>
      </c>
      <c r="D570" s="7" t="s">
        <v>7482</v>
      </c>
      <c r="E570" s="7" t="s">
        <v>7483</v>
      </c>
      <c r="F570" s="7" t="s">
        <v>7484</v>
      </c>
      <c r="G570" s="7" t="s">
        <v>7485</v>
      </c>
      <c r="H570" s="7" t="s">
        <v>7486</v>
      </c>
      <c r="I570" s="119">
        <v>45292.0</v>
      </c>
      <c r="K570" s="7" t="s">
        <v>419</v>
      </c>
      <c r="L570" s="7" t="s">
        <v>991</v>
      </c>
      <c r="M570" s="7" t="s">
        <v>3501</v>
      </c>
      <c r="N570" s="7" t="s">
        <v>419</v>
      </c>
      <c r="O570" s="7" t="s">
        <v>19430</v>
      </c>
      <c r="P570" s="7" t="s">
        <v>717</v>
      </c>
      <c r="Q570" s="7" t="s">
        <v>738</v>
      </c>
      <c r="R570" s="7" t="s">
        <v>19574</v>
      </c>
      <c r="S570" s="7" t="s">
        <v>19920</v>
      </c>
      <c r="T570" s="7" t="s">
        <v>10314</v>
      </c>
      <c r="U570" s="7" t="s">
        <v>3493</v>
      </c>
      <c r="V570" s="7">
        <v>1.0</v>
      </c>
    </row>
    <row r="571">
      <c r="A571" s="7" t="s">
        <v>1866</v>
      </c>
      <c r="B571" s="7">
        <v>1262.0</v>
      </c>
      <c r="C571" s="7" t="s">
        <v>7489</v>
      </c>
      <c r="D571" s="7" t="s">
        <v>7490</v>
      </c>
      <c r="E571" s="7" t="s">
        <v>7491</v>
      </c>
      <c r="F571" s="7" t="s">
        <v>7492</v>
      </c>
      <c r="G571" s="7" t="s">
        <v>7493</v>
      </c>
      <c r="H571" s="7" t="s">
        <v>7494</v>
      </c>
      <c r="I571" s="119">
        <v>45292.0</v>
      </c>
      <c r="K571" s="7" t="s">
        <v>419</v>
      </c>
      <c r="L571" s="7" t="s">
        <v>991</v>
      </c>
      <c r="M571" s="7" t="s">
        <v>3501</v>
      </c>
      <c r="N571" s="7" t="s">
        <v>419</v>
      </c>
      <c r="O571" s="7" t="s">
        <v>19430</v>
      </c>
      <c r="P571" s="7" t="s">
        <v>717</v>
      </c>
      <c r="Q571" s="7" t="s">
        <v>1163</v>
      </c>
      <c r="R571" s="7" t="s">
        <v>19601</v>
      </c>
      <c r="T571" s="7" t="s">
        <v>20381</v>
      </c>
      <c r="U571" s="7" t="s">
        <v>3604</v>
      </c>
      <c r="V571" s="7">
        <v>1.0</v>
      </c>
    </row>
    <row r="572">
      <c r="A572" s="7" t="s">
        <v>20382</v>
      </c>
      <c r="B572" s="7">
        <v>13485.0</v>
      </c>
      <c r="C572" s="7" t="s">
        <v>7498</v>
      </c>
      <c r="D572" s="7" t="s">
        <v>7499</v>
      </c>
      <c r="E572" s="7" t="s">
        <v>7500</v>
      </c>
      <c r="F572" s="7" t="s">
        <v>7501</v>
      </c>
      <c r="G572" s="7" t="s">
        <v>7502</v>
      </c>
      <c r="H572" s="7" t="s">
        <v>7503</v>
      </c>
      <c r="I572" s="119">
        <v>45292.0</v>
      </c>
      <c r="K572" s="7" t="s">
        <v>419</v>
      </c>
      <c r="L572" s="7" t="s">
        <v>991</v>
      </c>
      <c r="M572" s="7" t="s">
        <v>3501</v>
      </c>
      <c r="N572" s="7" t="s">
        <v>419</v>
      </c>
      <c r="O572" s="7" t="s">
        <v>19430</v>
      </c>
      <c r="P572" s="7" t="s">
        <v>717</v>
      </c>
      <c r="Q572" s="7" t="s">
        <v>738</v>
      </c>
      <c r="R572" s="7" t="s">
        <v>20383</v>
      </c>
      <c r="T572" s="7" t="s">
        <v>20384</v>
      </c>
      <c r="U572" s="7" t="s">
        <v>3604</v>
      </c>
      <c r="V572" s="7">
        <v>1.0</v>
      </c>
    </row>
    <row r="573">
      <c r="A573" s="7" t="s">
        <v>20385</v>
      </c>
      <c r="B573" s="7">
        <v>8218.0</v>
      </c>
      <c r="C573" s="7" t="s">
        <v>7507</v>
      </c>
      <c r="D573" s="7" t="s">
        <v>7508</v>
      </c>
      <c r="E573" s="7" t="s">
        <v>7509</v>
      </c>
      <c r="F573" s="7" t="s">
        <v>4478</v>
      </c>
      <c r="G573" s="7" t="s">
        <v>7510</v>
      </c>
      <c r="H573" s="7" t="s">
        <v>7511</v>
      </c>
      <c r="I573" s="119">
        <v>45292.0</v>
      </c>
      <c r="K573" s="7" t="s">
        <v>419</v>
      </c>
      <c r="L573" s="7" t="s">
        <v>991</v>
      </c>
      <c r="M573" s="7" t="s">
        <v>3531</v>
      </c>
      <c r="N573" s="7" t="s">
        <v>419</v>
      </c>
      <c r="O573" s="7" t="s">
        <v>19430</v>
      </c>
      <c r="P573" s="7" t="s">
        <v>717</v>
      </c>
      <c r="Q573" s="7" t="s">
        <v>720</v>
      </c>
      <c r="R573" s="7" t="s">
        <v>19542</v>
      </c>
      <c r="T573" s="7" t="s">
        <v>3725</v>
      </c>
      <c r="U573" s="7" t="s">
        <v>3493</v>
      </c>
      <c r="V573" s="7">
        <v>1.0</v>
      </c>
    </row>
    <row r="574">
      <c r="A574" s="7" t="s">
        <v>20386</v>
      </c>
      <c r="B574" s="7">
        <v>2400212.0</v>
      </c>
      <c r="C574" s="7" t="s">
        <v>7513</v>
      </c>
      <c r="D574" s="7" t="s">
        <v>7514</v>
      </c>
      <c r="E574" s="7" t="s">
        <v>7515</v>
      </c>
      <c r="F574" s="7" t="s">
        <v>5107</v>
      </c>
      <c r="G574" s="7" t="s">
        <v>7516</v>
      </c>
      <c r="H574" s="7" t="s">
        <v>7517</v>
      </c>
      <c r="I574" s="119">
        <v>45383.0</v>
      </c>
      <c r="K574" s="7" t="s">
        <v>419</v>
      </c>
      <c r="L574" s="7" t="s">
        <v>991</v>
      </c>
      <c r="M574" s="7" t="s">
        <v>3501</v>
      </c>
      <c r="N574" s="7" t="s">
        <v>419</v>
      </c>
      <c r="O574" s="7" t="s">
        <v>19443</v>
      </c>
      <c r="P574" s="7" t="s">
        <v>323</v>
      </c>
      <c r="Q574" s="7" t="s">
        <v>819</v>
      </c>
      <c r="R574" s="7" t="s">
        <v>19778</v>
      </c>
      <c r="S574" s="7" t="s">
        <v>20387</v>
      </c>
      <c r="T574" s="7" t="s">
        <v>20388</v>
      </c>
      <c r="U574" s="7" t="s">
        <v>3493</v>
      </c>
      <c r="V574" s="7">
        <v>1.0</v>
      </c>
    </row>
    <row r="575">
      <c r="A575" s="7" t="s">
        <v>20389</v>
      </c>
      <c r="B575" s="7">
        <v>2200462.0</v>
      </c>
      <c r="C575" s="7" t="s">
        <v>7521</v>
      </c>
      <c r="D575" s="7" t="s">
        <v>7522</v>
      </c>
      <c r="E575" s="7" t="s">
        <v>7523</v>
      </c>
      <c r="F575" s="7" t="s">
        <v>3721</v>
      </c>
      <c r="G575" s="7" t="s">
        <v>7524</v>
      </c>
      <c r="I575" s="119">
        <v>45292.0</v>
      </c>
      <c r="K575" s="7" t="s">
        <v>419</v>
      </c>
      <c r="L575" s="7" t="s">
        <v>991</v>
      </c>
      <c r="M575" s="7" t="s">
        <v>3531</v>
      </c>
      <c r="N575" s="7" t="s">
        <v>419</v>
      </c>
      <c r="O575" s="7" t="s">
        <v>19430</v>
      </c>
      <c r="P575" s="7" t="s">
        <v>854</v>
      </c>
      <c r="Q575" s="7" t="s">
        <v>859</v>
      </c>
      <c r="T575" s="7" t="s">
        <v>3821</v>
      </c>
      <c r="U575" s="7" t="s">
        <v>3493</v>
      </c>
      <c r="V575" s="7">
        <v>1.0</v>
      </c>
    </row>
    <row r="576">
      <c r="A576" s="7" t="s">
        <v>20390</v>
      </c>
      <c r="B576" s="7">
        <v>10920.0</v>
      </c>
      <c r="C576" s="7" t="s">
        <v>7526</v>
      </c>
      <c r="D576" s="7" t="s">
        <v>4936</v>
      </c>
      <c r="E576" s="7" t="s">
        <v>7527</v>
      </c>
      <c r="F576" s="7" t="s">
        <v>4937</v>
      </c>
      <c r="G576" s="7" t="s">
        <v>7528</v>
      </c>
      <c r="H576" s="7" t="s">
        <v>7529</v>
      </c>
      <c r="I576" s="119">
        <v>45292.0</v>
      </c>
      <c r="K576" s="7" t="s">
        <v>419</v>
      </c>
      <c r="L576" s="7" t="s">
        <v>991</v>
      </c>
      <c r="M576" s="7" t="s">
        <v>3531</v>
      </c>
      <c r="N576" s="7" t="s">
        <v>419</v>
      </c>
      <c r="O576" s="7" t="s">
        <v>19430</v>
      </c>
      <c r="P576" s="7" t="s">
        <v>717</v>
      </c>
      <c r="Q576" s="7" t="s">
        <v>720</v>
      </c>
      <c r="R576" s="7" t="s">
        <v>19626</v>
      </c>
      <c r="S576" s="7" t="s">
        <v>19718</v>
      </c>
      <c r="T576" s="7" t="s">
        <v>4368</v>
      </c>
      <c r="U576" s="7" t="s">
        <v>3493</v>
      </c>
      <c r="V576" s="7">
        <v>1.0</v>
      </c>
    </row>
    <row r="577">
      <c r="A577" s="7" t="s">
        <v>20391</v>
      </c>
      <c r="B577" s="7">
        <v>2300022.0</v>
      </c>
      <c r="C577" s="7" t="s">
        <v>7531</v>
      </c>
      <c r="D577" s="7" t="s">
        <v>7532</v>
      </c>
      <c r="E577" s="7" t="s">
        <v>7533</v>
      </c>
      <c r="F577" s="7" t="s">
        <v>4253</v>
      </c>
      <c r="G577" s="7" t="s">
        <v>7534</v>
      </c>
      <c r="H577" s="7" t="s">
        <v>7535</v>
      </c>
      <c r="I577" s="119">
        <v>45292.0</v>
      </c>
      <c r="K577" s="7" t="s">
        <v>419</v>
      </c>
      <c r="L577" s="7" t="s">
        <v>991</v>
      </c>
      <c r="M577" s="7" t="s">
        <v>3531</v>
      </c>
      <c r="N577" s="7" t="s">
        <v>419</v>
      </c>
      <c r="O577" s="7" t="s">
        <v>19430</v>
      </c>
      <c r="P577" s="7" t="s">
        <v>717</v>
      </c>
      <c r="Q577" s="7" t="s">
        <v>738</v>
      </c>
      <c r="R577" s="7" t="s">
        <v>20012</v>
      </c>
      <c r="S577" s="7" t="s">
        <v>20392</v>
      </c>
      <c r="T577" s="7" t="s">
        <v>7537</v>
      </c>
      <c r="U577" s="7" t="s">
        <v>3493</v>
      </c>
      <c r="V577" s="7">
        <v>1.0</v>
      </c>
    </row>
    <row r="578">
      <c r="A578" s="7" t="s">
        <v>20393</v>
      </c>
      <c r="B578" s="7">
        <v>2100486.0</v>
      </c>
      <c r="C578" s="7" t="s">
        <v>7539</v>
      </c>
      <c r="D578" s="7" t="s">
        <v>7540</v>
      </c>
      <c r="E578" s="7" t="s">
        <v>7541</v>
      </c>
      <c r="F578" s="7" t="s">
        <v>7542</v>
      </c>
      <c r="G578" s="7" t="s">
        <v>7543</v>
      </c>
      <c r="H578" s="7" t="s">
        <v>7544</v>
      </c>
      <c r="I578" s="119">
        <v>45292.0</v>
      </c>
      <c r="K578" s="7" t="s">
        <v>419</v>
      </c>
      <c r="L578" s="7" t="s">
        <v>991</v>
      </c>
      <c r="M578" s="7" t="s">
        <v>3501</v>
      </c>
      <c r="N578" s="7" t="s">
        <v>419</v>
      </c>
      <c r="O578" s="7" t="s">
        <v>19433</v>
      </c>
      <c r="P578" s="7" t="s">
        <v>648</v>
      </c>
      <c r="Q578" s="7" t="s">
        <v>143</v>
      </c>
      <c r="R578" s="7" t="s">
        <v>19723</v>
      </c>
      <c r="S578" s="7" t="s">
        <v>19920</v>
      </c>
      <c r="T578" s="7" t="s">
        <v>5699</v>
      </c>
      <c r="U578" s="7" t="s">
        <v>3493</v>
      </c>
      <c r="V578" s="7">
        <v>1.0</v>
      </c>
    </row>
    <row r="579">
      <c r="A579" s="7" t="s">
        <v>20394</v>
      </c>
      <c r="B579" s="7">
        <v>2100273.0</v>
      </c>
      <c r="C579" s="7" t="s">
        <v>7546</v>
      </c>
      <c r="D579" s="7" t="s">
        <v>7547</v>
      </c>
      <c r="E579" s="7" t="s">
        <v>7548</v>
      </c>
      <c r="F579" s="7" t="s">
        <v>3889</v>
      </c>
      <c r="G579" s="7" t="s">
        <v>7549</v>
      </c>
      <c r="H579" s="7" t="s">
        <v>7550</v>
      </c>
      <c r="I579" s="119">
        <v>45292.0</v>
      </c>
      <c r="K579" s="7" t="s">
        <v>419</v>
      </c>
      <c r="L579" s="7" t="s">
        <v>991</v>
      </c>
      <c r="M579" s="7" t="s">
        <v>3501</v>
      </c>
      <c r="N579" s="7" t="s">
        <v>419</v>
      </c>
      <c r="O579" s="7" t="s">
        <v>19432</v>
      </c>
      <c r="P579" s="7" t="s">
        <v>693</v>
      </c>
      <c r="Q579" s="7" t="s">
        <v>696</v>
      </c>
      <c r="R579" s="7" t="s">
        <v>20395</v>
      </c>
      <c r="S579" s="7" t="s">
        <v>19739</v>
      </c>
      <c r="T579" s="7" t="s">
        <v>7552</v>
      </c>
      <c r="U579" s="7" t="s">
        <v>3843</v>
      </c>
      <c r="V579" s="7">
        <v>1.0</v>
      </c>
    </row>
    <row r="580">
      <c r="A580" s="7" t="s">
        <v>20396</v>
      </c>
      <c r="B580" s="7">
        <v>2300572.0</v>
      </c>
      <c r="C580" s="7" t="s">
        <v>7554</v>
      </c>
      <c r="D580" s="7" t="s">
        <v>6121</v>
      </c>
      <c r="E580" s="7" t="s">
        <v>7555</v>
      </c>
      <c r="F580" s="7" t="s">
        <v>5595</v>
      </c>
      <c r="G580" s="7" t="s">
        <v>7556</v>
      </c>
      <c r="H580" s="7" t="s">
        <v>7557</v>
      </c>
      <c r="I580" s="119">
        <v>45292.0</v>
      </c>
      <c r="J580" s="7" t="s">
        <v>3929</v>
      </c>
      <c r="K580" s="7" t="s">
        <v>419</v>
      </c>
      <c r="L580" s="7" t="s">
        <v>991</v>
      </c>
      <c r="M580" s="7" t="s">
        <v>3501</v>
      </c>
      <c r="N580" s="7" t="s">
        <v>419</v>
      </c>
      <c r="O580" s="7" t="s">
        <v>19430</v>
      </c>
      <c r="P580" s="7" t="s">
        <v>717</v>
      </c>
      <c r="Q580" s="7" t="s">
        <v>1163</v>
      </c>
      <c r="R580" s="7" t="s">
        <v>19546</v>
      </c>
      <c r="S580" s="7" t="s">
        <v>19762</v>
      </c>
      <c r="T580" s="7" t="s">
        <v>4558</v>
      </c>
      <c r="U580" s="7" t="s">
        <v>3493</v>
      </c>
      <c r="V580" s="7">
        <v>1.0</v>
      </c>
    </row>
    <row r="581">
      <c r="A581" s="7" t="s">
        <v>20397</v>
      </c>
      <c r="B581" s="7">
        <v>2300465.0</v>
      </c>
      <c r="C581" s="7" t="s">
        <v>7554</v>
      </c>
      <c r="D581" s="7" t="s">
        <v>7559</v>
      </c>
      <c r="E581" s="7" t="s">
        <v>7555</v>
      </c>
      <c r="F581" s="7" t="s">
        <v>3909</v>
      </c>
      <c r="G581" s="7" t="s">
        <v>7560</v>
      </c>
      <c r="H581" s="7" t="s">
        <v>7561</v>
      </c>
      <c r="I581" s="119">
        <v>45292.0</v>
      </c>
      <c r="K581" s="7" t="s">
        <v>419</v>
      </c>
      <c r="L581" s="7" t="s">
        <v>991</v>
      </c>
      <c r="M581" s="7" t="s">
        <v>3501</v>
      </c>
      <c r="N581" s="7" t="s">
        <v>419</v>
      </c>
      <c r="O581" s="7" t="s">
        <v>19443</v>
      </c>
      <c r="P581" s="7" t="s">
        <v>323</v>
      </c>
      <c r="Q581" s="7" t="s">
        <v>824</v>
      </c>
      <c r="R581" s="7" t="s">
        <v>19570</v>
      </c>
      <c r="S581" s="7" t="s">
        <v>19629</v>
      </c>
      <c r="T581" s="7" t="s">
        <v>19630</v>
      </c>
      <c r="U581" s="7" t="s">
        <v>3493</v>
      </c>
      <c r="V581" s="7">
        <v>1.0</v>
      </c>
    </row>
    <row r="582">
      <c r="A582" s="7" t="s">
        <v>2149</v>
      </c>
      <c r="B582" s="7">
        <v>11846.0</v>
      </c>
      <c r="C582" s="7" t="s">
        <v>7563</v>
      </c>
      <c r="D582" s="7" t="s">
        <v>7564</v>
      </c>
      <c r="E582" s="7" t="s">
        <v>7565</v>
      </c>
      <c r="F582" s="7" t="s">
        <v>3692</v>
      </c>
      <c r="G582" s="7" t="s">
        <v>7566</v>
      </c>
      <c r="H582" s="7" t="s">
        <v>7567</v>
      </c>
      <c r="I582" s="119">
        <v>45292.0</v>
      </c>
      <c r="K582" s="7" t="s">
        <v>419</v>
      </c>
      <c r="L582" s="7" t="s">
        <v>991</v>
      </c>
      <c r="M582" s="7" t="s">
        <v>3501</v>
      </c>
      <c r="N582" s="7" t="s">
        <v>419</v>
      </c>
      <c r="O582" s="7" t="s">
        <v>19440</v>
      </c>
      <c r="P582" s="7" t="s">
        <v>613</v>
      </c>
      <c r="Q582" s="7" t="s">
        <v>106</v>
      </c>
      <c r="T582" s="7" t="s">
        <v>19441</v>
      </c>
      <c r="U582" s="7" t="s">
        <v>6078</v>
      </c>
      <c r="V582" s="7">
        <v>1.0</v>
      </c>
    </row>
    <row r="583">
      <c r="A583" s="7" t="s">
        <v>20398</v>
      </c>
      <c r="B583" s="7">
        <v>12343.0</v>
      </c>
      <c r="C583" s="7" t="s">
        <v>7571</v>
      </c>
      <c r="D583" s="7" t="s">
        <v>7572</v>
      </c>
      <c r="E583" s="7" t="s">
        <v>7573</v>
      </c>
      <c r="F583" s="7" t="s">
        <v>7574</v>
      </c>
      <c r="G583" s="7" t="s">
        <v>7575</v>
      </c>
      <c r="H583" s="7" t="s">
        <v>7576</v>
      </c>
      <c r="I583" s="119">
        <v>45292.0</v>
      </c>
      <c r="K583" s="7" t="s">
        <v>419</v>
      </c>
      <c r="L583" s="7" t="s">
        <v>991</v>
      </c>
      <c r="M583" s="7" t="s">
        <v>3531</v>
      </c>
      <c r="N583" s="7" t="s">
        <v>419</v>
      </c>
      <c r="O583" s="7" t="s">
        <v>19437</v>
      </c>
      <c r="P583" s="7" t="s">
        <v>478</v>
      </c>
      <c r="Q583" s="7" t="s">
        <v>487</v>
      </c>
      <c r="T583" s="7" t="s">
        <v>7578</v>
      </c>
      <c r="U583" s="7" t="s">
        <v>3493</v>
      </c>
      <c r="V583" s="7">
        <v>1.0</v>
      </c>
    </row>
    <row r="584">
      <c r="A584" s="7" t="s">
        <v>20399</v>
      </c>
      <c r="B584" s="7">
        <v>2300461.0</v>
      </c>
      <c r="C584" s="7" t="s">
        <v>7571</v>
      </c>
      <c r="D584" s="7" t="s">
        <v>7580</v>
      </c>
      <c r="E584" s="7" t="s">
        <v>7573</v>
      </c>
      <c r="F584" s="7" t="s">
        <v>7581</v>
      </c>
      <c r="G584" s="7" t="s">
        <v>7582</v>
      </c>
      <c r="H584" s="7" t="s">
        <v>7583</v>
      </c>
      <c r="I584" s="119">
        <v>45292.0</v>
      </c>
      <c r="K584" s="7" t="s">
        <v>419</v>
      </c>
      <c r="L584" s="7" t="s">
        <v>991</v>
      </c>
      <c r="M584" s="7" t="s">
        <v>3501</v>
      </c>
      <c r="N584" s="7" t="s">
        <v>419</v>
      </c>
      <c r="O584" s="7" t="s">
        <v>19443</v>
      </c>
      <c r="P584" s="7" t="s">
        <v>323</v>
      </c>
      <c r="Q584" s="7" t="s">
        <v>324</v>
      </c>
      <c r="R584" s="7" t="s">
        <v>19599</v>
      </c>
      <c r="T584" s="7" t="s">
        <v>3921</v>
      </c>
      <c r="U584" s="7" t="s">
        <v>3493</v>
      </c>
      <c r="V584" s="7">
        <v>1.0</v>
      </c>
    </row>
    <row r="585">
      <c r="A585" s="7" t="s">
        <v>20400</v>
      </c>
      <c r="B585" s="7">
        <v>2300725.0</v>
      </c>
      <c r="C585" s="7" t="s">
        <v>7585</v>
      </c>
      <c r="D585" s="7" t="s">
        <v>7586</v>
      </c>
      <c r="E585" s="7" t="s">
        <v>7587</v>
      </c>
      <c r="F585" s="7" t="s">
        <v>5426</v>
      </c>
      <c r="G585" s="7" t="s">
        <v>7588</v>
      </c>
      <c r="H585" s="7" t="s">
        <v>7589</v>
      </c>
      <c r="I585" s="119">
        <v>45292.0</v>
      </c>
      <c r="K585" s="7" t="s">
        <v>419</v>
      </c>
      <c r="L585" s="7" t="s">
        <v>991</v>
      </c>
      <c r="M585" s="7" t="s">
        <v>3501</v>
      </c>
      <c r="N585" s="7" t="s">
        <v>419</v>
      </c>
      <c r="O585" s="7" t="s">
        <v>19437</v>
      </c>
      <c r="P585" s="7" t="s">
        <v>440</v>
      </c>
      <c r="Q585" s="7" t="s">
        <v>19453</v>
      </c>
      <c r="R585" s="7" t="s">
        <v>20401</v>
      </c>
      <c r="T585" s="7" t="s">
        <v>7591</v>
      </c>
      <c r="U585" s="7" t="s">
        <v>3604</v>
      </c>
      <c r="V585" s="7">
        <v>1.0</v>
      </c>
    </row>
    <row r="586">
      <c r="A586" s="7" t="s">
        <v>20402</v>
      </c>
      <c r="B586" s="7">
        <v>11862.0</v>
      </c>
      <c r="C586" s="7" t="s">
        <v>7593</v>
      </c>
      <c r="D586" s="7" t="s">
        <v>7594</v>
      </c>
      <c r="E586" s="7" t="s">
        <v>7595</v>
      </c>
      <c r="F586" s="7" t="s">
        <v>4546</v>
      </c>
      <c r="G586" s="7" t="s">
        <v>7596</v>
      </c>
      <c r="H586" s="7" t="s">
        <v>7597</v>
      </c>
      <c r="I586" s="119">
        <v>45292.0</v>
      </c>
      <c r="K586" s="7" t="s">
        <v>419</v>
      </c>
      <c r="L586" s="7" t="s">
        <v>991</v>
      </c>
      <c r="M586" s="7" t="s">
        <v>3501</v>
      </c>
      <c r="N586" s="7" t="s">
        <v>419</v>
      </c>
      <c r="O586" s="7" t="s">
        <v>19443</v>
      </c>
      <c r="P586" s="7" t="s">
        <v>1242</v>
      </c>
      <c r="Q586" s="7" t="s">
        <v>48</v>
      </c>
      <c r="R586" s="7" t="s">
        <v>19710</v>
      </c>
      <c r="T586" s="7" t="s">
        <v>4331</v>
      </c>
      <c r="U586" s="7" t="s">
        <v>3493</v>
      </c>
      <c r="V586" s="7">
        <v>1.0</v>
      </c>
    </row>
    <row r="587">
      <c r="A587" s="7" t="s">
        <v>20403</v>
      </c>
      <c r="B587" s="7">
        <v>13695.0</v>
      </c>
      <c r="C587" s="7" t="s">
        <v>7599</v>
      </c>
      <c r="D587" s="7" t="s">
        <v>7600</v>
      </c>
      <c r="E587" s="7" t="s">
        <v>7601</v>
      </c>
      <c r="F587" s="7" t="s">
        <v>7600</v>
      </c>
      <c r="G587" s="7" t="s">
        <v>7602</v>
      </c>
      <c r="H587" s="7" t="s">
        <v>7603</v>
      </c>
      <c r="I587" s="119">
        <v>45292.0</v>
      </c>
      <c r="K587" s="7" t="s">
        <v>3632</v>
      </c>
      <c r="L587" s="7" t="s">
        <v>991</v>
      </c>
      <c r="M587" s="7" t="s">
        <v>3501</v>
      </c>
      <c r="N587" s="7" t="s">
        <v>3632</v>
      </c>
      <c r="O587" s="7" t="s">
        <v>3632</v>
      </c>
      <c r="P587" s="7" t="s">
        <v>22</v>
      </c>
      <c r="Q587" s="7" t="s">
        <v>23</v>
      </c>
      <c r="T587" s="7" t="s">
        <v>10846</v>
      </c>
      <c r="U587" s="7" t="s">
        <v>3493</v>
      </c>
      <c r="V587" s="7">
        <v>1.0</v>
      </c>
    </row>
    <row r="588">
      <c r="A588" s="7" t="s">
        <v>20404</v>
      </c>
      <c r="B588" s="7">
        <v>2300020.0</v>
      </c>
      <c r="C588" s="7" t="s">
        <v>7605</v>
      </c>
      <c r="D588" s="7" t="s">
        <v>4943</v>
      </c>
      <c r="E588" s="7" t="s">
        <v>7606</v>
      </c>
      <c r="F588" s="7" t="s">
        <v>3792</v>
      </c>
      <c r="G588" s="7" t="s">
        <v>7607</v>
      </c>
      <c r="H588" s="7" t="s">
        <v>7608</v>
      </c>
      <c r="I588" s="119">
        <v>45292.0</v>
      </c>
      <c r="K588" s="7" t="s">
        <v>419</v>
      </c>
      <c r="L588" s="7" t="s">
        <v>991</v>
      </c>
      <c r="M588" s="7" t="s">
        <v>3531</v>
      </c>
      <c r="N588" s="7" t="s">
        <v>419</v>
      </c>
      <c r="O588" s="7" t="s">
        <v>19430</v>
      </c>
      <c r="P588" s="7" t="s">
        <v>717</v>
      </c>
      <c r="Q588" s="7" t="s">
        <v>722</v>
      </c>
      <c r="R588" s="7" t="s">
        <v>19655</v>
      </c>
      <c r="S588" s="7" t="s">
        <v>20147</v>
      </c>
      <c r="T588" s="7" t="s">
        <v>6266</v>
      </c>
      <c r="U588" s="7" t="s">
        <v>3493</v>
      </c>
      <c r="V588" s="7">
        <v>1.0</v>
      </c>
    </row>
    <row r="589">
      <c r="A589" s="7" t="s">
        <v>20405</v>
      </c>
      <c r="B589" s="7">
        <v>11849.0</v>
      </c>
      <c r="C589" s="7" t="s">
        <v>7610</v>
      </c>
      <c r="D589" s="7" t="s">
        <v>7611</v>
      </c>
      <c r="E589" s="7" t="s">
        <v>7612</v>
      </c>
      <c r="F589" s="7" t="s">
        <v>7613</v>
      </c>
      <c r="G589" s="7" t="s">
        <v>7614</v>
      </c>
      <c r="H589" s="7" t="s">
        <v>7615</v>
      </c>
      <c r="I589" s="119">
        <v>45292.0</v>
      </c>
      <c r="K589" s="7" t="s">
        <v>419</v>
      </c>
      <c r="L589" s="7" t="s">
        <v>991</v>
      </c>
      <c r="M589" s="7" t="s">
        <v>3501</v>
      </c>
      <c r="N589" s="7" t="s">
        <v>419</v>
      </c>
      <c r="O589" s="7" t="s">
        <v>19443</v>
      </c>
      <c r="P589" s="7" t="s">
        <v>1242</v>
      </c>
      <c r="Q589" s="7" t="s">
        <v>43</v>
      </c>
      <c r="R589" s="7" t="s">
        <v>20115</v>
      </c>
      <c r="T589" s="7" t="s">
        <v>6110</v>
      </c>
      <c r="U589" s="7" t="s">
        <v>3493</v>
      </c>
      <c r="V589" s="7">
        <v>1.0</v>
      </c>
    </row>
    <row r="590">
      <c r="A590" s="7" t="s">
        <v>20406</v>
      </c>
      <c r="B590" s="7">
        <v>10985.0</v>
      </c>
      <c r="C590" s="7" t="s">
        <v>7617</v>
      </c>
      <c r="D590" s="7" t="s">
        <v>7618</v>
      </c>
      <c r="E590" s="7" t="s">
        <v>7619</v>
      </c>
      <c r="F590" s="7" t="s">
        <v>7620</v>
      </c>
      <c r="G590" s="7" t="s">
        <v>7621</v>
      </c>
      <c r="H590" s="7" t="s">
        <v>7622</v>
      </c>
      <c r="I590" s="119">
        <v>45292.0</v>
      </c>
      <c r="K590" s="7" t="s">
        <v>419</v>
      </c>
      <c r="L590" s="7" t="s">
        <v>991</v>
      </c>
      <c r="M590" s="7" t="s">
        <v>3501</v>
      </c>
      <c r="N590" s="7" t="s">
        <v>419</v>
      </c>
      <c r="O590" s="7" t="s">
        <v>19443</v>
      </c>
      <c r="P590" s="7" t="s">
        <v>323</v>
      </c>
      <c r="Q590" s="7" t="s">
        <v>824</v>
      </c>
      <c r="R590" s="7" t="s">
        <v>20407</v>
      </c>
      <c r="T590" s="7" t="s">
        <v>8908</v>
      </c>
      <c r="U590" s="7" t="s">
        <v>3493</v>
      </c>
      <c r="V590" s="7">
        <v>1.0</v>
      </c>
    </row>
    <row r="591">
      <c r="A591" s="7" t="s">
        <v>20408</v>
      </c>
      <c r="B591" s="7">
        <v>11574.0</v>
      </c>
      <c r="C591" s="7" t="s">
        <v>7626</v>
      </c>
      <c r="D591" s="7" t="s">
        <v>7627</v>
      </c>
      <c r="E591" s="7" t="s">
        <v>7628</v>
      </c>
      <c r="F591" s="7" t="s">
        <v>4068</v>
      </c>
      <c r="G591" s="7" t="s">
        <v>7629</v>
      </c>
      <c r="H591" s="7" t="s">
        <v>7630</v>
      </c>
      <c r="I591" s="119">
        <v>45292.0</v>
      </c>
      <c r="K591" s="7" t="s">
        <v>419</v>
      </c>
      <c r="L591" s="7" t="s">
        <v>991</v>
      </c>
      <c r="M591" s="7" t="s">
        <v>3501</v>
      </c>
      <c r="N591" s="7" t="s">
        <v>419</v>
      </c>
      <c r="O591" s="7" t="s">
        <v>19430</v>
      </c>
      <c r="P591" s="7" t="s">
        <v>717</v>
      </c>
      <c r="Q591" s="7" t="s">
        <v>720</v>
      </c>
      <c r="R591" s="7" t="s">
        <v>19805</v>
      </c>
      <c r="S591" s="7" t="s">
        <v>19806</v>
      </c>
      <c r="T591" s="7" t="s">
        <v>4704</v>
      </c>
      <c r="U591" s="7" t="s">
        <v>3493</v>
      </c>
      <c r="V591" s="7">
        <v>1.0</v>
      </c>
    </row>
    <row r="592">
      <c r="A592" s="7" t="s">
        <v>20409</v>
      </c>
      <c r="B592" s="7">
        <v>13373.0</v>
      </c>
      <c r="C592" s="7" t="s">
        <v>7626</v>
      </c>
      <c r="D592" s="7" t="s">
        <v>6857</v>
      </c>
      <c r="E592" s="7" t="s">
        <v>7628</v>
      </c>
      <c r="F592" s="7" t="s">
        <v>6859</v>
      </c>
      <c r="G592" s="7" t="s">
        <v>7632</v>
      </c>
      <c r="H592" s="7" t="s">
        <v>7633</v>
      </c>
      <c r="I592" s="119">
        <v>45292.0</v>
      </c>
      <c r="K592" s="7" t="s">
        <v>5973</v>
      </c>
      <c r="L592" s="7" t="s">
        <v>3542</v>
      </c>
      <c r="M592" s="7" t="s">
        <v>4383</v>
      </c>
      <c r="N592" s="7" t="s">
        <v>419</v>
      </c>
      <c r="O592" s="7" t="s">
        <v>19433</v>
      </c>
      <c r="P592" s="7" t="s">
        <v>587</v>
      </c>
      <c r="Q592" s="7" t="s">
        <v>74</v>
      </c>
      <c r="R592" s="7" t="s">
        <v>19536</v>
      </c>
      <c r="S592" s="7" t="s">
        <v>19537</v>
      </c>
      <c r="T592" s="7" t="s">
        <v>19538</v>
      </c>
      <c r="U592" s="7" t="s">
        <v>3493</v>
      </c>
      <c r="V592" s="7">
        <v>1.0</v>
      </c>
    </row>
    <row r="593">
      <c r="A593" s="7" t="s">
        <v>2121</v>
      </c>
      <c r="B593" s="7">
        <v>284.0</v>
      </c>
      <c r="C593" s="7" t="s">
        <v>7626</v>
      </c>
      <c r="D593" s="7" t="s">
        <v>7636</v>
      </c>
      <c r="E593" s="7" t="s">
        <v>7628</v>
      </c>
      <c r="F593" s="7" t="s">
        <v>7637</v>
      </c>
      <c r="G593" s="7" t="s">
        <v>7638</v>
      </c>
      <c r="H593" s="7" t="s">
        <v>7639</v>
      </c>
      <c r="I593" s="119">
        <v>45292.0</v>
      </c>
      <c r="K593" s="7" t="s">
        <v>419</v>
      </c>
      <c r="L593" s="7" t="s">
        <v>991</v>
      </c>
      <c r="M593" s="7" t="s">
        <v>3501</v>
      </c>
      <c r="N593" s="7" t="s">
        <v>419</v>
      </c>
      <c r="O593" s="7" t="s">
        <v>19432</v>
      </c>
      <c r="P593" s="7" t="s">
        <v>391</v>
      </c>
      <c r="Q593" s="7" t="s">
        <v>399</v>
      </c>
      <c r="T593" s="7" t="s">
        <v>8211</v>
      </c>
      <c r="U593" s="7" t="s">
        <v>6078</v>
      </c>
      <c r="V593" s="7">
        <v>1.0</v>
      </c>
    </row>
    <row r="594">
      <c r="A594" s="7" t="s">
        <v>20410</v>
      </c>
      <c r="B594" s="7">
        <v>12593.0</v>
      </c>
      <c r="C594" s="7" t="s">
        <v>7626</v>
      </c>
      <c r="D594" s="7" t="s">
        <v>7644</v>
      </c>
      <c r="E594" s="7" t="s">
        <v>7628</v>
      </c>
      <c r="F594" s="7" t="s">
        <v>7645</v>
      </c>
      <c r="G594" s="7" t="s">
        <v>7646</v>
      </c>
      <c r="H594" s="7" t="s">
        <v>7647</v>
      </c>
      <c r="I594" s="119">
        <v>45292.0</v>
      </c>
      <c r="K594" s="7" t="s">
        <v>419</v>
      </c>
      <c r="L594" s="7" t="s">
        <v>991</v>
      </c>
      <c r="M594" s="7" t="s">
        <v>3531</v>
      </c>
      <c r="N594" s="7" t="s">
        <v>419</v>
      </c>
      <c r="O594" s="7" t="s">
        <v>19430</v>
      </c>
      <c r="P594" s="7" t="s">
        <v>717</v>
      </c>
      <c r="Q594" s="7" t="s">
        <v>720</v>
      </c>
      <c r="R594" s="7" t="s">
        <v>19542</v>
      </c>
      <c r="T594" s="7" t="s">
        <v>3725</v>
      </c>
      <c r="U594" s="7" t="s">
        <v>3493</v>
      </c>
      <c r="V594" s="7">
        <v>1.0</v>
      </c>
    </row>
    <row r="595">
      <c r="A595" s="7" t="s">
        <v>20411</v>
      </c>
      <c r="B595" s="7">
        <v>13693.0</v>
      </c>
      <c r="C595" s="7" t="s">
        <v>7649</v>
      </c>
      <c r="D595" s="7" t="s">
        <v>7650</v>
      </c>
      <c r="E595" s="7" t="s">
        <v>7651</v>
      </c>
      <c r="F595" s="7" t="s">
        <v>7652</v>
      </c>
      <c r="G595" s="7" t="s">
        <v>7653</v>
      </c>
      <c r="H595" s="7" t="s">
        <v>7654</v>
      </c>
      <c r="I595" s="119">
        <v>45292.0</v>
      </c>
      <c r="K595" s="7" t="s">
        <v>3632</v>
      </c>
      <c r="L595" s="7" t="s">
        <v>991</v>
      </c>
      <c r="M595" s="7" t="s">
        <v>3501</v>
      </c>
      <c r="N595" s="7" t="s">
        <v>3632</v>
      </c>
      <c r="O595" s="7" t="s">
        <v>3632</v>
      </c>
      <c r="P595" s="7" t="s">
        <v>625</v>
      </c>
      <c r="Q595" s="7" t="s">
        <v>626</v>
      </c>
      <c r="R595" s="7" t="s">
        <v>20083</v>
      </c>
      <c r="T595" s="7" t="s">
        <v>13868</v>
      </c>
      <c r="U595" s="7" t="s">
        <v>3604</v>
      </c>
      <c r="V595" s="7">
        <v>1.0</v>
      </c>
    </row>
    <row r="596">
      <c r="A596" s="7" t="s">
        <v>20412</v>
      </c>
      <c r="B596" s="7">
        <v>2300517.0</v>
      </c>
      <c r="C596" s="7" t="s">
        <v>7656</v>
      </c>
      <c r="D596" s="7" t="s">
        <v>7657</v>
      </c>
      <c r="E596" s="7" t="s">
        <v>7658</v>
      </c>
      <c r="F596" s="7" t="s">
        <v>7659</v>
      </c>
      <c r="G596" s="7" t="s">
        <v>7660</v>
      </c>
      <c r="H596" s="7" t="s">
        <v>7661</v>
      </c>
      <c r="I596" s="119">
        <v>45292.0</v>
      </c>
      <c r="K596" s="7" t="s">
        <v>419</v>
      </c>
      <c r="L596" s="7" t="s">
        <v>991</v>
      </c>
      <c r="M596" s="7" t="s">
        <v>3490</v>
      </c>
      <c r="N596" s="7" t="s">
        <v>419</v>
      </c>
      <c r="O596" s="7" t="s">
        <v>19440</v>
      </c>
      <c r="P596" s="7" t="s">
        <v>3</v>
      </c>
      <c r="Q596" s="7" t="s">
        <v>9</v>
      </c>
      <c r="R596" s="7" t="s">
        <v>20413</v>
      </c>
      <c r="S596" s="7" t="s">
        <v>19519</v>
      </c>
      <c r="T596" s="7" t="s">
        <v>7663</v>
      </c>
      <c r="U596" s="7" t="s">
        <v>3493</v>
      </c>
      <c r="V596" s="7">
        <v>1.0</v>
      </c>
    </row>
    <row r="597">
      <c r="A597" s="7" t="s">
        <v>20414</v>
      </c>
      <c r="B597" s="7">
        <v>10986.0</v>
      </c>
      <c r="C597" s="7" t="s">
        <v>7665</v>
      </c>
      <c r="D597" s="7" t="s">
        <v>7666</v>
      </c>
      <c r="E597" s="7" t="s">
        <v>7667</v>
      </c>
      <c r="F597" s="7" t="s">
        <v>7668</v>
      </c>
      <c r="G597" s="7" t="s">
        <v>7669</v>
      </c>
      <c r="H597" s="7" t="s">
        <v>7670</v>
      </c>
      <c r="I597" s="119">
        <v>45292.0</v>
      </c>
      <c r="K597" s="7" t="s">
        <v>419</v>
      </c>
      <c r="L597" s="7" t="s">
        <v>991</v>
      </c>
      <c r="M597" s="7" t="s">
        <v>3501</v>
      </c>
      <c r="N597" s="7" t="s">
        <v>419</v>
      </c>
      <c r="O597" s="7" t="s">
        <v>19430</v>
      </c>
      <c r="P597" s="7" t="s">
        <v>717</v>
      </c>
      <c r="Q597" s="7" t="s">
        <v>1163</v>
      </c>
      <c r="R597" s="7" t="s">
        <v>19546</v>
      </c>
      <c r="S597" s="7" t="s">
        <v>20153</v>
      </c>
      <c r="T597" s="7" t="s">
        <v>6305</v>
      </c>
      <c r="U597" s="7" t="s">
        <v>3843</v>
      </c>
      <c r="V597" s="7">
        <v>1.0</v>
      </c>
    </row>
    <row r="598">
      <c r="A598" s="7" t="s">
        <v>20415</v>
      </c>
      <c r="B598" s="7">
        <v>2300356.0</v>
      </c>
      <c r="C598" s="7" t="s">
        <v>7665</v>
      </c>
      <c r="D598" s="7" t="s">
        <v>7672</v>
      </c>
      <c r="E598" s="7" t="s">
        <v>7667</v>
      </c>
      <c r="F598" s="7" t="s">
        <v>7673</v>
      </c>
      <c r="G598" s="7" t="s">
        <v>7674</v>
      </c>
      <c r="H598" s="7" t="s">
        <v>7675</v>
      </c>
      <c r="I598" s="119">
        <v>45292.0</v>
      </c>
      <c r="K598" s="7" t="s">
        <v>419</v>
      </c>
      <c r="L598" s="7" t="s">
        <v>991</v>
      </c>
      <c r="M598" s="7" t="s">
        <v>3501</v>
      </c>
      <c r="N598" s="7" t="s">
        <v>419</v>
      </c>
      <c r="O598" s="7" t="s">
        <v>19437</v>
      </c>
      <c r="P598" s="7" t="s">
        <v>440</v>
      </c>
      <c r="Q598" s="7" t="s">
        <v>443</v>
      </c>
      <c r="R598" s="7" t="s">
        <v>20416</v>
      </c>
      <c r="T598" s="7" t="s">
        <v>7677</v>
      </c>
      <c r="U598" s="7" t="s">
        <v>3493</v>
      </c>
      <c r="V598" s="7">
        <v>1.0</v>
      </c>
    </row>
    <row r="599">
      <c r="A599" s="7" t="s">
        <v>20417</v>
      </c>
      <c r="B599" s="7">
        <v>2300445.0</v>
      </c>
      <c r="C599" s="7" t="s">
        <v>7679</v>
      </c>
      <c r="D599" s="7" t="s">
        <v>7680</v>
      </c>
      <c r="E599" s="7" t="s">
        <v>7681</v>
      </c>
      <c r="F599" s="7" t="s">
        <v>7682</v>
      </c>
      <c r="G599" s="7" t="s">
        <v>7683</v>
      </c>
      <c r="I599" s="119">
        <v>45292.0</v>
      </c>
      <c r="K599" s="7" t="s">
        <v>419</v>
      </c>
      <c r="L599" s="7" t="s">
        <v>991</v>
      </c>
      <c r="M599" s="7" t="s">
        <v>3531</v>
      </c>
      <c r="N599" s="7" t="s">
        <v>419</v>
      </c>
      <c r="O599" s="7" t="s">
        <v>19430</v>
      </c>
      <c r="P599" s="7" t="s">
        <v>854</v>
      </c>
      <c r="Q599" s="7" t="s">
        <v>859</v>
      </c>
      <c r="T599" s="7" t="s">
        <v>3821</v>
      </c>
      <c r="U599" s="7" t="s">
        <v>3493</v>
      </c>
      <c r="V599" s="7">
        <v>1.0</v>
      </c>
    </row>
    <row r="600">
      <c r="A600" s="7" t="s">
        <v>20418</v>
      </c>
      <c r="B600" s="7">
        <v>2100040.0</v>
      </c>
      <c r="C600" s="7" t="s">
        <v>7685</v>
      </c>
      <c r="D600" s="7" t="s">
        <v>7686</v>
      </c>
      <c r="E600" s="7" t="s">
        <v>7681</v>
      </c>
      <c r="F600" s="7" t="s">
        <v>5838</v>
      </c>
      <c r="G600" s="7" t="s">
        <v>7687</v>
      </c>
      <c r="H600" s="7" t="s">
        <v>7688</v>
      </c>
      <c r="I600" s="119">
        <v>45292.0</v>
      </c>
      <c r="K600" s="7" t="s">
        <v>3632</v>
      </c>
      <c r="L600" s="7" t="s">
        <v>991</v>
      </c>
      <c r="M600" s="7" t="s">
        <v>3501</v>
      </c>
      <c r="N600" s="7" t="s">
        <v>3632</v>
      </c>
      <c r="O600" s="7" t="s">
        <v>3632</v>
      </c>
      <c r="P600" s="7" t="s">
        <v>22</v>
      </c>
      <c r="Q600" s="7" t="s">
        <v>549</v>
      </c>
      <c r="R600" s="7" t="s">
        <v>20080</v>
      </c>
      <c r="T600" s="7" t="s">
        <v>9775</v>
      </c>
      <c r="U600" s="7" t="s">
        <v>3493</v>
      </c>
      <c r="V600" s="7">
        <v>1.0</v>
      </c>
    </row>
    <row r="601">
      <c r="A601" s="7" t="s">
        <v>20419</v>
      </c>
      <c r="B601" s="7">
        <v>11874.0</v>
      </c>
      <c r="C601" s="7" t="s">
        <v>6850</v>
      </c>
      <c r="D601" s="7" t="s">
        <v>7690</v>
      </c>
      <c r="E601" s="7" t="s">
        <v>7691</v>
      </c>
      <c r="F601" s="7" t="s">
        <v>3896</v>
      </c>
      <c r="G601" s="7" t="s">
        <v>7692</v>
      </c>
      <c r="H601" s="7" t="s">
        <v>7693</v>
      </c>
      <c r="I601" s="119">
        <v>45292.0</v>
      </c>
      <c r="K601" s="7" t="s">
        <v>419</v>
      </c>
      <c r="L601" s="7" t="s">
        <v>991</v>
      </c>
      <c r="M601" s="7" t="s">
        <v>3501</v>
      </c>
      <c r="N601" s="7" t="s">
        <v>419</v>
      </c>
      <c r="O601" s="7" t="s">
        <v>19430</v>
      </c>
      <c r="P601" s="7" t="s">
        <v>717</v>
      </c>
      <c r="Q601" s="7" t="s">
        <v>730</v>
      </c>
      <c r="R601" s="7" t="s">
        <v>20149</v>
      </c>
      <c r="S601" s="7" t="s">
        <v>20420</v>
      </c>
      <c r="T601" s="7" t="s">
        <v>7695</v>
      </c>
      <c r="U601" s="7" t="s">
        <v>3493</v>
      </c>
      <c r="V601" s="7">
        <v>1.0</v>
      </c>
    </row>
    <row r="602">
      <c r="A602" s="7" t="s">
        <v>2047</v>
      </c>
      <c r="B602" s="7">
        <v>324.0</v>
      </c>
      <c r="C602" s="7" t="s">
        <v>7696</v>
      </c>
      <c r="D602" s="7" t="s">
        <v>4699</v>
      </c>
      <c r="E602" s="7" t="s">
        <v>7697</v>
      </c>
      <c r="F602" s="7" t="s">
        <v>4700</v>
      </c>
      <c r="G602" s="7" t="s">
        <v>7698</v>
      </c>
      <c r="H602" s="7" t="s">
        <v>7699</v>
      </c>
      <c r="I602" s="119">
        <v>45292.0</v>
      </c>
      <c r="K602" s="7" t="s">
        <v>419</v>
      </c>
      <c r="L602" s="7" t="s">
        <v>991</v>
      </c>
      <c r="M602" s="7" t="s">
        <v>3501</v>
      </c>
      <c r="N602" s="7" t="s">
        <v>419</v>
      </c>
      <c r="O602" s="7" t="s">
        <v>19443</v>
      </c>
      <c r="P602" s="7" t="s">
        <v>1242</v>
      </c>
      <c r="Q602" s="7" t="s">
        <v>48</v>
      </c>
      <c r="R602" s="7" t="s">
        <v>19700</v>
      </c>
      <c r="S602" s="7" t="s">
        <v>19701</v>
      </c>
      <c r="T602" s="7" t="s">
        <v>4304</v>
      </c>
      <c r="U602" s="7" t="s">
        <v>3843</v>
      </c>
      <c r="V602" s="7">
        <v>1.0</v>
      </c>
    </row>
    <row r="603">
      <c r="A603" s="7" t="s">
        <v>20421</v>
      </c>
      <c r="B603" s="7">
        <v>13925.0</v>
      </c>
      <c r="C603" s="7" t="s">
        <v>7701</v>
      </c>
      <c r="D603" s="7" t="s">
        <v>6314</v>
      </c>
      <c r="E603" s="7" t="s">
        <v>7702</v>
      </c>
      <c r="F603" s="7" t="s">
        <v>4831</v>
      </c>
      <c r="G603" s="7" t="s">
        <v>7703</v>
      </c>
      <c r="H603" s="7" t="s">
        <v>7704</v>
      </c>
      <c r="I603" s="119">
        <v>45292.0</v>
      </c>
      <c r="J603" s="7" t="s">
        <v>3929</v>
      </c>
      <c r="K603" s="7" t="s">
        <v>419</v>
      </c>
      <c r="L603" s="7" t="s">
        <v>991</v>
      </c>
      <c r="M603" s="7" t="s">
        <v>3501</v>
      </c>
      <c r="N603" s="7" t="s">
        <v>419</v>
      </c>
      <c r="O603" s="7" t="s">
        <v>19433</v>
      </c>
      <c r="P603" s="7" t="s">
        <v>648</v>
      </c>
      <c r="Q603" s="7" t="s">
        <v>143</v>
      </c>
      <c r="R603" s="7" t="s">
        <v>19566</v>
      </c>
      <c r="T603" s="7" t="s">
        <v>20422</v>
      </c>
      <c r="U603" s="7" t="s">
        <v>3493</v>
      </c>
      <c r="V603" s="7">
        <v>1.0</v>
      </c>
    </row>
    <row r="604">
      <c r="A604" s="7" t="s">
        <v>20423</v>
      </c>
      <c r="B604" s="7">
        <v>10433.0</v>
      </c>
      <c r="C604" s="7" t="s">
        <v>7708</v>
      </c>
      <c r="D604" s="7" t="s">
        <v>5047</v>
      </c>
      <c r="E604" s="7" t="s">
        <v>7709</v>
      </c>
      <c r="F604" s="7" t="s">
        <v>5049</v>
      </c>
      <c r="G604" s="7" t="s">
        <v>7710</v>
      </c>
      <c r="H604" s="7" t="s">
        <v>7711</v>
      </c>
      <c r="I604" s="119">
        <v>45292.0</v>
      </c>
      <c r="K604" s="7" t="s">
        <v>419</v>
      </c>
      <c r="L604" s="7" t="s">
        <v>991</v>
      </c>
      <c r="M604" s="7" t="s">
        <v>3501</v>
      </c>
      <c r="N604" s="7" t="s">
        <v>419</v>
      </c>
      <c r="O604" s="7" t="s">
        <v>19430</v>
      </c>
      <c r="P604" s="7" t="s">
        <v>717</v>
      </c>
      <c r="Q604" s="7" t="s">
        <v>1163</v>
      </c>
      <c r="R604" s="7" t="s">
        <v>19546</v>
      </c>
      <c r="S604" s="7" t="s">
        <v>19762</v>
      </c>
      <c r="T604" s="7" t="s">
        <v>4558</v>
      </c>
      <c r="U604" s="7" t="s">
        <v>3493</v>
      </c>
      <c r="V604" s="7">
        <v>1.0</v>
      </c>
    </row>
    <row r="605">
      <c r="A605" s="7" t="s">
        <v>20424</v>
      </c>
      <c r="B605" s="7">
        <v>13468.0</v>
      </c>
      <c r="C605" s="7" t="s">
        <v>7713</v>
      </c>
      <c r="D605" s="7" t="s">
        <v>7714</v>
      </c>
      <c r="E605" s="7" t="s">
        <v>7709</v>
      </c>
      <c r="F605" s="7" t="s">
        <v>7715</v>
      </c>
      <c r="G605" s="7" t="s">
        <v>7716</v>
      </c>
      <c r="H605" s="7" t="s">
        <v>7717</v>
      </c>
      <c r="I605" s="119">
        <v>45292.0</v>
      </c>
      <c r="K605" s="7" t="s">
        <v>419</v>
      </c>
      <c r="L605" s="7" t="s">
        <v>991</v>
      </c>
      <c r="M605" s="7" t="s">
        <v>3531</v>
      </c>
      <c r="N605" s="7" t="s">
        <v>419</v>
      </c>
      <c r="O605" s="7" t="s">
        <v>19438</v>
      </c>
      <c r="P605" s="7" t="s">
        <v>19439</v>
      </c>
      <c r="Q605" s="7" t="s">
        <v>475</v>
      </c>
      <c r="T605" s="7" t="s">
        <v>7718</v>
      </c>
      <c r="U605" s="7" t="s">
        <v>3493</v>
      </c>
      <c r="V605" s="7">
        <v>1.0</v>
      </c>
    </row>
    <row r="606">
      <c r="A606" s="7" t="s">
        <v>20425</v>
      </c>
      <c r="B606" s="7">
        <v>2100173.0</v>
      </c>
      <c r="C606" s="7" t="s">
        <v>7720</v>
      </c>
      <c r="D606" s="7" t="s">
        <v>7721</v>
      </c>
      <c r="E606" s="7" t="s">
        <v>7722</v>
      </c>
      <c r="F606" s="7" t="s">
        <v>7723</v>
      </c>
      <c r="G606" s="7" t="s">
        <v>7724</v>
      </c>
      <c r="H606" s="7" t="s">
        <v>7725</v>
      </c>
      <c r="I606" s="119">
        <v>45292.0</v>
      </c>
      <c r="K606" s="7" t="s">
        <v>419</v>
      </c>
      <c r="L606" s="7" t="s">
        <v>991</v>
      </c>
      <c r="M606" s="7" t="s">
        <v>3501</v>
      </c>
      <c r="N606" s="7" t="s">
        <v>419</v>
      </c>
      <c r="O606" s="7" t="s">
        <v>19432</v>
      </c>
      <c r="P606" s="7" t="s">
        <v>693</v>
      </c>
      <c r="Q606" s="7" t="s">
        <v>701</v>
      </c>
      <c r="R606" s="7" t="s">
        <v>19563</v>
      </c>
      <c r="T606" s="7" t="s">
        <v>7727</v>
      </c>
      <c r="U606" s="7" t="s">
        <v>3604</v>
      </c>
      <c r="V606" s="7">
        <v>1.0</v>
      </c>
    </row>
    <row r="607">
      <c r="A607" s="7" t="s">
        <v>20426</v>
      </c>
      <c r="B607" s="7">
        <v>2100444.0</v>
      </c>
      <c r="C607" s="7" t="s">
        <v>7720</v>
      </c>
      <c r="D607" s="7" t="s">
        <v>5383</v>
      </c>
      <c r="E607" s="7" t="s">
        <v>7722</v>
      </c>
      <c r="F607" s="7" t="s">
        <v>3486</v>
      </c>
      <c r="G607" s="7" t="s">
        <v>7729</v>
      </c>
      <c r="H607" s="7" t="s">
        <v>7730</v>
      </c>
      <c r="I607" s="119">
        <v>45292.0</v>
      </c>
      <c r="K607" s="7" t="s">
        <v>419</v>
      </c>
      <c r="L607" s="7" t="s">
        <v>991</v>
      </c>
      <c r="M607" s="7" t="s">
        <v>3501</v>
      </c>
      <c r="N607" s="7" t="s">
        <v>419</v>
      </c>
      <c r="O607" s="7" t="s">
        <v>19430</v>
      </c>
      <c r="P607" s="7" t="s">
        <v>717</v>
      </c>
      <c r="Q607" s="7" t="s">
        <v>738</v>
      </c>
      <c r="R607" s="7" t="s">
        <v>20012</v>
      </c>
      <c r="S607" s="7" t="s">
        <v>20392</v>
      </c>
      <c r="T607" s="7" t="s">
        <v>7537</v>
      </c>
      <c r="U607" s="7" t="s">
        <v>3843</v>
      </c>
      <c r="V607" s="7">
        <v>1.0</v>
      </c>
    </row>
    <row r="608">
      <c r="A608" s="7" t="s">
        <v>20427</v>
      </c>
      <c r="B608" s="7">
        <v>2300573.0</v>
      </c>
      <c r="C608" s="7" t="s">
        <v>7732</v>
      </c>
      <c r="D608" s="7" t="s">
        <v>7733</v>
      </c>
      <c r="E608" s="7" t="s">
        <v>7734</v>
      </c>
      <c r="F608" s="7" t="s">
        <v>5514</v>
      </c>
      <c r="G608" s="7" t="s">
        <v>7735</v>
      </c>
      <c r="H608" s="7" t="s">
        <v>7736</v>
      </c>
      <c r="I608" s="119">
        <v>45292.0</v>
      </c>
      <c r="K608" s="7" t="s">
        <v>419</v>
      </c>
      <c r="L608" s="7" t="s">
        <v>991</v>
      </c>
      <c r="M608" s="7" t="s">
        <v>3531</v>
      </c>
      <c r="N608" s="7" t="s">
        <v>419</v>
      </c>
      <c r="O608" s="7" t="s">
        <v>19430</v>
      </c>
      <c r="P608" s="7" t="s">
        <v>717</v>
      </c>
      <c r="Q608" s="7" t="s">
        <v>720</v>
      </c>
      <c r="R608" s="7" t="s">
        <v>19542</v>
      </c>
      <c r="T608" s="7" t="s">
        <v>3725</v>
      </c>
      <c r="U608" s="7" t="s">
        <v>3493</v>
      </c>
      <c r="V608" s="7">
        <v>1.0</v>
      </c>
    </row>
    <row r="609">
      <c r="A609" s="7" t="s">
        <v>20428</v>
      </c>
      <c r="B609" s="7">
        <v>2200403.0</v>
      </c>
      <c r="C609" s="7" t="s">
        <v>7738</v>
      </c>
      <c r="D609" s="7" t="s">
        <v>5114</v>
      </c>
      <c r="E609" s="7" t="s">
        <v>7739</v>
      </c>
      <c r="F609" s="7" t="s">
        <v>4984</v>
      </c>
      <c r="G609" s="7" t="s">
        <v>7740</v>
      </c>
      <c r="H609" s="7" t="s">
        <v>7741</v>
      </c>
      <c r="I609" s="119">
        <v>45292.0</v>
      </c>
      <c r="K609" s="7" t="s">
        <v>419</v>
      </c>
      <c r="L609" s="7" t="s">
        <v>991</v>
      </c>
      <c r="M609" s="7" t="s">
        <v>3583</v>
      </c>
      <c r="N609" s="7" t="s">
        <v>419</v>
      </c>
      <c r="O609" s="7" t="s">
        <v>19430</v>
      </c>
      <c r="P609" s="7" t="s">
        <v>854</v>
      </c>
      <c r="Q609" s="7" t="s">
        <v>173</v>
      </c>
      <c r="R609" s="7" t="s">
        <v>19566</v>
      </c>
      <c r="T609" s="7" t="s">
        <v>3810</v>
      </c>
      <c r="U609" s="7" t="s">
        <v>3493</v>
      </c>
      <c r="V609" s="7">
        <v>1.0</v>
      </c>
    </row>
    <row r="610">
      <c r="A610" s="7" t="s">
        <v>20429</v>
      </c>
      <c r="B610" s="7">
        <v>2100571.0</v>
      </c>
      <c r="C610" s="7" t="s">
        <v>7746</v>
      </c>
      <c r="D610" s="7" t="s">
        <v>7747</v>
      </c>
      <c r="E610" s="7" t="s">
        <v>7748</v>
      </c>
      <c r="F610" s="7" t="s">
        <v>4518</v>
      </c>
      <c r="G610" s="7" t="s">
        <v>7749</v>
      </c>
      <c r="H610" s="7" t="s">
        <v>7750</v>
      </c>
      <c r="I610" s="119">
        <v>45292.0</v>
      </c>
      <c r="K610" s="7" t="s">
        <v>419</v>
      </c>
      <c r="L610" s="7" t="s">
        <v>991</v>
      </c>
      <c r="M610" s="7" t="s">
        <v>3501</v>
      </c>
      <c r="N610" s="7" t="s">
        <v>419</v>
      </c>
      <c r="O610" s="7" t="s">
        <v>19437</v>
      </c>
      <c r="P610" s="7" t="s">
        <v>603</v>
      </c>
      <c r="Q610" s="7" t="s">
        <v>90</v>
      </c>
      <c r="R610" s="7" t="s">
        <v>19973</v>
      </c>
      <c r="S610" s="7" t="s">
        <v>19974</v>
      </c>
      <c r="T610" s="7" t="s">
        <v>5470</v>
      </c>
      <c r="U610" s="7" t="s">
        <v>3493</v>
      </c>
      <c r="V610" s="7">
        <v>1.0</v>
      </c>
    </row>
    <row r="611">
      <c r="A611" s="7" t="s">
        <v>20430</v>
      </c>
      <c r="B611" s="7">
        <v>8399.0</v>
      </c>
      <c r="C611" s="7" t="s">
        <v>7752</v>
      </c>
      <c r="D611" s="7" t="s">
        <v>7753</v>
      </c>
      <c r="E611" s="7" t="s">
        <v>7754</v>
      </c>
      <c r="F611" s="7" t="s">
        <v>5451</v>
      </c>
      <c r="G611" s="7" t="s">
        <v>7755</v>
      </c>
      <c r="H611" s="7" t="s">
        <v>7756</v>
      </c>
      <c r="I611" s="119">
        <v>45292.0</v>
      </c>
      <c r="K611" s="7" t="s">
        <v>419</v>
      </c>
      <c r="L611" s="7" t="s">
        <v>991</v>
      </c>
      <c r="M611" s="7" t="s">
        <v>3531</v>
      </c>
      <c r="N611" s="7" t="s">
        <v>419</v>
      </c>
      <c r="O611" s="7" t="s">
        <v>19432</v>
      </c>
      <c r="P611" s="7" t="s">
        <v>391</v>
      </c>
      <c r="Q611" s="7" t="s">
        <v>890</v>
      </c>
      <c r="R611" s="7" t="s">
        <v>19497</v>
      </c>
      <c r="T611" s="7" t="s">
        <v>7757</v>
      </c>
      <c r="U611" s="7" t="s">
        <v>3493</v>
      </c>
      <c r="V611" s="7">
        <v>1.0</v>
      </c>
    </row>
    <row r="612">
      <c r="A612" s="7" t="s">
        <v>3394</v>
      </c>
      <c r="B612" s="7">
        <v>13655.0</v>
      </c>
      <c r="C612" s="7" t="s">
        <v>7759</v>
      </c>
      <c r="D612" s="7" t="s">
        <v>7760</v>
      </c>
      <c r="E612" s="7" t="s">
        <v>7754</v>
      </c>
      <c r="F612" s="7" t="s">
        <v>7761</v>
      </c>
      <c r="G612" s="7" t="s">
        <v>7762</v>
      </c>
      <c r="H612" s="7" t="s">
        <v>7763</v>
      </c>
      <c r="I612" s="119">
        <v>45292.0</v>
      </c>
      <c r="K612" s="7" t="s">
        <v>3632</v>
      </c>
      <c r="L612" s="7" t="s">
        <v>991</v>
      </c>
      <c r="M612" s="7" t="s">
        <v>3501</v>
      </c>
      <c r="N612" s="7" t="s">
        <v>3632</v>
      </c>
      <c r="O612" s="7" t="s">
        <v>3632</v>
      </c>
      <c r="P612" s="7" t="s">
        <v>19462</v>
      </c>
      <c r="Q612" s="7" t="s">
        <v>19463</v>
      </c>
      <c r="R612" s="7" t="s">
        <v>19587</v>
      </c>
      <c r="T612" s="7" t="s">
        <v>17794</v>
      </c>
      <c r="U612" s="7" t="s">
        <v>3604</v>
      </c>
      <c r="V612" s="7">
        <v>1.0</v>
      </c>
    </row>
    <row r="613">
      <c r="A613" s="7" t="s">
        <v>20431</v>
      </c>
      <c r="B613" s="7">
        <v>12473.0</v>
      </c>
      <c r="C613" s="7" t="s">
        <v>7752</v>
      </c>
      <c r="D613" s="7" t="s">
        <v>4100</v>
      </c>
      <c r="E613" s="7" t="s">
        <v>7754</v>
      </c>
      <c r="F613" s="7" t="s">
        <v>3486</v>
      </c>
      <c r="G613" s="7" t="s">
        <v>7765</v>
      </c>
      <c r="H613" s="7" t="s">
        <v>7766</v>
      </c>
      <c r="I613" s="119">
        <v>45292.0</v>
      </c>
      <c r="K613" s="7" t="s">
        <v>419</v>
      </c>
      <c r="L613" s="7" t="s">
        <v>991</v>
      </c>
      <c r="M613" s="7" t="s">
        <v>3501</v>
      </c>
      <c r="N613" s="7" t="s">
        <v>419</v>
      </c>
      <c r="O613" s="7" t="s">
        <v>19430</v>
      </c>
      <c r="P613" s="7" t="s">
        <v>717</v>
      </c>
      <c r="Q613" s="7" t="s">
        <v>223</v>
      </c>
      <c r="R613" s="7" t="s">
        <v>19764</v>
      </c>
      <c r="S613" s="7" t="s">
        <v>20036</v>
      </c>
      <c r="T613" s="7" t="s">
        <v>5756</v>
      </c>
      <c r="U613" s="7" t="s">
        <v>3493</v>
      </c>
      <c r="V613" s="7">
        <v>1.0</v>
      </c>
    </row>
    <row r="614">
      <c r="A614" s="7" t="s">
        <v>20432</v>
      </c>
      <c r="B614" s="7">
        <v>186.0</v>
      </c>
      <c r="C614" s="7" t="s">
        <v>7768</v>
      </c>
      <c r="D614" s="7" t="s">
        <v>7769</v>
      </c>
      <c r="E614" s="7" t="s">
        <v>7770</v>
      </c>
      <c r="F614" s="7" t="s">
        <v>7771</v>
      </c>
      <c r="G614" s="7" t="s">
        <v>7772</v>
      </c>
      <c r="H614" s="7" t="s">
        <v>7773</v>
      </c>
      <c r="I614" s="119">
        <v>45292.0</v>
      </c>
      <c r="K614" s="7" t="s">
        <v>419</v>
      </c>
      <c r="L614" s="7" t="s">
        <v>991</v>
      </c>
      <c r="M614" s="7" t="s">
        <v>3501</v>
      </c>
      <c r="N614" s="7" t="s">
        <v>419</v>
      </c>
      <c r="O614" s="7" t="s">
        <v>19432</v>
      </c>
      <c r="P614" s="7" t="s">
        <v>391</v>
      </c>
      <c r="Q614" s="7" t="s">
        <v>392</v>
      </c>
      <c r="R614" s="7" t="s">
        <v>19534</v>
      </c>
      <c r="T614" s="7" t="s">
        <v>5350</v>
      </c>
      <c r="U614" s="7" t="s">
        <v>3493</v>
      </c>
      <c r="V614" s="7">
        <v>1.0</v>
      </c>
    </row>
    <row r="615">
      <c r="A615" s="7" t="s">
        <v>20433</v>
      </c>
      <c r="B615" s="7">
        <v>2300679.0</v>
      </c>
      <c r="C615" s="7" t="s">
        <v>7775</v>
      </c>
      <c r="D615" s="7" t="s">
        <v>6628</v>
      </c>
      <c r="E615" s="7" t="s">
        <v>7776</v>
      </c>
      <c r="F615" s="7" t="s">
        <v>6630</v>
      </c>
      <c r="G615" s="7" t="s">
        <v>7777</v>
      </c>
      <c r="H615" s="7" t="s">
        <v>7778</v>
      </c>
      <c r="I615" s="119">
        <v>45292.0</v>
      </c>
      <c r="K615" s="7" t="s">
        <v>3632</v>
      </c>
      <c r="L615" s="7" t="s">
        <v>991</v>
      </c>
      <c r="M615" s="7" t="s">
        <v>3501</v>
      </c>
      <c r="N615" s="7" t="s">
        <v>3632</v>
      </c>
      <c r="O615" s="7" t="s">
        <v>3632</v>
      </c>
      <c r="P615" s="7" t="s">
        <v>429</v>
      </c>
      <c r="Q615" s="7" t="s">
        <v>436</v>
      </c>
      <c r="R615" s="7" t="s">
        <v>19708</v>
      </c>
      <c r="T615" s="7" t="s">
        <v>4325</v>
      </c>
      <c r="U615" s="7" t="s">
        <v>3493</v>
      </c>
      <c r="V615" s="7">
        <v>1.0</v>
      </c>
    </row>
    <row r="616">
      <c r="A616" s="7" t="s">
        <v>20434</v>
      </c>
      <c r="B616" s="7">
        <v>2100018.0</v>
      </c>
      <c r="C616" s="7" t="s">
        <v>7780</v>
      </c>
      <c r="D616" s="7" t="s">
        <v>4016</v>
      </c>
      <c r="E616" s="7" t="s">
        <v>7781</v>
      </c>
      <c r="F616" s="7" t="s">
        <v>4018</v>
      </c>
      <c r="G616" s="7" t="s">
        <v>7782</v>
      </c>
      <c r="H616" s="7" t="s">
        <v>7783</v>
      </c>
      <c r="I616" s="119">
        <v>45292.0</v>
      </c>
      <c r="K616" s="7" t="s">
        <v>419</v>
      </c>
      <c r="L616" s="7" t="s">
        <v>991</v>
      </c>
      <c r="M616" s="7" t="s">
        <v>3490</v>
      </c>
      <c r="N616" s="7" t="s">
        <v>419</v>
      </c>
      <c r="O616" s="7" t="s">
        <v>19437</v>
      </c>
      <c r="P616" s="7" t="s">
        <v>440</v>
      </c>
      <c r="Q616" s="7" t="s">
        <v>443</v>
      </c>
      <c r="R616" s="7" t="s">
        <v>20435</v>
      </c>
      <c r="S616" s="7" t="s">
        <v>20436</v>
      </c>
      <c r="T616" s="7" t="s">
        <v>8440</v>
      </c>
      <c r="U616" s="7" t="s">
        <v>3493</v>
      </c>
      <c r="V616" s="7">
        <v>1.0</v>
      </c>
    </row>
    <row r="617">
      <c r="A617" s="7" t="s">
        <v>20437</v>
      </c>
      <c r="B617" s="7">
        <v>2100573.0</v>
      </c>
      <c r="C617" s="7" t="s">
        <v>7787</v>
      </c>
      <c r="D617" s="7" t="s">
        <v>7788</v>
      </c>
      <c r="E617" s="7" t="s">
        <v>7781</v>
      </c>
      <c r="F617" s="7" t="s">
        <v>3806</v>
      </c>
      <c r="G617" s="7" t="s">
        <v>7789</v>
      </c>
      <c r="H617" s="7" t="s">
        <v>7790</v>
      </c>
      <c r="I617" s="119">
        <v>45292.0</v>
      </c>
      <c r="K617" s="7" t="s">
        <v>4405</v>
      </c>
      <c r="L617" s="7" t="s">
        <v>4406</v>
      </c>
      <c r="M617" s="7" t="s">
        <v>7791</v>
      </c>
      <c r="N617" s="7" t="s">
        <v>419</v>
      </c>
      <c r="O617" s="7" t="s">
        <v>19433</v>
      </c>
      <c r="P617" s="7" t="s">
        <v>648</v>
      </c>
      <c r="Q617" s="7" t="s">
        <v>651</v>
      </c>
      <c r="R617" s="7" t="s">
        <v>19587</v>
      </c>
      <c r="T617" s="7" t="s">
        <v>20438</v>
      </c>
      <c r="U617" s="7" t="s">
        <v>3604</v>
      </c>
      <c r="V617" s="7">
        <v>1.0</v>
      </c>
    </row>
    <row r="618">
      <c r="A618" s="7" t="s">
        <v>20439</v>
      </c>
      <c r="B618" s="7">
        <v>10987.0</v>
      </c>
      <c r="C618" s="7" t="s">
        <v>7795</v>
      </c>
      <c r="D618" s="7" t="s">
        <v>7796</v>
      </c>
      <c r="E618" s="7" t="s">
        <v>7797</v>
      </c>
      <c r="F618" s="7" t="s">
        <v>5286</v>
      </c>
      <c r="G618" s="7" t="s">
        <v>7798</v>
      </c>
      <c r="H618" s="7" t="s">
        <v>7799</v>
      </c>
      <c r="I618" s="119">
        <v>45292.0</v>
      </c>
      <c r="K618" s="7" t="s">
        <v>419</v>
      </c>
      <c r="L618" s="7" t="s">
        <v>991</v>
      </c>
      <c r="M618" s="7" t="s">
        <v>3501</v>
      </c>
      <c r="N618" s="7" t="s">
        <v>419</v>
      </c>
      <c r="O618" s="7" t="s">
        <v>19430</v>
      </c>
      <c r="P618" s="7" t="s">
        <v>717</v>
      </c>
      <c r="Q618" s="7" t="s">
        <v>223</v>
      </c>
      <c r="R618" s="7" t="s">
        <v>19764</v>
      </c>
      <c r="S618" s="7" t="s">
        <v>20036</v>
      </c>
      <c r="T618" s="7" t="s">
        <v>5756</v>
      </c>
      <c r="U618" s="7" t="s">
        <v>3493</v>
      </c>
      <c r="V618" s="7">
        <v>1.0</v>
      </c>
    </row>
    <row r="619">
      <c r="A619" s="7" t="s">
        <v>20440</v>
      </c>
      <c r="B619" s="7">
        <v>2200216.0</v>
      </c>
      <c r="C619" s="7" t="s">
        <v>7795</v>
      </c>
      <c r="D619" s="7" t="s">
        <v>7801</v>
      </c>
      <c r="E619" s="7" t="s">
        <v>7797</v>
      </c>
      <c r="F619" s="7" t="s">
        <v>7802</v>
      </c>
      <c r="G619" s="7" t="s">
        <v>7803</v>
      </c>
      <c r="H619" s="7" t="s">
        <v>7804</v>
      </c>
      <c r="I619" s="119">
        <v>45292.0</v>
      </c>
      <c r="K619" s="7" t="s">
        <v>419</v>
      </c>
      <c r="L619" s="7" t="s">
        <v>991</v>
      </c>
      <c r="M619" s="7" t="s">
        <v>3501</v>
      </c>
      <c r="N619" s="7" t="s">
        <v>419</v>
      </c>
      <c r="O619" s="7" t="s">
        <v>19430</v>
      </c>
      <c r="P619" s="7" t="s">
        <v>717</v>
      </c>
      <c r="Q619" s="7" t="s">
        <v>725</v>
      </c>
      <c r="R619" s="7" t="s">
        <v>19494</v>
      </c>
      <c r="S619" s="7" t="s">
        <v>19495</v>
      </c>
      <c r="T619" s="7" t="s">
        <v>3503</v>
      </c>
      <c r="U619" s="7" t="s">
        <v>3843</v>
      </c>
      <c r="V619" s="7">
        <v>1.0</v>
      </c>
    </row>
    <row r="620">
      <c r="A620" s="7" t="s">
        <v>20441</v>
      </c>
      <c r="B620" s="7">
        <v>12782.0</v>
      </c>
      <c r="C620" s="7" t="s">
        <v>7795</v>
      </c>
      <c r="D620" s="7" t="s">
        <v>7806</v>
      </c>
      <c r="E620" s="7" t="s">
        <v>7797</v>
      </c>
      <c r="F620" s="7" t="s">
        <v>7637</v>
      </c>
      <c r="G620" s="7" t="s">
        <v>7807</v>
      </c>
      <c r="H620" s="7" t="s">
        <v>7808</v>
      </c>
      <c r="I620" s="119">
        <v>45383.0</v>
      </c>
      <c r="K620" s="7" t="s">
        <v>6124</v>
      </c>
      <c r="L620" s="7" t="s">
        <v>3542</v>
      </c>
      <c r="M620" s="7" t="s">
        <v>4383</v>
      </c>
      <c r="N620" s="7" t="s">
        <v>419</v>
      </c>
      <c r="O620" s="7" t="s">
        <v>19437</v>
      </c>
      <c r="P620" s="7" t="s">
        <v>478</v>
      </c>
      <c r="Q620" s="7" t="s">
        <v>953</v>
      </c>
      <c r="R620" s="7" t="s">
        <v>20101</v>
      </c>
      <c r="T620" s="7" t="s">
        <v>6041</v>
      </c>
      <c r="U620" s="7" t="s">
        <v>3493</v>
      </c>
      <c r="V620" s="7">
        <v>1.0</v>
      </c>
    </row>
    <row r="621">
      <c r="A621" s="7" t="s">
        <v>20442</v>
      </c>
      <c r="B621" s="7">
        <v>2200217.0</v>
      </c>
      <c r="C621" s="7" t="s">
        <v>7795</v>
      </c>
      <c r="D621" s="7" t="s">
        <v>7811</v>
      </c>
      <c r="E621" s="7" t="s">
        <v>7797</v>
      </c>
      <c r="F621" s="7" t="s">
        <v>7812</v>
      </c>
      <c r="G621" s="7" t="s">
        <v>7813</v>
      </c>
      <c r="H621" s="7" t="s">
        <v>7814</v>
      </c>
      <c r="I621" s="119">
        <v>45292.0</v>
      </c>
      <c r="K621" s="7" t="s">
        <v>419</v>
      </c>
      <c r="L621" s="7" t="s">
        <v>991</v>
      </c>
      <c r="M621" s="7" t="s">
        <v>3501</v>
      </c>
      <c r="N621" s="7" t="s">
        <v>419</v>
      </c>
      <c r="O621" s="7" t="s">
        <v>19430</v>
      </c>
      <c r="P621" s="7" t="s">
        <v>717</v>
      </c>
      <c r="Q621" s="7" t="s">
        <v>1163</v>
      </c>
      <c r="R621" s="7" t="s">
        <v>19546</v>
      </c>
      <c r="S621" s="7" t="s">
        <v>19684</v>
      </c>
      <c r="T621" s="7" t="s">
        <v>4238</v>
      </c>
      <c r="U621" s="7" t="s">
        <v>3493</v>
      </c>
      <c r="V621" s="7">
        <v>1.0</v>
      </c>
    </row>
    <row r="622">
      <c r="A622" s="7" t="s">
        <v>19442</v>
      </c>
      <c r="B622" s="7">
        <v>13663.0</v>
      </c>
      <c r="C622" s="7" t="s">
        <v>7795</v>
      </c>
      <c r="D622" s="7" t="s">
        <v>7816</v>
      </c>
      <c r="E622" s="7" t="s">
        <v>7797</v>
      </c>
      <c r="F622" s="7" t="s">
        <v>4800</v>
      </c>
      <c r="G622" s="7" t="s">
        <v>7817</v>
      </c>
      <c r="H622" s="7" t="s">
        <v>7818</v>
      </c>
      <c r="I622" s="119">
        <v>45292.0</v>
      </c>
      <c r="K622" s="7" t="s">
        <v>3632</v>
      </c>
      <c r="L622" s="7" t="s">
        <v>991</v>
      </c>
      <c r="M622" s="7" t="s">
        <v>3501</v>
      </c>
      <c r="N622" s="7" t="s">
        <v>3632</v>
      </c>
      <c r="O622" s="7" t="s">
        <v>3632</v>
      </c>
      <c r="P622" s="7" t="s">
        <v>22</v>
      </c>
      <c r="Q622" s="7" t="s">
        <v>544</v>
      </c>
      <c r="T622" s="7" t="s">
        <v>7472</v>
      </c>
      <c r="U622" s="7" t="s">
        <v>5585</v>
      </c>
      <c r="V622" s="7">
        <v>1.0</v>
      </c>
    </row>
    <row r="623">
      <c r="A623" s="7" t="s">
        <v>20443</v>
      </c>
      <c r="B623" s="7">
        <v>10351.0</v>
      </c>
      <c r="C623" s="7" t="s">
        <v>7822</v>
      </c>
      <c r="D623" s="7" t="s">
        <v>7823</v>
      </c>
      <c r="E623" s="7" t="s">
        <v>7824</v>
      </c>
      <c r="F623" s="7" t="s">
        <v>5074</v>
      </c>
      <c r="G623" s="7" t="s">
        <v>7825</v>
      </c>
      <c r="H623" s="7" t="s">
        <v>7826</v>
      </c>
      <c r="I623" s="119">
        <v>45292.0</v>
      </c>
      <c r="K623" s="7" t="s">
        <v>419</v>
      </c>
      <c r="L623" s="7" t="s">
        <v>991</v>
      </c>
      <c r="M623" s="7" t="s">
        <v>3501</v>
      </c>
      <c r="N623" s="7" t="s">
        <v>419</v>
      </c>
      <c r="O623" s="7" t="s">
        <v>19432</v>
      </c>
      <c r="P623" s="7" t="s">
        <v>693</v>
      </c>
      <c r="Q623" s="7" t="s">
        <v>698</v>
      </c>
      <c r="R623" s="7" t="s">
        <v>20444</v>
      </c>
      <c r="S623" s="7" t="s">
        <v>20445</v>
      </c>
      <c r="T623" s="7" t="s">
        <v>7828</v>
      </c>
      <c r="U623" s="7" t="s">
        <v>3843</v>
      </c>
      <c r="V623" s="7">
        <v>1.0</v>
      </c>
    </row>
    <row r="624">
      <c r="A624" s="7" t="s">
        <v>20446</v>
      </c>
      <c r="B624" s="7">
        <v>2300006.0</v>
      </c>
      <c r="C624" s="7" t="s">
        <v>7830</v>
      </c>
      <c r="D624" s="7" t="s">
        <v>7831</v>
      </c>
      <c r="E624" s="7" t="s">
        <v>7832</v>
      </c>
      <c r="F624" s="7" t="s">
        <v>4929</v>
      </c>
      <c r="G624" s="7" t="s">
        <v>7833</v>
      </c>
      <c r="H624" s="7" t="s">
        <v>7834</v>
      </c>
      <c r="I624" s="119">
        <v>45292.0</v>
      </c>
      <c r="J624" s="7" t="s">
        <v>3929</v>
      </c>
      <c r="K624" s="7" t="s">
        <v>419</v>
      </c>
      <c r="L624" s="7" t="s">
        <v>991</v>
      </c>
      <c r="M624" s="7" t="s">
        <v>3501</v>
      </c>
      <c r="N624" s="7" t="s">
        <v>419</v>
      </c>
      <c r="O624" s="7" t="s">
        <v>19437</v>
      </c>
      <c r="P624" s="7" t="s">
        <v>478</v>
      </c>
      <c r="Q624" s="7" t="s">
        <v>484</v>
      </c>
      <c r="R624" s="7" t="s">
        <v>19624</v>
      </c>
      <c r="T624" s="7" t="s">
        <v>7835</v>
      </c>
      <c r="U624" s="7" t="s">
        <v>3493</v>
      </c>
      <c r="V624" s="7">
        <v>1.0</v>
      </c>
    </row>
    <row r="625">
      <c r="A625" s="7" t="s">
        <v>20447</v>
      </c>
      <c r="B625" s="7">
        <v>12771.0</v>
      </c>
      <c r="C625" s="7" t="s">
        <v>7830</v>
      </c>
      <c r="D625" s="7" t="s">
        <v>7026</v>
      </c>
      <c r="E625" s="7" t="s">
        <v>7832</v>
      </c>
      <c r="F625" s="7" t="s">
        <v>4598</v>
      </c>
      <c r="G625" s="7" t="s">
        <v>7837</v>
      </c>
      <c r="H625" s="7" t="s">
        <v>7838</v>
      </c>
      <c r="I625" s="119">
        <v>45292.0</v>
      </c>
      <c r="K625" s="7" t="s">
        <v>419</v>
      </c>
      <c r="L625" s="7" t="s">
        <v>991</v>
      </c>
      <c r="M625" s="7" t="s">
        <v>3501</v>
      </c>
      <c r="N625" s="7" t="s">
        <v>419</v>
      </c>
      <c r="O625" s="7" t="s">
        <v>19432</v>
      </c>
      <c r="P625" s="7" t="s">
        <v>391</v>
      </c>
      <c r="Q625" s="7" t="s">
        <v>392</v>
      </c>
      <c r="R625" s="7" t="s">
        <v>19706</v>
      </c>
      <c r="T625" s="7" t="s">
        <v>18578</v>
      </c>
      <c r="U625" s="7" t="s">
        <v>3493</v>
      </c>
      <c r="V625" s="7">
        <v>1.0</v>
      </c>
    </row>
    <row r="626">
      <c r="A626" s="7" t="s">
        <v>20448</v>
      </c>
      <c r="B626" s="7">
        <v>10513.0</v>
      </c>
      <c r="C626" s="7" t="s">
        <v>7841</v>
      </c>
      <c r="D626" s="7" t="s">
        <v>7842</v>
      </c>
      <c r="E626" s="7" t="s">
        <v>7843</v>
      </c>
      <c r="F626" s="7" t="s">
        <v>7842</v>
      </c>
      <c r="G626" s="7" t="s">
        <v>7844</v>
      </c>
      <c r="H626" s="7" t="s">
        <v>7845</v>
      </c>
      <c r="I626" s="119">
        <v>45292.0</v>
      </c>
      <c r="K626" s="7" t="s">
        <v>419</v>
      </c>
      <c r="L626" s="7" t="s">
        <v>991</v>
      </c>
      <c r="M626" s="7" t="s">
        <v>3501</v>
      </c>
      <c r="N626" s="7" t="s">
        <v>419</v>
      </c>
      <c r="O626" s="7" t="s">
        <v>19432</v>
      </c>
      <c r="P626" s="7" t="s">
        <v>391</v>
      </c>
      <c r="Q626" s="7" t="s">
        <v>890</v>
      </c>
      <c r="R626" s="7" t="s">
        <v>19744</v>
      </c>
      <c r="T626" s="7" t="s">
        <v>7846</v>
      </c>
      <c r="U626" s="7" t="s">
        <v>3493</v>
      </c>
      <c r="V626" s="7">
        <v>1.0</v>
      </c>
    </row>
    <row r="627">
      <c r="A627" s="7" t="s">
        <v>20449</v>
      </c>
      <c r="B627" s="7">
        <v>2100355.0</v>
      </c>
      <c r="C627" s="7" t="s">
        <v>7848</v>
      </c>
      <c r="D627" s="7" t="s">
        <v>4699</v>
      </c>
      <c r="E627" s="7" t="s">
        <v>7849</v>
      </c>
      <c r="F627" s="7" t="s">
        <v>4700</v>
      </c>
      <c r="G627" s="7" t="s">
        <v>7850</v>
      </c>
      <c r="H627" s="7" t="s">
        <v>7851</v>
      </c>
      <c r="I627" s="119">
        <v>45292.0</v>
      </c>
      <c r="K627" s="7" t="s">
        <v>419</v>
      </c>
      <c r="L627" s="7" t="s">
        <v>991</v>
      </c>
      <c r="M627" s="7" t="s">
        <v>3501</v>
      </c>
      <c r="N627" s="7" t="s">
        <v>419</v>
      </c>
      <c r="O627" s="7" t="s">
        <v>19430</v>
      </c>
      <c r="P627" s="7" t="s">
        <v>717</v>
      </c>
      <c r="Q627" s="7" t="s">
        <v>1163</v>
      </c>
      <c r="R627" s="7" t="s">
        <v>19608</v>
      </c>
      <c r="S627" s="7" t="s">
        <v>19618</v>
      </c>
      <c r="T627" s="7" t="s">
        <v>3997</v>
      </c>
      <c r="U627" s="7" t="s">
        <v>3493</v>
      </c>
      <c r="V627" s="7">
        <v>1.0</v>
      </c>
    </row>
    <row r="628">
      <c r="A628" s="7" t="s">
        <v>20450</v>
      </c>
      <c r="B628" s="7">
        <v>10543.0</v>
      </c>
      <c r="C628" s="7" t="s">
        <v>7853</v>
      </c>
      <c r="D628" s="7" t="s">
        <v>4009</v>
      </c>
      <c r="E628" s="7" t="s">
        <v>7854</v>
      </c>
      <c r="F628" s="7" t="s">
        <v>4009</v>
      </c>
      <c r="G628" s="7" t="s">
        <v>7855</v>
      </c>
      <c r="H628" s="7" t="s">
        <v>7856</v>
      </c>
      <c r="I628" s="119">
        <v>45292.0</v>
      </c>
      <c r="K628" s="7" t="s">
        <v>419</v>
      </c>
      <c r="L628" s="7" t="s">
        <v>991</v>
      </c>
      <c r="M628" s="7" t="s">
        <v>3501</v>
      </c>
      <c r="N628" s="7" t="s">
        <v>419</v>
      </c>
      <c r="O628" s="7" t="s">
        <v>19430</v>
      </c>
      <c r="P628" s="7" t="s">
        <v>717</v>
      </c>
      <c r="Q628" s="7" t="s">
        <v>251</v>
      </c>
      <c r="R628" s="7" t="s">
        <v>19513</v>
      </c>
      <c r="S628" s="7" t="s">
        <v>20451</v>
      </c>
      <c r="T628" s="7" t="s">
        <v>7858</v>
      </c>
      <c r="U628" s="7" t="s">
        <v>3493</v>
      </c>
      <c r="V628" s="7">
        <v>1.0</v>
      </c>
    </row>
    <row r="629">
      <c r="A629" s="7" t="s">
        <v>1604</v>
      </c>
      <c r="B629" s="7">
        <v>345.0</v>
      </c>
      <c r="C629" s="7" t="s">
        <v>7853</v>
      </c>
      <c r="D629" s="7" t="s">
        <v>3862</v>
      </c>
      <c r="E629" s="7" t="s">
        <v>7854</v>
      </c>
      <c r="F629" s="7" t="s">
        <v>3508</v>
      </c>
      <c r="G629" s="7" t="s">
        <v>7859</v>
      </c>
      <c r="H629" s="7" t="s">
        <v>7860</v>
      </c>
      <c r="I629" s="119">
        <v>45292.0</v>
      </c>
      <c r="K629" s="7" t="s">
        <v>3885</v>
      </c>
      <c r="L629" s="7" t="s">
        <v>3542</v>
      </c>
      <c r="M629" s="7" t="s">
        <v>3543</v>
      </c>
      <c r="N629" s="7" t="s">
        <v>419</v>
      </c>
      <c r="O629" s="7" t="s">
        <v>19433</v>
      </c>
      <c r="P629" s="7" t="s">
        <v>648</v>
      </c>
      <c r="Q629" s="7" t="s">
        <v>651</v>
      </c>
      <c r="R629" s="7" t="s">
        <v>19587</v>
      </c>
      <c r="S629" s="7" t="s">
        <v>19588</v>
      </c>
      <c r="T629" s="7" t="s">
        <v>19589</v>
      </c>
      <c r="U629" s="7" t="s">
        <v>3493</v>
      </c>
      <c r="V629" s="7">
        <v>1.0</v>
      </c>
    </row>
    <row r="630">
      <c r="A630" s="7" t="s">
        <v>20452</v>
      </c>
      <c r="B630" s="7">
        <v>2300571.0</v>
      </c>
      <c r="C630" s="7" t="s">
        <v>7853</v>
      </c>
      <c r="D630" s="7" t="s">
        <v>7862</v>
      </c>
      <c r="E630" s="7" t="s">
        <v>7854</v>
      </c>
      <c r="F630" s="7" t="s">
        <v>5229</v>
      </c>
      <c r="G630" s="7" t="s">
        <v>7863</v>
      </c>
      <c r="H630" s="7" t="s">
        <v>7864</v>
      </c>
      <c r="I630" s="119">
        <v>45292.0</v>
      </c>
      <c r="K630" s="7" t="s">
        <v>419</v>
      </c>
      <c r="L630" s="7" t="s">
        <v>991</v>
      </c>
      <c r="M630" s="7" t="s">
        <v>3501</v>
      </c>
      <c r="N630" s="7" t="s">
        <v>419</v>
      </c>
      <c r="O630" s="7" t="s">
        <v>19430</v>
      </c>
      <c r="P630" s="7" t="s">
        <v>717</v>
      </c>
      <c r="Q630" s="7" t="s">
        <v>223</v>
      </c>
      <c r="R630" s="7" t="s">
        <v>19764</v>
      </c>
      <c r="S630" s="7" t="s">
        <v>19765</v>
      </c>
      <c r="T630" s="7" t="s">
        <v>4565</v>
      </c>
      <c r="U630" s="7" t="s">
        <v>3493</v>
      </c>
      <c r="V630" s="7">
        <v>1.0</v>
      </c>
    </row>
    <row r="631">
      <c r="A631" s="7" t="s">
        <v>20453</v>
      </c>
      <c r="B631" s="7">
        <v>14167.0</v>
      </c>
      <c r="C631" s="7" t="s">
        <v>7853</v>
      </c>
      <c r="D631" s="7" t="s">
        <v>7866</v>
      </c>
      <c r="E631" s="7" t="s">
        <v>7854</v>
      </c>
      <c r="F631" s="7" t="s">
        <v>5229</v>
      </c>
      <c r="G631" s="7" t="s">
        <v>7867</v>
      </c>
      <c r="H631" s="7" t="s">
        <v>7868</v>
      </c>
      <c r="I631" s="119">
        <v>45292.0</v>
      </c>
      <c r="K631" s="7" t="s">
        <v>419</v>
      </c>
      <c r="L631" s="7" t="s">
        <v>991</v>
      </c>
      <c r="M631" s="7" t="s">
        <v>3501</v>
      </c>
      <c r="N631" s="7" t="s">
        <v>419</v>
      </c>
      <c r="O631" s="7" t="s">
        <v>19440</v>
      </c>
      <c r="P631" s="7" t="s">
        <v>3</v>
      </c>
      <c r="Q631" s="7" t="s">
        <v>4</v>
      </c>
      <c r="R631" s="7" t="s">
        <v>19614</v>
      </c>
      <c r="S631" s="7" t="s">
        <v>20454</v>
      </c>
      <c r="T631" s="7" t="s">
        <v>7870</v>
      </c>
      <c r="U631" s="7" t="s">
        <v>3493</v>
      </c>
      <c r="V631" s="7">
        <v>1.0</v>
      </c>
    </row>
    <row r="632">
      <c r="A632" s="7" t="s">
        <v>1453</v>
      </c>
      <c r="B632" s="7">
        <v>229.0</v>
      </c>
      <c r="C632" s="7" t="s">
        <v>7853</v>
      </c>
      <c r="D632" s="7" t="s">
        <v>7871</v>
      </c>
      <c r="E632" s="7" t="s">
        <v>7854</v>
      </c>
      <c r="F632" s="7" t="s">
        <v>7872</v>
      </c>
      <c r="G632" s="7" t="s">
        <v>7873</v>
      </c>
      <c r="H632" s="7" t="s">
        <v>7874</v>
      </c>
      <c r="I632" s="119">
        <v>45292.0</v>
      </c>
      <c r="K632" s="7" t="s">
        <v>7875</v>
      </c>
      <c r="L632" s="7" t="s">
        <v>4406</v>
      </c>
      <c r="M632" s="7" t="s">
        <v>4407</v>
      </c>
      <c r="N632" s="7" t="s">
        <v>419</v>
      </c>
      <c r="O632" s="7" t="s">
        <v>19438</v>
      </c>
      <c r="P632" s="7" t="s">
        <v>422</v>
      </c>
      <c r="T632" s="7" t="s">
        <v>20086</v>
      </c>
      <c r="U632" s="7" t="s">
        <v>422</v>
      </c>
      <c r="V632" s="7">
        <v>1.0</v>
      </c>
    </row>
    <row r="633">
      <c r="A633" s="7" t="s">
        <v>20455</v>
      </c>
      <c r="B633" s="7">
        <v>13741.0</v>
      </c>
      <c r="C633" s="7" t="s">
        <v>7853</v>
      </c>
      <c r="D633" s="7" t="s">
        <v>7879</v>
      </c>
      <c r="E633" s="7" t="s">
        <v>7854</v>
      </c>
      <c r="F633" s="7" t="s">
        <v>7880</v>
      </c>
      <c r="G633" s="7" t="s">
        <v>7881</v>
      </c>
      <c r="H633" s="7" t="s">
        <v>7882</v>
      </c>
      <c r="I633" s="119">
        <v>45292.0</v>
      </c>
      <c r="K633" s="7" t="s">
        <v>419</v>
      </c>
      <c r="L633" s="7" t="s">
        <v>991</v>
      </c>
      <c r="M633" s="7" t="s">
        <v>3531</v>
      </c>
      <c r="N633" s="7" t="s">
        <v>419</v>
      </c>
      <c r="O633" s="7" t="s">
        <v>19432</v>
      </c>
      <c r="P633" s="7" t="s">
        <v>298</v>
      </c>
      <c r="Q633" s="7" t="s">
        <v>1284</v>
      </c>
      <c r="R633" s="7" t="s">
        <v>20033</v>
      </c>
      <c r="S633" s="7" t="s">
        <v>20456</v>
      </c>
      <c r="T633" s="7" t="s">
        <v>7884</v>
      </c>
      <c r="U633" s="7" t="s">
        <v>3493</v>
      </c>
      <c r="V633" s="7">
        <v>1.0</v>
      </c>
    </row>
    <row r="634">
      <c r="A634" s="7" t="s">
        <v>20457</v>
      </c>
      <c r="B634" s="7">
        <v>14190.0</v>
      </c>
      <c r="C634" s="7" t="s">
        <v>7853</v>
      </c>
      <c r="D634" s="7" t="s">
        <v>7886</v>
      </c>
      <c r="E634" s="7" t="s">
        <v>7854</v>
      </c>
      <c r="F634" s="7" t="s">
        <v>7887</v>
      </c>
      <c r="G634" s="7" t="s">
        <v>7888</v>
      </c>
      <c r="H634" s="7" t="s">
        <v>7889</v>
      </c>
      <c r="I634" s="119">
        <v>45292.0</v>
      </c>
      <c r="K634" s="7" t="s">
        <v>419</v>
      </c>
      <c r="L634" s="7" t="s">
        <v>991</v>
      </c>
      <c r="M634" s="7" t="s">
        <v>3501</v>
      </c>
      <c r="N634" s="7" t="s">
        <v>419</v>
      </c>
      <c r="O634" s="7" t="s">
        <v>19430</v>
      </c>
      <c r="P634" s="7" t="s">
        <v>717</v>
      </c>
      <c r="Q634" s="7" t="s">
        <v>738</v>
      </c>
      <c r="R634" s="7" t="s">
        <v>19723</v>
      </c>
      <c r="S634" s="7" t="s">
        <v>20031</v>
      </c>
      <c r="T634" s="7" t="s">
        <v>5741</v>
      </c>
      <c r="U634" s="7" t="s">
        <v>3493</v>
      </c>
      <c r="V634" s="7">
        <v>1.0</v>
      </c>
    </row>
    <row r="635">
      <c r="A635" s="7" t="s">
        <v>20458</v>
      </c>
      <c r="B635" s="7">
        <v>2200594.0</v>
      </c>
      <c r="C635" s="7" t="s">
        <v>7853</v>
      </c>
      <c r="D635" s="7" t="s">
        <v>7891</v>
      </c>
      <c r="E635" s="7" t="s">
        <v>7854</v>
      </c>
      <c r="F635" s="7" t="s">
        <v>7892</v>
      </c>
      <c r="G635" s="7" t="s">
        <v>7893</v>
      </c>
      <c r="H635" s="7" t="s">
        <v>7894</v>
      </c>
      <c r="I635" s="119">
        <v>45292.0</v>
      </c>
      <c r="K635" s="7" t="s">
        <v>3622</v>
      </c>
      <c r="L635" s="7" t="s">
        <v>991</v>
      </c>
      <c r="M635" s="7" t="s">
        <v>3531</v>
      </c>
      <c r="N635" s="7" t="s">
        <v>3622</v>
      </c>
      <c r="O635" s="7" t="s">
        <v>3622</v>
      </c>
      <c r="P635" s="7" t="s">
        <v>19521</v>
      </c>
      <c r="T635" s="7" t="s">
        <v>3624</v>
      </c>
      <c r="U635" s="7" t="s">
        <v>3493</v>
      </c>
      <c r="V635" s="7">
        <v>1.0</v>
      </c>
    </row>
    <row r="636">
      <c r="A636" s="7" t="s">
        <v>20459</v>
      </c>
      <c r="B636" s="7">
        <v>13902.0</v>
      </c>
      <c r="C636" s="7" t="s">
        <v>7853</v>
      </c>
      <c r="D636" s="7" t="s">
        <v>7896</v>
      </c>
      <c r="E636" s="7" t="s">
        <v>7854</v>
      </c>
      <c r="F636" s="7" t="s">
        <v>4700</v>
      </c>
      <c r="G636" s="7" t="s">
        <v>7897</v>
      </c>
      <c r="H636" s="7" t="s">
        <v>7898</v>
      </c>
      <c r="I636" s="119">
        <v>45292.0</v>
      </c>
      <c r="K636" s="7" t="s">
        <v>419</v>
      </c>
      <c r="L636" s="7" t="s">
        <v>991</v>
      </c>
      <c r="M636" s="7" t="s">
        <v>3531</v>
      </c>
      <c r="N636" s="7" t="s">
        <v>419</v>
      </c>
      <c r="O636" s="7" t="s">
        <v>19433</v>
      </c>
      <c r="P636" s="7" t="s">
        <v>587</v>
      </c>
      <c r="Q636" s="7" t="s">
        <v>72</v>
      </c>
      <c r="T636" s="7" t="s">
        <v>5706</v>
      </c>
      <c r="U636" s="7" t="s">
        <v>3493</v>
      </c>
      <c r="V636" s="7">
        <v>1.0</v>
      </c>
    </row>
    <row r="637">
      <c r="A637" s="7" t="s">
        <v>20460</v>
      </c>
      <c r="B637" s="7">
        <v>2200504.0</v>
      </c>
      <c r="C637" s="7" t="s">
        <v>7853</v>
      </c>
      <c r="D637" s="7" t="s">
        <v>7900</v>
      </c>
      <c r="E637" s="7" t="s">
        <v>7854</v>
      </c>
      <c r="F637" s="7" t="s">
        <v>3917</v>
      </c>
      <c r="G637" s="7" t="s">
        <v>7901</v>
      </c>
      <c r="H637" s="7" t="s">
        <v>7902</v>
      </c>
      <c r="I637" s="119">
        <v>45292.0</v>
      </c>
      <c r="K637" s="7" t="s">
        <v>419</v>
      </c>
      <c r="L637" s="7" t="s">
        <v>991</v>
      </c>
      <c r="M637" s="7" t="s">
        <v>3531</v>
      </c>
      <c r="N637" s="7" t="s">
        <v>419</v>
      </c>
      <c r="O637" s="7" t="s">
        <v>19443</v>
      </c>
      <c r="P637" s="7" t="s">
        <v>1242</v>
      </c>
      <c r="Q637" s="7" t="s">
        <v>39</v>
      </c>
      <c r="R637" s="7" t="s">
        <v>19929</v>
      </c>
      <c r="S637" s="7" t="s">
        <v>20299</v>
      </c>
      <c r="T637" s="7" t="s">
        <v>7061</v>
      </c>
      <c r="U637" s="7" t="s">
        <v>3493</v>
      </c>
      <c r="V637" s="7">
        <v>1.0</v>
      </c>
    </row>
    <row r="638">
      <c r="A638" s="7" t="s">
        <v>20461</v>
      </c>
      <c r="B638" s="7">
        <v>2300077.0</v>
      </c>
      <c r="C638" s="7" t="s">
        <v>7853</v>
      </c>
      <c r="D638" s="7" t="s">
        <v>7904</v>
      </c>
      <c r="E638" s="7" t="s">
        <v>7854</v>
      </c>
      <c r="F638" s="7" t="s">
        <v>4546</v>
      </c>
      <c r="G638" s="7" t="s">
        <v>7905</v>
      </c>
      <c r="H638" s="7" t="s">
        <v>7906</v>
      </c>
      <c r="I638" s="119">
        <v>45292.0</v>
      </c>
      <c r="K638" s="7" t="s">
        <v>6654</v>
      </c>
      <c r="L638" s="7" t="s">
        <v>6655</v>
      </c>
      <c r="M638" s="7" t="s">
        <v>6656</v>
      </c>
      <c r="N638" s="7" t="s">
        <v>419</v>
      </c>
      <c r="O638" s="7" t="s">
        <v>19433</v>
      </c>
      <c r="P638" s="7" t="s">
        <v>648</v>
      </c>
      <c r="Q638" s="7" t="s">
        <v>651</v>
      </c>
      <c r="R638" s="7" t="s">
        <v>19922</v>
      </c>
      <c r="S638" s="7" t="s">
        <v>19920</v>
      </c>
      <c r="T638" s="7" t="s">
        <v>20462</v>
      </c>
      <c r="U638" s="7" t="s">
        <v>3493</v>
      </c>
      <c r="V638" s="7">
        <v>1.0</v>
      </c>
    </row>
    <row r="639">
      <c r="A639" s="7" t="s">
        <v>20463</v>
      </c>
      <c r="B639" s="7">
        <v>10805.0</v>
      </c>
      <c r="C639" s="7" t="s">
        <v>7853</v>
      </c>
      <c r="D639" s="7" t="s">
        <v>7910</v>
      </c>
      <c r="E639" s="7" t="s">
        <v>7854</v>
      </c>
      <c r="F639" s="7" t="s">
        <v>4469</v>
      </c>
      <c r="G639" s="7" t="s">
        <v>7911</v>
      </c>
      <c r="H639" s="7" t="s">
        <v>7912</v>
      </c>
      <c r="I639" s="119">
        <v>45292.0</v>
      </c>
      <c r="K639" s="7" t="s">
        <v>419</v>
      </c>
      <c r="L639" s="7" t="s">
        <v>991</v>
      </c>
      <c r="M639" s="7" t="s">
        <v>3501</v>
      </c>
      <c r="N639" s="7" t="s">
        <v>419</v>
      </c>
      <c r="O639" s="7" t="s">
        <v>19432</v>
      </c>
      <c r="P639" s="7" t="s">
        <v>693</v>
      </c>
      <c r="Q639" s="7" t="s">
        <v>698</v>
      </c>
      <c r="R639" s="7" t="s">
        <v>19563</v>
      </c>
      <c r="S639" s="7" t="s">
        <v>19971</v>
      </c>
      <c r="T639" s="7" t="s">
        <v>5462</v>
      </c>
      <c r="U639" s="7" t="s">
        <v>3493</v>
      </c>
      <c r="V639" s="7">
        <v>1.0</v>
      </c>
    </row>
    <row r="640">
      <c r="A640" s="7" t="s">
        <v>1918</v>
      </c>
      <c r="B640" s="7">
        <v>238.0</v>
      </c>
      <c r="C640" s="7" t="s">
        <v>7853</v>
      </c>
      <c r="D640" s="7" t="s">
        <v>5743</v>
      </c>
      <c r="E640" s="7" t="s">
        <v>7854</v>
      </c>
      <c r="F640" s="7" t="s">
        <v>5058</v>
      </c>
      <c r="G640" s="7" t="s">
        <v>7913</v>
      </c>
      <c r="H640" s="7" t="s">
        <v>7914</v>
      </c>
      <c r="I640" s="119">
        <v>45292.0</v>
      </c>
      <c r="K640" s="7" t="s">
        <v>419</v>
      </c>
      <c r="L640" s="7" t="s">
        <v>991</v>
      </c>
      <c r="M640" s="7" t="s">
        <v>3501</v>
      </c>
      <c r="N640" s="7" t="s">
        <v>419</v>
      </c>
      <c r="O640" s="7" t="s">
        <v>19433</v>
      </c>
      <c r="P640" s="7" t="s">
        <v>648</v>
      </c>
      <c r="Q640" s="7" t="s">
        <v>143</v>
      </c>
      <c r="R640" s="7" t="s">
        <v>19672</v>
      </c>
      <c r="S640" s="7" t="s">
        <v>20371</v>
      </c>
      <c r="T640" s="7" t="s">
        <v>7434</v>
      </c>
      <c r="U640" s="7" t="s">
        <v>3493</v>
      </c>
      <c r="V640" s="7">
        <v>1.0</v>
      </c>
    </row>
    <row r="641">
      <c r="A641" s="7" t="s">
        <v>20464</v>
      </c>
      <c r="B641" s="7">
        <v>2100262.0</v>
      </c>
      <c r="C641" s="7" t="s">
        <v>7853</v>
      </c>
      <c r="D641" s="7" t="s">
        <v>7916</v>
      </c>
      <c r="E641" s="7" t="s">
        <v>7854</v>
      </c>
      <c r="F641" s="7" t="s">
        <v>4967</v>
      </c>
      <c r="G641" s="7" t="s">
        <v>7917</v>
      </c>
      <c r="H641" s="7" t="s">
        <v>7918</v>
      </c>
      <c r="I641" s="119">
        <v>45292.0</v>
      </c>
      <c r="K641" s="7" t="s">
        <v>419</v>
      </c>
      <c r="L641" s="7" t="s">
        <v>991</v>
      </c>
      <c r="M641" s="7" t="s">
        <v>3583</v>
      </c>
      <c r="N641" s="7" t="s">
        <v>419</v>
      </c>
      <c r="O641" s="7" t="s">
        <v>19430</v>
      </c>
      <c r="P641" s="7" t="s">
        <v>717</v>
      </c>
      <c r="Q641" s="7" t="s">
        <v>223</v>
      </c>
      <c r="T641" s="7" t="s">
        <v>19431</v>
      </c>
      <c r="U641" s="7" t="s">
        <v>3493</v>
      </c>
      <c r="V641" s="7">
        <v>1.0</v>
      </c>
    </row>
    <row r="642">
      <c r="A642" s="7" t="s">
        <v>20465</v>
      </c>
      <c r="B642" s="7">
        <v>10940.0</v>
      </c>
      <c r="C642" s="7" t="s">
        <v>6137</v>
      </c>
      <c r="D642" s="7" t="s">
        <v>7923</v>
      </c>
      <c r="E642" s="7" t="s">
        <v>7924</v>
      </c>
      <c r="F642" s="7" t="s">
        <v>5627</v>
      </c>
      <c r="G642" s="7" t="s">
        <v>7925</v>
      </c>
      <c r="H642" s="7" t="s">
        <v>7926</v>
      </c>
      <c r="I642" s="119">
        <v>45292.0</v>
      </c>
      <c r="K642" s="7" t="s">
        <v>419</v>
      </c>
      <c r="L642" s="7" t="s">
        <v>991</v>
      </c>
      <c r="M642" s="7" t="s">
        <v>3501</v>
      </c>
      <c r="N642" s="7" t="s">
        <v>419</v>
      </c>
      <c r="O642" s="7" t="s">
        <v>19430</v>
      </c>
      <c r="P642" s="7" t="s">
        <v>854</v>
      </c>
      <c r="Q642" s="7" t="s">
        <v>857</v>
      </c>
      <c r="R642" s="7" t="s">
        <v>19574</v>
      </c>
      <c r="T642" s="7" t="s">
        <v>3878</v>
      </c>
      <c r="U642" s="7" t="s">
        <v>3493</v>
      </c>
      <c r="V642" s="7">
        <v>1.0</v>
      </c>
    </row>
    <row r="643">
      <c r="A643" s="7" t="s">
        <v>20466</v>
      </c>
      <c r="B643" s="7">
        <v>13686.0</v>
      </c>
      <c r="C643" s="7" t="s">
        <v>6137</v>
      </c>
      <c r="D643" s="7" t="s">
        <v>7928</v>
      </c>
      <c r="E643" s="7" t="s">
        <v>7924</v>
      </c>
      <c r="F643" s="7" t="s">
        <v>7929</v>
      </c>
      <c r="G643" s="7" t="s">
        <v>7930</v>
      </c>
      <c r="H643" s="7" t="s">
        <v>7931</v>
      </c>
      <c r="I643" s="119">
        <v>45292.0</v>
      </c>
      <c r="K643" s="7" t="s">
        <v>3632</v>
      </c>
      <c r="L643" s="7" t="s">
        <v>991</v>
      </c>
      <c r="M643" s="7" t="s">
        <v>3501</v>
      </c>
      <c r="N643" s="7" t="s">
        <v>3632</v>
      </c>
      <c r="O643" s="7" t="s">
        <v>3632</v>
      </c>
      <c r="P643" s="7" t="s">
        <v>22</v>
      </c>
      <c r="Q643" s="7" t="s">
        <v>544</v>
      </c>
      <c r="T643" s="7" t="s">
        <v>7472</v>
      </c>
      <c r="U643" s="7" t="s">
        <v>3493</v>
      </c>
      <c r="V643" s="7">
        <v>1.0</v>
      </c>
    </row>
    <row r="644">
      <c r="A644" s="7" t="s">
        <v>2152</v>
      </c>
      <c r="B644" s="7">
        <v>2100583.0</v>
      </c>
      <c r="C644" s="7" t="s">
        <v>6137</v>
      </c>
      <c r="D644" s="7" t="s">
        <v>7933</v>
      </c>
      <c r="E644" s="7" t="s">
        <v>7924</v>
      </c>
      <c r="F644" s="7" t="s">
        <v>7934</v>
      </c>
      <c r="G644" s="7" t="s">
        <v>7935</v>
      </c>
      <c r="H644" s="7" t="s">
        <v>7936</v>
      </c>
      <c r="I644" s="119">
        <v>45292.0</v>
      </c>
      <c r="K644" s="7" t="s">
        <v>419</v>
      </c>
      <c r="L644" s="7" t="s">
        <v>991</v>
      </c>
      <c r="M644" s="7" t="s">
        <v>3501</v>
      </c>
      <c r="N644" s="7" t="s">
        <v>419</v>
      </c>
      <c r="O644" s="7" t="s">
        <v>19443</v>
      </c>
      <c r="P644" s="7" t="s">
        <v>1242</v>
      </c>
      <c r="Q644" s="7" t="s">
        <v>51</v>
      </c>
      <c r="T644" s="7" t="s">
        <v>19209</v>
      </c>
      <c r="U644" s="7" t="s">
        <v>5585</v>
      </c>
      <c r="V644" s="7">
        <v>1.0</v>
      </c>
    </row>
    <row r="645">
      <c r="A645" s="7" t="s">
        <v>20467</v>
      </c>
      <c r="B645" s="7">
        <v>13751.0</v>
      </c>
      <c r="C645" s="7" t="s">
        <v>7942</v>
      </c>
      <c r="D645" s="7" t="s">
        <v>7943</v>
      </c>
      <c r="E645" s="7" t="s">
        <v>7944</v>
      </c>
      <c r="F645" s="7" t="s">
        <v>5627</v>
      </c>
      <c r="G645" s="7" t="s">
        <v>7945</v>
      </c>
      <c r="H645" s="7" t="s">
        <v>7946</v>
      </c>
      <c r="I645" s="119">
        <v>45292.0</v>
      </c>
      <c r="K645" s="7" t="s">
        <v>419</v>
      </c>
      <c r="L645" s="7" t="s">
        <v>991</v>
      </c>
      <c r="M645" s="7" t="s">
        <v>3531</v>
      </c>
      <c r="N645" s="7" t="s">
        <v>419</v>
      </c>
      <c r="O645" s="7" t="s">
        <v>19443</v>
      </c>
      <c r="P645" s="7" t="s">
        <v>323</v>
      </c>
      <c r="Q645" s="7" t="s">
        <v>324</v>
      </c>
      <c r="T645" s="7" t="s">
        <v>7948</v>
      </c>
      <c r="U645" s="7" t="s">
        <v>3493</v>
      </c>
      <c r="V645" s="7">
        <v>1.0</v>
      </c>
    </row>
    <row r="646">
      <c r="A646" s="7" t="s">
        <v>20468</v>
      </c>
      <c r="B646" s="7">
        <v>2200810.0</v>
      </c>
      <c r="C646" s="7" t="s">
        <v>7942</v>
      </c>
      <c r="D646" s="7" t="s">
        <v>7950</v>
      </c>
      <c r="E646" s="7" t="s">
        <v>7944</v>
      </c>
      <c r="F646" s="7" t="s">
        <v>5627</v>
      </c>
      <c r="G646" s="7" t="s">
        <v>7951</v>
      </c>
      <c r="H646" s="7" t="s">
        <v>7952</v>
      </c>
      <c r="I646" s="119">
        <v>45292.0</v>
      </c>
      <c r="K646" s="7" t="s">
        <v>3622</v>
      </c>
      <c r="L646" s="7" t="s">
        <v>991</v>
      </c>
      <c r="M646" s="7" t="s">
        <v>4644</v>
      </c>
      <c r="N646" s="7" t="s">
        <v>3622</v>
      </c>
      <c r="O646" s="7" t="s">
        <v>3622</v>
      </c>
      <c r="P646" s="7" t="s">
        <v>19521</v>
      </c>
      <c r="T646" s="7" t="s">
        <v>3624</v>
      </c>
      <c r="U646" s="7" t="s">
        <v>7953</v>
      </c>
      <c r="V646" s="7">
        <v>1.0</v>
      </c>
    </row>
    <row r="647">
      <c r="A647" s="7" t="s">
        <v>20469</v>
      </c>
      <c r="B647" s="7">
        <v>1300.0</v>
      </c>
      <c r="C647" s="7" t="s">
        <v>7955</v>
      </c>
      <c r="D647" s="7" t="s">
        <v>7956</v>
      </c>
      <c r="E647" s="7" t="s">
        <v>7957</v>
      </c>
      <c r="F647" s="7" t="s">
        <v>7958</v>
      </c>
      <c r="G647" s="7" t="s">
        <v>7959</v>
      </c>
      <c r="H647" s="7" t="s">
        <v>7960</v>
      </c>
      <c r="I647" s="119">
        <v>45292.0</v>
      </c>
      <c r="K647" s="7" t="s">
        <v>419</v>
      </c>
      <c r="L647" s="7" t="s">
        <v>991</v>
      </c>
      <c r="M647" s="7" t="s">
        <v>3501</v>
      </c>
      <c r="N647" s="7" t="s">
        <v>419</v>
      </c>
      <c r="O647" s="7" t="s">
        <v>19443</v>
      </c>
      <c r="P647" s="7" t="s">
        <v>323</v>
      </c>
      <c r="Q647" s="7" t="s">
        <v>824</v>
      </c>
      <c r="R647" s="7" t="s">
        <v>19570</v>
      </c>
      <c r="S647" s="7" t="s">
        <v>19571</v>
      </c>
      <c r="T647" s="7" t="s">
        <v>19572</v>
      </c>
      <c r="U647" s="7" t="s">
        <v>3493</v>
      </c>
      <c r="V647" s="7">
        <v>1.0</v>
      </c>
    </row>
    <row r="648">
      <c r="A648" s="7" t="s">
        <v>20470</v>
      </c>
      <c r="B648" s="7">
        <v>14002.0</v>
      </c>
      <c r="C648" s="7" t="s">
        <v>7955</v>
      </c>
      <c r="D648" s="7" t="s">
        <v>7962</v>
      </c>
      <c r="E648" s="7" t="s">
        <v>7957</v>
      </c>
      <c r="F648" s="7" t="s">
        <v>3909</v>
      </c>
      <c r="G648" s="7" t="s">
        <v>7963</v>
      </c>
      <c r="H648" s="7" t="s">
        <v>7964</v>
      </c>
      <c r="I648" s="119">
        <v>45292.0</v>
      </c>
      <c r="K648" s="7" t="s">
        <v>419</v>
      </c>
      <c r="L648" s="7" t="s">
        <v>991</v>
      </c>
      <c r="M648" s="7" t="s">
        <v>3501</v>
      </c>
      <c r="N648" s="7" t="s">
        <v>419</v>
      </c>
      <c r="O648" s="7" t="s">
        <v>19437</v>
      </c>
      <c r="P648" s="7" t="s">
        <v>440</v>
      </c>
      <c r="Q648" s="7" t="s">
        <v>441</v>
      </c>
      <c r="R648" s="7" t="s">
        <v>20471</v>
      </c>
      <c r="S648" s="7" t="s">
        <v>20472</v>
      </c>
      <c r="T648" s="7" t="s">
        <v>7966</v>
      </c>
      <c r="U648" s="7" t="s">
        <v>3493</v>
      </c>
      <c r="V648" s="7">
        <v>1.0</v>
      </c>
    </row>
    <row r="649">
      <c r="A649" s="7" t="s">
        <v>20473</v>
      </c>
      <c r="B649" s="7">
        <v>2200911.0</v>
      </c>
      <c r="C649" s="7" t="s">
        <v>7968</v>
      </c>
      <c r="D649" s="7" t="s">
        <v>7969</v>
      </c>
      <c r="E649" s="7" t="s">
        <v>7970</v>
      </c>
      <c r="F649" s="7" t="s">
        <v>7971</v>
      </c>
      <c r="G649" s="7" t="s">
        <v>7972</v>
      </c>
      <c r="H649" s="7" t="s">
        <v>7973</v>
      </c>
      <c r="I649" s="119">
        <v>45292.0</v>
      </c>
      <c r="K649" s="7" t="s">
        <v>419</v>
      </c>
      <c r="L649" s="7" t="s">
        <v>991</v>
      </c>
      <c r="M649" s="7" t="s">
        <v>3531</v>
      </c>
      <c r="N649" s="7" t="s">
        <v>419</v>
      </c>
      <c r="O649" s="7" t="s">
        <v>19443</v>
      </c>
      <c r="P649" s="7" t="s">
        <v>1242</v>
      </c>
      <c r="Q649" s="7" t="s">
        <v>39</v>
      </c>
      <c r="R649" s="7" t="s">
        <v>19929</v>
      </c>
      <c r="S649" s="7" t="s">
        <v>19971</v>
      </c>
      <c r="T649" s="7" t="s">
        <v>7975</v>
      </c>
      <c r="U649" s="7" t="s">
        <v>3493</v>
      </c>
      <c r="V649" s="7">
        <v>1.0</v>
      </c>
    </row>
    <row r="650">
      <c r="A650" s="7" t="s">
        <v>20474</v>
      </c>
      <c r="B650" s="7">
        <v>2100093.0</v>
      </c>
      <c r="C650" s="7" t="s">
        <v>7977</v>
      </c>
      <c r="D650" s="7" t="s">
        <v>7978</v>
      </c>
      <c r="E650" s="7" t="s">
        <v>7979</v>
      </c>
      <c r="F650" s="7" t="s">
        <v>3691</v>
      </c>
      <c r="G650" s="7" t="s">
        <v>7980</v>
      </c>
      <c r="H650" s="7" t="s">
        <v>7981</v>
      </c>
      <c r="I650" s="119">
        <v>45292.0</v>
      </c>
      <c r="K650" s="7" t="s">
        <v>3632</v>
      </c>
      <c r="L650" s="7" t="s">
        <v>991</v>
      </c>
      <c r="M650" s="7" t="s">
        <v>3583</v>
      </c>
      <c r="N650" s="7" t="s">
        <v>3632</v>
      </c>
      <c r="O650" s="7" t="s">
        <v>3632</v>
      </c>
      <c r="P650" s="7" t="s">
        <v>625</v>
      </c>
      <c r="Q650" s="7" t="s">
        <v>626</v>
      </c>
      <c r="R650" s="7" t="s">
        <v>19672</v>
      </c>
      <c r="T650" s="7" t="s">
        <v>4191</v>
      </c>
      <c r="U650" s="7" t="s">
        <v>3493</v>
      </c>
      <c r="V650" s="7">
        <v>1.0</v>
      </c>
    </row>
    <row r="651">
      <c r="A651" s="7" t="s">
        <v>20475</v>
      </c>
      <c r="B651" s="7">
        <v>950.0</v>
      </c>
      <c r="C651" s="7" t="s">
        <v>7983</v>
      </c>
      <c r="D651" s="7" t="s">
        <v>7984</v>
      </c>
      <c r="E651" s="7" t="s">
        <v>7985</v>
      </c>
      <c r="F651" s="7" t="s">
        <v>4960</v>
      </c>
      <c r="G651" s="7" t="s">
        <v>7986</v>
      </c>
      <c r="H651" s="7" t="s">
        <v>7987</v>
      </c>
      <c r="I651" s="119">
        <v>45292.0</v>
      </c>
      <c r="K651" s="7" t="s">
        <v>419</v>
      </c>
      <c r="L651" s="7" t="s">
        <v>991</v>
      </c>
      <c r="M651" s="7" t="s">
        <v>3501</v>
      </c>
      <c r="N651" s="7" t="s">
        <v>419</v>
      </c>
      <c r="O651" s="7" t="s">
        <v>19430</v>
      </c>
      <c r="P651" s="7" t="s">
        <v>717</v>
      </c>
      <c r="Q651" s="7" t="s">
        <v>725</v>
      </c>
      <c r="R651" s="7" t="s">
        <v>19494</v>
      </c>
      <c r="T651" s="7" t="s">
        <v>20476</v>
      </c>
      <c r="U651" s="7" t="s">
        <v>3604</v>
      </c>
      <c r="V651" s="7">
        <v>1.0</v>
      </c>
    </row>
    <row r="652">
      <c r="A652" s="7" t="s">
        <v>20477</v>
      </c>
      <c r="B652" s="7">
        <v>589.0</v>
      </c>
      <c r="C652" s="7" t="s">
        <v>7991</v>
      </c>
      <c r="D652" s="7" t="s">
        <v>7992</v>
      </c>
      <c r="E652" s="7" t="s">
        <v>7993</v>
      </c>
      <c r="F652" s="7" t="s">
        <v>3508</v>
      </c>
      <c r="G652" s="7" t="s">
        <v>7994</v>
      </c>
      <c r="H652" s="7" t="s">
        <v>7995</v>
      </c>
      <c r="I652" s="119">
        <v>45292.0</v>
      </c>
      <c r="K652" s="7" t="s">
        <v>419</v>
      </c>
      <c r="L652" s="7" t="s">
        <v>991</v>
      </c>
      <c r="M652" s="7" t="s">
        <v>3501</v>
      </c>
      <c r="N652" s="7" t="s">
        <v>419</v>
      </c>
      <c r="O652" s="7" t="s">
        <v>19443</v>
      </c>
      <c r="P652" s="7" t="s">
        <v>1242</v>
      </c>
      <c r="Q652" s="7" t="s">
        <v>48</v>
      </c>
      <c r="R652" s="7" t="s">
        <v>20064</v>
      </c>
      <c r="T652" s="7" t="s">
        <v>5876</v>
      </c>
      <c r="U652" s="7" t="s">
        <v>3493</v>
      </c>
      <c r="V652" s="7">
        <v>1.0</v>
      </c>
    </row>
    <row r="653">
      <c r="A653" s="7" t="s">
        <v>20478</v>
      </c>
      <c r="B653" s="7">
        <v>2200007.0</v>
      </c>
      <c r="C653" s="7" t="s">
        <v>7997</v>
      </c>
      <c r="D653" s="7" t="s">
        <v>7998</v>
      </c>
      <c r="E653" s="7" t="s">
        <v>7999</v>
      </c>
      <c r="F653" s="7" t="s">
        <v>6202</v>
      </c>
      <c r="G653" s="7" t="s">
        <v>8000</v>
      </c>
      <c r="H653" s="7" t="s">
        <v>8001</v>
      </c>
      <c r="I653" s="119">
        <v>45292.0</v>
      </c>
      <c r="K653" s="7" t="s">
        <v>419</v>
      </c>
      <c r="L653" s="7" t="s">
        <v>991</v>
      </c>
      <c r="M653" s="7" t="s">
        <v>3501</v>
      </c>
      <c r="N653" s="7" t="s">
        <v>419</v>
      </c>
      <c r="O653" s="7" t="s">
        <v>19430</v>
      </c>
      <c r="P653" s="7" t="s">
        <v>780</v>
      </c>
      <c r="Q653" s="7" t="s">
        <v>284</v>
      </c>
      <c r="R653" s="7" t="s">
        <v>19932</v>
      </c>
      <c r="T653" s="7" t="s">
        <v>8002</v>
      </c>
      <c r="U653" s="7" t="s">
        <v>3493</v>
      </c>
      <c r="V653" s="7">
        <v>1.0</v>
      </c>
    </row>
    <row r="654">
      <c r="A654" s="7" t="s">
        <v>20479</v>
      </c>
      <c r="B654" s="7">
        <v>2200812.0</v>
      </c>
      <c r="C654" s="7" t="s">
        <v>8004</v>
      </c>
      <c r="D654" s="7" t="s">
        <v>8005</v>
      </c>
      <c r="E654" s="7" t="s">
        <v>8006</v>
      </c>
      <c r="F654" s="7" t="s">
        <v>8007</v>
      </c>
      <c r="G654" s="7" t="s">
        <v>8008</v>
      </c>
      <c r="H654" s="7" t="s">
        <v>8009</v>
      </c>
      <c r="I654" s="119">
        <v>45292.0</v>
      </c>
      <c r="K654" s="7" t="s">
        <v>3622</v>
      </c>
      <c r="L654" s="7" t="s">
        <v>991</v>
      </c>
      <c r="M654" s="7" t="s">
        <v>3501</v>
      </c>
      <c r="N654" s="7" t="s">
        <v>3622</v>
      </c>
      <c r="O654" s="7" t="s">
        <v>3622</v>
      </c>
      <c r="P654" s="7" t="s">
        <v>19521</v>
      </c>
      <c r="T654" s="7" t="s">
        <v>3624</v>
      </c>
      <c r="U654" s="7" t="s">
        <v>3493</v>
      </c>
      <c r="V654" s="7">
        <v>1.0</v>
      </c>
    </row>
    <row r="655">
      <c r="A655" s="7" t="s">
        <v>20480</v>
      </c>
      <c r="B655" s="7">
        <v>10435.0</v>
      </c>
      <c r="C655" s="7" t="s">
        <v>8011</v>
      </c>
      <c r="D655" s="7" t="s">
        <v>5772</v>
      </c>
      <c r="E655" s="7" t="s">
        <v>8012</v>
      </c>
      <c r="F655" s="7" t="s">
        <v>5107</v>
      </c>
      <c r="G655" s="7" t="s">
        <v>8013</v>
      </c>
      <c r="H655" s="7" t="s">
        <v>8014</v>
      </c>
      <c r="I655" s="119">
        <v>45292.0</v>
      </c>
      <c r="K655" s="7" t="s">
        <v>419</v>
      </c>
      <c r="L655" s="7" t="s">
        <v>991</v>
      </c>
      <c r="M655" s="7" t="s">
        <v>3501</v>
      </c>
      <c r="N655" s="7" t="s">
        <v>419</v>
      </c>
      <c r="O655" s="7" t="s">
        <v>19430</v>
      </c>
      <c r="P655" s="7" t="s">
        <v>717</v>
      </c>
      <c r="Q655" s="7" t="s">
        <v>1163</v>
      </c>
      <c r="R655" s="7" t="s">
        <v>19639</v>
      </c>
      <c r="S655" s="7" t="s">
        <v>19971</v>
      </c>
      <c r="T655" s="7" t="s">
        <v>8015</v>
      </c>
      <c r="U655" s="7" t="s">
        <v>3493</v>
      </c>
      <c r="V655" s="7">
        <v>1.0</v>
      </c>
    </row>
    <row r="656">
      <c r="A656" s="7" t="s">
        <v>20481</v>
      </c>
      <c r="B656" s="7">
        <v>12326.0</v>
      </c>
      <c r="C656" s="7" t="s">
        <v>8017</v>
      </c>
      <c r="D656" s="7" t="s">
        <v>8018</v>
      </c>
      <c r="E656" s="7" t="s">
        <v>8019</v>
      </c>
      <c r="F656" s="7" t="s">
        <v>4213</v>
      </c>
      <c r="G656" s="7" t="s">
        <v>8020</v>
      </c>
      <c r="H656" s="7" t="s">
        <v>8021</v>
      </c>
      <c r="I656" s="119">
        <v>45292.0</v>
      </c>
      <c r="K656" s="7" t="s">
        <v>419</v>
      </c>
      <c r="L656" s="7" t="s">
        <v>991</v>
      </c>
      <c r="M656" s="7" t="s">
        <v>3501</v>
      </c>
      <c r="N656" s="7" t="s">
        <v>419</v>
      </c>
      <c r="O656" s="7" t="s">
        <v>19430</v>
      </c>
      <c r="P656" s="7" t="s">
        <v>717</v>
      </c>
      <c r="Q656" s="7" t="s">
        <v>223</v>
      </c>
      <c r="R656" s="7" t="s">
        <v>19764</v>
      </c>
      <c r="S656" s="7" t="s">
        <v>20036</v>
      </c>
      <c r="T656" s="7" t="s">
        <v>5756</v>
      </c>
      <c r="U656" s="7" t="s">
        <v>3493</v>
      </c>
      <c r="V656" s="7">
        <v>1.0</v>
      </c>
    </row>
    <row r="657">
      <c r="A657" s="7" t="s">
        <v>20482</v>
      </c>
      <c r="B657" s="7">
        <v>2200218.0</v>
      </c>
      <c r="C657" s="7" t="s">
        <v>8017</v>
      </c>
      <c r="D657" s="7" t="s">
        <v>8023</v>
      </c>
      <c r="E657" s="7" t="s">
        <v>8019</v>
      </c>
      <c r="F657" s="7" t="s">
        <v>8024</v>
      </c>
      <c r="G657" s="7" t="s">
        <v>8025</v>
      </c>
      <c r="H657" s="7" t="s">
        <v>8026</v>
      </c>
      <c r="I657" s="119">
        <v>45292.0</v>
      </c>
      <c r="K657" s="7" t="s">
        <v>419</v>
      </c>
      <c r="L657" s="7" t="s">
        <v>991</v>
      </c>
      <c r="M657" s="7" t="s">
        <v>3501</v>
      </c>
      <c r="N657" s="7" t="s">
        <v>419</v>
      </c>
      <c r="O657" s="7" t="s">
        <v>19443</v>
      </c>
      <c r="P657" s="7" t="s">
        <v>1242</v>
      </c>
      <c r="Q657" s="7" t="s">
        <v>51</v>
      </c>
      <c r="R657" s="7" t="s">
        <v>19563</v>
      </c>
      <c r="S657" s="7" t="s">
        <v>19953</v>
      </c>
      <c r="T657" s="7" t="s">
        <v>5373</v>
      </c>
      <c r="U657" s="7" t="s">
        <v>3493</v>
      </c>
      <c r="V657" s="7">
        <v>1.0</v>
      </c>
    </row>
    <row r="658">
      <c r="A658" s="7" t="s">
        <v>20483</v>
      </c>
      <c r="B658" s="7">
        <v>12575.0</v>
      </c>
      <c r="C658" s="7" t="s">
        <v>8028</v>
      </c>
      <c r="D658" s="7" t="s">
        <v>8029</v>
      </c>
      <c r="E658" s="7" t="s">
        <v>8030</v>
      </c>
      <c r="F658" s="7" t="s">
        <v>4929</v>
      </c>
      <c r="G658" s="7" t="s">
        <v>8031</v>
      </c>
      <c r="H658" s="7" t="s">
        <v>8032</v>
      </c>
      <c r="I658" s="119">
        <v>45292.0</v>
      </c>
      <c r="K658" s="7" t="s">
        <v>419</v>
      </c>
      <c r="L658" s="7" t="s">
        <v>991</v>
      </c>
      <c r="M658" s="7" t="s">
        <v>3490</v>
      </c>
      <c r="N658" s="7" t="s">
        <v>419</v>
      </c>
      <c r="O658" s="7" t="s">
        <v>19440</v>
      </c>
      <c r="P658" s="7" t="s">
        <v>3</v>
      </c>
      <c r="Q658" s="7" t="s">
        <v>9</v>
      </c>
      <c r="R658" s="7" t="s">
        <v>20413</v>
      </c>
      <c r="S658" s="7" t="s">
        <v>19519</v>
      </c>
      <c r="T658" s="7" t="s">
        <v>7663</v>
      </c>
      <c r="U658" s="7" t="s">
        <v>3493</v>
      </c>
      <c r="V658" s="7">
        <v>1.0</v>
      </c>
    </row>
    <row r="659">
      <c r="A659" s="7" t="s">
        <v>20484</v>
      </c>
      <c r="B659" s="7">
        <v>2300161.0</v>
      </c>
      <c r="C659" s="7" t="s">
        <v>8034</v>
      </c>
      <c r="D659" s="7" t="s">
        <v>8035</v>
      </c>
      <c r="E659" s="7" t="s">
        <v>8030</v>
      </c>
      <c r="F659" s="7" t="s">
        <v>8036</v>
      </c>
      <c r="G659" s="7" t="s">
        <v>8037</v>
      </c>
      <c r="H659" s="7" t="s">
        <v>8038</v>
      </c>
      <c r="I659" s="119">
        <v>45292.0</v>
      </c>
      <c r="K659" s="7" t="s">
        <v>419</v>
      </c>
      <c r="L659" s="7" t="s">
        <v>991</v>
      </c>
      <c r="M659" s="7" t="s">
        <v>3501</v>
      </c>
      <c r="N659" s="7" t="s">
        <v>419</v>
      </c>
      <c r="O659" s="7" t="s">
        <v>19430</v>
      </c>
      <c r="P659" s="7" t="s">
        <v>854</v>
      </c>
      <c r="Q659" s="7" t="s">
        <v>173</v>
      </c>
      <c r="R659" s="7" t="s">
        <v>20485</v>
      </c>
      <c r="S659" s="7" t="s">
        <v>19749</v>
      </c>
      <c r="T659" s="7" t="s">
        <v>8040</v>
      </c>
      <c r="U659" s="7" t="s">
        <v>3493</v>
      </c>
      <c r="V659" s="7">
        <v>1.0</v>
      </c>
    </row>
    <row r="660">
      <c r="A660" s="7" t="s">
        <v>1577</v>
      </c>
      <c r="B660" s="7">
        <v>2200185.0</v>
      </c>
      <c r="C660" s="7" t="s">
        <v>8041</v>
      </c>
      <c r="D660" s="7" t="s">
        <v>7014</v>
      </c>
      <c r="E660" s="7" t="s">
        <v>8030</v>
      </c>
      <c r="F660" s="7" t="s">
        <v>7014</v>
      </c>
      <c r="G660" s="7" t="s">
        <v>8042</v>
      </c>
      <c r="H660" s="7" t="s">
        <v>8043</v>
      </c>
      <c r="I660" s="119">
        <v>45292.0</v>
      </c>
      <c r="K660" s="7" t="s">
        <v>419</v>
      </c>
      <c r="L660" s="7" t="s">
        <v>991</v>
      </c>
      <c r="M660" s="7" t="s">
        <v>3501</v>
      </c>
      <c r="N660" s="7" t="s">
        <v>419</v>
      </c>
      <c r="O660" s="7" t="s">
        <v>19430</v>
      </c>
      <c r="P660" s="7" t="s">
        <v>717</v>
      </c>
      <c r="Q660" s="7" t="s">
        <v>1163</v>
      </c>
      <c r="R660" s="7" t="s">
        <v>20486</v>
      </c>
      <c r="T660" s="7" t="s">
        <v>9112</v>
      </c>
      <c r="U660" s="7" t="s">
        <v>3493</v>
      </c>
      <c r="V660" s="7">
        <v>1.0</v>
      </c>
    </row>
    <row r="661">
      <c r="A661" s="7" t="s">
        <v>20487</v>
      </c>
      <c r="B661" s="7">
        <v>2300455.0</v>
      </c>
      <c r="C661" s="7" t="s">
        <v>8041</v>
      </c>
      <c r="D661" s="7" t="s">
        <v>8047</v>
      </c>
      <c r="E661" s="7" t="s">
        <v>8030</v>
      </c>
      <c r="F661" s="7" t="s">
        <v>8048</v>
      </c>
      <c r="G661" s="7" t="s">
        <v>8049</v>
      </c>
      <c r="H661" s="7" t="s">
        <v>8050</v>
      </c>
      <c r="I661" s="119">
        <v>45292.0</v>
      </c>
      <c r="K661" s="7" t="s">
        <v>419</v>
      </c>
      <c r="L661" s="7" t="s">
        <v>991</v>
      </c>
      <c r="M661" s="7" t="s">
        <v>3531</v>
      </c>
      <c r="N661" s="7" t="s">
        <v>419</v>
      </c>
      <c r="O661" s="7" t="s">
        <v>19430</v>
      </c>
      <c r="P661" s="7" t="s">
        <v>717</v>
      </c>
      <c r="Q661" s="7" t="s">
        <v>1163</v>
      </c>
      <c r="R661" s="7" t="s">
        <v>19546</v>
      </c>
      <c r="S661" s="7" t="s">
        <v>19547</v>
      </c>
      <c r="T661" s="7" t="s">
        <v>3743</v>
      </c>
      <c r="U661" s="7" t="s">
        <v>3493</v>
      </c>
      <c r="V661" s="7">
        <v>1.0</v>
      </c>
    </row>
    <row r="662">
      <c r="A662" s="7" t="s">
        <v>20488</v>
      </c>
      <c r="B662" s="7">
        <v>2200570.0</v>
      </c>
      <c r="C662" s="7" t="s">
        <v>8041</v>
      </c>
      <c r="D662" s="7" t="s">
        <v>4982</v>
      </c>
      <c r="E662" s="7" t="s">
        <v>8030</v>
      </c>
      <c r="F662" s="7" t="s">
        <v>4984</v>
      </c>
      <c r="G662" s="7" t="s">
        <v>8052</v>
      </c>
      <c r="H662" s="7" t="s">
        <v>8053</v>
      </c>
      <c r="I662" s="119">
        <v>45292.0</v>
      </c>
      <c r="K662" s="7" t="s">
        <v>419</v>
      </c>
      <c r="L662" s="7" t="s">
        <v>991</v>
      </c>
      <c r="M662" s="7" t="s">
        <v>3583</v>
      </c>
      <c r="N662" s="7" t="s">
        <v>419</v>
      </c>
      <c r="O662" s="7" t="s">
        <v>19430</v>
      </c>
      <c r="P662" s="7" t="s">
        <v>717</v>
      </c>
      <c r="Q662" s="7" t="s">
        <v>722</v>
      </c>
      <c r="R662" s="7" t="s">
        <v>19703</v>
      </c>
      <c r="S662" s="7" t="s">
        <v>19704</v>
      </c>
      <c r="T662" s="7" t="s">
        <v>4311</v>
      </c>
      <c r="U662" s="7" t="s">
        <v>3493</v>
      </c>
      <c r="V662" s="7">
        <v>1.0</v>
      </c>
    </row>
    <row r="663">
      <c r="A663" s="7" t="s">
        <v>20489</v>
      </c>
      <c r="B663" s="7">
        <v>12532.0</v>
      </c>
      <c r="C663" s="7" t="s">
        <v>8055</v>
      </c>
      <c r="D663" s="7" t="s">
        <v>8056</v>
      </c>
      <c r="E663" s="7" t="s">
        <v>8057</v>
      </c>
      <c r="F663" s="7" t="s">
        <v>8058</v>
      </c>
      <c r="G663" s="7" t="s">
        <v>8059</v>
      </c>
      <c r="H663" s="7" t="s">
        <v>8060</v>
      </c>
      <c r="I663" s="119">
        <v>45292.0</v>
      </c>
      <c r="K663" s="7" t="s">
        <v>419</v>
      </c>
      <c r="L663" s="7" t="s">
        <v>991</v>
      </c>
      <c r="M663" s="7" t="s">
        <v>3501</v>
      </c>
      <c r="N663" s="7" t="s">
        <v>419</v>
      </c>
      <c r="O663" s="7" t="s">
        <v>19440</v>
      </c>
      <c r="P663" s="7" t="s">
        <v>3</v>
      </c>
      <c r="Q663" s="7" t="s">
        <v>9</v>
      </c>
      <c r="R663" s="7" t="s">
        <v>20413</v>
      </c>
      <c r="S663" s="7" t="s">
        <v>19519</v>
      </c>
      <c r="T663" s="7" t="s">
        <v>7663</v>
      </c>
      <c r="U663" s="7" t="s">
        <v>3843</v>
      </c>
      <c r="V663" s="7">
        <v>1.0</v>
      </c>
    </row>
    <row r="664">
      <c r="A664" s="7" t="s">
        <v>20490</v>
      </c>
      <c r="B664" s="7">
        <v>2200282.0</v>
      </c>
      <c r="C664" s="7" t="s">
        <v>8062</v>
      </c>
      <c r="D664" s="7" t="s">
        <v>4672</v>
      </c>
      <c r="E664" s="7" t="s">
        <v>8063</v>
      </c>
      <c r="F664" s="7" t="s">
        <v>4673</v>
      </c>
      <c r="G664" s="7" t="s">
        <v>8064</v>
      </c>
      <c r="H664" s="7" t="s">
        <v>8065</v>
      </c>
      <c r="I664" s="119">
        <v>45292.0</v>
      </c>
      <c r="K664" s="7" t="s">
        <v>419</v>
      </c>
      <c r="L664" s="7" t="s">
        <v>991</v>
      </c>
      <c r="M664" s="7" t="s">
        <v>3531</v>
      </c>
      <c r="N664" s="7" t="s">
        <v>419</v>
      </c>
      <c r="O664" s="7" t="s">
        <v>19432</v>
      </c>
      <c r="P664" s="7" t="s">
        <v>391</v>
      </c>
      <c r="Q664" s="7" t="s">
        <v>399</v>
      </c>
      <c r="R664" s="7" t="s">
        <v>20194</v>
      </c>
      <c r="T664" s="7" t="s">
        <v>6534</v>
      </c>
      <c r="U664" s="7" t="s">
        <v>3493</v>
      </c>
      <c r="V664" s="7">
        <v>1.0</v>
      </c>
    </row>
    <row r="665">
      <c r="A665" s="7" t="s">
        <v>20491</v>
      </c>
      <c r="B665" s="7">
        <v>11972.0</v>
      </c>
      <c r="C665" s="7" t="s">
        <v>8067</v>
      </c>
      <c r="D665" s="7" t="s">
        <v>8068</v>
      </c>
      <c r="E665" s="7" t="s">
        <v>8069</v>
      </c>
      <c r="F665" s="7" t="s">
        <v>5264</v>
      </c>
      <c r="G665" s="7" t="s">
        <v>8070</v>
      </c>
      <c r="H665" s="7" t="s">
        <v>8071</v>
      </c>
      <c r="I665" s="119">
        <v>45292.0</v>
      </c>
      <c r="K665" s="7" t="s">
        <v>3489</v>
      </c>
      <c r="L665" s="7" t="s">
        <v>991</v>
      </c>
      <c r="M665" s="7" t="s">
        <v>3490</v>
      </c>
      <c r="N665" s="7" t="s">
        <v>3489</v>
      </c>
      <c r="O665" s="7" t="s">
        <v>3489</v>
      </c>
      <c r="P665" s="7" t="s">
        <v>19491</v>
      </c>
      <c r="Q665" s="7" t="s">
        <v>169</v>
      </c>
      <c r="R665" s="7" t="s">
        <v>19492</v>
      </c>
      <c r="T665" s="7" t="s">
        <v>3492</v>
      </c>
      <c r="U665" s="7" t="s">
        <v>3493</v>
      </c>
      <c r="V665" s="7">
        <v>1.0</v>
      </c>
    </row>
    <row r="666">
      <c r="A666" s="7" t="s">
        <v>20492</v>
      </c>
      <c r="B666" s="7">
        <v>13240.0</v>
      </c>
      <c r="C666" s="7" t="s">
        <v>8072</v>
      </c>
      <c r="D666" s="7" t="s">
        <v>8073</v>
      </c>
      <c r="E666" s="7" t="s">
        <v>8074</v>
      </c>
      <c r="F666" s="7" t="s">
        <v>4221</v>
      </c>
      <c r="G666" s="7" t="s">
        <v>8075</v>
      </c>
      <c r="H666" s="7" t="s">
        <v>8076</v>
      </c>
      <c r="I666" s="119">
        <v>45292.0</v>
      </c>
      <c r="K666" s="7" t="s">
        <v>419</v>
      </c>
      <c r="L666" s="7" t="s">
        <v>991</v>
      </c>
      <c r="M666" s="7" t="s">
        <v>3501</v>
      </c>
      <c r="N666" s="7" t="s">
        <v>419</v>
      </c>
      <c r="O666" s="7" t="s">
        <v>19430</v>
      </c>
      <c r="P666" s="7" t="s">
        <v>717</v>
      </c>
      <c r="Q666" s="7" t="s">
        <v>720</v>
      </c>
      <c r="T666" s="7" t="s">
        <v>10486</v>
      </c>
      <c r="U666" s="7" t="s">
        <v>3493</v>
      </c>
      <c r="V666" s="7">
        <v>1.0</v>
      </c>
    </row>
    <row r="667">
      <c r="A667" s="7" t="s">
        <v>20493</v>
      </c>
      <c r="B667" s="7">
        <v>11769.0</v>
      </c>
      <c r="C667" s="7" t="s">
        <v>8082</v>
      </c>
      <c r="D667" s="7" t="s">
        <v>5987</v>
      </c>
      <c r="E667" s="7" t="s">
        <v>8074</v>
      </c>
      <c r="F667" s="7" t="s">
        <v>5987</v>
      </c>
      <c r="G667" s="7" t="s">
        <v>8083</v>
      </c>
      <c r="H667" s="7" t="s">
        <v>8084</v>
      </c>
      <c r="I667" s="119">
        <v>45292.0</v>
      </c>
      <c r="K667" s="7" t="s">
        <v>419</v>
      </c>
      <c r="L667" s="7" t="s">
        <v>991</v>
      </c>
      <c r="M667" s="7" t="s">
        <v>3501</v>
      </c>
      <c r="N667" s="7" t="s">
        <v>419</v>
      </c>
      <c r="O667" s="7" t="s">
        <v>19432</v>
      </c>
      <c r="P667" s="7" t="s">
        <v>391</v>
      </c>
      <c r="Q667" s="7" t="s">
        <v>392</v>
      </c>
      <c r="R667" s="7" t="s">
        <v>20176</v>
      </c>
      <c r="T667" s="7" t="s">
        <v>6420</v>
      </c>
      <c r="U667" s="7" t="s">
        <v>3493</v>
      </c>
      <c r="V667" s="7">
        <v>1.0</v>
      </c>
    </row>
    <row r="668">
      <c r="A668" s="7" t="s">
        <v>20494</v>
      </c>
      <c r="B668" s="7">
        <v>10012.0</v>
      </c>
      <c r="C668" s="7" t="s">
        <v>8089</v>
      </c>
      <c r="D668" s="7" t="s">
        <v>8090</v>
      </c>
      <c r="E668" s="7" t="s">
        <v>8074</v>
      </c>
      <c r="F668" s="7" t="s">
        <v>5229</v>
      </c>
      <c r="G668" s="7" t="s">
        <v>8091</v>
      </c>
      <c r="H668" s="7" t="s">
        <v>8092</v>
      </c>
      <c r="I668" s="119">
        <v>45292.0</v>
      </c>
      <c r="K668" s="7" t="s">
        <v>419</v>
      </c>
      <c r="L668" s="7" t="s">
        <v>991</v>
      </c>
      <c r="M668" s="7" t="s">
        <v>3501</v>
      </c>
      <c r="N668" s="7" t="s">
        <v>419</v>
      </c>
      <c r="O668" s="7" t="s">
        <v>19437</v>
      </c>
      <c r="P668" s="7" t="s">
        <v>478</v>
      </c>
      <c r="Q668" s="7" t="s">
        <v>487</v>
      </c>
      <c r="R668" s="7" t="s">
        <v>19499</v>
      </c>
      <c r="T668" s="7" t="s">
        <v>8093</v>
      </c>
      <c r="U668" s="7" t="s">
        <v>3493</v>
      </c>
      <c r="V668" s="7">
        <v>1.0</v>
      </c>
    </row>
    <row r="669">
      <c r="A669" s="7" t="s">
        <v>20495</v>
      </c>
      <c r="B669" s="7">
        <v>2300240.0</v>
      </c>
      <c r="C669" s="7" t="s">
        <v>8072</v>
      </c>
      <c r="D669" s="7" t="s">
        <v>8095</v>
      </c>
      <c r="E669" s="7" t="s">
        <v>8074</v>
      </c>
      <c r="F669" s="7" t="s">
        <v>6335</v>
      </c>
      <c r="G669" s="7" t="s">
        <v>8096</v>
      </c>
      <c r="H669" s="7" t="s">
        <v>8097</v>
      </c>
      <c r="I669" s="119">
        <v>45292.0</v>
      </c>
      <c r="K669" s="7" t="s">
        <v>3489</v>
      </c>
      <c r="L669" s="7" t="s">
        <v>991</v>
      </c>
      <c r="M669" s="7" t="s">
        <v>3490</v>
      </c>
      <c r="N669" s="7" t="s">
        <v>3489</v>
      </c>
      <c r="O669" s="7" t="s">
        <v>3489</v>
      </c>
      <c r="P669" s="7" t="s">
        <v>19491</v>
      </c>
      <c r="Q669" s="7" t="s">
        <v>169</v>
      </c>
      <c r="R669" s="7" t="s">
        <v>19492</v>
      </c>
      <c r="T669" s="7" t="s">
        <v>3492</v>
      </c>
      <c r="U669" s="7" t="s">
        <v>3493</v>
      </c>
      <c r="V669" s="7">
        <v>1.0</v>
      </c>
    </row>
    <row r="670">
      <c r="A670" s="7" t="s">
        <v>20496</v>
      </c>
      <c r="B670" s="7">
        <v>2300267.0</v>
      </c>
      <c r="C670" s="7" t="s">
        <v>8089</v>
      </c>
      <c r="D670" s="7" t="s">
        <v>8099</v>
      </c>
      <c r="E670" s="7" t="s">
        <v>8074</v>
      </c>
      <c r="F670" s="7" t="s">
        <v>6231</v>
      </c>
      <c r="G670" s="7" t="s">
        <v>8100</v>
      </c>
      <c r="H670" s="7" t="s">
        <v>8101</v>
      </c>
      <c r="I670" s="119">
        <v>45292.0</v>
      </c>
      <c r="K670" s="7" t="s">
        <v>419</v>
      </c>
      <c r="L670" s="7" t="s">
        <v>991</v>
      </c>
      <c r="M670" s="7" t="s">
        <v>3583</v>
      </c>
      <c r="N670" s="7" t="s">
        <v>419</v>
      </c>
      <c r="O670" s="7" t="s">
        <v>19430</v>
      </c>
      <c r="P670" s="7" t="s">
        <v>717</v>
      </c>
      <c r="Q670" s="7" t="s">
        <v>1163</v>
      </c>
      <c r="R670" s="7" t="s">
        <v>19546</v>
      </c>
      <c r="S670" s="7" t="s">
        <v>20497</v>
      </c>
      <c r="T670" s="7" t="s">
        <v>8103</v>
      </c>
      <c r="U670" s="7" t="s">
        <v>3493</v>
      </c>
      <c r="V670" s="7">
        <v>1.0</v>
      </c>
    </row>
    <row r="671">
      <c r="A671" s="7" t="s">
        <v>20498</v>
      </c>
      <c r="B671" s="7">
        <v>10705.0</v>
      </c>
      <c r="C671" s="7" t="s">
        <v>8072</v>
      </c>
      <c r="D671" s="7" t="s">
        <v>8105</v>
      </c>
      <c r="E671" s="7" t="s">
        <v>8074</v>
      </c>
      <c r="F671" s="7" t="s">
        <v>7066</v>
      </c>
      <c r="G671" s="7" t="s">
        <v>8106</v>
      </c>
      <c r="H671" s="7" t="s">
        <v>8107</v>
      </c>
      <c r="I671" s="119">
        <v>45292.0</v>
      </c>
      <c r="K671" s="7" t="s">
        <v>419</v>
      </c>
      <c r="L671" s="7" t="s">
        <v>991</v>
      </c>
      <c r="M671" s="7" t="s">
        <v>3501</v>
      </c>
      <c r="N671" s="7" t="s">
        <v>419</v>
      </c>
      <c r="O671" s="7" t="s">
        <v>19443</v>
      </c>
      <c r="P671" s="7" t="s">
        <v>1242</v>
      </c>
      <c r="Q671" s="7" t="s">
        <v>51</v>
      </c>
      <c r="R671" s="7" t="s">
        <v>19510</v>
      </c>
      <c r="S671" s="7" t="s">
        <v>19511</v>
      </c>
      <c r="T671" s="7" t="s">
        <v>3585</v>
      </c>
      <c r="U671" s="7" t="s">
        <v>3843</v>
      </c>
      <c r="V671" s="7">
        <v>1.0</v>
      </c>
    </row>
    <row r="672">
      <c r="A672" s="7" t="s">
        <v>20499</v>
      </c>
      <c r="B672" s="7">
        <v>2100489.0</v>
      </c>
      <c r="C672" s="7" t="s">
        <v>8072</v>
      </c>
      <c r="D672" s="7" t="s">
        <v>6851</v>
      </c>
      <c r="E672" s="7" t="s">
        <v>8074</v>
      </c>
      <c r="F672" s="7" t="s">
        <v>4677</v>
      </c>
      <c r="G672" s="7" t="s">
        <v>8109</v>
      </c>
      <c r="H672" s="7" t="s">
        <v>8110</v>
      </c>
      <c r="I672" s="119">
        <v>45292.0</v>
      </c>
      <c r="K672" s="7" t="s">
        <v>419</v>
      </c>
      <c r="L672" s="7" t="s">
        <v>991</v>
      </c>
      <c r="M672" s="7" t="s">
        <v>3501</v>
      </c>
      <c r="N672" s="7" t="s">
        <v>419</v>
      </c>
      <c r="O672" s="7" t="s">
        <v>19433</v>
      </c>
      <c r="P672" s="7" t="s">
        <v>648</v>
      </c>
      <c r="Q672" s="7" t="s">
        <v>143</v>
      </c>
      <c r="R672" s="7" t="s">
        <v>20500</v>
      </c>
      <c r="T672" s="7" t="s">
        <v>10303</v>
      </c>
      <c r="U672" s="7" t="s">
        <v>3493</v>
      </c>
      <c r="V672" s="7">
        <v>1.0</v>
      </c>
    </row>
    <row r="673">
      <c r="A673" s="7" t="s">
        <v>20501</v>
      </c>
      <c r="B673" s="7">
        <v>2200326.0</v>
      </c>
      <c r="C673" s="7" t="s">
        <v>8072</v>
      </c>
      <c r="D673" s="7" t="s">
        <v>3526</v>
      </c>
      <c r="E673" s="7" t="s">
        <v>8074</v>
      </c>
      <c r="F673" s="7" t="s">
        <v>3528</v>
      </c>
      <c r="G673" s="7" t="s">
        <v>8114</v>
      </c>
      <c r="H673" s="7" t="s">
        <v>8115</v>
      </c>
      <c r="I673" s="119">
        <v>45292.0</v>
      </c>
      <c r="K673" s="7" t="s">
        <v>419</v>
      </c>
      <c r="L673" s="7" t="s">
        <v>991</v>
      </c>
      <c r="M673" s="7" t="s">
        <v>3531</v>
      </c>
      <c r="N673" s="7" t="s">
        <v>419</v>
      </c>
      <c r="O673" s="7" t="s">
        <v>19443</v>
      </c>
      <c r="P673" s="7" t="s">
        <v>323</v>
      </c>
      <c r="Q673" s="7" t="s">
        <v>824</v>
      </c>
      <c r="R673" s="7" t="s">
        <v>19570</v>
      </c>
      <c r="T673" s="7" t="s">
        <v>8116</v>
      </c>
      <c r="U673" s="7" t="s">
        <v>3493</v>
      </c>
      <c r="V673" s="7">
        <v>1.0</v>
      </c>
    </row>
    <row r="674">
      <c r="A674" s="7" t="s">
        <v>20502</v>
      </c>
      <c r="B674" s="7">
        <v>11796.0</v>
      </c>
      <c r="C674" s="7" t="s">
        <v>8072</v>
      </c>
      <c r="D674" s="7" t="s">
        <v>8118</v>
      </c>
      <c r="E674" s="7" t="s">
        <v>8074</v>
      </c>
      <c r="F674" s="7" t="s">
        <v>8119</v>
      </c>
      <c r="G674" s="7" t="s">
        <v>8120</v>
      </c>
      <c r="H674" s="7" t="s">
        <v>8121</v>
      </c>
      <c r="I674" s="119">
        <v>45292.0</v>
      </c>
      <c r="K674" s="7" t="s">
        <v>419</v>
      </c>
      <c r="L674" s="7" t="s">
        <v>991</v>
      </c>
      <c r="M674" s="7" t="s">
        <v>3501</v>
      </c>
      <c r="N674" s="7" t="s">
        <v>419</v>
      </c>
      <c r="O674" s="7" t="s">
        <v>19432</v>
      </c>
      <c r="P674" s="7" t="s">
        <v>298</v>
      </c>
      <c r="Q674" s="7" t="s">
        <v>802</v>
      </c>
      <c r="R674" s="7" t="s">
        <v>19555</v>
      </c>
      <c r="T674" s="7" t="s">
        <v>3778</v>
      </c>
      <c r="U674" s="7" t="s">
        <v>3493</v>
      </c>
      <c r="V674" s="7">
        <v>1.0</v>
      </c>
    </row>
    <row r="675">
      <c r="A675" s="7" t="s">
        <v>20503</v>
      </c>
      <c r="B675" s="7">
        <v>2300524.0</v>
      </c>
      <c r="C675" s="7" t="s">
        <v>8089</v>
      </c>
      <c r="D675" s="7" t="s">
        <v>8123</v>
      </c>
      <c r="E675" s="7" t="s">
        <v>8074</v>
      </c>
      <c r="F675" s="7" t="s">
        <v>5074</v>
      </c>
      <c r="G675" s="7" t="s">
        <v>8124</v>
      </c>
      <c r="H675" s="7" t="s">
        <v>8125</v>
      </c>
      <c r="I675" s="119">
        <v>45292.0</v>
      </c>
      <c r="K675" s="7" t="s">
        <v>419</v>
      </c>
      <c r="L675" s="7" t="s">
        <v>991</v>
      </c>
      <c r="M675" s="7" t="s">
        <v>3531</v>
      </c>
      <c r="N675" s="7" t="s">
        <v>419</v>
      </c>
      <c r="O675" s="7" t="s">
        <v>19432</v>
      </c>
      <c r="P675" s="7" t="s">
        <v>298</v>
      </c>
      <c r="Q675" s="7" t="s">
        <v>304</v>
      </c>
      <c r="T675" s="7" t="s">
        <v>7374</v>
      </c>
      <c r="U675" s="7" t="s">
        <v>3493</v>
      </c>
      <c r="V675" s="7">
        <v>1.0</v>
      </c>
    </row>
    <row r="676">
      <c r="A676" s="7" t="s">
        <v>20504</v>
      </c>
      <c r="B676" s="7">
        <v>2400011.0</v>
      </c>
      <c r="C676" s="7" t="s">
        <v>8127</v>
      </c>
      <c r="D676" s="7" t="s">
        <v>8128</v>
      </c>
      <c r="E676" s="7" t="s">
        <v>8074</v>
      </c>
      <c r="F676" s="7" t="s">
        <v>8129</v>
      </c>
      <c r="G676" s="7" t="s">
        <v>8130</v>
      </c>
      <c r="H676" s="7" t="s">
        <v>8131</v>
      </c>
      <c r="I676" s="119">
        <v>45292.0</v>
      </c>
      <c r="K676" s="7" t="s">
        <v>419</v>
      </c>
      <c r="L676" s="7" t="s">
        <v>991</v>
      </c>
      <c r="M676" s="7" t="s">
        <v>3583</v>
      </c>
      <c r="N676" s="7" t="s">
        <v>419</v>
      </c>
      <c r="O676" s="7" t="s">
        <v>19437</v>
      </c>
      <c r="P676" s="7" t="s">
        <v>478</v>
      </c>
      <c r="Q676" s="7" t="s">
        <v>491</v>
      </c>
      <c r="R676" s="7" t="s">
        <v>20505</v>
      </c>
      <c r="T676" s="7" t="s">
        <v>20506</v>
      </c>
      <c r="U676" s="7" t="s">
        <v>3493</v>
      </c>
      <c r="V676" s="7">
        <v>1.0</v>
      </c>
    </row>
    <row r="677">
      <c r="A677" s="7" t="s">
        <v>20507</v>
      </c>
      <c r="B677" s="7">
        <v>11363.0</v>
      </c>
      <c r="C677" s="7" t="s">
        <v>8089</v>
      </c>
      <c r="D677" s="7" t="s">
        <v>8136</v>
      </c>
      <c r="E677" s="7" t="s">
        <v>8074</v>
      </c>
      <c r="F677" s="7" t="s">
        <v>8137</v>
      </c>
      <c r="G677" s="7" t="s">
        <v>8138</v>
      </c>
      <c r="H677" s="7" t="s">
        <v>8139</v>
      </c>
      <c r="I677" s="119">
        <v>45292.0</v>
      </c>
      <c r="K677" s="7" t="s">
        <v>419</v>
      </c>
      <c r="L677" s="7" t="s">
        <v>991</v>
      </c>
      <c r="M677" s="7" t="s">
        <v>3501</v>
      </c>
      <c r="N677" s="7" t="s">
        <v>419</v>
      </c>
      <c r="O677" s="7" t="s">
        <v>19430</v>
      </c>
      <c r="P677" s="7" t="s">
        <v>717</v>
      </c>
      <c r="Q677" s="7" t="s">
        <v>1163</v>
      </c>
      <c r="R677" s="7" t="s">
        <v>19608</v>
      </c>
      <c r="S677" s="7" t="s">
        <v>20124</v>
      </c>
      <c r="T677" s="7" t="s">
        <v>6142</v>
      </c>
      <c r="U677" s="7" t="s">
        <v>3843</v>
      </c>
      <c r="V677" s="7">
        <v>1.0</v>
      </c>
    </row>
    <row r="678">
      <c r="A678" s="7" t="s">
        <v>20508</v>
      </c>
      <c r="B678" s="7">
        <v>14212.0</v>
      </c>
      <c r="C678" s="7" t="s">
        <v>8082</v>
      </c>
      <c r="D678" s="7" t="s">
        <v>8141</v>
      </c>
      <c r="E678" s="7" t="s">
        <v>8074</v>
      </c>
      <c r="F678" s="7" t="s">
        <v>8142</v>
      </c>
      <c r="G678" s="7" t="s">
        <v>8143</v>
      </c>
      <c r="H678" s="7" t="s">
        <v>8144</v>
      </c>
      <c r="I678" s="119">
        <v>45292.0</v>
      </c>
      <c r="K678" s="7" t="s">
        <v>419</v>
      </c>
      <c r="L678" s="7" t="s">
        <v>991</v>
      </c>
      <c r="M678" s="7" t="s">
        <v>3501</v>
      </c>
      <c r="N678" s="7" t="s">
        <v>419</v>
      </c>
      <c r="O678" s="7" t="s">
        <v>19433</v>
      </c>
      <c r="P678" s="7" t="s">
        <v>648</v>
      </c>
      <c r="Q678" s="7" t="s">
        <v>148</v>
      </c>
      <c r="R678" s="7" t="s">
        <v>19501</v>
      </c>
      <c r="T678" s="7" t="s">
        <v>4445</v>
      </c>
      <c r="U678" s="7" t="s">
        <v>3493</v>
      </c>
      <c r="V678" s="7">
        <v>1.0</v>
      </c>
    </row>
    <row r="679">
      <c r="A679" s="7" t="s">
        <v>20509</v>
      </c>
      <c r="B679" s="7">
        <v>2100194.0</v>
      </c>
      <c r="C679" s="7" t="s">
        <v>8072</v>
      </c>
      <c r="D679" s="7" t="s">
        <v>8146</v>
      </c>
      <c r="E679" s="7" t="s">
        <v>8074</v>
      </c>
      <c r="F679" s="7" t="s">
        <v>3656</v>
      </c>
      <c r="G679" s="7" t="s">
        <v>8147</v>
      </c>
      <c r="H679" s="7" t="s">
        <v>8148</v>
      </c>
      <c r="I679" s="119">
        <v>45292.0</v>
      </c>
      <c r="K679" s="7" t="s">
        <v>419</v>
      </c>
      <c r="L679" s="7" t="s">
        <v>991</v>
      </c>
      <c r="M679" s="7" t="s">
        <v>3501</v>
      </c>
      <c r="N679" s="7" t="s">
        <v>419</v>
      </c>
      <c r="O679" s="7" t="s">
        <v>19438</v>
      </c>
      <c r="P679" s="7" t="s">
        <v>19475</v>
      </c>
      <c r="Q679" s="7" t="s">
        <v>188</v>
      </c>
      <c r="R679" s="7" t="s">
        <v>19955</v>
      </c>
      <c r="T679" s="7" t="s">
        <v>5380</v>
      </c>
      <c r="U679" s="7" t="s">
        <v>3493</v>
      </c>
      <c r="V679" s="7">
        <v>1.0</v>
      </c>
    </row>
    <row r="680">
      <c r="A680" s="7" t="s">
        <v>20510</v>
      </c>
      <c r="B680" s="7">
        <v>2100126.0</v>
      </c>
      <c r="C680" s="7" t="s">
        <v>8150</v>
      </c>
      <c r="D680" s="7" t="s">
        <v>8151</v>
      </c>
      <c r="E680" s="7" t="s">
        <v>8152</v>
      </c>
      <c r="F680" s="7" t="s">
        <v>8058</v>
      </c>
      <c r="G680" s="7" t="s">
        <v>8153</v>
      </c>
      <c r="H680" s="7" t="s">
        <v>8154</v>
      </c>
      <c r="I680" s="119">
        <v>45292.0</v>
      </c>
      <c r="K680" s="7" t="s">
        <v>8155</v>
      </c>
      <c r="L680" s="7" t="s">
        <v>8156</v>
      </c>
      <c r="M680" s="7" t="s">
        <v>8157</v>
      </c>
      <c r="N680" s="7" t="s">
        <v>419</v>
      </c>
      <c r="O680" s="7" t="s">
        <v>19433</v>
      </c>
      <c r="P680" s="7" t="s">
        <v>587</v>
      </c>
      <c r="Q680" s="7" t="s">
        <v>74</v>
      </c>
      <c r="R680" s="7" t="s">
        <v>19721</v>
      </c>
      <c r="T680" s="7" t="s">
        <v>10691</v>
      </c>
      <c r="U680" s="7" t="s">
        <v>3604</v>
      </c>
      <c r="V680" s="7">
        <v>1.0</v>
      </c>
    </row>
    <row r="681">
      <c r="A681" s="7" t="s">
        <v>1486</v>
      </c>
      <c r="B681" s="7">
        <v>1108.0</v>
      </c>
      <c r="C681" s="7" t="s">
        <v>8161</v>
      </c>
      <c r="D681" s="7" t="s">
        <v>6909</v>
      </c>
      <c r="E681" s="7" t="s">
        <v>8162</v>
      </c>
      <c r="F681" s="7" t="s">
        <v>6911</v>
      </c>
      <c r="G681" s="7" t="s">
        <v>8163</v>
      </c>
      <c r="H681" s="7" t="s">
        <v>8164</v>
      </c>
      <c r="I681" s="119">
        <v>45292.0</v>
      </c>
      <c r="K681" s="7" t="s">
        <v>419</v>
      </c>
      <c r="L681" s="7" t="s">
        <v>991</v>
      </c>
      <c r="M681" s="7" t="s">
        <v>3501</v>
      </c>
      <c r="N681" s="7" t="s">
        <v>419</v>
      </c>
      <c r="O681" s="7" t="s">
        <v>19432</v>
      </c>
      <c r="P681" s="7" t="s">
        <v>298</v>
      </c>
      <c r="Q681" s="7" t="s">
        <v>304</v>
      </c>
      <c r="R681" s="7" t="s">
        <v>20334</v>
      </c>
      <c r="T681" s="7" t="s">
        <v>8166</v>
      </c>
      <c r="U681" s="7" t="s">
        <v>3604</v>
      </c>
      <c r="V681" s="7">
        <v>1.0</v>
      </c>
    </row>
    <row r="682">
      <c r="A682" s="7" t="s">
        <v>20511</v>
      </c>
      <c r="B682" s="7">
        <v>2300018.0</v>
      </c>
      <c r="C682" s="7" t="s">
        <v>8168</v>
      </c>
      <c r="D682" s="7" t="s">
        <v>8169</v>
      </c>
      <c r="E682" s="7" t="s">
        <v>8170</v>
      </c>
      <c r="F682" s="7" t="s">
        <v>3691</v>
      </c>
      <c r="G682" s="7" t="s">
        <v>8171</v>
      </c>
      <c r="H682" s="7" t="s">
        <v>8172</v>
      </c>
      <c r="I682" s="119">
        <v>45292.0</v>
      </c>
      <c r="K682" s="7" t="s">
        <v>419</v>
      </c>
      <c r="L682" s="7" t="s">
        <v>991</v>
      </c>
      <c r="M682" s="7" t="s">
        <v>3501</v>
      </c>
      <c r="N682" s="7" t="s">
        <v>419</v>
      </c>
      <c r="O682" s="7" t="s">
        <v>19430</v>
      </c>
      <c r="P682" s="7" t="s">
        <v>717</v>
      </c>
      <c r="Q682" s="7" t="s">
        <v>223</v>
      </c>
      <c r="R682" s="7" t="s">
        <v>19764</v>
      </c>
      <c r="S682" s="7" t="s">
        <v>20036</v>
      </c>
      <c r="T682" s="7" t="s">
        <v>5756</v>
      </c>
      <c r="U682" s="7" t="s">
        <v>3493</v>
      </c>
      <c r="V682" s="7">
        <v>1.0</v>
      </c>
    </row>
    <row r="683">
      <c r="A683" s="7" t="s">
        <v>20512</v>
      </c>
      <c r="B683" s="7">
        <v>10509.0</v>
      </c>
      <c r="C683" s="7" t="s">
        <v>8174</v>
      </c>
      <c r="D683" s="7" t="s">
        <v>8175</v>
      </c>
      <c r="E683" s="7" t="s">
        <v>8170</v>
      </c>
      <c r="F683" s="7" t="s">
        <v>3691</v>
      </c>
      <c r="G683" s="7" t="s">
        <v>8176</v>
      </c>
      <c r="H683" s="7" t="s">
        <v>8177</v>
      </c>
      <c r="I683" s="119">
        <v>45292.0</v>
      </c>
      <c r="K683" s="7" t="s">
        <v>419</v>
      </c>
      <c r="L683" s="7" t="s">
        <v>991</v>
      </c>
      <c r="M683" s="7" t="s">
        <v>3501</v>
      </c>
      <c r="N683" s="7" t="s">
        <v>419</v>
      </c>
      <c r="O683" s="7" t="s">
        <v>19437</v>
      </c>
      <c r="P683" s="7" t="s">
        <v>478</v>
      </c>
      <c r="Q683" s="7" t="s">
        <v>484</v>
      </c>
      <c r="R683" s="7" t="s">
        <v>20513</v>
      </c>
      <c r="S683" s="7" t="s">
        <v>20514</v>
      </c>
      <c r="T683" s="7" t="s">
        <v>8179</v>
      </c>
      <c r="U683" s="7" t="s">
        <v>3493</v>
      </c>
      <c r="V683" s="7">
        <v>1.0</v>
      </c>
    </row>
    <row r="684">
      <c r="A684" s="7" t="s">
        <v>20515</v>
      </c>
      <c r="B684" s="7">
        <v>2200845.0</v>
      </c>
      <c r="C684" s="7" t="s">
        <v>8181</v>
      </c>
      <c r="D684" s="7" t="s">
        <v>8182</v>
      </c>
      <c r="E684" s="7" t="s">
        <v>8170</v>
      </c>
      <c r="F684" s="7" t="s">
        <v>8183</v>
      </c>
      <c r="G684" s="7" t="s">
        <v>8184</v>
      </c>
      <c r="I684" s="119">
        <v>45292.0</v>
      </c>
      <c r="K684" s="7" t="s">
        <v>419</v>
      </c>
      <c r="L684" s="7" t="s">
        <v>991</v>
      </c>
      <c r="M684" s="7" t="s">
        <v>3531</v>
      </c>
      <c r="N684" s="7" t="s">
        <v>419</v>
      </c>
      <c r="O684" s="7" t="s">
        <v>19430</v>
      </c>
      <c r="P684" s="7" t="s">
        <v>854</v>
      </c>
      <c r="Q684" s="7" t="s">
        <v>859</v>
      </c>
      <c r="T684" s="7" t="s">
        <v>3821</v>
      </c>
      <c r="U684" s="7" t="s">
        <v>3493</v>
      </c>
      <c r="V684" s="7">
        <v>1.0</v>
      </c>
    </row>
    <row r="685">
      <c r="A685" s="7" t="s">
        <v>20516</v>
      </c>
      <c r="B685" s="7">
        <v>2300762.0</v>
      </c>
      <c r="C685" s="7" t="s">
        <v>8174</v>
      </c>
      <c r="D685" s="7" t="s">
        <v>8186</v>
      </c>
      <c r="E685" s="7" t="s">
        <v>8170</v>
      </c>
      <c r="F685" s="7" t="s">
        <v>3874</v>
      </c>
      <c r="G685" s="7" t="s">
        <v>8187</v>
      </c>
      <c r="H685" s="7" t="s">
        <v>8188</v>
      </c>
      <c r="I685" s="119">
        <v>45292.0</v>
      </c>
      <c r="K685" s="7" t="s">
        <v>419</v>
      </c>
      <c r="L685" s="7" t="s">
        <v>991</v>
      </c>
      <c r="M685" s="7" t="s">
        <v>3531</v>
      </c>
      <c r="N685" s="7" t="s">
        <v>419</v>
      </c>
      <c r="O685" s="7" t="s">
        <v>19430</v>
      </c>
      <c r="P685" s="7" t="s">
        <v>717</v>
      </c>
      <c r="Q685" s="7" t="s">
        <v>730</v>
      </c>
      <c r="R685" s="7" t="s">
        <v>20097</v>
      </c>
      <c r="S685" s="7" t="s">
        <v>20098</v>
      </c>
      <c r="T685" s="7" t="s">
        <v>6028</v>
      </c>
      <c r="U685" s="7" t="s">
        <v>3493</v>
      </c>
      <c r="V685" s="7">
        <v>1.0</v>
      </c>
    </row>
    <row r="686">
      <c r="A686" s="7" t="s">
        <v>20517</v>
      </c>
      <c r="B686" s="7">
        <v>11504.0</v>
      </c>
      <c r="C686" s="7" t="s">
        <v>8168</v>
      </c>
      <c r="D686" s="7" t="s">
        <v>4260</v>
      </c>
      <c r="E686" s="7" t="s">
        <v>8170</v>
      </c>
      <c r="F686" s="7" t="s">
        <v>4262</v>
      </c>
      <c r="G686" s="7" t="s">
        <v>8190</v>
      </c>
      <c r="H686" s="7" t="s">
        <v>8191</v>
      </c>
      <c r="I686" s="119">
        <v>45292.0</v>
      </c>
      <c r="K686" s="7" t="s">
        <v>419</v>
      </c>
      <c r="L686" s="7" t="s">
        <v>991</v>
      </c>
      <c r="M686" s="7" t="s">
        <v>3501</v>
      </c>
      <c r="N686" s="7" t="s">
        <v>419</v>
      </c>
      <c r="O686" s="7" t="s">
        <v>19430</v>
      </c>
      <c r="P686" s="7" t="s">
        <v>717</v>
      </c>
      <c r="Q686" s="7" t="s">
        <v>223</v>
      </c>
      <c r="R686" s="7" t="s">
        <v>19764</v>
      </c>
      <c r="S686" s="7" t="s">
        <v>19765</v>
      </c>
      <c r="T686" s="7" t="s">
        <v>4565</v>
      </c>
      <c r="U686" s="7" t="s">
        <v>3493</v>
      </c>
      <c r="V686" s="7">
        <v>1.0</v>
      </c>
    </row>
    <row r="687">
      <c r="A687" s="7" t="s">
        <v>20518</v>
      </c>
      <c r="B687" s="7">
        <v>8249.0</v>
      </c>
      <c r="C687" s="7" t="s">
        <v>8168</v>
      </c>
      <c r="D687" s="7" t="s">
        <v>8193</v>
      </c>
      <c r="E687" s="7" t="s">
        <v>8170</v>
      </c>
      <c r="F687" s="7" t="s">
        <v>8194</v>
      </c>
      <c r="G687" s="7" t="s">
        <v>8195</v>
      </c>
      <c r="H687" s="7" t="s">
        <v>8196</v>
      </c>
      <c r="I687" s="119">
        <v>45292.0</v>
      </c>
      <c r="K687" s="7" t="s">
        <v>419</v>
      </c>
      <c r="L687" s="7" t="s">
        <v>991</v>
      </c>
      <c r="M687" s="7" t="s">
        <v>3531</v>
      </c>
      <c r="N687" s="7" t="s">
        <v>419</v>
      </c>
      <c r="O687" s="7" t="s">
        <v>19430</v>
      </c>
      <c r="P687" s="7" t="s">
        <v>717</v>
      </c>
      <c r="Q687" s="7" t="s">
        <v>720</v>
      </c>
      <c r="R687" s="7" t="s">
        <v>19542</v>
      </c>
      <c r="T687" s="7" t="s">
        <v>3725</v>
      </c>
      <c r="U687" s="7" t="s">
        <v>3493</v>
      </c>
      <c r="V687" s="7">
        <v>1.0</v>
      </c>
    </row>
    <row r="688">
      <c r="A688" s="7" t="s">
        <v>20519</v>
      </c>
      <c r="B688" s="7">
        <v>2200442.0</v>
      </c>
      <c r="C688" s="7" t="s">
        <v>8168</v>
      </c>
      <c r="D688" s="7" t="s">
        <v>8198</v>
      </c>
      <c r="E688" s="7" t="s">
        <v>8170</v>
      </c>
      <c r="F688" s="7" t="s">
        <v>8199</v>
      </c>
      <c r="G688" s="7" t="s">
        <v>8200</v>
      </c>
      <c r="H688" s="7" t="s">
        <v>8201</v>
      </c>
      <c r="I688" s="119">
        <v>45292.0</v>
      </c>
      <c r="K688" s="7" t="s">
        <v>419</v>
      </c>
      <c r="L688" s="7" t="s">
        <v>991</v>
      </c>
      <c r="M688" s="7" t="s">
        <v>3501</v>
      </c>
      <c r="N688" s="7" t="s">
        <v>419</v>
      </c>
      <c r="O688" s="7" t="s">
        <v>19443</v>
      </c>
      <c r="P688" s="7" t="s">
        <v>323</v>
      </c>
      <c r="Q688" s="7" t="s">
        <v>819</v>
      </c>
      <c r="R688" s="7" t="s">
        <v>19716</v>
      </c>
      <c r="S688" s="7" t="s">
        <v>20258</v>
      </c>
      <c r="T688" s="7" t="s">
        <v>16125</v>
      </c>
      <c r="U688" s="7" t="s">
        <v>3493</v>
      </c>
      <c r="V688" s="7">
        <v>1.0</v>
      </c>
    </row>
    <row r="689">
      <c r="A689" s="7" t="s">
        <v>20520</v>
      </c>
      <c r="B689" s="7">
        <v>1160.0</v>
      </c>
      <c r="C689" s="7" t="s">
        <v>8174</v>
      </c>
      <c r="D689" s="7" t="s">
        <v>8202</v>
      </c>
      <c r="E689" s="7" t="s">
        <v>8170</v>
      </c>
      <c r="F689" s="7" t="s">
        <v>4314</v>
      </c>
      <c r="G689" s="7" t="s">
        <v>8203</v>
      </c>
      <c r="H689" s="7" t="s">
        <v>8204</v>
      </c>
      <c r="I689" s="119">
        <v>45292.0</v>
      </c>
      <c r="K689" s="7" t="s">
        <v>419</v>
      </c>
      <c r="L689" s="7" t="s">
        <v>991</v>
      </c>
      <c r="M689" s="7" t="s">
        <v>3501</v>
      </c>
      <c r="N689" s="7" t="s">
        <v>419</v>
      </c>
      <c r="O689" s="7" t="s">
        <v>19437</v>
      </c>
      <c r="P689" s="7" t="s">
        <v>478</v>
      </c>
      <c r="Q689" s="7" t="s">
        <v>484</v>
      </c>
      <c r="R689" s="7" t="s">
        <v>19624</v>
      </c>
      <c r="T689" s="7" t="s">
        <v>7835</v>
      </c>
      <c r="U689" s="7" t="s">
        <v>3604</v>
      </c>
      <c r="V689" s="7">
        <v>1.0</v>
      </c>
    </row>
    <row r="690">
      <c r="A690" s="7" t="s">
        <v>20521</v>
      </c>
      <c r="B690" s="7">
        <v>10878.0</v>
      </c>
      <c r="C690" s="7" t="s">
        <v>8168</v>
      </c>
      <c r="D690" s="7" t="s">
        <v>8207</v>
      </c>
      <c r="E690" s="7" t="s">
        <v>8170</v>
      </c>
      <c r="F690" s="7" t="s">
        <v>8208</v>
      </c>
      <c r="G690" s="7" t="s">
        <v>8209</v>
      </c>
      <c r="H690" s="7" t="s">
        <v>8210</v>
      </c>
      <c r="I690" s="119">
        <v>45292.0</v>
      </c>
      <c r="K690" s="7" t="s">
        <v>419</v>
      </c>
      <c r="L690" s="7" t="s">
        <v>991</v>
      </c>
      <c r="M690" s="7" t="s">
        <v>3501</v>
      </c>
      <c r="N690" s="7" t="s">
        <v>419</v>
      </c>
      <c r="O690" s="7" t="s">
        <v>19432</v>
      </c>
      <c r="P690" s="7" t="s">
        <v>391</v>
      </c>
      <c r="Q690" s="7" t="s">
        <v>399</v>
      </c>
      <c r="T690" s="7" t="s">
        <v>8211</v>
      </c>
      <c r="U690" s="7" t="s">
        <v>3493</v>
      </c>
      <c r="V690" s="7">
        <v>1.0</v>
      </c>
    </row>
    <row r="691">
      <c r="A691" s="7" t="s">
        <v>20522</v>
      </c>
      <c r="B691" s="7">
        <v>2100450.0</v>
      </c>
      <c r="C691" s="7" t="s">
        <v>8213</v>
      </c>
      <c r="D691" s="7" t="s">
        <v>8214</v>
      </c>
      <c r="E691" s="7" t="s">
        <v>8215</v>
      </c>
      <c r="F691" s="7" t="s">
        <v>8216</v>
      </c>
      <c r="G691" s="7" t="s">
        <v>8217</v>
      </c>
      <c r="H691" s="7" t="s">
        <v>8218</v>
      </c>
      <c r="I691" s="119">
        <v>45292.0</v>
      </c>
      <c r="K691" s="7" t="s">
        <v>419</v>
      </c>
      <c r="L691" s="7" t="s">
        <v>991</v>
      </c>
      <c r="M691" s="7" t="s">
        <v>3501</v>
      </c>
      <c r="N691" s="7" t="s">
        <v>419</v>
      </c>
      <c r="O691" s="7" t="s">
        <v>19430</v>
      </c>
      <c r="P691" s="7" t="s">
        <v>854</v>
      </c>
      <c r="Q691" s="7" t="s">
        <v>859</v>
      </c>
      <c r="R691" s="7" t="s">
        <v>20523</v>
      </c>
      <c r="S691" s="7" t="s">
        <v>20524</v>
      </c>
      <c r="T691" s="7" t="s">
        <v>11830</v>
      </c>
      <c r="U691" s="7" t="s">
        <v>3843</v>
      </c>
      <c r="V691" s="7">
        <v>1.0</v>
      </c>
    </row>
    <row r="692">
      <c r="A692" s="7" t="s">
        <v>20525</v>
      </c>
      <c r="B692" s="7">
        <v>12000.0</v>
      </c>
      <c r="C692" s="7" t="s">
        <v>8223</v>
      </c>
      <c r="D692" s="7" t="s">
        <v>8224</v>
      </c>
      <c r="E692" s="7" t="s">
        <v>8225</v>
      </c>
      <c r="F692" s="7" t="s">
        <v>8226</v>
      </c>
      <c r="G692" s="7" t="s">
        <v>8227</v>
      </c>
      <c r="H692" s="7" t="s">
        <v>8228</v>
      </c>
      <c r="I692" s="119">
        <v>45292.0</v>
      </c>
      <c r="K692" s="7" t="s">
        <v>419</v>
      </c>
      <c r="L692" s="7" t="s">
        <v>991</v>
      </c>
      <c r="M692" s="7" t="s">
        <v>3501</v>
      </c>
      <c r="N692" s="7" t="s">
        <v>419</v>
      </c>
      <c r="O692" s="7" t="s">
        <v>19437</v>
      </c>
      <c r="P692" s="7" t="s">
        <v>478</v>
      </c>
      <c r="Q692" s="7" t="s">
        <v>482</v>
      </c>
      <c r="R692" s="7" t="s">
        <v>20526</v>
      </c>
      <c r="T692" s="7" t="s">
        <v>20527</v>
      </c>
      <c r="U692" s="7" t="s">
        <v>3604</v>
      </c>
      <c r="V692" s="7">
        <v>1.0</v>
      </c>
    </row>
    <row r="693">
      <c r="A693" s="7" t="s">
        <v>19444</v>
      </c>
      <c r="B693" s="7">
        <v>2300799.0</v>
      </c>
      <c r="C693" s="7" t="s">
        <v>8223</v>
      </c>
      <c r="D693" s="7" t="s">
        <v>8232</v>
      </c>
      <c r="E693" s="7" t="s">
        <v>8225</v>
      </c>
      <c r="F693" s="7" t="s">
        <v>8233</v>
      </c>
      <c r="G693" s="7" t="s">
        <v>8234</v>
      </c>
      <c r="H693" s="7" t="s">
        <v>8235</v>
      </c>
      <c r="I693" s="119">
        <v>45292.0</v>
      </c>
      <c r="K693" s="7" t="s">
        <v>3632</v>
      </c>
      <c r="L693" s="7" t="s">
        <v>991</v>
      </c>
      <c r="M693" s="7" t="s">
        <v>3501</v>
      </c>
      <c r="N693" s="7" t="s">
        <v>3632</v>
      </c>
      <c r="O693" s="7" t="s">
        <v>3632</v>
      </c>
      <c r="P693" s="7" t="s">
        <v>22</v>
      </c>
      <c r="Q693" s="7" t="s">
        <v>552</v>
      </c>
      <c r="T693" s="7" t="s">
        <v>16888</v>
      </c>
      <c r="U693" s="7" t="s">
        <v>5585</v>
      </c>
      <c r="V693" s="7">
        <v>1.0</v>
      </c>
    </row>
    <row r="694">
      <c r="A694" s="7" t="s">
        <v>20528</v>
      </c>
      <c r="B694" s="7">
        <v>14146.0</v>
      </c>
      <c r="C694" s="7" t="s">
        <v>8223</v>
      </c>
      <c r="D694" s="7" t="s">
        <v>8237</v>
      </c>
      <c r="E694" s="7" t="s">
        <v>8225</v>
      </c>
      <c r="F694" s="7" t="s">
        <v>3714</v>
      </c>
      <c r="G694" s="7" t="s">
        <v>8238</v>
      </c>
      <c r="H694" s="7" t="s">
        <v>8239</v>
      </c>
      <c r="I694" s="119">
        <v>45292.0</v>
      </c>
      <c r="K694" s="7" t="s">
        <v>419</v>
      </c>
      <c r="L694" s="7" t="s">
        <v>991</v>
      </c>
      <c r="M694" s="7" t="s">
        <v>3501</v>
      </c>
      <c r="N694" s="7" t="s">
        <v>419</v>
      </c>
      <c r="O694" s="7" t="s">
        <v>19433</v>
      </c>
      <c r="P694" s="7" t="s">
        <v>587</v>
      </c>
      <c r="Q694" s="7" t="s">
        <v>72</v>
      </c>
      <c r="R694" s="7" t="s">
        <v>19677</v>
      </c>
      <c r="S694" s="7" t="s">
        <v>20071</v>
      </c>
      <c r="T694" s="7" t="s">
        <v>8240</v>
      </c>
      <c r="U694" s="7" t="s">
        <v>3493</v>
      </c>
      <c r="V694" s="7">
        <v>1.0</v>
      </c>
    </row>
    <row r="695">
      <c r="A695" s="7" t="s">
        <v>20529</v>
      </c>
      <c r="B695" s="7">
        <v>13646.0</v>
      </c>
      <c r="C695" s="7" t="s">
        <v>8223</v>
      </c>
      <c r="D695" s="7" t="s">
        <v>8242</v>
      </c>
      <c r="E695" s="7" t="s">
        <v>8225</v>
      </c>
      <c r="F695" s="7" t="s">
        <v>8243</v>
      </c>
      <c r="G695" s="7" t="s">
        <v>8244</v>
      </c>
      <c r="H695" s="7" t="s">
        <v>8245</v>
      </c>
      <c r="I695" s="119">
        <v>45292.0</v>
      </c>
      <c r="K695" s="7" t="s">
        <v>3632</v>
      </c>
      <c r="L695" s="7" t="s">
        <v>991</v>
      </c>
      <c r="M695" s="7" t="s">
        <v>3501</v>
      </c>
      <c r="N695" s="7" t="s">
        <v>3632</v>
      </c>
      <c r="O695" s="7" t="s">
        <v>3632</v>
      </c>
      <c r="P695" s="7" t="s">
        <v>625</v>
      </c>
      <c r="Q695" s="7" t="s">
        <v>626</v>
      </c>
      <c r="R695" s="7" t="s">
        <v>19672</v>
      </c>
      <c r="T695" s="7" t="s">
        <v>4191</v>
      </c>
      <c r="U695" s="7" t="s">
        <v>3493</v>
      </c>
      <c r="V695" s="7">
        <v>1.0</v>
      </c>
    </row>
    <row r="696">
      <c r="A696" s="7" t="s">
        <v>20530</v>
      </c>
      <c r="B696" s="7">
        <v>14191.0</v>
      </c>
      <c r="C696" s="7" t="s">
        <v>8247</v>
      </c>
      <c r="D696" s="7" t="s">
        <v>8248</v>
      </c>
      <c r="E696" s="7" t="s">
        <v>8249</v>
      </c>
      <c r="F696" s="7" t="s">
        <v>5569</v>
      </c>
      <c r="G696" s="7" t="s">
        <v>8250</v>
      </c>
      <c r="H696" s="7" t="s">
        <v>8251</v>
      </c>
      <c r="I696" s="119">
        <v>45292.0</v>
      </c>
      <c r="K696" s="7" t="s">
        <v>419</v>
      </c>
      <c r="L696" s="7" t="s">
        <v>991</v>
      </c>
      <c r="M696" s="7" t="s">
        <v>3501</v>
      </c>
      <c r="N696" s="7" t="s">
        <v>419</v>
      </c>
      <c r="O696" s="7" t="s">
        <v>19432</v>
      </c>
      <c r="P696" s="7" t="s">
        <v>391</v>
      </c>
      <c r="Q696" s="7" t="s">
        <v>399</v>
      </c>
      <c r="R696" s="7" t="s">
        <v>20343</v>
      </c>
      <c r="T696" s="7" t="s">
        <v>7379</v>
      </c>
      <c r="U696" s="7" t="s">
        <v>3493</v>
      </c>
      <c r="V696" s="7">
        <v>1.0</v>
      </c>
    </row>
    <row r="697">
      <c r="A697" s="7" t="s">
        <v>20531</v>
      </c>
      <c r="B697" s="7">
        <v>2100693.0</v>
      </c>
      <c r="C697" s="7" t="s">
        <v>8253</v>
      </c>
      <c r="D697" s="7" t="s">
        <v>8254</v>
      </c>
      <c r="E697" s="7" t="s">
        <v>8255</v>
      </c>
      <c r="F697" s="7" t="s">
        <v>8256</v>
      </c>
      <c r="G697" s="7" t="s">
        <v>8257</v>
      </c>
      <c r="H697" s="7" t="s">
        <v>8258</v>
      </c>
      <c r="I697" s="119">
        <v>45292.0</v>
      </c>
      <c r="K697" s="7" t="s">
        <v>419</v>
      </c>
      <c r="L697" s="7" t="s">
        <v>991</v>
      </c>
      <c r="M697" s="7" t="s">
        <v>3531</v>
      </c>
      <c r="N697" s="7" t="s">
        <v>419</v>
      </c>
      <c r="O697" s="7" t="s">
        <v>19432</v>
      </c>
      <c r="P697" s="7" t="s">
        <v>391</v>
      </c>
      <c r="Q697" s="7" t="s">
        <v>399</v>
      </c>
      <c r="R697" s="7" t="s">
        <v>20194</v>
      </c>
      <c r="T697" s="7" t="s">
        <v>6534</v>
      </c>
      <c r="U697" s="7" t="s">
        <v>3493</v>
      </c>
      <c r="V697" s="7">
        <v>1.0</v>
      </c>
    </row>
    <row r="698">
      <c r="A698" s="7" t="s">
        <v>20532</v>
      </c>
      <c r="B698" s="7">
        <v>2300202.0</v>
      </c>
      <c r="C698" s="7" t="s">
        <v>8253</v>
      </c>
      <c r="D698" s="7" t="s">
        <v>8260</v>
      </c>
      <c r="E698" s="7" t="s">
        <v>8255</v>
      </c>
      <c r="F698" s="7" t="s">
        <v>8261</v>
      </c>
      <c r="G698" s="7" t="s">
        <v>8262</v>
      </c>
      <c r="H698" s="7" t="s">
        <v>8263</v>
      </c>
      <c r="I698" s="119">
        <v>45292.0</v>
      </c>
      <c r="K698" s="7" t="s">
        <v>419</v>
      </c>
      <c r="L698" s="7" t="s">
        <v>991</v>
      </c>
      <c r="M698" s="7" t="s">
        <v>3501</v>
      </c>
      <c r="N698" s="7" t="s">
        <v>419</v>
      </c>
      <c r="O698" s="7" t="s">
        <v>19433</v>
      </c>
      <c r="P698" s="7" t="s">
        <v>648</v>
      </c>
      <c r="Q698" s="7" t="s">
        <v>143</v>
      </c>
      <c r="R698" s="7" t="s">
        <v>19723</v>
      </c>
      <c r="S698" s="7" t="s">
        <v>19749</v>
      </c>
      <c r="T698" s="7" t="s">
        <v>8265</v>
      </c>
      <c r="U698" s="7" t="s">
        <v>3493</v>
      </c>
      <c r="V698" s="7">
        <v>1.0</v>
      </c>
    </row>
    <row r="699">
      <c r="A699" s="7" t="s">
        <v>1947</v>
      </c>
      <c r="B699" s="7">
        <v>2200608.0</v>
      </c>
      <c r="C699" s="7" t="s">
        <v>8253</v>
      </c>
      <c r="D699" s="7" t="s">
        <v>8266</v>
      </c>
      <c r="E699" s="7" t="s">
        <v>8255</v>
      </c>
      <c r="F699" s="7" t="s">
        <v>8267</v>
      </c>
      <c r="G699" s="7" t="s">
        <v>8268</v>
      </c>
      <c r="H699" s="7" t="s">
        <v>8269</v>
      </c>
      <c r="I699" s="119">
        <v>45292.0</v>
      </c>
      <c r="K699" s="7" t="s">
        <v>6124</v>
      </c>
      <c r="L699" s="7" t="s">
        <v>3542</v>
      </c>
      <c r="M699" s="7" t="s">
        <v>3563</v>
      </c>
      <c r="N699" s="7" t="s">
        <v>419</v>
      </c>
      <c r="O699" s="7" t="s">
        <v>19437</v>
      </c>
      <c r="P699" s="7" t="s">
        <v>478</v>
      </c>
      <c r="Q699" s="7" t="s">
        <v>484</v>
      </c>
      <c r="T699" s="7" t="s">
        <v>13410</v>
      </c>
      <c r="U699" s="7" t="s">
        <v>5585</v>
      </c>
      <c r="V699" s="7">
        <v>1.0</v>
      </c>
    </row>
    <row r="700">
      <c r="A700" s="7" t="s">
        <v>20533</v>
      </c>
      <c r="B700" s="7">
        <v>13987.0</v>
      </c>
      <c r="C700" s="7" t="s">
        <v>8275</v>
      </c>
      <c r="D700" s="7" t="s">
        <v>8276</v>
      </c>
      <c r="E700" s="7" t="s">
        <v>8277</v>
      </c>
      <c r="F700" s="7" t="s">
        <v>8278</v>
      </c>
      <c r="G700" s="7" t="s">
        <v>8279</v>
      </c>
      <c r="H700" s="7" t="s">
        <v>8280</v>
      </c>
      <c r="I700" s="119">
        <v>45292.0</v>
      </c>
      <c r="K700" s="7" t="s">
        <v>419</v>
      </c>
      <c r="L700" s="7" t="s">
        <v>991</v>
      </c>
      <c r="M700" s="7" t="s">
        <v>3501</v>
      </c>
      <c r="N700" s="7" t="s">
        <v>419</v>
      </c>
      <c r="O700" s="7" t="s">
        <v>19437</v>
      </c>
      <c r="P700" s="7" t="s">
        <v>478</v>
      </c>
      <c r="Q700" s="7" t="s">
        <v>487</v>
      </c>
      <c r="R700" s="7" t="s">
        <v>20534</v>
      </c>
      <c r="T700" s="7" t="s">
        <v>8282</v>
      </c>
      <c r="U700" s="7" t="s">
        <v>3604</v>
      </c>
      <c r="V700" s="7">
        <v>1.0</v>
      </c>
    </row>
    <row r="701">
      <c r="A701" s="7" t="s">
        <v>20535</v>
      </c>
      <c r="B701" s="7">
        <v>11416.0</v>
      </c>
      <c r="C701" s="7" t="s">
        <v>8284</v>
      </c>
      <c r="D701" s="7" t="s">
        <v>4421</v>
      </c>
      <c r="E701" s="7" t="s">
        <v>8285</v>
      </c>
      <c r="F701" s="7" t="s">
        <v>4423</v>
      </c>
      <c r="G701" s="7" t="s">
        <v>8286</v>
      </c>
      <c r="H701" s="7" t="s">
        <v>8287</v>
      </c>
      <c r="I701" s="119">
        <v>45292.0</v>
      </c>
      <c r="K701" s="7" t="s">
        <v>419</v>
      </c>
      <c r="L701" s="7" t="s">
        <v>991</v>
      </c>
      <c r="M701" s="7" t="s">
        <v>3501</v>
      </c>
      <c r="N701" s="7" t="s">
        <v>419</v>
      </c>
      <c r="O701" s="7" t="s">
        <v>19437</v>
      </c>
      <c r="P701" s="7" t="s">
        <v>603</v>
      </c>
      <c r="Q701" s="7" t="s">
        <v>90</v>
      </c>
      <c r="R701" s="7" t="s">
        <v>19690</v>
      </c>
      <c r="S701" s="7" t="s">
        <v>19691</v>
      </c>
      <c r="T701" s="7" t="s">
        <v>4266</v>
      </c>
      <c r="U701" s="7" t="s">
        <v>3493</v>
      </c>
      <c r="V701" s="7">
        <v>1.0</v>
      </c>
    </row>
    <row r="702">
      <c r="A702" s="7" t="s">
        <v>20536</v>
      </c>
      <c r="B702" s="7">
        <v>11365.0</v>
      </c>
      <c r="C702" s="7" t="s">
        <v>8284</v>
      </c>
      <c r="D702" s="7" t="s">
        <v>8289</v>
      </c>
      <c r="E702" s="7" t="s">
        <v>8285</v>
      </c>
      <c r="F702" s="7" t="s">
        <v>3498</v>
      </c>
      <c r="G702" s="7" t="s">
        <v>8290</v>
      </c>
      <c r="H702" s="7" t="s">
        <v>8291</v>
      </c>
      <c r="I702" s="119">
        <v>45292.0</v>
      </c>
      <c r="K702" s="7" t="s">
        <v>419</v>
      </c>
      <c r="L702" s="7" t="s">
        <v>991</v>
      </c>
      <c r="M702" s="7" t="s">
        <v>3501</v>
      </c>
      <c r="N702" s="7" t="s">
        <v>419</v>
      </c>
      <c r="O702" s="7" t="s">
        <v>19430</v>
      </c>
      <c r="P702" s="7" t="s">
        <v>717</v>
      </c>
      <c r="Q702" s="7" t="s">
        <v>720</v>
      </c>
      <c r="R702" s="7" t="s">
        <v>19626</v>
      </c>
      <c r="S702" s="7" t="s">
        <v>19627</v>
      </c>
      <c r="T702" s="7" t="s">
        <v>4029</v>
      </c>
      <c r="U702" s="7" t="s">
        <v>3843</v>
      </c>
      <c r="V702" s="7">
        <v>1.0</v>
      </c>
    </row>
    <row r="703">
      <c r="A703" s="7" t="s">
        <v>20537</v>
      </c>
      <c r="B703" s="7">
        <v>13671.0</v>
      </c>
      <c r="C703" s="7" t="s">
        <v>8284</v>
      </c>
      <c r="D703" s="7" t="s">
        <v>8293</v>
      </c>
      <c r="E703" s="7" t="s">
        <v>8285</v>
      </c>
      <c r="F703" s="7" t="s">
        <v>8294</v>
      </c>
      <c r="G703" s="7" t="s">
        <v>8295</v>
      </c>
      <c r="H703" s="7" t="s">
        <v>8296</v>
      </c>
      <c r="I703" s="119">
        <v>45292.0</v>
      </c>
      <c r="K703" s="7" t="s">
        <v>3632</v>
      </c>
      <c r="L703" s="7" t="s">
        <v>991</v>
      </c>
      <c r="M703" s="7" t="s">
        <v>3501</v>
      </c>
      <c r="N703" s="7" t="s">
        <v>3632</v>
      </c>
      <c r="O703" s="7" t="s">
        <v>3632</v>
      </c>
      <c r="P703" s="7" t="s">
        <v>625</v>
      </c>
      <c r="Q703" s="7" t="s">
        <v>118</v>
      </c>
      <c r="R703" s="7" t="s">
        <v>19540</v>
      </c>
      <c r="T703" s="7" t="s">
        <v>3718</v>
      </c>
      <c r="U703" s="7" t="s">
        <v>3493</v>
      </c>
      <c r="V703" s="7">
        <v>1.0</v>
      </c>
    </row>
    <row r="704">
      <c r="A704" s="7" t="s">
        <v>20538</v>
      </c>
      <c r="B704" s="7">
        <v>2300345.0</v>
      </c>
      <c r="C704" s="7" t="s">
        <v>8299</v>
      </c>
      <c r="D704" s="7" t="s">
        <v>8300</v>
      </c>
      <c r="E704" s="7" t="s">
        <v>8285</v>
      </c>
      <c r="F704" s="7" t="s">
        <v>8301</v>
      </c>
      <c r="G704" s="7" t="s">
        <v>8302</v>
      </c>
      <c r="H704" s="7" t="s">
        <v>8303</v>
      </c>
      <c r="I704" s="119">
        <v>45292.0</v>
      </c>
      <c r="K704" s="7" t="s">
        <v>4042</v>
      </c>
      <c r="L704" s="7" t="s">
        <v>991</v>
      </c>
      <c r="M704" s="7" t="s">
        <v>3501</v>
      </c>
      <c r="N704" s="7" t="s">
        <v>4042</v>
      </c>
      <c r="O704" s="7" t="s">
        <v>4042</v>
      </c>
      <c r="P704" s="7" t="s">
        <v>19632</v>
      </c>
      <c r="T704" s="7" t="s">
        <v>4044</v>
      </c>
      <c r="U704" s="7" t="s">
        <v>3493</v>
      </c>
      <c r="V704" s="7">
        <v>1.0</v>
      </c>
    </row>
    <row r="705">
      <c r="A705" s="7" t="s">
        <v>20539</v>
      </c>
      <c r="B705" s="7">
        <v>2300317.0</v>
      </c>
      <c r="C705" s="7" t="s">
        <v>8284</v>
      </c>
      <c r="D705" s="7" t="s">
        <v>8305</v>
      </c>
      <c r="E705" s="7" t="s">
        <v>8285</v>
      </c>
      <c r="F705" s="7" t="s">
        <v>8306</v>
      </c>
      <c r="G705" s="7" t="s">
        <v>8307</v>
      </c>
      <c r="H705" s="7" t="s">
        <v>8308</v>
      </c>
      <c r="I705" s="119">
        <v>45292.0</v>
      </c>
      <c r="K705" s="7" t="s">
        <v>419</v>
      </c>
      <c r="L705" s="7" t="s">
        <v>991</v>
      </c>
      <c r="M705" s="7" t="s">
        <v>3501</v>
      </c>
      <c r="N705" s="7" t="s">
        <v>419</v>
      </c>
      <c r="O705" s="7" t="s">
        <v>19430</v>
      </c>
      <c r="P705" s="7" t="s">
        <v>717</v>
      </c>
      <c r="Q705" s="7" t="s">
        <v>1163</v>
      </c>
      <c r="R705" s="7" t="s">
        <v>19601</v>
      </c>
      <c r="S705" s="7" t="s">
        <v>19877</v>
      </c>
      <c r="T705" s="7" t="s">
        <v>5027</v>
      </c>
      <c r="U705" s="7" t="s">
        <v>3493</v>
      </c>
      <c r="V705" s="7">
        <v>1.0</v>
      </c>
    </row>
    <row r="706">
      <c r="A706" s="7" t="s">
        <v>20540</v>
      </c>
      <c r="B706" s="7">
        <v>2300459.0</v>
      </c>
      <c r="C706" s="7" t="s">
        <v>8284</v>
      </c>
      <c r="D706" s="7" t="s">
        <v>6554</v>
      </c>
      <c r="E706" s="7" t="s">
        <v>8285</v>
      </c>
      <c r="F706" s="7" t="s">
        <v>8311</v>
      </c>
      <c r="G706" s="7" t="s">
        <v>8312</v>
      </c>
      <c r="H706" s="7" t="s">
        <v>8313</v>
      </c>
      <c r="I706" s="119">
        <v>45292.0</v>
      </c>
      <c r="K706" s="7" t="s">
        <v>419</v>
      </c>
      <c r="L706" s="7" t="s">
        <v>991</v>
      </c>
      <c r="M706" s="7" t="s">
        <v>3501</v>
      </c>
      <c r="N706" s="7" t="s">
        <v>419</v>
      </c>
      <c r="O706" s="7" t="s">
        <v>19443</v>
      </c>
      <c r="P706" s="7" t="s">
        <v>323</v>
      </c>
      <c r="Q706" s="7" t="s">
        <v>824</v>
      </c>
      <c r="R706" s="7" t="s">
        <v>20541</v>
      </c>
      <c r="T706" s="7" t="s">
        <v>20542</v>
      </c>
      <c r="U706" s="7" t="s">
        <v>3493</v>
      </c>
      <c r="V706" s="7">
        <v>1.0</v>
      </c>
    </row>
    <row r="707">
      <c r="A707" s="7" t="s">
        <v>20543</v>
      </c>
      <c r="B707" s="7">
        <v>2300592.0</v>
      </c>
      <c r="C707" s="7" t="s">
        <v>8317</v>
      </c>
      <c r="D707" s="7" t="s">
        <v>8318</v>
      </c>
      <c r="E707" s="7" t="s">
        <v>3986</v>
      </c>
      <c r="F707" s="7" t="s">
        <v>8319</v>
      </c>
      <c r="G707" s="7" t="s">
        <v>8320</v>
      </c>
      <c r="H707" s="7" t="s">
        <v>8321</v>
      </c>
      <c r="I707" s="119">
        <v>45292.0</v>
      </c>
      <c r="K707" s="7" t="s">
        <v>419</v>
      </c>
      <c r="L707" s="7" t="s">
        <v>991</v>
      </c>
      <c r="M707" s="7" t="s">
        <v>3501</v>
      </c>
      <c r="N707" s="7" t="s">
        <v>419</v>
      </c>
      <c r="O707" s="7" t="s">
        <v>19432</v>
      </c>
      <c r="P707" s="7" t="s">
        <v>391</v>
      </c>
      <c r="Q707" s="7" t="s">
        <v>399</v>
      </c>
      <c r="T707" s="7" t="s">
        <v>8211</v>
      </c>
      <c r="U707" s="7" t="s">
        <v>3493</v>
      </c>
      <c r="V707" s="7">
        <v>1.0</v>
      </c>
    </row>
    <row r="708">
      <c r="A708" s="7" t="s">
        <v>20544</v>
      </c>
      <c r="B708" s="7">
        <v>12977.0</v>
      </c>
      <c r="C708" s="7" t="s">
        <v>8323</v>
      </c>
      <c r="D708" s="7" t="s">
        <v>7406</v>
      </c>
      <c r="E708" s="7" t="s">
        <v>8324</v>
      </c>
      <c r="F708" s="7" t="s">
        <v>4598</v>
      </c>
      <c r="G708" s="7" t="s">
        <v>8325</v>
      </c>
      <c r="H708" s="7" t="s">
        <v>8326</v>
      </c>
      <c r="I708" s="119">
        <v>45292.0</v>
      </c>
      <c r="K708" s="7" t="s">
        <v>419</v>
      </c>
      <c r="L708" s="7" t="s">
        <v>991</v>
      </c>
      <c r="M708" s="7" t="s">
        <v>3501</v>
      </c>
      <c r="N708" s="7" t="s">
        <v>419</v>
      </c>
      <c r="O708" s="7" t="s">
        <v>19430</v>
      </c>
      <c r="P708" s="7" t="s">
        <v>717</v>
      </c>
      <c r="Q708" s="7" t="s">
        <v>738</v>
      </c>
      <c r="R708" s="7" t="s">
        <v>20012</v>
      </c>
      <c r="S708" s="7" t="s">
        <v>20392</v>
      </c>
      <c r="T708" s="7" t="s">
        <v>7537</v>
      </c>
      <c r="U708" s="7" t="s">
        <v>3493</v>
      </c>
      <c r="V708" s="7">
        <v>1.0</v>
      </c>
    </row>
    <row r="709">
      <c r="A709" s="7" t="s">
        <v>20545</v>
      </c>
      <c r="B709" s="7">
        <v>13854.0</v>
      </c>
      <c r="C709" s="7" t="s">
        <v>8328</v>
      </c>
      <c r="D709" s="7" t="s">
        <v>3578</v>
      </c>
      <c r="E709" s="7" t="s">
        <v>8329</v>
      </c>
      <c r="F709" s="7" t="s">
        <v>7887</v>
      </c>
      <c r="G709" s="7" t="s">
        <v>8330</v>
      </c>
      <c r="H709" s="7" t="s">
        <v>8331</v>
      </c>
      <c r="I709" s="119">
        <v>45292.0</v>
      </c>
      <c r="K709" s="7" t="s">
        <v>419</v>
      </c>
      <c r="L709" s="7" t="s">
        <v>991</v>
      </c>
      <c r="M709" s="7" t="s">
        <v>3490</v>
      </c>
      <c r="N709" s="7" t="s">
        <v>419</v>
      </c>
      <c r="O709" s="7" t="s">
        <v>19440</v>
      </c>
      <c r="P709" s="7" t="s">
        <v>3</v>
      </c>
      <c r="Q709" s="7" t="s">
        <v>9</v>
      </c>
      <c r="R709" s="7" t="s">
        <v>20413</v>
      </c>
      <c r="S709" s="7" t="s">
        <v>19519</v>
      </c>
      <c r="T709" s="7" t="s">
        <v>7663</v>
      </c>
      <c r="U709" s="7" t="s">
        <v>3493</v>
      </c>
      <c r="V709" s="7">
        <v>1.0</v>
      </c>
    </row>
    <row r="710">
      <c r="A710" s="7" t="s">
        <v>20546</v>
      </c>
      <c r="B710" s="7">
        <v>2300570.0</v>
      </c>
      <c r="C710" s="7" t="s">
        <v>8328</v>
      </c>
      <c r="D710" s="7" t="s">
        <v>8333</v>
      </c>
      <c r="E710" s="7" t="s">
        <v>8329</v>
      </c>
      <c r="F710" s="7" t="s">
        <v>5723</v>
      </c>
      <c r="G710" s="7" t="s">
        <v>8334</v>
      </c>
      <c r="H710" s="7" t="s">
        <v>8335</v>
      </c>
      <c r="I710" s="119">
        <v>45292.0</v>
      </c>
      <c r="K710" s="7" t="s">
        <v>419</v>
      </c>
      <c r="L710" s="7" t="s">
        <v>991</v>
      </c>
      <c r="M710" s="7" t="s">
        <v>3501</v>
      </c>
      <c r="N710" s="7" t="s">
        <v>419</v>
      </c>
      <c r="O710" s="7" t="s">
        <v>19443</v>
      </c>
      <c r="P710" s="7" t="s">
        <v>323</v>
      </c>
      <c r="Q710" s="7" t="s">
        <v>824</v>
      </c>
      <c r="R710" s="7" t="s">
        <v>19582</v>
      </c>
      <c r="T710" s="7" t="s">
        <v>11951</v>
      </c>
      <c r="U710" s="7" t="s">
        <v>3604</v>
      </c>
      <c r="V710" s="7">
        <v>1.0</v>
      </c>
    </row>
    <row r="711">
      <c r="A711" s="7" t="s">
        <v>20547</v>
      </c>
      <c r="B711" s="7">
        <v>12423.0</v>
      </c>
      <c r="C711" s="7" t="s">
        <v>8336</v>
      </c>
      <c r="D711" s="7" t="s">
        <v>8337</v>
      </c>
      <c r="E711" s="7" t="s">
        <v>8338</v>
      </c>
      <c r="F711" s="7" t="s">
        <v>6288</v>
      </c>
      <c r="G711" s="7" t="s">
        <v>8339</v>
      </c>
      <c r="H711" s="7" t="s">
        <v>8340</v>
      </c>
      <c r="I711" s="119">
        <v>45292.0</v>
      </c>
      <c r="K711" s="7" t="s">
        <v>419</v>
      </c>
      <c r="L711" s="7" t="s">
        <v>991</v>
      </c>
      <c r="M711" s="7" t="s">
        <v>3501</v>
      </c>
      <c r="N711" s="7" t="s">
        <v>419</v>
      </c>
      <c r="O711" s="7" t="s">
        <v>19430</v>
      </c>
      <c r="P711" s="7" t="s">
        <v>717</v>
      </c>
      <c r="Q711" s="7" t="s">
        <v>1163</v>
      </c>
      <c r="R711" s="7" t="s">
        <v>20110</v>
      </c>
      <c r="T711" s="7" t="s">
        <v>8342</v>
      </c>
      <c r="U711" s="7" t="s">
        <v>3604</v>
      </c>
      <c r="V711" s="7">
        <v>1.0</v>
      </c>
    </row>
    <row r="712">
      <c r="A712" s="7" t="s">
        <v>20548</v>
      </c>
      <c r="B712" s="7">
        <v>2200831.0</v>
      </c>
      <c r="C712" s="7" t="s">
        <v>8336</v>
      </c>
      <c r="D712" s="7" t="s">
        <v>8344</v>
      </c>
      <c r="E712" s="7" t="s">
        <v>8338</v>
      </c>
      <c r="F712" s="7" t="s">
        <v>8345</v>
      </c>
      <c r="G712" s="7" t="s">
        <v>8346</v>
      </c>
      <c r="H712" s="7" t="s">
        <v>8347</v>
      </c>
      <c r="I712" s="119">
        <v>45292.0</v>
      </c>
      <c r="K712" s="7" t="s">
        <v>419</v>
      </c>
      <c r="L712" s="7" t="s">
        <v>991</v>
      </c>
      <c r="M712" s="7" t="s">
        <v>3531</v>
      </c>
      <c r="N712" s="7" t="s">
        <v>419</v>
      </c>
      <c r="O712" s="7" t="s">
        <v>19433</v>
      </c>
      <c r="P712" s="7" t="s">
        <v>648</v>
      </c>
      <c r="Q712" s="7" t="s">
        <v>148</v>
      </c>
      <c r="R712" s="7" t="s">
        <v>19501</v>
      </c>
      <c r="T712" s="7" t="s">
        <v>4445</v>
      </c>
      <c r="U712" s="7" t="s">
        <v>3493</v>
      </c>
      <c r="V712" s="7">
        <v>1.0</v>
      </c>
    </row>
    <row r="713">
      <c r="A713" s="7" t="s">
        <v>20549</v>
      </c>
      <c r="B713" s="7">
        <v>10971.0</v>
      </c>
      <c r="C713" s="7" t="s">
        <v>8336</v>
      </c>
      <c r="D713" s="7" t="s">
        <v>4320</v>
      </c>
      <c r="E713" s="7" t="s">
        <v>8338</v>
      </c>
      <c r="F713" s="7" t="s">
        <v>4321</v>
      </c>
      <c r="G713" s="7" t="s">
        <v>8349</v>
      </c>
      <c r="H713" s="7" t="s">
        <v>8350</v>
      </c>
      <c r="I713" s="119">
        <v>45292.0</v>
      </c>
      <c r="K713" s="7" t="s">
        <v>419</v>
      </c>
      <c r="L713" s="7" t="s">
        <v>991</v>
      </c>
      <c r="M713" s="7" t="s">
        <v>3501</v>
      </c>
      <c r="N713" s="7" t="s">
        <v>419</v>
      </c>
      <c r="O713" s="7" t="s">
        <v>19437</v>
      </c>
      <c r="P713" s="7" t="s">
        <v>603</v>
      </c>
      <c r="Q713" s="7" t="s">
        <v>90</v>
      </c>
      <c r="R713" s="7" t="s">
        <v>19690</v>
      </c>
      <c r="S713" s="7" t="s">
        <v>20268</v>
      </c>
      <c r="T713" s="7" t="s">
        <v>6897</v>
      </c>
      <c r="U713" s="7" t="s">
        <v>3493</v>
      </c>
      <c r="V713" s="7">
        <v>1.0</v>
      </c>
    </row>
    <row r="714">
      <c r="A714" s="7" t="s">
        <v>20550</v>
      </c>
      <c r="B714" s="7">
        <v>2200782.0</v>
      </c>
      <c r="C714" s="7" t="s">
        <v>8352</v>
      </c>
      <c r="D714" s="7" t="s">
        <v>8353</v>
      </c>
      <c r="E714" s="7" t="s">
        <v>8354</v>
      </c>
      <c r="F714" s="7" t="s">
        <v>6800</v>
      </c>
      <c r="G714" s="7" t="s">
        <v>8355</v>
      </c>
      <c r="H714" s="7" t="s">
        <v>8356</v>
      </c>
      <c r="I714" s="119">
        <v>45292.0</v>
      </c>
      <c r="K714" s="7" t="s">
        <v>419</v>
      </c>
      <c r="L714" s="7" t="s">
        <v>991</v>
      </c>
      <c r="M714" s="7" t="s">
        <v>3501</v>
      </c>
      <c r="N714" s="7" t="s">
        <v>419</v>
      </c>
      <c r="O714" s="7" t="s">
        <v>19430</v>
      </c>
      <c r="P714" s="7" t="s">
        <v>717</v>
      </c>
      <c r="Q714" s="7" t="s">
        <v>730</v>
      </c>
      <c r="R714" s="7" t="s">
        <v>20149</v>
      </c>
      <c r="S714" s="7" t="s">
        <v>20150</v>
      </c>
      <c r="T714" s="7" t="s">
        <v>8357</v>
      </c>
      <c r="U714" s="7" t="s">
        <v>3493</v>
      </c>
      <c r="V714" s="7">
        <v>1.0</v>
      </c>
    </row>
    <row r="715">
      <c r="A715" s="7" t="s">
        <v>20551</v>
      </c>
      <c r="B715" s="7">
        <v>837.0</v>
      </c>
      <c r="C715" s="7" t="s">
        <v>8352</v>
      </c>
      <c r="D715" s="7" t="s">
        <v>8359</v>
      </c>
      <c r="E715" s="7" t="s">
        <v>8354</v>
      </c>
      <c r="F715" s="7" t="s">
        <v>8360</v>
      </c>
      <c r="G715" s="7" t="s">
        <v>8361</v>
      </c>
      <c r="H715" s="7" t="s">
        <v>8362</v>
      </c>
      <c r="I715" s="119">
        <v>45292.0</v>
      </c>
      <c r="K715" s="7" t="s">
        <v>419</v>
      </c>
      <c r="L715" s="7" t="s">
        <v>991</v>
      </c>
      <c r="M715" s="7" t="s">
        <v>3501</v>
      </c>
      <c r="N715" s="7" t="s">
        <v>419</v>
      </c>
      <c r="O715" s="7" t="s">
        <v>19443</v>
      </c>
      <c r="P715" s="7" t="s">
        <v>323</v>
      </c>
      <c r="Q715" s="7" t="s">
        <v>824</v>
      </c>
      <c r="R715" s="7" t="s">
        <v>20541</v>
      </c>
      <c r="T715" s="7" t="s">
        <v>20542</v>
      </c>
      <c r="U715" s="7" t="s">
        <v>3493</v>
      </c>
      <c r="V715" s="7">
        <v>1.0</v>
      </c>
    </row>
    <row r="716">
      <c r="A716" s="7" t="s">
        <v>20552</v>
      </c>
      <c r="B716" s="7">
        <v>1254.0</v>
      </c>
      <c r="C716" s="7" t="s">
        <v>8352</v>
      </c>
      <c r="D716" s="7" t="s">
        <v>5520</v>
      </c>
      <c r="E716" s="7" t="s">
        <v>8354</v>
      </c>
      <c r="F716" s="7" t="s">
        <v>4084</v>
      </c>
      <c r="G716" s="7" t="s">
        <v>8364</v>
      </c>
      <c r="H716" s="7" t="s">
        <v>8365</v>
      </c>
      <c r="I716" s="119">
        <v>45292.0</v>
      </c>
      <c r="K716" s="7" t="s">
        <v>419</v>
      </c>
      <c r="L716" s="7" t="s">
        <v>991</v>
      </c>
      <c r="M716" s="7" t="s">
        <v>3501</v>
      </c>
      <c r="N716" s="7" t="s">
        <v>419</v>
      </c>
      <c r="O716" s="7" t="s">
        <v>19443</v>
      </c>
      <c r="P716" s="7" t="s">
        <v>323</v>
      </c>
      <c r="Q716" s="7" t="s">
        <v>824</v>
      </c>
      <c r="R716" s="7" t="s">
        <v>20553</v>
      </c>
      <c r="T716" s="7" t="s">
        <v>20554</v>
      </c>
      <c r="U716" s="7" t="s">
        <v>3493</v>
      </c>
      <c r="V716" s="7">
        <v>1.0</v>
      </c>
    </row>
    <row r="717">
      <c r="A717" s="7" t="s">
        <v>20555</v>
      </c>
      <c r="B717" s="7">
        <v>2100199.0</v>
      </c>
      <c r="C717" s="7" t="s">
        <v>8352</v>
      </c>
      <c r="D717" s="7" t="s">
        <v>8369</v>
      </c>
      <c r="E717" s="7" t="s">
        <v>8354</v>
      </c>
      <c r="F717" s="7" t="s">
        <v>5286</v>
      </c>
      <c r="G717" s="7" t="s">
        <v>8370</v>
      </c>
      <c r="H717" s="7" t="s">
        <v>8371</v>
      </c>
      <c r="I717" s="119">
        <v>45292.0</v>
      </c>
      <c r="K717" s="7" t="s">
        <v>419</v>
      </c>
      <c r="L717" s="7" t="s">
        <v>991</v>
      </c>
      <c r="M717" s="7" t="s">
        <v>3501</v>
      </c>
      <c r="N717" s="7" t="s">
        <v>419</v>
      </c>
      <c r="O717" s="7" t="s">
        <v>19433</v>
      </c>
      <c r="P717" s="7" t="s">
        <v>648</v>
      </c>
      <c r="Q717" s="7" t="s">
        <v>143</v>
      </c>
      <c r="R717" s="7" t="s">
        <v>19566</v>
      </c>
      <c r="T717" s="7" t="s">
        <v>20422</v>
      </c>
      <c r="U717" s="7" t="s">
        <v>3604</v>
      </c>
      <c r="V717" s="7">
        <v>1.0</v>
      </c>
    </row>
    <row r="718">
      <c r="A718" s="7" t="s">
        <v>20556</v>
      </c>
      <c r="B718" s="7">
        <v>2200712.0</v>
      </c>
      <c r="C718" s="7" t="s">
        <v>8352</v>
      </c>
      <c r="D718" s="7" t="s">
        <v>5935</v>
      </c>
      <c r="E718" s="7" t="s">
        <v>8354</v>
      </c>
      <c r="F718" s="7" t="s">
        <v>4700</v>
      </c>
      <c r="G718" s="7" t="s">
        <v>8374</v>
      </c>
      <c r="H718" s="7" t="s">
        <v>8375</v>
      </c>
      <c r="I718" s="119">
        <v>45292.0</v>
      </c>
      <c r="K718" s="7" t="s">
        <v>4042</v>
      </c>
      <c r="L718" s="7" t="s">
        <v>991</v>
      </c>
      <c r="M718" s="7" t="s">
        <v>3501</v>
      </c>
      <c r="N718" s="7" t="s">
        <v>4042</v>
      </c>
      <c r="O718" s="7" t="s">
        <v>4042</v>
      </c>
      <c r="P718" s="7" t="s">
        <v>19632</v>
      </c>
      <c r="T718" s="7" t="s">
        <v>4044</v>
      </c>
      <c r="U718" s="7" t="s">
        <v>3493</v>
      </c>
      <c r="V718" s="7">
        <v>1.0</v>
      </c>
    </row>
    <row r="719">
      <c r="A719" s="7" t="s">
        <v>20557</v>
      </c>
      <c r="B719" s="7">
        <v>13600.0</v>
      </c>
      <c r="C719" s="7" t="s">
        <v>8352</v>
      </c>
      <c r="D719" s="7" t="s">
        <v>6009</v>
      </c>
      <c r="E719" s="7" t="s">
        <v>8354</v>
      </c>
      <c r="F719" s="7" t="s">
        <v>6011</v>
      </c>
      <c r="G719" s="7" t="s">
        <v>8377</v>
      </c>
      <c r="H719" s="7" t="s">
        <v>8378</v>
      </c>
      <c r="I719" s="119">
        <v>45292.0</v>
      </c>
      <c r="K719" s="7" t="s">
        <v>419</v>
      </c>
      <c r="L719" s="7" t="s">
        <v>991</v>
      </c>
      <c r="M719" s="7" t="s">
        <v>3501</v>
      </c>
      <c r="N719" s="7" t="s">
        <v>419</v>
      </c>
      <c r="O719" s="7" t="s">
        <v>19430</v>
      </c>
      <c r="P719" s="7" t="s">
        <v>780</v>
      </c>
      <c r="Q719" s="7" t="s">
        <v>786</v>
      </c>
      <c r="R719" s="7" t="s">
        <v>20558</v>
      </c>
      <c r="T719" s="7" t="s">
        <v>16162</v>
      </c>
      <c r="U719" s="7" t="s">
        <v>3493</v>
      </c>
      <c r="V719" s="7">
        <v>1.0</v>
      </c>
    </row>
    <row r="720">
      <c r="A720" s="7" t="s">
        <v>20559</v>
      </c>
      <c r="B720" s="7">
        <v>11471.0</v>
      </c>
      <c r="C720" s="7" t="s">
        <v>8352</v>
      </c>
      <c r="D720" s="7" t="s">
        <v>8382</v>
      </c>
      <c r="E720" s="7" t="s">
        <v>8354</v>
      </c>
      <c r="F720" s="7" t="s">
        <v>3945</v>
      </c>
      <c r="G720" s="7" t="s">
        <v>8383</v>
      </c>
      <c r="H720" s="7" t="s">
        <v>8384</v>
      </c>
      <c r="I720" s="119">
        <v>45292.0</v>
      </c>
      <c r="K720" s="7" t="s">
        <v>419</v>
      </c>
      <c r="L720" s="7" t="s">
        <v>991</v>
      </c>
      <c r="M720" s="7" t="s">
        <v>3501</v>
      </c>
      <c r="N720" s="7" t="s">
        <v>419</v>
      </c>
      <c r="O720" s="7" t="s">
        <v>19432</v>
      </c>
      <c r="P720" s="7" t="s">
        <v>693</v>
      </c>
      <c r="Q720" s="7" t="s">
        <v>703</v>
      </c>
      <c r="R720" s="7" t="s">
        <v>19815</v>
      </c>
      <c r="S720" s="7" t="s">
        <v>19816</v>
      </c>
      <c r="T720" s="7" t="s">
        <v>4734</v>
      </c>
      <c r="U720" s="7" t="s">
        <v>3493</v>
      </c>
      <c r="V720" s="7">
        <v>1.0</v>
      </c>
    </row>
    <row r="721">
      <c r="A721" s="7" t="s">
        <v>20560</v>
      </c>
      <c r="B721" s="7">
        <v>983.0</v>
      </c>
      <c r="C721" s="7" t="s">
        <v>8352</v>
      </c>
      <c r="D721" s="7" t="s">
        <v>8386</v>
      </c>
      <c r="E721" s="7" t="s">
        <v>8354</v>
      </c>
      <c r="F721" s="7" t="s">
        <v>8387</v>
      </c>
      <c r="G721" s="7" t="s">
        <v>8388</v>
      </c>
      <c r="H721" s="7" t="s">
        <v>8389</v>
      </c>
      <c r="I721" s="119">
        <v>45292.0</v>
      </c>
      <c r="K721" s="7" t="s">
        <v>419</v>
      </c>
      <c r="L721" s="7" t="s">
        <v>991</v>
      </c>
      <c r="M721" s="7" t="s">
        <v>3501</v>
      </c>
      <c r="N721" s="7" t="s">
        <v>419</v>
      </c>
      <c r="O721" s="7" t="s">
        <v>19430</v>
      </c>
      <c r="P721" s="7" t="s">
        <v>717</v>
      </c>
      <c r="Q721" s="7" t="s">
        <v>720</v>
      </c>
      <c r="R721" s="7" t="s">
        <v>19626</v>
      </c>
      <c r="S721" s="7" t="s">
        <v>20561</v>
      </c>
      <c r="T721" s="7" t="s">
        <v>8391</v>
      </c>
      <c r="U721" s="7" t="s">
        <v>3493</v>
      </c>
      <c r="V721" s="7">
        <v>1.0</v>
      </c>
    </row>
    <row r="722">
      <c r="A722" s="7" t="s">
        <v>20562</v>
      </c>
      <c r="B722" s="7">
        <v>2200153.0</v>
      </c>
      <c r="C722" s="7" t="s">
        <v>8352</v>
      </c>
      <c r="D722" s="7" t="s">
        <v>8393</v>
      </c>
      <c r="E722" s="7" t="s">
        <v>8354</v>
      </c>
      <c r="F722" s="7" t="s">
        <v>8393</v>
      </c>
      <c r="G722" s="7" t="s">
        <v>8394</v>
      </c>
      <c r="H722" s="7" t="s">
        <v>8395</v>
      </c>
      <c r="I722" s="119">
        <v>45292.0</v>
      </c>
      <c r="K722" s="7" t="s">
        <v>419</v>
      </c>
      <c r="L722" s="7" t="s">
        <v>991</v>
      </c>
      <c r="M722" s="7" t="s">
        <v>3531</v>
      </c>
      <c r="N722" s="7" t="s">
        <v>419</v>
      </c>
      <c r="O722" s="7" t="s">
        <v>19433</v>
      </c>
      <c r="P722" s="7" t="s">
        <v>648</v>
      </c>
      <c r="Q722" s="7" t="s">
        <v>148</v>
      </c>
      <c r="R722" s="7" t="s">
        <v>19501</v>
      </c>
      <c r="T722" s="7" t="s">
        <v>4445</v>
      </c>
      <c r="U722" s="7" t="s">
        <v>3493</v>
      </c>
      <c r="V722" s="7">
        <v>1.0</v>
      </c>
    </row>
    <row r="723">
      <c r="A723" s="7" t="s">
        <v>20563</v>
      </c>
      <c r="B723" s="7">
        <v>2300607.0</v>
      </c>
      <c r="C723" s="7" t="s">
        <v>8397</v>
      </c>
      <c r="D723" s="7" t="s">
        <v>8398</v>
      </c>
      <c r="E723" s="7" t="s">
        <v>8399</v>
      </c>
      <c r="F723" s="7" t="s">
        <v>8400</v>
      </c>
      <c r="G723" s="7" t="s">
        <v>8401</v>
      </c>
      <c r="H723" s="7" t="s">
        <v>8402</v>
      </c>
      <c r="I723" s="119">
        <v>45292.0</v>
      </c>
      <c r="K723" s="7" t="s">
        <v>419</v>
      </c>
      <c r="L723" s="7" t="s">
        <v>991</v>
      </c>
      <c r="M723" s="7" t="s">
        <v>3501</v>
      </c>
      <c r="N723" s="7" t="s">
        <v>419</v>
      </c>
      <c r="O723" s="7" t="s">
        <v>19443</v>
      </c>
      <c r="P723" s="7" t="s">
        <v>323</v>
      </c>
      <c r="Q723" s="7" t="s">
        <v>824</v>
      </c>
      <c r="R723" s="7" t="s">
        <v>19570</v>
      </c>
      <c r="S723" s="7" t="s">
        <v>19629</v>
      </c>
      <c r="T723" s="7" t="s">
        <v>19630</v>
      </c>
      <c r="U723" s="7" t="s">
        <v>3493</v>
      </c>
      <c r="V723" s="7">
        <v>1.0</v>
      </c>
    </row>
    <row r="724">
      <c r="A724" s="7" t="s">
        <v>20564</v>
      </c>
      <c r="B724" s="7">
        <v>11585.0</v>
      </c>
      <c r="C724" s="7" t="s">
        <v>8404</v>
      </c>
      <c r="D724" s="7" t="s">
        <v>8405</v>
      </c>
      <c r="E724" s="7" t="s">
        <v>8406</v>
      </c>
      <c r="F724" s="7" t="s">
        <v>8407</v>
      </c>
      <c r="G724" s="7" t="s">
        <v>8408</v>
      </c>
      <c r="H724" s="7" t="s">
        <v>8409</v>
      </c>
      <c r="I724" s="119">
        <v>45292.0</v>
      </c>
      <c r="K724" s="7" t="s">
        <v>419</v>
      </c>
      <c r="L724" s="7" t="s">
        <v>991</v>
      </c>
      <c r="M724" s="7" t="s">
        <v>3501</v>
      </c>
      <c r="N724" s="7" t="s">
        <v>419</v>
      </c>
      <c r="O724" s="7" t="s">
        <v>19437</v>
      </c>
      <c r="P724" s="7" t="s">
        <v>440</v>
      </c>
      <c r="Q724" s="7" t="s">
        <v>924</v>
      </c>
      <c r="R724" s="7" t="s">
        <v>20135</v>
      </c>
      <c r="S724" s="7" t="s">
        <v>20279</v>
      </c>
      <c r="T724" s="7" t="s">
        <v>6950</v>
      </c>
      <c r="U724" s="7" t="s">
        <v>3493</v>
      </c>
      <c r="V724" s="7">
        <v>1.0</v>
      </c>
    </row>
    <row r="725">
      <c r="A725" s="7" t="s">
        <v>20565</v>
      </c>
      <c r="B725" s="7">
        <v>2200005.0</v>
      </c>
      <c r="C725" s="7" t="s">
        <v>8412</v>
      </c>
      <c r="D725" s="7" t="s">
        <v>5457</v>
      </c>
      <c r="E725" s="7" t="s">
        <v>8413</v>
      </c>
      <c r="F725" s="7" t="s">
        <v>4960</v>
      </c>
      <c r="G725" s="7" t="s">
        <v>8414</v>
      </c>
      <c r="H725" s="7" t="s">
        <v>8415</v>
      </c>
      <c r="I725" s="119">
        <v>45292.0</v>
      </c>
      <c r="K725" s="7" t="s">
        <v>419</v>
      </c>
      <c r="L725" s="7" t="s">
        <v>991</v>
      </c>
      <c r="M725" s="7" t="s">
        <v>3501</v>
      </c>
      <c r="N725" s="7" t="s">
        <v>419</v>
      </c>
      <c r="O725" s="7" t="s">
        <v>19430</v>
      </c>
      <c r="P725" s="7" t="s">
        <v>854</v>
      </c>
      <c r="Q725" s="7" t="s">
        <v>861</v>
      </c>
      <c r="T725" s="7" t="s">
        <v>4755</v>
      </c>
      <c r="U725" s="7" t="s">
        <v>3493</v>
      </c>
      <c r="V725" s="7">
        <v>1.0</v>
      </c>
    </row>
    <row r="726">
      <c r="A726" s="7" t="s">
        <v>20566</v>
      </c>
      <c r="B726" s="7">
        <v>2300075.0</v>
      </c>
      <c r="C726" s="7" t="s">
        <v>8417</v>
      </c>
      <c r="D726" s="7" t="s">
        <v>8418</v>
      </c>
      <c r="E726" s="7" t="s">
        <v>8419</v>
      </c>
      <c r="F726" s="7" t="s">
        <v>5250</v>
      </c>
      <c r="G726" s="7" t="s">
        <v>8420</v>
      </c>
      <c r="H726" s="7" t="s">
        <v>8421</v>
      </c>
      <c r="I726" s="119">
        <v>45292.0</v>
      </c>
      <c r="K726" s="7" t="s">
        <v>419</v>
      </c>
      <c r="L726" s="7" t="s">
        <v>991</v>
      </c>
      <c r="M726" s="7" t="s">
        <v>3501</v>
      </c>
      <c r="N726" s="7" t="s">
        <v>419</v>
      </c>
      <c r="O726" s="7" t="s">
        <v>19432</v>
      </c>
      <c r="P726" s="7" t="s">
        <v>298</v>
      </c>
      <c r="Q726" s="7" t="s">
        <v>1284</v>
      </c>
      <c r="R726" s="7" t="s">
        <v>20033</v>
      </c>
      <c r="S726" s="7" t="s">
        <v>20034</v>
      </c>
      <c r="T726" s="7" t="s">
        <v>5747</v>
      </c>
      <c r="U726" s="7" t="s">
        <v>3493</v>
      </c>
      <c r="V726" s="7">
        <v>1.0</v>
      </c>
    </row>
    <row r="727">
      <c r="A727" s="7" t="s">
        <v>20567</v>
      </c>
      <c r="B727" s="7">
        <v>2300675.0</v>
      </c>
      <c r="C727" s="7" t="s">
        <v>8423</v>
      </c>
      <c r="D727" s="7" t="s">
        <v>8424</v>
      </c>
      <c r="E727" s="7" t="s">
        <v>8425</v>
      </c>
      <c r="F727" s="7" t="s">
        <v>3609</v>
      </c>
      <c r="G727" s="7" t="s">
        <v>8426</v>
      </c>
      <c r="H727" s="7" t="s">
        <v>8427</v>
      </c>
      <c r="I727" s="119">
        <v>45292.0</v>
      </c>
      <c r="K727" s="7" t="s">
        <v>419</v>
      </c>
      <c r="L727" s="7" t="s">
        <v>991</v>
      </c>
      <c r="M727" s="7" t="s">
        <v>3531</v>
      </c>
      <c r="N727" s="7" t="s">
        <v>419</v>
      </c>
      <c r="O727" s="7" t="s">
        <v>19430</v>
      </c>
      <c r="P727" s="7" t="s">
        <v>780</v>
      </c>
      <c r="Q727" s="7" t="s">
        <v>284</v>
      </c>
      <c r="R727" s="7" t="s">
        <v>19606</v>
      </c>
      <c r="T727" s="7" t="s">
        <v>3958</v>
      </c>
      <c r="U727" s="7" t="s">
        <v>3493</v>
      </c>
      <c r="V727" s="7">
        <v>1.0</v>
      </c>
    </row>
    <row r="728">
      <c r="A728" s="7" t="s">
        <v>20568</v>
      </c>
      <c r="B728" s="7">
        <v>11044.0</v>
      </c>
      <c r="C728" s="7" t="s">
        <v>8429</v>
      </c>
      <c r="D728" s="7" t="s">
        <v>8430</v>
      </c>
      <c r="E728" s="7" t="s">
        <v>8431</v>
      </c>
      <c r="F728" s="7" t="s">
        <v>5522</v>
      </c>
      <c r="G728" s="7" t="s">
        <v>8432</v>
      </c>
      <c r="H728" s="7" t="s">
        <v>8433</v>
      </c>
      <c r="I728" s="119">
        <v>45292.0</v>
      </c>
      <c r="K728" s="7" t="s">
        <v>419</v>
      </c>
      <c r="L728" s="7" t="s">
        <v>991</v>
      </c>
      <c r="M728" s="7" t="s">
        <v>3501</v>
      </c>
      <c r="N728" s="7" t="s">
        <v>419</v>
      </c>
      <c r="O728" s="7" t="s">
        <v>19432</v>
      </c>
      <c r="P728" s="7" t="s">
        <v>298</v>
      </c>
      <c r="Q728" s="7" t="s">
        <v>802</v>
      </c>
      <c r="R728" s="7" t="s">
        <v>19827</v>
      </c>
      <c r="S728" s="7" t="s">
        <v>20569</v>
      </c>
      <c r="T728" s="7" t="s">
        <v>20570</v>
      </c>
      <c r="U728" s="7" t="s">
        <v>3493</v>
      </c>
      <c r="V728" s="7">
        <v>1.0</v>
      </c>
    </row>
    <row r="729">
      <c r="A729" s="7" t="s">
        <v>20571</v>
      </c>
      <c r="B729" s="7">
        <v>11321.0</v>
      </c>
      <c r="C729" s="7" t="s">
        <v>8429</v>
      </c>
      <c r="D729" s="7" t="s">
        <v>8437</v>
      </c>
      <c r="E729" s="7" t="s">
        <v>8431</v>
      </c>
      <c r="F729" s="7" t="s">
        <v>5441</v>
      </c>
      <c r="G729" s="7" t="s">
        <v>8438</v>
      </c>
      <c r="H729" s="7" t="s">
        <v>8439</v>
      </c>
      <c r="I729" s="119">
        <v>45292.0</v>
      </c>
      <c r="K729" s="7" t="s">
        <v>419</v>
      </c>
      <c r="L729" s="7" t="s">
        <v>991</v>
      </c>
      <c r="M729" s="7" t="s">
        <v>3501</v>
      </c>
      <c r="N729" s="7" t="s">
        <v>419</v>
      </c>
      <c r="O729" s="7" t="s">
        <v>19437</v>
      </c>
      <c r="P729" s="7" t="s">
        <v>440</v>
      </c>
      <c r="Q729" s="7" t="s">
        <v>443</v>
      </c>
      <c r="R729" s="7" t="s">
        <v>20435</v>
      </c>
      <c r="S729" s="7" t="s">
        <v>20436</v>
      </c>
      <c r="T729" s="7" t="s">
        <v>8440</v>
      </c>
      <c r="U729" s="7" t="s">
        <v>3843</v>
      </c>
      <c r="V729" s="7">
        <v>1.0</v>
      </c>
    </row>
    <row r="730">
      <c r="A730" s="7" t="s">
        <v>20572</v>
      </c>
      <c r="B730" s="7">
        <v>11709.0</v>
      </c>
      <c r="C730" s="7" t="s">
        <v>8429</v>
      </c>
      <c r="D730" s="7" t="s">
        <v>8442</v>
      </c>
      <c r="E730" s="7" t="s">
        <v>8431</v>
      </c>
      <c r="F730" s="7" t="s">
        <v>4929</v>
      </c>
      <c r="G730" s="7" t="s">
        <v>8443</v>
      </c>
      <c r="H730" s="7" t="s">
        <v>8444</v>
      </c>
      <c r="I730" s="119">
        <v>45292.0</v>
      </c>
      <c r="K730" s="7" t="s">
        <v>8445</v>
      </c>
      <c r="L730" s="7" t="s">
        <v>4406</v>
      </c>
      <c r="M730" s="7" t="s">
        <v>7791</v>
      </c>
      <c r="N730" s="7" t="s">
        <v>419</v>
      </c>
      <c r="O730" s="7" t="s">
        <v>19433</v>
      </c>
      <c r="P730" s="7" t="s">
        <v>587</v>
      </c>
      <c r="Q730" s="7" t="s">
        <v>74</v>
      </c>
      <c r="R730" s="7" t="s">
        <v>19536</v>
      </c>
      <c r="S730" s="7" t="s">
        <v>19537</v>
      </c>
      <c r="T730" s="7" t="s">
        <v>19538</v>
      </c>
      <c r="U730" s="7" t="s">
        <v>3493</v>
      </c>
      <c r="V730" s="7">
        <v>1.0</v>
      </c>
    </row>
    <row r="731">
      <c r="A731" s="7" t="s">
        <v>20573</v>
      </c>
      <c r="B731" s="7">
        <v>2200704.0</v>
      </c>
      <c r="C731" s="7" t="s">
        <v>8429</v>
      </c>
      <c r="D731" s="7" t="s">
        <v>8452</v>
      </c>
      <c r="E731" s="7" t="s">
        <v>8431</v>
      </c>
      <c r="F731" s="7" t="s">
        <v>6089</v>
      </c>
      <c r="G731" s="7" t="s">
        <v>8453</v>
      </c>
      <c r="H731" s="7" t="s">
        <v>8454</v>
      </c>
      <c r="I731" s="119">
        <v>45292.0</v>
      </c>
      <c r="K731" s="7" t="s">
        <v>4042</v>
      </c>
      <c r="L731" s="7" t="s">
        <v>991</v>
      </c>
      <c r="M731" s="7" t="s">
        <v>3501</v>
      </c>
      <c r="N731" s="7" t="s">
        <v>4042</v>
      </c>
      <c r="O731" s="7" t="s">
        <v>4042</v>
      </c>
      <c r="P731" s="7" t="s">
        <v>19632</v>
      </c>
      <c r="T731" s="7" t="s">
        <v>4044</v>
      </c>
      <c r="U731" s="7" t="s">
        <v>3493</v>
      </c>
      <c r="V731" s="7">
        <v>1.0</v>
      </c>
    </row>
    <row r="732">
      <c r="A732" s="7" t="s">
        <v>20574</v>
      </c>
      <c r="B732" s="7">
        <v>1182.0</v>
      </c>
      <c r="C732" s="7" t="s">
        <v>8429</v>
      </c>
      <c r="D732" s="7" t="s">
        <v>5307</v>
      </c>
      <c r="E732" s="7" t="s">
        <v>8431</v>
      </c>
      <c r="F732" s="7" t="s">
        <v>4487</v>
      </c>
      <c r="G732" s="7" t="s">
        <v>8456</v>
      </c>
      <c r="H732" s="7" t="s">
        <v>8457</v>
      </c>
      <c r="I732" s="119">
        <v>45292.0</v>
      </c>
      <c r="K732" s="7" t="s">
        <v>419</v>
      </c>
      <c r="L732" s="7" t="s">
        <v>991</v>
      </c>
      <c r="M732" s="7" t="s">
        <v>3501</v>
      </c>
      <c r="N732" s="7" t="s">
        <v>419</v>
      </c>
      <c r="O732" s="7" t="s">
        <v>19430</v>
      </c>
      <c r="P732" s="7" t="s">
        <v>780</v>
      </c>
      <c r="Q732" s="7" t="s">
        <v>786</v>
      </c>
      <c r="R732" s="7" t="s">
        <v>19839</v>
      </c>
      <c r="T732" s="7" t="s">
        <v>4835</v>
      </c>
      <c r="U732" s="7" t="s">
        <v>3493</v>
      </c>
      <c r="V732" s="7">
        <v>1.0</v>
      </c>
    </row>
    <row r="733">
      <c r="A733" s="7" t="s">
        <v>20575</v>
      </c>
      <c r="B733" s="7">
        <v>13896.0</v>
      </c>
      <c r="C733" s="7" t="s">
        <v>8429</v>
      </c>
      <c r="D733" s="7" t="s">
        <v>5935</v>
      </c>
      <c r="E733" s="7" t="s">
        <v>8431</v>
      </c>
      <c r="F733" s="7" t="s">
        <v>4700</v>
      </c>
      <c r="G733" s="7" t="s">
        <v>8459</v>
      </c>
      <c r="H733" s="7" t="s">
        <v>8460</v>
      </c>
      <c r="I733" s="119">
        <v>45292.0</v>
      </c>
      <c r="K733" s="7" t="s">
        <v>419</v>
      </c>
      <c r="L733" s="7" t="s">
        <v>991</v>
      </c>
      <c r="M733" s="7" t="s">
        <v>3531</v>
      </c>
      <c r="N733" s="7" t="s">
        <v>419</v>
      </c>
      <c r="O733" s="7" t="s">
        <v>19433</v>
      </c>
      <c r="P733" s="7" t="s">
        <v>587</v>
      </c>
      <c r="Q733" s="7" t="s">
        <v>72</v>
      </c>
      <c r="T733" s="7" t="s">
        <v>5706</v>
      </c>
      <c r="U733" s="7" t="s">
        <v>3493</v>
      </c>
      <c r="V733" s="7">
        <v>1.0</v>
      </c>
    </row>
    <row r="734">
      <c r="A734" s="7" t="s">
        <v>2236</v>
      </c>
      <c r="B734" s="7">
        <v>13237.0</v>
      </c>
      <c r="C734" s="7" t="s">
        <v>8429</v>
      </c>
      <c r="D734" s="7" t="s">
        <v>8462</v>
      </c>
      <c r="E734" s="7" t="s">
        <v>8431</v>
      </c>
      <c r="F734" s="7" t="s">
        <v>8463</v>
      </c>
      <c r="G734" s="7" t="s">
        <v>8464</v>
      </c>
      <c r="H734" s="7" t="s">
        <v>8465</v>
      </c>
      <c r="I734" s="119">
        <v>45292.0</v>
      </c>
      <c r="K734" s="7" t="s">
        <v>3885</v>
      </c>
      <c r="L734" s="7" t="s">
        <v>3542</v>
      </c>
      <c r="M734" s="7" t="s">
        <v>3543</v>
      </c>
      <c r="N734" s="7" t="s">
        <v>419</v>
      </c>
      <c r="O734" s="7" t="s">
        <v>19432</v>
      </c>
      <c r="P734" s="7" t="s">
        <v>391</v>
      </c>
      <c r="Q734" s="7" t="s">
        <v>890</v>
      </c>
      <c r="T734" s="7" t="s">
        <v>19445</v>
      </c>
      <c r="U734" s="7" t="s">
        <v>6078</v>
      </c>
      <c r="V734" s="7">
        <v>1.0</v>
      </c>
    </row>
    <row r="735">
      <c r="A735" s="7" t="s">
        <v>20576</v>
      </c>
      <c r="B735" s="7">
        <v>14011.0</v>
      </c>
      <c r="C735" s="7" t="s">
        <v>8429</v>
      </c>
      <c r="D735" s="7" t="s">
        <v>8469</v>
      </c>
      <c r="E735" s="7" t="s">
        <v>8431</v>
      </c>
      <c r="F735" s="7" t="s">
        <v>6738</v>
      </c>
      <c r="G735" s="7" t="s">
        <v>8470</v>
      </c>
      <c r="H735" s="7" t="s">
        <v>8471</v>
      </c>
      <c r="I735" s="119">
        <v>45292.0</v>
      </c>
      <c r="K735" s="7" t="s">
        <v>419</v>
      </c>
      <c r="L735" s="7" t="s">
        <v>991</v>
      </c>
      <c r="M735" s="7" t="s">
        <v>3501</v>
      </c>
      <c r="N735" s="7" t="s">
        <v>419</v>
      </c>
      <c r="O735" s="7" t="s">
        <v>19437</v>
      </c>
      <c r="P735" s="7" t="s">
        <v>478</v>
      </c>
      <c r="Q735" s="7" t="s">
        <v>491</v>
      </c>
      <c r="R735" s="7" t="s">
        <v>20577</v>
      </c>
      <c r="T735" s="7" t="s">
        <v>9794</v>
      </c>
      <c r="U735" s="7" t="s">
        <v>3604</v>
      </c>
      <c r="V735" s="7">
        <v>1.0</v>
      </c>
    </row>
    <row r="736">
      <c r="A736" s="7" t="s">
        <v>20578</v>
      </c>
      <c r="B736" s="7">
        <v>55.0</v>
      </c>
      <c r="C736" s="7" t="s">
        <v>8429</v>
      </c>
      <c r="D736" s="7" t="s">
        <v>8475</v>
      </c>
      <c r="E736" s="7" t="s">
        <v>8431</v>
      </c>
      <c r="F736" s="7" t="s">
        <v>4075</v>
      </c>
      <c r="G736" s="7" t="s">
        <v>8476</v>
      </c>
      <c r="H736" s="7" t="s">
        <v>8477</v>
      </c>
      <c r="I736" s="119">
        <v>45292.0</v>
      </c>
      <c r="K736" s="7" t="s">
        <v>419</v>
      </c>
      <c r="L736" s="7" t="s">
        <v>991</v>
      </c>
      <c r="M736" s="7" t="s">
        <v>3501</v>
      </c>
      <c r="N736" s="7" t="s">
        <v>419</v>
      </c>
      <c r="O736" s="7" t="s">
        <v>19432</v>
      </c>
      <c r="P736" s="7" t="s">
        <v>298</v>
      </c>
      <c r="Q736" s="7" t="s">
        <v>1284</v>
      </c>
      <c r="R736" s="7" t="s">
        <v>20579</v>
      </c>
      <c r="S736" s="7" t="s">
        <v>20580</v>
      </c>
      <c r="T736" s="7" t="s">
        <v>11111</v>
      </c>
      <c r="U736" s="7" t="s">
        <v>3493</v>
      </c>
      <c r="V736" s="7">
        <v>1.0</v>
      </c>
    </row>
    <row r="737">
      <c r="A737" s="7" t="s">
        <v>20581</v>
      </c>
      <c r="B737" s="7">
        <v>12559.0</v>
      </c>
      <c r="C737" s="7" t="s">
        <v>8429</v>
      </c>
      <c r="D737" s="7" t="s">
        <v>5311</v>
      </c>
      <c r="E737" s="7" t="s">
        <v>8431</v>
      </c>
      <c r="F737" s="7" t="s">
        <v>8194</v>
      </c>
      <c r="G737" s="7" t="s">
        <v>8481</v>
      </c>
      <c r="H737" s="7" t="s">
        <v>8482</v>
      </c>
      <c r="I737" s="119">
        <v>45292.0</v>
      </c>
      <c r="K737" s="7" t="s">
        <v>419</v>
      </c>
      <c r="L737" s="7" t="s">
        <v>991</v>
      </c>
      <c r="M737" s="7" t="s">
        <v>3501</v>
      </c>
      <c r="N737" s="7" t="s">
        <v>419</v>
      </c>
      <c r="O737" s="7" t="s">
        <v>19432</v>
      </c>
      <c r="P737" s="7" t="s">
        <v>391</v>
      </c>
      <c r="Q737" s="7" t="s">
        <v>399</v>
      </c>
      <c r="R737" s="7" t="s">
        <v>19508</v>
      </c>
      <c r="T737" s="7" t="s">
        <v>7225</v>
      </c>
      <c r="U737" s="7" t="s">
        <v>3493</v>
      </c>
      <c r="V737" s="7">
        <v>1.0</v>
      </c>
    </row>
    <row r="738">
      <c r="A738" s="7" t="s">
        <v>20582</v>
      </c>
      <c r="B738" s="7">
        <v>910.0</v>
      </c>
      <c r="C738" s="7" t="s">
        <v>8429</v>
      </c>
      <c r="D738" s="7" t="s">
        <v>8485</v>
      </c>
      <c r="E738" s="7" t="s">
        <v>8431</v>
      </c>
      <c r="F738" s="7" t="s">
        <v>3799</v>
      </c>
      <c r="G738" s="7" t="s">
        <v>8486</v>
      </c>
      <c r="H738" s="7" t="s">
        <v>2430</v>
      </c>
      <c r="I738" s="119">
        <v>45292.0</v>
      </c>
      <c r="K738" s="7" t="s">
        <v>419</v>
      </c>
      <c r="L738" s="7" t="s">
        <v>991</v>
      </c>
      <c r="M738" s="7" t="s">
        <v>3501</v>
      </c>
      <c r="N738" s="7" t="s">
        <v>419</v>
      </c>
      <c r="O738" s="7" t="s">
        <v>19430</v>
      </c>
      <c r="P738" s="7" t="s">
        <v>717</v>
      </c>
      <c r="Q738" s="7" t="s">
        <v>720</v>
      </c>
      <c r="R738" s="7" t="s">
        <v>20223</v>
      </c>
      <c r="T738" s="7" t="s">
        <v>6638</v>
      </c>
      <c r="U738" s="7" t="s">
        <v>3604</v>
      </c>
      <c r="V738" s="7">
        <v>1.0</v>
      </c>
    </row>
    <row r="739">
      <c r="A739" s="7" t="s">
        <v>20583</v>
      </c>
      <c r="B739" s="7">
        <v>2300695.0</v>
      </c>
      <c r="C739" s="7" t="s">
        <v>8429</v>
      </c>
      <c r="D739" s="7" t="s">
        <v>8488</v>
      </c>
      <c r="E739" s="7" t="s">
        <v>8431</v>
      </c>
      <c r="F739" s="7" t="s">
        <v>5155</v>
      </c>
      <c r="G739" s="7" t="s">
        <v>8489</v>
      </c>
      <c r="H739" s="7" t="s">
        <v>8490</v>
      </c>
      <c r="I739" s="119">
        <v>45292.0</v>
      </c>
      <c r="K739" s="7" t="s">
        <v>8491</v>
      </c>
      <c r="L739" s="7" t="s">
        <v>991</v>
      </c>
      <c r="M739" s="7" t="s">
        <v>3501</v>
      </c>
      <c r="N739" s="7" t="s">
        <v>8491</v>
      </c>
      <c r="O739" s="7" t="s">
        <v>8491</v>
      </c>
      <c r="P739" s="7" t="s">
        <v>20584</v>
      </c>
      <c r="T739" s="7" t="s">
        <v>8493</v>
      </c>
      <c r="U739" s="7" t="s">
        <v>3493</v>
      </c>
      <c r="V739" s="7">
        <v>1.0</v>
      </c>
    </row>
    <row r="740">
      <c r="A740" s="7" t="s">
        <v>20585</v>
      </c>
      <c r="B740" s="7">
        <v>2300113.0</v>
      </c>
      <c r="C740" s="7" t="s">
        <v>8429</v>
      </c>
      <c r="D740" s="7" t="s">
        <v>8495</v>
      </c>
      <c r="E740" s="7" t="s">
        <v>8431</v>
      </c>
      <c r="F740" s="7" t="s">
        <v>8496</v>
      </c>
      <c r="G740" s="7" t="s">
        <v>8497</v>
      </c>
      <c r="H740" s="7" t="s">
        <v>8498</v>
      </c>
      <c r="I740" s="119">
        <v>45292.0</v>
      </c>
      <c r="K740" s="7" t="s">
        <v>3622</v>
      </c>
      <c r="L740" s="7" t="s">
        <v>991</v>
      </c>
      <c r="M740" s="7" t="s">
        <v>3531</v>
      </c>
      <c r="N740" s="7" t="s">
        <v>3622</v>
      </c>
      <c r="O740" s="7" t="s">
        <v>3622</v>
      </c>
      <c r="P740" s="7" t="s">
        <v>19521</v>
      </c>
      <c r="T740" s="7" t="s">
        <v>3624</v>
      </c>
      <c r="U740" s="7" t="s">
        <v>3493</v>
      </c>
      <c r="V740" s="7">
        <v>1.0</v>
      </c>
    </row>
    <row r="741">
      <c r="A741" s="7" t="s">
        <v>20586</v>
      </c>
      <c r="B741" s="7">
        <v>11336.0</v>
      </c>
      <c r="C741" s="7" t="s">
        <v>8429</v>
      </c>
      <c r="D741" s="7" t="s">
        <v>8499</v>
      </c>
      <c r="E741" s="7" t="s">
        <v>8431</v>
      </c>
      <c r="F741" s="7" t="s">
        <v>8500</v>
      </c>
      <c r="G741" s="7" t="s">
        <v>8501</v>
      </c>
      <c r="H741" s="7" t="s">
        <v>8502</v>
      </c>
      <c r="I741" s="119">
        <v>45292.0</v>
      </c>
      <c r="J741" s="7" t="s">
        <v>3929</v>
      </c>
      <c r="K741" s="7" t="s">
        <v>419</v>
      </c>
      <c r="L741" s="7" t="s">
        <v>991</v>
      </c>
      <c r="M741" s="7" t="s">
        <v>3501</v>
      </c>
      <c r="N741" s="7" t="s">
        <v>419</v>
      </c>
      <c r="O741" s="7" t="s">
        <v>19432</v>
      </c>
      <c r="P741" s="7" t="s">
        <v>693</v>
      </c>
      <c r="Q741" s="7" t="s">
        <v>701</v>
      </c>
      <c r="R741" s="7" t="s">
        <v>20587</v>
      </c>
      <c r="S741" s="7" t="s">
        <v>19611</v>
      </c>
      <c r="T741" s="7" t="s">
        <v>8504</v>
      </c>
      <c r="U741" s="7" t="s">
        <v>3493</v>
      </c>
      <c r="V741" s="7">
        <v>1.0</v>
      </c>
    </row>
    <row r="742">
      <c r="A742" s="7" t="s">
        <v>20588</v>
      </c>
      <c r="B742" s="7">
        <v>2200338.0</v>
      </c>
      <c r="C742" s="7" t="s">
        <v>8429</v>
      </c>
      <c r="D742" s="7" t="s">
        <v>8506</v>
      </c>
      <c r="E742" s="7" t="s">
        <v>8431</v>
      </c>
      <c r="F742" s="7" t="s">
        <v>5250</v>
      </c>
      <c r="G742" s="7" t="s">
        <v>8507</v>
      </c>
      <c r="H742" s="7" t="s">
        <v>8508</v>
      </c>
      <c r="I742" s="119">
        <v>45292.0</v>
      </c>
      <c r="K742" s="7" t="s">
        <v>419</v>
      </c>
      <c r="L742" s="7" t="s">
        <v>991</v>
      </c>
      <c r="M742" s="7" t="s">
        <v>3501</v>
      </c>
      <c r="N742" s="7" t="s">
        <v>419</v>
      </c>
      <c r="O742" s="7" t="s">
        <v>19443</v>
      </c>
      <c r="P742" s="7" t="s">
        <v>323</v>
      </c>
      <c r="Q742" s="7" t="s">
        <v>824</v>
      </c>
      <c r="R742" s="7" t="s">
        <v>20407</v>
      </c>
      <c r="T742" s="7" t="s">
        <v>8908</v>
      </c>
      <c r="U742" s="7" t="s">
        <v>3493</v>
      </c>
      <c r="V742" s="7">
        <v>1.0</v>
      </c>
    </row>
    <row r="743">
      <c r="A743" s="7" t="s">
        <v>20589</v>
      </c>
      <c r="B743" s="7">
        <v>2100637.0</v>
      </c>
      <c r="C743" s="7" t="s">
        <v>8429</v>
      </c>
      <c r="D743" s="7" t="s">
        <v>5248</v>
      </c>
      <c r="E743" s="7" t="s">
        <v>8431</v>
      </c>
      <c r="F743" s="7" t="s">
        <v>5250</v>
      </c>
      <c r="G743" s="7" t="s">
        <v>8510</v>
      </c>
      <c r="H743" s="7" t="s">
        <v>8511</v>
      </c>
      <c r="I743" s="119">
        <v>45292.0</v>
      </c>
      <c r="K743" s="7" t="s">
        <v>419</v>
      </c>
      <c r="L743" s="7" t="s">
        <v>991</v>
      </c>
      <c r="M743" s="7" t="s">
        <v>3501</v>
      </c>
      <c r="N743" s="7" t="s">
        <v>419</v>
      </c>
      <c r="O743" s="7" t="s">
        <v>19443</v>
      </c>
      <c r="P743" s="7" t="s">
        <v>323</v>
      </c>
      <c r="Q743" s="7" t="s">
        <v>824</v>
      </c>
      <c r="R743" s="7" t="s">
        <v>20590</v>
      </c>
      <c r="T743" s="7" t="s">
        <v>20591</v>
      </c>
      <c r="U743" s="7" t="s">
        <v>3493</v>
      </c>
      <c r="V743" s="7">
        <v>1.0</v>
      </c>
    </row>
    <row r="744">
      <c r="A744" s="7" t="s">
        <v>20592</v>
      </c>
      <c r="B744" s="7">
        <v>1104.0</v>
      </c>
      <c r="C744" s="7" t="s">
        <v>8429</v>
      </c>
      <c r="D744" s="7" t="s">
        <v>8515</v>
      </c>
      <c r="E744" s="7" t="s">
        <v>8431</v>
      </c>
      <c r="F744" s="7" t="s">
        <v>4478</v>
      </c>
      <c r="G744" s="7" t="s">
        <v>8516</v>
      </c>
      <c r="H744" s="7" t="s">
        <v>8517</v>
      </c>
      <c r="I744" s="119">
        <v>45292.0</v>
      </c>
      <c r="K744" s="7" t="s">
        <v>6681</v>
      </c>
      <c r="L744" s="7" t="s">
        <v>3542</v>
      </c>
      <c r="M744" s="7" t="s">
        <v>4383</v>
      </c>
      <c r="N744" s="7" t="s">
        <v>419</v>
      </c>
      <c r="O744" s="7" t="s">
        <v>19433</v>
      </c>
      <c r="P744" s="7" t="s">
        <v>587</v>
      </c>
      <c r="Q744" s="7" t="s">
        <v>74</v>
      </c>
      <c r="R744" s="7" t="s">
        <v>19911</v>
      </c>
      <c r="S744" s="7" t="s">
        <v>20593</v>
      </c>
      <c r="T744" s="7" t="s">
        <v>16290</v>
      </c>
      <c r="U744" s="7" t="s">
        <v>3493</v>
      </c>
      <c r="V744" s="7">
        <v>1.0</v>
      </c>
    </row>
    <row r="745">
      <c r="A745" s="7" t="s">
        <v>20594</v>
      </c>
      <c r="B745" s="7">
        <v>2400031.0</v>
      </c>
      <c r="C745" s="7" t="s">
        <v>8429</v>
      </c>
      <c r="D745" s="7" t="s">
        <v>8522</v>
      </c>
      <c r="E745" s="7" t="s">
        <v>8431</v>
      </c>
      <c r="F745" s="7" t="s">
        <v>6301</v>
      </c>
      <c r="G745" s="7" t="s">
        <v>8523</v>
      </c>
      <c r="H745" s="7" t="s">
        <v>8524</v>
      </c>
      <c r="I745" s="119">
        <v>45292.0</v>
      </c>
      <c r="K745" s="7" t="s">
        <v>419</v>
      </c>
      <c r="L745" s="7" t="s">
        <v>991</v>
      </c>
      <c r="M745" s="7" t="s">
        <v>3531</v>
      </c>
      <c r="N745" s="7" t="s">
        <v>419</v>
      </c>
      <c r="O745" s="7" t="s">
        <v>19430</v>
      </c>
      <c r="P745" s="7" t="s">
        <v>717</v>
      </c>
      <c r="Q745" s="7" t="s">
        <v>223</v>
      </c>
      <c r="R745" s="7" t="s">
        <v>19764</v>
      </c>
      <c r="S745" s="7" t="s">
        <v>20036</v>
      </c>
      <c r="T745" s="7" t="s">
        <v>5756</v>
      </c>
      <c r="U745" s="7" t="s">
        <v>3493</v>
      </c>
      <c r="V745" s="7">
        <v>1.0</v>
      </c>
    </row>
    <row r="746">
      <c r="A746" s="7" t="s">
        <v>20595</v>
      </c>
      <c r="B746" s="7">
        <v>2100315.0</v>
      </c>
      <c r="C746" s="7" t="s">
        <v>8429</v>
      </c>
      <c r="D746" s="7" t="s">
        <v>4313</v>
      </c>
      <c r="E746" s="7" t="s">
        <v>8431</v>
      </c>
      <c r="F746" s="7" t="s">
        <v>4314</v>
      </c>
      <c r="G746" s="7" t="s">
        <v>8526</v>
      </c>
      <c r="H746" s="7" t="s">
        <v>8527</v>
      </c>
      <c r="I746" s="119">
        <v>45292.0</v>
      </c>
      <c r="K746" s="7" t="s">
        <v>419</v>
      </c>
      <c r="L746" s="7" t="s">
        <v>991</v>
      </c>
      <c r="M746" s="7" t="s">
        <v>3501</v>
      </c>
      <c r="N746" s="7" t="s">
        <v>419</v>
      </c>
      <c r="O746" s="7" t="s">
        <v>19430</v>
      </c>
      <c r="P746" s="7" t="s">
        <v>717</v>
      </c>
      <c r="Q746" s="7" t="s">
        <v>223</v>
      </c>
      <c r="R746" s="7" t="s">
        <v>19764</v>
      </c>
      <c r="S746" s="7" t="s">
        <v>20036</v>
      </c>
      <c r="T746" s="7" t="s">
        <v>5756</v>
      </c>
      <c r="U746" s="7" t="s">
        <v>3843</v>
      </c>
      <c r="V746" s="7">
        <v>1.0</v>
      </c>
    </row>
    <row r="747">
      <c r="A747" s="7" t="s">
        <v>20596</v>
      </c>
      <c r="B747" s="7">
        <v>2300155.0</v>
      </c>
      <c r="C747" s="7" t="s">
        <v>8429</v>
      </c>
      <c r="D747" s="7" t="s">
        <v>8529</v>
      </c>
      <c r="E747" s="7" t="s">
        <v>8431</v>
      </c>
      <c r="F747" s="7" t="s">
        <v>3909</v>
      </c>
      <c r="G747" s="7" t="s">
        <v>8530</v>
      </c>
      <c r="H747" s="7" t="s">
        <v>8531</v>
      </c>
      <c r="I747" s="119">
        <v>45292.0</v>
      </c>
      <c r="K747" s="7" t="s">
        <v>419</v>
      </c>
      <c r="L747" s="7" t="s">
        <v>991</v>
      </c>
      <c r="M747" s="7" t="s">
        <v>3501</v>
      </c>
      <c r="N747" s="7" t="s">
        <v>419</v>
      </c>
      <c r="O747" s="7" t="s">
        <v>19430</v>
      </c>
      <c r="P747" s="7" t="s">
        <v>717</v>
      </c>
      <c r="Q747" s="7" t="s">
        <v>720</v>
      </c>
      <c r="R747" s="7" t="s">
        <v>19626</v>
      </c>
      <c r="S747" s="7" t="s">
        <v>20561</v>
      </c>
      <c r="T747" s="7" t="s">
        <v>8391</v>
      </c>
      <c r="U747" s="7" t="s">
        <v>3493</v>
      </c>
      <c r="V747" s="7">
        <v>1.0</v>
      </c>
    </row>
    <row r="748">
      <c r="A748" s="7" t="s">
        <v>20597</v>
      </c>
      <c r="B748" s="7">
        <v>2300239.0</v>
      </c>
      <c r="C748" s="7" t="s">
        <v>8429</v>
      </c>
      <c r="D748" s="7" t="s">
        <v>8533</v>
      </c>
      <c r="E748" s="7" t="s">
        <v>8431</v>
      </c>
      <c r="F748" s="7" t="s">
        <v>7169</v>
      </c>
      <c r="G748" s="7" t="s">
        <v>8534</v>
      </c>
      <c r="H748" s="7" t="s">
        <v>8535</v>
      </c>
      <c r="I748" s="119">
        <v>45292.0</v>
      </c>
      <c r="K748" s="7" t="s">
        <v>3489</v>
      </c>
      <c r="L748" s="7" t="s">
        <v>991</v>
      </c>
      <c r="M748" s="7" t="s">
        <v>3490</v>
      </c>
      <c r="N748" s="7" t="s">
        <v>3489</v>
      </c>
      <c r="O748" s="7" t="s">
        <v>3489</v>
      </c>
      <c r="P748" s="7" t="s">
        <v>19491</v>
      </c>
      <c r="Q748" s="7" t="s">
        <v>169</v>
      </c>
      <c r="R748" s="7" t="s">
        <v>19492</v>
      </c>
      <c r="T748" s="7" t="s">
        <v>3492</v>
      </c>
      <c r="U748" s="7" t="s">
        <v>3493</v>
      </c>
      <c r="V748" s="7">
        <v>1.0</v>
      </c>
    </row>
    <row r="749">
      <c r="A749" s="7" t="s">
        <v>20598</v>
      </c>
      <c r="B749" s="7">
        <v>2200521.0</v>
      </c>
      <c r="C749" s="7" t="s">
        <v>8429</v>
      </c>
      <c r="D749" s="7" t="s">
        <v>8537</v>
      </c>
      <c r="E749" s="7" t="s">
        <v>8431</v>
      </c>
      <c r="F749" s="7" t="s">
        <v>4371</v>
      </c>
      <c r="G749" s="7" t="s">
        <v>8538</v>
      </c>
      <c r="H749" s="7" t="s">
        <v>8539</v>
      </c>
      <c r="I749" s="119">
        <v>45292.0</v>
      </c>
      <c r="K749" s="7" t="s">
        <v>419</v>
      </c>
      <c r="L749" s="7" t="s">
        <v>991</v>
      </c>
      <c r="M749" s="7" t="s">
        <v>3583</v>
      </c>
      <c r="N749" s="7" t="s">
        <v>419</v>
      </c>
      <c r="O749" s="7" t="s">
        <v>19430</v>
      </c>
      <c r="P749" s="7" t="s">
        <v>717</v>
      </c>
      <c r="Q749" s="7" t="s">
        <v>738</v>
      </c>
      <c r="R749" s="7" t="s">
        <v>20012</v>
      </c>
      <c r="S749" s="7" t="s">
        <v>20392</v>
      </c>
      <c r="T749" s="7" t="s">
        <v>7537</v>
      </c>
      <c r="U749" s="7" t="s">
        <v>3493</v>
      </c>
      <c r="V749" s="7">
        <v>1.0</v>
      </c>
    </row>
    <row r="750">
      <c r="A750" s="7" t="s">
        <v>1547</v>
      </c>
      <c r="B750" s="7">
        <v>10794.0</v>
      </c>
      <c r="C750" s="7" t="s">
        <v>8429</v>
      </c>
      <c r="D750" s="7" t="s">
        <v>5214</v>
      </c>
      <c r="E750" s="7" t="s">
        <v>8431</v>
      </c>
      <c r="F750" s="7" t="s">
        <v>4598</v>
      </c>
      <c r="G750" s="7" t="s">
        <v>8540</v>
      </c>
      <c r="H750" s="7" t="s">
        <v>8541</v>
      </c>
      <c r="I750" s="119">
        <v>45292.0</v>
      </c>
      <c r="K750" s="7" t="s">
        <v>8542</v>
      </c>
      <c r="L750" s="7" t="s">
        <v>3706</v>
      </c>
      <c r="M750" s="7" t="s">
        <v>3938</v>
      </c>
      <c r="N750" s="7" t="s">
        <v>419</v>
      </c>
      <c r="O750" s="7" t="s">
        <v>19443</v>
      </c>
      <c r="P750" s="7" t="s">
        <v>323</v>
      </c>
      <c r="T750" s="7" t="s">
        <v>19485</v>
      </c>
      <c r="U750" s="7" t="s">
        <v>12011</v>
      </c>
      <c r="V750" s="7">
        <v>1.0</v>
      </c>
    </row>
    <row r="751">
      <c r="A751" s="7" t="s">
        <v>20599</v>
      </c>
      <c r="B751" s="7">
        <v>2100490.0</v>
      </c>
      <c r="C751" s="7" t="s">
        <v>8429</v>
      </c>
      <c r="D751" s="7" t="s">
        <v>8547</v>
      </c>
      <c r="E751" s="7" t="s">
        <v>8431</v>
      </c>
      <c r="F751" s="7" t="s">
        <v>5514</v>
      </c>
      <c r="G751" s="7" t="s">
        <v>8548</v>
      </c>
      <c r="H751" s="7" t="s">
        <v>8549</v>
      </c>
      <c r="I751" s="119">
        <v>45292.0</v>
      </c>
      <c r="K751" s="7" t="s">
        <v>419</v>
      </c>
      <c r="L751" s="7" t="s">
        <v>991</v>
      </c>
      <c r="M751" s="7" t="s">
        <v>3501</v>
      </c>
      <c r="N751" s="7" t="s">
        <v>419</v>
      </c>
      <c r="O751" s="7" t="s">
        <v>19430</v>
      </c>
      <c r="P751" s="7" t="s">
        <v>717</v>
      </c>
      <c r="Q751" s="7" t="s">
        <v>1163</v>
      </c>
      <c r="R751" s="7" t="s">
        <v>19639</v>
      </c>
      <c r="S751" s="7" t="s">
        <v>20600</v>
      </c>
      <c r="T751" s="7" t="s">
        <v>8551</v>
      </c>
      <c r="U751" s="7" t="s">
        <v>3843</v>
      </c>
      <c r="V751" s="7">
        <v>1.0</v>
      </c>
    </row>
    <row r="752">
      <c r="A752" s="7" t="s">
        <v>20601</v>
      </c>
      <c r="B752" s="7">
        <v>11971.0</v>
      </c>
      <c r="C752" s="7" t="s">
        <v>8429</v>
      </c>
      <c r="D752" s="7" t="s">
        <v>8553</v>
      </c>
      <c r="E752" s="7" t="s">
        <v>8431</v>
      </c>
      <c r="F752" s="7" t="s">
        <v>8554</v>
      </c>
      <c r="G752" s="7" t="s">
        <v>8555</v>
      </c>
      <c r="H752" s="7" t="s">
        <v>8556</v>
      </c>
      <c r="I752" s="119">
        <v>45292.0</v>
      </c>
      <c r="K752" s="7" t="s">
        <v>3489</v>
      </c>
      <c r="L752" s="7" t="s">
        <v>991</v>
      </c>
      <c r="M752" s="7" t="s">
        <v>3490</v>
      </c>
      <c r="N752" s="7" t="s">
        <v>3489</v>
      </c>
      <c r="O752" s="7" t="s">
        <v>3489</v>
      </c>
      <c r="P752" s="7" t="s">
        <v>19491</v>
      </c>
      <c r="Q752" s="7" t="s">
        <v>169</v>
      </c>
      <c r="R752" s="7" t="s">
        <v>19492</v>
      </c>
      <c r="T752" s="7" t="s">
        <v>3492</v>
      </c>
      <c r="U752" s="7" t="s">
        <v>3493</v>
      </c>
      <c r="V752" s="7">
        <v>1.0</v>
      </c>
    </row>
    <row r="753">
      <c r="A753" s="7" t="s">
        <v>20602</v>
      </c>
      <c r="B753" s="7">
        <v>2200004.0</v>
      </c>
      <c r="C753" s="7" t="s">
        <v>8558</v>
      </c>
      <c r="D753" s="7" t="s">
        <v>8559</v>
      </c>
      <c r="E753" s="7" t="s">
        <v>8560</v>
      </c>
      <c r="F753" s="7" t="s">
        <v>3486</v>
      </c>
      <c r="G753" s="7" t="s">
        <v>8561</v>
      </c>
      <c r="H753" s="7" t="s">
        <v>8562</v>
      </c>
      <c r="I753" s="119">
        <v>45292.0</v>
      </c>
      <c r="K753" s="7" t="s">
        <v>419</v>
      </c>
      <c r="L753" s="7" t="s">
        <v>991</v>
      </c>
      <c r="M753" s="7" t="s">
        <v>3501</v>
      </c>
      <c r="N753" s="7" t="s">
        <v>419</v>
      </c>
      <c r="O753" s="7" t="s">
        <v>19433</v>
      </c>
      <c r="P753" s="7" t="s">
        <v>648</v>
      </c>
      <c r="Q753" s="7" t="s">
        <v>143</v>
      </c>
      <c r="R753" s="7" t="s">
        <v>19712</v>
      </c>
      <c r="S753" s="7" t="s">
        <v>19987</v>
      </c>
      <c r="T753" s="7" t="s">
        <v>5506</v>
      </c>
      <c r="U753" s="7" t="s">
        <v>3843</v>
      </c>
      <c r="V753" s="7">
        <v>1.0</v>
      </c>
    </row>
    <row r="754">
      <c r="A754" s="7" t="s">
        <v>20603</v>
      </c>
      <c r="B754" s="7">
        <v>12488.0</v>
      </c>
      <c r="C754" s="7" t="s">
        <v>8564</v>
      </c>
      <c r="D754" s="7" t="s">
        <v>8565</v>
      </c>
      <c r="E754" s="7" t="s">
        <v>8566</v>
      </c>
      <c r="F754" s="7" t="s">
        <v>7066</v>
      </c>
      <c r="G754" s="7" t="s">
        <v>8567</v>
      </c>
      <c r="H754" s="7" t="s">
        <v>8568</v>
      </c>
      <c r="I754" s="119">
        <v>45292.0</v>
      </c>
      <c r="K754" s="7" t="s">
        <v>419</v>
      </c>
      <c r="L754" s="7" t="s">
        <v>991</v>
      </c>
      <c r="M754" s="7" t="s">
        <v>3501</v>
      </c>
      <c r="N754" s="7" t="s">
        <v>419</v>
      </c>
      <c r="O754" s="7" t="s">
        <v>19437</v>
      </c>
      <c r="P754" s="7" t="s">
        <v>603</v>
      </c>
      <c r="Q754" s="7" t="s">
        <v>90</v>
      </c>
      <c r="R754" s="7" t="s">
        <v>19973</v>
      </c>
      <c r="T754" s="7" t="s">
        <v>8570</v>
      </c>
      <c r="U754" s="7" t="s">
        <v>3604</v>
      </c>
      <c r="V754" s="7">
        <v>1.0</v>
      </c>
    </row>
    <row r="755">
      <c r="A755" s="7" t="s">
        <v>20604</v>
      </c>
      <c r="B755" s="7">
        <v>13696.0</v>
      </c>
      <c r="C755" s="7" t="s">
        <v>8564</v>
      </c>
      <c r="D755" s="7" t="s">
        <v>6121</v>
      </c>
      <c r="E755" s="7" t="s">
        <v>8566</v>
      </c>
      <c r="F755" s="7" t="s">
        <v>5595</v>
      </c>
      <c r="G755" s="7" t="s">
        <v>8572</v>
      </c>
      <c r="H755" s="7" t="s">
        <v>8573</v>
      </c>
      <c r="I755" s="119">
        <v>45292.0</v>
      </c>
      <c r="K755" s="7" t="s">
        <v>3632</v>
      </c>
      <c r="L755" s="7" t="s">
        <v>991</v>
      </c>
      <c r="M755" s="7" t="s">
        <v>3501</v>
      </c>
      <c r="N755" s="7" t="s">
        <v>3632</v>
      </c>
      <c r="O755" s="7" t="s">
        <v>3632</v>
      </c>
      <c r="P755" s="7" t="s">
        <v>625</v>
      </c>
      <c r="Q755" s="7" t="s">
        <v>124</v>
      </c>
      <c r="R755" s="7" t="s">
        <v>19563</v>
      </c>
      <c r="T755" s="7" t="s">
        <v>10625</v>
      </c>
      <c r="U755" s="7" t="s">
        <v>3493</v>
      </c>
      <c r="V755" s="7">
        <v>1.0</v>
      </c>
    </row>
    <row r="756">
      <c r="A756" s="7" t="s">
        <v>20605</v>
      </c>
      <c r="B756" s="7">
        <v>2200425.0</v>
      </c>
      <c r="C756" s="7" t="s">
        <v>8577</v>
      </c>
      <c r="D756" s="7" t="s">
        <v>8578</v>
      </c>
      <c r="E756" s="7" t="s">
        <v>8579</v>
      </c>
      <c r="F756" s="7" t="s">
        <v>8580</v>
      </c>
      <c r="G756" s="7" t="s">
        <v>8581</v>
      </c>
      <c r="H756" s="7" t="s">
        <v>8582</v>
      </c>
      <c r="I756" s="119">
        <v>45292.0</v>
      </c>
      <c r="K756" s="7" t="s">
        <v>419</v>
      </c>
      <c r="L756" s="7" t="s">
        <v>991</v>
      </c>
      <c r="M756" s="7" t="s">
        <v>3531</v>
      </c>
      <c r="N756" s="7" t="s">
        <v>419</v>
      </c>
      <c r="O756" s="7" t="s">
        <v>19430</v>
      </c>
      <c r="P756" s="7" t="s">
        <v>717</v>
      </c>
      <c r="Q756" s="7" t="s">
        <v>730</v>
      </c>
      <c r="R756" s="7" t="s">
        <v>19979</v>
      </c>
      <c r="S756" s="7" t="s">
        <v>19636</v>
      </c>
      <c r="T756" s="7" t="s">
        <v>8584</v>
      </c>
      <c r="U756" s="7" t="s">
        <v>3493</v>
      </c>
      <c r="V756" s="7">
        <v>1.0</v>
      </c>
    </row>
    <row r="757">
      <c r="A757" s="7" t="s">
        <v>20606</v>
      </c>
      <c r="B757" s="7">
        <v>10501.0</v>
      </c>
      <c r="C757" s="7" t="s">
        <v>8586</v>
      </c>
      <c r="D757" s="7" t="s">
        <v>8587</v>
      </c>
      <c r="E757" s="7" t="s">
        <v>8588</v>
      </c>
      <c r="F757" s="7" t="s">
        <v>4009</v>
      </c>
      <c r="G757" s="7" t="s">
        <v>8589</v>
      </c>
      <c r="H757" s="7" t="s">
        <v>8590</v>
      </c>
      <c r="I757" s="119">
        <v>45292.0</v>
      </c>
      <c r="K757" s="7" t="s">
        <v>419</v>
      </c>
      <c r="L757" s="7" t="s">
        <v>991</v>
      </c>
      <c r="M757" s="7" t="s">
        <v>3501</v>
      </c>
      <c r="N757" s="7" t="s">
        <v>419</v>
      </c>
      <c r="O757" s="7" t="s">
        <v>19443</v>
      </c>
      <c r="P757" s="7" t="s">
        <v>1242</v>
      </c>
      <c r="Q757" s="7" t="s">
        <v>48</v>
      </c>
      <c r="R757" s="7" t="s">
        <v>19700</v>
      </c>
      <c r="S757" s="7" t="s">
        <v>20039</v>
      </c>
      <c r="T757" s="7" t="s">
        <v>5770</v>
      </c>
      <c r="U757" s="7" t="s">
        <v>3843</v>
      </c>
      <c r="V757" s="7">
        <v>1.0</v>
      </c>
    </row>
    <row r="758">
      <c r="A758" s="7" t="s">
        <v>20607</v>
      </c>
      <c r="B758" s="7">
        <v>2100553.0</v>
      </c>
      <c r="C758" s="7" t="s">
        <v>8592</v>
      </c>
      <c r="D758" s="7" t="s">
        <v>8593</v>
      </c>
      <c r="E758" s="7" t="s">
        <v>8592</v>
      </c>
      <c r="F758" s="7" t="s">
        <v>8593</v>
      </c>
      <c r="G758" s="7" t="s">
        <v>8594</v>
      </c>
      <c r="H758" s="7" t="s">
        <v>8595</v>
      </c>
      <c r="I758" s="119">
        <v>45292.0</v>
      </c>
      <c r="K758" s="7" t="s">
        <v>419</v>
      </c>
      <c r="L758" s="7" t="s">
        <v>991</v>
      </c>
      <c r="M758" s="7" t="s">
        <v>3501</v>
      </c>
      <c r="N758" s="7" t="s">
        <v>419</v>
      </c>
      <c r="O758" s="7" t="s">
        <v>19430</v>
      </c>
      <c r="P758" s="7" t="s">
        <v>780</v>
      </c>
      <c r="Q758" s="7" t="s">
        <v>786</v>
      </c>
      <c r="R758" s="7" t="s">
        <v>19574</v>
      </c>
      <c r="S758" s="7" t="s">
        <v>19575</v>
      </c>
      <c r="T758" s="7" t="s">
        <v>3835</v>
      </c>
      <c r="U758" s="7" t="s">
        <v>3493</v>
      </c>
      <c r="V758" s="7">
        <v>1.0</v>
      </c>
    </row>
    <row r="759">
      <c r="A759" s="7" t="s">
        <v>20608</v>
      </c>
      <c r="B759" s="7">
        <v>2100688.0</v>
      </c>
      <c r="C759" s="7" t="s">
        <v>8597</v>
      </c>
      <c r="D759" s="7" t="s">
        <v>8598</v>
      </c>
      <c r="E759" s="7" t="s">
        <v>8599</v>
      </c>
      <c r="F759" s="7" t="s">
        <v>4598</v>
      </c>
      <c r="G759" s="7" t="s">
        <v>8600</v>
      </c>
      <c r="H759" s="7" t="s">
        <v>8601</v>
      </c>
      <c r="I759" s="119">
        <v>45292.0</v>
      </c>
      <c r="K759" s="7" t="s">
        <v>419</v>
      </c>
      <c r="L759" s="7" t="s">
        <v>991</v>
      </c>
      <c r="M759" s="7" t="s">
        <v>3531</v>
      </c>
      <c r="N759" s="7" t="s">
        <v>419</v>
      </c>
      <c r="O759" s="7" t="s">
        <v>19432</v>
      </c>
      <c r="P759" s="7" t="s">
        <v>298</v>
      </c>
      <c r="Q759" s="7" t="s">
        <v>304</v>
      </c>
      <c r="T759" s="7" t="s">
        <v>7374</v>
      </c>
      <c r="U759" s="7" t="s">
        <v>3493</v>
      </c>
      <c r="V759" s="7">
        <v>1.0</v>
      </c>
    </row>
    <row r="760">
      <c r="A760" s="7" t="s">
        <v>20609</v>
      </c>
      <c r="B760" s="7">
        <v>2300325.0</v>
      </c>
      <c r="C760" s="7" t="s">
        <v>8603</v>
      </c>
      <c r="D760" s="7" t="s">
        <v>8604</v>
      </c>
      <c r="E760" s="7" t="s">
        <v>8605</v>
      </c>
      <c r="F760" s="7" t="s">
        <v>8606</v>
      </c>
      <c r="G760" s="7" t="s">
        <v>8607</v>
      </c>
      <c r="H760" s="7" t="s">
        <v>8608</v>
      </c>
      <c r="I760" s="119">
        <v>45292.0</v>
      </c>
      <c r="K760" s="7" t="s">
        <v>419</v>
      </c>
      <c r="L760" s="7" t="s">
        <v>991</v>
      </c>
      <c r="M760" s="7" t="s">
        <v>3583</v>
      </c>
      <c r="N760" s="7" t="s">
        <v>419</v>
      </c>
      <c r="O760" s="7" t="s">
        <v>19430</v>
      </c>
      <c r="P760" s="7" t="s">
        <v>717</v>
      </c>
      <c r="Q760" s="7" t="s">
        <v>725</v>
      </c>
      <c r="R760" s="7" t="s">
        <v>19501</v>
      </c>
      <c r="S760" s="7" t="s">
        <v>19688</v>
      </c>
      <c r="T760" s="7" t="s">
        <v>4257</v>
      </c>
      <c r="U760" s="7" t="s">
        <v>3493</v>
      </c>
      <c r="V760" s="7">
        <v>1.0</v>
      </c>
    </row>
    <row r="761">
      <c r="A761" s="7" t="s">
        <v>20610</v>
      </c>
      <c r="B761" s="7">
        <v>383.0</v>
      </c>
      <c r="C761" s="7" t="s">
        <v>8603</v>
      </c>
      <c r="D761" s="7" t="s">
        <v>3627</v>
      </c>
      <c r="E761" s="7" t="s">
        <v>8605</v>
      </c>
      <c r="F761" s="7" t="s">
        <v>3629</v>
      </c>
      <c r="G761" s="7" t="s">
        <v>8610</v>
      </c>
      <c r="H761" s="7" t="s">
        <v>8611</v>
      </c>
      <c r="I761" s="119">
        <v>45292.0</v>
      </c>
      <c r="K761" s="7" t="s">
        <v>419</v>
      </c>
      <c r="L761" s="7" t="s">
        <v>991</v>
      </c>
      <c r="M761" s="7" t="s">
        <v>3501</v>
      </c>
      <c r="N761" s="7" t="s">
        <v>419</v>
      </c>
      <c r="O761" s="7" t="s">
        <v>19443</v>
      </c>
      <c r="P761" s="7" t="s">
        <v>1242</v>
      </c>
      <c r="Q761" s="7" t="s">
        <v>48</v>
      </c>
      <c r="R761" s="7" t="s">
        <v>19710</v>
      </c>
      <c r="T761" s="7" t="s">
        <v>4331</v>
      </c>
      <c r="U761" s="7" t="s">
        <v>3604</v>
      </c>
      <c r="V761" s="7">
        <v>1.0</v>
      </c>
    </row>
    <row r="762">
      <c r="A762" s="7" t="s">
        <v>20611</v>
      </c>
      <c r="B762" s="7">
        <v>2100493.0</v>
      </c>
      <c r="C762" s="7" t="s">
        <v>8613</v>
      </c>
      <c r="D762" s="7" t="s">
        <v>8614</v>
      </c>
      <c r="E762" s="7" t="s">
        <v>8615</v>
      </c>
      <c r="F762" s="7" t="s">
        <v>8616</v>
      </c>
      <c r="G762" s="7" t="s">
        <v>8617</v>
      </c>
      <c r="H762" s="7" t="s">
        <v>8618</v>
      </c>
      <c r="I762" s="119">
        <v>45292.0</v>
      </c>
      <c r="K762" s="7" t="s">
        <v>419</v>
      </c>
      <c r="L762" s="7" t="s">
        <v>991</v>
      </c>
      <c r="M762" s="7" t="s">
        <v>3501</v>
      </c>
      <c r="N762" s="7" t="s">
        <v>419</v>
      </c>
      <c r="O762" s="7" t="s">
        <v>19432</v>
      </c>
      <c r="P762" s="7" t="s">
        <v>693</v>
      </c>
      <c r="Q762" s="7" t="s">
        <v>703</v>
      </c>
      <c r="R762" s="7" t="s">
        <v>19579</v>
      </c>
      <c r="S762" s="7" t="s">
        <v>20612</v>
      </c>
      <c r="T762" s="7" t="s">
        <v>8620</v>
      </c>
      <c r="U762" s="7" t="s">
        <v>3493</v>
      </c>
      <c r="V762" s="7">
        <v>1.0</v>
      </c>
    </row>
    <row r="763">
      <c r="A763" s="7" t="s">
        <v>20613</v>
      </c>
      <c r="B763" s="7">
        <v>13682.0</v>
      </c>
      <c r="C763" s="7" t="s">
        <v>8622</v>
      </c>
      <c r="D763" s="7" t="s">
        <v>8623</v>
      </c>
      <c r="E763" s="7" t="s">
        <v>8624</v>
      </c>
      <c r="F763" s="7" t="s">
        <v>8625</v>
      </c>
      <c r="G763" s="7" t="s">
        <v>8626</v>
      </c>
      <c r="H763" s="7" t="s">
        <v>8627</v>
      </c>
      <c r="I763" s="119">
        <v>45292.0</v>
      </c>
      <c r="K763" s="7" t="s">
        <v>3632</v>
      </c>
      <c r="L763" s="7" t="s">
        <v>991</v>
      </c>
      <c r="M763" s="7" t="s">
        <v>3501</v>
      </c>
      <c r="N763" s="7" t="s">
        <v>3632</v>
      </c>
      <c r="O763" s="7" t="s">
        <v>3632</v>
      </c>
      <c r="P763" s="7" t="s">
        <v>625</v>
      </c>
      <c r="Q763" s="7" t="s">
        <v>118</v>
      </c>
      <c r="R763" s="7" t="s">
        <v>20138</v>
      </c>
      <c r="T763" s="7" t="s">
        <v>12840</v>
      </c>
      <c r="U763" s="7" t="s">
        <v>3604</v>
      </c>
      <c r="V763" s="7">
        <v>1.0</v>
      </c>
    </row>
    <row r="764">
      <c r="A764" s="7" t="s">
        <v>20614</v>
      </c>
      <c r="B764" s="7">
        <v>1176.0</v>
      </c>
      <c r="C764" s="7" t="s">
        <v>8622</v>
      </c>
      <c r="D764" s="7" t="s">
        <v>8629</v>
      </c>
      <c r="E764" s="7" t="s">
        <v>8624</v>
      </c>
      <c r="F764" s="7" t="s">
        <v>3909</v>
      </c>
      <c r="G764" s="7" t="s">
        <v>8630</v>
      </c>
      <c r="H764" s="7" t="s">
        <v>8631</v>
      </c>
      <c r="I764" s="119">
        <v>45292.0</v>
      </c>
      <c r="K764" s="7" t="s">
        <v>419</v>
      </c>
      <c r="L764" s="7" t="s">
        <v>991</v>
      </c>
      <c r="M764" s="7" t="s">
        <v>3501</v>
      </c>
      <c r="N764" s="7" t="s">
        <v>419</v>
      </c>
      <c r="O764" s="7" t="s">
        <v>19432</v>
      </c>
      <c r="P764" s="7" t="s">
        <v>391</v>
      </c>
      <c r="Q764" s="7" t="s">
        <v>392</v>
      </c>
      <c r="R764" s="7" t="s">
        <v>19706</v>
      </c>
      <c r="T764" s="7" t="s">
        <v>18578</v>
      </c>
      <c r="U764" s="7" t="s">
        <v>3493</v>
      </c>
      <c r="V764" s="7">
        <v>1.0</v>
      </c>
    </row>
    <row r="765">
      <c r="A765" s="7" t="s">
        <v>20615</v>
      </c>
      <c r="B765" s="7">
        <v>14243.0</v>
      </c>
      <c r="C765" s="7" t="s">
        <v>8633</v>
      </c>
      <c r="D765" s="7" t="s">
        <v>8634</v>
      </c>
      <c r="E765" s="7" t="s">
        <v>8635</v>
      </c>
      <c r="F765" s="7" t="s">
        <v>8636</v>
      </c>
      <c r="G765" s="7" t="s">
        <v>8637</v>
      </c>
      <c r="H765" s="7" t="s">
        <v>8638</v>
      </c>
      <c r="I765" s="119">
        <v>45292.0</v>
      </c>
      <c r="K765" s="7" t="s">
        <v>419</v>
      </c>
      <c r="L765" s="7" t="s">
        <v>991</v>
      </c>
      <c r="M765" s="7" t="s">
        <v>3501</v>
      </c>
      <c r="N765" s="7" t="s">
        <v>419</v>
      </c>
      <c r="O765" s="7" t="s">
        <v>19430</v>
      </c>
      <c r="P765" s="7" t="s">
        <v>854</v>
      </c>
      <c r="Q765" s="7" t="s">
        <v>859</v>
      </c>
      <c r="R765" s="7" t="s">
        <v>20616</v>
      </c>
      <c r="S765" s="7" t="s">
        <v>20617</v>
      </c>
      <c r="T765" s="7" t="s">
        <v>20618</v>
      </c>
      <c r="U765" s="7" t="s">
        <v>3843</v>
      </c>
      <c r="V765" s="7">
        <v>1.0</v>
      </c>
    </row>
    <row r="766">
      <c r="A766" s="7" t="s">
        <v>20619</v>
      </c>
      <c r="B766" s="7">
        <v>2100358.0</v>
      </c>
      <c r="C766" s="7" t="s">
        <v>8642</v>
      </c>
      <c r="D766" s="7" t="s">
        <v>8643</v>
      </c>
      <c r="E766" s="7" t="s">
        <v>8644</v>
      </c>
      <c r="F766" s="7" t="s">
        <v>4434</v>
      </c>
      <c r="G766" s="7" t="s">
        <v>8645</v>
      </c>
      <c r="H766" s="7" t="s">
        <v>8646</v>
      </c>
      <c r="I766" s="119">
        <v>45292.0</v>
      </c>
      <c r="K766" s="7" t="s">
        <v>419</v>
      </c>
      <c r="L766" s="7" t="s">
        <v>991</v>
      </c>
      <c r="M766" s="7" t="s">
        <v>3501</v>
      </c>
      <c r="N766" s="7" t="s">
        <v>419</v>
      </c>
      <c r="O766" s="7" t="s">
        <v>19430</v>
      </c>
      <c r="P766" s="7" t="s">
        <v>717</v>
      </c>
      <c r="Q766" s="7" t="s">
        <v>251</v>
      </c>
      <c r="R766" s="7" t="s">
        <v>20620</v>
      </c>
      <c r="T766" s="7" t="s">
        <v>8648</v>
      </c>
      <c r="U766" s="7" t="s">
        <v>3493</v>
      </c>
      <c r="V766" s="7">
        <v>1.0</v>
      </c>
    </row>
    <row r="767">
      <c r="A767" s="7" t="s">
        <v>20621</v>
      </c>
      <c r="B767" s="7">
        <v>13445.0</v>
      </c>
      <c r="C767" s="7" t="s">
        <v>8650</v>
      </c>
      <c r="D767" s="7" t="s">
        <v>8651</v>
      </c>
      <c r="E767" s="7" t="s">
        <v>8652</v>
      </c>
      <c r="F767" s="7" t="s">
        <v>8653</v>
      </c>
      <c r="G767" s="7" t="s">
        <v>8654</v>
      </c>
      <c r="H767" s="7" t="s">
        <v>8655</v>
      </c>
      <c r="I767" s="119">
        <v>45292.0</v>
      </c>
      <c r="J767" s="7" t="s">
        <v>3929</v>
      </c>
      <c r="K767" s="7" t="s">
        <v>419</v>
      </c>
      <c r="L767" s="7" t="s">
        <v>991</v>
      </c>
      <c r="M767" s="7" t="s">
        <v>3501</v>
      </c>
      <c r="N767" s="7" t="s">
        <v>419</v>
      </c>
      <c r="O767" s="7" t="s">
        <v>19430</v>
      </c>
      <c r="P767" s="7" t="s">
        <v>717</v>
      </c>
      <c r="Q767" s="7" t="s">
        <v>725</v>
      </c>
      <c r="R767" s="7" t="s">
        <v>19621</v>
      </c>
      <c r="S767" s="7" t="s">
        <v>20622</v>
      </c>
      <c r="T767" s="7" t="s">
        <v>8657</v>
      </c>
      <c r="U767" s="7" t="s">
        <v>3843</v>
      </c>
      <c r="V767" s="7">
        <v>1.0</v>
      </c>
    </row>
    <row r="768">
      <c r="A768" s="7" t="s">
        <v>20623</v>
      </c>
      <c r="B768" s="7">
        <v>2200364.0</v>
      </c>
      <c r="C768" s="7" t="s">
        <v>8659</v>
      </c>
      <c r="D768" s="7" t="s">
        <v>8660</v>
      </c>
      <c r="E768" s="7" t="s">
        <v>8661</v>
      </c>
      <c r="F768" s="7" t="s">
        <v>4234</v>
      </c>
      <c r="G768" s="7" t="s">
        <v>8662</v>
      </c>
      <c r="H768" s="7" t="s">
        <v>8663</v>
      </c>
      <c r="I768" s="119">
        <v>45292.0</v>
      </c>
      <c r="K768" s="7" t="s">
        <v>419</v>
      </c>
      <c r="L768" s="7" t="s">
        <v>991</v>
      </c>
      <c r="M768" s="7" t="s">
        <v>3501</v>
      </c>
      <c r="N768" s="7" t="s">
        <v>419</v>
      </c>
      <c r="O768" s="7" t="s">
        <v>19430</v>
      </c>
      <c r="P768" s="7" t="s">
        <v>717</v>
      </c>
      <c r="Q768" s="7" t="s">
        <v>251</v>
      </c>
      <c r="R768" s="7" t="s">
        <v>19513</v>
      </c>
      <c r="S768" s="7" t="s">
        <v>20624</v>
      </c>
      <c r="T768" s="7" t="s">
        <v>8665</v>
      </c>
      <c r="U768" s="7" t="s">
        <v>3843</v>
      </c>
      <c r="V768" s="7">
        <v>1.0</v>
      </c>
    </row>
    <row r="769">
      <c r="A769" s="7" t="s">
        <v>20625</v>
      </c>
      <c r="B769" s="7">
        <v>2100351.0</v>
      </c>
      <c r="C769" s="7" t="s">
        <v>8659</v>
      </c>
      <c r="D769" s="7" t="s">
        <v>4306</v>
      </c>
      <c r="E769" s="7" t="s">
        <v>8667</v>
      </c>
      <c r="F769" s="7" t="s">
        <v>8668</v>
      </c>
      <c r="G769" s="7" t="s">
        <v>8669</v>
      </c>
      <c r="H769" s="7" t="s">
        <v>8670</v>
      </c>
      <c r="I769" s="119">
        <v>45292.0</v>
      </c>
      <c r="K769" s="7" t="s">
        <v>419</v>
      </c>
      <c r="L769" s="7" t="s">
        <v>991</v>
      </c>
      <c r="M769" s="7" t="s">
        <v>3501</v>
      </c>
      <c r="N769" s="7" t="s">
        <v>419</v>
      </c>
      <c r="O769" s="7" t="s">
        <v>19430</v>
      </c>
      <c r="P769" s="7" t="s">
        <v>854</v>
      </c>
      <c r="T769" s="7" t="s">
        <v>10108</v>
      </c>
      <c r="U769" s="7" t="s">
        <v>3493</v>
      </c>
      <c r="V769" s="7">
        <v>1.0</v>
      </c>
    </row>
    <row r="770">
      <c r="A770" s="7" t="s">
        <v>20626</v>
      </c>
      <c r="B770" s="7">
        <v>2300430.0</v>
      </c>
      <c r="C770" s="7" t="s">
        <v>8673</v>
      </c>
      <c r="D770" s="7" t="s">
        <v>8674</v>
      </c>
      <c r="E770" s="7" t="s">
        <v>8675</v>
      </c>
      <c r="F770" s="7" t="s">
        <v>5074</v>
      </c>
      <c r="G770" s="7" t="s">
        <v>8676</v>
      </c>
      <c r="H770" s="7" t="s">
        <v>8677</v>
      </c>
      <c r="I770" s="119">
        <v>45292.0</v>
      </c>
      <c r="K770" s="7" t="s">
        <v>419</v>
      </c>
      <c r="L770" s="7" t="s">
        <v>991</v>
      </c>
      <c r="M770" s="7" t="s">
        <v>3501</v>
      </c>
      <c r="N770" s="7" t="s">
        <v>419</v>
      </c>
      <c r="O770" s="7" t="s">
        <v>19437</v>
      </c>
      <c r="P770" s="7" t="s">
        <v>440</v>
      </c>
      <c r="Q770" s="7" t="s">
        <v>924</v>
      </c>
      <c r="R770" s="7" t="s">
        <v>19773</v>
      </c>
      <c r="S770" s="7" t="s">
        <v>19774</v>
      </c>
      <c r="T770" s="7" t="s">
        <v>4594</v>
      </c>
      <c r="U770" s="7" t="s">
        <v>3843</v>
      </c>
      <c r="V770" s="7">
        <v>1.0</v>
      </c>
    </row>
    <row r="771">
      <c r="A771" s="7" t="s">
        <v>20627</v>
      </c>
      <c r="B771" s="7">
        <v>10995.0</v>
      </c>
      <c r="C771" s="7" t="s">
        <v>8679</v>
      </c>
      <c r="D771" s="7" t="s">
        <v>8680</v>
      </c>
      <c r="E771" s="7" t="s">
        <v>8681</v>
      </c>
      <c r="F771" s="7" t="s">
        <v>8682</v>
      </c>
      <c r="G771" s="7" t="s">
        <v>8683</v>
      </c>
      <c r="H771" s="7" t="s">
        <v>8684</v>
      </c>
      <c r="I771" s="119">
        <v>45292.0</v>
      </c>
      <c r="K771" s="7" t="s">
        <v>419</v>
      </c>
      <c r="L771" s="7" t="s">
        <v>991</v>
      </c>
      <c r="M771" s="7" t="s">
        <v>3501</v>
      </c>
      <c r="N771" s="7" t="s">
        <v>419</v>
      </c>
      <c r="O771" s="7" t="s">
        <v>19443</v>
      </c>
      <c r="P771" s="7" t="s">
        <v>1242</v>
      </c>
      <c r="Q771" s="7" t="s">
        <v>39</v>
      </c>
      <c r="R771" s="7" t="s">
        <v>19929</v>
      </c>
      <c r="S771" s="7" t="s">
        <v>20299</v>
      </c>
      <c r="T771" s="7" t="s">
        <v>7061</v>
      </c>
      <c r="U771" s="7" t="s">
        <v>3493</v>
      </c>
      <c r="V771" s="7">
        <v>1.0</v>
      </c>
    </row>
    <row r="772">
      <c r="A772" s="7" t="s">
        <v>2109</v>
      </c>
      <c r="B772" s="7">
        <v>13558.0</v>
      </c>
      <c r="C772" s="7" t="s">
        <v>8687</v>
      </c>
      <c r="D772" s="7" t="s">
        <v>8688</v>
      </c>
      <c r="E772" s="7" t="s">
        <v>8689</v>
      </c>
      <c r="F772" s="7" t="s">
        <v>3748</v>
      </c>
      <c r="G772" s="7" t="s">
        <v>8690</v>
      </c>
      <c r="H772" s="7" t="s">
        <v>8691</v>
      </c>
      <c r="I772" s="119">
        <v>45292.0</v>
      </c>
      <c r="K772" s="7" t="s">
        <v>3632</v>
      </c>
      <c r="L772" s="7" t="s">
        <v>991</v>
      </c>
      <c r="M772" s="7" t="s">
        <v>3501</v>
      </c>
      <c r="N772" s="7" t="s">
        <v>3632</v>
      </c>
      <c r="O772" s="7" t="s">
        <v>3632</v>
      </c>
      <c r="P772" s="7" t="s">
        <v>429</v>
      </c>
      <c r="Q772" s="7" t="s">
        <v>432</v>
      </c>
      <c r="T772" s="7" t="s">
        <v>19446</v>
      </c>
      <c r="U772" s="7" t="s">
        <v>6078</v>
      </c>
      <c r="V772" s="7">
        <v>1.0</v>
      </c>
    </row>
    <row r="773">
      <c r="A773" s="7" t="s">
        <v>20628</v>
      </c>
      <c r="B773" s="7">
        <v>12812.0</v>
      </c>
      <c r="C773" s="7" t="s">
        <v>8694</v>
      </c>
      <c r="D773" s="7" t="s">
        <v>8695</v>
      </c>
      <c r="E773" s="7" t="s">
        <v>8696</v>
      </c>
      <c r="F773" s="7" t="s">
        <v>4831</v>
      </c>
      <c r="G773" s="7" t="s">
        <v>8697</v>
      </c>
      <c r="H773" s="7" t="s">
        <v>8698</v>
      </c>
      <c r="I773" s="119">
        <v>45292.0</v>
      </c>
      <c r="K773" s="7" t="s">
        <v>419</v>
      </c>
      <c r="L773" s="7" t="s">
        <v>991</v>
      </c>
      <c r="M773" s="7" t="s">
        <v>3501</v>
      </c>
      <c r="N773" s="7" t="s">
        <v>419</v>
      </c>
      <c r="O773" s="7" t="s">
        <v>19430</v>
      </c>
      <c r="P773" s="7" t="s">
        <v>854</v>
      </c>
      <c r="Q773" s="7" t="s">
        <v>859</v>
      </c>
      <c r="R773" s="7" t="s">
        <v>19566</v>
      </c>
      <c r="T773" s="7" t="s">
        <v>8700</v>
      </c>
      <c r="U773" s="7" t="s">
        <v>3493</v>
      </c>
      <c r="V773" s="7">
        <v>1.0</v>
      </c>
    </row>
    <row r="774">
      <c r="A774" s="7" t="s">
        <v>20629</v>
      </c>
      <c r="B774" s="7">
        <v>2300708.0</v>
      </c>
      <c r="C774" s="7" t="s">
        <v>8702</v>
      </c>
      <c r="D774" s="7" t="s">
        <v>8703</v>
      </c>
      <c r="E774" s="7" t="s">
        <v>8704</v>
      </c>
      <c r="F774" s="7" t="s">
        <v>8705</v>
      </c>
      <c r="G774" s="7" t="s">
        <v>8706</v>
      </c>
      <c r="I774" s="119">
        <v>45292.0</v>
      </c>
      <c r="K774" s="7" t="s">
        <v>419</v>
      </c>
      <c r="L774" s="7" t="s">
        <v>991</v>
      </c>
      <c r="M774" s="7" t="s">
        <v>3531</v>
      </c>
      <c r="N774" s="7" t="s">
        <v>419</v>
      </c>
      <c r="O774" s="7" t="s">
        <v>19430</v>
      </c>
      <c r="P774" s="7" t="s">
        <v>854</v>
      </c>
      <c r="Q774" s="7" t="s">
        <v>859</v>
      </c>
      <c r="T774" s="7" t="s">
        <v>3821</v>
      </c>
      <c r="U774" s="7" t="s">
        <v>3493</v>
      </c>
      <c r="V774" s="7">
        <v>1.0</v>
      </c>
    </row>
    <row r="775">
      <c r="A775" s="7" t="s">
        <v>20630</v>
      </c>
      <c r="B775" s="7">
        <v>2300586.0</v>
      </c>
      <c r="C775" s="7" t="s">
        <v>8708</v>
      </c>
      <c r="D775" s="7" t="s">
        <v>8709</v>
      </c>
      <c r="E775" s="7" t="s">
        <v>8710</v>
      </c>
      <c r="F775" s="7" t="s">
        <v>8711</v>
      </c>
      <c r="G775" s="7" t="s">
        <v>8712</v>
      </c>
      <c r="H775" s="7" t="s">
        <v>8713</v>
      </c>
      <c r="I775" s="119">
        <v>45292.0</v>
      </c>
      <c r="K775" s="7" t="s">
        <v>419</v>
      </c>
      <c r="L775" s="7" t="s">
        <v>991</v>
      </c>
      <c r="M775" s="7" t="s">
        <v>3531</v>
      </c>
      <c r="N775" s="7" t="s">
        <v>419</v>
      </c>
      <c r="O775" s="7" t="s">
        <v>19432</v>
      </c>
      <c r="P775" s="7" t="s">
        <v>693</v>
      </c>
      <c r="Q775" s="7" t="s">
        <v>698</v>
      </c>
      <c r="R775" s="7" t="s">
        <v>19652</v>
      </c>
      <c r="S775" s="7" t="s">
        <v>19843</v>
      </c>
      <c r="T775" s="7" t="s">
        <v>4854</v>
      </c>
      <c r="U775" s="7" t="s">
        <v>3493</v>
      </c>
      <c r="V775" s="7">
        <v>1.0</v>
      </c>
    </row>
    <row r="776">
      <c r="A776" s="7" t="s">
        <v>20631</v>
      </c>
      <c r="B776" s="7">
        <v>13575.0</v>
      </c>
      <c r="C776" s="7" t="s">
        <v>8715</v>
      </c>
      <c r="D776" s="7" t="s">
        <v>8716</v>
      </c>
      <c r="E776" s="7" t="s">
        <v>8717</v>
      </c>
      <c r="F776" s="7" t="s">
        <v>5132</v>
      </c>
      <c r="G776" s="7" t="s">
        <v>8718</v>
      </c>
      <c r="H776" s="7" t="s">
        <v>8719</v>
      </c>
      <c r="I776" s="119">
        <v>45292.0</v>
      </c>
      <c r="K776" s="7" t="s">
        <v>419</v>
      </c>
      <c r="L776" s="7" t="s">
        <v>991</v>
      </c>
      <c r="M776" s="7" t="s">
        <v>3501</v>
      </c>
      <c r="N776" s="7" t="s">
        <v>419</v>
      </c>
      <c r="O776" s="7" t="s">
        <v>19430</v>
      </c>
      <c r="P776" s="7" t="s">
        <v>717</v>
      </c>
      <c r="Q776" s="7" t="s">
        <v>725</v>
      </c>
      <c r="R776" s="7" t="s">
        <v>19494</v>
      </c>
      <c r="S776" s="7" t="s">
        <v>19495</v>
      </c>
      <c r="T776" s="7" t="s">
        <v>3503</v>
      </c>
      <c r="U776" s="7" t="s">
        <v>3493</v>
      </c>
      <c r="V776" s="7">
        <v>1.0</v>
      </c>
    </row>
    <row r="777">
      <c r="A777" s="7" t="s">
        <v>20632</v>
      </c>
      <c r="B777" s="7">
        <v>13845.0</v>
      </c>
      <c r="C777" s="7" t="s">
        <v>8721</v>
      </c>
      <c r="D777" s="7" t="s">
        <v>8722</v>
      </c>
      <c r="E777" s="7" t="s">
        <v>8723</v>
      </c>
      <c r="F777" s="7" t="s">
        <v>8724</v>
      </c>
      <c r="G777" s="7" t="s">
        <v>8725</v>
      </c>
      <c r="H777" s="7" t="s">
        <v>8726</v>
      </c>
      <c r="I777" s="119">
        <v>45292.0</v>
      </c>
      <c r="K777" s="7" t="s">
        <v>3632</v>
      </c>
      <c r="L777" s="7" t="s">
        <v>991</v>
      </c>
      <c r="M777" s="7" t="s">
        <v>3531</v>
      </c>
      <c r="N777" s="7" t="s">
        <v>3632</v>
      </c>
      <c r="O777" s="7" t="s">
        <v>3632</v>
      </c>
      <c r="P777" s="7" t="s">
        <v>3463</v>
      </c>
      <c r="Q777" s="7" t="s">
        <v>356</v>
      </c>
      <c r="R777" s="7" t="s">
        <v>19880</v>
      </c>
      <c r="T777" s="7" t="s">
        <v>5038</v>
      </c>
      <c r="U777" s="7" t="s">
        <v>3493</v>
      </c>
      <c r="V777" s="7">
        <v>1.0</v>
      </c>
    </row>
    <row r="778">
      <c r="A778" s="7" t="s">
        <v>20633</v>
      </c>
      <c r="B778" s="7">
        <v>12772.0</v>
      </c>
      <c r="C778" s="7" t="s">
        <v>8728</v>
      </c>
      <c r="D778" s="7" t="s">
        <v>6200</v>
      </c>
      <c r="E778" s="7" t="s">
        <v>8729</v>
      </c>
      <c r="F778" s="7" t="s">
        <v>6202</v>
      </c>
      <c r="G778" s="7" t="s">
        <v>8730</v>
      </c>
      <c r="H778" s="7" t="s">
        <v>8731</v>
      </c>
      <c r="I778" s="119">
        <v>45292.0</v>
      </c>
      <c r="K778" s="7" t="s">
        <v>419</v>
      </c>
      <c r="L778" s="7" t="s">
        <v>991</v>
      </c>
      <c r="M778" s="7" t="s">
        <v>3501</v>
      </c>
      <c r="N778" s="7" t="s">
        <v>419</v>
      </c>
      <c r="O778" s="7" t="s">
        <v>19430</v>
      </c>
      <c r="P778" s="7" t="s">
        <v>717</v>
      </c>
      <c r="Q778" s="7" t="s">
        <v>223</v>
      </c>
      <c r="R778" s="7" t="s">
        <v>19764</v>
      </c>
      <c r="S778" s="7" t="s">
        <v>20036</v>
      </c>
      <c r="T778" s="7" t="s">
        <v>5756</v>
      </c>
      <c r="U778" s="7" t="s">
        <v>3493</v>
      </c>
      <c r="V778" s="7">
        <v>1.0</v>
      </c>
    </row>
    <row r="779">
      <c r="A779" s="7" t="s">
        <v>20634</v>
      </c>
      <c r="B779" s="7">
        <v>953.0</v>
      </c>
      <c r="C779" s="7" t="s">
        <v>8733</v>
      </c>
      <c r="D779" s="7" t="s">
        <v>6031</v>
      </c>
      <c r="E779" s="7" t="s">
        <v>8734</v>
      </c>
      <c r="F779" s="7" t="s">
        <v>3909</v>
      </c>
      <c r="G779" s="7" t="s">
        <v>8735</v>
      </c>
      <c r="H779" s="7" t="s">
        <v>8736</v>
      </c>
      <c r="I779" s="119">
        <v>45292.0</v>
      </c>
      <c r="K779" s="7" t="s">
        <v>419</v>
      </c>
      <c r="L779" s="7" t="s">
        <v>991</v>
      </c>
      <c r="M779" s="7" t="s">
        <v>3501</v>
      </c>
      <c r="N779" s="7" t="s">
        <v>419</v>
      </c>
      <c r="O779" s="7" t="s">
        <v>19432</v>
      </c>
      <c r="P779" s="7" t="s">
        <v>391</v>
      </c>
      <c r="Q779" s="7" t="s">
        <v>399</v>
      </c>
      <c r="R779" s="7" t="s">
        <v>19508</v>
      </c>
      <c r="T779" s="7" t="s">
        <v>7225</v>
      </c>
      <c r="U779" s="7" t="s">
        <v>3493</v>
      </c>
      <c r="V779" s="7">
        <v>1.0</v>
      </c>
    </row>
    <row r="780">
      <c r="A780" s="7" t="s">
        <v>20635</v>
      </c>
      <c r="B780" s="7">
        <v>13835.0</v>
      </c>
      <c r="C780" s="7" t="s">
        <v>8738</v>
      </c>
      <c r="D780" s="7" t="s">
        <v>5153</v>
      </c>
      <c r="E780" s="7" t="s">
        <v>8739</v>
      </c>
      <c r="F780" s="7" t="s">
        <v>5155</v>
      </c>
      <c r="G780" s="7" t="s">
        <v>8740</v>
      </c>
      <c r="H780" s="7" t="s">
        <v>8741</v>
      </c>
      <c r="I780" s="119">
        <v>45292.0</v>
      </c>
      <c r="K780" s="7" t="s">
        <v>419</v>
      </c>
      <c r="L780" s="7" t="s">
        <v>991</v>
      </c>
      <c r="M780" s="7" t="s">
        <v>3501</v>
      </c>
      <c r="N780" s="7" t="s">
        <v>419</v>
      </c>
      <c r="O780" s="7" t="s">
        <v>19433</v>
      </c>
      <c r="P780" s="7" t="s">
        <v>587</v>
      </c>
      <c r="Q780" s="7" t="s">
        <v>72</v>
      </c>
      <c r="R780" s="7" t="s">
        <v>19566</v>
      </c>
      <c r="T780" s="7" t="s">
        <v>5672</v>
      </c>
      <c r="U780" s="7" t="s">
        <v>3493</v>
      </c>
      <c r="V780" s="7">
        <v>1.0</v>
      </c>
    </row>
    <row r="781">
      <c r="A781" s="7" t="s">
        <v>20636</v>
      </c>
      <c r="B781" s="7">
        <v>2100020.0</v>
      </c>
      <c r="C781" s="7" t="s">
        <v>8743</v>
      </c>
      <c r="D781" s="7" t="s">
        <v>8744</v>
      </c>
      <c r="E781" s="7" t="s">
        <v>8745</v>
      </c>
      <c r="F781" s="7" t="s">
        <v>8256</v>
      </c>
      <c r="G781" s="7" t="s">
        <v>8746</v>
      </c>
      <c r="H781" s="7" t="s">
        <v>8747</v>
      </c>
      <c r="I781" s="119">
        <v>45292.0</v>
      </c>
      <c r="K781" s="7" t="s">
        <v>419</v>
      </c>
      <c r="L781" s="7" t="s">
        <v>991</v>
      </c>
      <c r="M781" s="7" t="s">
        <v>3501</v>
      </c>
      <c r="N781" s="7" t="s">
        <v>419</v>
      </c>
      <c r="O781" s="7" t="s">
        <v>19433</v>
      </c>
      <c r="P781" s="7" t="s">
        <v>648</v>
      </c>
      <c r="Q781" s="7" t="s">
        <v>143</v>
      </c>
      <c r="R781" s="7" t="s">
        <v>19723</v>
      </c>
      <c r="S781" s="7" t="s">
        <v>19920</v>
      </c>
      <c r="T781" s="7" t="s">
        <v>5699</v>
      </c>
      <c r="U781" s="7" t="s">
        <v>3843</v>
      </c>
      <c r="V781" s="7">
        <v>1.0</v>
      </c>
    </row>
    <row r="782">
      <c r="A782" s="7" t="s">
        <v>20637</v>
      </c>
      <c r="B782" s="7">
        <v>12518.0</v>
      </c>
      <c r="C782" s="7" t="s">
        <v>8743</v>
      </c>
      <c r="D782" s="7" t="s">
        <v>8749</v>
      </c>
      <c r="E782" s="7" t="s">
        <v>8745</v>
      </c>
      <c r="F782" s="7" t="s">
        <v>8750</v>
      </c>
      <c r="G782" s="7" t="s">
        <v>8751</v>
      </c>
      <c r="H782" s="7" t="s">
        <v>8752</v>
      </c>
      <c r="I782" s="119">
        <v>45292.0</v>
      </c>
      <c r="K782" s="7" t="s">
        <v>419</v>
      </c>
      <c r="L782" s="7" t="s">
        <v>991</v>
      </c>
      <c r="M782" s="7" t="s">
        <v>3501</v>
      </c>
      <c r="N782" s="7" t="s">
        <v>419</v>
      </c>
      <c r="O782" s="7" t="s">
        <v>19433</v>
      </c>
      <c r="P782" s="7" t="s">
        <v>648</v>
      </c>
      <c r="Q782" s="7" t="s">
        <v>141</v>
      </c>
      <c r="R782" s="7" t="s">
        <v>19886</v>
      </c>
      <c r="S782" s="7" t="s">
        <v>20638</v>
      </c>
      <c r="T782" s="7" t="s">
        <v>8754</v>
      </c>
      <c r="U782" s="7" t="s">
        <v>3843</v>
      </c>
      <c r="V782" s="7">
        <v>1.0</v>
      </c>
    </row>
    <row r="783">
      <c r="A783" s="7" t="s">
        <v>20639</v>
      </c>
      <c r="B783" s="7">
        <v>2100516.0</v>
      </c>
      <c r="C783" s="7" t="s">
        <v>8743</v>
      </c>
      <c r="D783" s="7" t="s">
        <v>8756</v>
      </c>
      <c r="E783" s="7" t="s">
        <v>8745</v>
      </c>
      <c r="F783" s="7" t="s">
        <v>8756</v>
      </c>
      <c r="G783" s="7" t="s">
        <v>8757</v>
      </c>
      <c r="H783" s="7" t="s">
        <v>8758</v>
      </c>
      <c r="I783" s="119">
        <v>45292.0</v>
      </c>
      <c r="K783" s="7" t="s">
        <v>419</v>
      </c>
      <c r="L783" s="7" t="s">
        <v>991</v>
      </c>
      <c r="M783" s="7" t="s">
        <v>3531</v>
      </c>
      <c r="N783" s="7" t="s">
        <v>419</v>
      </c>
      <c r="O783" s="7" t="s">
        <v>19443</v>
      </c>
      <c r="P783" s="7" t="s">
        <v>323</v>
      </c>
      <c r="Q783" s="7" t="s">
        <v>324</v>
      </c>
      <c r="T783" s="7" t="s">
        <v>7948</v>
      </c>
      <c r="U783" s="7" t="s">
        <v>3493</v>
      </c>
      <c r="V783" s="7">
        <v>1.0</v>
      </c>
    </row>
    <row r="784">
      <c r="A784" s="7" t="s">
        <v>20640</v>
      </c>
      <c r="B784" s="7">
        <v>8506.0</v>
      </c>
      <c r="C784" s="7" t="s">
        <v>8760</v>
      </c>
      <c r="D784" s="7" t="s">
        <v>8761</v>
      </c>
      <c r="E784" s="7" t="s">
        <v>8762</v>
      </c>
      <c r="F784" s="7" t="s">
        <v>8119</v>
      </c>
      <c r="G784" s="7" t="s">
        <v>8763</v>
      </c>
      <c r="H784" s="7" t="s">
        <v>8764</v>
      </c>
      <c r="I784" s="119">
        <v>45292.0</v>
      </c>
      <c r="K784" s="7" t="s">
        <v>419</v>
      </c>
      <c r="L784" s="7" t="s">
        <v>991</v>
      </c>
      <c r="M784" s="7" t="s">
        <v>3531</v>
      </c>
      <c r="N784" s="7" t="s">
        <v>419</v>
      </c>
      <c r="O784" s="7" t="s">
        <v>19430</v>
      </c>
      <c r="P784" s="7" t="s">
        <v>717</v>
      </c>
      <c r="Q784" s="7" t="s">
        <v>720</v>
      </c>
      <c r="R784" s="7" t="s">
        <v>19834</v>
      </c>
      <c r="S784" s="7" t="s">
        <v>19835</v>
      </c>
      <c r="T784" s="7" t="s">
        <v>4811</v>
      </c>
      <c r="U784" s="7" t="s">
        <v>3493</v>
      </c>
      <c r="V784" s="7">
        <v>1.0</v>
      </c>
    </row>
    <row r="785">
      <c r="A785" s="7" t="s">
        <v>20641</v>
      </c>
      <c r="B785" s="7">
        <v>2300614.0</v>
      </c>
      <c r="C785" s="7" t="s">
        <v>8766</v>
      </c>
      <c r="D785" s="7" t="s">
        <v>8767</v>
      </c>
      <c r="E785" s="7" t="s">
        <v>8768</v>
      </c>
      <c r="F785" s="7" t="s">
        <v>4032</v>
      </c>
      <c r="G785" s="7" t="s">
        <v>8769</v>
      </c>
      <c r="H785" s="7" t="s">
        <v>8770</v>
      </c>
      <c r="I785" s="119">
        <v>45292.0</v>
      </c>
      <c r="K785" s="7" t="s">
        <v>419</v>
      </c>
      <c r="L785" s="7" t="s">
        <v>991</v>
      </c>
      <c r="M785" s="7" t="s">
        <v>3531</v>
      </c>
      <c r="N785" s="7" t="s">
        <v>419</v>
      </c>
      <c r="O785" s="7" t="s">
        <v>19430</v>
      </c>
      <c r="P785" s="7" t="s">
        <v>717</v>
      </c>
      <c r="Q785" s="7" t="s">
        <v>725</v>
      </c>
      <c r="R785" s="7" t="s">
        <v>19501</v>
      </c>
      <c r="S785" s="7" t="s">
        <v>19643</v>
      </c>
      <c r="T785" s="7" t="s">
        <v>4097</v>
      </c>
      <c r="U785" s="7" t="s">
        <v>3493</v>
      </c>
      <c r="V785" s="7">
        <v>1.0</v>
      </c>
    </row>
    <row r="786">
      <c r="A786" s="7" t="s">
        <v>1505</v>
      </c>
      <c r="B786" s="7">
        <v>622.0</v>
      </c>
      <c r="C786" s="7" t="s">
        <v>8771</v>
      </c>
      <c r="D786" s="7" t="s">
        <v>8772</v>
      </c>
      <c r="E786" s="7" t="s">
        <v>8768</v>
      </c>
      <c r="F786" s="7" t="s">
        <v>3748</v>
      </c>
      <c r="G786" s="7" t="s">
        <v>8773</v>
      </c>
      <c r="H786" s="7" t="s">
        <v>8774</v>
      </c>
      <c r="I786" s="119">
        <v>45292.0</v>
      </c>
      <c r="K786" s="7" t="s">
        <v>419</v>
      </c>
      <c r="L786" s="7" t="s">
        <v>991</v>
      </c>
      <c r="M786" s="7" t="s">
        <v>3501</v>
      </c>
      <c r="N786" s="7" t="s">
        <v>419</v>
      </c>
      <c r="O786" s="7" t="s">
        <v>19433</v>
      </c>
      <c r="P786" s="7" t="s">
        <v>648</v>
      </c>
      <c r="Q786" s="7" t="s">
        <v>143</v>
      </c>
      <c r="R786" s="7" t="s">
        <v>19723</v>
      </c>
      <c r="S786" s="7" t="s">
        <v>19749</v>
      </c>
      <c r="T786" s="7" t="s">
        <v>8265</v>
      </c>
      <c r="U786" s="7" t="s">
        <v>3843</v>
      </c>
      <c r="V786" s="7">
        <v>1.0</v>
      </c>
    </row>
    <row r="787">
      <c r="A787" s="7" t="s">
        <v>20642</v>
      </c>
      <c r="B787" s="7">
        <v>11583.0</v>
      </c>
      <c r="C787" s="7" t="s">
        <v>8776</v>
      </c>
      <c r="D787" s="7" t="s">
        <v>8777</v>
      </c>
      <c r="E787" s="7" t="s">
        <v>8778</v>
      </c>
      <c r="F787" s="7" t="s">
        <v>8779</v>
      </c>
      <c r="G787" s="7" t="s">
        <v>8780</v>
      </c>
      <c r="H787" s="7" t="s">
        <v>8781</v>
      </c>
      <c r="I787" s="119">
        <v>45292.0</v>
      </c>
      <c r="K787" s="7" t="s">
        <v>419</v>
      </c>
      <c r="L787" s="7" t="s">
        <v>991</v>
      </c>
      <c r="M787" s="7" t="s">
        <v>3531</v>
      </c>
      <c r="N787" s="7" t="s">
        <v>419</v>
      </c>
      <c r="O787" s="7" t="s">
        <v>19430</v>
      </c>
      <c r="P787" s="7" t="s">
        <v>717</v>
      </c>
      <c r="Q787" s="7" t="s">
        <v>722</v>
      </c>
      <c r="R787" s="7" t="s">
        <v>19863</v>
      </c>
      <c r="S787" s="7" t="s">
        <v>19864</v>
      </c>
      <c r="T787" s="7" t="s">
        <v>4955</v>
      </c>
      <c r="U787" s="7" t="s">
        <v>3493</v>
      </c>
      <c r="V787" s="7">
        <v>1.0</v>
      </c>
    </row>
    <row r="788">
      <c r="A788" s="7" t="s">
        <v>20643</v>
      </c>
      <c r="B788" s="7">
        <v>1037.0</v>
      </c>
      <c r="C788" s="7" t="s">
        <v>8783</v>
      </c>
      <c r="D788" s="7" t="s">
        <v>8784</v>
      </c>
      <c r="E788" s="7" t="s">
        <v>8778</v>
      </c>
      <c r="F788" s="7" t="s">
        <v>4967</v>
      </c>
      <c r="G788" s="7" t="s">
        <v>8785</v>
      </c>
      <c r="H788" s="7" t="s">
        <v>8786</v>
      </c>
      <c r="I788" s="119">
        <v>45292.0</v>
      </c>
      <c r="K788" s="7" t="s">
        <v>419</v>
      </c>
      <c r="L788" s="7" t="s">
        <v>991</v>
      </c>
      <c r="M788" s="7" t="s">
        <v>3501</v>
      </c>
      <c r="N788" s="7" t="s">
        <v>419</v>
      </c>
      <c r="O788" s="7" t="s">
        <v>19430</v>
      </c>
      <c r="P788" s="7" t="s">
        <v>717</v>
      </c>
      <c r="Q788" s="7" t="s">
        <v>720</v>
      </c>
      <c r="R788" s="7" t="s">
        <v>19805</v>
      </c>
      <c r="S788" s="7" t="s">
        <v>19806</v>
      </c>
      <c r="T788" s="7" t="s">
        <v>4704</v>
      </c>
      <c r="U788" s="7" t="s">
        <v>3493</v>
      </c>
      <c r="V788" s="7">
        <v>1.0</v>
      </c>
    </row>
    <row r="789">
      <c r="A789" s="7" t="s">
        <v>20644</v>
      </c>
      <c r="B789" s="7">
        <v>10655.0</v>
      </c>
      <c r="C789" s="7" t="s">
        <v>8788</v>
      </c>
      <c r="D789" s="7" t="s">
        <v>8789</v>
      </c>
      <c r="E789" s="7" t="s">
        <v>8790</v>
      </c>
      <c r="F789" s="7" t="s">
        <v>8791</v>
      </c>
      <c r="G789" s="7" t="s">
        <v>8792</v>
      </c>
      <c r="H789" s="7" t="s">
        <v>8793</v>
      </c>
      <c r="I789" s="119">
        <v>45292.0</v>
      </c>
      <c r="K789" s="7" t="s">
        <v>419</v>
      </c>
      <c r="L789" s="7" t="s">
        <v>991</v>
      </c>
      <c r="M789" s="7" t="s">
        <v>3531</v>
      </c>
      <c r="N789" s="7" t="s">
        <v>419</v>
      </c>
      <c r="O789" s="7" t="s">
        <v>19430</v>
      </c>
      <c r="P789" s="7" t="s">
        <v>780</v>
      </c>
      <c r="Q789" s="7" t="s">
        <v>284</v>
      </c>
      <c r="R789" s="7" t="s">
        <v>19606</v>
      </c>
      <c r="T789" s="7" t="s">
        <v>3958</v>
      </c>
      <c r="U789" s="7" t="s">
        <v>3493</v>
      </c>
      <c r="V789" s="7">
        <v>1.0</v>
      </c>
    </row>
    <row r="790">
      <c r="A790" s="7" t="s">
        <v>20645</v>
      </c>
      <c r="B790" s="7">
        <v>12631.0</v>
      </c>
      <c r="C790" s="7" t="s">
        <v>8795</v>
      </c>
      <c r="D790" s="7" t="s">
        <v>8796</v>
      </c>
      <c r="E790" s="7" t="s">
        <v>8797</v>
      </c>
      <c r="F790" s="7" t="s">
        <v>8798</v>
      </c>
      <c r="G790" s="7" t="s">
        <v>8799</v>
      </c>
      <c r="H790" s="7" t="s">
        <v>8800</v>
      </c>
      <c r="I790" s="119">
        <v>45292.0</v>
      </c>
      <c r="K790" s="7" t="s">
        <v>3885</v>
      </c>
      <c r="L790" s="7" t="s">
        <v>3542</v>
      </c>
      <c r="M790" s="7" t="s">
        <v>3543</v>
      </c>
      <c r="N790" s="7" t="s">
        <v>419</v>
      </c>
      <c r="O790" s="7" t="s">
        <v>19433</v>
      </c>
      <c r="P790" s="7" t="s">
        <v>648</v>
      </c>
      <c r="Q790" s="7" t="s">
        <v>651</v>
      </c>
      <c r="R790" s="7" t="s">
        <v>19922</v>
      </c>
      <c r="S790" s="7" t="s">
        <v>19920</v>
      </c>
      <c r="T790" s="7" t="s">
        <v>20462</v>
      </c>
      <c r="U790" s="7" t="s">
        <v>3493</v>
      </c>
      <c r="V790" s="7">
        <v>1.0</v>
      </c>
    </row>
    <row r="791">
      <c r="A791" s="7" t="s">
        <v>20646</v>
      </c>
      <c r="B791" s="7">
        <v>2100396.0</v>
      </c>
      <c r="C791" s="7" t="s">
        <v>8802</v>
      </c>
      <c r="D791" s="7" t="s">
        <v>8803</v>
      </c>
      <c r="E791" s="7" t="s">
        <v>8804</v>
      </c>
      <c r="F791" s="7" t="s">
        <v>8805</v>
      </c>
      <c r="G791" s="7" t="s">
        <v>8806</v>
      </c>
      <c r="H791" s="7" t="s">
        <v>8807</v>
      </c>
      <c r="I791" s="119">
        <v>45292.0</v>
      </c>
      <c r="K791" s="7" t="s">
        <v>419</v>
      </c>
      <c r="L791" s="7" t="s">
        <v>991</v>
      </c>
      <c r="M791" s="7" t="s">
        <v>3501</v>
      </c>
      <c r="N791" s="7" t="s">
        <v>419</v>
      </c>
      <c r="O791" s="7" t="s">
        <v>19430</v>
      </c>
      <c r="P791" s="7" t="s">
        <v>780</v>
      </c>
      <c r="Q791" s="7" t="s">
        <v>786</v>
      </c>
      <c r="R791" s="7" t="s">
        <v>19559</v>
      </c>
      <c r="S791" s="7" t="s">
        <v>20647</v>
      </c>
      <c r="T791" s="7" t="s">
        <v>8809</v>
      </c>
      <c r="U791" s="7" t="s">
        <v>3843</v>
      </c>
      <c r="V791" s="7">
        <v>1.0</v>
      </c>
    </row>
    <row r="792">
      <c r="A792" s="7" t="s">
        <v>20648</v>
      </c>
      <c r="B792" s="7">
        <v>13402.0</v>
      </c>
      <c r="C792" s="7" t="s">
        <v>8811</v>
      </c>
      <c r="D792" s="7" t="s">
        <v>8812</v>
      </c>
      <c r="E792" s="7" t="s">
        <v>8813</v>
      </c>
      <c r="F792" s="7" t="s">
        <v>8814</v>
      </c>
      <c r="G792" s="7" t="s">
        <v>8815</v>
      </c>
      <c r="H792" s="7" t="s">
        <v>8816</v>
      </c>
      <c r="I792" s="119">
        <v>45292.0</v>
      </c>
      <c r="K792" s="7" t="s">
        <v>419</v>
      </c>
      <c r="L792" s="7" t="s">
        <v>991</v>
      </c>
      <c r="M792" s="7" t="s">
        <v>3531</v>
      </c>
      <c r="N792" s="7" t="s">
        <v>419</v>
      </c>
      <c r="O792" s="7" t="s">
        <v>19430</v>
      </c>
      <c r="P792" s="7" t="s">
        <v>717</v>
      </c>
      <c r="Q792" s="7" t="s">
        <v>738</v>
      </c>
      <c r="R792" s="7" t="s">
        <v>19818</v>
      </c>
      <c r="S792" s="7" t="s">
        <v>19832</v>
      </c>
      <c r="T792" s="7" t="s">
        <v>5894</v>
      </c>
      <c r="U792" s="7" t="s">
        <v>3493</v>
      </c>
      <c r="V792" s="7">
        <v>1.0</v>
      </c>
    </row>
    <row r="793">
      <c r="A793" s="7" t="s">
        <v>20649</v>
      </c>
      <c r="B793" s="7">
        <v>12690.0</v>
      </c>
      <c r="C793" s="7" t="s">
        <v>8818</v>
      </c>
      <c r="D793" s="7" t="s">
        <v>8819</v>
      </c>
      <c r="E793" s="7" t="s">
        <v>8820</v>
      </c>
      <c r="F793" s="7" t="s">
        <v>8821</v>
      </c>
      <c r="G793" s="7" t="s">
        <v>8822</v>
      </c>
      <c r="H793" s="7" t="s">
        <v>8823</v>
      </c>
      <c r="I793" s="119">
        <v>45292.0</v>
      </c>
      <c r="K793" s="7" t="s">
        <v>3489</v>
      </c>
      <c r="L793" s="7" t="s">
        <v>991</v>
      </c>
      <c r="M793" s="7" t="s">
        <v>3531</v>
      </c>
      <c r="N793" s="7" t="s">
        <v>3489</v>
      </c>
      <c r="O793" s="7" t="s">
        <v>3489</v>
      </c>
      <c r="P793" s="7" t="s">
        <v>19491</v>
      </c>
      <c r="Q793" s="7" t="s">
        <v>169</v>
      </c>
      <c r="R793" s="7" t="s">
        <v>19492</v>
      </c>
      <c r="T793" s="7" t="s">
        <v>3492</v>
      </c>
      <c r="U793" s="7" t="s">
        <v>3493</v>
      </c>
      <c r="V793" s="7">
        <v>1.0</v>
      </c>
    </row>
    <row r="794">
      <c r="A794" s="7" t="s">
        <v>20650</v>
      </c>
      <c r="B794" s="7">
        <v>2300504.0</v>
      </c>
      <c r="C794" s="7" t="s">
        <v>8818</v>
      </c>
      <c r="D794" s="7" t="s">
        <v>8825</v>
      </c>
      <c r="E794" s="7" t="s">
        <v>8820</v>
      </c>
      <c r="F794" s="7" t="s">
        <v>4960</v>
      </c>
      <c r="G794" s="7" t="s">
        <v>8826</v>
      </c>
      <c r="H794" s="7" t="s">
        <v>8827</v>
      </c>
      <c r="I794" s="119">
        <v>45292.0</v>
      </c>
      <c r="K794" s="7" t="s">
        <v>419</v>
      </c>
      <c r="L794" s="7" t="s">
        <v>991</v>
      </c>
      <c r="M794" s="7" t="s">
        <v>3583</v>
      </c>
      <c r="N794" s="7" t="s">
        <v>419</v>
      </c>
      <c r="O794" s="7" t="s">
        <v>19430</v>
      </c>
      <c r="P794" s="7" t="s">
        <v>717</v>
      </c>
      <c r="Q794" s="7" t="s">
        <v>738</v>
      </c>
      <c r="R794" s="7" t="s">
        <v>20651</v>
      </c>
      <c r="T794" s="7" t="s">
        <v>11929</v>
      </c>
      <c r="U794" s="7" t="s">
        <v>3493</v>
      </c>
      <c r="V794" s="7">
        <v>1.0</v>
      </c>
    </row>
    <row r="795">
      <c r="A795" s="7" t="s">
        <v>20652</v>
      </c>
      <c r="B795" s="7">
        <v>2100575.0</v>
      </c>
      <c r="C795" s="7" t="s">
        <v>8831</v>
      </c>
      <c r="D795" s="7" t="s">
        <v>8832</v>
      </c>
      <c r="E795" s="7" t="s">
        <v>8833</v>
      </c>
      <c r="F795" s="7" t="s">
        <v>8834</v>
      </c>
      <c r="G795" s="7" t="s">
        <v>8835</v>
      </c>
      <c r="H795" s="7" t="s">
        <v>8836</v>
      </c>
      <c r="I795" s="119">
        <v>45292.0</v>
      </c>
      <c r="K795" s="7" t="s">
        <v>419</v>
      </c>
      <c r="L795" s="7" t="s">
        <v>991</v>
      </c>
      <c r="M795" s="7" t="s">
        <v>3501</v>
      </c>
      <c r="N795" s="7" t="s">
        <v>419</v>
      </c>
      <c r="O795" s="7" t="s">
        <v>19432</v>
      </c>
      <c r="P795" s="7" t="s">
        <v>391</v>
      </c>
      <c r="Q795" s="7" t="s">
        <v>392</v>
      </c>
      <c r="R795" s="7" t="s">
        <v>19661</v>
      </c>
      <c r="T795" s="7" t="s">
        <v>19662</v>
      </c>
      <c r="U795" s="7" t="s">
        <v>3493</v>
      </c>
      <c r="V795" s="7">
        <v>1.0</v>
      </c>
    </row>
    <row r="796">
      <c r="A796" s="7" t="s">
        <v>1374</v>
      </c>
      <c r="B796" s="7">
        <v>10284.0</v>
      </c>
      <c r="C796" s="7" t="s">
        <v>8838</v>
      </c>
      <c r="D796" s="7" t="s">
        <v>8839</v>
      </c>
      <c r="E796" s="7" t="s">
        <v>8840</v>
      </c>
      <c r="F796" s="7" t="s">
        <v>4032</v>
      </c>
      <c r="G796" s="7" t="s">
        <v>8841</v>
      </c>
      <c r="H796" s="7" t="s">
        <v>8842</v>
      </c>
      <c r="I796" s="119">
        <v>45292.0</v>
      </c>
      <c r="K796" s="7" t="s">
        <v>419</v>
      </c>
      <c r="L796" s="7" t="s">
        <v>991</v>
      </c>
      <c r="M796" s="7" t="s">
        <v>4644</v>
      </c>
      <c r="N796" s="7" t="s">
        <v>419</v>
      </c>
      <c r="O796" s="7" t="s">
        <v>19438</v>
      </c>
      <c r="P796" s="7" t="s">
        <v>420</v>
      </c>
      <c r="T796" s="7" t="s">
        <v>12210</v>
      </c>
      <c r="U796" s="7" t="s">
        <v>420</v>
      </c>
      <c r="V796" s="7">
        <v>1.0</v>
      </c>
    </row>
    <row r="797">
      <c r="A797" s="7" t="s">
        <v>20653</v>
      </c>
      <c r="B797" s="7">
        <v>10322.0</v>
      </c>
      <c r="C797" s="7" t="s">
        <v>8846</v>
      </c>
      <c r="D797" s="7" t="s">
        <v>8847</v>
      </c>
      <c r="E797" s="7" t="s">
        <v>8848</v>
      </c>
      <c r="F797" s="7" t="s">
        <v>4478</v>
      </c>
      <c r="G797" s="7" t="s">
        <v>8849</v>
      </c>
      <c r="H797" s="7" t="s">
        <v>8850</v>
      </c>
      <c r="I797" s="119">
        <v>45292.0</v>
      </c>
      <c r="K797" s="7" t="s">
        <v>419</v>
      </c>
      <c r="L797" s="7" t="s">
        <v>991</v>
      </c>
      <c r="M797" s="7" t="s">
        <v>3501</v>
      </c>
      <c r="N797" s="7" t="s">
        <v>419</v>
      </c>
      <c r="O797" s="7" t="s">
        <v>19443</v>
      </c>
      <c r="P797" s="7" t="s">
        <v>323</v>
      </c>
      <c r="Q797" s="7" t="s">
        <v>824</v>
      </c>
      <c r="R797" s="7" t="s">
        <v>20553</v>
      </c>
      <c r="T797" s="7" t="s">
        <v>20554</v>
      </c>
      <c r="U797" s="7" t="s">
        <v>3493</v>
      </c>
      <c r="V797" s="7">
        <v>1.0</v>
      </c>
    </row>
    <row r="798">
      <c r="A798" s="7" t="s">
        <v>2280</v>
      </c>
      <c r="B798" s="7">
        <v>633.0</v>
      </c>
      <c r="C798" s="7" t="s">
        <v>8852</v>
      </c>
      <c r="D798" s="7" t="s">
        <v>8853</v>
      </c>
      <c r="E798" s="7" t="s">
        <v>8854</v>
      </c>
      <c r="F798" s="7" t="s">
        <v>8855</v>
      </c>
      <c r="G798" s="7" t="s">
        <v>8856</v>
      </c>
      <c r="H798" s="7" t="s">
        <v>8857</v>
      </c>
      <c r="I798" s="119">
        <v>45292.0</v>
      </c>
      <c r="K798" s="7" t="s">
        <v>419</v>
      </c>
      <c r="L798" s="7" t="s">
        <v>991</v>
      </c>
      <c r="M798" s="7" t="s">
        <v>3501</v>
      </c>
      <c r="N798" s="7" t="s">
        <v>419</v>
      </c>
      <c r="O798" s="7" t="s">
        <v>19443</v>
      </c>
      <c r="P798" s="7" t="s">
        <v>323</v>
      </c>
      <c r="Q798" s="7" t="s">
        <v>821</v>
      </c>
      <c r="T798" s="7" t="s">
        <v>19447</v>
      </c>
      <c r="U798" s="7" t="s">
        <v>5585</v>
      </c>
      <c r="V798" s="7">
        <v>1.0</v>
      </c>
    </row>
    <row r="799">
      <c r="A799" s="7" t="s">
        <v>20654</v>
      </c>
      <c r="B799" s="7">
        <v>11150.0</v>
      </c>
      <c r="C799" s="7" t="s">
        <v>8852</v>
      </c>
      <c r="D799" s="7" t="s">
        <v>6009</v>
      </c>
      <c r="E799" s="7" t="s">
        <v>8854</v>
      </c>
      <c r="F799" s="7" t="s">
        <v>6011</v>
      </c>
      <c r="G799" s="7" t="s">
        <v>8861</v>
      </c>
      <c r="H799" s="7" t="s">
        <v>8862</v>
      </c>
      <c r="I799" s="119">
        <v>45292.0</v>
      </c>
      <c r="K799" s="7" t="s">
        <v>3885</v>
      </c>
      <c r="L799" s="7" t="s">
        <v>3542</v>
      </c>
      <c r="M799" s="7" t="s">
        <v>3543</v>
      </c>
      <c r="N799" s="7" t="s">
        <v>419</v>
      </c>
      <c r="O799" s="7" t="s">
        <v>19438</v>
      </c>
      <c r="P799" s="7" t="s">
        <v>19465</v>
      </c>
      <c r="Q799" s="7" t="s">
        <v>186</v>
      </c>
      <c r="T799" s="7" t="s">
        <v>19466</v>
      </c>
      <c r="U799" s="7" t="s">
        <v>3493</v>
      </c>
      <c r="V799" s="7">
        <v>1.0</v>
      </c>
    </row>
    <row r="800">
      <c r="A800" s="7" t="s">
        <v>20655</v>
      </c>
      <c r="B800" s="7">
        <v>2300702.0</v>
      </c>
      <c r="C800" s="7" t="s">
        <v>8852</v>
      </c>
      <c r="D800" s="7" t="s">
        <v>8866</v>
      </c>
      <c r="E800" s="7" t="s">
        <v>8854</v>
      </c>
      <c r="F800" s="7" t="s">
        <v>8867</v>
      </c>
      <c r="G800" s="7" t="s">
        <v>8868</v>
      </c>
      <c r="H800" s="7" t="s">
        <v>8869</v>
      </c>
      <c r="I800" s="119">
        <v>45292.0</v>
      </c>
      <c r="K800" s="7" t="s">
        <v>419</v>
      </c>
      <c r="L800" s="7" t="s">
        <v>991</v>
      </c>
      <c r="M800" s="7" t="s">
        <v>3501</v>
      </c>
      <c r="N800" s="7" t="s">
        <v>419</v>
      </c>
      <c r="O800" s="7" t="s">
        <v>19432</v>
      </c>
      <c r="P800" s="7" t="s">
        <v>298</v>
      </c>
      <c r="Q800" s="7" t="s">
        <v>304</v>
      </c>
      <c r="R800" s="7" t="s">
        <v>19905</v>
      </c>
      <c r="S800" s="7" t="s">
        <v>20232</v>
      </c>
      <c r="T800" s="7" t="s">
        <v>6698</v>
      </c>
      <c r="U800" s="7" t="s">
        <v>3493</v>
      </c>
      <c r="V800" s="7">
        <v>1.0</v>
      </c>
    </row>
    <row r="801">
      <c r="A801" s="7" t="s">
        <v>20656</v>
      </c>
      <c r="B801" s="7">
        <v>2200728.0</v>
      </c>
      <c r="C801" s="7" t="s">
        <v>8852</v>
      </c>
      <c r="D801" s="7" t="s">
        <v>8871</v>
      </c>
      <c r="E801" s="7" t="s">
        <v>8854</v>
      </c>
      <c r="F801" s="7" t="s">
        <v>8872</v>
      </c>
      <c r="G801" s="7" t="s">
        <v>8873</v>
      </c>
      <c r="H801" s="7" t="s">
        <v>8874</v>
      </c>
      <c r="I801" s="119">
        <v>45292.0</v>
      </c>
      <c r="K801" s="7" t="s">
        <v>4042</v>
      </c>
      <c r="L801" s="7" t="s">
        <v>991</v>
      </c>
      <c r="M801" s="7" t="s">
        <v>3866</v>
      </c>
      <c r="N801" s="7" t="s">
        <v>4042</v>
      </c>
      <c r="O801" s="7" t="s">
        <v>4042</v>
      </c>
      <c r="P801" s="7" t="s">
        <v>19632</v>
      </c>
      <c r="T801" s="7" t="s">
        <v>4044</v>
      </c>
      <c r="U801" s="7" t="s">
        <v>3493</v>
      </c>
      <c r="V801" s="7">
        <v>1.0</v>
      </c>
    </row>
    <row r="802">
      <c r="A802" s="7" t="s">
        <v>20657</v>
      </c>
      <c r="B802" s="7">
        <v>8224.0</v>
      </c>
      <c r="C802" s="7" t="s">
        <v>8852</v>
      </c>
      <c r="D802" s="7" t="s">
        <v>8876</v>
      </c>
      <c r="E802" s="7" t="s">
        <v>8854</v>
      </c>
      <c r="F802" s="7" t="s">
        <v>8877</v>
      </c>
      <c r="G802" s="7" t="s">
        <v>8878</v>
      </c>
      <c r="H802" s="7" t="s">
        <v>8879</v>
      </c>
      <c r="I802" s="119">
        <v>45292.0</v>
      </c>
      <c r="K802" s="7" t="s">
        <v>419</v>
      </c>
      <c r="L802" s="7" t="s">
        <v>991</v>
      </c>
      <c r="M802" s="7" t="s">
        <v>3531</v>
      </c>
      <c r="N802" s="7" t="s">
        <v>419</v>
      </c>
      <c r="O802" s="7" t="s">
        <v>19430</v>
      </c>
      <c r="P802" s="7" t="s">
        <v>717</v>
      </c>
      <c r="Q802" s="7" t="s">
        <v>720</v>
      </c>
      <c r="R802" s="7" t="s">
        <v>19542</v>
      </c>
      <c r="T802" s="7" t="s">
        <v>3725</v>
      </c>
      <c r="U802" s="7" t="s">
        <v>3493</v>
      </c>
      <c r="V802" s="7">
        <v>1.0</v>
      </c>
    </row>
    <row r="803">
      <c r="A803" s="7" t="s">
        <v>20658</v>
      </c>
      <c r="B803" s="7">
        <v>2300125.0</v>
      </c>
      <c r="C803" s="7" t="s">
        <v>8852</v>
      </c>
      <c r="D803" s="7" t="s">
        <v>8881</v>
      </c>
      <c r="E803" s="7" t="s">
        <v>8854</v>
      </c>
      <c r="F803" s="7" t="s">
        <v>4321</v>
      </c>
      <c r="G803" s="7" t="s">
        <v>8882</v>
      </c>
      <c r="H803" s="7" t="s">
        <v>8883</v>
      </c>
      <c r="I803" s="119">
        <v>45292.0</v>
      </c>
      <c r="K803" s="7" t="s">
        <v>419</v>
      </c>
      <c r="L803" s="7" t="s">
        <v>991</v>
      </c>
      <c r="M803" s="7" t="s">
        <v>3501</v>
      </c>
      <c r="N803" s="7" t="s">
        <v>419</v>
      </c>
      <c r="O803" s="7" t="s">
        <v>19430</v>
      </c>
      <c r="P803" s="7" t="s">
        <v>717</v>
      </c>
      <c r="Q803" s="7" t="s">
        <v>738</v>
      </c>
      <c r="R803" s="7" t="s">
        <v>20305</v>
      </c>
      <c r="T803" s="7" t="s">
        <v>8885</v>
      </c>
      <c r="U803" s="7" t="s">
        <v>3604</v>
      </c>
      <c r="V803" s="7">
        <v>1.0</v>
      </c>
    </row>
    <row r="804">
      <c r="A804" s="7" t="s">
        <v>20659</v>
      </c>
      <c r="B804" s="7">
        <v>13556.0</v>
      </c>
      <c r="C804" s="7" t="s">
        <v>8852</v>
      </c>
      <c r="D804" s="7" t="s">
        <v>8887</v>
      </c>
      <c r="E804" s="7" t="s">
        <v>8854</v>
      </c>
      <c r="F804" s="7" t="s">
        <v>6037</v>
      </c>
      <c r="G804" s="7" t="s">
        <v>8888</v>
      </c>
      <c r="H804" s="7" t="s">
        <v>8889</v>
      </c>
      <c r="I804" s="119">
        <v>45292.0</v>
      </c>
      <c r="K804" s="7" t="s">
        <v>3632</v>
      </c>
      <c r="L804" s="7" t="s">
        <v>991</v>
      </c>
      <c r="M804" s="7" t="s">
        <v>4644</v>
      </c>
      <c r="N804" s="7" t="s">
        <v>3632</v>
      </c>
      <c r="O804" s="7" t="s">
        <v>3632</v>
      </c>
      <c r="P804" s="7" t="s">
        <v>19456</v>
      </c>
      <c r="T804" s="7" t="s">
        <v>8891</v>
      </c>
      <c r="U804" s="7" t="s">
        <v>420</v>
      </c>
      <c r="V804" s="7">
        <v>1.0</v>
      </c>
    </row>
    <row r="805">
      <c r="A805" s="7" t="s">
        <v>20660</v>
      </c>
      <c r="B805" s="7">
        <v>1312.0</v>
      </c>
      <c r="C805" s="7" t="s">
        <v>8852</v>
      </c>
      <c r="D805" s="7" t="s">
        <v>8893</v>
      </c>
      <c r="E805" s="7" t="s">
        <v>8854</v>
      </c>
      <c r="F805" s="7" t="s">
        <v>6175</v>
      </c>
      <c r="G805" s="7" t="s">
        <v>8894</v>
      </c>
      <c r="H805" s="7" t="s">
        <v>8895</v>
      </c>
      <c r="I805" s="119">
        <v>45292.0</v>
      </c>
      <c r="K805" s="7" t="s">
        <v>419</v>
      </c>
      <c r="L805" s="7" t="s">
        <v>991</v>
      </c>
      <c r="M805" s="7" t="s">
        <v>3501</v>
      </c>
      <c r="N805" s="7" t="s">
        <v>419</v>
      </c>
      <c r="O805" s="7" t="s">
        <v>19433</v>
      </c>
      <c r="P805" s="7" t="s">
        <v>648</v>
      </c>
      <c r="Q805" s="7" t="s">
        <v>141</v>
      </c>
      <c r="R805" s="7" t="s">
        <v>19886</v>
      </c>
      <c r="S805" s="7" t="s">
        <v>20331</v>
      </c>
      <c r="T805" s="7" t="s">
        <v>7253</v>
      </c>
      <c r="U805" s="7" t="s">
        <v>3493</v>
      </c>
      <c r="V805" s="7">
        <v>1.0</v>
      </c>
    </row>
    <row r="806">
      <c r="A806" s="7" t="s">
        <v>20661</v>
      </c>
      <c r="B806" s="7">
        <v>2100298.0</v>
      </c>
      <c r="C806" s="7" t="s">
        <v>8897</v>
      </c>
      <c r="D806" s="7" t="s">
        <v>8898</v>
      </c>
      <c r="E806" s="7" t="s">
        <v>8899</v>
      </c>
      <c r="F806" s="7" t="s">
        <v>4172</v>
      </c>
      <c r="G806" s="7" t="s">
        <v>8900</v>
      </c>
      <c r="H806" s="7" t="s">
        <v>8901</v>
      </c>
      <c r="I806" s="119">
        <v>45292.0</v>
      </c>
      <c r="K806" s="7" t="s">
        <v>419</v>
      </c>
      <c r="L806" s="7" t="s">
        <v>991</v>
      </c>
      <c r="M806" s="7" t="s">
        <v>3501</v>
      </c>
      <c r="N806" s="7" t="s">
        <v>419</v>
      </c>
      <c r="O806" s="7" t="s">
        <v>19430</v>
      </c>
      <c r="P806" s="7" t="s">
        <v>717</v>
      </c>
      <c r="Q806" s="7" t="s">
        <v>720</v>
      </c>
      <c r="R806" s="7" t="s">
        <v>19626</v>
      </c>
      <c r="S806" s="7" t="s">
        <v>19718</v>
      </c>
      <c r="T806" s="7" t="s">
        <v>4368</v>
      </c>
      <c r="U806" s="7" t="s">
        <v>3493</v>
      </c>
      <c r="V806" s="7">
        <v>1.0</v>
      </c>
    </row>
    <row r="807">
      <c r="A807" s="7" t="s">
        <v>20662</v>
      </c>
      <c r="B807" s="7">
        <v>2300539.0</v>
      </c>
      <c r="C807" s="7" t="s">
        <v>8903</v>
      </c>
      <c r="D807" s="7" t="s">
        <v>8904</v>
      </c>
      <c r="E807" s="7" t="s">
        <v>8905</v>
      </c>
      <c r="F807" s="7" t="s">
        <v>3748</v>
      </c>
      <c r="G807" s="7" t="s">
        <v>8906</v>
      </c>
      <c r="H807" s="7" t="s">
        <v>8907</v>
      </c>
      <c r="I807" s="119">
        <v>45292.0</v>
      </c>
      <c r="K807" s="7" t="s">
        <v>419</v>
      </c>
      <c r="L807" s="7" t="s">
        <v>991</v>
      </c>
      <c r="M807" s="7" t="s">
        <v>3531</v>
      </c>
      <c r="N807" s="7" t="s">
        <v>419</v>
      </c>
      <c r="O807" s="7" t="s">
        <v>19443</v>
      </c>
      <c r="P807" s="7" t="s">
        <v>323</v>
      </c>
      <c r="Q807" s="7" t="s">
        <v>824</v>
      </c>
      <c r="R807" s="7" t="s">
        <v>20407</v>
      </c>
      <c r="T807" s="7" t="s">
        <v>8908</v>
      </c>
      <c r="U807" s="7" t="s">
        <v>3493</v>
      </c>
      <c r="V807" s="7">
        <v>1.0</v>
      </c>
    </row>
    <row r="808">
      <c r="A808" s="7" t="s">
        <v>1966</v>
      </c>
      <c r="B808" s="7">
        <v>779.0</v>
      </c>
      <c r="C808" s="7" t="s">
        <v>8909</v>
      </c>
      <c r="D808" s="7" t="s">
        <v>8910</v>
      </c>
      <c r="E808" s="7" t="s">
        <v>8183</v>
      </c>
      <c r="F808" s="7" t="s">
        <v>8911</v>
      </c>
      <c r="G808" s="7" t="s">
        <v>8912</v>
      </c>
      <c r="H808" s="7" t="s">
        <v>8913</v>
      </c>
      <c r="I808" s="119">
        <v>45292.0</v>
      </c>
      <c r="K808" s="7" t="s">
        <v>419</v>
      </c>
      <c r="L808" s="7" t="s">
        <v>991</v>
      </c>
      <c r="M808" s="7" t="s">
        <v>3501</v>
      </c>
      <c r="N808" s="7" t="s">
        <v>419</v>
      </c>
      <c r="O808" s="7" t="s">
        <v>19432</v>
      </c>
      <c r="P808" s="7" t="s">
        <v>298</v>
      </c>
      <c r="Q808" s="7" t="s">
        <v>798</v>
      </c>
      <c r="T808" s="7" t="s">
        <v>5274</v>
      </c>
      <c r="U808" s="7" t="s">
        <v>3493</v>
      </c>
      <c r="V808" s="7">
        <v>1.0</v>
      </c>
    </row>
    <row r="809">
      <c r="A809" s="7" t="s">
        <v>20663</v>
      </c>
      <c r="B809" s="7">
        <v>2100310.0</v>
      </c>
      <c r="C809" s="7" t="s">
        <v>8909</v>
      </c>
      <c r="D809" s="7" t="s">
        <v>8915</v>
      </c>
      <c r="E809" s="7" t="s">
        <v>8183</v>
      </c>
      <c r="F809" s="7" t="s">
        <v>8916</v>
      </c>
      <c r="G809" s="7" t="s">
        <v>8917</v>
      </c>
      <c r="H809" s="7" t="s">
        <v>8918</v>
      </c>
      <c r="I809" s="119">
        <v>45292.0</v>
      </c>
      <c r="J809" s="7" t="s">
        <v>4216</v>
      </c>
      <c r="K809" s="7" t="s">
        <v>419</v>
      </c>
      <c r="L809" s="7" t="s">
        <v>991</v>
      </c>
      <c r="M809" s="7" t="s">
        <v>3501</v>
      </c>
      <c r="N809" s="7" t="s">
        <v>419</v>
      </c>
      <c r="O809" s="7" t="s">
        <v>19430</v>
      </c>
      <c r="P809" s="7" t="s">
        <v>717</v>
      </c>
      <c r="Q809" s="7" t="s">
        <v>251</v>
      </c>
      <c r="R809" s="7" t="s">
        <v>19593</v>
      </c>
      <c r="S809" s="7" t="s">
        <v>20664</v>
      </c>
      <c r="T809" s="7" t="s">
        <v>8920</v>
      </c>
      <c r="U809" s="7" t="s">
        <v>3493</v>
      </c>
      <c r="V809" s="7">
        <v>1.0</v>
      </c>
    </row>
    <row r="810">
      <c r="A810" s="7" t="s">
        <v>20665</v>
      </c>
      <c r="B810" s="7">
        <v>13087.0</v>
      </c>
      <c r="C810" s="7" t="s">
        <v>8922</v>
      </c>
      <c r="D810" s="7" t="s">
        <v>8923</v>
      </c>
      <c r="E810" s="7" t="s">
        <v>8924</v>
      </c>
      <c r="F810" s="7" t="s">
        <v>8925</v>
      </c>
      <c r="G810" s="7" t="s">
        <v>8926</v>
      </c>
      <c r="H810" s="7" t="s">
        <v>8927</v>
      </c>
      <c r="I810" s="119">
        <v>45292.0</v>
      </c>
      <c r="K810" s="7" t="s">
        <v>419</v>
      </c>
      <c r="L810" s="7" t="s">
        <v>991</v>
      </c>
      <c r="M810" s="7" t="s">
        <v>3531</v>
      </c>
      <c r="N810" s="7" t="s">
        <v>419</v>
      </c>
      <c r="O810" s="7" t="s">
        <v>19443</v>
      </c>
      <c r="P810" s="7" t="s">
        <v>323</v>
      </c>
      <c r="Q810" s="7" t="s">
        <v>324</v>
      </c>
      <c r="R810" s="7" t="s">
        <v>19599</v>
      </c>
      <c r="T810" s="7" t="s">
        <v>3921</v>
      </c>
      <c r="U810" s="7" t="s">
        <v>3493</v>
      </c>
      <c r="V810" s="7">
        <v>1.0</v>
      </c>
    </row>
    <row r="811">
      <c r="A811" s="7" t="s">
        <v>20666</v>
      </c>
      <c r="B811" s="7">
        <v>2200245.0</v>
      </c>
      <c r="C811" s="7" t="s">
        <v>8929</v>
      </c>
      <c r="D811" s="7" t="s">
        <v>3952</v>
      </c>
      <c r="E811" s="7" t="s">
        <v>3781</v>
      </c>
      <c r="F811" s="7" t="s">
        <v>8930</v>
      </c>
      <c r="G811" s="7" t="s">
        <v>8931</v>
      </c>
      <c r="H811" s="7" t="s">
        <v>8932</v>
      </c>
      <c r="I811" s="119">
        <v>45292.0</v>
      </c>
      <c r="K811" s="7" t="s">
        <v>419</v>
      </c>
      <c r="L811" s="7" t="s">
        <v>991</v>
      </c>
      <c r="M811" s="7" t="s">
        <v>3531</v>
      </c>
      <c r="N811" s="7" t="s">
        <v>419</v>
      </c>
      <c r="O811" s="7" t="s">
        <v>19432</v>
      </c>
      <c r="P811" s="7" t="s">
        <v>298</v>
      </c>
      <c r="Q811" s="7" t="s">
        <v>802</v>
      </c>
      <c r="R811" s="7" t="s">
        <v>19827</v>
      </c>
      <c r="S811" s="7" t="s">
        <v>20667</v>
      </c>
      <c r="T811" s="7" t="s">
        <v>8934</v>
      </c>
      <c r="U811" s="7" t="s">
        <v>3493</v>
      </c>
      <c r="V811" s="7">
        <v>1.0</v>
      </c>
    </row>
    <row r="812">
      <c r="A812" s="7" t="s">
        <v>20668</v>
      </c>
      <c r="B812" s="7">
        <v>13385.0</v>
      </c>
      <c r="C812" s="7" t="s">
        <v>8936</v>
      </c>
      <c r="D812" s="7" t="s">
        <v>8937</v>
      </c>
      <c r="E812" s="7" t="s">
        <v>3781</v>
      </c>
      <c r="F812" s="7" t="s">
        <v>6288</v>
      </c>
      <c r="G812" s="7" t="s">
        <v>8938</v>
      </c>
      <c r="H812" s="7" t="s">
        <v>8939</v>
      </c>
      <c r="I812" s="119">
        <v>45292.0</v>
      </c>
      <c r="K812" s="7" t="s">
        <v>419</v>
      </c>
      <c r="L812" s="7" t="s">
        <v>991</v>
      </c>
      <c r="M812" s="7" t="s">
        <v>3501</v>
      </c>
      <c r="N812" s="7" t="s">
        <v>419</v>
      </c>
      <c r="O812" s="7" t="s">
        <v>19430</v>
      </c>
      <c r="P812" s="7" t="s">
        <v>717</v>
      </c>
      <c r="Q812" s="7" t="s">
        <v>251</v>
      </c>
      <c r="R812" s="7" t="s">
        <v>19593</v>
      </c>
      <c r="S812" s="7" t="s">
        <v>20664</v>
      </c>
      <c r="T812" s="7" t="s">
        <v>8920</v>
      </c>
      <c r="U812" s="7" t="s">
        <v>3843</v>
      </c>
      <c r="V812" s="7">
        <v>1.0</v>
      </c>
    </row>
    <row r="813">
      <c r="A813" s="7" t="s">
        <v>20669</v>
      </c>
      <c r="B813" s="7">
        <v>2300359.0</v>
      </c>
      <c r="C813" s="7" t="s">
        <v>8941</v>
      </c>
      <c r="D813" s="7" t="s">
        <v>3854</v>
      </c>
      <c r="E813" s="7" t="s">
        <v>8942</v>
      </c>
      <c r="F813" s="7" t="s">
        <v>3580</v>
      </c>
      <c r="G813" s="7" t="s">
        <v>8943</v>
      </c>
      <c r="H813" s="7" t="s">
        <v>8944</v>
      </c>
      <c r="I813" s="119">
        <v>45292.0</v>
      </c>
      <c r="K813" s="7" t="s">
        <v>419</v>
      </c>
      <c r="L813" s="7" t="s">
        <v>991</v>
      </c>
      <c r="M813" s="7" t="s">
        <v>3490</v>
      </c>
      <c r="N813" s="7" t="s">
        <v>419</v>
      </c>
      <c r="O813" s="7" t="s">
        <v>19432</v>
      </c>
      <c r="P813" s="7" t="s">
        <v>298</v>
      </c>
      <c r="Q813" s="7" t="s">
        <v>1284</v>
      </c>
      <c r="R813" s="7" t="s">
        <v>20190</v>
      </c>
      <c r="S813" s="7" t="s">
        <v>20220</v>
      </c>
      <c r="T813" s="7" t="s">
        <v>9604</v>
      </c>
      <c r="U813" s="7" t="s">
        <v>3493</v>
      </c>
      <c r="V813" s="7">
        <v>1.0</v>
      </c>
    </row>
    <row r="814">
      <c r="A814" s="7" t="s">
        <v>20670</v>
      </c>
      <c r="B814" s="7">
        <v>1219.0</v>
      </c>
      <c r="C814" s="7" t="s">
        <v>8947</v>
      </c>
      <c r="D814" s="7" t="s">
        <v>8948</v>
      </c>
      <c r="E814" s="7" t="s">
        <v>8949</v>
      </c>
      <c r="F814" s="7" t="s">
        <v>8756</v>
      </c>
      <c r="G814" s="7" t="s">
        <v>8950</v>
      </c>
      <c r="H814" s="7" t="s">
        <v>8951</v>
      </c>
      <c r="I814" s="119">
        <v>45292.0</v>
      </c>
      <c r="J814" s="7" t="s">
        <v>3929</v>
      </c>
      <c r="K814" s="7" t="s">
        <v>419</v>
      </c>
      <c r="L814" s="7" t="s">
        <v>991</v>
      </c>
      <c r="M814" s="7" t="s">
        <v>3501</v>
      </c>
      <c r="N814" s="7" t="s">
        <v>419</v>
      </c>
      <c r="O814" s="7" t="s">
        <v>19443</v>
      </c>
      <c r="P814" s="7" t="s">
        <v>1242</v>
      </c>
      <c r="Q814" s="7" t="s">
        <v>43</v>
      </c>
      <c r="R814" s="7" t="s">
        <v>19566</v>
      </c>
      <c r="S814" s="7" t="s">
        <v>19976</v>
      </c>
      <c r="T814" s="7" t="s">
        <v>19977</v>
      </c>
      <c r="U814" s="7" t="s">
        <v>3493</v>
      </c>
      <c r="V814" s="7">
        <v>1.0</v>
      </c>
    </row>
    <row r="815">
      <c r="A815" s="7" t="s">
        <v>20671</v>
      </c>
      <c r="B815" s="7">
        <v>8288.0</v>
      </c>
      <c r="C815" s="7" t="s">
        <v>8954</v>
      </c>
      <c r="D815" s="7" t="s">
        <v>8955</v>
      </c>
      <c r="E815" s="7" t="s">
        <v>8956</v>
      </c>
      <c r="F815" s="7" t="s">
        <v>8957</v>
      </c>
      <c r="G815" s="7" t="s">
        <v>8958</v>
      </c>
      <c r="H815" s="7" t="s">
        <v>8959</v>
      </c>
      <c r="I815" s="119">
        <v>45292.0</v>
      </c>
      <c r="K815" s="7" t="s">
        <v>419</v>
      </c>
      <c r="L815" s="7" t="s">
        <v>991</v>
      </c>
      <c r="M815" s="7" t="s">
        <v>3531</v>
      </c>
      <c r="N815" s="7" t="s">
        <v>419</v>
      </c>
      <c r="O815" s="7" t="s">
        <v>19430</v>
      </c>
      <c r="P815" s="7" t="s">
        <v>717</v>
      </c>
      <c r="Q815" s="7" t="s">
        <v>720</v>
      </c>
      <c r="R815" s="7" t="s">
        <v>19542</v>
      </c>
      <c r="T815" s="7" t="s">
        <v>3725</v>
      </c>
      <c r="U815" s="7" t="s">
        <v>3493</v>
      </c>
      <c r="V815" s="7">
        <v>1.0</v>
      </c>
    </row>
    <row r="816">
      <c r="A816" s="7" t="s">
        <v>20672</v>
      </c>
      <c r="B816" s="7">
        <v>14123.0</v>
      </c>
      <c r="C816" s="7" t="s">
        <v>8961</v>
      </c>
      <c r="D816" s="7" t="s">
        <v>8962</v>
      </c>
      <c r="E816" s="7" t="s">
        <v>8963</v>
      </c>
      <c r="F816" s="7" t="s">
        <v>4271</v>
      </c>
      <c r="G816" s="7" t="s">
        <v>8964</v>
      </c>
      <c r="H816" s="7" t="s">
        <v>8965</v>
      </c>
      <c r="I816" s="119">
        <v>45292.0</v>
      </c>
      <c r="K816" s="7" t="s">
        <v>419</v>
      </c>
      <c r="L816" s="7" t="s">
        <v>991</v>
      </c>
      <c r="M816" s="7" t="s">
        <v>3501</v>
      </c>
      <c r="N816" s="7" t="s">
        <v>419</v>
      </c>
      <c r="O816" s="7" t="s">
        <v>19430</v>
      </c>
      <c r="P816" s="7" t="s">
        <v>717</v>
      </c>
      <c r="Q816" s="7" t="s">
        <v>738</v>
      </c>
      <c r="R816" s="7" t="s">
        <v>20012</v>
      </c>
      <c r="S816" s="7" t="s">
        <v>20068</v>
      </c>
      <c r="T816" s="7" t="s">
        <v>5889</v>
      </c>
      <c r="U816" s="7" t="s">
        <v>3493</v>
      </c>
      <c r="V816" s="7">
        <v>1.0</v>
      </c>
    </row>
    <row r="817">
      <c r="A817" s="7" t="s">
        <v>20673</v>
      </c>
      <c r="B817" s="7">
        <v>2200124.0</v>
      </c>
      <c r="C817" s="7" t="s">
        <v>8967</v>
      </c>
      <c r="D817" s="7" t="s">
        <v>8968</v>
      </c>
      <c r="E817" s="7" t="s">
        <v>8969</v>
      </c>
      <c r="F817" s="7" t="s">
        <v>6262</v>
      </c>
      <c r="G817" s="7" t="s">
        <v>8970</v>
      </c>
      <c r="H817" s="7" t="s">
        <v>8971</v>
      </c>
      <c r="I817" s="119">
        <v>45292.0</v>
      </c>
      <c r="K817" s="7" t="s">
        <v>419</v>
      </c>
      <c r="L817" s="7" t="s">
        <v>991</v>
      </c>
      <c r="M817" s="7" t="s">
        <v>3531</v>
      </c>
      <c r="N817" s="7" t="s">
        <v>419</v>
      </c>
      <c r="O817" s="7" t="s">
        <v>19437</v>
      </c>
      <c r="P817" s="7" t="s">
        <v>478</v>
      </c>
      <c r="Q817" s="7" t="s">
        <v>484</v>
      </c>
      <c r="R817" s="7" t="s">
        <v>20513</v>
      </c>
      <c r="T817" s="7" t="s">
        <v>8973</v>
      </c>
      <c r="U817" s="7" t="s">
        <v>3493</v>
      </c>
      <c r="V817" s="7">
        <v>1.0</v>
      </c>
    </row>
    <row r="818">
      <c r="A818" s="7" t="s">
        <v>1681</v>
      </c>
      <c r="B818" s="7">
        <v>57.0</v>
      </c>
      <c r="C818" s="7" t="s">
        <v>8974</v>
      </c>
      <c r="D818" s="7" t="s">
        <v>8975</v>
      </c>
      <c r="E818" s="7" t="s">
        <v>8976</v>
      </c>
      <c r="F818" s="7" t="s">
        <v>4967</v>
      </c>
      <c r="G818" s="7" t="s">
        <v>8977</v>
      </c>
      <c r="H818" s="7" t="s">
        <v>8978</v>
      </c>
      <c r="I818" s="119">
        <v>45292.0</v>
      </c>
      <c r="K818" s="7" t="s">
        <v>419</v>
      </c>
      <c r="L818" s="7" t="s">
        <v>991</v>
      </c>
      <c r="M818" s="7" t="s">
        <v>3501</v>
      </c>
      <c r="N818" s="7" t="s">
        <v>419</v>
      </c>
      <c r="O818" s="7" t="s">
        <v>19443</v>
      </c>
      <c r="P818" s="7" t="s">
        <v>323</v>
      </c>
      <c r="Q818" s="7" t="s">
        <v>819</v>
      </c>
      <c r="R818" s="7" t="s">
        <v>19716</v>
      </c>
      <c r="T818" s="7" t="s">
        <v>20674</v>
      </c>
      <c r="U818" s="7" t="s">
        <v>3604</v>
      </c>
      <c r="V818" s="7">
        <v>1.0</v>
      </c>
    </row>
    <row r="819">
      <c r="A819" s="7" t="s">
        <v>20675</v>
      </c>
      <c r="B819" s="7">
        <v>11899.0</v>
      </c>
      <c r="C819" s="7" t="s">
        <v>8983</v>
      </c>
      <c r="D819" s="7" t="s">
        <v>6341</v>
      </c>
      <c r="E819" s="7" t="s">
        <v>8984</v>
      </c>
      <c r="F819" s="7" t="s">
        <v>4357</v>
      </c>
      <c r="G819" s="7" t="s">
        <v>8985</v>
      </c>
      <c r="H819" s="7" t="s">
        <v>8986</v>
      </c>
      <c r="I819" s="119">
        <v>45292.0</v>
      </c>
      <c r="K819" s="7" t="s">
        <v>419</v>
      </c>
      <c r="L819" s="7" t="s">
        <v>991</v>
      </c>
      <c r="M819" s="7" t="s">
        <v>3531</v>
      </c>
      <c r="N819" s="7" t="s">
        <v>419</v>
      </c>
      <c r="O819" s="7" t="s">
        <v>19432</v>
      </c>
      <c r="P819" s="7" t="s">
        <v>298</v>
      </c>
      <c r="Q819" s="7" t="s">
        <v>802</v>
      </c>
      <c r="R819" s="7" t="s">
        <v>20050</v>
      </c>
      <c r="S819" s="7" t="s">
        <v>20051</v>
      </c>
      <c r="T819" s="7" t="s">
        <v>5817</v>
      </c>
      <c r="U819" s="7" t="s">
        <v>3493</v>
      </c>
      <c r="V819" s="7">
        <v>1.0</v>
      </c>
    </row>
    <row r="820">
      <c r="A820" s="7" t="s">
        <v>20676</v>
      </c>
      <c r="B820" s="7">
        <v>780.0</v>
      </c>
      <c r="C820" s="7" t="s">
        <v>8987</v>
      </c>
      <c r="D820" s="7" t="s">
        <v>8988</v>
      </c>
      <c r="E820" s="7" t="s">
        <v>8989</v>
      </c>
      <c r="F820" s="7" t="s">
        <v>3656</v>
      </c>
      <c r="G820" s="7" t="s">
        <v>8990</v>
      </c>
      <c r="H820" s="7" t="s">
        <v>8991</v>
      </c>
      <c r="I820" s="119">
        <v>45292.0</v>
      </c>
      <c r="K820" s="7" t="s">
        <v>419</v>
      </c>
      <c r="L820" s="7" t="s">
        <v>991</v>
      </c>
      <c r="M820" s="7" t="s">
        <v>3501</v>
      </c>
      <c r="N820" s="7" t="s">
        <v>419</v>
      </c>
      <c r="O820" s="7" t="s">
        <v>19432</v>
      </c>
      <c r="P820" s="7" t="s">
        <v>391</v>
      </c>
      <c r="Q820" s="7" t="s">
        <v>392</v>
      </c>
      <c r="R820" s="7" t="s">
        <v>20176</v>
      </c>
      <c r="T820" s="7" t="s">
        <v>6420</v>
      </c>
      <c r="U820" s="7" t="s">
        <v>3493</v>
      </c>
      <c r="V820" s="7">
        <v>1.0</v>
      </c>
    </row>
    <row r="821">
      <c r="A821" s="7" t="s">
        <v>20677</v>
      </c>
      <c r="B821" s="7">
        <v>2300546.0</v>
      </c>
      <c r="C821" s="7" t="s">
        <v>8993</v>
      </c>
      <c r="D821" s="7" t="s">
        <v>8994</v>
      </c>
      <c r="E821" s="7" t="s">
        <v>8995</v>
      </c>
      <c r="F821" s="7" t="s">
        <v>4262</v>
      </c>
      <c r="G821" s="7" t="s">
        <v>8996</v>
      </c>
      <c r="H821" s="7" t="s">
        <v>8997</v>
      </c>
      <c r="I821" s="119">
        <v>45292.0</v>
      </c>
      <c r="K821" s="7" t="s">
        <v>419</v>
      </c>
      <c r="L821" s="7" t="s">
        <v>991</v>
      </c>
      <c r="M821" s="7" t="s">
        <v>3583</v>
      </c>
      <c r="N821" s="7" t="s">
        <v>419</v>
      </c>
      <c r="O821" s="7" t="s">
        <v>19430</v>
      </c>
      <c r="P821" s="7" t="s">
        <v>717</v>
      </c>
      <c r="Q821" s="7" t="s">
        <v>738</v>
      </c>
      <c r="R821" s="7" t="s">
        <v>19818</v>
      </c>
      <c r="S821" s="7" t="s">
        <v>19668</v>
      </c>
      <c r="T821" s="7" t="s">
        <v>4739</v>
      </c>
      <c r="U821" s="7" t="s">
        <v>3493</v>
      </c>
      <c r="V821" s="7">
        <v>1.0</v>
      </c>
    </row>
    <row r="822">
      <c r="A822" s="7" t="s">
        <v>20678</v>
      </c>
      <c r="B822" s="7">
        <v>14099.0</v>
      </c>
      <c r="C822" s="7" t="s">
        <v>8999</v>
      </c>
      <c r="D822" s="7" t="s">
        <v>9000</v>
      </c>
      <c r="E822" s="7" t="s">
        <v>9001</v>
      </c>
      <c r="F822" s="7" t="s">
        <v>8606</v>
      </c>
      <c r="G822" s="7" t="s">
        <v>9002</v>
      </c>
      <c r="H822" s="7" t="s">
        <v>9003</v>
      </c>
      <c r="I822" s="119">
        <v>45292.0</v>
      </c>
      <c r="K822" s="7" t="s">
        <v>419</v>
      </c>
      <c r="L822" s="7" t="s">
        <v>991</v>
      </c>
      <c r="M822" s="7" t="s">
        <v>3531</v>
      </c>
      <c r="N822" s="7" t="s">
        <v>419</v>
      </c>
      <c r="O822" s="7" t="s">
        <v>19433</v>
      </c>
      <c r="P822" s="7" t="s">
        <v>587</v>
      </c>
      <c r="Q822" s="7" t="s">
        <v>74</v>
      </c>
      <c r="R822" s="7" t="s">
        <v>19911</v>
      </c>
      <c r="T822" s="7" t="s">
        <v>5198</v>
      </c>
      <c r="U822" s="7" t="s">
        <v>3493</v>
      </c>
      <c r="V822" s="7">
        <v>1.0</v>
      </c>
    </row>
    <row r="823">
      <c r="A823" s="7" t="s">
        <v>1737</v>
      </c>
      <c r="B823" s="7">
        <v>12843.0</v>
      </c>
      <c r="C823" s="7" t="s">
        <v>8999</v>
      </c>
      <c r="D823" s="7" t="s">
        <v>9004</v>
      </c>
      <c r="E823" s="7" t="s">
        <v>9001</v>
      </c>
      <c r="F823" s="7" t="s">
        <v>8606</v>
      </c>
      <c r="G823" s="7" t="s">
        <v>9005</v>
      </c>
      <c r="H823" s="7" t="s">
        <v>9006</v>
      </c>
      <c r="I823" s="119">
        <v>45292.0</v>
      </c>
      <c r="K823" s="7" t="s">
        <v>9007</v>
      </c>
      <c r="L823" s="7" t="s">
        <v>991</v>
      </c>
      <c r="M823" s="7" t="s">
        <v>3531</v>
      </c>
      <c r="N823" s="7" t="s">
        <v>9007</v>
      </c>
      <c r="O823" s="7" t="s">
        <v>9007</v>
      </c>
      <c r="P823" s="7" t="s">
        <v>20679</v>
      </c>
      <c r="T823" s="7" t="s">
        <v>9008</v>
      </c>
      <c r="U823" s="7" t="s">
        <v>7953</v>
      </c>
      <c r="V823" s="7">
        <v>1.0</v>
      </c>
    </row>
    <row r="824">
      <c r="A824" s="7" t="s">
        <v>20680</v>
      </c>
      <c r="B824" s="7">
        <v>692.0</v>
      </c>
      <c r="C824" s="7" t="s">
        <v>9010</v>
      </c>
      <c r="D824" s="7" t="s">
        <v>9011</v>
      </c>
      <c r="E824" s="7" t="s">
        <v>9012</v>
      </c>
      <c r="F824" s="7" t="s">
        <v>9013</v>
      </c>
      <c r="G824" s="7" t="s">
        <v>9014</v>
      </c>
      <c r="H824" s="7" t="s">
        <v>9015</v>
      </c>
      <c r="I824" s="119">
        <v>45292.0</v>
      </c>
      <c r="K824" s="7" t="s">
        <v>419</v>
      </c>
      <c r="L824" s="7" t="s">
        <v>991</v>
      </c>
      <c r="M824" s="7" t="s">
        <v>3501</v>
      </c>
      <c r="N824" s="7" t="s">
        <v>419</v>
      </c>
      <c r="O824" s="7" t="s">
        <v>19440</v>
      </c>
      <c r="P824" s="7" t="s">
        <v>3</v>
      </c>
      <c r="Q824" s="7" t="s">
        <v>4</v>
      </c>
      <c r="R824" s="7" t="s">
        <v>19858</v>
      </c>
      <c r="T824" s="7" t="s">
        <v>20681</v>
      </c>
      <c r="U824" s="7" t="s">
        <v>3604</v>
      </c>
      <c r="V824" s="7">
        <v>1.0</v>
      </c>
    </row>
    <row r="825">
      <c r="A825" s="7" t="s">
        <v>20682</v>
      </c>
      <c r="B825" s="7">
        <v>2300595.0</v>
      </c>
      <c r="C825" s="7" t="s">
        <v>9019</v>
      </c>
      <c r="D825" s="7" t="s">
        <v>9020</v>
      </c>
      <c r="E825" s="7" t="s">
        <v>9021</v>
      </c>
      <c r="F825" s="7" t="s">
        <v>9022</v>
      </c>
      <c r="G825" s="7" t="s">
        <v>9023</v>
      </c>
      <c r="H825" s="7" t="s">
        <v>9024</v>
      </c>
      <c r="I825" s="119">
        <v>45292.0</v>
      </c>
      <c r="J825" s="7" t="s">
        <v>3929</v>
      </c>
      <c r="K825" s="7" t="s">
        <v>419</v>
      </c>
      <c r="L825" s="7" t="s">
        <v>991</v>
      </c>
      <c r="M825" s="7" t="s">
        <v>3501</v>
      </c>
      <c r="N825" s="7" t="s">
        <v>419</v>
      </c>
      <c r="O825" s="7" t="s">
        <v>19432</v>
      </c>
      <c r="P825" s="7" t="s">
        <v>693</v>
      </c>
      <c r="Q825" s="7" t="s">
        <v>698</v>
      </c>
      <c r="R825" s="7" t="s">
        <v>19563</v>
      </c>
      <c r="S825" s="7" t="s">
        <v>19971</v>
      </c>
      <c r="T825" s="7" t="s">
        <v>5462</v>
      </c>
      <c r="U825" s="7" t="s">
        <v>3493</v>
      </c>
      <c r="V825" s="7">
        <v>1.0</v>
      </c>
    </row>
    <row r="826">
      <c r="A826" s="7" t="s">
        <v>20683</v>
      </c>
      <c r="B826" s="7">
        <v>2200023.0</v>
      </c>
      <c r="C826" s="7" t="s">
        <v>9026</v>
      </c>
      <c r="D826" s="7" t="s">
        <v>5681</v>
      </c>
      <c r="E826" s="7" t="s">
        <v>9027</v>
      </c>
      <c r="F826" s="7" t="s">
        <v>5683</v>
      </c>
      <c r="G826" s="7" t="s">
        <v>9028</v>
      </c>
      <c r="H826" s="7" t="s">
        <v>9029</v>
      </c>
      <c r="I826" s="119">
        <v>45292.0</v>
      </c>
      <c r="K826" s="7" t="s">
        <v>419</v>
      </c>
      <c r="L826" s="7" t="s">
        <v>991</v>
      </c>
      <c r="M826" s="7" t="s">
        <v>3531</v>
      </c>
      <c r="N826" s="7" t="s">
        <v>419</v>
      </c>
      <c r="O826" s="7" t="s">
        <v>19430</v>
      </c>
      <c r="P826" s="7" t="s">
        <v>717</v>
      </c>
      <c r="Q826" s="7" t="s">
        <v>1163</v>
      </c>
      <c r="R826" s="7" t="s">
        <v>19608</v>
      </c>
      <c r="S826" s="7" t="s">
        <v>20046</v>
      </c>
      <c r="T826" s="7" t="s">
        <v>5796</v>
      </c>
      <c r="U826" s="7" t="s">
        <v>3493</v>
      </c>
      <c r="V826" s="7">
        <v>1.0</v>
      </c>
    </row>
    <row r="827">
      <c r="A827" s="7" t="s">
        <v>20684</v>
      </c>
      <c r="B827" s="7">
        <v>12551.0</v>
      </c>
      <c r="C827" s="7" t="s">
        <v>9031</v>
      </c>
      <c r="D827" s="7" t="s">
        <v>9032</v>
      </c>
      <c r="E827" s="7" t="s">
        <v>9033</v>
      </c>
      <c r="F827" s="7" t="s">
        <v>9034</v>
      </c>
      <c r="G827" s="7" t="s">
        <v>9035</v>
      </c>
      <c r="H827" s="7" t="s">
        <v>9036</v>
      </c>
      <c r="I827" s="119">
        <v>45292.0</v>
      </c>
      <c r="K827" s="7" t="s">
        <v>419</v>
      </c>
      <c r="L827" s="7" t="s">
        <v>991</v>
      </c>
      <c r="M827" s="7" t="s">
        <v>3501</v>
      </c>
      <c r="N827" s="7" t="s">
        <v>419</v>
      </c>
      <c r="O827" s="7" t="s">
        <v>19430</v>
      </c>
      <c r="P827" s="7" t="s">
        <v>717</v>
      </c>
      <c r="Q827" s="7" t="s">
        <v>223</v>
      </c>
      <c r="R827" s="7" t="s">
        <v>19566</v>
      </c>
      <c r="S827" s="7" t="s">
        <v>19588</v>
      </c>
      <c r="T827" s="7" t="s">
        <v>20685</v>
      </c>
      <c r="U827" s="7" t="s">
        <v>3843</v>
      </c>
      <c r="V827" s="7">
        <v>1.0</v>
      </c>
    </row>
    <row r="828">
      <c r="A828" s="7" t="s">
        <v>2262</v>
      </c>
      <c r="B828" s="7">
        <v>12001.0</v>
      </c>
      <c r="C828" s="7" t="s">
        <v>9040</v>
      </c>
      <c r="D828" s="7" t="s">
        <v>9041</v>
      </c>
      <c r="E828" s="7" t="s">
        <v>9042</v>
      </c>
      <c r="F828" s="7" t="s">
        <v>9043</v>
      </c>
      <c r="G828" s="7" t="s">
        <v>9044</v>
      </c>
      <c r="H828" s="7" t="s">
        <v>9045</v>
      </c>
      <c r="I828" s="119">
        <v>45292.0</v>
      </c>
      <c r="K828" s="7" t="s">
        <v>3541</v>
      </c>
      <c r="L828" s="7" t="s">
        <v>3542</v>
      </c>
      <c r="M828" s="7" t="s">
        <v>3563</v>
      </c>
      <c r="N828" s="7" t="s">
        <v>419</v>
      </c>
      <c r="O828" s="7" t="s">
        <v>19430</v>
      </c>
      <c r="P828" s="7" t="s">
        <v>854</v>
      </c>
      <c r="Q828" s="7" t="s">
        <v>864</v>
      </c>
      <c r="T828" s="7" t="s">
        <v>19448</v>
      </c>
      <c r="U828" s="7" t="s">
        <v>5585</v>
      </c>
      <c r="V828" s="7">
        <v>1.0</v>
      </c>
    </row>
    <row r="829">
      <c r="A829" s="7" t="s">
        <v>20686</v>
      </c>
      <c r="B829" s="7">
        <v>2200016.0</v>
      </c>
      <c r="C829" s="7" t="s">
        <v>9040</v>
      </c>
      <c r="D829" s="7" t="s">
        <v>9050</v>
      </c>
      <c r="E829" s="7" t="s">
        <v>9042</v>
      </c>
      <c r="F829" s="7" t="s">
        <v>7887</v>
      </c>
      <c r="G829" s="7" t="s">
        <v>9051</v>
      </c>
      <c r="H829" s="7" t="s">
        <v>9052</v>
      </c>
      <c r="I829" s="119">
        <v>45292.0</v>
      </c>
      <c r="K829" s="7" t="s">
        <v>419</v>
      </c>
      <c r="L829" s="7" t="s">
        <v>991</v>
      </c>
      <c r="M829" s="7" t="s">
        <v>3501</v>
      </c>
      <c r="N829" s="7" t="s">
        <v>419</v>
      </c>
      <c r="O829" s="7" t="s">
        <v>19430</v>
      </c>
      <c r="P829" s="7" t="s">
        <v>717</v>
      </c>
      <c r="Q829" s="7" t="s">
        <v>722</v>
      </c>
      <c r="R829" s="7" t="s">
        <v>19863</v>
      </c>
      <c r="T829" s="7" t="s">
        <v>20687</v>
      </c>
      <c r="U829" s="7" t="s">
        <v>3604</v>
      </c>
      <c r="V829" s="7">
        <v>1.0</v>
      </c>
    </row>
    <row r="830">
      <c r="A830" s="7" t="s">
        <v>20688</v>
      </c>
      <c r="B830" s="7">
        <v>8237.0</v>
      </c>
      <c r="C830" s="7" t="s">
        <v>9056</v>
      </c>
      <c r="D830" s="7" t="s">
        <v>9057</v>
      </c>
      <c r="E830" s="7" t="s">
        <v>9058</v>
      </c>
      <c r="F830" s="7" t="s">
        <v>5497</v>
      </c>
      <c r="G830" s="7" t="s">
        <v>9059</v>
      </c>
      <c r="H830" s="7" t="s">
        <v>9060</v>
      </c>
      <c r="I830" s="119">
        <v>45292.0</v>
      </c>
      <c r="K830" s="7" t="s">
        <v>419</v>
      </c>
      <c r="L830" s="7" t="s">
        <v>991</v>
      </c>
      <c r="M830" s="7" t="s">
        <v>3531</v>
      </c>
      <c r="N830" s="7" t="s">
        <v>419</v>
      </c>
      <c r="O830" s="7" t="s">
        <v>19430</v>
      </c>
      <c r="P830" s="7" t="s">
        <v>717</v>
      </c>
      <c r="Q830" s="7" t="s">
        <v>1163</v>
      </c>
      <c r="R830" s="7" t="s">
        <v>19601</v>
      </c>
      <c r="S830" s="7" t="s">
        <v>19602</v>
      </c>
      <c r="T830" s="7" t="s">
        <v>3931</v>
      </c>
      <c r="U830" s="7" t="s">
        <v>3493</v>
      </c>
      <c r="V830" s="7">
        <v>1.0</v>
      </c>
    </row>
    <row r="831">
      <c r="A831" s="7" t="s">
        <v>20689</v>
      </c>
      <c r="B831" s="7">
        <v>8281.0</v>
      </c>
      <c r="C831" s="7" t="s">
        <v>9062</v>
      </c>
      <c r="D831" s="7" t="s">
        <v>9063</v>
      </c>
      <c r="E831" s="7" t="s">
        <v>9064</v>
      </c>
      <c r="F831" s="7" t="s">
        <v>3486</v>
      </c>
      <c r="G831" s="7" t="s">
        <v>9065</v>
      </c>
      <c r="H831" s="7" t="s">
        <v>9066</v>
      </c>
      <c r="I831" s="119">
        <v>45292.0</v>
      </c>
      <c r="K831" s="7" t="s">
        <v>419</v>
      </c>
      <c r="L831" s="7" t="s">
        <v>991</v>
      </c>
      <c r="M831" s="7" t="s">
        <v>3531</v>
      </c>
      <c r="N831" s="7" t="s">
        <v>419</v>
      </c>
      <c r="O831" s="7" t="s">
        <v>19430</v>
      </c>
      <c r="P831" s="7" t="s">
        <v>717</v>
      </c>
      <c r="Q831" s="7" t="s">
        <v>720</v>
      </c>
      <c r="R831" s="7" t="s">
        <v>19658</v>
      </c>
      <c r="S831" s="7" t="s">
        <v>19659</v>
      </c>
      <c r="T831" s="7" t="s">
        <v>4148</v>
      </c>
      <c r="U831" s="7" t="s">
        <v>3493</v>
      </c>
      <c r="V831" s="7">
        <v>1.0</v>
      </c>
    </row>
    <row r="832">
      <c r="A832" s="7" t="s">
        <v>20690</v>
      </c>
      <c r="B832" s="7">
        <v>2300512.0</v>
      </c>
      <c r="C832" s="7" t="s">
        <v>6991</v>
      </c>
      <c r="D832" s="7" t="s">
        <v>9068</v>
      </c>
      <c r="E832" s="7" t="s">
        <v>9069</v>
      </c>
      <c r="F832" s="7" t="s">
        <v>4677</v>
      </c>
      <c r="G832" s="7" t="s">
        <v>9070</v>
      </c>
      <c r="H832" s="7" t="s">
        <v>9071</v>
      </c>
      <c r="I832" s="119">
        <v>45292.0</v>
      </c>
      <c r="K832" s="7" t="s">
        <v>419</v>
      </c>
      <c r="L832" s="7" t="s">
        <v>991</v>
      </c>
      <c r="M832" s="7" t="s">
        <v>3501</v>
      </c>
      <c r="N832" s="7" t="s">
        <v>419</v>
      </c>
      <c r="O832" s="7" t="s">
        <v>19432</v>
      </c>
      <c r="P832" s="7" t="s">
        <v>693</v>
      </c>
      <c r="Q832" s="7" t="s">
        <v>698</v>
      </c>
      <c r="R832" s="7" t="s">
        <v>20444</v>
      </c>
      <c r="S832" s="7" t="s">
        <v>20691</v>
      </c>
      <c r="T832" s="7" t="s">
        <v>9073</v>
      </c>
      <c r="U832" s="7" t="s">
        <v>3493</v>
      </c>
      <c r="V832" s="7">
        <v>1.0</v>
      </c>
    </row>
    <row r="833">
      <c r="A833" s="7" t="s">
        <v>20692</v>
      </c>
      <c r="B833" s="7">
        <v>171.0</v>
      </c>
      <c r="C833" s="7" t="s">
        <v>6991</v>
      </c>
      <c r="D833" s="7" t="s">
        <v>3720</v>
      </c>
      <c r="E833" s="7" t="s">
        <v>9069</v>
      </c>
      <c r="F833" s="7" t="s">
        <v>3721</v>
      </c>
      <c r="G833" s="7" t="s">
        <v>9075</v>
      </c>
      <c r="H833" s="7" t="s">
        <v>9076</v>
      </c>
      <c r="I833" s="119">
        <v>45292.0</v>
      </c>
      <c r="K833" s="7" t="s">
        <v>419</v>
      </c>
      <c r="L833" s="7" t="s">
        <v>991</v>
      </c>
      <c r="M833" s="7" t="s">
        <v>3501</v>
      </c>
      <c r="N833" s="7" t="s">
        <v>419</v>
      </c>
      <c r="O833" s="7" t="s">
        <v>19443</v>
      </c>
      <c r="P833" s="7" t="s">
        <v>1242</v>
      </c>
      <c r="Q833" s="7" t="s">
        <v>48</v>
      </c>
      <c r="R833" s="7" t="s">
        <v>19700</v>
      </c>
      <c r="S833" s="7" t="s">
        <v>19749</v>
      </c>
      <c r="T833" s="7" t="s">
        <v>4515</v>
      </c>
      <c r="U833" s="7" t="s">
        <v>3493</v>
      </c>
      <c r="V833" s="7">
        <v>1.0</v>
      </c>
    </row>
    <row r="834">
      <c r="A834" s="7" t="s">
        <v>20693</v>
      </c>
      <c r="B834" s="7">
        <v>2200078.0</v>
      </c>
      <c r="C834" s="7" t="s">
        <v>9078</v>
      </c>
      <c r="D834" s="7" t="s">
        <v>9079</v>
      </c>
      <c r="E834" s="7" t="s">
        <v>9080</v>
      </c>
      <c r="F834" s="7" t="s">
        <v>9081</v>
      </c>
      <c r="G834" s="7" t="s">
        <v>9082</v>
      </c>
      <c r="H834" s="7" t="s">
        <v>9083</v>
      </c>
      <c r="I834" s="119">
        <v>45292.0</v>
      </c>
      <c r="K834" s="7" t="s">
        <v>5973</v>
      </c>
      <c r="L834" s="7" t="s">
        <v>3542</v>
      </c>
      <c r="M834" s="7" t="s">
        <v>4383</v>
      </c>
      <c r="N834" s="7" t="s">
        <v>419</v>
      </c>
      <c r="O834" s="7" t="s">
        <v>19433</v>
      </c>
      <c r="P834" s="7" t="s">
        <v>587</v>
      </c>
      <c r="Q834" s="7" t="s">
        <v>72</v>
      </c>
      <c r="R834" s="7" t="s">
        <v>19566</v>
      </c>
      <c r="T834" s="7" t="s">
        <v>5672</v>
      </c>
      <c r="U834" s="7" t="s">
        <v>3493</v>
      </c>
      <c r="V834" s="7">
        <v>1.0</v>
      </c>
    </row>
    <row r="835">
      <c r="A835" s="7" t="s">
        <v>20694</v>
      </c>
      <c r="B835" s="7">
        <v>2300440.0</v>
      </c>
      <c r="C835" s="7" t="s">
        <v>9086</v>
      </c>
      <c r="D835" s="7" t="s">
        <v>8353</v>
      </c>
      <c r="E835" s="7" t="s">
        <v>9087</v>
      </c>
      <c r="F835" s="7" t="s">
        <v>6800</v>
      </c>
      <c r="G835" s="7" t="s">
        <v>9088</v>
      </c>
      <c r="H835" s="7" t="s">
        <v>9089</v>
      </c>
      <c r="I835" s="119">
        <v>45292.0</v>
      </c>
      <c r="K835" s="7" t="s">
        <v>419</v>
      </c>
      <c r="L835" s="7" t="s">
        <v>991</v>
      </c>
      <c r="M835" s="7" t="s">
        <v>3501</v>
      </c>
      <c r="N835" s="7" t="s">
        <v>419</v>
      </c>
      <c r="O835" s="7" t="s">
        <v>19430</v>
      </c>
      <c r="P835" s="7" t="s">
        <v>717</v>
      </c>
      <c r="Q835" s="7" t="s">
        <v>722</v>
      </c>
      <c r="R835" s="7" t="s">
        <v>19655</v>
      </c>
      <c r="T835" s="7" t="s">
        <v>9090</v>
      </c>
      <c r="U835" s="7" t="s">
        <v>3493</v>
      </c>
      <c r="V835" s="7">
        <v>1.0</v>
      </c>
    </row>
    <row r="836">
      <c r="A836" s="7" t="s">
        <v>20695</v>
      </c>
      <c r="B836" s="7">
        <v>2200313.0</v>
      </c>
      <c r="C836" s="7" t="s">
        <v>9092</v>
      </c>
      <c r="D836" s="7" t="s">
        <v>7508</v>
      </c>
      <c r="E836" s="7" t="s">
        <v>9093</v>
      </c>
      <c r="F836" s="7" t="s">
        <v>9094</v>
      </c>
      <c r="G836" s="7" t="s">
        <v>9095</v>
      </c>
      <c r="H836" s="7" t="s">
        <v>9096</v>
      </c>
      <c r="I836" s="119">
        <v>45292.0</v>
      </c>
      <c r="K836" s="7" t="s">
        <v>419</v>
      </c>
      <c r="L836" s="7" t="s">
        <v>991</v>
      </c>
      <c r="M836" s="7" t="s">
        <v>3531</v>
      </c>
      <c r="N836" s="7" t="s">
        <v>419</v>
      </c>
      <c r="O836" s="7" t="s">
        <v>19432</v>
      </c>
      <c r="P836" s="7" t="s">
        <v>391</v>
      </c>
      <c r="Q836" s="7" t="s">
        <v>890</v>
      </c>
      <c r="R836" s="7" t="s">
        <v>19497</v>
      </c>
      <c r="T836" s="7" t="s">
        <v>7757</v>
      </c>
      <c r="U836" s="7" t="s">
        <v>3493</v>
      </c>
      <c r="V836" s="7">
        <v>1.0</v>
      </c>
    </row>
    <row r="837">
      <c r="A837" s="7" t="s">
        <v>20696</v>
      </c>
      <c r="B837" s="7">
        <v>12313.0</v>
      </c>
      <c r="C837" s="7" t="s">
        <v>9098</v>
      </c>
      <c r="D837" s="7" t="s">
        <v>4699</v>
      </c>
      <c r="E837" s="7" t="s">
        <v>9099</v>
      </c>
      <c r="F837" s="7" t="s">
        <v>4700</v>
      </c>
      <c r="G837" s="7" t="s">
        <v>9100</v>
      </c>
      <c r="H837" s="7" t="s">
        <v>9101</v>
      </c>
      <c r="I837" s="119">
        <v>45292.0</v>
      </c>
      <c r="K837" s="7" t="s">
        <v>419</v>
      </c>
      <c r="L837" s="7" t="s">
        <v>991</v>
      </c>
      <c r="M837" s="7" t="s">
        <v>3531</v>
      </c>
      <c r="N837" s="7" t="s">
        <v>419</v>
      </c>
      <c r="O837" s="7" t="s">
        <v>19432</v>
      </c>
      <c r="P837" s="7" t="s">
        <v>391</v>
      </c>
      <c r="T837" s="7" t="s">
        <v>9103</v>
      </c>
      <c r="U837" s="7" t="s">
        <v>3493</v>
      </c>
      <c r="V837" s="7">
        <v>1.0</v>
      </c>
    </row>
    <row r="838">
      <c r="A838" s="7" t="s">
        <v>1449</v>
      </c>
      <c r="B838" s="7">
        <v>402.0</v>
      </c>
      <c r="C838" s="7" t="s">
        <v>9104</v>
      </c>
      <c r="D838" s="7" t="s">
        <v>6164</v>
      </c>
      <c r="E838" s="7" t="s">
        <v>9105</v>
      </c>
      <c r="F838" s="7" t="s">
        <v>6166</v>
      </c>
      <c r="G838" s="7" t="s">
        <v>9106</v>
      </c>
      <c r="H838" s="7" t="s">
        <v>9107</v>
      </c>
      <c r="I838" s="119">
        <v>45292.0</v>
      </c>
      <c r="K838" s="7" t="s">
        <v>419</v>
      </c>
      <c r="L838" s="7" t="s">
        <v>991</v>
      </c>
      <c r="M838" s="7" t="s">
        <v>3501</v>
      </c>
      <c r="N838" s="7" t="s">
        <v>419</v>
      </c>
      <c r="O838" s="7" t="s">
        <v>19432</v>
      </c>
      <c r="P838" s="7" t="s">
        <v>391</v>
      </c>
      <c r="Q838" s="7" t="s">
        <v>392</v>
      </c>
      <c r="R838" s="7" t="s">
        <v>20176</v>
      </c>
      <c r="T838" s="7" t="s">
        <v>6420</v>
      </c>
      <c r="U838" s="7" t="s">
        <v>3604</v>
      </c>
      <c r="V838" s="7">
        <v>1.0</v>
      </c>
    </row>
    <row r="839">
      <c r="A839" s="7" t="s">
        <v>20697</v>
      </c>
      <c r="B839" s="7">
        <v>11960.0</v>
      </c>
      <c r="C839" s="7" t="s">
        <v>9104</v>
      </c>
      <c r="D839" s="7" t="s">
        <v>9109</v>
      </c>
      <c r="E839" s="7" t="s">
        <v>9105</v>
      </c>
      <c r="F839" s="7" t="s">
        <v>4469</v>
      </c>
      <c r="G839" s="7" t="s">
        <v>9110</v>
      </c>
      <c r="H839" s="7" t="s">
        <v>9111</v>
      </c>
      <c r="I839" s="119">
        <v>45292.0</v>
      </c>
      <c r="K839" s="7" t="s">
        <v>419</v>
      </c>
      <c r="L839" s="7" t="s">
        <v>991</v>
      </c>
      <c r="M839" s="7" t="s">
        <v>3531</v>
      </c>
      <c r="N839" s="7" t="s">
        <v>419</v>
      </c>
      <c r="O839" s="7" t="s">
        <v>19430</v>
      </c>
      <c r="P839" s="7" t="s">
        <v>717</v>
      </c>
      <c r="Q839" s="7" t="s">
        <v>1163</v>
      </c>
      <c r="R839" s="7" t="s">
        <v>20486</v>
      </c>
      <c r="T839" s="7" t="s">
        <v>9112</v>
      </c>
      <c r="U839" s="7" t="s">
        <v>3493</v>
      </c>
      <c r="V839" s="7">
        <v>1.0</v>
      </c>
    </row>
    <row r="840">
      <c r="A840" s="7" t="s">
        <v>1066</v>
      </c>
      <c r="B840" s="7">
        <v>12444.0</v>
      </c>
      <c r="C840" s="7" t="s">
        <v>9113</v>
      </c>
      <c r="D840" s="7" t="s">
        <v>9114</v>
      </c>
      <c r="E840" s="7" t="s">
        <v>9115</v>
      </c>
      <c r="F840" s="7" t="s">
        <v>9116</v>
      </c>
      <c r="G840" s="7" t="s">
        <v>9117</v>
      </c>
      <c r="H840" s="7" t="s">
        <v>9118</v>
      </c>
      <c r="I840" s="119">
        <v>45292.0</v>
      </c>
      <c r="K840" s="7" t="s">
        <v>419</v>
      </c>
      <c r="L840" s="7" t="s">
        <v>991</v>
      </c>
      <c r="M840" s="7" t="s">
        <v>3501</v>
      </c>
      <c r="N840" s="7" t="s">
        <v>419</v>
      </c>
      <c r="O840" s="7" t="s">
        <v>19437</v>
      </c>
      <c r="P840" s="7" t="s">
        <v>478</v>
      </c>
      <c r="T840" s="7" t="s">
        <v>19486</v>
      </c>
      <c r="U840" s="7" t="s">
        <v>12011</v>
      </c>
      <c r="V840" s="7">
        <v>1.0</v>
      </c>
    </row>
    <row r="841">
      <c r="A841" s="7" t="s">
        <v>20698</v>
      </c>
      <c r="B841" s="7">
        <v>13974.0</v>
      </c>
      <c r="C841" s="7" t="s">
        <v>9113</v>
      </c>
      <c r="D841" s="7" t="s">
        <v>8598</v>
      </c>
      <c r="E841" s="7" t="s">
        <v>9115</v>
      </c>
      <c r="F841" s="7" t="s">
        <v>4598</v>
      </c>
      <c r="G841" s="7" t="s">
        <v>9123</v>
      </c>
      <c r="H841" s="7" t="s">
        <v>9124</v>
      </c>
      <c r="I841" s="119">
        <v>45292.0</v>
      </c>
      <c r="K841" s="7" t="s">
        <v>419</v>
      </c>
      <c r="L841" s="7" t="s">
        <v>991</v>
      </c>
      <c r="M841" s="7" t="s">
        <v>3501</v>
      </c>
      <c r="N841" s="7" t="s">
        <v>419</v>
      </c>
      <c r="O841" s="7" t="s">
        <v>19430</v>
      </c>
      <c r="P841" s="7" t="s">
        <v>717</v>
      </c>
      <c r="Q841" s="7" t="s">
        <v>725</v>
      </c>
      <c r="R841" s="7" t="s">
        <v>19494</v>
      </c>
      <c r="S841" s="7" t="s">
        <v>19791</v>
      </c>
      <c r="T841" s="7" t="s">
        <v>4652</v>
      </c>
      <c r="U841" s="7" t="s">
        <v>3843</v>
      </c>
      <c r="V841" s="7">
        <v>1.0</v>
      </c>
    </row>
    <row r="842">
      <c r="A842" s="7" t="s">
        <v>20699</v>
      </c>
      <c r="B842" s="7">
        <v>2200235.0</v>
      </c>
      <c r="C842" s="7" t="s">
        <v>9126</v>
      </c>
      <c r="D842" s="7" t="s">
        <v>7284</v>
      </c>
      <c r="E842" s="7" t="s">
        <v>9127</v>
      </c>
      <c r="F842" s="7" t="s">
        <v>4032</v>
      </c>
      <c r="G842" s="7" t="s">
        <v>9128</v>
      </c>
      <c r="H842" s="7" t="s">
        <v>9129</v>
      </c>
      <c r="I842" s="119">
        <v>45292.0</v>
      </c>
      <c r="K842" s="7" t="s">
        <v>419</v>
      </c>
      <c r="L842" s="7" t="s">
        <v>991</v>
      </c>
      <c r="M842" s="7" t="s">
        <v>3501</v>
      </c>
      <c r="N842" s="7" t="s">
        <v>419</v>
      </c>
      <c r="O842" s="7" t="s">
        <v>19443</v>
      </c>
      <c r="P842" s="7" t="s">
        <v>323</v>
      </c>
      <c r="Q842" s="7" t="s">
        <v>821</v>
      </c>
      <c r="R842" s="7" t="s">
        <v>20103</v>
      </c>
      <c r="T842" s="7" t="s">
        <v>20104</v>
      </c>
      <c r="U842" s="7" t="s">
        <v>3493</v>
      </c>
      <c r="V842" s="7">
        <v>1.0</v>
      </c>
    </row>
    <row r="843">
      <c r="A843" s="7" t="s">
        <v>20700</v>
      </c>
      <c r="B843" s="7">
        <v>1078.0</v>
      </c>
      <c r="C843" s="7" t="s">
        <v>9131</v>
      </c>
      <c r="D843" s="7" t="s">
        <v>9132</v>
      </c>
      <c r="E843" s="7" t="s">
        <v>9133</v>
      </c>
      <c r="F843" s="7" t="s">
        <v>9134</v>
      </c>
      <c r="G843" s="7" t="s">
        <v>9135</v>
      </c>
      <c r="H843" s="7" t="s">
        <v>9136</v>
      </c>
      <c r="I843" s="119">
        <v>45292.0</v>
      </c>
      <c r="K843" s="7" t="s">
        <v>419</v>
      </c>
      <c r="L843" s="7" t="s">
        <v>991</v>
      </c>
      <c r="M843" s="7" t="s">
        <v>3501</v>
      </c>
      <c r="N843" s="7" t="s">
        <v>419</v>
      </c>
      <c r="O843" s="7" t="s">
        <v>19433</v>
      </c>
      <c r="P843" s="7" t="s">
        <v>648</v>
      </c>
      <c r="Q843" s="7" t="s">
        <v>141</v>
      </c>
      <c r="R843" s="7" t="s">
        <v>19886</v>
      </c>
      <c r="S843" s="7" t="s">
        <v>20701</v>
      </c>
      <c r="T843" s="7" t="s">
        <v>9138</v>
      </c>
      <c r="U843" s="7" t="s">
        <v>3493</v>
      </c>
      <c r="V843" s="7">
        <v>1.0</v>
      </c>
    </row>
    <row r="844">
      <c r="A844" s="7" t="s">
        <v>2294</v>
      </c>
      <c r="B844" s="7">
        <v>14204.0</v>
      </c>
      <c r="C844" s="7" t="s">
        <v>9131</v>
      </c>
      <c r="D844" s="7" t="s">
        <v>5187</v>
      </c>
      <c r="E844" s="7" t="s">
        <v>9133</v>
      </c>
      <c r="F844" s="7" t="s">
        <v>4511</v>
      </c>
      <c r="G844" s="7" t="s">
        <v>9140</v>
      </c>
      <c r="H844" s="7" t="s">
        <v>9141</v>
      </c>
      <c r="I844" s="119">
        <v>45292.0</v>
      </c>
      <c r="K844" s="7" t="s">
        <v>419</v>
      </c>
      <c r="L844" s="7" t="s">
        <v>991</v>
      </c>
      <c r="M844" s="7" t="s">
        <v>3501</v>
      </c>
      <c r="N844" s="7" t="s">
        <v>419</v>
      </c>
      <c r="O844" s="7" t="s">
        <v>19433</v>
      </c>
      <c r="P844" s="7" t="s">
        <v>648</v>
      </c>
      <c r="Q844" s="7" t="s">
        <v>143</v>
      </c>
      <c r="T844" s="7" t="s">
        <v>19449</v>
      </c>
      <c r="U844" s="7" t="s">
        <v>5585</v>
      </c>
      <c r="V844" s="7">
        <v>1.0</v>
      </c>
    </row>
    <row r="845">
      <c r="A845" s="7" t="s">
        <v>20702</v>
      </c>
      <c r="B845" s="7">
        <v>4025.0</v>
      </c>
      <c r="C845" s="7" t="s">
        <v>9145</v>
      </c>
      <c r="D845" s="7" t="s">
        <v>9146</v>
      </c>
      <c r="E845" s="7" t="s">
        <v>9147</v>
      </c>
      <c r="F845" s="7" t="s">
        <v>4068</v>
      </c>
      <c r="G845" s="7" t="s">
        <v>9148</v>
      </c>
      <c r="H845" s="7" t="s">
        <v>9149</v>
      </c>
      <c r="I845" s="119">
        <v>45292.0</v>
      </c>
      <c r="K845" s="7" t="s">
        <v>419</v>
      </c>
      <c r="L845" s="7" t="s">
        <v>991</v>
      </c>
      <c r="M845" s="7" t="s">
        <v>3501</v>
      </c>
      <c r="N845" s="7" t="s">
        <v>419</v>
      </c>
      <c r="O845" s="7" t="s">
        <v>19440</v>
      </c>
      <c r="P845" s="7" t="s">
        <v>3</v>
      </c>
      <c r="Q845" s="7" t="s">
        <v>9</v>
      </c>
      <c r="R845" s="7" t="s">
        <v>19871</v>
      </c>
      <c r="S845" s="7" t="s">
        <v>20703</v>
      </c>
      <c r="T845" s="7" t="s">
        <v>14113</v>
      </c>
      <c r="U845" s="7" t="s">
        <v>3843</v>
      </c>
      <c r="V845" s="7">
        <v>1.0</v>
      </c>
    </row>
    <row r="846">
      <c r="A846" s="7" t="s">
        <v>20704</v>
      </c>
      <c r="B846" s="7">
        <v>2300354.0</v>
      </c>
      <c r="C846" s="7" t="s">
        <v>9145</v>
      </c>
      <c r="D846" s="7" t="s">
        <v>8643</v>
      </c>
      <c r="E846" s="7" t="s">
        <v>9147</v>
      </c>
      <c r="F846" s="7" t="s">
        <v>4434</v>
      </c>
      <c r="G846" s="7" t="s">
        <v>9155</v>
      </c>
      <c r="H846" s="7" t="s">
        <v>9156</v>
      </c>
      <c r="I846" s="119">
        <v>45292.0</v>
      </c>
      <c r="K846" s="7" t="s">
        <v>419</v>
      </c>
      <c r="L846" s="7" t="s">
        <v>991</v>
      </c>
      <c r="M846" s="7" t="s">
        <v>3583</v>
      </c>
      <c r="N846" s="7" t="s">
        <v>419</v>
      </c>
      <c r="O846" s="7" t="s">
        <v>19432</v>
      </c>
      <c r="P846" s="7" t="s">
        <v>693</v>
      </c>
      <c r="Q846" s="7" t="s">
        <v>701</v>
      </c>
      <c r="R846" s="7" t="s">
        <v>19518</v>
      </c>
      <c r="S846" s="7" t="s">
        <v>19996</v>
      </c>
      <c r="T846" s="7" t="s">
        <v>19997</v>
      </c>
      <c r="U846" s="7" t="s">
        <v>3493</v>
      </c>
      <c r="V846" s="7">
        <v>1.0</v>
      </c>
    </row>
    <row r="847">
      <c r="A847" s="7" t="s">
        <v>20705</v>
      </c>
      <c r="B847" s="7">
        <v>10955.0</v>
      </c>
      <c r="C847" s="7" t="s">
        <v>9145</v>
      </c>
      <c r="D847" s="7" t="s">
        <v>9158</v>
      </c>
      <c r="E847" s="7" t="s">
        <v>9147</v>
      </c>
      <c r="F847" s="7" t="s">
        <v>5987</v>
      </c>
      <c r="G847" s="7" t="s">
        <v>9159</v>
      </c>
      <c r="H847" s="7" t="s">
        <v>9160</v>
      </c>
      <c r="I847" s="119">
        <v>45292.0</v>
      </c>
      <c r="K847" s="7" t="s">
        <v>419</v>
      </c>
      <c r="L847" s="7" t="s">
        <v>991</v>
      </c>
      <c r="M847" s="7" t="s">
        <v>3501</v>
      </c>
      <c r="N847" s="7" t="s">
        <v>419</v>
      </c>
      <c r="O847" s="7" t="s">
        <v>19430</v>
      </c>
      <c r="P847" s="7" t="s">
        <v>717</v>
      </c>
      <c r="Q847" s="7" t="s">
        <v>251</v>
      </c>
      <c r="R847" s="7" t="s">
        <v>19513</v>
      </c>
      <c r="S847" s="7" t="s">
        <v>20706</v>
      </c>
      <c r="T847" s="7" t="s">
        <v>9162</v>
      </c>
      <c r="U847" s="7" t="s">
        <v>3493</v>
      </c>
      <c r="V847" s="7">
        <v>1.0</v>
      </c>
    </row>
    <row r="848">
      <c r="A848" s="7" t="s">
        <v>1670</v>
      </c>
      <c r="B848" s="7">
        <v>967.0</v>
      </c>
      <c r="C848" s="7" t="s">
        <v>9145</v>
      </c>
      <c r="D848" s="7" t="s">
        <v>9163</v>
      </c>
      <c r="E848" s="7" t="s">
        <v>9147</v>
      </c>
      <c r="F848" s="7" t="s">
        <v>4937</v>
      </c>
      <c r="G848" s="7" t="s">
        <v>9164</v>
      </c>
      <c r="H848" s="7" t="s">
        <v>9165</v>
      </c>
      <c r="I848" s="119">
        <v>45292.0</v>
      </c>
      <c r="K848" s="7" t="s">
        <v>419</v>
      </c>
      <c r="L848" s="7" t="s">
        <v>991</v>
      </c>
      <c r="M848" s="7" t="s">
        <v>3501</v>
      </c>
      <c r="N848" s="7" t="s">
        <v>419</v>
      </c>
      <c r="O848" s="7" t="s">
        <v>19430</v>
      </c>
      <c r="P848" s="7" t="s">
        <v>717</v>
      </c>
      <c r="Q848" s="7" t="s">
        <v>1163</v>
      </c>
      <c r="R848" s="7" t="s">
        <v>19601</v>
      </c>
      <c r="S848" s="7" t="s">
        <v>19602</v>
      </c>
      <c r="T848" s="7" t="s">
        <v>3931</v>
      </c>
      <c r="U848" s="7" t="s">
        <v>3493</v>
      </c>
      <c r="V848" s="7">
        <v>1.0</v>
      </c>
    </row>
    <row r="849">
      <c r="A849" s="7" t="s">
        <v>20707</v>
      </c>
      <c r="B849" s="7">
        <v>14206.0</v>
      </c>
      <c r="C849" s="7" t="s">
        <v>9145</v>
      </c>
      <c r="D849" s="7" t="s">
        <v>9167</v>
      </c>
      <c r="E849" s="7" t="s">
        <v>9147</v>
      </c>
      <c r="F849" s="7" t="s">
        <v>6279</v>
      </c>
      <c r="G849" s="7" t="s">
        <v>9168</v>
      </c>
      <c r="H849" s="7" t="s">
        <v>9169</v>
      </c>
      <c r="I849" s="119">
        <v>45292.0</v>
      </c>
      <c r="K849" s="7" t="s">
        <v>419</v>
      </c>
      <c r="L849" s="7" t="s">
        <v>991</v>
      </c>
      <c r="M849" s="7" t="s">
        <v>3501</v>
      </c>
      <c r="N849" s="7" t="s">
        <v>419</v>
      </c>
      <c r="O849" s="7" t="s">
        <v>19433</v>
      </c>
      <c r="P849" s="7" t="s">
        <v>648</v>
      </c>
      <c r="Q849" s="7" t="s">
        <v>148</v>
      </c>
      <c r="R849" s="7" t="s">
        <v>19544</v>
      </c>
      <c r="T849" s="7" t="s">
        <v>3734</v>
      </c>
      <c r="U849" s="7" t="s">
        <v>3493</v>
      </c>
      <c r="V849" s="7">
        <v>1.0</v>
      </c>
    </row>
    <row r="850">
      <c r="A850" s="7" t="s">
        <v>20708</v>
      </c>
      <c r="B850" s="7">
        <v>1179.0</v>
      </c>
      <c r="C850" s="7" t="s">
        <v>9145</v>
      </c>
      <c r="D850" s="7" t="s">
        <v>4706</v>
      </c>
      <c r="E850" s="7" t="s">
        <v>9147</v>
      </c>
      <c r="F850" s="7" t="s">
        <v>4707</v>
      </c>
      <c r="G850" s="7" t="s">
        <v>9171</v>
      </c>
      <c r="H850" s="7" t="s">
        <v>9172</v>
      </c>
      <c r="I850" s="119">
        <v>45292.0</v>
      </c>
      <c r="K850" s="7" t="s">
        <v>419</v>
      </c>
      <c r="L850" s="7" t="s">
        <v>991</v>
      </c>
      <c r="M850" s="7" t="s">
        <v>3501</v>
      </c>
      <c r="N850" s="7" t="s">
        <v>419</v>
      </c>
      <c r="O850" s="7" t="s">
        <v>19443</v>
      </c>
      <c r="P850" s="7" t="s">
        <v>323</v>
      </c>
      <c r="Q850" s="7" t="s">
        <v>324</v>
      </c>
      <c r="R850" s="7" t="s">
        <v>20352</v>
      </c>
      <c r="T850" s="7" t="s">
        <v>7344</v>
      </c>
      <c r="U850" s="7" t="s">
        <v>3604</v>
      </c>
      <c r="V850" s="7">
        <v>1.0</v>
      </c>
    </row>
    <row r="851">
      <c r="A851" s="7" t="s">
        <v>20709</v>
      </c>
      <c r="B851" s="7">
        <v>13319.0</v>
      </c>
      <c r="C851" s="7" t="s">
        <v>9145</v>
      </c>
      <c r="D851" s="7" t="s">
        <v>9174</v>
      </c>
      <c r="E851" s="7" t="s">
        <v>9147</v>
      </c>
      <c r="F851" s="7" t="s">
        <v>5433</v>
      </c>
      <c r="G851" s="7" t="s">
        <v>9175</v>
      </c>
      <c r="H851" s="7" t="s">
        <v>9176</v>
      </c>
      <c r="I851" s="119">
        <v>45292.0</v>
      </c>
      <c r="K851" s="7" t="s">
        <v>3885</v>
      </c>
      <c r="L851" s="7" t="s">
        <v>3542</v>
      </c>
      <c r="M851" s="7" t="s">
        <v>3543</v>
      </c>
      <c r="N851" s="7" t="s">
        <v>419</v>
      </c>
      <c r="O851" s="7" t="s">
        <v>19432</v>
      </c>
      <c r="P851" s="7" t="s">
        <v>391</v>
      </c>
      <c r="Q851" s="7" t="s">
        <v>890</v>
      </c>
      <c r="R851" s="7" t="s">
        <v>19744</v>
      </c>
      <c r="T851" s="7" t="s">
        <v>7846</v>
      </c>
      <c r="U851" s="7" t="s">
        <v>3493</v>
      </c>
      <c r="V851" s="7">
        <v>1.0</v>
      </c>
    </row>
    <row r="852">
      <c r="A852" s="7" t="s">
        <v>20710</v>
      </c>
      <c r="B852" s="7">
        <v>2200468.0</v>
      </c>
      <c r="C852" s="7" t="s">
        <v>9145</v>
      </c>
      <c r="D852" s="7" t="s">
        <v>9178</v>
      </c>
      <c r="E852" s="7" t="s">
        <v>9147</v>
      </c>
      <c r="F852" s="7" t="s">
        <v>9179</v>
      </c>
      <c r="G852" s="7" t="s">
        <v>9180</v>
      </c>
      <c r="H852" s="7" t="s">
        <v>9181</v>
      </c>
      <c r="I852" s="119">
        <v>45292.0</v>
      </c>
      <c r="K852" s="7" t="s">
        <v>419</v>
      </c>
      <c r="L852" s="7" t="s">
        <v>991</v>
      </c>
      <c r="M852" s="7" t="s">
        <v>3501</v>
      </c>
      <c r="N852" s="7" t="s">
        <v>419</v>
      </c>
      <c r="O852" s="7" t="s">
        <v>19430</v>
      </c>
      <c r="P852" s="7" t="s">
        <v>717</v>
      </c>
      <c r="Q852" s="7" t="s">
        <v>1163</v>
      </c>
      <c r="R852" s="7" t="s">
        <v>19608</v>
      </c>
      <c r="S852" s="7" t="s">
        <v>19618</v>
      </c>
      <c r="T852" s="7" t="s">
        <v>3997</v>
      </c>
      <c r="U852" s="7" t="s">
        <v>3493</v>
      </c>
      <c r="V852" s="7">
        <v>1.0</v>
      </c>
    </row>
    <row r="853">
      <c r="A853" s="7" t="s">
        <v>20711</v>
      </c>
      <c r="B853" s="7">
        <v>10825.0</v>
      </c>
      <c r="C853" s="7" t="s">
        <v>9145</v>
      </c>
      <c r="D853" s="7" t="s">
        <v>9183</v>
      </c>
      <c r="E853" s="7" t="s">
        <v>9147</v>
      </c>
      <c r="F853" s="7" t="s">
        <v>9184</v>
      </c>
      <c r="G853" s="7" t="s">
        <v>9185</v>
      </c>
      <c r="H853" s="7" t="s">
        <v>9186</v>
      </c>
      <c r="I853" s="119">
        <v>45292.0</v>
      </c>
      <c r="K853" s="7" t="s">
        <v>419</v>
      </c>
      <c r="L853" s="7" t="s">
        <v>991</v>
      </c>
      <c r="M853" s="7" t="s">
        <v>3501</v>
      </c>
      <c r="N853" s="7" t="s">
        <v>419</v>
      </c>
      <c r="O853" s="7" t="s">
        <v>19432</v>
      </c>
      <c r="P853" s="7" t="s">
        <v>693</v>
      </c>
      <c r="Q853" s="7" t="s">
        <v>698</v>
      </c>
      <c r="T853" s="7" t="s">
        <v>6077</v>
      </c>
      <c r="U853" s="7" t="s">
        <v>3493</v>
      </c>
      <c r="V853" s="7">
        <v>1.0</v>
      </c>
    </row>
    <row r="854">
      <c r="A854" s="7" t="s">
        <v>20712</v>
      </c>
      <c r="B854" s="7">
        <v>12565.0</v>
      </c>
      <c r="C854" s="7" t="s">
        <v>9145</v>
      </c>
      <c r="D854" s="7" t="s">
        <v>9189</v>
      </c>
      <c r="E854" s="7" t="s">
        <v>9147</v>
      </c>
      <c r="F854" s="7" t="s">
        <v>9190</v>
      </c>
      <c r="G854" s="7" t="s">
        <v>9191</v>
      </c>
      <c r="H854" s="7" t="s">
        <v>9192</v>
      </c>
      <c r="I854" s="119">
        <v>45292.0</v>
      </c>
      <c r="K854" s="7" t="s">
        <v>419</v>
      </c>
      <c r="L854" s="7" t="s">
        <v>991</v>
      </c>
      <c r="M854" s="7" t="s">
        <v>3531</v>
      </c>
      <c r="N854" s="7" t="s">
        <v>419</v>
      </c>
      <c r="O854" s="7" t="s">
        <v>19430</v>
      </c>
      <c r="P854" s="7" t="s">
        <v>717</v>
      </c>
      <c r="Q854" s="7" t="s">
        <v>725</v>
      </c>
      <c r="R854" s="7" t="s">
        <v>19494</v>
      </c>
      <c r="S854" s="7" t="s">
        <v>19742</v>
      </c>
      <c r="T854" s="7" t="s">
        <v>4921</v>
      </c>
      <c r="U854" s="7" t="s">
        <v>3493</v>
      </c>
      <c r="V854" s="7">
        <v>1.0</v>
      </c>
    </row>
    <row r="855">
      <c r="A855" s="7" t="s">
        <v>20713</v>
      </c>
      <c r="B855" s="7">
        <v>2100138.0</v>
      </c>
      <c r="C855" s="7" t="s">
        <v>9145</v>
      </c>
      <c r="D855" s="7" t="s">
        <v>9194</v>
      </c>
      <c r="E855" s="7" t="s">
        <v>9147</v>
      </c>
      <c r="F855" s="7" t="s">
        <v>6301</v>
      </c>
      <c r="G855" s="7" t="s">
        <v>9195</v>
      </c>
      <c r="H855" s="7" t="s">
        <v>9196</v>
      </c>
      <c r="I855" s="119">
        <v>45292.0</v>
      </c>
      <c r="K855" s="7" t="s">
        <v>9197</v>
      </c>
      <c r="L855" s="7" t="s">
        <v>6655</v>
      </c>
      <c r="M855" s="7" t="s">
        <v>6656</v>
      </c>
      <c r="N855" s="7" t="s">
        <v>419</v>
      </c>
      <c r="O855" s="7" t="s">
        <v>19433</v>
      </c>
      <c r="P855" s="7" t="s">
        <v>648</v>
      </c>
      <c r="Q855" s="7" t="s">
        <v>662</v>
      </c>
      <c r="R855" s="7" t="s">
        <v>19922</v>
      </c>
      <c r="T855" s="7" t="s">
        <v>20085</v>
      </c>
      <c r="U855" s="7" t="s">
        <v>3493</v>
      </c>
      <c r="V855" s="7">
        <v>1.0</v>
      </c>
    </row>
    <row r="856">
      <c r="A856" s="7" t="s">
        <v>20714</v>
      </c>
      <c r="B856" s="7">
        <v>12773.0</v>
      </c>
      <c r="C856" s="7" t="s">
        <v>9145</v>
      </c>
      <c r="D856" s="7" t="s">
        <v>9200</v>
      </c>
      <c r="E856" s="7" t="s">
        <v>9147</v>
      </c>
      <c r="F856" s="7" t="s">
        <v>5330</v>
      </c>
      <c r="G856" s="7" t="s">
        <v>9201</v>
      </c>
      <c r="H856" s="7" t="s">
        <v>9202</v>
      </c>
      <c r="I856" s="119">
        <v>45292.0</v>
      </c>
      <c r="K856" s="7" t="s">
        <v>419</v>
      </c>
      <c r="L856" s="7" t="s">
        <v>991</v>
      </c>
      <c r="M856" s="7" t="s">
        <v>3501</v>
      </c>
      <c r="N856" s="7" t="s">
        <v>419</v>
      </c>
      <c r="O856" s="7" t="s">
        <v>19443</v>
      </c>
      <c r="P856" s="7" t="s">
        <v>1242</v>
      </c>
      <c r="Q856" s="7" t="s">
        <v>51</v>
      </c>
      <c r="R856" s="7" t="s">
        <v>19597</v>
      </c>
      <c r="S856" s="7" t="s">
        <v>19598</v>
      </c>
      <c r="T856" s="7" t="s">
        <v>3913</v>
      </c>
      <c r="U856" s="7" t="s">
        <v>3493</v>
      </c>
      <c r="V856" s="7">
        <v>1.0</v>
      </c>
    </row>
    <row r="857">
      <c r="A857" s="7" t="s">
        <v>20715</v>
      </c>
      <c r="B857" s="7">
        <v>2200777.0</v>
      </c>
      <c r="C857" s="7" t="s">
        <v>9145</v>
      </c>
      <c r="D857" s="7" t="s">
        <v>9204</v>
      </c>
      <c r="E857" s="7" t="s">
        <v>9147</v>
      </c>
      <c r="F857" s="7" t="s">
        <v>9205</v>
      </c>
      <c r="G857" s="7" t="s">
        <v>9206</v>
      </c>
      <c r="H857" s="7" t="s">
        <v>9207</v>
      </c>
      <c r="I857" s="119">
        <v>45292.0</v>
      </c>
      <c r="K857" s="7" t="s">
        <v>419</v>
      </c>
      <c r="L857" s="7" t="s">
        <v>991</v>
      </c>
      <c r="M857" s="7" t="s">
        <v>3501</v>
      </c>
      <c r="N857" s="7" t="s">
        <v>419</v>
      </c>
      <c r="O857" s="7" t="s">
        <v>19430</v>
      </c>
      <c r="P857" s="7" t="s">
        <v>717</v>
      </c>
      <c r="Q857" s="7" t="s">
        <v>738</v>
      </c>
      <c r="R857" s="7" t="s">
        <v>20012</v>
      </c>
      <c r="S857" s="7" t="s">
        <v>20068</v>
      </c>
      <c r="T857" s="7" t="s">
        <v>5889</v>
      </c>
      <c r="U857" s="7" t="s">
        <v>3493</v>
      </c>
      <c r="V857" s="7">
        <v>1.0</v>
      </c>
    </row>
    <row r="858">
      <c r="A858" s="7" t="s">
        <v>20716</v>
      </c>
      <c r="B858" s="7">
        <v>13039.0</v>
      </c>
      <c r="C858" s="7" t="s">
        <v>9145</v>
      </c>
      <c r="D858" s="7" t="s">
        <v>9209</v>
      </c>
      <c r="E858" s="7" t="s">
        <v>9147</v>
      </c>
      <c r="F858" s="7" t="s">
        <v>3909</v>
      </c>
      <c r="G858" s="7" t="s">
        <v>9210</v>
      </c>
      <c r="H858" s="7" t="s">
        <v>9211</v>
      </c>
      <c r="I858" s="119">
        <v>45292.0</v>
      </c>
      <c r="K858" s="7" t="s">
        <v>419</v>
      </c>
      <c r="L858" s="7" t="s">
        <v>991</v>
      </c>
      <c r="M858" s="7" t="s">
        <v>3501</v>
      </c>
      <c r="N858" s="7" t="s">
        <v>419</v>
      </c>
      <c r="O858" s="7" t="s">
        <v>19433</v>
      </c>
      <c r="P858" s="7" t="s">
        <v>648</v>
      </c>
      <c r="Q858" s="7" t="s">
        <v>148</v>
      </c>
      <c r="R858" s="7" t="s">
        <v>19544</v>
      </c>
      <c r="T858" s="7" t="s">
        <v>3734</v>
      </c>
      <c r="U858" s="7" t="s">
        <v>3493</v>
      </c>
      <c r="V858" s="7">
        <v>1.0</v>
      </c>
    </row>
    <row r="859">
      <c r="A859" s="7" t="s">
        <v>20717</v>
      </c>
      <c r="B859" s="7">
        <v>11372.0</v>
      </c>
      <c r="C859" s="7" t="s">
        <v>9145</v>
      </c>
      <c r="D859" s="7" t="s">
        <v>6650</v>
      </c>
      <c r="E859" s="7" t="s">
        <v>9147</v>
      </c>
      <c r="F859" s="7" t="s">
        <v>3909</v>
      </c>
      <c r="G859" s="7" t="s">
        <v>9213</v>
      </c>
      <c r="H859" s="7" t="s">
        <v>9214</v>
      </c>
      <c r="I859" s="119">
        <v>45292.0</v>
      </c>
      <c r="K859" s="7" t="s">
        <v>419</v>
      </c>
      <c r="L859" s="7" t="s">
        <v>991</v>
      </c>
      <c r="M859" s="7" t="s">
        <v>3501</v>
      </c>
      <c r="N859" s="7" t="s">
        <v>419</v>
      </c>
      <c r="O859" s="7" t="s">
        <v>19430</v>
      </c>
      <c r="P859" s="7" t="s">
        <v>854</v>
      </c>
      <c r="Q859" s="7" t="s">
        <v>864</v>
      </c>
      <c r="R859" s="7" t="s">
        <v>19721</v>
      </c>
      <c r="T859" s="7" t="s">
        <v>5517</v>
      </c>
      <c r="U859" s="7" t="s">
        <v>3493</v>
      </c>
      <c r="V859" s="7">
        <v>1.0</v>
      </c>
    </row>
    <row r="860">
      <c r="A860" s="7" t="s">
        <v>20718</v>
      </c>
      <c r="B860" s="7">
        <v>349.0</v>
      </c>
      <c r="C860" s="7" t="s">
        <v>9145</v>
      </c>
      <c r="D860" s="7" t="s">
        <v>8975</v>
      </c>
      <c r="E860" s="7" t="s">
        <v>9147</v>
      </c>
      <c r="F860" s="7" t="s">
        <v>4967</v>
      </c>
      <c r="G860" s="7" t="s">
        <v>9216</v>
      </c>
      <c r="H860" s="7" t="s">
        <v>9217</v>
      </c>
      <c r="I860" s="119">
        <v>45292.0</v>
      </c>
      <c r="K860" s="7" t="s">
        <v>419</v>
      </c>
      <c r="L860" s="7" t="s">
        <v>991</v>
      </c>
      <c r="M860" s="7" t="s">
        <v>3501</v>
      </c>
      <c r="N860" s="7" t="s">
        <v>419</v>
      </c>
      <c r="O860" s="7" t="s">
        <v>19430</v>
      </c>
      <c r="P860" s="7" t="s">
        <v>854</v>
      </c>
      <c r="Q860" s="7" t="s">
        <v>859</v>
      </c>
      <c r="R860" s="7" t="s">
        <v>20616</v>
      </c>
      <c r="T860" s="7" t="s">
        <v>9219</v>
      </c>
      <c r="U860" s="7" t="s">
        <v>3604</v>
      </c>
      <c r="V860" s="7">
        <v>1.0</v>
      </c>
    </row>
    <row r="861">
      <c r="A861" s="7" t="s">
        <v>20719</v>
      </c>
      <c r="B861" s="7">
        <v>13017.0</v>
      </c>
      <c r="C861" s="7" t="s">
        <v>9145</v>
      </c>
      <c r="D861" s="7" t="s">
        <v>9221</v>
      </c>
      <c r="E861" s="7" t="s">
        <v>9147</v>
      </c>
      <c r="F861" s="7" t="s">
        <v>3656</v>
      </c>
      <c r="G861" s="7" t="s">
        <v>9222</v>
      </c>
      <c r="I861" s="119">
        <v>45292.0</v>
      </c>
      <c r="K861" s="7" t="s">
        <v>419</v>
      </c>
      <c r="L861" s="7" t="s">
        <v>991</v>
      </c>
      <c r="M861" s="7" t="s">
        <v>3531</v>
      </c>
      <c r="N861" s="7" t="s">
        <v>419</v>
      </c>
      <c r="O861" s="7" t="s">
        <v>19438</v>
      </c>
      <c r="P861" s="7" t="s">
        <v>19475</v>
      </c>
      <c r="Q861" s="7" t="s">
        <v>188</v>
      </c>
      <c r="R861" s="7" t="s">
        <v>20720</v>
      </c>
      <c r="T861" s="7" t="s">
        <v>9224</v>
      </c>
      <c r="U861" s="7" t="s">
        <v>3493</v>
      </c>
      <c r="V861" s="7">
        <v>1.0</v>
      </c>
    </row>
    <row r="862">
      <c r="A862" s="7" t="s">
        <v>20721</v>
      </c>
      <c r="B862" s="7">
        <v>12774.0</v>
      </c>
      <c r="C862" s="7" t="s">
        <v>9145</v>
      </c>
      <c r="D862" s="7" t="s">
        <v>9226</v>
      </c>
      <c r="E862" s="7" t="s">
        <v>9147</v>
      </c>
      <c r="F862" s="7" t="s">
        <v>9227</v>
      </c>
      <c r="G862" s="7" t="s">
        <v>9228</v>
      </c>
      <c r="H862" s="7" t="s">
        <v>9229</v>
      </c>
      <c r="I862" s="119">
        <v>45292.0</v>
      </c>
      <c r="K862" s="7" t="s">
        <v>419</v>
      </c>
      <c r="L862" s="7" t="s">
        <v>991</v>
      </c>
      <c r="M862" s="7" t="s">
        <v>3501</v>
      </c>
      <c r="N862" s="7" t="s">
        <v>419</v>
      </c>
      <c r="O862" s="7" t="s">
        <v>19443</v>
      </c>
      <c r="P862" s="7" t="s">
        <v>1242</v>
      </c>
      <c r="Q862" s="7" t="s">
        <v>51</v>
      </c>
      <c r="R862" s="7" t="s">
        <v>19549</v>
      </c>
      <c r="S862" s="7" t="s">
        <v>20042</v>
      </c>
      <c r="T862" s="7" t="s">
        <v>5781</v>
      </c>
      <c r="U862" s="7" t="s">
        <v>3493</v>
      </c>
      <c r="V862" s="7">
        <v>1.0</v>
      </c>
    </row>
    <row r="863">
      <c r="A863" s="7" t="s">
        <v>20722</v>
      </c>
      <c r="B863" s="7">
        <v>13700.0</v>
      </c>
      <c r="C863" s="7" t="s">
        <v>9145</v>
      </c>
      <c r="D863" s="7" t="s">
        <v>9231</v>
      </c>
      <c r="E863" s="7" t="s">
        <v>9147</v>
      </c>
      <c r="F863" s="7" t="s">
        <v>7477</v>
      </c>
      <c r="G863" s="7" t="s">
        <v>9232</v>
      </c>
      <c r="H863" s="7" t="s">
        <v>9233</v>
      </c>
      <c r="I863" s="119">
        <v>45292.0</v>
      </c>
      <c r="K863" s="7" t="s">
        <v>3632</v>
      </c>
      <c r="L863" s="7" t="s">
        <v>991</v>
      </c>
      <c r="M863" s="7" t="s">
        <v>3501</v>
      </c>
      <c r="N863" s="7" t="s">
        <v>3632</v>
      </c>
      <c r="O863" s="7" t="s">
        <v>3632</v>
      </c>
      <c r="P863" s="7" t="s">
        <v>3463</v>
      </c>
      <c r="Q863" s="7" t="s">
        <v>359</v>
      </c>
      <c r="R863" s="7" t="s">
        <v>20723</v>
      </c>
      <c r="T863" s="7" t="s">
        <v>20724</v>
      </c>
      <c r="U863" s="7" t="s">
        <v>3604</v>
      </c>
      <c r="V863" s="7">
        <v>1.0</v>
      </c>
    </row>
    <row r="864">
      <c r="A864" s="7" t="s">
        <v>20725</v>
      </c>
      <c r="B864" s="7">
        <v>2300007.0</v>
      </c>
      <c r="C864" s="7" t="s">
        <v>9145</v>
      </c>
      <c r="D864" s="7" t="s">
        <v>9238</v>
      </c>
      <c r="E864" s="7" t="s">
        <v>9147</v>
      </c>
      <c r="F864" s="7" t="s">
        <v>3721</v>
      </c>
      <c r="G864" s="7" t="s">
        <v>9239</v>
      </c>
      <c r="H864" s="7" t="s">
        <v>9240</v>
      </c>
      <c r="I864" s="119">
        <v>45292.0</v>
      </c>
      <c r="K864" s="7" t="s">
        <v>419</v>
      </c>
      <c r="L864" s="7" t="s">
        <v>991</v>
      </c>
      <c r="M864" s="7" t="s">
        <v>3501</v>
      </c>
      <c r="N864" s="7" t="s">
        <v>419</v>
      </c>
      <c r="O864" s="7" t="s">
        <v>19432</v>
      </c>
      <c r="P864" s="7" t="s">
        <v>391</v>
      </c>
      <c r="Q864" s="7" t="s">
        <v>890</v>
      </c>
      <c r="R864" s="7" t="s">
        <v>19744</v>
      </c>
      <c r="T864" s="7" t="s">
        <v>7846</v>
      </c>
      <c r="U864" s="7" t="s">
        <v>3493</v>
      </c>
      <c r="V864" s="7">
        <v>1.0</v>
      </c>
    </row>
    <row r="865">
      <c r="A865" s="7" t="s">
        <v>20726</v>
      </c>
      <c r="B865" s="7">
        <v>1294.0</v>
      </c>
      <c r="C865" s="7" t="s">
        <v>9145</v>
      </c>
      <c r="D865" s="7" t="s">
        <v>7006</v>
      </c>
      <c r="E865" s="7" t="s">
        <v>9147</v>
      </c>
      <c r="F865" s="7" t="s">
        <v>7007</v>
      </c>
      <c r="G865" s="7" t="s">
        <v>9243</v>
      </c>
      <c r="H865" s="7" t="s">
        <v>9244</v>
      </c>
      <c r="I865" s="119">
        <v>45292.0</v>
      </c>
      <c r="K865" s="7" t="s">
        <v>419</v>
      </c>
      <c r="L865" s="7" t="s">
        <v>991</v>
      </c>
      <c r="M865" s="7" t="s">
        <v>3501</v>
      </c>
      <c r="N865" s="7" t="s">
        <v>419</v>
      </c>
      <c r="O865" s="7" t="s">
        <v>19430</v>
      </c>
      <c r="P865" s="7" t="s">
        <v>717</v>
      </c>
      <c r="Q865" s="7" t="s">
        <v>720</v>
      </c>
      <c r="R865" s="7" t="s">
        <v>19658</v>
      </c>
      <c r="S865" s="7" t="s">
        <v>19659</v>
      </c>
      <c r="T865" s="7" t="s">
        <v>4148</v>
      </c>
      <c r="U865" s="7" t="s">
        <v>3493</v>
      </c>
      <c r="V865" s="7">
        <v>1.0</v>
      </c>
    </row>
    <row r="866">
      <c r="A866" s="7" t="s">
        <v>20727</v>
      </c>
      <c r="B866" s="7">
        <v>2300444.0</v>
      </c>
      <c r="C866" s="7" t="s">
        <v>9246</v>
      </c>
      <c r="D866" s="7" t="s">
        <v>9247</v>
      </c>
      <c r="E866" s="7" t="s">
        <v>9248</v>
      </c>
      <c r="F866" s="7" t="s">
        <v>8243</v>
      </c>
      <c r="G866" s="7" t="s">
        <v>9249</v>
      </c>
      <c r="I866" s="119">
        <v>45292.0</v>
      </c>
      <c r="K866" s="7" t="s">
        <v>419</v>
      </c>
      <c r="L866" s="7" t="s">
        <v>991</v>
      </c>
      <c r="M866" s="7" t="s">
        <v>3531</v>
      </c>
      <c r="N866" s="7" t="s">
        <v>419</v>
      </c>
      <c r="O866" s="7" t="s">
        <v>19430</v>
      </c>
      <c r="P866" s="7" t="s">
        <v>854</v>
      </c>
      <c r="Q866" s="7" t="s">
        <v>859</v>
      </c>
      <c r="T866" s="7" t="s">
        <v>3821</v>
      </c>
      <c r="U866" s="7" t="s">
        <v>3493</v>
      </c>
      <c r="V866" s="7">
        <v>1.0</v>
      </c>
    </row>
    <row r="867">
      <c r="A867" s="7" t="s">
        <v>20728</v>
      </c>
      <c r="B867" s="7">
        <v>2200383.0</v>
      </c>
      <c r="C867" s="7" t="s">
        <v>9246</v>
      </c>
      <c r="D867" s="7" t="s">
        <v>9251</v>
      </c>
      <c r="E867" s="7" t="s">
        <v>9252</v>
      </c>
      <c r="F867" s="7" t="s">
        <v>7574</v>
      </c>
      <c r="G867" s="7" t="s">
        <v>9253</v>
      </c>
      <c r="H867" s="7" t="s">
        <v>9254</v>
      </c>
      <c r="I867" s="119">
        <v>45292.0</v>
      </c>
      <c r="K867" s="7" t="s">
        <v>419</v>
      </c>
      <c r="L867" s="7" t="s">
        <v>991</v>
      </c>
      <c r="M867" s="7" t="s">
        <v>3531</v>
      </c>
      <c r="N867" s="7" t="s">
        <v>419</v>
      </c>
      <c r="O867" s="7" t="s">
        <v>19430</v>
      </c>
      <c r="P867" s="7" t="s">
        <v>717</v>
      </c>
      <c r="Q867" s="7" t="s">
        <v>722</v>
      </c>
      <c r="R867" s="7" t="s">
        <v>20163</v>
      </c>
      <c r="S867" s="7" t="s">
        <v>20729</v>
      </c>
      <c r="T867" s="7" t="s">
        <v>17776</v>
      </c>
      <c r="U867" s="7" t="s">
        <v>3493</v>
      </c>
      <c r="V867" s="7">
        <v>1.0</v>
      </c>
    </row>
    <row r="868">
      <c r="A868" s="7" t="s">
        <v>20730</v>
      </c>
      <c r="B868" s="7">
        <v>10603.0</v>
      </c>
      <c r="C868" s="7" t="s">
        <v>9258</v>
      </c>
      <c r="D868" s="7" t="s">
        <v>9259</v>
      </c>
      <c r="E868" s="7" t="s">
        <v>9252</v>
      </c>
      <c r="F868" s="7" t="s">
        <v>5433</v>
      </c>
      <c r="G868" s="7" t="s">
        <v>9260</v>
      </c>
      <c r="H868" s="7" t="s">
        <v>9261</v>
      </c>
      <c r="I868" s="119">
        <v>45292.0</v>
      </c>
      <c r="K868" s="7" t="s">
        <v>419</v>
      </c>
      <c r="L868" s="7" t="s">
        <v>991</v>
      </c>
      <c r="M868" s="7" t="s">
        <v>3501</v>
      </c>
      <c r="N868" s="7" t="s">
        <v>419</v>
      </c>
      <c r="O868" s="7" t="s">
        <v>19430</v>
      </c>
      <c r="P868" s="7" t="s">
        <v>854</v>
      </c>
      <c r="Q868" s="7" t="s">
        <v>173</v>
      </c>
      <c r="R868" s="7" t="s">
        <v>20485</v>
      </c>
      <c r="T868" s="7" t="s">
        <v>20731</v>
      </c>
      <c r="U868" s="7" t="s">
        <v>3604</v>
      </c>
      <c r="V868" s="7">
        <v>1.0</v>
      </c>
    </row>
    <row r="869">
      <c r="A869" s="7" t="s">
        <v>20732</v>
      </c>
      <c r="B869" s="7">
        <v>2200702.0</v>
      </c>
      <c r="C869" s="7" t="s">
        <v>9265</v>
      </c>
      <c r="D869" s="7" t="s">
        <v>9266</v>
      </c>
      <c r="E869" s="7" t="s">
        <v>9267</v>
      </c>
      <c r="F869" s="7" t="s">
        <v>5917</v>
      </c>
      <c r="G869" s="7" t="s">
        <v>9268</v>
      </c>
      <c r="H869" s="7" t="s">
        <v>9269</v>
      </c>
      <c r="I869" s="119">
        <v>45292.0</v>
      </c>
      <c r="K869" s="7" t="s">
        <v>4042</v>
      </c>
      <c r="L869" s="7" t="s">
        <v>991</v>
      </c>
      <c r="M869" s="7" t="s">
        <v>3501</v>
      </c>
      <c r="N869" s="7" t="s">
        <v>4042</v>
      </c>
      <c r="O869" s="7" t="s">
        <v>4042</v>
      </c>
      <c r="P869" s="7" t="s">
        <v>19632</v>
      </c>
      <c r="T869" s="7" t="s">
        <v>4044</v>
      </c>
      <c r="U869" s="7" t="s">
        <v>3493</v>
      </c>
      <c r="V869" s="7">
        <v>1.0</v>
      </c>
    </row>
    <row r="870">
      <c r="A870" s="7" t="s">
        <v>2215</v>
      </c>
      <c r="B870" s="7">
        <v>76.0</v>
      </c>
      <c r="C870" s="7" t="s">
        <v>9270</v>
      </c>
      <c r="D870" s="7" t="s">
        <v>9271</v>
      </c>
      <c r="E870" s="7" t="s">
        <v>9272</v>
      </c>
      <c r="F870" s="7" t="s">
        <v>9273</v>
      </c>
      <c r="G870" s="7" t="s">
        <v>9274</v>
      </c>
      <c r="H870" s="7" t="s">
        <v>9275</v>
      </c>
      <c r="I870" s="119">
        <v>45292.0</v>
      </c>
      <c r="K870" s="7" t="s">
        <v>419</v>
      </c>
      <c r="L870" s="7" t="s">
        <v>991</v>
      </c>
      <c r="M870" s="7" t="s">
        <v>3501</v>
      </c>
      <c r="N870" s="7" t="s">
        <v>419</v>
      </c>
      <c r="O870" s="7" t="s">
        <v>19430</v>
      </c>
      <c r="P870" s="7" t="s">
        <v>717</v>
      </c>
      <c r="Q870" s="7" t="s">
        <v>1163</v>
      </c>
      <c r="T870" s="7" t="s">
        <v>9277</v>
      </c>
      <c r="U870" s="7" t="s">
        <v>5585</v>
      </c>
      <c r="V870" s="7">
        <v>1.0</v>
      </c>
    </row>
    <row r="871">
      <c r="A871" s="7" t="s">
        <v>20733</v>
      </c>
      <c r="B871" s="7">
        <v>11427.0</v>
      </c>
      <c r="C871" s="7" t="s">
        <v>9279</v>
      </c>
      <c r="D871" s="7" t="s">
        <v>9280</v>
      </c>
      <c r="E871" s="7" t="s">
        <v>9281</v>
      </c>
      <c r="F871" s="7" t="s">
        <v>8036</v>
      </c>
      <c r="G871" s="7" t="s">
        <v>9282</v>
      </c>
      <c r="H871" s="7" t="s">
        <v>9283</v>
      </c>
      <c r="I871" s="119">
        <v>45292.0</v>
      </c>
      <c r="K871" s="7" t="s">
        <v>419</v>
      </c>
      <c r="L871" s="7" t="s">
        <v>991</v>
      </c>
      <c r="M871" s="7" t="s">
        <v>3531</v>
      </c>
      <c r="N871" s="7" t="s">
        <v>419</v>
      </c>
      <c r="O871" s="7" t="s">
        <v>19432</v>
      </c>
      <c r="P871" s="7" t="s">
        <v>391</v>
      </c>
      <c r="Q871" s="7" t="s">
        <v>890</v>
      </c>
      <c r="R871" s="7" t="s">
        <v>19497</v>
      </c>
      <c r="T871" s="7" t="s">
        <v>7757</v>
      </c>
      <c r="U871" s="7" t="s">
        <v>3493</v>
      </c>
      <c r="V871" s="7">
        <v>1.0</v>
      </c>
    </row>
    <row r="872">
      <c r="A872" s="7" t="s">
        <v>20734</v>
      </c>
      <c r="B872" s="7">
        <v>2200720.0</v>
      </c>
      <c r="C872" s="7" t="s">
        <v>9285</v>
      </c>
      <c r="D872" s="7" t="s">
        <v>9286</v>
      </c>
      <c r="E872" s="7" t="s">
        <v>9287</v>
      </c>
      <c r="F872" s="7" t="s">
        <v>4032</v>
      </c>
      <c r="G872" s="7" t="s">
        <v>9288</v>
      </c>
      <c r="H872" s="7" t="s">
        <v>9289</v>
      </c>
      <c r="I872" s="119">
        <v>45292.0</v>
      </c>
      <c r="K872" s="7" t="s">
        <v>4042</v>
      </c>
      <c r="L872" s="7" t="s">
        <v>991</v>
      </c>
      <c r="M872" s="7" t="s">
        <v>3531</v>
      </c>
      <c r="N872" s="7" t="s">
        <v>4042</v>
      </c>
      <c r="O872" s="7" t="s">
        <v>4042</v>
      </c>
      <c r="P872" s="7" t="s">
        <v>19632</v>
      </c>
      <c r="T872" s="7" t="s">
        <v>4044</v>
      </c>
      <c r="U872" s="7" t="s">
        <v>3493</v>
      </c>
      <c r="V872" s="7">
        <v>1.0</v>
      </c>
    </row>
    <row r="873">
      <c r="A873" s="7" t="s">
        <v>20735</v>
      </c>
      <c r="B873" s="7">
        <v>2100634.0</v>
      </c>
      <c r="C873" s="7" t="s">
        <v>9291</v>
      </c>
      <c r="D873" s="7" t="s">
        <v>9292</v>
      </c>
      <c r="E873" s="7" t="s">
        <v>9293</v>
      </c>
      <c r="F873" s="7" t="s">
        <v>9294</v>
      </c>
      <c r="G873" s="7" t="s">
        <v>9295</v>
      </c>
      <c r="I873" s="119">
        <v>45292.0</v>
      </c>
      <c r="K873" s="7" t="s">
        <v>419</v>
      </c>
      <c r="L873" s="7" t="s">
        <v>991</v>
      </c>
      <c r="M873" s="7" t="s">
        <v>3531</v>
      </c>
      <c r="N873" s="7" t="s">
        <v>419</v>
      </c>
      <c r="O873" s="7" t="s">
        <v>19430</v>
      </c>
      <c r="P873" s="7" t="s">
        <v>854</v>
      </c>
      <c r="Q873" s="7" t="s">
        <v>857</v>
      </c>
      <c r="T873" s="7" t="s">
        <v>4104</v>
      </c>
      <c r="U873" s="7" t="s">
        <v>3493</v>
      </c>
      <c r="V873" s="7">
        <v>1.0</v>
      </c>
    </row>
    <row r="874">
      <c r="A874" s="7" t="s">
        <v>20736</v>
      </c>
      <c r="B874" s="7">
        <v>13506.0</v>
      </c>
      <c r="C874" s="7" t="s">
        <v>9297</v>
      </c>
      <c r="D874" s="7" t="s">
        <v>9298</v>
      </c>
      <c r="E874" s="7" t="s">
        <v>9299</v>
      </c>
      <c r="F874" s="7" t="s">
        <v>9300</v>
      </c>
      <c r="G874" s="7" t="s">
        <v>9301</v>
      </c>
      <c r="H874" s="7" t="s">
        <v>9302</v>
      </c>
      <c r="I874" s="119">
        <v>45292.0</v>
      </c>
      <c r="K874" s="7" t="s">
        <v>419</v>
      </c>
      <c r="L874" s="7" t="s">
        <v>991</v>
      </c>
      <c r="M874" s="7" t="s">
        <v>3501</v>
      </c>
      <c r="N874" s="7" t="s">
        <v>419</v>
      </c>
      <c r="O874" s="7" t="s">
        <v>19437</v>
      </c>
      <c r="P874" s="7" t="s">
        <v>603</v>
      </c>
      <c r="Q874" s="7" t="s">
        <v>90</v>
      </c>
      <c r="R874" s="7" t="s">
        <v>19938</v>
      </c>
      <c r="T874" s="7" t="s">
        <v>5321</v>
      </c>
      <c r="U874" s="7" t="s">
        <v>3493</v>
      </c>
      <c r="V874" s="7">
        <v>1.0</v>
      </c>
    </row>
    <row r="875">
      <c r="A875" s="7" t="s">
        <v>20737</v>
      </c>
      <c r="B875" s="7">
        <v>2300622.0</v>
      </c>
      <c r="C875" s="7" t="s">
        <v>9304</v>
      </c>
      <c r="D875" s="7" t="s">
        <v>9305</v>
      </c>
      <c r="E875" s="7" t="s">
        <v>9306</v>
      </c>
      <c r="F875" s="7" t="s">
        <v>9307</v>
      </c>
      <c r="G875" s="7" t="s">
        <v>9308</v>
      </c>
      <c r="H875" s="7" t="s">
        <v>9309</v>
      </c>
      <c r="I875" s="119">
        <v>45292.0</v>
      </c>
      <c r="K875" s="7" t="s">
        <v>419</v>
      </c>
      <c r="L875" s="7" t="s">
        <v>991</v>
      </c>
      <c r="M875" s="7" t="s">
        <v>3501</v>
      </c>
      <c r="N875" s="7" t="s">
        <v>419</v>
      </c>
      <c r="O875" s="7" t="s">
        <v>19443</v>
      </c>
      <c r="P875" s="7" t="s">
        <v>1242</v>
      </c>
      <c r="Q875" s="7" t="s">
        <v>51</v>
      </c>
      <c r="R875" s="7" t="s">
        <v>19549</v>
      </c>
      <c r="S875" s="7" t="s">
        <v>20042</v>
      </c>
      <c r="T875" s="7" t="s">
        <v>5781</v>
      </c>
      <c r="U875" s="7" t="s">
        <v>3493</v>
      </c>
      <c r="V875" s="7">
        <v>1.0</v>
      </c>
    </row>
    <row r="876">
      <c r="A876" s="7" t="s">
        <v>20738</v>
      </c>
      <c r="B876" s="7">
        <v>2300433.0</v>
      </c>
      <c r="C876" s="7" t="s">
        <v>9311</v>
      </c>
      <c r="D876" s="7" t="s">
        <v>9312</v>
      </c>
      <c r="E876" s="7" t="s">
        <v>9313</v>
      </c>
      <c r="F876" s="7" t="s">
        <v>9314</v>
      </c>
      <c r="G876" s="7" t="s">
        <v>9315</v>
      </c>
      <c r="H876" s="7" t="s">
        <v>9316</v>
      </c>
      <c r="I876" s="119">
        <v>45292.0</v>
      </c>
      <c r="K876" s="7" t="s">
        <v>9317</v>
      </c>
      <c r="L876" s="7" t="s">
        <v>9318</v>
      </c>
      <c r="M876" s="7" t="s">
        <v>9319</v>
      </c>
      <c r="N876" s="7" t="s">
        <v>419</v>
      </c>
      <c r="O876" s="7" t="s">
        <v>19433</v>
      </c>
      <c r="P876" s="7" t="s">
        <v>648</v>
      </c>
      <c r="Q876" s="7" t="s">
        <v>141</v>
      </c>
      <c r="T876" s="7" t="s">
        <v>4500</v>
      </c>
      <c r="U876" s="7" t="s">
        <v>3493</v>
      </c>
      <c r="V876" s="7">
        <v>1.0</v>
      </c>
    </row>
    <row r="877">
      <c r="A877" s="7" t="s">
        <v>1707</v>
      </c>
      <c r="B877" s="7">
        <v>2300014.0</v>
      </c>
      <c r="C877" s="7" t="s">
        <v>9321</v>
      </c>
      <c r="D877" s="7" t="s">
        <v>4632</v>
      </c>
      <c r="E877" s="7" t="s">
        <v>9322</v>
      </c>
      <c r="F877" s="7" t="s">
        <v>4632</v>
      </c>
      <c r="G877" s="7" t="s">
        <v>9323</v>
      </c>
      <c r="H877" s="7" t="s">
        <v>9324</v>
      </c>
      <c r="I877" s="119">
        <v>45292.0</v>
      </c>
      <c r="K877" s="7" t="s">
        <v>419</v>
      </c>
      <c r="L877" s="7" t="s">
        <v>991</v>
      </c>
      <c r="M877" s="7" t="s">
        <v>3501</v>
      </c>
      <c r="N877" s="7" t="s">
        <v>419</v>
      </c>
      <c r="O877" s="7" t="s">
        <v>19430</v>
      </c>
      <c r="P877" s="7" t="s">
        <v>780</v>
      </c>
      <c r="Q877" s="7" t="s">
        <v>286</v>
      </c>
      <c r="R877" s="7" t="s">
        <v>19914</v>
      </c>
      <c r="T877" s="7" t="s">
        <v>18038</v>
      </c>
      <c r="U877" s="7" t="s">
        <v>3493</v>
      </c>
      <c r="V877" s="7">
        <v>1.0</v>
      </c>
    </row>
    <row r="878">
      <c r="A878" s="7" t="s">
        <v>20739</v>
      </c>
      <c r="B878" s="7">
        <v>3000098.0</v>
      </c>
      <c r="C878" s="7" t="s">
        <v>9329</v>
      </c>
      <c r="D878" s="7" t="s">
        <v>8948</v>
      </c>
      <c r="E878" s="7" t="s">
        <v>9330</v>
      </c>
      <c r="F878" s="7" t="s">
        <v>8756</v>
      </c>
      <c r="G878" s="7" t="s">
        <v>9331</v>
      </c>
      <c r="H878" s="7" t="s">
        <v>9332</v>
      </c>
      <c r="I878" s="119">
        <v>45474.0</v>
      </c>
      <c r="K878" s="7" t="s">
        <v>419</v>
      </c>
      <c r="L878" s="7" t="s">
        <v>991</v>
      </c>
      <c r="M878" s="7" t="s">
        <v>3490</v>
      </c>
      <c r="N878" s="7" t="s">
        <v>419</v>
      </c>
      <c r="O878" s="7" t="s">
        <v>19437</v>
      </c>
      <c r="P878" s="7" t="s">
        <v>478</v>
      </c>
      <c r="Q878" s="7" t="s">
        <v>491</v>
      </c>
      <c r="R878" s="7" t="s">
        <v>20505</v>
      </c>
      <c r="T878" s="7" t="s">
        <v>20506</v>
      </c>
      <c r="U878" s="7" t="s">
        <v>3493</v>
      </c>
      <c r="V878" s="7">
        <v>1.0</v>
      </c>
    </row>
    <row r="879">
      <c r="A879" s="7" t="s">
        <v>20740</v>
      </c>
      <c r="B879" s="7">
        <v>14330.0</v>
      </c>
      <c r="C879" s="7" t="s">
        <v>9334</v>
      </c>
      <c r="D879" s="7" t="s">
        <v>4943</v>
      </c>
      <c r="E879" s="7" t="s">
        <v>9335</v>
      </c>
      <c r="F879" s="7" t="s">
        <v>3792</v>
      </c>
      <c r="G879" s="7" t="s">
        <v>9336</v>
      </c>
      <c r="H879" s="7" t="s">
        <v>9337</v>
      </c>
      <c r="I879" s="119">
        <v>45292.0</v>
      </c>
      <c r="K879" s="7" t="s">
        <v>419</v>
      </c>
      <c r="L879" s="7" t="s">
        <v>991</v>
      </c>
      <c r="M879" s="7" t="s">
        <v>3501</v>
      </c>
      <c r="N879" s="7" t="s">
        <v>419</v>
      </c>
      <c r="O879" s="7" t="s">
        <v>19430</v>
      </c>
      <c r="P879" s="7" t="s">
        <v>780</v>
      </c>
      <c r="Q879" s="7" t="s">
        <v>284</v>
      </c>
      <c r="R879" s="7" t="s">
        <v>19932</v>
      </c>
      <c r="T879" s="7" t="s">
        <v>8002</v>
      </c>
      <c r="U879" s="7" t="s">
        <v>3604</v>
      </c>
      <c r="V879" s="7">
        <v>1.0</v>
      </c>
    </row>
    <row r="880">
      <c r="A880" s="7" t="s">
        <v>20741</v>
      </c>
      <c r="B880" s="7">
        <v>2200583.0</v>
      </c>
      <c r="C880" s="7" t="s">
        <v>9339</v>
      </c>
      <c r="D880" s="7" t="s">
        <v>9340</v>
      </c>
      <c r="E880" s="7" t="s">
        <v>9341</v>
      </c>
      <c r="F880" s="7" t="s">
        <v>5752</v>
      </c>
      <c r="G880" s="7" t="s">
        <v>9342</v>
      </c>
      <c r="H880" s="7" t="s">
        <v>9343</v>
      </c>
      <c r="I880" s="119">
        <v>45292.0</v>
      </c>
      <c r="K880" s="7" t="s">
        <v>3622</v>
      </c>
      <c r="L880" s="7" t="s">
        <v>991</v>
      </c>
      <c r="M880" s="7" t="s">
        <v>3501</v>
      </c>
      <c r="N880" s="7" t="s">
        <v>3622</v>
      </c>
      <c r="O880" s="7" t="s">
        <v>3622</v>
      </c>
      <c r="P880" s="7" t="s">
        <v>19521</v>
      </c>
      <c r="T880" s="7" t="s">
        <v>3624</v>
      </c>
      <c r="U880" s="7" t="s">
        <v>3493</v>
      </c>
      <c r="V880" s="7">
        <v>1.0</v>
      </c>
    </row>
    <row r="881">
      <c r="A881" s="7" t="s">
        <v>20742</v>
      </c>
      <c r="B881" s="7">
        <v>2300277.0</v>
      </c>
      <c r="C881" s="7" t="s">
        <v>9339</v>
      </c>
      <c r="D881" s="7" t="s">
        <v>9345</v>
      </c>
      <c r="E881" s="7" t="s">
        <v>9341</v>
      </c>
      <c r="F881" s="7" t="s">
        <v>3714</v>
      </c>
      <c r="G881" s="7" t="s">
        <v>9346</v>
      </c>
      <c r="H881" s="7" t="s">
        <v>9347</v>
      </c>
      <c r="I881" s="119">
        <v>45292.0</v>
      </c>
      <c r="K881" s="7" t="s">
        <v>419</v>
      </c>
      <c r="L881" s="7" t="s">
        <v>991</v>
      </c>
      <c r="M881" s="7" t="s">
        <v>3583</v>
      </c>
      <c r="N881" s="7" t="s">
        <v>419</v>
      </c>
      <c r="O881" s="7" t="s">
        <v>19443</v>
      </c>
      <c r="P881" s="7" t="s">
        <v>1242</v>
      </c>
      <c r="Q881" s="7" t="s">
        <v>39</v>
      </c>
      <c r="R881" s="7" t="s">
        <v>19757</v>
      </c>
      <c r="T881" s="7" t="s">
        <v>4536</v>
      </c>
      <c r="U881" s="7" t="s">
        <v>3493</v>
      </c>
      <c r="V881" s="7">
        <v>1.0</v>
      </c>
    </row>
    <row r="882">
      <c r="A882" s="7" t="s">
        <v>20743</v>
      </c>
      <c r="B882" s="7">
        <v>2100655.0</v>
      </c>
      <c r="C882" s="7" t="s">
        <v>9349</v>
      </c>
      <c r="D882" s="7" t="s">
        <v>9350</v>
      </c>
      <c r="E882" s="7" t="s">
        <v>9351</v>
      </c>
      <c r="F882" s="7" t="s">
        <v>9352</v>
      </c>
      <c r="G882" s="7" t="s">
        <v>9353</v>
      </c>
      <c r="H882" s="7" t="s">
        <v>9354</v>
      </c>
      <c r="I882" s="119">
        <v>45292.0</v>
      </c>
      <c r="K882" s="7" t="s">
        <v>419</v>
      </c>
      <c r="L882" s="7" t="s">
        <v>991</v>
      </c>
      <c r="M882" s="7" t="s">
        <v>3501</v>
      </c>
      <c r="N882" s="7" t="s">
        <v>419</v>
      </c>
      <c r="O882" s="7" t="s">
        <v>19437</v>
      </c>
      <c r="P882" s="7" t="s">
        <v>440</v>
      </c>
      <c r="Q882" s="7" t="s">
        <v>19453</v>
      </c>
      <c r="R882" s="7" t="s">
        <v>20376</v>
      </c>
      <c r="T882" s="7" t="s">
        <v>9355</v>
      </c>
      <c r="U882" s="7" t="s">
        <v>3604</v>
      </c>
      <c r="V882" s="7">
        <v>1.0</v>
      </c>
    </row>
    <row r="883">
      <c r="A883" s="7" t="s">
        <v>20744</v>
      </c>
      <c r="B883" s="7">
        <v>444.0</v>
      </c>
      <c r="C883" s="7" t="s">
        <v>9357</v>
      </c>
      <c r="D883" s="7" t="s">
        <v>7572</v>
      </c>
      <c r="E883" s="7" t="s">
        <v>9358</v>
      </c>
      <c r="F883" s="7" t="s">
        <v>7574</v>
      </c>
      <c r="G883" s="7" t="s">
        <v>9359</v>
      </c>
      <c r="H883" s="7" t="s">
        <v>9360</v>
      </c>
      <c r="I883" s="119">
        <v>45292.0</v>
      </c>
      <c r="K883" s="7" t="s">
        <v>419</v>
      </c>
      <c r="L883" s="7" t="s">
        <v>991</v>
      </c>
      <c r="M883" s="7" t="s">
        <v>3501</v>
      </c>
      <c r="N883" s="7" t="s">
        <v>419</v>
      </c>
      <c r="O883" s="7" t="s">
        <v>19437</v>
      </c>
      <c r="P883" s="7" t="s">
        <v>440</v>
      </c>
      <c r="Q883" s="7" t="s">
        <v>443</v>
      </c>
      <c r="R883" s="7" t="s">
        <v>20745</v>
      </c>
      <c r="T883" s="7" t="s">
        <v>20746</v>
      </c>
      <c r="U883" s="7" t="s">
        <v>3493</v>
      </c>
      <c r="V883" s="7">
        <v>1.0</v>
      </c>
    </row>
    <row r="884">
      <c r="A884" s="7" t="s">
        <v>20747</v>
      </c>
      <c r="B884" s="7">
        <v>2300727.0</v>
      </c>
      <c r="C884" s="7" t="s">
        <v>9364</v>
      </c>
      <c r="D884" s="7" t="s">
        <v>9365</v>
      </c>
      <c r="E884" s="7" t="s">
        <v>9366</v>
      </c>
      <c r="F884" s="7" t="s">
        <v>9367</v>
      </c>
      <c r="G884" s="7" t="s">
        <v>9368</v>
      </c>
      <c r="H884" s="7" t="s">
        <v>9369</v>
      </c>
      <c r="I884" s="119">
        <v>45292.0</v>
      </c>
      <c r="K884" s="7" t="s">
        <v>419</v>
      </c>
      <c r="L884" s="7" t="s">
        <v>991</v>
      </c>
      <c r="M884" s="7" t="s">
        <v>3501</v>
      </c>
      <c r="N884" s="7" t="s">
        <v>419</v>
      </c>
      <c r="O884" s="7" t="s">
        <v>19432</v>
      </c>
      <c r="P884" s="7" t="s">
        <v>693</v>
      </c>
      <c r="Q884" s="7" t="s">
        <v>698</v>
      </c>
      <c r="R884" s="7" t="s">
        <v>19783</v>
      </c>
      <c r="S884" s="7" t="s">
        <v>19874</v>
      </c>
      <c r="T884" s="7" t="s">
        <v>4995</v>
      </c>
      <c r="U884" s="7" t="s">
        <v>3843</v>
      </c>
      <c r="V884" s="7">
        <v>1.0</v>
      </c>
    </row>
    <row r="885">
      <c r="A885" s="7" t="s">
        <v>20748</v>
      </c>
      <c r="B885" s="7">
        <v>871.0</v>
      </c>
      <c r="C885" s="7" t="s">
        <v>9371</v>
      </c>
      <c r="D885" s="7" t="s">
        <v>9372</v>
      </c>
      <c r="E885" s="7" t="s">
        <v>9373</v>
      </c>
      <c r="F885" s="7" t="s">
        <v>9374</v>
      </c>
      <c r="G885" s="7" t="s">
        <v>9375</v>
      </c>
      <c r="H885" s="7" t="s">
        <v>9376</v>
      </c>
      <c r="I885" s="119">
        <v>45292.0</v>
      </c>
      <c r="K885" s="7" t="s">
        <v>419</v>
      </c>
      <c r="L885" s="7" t="s">
        <v>991</v>
      </c>
      <c r="M885" s="7" t="s">
        <v>3501</v>
      </c>
      <c r="N885" s="7" t="s">
        <v>419</v>
      </c>
      <c r="O885" s="7" t="s">
        <v>19430</v>
      </c>
      <c r="P885" s="7" t="s">
        <v>780</v>
      </c>
      <c r="Q885" s="7" t="s">
        <v>786</v>
      </c>
      <c r="R885" s="7" t="s">
        <v>19839</v>
      </c>
      <c r="T885" s="7" t="s">
        <v>4835</v>
      </c>
      <c r="U885" s="7" t="s">
        <v>3493</v>
      </c>
      <c r="V885" s="7">
        <v>1.0</v>
      </c>
    </row>
    <row r="886">
      <c r="A886" s="7" t="s">
        <v>20749</v>
      </c>
      <c r="B886" s="7">
        <v>12811.0</v>
      </c>
      <c r="C886" s="7" t="s">
        <v>9378</v>
      </c>
      <c r="D886" s="7" t="s">
        <v>9379</v>
      </c>
      <c r="E886" s="7" t="s">
        <v>9380</v>
      </c>
      <c r="F886" s="7" t="s">
        <v>9381</v>
      </c>
      <c r="G886" s="7" t="s">
        <v>9382</v>
      </c>
      <c r="H886" s="7" t="s">
        <v>9383</v>
      </c>
      <c r="I886" s="119">
        <v>45292.0</v>
      </c>
      <c r="J886" s="7" t="s">
        <v>4216</v>
      </c>
      <c r="K886" s="7" t="s">
        <v>419</v>
      </c>
      <c r="L886" s="7" t="s">
        <v>991</v>
      </c>
      <c r="M886" s="7" t="s">
        <v>3490</v>
      </c>
      <c r="N886" s="7" t="s">
        <v>419</v>
      </c>
      <c r="O886" s="7" t="s">
        <v>19430</v>
      </c>
      <c r="P886" s="7" t="s">
        <v>717</v>
      </c>
      <c r="Q886" s="7" t="s">
        <v>251</v>
      </c>
      <c r="R886" s="7" t="s">
        <v>19593</v>
      </c>
      <c r="S886" s="7" t="s">
        <v>19594</v>
      </c>
      <c r="T886" s="7" t="s">
        <v>3900</v>
      </c>
      <c r="U886" s="7" t="s">
        <v>3493</v>
      </c>
      <c r="V886" s="7">
        <v>1.0</v>
      </c>
    </row>
    <row r="887">
      <c r="A887" s="7" t="s">
        <v>20750</v>
      </c>
      <c r="B887" s="7">
        <v>2300209.0</v>
      </c>
      <c r="C887" s="7" t="s">
        <v>9386</v>
      </c>
      <c r="D887" s="7" t="s">
        <v>9387</v>
      </c>
      <c r="E887" s="7" t="s">
        <v>9388</v>
      </c>
      <c r="F887" s="7" t="s">
        <v>6253</v>
      </c>
      <c r="G887" s="7" t="s">
        <v>9389</v>
      </c>
      <c r="H887" s="7" t="s">
        <v>9390</v>
      </c>
      <c r="I887" s="119">
        <v>45292.0</v>
      </c>
      <c r="K887" s="7" t="s">
        <v>4042</v>
      </c>
      <c r="L887" s="7" t="s">
        <v>991</v>
      </c>
      <c r="M887" s="7" t="s">
        <v>3531</v>
      </c>
      <c r="N887" s="7" t="s">
        <v>4042</v>
      </c>
      <c r="O887" s="7" t="s">
        <v>4042</v>
      </c>
      <c r="P887" s="7" t="s">
        <v>19632</v>
      </c>
      <c r="T887" s="7" t="s">
        <v>4044</v>
      </c>
      <c r="U887" s="7" t="s">
        <v>3493</v>
      </c>
      <c r="V887" s="7">
        <v>1.0</v>
      </c>
    </row>
    <row r="888">
      <c r="A888" s="7" t="s">
        <v>20751</v>
      </c>
      <c r="B888" s="7">
        <v>1022.0</v>
      </c>
      <c r="C888" s="7" t="s">
        <v>9392</v>
      </c>
      <c r="D888" s="7" t="s">
        <v>9393</v>
      </c>
      <c r="E888" s="7" t="s">
        <v>9394</v>
      </c>
      <c r="F888" s="7" t="s">
        <v>3986</v>
      </c>
      <c r="G888" s="7" t="s">
        <v>9395</v>
      </c>
      <c r="H888" s="7" t="s">
        <v>9396</v>
      </c>
      <c r="I888" s="119">
        <v>45292.0</v>
      </c>
      <c r="K888" s="7" t="s">
        <v>419</v>
      </c>
      <c r="L888" s="7" t="s">
        <v>991</v>
      </c>
      <c r="M888" s="7" t="s">
        <v>3501</v>
      </c>
      <c r="N888" s="7" t="s">
        <v>419</v>
      </c>
      <c r="O888" s="7" t="s">
        <v>19437</v>
      </c>
      <c r="P888" s="7" t="s">
        <v>440</v>
      </c>
      <c r="Q888" s="7" t="s">
        <v>441</v>
      </c>
      <c r="R888" s="7" t="s">
        <v>20752</v>
      </c>
      <c r="S888" s="7" t="s">
        <v>20753</v>
      </c>
      <c r="T888" s="7" t="s">
        <v>20754</v>
      </c>
      <c r="U888" s="7" t="s">
        <v>3493</v>
      </c>
      <c r="V888" s="7">
        <v>1.0</v>
      </c>
    </row>
    <row r="889">
      <c r="A889" s="7" t="s">
        <v>20755</v>
      </c>
      <c r="B889" s="7">
        <v>2200258.0</v>
      </c>
      <c r="C889" s="7" t="s">
        <v>9400</v>
      </c>
      <c r="D889" s="7" t="s">
        <v>9401</v>
      </c>
      <c r="E889" s="7" t="s">
        <v>9402</v>
      </c>
      <c r="F889" s="7" t="s">
        <v>9403</v>
      </c>
      <c r="G889" s="7" t="s">
        <v>9404</v>
      </c>
      <c r="H889" s="7" t="s">
        <v>9405</v>
      </c>
      <c r="I889" s="119">
        <v>45292.0</v>
      </c>
      <c r="K889" s="7" t="s">
        <v>419</v>
      </c>
      <c r="L889" s="7" t="s">
        <v>991</v>
      </c>
      <c r="M889" s="7" t="s">
        <v>3866</v>
      </c>
      <c r="N889" s="7" t="s">
        <v>419</v>
      </c>
      <c r="O889" s="7" t="s">
        <v>19443</v>
      </c>
      <c r="P889" s="7" t="s">
        <v>323</v>
      </c>
      <c r="Q889" s="7" t="s">
        <v>324</v>
      </c>
      <c r="R889" s="7" t="s">
        <v>19599</v>
      </c>
      <c r="T889" s="7" t="s">
        <v>3921</v>
      </c>
      <c r="U889" s="7" t="s">
        <v>3493</v>
      </c>
      <c r="V889" s="7">
        <v>1.0</v>
      </c>
    </row>
    <row r="890">
      <c r="A890" s="7" t="s">
        <v>20756</v>
      </c>
      <c r="B890" s="7">
        <v>988.0</v>
      </c>
      <c r="C890" s="7" t="s">
        <v>9407</v>
      </c>
      <c r="D890" s="7" t="s">
        <v>9408</v>
      </c>
      <c r="E890" s="7" t="s">
        <v>9409</v>
      </c>
      <c r="F890" s="7" t="s">
        <v>6253</v>
      </c>
      <c r="G890" s="7" t="s">
        <v>9410</v>
      </c>
      <c r="H890" s="7" t="s">
        <v>9411</v>
      </c>
      <c r="I890" s="119">
        <v>45292.0</v>
      </c>
      <c r="K890" s="7" t="s">
        <v>419</v>
      </c>
      <c r="L890" s="7" t="s">
        <v>991</v>
      </c>
      <c r="M890" s="7" t="s">
        <v>3501</v>
      </c>
      <c r="N890" s="7" t="s">
        <v>419</v>
      </c>
      <c r="O890" s="7" t="s">
        <v>19443</v>
      </c>
      <c r="P890" s="7" t="s">
        <v>323</v>
      </c>
      <c r="Q890" s="7" t="s">
        <v>824</v>
      </c>
      <c r="R890" s="7" t="s">
        <v>19582</v>
      </c>
      <c r="T890" s="7" t="s">
        <v>11951</v>
      </c>
      <c r="U890" s="7" t="s">
        <v>3493</v>
      </c>
      <c r="V890" s="7">
        <v>1.0</v>
      </c>
    </row>
    <row r="891">
      <c r="A891" s="7" t="s">
        <v>20757</v>
      </c>
      <c r="B891" s="7">
        <v>11943.0</v>
      </c>
      <c r="C891" s="7" t="s">
        <v>9413</v>
      </c>
      <c r="D891" s="7" t="s">
        <v>9414</v>
      </c>
      <c r="E891" s="7" t="s">
        <v>9415</v>
      </c>
      <c r="F891" s="7" t="s">
        <v>5224</v>
      </c>
      <c r="G891" s="7" t="s">
        <v>9416</v>
      </c>
      <c r="H891" s="7" t="s">
        <v>9417</v>
      </c>
      <c r="I891" s="119">
        <v>45292.0</v>
      </c>
      <c r="K891" s="7" t="s">
        <v>419</v>
      </c>
      <c r="L891" s="7" t="s">
        <v>991</v>
      </c>
      <c r="M891" s="7" t="s">
        <v>3501</v>
      </c>
      <c r="N891" s="7" t="s">
        <v>419</v>
      </c>
      <c r="O891" s="7" t="s">
        <v>19443</v>
      </c>
      <c r="P891" s="7" t="s">
        <v>323</v>
      </c>
      <c r="Q891" s="7" t="s">
        <v>324</v>
      </c>
      <c r="R891" s="7" t="s">
        <v>19599</v>
      </c>
      <c r="T891" s="7" t="s">
        <v>3921</v>
      </c>
      <c r="U891" s="7" t="s">
        <v>3493</v>
      </c>
      <c r="V891" s="7">
        <v>1.0</v>
      </c>
    </row>
    <row r="892">
      <c r="A892" s="7" t="s">
        <v>1467</v>
      </c>
      <c r="B892" s="7">
        <v>40.0</v>
      </c>
      <c r="C892" s="7" t="s">
        <v>9418</v>
      </c>
      <c r="D892" s="7" t="s">
        <v>4672</v>
      </c>
      <c r="E892" s="7" t="s">
        <v>9419</v>
      </c>
      <c r="F892" s="7" t="s">
        <v>4673</v>
      </c>
      <c r="G892" s="7" t="s">
        <v>9420</v>
      </c>
      <c r="H892" s="7" t="s">
        <v>9421</v>
      </c>
      <c r="I892" s="119">
        <v>45292.0</v>
      </c>
      <c r="K892" s="7" t="s">
        <v>419</v>
      </c>
      <c r="L892" s="7" t="s">
        <v>991</v>
      </c>
      <c r="M892" s="7" t="s">
        <v>3501</v>
      </c>
      <c r="N892" s="7" t="s">
        <v>419</v>
      </c>
      <c r="O892" s="7" t="s">
        <v>19443</v>
      </c>
      <c r="P892" s="7" t="s">
        <v>1242</v>
      </c>
      <c r="Q892" s="7" t="s">
        <v>43</v>
      </c>
      <c r="T892" s="7" t="s">
        <v>15052</v>
      </c>
      <c r="U892" s="7" t="s">
        <v>6078</v>
      </c>
      <c r="V892" s="7">
        <v>1.0</v>
      </c>
    </row>
    <row r="893">
      <c r="A893" s="7" t="s">
        <v>20758</v>
      </c>
      <c r="B893" s="7">
        <v>12446.0</v>
      </c>
      <c r="C893" s="7" t="s">
        <v>9426</v>
      </c>
      <c r="D893" s="7" t="s">
        <v>9427</v>
      </c>
      <c r="E893" s="7" t="s">
        <v>9428</v>
      </c>
      <c r="F893" s="7" t="s">
        <v>9429</v>
      </c>
      <c r="G893" s="7" t="s">
        <v>9430</v>
      </c>
      <c r="H893" s="7" t="s">
        <v>9431</v>
      </c>
      <c r="I893" s="119">
        <v>45292.0</v>
      </c>
      <c r="K893" s="7" t="s">
        <v>419</v>
      </c>
      <c r="L893" s="7" t="s">
        <v>991</v>
      </c>
      <c r="M893" s="7" t="s">
        <v>3501</v>
      </c>
      <c r="N893" s="7" t="s">
        <v>419</v>
      </c>
      <c r="O893" s="7" t="s">
        <v>19432</v>
      </c>
      <c r="P893" s="7" t="s">
        <v>693</v>
      </c>
      <c r="Q893" s="7" t="s">
        <v>696</v>
      </c>
      <c r="R893" s="7" t="s">
        <v>20395</v>
      </c>
      <c r="S893" s="7" t="s">
        <v>19739</v>
      </c>
      <c r="T893" s="7" t="s">
        <v>7552</v>
      </c>
      <c r="U893" s="7" t="s">
        <v>3493</v>
      </c>
      <c r="V893" s="7">
        <v>1.0</v>
      </c>
    </row>
    <row r="894">
      <c r="A894" s="7" t="s">
        <v>20759</v>
      </c>
      <c r="B894" s="7">
        <v>10015.0</v>
      </c>
      <c r="C894" s="7" t="s">
        <v>9433</v>
      </c>
      <c r="D894" s="7" t="s">
        <v>9434</v>
      </c>
      <c r="E894" s="7" t="s">
        <v>9435</v>
      </c>
      <c r="F894" s="7" t="s">
        <v>7401</v>
      </c>
      <c r="G894" s="7" t="s">
        <v>9436</v>
      </c>
      <c r="H894" s="7" t="s">
        <v>9437</v>
      </c>
      <c r="I894" s="119">
        <v>45292.0</v>
      </c>
      <c r="K894" s="7" t="s">
        <v>419</v>
      </c>
      <c r="L894" s="7" t="s">
        <v>991</v>
      </c>
      <c r="M894" s="7" t="s">
        <v>3501</v>
      </c>
      <c r="N894" s="7" t="s">
        <v>419</v>
      </c>
      <c r="O894" s="7" t="s">
        <v>19430</v>
      </c>
      <c r="P894" s="7" t="s">
        <v>717</v>
      </c>
      <c r="Q894" s="7" t="s">
        <v>251</v>
      </c>
      <c r="R894" s="7" t="s">
        <v>19513</v>
      </c>
      <c r="S894" s="7" t="s">
        <v>20624</v>
      </c>
      <c r="T894" s="7" t="s">
        <v>8665</v>
      </c>
      <c r="U894" s="7" t="s">
        <v>3493</v>
      </c>
      <c r="V894" s="7">
        <v>1.0</v>
      </c>
    </row>
    <row r="895">
      <c r="A895" s="7" t="s">
        <v>20760</v>
      </c>
      <c r="B895" s="7">
        <v>13668.0</v>
      </c>
      <c r="C895" s="7" t="s">
        <v>9433</v>
      </c>
      <c r="D895" s="7" t="s">
        <v>9439</v>
      </c>
      <c r="E895" s="7" t="s">
        <v>9435</v>
      </c>
      <c r="F895" s="7" t="s">
        <v>7237</v>
      </c>
      <c r="G895" s="7" t="s">
        <v>9440</v>
      </c>
      <c r="H895" s="7" t="s">
        <v>9441</v>
      </c>
      <c r="I895" s="119">
        <v>45292.0</v>
      </c>
      <c r="K895" s="7" t="s">
        <v>3632</v>
      </c>
      <c r="L895" s="7" t="s">
        <v>991</v>
      </c>
      <c r="M895" s="7" t="s">
        <v>3501</v>
      </c>
      <c r="N895" s="7" t="s">
        <v>3632</v>
      </c>
      <c r="O895" s="7" t="s">
        <v>3632</v>
      </c>
      <c r="P895" s="7" t="s">
        <v>625</v>
      </c>
      <c r="Q895" s="7" t="s">
        <v>626</v>
      </c>
      <c r="R895" s="7" t="s">
        <v>19599</v>
      </c>
      <c r="T895" s="7" t="s">
        <v>14173</v>
      </c>
      <c r="U895" s="7" t="s">
        <v>3493</v>
      </c>
      <c r="V895" s="7">
        <v>1.0</v>
      </c>
    </row>
    <row r="896">
      <c r="A896" s="7" t="s">
        <v>20761</v>
      </c>
      <c r="B896" s="7">
        <v>14065.0</v>
      </c>
      <c r="C896" s="7" t="s">
        <v>9445</v>
      </c>
      <c r="D896" s="7" t="s">
        <v>9446</v>
      </c>
      <c r="E896" s="7" t="s">
        <v>6053</v>
      </c>
      <c r="F896" s="7" t="s">
        <v>4937</v>
      </c>
      <c r="G896" s="7" t="s">
        <v>9447</v>
      </c>
      <c r="H896" s="7" t="s">
        <v>9448</v>
      </c>
      <c r="I896" s="119">
        <v>45292.0</v>
      </c>
      <c r="K896" s="7" t="s">
        <v>6681</v>
      </c>
      <c r="L896" s="7" t="s">
        <v>3542</v>
      </c>
      <c r="M896" s="7" t="s">
        <v>4383</v>
      </c>
      <c r="N896" s="7" t="s">
        <v>419</v>
      </c>
      <c r="O896" s="7" t="s">
        <v>19433</v>
      </c>
      <c r="P896" s="7" t="s">
        <v>648</v>
      </c>
      <c r="Q896" s="7" t="s">
        <v>141</v>
      </c>
      <c r="T896" s="7" t="s">
        <v>4500</v>
      </c>
      <c r="U896" s="7" t="s">
        <v>3493</v>
      </c>
      <c r="V896" s="7">
        <v>1.0</v>
      </c>
    </row>
    <row r="897">
      <c r="A897" s="7" t="s">
        <v>20762</v>
      </c>
      <c r="B897" s="7">
        <v>782.0</v>
      </c>
      <c r="C897" s="7" t="s">
        <v>9453</v>
      </c>
      <c r="D897" s="7" t="s">
        <v>9454</v>
      </c>
      <c r="E897" s="7" t="s">
        <v>9455</v>
      </c>
      <c r="F897" s="7" t="s">
        <v>9456</v>
      </c>
      <c r="G897" s="7" t="s">
        <v>9457</v>
      </c>
      <c r="H897" s="7" t="s">
        <v>9458</v>
      </c>
      <c r="I897" s="119">
        <v>45292.0</v>
      </c>
      <c r="K897" s="7" t="s">
        <v>419</v>
      </c>
      <c r="L897" s="7" t="s">
        <v>991</v>
      </c>
      <c r="M897" s="7" t="s">
        <v>3501</v>
      </c>
      <c r="N897" s="7" t="s">
        <v>419</v>
      </c>
      <c r="O897" s="7" t="s">
        <v>19432</v>
      </c>
      <c r="P897" s="7" t="s">
        <v>391</v>
      </c>
      <c r="Q897" s="7" t="s">
        <v>392</v>
      </c>
      <c r="R897" s="7" t="s">
        <v>19534</v>
      </c>
      <c r="T897" s="7" t="s">
        <v>5350</v>
      </c>
      <c r="U897" s="7" t="s">
        <v>3604</v>
      </c>
      <c r="V897" s="7">
        <v>1.0</v>
      </c>
    </row>
    <row r="898">
      <c r="A898" s="7" t="s">
        <v>20763</v>
      </c>
      <c r="B898" s="7">
        <v>197.0</v>
      </c>
      <c r="C898" s="7" t="s">
        <v>9461</v>
      </c>
      <c r="D898" s="7" t="s">
        <v>9462</v>
      </c>
      <c r="E898" s="7" t="s">
        <v>9463</v>
      </c>
      <c r="F898" s="7" t="s">
        <v>9464</v>
      </c>
      <c r="G898" s="7" t="s">
        <v>9465</v>
      </c>
      <c r="H898" s="7" t="s">
        <v>9466</v>
      </c>
      <c r="I898" s="119">
        <v>45292.0</v>
      </c>
      <c r="K898" s="7" t="s">
        <v>419</v>
      </c>
      <c r="L898" s="7" t="s">
        <v>991</v>
      </c>
      <c r="M898" s="7" t="s">
        <v>3501</v>
      </c>
      <c r="N898" s="7" t="s">
        <v>419</v>
      </c>
      <c r="O898" s="7" t="s">
        <v>19443</v>
      </c>
      <c r="P898" s="7" t="s">
        <v>323</v>
      </c>
      <c r="Q898" s="7" t="s">
        <v>324</v>
      </c>
      <c r="R898" s="7" t="s">
        <v>19599</v>
      </c>
      <c r="T898" s="7" t="s">
        <v>3921</v>
      </c>
      <c r="U898" s="7" t="s">
        <v>3493</v>
      </c>
      <c r="V898" s="7">
        <v>1.0</v>
      </c>
    </row>
    <row r="899">
      <c r="A899" s="7" t="s">
        <v>20764</v>
      </c>
      <c r="B899" s="7">
        <v>2100354.0</v>
      </c>
      <c r="C899" s="7" t="s">
        <v>9468</v>
      </c>
      <c r="D899" s="7" t="s">
        <v>9469</v>
      </c>
      <c r="E899" s="7" t="s">
        <v>9470</v>
      </c>
      <c r="F899" s="7" t="s">
        <v>9471</v>
      </c>
      <c r="G899" s="7" t="s">
        <v>9472</v>
      </c>
      <c r="H899" s="7" t="s">
        <v>9473</v>
      </c>
      <c r="I899" s="119">
        <v>45292.0</v>
      </c>
      <c r="K899" s="7" t="s">
        <v>419</v>
      </c>
      <c r="L899" s="7" t="s">
        <v>991</v>
      </c>
      <c r="M899" s="7" t="s">
        <v>3501</v>
      </c>
      <c r="N899" s="7" t="s">
        <v>419</v>
      </c>
      <c r="O899" s="7" t="s">
        <v>19432</v>
      </c>
      <c r="P899" s="7" t="s">
        <v>391</v>
      </c>
      <c r="Q899" s="7" t="s">
        <v>399</v>
      </c>
      <c r="R899" s="7" t="s">
        <v>19508</v>
      </c>
      <c r="T899" s="7" t="s">
        <v>7225</v>
      </c>
      <c r="U899" s="7" t="s">
        <v>3493</v>
      </c>
      <c r="V899" s="7">
        <v>1.0</v>
      </c>
    </row>
    <row r="900">
      <c r="A900" s="7" t="s">
        <v>20765</v>
      </c>
      <c r="B900" s="7">
        <v>710.0</v>
      </c>
      <c r="C900" s="7" t="s">
        <v>9475</v>
      </c>
      <c r="D900" s="7" t="s">
        <v>8975</v>
      </c>
      <c r="E900" s="7" t="s">
        <v>9476</v>
      </c>
      <c r="F900" s="7" t="s">
        <v>4967</v>
      </c>
      <c r="G900" s="7" t="s">
        <v>9477</v>
      </c>
      <c r="H900" s="7" t="s">
        <v>9478</v>
      </c>
      <c r="I900" s="119">
        <v>45292.0</v>
      </c>
      <c r="K900" s="7" t="s">
        <v>419</v>
      </c>
      <c r="L900" s="7" t="s">
        <v>991</v>
      </c>
      <c r="M900" s="7" t="s">
        <v>3501</v>
      </c>
      <c r="N900" s="7" t="s">
        <v>419</v>
      </c>
      <c r="O900" s="7" t="s">
        <v>19443</v>
      </c>
      <c r="P900" s="7" t="s">
        <v>1242</v>
      </c>
      <c r="Q900" s="7" t="s">
        <v>39</v>
      </c>
      <c r="R900" s="7" t="s">
        <v>19929</v>
      </c>
      <c r="S900" s="7" t="s">
        <v>19971</v>
      </c>
      <c r="T900" s="7" t="s">
        <v>7975</v>
      </c>
      <c r="U900" s="7" t="s">
        <v>3493</v>
      </c>
      <c r="V900" s="7">
        <v>1.0</v>
      </c>
    </row>
    <row r="901">
      <c r="A901" s="7" t="s">
        <v>20766</v>
      </c>
      <c r="B901" s="7">
        <v>2200219.0</v>
      </c>
      <c r="C901" s="7" t="s">
        <v>9480</v>
      </c>
      <c r="D901" s="7" t="s">
        <v>9481</v>
      </c>
      <c r="E901" s="7" t="s">
        <v>9482</v>
      </c>
      <c r="F901" s="7" t="s">
        <v>5426</v>
      </c>
      <c r="G901" s="7" t="s">
        <v>9483</v>
      </c>
      <c r="H901" s="7" t="s">
        <v>9484</v>
      </c>
      <c r="I901" s="119">
        <v>45292.0</v>
      </c>
      <c r="K901" s="7" t="s">
        <v>419</v>
      </c>
      <c r="L901" s="7" t="s">
        <v>991</v>
      </c>
      <c r="M901" s="7" t="s">
        <v>3501</v>
      </c>
      <c r="N901" s="7" t="s">
        <v>419</v>
      </c>
      <c r="O901" s="7" t="s">
        <v>19432</v>
      </c>
      <c r="P901" s="7" t="s">
        <v>693</v>
      </c>
      <c r="Q901" s="7" t="s">
        <v>696</v>
      </c>
      <c r="R901" s="7" t="s">
        <v>19934</v>
      </c>
      <c r="S901" s="7" t="s">
        <v>20767</v>
      </c>
      <c r="T901" s="7" t="s">
        <v>11675</v>
      </c>
      <c r="U901" s="7" t="s">
        <v>3493</v>
      </c>
      <c r="V901" s="7">
        <v>1.0</v>
      </c>
    </row>
    <row r="902">
      <c r="A902" s="7" t="s">
        <v>20768</v>
      </c>
      <c r="B902" s="7">
        <v>2300457.0</v>
      </c>
      <c r="C902" s="7" t="s">
        <v>9488</v>
      </c>
      <c r="D902" s="7" t="s">
        <v>9489</v>
      </c>
      <c r="E902" s="7" t="s">
        <v>9482</v>
      </c>
      <c r="F902" s="7" t="s">
        <v>9490</v>
      </c>
      <c r="G902" s="7" t="s">
        <v>9491</v>
      </c>
      <c r="H902" s="7" t="s">
        <v>9492</v>
      </c>
      <c r="I902" s="119">
        <v>45292.0</v>
      </c>
      <c r="K902" s="7" t="s">
        <v>419</v>
      </c>
      <c r="L902" s="7" t="s">
        <v>991</v>
      </c>
      <c r="M902" s="7" t="s">
        <v>3531</v>
      </c>
      <c r="N902" s="7" t="s">
        <v>419</v>
      </c>
      <c r="O902" s="7" t="s">
        <v>19430</v>
      </c>
      <c r="P902" s="7" t="s">
        <v>717</v>
      </c>
      <c r="Q902" s="7" t="s">
        <v>1163</v>
      </c>
      <c r="R902" s="7" t="s">
        <v>19546</v>
      </c>
      <c r="S902" s="7" t="s">
        <v>19547</v>
      </c>
      <c r="T902" s="7" t="s">
        <v>3743</v>
      </c>
      <c r="U902" s="7" t="s">
        <v>3493</v>
      </c>
      <c r="V902" s="7">
        <v>1.0</v>
      </c>
    </row>
    <row r="903">
      <c r="A903" s="7" t="s">
        <v>20769</v>
      </c>
      <c r="B903" s="7">
        <v>2200614.0</v>
      </c>
      <c r="C903" s="7" t="s">
        <v>9494</v>
      </c>
      <c r="D903" s="7" t="s">
        <v>5772</v>
      </c>
      <c r="E903" s="7" t="s">
        <v>9495</v>
      </c>
      <c r="F903" s="7" t="s">
        <v>5107</v>
      </c>
      <c r="G903" s="7" t="s">
        <v>9496</v>
      </c>
      <c r="I903" s="119">
        <v>45292.0</v>
      </c>
      <c r="K903" s="7" t="s">
        <v>419</v>
      </c>
      <c r="L903" s="7" t="s">
        <v>991</v>
      </c>
      <c r="M903" s="7" t="s">
        <v>3531</v>
      </c>
      <c r="N903" s="7" t="s">
        <v>419</v>
      </c>
      <c r="O903" s="7" t="s">
        <v>19430</v>
      </c>
      <c r="P903" s="7" t="s">
        <v>854</v>
      </c>
      <c r="Q903" s="7" t="s">
        <v>859</v>
      </c>
      <c r="T903" s="7" t="s">
        <v>3821</v>
      </c>
      <c r="U903" s="7" t="s">
        <v>3493</v>
      </c>
      <c r="V903" s="7">
        <v>1.0</v>
      </c>
    </row>
    <row r="904">
      <c r="A904" s="7" t="s">
        <v>20770</v>
      </c>
      <c r="B904" s="7">
        <v>10998.0</v>
      </c>
      <c r="C904" s="7" t="s">
        <v>9498</v>
      </c>
      <c r="D904" s="7" t="s">
        <v>9499</v>
      </c>
      <c r="E904" s="7" t="s">
        <v>9500</v>
      </c>
      <c r="F904" s="7" t="s">
        <v>9501</v>
      </c>
      <c r="G904" s="7" t="s">
        <v>9502</v>
      </c>
      <c r="H904" s="7" t="s">
        <v>9503</v>
      </c>
      <c r="I904" s="119">
        <v>45292.0</v>
      </c>
      <c r="J904" s="7" t="s">
        <v>4216</v>
      </c>
      <c r="K904" s="7" t="s">
        <v>419</v>
      </c>
      <c r="L904" s="7" t="s">
        <v>991</v>
      </c>
      <c r="M904" s="7" t="s">
        <v>3501</v>
      </c>
      <c r="N904" s="7" t="s">
        <v>419</v>
      </c>
      <c r="O904" s="7" t="s">
        <v>19443</v>
      </c>
      <c r="P904" s="7" t="s">
        <v>323</v>
      </c>
      <c r="Q904" s="7" t="s">
        <v>824</v>
      </c>
      <c r="R904" s="7" t="s">
        <v>19698</v>
      </c>
      <c r="S904" s="7" t="s">
        <v>19754</v>
      </c>
      <c r="T904" s="7" t="s">
        <v>19755</v>
      </c>
      <c r="U904" s="7" t="s">
        <v>3493</v>
      </c>
      <c r="V904" s="7">
        <v>1.0</v>
      </c>
    </row>
    <row r="905">
      <c r="A905" s="7" t="s">
        <v>20771</v>
      </c>
      <c r="B905" s="7">
        <v>2100427.0</v>
      </c>
      <c r="C905" s="7" t="s">
        <v>9505</v>
      </c>
      <c r="D905" s="7" t="s">
        <v>9506</v>
      </c>
      <c r="E905" s="7" t="s">
        <v>9500</v>
      </c>
      <c r="F905" s="7" t="s">
        <v>6202</v>
      </c>
      <c r="G905" s="7" t="s">
        <v>9507</v>
      </c>
      <c r="H905" s="7" t="s">
        <v>9508</v>
      </c>
      <c r="I905" s="119">
        <v>45292.0</v>
      </c>
      <c r="K905" s="7" t="s">
        <v>419</v>
      </c>
      <c r="L905" s="7" t="s">
        <v>991</v>
      </c>
      <c r="M905" s="7" t="s">
        <v>3531</v>
      </c>
      <c r="N905" s="7" t="s">
        <v>419</v>
      </c>
      <c r="O905" s="7" t="s">
        <v>19432</v>
      </c>
      <c r="P905" s="7" t="s">
        <v>391</v>
      </c>
      <c r="Q905" s="7" t="s">
        <v>399</v>
      </c>
      <c r="R905" s="7" t="s">
        <v>20194</v>
      </c>
      <c r="T905" s="7" t="s">
        <v>6534</v>
      </c>
      <c r="U905" s="7" t="s">
        <v>3493</v>
      </c>
      <c r="V905" s="7">
        <v>1.0</v>
      </c>
    </row>
    <row r="906">
      <c r="A906" s="7" t="s">
        <v>20772</v>
      </c>
      <c r="B906" s="7">
        <v>2300379.0</v>
      </c>
      <c r="C906" s="7" t="s">
        <v>9510</v>
      </c>
      <c r="D906" s="7" t="s">
        <v>9511</v>
      </c>
      <c r="E906" s="7" t="s">
        <v>9512</v>
      </c>
      <c r="F906" s="7" t="s">
        <v>9513</v>
      </c>
      <c r="G906" s="7" t="s">
        <v>9514</v>
      </c>
      <c r="H906" s="7" t="s">
        <v>9515</v>
      </c>
      <c r="I906" s="119">
        <v>45292.0</v>
      </c>
      <c r="K906" s="7" t="s">
        <v>419</v>
      </c>
      <c r="L906" s="7" t="s">
        <v>991</v>
      </c>
      <c r="M906" s="7" t="s">
        <v>3531</v>
      </c>
      <c r="N906" s="7" t="s">
        <v>419</v>
      </c>
      <c r="O906" s="7" t="s">
        <v>19430</v>
      </c>
      <c r="P906" s="7" t="s">
        <v>717</v>
      </c>
      <c r="Q906" s="7" t="s">
        <v>725</v>
      </c>
      <c r="R906" s="7" t="s">
        <v>19501</v>
      </c>
      <c r="S906" s="7" t="s">
        <v>19643</v>
      </c>
      <c r="T906" s="7" t="s">
        <v>4097</v>
      </c>
      <c r="U906" s="7" t="s">
        <v>3493</v>
      </c>
      <c r="V906" s="7">
        <v>1.0</v>
      </c>
    </row>
    <row r="907">
      <c r="A907" s="7" t="s">
        <v>20773</v>
      </c>
      <c r="B907" s="7">
        <v>11500.0</v>
      </c>
      <c r="C907" s="7" t="s">
        <v>9517</v>
      </c>
      <c r="D907" s="7" t="s">
        <v>9518</v>
      </c>
      <c r="E907" s="7" t="s">
        <v>9519</v>
      </c>
      <c r="F907" s="7" t="s">
        <v>4487</v>
      </c>
      <c r="G907" s="7" t="s">
        <v>9520</v>
      </c>
      <c r="H907" s="7" t="s">
        <v>9521</v>
      </c>
      <c r="I907" s="119">
        <v>45292.0</v>
      </c>
      <c r="K907" s="7" t="s">
        <v>419</v>
      </c>
      <c r="L907" s="7" t="s">
        <v>991</v>
      </c>
      <c r="M907" s="7" t="s">
        <v>3501</v>
      </c>
      <c r="N907" s="7" t="s">
        <v>419</v>
      </c>
      <c r="O907" s="7" t="s">
        <v>19443</v>
      </c>
      <c r="P907" s="7" t="s">
        <v>1242</v>
      </c>
      <c r="Q907" s="7" t="s">
        <v>39</v>
      </c>
      <c r="R907" s="7" t="s">
        <v>19757</v>
      </c>
      <c r="T907" s="7" t="s">
        <v>4536</v>
      </c>
      <c r="U907" s="7" t="s">
        <v>3604</v>
      </c>
      <c r="V907" s="7">
        <v>1.0</v>
      </c>
    </row>
    <row r="908">
      <c r="A908" s="7" t="s">
        <v>20774</v>
      </c>
      <c r="B908" s="7">
        <v>8352.0</v>
      </c>
      <c r="C908" s="7" t="s">
        <v>9523</v>
      </c>
      <c r="D908" s="7" t="s">
        <v>3805</v>
      </c>
      <c r="E908" s="7" t="s">
        <v>9519</v>
      </c>
      <c r="F908" s="7" t="s">
        <v>3806</v>
      </c>
      <c r="G908" s="7" t="s">
        <v>9524</v>
      </c>
      <c r="H908" s="7" t="s">
        <v>9525</v>
      </c>
      <c r="I908" s="119">
        <v>45292.0</v>
      </c>
      <c r="K908" s="7" t="s">
        <v>419</v>
      </c>
      <c r="L908" s="7" t="s">
        <v>991</v>
      </c>
      <c r="M908" s="7" t="s">
        <v>3531</v>
      </c>
      <c r="N908" s="7" t="s">
        <v>419</v>
      </c>
      <c r="O908" s="7" t="s">
        <v>19432</v>
      </c>
      <c r="P908" s="7" t="s">
        <v>391</v>
      </c>
      <c r="Q908" s="7" t="s">
        <v>890</v>
      </c>
      <c r="R908" s="7" t="s">
        <v>19497</v>
      </c>
      <c r="T908" s="7" t="s">
        <v>7757</v>
      </c>
      <c r="U908" s="7" t="s">
        <v>3493</v>
      </c>
      <c r="V908" s="7">
        <v>1.0</v>
      </c>
    </row>
    <row r="909">
      <c r="A909" s="7" t="s">
        <v>20775</v>
      </c>
      <c r="B909" s="7">
        <v>13234.0</v>
      </c>
      <c r="C909" s="7" t="s">
        <v>9523</v>
      </c>
      <c r="D909" s="7" t="s">
        <v>5743</v>
      </c>
      <c r="E909" s="7" t="s">
        <v>9519</v>
      </c>
      <c r="F909" s="7" t="s">
        <v>5058</v>
      </c>
      <c r="G909" s="7" t="s">
        <v>9527</v>
      </c>
      <c r="H909" s="7" t="s">
        <v>9528</v>
      </c>
      <c r="I909" s="119">
        <v>45292.0</v>
      </c>
      <c r="K909" s="7" t="s">
        <v>419</v>
      </c>
      <c r="L909" s="7" t="s">
        <v>991</v>
      </c>
      <c r="M909" s="7" t="s">
        <v>3501</v>
      </c>
      <c r="N909" s="7" t="s">
        <v>419</v>
      </c>
      <c r="O909" s="7" t="s">
        <v>19430</v>
      </c>
      <c r="P909" s="7" t="s">
        <v>854</v>
      </c>
      <c r="Q909" s="7" t="s">
        <v>859</v>
      </c>
      <c r="R909" s="7" t="s">
        <v>20523</v>
      </c>
      <c r="T909" s="7" t="s">
        <v>20776</v>
      </c>
      <c r="U909" s="7" t="s">
        <v>3604</v>
      </c>
      <c r="V909" s="7">
        <v>1.0</v>
      </c>
    </row>
    <row r="910">
      <c r="A910" s="7" t="s">
        <v>20777</v>
      </c>
      <c r="B910" s="7">
        <v>2100140.0</v>
      </c>
      <c r="C910" s="7" t="s">
        <v>9532</v>
      </c>
      <c r="D910" s="7" t="s">
        <v>9533</v>
      </c>
      <c r="E910" s="7" t="s">
        <v>9534</v>
      </c>
      <c r="F910" s="7" t="s">
        <v>8636</v>
      </c>
      <c r="G910" s="7" t="s">
        <v>9535</v>
      </c>
      <c r="H910" s="7" t="s">
        <v>9536</v>
      </c>
      <c r="I910" s="119">
        <v>45292.0</v>
      </c>
      <c r="K910" s="7" t="s">
        <v>419</v>
      </c>
      <c r="L910" s="7" t="s">
        <v>991</v>
      </c>
      <c r="M910" s="7" t="s">
        <v>3501</v>
      </c>
      <c r="N910" s="7" t="s">
        <v>419</v>
      </c>
      <c r="O910" s="7" t="s">
        <v>19433</v>
      </c>
      <c r="P910" s="7" t="s">
        <v>648</v>
      </c>
      <c r="Q910" s="7" t="s">
        <v>141</v>
      </c>
      <c r="R910" s="7" t="s">
        <v>19696</v>
      </c>
      <c r="T910" s="7" t="s">
        <v>4291</v>
      </c>
      <c r="U910" s="7" t="s">
        <v>3493</v>
      </c>
      <c r="V910" s="7">
        <v>1.0</v>
      </c>
    </row>
    <row r="911">
      <c r="A911" s="7" t="s">
        <v>20778</v>
      </c>
      <c r="B911" s="7">
        <v>1172.0</v>
      </c>
      <c r="C911" s="7" t="s">
        <v>9538</v>
      </c>
      <c r="D911" s="7" t="s">
        <v>5881</v>
      </c>
      <c r="E911" s="7" t="s">
        <v>9539</v>
      </c>
      <c r="F911" s="7" t="s">
        <v>4546</v>
      </c>
      <c r="G911" s="7" t="s">
        <v>9540</v>
      </c>
      <c r="H911" s="7" t="s">
        <v>9541</v>
      </c>
      <c r="I911" s="119">
        <v>45292.0</v>
      </c>
      <c r="K911" s="7" t="s">
        <v>419</v>
      </c>
      <c r="L911" s="7" t="s">
        <v>991</v>
      </c>
      <c r="M911" s="7" t="s">
        <v>3501</v>
      </c>
      <c r="N911" s="7" t="s">
        <v>419</v>
      </c>
      <c r="O911" s="7" t="s">
        <v>19430</v>
      </c>
      <c r="P911" s="7" t="s">
        <v>717</v>
      </c>
      <c r="Q911" s="7" t="s">
        <v>720</v>
      </c>
      <c r="R911" s="7" t="s">
        <v>19805</v>
      </c>
      <c r="S911" s="7" t="s">
        <v>19806</v>
      </c>
      <c r="T911" s="7" t="s">
        <v>4704</v>
      </c>
      <c r="U911" s="7" t="s">
        <v>3493</v>
      </c>
      <c r="V911" s="7">
        <v>1.0</v>
      </c>
    </row>
    <row r="912">
      <c r="A912" s="7" t="s">
        <v>20779</v>
      </c>
      <c r="B912" s="7">
        <v>288.0</v>
      </c>
      <c r="C912" s="7" t="s">
        <v>9544</v>
      </c>
      <c r="D912" s="7" t="s">
        <v>6490</v>
      </c>
      <c r="E912" s="7" t="s">
        <v>9545</v>
      </c>
      <c r="F912" s="7" t="s">
        <v>3609</v>
      </c>
      <c r="G912" s="7" t="s">
        <v>9546</v>
      </c>
      <c r="H912" s="7" t="s">
        <v>9547</v>
      </c>
      <c r="I912" s="119">
        <v>45292.0</v>
      </c>
      <c r="K912" s="7" t="s">
        <v>419</v>
      </c>
      <c r="L912" s="7" t="s">
        <v>991</v>
      </c>
      <c r="M912" s="7" t="s">
        <v>3501</v>
      </c>
      <c r="N912" s="7" t="s">
        <v>419</v>
      </c>
      <c r="O912" s="7" t="s">
        <v>19430</v>
      </c>
      <c r="P912" s="7" t="s">
        <v>717</v>
      </c>
      <c r="Q912" s="7" t="s">
        <v>1163</v>
      </c>
      <c r="R912" s="7" t="s">
        <v>20486</v>
      </c>
      <c r="T912" s="7" t="s">
        <v>9112</v>
      </c>
      <c r="U912" s="7" t="s">
        <v>3604</v>
      </c>
      <c r="V912" s="7">
        <v>1.0</v>
      </c>
    </row>
    <row r="913">
      <c r="A913" s="7" t="s">
        <v>20780</v>
      </c>
      <c r="B913" s="7">
        <v>11101.0</v>
      </c>
      <c r="C913" s="7" t="s">
        <v>9549</v>
      </c>
      <c r="D913" s="7" t="s">
        <v>9550</v>
      </c>
      <c r="E913" s="7" t="s">
        <v>9551</v>
      </c>
      <c r="F913" s="7" t="s">
        <v>9552</v>
      </c>
      <c r="G913" s="7" t="s">
        <v>9553</v>
      </c>
      <c r="H913" s="7" t="s">
        <v>9554</v>
      </c>
      <c r="I913" s="119">
        <v>45292.0</v>
      </c>
      <c r="K913" s="7" t="s">
        <v>419</v>
      </c>
      <c r="L913" s="7" t="s">
        <v>991</v>
      </c>
      <c r="M913" s="7" t="s">
        <v>3501</v>
      </c>
      <c r="N913" s="7" t="s">
        <v>419</v>
      </c>
      <c r="O913" s="7" t="s">
        <v>19430</v>
      </c>
      <c r="P913" s="7" t="s">
        <v>854</v>
      </c>
      <c r="Q913" s="7" t="s">
        <v>173</v>
      </c>
      <c r="R913" s="7" t="s">
        <v>20485</v>
      </c>
      <c r="S913" s="7" t="s">
        <v>19749</v>
      </c>
      <c r="T913" s="7" t="s">
        <v>8040</v>
      </c>
      <c r="U913" s="7" t="s">
        <v>3493</v>
      </c>
      <c r="V913" s="7">
        <v>1.0</v>
      </c>
    </row>
    <row r="914">
      <c r="A914" s="7" t="s">
        <v>20781</v>
      </c>
      <c r="B914" s="7">
        <v>2300492.0</v>
      </c>
      <c r="C914" s="7" t="s">
        <v>9556</v>
      </c>
      <c r="D914" s="7" t="s">
        <v>6341</v>
      </c>
      <c r="E914" s="7" t="s">
        <v>9551</v>
      </c>
      <c r="F914" s="7" t="s">
        <v>4357</v>
      </c>
      <c r="G914" s="7" t="s">
        <v>9557</v>
      </c>
      <c r="H914" s="7" t="s">
        <v>9558</v>
      </c>
      <c r="I914" s="119">
        <v>45292.0</v>
      </c>
      <c r="K914" s="7" t="s">
        <v>419</v>
      </c>
      <c r="L914" s="7" t="s">
        <v>991</v>
      </c>
      <c r="M914" s="7" t="s">
        <v>3531</v>
      </c>
      <c r="N914" s="7" t="s">
        <v>419</v>
      </c>
      <c r="O914" s="7" t="s">
        <v>19432</v>
      </c>
      <c r="P914" s="7" t="s">
        <v>693</v>
      </c>
      <c r="Q914" s="7" t="s">
        <v>701</v>
      </c>
      <c r="R914" s="7" t="s">
        <v>19563</v>
      </c>
      <c r="T914" s="7" t="s">
        <v>7727</v>
      </c>
      <c r="U914" s="7" t="s">
        <v>3493</v>
      </c>
      <c r="V914" s="7">
        <v>1.0</v>
      </c>
    </row>
    <row r="915">
      <c r="A915" s="7" t="s">
        <v>20782</v>
      </c>
      <c r="B915" s="7">
        <v>2300754.0</v>
      </c>
      <c r="C915" s="7" t="s">
        <v>9556</v>
      </c>
      <c r="D915" s="7" t="s">
        <v>9560</v>
      </c>
      <c r="E915" s="7" t="s">
        <v>9551</v>
      </c>
      <c r="F915" s="7" t="s">
        <v>9561</v>
      </c>
      <c r="G915" s="7" t="s">
        <v>9562</v>
      </c>
      <c r="H915" s="7" t="s">
        <v>9563</v>
      </c>
      <c r="I915" s="119">
        <v>45292.0</v>
      </c>
      <c r="K915" s="7" t="s">
        <v>419</v>
      </c>
      <c r="L915" s="7" t="s">
        <v>991</v>
      </c>
      <c r="M915" s="7" t="s">
        <v>3501</v>
      </c>
      <c r="N915" s="7" t="s">
        <v>419</v>
      </c>
      <c r="O915" s="7" t="s">
        <v>19430</v>
      </c>
      <c r="P915" s="7" t="s">
        <v>780</v>
      </c>
      <c r="Q915" s="7" t="s">
        <v>786</v>
      </c>
      <c r="R915" s="7" t="s">
        <v>19839</v>
      </c>
      <c r="T915" s="7" t="s">
        <v>4835</v>
      </c>
      <c r="U915" s="7" t="s">
        <v>3604</v>
      </c>
      <c r="V915" s="7">
        <v>1.0</v>
      </c>
    </row>
    <row r="916">
      <c r="A916" s="7" t="s">
        <v>20783</v>
      </c>
      <c r="B916" s="7">
        <v>10404.0</v>
      </c>
      <c r="C916" s="7" t="s">
        <v>9565</v>
      </c>
      <c r="D916" s="7" t="s">
        <v>7265</v>
      </c>
      <c r="E916" s="7" t="s">
        <v>9566</v>
      </c>
      <c r="F916" s="7" t="s">
        <v>7266</v>
      </c>
      <c r="G916" s="7" t="s">
        <v>9567</v>
      </c>
      <c r="H916" s="7" t="s">
        <v>9568</v>
      </c>
      <c r="I916" s="119">
        <v>45292.0</v>
      </c>
      <c r="K916" s="7" t="s">
        <v>419</v>
      </c>
      <c r="L916" s="7" t="s">
        <v>991</v>
      </c>
      <c r="M916" s="7" t="s">
        <v>3531</v>
      </c>
      <c r="N916" s="7" t="s">
        <v>419</v>
      </c>
      <c r="O916" s="7" t="s">
        <v>19430</v>
      </c>
      <c r="P916" s="7" t="s">
        <v>717</v>
      </c>
      <c r="Q916" s="7" t="s">
        <v>725</v>
      </c>
      <c r="R916" s="7" t="s">
        <v>19501</v>
      </c>
      <c r="S916" s="7" t="s">
        <v>19643</v>
      </c>
      <c r="T916" s="7" t="s">
        <v>4097</v>
      </c>
      <c r="U916" s="7" t="s">
        <v>3493</v>
      </c>
      <c r="V916" s="7">
        <v>1.0</v>
      </c>
    </row>
    <row r="917">
      <c r="A917" s="7" t="s">
        <v>20784</v>
      </c>
      <c r="B917" s="7">
        <v>13159.0</v>
      </c>
      <c r="C917" s="7" t="s">
        <v>9570</v>
      </c>
      <c r="D917" s="7" t="s">
        <v>9571</v>
      </c>
      <c r="E917" s="7" t="s">
        <v>9572</v>
      </c>
      <c r="F917" s="7" t="s">
        <v>9573</v>
      </c>
      <c r="G917" s="7" t="s">
        <v>9574</v>
      </c>
      <c r="H917" s="7" t="s">
        <v>9575</v>
      </c>
      <c r="I917" s="119">
        <v>45292.0</v>
      </c>
      <c r="K917" s="7" t="s">
        <v>419</v>
      </c>
      <c r="L917" s="7" t="s">
        <v>991</v>
      </c>
      <c r="M917" s="7" t="s">
        <v>3583</v>
      </c>
      <c r="N917" s="7" t="s">
        <v>419</v>
      </c>
      <c r="O917" s="7" t="s">
        <v>19430</v>
      </c>
      <c r="P917" s="7" t="s">
        <v>717</v>
      </c>
      <c r="Q917" s="7" t="s">
        <v>738</v>
      </c>
      <c r="R917" s="7" t="s">
        <v>20012</v>
      </c>
      <c r="S917" s="7" t="s">
        <v>20068</v>
      </c>
      <c r="T917" s="7" t="s">
        <v>5889</v>
      </c>
      <c r="U917" s="7" t="s">
        <v>3493</v>
      </c>
      <c r="V917" s="7">
        <v>1.0</v>
      </c>
    </row>
    <row r="918">
      <c r="A918" s="7" t="s">
        <v>20785</v>
      </c>
      <c r="B918" s="7">
        <v>2100007.0</v>
      </c>
      <c r="C918" s="7" t="s">
        <v>9570</v>
      </c>
      <c r="D918" s="7" t="s">
        <v>9577</v>
      </c>
      <c r="E918" s="7" t="s">
        <v>9572</v>
      </c>
      <c r="F918" s="7" t="s">
        <v>9578</v>
      </c>
      <c r="G918" s="7" t="s">
        <v>9579</v>
      </c>
      <c r="H918" s="7" t="s">
        <v>9580</v>
      </c>
      <c r="I918" s="119">
        <v>45292.0</v>
      </c>
      <c r="K918" s="7" t="s">
        <v>3489</v>
      </c>
      <c r="L918" s="7" t="s">
        <v>991</v>
      </c>
      <c r="M918" s="7" t="s">
        <v>3490</v>
      </c>
      <c r="N918" s="7" t="s">
        <v>3489</v>
      </c>
      <c r="O918" s="7" t="s">
        <v>3489</v>
      </c>
      <c r="P918" s="7" t="s">
        <v>19491</v>
      </c>
      <c r="Q918" s="7" t="s">
        <v>169</v>
      </c>
      <c r="R918" s="7" t="s">
        <v>19492</v>
      </c>
      <c r="T918" s="7" t="s">
        <v>3492</v>
      </c>
      <c r="U918" s="7" t="s">
        <v>3493</v>
      </c>
      <c r="V918" s="7">
        <v>1.0</v>
      </c>
    </row>
    <row r="919">
      <c r="A919" s="7" t="s">
        <v>20786</v>
      </c>
      <c r="B919" s="7">
        <v>10423.0</v>
      </c>
      <c r="C919" s="7" t="s">
        <v>9570</v>
      </c>
      <c r="D919" s="7" t="s">
        <v>5234</v>
      </c>
      <c r="E919" s="7" t="s">
        <v>9572</v>
      </c>
      <c r="F919" s="7" t="s">
        <v>9582</v>
      </c>
      <c r="G919" s="7" t="s">
        <v>9583</v>
      </c>
      <c r="H919" s="7" t="s">
        <v>9584</v>
      </c>
      <c r="I919" s="119">
        <v>45292.0</v>
      </c>
      <c r="K919" s="7" t="s">
        <v>419</v>
      </c>
      <c r="L919" s="7" t="s">
        <v>991</v>
      </c>
      <c r="M919" s="7" t="s">
        <v>3501</v>
      </c>
      <c r="N919" s="7" t="s">
        <v>419</v>
      </c>
      <c r="O919" s="7" t="s">
        <v>19430</v>
      </c>
      <c r="P919" s="7" t="s">
        <v>717</v>
      </c>
      <c r="Q919" s="7" t="s">
        <v>720</v>
      </c>
      <c r="R919" s="7" t="s">
        <v>19626</v>
      </c>
      <c r="S919" s="7" t="s">
        <v>20561</v>
      </c>
      <c r="T919" s="7" t="s">
        <v>8391</v>
      </c>
      <c r="U919" s="7" t="s">
        <v>3843</v>
      </c>
      <c r="V919" s="7">
        <v>1.0</v>
      </c>
    </row>
    <row r="920">
      <c r="A920" s="7" t="s">
        <v>20787</v>
      </c>
      <c r="B920" s="7">
        <v>13618.0</v>
      </c>
      <c r="C920" s="7" t="s">
        <v>9570</v>
      </c>
      <c r="D920" s="7" t="s">
        <v>9586</v>
      </c>
      <c r="E920" s="7" t="s">
        <v>9572</v>
      </c>
      <c r="F920" s="7" t="s">
        <v>9587</v>
      </c>
      <c r="G920" s="7" t="s">
        <v>9588</v>
      </c>
      <c r="H920" s="7" t="s">
        <v>9589</v>
      </c>
      <c r="I920" s="119">
        <v>45292.0</v>
      </c>
      <c r="K920" s="7" t="s">
        <v>419</v>
      </c>
      <c r="L920" s="7" t="s">
        <v>991</v>
      </c>
      <c r="M920" s="7" t="s">
        <v>3531</v>
      </c>
      <c r="N920" s="7" t="s">
        <v>419</v>
      </c>
      <c r="O920" s="7" t="s">
        <v>19430</v>
      </c>
      <c r="P920" s="7" t="s">
        <v>854</v>
      </c>
      <c r="Q920" s="7" t="s">
        <v>861</v>
      </c>
      <c r="R920" s="7" t="s">
        <v>19664</v>
      </c>
      <c r="T920" s="7" t="s">
        <v>9590</v>
      </c>
      <c r="U920" s="7" t="s">
        <v>3493</v>
      </c>
      <c r="V920" s="7">
        <v>1.0</v>
      </c>
    </row>
    <row r="921">
      <c r="A921" s="7" t="s">
        <v>20788</v>
      </c>
      <c r="B921" s="7">
        <v>976.0</v>
      </c>
      <c r="C921" s="7" t="s">
        <v>9570</v>
      </c>
      <c r="D921" s="7" t="s">
        <v>4073</v>
      </c>
      <c r="E921" s="7" t="s">
        <v>9572</v>
      </c>
      <c r="F921" s="7" t="s">
        <v>4075</v>
      </c>
      <c r="G921" s="7" t="s">
        <v>9592</v>
      </c>
      <c r="H921" s="7" t="s">
        <v>9593</v>
      </c>
      <c r="I921" s="119">
        <v>45292.0</v>
      </c>
      <c r="K921" s="7" t="s">
        <v>419</v>
      </c>
      <c r="L921" s="7" t="s">
        <v>991</v>
      </c>
      <c r="M921" s="7" t="s">
        <v>3501</v>
      </c>
      <c r="N921" s="7" t="s">
        <v>419</v>
      </c>
      <c r="O921" s="7" t="s">
        <v>19430</v>
      </c>
      <c r="P921" s="7" t="s">
        <v>717</v>
      </c>
      <c r="Q921" s="7" t="s">
        <v>720</v>
      </c>
      <c r="R921" s="7" t="s">
        <v>19626</v>
      </c>
      <c r="S921" s="7" t="s">
        <v>20789</v>
      </c>
      <c r="T921" s="7" t="s">
        <v>9595</v>
      </c>
      <c r="U921" s="7" t="s">
        <v>3493</v>
      </c>
      <c r="V921" s="7">
        <v>1.0</v>
      </c>
    </row>
    <row r="922">
      <c r="A922" s="7" t="s">
        <v>20790</v>
      </c>
      <c r="B922" s="7">
        <v>2200398.0</v>
      </c>
      <c r="C922" s="7" t="s">
        <v>9570</v>
      </c>
      <c r="D922" s="7" t="s">
        <v>4260</v>
      </c>
      <c r="E922" s="7" t="s">
        <v>9572</v>
      </c>
      <c r="F922" s="7" t="s">
        <v>4262</v>
      </c>
      <c r="G922" s="7" t="s">
        <v>9597</v>
      </c>
      <c r="H922" s="7" t="s">
        <v>9598</v>
      </c>
      <c r="I922" s="119">
        <v>45292.0</v>
      </c>
      <c r="K922" s="7" t="s">
        <v>3632</v>
      </c>
      <c r="L922" s="7" t="s">
        <v>991</v>
      </c>
      <c r="M922" s="7" t="s">
        <v>3501</v>
      </c>
      <c r="N922" s="7" t="s">
        <v>3632</v>
      </c>
      <c r="O922" s="7" t="s">
        <v>3632</v>
      </c>
      <c r="P922" s="7" t="s">
        <v>625</v>
      </c>
      <c r="Q922" s="7" t="s">
        <v>118</v>
      </c>
      <c r="R922" s="7" t="s">
        <v>19768</v>
      </c>
      <c r="T922" s="7" t="s">
        <v>4577</v>
      </c>
      <c r="U922" s="7" t="s">
        <v>3493</v>
      </c>
      <c r="V922" s="7">
        <v>1.0</v>
      </c>
    </row>
    <row r="923">
      <c r="A923" s="7" t="s">
        <v>20791</v>
      </c>
      <c r="B923" s="7">
        <v>14022.0</v>
      </c>
      <c r="C923" s="7" t="s">
        <v>9570</v>
      </c>
      <c r="D923" s="7" t="s">
        <v>9601</v>
      </c>
      <c r="E923" s="7" t="s">
        <v>9572</v>
      </c>
      <c r="F923" s="7" t="s">
        <v>3609</v>
      </c>
      <c r="G923" s="7" t="s">
        <v>9602</v>
      </c>
      <c r="H923" s="7" t="s">
        <v>9603</v>
      </c>
      <c r="I923" s="119">
        <v>45292.0</v>
      </c>
      <c r="K923" s="7" t="s">
        <v>419</v>
      </c>
      <c r="L923" s="7" t="s">
        <v>991</v>
      </c>
      <c r="M923" s="7" t="s">
        <v>3531</v>
      </c>
      <c r="N923" s="7" t="s">
        <v>419</v>
      </c>
      <c r="O923" s="7" t="s">
        <v>19432</v>
      </c>
      <c r="P923" s="7" t="s">
        <v>298</v>
      </c>
      <c r="Q923" s="7" t="s">
        <v>1284</v>
      </c>
      <c r="R923" s="7" t="s">
        <v>20190</v>
      </c>
      <c r="S923" s="7" t="s">
        <v>20220</v>
      </c>
      <c r="T923" s="7" t="s">
        <v>9604</v>
      </c>
      <c r="U923" s="7" t="s">
        <v>3493</v>
      </c>
      <c r="V923" s="7">
        <v>1.0</v>
      </c>
    </row>
    <row r="924">
      <c r="A924" s="7" t="s">
        <v>20792</v>
      </c>
      <c r="B924" s="7">
        <v>2100399.0</v>
      </c>
      <c r="C924" s="7" t="s">
        <v>9606</v>
      </c>
      <c r="D924" s="7" t="s">
        <v>9607</v>
      </c>
      <c r="E924" s="7" t="s">
        <v>9572</v>
      </c>
      <c r="F924" s="7" t="s">
        <v>3909</v>
      </c>
      <c r="G924" s="7" t="s">
        <v>9608</v>
      </c>
      <c r="H924" s="7" t="s">
        <v>9609</v>
      </c>
      <c r="I924" s="119">
        <v>45292.0</v>
      </c>
      <c r="K924" s="7" t="s">
        <v>419</v>
      </c>
      <c r="L924" s="7" t="s">
        <v>991</v>
      </c>
      <c r="M924" s="7" t="s">
        <v>3501</v>
      </c>
      <c r="N924" s="7" t="s">
        <v>419</v>
      </c>
      <c r="O924" s="7" t="s">
        <v>19430</v>
      </c>
      <c r="P924" s="7" t="s">
        <v>854</v>
      </c>
      <c r="Q924" s="7" t="s">
        <v>861</v>
      </c>
      <c r="R924" s="7" t="s">
        <v>19800</v>
      </c>
      <c r="T924" s="7" t="s">
        <v>16415</v>
      </c>
      <c r="U924" s="7" t="s">
        <v>3604</v>
      </c>
      <c r="V924" s="7">
        <v>1.0</v>
      </c>
    </row>
    <row r="925">
      <c r="A925" s="7" t="s">
        <v>20793</v>
      </c>
      <c r="B925" s="7">
        <v>12182.0</v>
      </c>
      <c r="C925" s="7" t="s">
        <v>9570</v>
      </c>
      <c r="D925" s="7" t="s">
        <v>9613</v>
      </c>
      <c r="E925" s="7" t="s">
        <v>9572</v>
      </c>
      <c r="F925" s="7" t="s">
        <v>9614</v>
      </c>
      <c r="G925" s="7" t="s">
        <v>9615</v>
      </c>
      <c r="H925" s="7" t="s">
        <v>9616</v>
      </c>
      <c r="I925" s="119">
        <v>45292.0</v>
      </c>
      <c r="K925" s="7" t="s">
        <v>4206</v>
      </c>
      <c r="L925" s="7" t="s">
        <v>3542</v>
      </c>
      <c r="M925" s="7" t="s">
        <v>3543</v>
      </c>
      <c r="N925" s="7" t="s">
        <v>419</v>
      </c>
      <c r="O925" s="7" t="s">
        <v>19433</v>
      </c>
      <c r="P925" s="7" t="s">
        <v>587</v>
      </c>
      <c r="Q925" s="7" t="s">
        <v>74</v>
      </c>
      <c r="T925" s="7" t="s">
        <v>5112</v>
      </c>
      <c r="U925" s="7" t="s">
        <v>3493</v>
      </c>
      <c r="V925" s="7">
        <v>1.0</v>
      </c>
    </row>
    <row r="926">
      <c r="A926" s="7" t="s">
        <v>2212</v>
      </c>
      <c r="B926" s="7">
        <v>2100038.0</v>
      </c>
      <c r="C926" s="7" t="s">
        <v>9606</v>
      </c>
      <c r="D926" s="7" t="s">
        <v>4100</v>
      </c>
      <c r="E926" s="7" t="s">
        <v>9572</v>
      </c>
      <c r="F926" s="7" t="s">
        <v>3486</v>
      </c>
      <c r="G926" s="7" t="s">
        <v>9618</v>
      </c>
      <c r="H926" s="7" t="s">
        <v>9619</v>
      </c>
      <c r="I926" s="119">
        <v>45292.0</v>
      </c>
      <c r="K926" s="7" t="s">
        <v>419</v>
      </c>
      <c r="L926" s="7" t="s">
        <v>991</v>
      </c>
      <c r="M926" s="7" t="s">
        <v>3501</v>
      </c>
      <c r="N926" s="7" t="s">
        <v>419</v>
      </c>
      <c r="O926" s="7" t="s">
        <v>19430</v>
      </c>
      <c r="P926" s="7" t="s">
        <v>717</v>
      </c>
      <c r="Q926" s="7" t="s">
        <v>722</v>
      </c>
      <c r="T926" s="7" t="s">
        <v>19450</v>
      </c>
      <c r="U926" s="7" t="s">
        <v>5585</v>
      </c>
      <c r="V926" s="7">
        <v>1.0</v>
      </c>
    </row>
    <row r="927">
      <c r="A927" s="7" t="s">
        <v>20794</v>
      </c>
      <c r="B927" s="7">
        <v>14054.0</v>
      </c>
      <c r="C927" s="7" t="s">
        <v>9570</v>
      </c>
      <c r="D927" s="7" t="s">
        <v>9625</v>
      </c>
      <c r="E927" s="7" t="s">
        <v>9572</v>
      </c>
      <c r="F927" s="7" t="s">
        <v>9626</v>
      </c>
      <c r="G927" s="7" t="s">
        <v>9627</v>
      </c>
      <c r="H927" s="7" t="s">
        <v>9628</v>
      </c>
      <c r="I927" s="119">
        <v>45292.0</v>
      </c>
      <c r="K927" s="7" t="s">
        <v>419</v>
      </c>
      <c r="L927" s="7" t="s">
        <v>991</v>
      </c>
      <c r="M927" s="7" t="s">
        <v>3531</v>
      </c>
      <c r="N927" s="7" t="s">
        <v>419</v>
      </c>
      <c r="O927" s="7" t="s">
        <v>19432</v>
      </c>
      <c r="P927" s="7" t="s">
        <v>693</v>
      </c>
      <c r="Q927" s="7" t="s">
        <v>698</v>
      </c>
      <c r="R927" s="7" t="s">
        <v>20444</v>
      </c>
      <c r="S927" s="7" t="s">
        <v>20691</v>
      </c>
      <c r="T927" s="7" t="s">
        <v>9073</v>
      </c>
      <c r="U927" s="7" t="s">
        <v>3493</v>
      </c>
      <c r="V927" s="7">
        <v>1.0</v>
      </c>
    </row>
    <row r="928">
      <c r="A928" s="7" t="s">
        <v>20795</v>
      </c>
      <c r="B928" s="7">
        <v>2300647.0</v>
      </c>
      <c r="C928" s="7" t="s">
        <v>9570</v>
      </c>
      <c r="D928" s="7" t="s">
        <v>9630</v>
      </c>
      <c r="E928" s="7" t="s">
        <v>9572</v>
      </c>
      <c r="F928" s="7" t="s">
        <v>6262</v>
      </c>
      <c r="G928" s="7" t="s">
        <v>9631</v>
      </c>
      <c r="H928" s="7" t="s">
        <v>9632</v>
      </c>
      <c r="I928" s="119">
        <v>45292.0</v>
      </c>
      <c r="K928" s="7" t="s">
        <v>419</v>
      </c>
      <c r="L928" s="7" t="s">
        <v>991</v>
      </c>
      <c r="M928" s="7" t="s">
        <v>3501</v>
      </c>
      <c r="N928" s="7" t="s">
        <v>419</v>
      </c>
      <c r="O928" s="7" t="s">
        <v>19430</v>
      </c>
      <c r="P928" s="7" t="s">
        <v>780</v>
      </c>
      <c r="Q928" s="7" t="s">
        <v>284</v>
      </c>
      <c r="R928" s="7" t="s">
        <v>19932</v>
      </c>
      <c r="T928" s="7" t="s">
        <v>8002</v>
      </c>
      <c r="U928" s="7" t="s">
        <v>3493</v>
      </c>
      <c r="V928" s="7">
        <v>1.0</v>
      </c>
    </row>
    <row r="929">
      <c r="A929" s="7" t="s">
        <v>20796</v>
      </c>
      <c r="B929" s="7">
        <v>2300502.0</v>
      </c>
      <c r="C929" s="7" t="s">
        <v>9634</v>
      </c>
      <c r="D929" s="7" t="s">
        <v>9635</v>
      </c>
      <c r="E929" s="7" t="s">
        <v>9636</v>
      </c>
      <c r="F929" s="7" t="s">
        <v>9637</v>
      </c>
      <c r="G929" s="7" t="s">
        <v>9638</v>
      </c>
      <c r="H929" s="7" t="s">
        <v>9639</v>
      </c>
      <c r="I929" s="119">
        <v>45292.0</v>
      </c>
      <c r="K929" s="7" t="s">
        <v>3632</v>
      </c>
      <c r="L929" s="7" t="s">
        <v>991</v>
      </c>
      <c r="M929" s="7" t="s">
        <v>3866</v>
      </c>
      <c r="N929" s="7" t="s">
        <v>3632</v>
      </c>
      <c r="O929" s="7" t="s">
        <v>3632</v>
      </c>
      <c r="P929" s="7" t="s">
        <v>625</v>
      </c>
      <c r="Q929" s="7" t="s">
        <v>626</v>
      </c>
      <c r="R929" s="7" t="s">
        <v>19672</v>
      </c>
      <c r="T929" s="7" t="s">
        <v>4191</v>
      </c>
      <c r="U929" s="7" t="s">
        <v>3493</v>
      </c>
      <c r="V929" s="7">
        <v>1.0</v>
      </c>
    </row>
    <row r="930">
      <c r="A930" s="7" t="s">
        <v>20797</v>
      </c>
      <c r="B930" s="7">
        <v>2100124.0</v>
      </c>
      <c r="C930" s="7" t="s">
        <v>9641</v>
      </c>
      <c r="D930" s="7" t="s">
        <v>4510</v>
      </c>
      <c r="E930" s="7" t="s">
        <v>9642</v>
      </c>
      <c r="F930" s="7" t="s">
        <v>4511</v>
      </c>
      <c r="G930" s="7" t="s">
        <v>9643</v>
      </c>
      <c r="H930" s="7" t="s">
        <v>9644</v>
      </c>
      <c r="I930" s="119">
        <v>45292.0</v>
      </c>
      <c r="K930" s="7" t="s">
        <v>419</v>
      </c>
      <c r="L930" s="7" t="s">
        <v>991</v>
      </c>
      <c r="M930" s="7" t="s">
        <v>3501</v>
      </c>
      <c r="N930" s="7" t="s">
        <v>419</v>
      </c>
      <c r="O930" s="7" t="s">
        <v>19433</v>
      </c>
      <c r="P930" s="7" t="s">
        <v>587</v>
      </c>
      <c r="Q930" s="7" t="s">
        <v>72</v>
      </c>
      <c r="R930" s="7" t="s">
        <v>19677</v>
      </c>
      <c r="S930" s="7" t="s">
        <v>20071</v>
      </c>
      <c r="T930" s="7" t="s">
        <v>8240</v>
      </c>
      <c r="U930" s="7" t="s">
        <v>3843</v>
      </c>
      <c r="V930" s="7">
        <v>1.0</v>
      </c>
    </row>
    <row r="931">
      <c r="A931" s="7" t="s">
        <v>20798</v>
      </c>
      <c r="B931" s="7">
        <v>12815.0</v>
      </c>
      <c r="C931" s="7" t="s">
        <v>9648</v>
      </c>
      <c r="D931" s="7" t="s">
        <v>7547</v>
      </c>
      <c r="E931" s="7" t="s">
        <v>9649</v>
      </c>
      <c r="F931" s="7" t="s">
        <v>3889</v>
      </c>
      <c r="G931" s="7" t="s">
        <v>9650</v>
      </c>
      <c r="H931" s="7" t="s">
        <v>9651</v>
      </c>
      <c r="I931" s="119">
        <v>45292.0</v>
      </c>
      <c r="K931" s="7" t="s">
        <v>419</v>
      </c>
      <c r="L931" s="7" t="s">
        <v>991</v>
      </c>
      <c r="M931" s="7" t="s">
        <v>3501</v>
      </c>
      <c r="N931" s="7" t="s">
        <v>419</v>
      </c>
      <c r="O931" s="7" t="s">
        <v>19430</v>
      </c>
      <c r="P931" s="7" t="s">
        <v>717</v>
      </c>
      <c r="Q931" s="7" t="s">
        <v>223</v>
      </c>
      <c r="R931" s="7" t="s">
        <v>20799</v>
      </c>
      <c r="T931" s="7" t="s">
        <v>20800</v>
      </c>
      <c r="U931" s="7" t="s">
        <v>3604</v>
      </c>
      <c r="V931" s="7">
        <v>1.0</v>
      </c>
    </row>
    <row r="932">
      <c r="A932" s="7" t="s">
        <v>20801</v>
      </c>
      <c r="B932" s="7">
        <v>10999.0</v>
      </c>
      <c r="C932" s="7" t="s">
        <v>9655</v>
      </c>
      <c r="D932" s="7" t="s">
        <v>9656</v>
      </c>
      <c r="E932" s="7" t="s">
        <v>9657</v>
      </c>
      <c r="F932" s="7" t="s">
        <v>9658</v>
      </c>
      <c r="G932" s="7" t="s">
        <v>9659</v>
      </c>
      <c r="H932" s="7" t="s">
        <v>9660</v>
      </c>
      <c r="I932" s="119">
        <v>45292.0</v>
      </c>
      <c r="K932" s="7" t="s">
        <v>419</v>
      </c>
      <c r="L932" s="7" t="s">
        <v>991</v>
      </c>
      <c r="M932" s="7" t="s">
        <v>3501</v>
      </c>
      <c r="N932" s="7" t="s">
        <v>419</v>
      </c>
      <c r="O932" s="7" t="s">
        <v>19430</v>
      </c>
      <c r="P932" s="7" t="s">
        <v>717</v>
      </c>
      <c r="Q932" s="7" t="s">
        <v>730</v>
      </c>
      <c r="R932" s="7" t="s">
        <v>20097</v>
      </c>
      <c r="T932" s="7" t="s">
        <v>20802</v>
      </c>
      <c r="U932" s="7" t="s">
        <v>3604</v>
      </c>
      <c r="V932" s="7">
        <v>1.0</v>
      </c>
    </row>
    <row r="933">
      <c r="A933" s="7" t="s">
        <v>20803</v>
      </c>
      <c r="B933" s="7">
        <v>2100565.0</v>
      </c>
      <c r="C933" s="7" t="s">
        <v>9664</v>
      </c>
      <c r="D933" s="7" t="s">
        <v>9665</v>
      </c>
      <c r="E933" s="7" t="s">
        <v>9657</v>
      </c>
      <c r="F933" s="7" t="s">
        <v>4641</v>
      </c>
      <c r="G933" s="7" t="s">
        <v>9666</v>
      </c>
      <c r="H933" s="7" t="s">
        <v>9667</v>
      </c>
      <c r="I933" s="119">
        <v>45292.0</v>
      </c>
      <c r="K933" s="7" t="s">
        <v>419</v>
      </c>
      <c r="L933" s="7" t="s">
        <v>991</v>
      </c>
      <c r="M933" s="7" t="s">
        <v>3501</v>
      </c>
      <c r="N933" s="7" t="s">
        <v>419</v>
      </c>
      <c r="O933" s="7" t="s">
        <v>19430</v>
      </c>
      <c r="P933" s="7" t="s">
        <v>717</v>
      </c>
      <c r="Q933" s="7" t="s">
        <v>1163</v>
      </c>
      <c r="R933" s="7" t="s">
        <v>20110</v>
      </c>
      <c r="S933" s="7" t="s">
        <v>20213</v>
      </c>
      <c r="T933" s="7" t="s">
        <v>6580</v>
      </c>
      <c r="U933" s="7" t="s">
        <v>3493</v>
      </c>
      <c r="V933" s="7">
        <v>1.0</v>
      </c>
    </row>
    <row r="934">
      <c r="A934" s="7" t="s">
        <v>20804</v>
      </c>
      <c r="B934" s="7">
        <v>12334.0</v>
      </c>
      <c r="C934" s="7" t="s">
        <v>9669</v>
      </c>
      <c r="D934" s="7" t="s">
        <v>9670</v>
      </c>
      <c r="E934" s="7" t="s">
        <v>9671</v>
      </c>
      <c r="F934" s="7" t="s">
        <v>9672</v>
      </c>
      <c r="G934" s="7" t="s">
        <v>9673</v>
      </c>
      <c r="H934" s="7" t="s">
        <v>9674</v>
      </c>
      <c r="I934" s="119">
        <v>45292.0</v>
      </c>
      <c r="K934" s="7" t="s">
        <v>419</v>
      </c>
      <c r="L934" s="7" t="s">
        <v>991</v>
      </c>
      <c r="M934" s="7" t="s">
        <v>3501</v>
      </c>
      <c r="N934" s="7" t="s">
        <v>419</v>
      </c>
      <c r="O934" s="7" t="s">
        <v>19432</v>
      </c>
      <c r="P934" s="7" t="s">
        <v>298</v>
      </c>
      <c r="Q934" s="7" t="s">
        <v>1284</v>
      </c>
      <c r="R934" s="7" t="s">
        <v>20033</v>
      </c>
      <c r="S934" s="7" t="s">
        <v>20456</v>
      </c>
      <c r="T934" s="7" t="s">
        <v>7884</v>
      </c>
      <c r="U934" s="7" t="s">
        <v>3493</v>
      </c>
      <c r="V934" s="7">
        <v>1.0</v>
      </c>
    </row>
    <row r="935">
      <c r="A935" s="7" t="s">
        <v>20805</v>
      </c>
      <c r="B935" s="7">
        <v>2300487.0</v>
      </c>
      <c r="C935" s="7" t="s">
        <v>9677</v>
      </c>
      <c r="D935" s="7" t="s">
        <v>9678</v>
      </c>
      <c r="E935" s="7" t="s">
        <v>9679</v>
      </c>
      <c r="F935" s="7" t="s">
        <v>9680</v>
      </c>
      <c r="G935" s="7" t="s">
        <v>9681</v>
      </c>
      <c r="I935" s="119">
        <v>45292.0</v>
      </c>
      <c r="K935" s="7" t="s">
        <v>419</v>
      </c>
      <c r="L935" s="7" t="s">
        <v>991</v>
      </c>
      <c r="M935" s="7" t="s">
        <v>3531</v>
      </c>
      <c r="N935" s="7" t="s">
        <v>419</v>
      </c>
      <c r="O935" s="7" t="s">
        <v>19433</v>
      </c>
      <c r="P935" s="7" t="s">
        <v>587</v>
      </c>
      <c r="Q935" s="7" t="s">
        <v>74</v>
      </c>
      <c r="R935" s="7" t="s">
        <v>19911</v>
      </c>
      <c r="T935" s="7" t="s">
        <v>5198</v>
      </c>
      <c r="U935" s="7" t="s">
        <v>3493</v>
      </c>
      <c r="V935" s="7">
        <v>1.0</v>
      </c>
    </row>
    <row r="936">
      <c r="A936" s="7" t="s">
        <v>20806</v>
      </c>
      <c r="B936" s="7">
        <v>2100099.0</v>
      </c>
      <c r="C936" s="7" t="s">
        <v>9677</v>
      </c>
      <c r="D936" s="7" t="s">
        <v>9683</v>
      </c>
      <c r="E936" s="7" t="s">
        <v>9679</v>
      </c>
      <c r="F936" s="7" t="s">
        <v>3486</v>
      </c>
      <c r="G936" s="7" t="s">
        <v>9684</v>
      </c>
      <c r="H936" s="7" t="s">
        <v>9685</v>
      </c>
      <c r="I936" s="119">
        <v>45323.0</v>
      </c>
      <c r="K936" s="7" t="s">
        <v>3541</v>
      </c>
      <c r="L936" s="7" t="s">
        <v>3542</v>
      </c>
      <c r="M936" s="7" t="s">
        <v>4383</v>
      </c>
      <c r="N936" s="7" t="s">
        <v>419</v>
      </c>
      <c r="O936" s="7" t="s">
        <v>19437</v>
      </c>
      <c r="P936" s="7" t="s">
        <v>478</v>
      </c>
      <c r="Q936" s="7" t="s">
        <v>958</v>
      </c>
      <c r="R936" s="7" t="s">
        <v>19708</v>
      </c>
      <c r="T936" s="7" t="s">
        <v>20807</v>
      </c>
      <c r="U936" s="7" t="s">
        <v>3493</v>
      </c>
      <c r="V936" s="7">
        <v>1.0</v>
      </c>
    </row>
    <row r="937">
      <c r="A937" s="7" t="s">
        <v>20808</v>
      </c>
      <c r="B937" s="7">
        <v>14180.0</v>
      </c>
      <c r="C937" s="7" t="s">
        <v>9689</v>
      </c>
      <c r="D937" s="7" t="s">
        <v>9690</v>
      </c>
      <c r="E937" s="7" t="s">
        <v>9691</v>
      </c>
      <c r="F937" s="7" t="s">
        <v>8119</v>
      </c>
      <c r="G937" s="7" t="s">
        <v>9692</v>
      </c>
      <c r="H937" s="7" t="s">
        <v>9693</v>
      </c>
      <c r="I937" s="119">
        <v>45292.0</v>
      </c>
      <c r="K937" s="7" t="s">
        <v>419</v>
      </c>
      <c r="L937" s="7" t="s">
        <v>991</v>
      </c>
      <c r="M937" s="7" t="s">
        <v>3531</v>
      </c>
      <c r="N937" s="7" t="s">
        <v>419</v>
      </c>
      <c r="O937" s="7" t="s">
        <v>19430</v>
      </c>
      <c r="P937" s="7" t="s">
        <v>717</v>
      </c>
      <c r="Q937" s="7" t="s">
        <v>738</v>
      </c>
      <c r="R937" s="7" t="s">
        <v>20012</v>
      </c>
      <c r="S937" s="7" t="s">
        <v>20068</v>
      </c>
      <c r="T937" s="7" t="s">
        <v>5889</v>
      </c>
      <c r="U937" s="7" t="s">
        <v>3493</v>
      </c>
      <c r="V937" s="7">
        <v>1.0</v>
      </c>
    </row>
    <row r="938">
      <c r="A938" s="7" t="s">
        <v>20809</v>
      </c>
      <c r="B938" s="7">
        <v>2200134.0</v>
      </c>
      <c r="C938" s="7" t="s">
        <v>9689</v>
      </c>
      <c r="D938" s="7" t="s">
        <v>6182</v>
      </c>
      <c r="E938" s="7" t="s">
        <v>9691</v>
      </c>
      <c r="F938" s="7" t="s">
        <v>6184</v>
      </c>
      <c r="G938" s="7" t="s">
        <v>9695</v>
      </c>
      <c r="H938" s="7" t="s">
        <v>9696</v>
      </c>
      <c r="I938" s="119">
        <v>45292.0</v>
      </c>
      <c r="K938" s="7" t="s">
        <v>419</v>
      </c>
      <c r="L938" s="7" t="s">
        <v>991</v>
      </c>
      <c r="M938" s="7" t="s">
        <v>3501</v>
      </c>
      <c r="N938" s="7" t="s">
        <v>419</v>
      </c>
      <c r="O938" s="7" t="s">
        <v>19433</v>
      </c>
      <c r="P938" s="7" t="s">
        <v>587</v>
      </c>
      <c r="Q938" s="7" t="s">
        <v>72</v>
      </c>
      <c r="R938" s="7" t="s">
        <v>19566</v>
      </c>
      <c r="T938" s="7" t="s">
        <v>5672</v>
      </c>
      <c r="U938" s="7" t="s">
        <v>3493</v>
      </c>
      <c r="V938" s="7">
        <v>1.0</v>
      </c>
    </row>
    <row r="939">
      <c r="A939" s="7" t="s">
        <v>20810</v>
      </c>
      <c r="B939" s="7">
        <v>10438.0</v>
      </c>
      <c r="C939" s="7" t="s">
        <v>9699</v>
      </c>
      <c r="D939" s="7" t="s">
        <v>5032</v>
      </c>
      <c r="E939" s="7" t="s">
        <v>9700</v>
      </c>
      <c r="F939" s="7" t="s">
        <v>5034</v>
      </c>
      <c r="G939" s="7" t="s">
        <v>9701</v>
      </c>
      <c r="H939" s="7" t="s">
        <v>9702</v>
      </c>
      <c r="I939" s="119">
        <v>45292.0</v>
      </c>
      <c r="J939" s="7" t="s">
        <v>3929</v>
      </c>
      <c r="K939" s="7" t="s">
        <v>419</v>
      </c>
      <c r="L939" s="7" t="s">
        <v>991</v>
      </c>
      <c r="M939" s="7" t="s">
        <v>3501</v>
      </c>
      <c r="N939" s="7" t="s">
        <v>419</v>
      </c>
      <c r="O939" s="7" t="s">
        <v>19432</v>
      </c>
      <c r="P939" s="7" t="s">
        <v>693</v>
      </c>
      <c r="Q939" s="7" t="s">
        <v>696</v>
      </c>
      <c r="R939" s="7" t="s">
        <v>19813</v>
      </c>
      <c r="S939" s="7" t="s">
        <v>19739</v>
      </c>
      <c r="T939" s="7" t="s">
        <v>4728</v>
      </c>
      <c r="U939" s="7" t="s">
        <v>3493</v>
      </c>
      <c r="V939" s="7">
        <v>1.0</v>
      </c>
    </row>
    <row r="940">
      <c r="A940" s="7" t="s">
        <v>20811</v>
      </c>
      <c r="B940" s="7">
        <v>13658.0</v>
      </c>
      <c r="C940" s="7" t="s">
        <v>9704</v>
      </c>
      <c r="D940" s="7" t="s">
        <v>3607</v>
      </c>
      <c r="E940" s="7" t="s">
        <v>9700</v>
      </c>
      <c r="F940" s="7" t="s">
        <v>3609</v>
      </c>
      <c r="G940" s="7" t="s">
        <v>9705</v>
      </c>
      <c r="H940" s="7" t="s">
        <v>9706</v>
      </c>
      <c r="I940" s="119">
        <v>45292.0</v>
      </c>
      <c r="K940" s="7" t="s">
        <v>3632</v>
      </c>
      <c r="L940" s="7" t="s">
        <v>991</v>
      </c>
      <c r="M940" s="7" t="s">
        <v>3501</v>
      </c>
      <c r="N940" s="7" t="s">
        <v>3632</v>
      </c>
      <c r="O940" s="7" t="s">
        <v>3632</v>
      </c>
      <c r="P940" s="7" t="s">
        <v>625</v>
      </c>
      <c r="Q940" s="7" t="s">
        <v>124</v>
      </c>
      <c r="R940" s="7" t="s">
        <v>19646</v>
      </c>
      <c r="T940" s="7" t="s">
        <v>11150</v>
      </c>
      <c r="U940" s="7" t="s">
        <v>3493</v>
      </c>
      <c r="V940" s="7">
        <v>1.0</v>
      </c>
    </row>
    <row r="941">
      <c r="A941" s="7" t="s">
        <v>20812</v>
      </c>
      <c r="B941" s="7">
        <v>10018.0</v>
      </c>
      <c r="C941" s="7" t="s">
        <v>9708</v>
      </c>
      <c r="D941" s="7" t="s">
        <v>6121</v>
      </c>
      <c r="E941" s="7" t="s">
        <v>9709</v>
      </c>
      <c r="F941" s="7" t="s">
        <v>5595</v>
      </c>
      <c r="G941" s="7" t="s">
        <v>9710</v>
      </c>
      <c r="H941" s="7" t="s">
        <v>9711</v>
      </c>
      <c r="I941" s="119">
        <v>45292.0</v>
      </c>
      <c r="K941" s="7" t="s">
        <v>419</v>
      </c>
      <c r="L941" s="7" t="s">
        <v>991</v>
      </c>
      <c r="M941" s="7" t="s">
        <v>3501</v>
      </c>
      <c r="N941" s="7" t="s">
        <v>419</v>
      </c>
      <c r="O941" s="7" t="s">
        <v>19432</v>
      </c>
      <c r="P941" s="7" t="s">
        <v>693</v>
      </c>
      <c r="Q941" s="7" t="s">
        <v>696</v>
      </c>
      <c r="R941" s="7" t="s">
        <v>19813</v>
      </c>
      <c r="S941" s="7" t="s">
        <v>19739</v>
      </c>
      <c r="T941" s="7" t="s">
        <v>4728</v>
      </c>
      <c r="U941" s="7" t="s">
        <v>3843</v>
      </c>
      <c r="V941" s="7">
        <v>1.0</v>
      </c>
    </row>
    <row r="942">
      <c r="A942" s="7" t="s">
        <v>20813</v>
      </c>
      <c r="B942" s="7">
        <v>11696.0</v>
      </c>
      <c r="C942" s="7" t="s">
        <v>9713</v>
      </c>
      <c r="D942" s="7" t="s">
        <v>9714</v>
      </c>
      <c r="E942" s="7" t="s">
        <v>9715</v>
      </c>
      <c r="F942" s="7" t="s">
        <v>4700</v>
      </c>
      <c r="G942" s="7" t="s">
        <v>9716</v>
      </c>
      <c r="H942" s="7" t="s">
        <v>9717</v>
      </c>
      <c r="I942" s="119">
        <v>45292.0</v>
      </c>
      <c r="K942" s="7" t="s">
        <v>419</v>
      </c>
      <c r="L942" s="7" t="s">
        <v>991</v>
      </c>
      <c r="M942" s="7" t="s">
        <v>3501</v>
      </c>
      <c r="N942" s="7" t="s">
        <v>419</v>
      </c>
      <c r="O942" s="7" t="s">
        <v>19430</v>
      </c>
      <c r="P942" s="7" t="s">
        <v>780</v>
      </c>
      <c r="Q942" s="7" t="s">
        <v>786</v>
      </c>
      <c r="R942" s="7" t="s">
        <v>20558</v>
      </c>
      <c r="T942" s="7" t="s">
        <v>16162</v>
      </c>
      <c r="U942" s="7" t="s">
        <v>3493</v>
      </c>
      <c r="V942" s="7">
        <v>1.0</v>
      </c>
    </row>
    <row r="943">
      <c r="A943" s="7" t="s">
        <v>20814</v>
      </c>
      <c r="B943" s="7">
        <v>2200234.0</v>
      </c>
      <c r="C943" s="7" t="s">
        <v>9713</v>
      </c>
      <c r="D943" s="7" t="s">
        <v>5153</v>
      </c>
      <c r="E943" s="7" t="s">
        <v>9715</v>
      </c>
      <c r="F943" s="7" t="s">
        <v>5155</v>
      </c>
      <c r="G943" s="7" t="s">
        <v>9719</v>
      </c>
      <c r="H943" s="7" t="s">
        <v>9720</v>
      </c>
      <c r="I943" s="119">
        <v>45292.0</v>
      </c>
      <c r="K943" s="7" t="s">
        <v>419</v>
      </c>
      <c r="L943" s="7" t="s">
        <v>991</v>
      </c>
      <c r="M943" s="7" t="s">
        <v>3490</v>
      </c>
      <c r="N943" s="7" t="s">
        <v>419</v>
      </c>
      <c r="O943" s="7" t="s">
        <v>19430</v>
      </c>
      <c r="P943" s="7" t="s">
        <v>717</v>
      </c>
      <c r="Q943" s="7" t="s">
        <v>720</v>
      </c>
      <c r="R943" s="7" t="s">
        <v>19658</v>
      </c>
      <c r="S943" s="7" t="s">
        <v>19659</v>
      </c>
      <c r="T943" s="7" t="s">
        <v>4148</v>
      </c>
      <c r="U943" s="7" t="s">
        <v>3493</v>
      </c>
      <c r="V943" s="7">
        <v>1.0</v>
      </c>
    </row>
    <row r="944">
      <c r="A944" s="7" t="s">
        <v>20815</v>
      </c>
      <c r="B944" s="7">
        <v>2200653.0</v>
      </c>
      <c r="C944" s="7" t="s">
        <v>9722</v>
      </c>
      <c r="D944" s="7" t="s">
        <v>9723</v>
      </c>
      <c r="E944" s="7" t="s">
        <v>5838</v>
      </c>
      <c r="F944" s="7" t="s">
        <v>9724</v>
      </c>
      <c r="G944" s="7" t="s">
        <v>9725</v>
      </c>
      <c r="H944" s="7" t="s">
        <v>9726</v>
      </c>
      <c r="I944" s="119">
        <v>45292.0</v>
      </c>
      <c r="K944" s="7" t="s">
        <v>419</v>
      </c>
      <c r="L944" s="7" t="s">
        <v>991</v>
      </c>
      <c r="M944" s="7" t="s">
        <v>3501</v>
      </c>
      <c r="N944" s="7" t="s">
        <v>419</v>
      </c>
      <c r="O944" s="7" t="s">
        <v>19433</v>
      </c>
      <c r="P944" s="7" t="s">
        <v>587</v>
      </c>
      <c r="Q944" s="7" t="s">
        <v>74</v>
      </c>
      <c r="R944" s="7" t="s">
        <v>20816</v>
      </c>
      <c r="T944" s="7" t="s">
        <v>9728</v>
      </c>
      <c r="U944" s="7" t="s">
        <v>3493</v>
      </c>
      <c r="V944" s="7">
        <v>1.0</v>
      </c>
    </row>
    <row r="945">
      <c r="A945" s="7" t="s">
        <v>20817</v>
      </c>
      <c r="B945" s="7">
        <v>13656.0</v>
      </c>
      <c r="C945" s="7" t="s">
        <v>9730</v>
      </c>
      <c r="D945" s="7" t="s">
        <v>4699</v>
      </c>
      <c r="E945" s="7" t="s">
        <v>9731</v>
      </c>
      <c r="F945" s="7" t="s">
        <v>4700</v>
      </c>
      <c r="G945" s="7" t="s">
        <v>9732</v>
      </c>
      <c r="H945" s="7" t="s">
        <v>9733</v>
      </c>
      <c r="I945" s="119">
        <v>45292.0</v>
      </c>
      <c r="K945" s="7" t="s">
        <v>3632</v>
      </c>
      <c r="L945" s="7" t="s">
        <v>991</v>
      </c>
      <c r="M945" s="7" t="s">
        <v>3501</v>
      </c>
      <c r="N945" s="7" t="s">
        <v>3632</v>
      </c>
      <c r="O945" s="7" t="s">
        <v>3632</v>
      </c>
      <c r="P945" s="7" t="s">
        <v>19462</v>
      </c>
      <c r="Q945" s="7" t="s">
        <v>19463</v>
      </c>
      <c r="R945" s="7" t="s">
        <v>19883</v>
      </c>
      <c r="T945" s="7" t="s">
        <v>15149</v>
      </c>
      <c r="U945" s="7" t="s">
        <v>3493</v>
      </c>
      <c r="V945" s="7">
        <v>1.0</v>
      </c>
    </row>
    <row r="946">
      <c r="A946" s="7" t="s">
        <v>2144</v>
      </c>
      <c r="B946" s="7">
        <v>10380.0</v>
      </c>
      <c r="C946" s="7" t="s">
        <v>9735</v>
      </c>
      <c r="D946" s="7" t="s">
        <v>5187</v>
      </c>
      <c r="E946" s="7" t="s">
        <v>9736</v>
      </c>
      <c r="F946" s="7" t="s">
        <v>4511</v>
      </c>
      <c r="G946" s="7" t="s">
        <v>9737</v>
      </c>
      <c r="H946" s="7" t="s">
        <v>9738</v>
      </c>
      <c r="I946" s="119">
        <v>45292.0</v>
      </c>
      <c r="K946" s="7" t="s">
        <v>419</v>
      </c>
      <c r="L946" s="7" t="s">
        <v>991</v>
      </c>
      <c r="M946" s="7" t="s">
        <v>3501</v>
      </c>
      <c r="N946" s="7" t="s">
        <v>419</v>
      </c>
      <c r="O946" s="7" t="s">
        <v>19432</v>
      </c>
      <c r="P946" s="7" t="s">
        <v>298</v>
      </c>
      <c r="Q946" s="7" t="s">
        <v>802</v>
      </c>
      <c r="T946" s="7" t="s">
        <v>19451</v>
      </c>
      <c r="U946" s="7" t="s">
        <v>6078</v>
      </c>
      <c r="V946" s="7">
        <v>1.0</v>
      </c>
    </row>
    <row r="947">
      <c r="A947" s="7" t="s">
        <v>20818</v>
      </c>
      <c r="B947" s="7">
        <v>2100116.0</v>
      </c>
      <c r="C947" s="7" t="s">
        <v>9735</v>
      </c>
      <c r="D947" s="7" t="s">
        <v>3780</v>
      </c>
      <c r="E947" s="7" t="s">
        <v>9736</v>
      </c>
      <c r="F947" s="7" t="s">
        <v>3781</v>
      </c>
      <c r="G947" s="7" t="s">
        <v>9742</v>
      </c>
      <c r="H947" s="7" t="s">
        <v>9743</v>
      </c>
      <c r="I947" s="119">
        <v>45292.0</v>
      </c>
      <c r="K947" s="7" t="s">
        <v>419</v>
      </c>
      <c r="L947" s="7" t="s">
        <v>991</v>
      </c>
      <c r="M947" s="7" t="s">
        <v>3501</v>
      </c>
      <c r="N947" s="7" t="s">
        <v>419</v>
      </c>
      <c r="O947" s="7" t="s">
        <v>19432</v>
      </c>
      <c r="P947" s="7" t="s">
        <v>391</v>
      </c>
      <c r="Q947" s="7" t="s">
        <v>399</v>
      </c>
      <c r="R947" s="7" t="s">
        <v>20194</v>
      </c>
      <c r="T947" s="7" t="s">
        <v>6534</v>
      </c>
      <c r="U947" s="7" t="s">
        <v>3493</v>
      </c>
      <c r="V947" s="7">
        <v>1.0</v>
      </c>
    </row>
    <row r="948">
      <c r="A948" s="7" t="s">
        <v>20819</v>
      </c>
      <c r="B948" s="7">
        <v>2200120.0</v>
      </c>
      <c r="C948" s="7" t="s">
        <v>9735</v>
      </c>
      <c r="D948" s="7" t="s">
        <v>9745</v>
      </c>
      <c r="E948" s="7" t="s">
        <v>9736</v>
      </c>
      <c r="F948" s="7" t="s">
        <v>3665</v>
      </c>
      <c r="G948" s="7" t="s">
        <v>9746</v>
      </c>
      <c r="H948" s="7" t="s">
        <v>9747</v>
      </c>
      <c r="I948" s="119">
        <v>45292.0</v>
      </c>
      <c r="K948" s="7" t="s">
        <v>419</v>
      </c>
      <c r="L948" s="7" t="s">
        <v>991</v>
      </c>
      <c r="M948" s="7" t="s">
        <v>3501</v>
      </c>
      <c r="N948" s="7" t="s">
        <v>419</v>
      </c>
      <c r="O948" s="7" t="s">
        <v>19443</v>
      </c>
      <c r="P948" s="7" t="s">
        <v>323</v>
      </c>
      <c r="Q948" s="7" t="s">
        <v>824</v>
      </c>
      <c r="R948" s="7" t="s">
        <v>20541</v>
      </c>
      <c r="T948" s="7" t="s">
        <v>20542</v>
      </c>
      <c r="U948" s="7" t="s">
        <v>3493</v>
      </c>
      <c r="V948" s="7">
        <v>1.0</v>
      </c>
    </row>
    <row r="949">
      <c r="A949" s="7" t="s">
        <v>20820</v>
      </c>
      <c r="B949" s="7">
        <v>12004.0</v>
      </c>
      <c r="C949" s="7" t="s">
        <v>9749</v>
      </c>
      <c r="D949" s="7" t="s">
        <v>3516</v>
      </c>
      <c r="E949" s="7" t="s">
        <v>9736</v>
      </c>
      <c r="F949" s="7" t="s">
        <v>3517</v>
      </c>
      <c r="G949" s="7" t="s">
        <v>9750</v>
      </c>
      <c r="H949" s="7" t="s">
        <v>9751</v>
      </c>
      <c r="I949" s="119">
        <v>45292.0</v>
      </c>
      <c r="K949" s="7" t="s">
        <v>419</v>
      </c>
      <c r="L949" s="7" t="s">
        <v>991</v>
      </c>
      <c r="M949" s="7" t="s">
        <v>3501</v>
      </c>
      <c r="N949" s="7" t="s">
        <v>419</v>
      </c>
      <c r="O949" s="7" t="s">
        <v>19430</v>
      </c>
      <c r="P949" s="7" t="s">
        <v>717</v>
      </c>
      <c r="Q949" s="7" t="s">
        <v>223</v>
      </c>
      <c r="R949" s="7" t="s">
        <v>20821</v>
      </c>
      <c r="T949" s="7" t="s">
        <v>9753</v>
      </c>
      <c r="U949" s="7" t="s">
        <v>3493</v>
      </c>
      <c r="V949" s="7">
        <v>1.0</v>
      </c>
    </row>
    <row r="950">
      <c r="A950" s="7" t="s">
        <v>20822</v>
      </c>
      <c r="B950" s="7">
        <v>10838.0</v>
      </c>
      <c r="C950" s="7" t="s">
        <v>9755</v>
      </c>
      <c r="D950" s="7" t="s">
        <v>7892</v>
      </c>
      <c r="E950" s="7" t="s">
        <v>5872</v>
      </c>
      <c r="F950" s="7" t="s">
        <v>7892</v>
      </c>
      <c r="G950" s="7" t="s">
        <v>9756</v>
      </c>
      <c r="H950" s="7" t="s">
        <v>9757</v>
      </c>
      <c r="I950" s="119">
        <v>45292.0</v>
      </c>
      <c r="K950" s="7" t="s">
        <v>419</v>
      </c>
      <c r="L950" s="7" t="s">
        <v>991</v>
      </c>
      <c r="M950" s="7" t="s">
        <v>3501</v>
      </c>
      <c r="N950" s="7" t="s">
        <v>419</v>
      </c>
      <c r="O950" s="7" t="s">
        <v>19440</v>
      </c>
      <c r="P950" s="7" t="s">
        <v>3</v>
      </c>
      <c r="Q950" s="7" t="s">
        <v>9</v>
      </c>
      <c r="R950" s="7" t="s">
        <v>19871</v>
      </c>
      <c r="S950" s="7" t="s">
        <v>19872</v>
      </c>
      <c r="T950" s="7" t="s">
        <v>4988</v>
      </c>
      <c r="U950" s="7" t="s">
        <v>3493</v>
      </c>
      <c r="V950" s="7">
        <v>1.0</v>
      </c>
    </row>
    <row r="951">
      <c r="A951" s="7" t="s">
        <v>20823</v>
      </c>
      <c r="B951" s="7">
        <v>11516.0</v>
      </c>
      <c r="C951" s="7" t="s">
        <v>9762</v>
      </c>
      <c r="D951" s="7" t="s">
        <v>9763</v>
      </c>
      <c r="E951" s="7" t="s">
        <v>9764</v>
      </c>
      <c r="F951" s="7" t="s">
        <v>4632</v>
      </c>
      <c r="G951" s="7" t="s">
        <v>9765</v>
      </c>
      <c r="H951" s="7" t="s">
        <v>9766</v>
      </c>
      <c r="I951" s="119">
        <v>45292.0</v>
      </c>
      <c r="K951" s="7" t="s">
        <v>6654</v>
      </c>
      <c r="L951" s="7" t="s">
        <v>6655</v>
      </c>
      <c r="M951" s="7" t="s">
        <v>6656</v>
      </c>
      <c r="N951" s="7" t="s">
        <v>419</v>
      </c>
      <c r="O951" s="7" t="s">
        <v>19433</v>
      </c>
      <c r="P951" s="7" t="s">
        <v>648</v>
      </c>
      <c r="Q951" s="7" t="s">
        <v>141</v>
      </c>
      <c r="R951" s="7" t="s">
        <v>19696</v>
      </c>
      <c r="T951" s="7" t="s">
        <v>4291</v>
      </c>
      <c r="U951" s="7" t="s">
        <v>3493</v>
      </c>
      <c r="V951" s="7">
        <v>1.0</v>
      </c>
    </row>
    <row r="952">
      <c r="A952" s="7" t="s">
        <v>20824</v>
      </c>
      <c r="B952" s="7">
        <v>14284.0</v>
      </c>
      <c r="C952" s="7" t="s">
        <v>9769</v>
      </c>
      <c r="D952" s="7" t="s">
        <v>9770</v>
      </c>
      <c r="E952" s="7" t="s">
        <v>9771</v>
      </c>
      <c r="F952" s="7" t="s">
        <v>9772</v>
      </c>
      <c r="G952" s="7" t="s">
        <v>9773</v>
      </c>
      <c r="H952" s="7" t="s">
        <v>9774</v>
      </c>
      <c r="I952" s="119">
        <v>45292.0</v>
      </c>
      <c r="K952" s="7" t="s">
        <v>3632</v>
      </c>
      <c r="L952" s="7" t="s">
        <v>991</v>
      </c>
      <c r="M952" s="7" t="s">
        <v>3531</v>
      </c>
      <c r="N952" s="7" t="s">
        <v>3632</v>
      </c>
      <c r="O952" s="7" t="s">
        <v>3632</v>
      </c>
      <c r="P952" s="7" t="s">
        <v>22</v>
      </c>
      <c r="Q952" s="7" t="s">
        <v>549</v>
      </c>
      <c r="R952" s="7" t="s">
        <v>20080</v>
      </c>
      <c r="T952" s="7" t="s">
        <v>9775</v>
      </c>
      <c r="U952" s="7" t="s">
        <v>3493</v>
      </c>
      <c r="V952" s="7">
        <v>1.0</v>
      </c>
    </row>
    <row r="953">
      <c r="A953" s="7" t="s">
        <v>20825</v>
      </c>
      <c r="B953" s="7">
        <v>2200250.0</v>
      </c>
      <c r="C953" s="7" t="s">
        <v>9777</v>
      </c>
      <c r="D953" s="7" t="s">
        <v>9778</v>
      </c>
      <c r="E953" s="7" t="s">
        <v>9779</v>
      </c>
      <c r="F953" s="7" t="s">
        <v>4478</v>
      </c>
      <c r="G953" s="7" t="s">
        <v>9780</v>
      </c>
      <c r="H953" s="7" t="s">
        <v>9781</v>
      </c>
      <c r="I953" s="119">
        <v>45292.0</v>
      </c>
      <c r="K953" s="7" t="s">
        <v>3632</v>
      </c>
      <c r="L953" s="7" t="s">
        <v>991</v>
      </c>
      <c r="M953" s="7" t="s">
        <v>3501</v>
      </c>
      <c r="N953" s="7" t="s">
        <v>3632</v>
      </c>
      <c r="O953" s="7" t="s">
        <v>3632</v>
      </c>
      <c r="P953" s="7" t="s">
        <v>3463</v>
      </c>
      <c r="Q953" s="7" t="s">
        <v>356</v>
      </c>
      <c r="R953" s="7" t="s">
        <v>19759</v>
      </c>
      <c r="T953" s="7" t="s">
        <v>18604</v>
      </c>
      <c r="U953" s="7" t="s">
        <v>3493</v>
      </c>
      <c r="V953" s="7">
        <v>1.0</v>
      </c>
    </row>
    <row r="954">
      <c r="A954" s="7" t="s">
        <v>20826</v>
      </c>
      <c r="B954" s="7">
        <v>12591.0</v>
      </c>
      <c r="C954" s="7" t="s">
        <v>9777</v>
      </c>
      <c r="D954" s="7" t="s">
        <v>9784</v>
      </c>
      <c r="E954" s="7" t="s">
        <v>9779</v>
      </c>
      <c r="F954" s="7" t="s">
        <v>9785</v>
      </c>
      <c r="G954" s="7" t="s">
        <v>9786</v>
      </c>
      <c r="H954" s="7" t="s">
        <v>9787</v>
      </c>
      <c r="I954" s="119">
        <v>45292.0</v>
      </c>
      <c r="K954" s="7" t="s">
        <v>419</v>
      </c>
      <c r="L954" s="7" t="s">
        <v>991</v>
      </c>
      <c r="M954" s="7" t="s">
        <v>3531</v>
      </c>
      <c r="N954" s="7" t="s">
        <v>419</v>
      </c>
      <c r="O954" s="7" t="s">
        <v>19430</v>
      </c>
      <c r="P954" s="7" t="s">
        <v>717</v>
      </c>
      <c r="Q954" s="7" t="s">
        <v>730</v>
      </c>
      <c r="R954" s="7" t="s">
        <v>19979</v>
      </c>
      <c r="S954" s="7" t="s">
        <v>19636</v>
      </c>
      <c r="T954" s="7" t="s">
        <v>8584</v>
      </c>
      <c r="U954" s="7" t="s">
        <v>3493</v>
      </c>
      <c r="V954" s="7">
        <v>1.0</v>
      </c>
    </row>
    <row r="955">
      <c r="A955" s="7" t="s">
        <v>20827</v>
      </c>
      <c r="B955" s="7">
        <v>2100017.0</v>
      </c>
      <c r="C955" s="7" t="s">
        <v>9789</v>
      </c>
      <c r="D955" s="7" t="s">
        <v>9790</v>
      </c>
      <c r="E955" s="7" t="s">
        <v>9791</v>
      </c>
      <c r="F955" s="7" t="s">
        <v>9490</v>
      </c>
      <c r="G955" s="7" t="s">
        <v>9792</v>
      </c>
      <c r="H955" s="7" t="s">
        <v>9793</v>
      </c>
      <c r="I955" s="119">
        <v>45292.0</v>
      </c>
      <c r="J955" s="7" t="s">
        <v>3929</v>
      </c>
      <c r="K955" s="7" t="s">
        <v>419</v>
      </c>
      <c r="L955" s="7" t="s">
        <v>991</v>
      </c>
      <c r="M955" s="7" t="s">
        <v>3501</v>
      </c>
      <c r="N955" s="7" t="s">
        <v>419</v>
      </c>
      <c r="O955" s="7" t="s">
        <v>19437</v>
      </c>
      <c r="P955" s="7" t="s">
        <v>478</v>
      </c>
      <c r="Q955" s="7" t="s">
        <v>491</v>
      </c>
      <c r="R955" s="7" t="s">
        <v>20577</v>
      </c>
      <c r="T955" s="7" t="s">
        <v>9794</v>
      </c>
      <c r="U955" s="7" t="s">
        <v>3493</v>
      </c>
      <c r="V955" s="7">
        <v>1.0</v>
      </c>
    </row>
    <row r="956">
      <c r="A956" s="7" t="s">
        <v>20828</v>
      </c>
      <c r="B956" s="7">
        <v>3000103.0</v>
      </c>
      <c r="C956" s="7" t="s">
        <v>9796</v>
      </c>
      <c r="D956" s="7" t="s">
        <v>9797</v>
      </c>
      <c r="E956" s="7" t="s">
        <v>9798</v>
      </c>
      <c r="F956" s="7" t="s">
        <v>9799</v>
      </c>
      <c r="G956" s="7" t="s">
        <v>9800</v>
      </c>
      <c r="H956" s="7" t="s">
        <v>9801</v>
      </c>
      <c r="I956" s="119">
        <v>45474.0</v>
      </c>
      <c r="K956" s="7" t="s">
        <v>419</v>
      </c>
      <c r="L956" s="7" t="s">
        <v>991</v>
      </c>
      <c r="M956" s="7" t="s">
        <v>3490</v>
      </c>
      <c r="N956" s="7" t="s">
        <v>419</v>
      </c>
      <c r="O956" s="7" t="s">
        <v>19437</v>
      </c>
      <c r="P956" s="7" t="s">
        <v>478</v>
      </c>
      <c r="Q956" s="7" t="s">
        <v>491</v>
      </c>
      <c r="R956" s="7" t="s">
        <v>20505</v>
      </c>
      <c r="T956" s="7" t="s">
        <v>20506</v>
      </c>
      <c r="U956" s="7" t="s">
        <v>3493</v>
      </c>
      <c r="V956" s="7">
        <v>1.0</v>
      </c>
    </row>
    <row r="957">
      <c r="A957" s="7" t="s">
        <v>20829</v>
      </c>
      <c r="B957" s="7">
        <v>10554.0</v>
      </c>
      <c r="C957" s="7" t="s">
        <v>9804</v>
      </c>
      <c r="D957" s="7" t="s">
        <v>9805</v>
      </c>
      <c r="E957" s="7" t="s">
        <v>9806</v>
      </c>
      <c r="F957" s="7" t="s">
        <v>4598</v>
      </c>
      <c r="G957" s="7" t="s">
        <v>9807</v>
      </c>
      <c r="H957" s="7" t="s">
        <v>9808</v>
      </c>
      <c r="I957" s="119">
        <v>45292.0</v>
      </c>
      <c r="K957" s="7" t="s">
        <v>419</v>
      </c>
      <c r="L957" s="7" t="s">
        <v>991</v>
      </c>
      <c r="M957" s="7" t="s">
        <v>3501</v>
      </c>
      <c r="N957" s="7" t="s">
        <v>419</v>
      </c>
      <c r="O957" s="7" t="s">
        <v>19430</v>
      </c>
      <c r="P957" s="7" t="s">
        <v>717</v>
      </c>
      <c r="Q957" s="7" t="s">
        <v>722</v>
      </c>
      <c r="R957" s="7" t="s">
        <v>20163</v>
      </c>
      <c r="S957" s="7" t="s">
        <v>20164</v>
      </c>
      <c r="T957" s="7" t="s">
        <v>18531</v>
      </c>
      <c r="U957" s="7" t="s">
        <v>3493</v>
      </c>
      <c r="V957" s="7">
        <v>1.0</v>
      </c>
    </row>
    <row r="958">
      <c r="A958" s="7" t="s">
        <v>20830</v>
      </c>
      <c r="B958" s="7">
        <v>10617.0</v>
      </c>
      <c r="C958" s="7" t="s">
        <v>9810</v>
      </c>
      <c r="D958" s="7" t="s">
        <v>9811</v>
      </c>
      <c r="E958" s="7" t="s">
        <v>9812</v>
      </c>
      <c r="F958" s="7" t="s">
        <v>3831</v>
      </c>
      <c r="G958" s="7" t="s">
        <v>9813</v>
      </c>
      <c r="H958" s="7" t="s">
        <v>9814</v>
      </c>
      <c r="I958" s="119">
        <v>45292.0</v>
      </c>
      <c r="J958" s="7" t="s">
        <v>3929</v>
      </c>
      <c r="K958" s="7" t="s">
        <v>419</v>
      </c>
      <c r="L958" s="7" t="s">
        <v>991</v>
      </c>
      <c r="M958" s="7" t="s">
        <v>3501</v>
      </c>
      <c r="N958" s="7" t="s">
        <v>419</v>
      </c>
      <c r="O958" s="7" t="s">
        <v>19443</v>
      </c>
      <c r="P958" s="7" t="s">
        <v>1242</v>
      </c>
      <c r="Q958" s="7" t="s">
        <v>39</v>
      </c>
      <c r="R958" s="7" t="s">
        <v>19929</v>
      </c>
      <c r="S958" s="7" t="s">
        <v>19971</v>
      </c>
      <c r="T958" s="7" t="s">
        <v>7975</v>
      </c>
      <c r="U958" s="7" t="s">
        <v>3843</v>
      </c>
      <c r="V958" s="7">
        <v>1.0</v>
      </c>
    </row>
    <row r="959">
      <c r="A959" s="7" t="s">
        <v>20831</v>
      </c>
      <c r="B959" s="7">
        <v>2300072.0</v>
      </c>
      <c r="C959" s="7" t="s">
        <v>9816</v>
      </c>
      <c r="D959" s="7" t="s">
        <v>9817</v>
      </c>
      <c r="E959" s="7" t="s">
        <v>9818</v>
      </c>
      <c r="F959" s="7" t="s">
        <v>9819</v>
      </c>
      <c r="G959" s="7" t="s">
        <v>9820</v>
      </c>
      <c r="H959" s="7" t="s">
        <v>9821</v>
      </c>
      <c r="I959" s="119">
        <v>45292.0</v>
      </c>
      <c r="K959" s="7" t="s">
        <v>419</v>
      </c>
      <c r="L959" s="7" t="s">
        <v>991</v>
      </c>
      <c r="M959" s="7" t="s">
        <v>3531</v>
      </c>
      <c r="N959" s="7" t="s">
        <v>419</v>
      </c>
      <c r="O959" s="7" t="s">
        <v>19430</v>
      </c>
      <c r="P959" s="7" t="s">
        <v>717</v>
      </c>
      <c r="Q959" s="7" t="s">
        <v>1163</v>
      </c>
      <c r="R959" s="7" t="s">
        <v>19608</v>
      </c>
      <c r="S959" s="7" t="s">
        <v>20046</v>
      </c>
      <c r="T959" s="7" t="s">
        <v>5796</v>
      </c>
      <c r="U959" s="7" t="s">
        <v>3493</v>
      </c>
      <c r="V959" s="7">
        <v>1.0</v>
      </c>
    </row>
    <row r="960">
      <c r="A960" s="7" t="s">
        <v>20832</v>
      </c>
      <c r="B960" s="7">
        <v>2200744.0</v>
      </c>
      <c r="C960" s="7" t="s">
        <v>9816</v>
      </c>
      <c r="D960" s="7" t="s">
        <v>9823</v>
      </c>
      <c r="E960" s="7" t="s">
        <v>9818</v>
      </c>
      <c r="F960" s="7" t="s">
        <v>9824</v>
      </c>
      <c r="G960" s="7" t="s">
        <v>9825</v>
      </c>
      <c r="H960" s="7" t="s">
        <v>9826</v>
      </c>
      <c r="I960" s="119">
        <v>45292.0</v>
      </c>
      <c r="K960" s="7" t="s">
        <v>419</v>
      </c>
      <c r="L960" s="7" t="s">
        <v>991</v>
      </c>
      <c r="M960" s="7" t="s">
        <v>3531</v>
      </c>
      <c r="N960" s="7" t="s">
        <v>419</v>
      </c>
      <c r="O960" s="7" t="s">
        <v>19430</v>
      </c>
      <c r="P960" s="7" t="s">
        <v>717</v>
      </c>
      <c r="Q960" s="7" t="s">
        <v>1163</v>
      </c>
      <c r="R960" s="7" t="s">
        <v>19546</v>
      </c>
      <c r="S960" s="7" t="s">
        <v>19762</v>
      </c>
      <c r="T960" s="7" t="s">
        <v>4558</v>
      </c>
      <c r="U960" s="7" t="s">
        <v>3493</v>
      </c>
      <c r="V960" s="7">
        <v>1.0</v>
      </c>
    </row>
    <row r="961">
      <c r="A961" s="7" t="s">
        <v>20833</v>
      </c>
      <c r="B961" s="7">
        <v>2100079.0</v>
      </c>
      <c r="C961" s="7" t="s">
        <v>9828</v>
      </c>
      <c r="D961" s="7" t="s">
        <v>9829</v>
      </c>
      <c r="E961" s="7" t="s">
        <v>9818</v>
      </c>
      <c r="F961" s="7" t="s">
        <v>3639</v>
      </c>
      <c r="G961" s="7" t="s">
        <v>9830</v>
      </c>
      <c r="H961" s="7" t="s">
        <v>9831</v>
      </c>
      <c r="I961" s="119">
        <v>45292.0</v>
      </c>
      <c r="K961" s="7" t="s">
        <v>419</v>
      </c>
      <c r="L961" s="7" t="s">
        <v>991</v>
      </c>
      <c r="M961" s="7" t="s">
        <v>3531</v>
      </c>
      <c r="N961" s="7" t="s">
        <v>419</v>
      </c>
      <c r="O961" s="7" t="s">
        <v>19432</v>
      </c>
      <c r="P961" s="7" t="s">
        <v>391</v>
      </c>
      <c r="Q961" s="7" t="s">
        <v>399</v>
      </c>
      <c r="R961" s="7" t="s">
        <v>20194</v>
      </c>
      <c r="T961" s="7" t="s">
        <v>6534</v>
      </c>
      <c r="U961" s="7" t="s">
        <v>3493</v>
      </c>
      <c r="V961" s="7">
        <v>1.0</v>
      </c>
    </row>
    <row r="962">
      <c r="A962" s="7" t="s">
        <v>20834</v>
      </c>
      <c r="B962" s="7">
        <v>2200035.0</v>
      </c>
      <c r="C962" s="7" t="s">
        <v>9833</v>
      </c>
      <c r="D962" s="7" t="s">
        <v>4620</v>
      </c>
      <c r="E962" s="7" t="s">
        <v>9834</v>
      </c>
      <c r="F962" s="7" t="s">
        <v>3792</v>
      </c>
      <c r="G962" s="7" t="s">
        <v>9835</v>
      </c>
      <c r="H962" s="7" t="s">
        <v>9836</v>
      </c>
      <c r="I962" s="119">
        <v>45292.0</v>
      </c>
      <c r="K962" s="7" t="s">
        <v>419</v>
      </c>
      <c r="L962" s="7" t="s">
        <v>991</v>
      </c>
      <c r="M962" s="7" t="s">
        <v>3501</v>
      </c>
      <c r="N962" s="7" t="s">
        <v>419</v>
      </c>
      <c r="O962" s="7" t="s">
        <v>19430</v>
      </c>
      <c r="P962" s="7" t="s">
        <v>717</v>
      </c>
      <c r="Q962" s="7" t="s">
        <v>738</v>
      </c>
      <c r="R962" s="7" t="s">
        <v>20383</v>
      </c>
      <c r="S962" s="7" t="s">
        <v>20835</v>
      </c>
      <c r="T962" s="7" t="s">
        <v>20836</v>
      </c>
      <c r="U962" s="7" t="s">
        <v>3843</v>
      </c>
      <c r="V962" s="7">
        <v>1.0</v>
      </c>
    </row>
    <row r="963">
      <c r="A963" s="7" t="s">
        <v>20837</v>
      </c>
      <c r="B963" s="7">
        <v>2200072.0</v>
      </c>
      <c r="C963" s="7" t="s">
        <v>9840</v>
      </c>
      <c r="D963" s="7" t="s">
        <v>9841</v>
      </c>
      <c r="E963" s="7" t="s">
        <v>9842</v>
      </c>
      <c r="F963" s="7" t="s">
        <v>5759</v>
      </c>
      <c r="G963" s="7" t="s">
        <v>9843</v>
      </c>
      <c r="H963" s="7" t="s">
        <v>9844</v>
      </c>
      <c r="I963" s="119">
        <v>45292.0</v>
      </c>
      <c r="K963" s="7" t="s">
        <v>419</v>
      </c>
      <c r="L963" s="7" t="s">
        <v>991</v>
      </c>
      <c r="M963" s="7" t="s">
        <v>3501</v>
      </c>
      <c r="N963" s="7" t="s">
        <v>419</v>
      </c>
      <c r="O963" s="7" t="s">
        <v>19432</v>
      </c>
      <c r="P963" s="7" t="s">
        <v>391</v>
      </c>
      <c r="Q963" s="7" t="s">
        <v>392</v>
      </c>
      <c r="R963" s="7" t="s">
        <v>19706</v>
      </c>
      <c r="T963" s="7" t="s">
        <v>18578</v>
      </c>
      <c r="U963" s="7" t="s">
        <v>3493</v>
      </c>
      <c r="V963" s="7">
        <v>1.0</v>
      </c>
    </row>
    <row r="964">
      <c r="A964" s="7" t="s">
        <v>20838</v>
      </c>
      <c r="B964" s="7">
        <v>1113.0</v>
      </c>
      <c r="C964" s="7" t="s">
        <v>9840</v>
      </c>
      <c r="D964" s="7" t="s">
        <v>5614</v>
      </c>
      <c r="E964" s="7" t="s">
        <v>9842</v>
      </c>
      <c r="F964" s="7" t="s">
        <v>3656</v>
      </c>
      <c r="G964" s="7" t="s">
        <v>9846</v>
      </c>
      <c r="H964" s="7" t="s">
        <v>9847</v>
      </c>
      <c r="I964" s="119">
        <v>45292.0</v>
      </c>
      <c r="K964" s="7" t="s">
        <v>419</v>
      </c>
      <c r="L964" s="7" t="s">
        <v>991</v>
      </c>
      <c r="M964" s="7" t="s">
        <v>3501</v>
      </c>
      <c r="N964" s="7" t="s">
        <v>419</v>
      </c>
      <c r="O964" s="7" t="s">
        <v>19430</v>
      </c>
      <c r="P964" s="7" t="s">
        <v>854</v>
      </c>
      <c r="Q964" s="7" t="s">
        <v>173</v>
      </c>
      <c r="R964" s="7" t="s">
        <v>19919</v>
      </c>
      <c r="S964" s="7" t="s">
        <v>20839</v>
      </c>
      <c r="T964" s="7" t="s">
        <v>9849</v>
      </c>
      <c r="U964" s="7" t="s">
        <v>3493</v>
      </c>
      <c r="V964" s="7">
        <v>1.0</v>
      </c>
    </row>
    <row r="965">
      <c r="A965" s="7" t="s">
        <v>20840</v>
      </c>
      <c r="B965" s="7">
        <v>2300467.0</v>
      </c>
      <c r="C965" s="7" t="s">
        <v>9851</v>
      </c>
      <c r="D965" s="7" t="s">
        <v>9852</v>
      </c>
      <c r="E965" s="7" t="s">
        <v>9853</v>
      </c>
      <c r="F965" s="7" t="s">
        <v>6800</v>
      </c>
      <c r="G965" s="7" t="s">
        <v>9854</v>
      </c>
      <c r="H965" s="7" t="s">
        <v>9855</v>
      </c>
      <c r="I965" s="119">
        <v>45292.0</v>
      </c>
      <c r="K965" s="7" t="s">
        <v>419</v>
      </c>
      <c r="L965" s="7" t="s">
        <v>991</v>
      </c>
      <c r="M965" s="7" t="s">
        <v>3866</v>
      </c>
      <c r="N965" s="7" t="s">
        <v>419</v>
      </c>
      <c r="O965" s="7" t="s">
        <v>19433</v>
      </c>
      <c r="P965" s="7" t="s">
        <v>587</v>
      </c>
      <c r="Q965" s="7" t="s">
        <v>74</v>
      </c>
      <c r="R965" s="7" t="s">
        <v>19911</v>
      </c>
      <c r="T965" s="7" t="s">
        <v>5198</v>
      </c>
      <c r="U965" s="7" t="s">
        <v>3493</v>
      </c>
      <c r="V965" s="7">
        <v>1.0</v>
      </c>
    </row>
    <row r="966">
      <c r="A966" s="7" t="s">
        <v>20841</v>
      </c>
      <c r="B966" s="7">
        <v>2100264.0</v>
      </c>
      <c r="C966" s="7" t="s">
        <v>9860</v>
      </c>
      <c r="D966" s="7" t="s">
        <v>6121</v>
      </c>
      <c r="E966" s="7" t="s">
        <v>9861</v>
      </c>
      <c r="F966" s="7" t="s">
        <v>9862</v>
      </c>
      <c r="G966" s="7" t="s">
        <v>9863</v>
      </c>
      <c r="H966" s="7" t="s">
        <v>9864</v>
      </c>
      <c r="I966" s="119">
        <v>45292.0</v>
      </c>
      <c r="K966" s="7" t="s">
        <v>3541</v>
      </c>
      <c r="L966" s="7" t="s">
        <v>3542</v>
      </c>
      <c r="M966" s="7" t="s">
        <v>3543</v>
      </c>
      <c r="N966" s="7" t="s">
        <v>419</v>
      </c>
      <c r="O966" s="7" t="s">
        <v>19430</v>
      </c>
      <c r="P966" s="7" t="s">
        <v>854</v>
      </c>
      <c r="Q966" s="7" t="s">
        <v>864</v>
      </c>
      <c r="R966" s="7" t="s">
        <v>19892</v>
      </c>
      <c r="T966" s="7" t="s">
        <v>19893</v>
      </c>
      <c r="U966" s="7" t="s">
        <v>3493</v>
      </c>
      <c r="V966" s="7">
        <v>1.0</v>
      </c>
    </row>
    <row r="967">
      <c r="A967" s="7" t="s">
        <v>20842</v>
      </c>
      <c r="B967" s="7">
        <v>2200370.0</v>
      </c>
      <c r="C967" s="7" t="s">
        <v>9867</v>
      </c>
      <c r="D967" s="7" t="s">
        <v>9868</v>
      </c>
      <c r="E967" s="7" t="s">
        <v>9861</v>
      </c>
      <c r="F967" s="7" t="s">
        <v>7266</v>
      </c>
      <c r="G967" s="7" t="s">
        <v>9869</v>
      </c>
      <c r="H967" s="7" t="s">
        <v>9870</v>
      </c>
      <c r="I967" s="119">
        <v>45292.0</v>
      </c>
      <c r="K967" s="7" t="s">
        <v>419</v>
      </c>
      <c r="L967" s="7" t="s">
        <v>991</v>
      </c>
      <c r="M967" s="7" t="s">
        <v>3501</v>
      </c>
      <c r="N967" s="7" t="s">
        <v>419</v>
      </c>
      <c r="O967" s="7" t="s">
        <v>19438</v>
      </c>
      <c r="P967" s="7" t="s">
        <v>19465</v>
      </c>
      <c r="Q967" s="7" t="s">
        <v>186</v>
      </c>
      <c r="R967" s="7" t="s">
        <v>20121</v>
      </c>
      <c r="T967" s="7" t="s">
        <v>6596</v>
      </c>
      <c r="U967" s="7" t="s">
        <v>3493</v>
      </c>
      <c r="V967" s="7">
        <v>1.0</v>
      </c>
    </row>
    <row r="968">
      <c r="A968" s="7" t="s">
        <v>20843</v>
      </c>
      <c r="B968" s="7">
        <v>12694.0</v>
      </c>
      <c r="C968" s="7" t="s">
        <v>9873</v>
      </c>
      <c r="D968" s="7" t="s">
        <v>9874</v>
      </c>
      <c r="E968" s="7" t="s">
        <v>9875</v>
      </c>
      <c r="F968" s="7" t="s">
        <v>7361</v>
      </c>
      <c r="G968" s="7" t="s">
        <v>9876</v>
      </c>
      <c r="H968" s="7" t="s">
        <v>9877</v>
      </c>
      <c r="I968" s="119">
        <v>45292.0</v>
      </c>
      <c r="J968" s="7" t="s">
        <v>3929</v>
      </c>
      <c r="K968" s="7" t="s">
        <v>419</v>
      </c>
      <c r="L968" s="7" t="s">
        <v>991</v>
      </c>
      <c r="M968" s="7" t="s">
        <v>3501</v>
      </c>
      <c r="N968" s="7" t="s">
        <v>419</v>
      </c>
      <c r="O968" s="7" t="s">
        <v>19437</v>
      </c>
      <c r="P968" s="7" t="s">
        <v>478</v>
      </c>
      <c r="Q968" s="7" t="s">
        <v>491</v>
      </c>
      <c r="R968" s="7" t="s">
        <v>20577</v>
      </c>
      <c r="T968" s="7" t="s">
        <v>9794</v>
      </c>
      <c r="U968" s="7" t="s">
        <v>3493</v>
      </c>
      <c r="V968" s="7">
        <v>1.0</v>
      </c>
    </row>
    <row r="969">
      <c r="A969" s="7" t="s">
        <v>20844</v>
      </c>
      <c r="B969" s="7">
        <v>3001057.0</v>
      </c>
      <c r="C969" s="7" t="s">
        <v>9879</v>
      </c>
      <c r="D969" s="7" t="s">
        <v>9880</v>
      </c>
      <c r="E969" s="7" t="s">
        <v>9881</v>
      </c>
      <c r="F969" s="7" t="s">
        <v>9882</v>
      </c>
      <c r="G969" s="7" t="s">
        <v>9883</v>
      </c>
      <c r="H969" s="7" t="s">
        <v>9884</v>
      </c>
      <c r="I969" s="119">
        <v>45292.0</v>
      </c>
      <c r="K969" s="7" t="s">
        <v>419</v>
      </c>
      <c r="L969" s="7" t="s">
        <v>991</v>
      </c>
      <c r="M969" s="7" t="s">
        <v>3490</v>
      </c>
      <c r="N969" s="7" t="s">
        <v>419</v>
      </c>
      <c r="O969" s="7" t="s">
        <v>19433</v>
      </c>
      <c r="P969" s="7" t="s">
        <v>648</v>
      </c>
      <c r="Q969" s="7" t="s">
        <v>141</v>
      </c>
      <c r="T969" s="7" t="s">
        <v>4500</v>
      </c>
      <c r="U969" s="7" t="s">
        <v>3493</v>
      </c>
      <c r="V969" s="7">
        <v>1.0</v>
      </c>
    </row>
    <row r="970">
      <c r="A970" s="7" t="s">
        <v>20845</v>
      </c>
      <c r="B970" s="7">
        <v>1011.0</v>
      </c>
      <c r="C970" s="7" t="s">
        <v>9887</v>
      </c>
      <c r="D970" s="7" t="s">
        <v>8442</v>
      </c>
      <c r="E970" s="7" t="s">
        <v>9888</v>
      </c>
      <c r="F970" s="7" t="s">
        <v>4929</v>
      </c>
      <c r="G970" s="7" t="s">
        <v>9889</v>
      </c>
      <c r="H970" s="7" t="s">
        <v>9890</v>
      </c>
      <c r="I970" s="119">
        <v>45292.0</v>
      </c>
      <c r="K970" s="7" t="s">
        <v>419</v>
      </c>
      <c r="L970" s="7" t="s">
        <v>991</v>
      </c>
      <c r="M970" s="7" t="s">
        <v>3501</v>
      </c>
      <c r="N970" s="7" t="s">
        <v>419</v>
      </c>
      <c r="O970" s="7" t="s">
        <v>19438</v>
      </c>
      <c r="P970" s="7" t="s">
        <v>20846</v>
      </c>
      <c r="Q970" s="7" t="s">
        <v>427</v>
      </c>
      <c r="T970" s="7" t="s">
        <v>20847</v>
      </c>
      <c r="U970" s="7" t="s">
        <v>3493</v>
      </c>
      <c r="V970" s="7">
        <v>1.0</v>
      </c>
    </row>
    <row r="971">
      <c r="A971" s="7" t="s">
        <v>1530</v>
      </c>
      <c r="B971" s="7">
        <v>1089.0</v>
      </c>
      <c r="C971" s="7" t="s">
        <v>9893</v>
      </c>
      <c r="D971" s="7" t="s">
        <v>9894</v>
      </c>
      <c r="E971" s="7" t="s">
        <v>9895</v>
      </c>
      <c r="F971" s="7" t="s">
        <v>3781</v>
      </c>
      <c r="G971" s="7" t="s">
        <v>9896</v>
      </c>
      <c r="H971" s="7" t="s">
        <v>9897</v>
      </c>
      <c r="I971" s="119">
        <v>45292.0</v>
      </c>
      <c r="K971" s="7" t="s">
        <v>419</v>
      </c>
      <c r="L971" s="7" t="s">
        <v>991</v>
      </c>
      <c r="M971" s="7" t="s">
        <v>3501</v>
      </c>
      <c r="N971" s="7" t="s">
        <v>419</v>
      </c>
      <c r="O971" s="7" t="s">
        <v>19430</v>
      </c>
      <c r="P971" s="7" t="s">
        <v>717</v>
      </c>
      <c r="Q971" s="7" t="s">
        <v>720</v>
      </c>
      <c r="R971" s="7" t="s">
        <v>19805</v>
      </c>
      <c r="T971" s="7" t="s">
        <v>20848</v>
      </c>
      <c r="U971" s="7" t="s">
        <v>3604</v>
      </c>
      <c r="V971" s="7">
        <v>1.0</v>
      </c>
    </row>
    <row r="972">
      <c r="A972" s="7" t="s">
        <v>20849</v>
      </c>
      <c r="B972" s="7">
        <v>2300096.0</v>
      </c>
      <c r="C972" s="7" t="s">
        <v>9893</v>
      </c>
      <c r="D972" s="7" t="s">
        <v>9901</v>
      </c>
      <c r="E972" s="7" t="s">
        <v>9895</v>
      </c>
      <c r="F972" s="7" t="s">
        <v>9902</v>
      </c>
      <c r="G972" s="7" t="s">
        <v>9903</v>
      </c>
      <c r="H972" s="7" t="s">
        <v>9904</v>
      </c>
      <c r="I972" s="119">
        <v>45292.0</v>
      </c>
      <c r="K972" s="7" t="s">
        <v>419</v>
      </c>
      <c r="L972" s="7" t="s">
        <v>991</v>
      </c>
      <c r="M972" s="7" t="s">
        <v>3583</v>
      </c>
      <c r="N972" s="7" t="s">
        <v>419</v>
      </c>
      <c r="O972" s="7" t="s">
        <v>19430</v>
      </c>
      <c r="P972" s="7" t="s">
        <v>717</v>
      </c>
      <c r="Q972" s="7" t="s">
        <v>725</v>
      </c>
      <c r="R972" s="7" t="s">
        <v>19501</v>
      </c>
      <c r="T972" s="7" t="s">
        <v>14257</v>
      </c>
      <c r="U972" s="7" t="s">
        <v>3493</v>
      </c>
      <c r="V972" s="7">
        <v>1.0</v>
      </c>
    </row>
    <row r="973">
      <c r="A973" s="7" t="s">
        <v>20850</v>
      </c>
      <c r="B973" s="7">
        <v>2200469.0</v>
      </c>
      <c r="C973" s="7" t="s">
        <v>9907</v>
      </c>
      <c r="D973" s="7" t="s">
        <v>9908</v>
      </c>
      <c r="E973" s="7" t="s">
        <v>9909</v>
      </c>
      <c r="F973" s="7" t="s">
        <v>9910</v>
      </c>
      <c r="G973" s="7" t="s">
        <v>9911</v>
      </c>
      <c r="H973" s="7" t="s">
        <v>9912</v>
      </c>
      <c r="I973" s="119">
        <v>45292.0</v>
      </c>
      <c r="K973" s="7" t="s">
        <v>419</v>
      </c>
      <c r="L973" s="7" t="s">
        <v>991</v>
      </c>
      <c r="M973" s="7" t="s">
        <v>3531</v>
      </c>
      <c r="N973" s="7" t="s">
        <v>419</v>
      </c>
      <c r="O973" s="7" t="s">
        <v>19432</v>
      </c>
      <c r="P973" s="7" t="s">
        <v>391</v>
      </c>
      <c r="Q973" s="7" t="s">
        <v>399</v>
      </c>
      <c r="R973" s="7" t="s">
        <v>20194</v>
      </c>
      <c r="T973" s="7" t="s">
        <v>6534</v>
      </c>
      <c r="U973" s="7" t="s">
        <v>3493</v>
      </c>
      <c r="V973" s="7">
        <v>1.0</v>
      </c>
    </row>
    <row r="974">
      <c r="A974" s="7" t="s">
        <v>20851</v>
      </c>
      <c r="B974" s="7">
        <v>2300616.0</v>
      </c>
      <c r="C974" s="7" t="s">
        <v>9907</v>
      </c>
      <c r="D974" s="7" t="s">
        <v>9914</v>
      </c>
      <c r="E974" s="7" t="s">
        <v>9909</v>
      </c>
      <c r="F974" s="7" t="s">
        <v>9915</v>
      </c>
      <c r="G974" s="7" t="s">
        <v>9916</v>
      </c>
      <c r="H974" s="7" t="s">
        <v>9917</v>
      </c>
      <c r="I974" s="119">
        <v>45292.0</v>
      </c>
      <c r="K974" s="7" t="s">
        <v>419</v>
      </c>
      <c r="L974" s="7" t="s">
        <v>991</v>
      </c>
      <c r="M974" s="7" t="s">
        <v>3531</v>
      </c>
      <c r="N974" s="7" t="s">
        <v>419</v>
      </c>
      <c r="O974" s="7" t="s">
        <v>19430</v>
      </c>
      <c r="P974" s="7" t="s">
        <v>717</v>
      </c>
      <c r="Q974" s="7" t="s">
        <v>725</v>
      </c>
      <c r="R974" s="7" t="s">
        <v>19501</v>
      </c>
      <c r="S974" s="7" t="s">
        <v>19643</v>
      </c>
      <c r="T974" s="7" t="s">
        <v>4097</v>
      </c>
      <c r="U974" s="7" t="s">
        <v>3493</v>
      </c>
      <c r="V974" s="7">
        <v>1.0</v>
      </c>
    </row>
    <row r="975">
      <c r="A975" s="7" t="s">
        <v>20852</v>
      </c>
      <c r="B975" s="7">
        <v>2100438.0</v>
      </c>
      <c r="C975" s="7" t="s">
        <v>9907</v>
      </c>
      <c r="D975" s="7" t="s">
        <v>9919</v>
      </c>
      <c r="E975" s="7" t="s">
        <v>9909</v>
      </c>
      <c r="F975" s="7" t="s">
        <v>7872</v>
      </c>
      <c r="G975" s="7" t="s">
        <v>9920</v>
      </c>
      <c r="H975" s="7" t="s">
        <v>9921</v>
      </c>
      <c r="I975" s="119">
        <v>45292.0</v>
      </c>
      <c r="K975" s="7" t="s">
        <v>419</v>
      </c>
      <c r="L975" s="7" t="s">
        <v>991</v>
      </c>
      <c r="M975" s="7" t="s">
        <v>3501</v>
      </c>
      <c r="N975" s="7" t="s">
        <v>419</v>
      </c>
      <c r="O975" s="7" t="s">
        <v>19432</v>
      </c>
      <c r="P975" s="7" t="s">
        <v>693</v>
      </c>
      <c r="Q975" s="7" t="s">
        <v>696</v>
      </c>
      <c r="R975" s="7" t="s">
        <v>19563</v>
      </c>
      <c r="T975" s="7" t="s">
        <v>9922</v>
      </c>
      <c r="U975" s="7" t="s">
        <v>3604</v>
      </c>
      <c r="V975" s="7">
        <v>1.0</v>
      </c>
    </row>
    <row r="976">
      <c r="A976" s="7" t="s">
        <v>20853</v>
      </c>
      <c r="B976" s="7">
        <v>11748.0</v>
      </c>
      <c r="C976" s="7" t="s">
        <v>9907</v>
      </c>
      <c r="D976" s="7" t="s">
        <v>9924</v>
      </c>
      <c r="E976" s="7" t="s">
        <v>9909</v>
      </c>
      <c r="F976" s="7" t="s">
        <v>8058</v>
      </c>
      <c r="G976" s="7" t="s">
        <v>9925</v>
      </c>
      <c r="H976" s="7" t="s">
        <v>9926</v>
      </c>
      <c r="I976" s="119">
        <v>45292.0</v>
      </c>
      <c r="K976" s="7" t="s">
        <v>419</v>
      </c>
      <c r="L976" s="7" t="s">
        <v>991</v>
      </c>
      <c r="M976" s="7" t="s">
        <v>3501</v>
      </c>
      <c r="N976" s="7" t="s">
        <v>419</v>
      </c>
      <c r="O976" s="7" t="s">
        <v>19430</v>
      </c>
      <c r="P976" s="7" t="s">
        <v>717</v>
      </c>
      <c r="Q976" s="7" t="s">
        <v>738</v>
      </c>
      <c r="R976" s="7" t="s">
        <v>19902</v>
      </c>
      <c r="T976" s="7" t="s">
        <v>20854</v>
      </c>
      <c r="U976" s="7" t="s">
        <v>3604</v>
      </c>
      <c r="V976" s="7">
        <v>1.0</v>
      </c>
    </row>
    <row r="977">
      <c r="A977" s="7" t="s">
        <v>20855</v>
      </c>
      <c r="B977" s="7">
        <v>2200463.0</v>
      </c>
      <c r="C977" s="7" t="s">
        <v>9907</v>
      </c>
      <c r="D977" s="7" t="s">
        <v>9930</v>
      </c>
      <c r="E977" s="7" t="s">
        <v>9909</v>
      </c>
      <c r="F977" s="7" t="s">
        <v>9931</v>
      </c>
      <c r="G977" s="7" t="s">
        <v>9932</v>
      </c>
      <c r="I977" s="119">
        <v>45292.0</v>
      </c>
      <c r="K977" s="7" t="s">
        <v>419</v>
      </c>
      <c r="L977" s="7" t="s">
        <v>991</v>
      </c>
      <c r="M977" s="7" t="s">
        <v>3531</v>
      </c>
      <c r="N977" s="7" t="s">
        <v>419</v>
      </c>
      <c r="O977" s="7" t="s">
        <v>19430</v>
      </c>
      <c r="P977" s="7" t="s">
        <v>854</v>
      </c>
      <c r="Q977" s="7" t="s">
        <v>859</v>
      </c>
      <c r="T977" s="7" t="s">
        <v>3821</v>
      </c>
      <c r="U977" s="7" t="s">
        <v>3493</v>
      </c>
      <c r="V977" s="7">
        <v>1.0</v>
      </c>
    </row>
    <row r="978">
      <c r="A978" s="7" t="s">
        <v>20856</v>
      </c>
      <c r="B978" s="7">
        <v>2100674.0</v>
      </c>
      <c r="C978" s="7" t="s">
        <v>9907</v>
      </c>
      <c r="D978" s="7" t="s">
        <v>9934</v>
      </c>
      <c r="E978" s="7" t="s">
        <v>9909</v>
      </c>
      <c r="F978" s="7" t="s">
        <v>4487</v>
      </c>
      <c r="G978" s="7" t="s">
        <v>9935</v>
      </c>
      <c r="H978" s="7" t="s">
        <v>9936</v>
      </c>
      <c r="I978" s="119">
        <v>45292.0</v>
      </c>
      <c r="K978" s="7" t="s">
        <v>419</v>
      </c>
      <c r="L978" s="7" t="s">
        <v>991</v>
      </c>
      <c r="M978" s="7" t="s">
        <v>3501</v>
      </c>
      <c r="N978" s="7" t="s">
        <v>419</v>
      </c>
      <c r="O978" s="7" t="s">
        <v>19430</v>
      </c>
      <c r="P978" s="7" t="s">
        <v>854</v>
      </c>
      <c r="Q978" s="7" t="s">
        <v>173</v>
      </c>
      <c r="R978" s="7" t="s">
        <v>20485</v>
      </c>
      <c r="S978" s="7" t="s">
        <v>19749</v>
      </c>
      <c r="T978" s="7" t="s">
        <v>8040</v>
      </c>
      <c r="U978" s="7" t="s">
        <v>3493</v>
      </c>
      <c r="V978" s="7">
        <v>1.0</v>
      </c>
    </row>
    <row r="979">
      <c r="A979" s="7" t="s">
        <v>20857</v>
      </c>
      <c r="B979" s="7">
        <v>13537.0</v>
      </c>
      <c r="C979" s="7" t="s">
        <v>9907</v>
      </c>
      <c r="D979" s="7" t="s">
        <v>9938</v>
      </c>
      <c r="E979" s="7" t="s">
        <v>9909</v>
      </c>
      <c r="F979" s="7" t="s">
        <v>9939</v>
      </c>
      <c r="G979" s="7" t="s">
        <v>9940</v>
      </c>
      <c r="H979" s="7" t="s">
        <v>9941</v>
      </c>
      <c r="I979" s="119">
        <v>45292.0</v>
      </c>
      <c r="K979" s="7" t="s">
        <v>419</v>
      </c>
      <c r="L979" s="7" t="s">
        <v>991</v>
      </c>
      <c r="M979" s="7" t="s">
        <v>3531</v>
      </c>
      <c r="N979" s="7" t="s">
        <v>419</v>
      </c>
      <c r="O979" s="7" t="s">
        <v>19430</v>
      </c>
      <c r="P979" s="7" t="s">
        <v>717</v>
      </c>
      <c r="Q979" s="7" t="s">
        <v>725</v>
      </c>
      <c r="R979" s="7" t="s">
        <v>19501</v>
      </c>
      <c r="S979" s="7" t="s">
        <v>19502</v>
      </c>
      <c r="T979" s="7" t="s">
        <v>3533</v>
      </c>
      <c r="U979" s="7" t="s">
        <v>3493</v>
      </c>
      <c r="V979" s="7">
        <v>1.0</v>
      </c>
    </row>
    <row r="980">
      <c r="A980" s="7" t="s">
        <v>20858</v>
      </c>
      <c r="B980" s="7">
        <v>2200232.0</v>
      </c>
      <c r="C980" s="7" t="s">
        <v>9907</v>
      </c>
      <c r="D980" s="7" t="s">
        <v>9943</v>
      </c>
      <c r="E980" s="7" t="s">
        <v>9909</v>
      </c>
      <c r="F980" s="7" t="s">
        <v>9944</v>
      </c>
      <c r="G980" s="7" t="s">
        <v>9945</v>
      </c>
      <c r="H980" s="7" t="s">
        <v>9946</v>
      </c>
      <c r="I980" s="119">
        <v>45292.0</v>
      </c>
      <c r="K980" s="7" t="s">
        <v>4405</v>
      </c>
      <c r="L980" s="7" t="s">
        <v>4406</v>
      </c>
      <c r="M980" s="7" t="s">
        <v>7791</v>
      </c>
      <c r="N980" s="7" t="s">
        <v>419</v>
      </c>
      <c r="O980" s="7" t="s">
        <v>19433</v>
      </c>
      <c r="P980" s="7" t="s">
        <v>648</v>
      </c>
      <c r="Q980" s="7" t="s">
        <v>651</v>
      </c>
      <c r="R980" s="7" t="s">
        <v>19587</v>
      </c>
      <c r="S980" s="7" t="s">
        <v>19588</v>
      </c>
      <c r="T980" s="7" t="s">
        <v>19589</v>
      </c>
      <c r="U980" s="7" t="s">
        <v>3493</v>
      </c>
      <c r="V980" s="7">
        <v>1.0</v>
      </c>
    </row>
    <row r="981">
      <c r="A981" s="7" t="s">
        <v>20859</v>
      </c>
      <c r="B981" s="7">
        <v>2300293.0</v>
      </c>
      <c r="C981" s="7" t="s">
        <v>9907</v>
      </c>
      <c r="D981" s="7" t="s">
        <v>9949</v>
      </c>
      <c r="E981" s="7" t="s">
        <v>9909</v>
      </c>
      <c r="F981" s="7" t="s">
        <v>9950</v>
      </c>
      <c r="G981" s="7" t="s">
        <v>9951</v>
      </c>
      <c r="H981" s="7" t="s">
        <v>9952</v>
      </c>
      <c r="I981" s="119">
        <v>45292.0</v>
      </c>
      <c r="K981" s="7" t="s">
        <v>419</v>
      </c>
      <c r="L981" s="7" t="s">
        <v>991</v>
      </c>
      <c r="M981" s="7" t="s">
        <v>3531</v>
      </c>
      <c r="N981" s="7" t="s">
        <v>419</v>
      </c>
      <c r="O981" s="7" t="s">
        <v>19432</v>
      </c>
      <c r="P981" s="7" t="s">
        <v>693</v>
      </c>
      <c r="Q981" s="7" t="s">
        <v>698</v>
      </c>
      <c r="R981" s="7" t="s">
        <v>20444</v>
      </c>
      <c r="S981" s="7" t="s">
        <v>20860</v>
      </c>
      <c r="T981" s="7" t="s">
        <v>9954</v>
      </c>
      <c r="U981" s="7" t="s">
        <v>3493</v>
      </c>
      <c r="V981" s="7">
        <v>1.0</v>
      </c>
    </row>
    <row r="982">
      <c r="A982" s="7" t="s">
        <v>20861</v>
      </c>
      <c r="B982" s="7">
        <v>10287.0</v>
      </c>
      <c r="C982" s="7" t="s">
        <v>9907</v>
      </c>
      <c r="D982" s="7" t="s">
        <v>9956</v>
      </c>
      <c r="E982" s="7" t="s">
        <v>9909</v>
      </c>
      <c r="F982" s="7" t="s">
        <v>4371</v>
      </c>
      <c r="G982" s="7" t="s">
        <v>9957</v>
      </c>
      <c r="H982" s="7" t="s">
        <v>9958</v>
      </c>
      <c r="I982" s="119">
        <v>45292.0</v>
      </c>
      <c r="K982" s="7" t="s">
        <v>419</v>
      </c>
      <c r="L982" s="7" t="s">
        <v>991</v>
      </c>
      <c r="M982" s="7" t="s">
        <v>3501</v>
      </c>
      <c r="N982" s="7" t="s">
        <v>419</v>
      </c>
      <c r="O982" s="7" t="s">
        <v>19430</v>
      </c>
      <c r="P982" s="7" t="s">
        <v>854</v>
      </c>
      <c r="Q982" s="7" t="s">
        <v>859</v>
      </c>
      <c r="R982" s="7" t="s">
        <v>19566</v>
      </c>
      <c r="T982" s="7" t="s">
        <v>8700</v>
      </c>
      <c r="U982" s="7" t="s">
        <v>3493</v>
      </c>
      <c r="V982" s="7">
        <v>1.0</v>
      </c>
    </row>
    <row r="983">
      <c r="A983" s="7" t="s">
        <v>20862</v>
      </c>
      <c r="B983" s="7">
        <v>1226.0</v>
      </c>
      <c r="C983" s="7" t="s">
        <v>9907</v>
      </c>
      <c r="D983" s="7" t="s">
        <v>9960</v>
      </c>
      <c r="E983" s="7" t="s">
        <v>9909</v>
      </c>
      <c r="F983" s="7" t="s">
        <v>3656</v>
      </c>
      <c r="G983" s="7" t="s">
        <v>9961</v>
      </c>
      <c r="H983" s="7" t="s">
        <v>9962</v>
      </c>
      <c r="I983" s="119">
        <v>45292.0</v>
      </c>
      <c r="K983" s="7" t="s">
        <v>419</v>
      </c>
      <c r="L983" s="7" t="s">
        <v>991</v>
      </c>
      <c r="M983" s="7" t="s">
        <v>3501</v>
      </c>
      <c r="N983" s="7" t="s">
        <v>419</v>
      </c>
      <c r="O983" s="7" t="s">
        <v>19430</v>
      </c>
      <c r="P983" s="7" t="s">
        <v>854</v>
      </c>
      <c r="Q983" s="7" t="s">
        <v>173</v>
      </c>
      <c r="R983" s="7" t="s">
        <v>19919</v>
      </c>
      <c r="S983" s="7" t="s">
        <v>20863</v>
      </c>
      <c r="T983" s="7" t="s">
        <v>9964</v>
      </c>
      <c r="U983" s="7" t="s">
        <v>3843</v>
      </c>
      <c r="V983" s="7">
        <v>1.0</v>
      </c>
    </row>
    <row r="984">
      <c r="A984" s="7" t="s">
        <v>20864</v>
      </c>
      <c r="B984" s="7">
        <v>2100004.0</v>
      </c>
      <c r="C984" s="7" t="s">
        <v>9907</v>
      </c>
      <c r="D984" s="7" t="s">
        <v>9797</v>
      </c>
      <c r="E984" s="7" t="s">
        <v>9909</v>
      </c>
      <c r="F984" s="7" t="s">
        <v>9799</v>
      </c>
      <c r="G984" s="7" t="s">
        <v>9966</v>
      </c>
      <c r="H984" s="7" t="s">
        <v>9967</v>
      </c>
      <c r="I984" s="119">
        <v>45292.0</v>
      </c>
      <c r="K984" s="7" t="s">
        <v>419</v>
      </c>
      <c r="L984" s="7" t="s">
        <v>991</v>
      </c>
      <c r="M984" s="7" t="s">
        <v>3501</v>
      </c>
      <c r="N984" s="7" t="s">
        <v>419</v>
      </c>
      <c r="O984" s="7" t="s">
        <v>19440</v>
      </c>
      <c r="P984" s="7" t="s">
        <v>3</v>
      </c>
      <c r="Q984" s="7" t="s">
        <v>9</v>
      </c>
      <c r="R984" s="7" t="s">
        <v>20413</v>
      </c>
      <c r="S984" s="7" t="s">
        <v>19519</v>
      </c>
      <c r="T984" s="7" t="s">
        <v>7663</v>
      </c>
      <c r="U984" s="7" t="s">
        <v>3493</v>
      </c>
      <c r="V984" s="7">
        <v>1.0</v>
      </c>
    </row>
    <row r="985">
      <c r="A985" s="7" t="s">
        <v>20865</v>
      </c>
      <c r="B985" s="7">
        <v>11186.0</v>
      </c>
      <c r="C985" s="7" t="s">
        <v>9907</v>
      </c>
      <c r="D985" s="7" t="s">
        <v>5962</v>
      </c>
      <c r="E985" s="7" t="s">
        <v>9909</v>
      </c>
      <c r="F985" s="7" t="s">
        <v>5723</v>
      </c>
      <c r="G985" s="7" t="s">
        <v>9969</v>
      </c>
      <c r="H985" s="7" t="s">
        <v>9970</v>
      </c>
      <c r="I985" s="119">
        <v>45292.0</v>
      </c>
      <c r="K985" s="7" t="s">
        <v>419</v>
      </c>
      <c r="L985" s="7" t="s">
        <v>991</v>
      </c>
      <c r="M985" s="7" t="s">
        <v>3501</v>
      </c>
      <c r="N985" s="7" t="s">
        <v>419</v>
      </c>
      <c r="O985" s="7" t="s">
        <v>19430</v>
      </c>
      <c r="P985" s="7" t="s">
        <v>717</v>
      </c>
      <c r="Q985" s="7" t="s">
        <v>730</v>
      </c>
      <c r="R985" s="7" t="s">
        <v>19979</v>
      </c>
      <c r="S985" s="7" t="s">
        <v>19636</v>
      </c>
      <c r="T985" s="7" t="s">
        <v>8584</v>
      </c>
      <c r="U985" s="7" t="s">
        <v>3493</v>
      </c>
      <c r="V985" s="7">
        <v>1.0</v>
      </c>
    </row>
    <row r="986">
      <c r="A986" s="7" t="s">
        <v>20866</v>
      </c>
      <c r="B986" s="7">
        <v>12238.0</v>
      </c>
      <c r="C986" s="7" t="s">
        <v>9972</v>
      </c>
      <c r="D986" s="7" t="s">
        <v>9973</v>
      </c>
      <c r="E986" s="7" t="s">
        <v>9974</v>
      </c>
      <c r="F986" s="7" t="s">
        <v>9975</v>
      </c>
      <c r="G986" s="7" t="s">
        <v>9976</v>
      </c>
      <c r="H986" s="7" t="s">
        <v>9977</v>
      </c>
      <c r="I986" s="119">
        <v>45292.0</v>
      </c>
      <c r="K986" s="7" t="s">
        <v>419</v>
      </c>
      <c r="L986" s="7" t="s">
        <v>991</v>
      </c>
      <c r="M986" s="7" t="s">
        <v>3501</v>
      </c>
      <c r="N986" s="7" t="s">
        <v>419</v>
      </c>
      <c r="O986" s="7" t="s">
        <v>19432</v>
      </c>
      <c r="P986" s="7" t="s">
        <v>391</v>
      </c>
      <c r="Q986" s="7" t="s">
        <v>399</v>
      </c>
      <c r="R986" s="7" t="s">
        <v>19508</v>
      </c>
      <c r="T986" s="7" t="s">
        <v>7225</v>
      </c>
      <c r="U986" s="7" t="s">
        <v>3493</v>
      </c>
      <c r="V986" s="7">
        <v>1.0</v>
      </c>
    </row>
    <row r="987">
      <c r="A987" s="7" t="s">
        <v>20867</v>
      </c>
      <c r="B987" s="7">
        <v>2200710.0</v>
      </c>
      <c r="C987" s="7" t="s">
        <v>9979</v>
      </c>
      <c r="D987" s="7" t="s">
        <v>9980</v>
      </c>
      <c r="E987" s="7" t="s">
        <v>9974</v>
      </c>
      <c r="F987" s="7" t="s">
        <v>9981</v>
      </c>
      <c r="G987" s="7" t="s">
        <v>9982</v>
      </c>
      <c r="H987" s="7" t="s">
        <v>9983</v>
      </c>
      <c r="I987" s="119">
        <v>45292.0</v>
      </c>
      <c r="K987" s="7" t="s">
        <v>4042</v>
      </c>
      <c r="L987" s="7" t="s">
        <v>991</v>
      </c>
      <c r="M987" s="7" t="s">
        <v>3501</v>
      </c>
      <c r="N987" s="7" t="s">
        <v>4042</v>
      </c>
      <c r="O987" s="7" t="s">
        <v>4042</v>
      </c>
      <c r="P987" s="7" t="s">
        <v>19632</v>
      </c>
      <c r="T987" s="7" t="s">
        <v>4044</v>
      </c>
      <c r="U987" s="7" t="s">
        <v>3493</v>
      </c>
      <c r="V987" s="7">
        <v>1.0</v>
      </c>
    </row>
    <row r="988">
      <c r="A988" s="7" t="s">
        <v>20868</v>
      </c>
      <c r="B988" s="7">
        <v>13853.0</v>
      </c>
      <c r="C988" s="7" t="s">
        <v>9985</v>
      </c>
      <c r="D988" s="7" t="s">
        <v>9986</v>
      </c>
      <c r="E988" s="7" t="s">
        <v>9974</v>
      </c>
      <c r="F988" s="7" t="s">
        <v>9561</v>
      </c>
      <c r="G988" s="7" t="s">
        <v>9987</v>
      </c>
      <c r="H988" s="7" t="s">
        <v>9988</v>
      </c>
      <c r="I988" s="119">
        <v>45292.0</v>
      </c>
      <c r="K988" s="7" t="s">
        <v>419</v>
      </c>
      <c r="L988" s="7" t="s">
        <v>991</v>
      </c>
      <c r="M988" s="7" t="s">
        <v>3501</v>
      </c>
      <c r="N988" s="7" t="s">
        <v>419</v>
      </c>
      <c r="O988" s="7" t="s">
        <v>19433</v>
      </c>
      <c r="P988" s="7" t="s">
        <v>648</v>
      </c>
      <c r="Q988" s="7" t="s">
        <v>141</v>
      </c>
      <c r="R988" s="7" t="s">
        <v>19696</v>
      </c>
      <c r="T988" s="7" t="s">
        <v>4291</v>
      </c>
      <c r="U988" s="7" t="s">
        <v>3493</v>
      </c>
      <c r="V988" s="7">
        <v>1.0</v>
      </c>
    </row>
    <row r="989">
      <c r="A989" s="7" t="s">
        <v>20869</v>
      </c>
      <c r="B989" s="7">
        <v>13995.0</v>
      </c>
      <c r="C989" s="7" t="s">
        <v>9991</v>
      </c>
      <c r="D989" s="7" t="s">
        <v>9992</v>
      </c>
      <c r="E989" s="7" t="s">
        <v>9993</v>
      </c>
      <c r="F989" s="7" t="s">
        <v>9994</v>
      </c>
      <c r="G989" s="7" t="s">
        <v>9995</v>
      </c>
      <c r="H989" s="7" t="s">
        <v>9996</v>
      </c>
      <c r="I989" s="119">
        <v>45292.0</v>
      </c>
      <c r="K989" s="7" t="s">
        <v>3632</v>
      </c>
      <c r="L989" s="7" t="s">
        <v>991</v>
      </c>
      <c r="M989" s="7" t="s">
        <v>3501</v>
      </c>
      <c r="N989" s="7" t="s">
        <v>3632</v>
      </c>
      <c r="O989" s="7" t="s">
        <v>3632</v>
      </c>
      <c r="P989" s="7" t="s">
        <v>22</v>
      </c>
      <c r="Q989" s="7" t="s">
        <v>546</v>
      </c>
      <c r="R989" s="7" t="s">
        <v>20870</v>
      </c>
      <c r="T989" s="7" t="s">
        <v>12879</v>
      </c>
      <c r="U989" s="7" t="s">
        <v>3493</v>
      </c>
      <c r="V989" s="7">
        <v>1.0</v>
      </c>
    </row>
    <row r="990">
      <c r="A990" s="7" t="s">
        <v>2113</v>
      </c>
      <c r="B990" s="7">
        <v>12458.0</v>
      </c>
      <c r="C990" s="7" t="s">
        <v>9991</v>
      </c>
      <c r="D990" s="7" t="s">
        <v>9999</v>
      </c>
      <c r="E990" s="7" t="s">
        <v>9993</v>
      </c>
      <c r="F990" s="7" t="s">
        <v>3549</v>
      </c>
      <c r="G990" s="7" t="s">
        <v>10000</v>
      </c>
      <c r="H990" s="7" t="s">
        <v>10001</v>
      </c>
      <c r="I990" s="119">
        <v>45292.0</v>
      </c>
      <c r="K990" s="7" t="s">
        <v>419</v>
      </c>
      <c r="L990" s="7" t="s">
        <v>991</v>
      </c>
      <c r="M990" s="7" t="s">
        <v>3501</v>
      </c>
      <c r="N990" s="7" t="s">
        <v>419</v>
      </c>
      <c r="O990" s="7" t="s">
        <v>19432</v>
      </c>
      <c r="P990" s="7" t="s">
        <v>693</v>
      </c>
      <c r="Q990" s="7" t="s">
        <v>703</v>
      </c>
      <c r="T990" s="7" t="s">
        <v>19452</v>
      </c>
      <c r="U990" s="7" t="s">
        <v>6078</v>
      </c>
      <c r="V990" s="7">
        <v>1.0</v>
      </c>
    </row>
    <row r="991">
      <c r="A991" s="7" t="s">
        <v>20871</v>
      </c>
      <c r="B991" s="7">
        <v>255.0</v>
      </c>
      <c r="C991" s="7" t="s">
        <v>10005</v>
      </c>
      <c r="D991" s="7" t="s">
        <v>4453</v>
      </c>
      <c r="E991" s="7" t="s">
        <v>10006</v>
      </c>
      <c r="F991" s="7" t="s">
        <v>4455</v>
      </c>
      <c r="G991" s="7" t="s">
        <v>10007</v>
      </c>
      <c r="H991" s="7" t="s">
        <v>10008</v>
      </c>
      <c r="I991" s="119">
        <v>45292.0</v>
      </c>
      <c r="K991" s="7" t="s">
        <v>419</v>
      </c>
      <c r="L991" s="7" t="s">
        <v>991</v>
      </c>
      <c r="M991" s="7" t="s">
        <v>3501</v>
      </c>
      <c r="N991" s="7" t="s">
        <v>419</v>
      </c>
      <c r="O991" s="7" t="s">
        <v>19443</v>
      </c>
      <c r="P991" s="7" t="s">
        <v>1242</v>
      </c>
      <c r="Q991" s="7" t="s">
        <v>51</v>
      </c>
      <c r="R991" s="7" t="s">
        <v>19599</v>
      </c>
      <c r="S991" s="7" t="s">
        <v>20161</v>
      </c>
      <c r="T991" s="7" t="s">
        <v>6346</v>
      </c>
      <c r="U991" s="7" t="s">
        <v>3493</v>
      </c>
      <c r="V991" s="7">
        <v>1.0</v>
      </c>
    </row>
    <row r="992">
      <c r="A992" s="7" t="s">
        <v>20872</v>
      </c>
      <c r="B992" s="7">
        <v>10529.0</v>
      </c>
      <c r="C992" s="7" t="s">
        <v>10005</v>
      </c>
      <c r="D992" s="7" t="s">
        <v>10010</v>
      </c>
      <c r="E992" s="7" t="s">
        <v>10006</v>
      </c>
      <c r="F992" s="7" t="s">
        <v>4687</v>
      </c>
      <c r="G992" s="7" t="s">
        <v>10011</v>
      </c>
      <c r="H992" s="7" t="s">
        <v>10012</v>
      </c>
      <c r="I992" s="119">
        <v>45292.0</v>
      </c>
      <c r="K992" s="7" t="s">
        <v>419</v>
      </c>
      <c r="L992" s="7" t="s">
        <v>991</v>
      </c>
      <c r="M992" s="7" t="s">
        <v>3501</v>
      </c>
      <c r="N992" s="7" t="s">
        <v>419</v>
      </c>
      <c r="O992" s="7" t="s">
        <v>19430</v>
      </c>
      <c r="P992" s="7" t="s">
        <v>717</v>
      </c>
      <c r="Q992" s="7" t="s">
        <v>720</v>
      </c>
      <c r="R992" s="7" t="s">
        <v>19626</v>
      </c>
      <c r="S992" s="7" t="s">
        <v>19718</v>
      </c>
      <c r="T992" s="7" t="s">
        <v>4368</v>
      </c>
      <c r="U992" s="7" t="s">
        <v>3493</v>
      </c>
      <c r="V992" s="7">
        <v>1.0</v>
      </c>
    </row>
    <row r="993">
      <c r="A993" s="7" t="s">
        <v>20873</v>
      </c>
      <c r="B993" s="7">
        <v>11749.0</v>
      </c>
      <c r="C993" s="7" t="s">
        <v>10005</v>
      </c>
      <c r="D993" s="7" t="s">
        <v>10014</v>
      </c>
      <c r="E993" s="7" t="s">
        <v>10006</v>
      </c>
      <c r="F993" s="7" t="s">
        <v>10015</v>
      </c>
      <c r="G993" s="7" t="s">
        <v>10016</v>
      </c>
      <c r="H993" s="7" t="s">
        <v>10017</v>
      </c>
      <c r="I993" s="119">
        <v>45292.0</v>
      </c>
      <c r="J993" s="7" t="s">
        <v>3929</v>
      </c>
      <c r="K993" s="7" t="s">
        <v>419</v>
      </c>
      <c r="L993" s="7" t="s">
        <v>991</v>
      </c>
      <c r="M993" s="7" t="s">
        <v>3501</v>
      </c>
      <c r="N993" s="7" t="s">
        <v>419</v>
      </c>
      <c r="O993" s="7" t="s">
        <v>19430</v>
      </c>
      <c r="P993" s="7" t="s">
        <v>717</v>
      </c>
      <c r="Q993" s="7" t="s">
        <v>223</v>
      </c>
      <c r="R993" s="7" t="s">
        <v>20799</v>
      </c>
      <c r="S993" s="7" t="s">
        <v>20874</v>
      </c>
      <c r="T993" s="7" t="s">
        <v>10019</v>
      </c>
      <c r="U993" s="7" t="s">
        <v>3493</v>
      </c>
      <c r="V993" s="7">
        <v>1.0</v>
      </c>
    </row>
    <row r="994">
      <c r="A994" s="7" t="s">
        <v>20875</v>
      </c>
      <c r="B994" s="7">
        <v>11415.0</v>
      </c>
      <c r="C994" s="7" t="s">
        <v>10005</v>
      </c>
      <c r="D994" s="7" t="s">
        <v>10021</v>
      </c>
      <c r="E994" s="7" t="s">
        <v>10006</v>
      </c>
      <c r="F994" s="7" t="s">
        <v>4424</v>
      </c>
      <c r="G994" s="7" t="s">
        <v>10022</v>
      </c>
      <c r="H994" s="7" t="s">
        <v>10023</v>
      </c>
      <c r="I994" s="119">
        <v>45292.0</v>
      </c>
      <c r="K994" s="7" t="s">
        <v>419</v>
      </c>
      <c r="L994" s="7" t="s">
        <v>991</v>
      </c>
      <c r="M994" s="7" t="s">
        <v>3501</v>
      </c>
      <c r="N994" s="7" t="s">
        <v>419</v>
      </c>
      <c r="O994" s="7" t="s">
        <v>19432</v>
      </c>
      <c r="P994" s="7" t="s">
        <v>693</v>
      </c>
      <c r="Q994" s="7" t="s">
        <v>701</v>
      </c>
      <c r="T994" s="7" t="s">
        <v>10025</v>
      </c>
      <c r="U994" s="7" t="s">
        <v>3493</v>
      </c>
      <c r="V994" s="7">
        <v>1.0</v>
      </c>
    </row>
    <row r="995">
      <c r="A995" s="7" t="s">
        <v>20876</v>
      </c>
      <c r="B995" s="7">
        <v>8385.0</v>
      </c>
      <c r="C995" s="7" t="s">
        <v>10005</v>
      </c>
      <c r="D995" s="7" t="s">
        <v>10027</v>
      </c>
      <c r="E995" s="7" t="s">
        <v>10006</v>
      </c>
      <c r="F995" s="7" t="s">
        <v>4478</v>
      </c>
      <c r="G995" s="7" t="s">
        <v>10028</v>
      </c>
      <c r="H995" s="7" t="s">
        <v>10029</v>
      </c>
      <c r="I995" s="119">
        <v>45292.0</v>
      </c>
      <c r="K995" s="7" t="s">
        <v>419</v>
      </c>
      <c r="L995" s="7" t="s">
        <v>991</v>
      </c>
      <c r="M995" s="7" t="s">
        <v>3531</v>
      </c>
      <c r="N995" s="7" t="s">
        <v>419</v>
      </c>
      <c r="O995" s="7" t="s">
        <v>19430</v>
      </c>
      <c r="P995" s="7" t="s">
        <v>717</v>
      </c>
      <c r="Q995" s="7" t="s">
        <v>720</v>
      </c>
      <c r="R995" s="7" t="s">
        <v>19834</v>
      </c>
      <c r="S995" s="7" t="s">
        <v>19835</v>
      </c>
      <c r="T995" s="7" t="s">
        <v>4811</v>
      </c>
      <c r="U995" s="7" t="s">
        <v>3493</v>
      </c>
      <c r="V995" s="7">
        <v>1.0</v>
      </c>
    </row>
    <row r="996">
      <c r="A996" s="7" t="s">
        <v>20877</v>
      </c>
      <c r="B996" s="7">
        <v>2100491.0</v>
      </c>
      <c r="C996" s="7" t="s">
        <v>10005</v>
      </c>
      <c r="D996" s="7" t="s">
        <v>10031</v>
      </c>
      <c r="E996" s="7" t="s">
        <v>10006</v>
      </c>
      <c r="F996" s="7" t="s">
        <v>6061</v>
      </c>
      <c r="G996" s="7" t="s">
        <v>10032</v>
      </c>
      <c r="H996" s="7" t="s">
        <v>10033</v>
      </c>
      <c r="I996" s="119">
        <v>45292.0</v>
      </c>
      <c r="K996" s="7" t="s">
        <v>5973</v>
      </c>
      <c r="L996" s="7" t="s">
        <v>3542</v>
      </c>
      <c r="M996" s="7" t="s">
        <v>4383</v>
      </c>
      <c r="N996" s="7" t="s">
        <v>419</v>
      </c>
      <c r="O996" s="7" t="s">
        <v>19438</v>
      </c>
      <c r="P996" s="7" t="s">
        <v>19465</v>
      </c>
      <c r="Q996" s="7" t="s">
        <v>186</v>
      </c>
      <c r="R996" s="7" t="s">
        <v>20121</v>
      </c>
      <c r="T996" s="7" t="s">
        <v>6596</v>
      </c>
      <c r="U996" s="7" t="s">
        <v>3604</v>
      </c>
      <c r="V996" s="7">
        <v>1.0</v>
      </c>
    </row>
    <row r="997">
      <c r="A997" s="7" t="s">
        <v>20878</v>
      </c>
      <c r="B997" s="7">
        <v>1094.0</v>
      </c>
      <c r="C997" s="7" t="s">
        <v>10036</v>
      </c>
      <c r="D997" s="7" t="s">
        <v>10037</v>
      </c>
      <c r="E997" s="7" t="s">
        <v>10038</v>
      </c>
      <c r="F997" s="7" t="s">
        <v>4546</v>
      </c>
      <c r="G997" s="7" t="s">
        <v>10039</v>
      </c>
      <c r="H997" s="7" t="s">
        <v>10040</v>
      </c>
      <c r="I997" s="119">
        <v>45292.0</v>
      </c>
      <c r="J997" s="7" t="s">
        <v>3929</v>
      </c>
      <c r="K997" s="7" t="s">
        <v>419</v>
      </c>
      <c r="L997" s="7" t="s">
        <v>991</v>
      </c>
      <c r="M997" s="7" t="s">
        <v>3501</v>
      </c>
      <c r="N997" s="7" t="s">
        <v>419</v>
      </c>
      <c r="O997" s="7" t="s">
        <v>19443</v>
      </c>
      <c r="P997" s="7" t="s">
        <v>323</v>
      </c>
      <c r="Q997" s="7" t="s">
        <v>819</v>
      </c>
      <c r="R997" s="7" t="s">
        <v>19716</v>
      </c>
      <c r="S997" s="7" t="s">
        <v>20258</v>
      </c>
      <c r="T997" s="7" t="s">
        <v>16125</v>
      </c>
      <c r="U997" s="7" t="s">
        <v>3493</v>
      </c>
      <c r="V997" s="7">
        <v>1.0</v>
      </c>
    </row>
    <row r="998">
      <c r="A998" s="7" t="s">
        <v>20879</v>
      </c>
      <c r="B998" s="7">
        <v>2300142.0</v>
      </c>
      <c r="C998" s="7" t="s">
        <v>10042</v>
      </c>
      <c r="D998" s="7" t="s">
        <v>10043</v>
      </c>
      <c r="E998" s="7" t="s">
        <v>10044</v>
      </c>
      <c r="F998" s="7" t="s">
        <v>10045</v>
      </c>
      <c r="G998" s="7" t="s">
        <v>10046</v>
      </c>
      <c r="H998" s="7" t="s">
        <v>10047</v>
      </c>
      <c r="I998" s="119">
        <v>45292.0</v>
      </c>
      <c r="K998" s="7" t="s">
        <v>419</v>
      </c>
      <c r="L998" s="7" t="s">
        <v>991</v>
      </c>
      <c r="M998" s="7" t="s">
        <v>3531</v>
      </c>
      <c r="N998" s="7" t="s">
        <v>419</v>
      </c>
      <c r="O998" s="7" t="s">
        <v>19430</v>
      </c>
      <c r="P998" s="7" t="s">
        <v>717</v>
      </c>
      <c r="Q998" s="7" t="s">
        <v>1163</v>
      </c>
      <c r="R998" s="7" t="s">
        <v>19601</v>
      </c>
      <c r="S998" s="7" t="s">
        <v>19602</v>
      </c>
      <c r="T998" s="7" t="s">
        <v>3931</v>
      </c>
      <c r="U998" s="7" t="s">
        <v>3493</v>
      </c>
      <c r="V998" s="7">
        <v>1.0</v>
      </c>
    </row>
    <row r="999">
      <c r="A999" s="7" t="s">
        <v>20880</v>
      </c>
      <c r="B999" s="7">
        <v>13608.0</v>
      </c>
      <c r="C999" s="7" t="s">
        <v>10049</v>
      </c>
      <c r="D999" s="7" t="s">
        <v>9518</v>
      </c>
      <c r="E999" s="7" t="s">
        <v>10050</v>
      </c>
      <c r="F999" s="7" t="s">
        <v>4487</v>
      </c>
      <c r="G999" s="7" t="s">
        <v>10051</v>
      </c>
      <c r="H999" s="7" t="s">
        <v>10052</v>
      </c>
      <c r="I999" s="119">
        <v>45292.0</v>
      </c>
      <c r="K999" s="7" t="s">
        <v>419</v>
      </c>
      <c r="L999" s="7" t="s">
        <v>991</v>
      </c>
      <c r="M999" s="7" t="s">
        <v>3501</v>
      </c>
      <c r="N999" s="7" t="s">
        <v>419</v>
      </c>
      <c r="O999" s="7" t="s">
        <v>19430</v>
      </c>
      <c r="P999" s="7" t="s">
        <v>717</v>
      </c>
      <c r="Q999" s="7" t="s">
        <v>720</v>
      </c>
      <c r="R999" s="7" t="s">
        <v>19626</v>
      </c>
      <c r="S999" s="7" t="s">
        <v>20789</v>
      </c>
      <c r="T999" s="7" t="s">
        <v>9595</v>
      </c>
      <c r="U999" s="7" t="s">
        <v>3493</v>
      </c>
      <c r="V999" s="7">
        <v>1.0</v>
      </c>
    </row>
    <row r="1000">
      <c r="A1000" s="7" t="s">
        <v>20881</v>
      </c>
      <c r="B1000" s="7">
        <v>11149.0</v>
      </c>
      <c r="C1000" s="7" t="s">
        <v>10054</v>
      </c>
      <c r="D1000" s="7" t="s">
        <v>10055</v>
      </c>
      <c r="E1000" s="7" t="s">
        <v>10056</v>
      </c>
      <c r="F1000" s="7" t="s">
        <v>10057</v>
      </c>
      <c r="G1000" s="7" t="s">
        <v>10058</v>
      </c>
      <c r="H1000" s="7" t="s">
        <v>10059</v>
      </c>
      <c r="I1000" s="119">
        <v>45292.0</v>
      </c>
      <c r="K1000" s="7" t="s">
        <v>419</v>
      </c>
      <c r="L1000" s="7" t="s">
        <v>991</v>
      </c>
      <c r="M1000" s="7" t="s">
        <v>3501</v>
      </c>
      <c r="N1000" s="7" t="s">
        <v>419</v>
      </c>
      <c r="O1000" s="7" t="s">
        <v>19430</v>
      </c>
      <c r="P1000" s="7" t="s">
        <v>717</v>
      </c>
      <c r="Q1000" s="7" t="s">
        <v>223</v>
      </c>
      <c r="R1000" s="7" t="s">
        <v>20108</v>
      </c>
      <c r="T1000" s="7" t="s">
        <v>6071</v>
      </c>
      <c r="U1000" s="7" t="s">
        <v>3493</v>
      </c>
      <c r="V1000" s="7">
        <v>1.0</v>
      </c>
    </row>
    <row r="1001">
      <c r="A1001" s="7" t="s">
        <v>20882</v>
      </c>
      <c r="B1001" s="7">
        <v>2300755.0</v>
      </c>
      <c r="C1001" s="7" t="s">
        <v>10061</v>
      </c>
      <c r="D1001" s="7" t="s">
        <v>10062</v>
      </c>
      <c r="E1001" s="7" t="s">
        <v>10063</v>
      </c>
      <c r="F1001" s="7" t="s">
        <v>10064</v>
      </c>
      <c r="G1001" s="7" t="s">
        <v>10065</v>
      </c>
      <c r="H1001" s="7" t="s">
        <v>10066</v>
      </c>
      <c r="I1001" s="119">
        <v>45292.0</v>
      </c>
      <c r="K1001" s="7" t="s">
        <v>419</v>
      </c>
      <c r="L1001" s="7" t="s">
        <v>991</v>
      </c>
      <c r="M1001" s="7" t="s">
        <v>3501</v>
      </c>
      <c r="N1001" s="7" t="s">
        <v>419</v>
      </c>
      <c r="O1001" s="7" t="s">
        <v>19432</v>
      </c>
      <c r="P1001" s="7" t="s">
        <v>693</v>
      </c>
      <c r="Q1001" s="7" t="s">
        <v>698</v>
      </c>
      <c r="R1001" s="7" t="s">
        <v>20444</v>
      </c>
      <c r="S1001" s="7" t="s">
        <v>20445</v>
      </c>
      <c r="T1001" s="7" t="s">
        <v>7828</v>
      </c>
      <c r="U1001" s="7" t="s">
        <v>3493</v>
      </c>
      <c r="V1001" s="7">
        <v>1.0</v>
      </c>
    </row>
    <row r="1002">
      <c r="A1002" s="7" t="s">
        <v>20883</v>
      </c>
      <c r="B1002" s="7">
        <v>2100001.0</v>
      </c>
      <c r="C1002" s="7" t="s">
        <v>10068</v>
      </c>
      <c r="D1002" s="7" t="s">
        <v>10069</v>
      </c>
      <c r="E1002" s="7" t="s">
        <v>10070</v>
      </c>
      <c r="F1002" s="7" t="s">
        <v>10071</v>
      </c>
      <c r="G1002" s="7" t="s">
        <v>10072</v>
      </c>
      <c r="H1002" s="7" t="s">
        <v>10073</v>
      </c>
      <c r="I1002" s="119">
        <v>45292.0</v>
      </c>
      <c r="K1002" s="7" t="s">
        <v>419</v>
      </c>
      <c r="L1002" s="7" t="s">
        <v>991</v>
      </c>
      <c r="M1002" s="7" t="s">
        <v>3501</v>
      </c>
      <c r="N1002" s="7" t="s">
        <v>419</v>
      </c>
      <c r="O1002" s="7" t="s">
        <v>19432</v>
      </c>
      <c r="P1002" s="7" t="s">
        <v>391</v>
      </c>
      <c r="Q1002" s="7" t="s">
        <v>399</v>
      </c>
      <c r="R1002" s="7" t="s">
        <v>20343</v>
      </c>
      <c r="T1002" s="7" t="s">
        <v>7379</v>
      </c>
      <c r="U1002" s="7" t="s">
        <v>3604</v>
      </c>
      <c r="V1002" s="7">
        <v>1.0</v>
      </c>
    </row>
    <row r="1003">
      <c r="A1003" s="7" t="s">
        <v>20884</v>
      </c>
      <c r="B1003" s="7">
        <v>13813.0</v>
      </c>
      <c r="C1003" s="7" t="s">
        <v>10075</v>
      </c>
      <c r="D1003" s="7" t="s">
        <v>10076</v>
      </c>
      <c r="E1003" s="7" t="s">
        <v>10077</v>
      </c>
      <c r="F1003" s="7" t="s">
        <v>6811</v>
      </c>
      <c r="G1003" s="7" t="s">
        <v>10078</v>
      </c>
      <c r="H1003" s="7" t="s">
        <v>10079</v>
      </c>
      <c r="I1003" s="119">
        <v>45292.0</v>
      </c>
      <c r="K1003" s="7" t="s">
        <v>419</v>
      </c>
      <c r="L1003" s="7" t="s">
        <v>991</v>
      </c>
      <c r="M1003" s="7" t="s">
        <v>3501</v>
      </c>
      <c r="N1003" s="7" t="s">
        <v>419</v>
      </c>
      <c r="O1003" s="7" t="s">
        <v>19430</v>
      </c>
      <c r="P1003" s="7" t="s">
        <v>717</v>
      </c>
      <c r="Q1003" s="7" t="s">
        <v>720</v>
      </c>
      <c r="R1003" s="7" t="s">
        <v>19626</v>
      </c>
      <c r="T1003" s="7" t="s">
        <v>10081</v>
      </c>
      <c r="U1003" s="7" t="s">
        <v>3604</v>
      </c>
      <c r="V1003" s="7">
        <v>1.0</v>
      </c>
    </row>
    <row r="1004">
      <c r="A1004" s="7" t="s">
        <v>20885</v>
      </c>
      <c r="B1004" s="7">
        <v>14145.0</v>
      </c>
      <c r="C1004" s="7" t="s">
        <v>10083</v>
      </c>
      <c r="D1004" s="7" t="s">
        <v>10084</v>
      </c>
      <c r="E1004" s="7" t="s">
        <v>10085</v>
      </c>
      <c r="F1004" s="7" t="s">
        <v>10086</v>
      </c>
      <c r="G1004" s="7" t="s">
        <v>10087</v>
      </c>
      <c r="H1004" s="7" t="s">
        <v>10088</v>
      </c>
      <c r="I1004" s="119">
        <v>45292.0</v>
      </c>
      <c r="K1004" s="7" t="s">
        <v>419</v>
      </c>
      <c r="L1004" s="7" t="s">
        <v>991</v>
      </c>
      <c r="M1004" s="7" t="s">
        <v>3501</v>
      </c>
      <c r="N1004" s="7" t="s">
        <v>419</v>
      </c>
      <c r="O1004" s="7" t="s">
        <v>19430</v>
      </c>
      <c r="P1004" s="7" t="s">
        <v>780</v>
      </c>
      <c r="Q1004" s="7" t="s">
        <v>786</v>
      </c>
      <c r="R1004" s="7" t="s">
        <v>19666</v>
      </c>
      <c r="T1004" s="7" t="s">
        <v>4169</v>
      </c>
      <c r="U1004" s="7" t="s">
        <v>3493</v>
      </c>
      <c r="V1004" s="7">
        <v>1.0</v>
      </c>
    </row>
    <row r="1005">
      <c r="A1005" s="7" t="s">
        <v>20886</v>
      </c>
      <c r="B1005" s="7">
        <v>2200044.0</v>
      </c>
      <c r="C1005" s="7" t="s">
        <v>10090</v>
      </c>
      <c r="D1005" s="7" t="s">
        <v>10091</v>
      </c>
      <c r="E1005" s="7" t="s">
        <v>10092</v>
      </c>
      <c r="F1005" s="7" t="s">
        <v>10093</v>
      </c>
      <c r="G1005" s="7" t="s">
        <v>10094</v>
      </c>
      <c r="H1005" s="7" t="s">
        <v>10095</v>
      </c>
      <c r="I1005" s="119">
        <v>45292.0</v>
      </c>
      <c r="K1005" s="7" t="s">
        <v>419</v>
      </c>
      <c r="L1005" s="7" t="s">
        <v>991</v>
      </c>
      <c r="M1005" s="7" t="s">
        <v>3531</v>
      </c>
      <c r="N1005" s="7" t="s">
        <v>419</v>
      </c>
      <c r="O1005" s="7" t="s">
        <v>19430</v>
      </c>
      <c r="P1005" s="7" t="s">
        <v>717</v>
      </c>
      <c r="Q1005" s="7" t="s">
        <v>722</v>
      </c>
      <c r="R1005" s="7" t="s">
        <v>19863</v>
      </c>
      <c r="S1005" s="7" t="s">
        <v>19869</v>
      </c>
      <c r="T1005" s="7" t="s">
        <v>4980</v>
      </c>
      <c r="U1005" s="7" t="s">
        <v>3493</v>
      </c>
      <c r="V1005" s="7">
        <v>1.0</v>
      </c>
    </row>
    <row r="1006">
      <c r="A1006" s="7" t="s">
        <v>20887</v>
      </c>
      <c r="B1006" s="7">
        <v>730.0</v>
      </c>
      <c r="C1006" s="7" t="s">
        <v>10090</v>
      </c>
      <c r="D1006" s="7" t="s">
        <v>10097</v>
      </c>
      <c r="E1006" s="7" t="s">
        <v>10092</v>
      </c>
      <c r="F1006" s="7" t="s">
        <v>8036</v>
      </c>
      <c r="G1006" s="7" t="s">
        <v>10098</v>
      </c>
      <c r="H1006" s="7" t="s">
        <v>10099</v>
      </c>
      <c r="I1006" s="119">
        <v>45292.0</v>
      </c>
      <c r="K1006" s="7" t="s">
        <v>419</v>
      </c>
      <c r="L1006" s="7" t="s">
        <v>991</v>
      </c>
      <c r="M1006" s="7" t="s">
        <v>3501</v>
      </c>
      <c r="N1006" s="7" t="s">
        <v>419</v>
      </c>
      <c r="O1006" s="7" t="s">
        <v>19433</v>
      </c>
      <c r="P1006" s="7" t="s">
        <v>587</v>
      </c>
      <c r="Q1006" s="7" t="s">
        <v>72</v>
      </c>
      <c r="R1006" s="7" t="s">
        <v>19566</v>
      </c>
      <c r="T1006" s="7" t="s">
        <v>5672</v>
      </c>
      <c r="U1006" s="7" t="s">
        <v>3493</v>
      </c>
      <c r="V1006" s="7">
        <v>1.0</v>
      </c>
    </row>
    <row r="1007">
      <c r="A1007" s="7" t="s">
        <v>20888</v>
      </c>
      <c r="B1007" s="7">
        <v>2300376.0</v>
      </c>
      <c r="C1007" s="7" t="s">
        <v>10090</v>
      </c>
      <c r="D1007" s="7" t="s">
        <v>10101</v>
      </c>
      <c r="E1007" s="7" t="s">
        <v>10092</v>
      </c>
      <c r="F1007" s="7" t="s">
        <v>10102</v>
      </c>
      <c r="G1007" s="7" t="s">
        <v>10103</v>
      </c>
      <c r="H1007" s="7" t="s">
        <v>10104</v>
      </c>
      <c r="I1007" s="119">
        <v>45292.0</v>
      </c>
      <c r="K1007" s="7" t="s">
        <v>419</v>
      </c>
      <c r="L1007" s="7" t="s">
        <v>991</v>
      </c>
      <c r="M1007" s="7" t="s">
        <v>3531</v>
      </c>
      <c r="N1007" s="7" t="s">
        <v>419</v>
      </c>
      <c r="O1007" s="7" t="s">
        <v>19430</v>
      </c>
      <c r="P1007" s="7" t="s">
        <v>717</v>
      </c>
      <c r="Q1007" s="7" t="s">
        <v>725</v>
      </c>
      <c r="R1007" s="7" t="s">
        <v>19501</v>
      </c>
      <c r="S1007" s="7" t="s">
        <v>19643</v>
      </c>
      <c r="T1007" s="7" t="s">
        <v>4097</v>
      </c>
      <c r="U1007" s="7" t="s">
        <v>3493</v>
      </c>
      <c r="V1007" s="7">
        <v>1.0</v>
      </c>
    </row>
    <row r="1008">
      <c r="A1008" s="7" t="s">
        <v>20889</v>
      </c>
      <c r="B1008" s="7">
        <v>375.0</v>
      </c>
      <c r="C1008" s="7" t="s">
        <v>10090</v>
      </c>
      <c r="D1008" s="7" t="s">
        <v>10105</v>
      </c>
      <c r="E1008" s="7" t="s">
        <v>10092</v>
      </c>
      <c r="F1008" s="7" t="s">
        <v>5330</v>
      </c>
      <c r="G1008" s="7" t="s">
        <v>10106</v>
      </c>
      <c r="H1008" s="7" t="s">
        <v>10107</v>
      </c>
      <c r="I1008" s="119">
        <v>45292.0</v>
      </c>
      <c r="K1008" s="7" t="s">
        <v>419</v>
      </c>
      <c r="L1008" s="7" t="s">
        <v>991</v>
      </c>
      <c r="M1008" s="7" t="s">
        <v>3501</v>
      </c>
      <c r="N1008" s="7" t="s">
        <v>419</v>
      </c>
      <c r="O1008" s="7" t="s">
        <v>19430</v>
      </c>
      <c r="P1008" s="7" t="s">
        <v>854</v>
      </c>
      <c r="T1008" s="7" t="s">
        <v>10108</v>
      </c>
      <c r="U1008" s="7" t="s">
        <v>3493</v>
      </c>
      <c r="V1008" s="7">
        <v>1.0</v>
      </c>
    </row>
    <row r="1009">
      <c r="A1009" s="7" t="s">
        <v>20890</v>
      </c>
      <c r="B1009" s="7">
        <v>11002.0</v>
      </c>
      <c r="C1009" s="7" t="s">
        <v>10090</v>
      </c>
      <c r="D1009" s="7" t="s">
        <v>4402</v>
      </c>
      <c r="E1009" s="7" t="s">
        <v>10092</v>
      </c>
      <c r="F1009" s="7" t="s">
        <v>4203</v>
      </c>
      <c r="G1009" s="7" t="s">
        <v>10110</v>
      </c>
      <c r="H1009" s="7" t="s">
        <v>10111</v>
      </c>
      <c r="I1009" s="119">
        <v>45292.0</v>
      </c>
      <c r="K1009" s="7" t="s">
        <v>419</v>
      </c>
      <c r="L1009" s="7" t="s">
        <v>991</v>
      </c>
      <c r="M1009" s="7" t="s">
        <v>3501</v>
      </c>
      <c r="N1009" s="7" t="s">
        <v>419</v>
      </c>
      <c r="O1009" s="7" t="s">
        <v>19432</v>
      </c>
      <c r="P1009" s="7" t="s">
        <v>391</v>
      </c>
      <c r="Q1009" s="7" t="s">
        <v>392</v>
      </c>
      <c r="R1009" s="7" t="s">
        <v>19706</v>
      </c>
      <c r="T1009" s="7" t="s">
        <v>18578</v>
      </c>
      <c r="U1009" s="7" t="s">
        <v>3493</v>
      </c>
      <c r="V1009" s="7">
        <v>1.0</v>
      </c>
    </row>
    <row r="1010">
      <c r="A1010" s="7" t="s">
        <v>20891</v>
      </c>
      <c r="B1010" s="7">
        <v>12808.0</v>
      </c>
      <c r="C1010" s="7" t="s">
        <v>10090</v>
      </c>
      <c r="D1010" s="7" t="s">
        <v>10113</v>
      </c>
      <c r="E1010" s="7" t="s">
        <v>10092</v>
      </c>
      <c r="F1010" s="7" t="s">
        <v>6576</v>
      </c>
      <c r="G1010" s="7" t="s">
        <v>10114</v>
      </c>
      <c r="H1010" s="7" t="s">
        <v>10115</v>
      </c>
      <c r="I1010" s="119">
        <v>45292.0</v>
      </c>
      <c r="K1010" s="7" t="s">
        <v>419</v>
      </c>
      <c r="L1010" s="7" t="s">
        <v>991</v>
      </c>
      <c r="M1010" s="7" t="s">
        <v>3501</v>
      </c>
      <c r="N1010" s="7" t="s">
        <v>419</v>
      </c>
      <c r="O1010" s="7" t="s">
        <v>19430</v>
      </c>
      <c r="P1010" s="7" t="s">
        <v>717</v>
      </c>
      <c r="Q1010" s="7" t="s">
        <v>223</v>
      </c>
      <c r="R1010" s="7" t="s">
        <v>20108</v>
      </c>
      <c r="T1010" s="7" t="s">
        <v>6071</v>
      </c>
      <c r="U1010" s="7" t="s">
        <v>3493</v>
      </c>
      <c r="V1010" s="7">
        <v>1.0</v>
      </c>
    </row>
    <row r="1011">
      <c r="A1011" s="7" t="s">
        <v>20892</v>
      </c>
      <c r="B1011" s="7">
        <v>2200606.0</v>
      </c>
      <c r="C1011" s="7" t="s">
        <v>10090</v>
      </c>
      <c r="D1011" s="7" t="s">
        <v>10117</v>
      </c>
      <c r="E1011" s="7" t="s">
        <v>10092</v>
      </c>
      <c r="F1011" s="7" t="s">
        <v>10118</v>
      </c>
      <c r="G1011" s="7" t="s">
        <v>10119</v>
      </c>
      <c r="H1011" s="7" t="s">
        <v>10120</v>
      </c>
      <c r="I1011" s="119">
        <v>45292.0</v>
      </c>
      <c r="K1011" s="7" t="s">
        <v>419</v>
      </c>
      <c r="L1011" s="7" t="s">
        <v>991</v>
      </c>
      <c r="M1011" s="7" t="s">
        <v>3501</v>
      </c>
      <c r="N1011" s="7" t="s">
        <v>419</v>
      </c>
      <c r="O1011" s="7" t="s">
        <v>19430</v>
      </c>
      <c r="P1011" s="7" t="s">
        <v>717</v>
      </c>
      <c r="Q1011" s="7" t="s">
        <v>725</v>
      </c>
      <c r="R1011" s="7" t="s">
        <v>19741</v>
      </c>
      <c r="S1011" s="7" t="s">
        <v>19495</v>
      </c>
      <c r="T1011" s="7" t="s">
        <v>10122</v>
      </c>
      <c r="U1011" s="7" t="s">
        <v>3493</v>
      </c>
      <c r="V1011" s="7">
        <v>1.0</v>
      </c>
    </row>
    <row r="1012">
      <c r="A1012" s="7" t="s">
        <v>20893</v>
      </c>
      <c r="B1012" s="7">
        <v>3000045.0</v>
      </c>
      <c r="C1012" s="7" t="s">
        <v>10124</v>
      </c>
      <c r="D1012" s="7" t="s">
        <v>10125</v>
      </c>
      <c r="E1012" s="7" t="s">
        <v>10126</v>
      </c>
      <c r="F1012" s="7" t="s">
        <v>10127</v>
      </c>
      <c r="G1012" s="7" t="s">
        <v>10128</v>
      </c>
      <c r="H1012" s="7" t="s">
        <v>10129</v>
      </c>
      <c r="I1012" s="119">
        <v>45444.0</v>
      </c>
      <c r="J1012" s="7" t="s">
        <v>3929</v>
      </c>
      <c r="K1012" s="7" t="s">
        <v>419</v>
      </c>
      <c r="L1012" s="7" t="s">
        <v>991</v>
      </c>
      <c r="M1012" s="7" t="s">
        <v>3501</v>
      </c>
      <c r="N1012" s="7" t="s">
        <v>419</v>
      </c>
      <c r="O1012" s="7" t="s">
        <v>19430</v>
      </c>
      <c r="P1012" s="7" t="s">
        <v>717</v>
      </c>
      <c r="Q1012" s="7" t="s">
        <v>1163</v>
      </c>
      <c r="R1012" s="7" t="s">
        <v>19639</v>
      </c>
      <c r="S1012" s="7" t="s">
        <v>20600</v>
      </c>
      <c r="T1012" s="7" t="s">
        <v>8551</v>
      </c>
      <c r="U1012" s="7" t="s">
        <v>3493</v>
      </c>
      <c r="V1012" s="7">
        <v>1.0</v>
      </c>
    </row>
    <row r="1013">
      <c r="A1013" s="7" t="s">
        <v>20894</v>
      </c>
      <c r="B1013" s="7">
        <v>10286.0</v>
      </c>
      <c r="C1013" s="7" t="s">
        <v>10130</v>
      </c>
      <c r="D1013" s="7" t="s">
        <v>5489</v>
      </c>
      <c r="E1013" s="7" t="s">
        <v>10131</v>
      </c>
      <c r="F1013" s="7" t="s">
        <v>10132</v>
      </c>
      <c r="G1013" s="7" t="s">
        <v>10133</v>
      </c>
      <c r="H1013" s="7" t="s">
        <v>10134</v>
      </c>
      <c r="I1013" s="119">
        <v>45292.0</v>
      </c>
      <c r="K1013" s="7" t="s">
        <v>419</v>
      </c>
      <c r="L1013" s="7" t="s">
        <v>991</v>
      </c>
      <c r="M1013" s="7" t="s">
        <v>3501</v>
      </c>
      <c r="N1013" s="7" t="s">
        <v>419</v>
      </c>
      <c r="O1013" s="7" t="s">
        <v>19432</v>
      </c>
      <c r="P1013" s="7" t="s">
        <v>693</v>
      </c>
      <c r="Q1013" s="7" t="s">
        <v>703</v>
      </c>
      <c r="R1013" s="7" t="s">
        <v>19579</v>
      </c>
      <c r="S1013" s="7" t="s">
        <v>20895</v>
      </c>
      <c r="T1013" s="7" t="s">
        <v>11865</v>
      </c>
      <c r="U1013" s="7" t="s">
        <v>3843</v>
      </c>
      <c r="V1013" s="7">
        <v>1.0</v>
      </c>
    </row>
    <row r="1014">
      <c r="A1014" s="7" t="s">
        <v>20896</v>
      </c>
      <c r="B1014" s="7">
        <v>11847.0</v>
      </c>
      <c r="C1014" s="7" t="s">
        <v>10138</v>
      </c>
      <c r="D1014" s="7" t="s">
        <v>10139</v>
      </c>
      <c r="E1014" s="7" t="s">
        <v>10140</v>
      </c>
      <c r="F1014" s="7" t="s">
        <v>10139</v>
      </c>
      <c r="G1014" s="7" t="s">
        <v>10141</v>
      </c>
      <c r="H1014" s="7" t="s">
        <v>10142</v>
      </c>
      <c r="I1014" s="119">
        <v>45292.0</v>
      </c>
      <c r="K1014" s="7" t="s">
        <v>419</v>
      </c>
      <c r="L1014" s="7" t="s">
        <v>991</v>
      </c>
      <c r="M1014" s="7" t="s">
        <v>3501</v>
      </c>
      <c r="N1014" s="7" t="s">
        <v>419</v>
      </c>
      <c r="O1014" s="7" t="s">
        <v>19432</v>
      </c>
      <c r="P1014" s="7" t="s">
        <v>1433</v>
      </c>
      <c r="Q1014" s="7" t="s">
        <v>644</v>
      </c>
      <c r="R1014" s="7" t="s">
        <v>20235</v>
      </c>
      <c r="T1014" s="7" t="s">
        <v>10143</v>
      </c>
      <c r="U1014" s="7" t="s">
        <v>3493</v>
      </c>
      <c r="V1014" s="7">
        <v>1.0</v>
      </c>
    </row>
    <row r="1015">
      <c r="A1015" s="7" t="s">
        <v>20897</v>
      </c>
      <c r="B1015" s="7">
        <v>11473.0</v>
      </c>
      <c r="C1015" s="7" t="s">
        <v>10145</v>
      </c>
      <c r="D1015" s="7" t="s">
        <v>10146</v>
      </c>
      <c r="E1015" s="7" t="s">
        <v>10147</v>
      </c>
      <c r="F1015" s="7" t="s">
        <v>6253</v>
      </c>
      <c r="G1015" s="7" t="s">
        <v>10148</v>
      </c>
      <c r="H1015" s="7" t="s">
        <v>10149</v>
      </c>
      <c r="I1015" s="119">
        <v>45292.0</v>
      </c>
      <c r="K1015" s="7" t="s">
        <v>419</v>
      </c>
      <c r="L1015" s="7" t="s">
        <v>991</v>
      </c>
      <c r="M1015" s="7" t="s">
        <v>3501</v>
      </c>
      <c r="N1015" s="7" t="s">
        <v>419</v>
      </c>
      <c r="O1015" s="7" t="s">
        <v>19430</v>
      </c>
      <c r="P1015" s="7" t="s">
        <v>717</v>
      </c>
      <c r="Q1015" s="7" t="s">
        <v>738</v>
      </c>
      <c r="R1015" s="7" t="s">
        <v>19574</v>
      </c>
      <c r="S1015" s="7" t="s">
        <v>19920</v>
      </c>
      <c r="T1015" s="7" t="s">
        <v>10314</v>
      </c>
      <c r="U1015" s="7" t="s">
        <v>3843</v>
      </c>
      <c r="V1015" s="7">
        <v>1.0</v>
      </c>
    </row>
    <row r="1016">
      <c r="A1016" s="7" t="s">
        <v>20898</v>
      </c>
      <c r="B1016" s="7">
        <v>2100002.0</v>
      </c>
      <c r="C1016" s="7" t="s">
        <v>10152</v>
      </c>
      <c r="D1016" s="7" t="s">
        <v>10153</v>
      </c>
      <c r="E1016" s="7" t="s">
        <v>10154</v>
      </c>
      <c r="F1016" s="7" t="s">
        <v>10155</v>
      </c>
      <c r="G1016" s="7" t="s">
        <v>10156</v>
      </c>
      <c r="H1016" s="7" t="s">
        <v>10157</v>
      </c>
      <c r="I1016" s="119">
        <v>45292.0</v>
      </c>
      <c r="K1016" s="7" t="s">
        <v>419</v>
      </c>
      <c r="L1016" s="7" t="s">
        <v>991</v>
      </c>
      <c r="M1016" s="7" t="s">
        <v>3501</v>
      </c>
      <c r="N1016" s="7" t="s">
        <v>419</v>
      </c>
      <c r="O1016" s="7" t="s">
        <v>19432</v>
      </c>
      <c r="P1016" s="7" t="s">
        <v>693</v>
      </c>
      <c r="Q1016" s="7" t="s">
        <v>698</v>
      </c>
      <c r="R1016" s="7" t="s">
        <v>19783</v>
      </c>
      <c r="S1016" s="7" t="s">
        <v>19784</v>
      </c>
      <c r="T1016" s="7" t="s">
        <v>4624</v>
      </c>
      <c r="U1016" s="7" t="s">
        <v>3493</v>
      </c>
      <c r="V1016" s="7">
        <v>1.0</v>
      </c>
    </row>
    <row r="1017">
      <c r="A1017" s="7" t="s">
        <v>20899</v>
      </c>
      <c r="B1017" s="7">
        <v>2100495.0</v>
      </c>
      <c r="C1017" s="7" t="s">
        <v>10152</v>
      </c>
      <c r="D1017" s="7" t="s">
        <v>10159</v>
      </c>
      <c r="E1017" s="7" t="s">
        <v>10154</v>
      </c>
      <c r="F1017" s="7" t="s">
        <v>10160</v>
      </c>
      <c r="G1017" s="7" t="s">
        <v>10161</v>
      </c>
      <c r="H1017" s="7" t="s">
        <v>10162</v>
      </c>
      <c r="I1017" s="119">
        <v>45292.0</v>
      </c>
      <c r="K1017" s="7" t="s">
        <v>419</v>
      </c>
      <c r="L1017" s="7" t="s">
        <v>991</v>
      </c>
      <c r="M1017" s="7" t="s">
        <v>3501</v>
      </c>
      <c r="N1017" s="7" t="s">
        <v>419</v>
      </c>
      <c r="O1017" s="7" t="s">
        <v>19432</v>
      </c>
      <c r="P1017" s="7" t="s">
        <v>391</v>
      </c>
      <c r="Q1017" s="7" t="s">
        <v>392</v>
      </c>
      <c r="R1017" s="7" t="s">
        <v>19706</v>
      </c>
      <c r="T1017" s="7" t="s">
        <v>18578</v>
      </c>
      <c r="U1017" s="7" t="s">
        <v>3493</v>
      </c>
      <c r="V1017" s="7">
        <v>1.0</v>
      </c>
    </row>
    <row r="1018">
      <c r="A1018" s="7" t="s">
        <v>20900</v>
      </c>
      <c r="B1018" s="7">
        <v>2100125.0</v>
      </c>
      <c r="C1018" s="7" t="s">
        <v>10164</v>
      </c>
      <c r="D1018" s="7" t="s">
        <v>10165</v>
      </c>
      <c r="E1018" s="7" t="s">
        <v>10166</v>
      </c>
      <c r="F1018" s="7" t="s">
        <v>5595</v>
      </c>
      <c r="G1018" s="7" t="s">
        <v>10167</v>
      </c>
      <c r="H1018" s="7" t="s">
        <v>10168</v>
      </c>
      <c r="I1018" s="119">
        <v>45292.0</v>
      </c>
      <c r="K1018" s="7" t="s">
        <v>419</v>
      </c>
      <c r="L1018" s="7" t="s">
        <v>991</v>
      </c>
      <c r="M1018" s="7" t="s">
        <v>3501</v>
      </c>
      <c r="N1018" s="7" t="s">
        <v>419</v>
      </c>
      <c r="O1018" s="7" t="s">
        <v>19430</v>
      </c>
      <c r="P1018" s="7" t="s">
        <v>854</v>
      </c>
      <c r="Q1018" s="7" t="s">
        <v>859</v>
      </c>
      <c r="R1018" s="7" t="s">
        <v>19566</v>
      </c>
      <c r="S1018" s="7" t="s">
        <v>19636</v>
      </c>
      <c r="T1018" s="7" t="s">
        <v>4064</v>
      </c>
      <c r="U1018" s="7" t="s">
        <v>3493</v>
      </c>
      <c r="V1018" s="7">
        <v>1.0</v>
      </c>
    </row>
    <row r="1019">
      <c r="A1019" s="7" t="s">
        <v>20901</v>
      </c>
      <c r="B1019" s="7">
        <v>2100449.0</v>
      </c>
      <c r="C1019" s="7" t="s">
        <v>10164</v>
      </c>
      <c r="D1019" s="7" t="s">
        <v>10170</v>
      </c>
      <c r="E1019" s="7" t="s">
        <v>10166</v>
      </c>
      <c r="F1019" s="7" t="s">
        <v>10171</v>
      </c>
      <c r="G1019" s="7" t="s">
        <v>10172</v>
      </c>
      <c r="H1019" s="7" t="s">
        <v>10173</v>
      </c>
      <c r="I1019" s="119">
        <v>45292.0</v>
      </c>
      <c r="K1019" s="7" t="s">
        <v>419</v>
      </c>
      <c r="L1019" s="7" t="s">
        <v>991</v>
      </c>
      <c r="M1019" s="7" t="s">
        <v>3501</v>
      </c>
      <c r="N1019" s="7" t="s">
        <v>419</v>
      </c>
      <c r="O1019" s="7" t="s">
        <v>19432</v>
      </c>
      <c r="P1019" s="7" t="s">
        <v>391</v>
      </c>
      <c r="Q1019" s="7" t="s">
        <v>392</v>
      </c>
      <c r="R1019" s="7" t="s">
        <v>20356</v>
      </c>
      <c r="T1019" s="7" t="s">
        <v>20357</v>
      </c>
      <c r="U1019" s="7" t="s">
        <v>3493</v>
      </c>
      <c r="V1019" s="7">
        <v>1.0</v>
      </c>
    </row>
    <row r="1020">
      <c r="A1020" s="7" t="s">
        <v>20902</v>
      </c>
      <c r="B1020" s="7">
        <v>12421.0</v>
      </c>
      <c r="C1020" s="7" t="s">
        <v>10176</v>
      </c>
      <c r="D1020" s="7" t="s">
        <v>10177</v>
      </c>
      <c r="E1020" s="7" t="s">
        <v>10178</v>
      </c>
      <c r="F1020" s="7" t="s">
        <v>10179</v>
      </c>
      <c r="G1020" s="7" t="s">
        <v>10180</v>
      </c>
      <c r="H1020" s="7" t="s">
        <v>10181</v>
      </c>
      <c r="I1020" s="119">
        <v>45292.0</v>
      </c>
      <c r="K1020" s="7" t="s">
        <v>419</v>
      </c>
      <c r="L1020" s="7" t="s">
        <v>991</v>
      </c>
      <c r="M1020" s="7" t="s">
        <v>3501</v>
      </c>
      <c r="N1020" s="7" t="s">
        <v>419</v>
      </c>
      <c r="O1020" s="7" t="s">
        <v>19430</v>
      </c>
      <c r="P1020" s="7" t="s">
        <v>854</v>
      </c>
      <c r="Q1020" s="7" t="s">
        <v>861</v>
      </c>
      <c r="R1020" s="7" t="s">
        <v>19664</v>
      </c>
      <c r="T1020" s="7" t="s">
        <v>9590</v>
      </c>
      <c r="U1020" s="7" t="s">
        <v>3493</v>
      </c>
      <c r="V1020" s="7">
        <v>1.0</v>
      </c>
    </row>
    <row r="1021">
      <c r="A1021" s="7" t="s">
        <v>20903</v>
      </c>
      <c r="B1021" s="7">
        <v>13811.0</v>
      </c>
      <c r="C1021" s="7" t="s">
        <v>10176</v>
      </c>
      <c r="D1021" s="7" t="s">
        <v>10183</v>
      </c>
      <c r="E1021" s="7" t="s">
        <v>10178</v>
      </c>
      <c r="F1021" s="7" t="s">
        <v>4929</v>
      </c>
      <c r="G1021" s="7" t="s">
        <v>10184</v>
      </c>
      <c r="H1021" s="7" t="s">
        <v>10185</v>
      </c>
      <c r="I1021" s="119">
        <v>45292.0</v>
      </c>
      <c r="K1021" s="7" t="s">
        <v>6124</v>
      </c>
      <c r="L1021" s="7" t="s">
        <v>3542</v>
      </c>
      <c r="M1021" s="7" t="s">
        <v>3543</v>
      </c>
      <c r="N1021" s="7" t="s">
        <v>419</v>
      </c>
      <c r="O1021" s="7" t="s">
        <v>19437</v>
      </c>
      <c r="P1021" s="7" t="s">
        <v>478</v>
      </c>
      <c r="Q1021" s="7" t="s">
        <v>953</v>
      </c>
      <c r="R1021" s="7" t="s">
        <v>19492</v>
      </c>
      <c r="T1021" s="7" t="s">
        <v>20904</v>
      </c>
      <c r="U1021" s="7" t="s">
        <v>3604</v>
      </c>
      <c r="V1021" s="7">
        <v>1.0</v>
      </c>
    </row>
    <row r="1022">
      <c r="A1022" s="7" t="s">
        <v>20905</v>
      </c>
      <c r="B1022" s="7">
        <v>14266.0</v>
      </c>
      <c r="C1022" s="7" t="s">
        <v>10176</v>
      </c>
      <c r="D1022" s="7" t="s">
        <v>10190</v>
      </c>
      <c r="E1022" s="7" t="s">
        <v>10178</v>
      </c>
      <c r="F1022" s="7" t="s">
        <v>10191</v>
      </c>
      <c r="G1022" s="7" t="s">
        <v>10192</v>
      </c>
      <c r="H1022" s="7" t="s">
        <v>10193</v>
      </c>
      <c r="I1022" s="119">
        <v>45292.0</v>
      </c>
      <c r="K1022" s="7" t="s">
        <v>419</v>
      </c>
      <c r="L1022" s="7" t="s">
        <v>991</v>
      </c>
      <c r="M1022" s="7" t="s">
        <v>3531</v>
      </c>
      <c r="N1022" s="7" t="s">
        <v>419</v>
      </c>
      <c r="O1022" s="7" t="s">
        <v>19432</v>
      </c>
      <c r="P1022" s="7" t="s">
        <v>298</v>
      </c>
      <c r="Q1022" s="7" t="s">
        <v>1284</v>
      </c>
      <c r="R1022" s="7" t="s">
        <v>20190</v>
      </c>
      <c r="S1022" s="7" t="s">
        <v>20220</v>
      </c>
      <c r="T1022" s="7" t="s">
        <v>9604</v>
      </c>
      <c r="U1022" s="7" t="s">
        <v>3493</v>
      </c>
      <c r="V1022" s="7">
        <v>1.0</v>
      </c>
    </row>
    <row r="1023">
      <c r="A1023" s="7" t="s">
        <v>20906</v>
      </c>
      <c r="B1023" s="7">
        <v>2200048.0</v>
      </c>
      <c r="C1023" s="7" t="s">
        <v>10176</v>
      </c>
      <c r="D1023" s="7" t="s">
        <v>10195</v>
      </c>
      <c r="E1023" s="7" t="s">
        <v>10178</v>
      </c>
      <c r="F1023" s="7" t="s">
        <v>3874</v>
      </c>
      <c r="G1023" s="7" t="s">
        <v>10196</v>
      </c>
      <c r="H1023" s="7" t="s">
        <v>10197</v>
      </c>
      <c r="I1023" s="119">
        <v>45292.0</v>
      </c>
      <c r="K1023" s="7" t="s">
        <v>419</v>
      </c>
      <c r="L1023" s="7" t="s">
        <v>991</v>
      </c>
      <c r="M1023" s="7" t="s">
        <v>3501</v>
      </c>
      <c r="N1023" s="7" t="s">
        <v>419</v>
      </c>
      <c r="O1023" s="7" t="s">
        <v>19430</v>
      </c>
      <c r="P1023" s="7" t="s">
        <v>717</v>
      </c>
      <c r="Q1023" s="7" t="s">
        <v>720</v>
      </c>
      <c r="R1023" s="7" t="s">
        <v>19658</v>
      </c>
      <c r="S1023" s="7" t="s">
        <v>19659</v>
      </c>
      <c r="T1023" s="7" t="s">
        <v>4148</v>
      </c>
      <c r="U1023" s="7" t="s">
        <v>3843</v>
      </c>
      <c r="V1023" s="7">
        <v>1.0</v>
      </c>
    </row>
    <row r="1024">
      <c r="A1024" s="7" t="s">
        <v>20907</v>
      </c>
      <c r="B1024" s="7">
        <v>12036.0</v>
      </c>
      <c r="C1024" s="7" t="s">
        <v>10176</v>
      </c>
      <c r="D1024" s="7" t="s">
        <v>10199</v>
      </c>
      <c r="E1024" s="7" t="s">
        <v>10178</v>
      </c>
      <c r="F1024" s="7" t="s">
        <v>10200</v>
      </c>
      <c r="G1024" s="7" t="s">
        <v>10201</v>
      </c>
      <c r="H1024" s="7" t="s">
        <v>10202</v>
      </c>
      <c r="I1024" s="119">
        <v>45292.0</v>
      </c>
      <c r="K1024" s="7" t="s">
        <v>419</v>
      </c>
      <c r="L1024" s="7" t="s">
        <v>991</v>
      </c>
      <c r="M1024" s="7" t="s">
        <v>3531</v>
      </c>
      <c r="N1024" s="7" t="s">
        <v>419</v>
      </c>
      <c r="O1024" s="7" t="s">
        <v>19432</v>
      </c>
      <c r="P1024" s="7" t="s">
        <v>693</v>
      </c>
      <c r="Q1024" s="7" t="s">
        <v>698</v>
      </c>
      <c r="R1024" s="7" t="s">
        <v>19652</v>
      </c>
      <c r="S1024" s="7" t="s">
        <v>19653</v>
      </c>
      <c r="T1024" s="7" t="s">
        <v>4135</v>
      </c>
      <c r="U1024" s="7" t="s">
        <v>3493</v>
      </c>
      <c r="V1024" s="7">
        <v>1.0</v>
      </c>
    </row>
    <row r="1025">
      <c r="A1025" s="7" t="s">
        <v>20908</v>
      </c>
      <c r="B1025" s="7">
        <v>12035.0</v>
      </c>
      <c r="C1025" s="7" t="s">
        <v>10176</v>
      </c>
      <c r="D1025" s="7" t="s">
        <v>10204</v>
      </c>
      <c r="E1025" s="7" t="s">
        <v>10178</v>
      </c>
      <c r="F1025" s="7" t="s">
        <v>7574</v>
      </c>
      <c r="G1025" s="7" t="s">
        <v>10205</v>
      </c>
      <c r="H1025" s="7" t="s">
        <v>10206</v>
      </c>
      <c r="I1025" s="119">
        <v>45292.0</v>
      </c>
      <c r="K1025" s="7" t="s">
        <v>10207</v>
      </c>
      <c r="L1025" s="7" t="s">
        <v>4406</v>
      </c>
      <c r="M1025" s="7" t="s">
        <v>7791</v>
      </c>
      <c r="N1025" s="7" t="s">
        <v>419</v>
      </c>
      <c r="O1025" s="7" t="s">
        <v>19433</v>
      </c>
      <c r="P1025" s="7" t="s">
        <v>587</v>
      </c>
      <c r="Q1025" s="7" t="s">
        <v>74</v>
      </c>
      <c r="R1025" s="7" t="s">
        <v>19536</v>
      </c>
      <c r="T1025" s="7" t="s">
        <v>16213</v>
      </c>
      <c r="U1025" s="7" t="s">
        <v>3604</v>
      </c>
      <c r="V1025" s="7">
        <v>1.0</v>
      </c>
    </row>
    <row r="1026">
      <c r="A1026" s="7" t="s">
        <v>20909</v>
      </c>
      <c r="B1026" s="7">
        <v>11925.0</v>
      </c>
      <c r="C1026" s="7" t="s">
        <v>10176</v>
      </c>
      <c r="D1026" s="7" t="s">
        <v>9665</v>
      </c>
      <c r="E1026" s="7" t="s">
        <v>10178</v>
      </c>
      <c r="F1026" s="7" t="s">
        <v>4641</v>
      </c>
      <c r="G1026" s="7" t="s">
        <v>10212</v>
      </c>
      <c r="H1026" s="7" t="s">
        <v>10213</v>
      </c>
      <c r="I1026" s="119">
        <v>45292.0</v>
      </c>
      <c r="K1026" s="7" t="s">
        <v>419</v>
      </c>
      <c r="L1026" s="7" t="s">
        <v>991</v>
      </c>
      <c r="M1026" s="7" t="s">
        <v>3501</v>
      </c>
      <c r="N1026" s="7" t="s">
        <v>419</v>
      </c>
      <c r="O1026" s="7" t="s">
        <v>19430</v>
      </c>
      <c r="P1026" s="7" t="s">
        <v>717</v>
      </c>
      <c r="Q1026" s="7" t="s">
        <v>720</v>
      </c>
      <c r="R1026" s="7" t="s">
        <v>19542</v>
      </c>
      <c r="S1026" s="7" t="s">
        <v>20910</v>
      </c>
      <c r="T1026" s="7" t="s">
        <v>10215</v>
      </c>
      <c r="U1026" s="7" t="s">
        <v>3493</v>
      </c>
      <c r="V1026" s="7">
        <v>1.0</v>
      </c>
    </row>
    <row r="1027">
      <c r="A1027" s="7" t="s">
        <v>20911</v>
      </c>
      <c r="B1027" s="7">
        <v>13248.0</v>
      </c>
      <c r="C1027" s="7" t="s">
        <v>10217</v>
      </c>
      <c r="D1027" s="7" t="s">
        <v>10218</v>
      </c>
      <c r="E1027" s="7" t="s">
        <v>10219</v>
      </c>
      <c r="F1027" s="7" t="s">
        <v>10220</v>
      </c>
      <c r="G1027" s="7" t="s">
        <v>10221</v>
      </c>
      <c r="H1027" s="7" t="s">
        <v>10222</v>
      </c>
      <c r="I1027" s="119">
        <v>45292.0</v>
      </c>
      <c r="K1027" s="7" t="s">
        <v>419</v>
      </c>
      <c r="L1027" s="7" t="s">
        <v>991</v>
      </c>
      <c r="M1027" s="7" t="s">
        <v>3531</v>
      </c>
      <c r="N1027" s="7" t="s">
        <v>419</v>
      </c>
      <c r="O1027" s="7" t="s">
        <v>19432</v>
      </c>
      <c r="P1027" s="7" t="s">
        <v>298</v>
      </c>
      <c r="Q1027" s="7" t="s">
        <v>1284</v>
      </c>
      <c r="R1027" s="7" t="s">
        <v>20033</v>
      </c>
      <c r="S1027" s="7" t="s">
        <v>20034</v>
      </c>
      <c r="T1027" s="7" t="s">
        <v>5747</v>
      </c>
      <c r="U1027" s="7" t="s">
        <v>3493</v>
      </c>
      <c r="V1027" s="7">
        <v>1.0</v>
      </c>
    </row>
    <row r="1028">
      <c r="A1028" s="7" t="s">
        <v>20912</v>
      </c>
      <c r="B1028" s="7">
        <v>2300276.0</v>
      </c>
      <c r="C1028" s="7" t="s">
        <v>10224</v>
      </c>
      <c r="D1028" s="7" t="s">
        <v>10225</v>
      </c>
      <c r="E1028" s="7" t="s">
        <v>10226</v>
      </c>
      <c r="F1028" s="7" t="s">
        <v>10227</v>
      </c>
      <c r="G1028" s="7" t="s">
        <v>10228</v>
      </c>
      <c r="H1028" s="7" t="s">
        <v>10229</v>
      </c>
      <c r="I1028" s="119">
        <v>45292.0</v>
      </c>
      <c r="K1028" s="7" t="s">
        <v>419</v>
      </c>
      <c r="L1028" s="7" t="s">
        <v>991</v>
      </c>
      <c r="M1028" s="7" t="s">
        <v>3531</v>
      </c>
      <c r="N1028" s="7" t="s">
        <v>419</v>
      </c>
      <c r="O1028" s="7" t="s">
        <v>19443</v>
      </c>
      <c r="P1028" s="7" t="s">
        <v>323</v>
      </c>
      <c r="Q1028" s="7" t="s">
        <v>324</v>
      </c>
      <c r="R1028" s="7" t="s">
        <v>19599</v>
      </c>
      <c r="T1028" s="7" t="s">
        <v>3921</v>
      </c>
      <c r="U1028" s="7" t="s">
        <v>3493</v>
      </c>
      <c r="V1028" s="7">
        <v>1.0</v>
      </c>
    </row>
    <row r="1029">
      <c r="A1029" s="7" t="s">
        <v>20913</v>
      </c>
      <c r="B1029" s="7">
        <v>2200582.0</v>
      </c>
      <c r="C1029" s="7" t="s">
        <v>10231</v>
      </c>
      <c r="D1029" s="7" t="s">
        <v>10232</v>
      </c>
      <c r="E1029" s="7" t="s">
        <v>10233</v>
      </c>
      <c r="F1029" s="7" t="s">
        <v>10234</v>
      </c>
      <c r="G1029" s="7" t="s">
        <v>10235</v>
      </c>
      <c r="H1029" s="7" t="s">
        <v>10236</v>
      </c>
      <c r="I1029" s="119">
        <v>45292.0</v>
      </c>
      <c r="K1029" s="7" t="s">
        <v>3622</v>
      </c>
      <c r="L1029" s="7" t="s">
        <v>991</v>
      </c>
      <c r="M1029" s="7" t="s">
        <v>3501</v>
      </c>
      <c r="N1029" s="7" t="s">
        <v>3622</v>
      </c>
      <c r="O1029" s="7" t="s">
        <v>3622</v>
      </c>
      <c r="P1029" s="7" t="s">
        <v>19521</v>
      </c>
      <c r="T1029" s="7" t="s">
        <v>3624</v>
      </c>
      <c r="U1029" s="7" t="s">
        <v>3493</v>
      </c>
      <c r="V1029" s="7">
        <v>1.0</v>
      </c>
    </row>
    <row r="1030">
      <c r="A1030" s="7" t="s">
        <v>20914</v>
      </c>
      <c r="B1030" s="7">
        <v>2300655.0</v>
      </c>
      <c r="C1030" s="7" t="s">
        <v>10238</v>
      </c>
      <c r="D1030" s="7" t="s">
        <v>10239</v>
      </c>
      <c r="E1030" s="7" t="s">
        <v>10240</v>
      </c>
      <c r="F1030" s="7" t="s">
        <v>10241</v>
      </c>
      <c r="G1030" s="7" t="s">
        <v>10242</v>
      </c>
      <c r="H1030" s="7" t="s">
        <v>10243</v>
      </c>
      <c r="I1030" s="119">
        <v>45292.0</v>
      </c>
      <c r="K1030" s="7" t="s">
        <v>419</v>
      </c>
      <c r="L1030" s="7" t="s">
        <v>991</v>
      </c>
      <c r="M1030" s="7" t="s">
        <v>3501</v>
      </c>
      <c r="N1030" s="7" t="s">
        <v>419</v>
      </c>
      <c r="O1030" s="7" t="s">
        <v>19430</v>
      </c>
      <c r="P1030" s="7" t="s">
        <v>780</v>
      </c>
      <c r="Q1030" s="7" t="s">
        <v>786</v>
      </c>
      <c r="R1030" s="7" t="s">
        <v>19666</v>
      </c>
      <c r="T1030" s="7" t="s">
        <v>4169</v>
      </c>
      <c r="U1030" s="7" t="s">
        <v>3493</v>
      </c>
      <c r="V1030" s="7">
        <v>1.0</v>
      </c>
    </row>
    <row r="1031">
      <c r="A1031" s="7" t="s">
        <v>20915</v>
      </c>
      <c r="B1031" s="7">
        <v>8230.0</v>
      </c>
      <c r="C1031" s="7" t="s">
        <v>10245</v>
      </c>
      <c r="D1031" s="7" t="s">
        <v>10246</v>
      </c>
      <c r="E1031" s="7" t="s">
        <v>10247</v>
      </c>
      <c r="F1031" s="7" t="s">
        <v>10248</v>
      </c>
      <c r="G1031" s="7" t="s">
        <v>10249</v>
      </c>
      <c r="H1031" s="7" t="s">
        <v>10250</v>
      </c>
      <c r="I1031" s="119">
        <v>45292.0</v>
      </c>
      <c r="K1031" s="7" t="s">
        <v>419</v>
      </c>
      <c r="L1031" s="7" t="s">
        <v>991</v>
      </c>
      <c r="M1031" s="7" t="s">
        <v>3531</v>
      </c>
      <c r="N1031" s="7" t="s">
        <v>419</v>
      </c>
      <c r="O1031" s="7" t="s">
        <v>19440</v>
      </c>
      <c r="P1031" s="7" t="s">
        <v>613</v>
      </c>
      <c r="T1031" s="7" t="s">
        <v>10252</v>
      </c>
      <c r="U1031" s="7" t="s">
        <v>3493</v>
      </c>
      <c r="V1031" s="7">
        <v>1.0</v>
      </c>
    </row>
    <row r="1032">
      <c r="A1032" s="7" t="s">
        <v>20916</v>
      </c>
      <c r="B1032" s="7">
        <v>11129.0</v>
      </c>
      <c r="C1032" s="7" t="s">
        <v>10245</v>
      </c>
      <c r="D1032" s="7" t="s">
        <v>10254</v>
      </c>
      <c r="E1032" s="7" t="s">
        <v>10247</v>
      </c>
      <c r="F1032" s="7" t="s">
        <v>10255</v>
      </c>
      <c r="G1032" s="7" t="s">
        <v>10256</v>
      </c>
      <c r="H1032" s="7" t="s">
        <v>10257</v>
      </c>
      <c r="I1032" s="119">
        <v>45292.0</v>
      </c>
      <c r="K1032" s="7" t="s">
        <v>419</v>
      </c>
      <c r="L1032" s="7" t="s">
        <v>991</v>
      </c>
      <c r="M1032" s="7" t="s">
        <v>3501</v>
      </c>
      <c r="N1032" s="7" t="s">
        <v>419</v>
      </c>
      <c r="O1032" s="7" t="s">
        <v>19443</v>
      </c>
      <c r="P1032" s="7" t="s">
        <v>1242</v>
      </c>
      <c r="Q1032" s="7" t="s">
        <v>39</v>
      </c>
      <c r="R1032" s="7" t="s">
        <v>19712</v>
      </c>
      <c r="S1032" s="7" t="s">
        <v>20917</v>
      </c>
      <c r="T1032" s="7" t="s">
        <v>10259</v>
      </c>
      <c r="U1032" s="7" t="s">
        <v>3843</v>
      </c>
      <c r="V1032" s="7">
        <v>1.0</v>
      </c>
    </row>
    <row r="1033">
      <c r="A1033" s="7" t="s">
        <v>20918</v>
      </c>
      <c r="B1033" s="7">
        <v>2100300.0</v>
      </c>
      <c r="C1033" s="7" t="s">
        <v>10261</v>
      </c>
      <c r="D1033" s="7" t="s">
        <v>10262</v>
      </c>
      <c r="E1033" s="7" t="s">
        <v>10263</v>
      </c>
      <c r="F1033" s="7" t="s">
        <v>10264</v>
      </c>
      <c r="G1033" s="7" t="s">
        <v>10265</v>
      </c>
      <c r="H1033" s="7" t="s">
        <v>10266</v>
      </c>
      <c r="I1033" s="119">
        <v>45292.0</v>
      </c>
      <c r="K1033" s="7" t="s">
        <v>419</v>
      </c>
      <c r="L1033" s="7" t="s">
        <v>991</v>
      </c>
      <c r="M1033" s="7" t="s">
        <v>3501</v>
      </c>
      <c r="N1033" s="7" t="s">
        <v>419</v>
      </c>
      <c r="O1033" s="7" t="s">
        <v>19430</v>
      </c>
      <c r="P1033" s="7" t="s">
        <v>780</v>
      </c>
      <c r="Q1033" s="7" t="s">
        <v>786</v>
      </c>
      <c r="R1033" s="7" t="s">
        <v>20558</v>
      </c>
      <c r="T1033" s="7" t="s">
        <v>16162</v>
      </c>
      <c r="U1033" s="7" t="s">
        <v>3493</v>
      </c>
      <c r="V1033" s="7">
        <v>1.0</v>
      </c>
    </row>
    <row r="1034">
      <c r="A1034" s="7" t="s">
        <v>20919</v>
      </c>
      <c r="B1034" s="7">
        <v>11522.0</v>
      </c>
      <c r="C1034" s="7" t="s">
        <v>10269</v>
      </c>
      <c r="D1034" s="7" t="s">
        <v>10270</v>
      </c>
      <c r="E1034" s="7" t="s">
        <v>10271</v>
      </c>
      <c r="F1034" s="7" t="s">
        <v>10272</v>
      </c>
      <c r="G1034" s="7" t="s">
        <v>10273</v>
      </c>
      <c r="H1034" s="7" t="s">
        <v>10274</v>
      </c>
      <c r="I1034" s="119">
        <v>45292.0</v>
      </c>
      <c r="K1034" s="7" t="s">
        <v>419</v>
      </c>
      <c r="L1034" s="7" t="s">
        <v>991</v>
      </c>
      <c r="M1034" s="7" t="s">
        <v>3501</v>
      </c>
      <c r="N1034" s="7" t="s">
        <v>419</v>
      </c>
      <c r="O1034" s="7" t="s">
        <v>19432</v>
      </c>
      <c r="P1034" s="7" t="s">
        <v>298</v>
      </c>
      <c r="Q1034" s="7" t="s">
        <v>1284</v>
      </c>
      <c r="R1034" s="7" t="s">
        <v>19845</v>
      </c>
      <c r="T1034" s="7" t="s">
        <v>4863</v>
      </c>
      <c r="U1034" s="7" t="s">
        <v>3493</v>
      </c>
      <c r="V1034" s="7">
        <v>1.0</v>
      </c>
    </row>
    <row r="1035">
      <c r="A1035" s="7" t="s">
        <v>20920</v>
      </c>
      <c r="B1035" s="7">
        <v>2400034.0</v>
      </c>
      <c r="C1035" s="7" t="s">
        <v>10276</v>
      </c>
      <c r="D1035" s="7" t="s">
        <v>9271</v>
      </c>
      <c r="E1035" s="7" t="s">
        <v>10277</v>
      </c>
      <c r="F1035" s="7" t="s">
        <v>9273</v>
      </c>
      <c r="G1035" s="7" t="s">
        <v>10278</v>
      </c>
      <c r="H1035" s="7" t="s">
        <v>10279</v>
      </c>
      <c r="I1035" s="119">
        <v>45292.0</v>
      </c>
      <c r="K1035" s="7" t="s">
        <v>419</v>
      </c>
      <c r="L1035" s="7" t="s">
        <v>991</v>
      </c>
      <c r="M1035" s="7" t="s">
        <v>3531</v>
      </c>
      <c r="N1035" s="7" t="s">
        <v>419</v>
      </c>
      <c r="O1035" s="7" t="s">
        <v>19430</v>
      </c>
      <c r="P1035" s="7" t="s">
        <v>717</v>
      </c>
      <c r="Q1035" s="7" t="s">
        <v>223</v>
      </c>
      <c r="R1035" s="7" t="s">
        <v>19764</v>
      </c>
      <c r="S1035" s="7" t="s">
        <v>20036</v>
      </c>
      <c r="T1035" s="7" t="s">
        <v>5756</v>
      </c>
      <c r="U1035" s="7" t="s">
        <v>3493</v>
      </c>
      <c r="V1035" s="7">
        <v>1.0</v>
      </c>
    </row>
    <row r="1036">
      <c r="A1036" s="7" t="s">
        <v>20921</v>
      </c>
      <c r="B1036" s="7">
        <v>2300567.0</v>
      </c>
      <c r="C1036" s="7" t="s">
        <v>10281</v>
      </c>
      <c r="D1036" s="7" t="s">
        <v>5881</v>
      </c>
      <c r="E1036" s="7" t="s">
        <v>10282</v>
      </c>
      <c r="F1036" s="7" t="s">
        <v>4546</v>
      </c>
      <c r="G1036" s="7" t="s">
        <v>10283</v>
      </c>
      <c r="H1036" s="7" t="s">
        <v>10284</v>
      </c>
      <c r="I1036" s="119">
        <v>45292.0</v>
      </c>
      <c r="K1036" s="7" t="s">
        <v>419</v>
      </c>
      <c r="L1036" s="7" t="s">
        <v>991</v>
      </c>
      <c r="M1036" s="7" t="s">
        <v>3501</v>
      </c>
      <c r="N1036" s="7" t="s">
        <v>419</v>
      </c>
      <c r="O1036" s="7" t="s">
        <v>19432</v>
      </c>
      <c r="P1036" s="7" t="s">
        <v>298</v>
      </c>
      <c r="Q1036" s="7" t="s">
        <v>1284</v>
      </c>
      <c r="R1036" s="7" t="s">
        <v>20190</v>
      </c>
      <c r="S1036" s="7" t="s">
        <v>20220</v>
      </c>
      <c r="T1036" s="7" t="s">
        <v>9604</v>
      </c>
      <c r="U1036" s="7" t="s">
        <v>3493</v>
      </c>
      <c r="V1036" s="7">
        <v>1.0</v>
      </c>
    </row>
    <row r="1037">
      <c r="A1037" s="7" t="s">
        <v>20922</v>
      </c>
      <c r="B1037" s="7">
        <v>11126.0</v>
      </c>
      <c r="C1037" s="7" t="s">
        <v>10286</v>
      </c>
      <c r="D1037" s="7" t="s">
        <v>10287</v>
      </c>
      <c r="E1037" s="7" t="s">
        <v>10288</v>
      </c>
      <c r="F1037" s="7" t="s">
        <v>4751</v>
      </c>
      <c r="G1037" s="7" t="s">
        <v>10289</v>
      </c>
      <c r="H1037" s="7" t="s">
        <v>10290</v>
      </c>
      <c r="I1037" s="119">
        <v>45292.0</v>
      </c>
      <c r="K1037" s="7" t="s">
        <v>419</v>
      </c>
      <c r="L1037" s="7" t="s">
        <v>991</v>
      </c>
      <c r="M1037" s="7" t="s">
        <v>3501</v>
      </c>
      <c r="N1037" s="7" t="s">
        <v>419</v>
      </c>
      <c r="O1037" s="7" t="s">
        <v>19433</v>
      </c>
      <c r="P1037" s="7" t="s">
        <v>648</v>
      </c>
      <c r="Q1037" s="7" t="s">
        <v>143</v>
      </c>
      <c r="R1037" s="7" t="s">
        <v>19712</v>
      </c>
      <c r="S1037" s="7" t="s">
        <v>19987</v>
      </c>
      <c r="T1037" s="7" t="s">
        <v>5506</v>
      </c>
      <c r="U1037" s="7" t="s">
        <v>3493</v>
      </c>
      <c r="V1037" s="7">
        <v>1.0</v>
      </c>
    </row>
    <row r="1038">
      <c r="A1038" s="7" t="s">
        <v>20923</v>
      </c>
      <c r="B1038" s="7">
        <v>13400.0</v>
      </c>
      <c r="C1038" s="7" t="s">
        <v>10292</v>
      </c>
      <c r="D1038" s="7" t="s">
        <v>8202</v>
      </c>
      <c r="E1038" s="7" t="s">
        <v>10293</v>
      </c>
      <c r="F1038" s="7" t="s">
        <v>4314</v>
      </c>
      <c r="G1038" s="7" t="s">
        <v>10294</v>
      </c>
      <c r="H1038" s="7" t="s">
        <v>10295</v>
      </c>
      <c r="I1038" s="119">
        <v>45292.0</v>
      </c>
      <c r="K1038" s="7" t="s">
        <v>419</v>
      </c>
      <c r="L1038" s="7" t="s">
        <v>991</v>
      </c>
      <c r="M1038" s="7" t="s">
        <v>3501</v>
      </c>
      <c r="N1038" s="7" t="s">
        <v>419</v>
      </c>
      <c r="O1038" s="7" t="s">
        <v>19430</v>
      </c>
      <c r="P1038" s="7" t="s">
        <v>717</v>
      </c>
      <c r="Q1038" s="7" t="s">
        <v>720</v>
      </c>
      <c r="R1038" s="7" t="s">
        <v>19834</v>
      </c>
      <c r="T1038" s="7" t="s">
        <v>10297</v>
      </c>
      <c r="U1038" s="7" t="s">
        <v>3604</v>
      </c>
      <c r="V1038" s="7">
        <v>1.0</v>
      </c>
    </row>
    <row r="1039">
      <c r="A1039" s="7" t="s">
        <v>20924</v>
      </c>
      <c r="B1039" s="7">
        <v>13019.0</v>
      </c>
      <c r="C1039" s="7" t="s">
        <v>10299</v>
      </c>
      <c r="D1039" s="7" t="s">
        <v>7540</v>
      </c>
      <c r="E1039" s="7" t="s">
        <v>10300</v>
      </c>
      <c r="F1039" s="7" t="s">
        <v>7542</v>
      </c>
      <c r="G1039" s="7" t="s">
        <v>10301</v>
      </c>
      <c r="H1039" s="7" t="s">
        <v>10302</v>
      </c>
      <c r="I1039" s="119">
        <v>45292.0</v>
      </c>
      <c r="K1039" s="7" t="s">
        <v>419</v>
      </c>
      <c r="L1039" s="7" t="s">
        <v>991</v>
      </c>
      <c r="M1039" s="7" t="s">
        <v>3501</v>
      </c>
      <c r="N1039" s="7" t="s">
        <v>419</v>
      </c>
      <c r="O1039" s="7" t="s">
        <v>19433</v>
      </c>
      <c r="P1039" s="7" t="s">
        <v>648</v>
      </c>
      <c r="Q1039" s="7" t="s">
        <v>143</v>
      </c>
      <c r="R1039" s="7" t="s">
        <v>20500</v>
      </c>
      <c r="T1039" s="7" t="s">
        <v>10303</v>
      </c>
      <c r="U1039" s="7" t="s">
        <v>3604</v>
      </c>
      <c r="V1039" s="7">
        <v>1.0</v>
      </c>
    </row>
    <row r="1040">
      <c r="A1040" s="7" t="s">
        <v>20925</v>
      </c>
      <c r="B1040" s="7">
        <v>2300515.0</v>
      </c>
      <c r="C1040" s="7" t="s">
        <v>10299</v>
      </c>
      <c r="D1040" s="7" t="s">
        <v>10305</v>
      </c>
      <c r="E1040" s="7" t="s">
        <v>10300</v>
      </c>
      <c r="F1040" s="7" t="s">
        <v>10306</v>
      </c>
      <c r="G1040" s="7" t="s">
        <v>10307</v>
      </c>
      <c r="H1040" s="7" t="s">
        <v>10308</v>
      </c>
      <c r="I1040" s="119">
        <v>45292.0</v>
      </c>
      <c r="K1040" s="7" t="s">
        <v>419</v>
      </c>
      <c r="L1040" s="7" t="s">
        <v>991</v>
      </c>
      <c r="M1040" s="7" t="s">
        <v>3501</v>
      </c>
      <c r="N1040" s="7" t="s">
        <v>419</v>
      </c>
      <c r="O1040" s="7" t="s">
        <v>19430</v>
      </c>
      <c r="P1040" s="7" t="s">
        <v>717</v>
      </c>
      <c r="Q1040" s="7" t="s">
        <v>1163</v>
      </c>
      <c r="R1040" s="7" t="s">
        <v>20110</v>
      </c>
      <c r="S1040" s="7" t="s">
        <v>20213</v>
      </c>
      <c r="T1040" s="7" t="s">
        <v>6580</v>
      </c>
      <c r="U1040" s="7" t="s">
        <v>3843</v>
      </c>
      <c r="V1040" s="7">
        <v>1.0</v>
      </c>
    </row>
    <row r="1041">
      <c r="A1041" s="7" t="s">
        <v>20926</v>
      </c>
      <c r="B1041" s="7">
        <v>2200680.0</v>
      </c>
      <c r="C1041" s="7" t="s">
        <v>10310</v>
      </c>
      <c r="D1041" s="7" t="s">
        <v>8500</v>
      </c>
      <c r="E1041" s="7" t="s">
        <v>10311</v>
      </c>
      <c r="F1041" s="7" t="s">
        <v>8500</v>
      </c>
      <c r="G1041" s="7" t="s">
        <v>10312</v>
      </c>
      <c r="H1041" s="7" t="s">
        <v>10313</v>
      </c>
      <c r="I1041" s="119">
        <v>45292.0</v>
      </c>
      <c r="K1041" s="7" t="s">
        <v>419</v>
      </c>
      <c r="L1041" s="7" t="s">
        <v>991</v>
      </c>
      <c r="M1041" s="7" t="s">
        <v>3501</v>
      </c>
      <c r="N1041" s="7" t="s">
        <v>419</v>
      </c>
      <c r="O1041" s="7" t="s">
        <v>19430</v>
      </c>
      <c r="P1041" s="7" t="s">
        <v>717</v>
      </c>
      <c r="Q1041" s="7" t="s">
        <v>738</v>
      </c>
      <c r="R1041" s="7" t="s">
        <v>19574</v>
      </c>
      <c r="S1041" s="7" t="s">
        <v>19920</v>
      </c>
      <c r="T1041" s="7" t="s">
        <v>10314</v>
      </c>
      <c r="U1041" s="7" t="s">
        <v>3493</v>
      </c>
      <c r="V1041" s="7">
        <v>1.0</v>
      </c>
    </row>
    <row r="1042">
      <c r="A1042" s="7" t="s">
        <v>20927</v>
      </c>
      <c r="B1042" s="7">
        <v>11483.0</v>
      </c>
      <c r="C1042" s="7" t="s">
        <v>10316</v>
      </c>
      <c r="D1042" s="7" t="s">
        <v>10317</v>
      </c>
      <c r="E1042" s="7" t="s">
        <v>10318</v>
      </c>
      <c r="F1042" s="7" t="s">
        <v>10319</v>
      </c>
      <c r="G1042" s="7" t="s">
        <v>10320</v>
      </c>
      <c r="H1042" s="7" t="s">
        <v>10321</v>
      </c>
      <c r="I1042" s="119">
        <v>45292.0</v>
      </c>
      <c r="K1042" s="7" t="s">
        <v>419</v>
      </c>
      <c r="L1042" s="7" t="s">
        <v>991</v>
      </c>
      <c r="M1042" s="7" t="s">
        <v>3501</v>
      </c>
      <c r="N1042" s="7" t="s">
        <v>419</v>
      </c>
      <c r="O1042" s="7" t="s">
        <v>19443</v>
      </c>
      <c r="P1042" s="7" t="s">
        <v>1242</v>
      </c>
      <c r="Q1042" s="7" t="s">
        <v>51</v>
      </c>
      <c r="R1042" s="7" t="s">
        <v>19599</v>
      </c>
      <c r="S1042" s="7" t="s">
        <v>20161</v>
      </c>
      <c r="T1042" s="7" t="s">
        <v>6346</v>
      </c>
      <c r="U1042" s="7" t="s">
        <v>3843</v>
      </c>
      <c r="V1042" s="7">
        <v>1.0</v>
      </c>
    </row>
    <row r="1043">
      <c r="A1043" s="7" t="s">
        <v>20928</v>
      </c>
      <c r="B1043" s="7">
        <v>2300128.0</v>
      </c>
      <c r="C1043" s="7" t="s">
        <v>10323</v>
      </c>
      <c r="D1043" s="7" t="s">
        <v>9004</v>
      </c>
      <c r="E1043" s="7" t="s">
        <v>10324</v>
      </c>
      <c r="F1043" s="7" t="s">
        <v>8606</v>
      </c>
      <c r="G1043" s="7" t="s">
        <v>10325</v>
      </c>
      <c r="H1043" s="7" t="s">
        <v>10326</v>
      </c>
      <c r="I1043" s="119">
        <v>45292.0</v>
      </c>
      <c r="K1043" s="7" t="s">
        <v>419</v>
      </c>
      <c r="L1043" s="7" t="s">
        <v>991</v>
      </c>
      <c r="M1043" s="7" t="s">
        <v>3531</v>
      </c>
      <c r="N1043" s="7" t="s">
        <v>419</v>
      </c>
      <c r="O1043" s="7" t="s">
        <v>19430</v>
      </c>
      <c r="P1043" s="7" t="s">
        <v>717</v>
      </c>
      <c r="Q1043" s="7" t="s">
        <v>720</v>
      </c>
      <c r="R1043" s="7" t="s">
        <v>19626</v>
      </c>
      <c r="S1043" s="7" t="s">
        <v>20561</v>
      </c>
      <c r="T1043" s="7" t="s">
        <v>8391</v>
      </c>
      <c r="U1043" s="7" t="s">
        <v>3493</v>
      </c>
      <c r="V1043" s="7">
        <v>1.0</v>
      </c>
    </row>
    <row r="1044">
      <c r="A1044" s="7" t="s">
        <v>20929</v>
      </c>
      <c r="B1044" s="7">
        <v>2100445.0</v>
      </c>
      <c r="C1044" s="7" t="s">
        <v>10328</v>
      </c>
      <c r="D1044" s="7" t="s">
        <v>10329</v>
      </c>
      <c r="E1044" s="7" t="s">
        <v>10330</v>
      </c>
      <c r="F1044" s="7" t="s">
        <v>3609</v>
      </c>
      <c r="G1044" s="7" t="s">
        <v>10331</v>
      </c>
      <c r="H1044" s="7" t="s">
        <v>10332</v>
      </c>
      <c r="I1044" s="119">
        <v>45292.0</v>
      </c>
      <c r="K1044" s="7" t="s">
        <v>419</v>
      </c>
      <c r="L1044" s="7" t="s">
        <v>991</v>
      </c>
      <c r="M1044" s="7" t="s">
        <v>3501</v>
      </c>
      <c r="N1044" s="7" t="s">
        <v>419</v>
      </c>
      <c r="O1044" s="7" t="s">
        <v>19433</v>
      </c>
      <c r="P1044" s="7" t="s">
        <v>648</v>
      </c>
      <c r="Q1044" s="7" t="s">
        <v>143</v>
      </c>
      <c r="R1044" s="7" t="s">
        <v>19723</v>
      </c>
      <c r="S1044" s="7" t="s">
        <v>19920</v>
      </c>
      <c r="T1044" s="7" t="s">
        <v>5699</v>
      </c>
      <c r="U1044" s="7" t="s">
        <v>3493</v>
      </c>
      <c r="V1044" s="7">
        <v>1.0</v>
      </c>
    </row>
    <row r="1045">
      <c r="A1045" s="7" t="s">
        <v>20930</v>
      </c>
      <c r="B1045" s="7">
        <v>2100293.0</v>
      </c>
      <c r="C1045" s="7" t="s">
        <v>10328</v>
      </c>
      <c r="D1045" s="7" t="s">
        <v>10334</v>
      </c>
      <c r="E1045" s="7" t="s">
        <v>10330</v>
      </c>
      <c r="F1045" s="7" t="s">
        <v>10335</v>
      </c>
      <c r="G1045" s="7" t="s">
        <v>10336</v>
      </c>
      <c r="I1045" s="119">
        <v>45292.0</v>
      </c>
      <c r="K1045" s="7" t="s">
        <v>419</v>
      </c>
      <c r="L1045" s="7" t="s">
        <v>991</v>
      </c>
      <c r="M1045" s="7" t="s">
        <v>3531</v>
      </c>
      <c r="N1045" s="7" t="s">
        <v>419</v>
      </c>
      <c r="O1045" s="7" t="s">
        <v>19433</v>
      </c>
      <c r="P1045" s="7" t="s">
        <v>587</v>
      </c>
      <c r="Q1045" s="7" t="s">
        <v>74</v>
      </c>
      <c r="R1045" s="7" t="s">
        <v>19911</v>
      </c>
      <c r="T1045" s="7" t="s">
        <v>5198</v>
      </c>
      <c r="U1045" s="7" t="s">
        <v>3493</v>
      </c>
      <c r="V1045" s="7">
        <v>1.0</v>
      </c>
    </row>
    <row r="1046">
      <c r="A1046" s="7" t="s">
        <v>20931</v>
      </c>
      <c r="B1046" s="7">
        <v>2200635.0</v>
      </c>
      <c r="C1046" s="7" t="s">
        <v>6242</v>
      </c>
      <c r="D1046" s="7" t="s">
        <v>10338</v>
      </c>
      <c r="E1046" s="7" t="s">
        <v>10339</v>
      </c>
      <c r="F1046" s="7" t="s">
        <v>6738</v>
      </c>
      <c r="G1046" s="7" t="s">
        <v>10340</v>
      </c>
      <c r="H1046" s="7" t="s">
        <v>10341</v>
      </c>
      <c r="I1046" s="119">
        <v>45292.0</v>
      </c>
      <c r="K1046" s="7" t="s">
        <v>419</v>
      </c>
      <c r="L1046" s="7" t="s">
        <v>991</v>
      </c>
      <c r="M1046" s="7" t="s">
        <v>3501</v>
      </c>
      <c r="N1046" s="7" t="s">
        <v>419</v>
      </c>
      <c r="O1046" s="7" t="s">
        <v>19432</v>
      </c>
      <c r="P1046" s="7" t="s">
        <v>391</v>
      </c>
      <c r="Q1046" s="7" t="s">
        <v>392</v>
      </c>
      <c r="R1046" s="7" t="s">
        <v>19534</v>
      </c>
      <c r="T1046" s="7" t="s">
        <v>5350</v>
      </c>
      <c r="U1046" s="7" t="s">
        <v>3493</v>
      </c>
      <c r="V1046" s="7">
        <v>1.0</v>
      </c>
    </row>
    <row r="1047">
      <c r="A1047" s="7" t="s">
        <v>20932</v>
      </c>
      <c r="B1047" s="7">
        <v>13694.0</v>
      </c>
      <c r="C1047" s="7" t="s">
        <v>10343</v>
      </c>
      <c r="D1047" s="7" t="s">
        <v>10344</v>
      </c>
      <c r="E1047" s="7" t="s">
        <v>10345</v>
      </c>
      <c r="F1047" s="7" t="s">
        <v>3549</v>
      </c>
      <c r="G1047" s="7" t="s">
        <v>10346</v>
      </c>
      <c r="H1047" s="7" t="s">
        <v>10347</v>
      </c>
      <c r="I1047" s="119">
        <v>45292.0</v>
      </c>
      <c r="K1047" s="7" t="s">
        <v>3632</v>
      </c>
      <c r="L1047" s="7" t="s">
        <v>991</v>
      </c>
      <c r="M1047" s="7" t="s">
        <v>3501</v>
      </c>
      <c r="N1047" s="7" t="s">
        <v>3632</v>
      </c>
      <c r="O1047" s="7" t="s">
        <v>3632</v>
      </c>
      <c r="P1047" s="7" t="s">
        <v>22</v>
      </c>
      <c r="Q1047" s="7" t="s">
        <v>544</v>
      </c>
      <c r="T1047" s="7" t="s">
        <v>7472</v>
      </c>
      <c r="U1047" s="7" t="s">
        <v>3493</v>
      </c>
      <c r="V1047" s="7">
        <v>1.0</v>
      </c>
    </row>
    <row r="1048">
      <c r="A1048" s="7" t="s">
        <v>20933</v>
      </c>
      <c r="B1048" s="7">
        <v>12359.0</v>
      </c>
      <c r="C1048" s="7" t="s">
        <v>10350</v>
      </c>
      <c r="D1048" s="7" t="s">
        <v>10351</v>
      </c>
      <c r="E1048" s="7" t="s">
        <v>10352</v>
      </c>
      <c r="F1048" s="7" t="s">
        <v>10353</v>
      </c>
      <c r="G1048" s="7" t="s">
        <v>10354</v>
      </c>
      <c r="H1048" s="7" t="s">
        <v>10355</v>
      </c>
      <c r="I1048" s="119">
        <v>45292.0</v>
      </c>
      <c r="K1048" s="7" t="s">
        <v>419</v>
      </c>
      <c r="L1048" s="7" t="s">
        <v>991</v>
      </c>
      <c r="M1048" s="7" t="s">
        <v>3501</v>
      </c>
      <c r="N1048" s="7" t="s">
        <v>419</v>
      </c>
      <c r="O1048" s="7" t="s">
        <v>19430</v>
      </c>
      <c r="P1048" s="7" t="s">
        <v>854</v>
      </c>
      <c r="Q1048" s="7" t="s">
        <v>173</v>
      </c>
      <c r="R1048" s="7" t="s">
        <v>19919</v>
      </c>
      <c r="S1048" s="7" t="s">
        <v>19920</v>
      </c>
      <c r="T1048" s="7" t="s">
        <v>5245</v>
      </c>
      <c r="U1048" s="7" t="s">
        <v>3493</v>
      </c>
      <c r="V1048" s="7">
        <v>1.0</v>
      </c>
    </row>
    <row r="1049">
      <c r="A1049" s="7" t="s">
        <v>20934</v>
      </c>
      <c r="B1049" s="7">
        <v>2200073.0</v>
      </c>
      <c r="C1049" s="7" t="s">
        <v>10357</v>
      </c>
      <c r="D1049" s="7" t="s">
        <v>10358</v>
      </c>
      <c r="E1049" s="7" t="s">
        <v>10359</v>
      </c>
      <c r="F1049" s="7" t="s">
        <v>10360</v>
      </c>
      <c r="G1049" s="7" t="s">
        <v>10361</v>
      </c>
      <c r="H1049" s="7" t="s">
        <v>10362</v>
      </c>
      <c r="I1049" s="119">
        <v>45292.0</v>
      </c>
      <c r="K1049" s="7" t="s">
        <v>419</v>
      </c>
      <c r="L1049" s="7" t="s">
        <v>991</v>
      </c>
      <c r="M1049" s="7" t="s">
        <v>3501</v>
      </c>
      <c r="N1049" s="7" t="s">
        <v>419</v>
      </c>
      <c r="O1049" s="7" t="s">
        <v>19430</v>
      </c>
      <c r="P1049" s="7" t="s">
        <v>780</v>
      </c>
      <c r="Q1049" s="7" t="s">
        <v>786</v>
      </c>
      <c r="R1049" s="7" t="s">
        <v>19574</v>
      </c>
      <c r="S1049" s="7" t="s">
        <v>19575</v>
      </c>
      <c r="T1049" s="7" t="s">
        <v>3835</v>
      </c>
      <c r="U1049" s="7" t="s">
        <v>3493</v>
      </c>
      <c r="V1049" s="7">
        <v>1.0</v>
      </c>
    </row>
    <row r="1050">
      <c r="A1050" s="7" t="s">
        <v>20935</v>
      </c>
      <c r="B1050" s="7">
        <v>2100005.0</v>
      </c>
      <c r="C1050" s="7" t="s">
        <v>10364</v>
      </c>
      <c r="D1050" s="7" t="s">
        <v>10365</v>
      </c>
      <c r="E1050" s="7" t="s">
        <v>10366</v>
      </c>
      <c r="F1050" s="7" t="s">
        <v>10367</v>
      </c>
      <c r="G1050" s="7" t="s">
        <v>10368</v>
      </c>
      <c r="H1050" s="7" t="s">
        <v>10369</v>
      </c>
      <c r="I1050" s="119">
        <v>45292.0</v>
      </c>
      <c r="K1050" s="7" t="s">
        <v>419</v>
      </c>
      <c r="L1050" s="7" t="s">
        <v>991</v>
      </c>
      <c r="M1050" s="7" t="s">
        <v>3501</v>
      </c>
      <c r="N1050" s="7" t="s">
        <v>419</v>
      </c>
      <c r="O1050" s="7" t="s">
        <v>19430</v>
      </c>
      <c r="P1050" s="7" t="s">
        <v>717</v>
      </c>
      <c r="Q1050" s="7" t="s">
        <v>223</v>
      </c>
      <c r="R1050" s="7" t="s">
        <v>20799</v>
      </c>
      <c r="S1050" s="7" t="s">
        <v>20936</v>
      </c>
      <c r="T1050" s="7" t="s">
        <v>10371</v>
      </c>
      <c r="U1050" s="7" t="s">
        <v>3843</v>
      </c>
      <c r="V1050" s="7">
        <v>1.0</v>
      </c>
    </row>
    <row r="1051">
      <c r="A1051" s="7" t="s">
        <v>20937</v>
      </c>
      <c r="B1051" s="7">
        <v>2200220.0</v>
      </c>
      <c r="C1051" s="7" t="s">
        <v>10364</v>
      </c>
      <c r="D1051" s="7" t="s">
        <v>10373</v>
      </c>
      <c r="E1051" s="7" t="s">
        <v>10366</v>
      </c>
      <c r="F1051" s="7" t="s">
        <v>10374</v>
      </c>
      <c r="G1051" s="7" t="s">
        <v>10375</v>
      </c>
      <c r="H1051" s="7" t="s">
        <v>10376</v>
      </c>
      <c r="I1051" s="119">
        <v>45292.0</v>
      </c>
      <c r="K1051" s="7" t="s">
        <v>419</v>
      </c>
      <c r="L1051" s="7" t="s">
        <v>991</v>
      </c>
      <c r="M1051" s="7" t="s">
        <v>3501</v>
      </c>
      <c r="N1051" s="7" t="s">
        <v>419</v>
      </c>
      <c r="O1051" s="7" t="s">
        <v>19443</v>
      </c>
      <c r="P1051" s="7" t="s">
        <v>1242</v>
      </c>
      <c r="Q1051" s="7" t="s">
        <v>51</v>
      </c>
      <c r="R1051" s="7" t="s">
        <v>19597</v>
      </c>
      <c r="S1051" s="7" t="s">
        <v>19598</v>
      </c>
      <c r="T1051" s="7" t="s">
        <v>3913</v>
      </c>
      <c r="U1051" s="7" t="s">
        <v>3493</v>
      </c>
      <c r="V1051" s="7">
        <v>1.0</v>
      </c>
    </row>
    <row r="1052">
      <c r="A1052" s="7" t="s">
        <v>20938</v>
      </c>
      <c r="B1052" s="7">
        <v>14331.0</v>
      </c>
      <c r="C1052" s="7" t="s">
        <v>10364</v>
      </c>
      <c r="D1052" s="7" t="s">
        <v>10378</v>
      </c>
      <c r="E1052" s="7" t="s">
        <v>10379</v>
      </c>
      <c r="F1052" s="7" t="s">
        <v>9975</v>
      </c>
      <c r="G1052" s="7" t="s">
        <v>10380</v>
      </c>
      <c r="H1052" s="7" t="s">
        <v>10381</v>
      </c>
      <c r="I1052" s="119">
        <v>45292.0</v>
      </c>
      <c r="K1052" s="7" t="s">
        <v>419</v>
      </c>
      <c r="L1052" s="7" t="s">
        <v>991</v>
      </c>
      <c r="M1052" s="7" t="s">
        <v>3501</v>
      </c>
      <c r="N1052" s="7" t="s">
        <v>419</v>
      </c>
      <c r="O1052" s="7" t="s">
        <v>19443</v>
      </c>
      <c r="P1052" s="7" t="s">
        <v>323</v>
      </c>
      <c r="Q1052" s="7" t="s">
        <v>824</v>
      </c>
      <c r="R1052" s="7" t="s">
        <v>20541</v>
      </c>
      <c r="T1052" s="7" t="s">
        <v>20542</v>
      </c>
      <c r="U1052" s="7" t="s">
        <v>3493</v>
      </c>
      <c r="V1052" s="7">
        <v>1.0</v>
      </c>
    </row>
    <row r="1053">
      <c r="A1053" s="7" t="s">
        <v>20939</v>
      </c>
      <c r="B1053" s="7">
        <v>70.0</v>
      </c>
      <c r="C1053" s="7" t="s">
        <v>10383</v>
      </c>
      <c r="D1053" s="7" t="s">
        <v>10384</v>
      </c>
      <c r="E1053" s="7" t="s">
        <v>10385</v>
      </c>
      <c r="F1053" s="7" t="s">
        <v>4049</v>
      </c>
      <c r="G1053" s="7" t="s">
        <v>10386</v>
      </c>
      <c r="H1053" s="7" t="s">
        <v>10387</v>
      </c>
      <c r="I1053" s="119">
        <v>45292.0</v>
      </c>
      <c r="K1053" s="7" t="s">
        <v>419</v>
      </c>
      <c r="L1053" s="7" t="s">
        <v>991</v>
      </c>
      <c r="M1053" s="7" t="s">
        <v>3501</v>
      </c>
      <c r="N1053" s="7" t="s">
        <v>419</v>
      </c>
      <c r="O1053" s="7" t="s">
        <v>19437</v>
      </c>
      <c r="P1053" s="7" t="s">
        <v>440</v>
      </c>
      <c r="Q1053" s="7" t="s">
        <v>441</v>
      </c>
      <c r="R1053" s="7" t="s">
        <v>19669</v>
      </c>
      <c r="S1053" s="7" t="s">
        <v>19747</v>
      </c>
      <c r="T1053" s="7" t="s">
        <v>7396</v>
      </c>
      <c r="U1053" s="7" t="s">
        <v>3493</v>
      </c>
      <c r="V1053" s="7">
        <v>1.0</v>
      </c>
    </row>
    <row r="1054">
      <c r="A1054" s="7" t="s">
        <v>20940</v>
      </c>
      <c r="B1054" s="7">
        <v>13980.0</v>
      </c>
      <c r="C1054" s="7" t="s">
        <v>10383</v>
      </c>
      <c r="D1054" s="7" t="s">
        <v>10390</v>
      </c>
      <c r="E1054" s="7" t="s">
        <v>10385</v>
      </c>
      <c r="F1054" s="7" t="s">
        <v>6606</v>
      </c>
      <c r="G1054" s="7" t="s">
        <v>10391</v>
      </c>
      <c r="H1054" s="7" t="s">
        <v>10392</v>
      </c>
      <c r="I1054" s="119">
        <v>45292.0</v>
      </c>
      <c r="J1054" s="7" t="s">
        <v>4216</v>
      </c>
      <c r="K1054" s="7" t="s">
        <v>419</v>
      </c>
      <c r="L1054" s="7" t="s">
        <v>991</v>
      </c>
      <c r="M1054" s="7" t="s">
        <v>3501</v>
      </c>
      <c r="N1054" s="7" t="s">
        <v>419</v>
      </c>
      <c r="O1054" s="7" t="s">
        <v>19437</v>
      </c>
      <c r="P1054" s="7" t="s">
        <v>603</v>
      </c>
      <c r="Q1054" s="7" t="s">
        <v>90</v>
      </c>
      <c r="R1054" s="7" t="s">
        <v>19973</v>
      </c>
      <c r="S1054" s="7" t="s">
        <v>19974</v>
      </c>
      <c r="T1054" s="7" t="s">
        <v>5470</v>
      </c>
      <c r="U1054" s="7" t="s">
        <v>3493</v>
      </c>
      <c r="V1054" s="7">
        <v>1.0</v>
      </c>
    </row>
    <row r="1055">
      <c r="A1055" s="7" t="s">
        <v>20941</v>
      </c>
      <c r="B1055" s="7">
        <v>3000259.0</v>
      </c>
      <c r="C1055" s="7" t="s">
        <v>10394</v>
      </c>
      <c r="D1055" s="7" t="s">
        <v>10395</v>
      </c>
      <c r="E1055" s="7" t="s">
        <v>10396</v>
      </c>
      <c r="F1055" s="7" t="s">
        <v>10397</v>
      </c>
      <c r="G1055" s="7" t="s">
        <v>10398</v>
      </c>
      <c r="H1055" s="7" t="s">
        <v>10399</v>
      </c>
      <c r="I1055" s="119">
        <v>45566.0</v>
      </c>
      <c r="K1055" s="7" t="s">
        <v>419</v>
      </c>
      <c r="L1055" s="7" t="s">
        <v>991</v>
      </c>
      <c r="M1055" s="7" t="s">
        <v>5110</v>
      </c>
      <c r="N1055" s="7" t="s">
        <v>419</v>
      </c>
      <c r="O1055" s="7" t="s">
        <v>19437</v>
      </c>
      <c r="P1055" s="7" t="s">
        <v>478</v>
      </c>
      <c r="Q1055" s="7" t="s">
        <v>958</v>
      </c>
      <c r="R1055" s="7" t="s">
        <v>20942</v>
      </c>
      <c r="T1055" s="7" t="s">
        <v>20943</v>
      </c>
      <c r="U1055" s="7" t="s">
        <v>3493</v>
      </c>
      <c r="V1055" s="7">
        <v>1.0</v>
      </c>
    </row>
    <row r="1056">
      <c r="A1056" s="7" t="s">
        <v>20944</v>
      </c>
      <c r="B1056" s="7">
        <v>12567.0</v>
      </c>
      <c r="C1056" s="7" t="s">
        <v>10403</v>
      </c>
      <c r="D1056" s="7" t="s">
        <v>10404</v>
      </c>
      <c r="E1056" s="7" t="s">
        <v>10405</v>
      </c>
      <c r="F1056" s="7" t="s">
        <v>10406</v>
      </c>
      <c r="G1056" s="7" t="s">
        <v>10407</v>
      </c>
      <c r="H1056" s="7" t="s">
        <v>10408</v>
      </c>
      <c r="I1056" s="119">
        <v>45292.0</v>
      </c>
      <c r="K1056" s="7" t="s">
        <v>419</v>
      </c>
      <c r="L1056" s="7" t="s">
        <v>991</v>
      </c>
      <c r="M1056" s="7" t="s">
        <v>3501</v>
      </c>
      <c r="N1056" s="7" t="s">
        <v>419</v>
      </c>
      <c r="O1056" s="7" t="s">
        <v>19443</v>
      </c>
      <c r="P1056" s="7" t="s">
        <v>323</v>
      </c>
      <c r="Q1056" s="7" t="s">
        <v>819</v>
      </c>
      <c r="R1056" s="7" t="s">
        <v>19778</v>
      </c>
      <c r="S1056" s="7" t="s">
        <v>20387</v>
      </c>
      <c r="T1056" s="7" t="s">
        <v>20388</v>
      </c>
      <c r="U1056" s="7" t="s">
        <v>3843</v>
      </c>
      <c r="V1056" s="7">
        <v>1.0</v>
      </c>
    </row>
    <row r="1057">
      <c r="A1057" s="7" t="s">
        <v>20945</v>
      </c>
      <c r="B1057" s="7">
        <v>10627.0</v>
      </c>
      <c r="C1057" s="7" t="s">
        <v>10410</v>
      </c>
      <c r="D1057" s="7" t="s">
        <v>3764</v>
      </c>
      <c r="E1057" s="7" t="s">
        <v>10411</v>
      </c>
      <c r="F1057" s="7" t="s">
        <v>3766</v>
      </c>
      <c r="G1057" s="7" t="s">
        <v>10412</v>
      </c>
      <c r="H1057" s="7" t="s">
        <v>10413</v>
      </c>
      <c r="I1057" s="119">
        <v>45292.0</v>
      </c>
      <c r="K1057" s="7" t="s">
        <v>419</v>
      </c>
      <c r="L1057" s="7" t="s">
        <v>991</v>
      </c>
      <c r="M1057" s="7" t="s">
        <v>3501</v>
      </c>
      <c r="N1057" s="7" t="s">
        <v>419</v>
      </c>
      <c r="O1057" s="7" t="s">
        <v>19432</v>
      </c>
      <c r="P1057" s="7" t="s">
        <v>298</v>
      </c>
      <c r="Q1057" s="7" t="s">
        <v>802</v>
      </c>
      <c r="R1057" s="7" t="s">
        <v>19555</v>
      </c>
      <c r="T1057" s="7" t="s">
        <v>3778</v>
      </c>
      <c r="U1057" s="7" t="s">
        <v>3604</v>
      </c>
      <c r="V1057" s="7">
        <v>1.0</v>
      </c>
    </row>
    <row r="1058">
      <c r="A1058" s="7" t="s">
        <v>20946</v>
      </c>
      <c r="B1058" s="7">
        <v>1148.0</v>
      </c>
      <c r="C1058" s="7" t="s">
        <v>10415</v>
      </c>
      <c r="D1058" s="7" t="s">
        <v>10416</v>
      </c>
      <c r="E1058" s="7" t="s">
        <v>10417</v>
      </c>
      <c r="F1058" s="7" t="s">
        <v>10418</v>
      </c>
      <c r="G1058" s="7" t="s">
        <v>10419</v>
      </c>
      <c r="H1058" s="7" t="s">
        <v>10420</v>
      </c>
      <c r="I1058" s="119">
        <v>45292.0</v>
      </c>
      <c r="K1058" s="7" t="s">
        <v>419</v>
      </c>
      <c r="L1058" s="7" t="s">
        <v>991</v>
      </c>
      <c r="M1058" s="7" t="s">
        <v>3501</v>
      </c>
      <c r="N1058" s="7" t="s">
        <v>419</v>
      </c>
      <c r="O1058" s="7" t="s">
        <v>19430</v>
      </c>
      <c r="P1058" s="7" t="s">
        <v>717</v>
      </c>
      <c r="Q1058" s="7" t="s">
        <v>1163</v>
      </c>
      <c r="R1058" s="7" t="s">
        <v>19546</v>
      </c>
      <c r="S1058" s="7" t="s">
        <v>20153</v>
      </c>
      <c r="T1058" s="7" t="s">
        <v>6305</v>
      </c>
      <c r="U1058" s="7" t="s">
        <v>3493</v>
      </c>
      <c r="V1058" s="7">
        <v>1.0</v>
      </c>
    </row>
    <row r="1059">
      <c r="A1059" s="7" t="s">
        <v>20947</v>
      </c>
      <c r="B1059" s="7">
        <v>8445.0</v>
      </c>
      <c r="C1059" s="7" t="s">
        <v>10422</v>
      </c>
      <c r="D1059" s="7" t="s">
        <v>10423</v>
      </c>
      <c r="E1059" s="7" t="s">
        <v>10424</v>
      </c>
      <c r="F1059" s="7" t="s">
        <v>10425</v>
      </c>
      <c r="G1059" s="7" t="s">
        <v>10426</v>
      </c>
      <c r="H1059" s="7" t="s">
        <v>10427</v>
      </c>
      <c r="I1059" s="119">
        <v>45292.0</v>
      </c>
      <c r="K1059" s="7" t="s">
        <v>419</v>
      </c>
      <c r="L1059" s="7" t="s">
        <v>991</v>
      </c>
      <c r="M1059" s="7" t="s">
        <v>3531</v>
      </c>
      <c r="N1059" s="7" t="s">
        <v>419</v>
      </c>
      <c r="O1059" s="7" t="s">
        <v>19430</v>
      </c>
      <c r="P1059" s="7" t="s">
        <v>717</v>
      </c>
      <c r="Q1059" s="7" t="s">
        <v>725</v>
      </c>
      <c r="R1059" s="7" t="s">
        <v>19501</v>
      </c>
      <c r="S1059" s="7" t="s">
        <v>19502</v>
      </c>
      <c r="T1059" s="7" t="s">
        <v>3533</v>
      </c>
      <c r="U1059" s="7" t="s">
        <v>3493</v>
      </c>
      <c r="V1059" s="7">
        <v>1.0</v>
      </c>
    </row>
    <row r="1060">
      <c r="A1060" s="7" t="s">
        <v>20948</v>
      </c>
      <c r="B1060" s="7">
        <v>2200221.0</v>
      </c>
      <c r="C1060" s="7" t="s">
        <v>10429</v>
      </c>
      <c r="D1060" s="7" t="s">
        <v>10430</v>
      </c>
      <c r="E1060" s="7" t="s">
        <v>10429</v>
      </c>
      <c r="F1060" s="7" t="s">
        <v>10430</v>
      </c>
      <c r="G1060" s="7" t="s">
        <v>10431</v>
      </c>
      <c r="H1060" s="7" t="s">
        <v>10432</v>
      </c>
      <c r="I1060" s="119">
        <v>45292.0</v>
      </c>
      <c r="J1060" s="7" t="s">
        <v>3929</v>
      </c>
      <c r="K1060" s="7" t="s">
        <v>419</v>
      </c>
      <c r="L1060" s="7" t="s">
        <v>991</v>
      </c>
      <c r="M1060" s="7" t="s">
        <v>3501</v>
      </c>
      <c r="N1060" s="7" t="s">
        <v>419</v>
      </c>
      <c r="O1060" s="7" t="s">
        <v>19433</v>
      </c>
      <c r="P1060" s="7" t="s">
        <v>587</v>
      </c>
      <c r="Q1060" s="7" t="s">
        <v>74</v>
      </c>
      <c r="R1060" s="7" t="s">
        <v>20949</v>
      </c>
      <c r="T1060" s="7" t="s">
        <v>10434</v>
      </c>
      <c r="U1060" s="7" t="s">
        <v>3604</v>
      </c>
      <c r="V1060" s="7">
        <v>1.0</v>
      </c>
    </row>
    <row r="1061">
      <c r="A1061" s="7" t="s">
        <v>20950</v>
      </c>
      <c r="B1061" s="7">
        <v>8233.0</v>
      </c>
      <c r="C1061" s="7" t="s">
        <v>10436</v>
      </c>
      <c r="D1061" s="7" t="s">
        <v>5047</v>
      </c>
      <c r="E1061" s="7" t="s">
        <v>10437</v>
      </c>
      <c r="F1061" s="7" t="s">
        <v>5049</v>
      </c>
      <c r="G1061" s="7" t="s">
        <v>10438</v>
      </c>
      <c r="H1061" s="7" t="s">
        <v>10439</v>
      </c>
      <c r="I1061" s="119">
        <v>45292.0</v>
      </c>
      <c r="K1061" s="7" t="s">
        <v>419</v>
      </c>
      <c r="L1061" s="7" t="s">
        <v>991</v>
      </c>
      <c r="M1061" s="7" t="s">
        <v>3531</v>
      </c>
      <c r="N1061" s="7" t="s">
        <v>419</v>
      </c>
      <c r="O1061" s="7" t="s">
        <v>19430</v>
      </c>
      <c r="P1061" s="7" t="s">
        <v>717</v>
      </c>
      <c r="Q1061" s="7" t="s">
        <v>725</v>
      </c>
      <c r="R1061" s="7" t="s">
        <v>19501</v>
      </c>
      <c r="S1061" s="7" t="s">
        <v>19726</v>
      </c>
      <c r="T1061" s="7" t="s">
        <v>4400</v>
      </c>
      <c r="U1061" s="7" t="s">
        <v>3493</v>
      </c>
      <c r="V1061" s="7">
        <v>1.0</v>
      </c>
    </row>
    <row r="1062">
      <c r="A1062" s="7" t="s">
        <v>20951</v>
      </c>
      <c r="B1062" s="7">
        <v>13360.0</v>
      </c>
      <c r="C1062" s="7" t="s">
        <v>10436</v>
      </c>
      <c r="D1062" s="7" t="s">
        <v>10441</v>
      </c>
      <c r="E1062" s="7" t="s">
        <v>10437</v>
      </c>
      <c r="F1062" s="7" t="s">
        <v>10442</v>
      </c>
      <c r="G1062" s="7" t="s">
        <v>10443</v>
      </c>
      <c r="H1062" s="7" t="s">
        <v>10444</v>
      </c>
      <c r="I1062" s="119">
        <v>45292.0</v>
      </c>
      <c r="K1062" s="7" t="s">
        <v>419</v>
      </c>
      <c r="L1062" s="7" t="s">
        <v>991</v>
      </c>
      <c r="M1062" s="7" t="s">
        <v>3501</v>
      </c>
      <c r="N1062" s="7" t="s">
        <v>419</v>
      </c>
      <c r="O1062" s="7" t="s">
        <v>19430</v>
      </c>
      <c r="P1062" s="7" t="s">
        <v>717</v>
      </c>
      <c r="Q1062" s="7" t="s">
        <v>738</v>
      </c>
      <c r="T1062" s="7" t="s">
        <v>5584</v>
      </c>
      <c r="U1062" s="7" t="s">
        <v>3493</v>
      </c>
      <c r="V1062" s="7">
        <v>1.0</v>
      </c>
    </row>
    <row r="1063">
      <c r="A1063" s="7" t="s">
        <v>1405</v>
      </c>
      <c r="B1063" s="7">
        <v>4027.0</v>
      </c>
      <c r="C1063" s="7" t="s">
        <v>10445</v>
      </c>
      <c r="D1063" s="7" t="s">
        <v>10446</v>
      </c>
      <c r="E1063" s="7" t="s">
        <v>10447</v>
      </c>
      <c r="F1063" s="7" t="s">
        <v>3806</v>
      </c>
      <c r="G1063" s="7" t="s">
        <v>10448</v>
      </c>
      <c r="H1063" s="7" t="s">
        <v>10449</v>
      </c>
      <c r="I1063" s="119">
        <v>45292.0</v>
      </c>
      <c r="K1063" s="7" t="s">
        <v>419</v>
      </c>
      <c r="L1063" s="7" t="s">
        <v>991</v>
      </c>
      <c r="M1063" s="7" t="s">
        <v>3501</v>
      </c>
      <c r="N1063" s="7" t="s">
        <v>419</v>
      </c>
      <c r="O1063" s="7" t="s">
        <v>19437</v>
      </c>
      <c r="P1063" s="7" t="s">
        <v>440</v>
      </c>
      <c r="Q1063" s="7" t="s">
        <v>441</v>
      </c>
      <c r="R1063" s="7" t="s">
        <v>19669</v>
      </c>
      <c r="S1063" s="7" t="s">
        <v>20952</v>
      </c>
      <c r="T1063" s="7" t="s">
        <v>20953</v>
      </c>
      <c r="U1063" s="7" t="s">
        <v>3493</v>
      </c>
      <c r="V1063" s="7">
        <v>1.0</v>
      </c>
    </row>
    <row r="1064">
      <c r="A1064" s="7" t="s">
        <v>20954</v>
      </c>
      <c r="B1064" s="7">
        <v>1112.0</v>
      </c>
      <c r="C1064" s="7" t="s">
        <v>10453</v>
      </c>
      <c r="D1064" s="7" t="s">
        <v>4929</v>
      </c>
      <c r="E1064" s="7" t="s">
        <v>10454</v>
      </c>
      <c r="F1064" s="7" t="s">
        <v>4929</v>
      </c>
      <c r="G1064" s="7" t="s">
        <v>10455</v>
      </c>
      <c r="H1064" s="7" t="s">
        <v>10456</v>
      </c>
      <c r="I1064" s="119">
        <v>45292.0</v>
      </c>
      <c r="K1064" s="7" t="s">
        <v>3541</v>
      </c>
      <c r="L1064" s="7" t="s">
        <v>3542</v>
      </c>
      <c r="M1064" s="7" t="s">
        <v>3543</v>
      </c>
      <c r="N1064" s="7" t="s">
        <v>419</v>
      </c>
      <c r="O1064" s="7" t="s">
        <v>19430</v>
      </c>
      <c r="P1064" s="7" t="s">
        <v>854</v>
      </c>
      <c r="Q1064" s="7" t="s">
        <v>864</v>
      </c>
      <c r="R1064" s="7" t="s">
        <v>19892</v>
      </c>
      <c r="T1064" s="7" t="s">
        <v>19893</v>
      </c>
      <c r="U1064" s="7" t="s">
        <v>3493</v>
      </c>
      <c r="V1064" s="7">
        <v>1.0</v>
      </c>
    </row>
    <row r="1065">
      <c r="A1065" s="7" t="s">
        <v>20955</v>
      </c>
      <c r="B1065" s="7">
        <v>1302.0</v>
      </c>
      <c r="C1065" s="7" t="s">
        <v>10459</v>
      </c>
      <c r="D1065" s="7" t="s">
        <v>10460</v>
      </c>
      <c r="E1065" s="7" t="s">
        <v>10461</v>
      </c>
      <c r="F1065" s="7" t="s">
        <v>10462</v>
      </c>
      <c r="G1065" s="7" t="s">
        <v>10463</v>
      </c>
      <c r="H1065" s="7" t="s">
        <v>10464</v>
      </c>
      <c r="I1065" s="119">
        <v>45292.0</v>
      </c>
      <c r="K1065" s="7" t="s">
        <v>419</v>
      </c>
      <c r="L1065" s="7" t="s">
        <v>991</v>
      </c>
      <c r="M1065" s="7" t="s">
        <v>3501</v>
      </c>
      <c r="N1065" s="7" t="s">
        <v>419</v>
      </c>
      <c r="O1065" s="7" t="s">
        <v>19433</v>
      </c>
      <c r="P1065" s="7" t="s">
        <v>648</v>
      </c>
      <c r="Q1065" s="7" t="s">
        <v>143</v>
      </c>
      <c r="R1065" s="7" t="s">
        <v>19712</v>
      </c>
      <c r="S1065" s="7" t="s">
        <v>19987</v>
      </c>
      <c r="T1065" s="7" t="s">
        <v>5506</v>
      </c>
      <c r="U1065" s="7" t="s">
        <v>3493</v>
      </c>
      <c r="V1065" s="7">
        <v>1.0</v>
      </c>
    </row>
    <row r="1066">
      <c r="A1066" s="7" t="s">
        <v>20956</v>
      </c>
      <c r="B1066" s="7">
        <v>12660.0</v>
      </c>
      <c r="C1066" s="7" t="s">
        <v>10459</v>
      </c>
      <c r="D1066" s="7" t="s">
        <v>10466</v>
      </c>
      <c r="E1066" s="7" t="s">
        <v>10461</v>
      </c>
      <c r="F1066" s="7" t="s">
        <v>5497</v>
      </c>
      <c r="G1066" s="7" t="s">
        <v>10467</v>
      </c>
      <c r="H1066" s="7" t="s">
        <v>10468</v>
      </c>
      <c r="I1066" s="119">
        <v>45292.0</v>
      </c>
      <c r="K1066" s="7" t="s">
        <v>419</v>
      </c>
      <c r="L1066" s="7" t="s">
        <v>991</v>
      </c>
      <c r="M1066" s="7" t="s">
        <v>3501</v>
      </c>
      <c r="N1066" s="7" t="s">
        <v>419</v>
      </c>
      <c r="O1066" s="7" t="s">
        <v>19430</v>
      </c>
      <c r="P1066" s="7" t="s">
        <v>780</v>
      </c>
      <c r="Q1066" s="7" t="s">
        <v>786</v>
      </c>
      <c r="R1066" s="7" t="s">
        <v>20558</v>
      </c>
      <c r="T1066" s="7" t="s">
        <v>16162</v>
      </c>
      <c r="U1066" s="7" t="s">
        <v>3493</v>
      </c>
      <c r="V1066" s="7">
        <v>1.0</v>
      </c>
    </row>
    <row r="1067">
      <c r="A1067" s="7" t="s">
        <v>2267</v>
      </c>
      <c r="B1067" s="7">
        <v>2300013.0</v>
      </c>
      <c r="C1067" s="7" t="s">
        <v>10470</v>
      </c>
      <c r="D1067" s="7" t="s">
        <v>10471</v>
      </c>
      <c r="E1067" s="7" t="s">
        <v>10472</v>
      </c>
      <c r="F1067" s="7" t="s">
        <v>10473</v>
      </c>
      <c r="G1067" s="7" t="s">
        <v>10474</v>
      </c>
      <c r="H1067" s="7" t="s">
        <v>10475</v>
      </c>
      <c r="I1067" s="119">
        <v>45292.0</v>
      </c>
      <c r="K1067" s="7" t="s">
        <v>3541</v>
      </c>
      <c r="L1067" s="7" t="s">
        <v>3542</v>
      </c>
      <c r="M1067" s="7" t="s">
        <v>3563</v>
      </c>
      <c r="N1067" s="7" t="s">
        <v>419</v>
      </c>
      <c r="O1067" s="7" t="s">
        <v>19437</v>
      </c>
      <c r="P1067" s="7" t="s">
        <v>440</v>
      </c>
      <c r="Q1067" s="7" t="s">
        <v>19453</v>
      </c>
      <c r="T1067" s="7" t="s">
        <v>17630</v>
      </c>
      <c r="U1067" s="7" t="s">
        <v>5585</v>
      </c>
      <c r="V1067" s="7">
        <v>1.0</v>
      </c>
    </row>
    <row r="1068">
      <c r="A1068" s="7" t="s">
        <v>2214</v>
      </c>
      <c r="B1068" s="7">
        <v>748.0</v>
      </c>
      <c r="C1068" s="7" t="s">
        <v>10480</v>
      </c>
      <c r="D1068" s="7" t="s">
        <v>10481</v>
      </c>
      <c r="E1068" s="7" t="s">
        <v>10482</v>
      </c>
      <c r="F1068" s="7" t="s">
        <v>10483</v>
      </c>
      <c r="G1068" s="7" t="s">
        <v>10484</v>
      </c>
      <c r="H1068" s="7" t="s">
        <v>10485</v>
      </c>
      <c r="I1068" s="119">
        <v>45292.0</v>
      </c>
      <c r="K1068" s="7" t="s">
        <v>419</v>
      </c>
      <c r="L1068" s="7" t="s">
        <v>991</v>
      </c>
      <c r="M1068" s="7" t="s">
        <v>3501</v>
      </c>
      <c r="N1068" s="7" t="s">
        <v>419</v>
      </c>
      <c r="O1068" s="7" t="s">
        <v>19430</v>
      </c>
      <c r="P1068" s="7" t="s">
        <v>717</v>
      </c>
      <c r="Q1068" s="7" t="s">
        <v>720</v>
      </c>
      <c r="T1068" s="7" t="s">
        <v>10486</v>
      </c>
      <c r="U1068" s="7" t="s">
        <v>5585</v>
      </c>
      <c r="V1068" s="7">
        <v>1.0</v>
      </c>
    </row>
    <row r="1069">
      <c r="A1069" s="7" t="s">
        <v>20957</v>
      </c>
      <c r="B1069" s="7">
        <v>14295.0</v>
      </c>
      <c r="C1069" s="7" t="s">
        <v>10488</v>
      </c>
      <c r="D1069" s="7" t="s">
        <v>10489</v>
      </c>
      <c r="E1069" s="7" t="s">
        <v>10490</v>
      </c>
      <c r="F1069" s="7" t="s">
        <v>10491</v>
      </c>
      <c r="G1069" s="7" t="s">
        <v>10492</v>
      </c>
      <c r="H1069" s="7" t="s">
        <v>10493</v>
      </c>
      <c r="I1069" s="119">
        <v>45292.0</v>
      </c>
      <c r="K1069" s="7" t="s">
        <v>419</v>
      </c>
      <c r="L1069" s="7" t="s">
        <v>991</v>
      </c>
      <c r="M1069" s="7" t="s">
        <v>3501</v>
      </c>
      <c r="N1069" s="7" t="s">
        <v>419</v>
      </c>
      <c r="O1069" s="7" t="s">
        <v>19430</v>
      </c>
      <c r="P1069" s="7" t="s">
        <v>717</v>
      </c>
      <c r="Q1069" s="7" t="s">
        <v>725</v>
      </c>
      <c r="R1069" s="7" t="s">
        <v>19501</v>
      </c>
      <c r="S1069" s="7" t="s">
        <v>19726</v>
      </c>
      <c r="T1069" s="7" t="s">
        <v>4400</v>
      </c>
      <c r="U1069" s="7" t="s">
        <v>3843</v>
      </c>
      <c r="V1069" s="7">
        <v>1.0</v>
      </c>
    </row>
    <row r="1070">
      <c r="A1070" s="7" t="s">
        <v>20958</v>
      </c>
      <c r="B1070" s="7">
        <v>180.0</v>
      </c>
      <c r="C1070" s="7" t="s">
        <v>10495</v>
      </c>
      <c r="D1070" s="7" t="s">
        <v>10496</v>
      </c>
      <c r="E1070" s="7" t="s">
        <v>10497</v>
      </c>
      <c r="F1070" s="7" t="s">
        <v>10498</v>
      </c>
      <c r="G1070" s="7" t="s">
        <v>10499</v>
      </c>
      <c r="H1070" s="7" t="s">
        <v>10500</v>
      </c>
      <c r="I1070" s="119">
        <v>45292.0</v>
      </c>
      <c r="K1070" s="7" t="s">
        <v>419</v>
      </c>
      <c r="L1070" s="7" t="s">
        <v>991</v>
      </c>
      <c r="M1070" s="7" t="s">
        <v>3501</v>
      </c>
      <c r="N1070" s="7" t="s">
        <v>419</v>
      </c>
      <c r="O1070" s="7" t="s">
        <v>19430</v>
      </c>
      <c r="P1070" s="7" t="s">
        <v>717</v>
      </c>
      <c r="Q1070" s="7" t="s">
        <v>725</v>
      </c>
      <c r="R1070" s="7" t="s">
        <v>19501</v>
      </c>
      <c r="S1070" s="7" t="s">
        <v>19688</v>
      </c>
      <c r="T1070" s="7" t="s">
        <v>4257</v>
      </c>
      <c r="U1070" s="7" t="s">
        <v>3493</v>
      </c>
      <c r="V1070" s="7">
        <v>1.0</v>
      </c>
    </row>
    <row r="1071">
      <c r="A1071" s="7" t="s">
        <v>19454</v>
      </c>
      <c r="B1071" s="7">
        <v>13661.0</v>
      </c>
      <c r="C1071" s="7" t="s">
        <v>10502</v>
      </c>
      <c r="D1071" s="7" t="s">
        <v>10503</v>
      </c>
      <c r="E1071" s="7" t="s">
        <v>10504</v>
      </c>
      <c r="F1071" s="7" t="s">
        <v>8243</v>
      </c>
      <c r="G1071" s="7" t="s">
        <v>10505</v>
      </c>
      <c r="H1071" s="7" t="s">
        <v>10506</v>
      </c>
      <c r="I1071" s="119">
        <v>45292.0</v>
      </c>
      <c r="K1071" s="7" t="s">
        <v>3632</v>
      </c>
      <c r="L1071" s="7" t="s">
        <v>991</v>
      </c>
      <c r="M1071" s="7" t="s">
        <v>3501</v>
      </c>
      <c r="N1071" s="7" t="s">
        <v>3632</v>
      </c>
      <c r="O1071" s="7" t="s">
        <v>3632</v>
      </c>
      <c r="P1071" s="7" t="s">
        <v>625</v>
      </c>
      <c r="Q1071" s="7" t="s">
        <v>626</v>
      </c>
      <c r="T1071" s="7" t="s">
        <v>19455</v>
      </c>
      <c r="U1071" s="7" t="s">
        <v>5585</v>
      </c>
      <c r="V1071" s="7">
        <v>1.0</v>
      </c>
    </row>
    <row r="1072">
      <c r="A1072" s="7" t="s">
        <v>1895</v>
      </c>
      <c r="B1072" s="7">
        <v>10936.0</v>
      </c>
      <c r="C1072" s="7" t="s">
        <v>10511</v>
      </c>
      <c r="D1072" s="7" t="s">
        <v>10512</v>
      </c>
      <c r="E1072" s="7" t="s">
        <v>10513</v>
      </c>
      <c r="F1072" s="7" t="s">
        <v>4751</v>
      </c>
      <c r="G1072" s="7" t="s">
        <v>10514</v>
      </c>
      <c r="H1072" s="7" t="s">
        <v>10515</v>
      </c>
      <c r="I1072" s="119">
        <v>45292.0</v>
      </c>
      <c r="K1072" s="7" t="s">
        <v>419</v>
      </c>
      <c r="L1072" s="7" t="s">
        <v>991</v>
      </c>
      <c r="M1072" s="7" t="s">
        <v>3501</v>
      </c>
      <c r="N1072" s="7" t="s">
        <v>419</v>
      </c>
      <c r="O1072" s="7" t="s">
        <v>19433</v>
      </c>
      <c r="P1072" s="7" t="s">
        <v>587</v>
      </c>
      <c r="Q1072" s="7" t="s">
        <v>72</v>
      </c>
      <c r="R1072" s="7" t="s">
        <v>19566</v>
      </c>
      <c r="S1072" s="7" t="s">
        <v>20959</v>
      </c>
      <c r="T1072" s="7" t="s">
        <v>10517</v>
      </c>
      <c r="U1072" s="7" t="s">
        <v>3493</v>
      </c>
      <c r="V1072" s="7">
        <v>1.0</v>
      </c>
    </row>
    <row r="1073">
      <c r="A1073" s="7" t="s">
        <v>20960</v>
      </c>
      <c r="B1073" s="7">
        <v>12598.0</v>
      </c>
      <c r="C1073" s="7" t="s">
        <v>10519</v>
      </c>
      <c r="D1073" s="7" t="s">
        <v>10520</v>
      </c>
      <c r="E1073" s="7" t="s">
        <v>10521</v>
      </c>
      <c r="F1073" s="7" t="s">
        <v>10522</v>
      </c>
      <c r="G1073" s="7" t="s">
        <v>10523</v>
      </c>
      <c r="H1073" s="7" t="s">
        <v>10524</v>
      </c>
      <c r="I1073" s="119">
        <v>45367.0</v>
      </c>
      <c r="K1073" s="7" t="s">
        <v>5973</v>
      </c>
      <c r="L1073" s="7" t="s">
        <v>3542</v>
      </c>
      <c r="M1073" s="7" t="s">
        <v>4383</v>
      </c>
      <c r="N1073" s="7" t="s">
        <v>419</v>
      </c>
      <c r="O1073" s="7" t="s">
        <v>19433</v>
      </c>
      <c r="P1073" s="7" t="s">
        <v>648</v>
      </c>
      <c r="Q1073" s="7" t="s">
        <v>148</v>
      </c>
      <c r="R1073" s="7" t="s">
        <v>19501</v>
      </c>
      <c r="T1073" s="7" t="s">
        <v>4445</v>
      </c>
      <c r="U1073" s="7" t="s">
        <v>3604</v>
      </c>
      <c r="V1073" s="7">
        <v>1.0</v>
      </c>
    </row>
    <row r="1074">
      <c r="A1074" s="7" t="s">
        <v>20961</v>
      </c>
      <c r="B1074" s="7">
        <v>12730.0</v>
      </c>
      <c r="C1074" s="7" t="s">
        <v>10527</v>
      </c>
      <c r="D1074" s="7" t="s">
        <v>10528</v>
      </c>
      <c r="E1074" s="7" t="s">
        <v>10529</v>
      </c>
      <c r="F1074" s="7" t="s">
        <v>10530</v>
      </c>
      <c r="G1074" s="7" t="s">
        <v>10531</v>
      </c>
      <c r="H1074" s="7" t="s">
        <v>10532</v>
      </c>
      <c r="I1074" s="119">
        <v>45292.0</v>
      </c>
      <c r="K1074" s="7" t="s">
        <v>419</v>
      </c>
      <c r="L1074" s="7" t="s">
        <v>991</v>
      </c>
      <c r="M1074" s="7" t="s">
        <v>3501</v>
      </c>
      <c r="N1074" s="7" t="s">
        <v>419</v>
      </c>
      <c r="O1074" s="7" t="s">
        <v>19443</v>
      </c>
      <c r="P1074" s="7" t="s">
        <v>323</v>
      </c>
      <c r="Q1074" s="7" t="s">
        <v>324</v>
      </c>
      <c r="R1074" s="7" t="s">
        <v>19599</v>
      </c>
      <c r="T1074" s="7" t="s">
        <v>3921</v>
      </c>
      <c r="U1074" s="7" t="s">
        <v>3493</v>
      </c>
      <c r="V1074" s="7">
        <v>1.0</v>
      </c>
    </row>
    <row r="1075">
      <c r="A1075" s="7" t="s">
        <v>20962</v>
      </c>
      <c r="B1075" s="7">
        <v>2200436.0</v>
      </c>
      <c r="C1075" s="7" t="s">
        <v>10534</v>
      </c>
      <c r="D1075" s="7" t="s">
        <v>5269</v>
      </c>
      <c r="E1075" s="7" t="s">
        <v>10535</v>
      </c>
      <c r="F1075" s="7" t="s">
        <v>3889</v>
      </c>
      <c r="G1075" s="7" t="s">
        <v>10536</v>
      </c>
      <c r="H1075" s="7" t="s">
        <v>10537</v>
      </c>
      <c r="I1075" s="119">
        <v>45292.0</v>
      </c>
      <c r="K1075" s="7" t="s">
        <v>419</v>
      </c>
      <c r="L1075" s="7" t="s">
        <v>991</v>
      </c>
      <c r="M1075" s="7" t="s">
        <v>3501</v>
      </c>
      <c r="N1075" s="7" t="s">
        <v>419</v>
      </c>
      <c r="O1075" s="7" t="s">
        <v>19430</v>
      </c>
      <c r="P1075" s="7" t="s">
        <v>854</v>
      </c>
      <c r="Q1075" s="7" t="s">
        <v>173</v>
      </c>
      <c r="R1075" s="7" t="s">
        <v>19566</v>
      </c>
      <c r="T1075" s="7" t="s">
        <v>3810</v>
      </c>
      <c r="U1075" s="7" t="s">
        <v>3604</v>
      </c>
      <c r="V1075" s="7">
        <v>1.0</v>
      </c>
    </row>
    <row r="1076">
      <c r="A1076" s="7" t="s">
        <v>20963</v>
      </c>
      <c r="B1076" s="7">
        <v>330.0</v>
      </c>
      <c r="C1076" s="7" t="s">
        <v>10539</v>
      </c>
      <c r="D1076" s="7" t="s">
        <v>10540</v>
      </c>
      <c r="E1076" s="7" t="s">
        <v>10541</v>
      </c>
      <c r="F1076" s="7" t="s">
        <v>10542</v>
      </c>
      <c r="G1076" s="7" t="s">
        <v>10543</v>
      </c>
      <c r="H1076" s="7" t="s">
        <v>10544</v>
      </c>
      <c r="I1076" s="119">
        <v>45292.0</v>
      </c>
      <c r="K1076" s="7" t="s">
        <v>419</v>
      </c>
      <c r="L1076" s="7" t="s">
        <v>991</v>
      </c>
      <c r="M1076" s="7" t="s">
        <v>3501</v>
      </c>
      <c r="N1076" s="7" t="s">
        <v>419</v>
      </c>
      <c r="O1076" s="7" t="s">
        <v>19443</v>
      </c>
      <c r="P1076" s="7" t="s">
        <v>1242</v>
      </c>
      <c r="Q1076" s="7" t="s">
        <v>48</v>
      </c>
      <c r="T1076" s="7" t="s">
        <v>10546</v>
      </c>
      <c r="U1076" s="7" t="s">
        <v>3493</v>
      </c>
      <c r="V1076" s="7">
        <v>1.0</v>
      </c>
    </row>
    <row r="1077">
      <c r="A1077" s="7" t="s">
        <v>20964</v>
      </c>
      <c r="B1077" s="7">
        <v>2100504.0</v>
      </c>
      <c r="C1077" s="7" t="s">
        <v>10548</v>
      </c>
      <c r="D1077" s="7" t="s">
        <v>10549</v>
      </c>
      <c r="E1077" s="7" t="s">
        <v>10550</v>
      </c>
      <c r="F1077" s="7" t="s">
        <v>10551</v>
      </c>
      <c r="G1077" s="7" t="s">
        <v>10552</v>
      </c>
      <c r="H1077" s="7" t="s">
        <v>10553</v>
      </c>
      <c r="I1077" s="119">
        <v>45292.0</v>
      </c>
      <c r="K1077" s="7" t="s">
        <v>3489</v>
      </c>
      <c r="L1077" s="7" t="s">
        <v>991</v>
      </c>
      <c r="M1077" s="7" t="s">
        <v>3490</v>
      </c>
      <c r="N1077" s="7" t="s">
        <v>3489</v>
      </c>
      <c r="O1077" s="7" t="s">
        <v>3489</v>
      </c>
      <c r="P1077" s="7" t="s">
        <v>19491</v>
      </c>
      <c r="Q1077" s="7" t="s">
        <v>169</v>
      </c>
      <c r="R1077" s="7" t="s">
        <v>19492</v>
      </c>
      <c r="T1077" s="7" t="s">
        <v>3492</v>
      </c>
      <c r="U1077" s="7" t="s">
        <v>3493</v>
      </c>
      <c r="V1077" s="7">
        <v>1.0</v>
      </c>
    </row>
    <row r="1078">
      <c r="A1078" s="7" t="s">
        <v>20965</v>
      </c>
      <c r="B1078" s="7">
        <v>11375.0</v>
      </c>
      <c r="C1078" s="7" t="s">
        <v>10555</v>
      </c>
      <c r="D1078" s="7" t="s">
        <v>10556</v>
      </c>
      <c r="E1078" s="7" t="s">
        <v>10557</v>
      </c>
      <c r="F1078" s="7" t="s">
        <v>10558</v>
      </c>
      <c r="G1078" s="7" t="s">
        <v>10559</v>
      </c>
      <c r="H1078" s="7" t="s">
        <v>10560</v>
      </c>
      <c r="I1078" s="119">
        <v>45292.0</v>
      </c>
      <c r="K1078" s="7" t="s">
        <v>419</v>
      </c>
      <c r="L1078" s="7" t="s">
        <v>991</v>
      </c>
      <c r="M1078" s="7" t="s">
        <v>3501</v>
      </c>
      <c r="N1078" s="7" t="s">
        <v>419</v>
      </c>
      <c r="O1078" s="7" t="s">
        <v>19430</v>
      </c>
      <c r="P1078" s="7" t="s">
        <v>717</v>
      </c>
      <c r="Q1078" s="7" t="s">
        <v>1163</v>
      </c>
      <c r="R1078" s="7" t="s">
        <v>20486</v>
      </c>
      <c r="T1078" s="7" t="s">
        <v>9112</v>
      </c>
      <c r="U1078" s="7" t="s">
        <v>3493</v>
      </c>
      <c r="V1078" s="7">
        <v>1.0</v>
      </c>
    </row>
    <row r="1079">
      <c r="A1079" s="7" t="s">
        <v>20966</v>
      </c>
      <c r="B1079" s="7">
        <v>2100203.0</v>
      </c>
      <c r="C1079" s="7" t="s">
        <v>10563</v>
      </c>
      <c r="D1079" s="7" t="s">
        <v>10564</v>
      </c>
      <c r="E1079" s="7" t="s">
        <v>10565</v>
      </c>
      <c r="F1079" s="7" t="s">
        <v>10566</v>
      </c>
      <c r="G1079" s="7" t="s">
        <v>10567</v>
      </c>
      <c r="H1079" s="7" t="s">
        <v>10568</v>
      </c>
      <c r="I1079" s="119">
        <v>45292.0</v>
      </c>
      <c r="K1079" s="7" t="s">
        <v>419</v>
      </c>
      <c r="L1079" s="7" t="s">
        <v>991</v>
      </c>
      <c r="M1079" s="7" t="s">
        <v>3501</v>
      </c>
      <c r="N1079" s="7" t="s">
        <v>419</v>
      </c>
      <c r="O1079" s="7" t="s">
        <v>19430</v>
      </c>
      <c r="P1079" s="7" t="s">
        <v>717</v>
      </c>
      <c r="Q1079" s="7" t="s">
        <v>223</v>
      </c>
      <c r="R1079" s="7" t="s">
        <v>20315</v>
      </c>
      <c r="S1079" s="7" t="s">
        <v>19724</v>
      </c>
      <c r="T1079" s="7" t="s">
        <v>10570</v>
      </c>
      <c r="U1079" s="7" t="s">
        <v>3843</v>
      </c>
      <c r="V1079" s="7">
        <v>1.0</v>
      </c>
    </row>
    <row r="1080">
      <c r="A1080" s="7" t="s">
        <v>20967</v>
      </c>
      <c r="B1080" s="7">
        <v>787.0</v>
      </c>
      <c r="C1080" s="7" t="s">
        <v>10572</v>
      </c>
      <c r="D1080" s="7" t="s">
        <v>10573</v>
      </c>
      <c r="E1080" s="7" t="s">
        <v>10574</v>
      </c>
      <c r="F1080" s="7" t="s">
        <v>4032</v>
      </c>
      <c r="G1080" s="7" t="s">
        <v>10575</v>
      </c>
      <c r="H1080" s="7" t="s">
        <v>10576</v>
      </c>
      <c r="I1080" s="119">
        <v>45292.0</v>
      </c>
      <c r="K1080" s="7" t="s">
        <v>419</v>
      </c>
      <c r="L1080" s="7" t="s">
        <v>991</v>
      </c>
      <c r="M1080" s="7" t="s">
        <v>3501</v>
      </c>
      <c r="N1080" s="7" t="s">
        <v>419</v>
      </c>
      <c r="O1080" s="7" t="s">
        <v>19430</v>
      </c>
      <c r="P1080" s="7" t="s">
        <v>717</v>
      </c>
      <c r="Q1080" s="7" t="s">
        <v>725</v>
      </c>
      <c r="R1080" s="7" t="s">
        <v>19621</v>
      </c>
      <c r="S1080" s="7" t="s">
        <v>20968</v>
      </c>
      <c r="T1080" s="7" t="s">
        <v>10578</v>
      </c>
      <c r="U1080" s="7" t="s">
        <v>3843</v>
      </c>
      <c r="V1080" s="7">
        <v>1.0</v>
      </c>
    </row>
    <row r="1081">
      <c r="A1081" s="7" t="s">
        <v>20969</v>
      </c>
      <c r="B1081" s="7">
        <v>2100048.0</v>
      </c>
      <c r="C1081" s="7" t="s">
        <v>10580</v>
      </c>
      <c r="D1081" s="7" t="s">
        <v>10581</v>
      </c>
      <c r="E1081" s="7" t="s">
        <v>10582</v>
      </c>
      <c r="F1081" s="7" t="s">
        <v>10583</v>
      </c>
      <c r="G1081" s="7" t="s">
        <v>10584</v>
      </c>
      <c r="H1081" s="7" t="s">
        <v>10585</v>
      </c>
      <c r="I1081" s="119">
        <v>45292.0</v>
      </c>
      <c r="K1081" s="7" t="s">
        <v>419</v>
      </c>
      <c r="L1081" s="7" t="s">
        <v>991</v>
      </c>
      <c r="M1081" s="7" t="s">
        <v>3501</v>
      </c>
      <c r="N1081" s="7" t="s">
        <v>419</v>
      </c>
      <c r="O1081" s="7" t="s">
        <v>19433</v>
      </c>
      <c r="P1081" s="7" t="s">
        <v>648</v>
      </c>
      <c r="Q1081" s="7" t="s">
        <v>141</v>
      </c>
      <c r="R1081" s="7" t="s">
        <v>19696</v>
      </c>
      <c r="T1081" s="7" t="s">
        <v>4291</v>
      </c>
      <c r="U1081" s="7" t="s">
        <v>3604</v>
      </c>
      <c r="V1081" s="7">
        <v>1.0</v>
      </c>
    </row>
    <row r="1082">
      <c r="A1082" s="7" t="s">
        <v>20970</v>
      </c>
      <c r="B1082" s="7">
        <v>2300008.0</v>
      </c>
      <c r="C1082" s="7" t="s">
        <v>10588</v>
      </c>
      <c r="D1082" s="7" t="s">
        <v>10589</v>
      </c>
      <c r="E1082" s="7" t="s">
        <v>10590</v>
      </c>
      <c r="F1082" s="7" t="s">
        <v>7266</v>
      </c>
      <c r="G1082" s="7" t="s">
        <v>10591</v>
      </c>
      <c r="H1082" s="7" t="s">
        <v>10592</v>
      </c>
      <c r="I1082" s="119">
        <v>45292.0</v>
      </c>
      <c r="K1082" s="7" t="s">
        <v>419</v>
      </c>
      <c r="L1082" s="7" t="s">
        <v>991</v>
      </c>
      <c r="M1082" s="7" t="s">
        <v>3501</v>
      </c>
      <c r="N1082" s="7" t="s">
        <v>419</v>
      </c>
      <c r="O1082" s="7" t="s">
        <v>19430</v>
      </c>
      <c r="P1082" s="7" t="s">
        <v>717</v>
      </c>
      <c r="Q1082" s="7" t="s">
        <v>722</v>
      </c>
      <c r="R1082" s="7" t="s">
        <v>19703</v>
      </c>
      <c r="S1082" s="7" t="s">
        <v>19704</v>
      </c>
      <c r="T1082" s="7" t="s">
        <v>4311</v>
      </c>
      <c r="U1082" s="7" t="s">
        <v>3493</v>
      </c>
      <c r="V1082" s="7">
        <v>1.0</v>
      </c>
    </row>
    <row r="1083">
      <c r="A1083" s="7" t="s">
        <v>20971</v>
      </c>
      <c r="B1083" s="7">
        <v>2300435.0</v>
      </c>
      <c r="C1083" s="7" t="s">
        <v>10594</v>
      </c>
      <c r="D1083" s="7" t="s">
        <v>5956</v>
      </c>
      <c r="E1083" s="7" t="s">
        <v>10595</v>
      </c>
      <c r="F1083" s="7" t="s">
        <v>4687</v>
      </c>
      <c r="G1083" s="7" t="s">
        <v>10596</v>
      </c>
      <c r="H1083" s="7" t="s">
        <v>10597</v>
      </c>
      <c r="I1083" s="119">
        <v>45292.0</v>
      </c>
      <c r="K1083" s="7" t="s">
        <v>419</v>
      </c>
      <c r="L1083" s="7" t="s">
        <v>991</v>
      </c>
      <c r="M1083" s="7" t="s">
        <v>3501</v>
      </c>
      <c r="N1083" s="7" t="s">
        <v>419</v>
      </c>
      <c r="O1083" s="7" t="s">
        <v>19430</v>
      </c>
      <c r="P1083" s="7" t="s">
        <v>780</v>
      </c>
      <c r="Q1083" s="7" t="s">
        <v>786</v>
      </c>
      <c r="R1083" s="7" t="s">
        <v>20558</v>
      </c>
      <c r="T1083" s="7" t="s">
        <v>16162</v>
      </c>
      <c r="U1083" s="7" t="s">
        <v>3493</v>
      </c>
      <c r="V1083" s="7">
        <v>1.0</v>
      </c>
    </row>
    <row r="1084">
      <c r="A1084" s="7" t="s">
        <v>20972</v>
      </c>
      <c r="B1084" s="7">
        <v>11042.0</v>
      </c>
      <c r="C1084" s="7" t="s">
        <v>10594</v>
      </c>
      <c r="D1084" s="7" t="s">
        <v>8988</v>
      </c>
      <c r="E1084" s="7" t="s">
        <v>10595</v>
      </c>
      <c r="F1084" s="7" t="s">
        <v>3656</v>
      </c>
      <c r="G1084" s="7" t="s">
        <v>10599</v>
      </c>
      <c r="H1084" s="7" t="s">
        <v>10600</v>
      </c>
      <c r="I1084" s="119">
        <v>45292.0</v>
      </c>
      <c r="K1084" s="7" t="s">
        <v>419</v>
      </c>
      <c r="L1084" s="7" t="s">
        <v>991</v>
      </c>
      <c r="M1084" s="7" t="s">
        <v>3501</v>
      </c>
      <c r="N1084" s="7" t="s">
        <v>419</v>
      </c>
      <c r="O1084" s="7" t="s">
        <v>19437</v>
      </c>
      <c r="P1084" s="7" t="s">
        <v>440</v>
      </c>
      <c r="Q1084" s="7" t="s">
        <v>441</v>
      </c>
      <c r="R1084" s="7" t="s">
        <v>20471</v>
      </c>
      <c r="T1084" s="7" t="s">
        <v>10602</v>
      </c>
      <c r="U1084" s="7" t="s">
        <v>3604</v>
      </c>
      <c r="V1084" s="7">
        <v>1.0</v>
      </c>
    </row>
    <row r="1085">
      <c r="A1085" s="7" t="s">
        <v>20973</v>
      </c>
      <c r="B1085" s="7">
        <v>14302.0</v>
      </c>
      <c r="C1085" s="7" t="s">
        <v>10604</v>
      </c>
      <c r="D1085" s="7" t="s">
        <v>10605</v>
      </c>
      <c r="E1085" s="7" t="s">
        <v>10606</v>
      </c>
      <c r="F1085" s="7" t="s">
        <v>10607</v>
      </c>
      <c r="G1085" s="7" t="s">
        <v>10608</v>
      </c>
      <c r="H1085" s="7" t="s">
        <v>10609</v>
      </c>
      <c r="I1085" s="119">
        <v>45292.0</v>
      </c>
      <c r="K1085" s="7" t="s">
        <v>419</v>
      </c>
      <c r="L1085" s="7" t="s">
        <v>991</v>
      </c>
      <c r="M1085" s="7" t="s">
        <v>3501</v>
      </c>
      <c r="N1085" s="7" t="s">
        <v>419</v>
      </c>
      <c r="O1085" s="7" t="s">
        <v>19430</v>
      </c>
      <c r="P1085" s="7" t="s">
        <v>717</v>
      </c>
      <c r="Q1085" s="7" t="s">
        <v>1163</v>
      </c>
      <c r="R1085" s="7" t="s">
        <v>19639</v>
      </c>
      <c r="S1085" s="7" t="s">
        <v>19971</v>
      </c>
      <c r="T1085" s="7" t="s">
        <v>8015</v>
      </c>
      <c r="U1085" s="7" t="s">
        <v>3843</v>
      </c>
      <c r="V1085" s="7">
        <v>1.0</v>
      </c>
    </row>
    <row r="1086">
      <c r="A1086" s="7" t="s">
        <v>20974</v>
      </c>
      <c r="B1086" s="7">
        <v>2200188.0</v>
      </c>
      <c r="C1086" s="7" t="s">
        <v>10604</v>
      </c>
      <c r="D1086" s="7" t="s">
        <v>10611</v>
      </c>
      <c r="E1086" s="7" t="s">
        <v>10606</v>
      </c>
      <c r="F1086" s="7" t="s">
        <v>10612</v>
      </c>
      <c r="G1086" s="7" t="s">
        <v>10613</v>
      </c>
      <c r="H1086" s="7" t="s">
        <v>10614</v>
      </c>
      <c r="I1086" s="119">
        <v>45292.0</v>
      </c>
      <c r="K1086" s="7" t="s">
        <v>419</v>
      </c>
      <c r="L1086" s="7" t="s">
        <v>991</v>
      </c>
      <c r="M1086" s="7" t="s">
        <v>3501</v>
      </c>
      <c r="N1086" s="7" t="s">
        <v>419</v>
      </c>
      <c r="O1086" s="7" t="s">
        <v>19430</v>
      </c>
      <c r="P1086" s="7" t="s">
        <v>717</v>
      </c>
      <c r="Q1086" s="7" t="s">
        <v>738</v>
      </c>
      <c r="R1086" s="7" t="s">
        <v>20012</v>
      </c>
      <c r="S1086" s="7" t="s">
        <v>20068</v>
      </c>
      <c r="T1086" s="7" t="s">
        <v>5889</v>
      </c>
      <c r="U1086" s="7" t="s">
        <v>3493</v>
      </c>
      <c r="V1086" s="7">
        <v>1.0</v>
      </c>
    </row>
    <row r="1087">
      <c r="A1087" s="7" t="s">
        <v>20975</v>
      </c>
      <c r="B1087" s="7">
        <v>10785.0</v>
      </c>
      <c r="C1087" s="7" t="s">
        <v>10604</v>
      </c>
      <c r="D1087" s="7" t="s">
        <v>10616</v>
      </c>
      <c r="E1087" s="7" t="s">
        <v>10606</v>
      </c>
      <c r="F1087" s="7" t="s">
        <v>8007</v>
      </c>
      <c r="G1087" s="7" t="s">
        <v>10617</v>
      </c>
      <c r="H1087" s="7" t="s">
        <v>10618</v>
      </c>
      <c r="I1087" s="119">
        <v>45292.0</v>
      </c>
      <c r="K1087" s="7" t="s">
        <v>419</v>
      </c>
      <c r="L1087" s="7" t="s">
        <v>991</v>
      </c>
      <c r="M1087" s="7" t="s">
        <v>3501</v>
      </c>
      <c r="N1087" s="7" t="s">
        <v>419</v>
      </c>
      <c r="O1087" s="7" t="s">
        <v>19430</v>
      </c>
      <c r="P1087" s="7" t="s">
        <v>717</v>
      </c>
      <c r="Q1087" s="7" t="s">
        <v>730</v>
      </c>
      <c r="R1087" s="7" t="s">
        <v>19979</v>
      </c>
      <c r="T1087" s="7" t="s">
        <v>20976</v>
      </c>
      <c r="U1087" s="7" t="s">
        <v>3604</v>
      </c>
      <c r="V1087" s="7">
        <v>1.0</v>
      </c>
    </row>
    <row r="1088">
      <c r="A1088" s="7" t="s">
        <v>20977</v>
      </c>
      <c r="B1088" s="7">
        <v>13704.0</v>
      </c>
      <c r="C1088" s="7" t="s">
        <v>10604</v>
      </c>
      <c r="D1088" s="7" t="s">
        <v>10622</v>
      </c>
      <c r="E1088" s="7" t="s">
        <v>10606</v>
      </c>
      <c r="F1088" s="7" t="s">
        <v>9490</v>
      </c>
      <c r="G1088" s="7" t="s">
        <v>10623</v>
      </c>
      <c r="H1088" s="7" t="s">
        <v>10624</v>
      </c>
      <c r="I1088" s="119">
        <v>45292.0</v>
      </c>
      <c r="K1088" s="7" t="s">
        <v>3632</v>
      </c>
      <c r="L1088" s="7" t="s">
        <v>991</v>
      </c>
      <c r="M1088" s="7" t="s">
        <v>3583</v>
      </c>
      <c r="N1088" s="7" t="s">
        <v>3632</v>
      </c>
      <c r="O1088" s="7" t="s">
        <v>3632</v>
      </c>
      <c r="P1088" s="7" t="s">
        <v>625</v>
      </c>
      <c r="Q1088" s="7" t="s">
        <v>124</v>
      </c>
      <c r="R1088" s="7" t="s">
        <v>19563</v>
      </c>
      <c r="T1088" s="7" t="s">
        <v>10625</v>
      </c>
      <c r="U1088" s="7" t="s">
        <v>3493</v>
      </c>
      <c r="V1088" s="7">
        <v>1.0</v>
      </c>
    </row>
    <row r="1089">
      <c r="A1089" s="7" t="s">
        <v>20978</v>
      </c>
      <c r="B1089" s="7">
        <v>1079.0</v>
      </c>
      <c r="C1089" s="7" t="s">
        <v>10316</v>
      </c>
      <c r="D1089" s="7" t="s">
        <v>10626</v>
      </c>
      <c r="E1089" s="7" t="s">
        <v>10627</v>
      </c>
      <c r="F1089" s="7" t="s">
        <v>4424</v>
      </c>
      <c r="G1089" s="7" t="s">
        <v>10628</v>
      </c>
      <c r="H1089" s="7" t="s">
        <v>10629</v>
      </c>
      <c r="I1089" s="119">
        <v>45292.0</v>
      </c>
      <c r="K1089" s="7" t="s">
        <v>419</v>
      </c>
      <c r="L1089" s="7" t="s">
        <v>991</v>
      </c>
      <c r="M1089" s="7" t="s">
        <v>3501</v>
      </c>
      <c r="N1089" s="7" t="s">
        <v>419</v>
      </c>
      <c r="O1089" s="7" t="s">
        <v>19432</v>
      </c>
      <c r="P1089" s="7" t="s">
        <v>693</v>
      </c>
      <c r="Q1089" s="7" t="s">
        <v>701</v>
      </c>
      <c r="R1089" s="7" t="s">
        <v>19518</v>
      </c>
      <c r="S1089" s="7" t="s">
        <v>19996</v>
      </c>
      <c r="T1089" s="7" t="s">
        <v>19997</v>
      </c>
      <c r="U1089" s="7" t="s">
        <v>3493</v>
      </c>
      <c r="V1089" s="7">
        <v>1.0</v>
      </c>
    </row>
    <row r="1090">
      <c r="A1090" s="7" t="s">
        <v>20979</v>
      </c>
      <c r="B1090" s="7">
        <v>2200266.0</v>
      </c>
      <c r="C1090" s="7" t="s">
        <v>10631</v>
      </c>
      <c r="D1090" s="7" t="s">
        <v>10632</v>
      </c>
      <c r="E1090" s="7" t="s">
        <v>10633</v>
      </c>
      <c r="F1090" s="7" t="s">
        <v>7039</v>
      </c>
      <c r="G1090" s="7" t="s">
        <v>10634</v>
      </c>
      <c r="H1090" s="7" t="s">
        <v>10635</v>
      </c>
      <c r="I1090" s="119">
        <v>45292.0</v>
      </c>
      <c r="K1090" s="7" t="s">
        <v>419</v>
      </c>
      <c r="L1090" s="7" t="s">
        <v>991</v>
      </c>
      <c r="M1090" s="7" t="s">
        <v>3531</v>
      </c>
      <c r="N1090" s="7" t="s">
        <v>419</v>
      </c>
      <c r="O1090" s="7" t="s">
        <v>19443</v>
      </c>
      <c r="P1090" s="7" t="s">
        <v>1242</v>
      </c>
      <c r="Q1090" s="7" t="s">
        <v>51</v>
      </c>
      <c r="R1090" s="7" t="s">
        <v>19563</v>
      </c>
      <c r="S1090" s="7" t="s">
        <v>19564</v>
      </c>
      <c r="T1090" s="7" t="s">
        <v>3803</v>
      </c>
      <c r="U1090" s="7" t="s">
        <v>3493</v>
      </c>
      <c r="V1090" s="7">
        <v>1.0</v>
      </c>
    </row>
    <row r="1091">
      <c r="A1091" s="7" t="s">
        <v>20980</v>
      </c>
      <c r="B1091" s="7">
        <v>10021.0</v>
      </c>
      <c r="C1091" s="7" t="s">
        <v>10631</v>
      </c>
      <c r="D1091" s="7" t="s">
        <v>10637</v>
      </c>
      <c r="E1091" s="7" t="s">
        <v>10633</v>
      </c>
      <c r="F1091" s="7" t="s">
        <v>4677</v>
      </c>
      <c r="G1091" s="7" t="s">
        <v>10638</v>
      </c>
      <c r="H1091" s="7" t="s">
        <v>10639</v>
      </c>
      <c r="I1091" s="119">
        <v>45292.0</v>
      </c>
      <c r="K1091" s="7" t="s">
        <v>419</v>
      </c>
      <c r="L1091" s="7" t="s">
        <v>991</v>
      </c>
      <c r="M1091" s="7" t="s">
        <v>3501</v>
      </c>
      <c r="N1091" s="7" t="s">
        <v>419</v>
      </c>
      <c r="O1091" s="7" t="s">
        <v>19443</v>
      </c>
      <c r="P1091" s="7" t="s">
        <v>323</v>
      </c>
      <c r="Q1091" s="7" t="s">
        <v>824</v>
      </c>
      <c r="R1091" s="7" t="s">
        <v>20553</v>
      </c>
      <c r="T1091" s="7" t="s">
        <v>20554</v>
      </c>
      <c r="U1091" s="7" t="s">
        <v>3493</v>
      </c>
      <c r="V1091" s="7">
        <v>1.0</v>
      </c>
    </row>
    <row r="1092">
      <c r="A1092" s="7" t="s">
        <v>20981</v>
      </c>
      <c r="B1092" s="7">
        <v>13576.0</v>
      </c>
      <c r="C1092" s="7" t="s">
        <v>10641</v>
      </c>
      <c r="D1092" s="7" t="s">
        <v>7547</v>
      </c>
      <c r="E1092" s="7" t="s">
        <v>10642</v>
      </c>
      <c r="F1092" s="7" t="s">
        <v>3889</v>
      </c>
      <c r="G1092" s="7" t="s">
        <v>10643</v>
      </c>
      <c r="H1092" s="7" t="s">
        <v>10644</v>
      </c>
      <c r="I1092" s="119">
        <v>45292.0</v>
      </c>
      <c r="K1092" s="7" t="s">
        <v>419</v>
      </c>
      <c r="L1092" s="7" t="s">
        <v>991</v>
      </c>
      <c r="M1092" s="7" t="s">
        <v>3501</v>
      </c>
      <c r="N1092" s="7" t="s">
        <v>419</v>
      </c>
      <c r="O1092" s="7" t="s">
        <v>19432</v>
      </c>
      <c r="P1092" s="7" t="s">
        <v>391</v>
      </c>
      <c r="Q1092" s="7" t="s">
        <v>392</v>
      </c>
      <c r="R1092" s="7" t="s">
        <v>20982</v>
      </c>
      <c r="T1092" s="7" t="s">
        <v>11498</v>
      </c>
      <c r="U1092" s="7" t="s">
        <v>3493</v>
      </c>
      <c r="V1092" s="7">
        <v>1.0</v>
      </c>
    </row>
    <row r="1093">
      <c r="A1093" s="7" t="s">
        <v>20983</v>
      </c>
      <c r="B1093" s="7">
        <v>12818.0</v>
      </c>
      <c r="C1093" s="7" t="s">
        <v>10648</v>
      </c>
      <c r="D1093" s="7" t="s">
        <v>10649</v>
      </c>
      <c r="E1093" s="7" t="s">
        <v>10650</v>
      </c>
      <c r="F1093" s="7" t="s">
        <v>4751</v>
      </c>
      <c r="G1093" s="7" t="s">
        <v>10651</v>
      </c>
      <c r="H1093" s="7" t="s">
        <v>10652</v>
      </c>
      <c r="I1093" s="119">
        <v>45292.0</v>
      </c>
      <c r="K1093" s="7" t="s">
        <v>419</v>
      </c>
      <c r="L1093" s="7" t="s">
        <v>991</v>
      </c>
      <c r="M1093" s="7" t="s">
        <v>3501</v>
      </c>
      <c r="N1093" s="7" t="s">
        <v>419</v>
      </c>
      <c r="O1093" s="7" t="s">
        <v>19430</v>
      </c>
      <c r="P1093" s="7" t="s">
        <v>717</v>
      </c>
      <c r="Q1093" s="7" t="s">
        <v>730</v>
      </c>
      <c r="R1093" s="7" t="s">
        <v>20285</v>
      </c>
      <c r="T1093" s="7" t="s">
        <v>6981</v>
      </c>
      <c r="U1093" s="7" t="s">
        <v>3604</v>
      </c>
      <c r="V1093" s="7">
        <v>1.0</v>
      </c>
    </row>
    <row r="1094">
      <c r="A1094" s="7" t="s">
        <v>20984</v>
      </c>
      <c r="B1094" s="7">
        <v>2200758.0</v>
      </c>
      <c r="C1094" s="7" t="s">
        <v>10654</v>
      </c>
      <c r="D1094" s="7" t="s">
        <v>10655</v>
      </c>
      <c r="E1094" s="7" t="s">
        <v>10656</v>
      </c>
      <c r="F1094" s="7" t="s">
        <v>10657</v>
      </c>
      <c r="G1094" s="7" t="s">
        <v>10658</v>
      </c>
      <c r="H1094" s="7" t="s">
        <v>10659</v>
      </c>
      <c r="I1094" s="119">
        <v>45292.0</v>
      </c>
      <c r="K1094" s="7" t="s">
        <v>419</v>
      </c>
      <c r="L1094" s="7" t="s">
        <v>991</v>
      </c>
      <c r="M1094" s="7" t="s">
        <v>3501</v>
      </c>
      <c r="N1094" s="7" t="s">
        <v>419</v>
      </c>
      <c r="O1094" s="7" t="s">
        <v>19430</v>
      </c>
      <c r="P1094" s="7" t="s">
        <v>717</v>
      </c>
      <c r="Q1094" s="7" t="s">
        <v>722</v>
      </c>
      <c r="R1094" s="7" t="s">
        <v>19703</v>
      </c>
      <c r="S1094" s="7" t="s">
        <v>19704</v>
      </c>
      <c r="T1094" s="7" t="s">
        <v>4311</v>
      </c>
      <c r="U1094" s="7" t="s">
        <v>3493</v>
      </c>
      <c r="V1094" s="7">
        <v>1.0</v>
      </c>
    </row>
    <row r="1095">
      <c r="A1095" s="7" t="s">
        <v>20985</v>
      </c>
      <c r="B1095" s="7">
        <v>2200092.0</v>
      </c>
      <c r="C1095" s="7" t="s">
        <v>10661</v>
      </c>
      <c r="D1095" s="7" t="s">
        <v>10662</v>
      </c>
      <c r="E1095" s="7" t="s">
        <v>10656</v>
      </c>
      <c r="F1095" s="7" t="s">
        <v>10663</v>
      </c>
      <c r="G1095" s="7" t="s">
        <v>10664</v>
      </c>
      <c r="H1095" s="7" t="s">
        <v>10665</v>
      </c>
      <c r="I1095" s="119">
        <v>45292.0</v>
      </c>
      <c r="K1095" s="7" t="s">
        <v>419</v>
      </c>
      <c r="L1095" s="7" t="s">
        <v>991</v>
      </c>
      <c r="M1095" s="7" t="s">
        <v>3531</v>
      </c>
      <c r="N1095" s="7" t="s">
        <v>419</v>
      </c>
      <c r="O1095" s="7" t="s">
        <v>19440</v>
      </c>
      <c r="P1095" s="7" t="s">
        <v>613</v>
      </c>
      <c r="Q1095" s="7" t="s">
        <v>104</v>
      </c>
      <c r="T1095" s="7" t="s">
        <v>10667</v>
      </c>
      <c r="U1095" s="7" t="s">
        <v>3493</v>
      </c>
      <c r="V1095" s="7">
        <v>1.0</v>
      </c>
    </row>
    <row r="1096">
      <c r="A1096" s="7" t="s">
        <v>20986</v>
      </c>
      <c r="B1096" s="7">
        <v>2300654.0</v>
      </c>
      <c r="C1096" s="7" t="s">
        <v>10661</v>
      </c>
      <c r="D1096" s="7" t="s">
        <v>10669</v>
      </c>
      <c r="E1096" s="7" t="s">
        <v>10656</v>
      </c>
      <c r="F1096" s="7" t="s">
        <v>3806</v>
      </c>
      <c r="G1096" s="7" t="s">
        <v>10670</v>
      </c>
      <c r="H1096" s="7" t="s">
        <v>10671</v>
      </c>
      <c r="I1096" s="119">
        <v>45292.0</v>
      </c>
      <c r="K1096" s="7" t="s">
        <v>419</v>
      </c>
      <c r="L1096" s="7" t="s">
        <v>991</v>
      </c>
      <c r="M1096" s="7" t="s">
        <v>3531</v>
      </c>
      <c r="N1096" s="7" t="s">
        <v>419</v>
      </c>
      <c r="O1096" s="7" t="s">
        <v>19430</v>
      </c>
      <c r="P1096" s="7" t="s">
        <v>717</v>
      </c>
      <c r="Q1096" s="7" t="s">
        <v>738</v>
      </c>
      <c r="R1096" s="7" t="s">
        <v>20012</v>
      </c>
      <c r="S1096" s="7" t="s">
        <v>20392</v>
      </c>
      <c r="T1096" s="7" t="s">
        <v>7537</v>
      </c>
      <c r="U1096" s="7" t="s">
        <v>3493</v>
      </c>
      <c r="V1096" s="7">
        <v>1.0</v>
      </c>
    </row>
    <row r="1097">
      <c r="A1097" s="7" t="s">
        <v>20987</v>
      </c>
      <c r="B1097" s="7">
        <v>3000204.0</v>
      </c>
      <c r="C1097" s="7" t="s">
        <v>10673</v>
      </c>
      <c r="D1097" s="7" t="s">
        <v>10674</v>
      </c>
      <c r="E1097" s="7" t="s">
        <v>10675</v>
      </c>
      <c r="F1097" s="7" t="s">
        <v>9367</v>
      </c>
      <c r="G1097" s="7" t="s">
        <v>10676</v>
      </c>
      <c r="H1097" s="7" t="s">
        <v>10677</v>
      </c>
      <c r="I1097" s="119">
        <v>45536.0</v>
      </c>
      <c r="K1097" s="7" t="s">
        <v>419</v>
      </c>
      <c r="L1097" s="7" t="s">
        <v>991</v>
      </c>
      <c r="M1097" s="7" t="s">
        <v>3501</v>
      </c>
      <c r="N1097" s="7" t="s">
        <v>419</v>
      </c>
      <c r="O1097" s="7" t="s">
        <v>19430</v>
      </c>
      <c r="P1097" s="7" t="s">
        <v>717</v>
      </c>
      <c r="Q1097" s="7" t="s">
        <v>1163</v>
      </c>
      <c r="R1097" s="7" t="s">
        <v>19608</v>
      </c>
      <c r="S1097" s="7" t="s">
        <v>20046</v>
      </c>
      <c r="T1097" s="7" t="s">
        <v>5796</v>
      </c>
      <c r="U1097" s="7" t="s">
        <v>3493</v>
      </c>
      <c r="V1097" s="7">
        <v>1.0</v>
      </c>
    </row>
    <row r="1098">
      <c r="A1098" s="7" t="s">
        <v>20988</v>
      </c>
      <c r="B1098" s="7">
        <v>8444.0</v>
      </c>
      <c r="C1098" s="7" t="s">
        <v>10679</v>
      </c>
      <c r="D1098" s="7" t="s">
        <v>10680</v>
      </c>
      <c r="E1098" s="7" t="s">
        <v>10681</v>
      </c>
      <c r="F1098" s="7" t="s">
        <v>10682</v>
      </c>
      <c r="G1098" s="7" t="s">
        <v>10683</v>
      </c>
      <c r="H1098" s="7" t="s">
        <v>10684</v>
      </c>
      <c r="I1098" s="119">
        <v>45292.0</v>
      </c>
      <c r="K1098" s="7" t="s">
        <v>419</v>
      </c>
      <c r="L1098" s="7" t="s">
        <v>991</v>
      </c>
      <c r="M1098" s="7" t="s">
        <v>3531</v>
      </c>
      <c r="N1098" s="7" t="s">
        <v>419</v>
      </c>
      <c r="O1098" s="7" t="s">
        <v>19430</v>
      </c>
      <c r="P1098" s="7" t="s">
        <v>717</v>
      </c>
      <c r="Q1098" s="7" t="s">
        <v>725</v>
      </c>
      <c r="R1098" s="7" t="s">
        <v>19501</v>
      </c>
      <c r="S1098" s="7" t="s">
        <v>19726</v>
      </c>
      <c r="T1098" s="7" t="s">
        <v>4400</v>
      </c>
      <c r="U1098" s="7" t="s">
        <v>3493</v>
      </c>
      <c r="V1098" s="7">
        <v>1.0</v>
      </c>
    </row>
    <row r="1099">
      <c r="A1099" s="7" t="s">
        <v>20989</v>
      </c>
      <c r="B1099" s="7">
        <v>2300442.0</v>
      </c>
      <c r="C1099" s="7" t="s">
        <v>10686</v>
      </c>
      <c r="D1099" s="7" t="s">
        <v>10687</v>
      </c>
      <c r="E1099" s="7" t="s">
        <v>10688</v>
      </c>
      <c r="F1099" s="7" t="s">
        <v>6301</v>
      </c>
      <c r="G1099" s="7" t="s">
        <v>10689</v>
      </c>
      <c r="H1099" s="7" t="s">
        <v>10690</v>
      </c>
      <c r="I1099" s="119">
        <v>45292.0</v>
      </c>
      <c r="K1099" s="7" t="s">
        <v>419</v>
      </c>
      <c r="L1099" s="7" t="s">
        <v>991</v>
      </c>
      <c r="M1099" s="7" t="s">
        <v>3501</v>
      </c>
      <c r="N1099" s="7" t="s">
        <v>419</v>
      </c>
      <c r="O1099" s="7" t="s">
        <v>19433</v>
      </c>
      <c r="P1099" s="7" t="s">
        <v>587</v>
      </c>
      <c r="Q1099" s="7" t="s">
        <v>74</v>
      </c>
      <c r="R1099" s="7" t="s">
        <v>19721</v>
      </c>
      <c r="T1099" s="7" t="s">
        <v>10691</v>
      </c>
      <c r="U1099" s="7" t="s">
        <v>3493</v>
      </c>
      <c r="V1099" s="7">
        <v>1.0</v>
      </c>
    </row>
    <row r="1100">
      <c r="A1100" s="7" t="s">
        <v>20990</v>
      </c>
      <c r="B1100" s="7">
        <v>10803.0</v>
      </c>
      <c r="C1100" s="7" t="s">
        <v>1022</v>
      </c>
      <c r="D1100" s="7" t="s">
        <v>10692</v>
      </c>
      <c r="E1100" s="7" t="s">
        <v>10693</v>
      </c>
      <c r="F1100" s="7" t="s">
        <v>10694</v>
      </c>
      <c r="G1100" s="7" t="s">
        <v>10695</v>
      </c>
      <c r="H1100" s="7" t="s">
        <v>10696</v>
      </c>
      <c r="I1100" s="119">
        <v>45292.0</v>
      </c>
      <c r="K1100" s="7" t="s">
        <v>7069</v>
      </c>
      <c r="L1100" s="7" t="s">
        <v>4406</v>
      </c>
      <c r="M1100" s="7" t="s">
        <v>7070</v>
      </c>
      <c r="N1100" s="7" t="s">
        <v>419</v>
      </c>
      <c r="O1100" s="7" t="s">
        <v>19440</v>
      </c>
      <c r="P1100" s="7" t="s">
        <v>3</v>
      </c>
      <c r="Q1100" s="7" t="s">
        <v>4</v>
      </c>
      <c r="R1100" s="7" t="s">
        <v>20991</v>
      </c>
      <c r="T1100" s="7" t="s">
        <v>20992</v>
      </c>
      <c r="U1100" s="7" t="s">
        <v>3604</v>
      </c>
      <c r="V1100" s="7">
        <v>1.0</v>
      </c>
    </row>
    <row r="1101">
      <c r="A1101" s="7" t="s">
        <v>20993</v>
      </c>
      <c r="B1101" s="7">
        <v>2300471.0</v>
      </c>
      <c r="C1101" s="7" t="s">
        <v>1022</v>
      </c>
      <c r="D1101" s="7" t="s">
        <v>9683</v>
      </c>
      <c r="E1101" s="7" t="s">
        <v>10693</v>
      </c>
      <c r="F1101" s="7" t="s">
        <v>3486</v>
      </c>
      <c r="G1101" s="7" t="s">
        <v>10701</v>
      </c>
      <c r="H1101" s="7" t="s">
        <v>10702</v>
      </c>
      <c r="I1101" s="119">
        <v>45292.0</v>
      </c>
      <c r="K1101" s="7" t="s">
        <v>419</v>
      </c>
      <c r="L1101" s="7" t="s">
        <v>991</v>
      </c>
      <c r="M1101" s="7" t="s">
        <v>3531</v>
      </c>
      <c r="N1101" s="7" t="s">
        <v>419</v>
      </c>
      <c r="O1101" s="7" t="s">
        <v>19432</v>
      </c>
      <c r="P1101" s="7" t="s">
        <v>298</v>
      </c>
      <c r="Q1101" s="7" t="s">
        <v>1284</v>
      </c>
      <c r="R1101" s="7" t="s">
        <v>20033</v>
      </c>
      <c r="S1101" s="7" t="s">
        <v>20456</v>
      </c>
      <c r="T1101" s="7" t="s">
        <v>7884</v>
      </c>
      <c r="U1101" s="7" t="s">
        <v>3493</v>
      </c>
      <c r="V1101" s="7">
        <v>1.0</v>
      </c>
    </row>
    <row r="1102">
      <c r="A1102" s="7" t="s">
        <v>20994</v>
      </c>
      <c r="B1102" s="7">
        <v>14061.0</v>
      </c>
      <c r="C1102" s="7" t="s">
        <v>10704</v>
      </c>
      <c r="D1102" s="7" t="s">
        <v>10705</v>
      </c>
      <c r="E1102" s="7" t="s">
        <v>10706</v>
      </c>
      <c r="F1102" s="7" t="s">
        <v>10707</v>
      </c>
      <c r="G1102" s="7" t="s">
        <v>10708</v>
      </c>
      <c r="H1102" s="7" t="s">
        <v>10709</v>
      </c>
      <c r="I1102" s="119">
        <v>45292.0</v>
      </c>
      <c r="K1102" s="7" t="s">
        <v>419</v>
      </c>
      <c r="L1102" s="7" t="s">
        <v>991</v>
      </c>
      <c r="M1102" s="7" t="s">
        <v>3501</v>
      </c>
      <c r="N1102" s="7" t="s">
        <v>419</v>
      </c>
      <c r="O1102" s="7" t="s">
        <v>19437</v>
      </c>
      <c r="P1102" s="7" t="s">
        <v>478</v>
      </c>
      <c r="Q1102" s="7" t="s">
        <v>487</v>
      </c>
      <c r="R1102" s="7" t="s">
        <v>19796</v>
      </c>
      <c r="T1102" s="7" t="s">
        <v>20266</v>
      </c>
      <c r="U1102" s="7" t="s">
        <v>3493</v>
      </c>
      <c r="V1102" s="7">
        <v>1.0</v>
      </c>
    </row>
    <row r="1103">
      <c r="A1103" s="7" t="s">
        <v>20995</v>
      </c>
      <c r="B1103" s="7">
        <v>2200593.0</v>
      </c>
      <c r="C1103" s="7" t="s">
        <v>10704</v>
      </c>
      <c r="D1103" s="7" t="s">
        <v>10712</v>
      </c>
      <c r="E1103" s="7" t="s">
        <v>10706</v>
      </c>
      <c r="F1103" s="7" t="s">
        <v>5034</v>
      </c>
      <c r="G1103" s="7" t="s">
        <v>10713</v>
      </c>
      <c r="H1103" s="7" t="s">
        <v>10714</v>
      </c>
      <c r="I1103" s="119">
        <v>45292.0</v>
      </c>
      <c r="K1103" s="7" t="s">
        <v>3622</v>
      </c>
      <c r="L1103" s="7" t="s">
        <v>991</v>
      </c>
      <c r="M1103" s="7" t="s">
        <v>3531</v>
      </c>
      <c r="N1103" s="7" t="s">
        <v>3622</v>
      </c>
      <c r="O1103" s="7" t="s">
        <v>3622</v>
      </c>
      <c r="P1103" s="7" t="s">
        <v>19521</v>
      </c>
      <c r="T1103" s="7" t="s">
        <v>3624</v>
      </c>
      <c r="U1103" s="7" t="s">
        <v>3493</v>
      </c>
      <c r="V1103" s="7">
        <v>1.0</v>
      </c>
    </row>
    <row r="1104">
      <c r="A1104" s="7" t="s">
        <v>20996</v>
      </c>
      <c r="B1104" s="7">
        <v>12587.0</v>
      </c>
      <c r="C1104" s="7" t="s">
        <v>10716</v>
      </c>
      <c r="D1104" s="7" t="s">
        <v>10717</v>
      </c>
      <c r="E1104" s="7" t="s">
        <v>10718</v>
      </c>
      <c r="F1104" s="7" t="s">
        <v>10719</v>
      </c>
      <c r="G1104" s="7" t="s">
        <v>10720</v>
      </c>
      <c r="H1104" s="7" t="s">
        <v>10721</v>
      </c>
      <c r="I1104" s="119">
        <v>45292.0</v>
      </c>
      <c r="J1104" s="7" t="s">
        <v>4216</v>
      </c>
      <c r="K1104" s="7" t="s">
        <v>419</v>
      </c>
      <c r="L1104" s="7" t="s">
        <v>991</v>
      </c>
      <c r="M1104" s="7" t="s">
        <v>3501</v>
      </c>
      <c r="N1104" s="7" t="s">
        <v>419</v>
      </c>
      <c r="O1104" s="7" t="s">
        <v>19443</v>
      </c>
      <c r="P1104" s="7" t="s">
        <v>323</v>
      </c>
      <c r="Q1104" s="7" t="s">
        <v>324</v>
      </c>
      <c r="R1104" s="7" t="s">
        <v>20997</v>
      </c>
      <c r="T1104" s="7" t="s">
        <v>11045</v>
      </c>
      <c r="U1104" s="7" t="s">
        <v>3493</v>
      </c>
      <c r="V1104" s="7">
        <v>1.0</v>
      </c>
    </row>
    <row r="1105">
      <c r="A1105" s="7" t="s">
        <v>20998</v>
      </c>
      <c r="B1105" s="7">
        <v>1101.0</v>
      </c>
      <c r="C1105" s="7" t="s">
        <v>10725</v>
      </c>
      <c r="D1105" s="7" t="s">
        <v>10726</v>
      </c>
      <c r="E1105" s="7" t="s">
        <v>10727</v>
      </c>
      <c r="F1105" s="7" t="s">
        <v>3517</v>
      </c>
      <c r="G1105" s="7" t="s">
        <v>10728</v>
      </c>
      <c r="H1105" s="7" t="s">
        <v>10729</v>
      </c>
      <c r="I1105" s="119">
        <v>45292.0</v>
      </c>
      <c r="K1105" s="7" t="s">
        <v>419</v>
      </c>
      <c r="L1105" s="7" t="s">
        <v>991</v>
      </c>
      <c r="M1105" s="7" t="s">
        <v>3501</v>
      </c>
      <c r="N1105" s="7" t="s">
        <v>419</v>
      </c>
      <c r="O1105" s="7" t="s">
        <v>19433</v>
      </c>
      <c r="P1105" s="7" t="s">
        <v>648</v>
      </c>
      <c r="Q1105" s="7" t="s">
        <v>143</v>
      </c>
      <c r="R1105" s="7" t="s">
        <v>19563</v>
      </c>
      <c r="T1105" s="7" t="s">
        <v>20999</v>
      </c>
      <c r="U1105" s="7" t="s">
        <v>3604</v>
      </c>
      <c r="V1105" s="7">
        <v>1.0</v>
      </c>
    </row>
    <row r="1106">
      <c r="A1106" s="7" t="s">
        <v>21000</v>
      </c>
      <c r="B1106" s="7">
        <v>2300012.0</v>
      </c>
      <c r="C1106" s="7" t="s">
        <v>10733</v>
      </c>
      <c r="D1106" s="7" t="s">
        <v>10734</v>
      </c>
      <c r="E1106" s="7" t="s">
        <v>10735</v>
      </c>
      <c r="F1106" s="7" t="s">
        <v>3508</v>
      </c>
      <c r="G1106" s="7" t="s">
        <v>10736</v>
      </c>
      <c r="H1106" s="7" t="s">
        <v>10737</v>
      </c>
      <c r="I1106" s="119">
        <v>45292.0</v>
      </c>
      <c r="K1106" s="7" t="s">
        <v>419</v>
      </c>
      <c r="L1106" s="7" t="s">
        <v>991</v>
      </c>
      <c r="M1106" s="7" t="s">
        <v>3501</v>
      </c>
      <c r="N1106" s="7" t="s">
        <v>419</v>
      </c>
      <c r="O1106" s="7" t="s">
        <v>19433</v>
      </c>
      <c r="P1106" s="7" t="s">
        <v>587</v>
      </c>
      <c r="Q1106" s="7" t="s">
        <v>74</v>
      </c>
      <c r="R1106" s="7" t="s">
        <v>19911</v>
      </c>
      <c r="S1106" s="7" t="s">
        <v>19964</v>
      </c>
      <c r="T1106" s="7" t="s">
        <v>5421</v>
      </c>
      <c r="U1106" s="7" t="s">
        <v>3493</v>
      </c>
      <c r="V1106" s="7">
        <v>1.0</v>
      </c>
    </row>
    <row r="1107">
      <c r="A1107" s="7" t="s">
        <v>21001</v>
      </c>
      <c r="B1107" s="7">
        <v>11004.0</v>
      </c>
      <c r="C1107" s="7" t="s">
        <v>10733</v>
      </c>
      <c r="D1107" s="7" t="s">
        <v>10739</v>
      </c>
      <c r="E1107" s="7" t="s">
        <v>10735</v>
      </c>
      <c r="F1107" s="7" t="s">
        <v>10740</v>
      </c>
      <c r="G1107" s="7" t="s">
        <v>10741</v>
      </c>
      <c r="H1107" s="7" t="s">
        <v>10742</v>
      </c>
      <c r="I1107" s="119">
        <v>45292.0</v>
      </c>
      <c r="K1107" s="7" t="s">
        <v>419</v>
      </c>
      <c r="L1107" s="7" t="s">
        <v>991</v>
      </c>
      <c r="M1107" s="7" t="s">
        <v>3501</v>
      </c>
      <c r="N1107" s="7" t="s">
        <v>419</v>
      </c>
      <c r="O1107" s="7" t="s">
        <v>19430</v>
      </c>
      <c r="P1107" s="7" t="s">
        <v>717</v>
      </c>
      <c r="Q1107" s="7" t="s">
        <v>730</v>
      </c>
      <c r="R1107" s="7" t="s">
        <v>19961</v>
      </c>
      <c r="S1107" s="7" t="s">
        <v>19962</v>
      </c>
      <c r="T1107" s="7" t="s">
        <v>5412</v>
      </c>
      <c r="U1107" s="7" t="s">
        <v>3843</v>
      </c>
      <c r="V1107" s="7">
        <v>1.0</v>
      </c>
    </row>
    <row r="1108">
      <c r="A1108" s="7" t="s">
        <v>21002</v>
      </c>
      <c r="B1108" s="7">
        <v>2300037.0</v>
      </c>
      <c r="C1108" s="7" t="s">
        <v>10744</v>
      </c>
      <c r="D1108" s="7" t="s">
        <v>10745</v>
      </c>
      <c r="E1108" s="7" t="s">
        <v>10746</v>
      </c>
      <c r="F1108" s="7" t="s">
        <v>10747</v>
      </c>
      <c r="G1108" s="7" t="s">
        <v>10748</v>
      </c>
      <c r="H1108" s="7" t="s">
        <v>10749</v>
      </c>
      <c r="I1108" s="119">
        <v>45292.0</v>
      </c>
      <c r="K1108" s="7" t="s">
        <v>419</v>
      </c>
      <c r="L1108" s="7" t="s">
        <v>991</v>
      </c>
      <c r="M1108" s="7" t="s">
        <v>3531</v>
      </c>
      <c r="N1108" s="7" t="s">
        <v>419</v>
      </c>
      <c r="O1108" s="7" t="s">
        <v>19432</v>
      </c>
      <c r="P1108" s="7" t="s">
        <v>298</v>
      </c>
      <c r="Q1108" s="7" t="s">
        <v>1284</v>
      </c>
      <c r="R1108" s="7" t="s">
        <v>20033</v>
      </c>
      <c r="S1108" s="7" t="s">
        <v>20034</v>
      </c>
      <c r="T1108" s="7" t="s">
        <v>5747</v>
      </c>
      <c r="U1108" s="7" t="s">
        <v>3493</v>
      </c>
      <c r="V1108" s="7">
        <v>1.0</v>
      </c>
    </row>
    <row r="1109">
      <c r="A1109" s="7" t="s">
        <v>21003</v>
      </c>
      <c r="B1109" s="7">
        <v>981.0</v>
      </c>
      <c r="C1109" s="7" t="s">
        <v>10751</v>
      </c>
      <c r="D1109" s="7" t="s">
        <v>7386</v>
      </c>
      <c r="E1109" s="7" t="s">
        <v>10752</v>
      </c>
      <c r="F1109" s="7" t="s">
        <v>4172</v>
      </c>
      <c r="G1109" s="7" t="s">
        <v>10753</v>
      </c>
      <c r="H1109" s="7" t="s">
        <v>10754</v>
      </c>
      <c r="I1109" s="119">
        <v>45292.0</v>
      </c>
      <c r="K1109" s="7" t="s">
        <v>419</v>
      </c>
      <c r="L1109" s="7" t="s">
        <v>991</v>
      </c>
      <c r="M1109" s="7" t="s">
        <v>3501</v>
      </c>
      <c r="N1109" s="7" t="s">
        <v>419</v>
      </c>
      <c r="O1109" s="7" t="s">
        <v>19430</v>
      </c>
      <c r="P1109" s="7" t="s">
        <v>717</v>
      </c>
      <c r="Q1109" s="7" t="s">
        <v>730</v>
      </c>
      <c r="R1109" s="7" t="s">
        <v>19979</v>
      </c>
      <c r="S1109" s="7" t="s">
        <v>19636</v>
      </c>
      <c r="T1109" s="7" t="s">
        <v>8584</v>
      </c>
      <c r="U1109" s="7" t="s">
        <v>3493</v>
      </c>
      <c r="V1109" s="7">
        <v>1.0</v>
      </c>
    </row>
    <row r="1110">
      <c r="A1110" s="7" t="s">
        <v>1721</v>
      </c>
      <c r="B1110" s="7">
        <v>350.0</v>
      </c>
      <c r="C1110" s="7" t="s">
        <v>10755</v>
      </c>
      <c r="D1110" s="7" t="s">
        <v>10756</v>
      </c>
      <c r="E1110" s="7" t="s">
        <v>10757</v>
      </c>
      <c r="F1110" s="7" t="s">
        <v>4632</v>
      </c>
      <c r="G1110" s="7" t="s">
        <v>10758</v>
      </c>
      <c r="H1110" s="7" t="s">
        <v>10759</v>
      </c>
      <c r="I1110" s="119">
        <v>45292.0</v>
      </c>
      <c r="K1110" s="7" t="s">
        <v>419</v>
      </c>
      <c r="L1110" s="7" t="s">
        <v>991</v>
      </c>
      <c r="M1110" s="7" t="s">
        <v>3501</v>
      </c>
      <c r="N1110" s="7" t="s">
        <v>419</v>
      </c>
      <c r="O1110" s="7" t="s">
        <v>19432</v>
      </c>
      <c r="P1110" s="7" t="s">
        <v>298</v>
      </c>
      <c r="Q1110" s="7" t="s">
        <v>304</v>
      </c>
      <c r="R1110" s="7" t="s">
        <v>19905</v>
      </c>
      <c r="S1110" s="7" t="s">
        <v>19906</v>
      </c>
      <c r="T1110" s="7" t="s">
        <v>5175</v>
      </c>
      <c r="U1110" s="7" t="s">
        <v>3843</v>
      </c>
      <c r="V1110" s="7">
        <v>1.0</v>
      </c>
    </row>
    <row r="1111">
      <c r="A1111" s="7" t="s">
        <v>21004</v>
      </c>
      <c r="B1111" s="7">
        <v>1150.0</v>
      </c>
      <c r="C1111" s="7" t="s">
        <v>10755</v>
      </c>
      <c r="D1111" s="7" t="s">
        <v>10761</v>
      </c>
      <c r="E1111" s="7" t="s">
        <v>10757</v>
      </c>
      <c r="F1111" s="7" t="s">
        <v>10762</v>
      </c>
      <c r="G1111" s="7" t="s">
        <v>10763</v>
      </c>
      <c r="H1111" s="7" t="s">
        <v>10764</v>
      </c>
      <c r="I1111" s="119">
        <v>45292.0</v>
      </c>
      <c r="K1111" s="7" t="s">
        <v>419</v>
      </c>
      <c r="L1111" s="7" t="s">
        <v>991</v>
      </c>
      <c r="M1111" s="7" t="s">
        <v>3501</v>
      </c>
      <c r="N1111" s="7" t="s">
        <v>419</v>
      </c>
      <c r="O1111" s="7" t="s">
        <v>19430</v>
      </c>
      <c r="P1111" s="7" t="s">
        <v>717</v>
      </c>
      <c r="Q1111" s="7" t="s">
        <v>1163</v>
      </c>
      <c r="R1111" s="7" t="s">
        <v>19608</v>
      </c>
      <c r="S1111" s="7" t="s">
        <v>20046</v>
      </c>
      <c r="T1111" s="7" t="s">
        <v>5796</v>
      </c>
      <c r="U1111" s="7" t="s">
        <v>3493</v>
      </c>
      <c r="V1111" s="7">
        <v>1.0</v>
      </c>
    </row>
    <row r="1112">
      <c r="A1112" s="7" t="s">
        <v>21005</v>
      </c>
      <c r="B1112" s="7">
        <v>2300017.0</v>
      </c>
      <c r="C1112" s="7" t="s">
        <v>10766</v>
      </c>
      <c r="D1112" s="7" t="s">
        <v>10767</v>
      </c>
      <c r="E1112" s="7" t="s">
        <v>10768</v>
      </c>
      <c r="F1112" s="7" t="s">
        <v>7477</v>
      </c>
      <c r="G1112" s="7" t="s">
        <v>10769</v>
      </c>
      <c r="I1112" s="119">
        <v>45292.0</v>
      </c>
      <c r="K1112" s="7" t="s">
        <v>419</v>
      </c>
      <c r="L1112" s="7" t="s">
        <v>991</v>
      </c>
      <c r="M1112" s="7" t="s">
        <v>3531</v>
      </c>
      <c r="N1112" s="7" t="s">
        <v>419</v>
      </c>
      <c r="O1112" s="7" t="s">
        <v>19430</v>
      </c>
      <c r="P1112" s="7" t="s">
        <v>854</v>
      </c>
      <c r="Q1112" s="7" t="s">
        <v>859</v>
      </c>
      <c r="T1112" s="7" t="s">
        <v>3821</v>
      </c>
      <c r="U1112" s="7" t="s">
        <v>3493</v>
      </c>
      <c r="V1112" s="7">
        <v>1.0</v>
      </c>
    </row>
    <row r="1113">
      <c r="A1113" s="7" t="s">
        <v>21006</v>
      </c>
      <c r="B1113" s="7">
        <v>972.0</v>
      </c>
      <c r="C1113" s="7" t="s">
        <v>10771</v>
      </c>
      <c r="D1113" s="7" t="s">
        <v>10772</v>
      </c>
      <c r="E1113" s="7" t="s">
        <v>10773</v>
      </c>
      <c r="F1113" s="7" t="s">
        <v>4478</v>
      </c>
      <c r="G1113" s="7" t="s">
        <v>10774</v>
      </c>
      <c r="H1113" s="7" t="s">
        <v>10775</v>
      </c>
      <c r="I1113" s="119">
        <v>45292.0</v>
      </c>
      <c r="K1113" s="7" t="s">
        <v>419</v>
      </c>
      <c r="L1113" s="7" t="s">
        <v>991</v>
      </c>
      <c r="M1113" s="7" t="s">
        <v>3501</v>
      </c>
      <c r="N1113" s="7" t="s">
        <v>419</v>
      </c>
      <c r="O1113" s="7" t="s">
        <v>19432</v>
      </c>
      <c r="P1113" s="7" t="s">
        <v>693</v>
      </c>
      <c r="Q1113" s="7" t="s">
        <v>698</v>
      </c>
      <c r="R1113" s="7" t="s">
        <v>19652</v>
      </c>
      <c r="S1113" s="7" t="s">
        <v>19653</v>
      </c>
      <c r="T1113" s="7" t="s">
        <v>4135</v>
      </c>
      <c r="U1113" s="7" t="s">
        <v>3843</v>
      </c>
      <c r="V1113" s="7">
        <v>1.0</v>
      </c>
    </row>
    <row r="1114">
      <c r="A1114" s="7" t="s">
        <v>21007</v>
      </c>
      <c r="B1114" s="7">
        <v>12284.0</v>
      </c>
      <c r="C1114" s="7" t="s">
        <v>10771</v>
      </c>
      <c r="D1114" s="7" t="s">
        <v>10777</v>
      </c>
      <c r="E1114" s="7" t="s">
        <v>10773</v>
      </c>
      <c r="F1114" s="7" t="s">
        <v>10778</v>
      </c>
      <c r="G1114" s="7" t="s">
        <v>10779</v>
      </c>
      <c r="H1114" s="7" t="s">
        <v>10780</v>
      </c>
      <c r="I1114" s="119">
        <v>45292.0</v>
      </c>
      <c r="K1114" s="7" t="s">
        <v>419</v>
      </c>
      <c r="L1114" s="7" t="s">
        <v>991</v>
      </c>
      <c r="M1114" s="7" t="s">
        <v>3501</v>
      </c>
      <c r="N1114" s="7" t="s">
        <v>419</v>
      </c>
      <c r="O1114" s="7" t="s">
        <v>19430</v>
      </c>
      <c r="P1114" s="7" t="s">
        <v>717</v>
      </c>
      <c r="Q1114" s="7" t="s">
        <v>1163</v>
      </c>
      <c r="R1114" s="7" t="s">
        <v>19608</v>
      </c>
      <c r="S1114" s="7" t="s">
        <v>19618</v>
      </c>
      <c r="T1114" s="7" t="s">
        <v>3997</v>
      </c>
      <c r="U1114" s="7" t="s">
        <v>3843</v>
      </c>
      <c r="V1114" s="7">
        <v>1.0</v>
      </c>
    </row>
    <row r="1115">
      <c r="A1115" s="7" t="s">
        <v>2132</v>
      </c>
      <c r="B1115" s="7">
        <v>13653.0</v>
      </c>
      <c r="C1115" s="7" t="s">
        <v>10782</v>
      </c>
      <c r="D1115" s="7" t="s">
        <v>10783</v>
      </c>
      <c r="E1115" s="7" t="s">
        <v>10784</v>
      </c>
      <c r="F1115" s="7" t="s">
        <v>8256</v>
      </c>
      <c r="G1115" s="7" t="s">
        <v>10785</v>
      </c>
      <c r="H1115" s="7" t="s">
        <v>10786</v>
      </c>
      <c r="I1115" s="119">
        <v>45292.0</v>
      </c>
      <c r="K1115" s="7" t="s">
        <v>3632</v>
      </c>
      <c r="L1115" s="7" t="s">
        <v>991</v>
      </c>
      <c r="M1115" s="7" t="s">
        <v>3501</v>
      </c>
      <c r="N1115" s="7" t="s">
        <v>3632</v>
      </c>
      <c r="O1115" s="7" t="s">
        <v>3632</v>
      </c>
      <c r="P1115" s="7" t="s">
        <v>19456</v>
      </c>
      <c r="Q1115" s="7" t="s">
        <v>188</v>
      </c>
      <c r="T1115" s="7" t="s">
        <v>19457</v>
      </c>
      <c r="U1115" s="7" t="s">
        <v>6078</v>
      </c>
      <c r="V1115" s="7">
        <v>1.0</v>
      </c>
    </row>
    <row r="1116">
      <c r="A1116" s="7" t="s">
        <v>21008</v>
      </c>
      <c r="B1116" s="7">
        <v>2300083.0</v>
      </c>
      <c r="C1116" s="7" t="s">
        <v>10791</v>
      </c>
      <c r="D1116" s="7" t="s">
        <v>6156</v>
      </c>
      <c r="E1116" s="7" t="s">
        <v>10792</v>
      </c>
      <c r="F1116" s="7" t="s">
        <v>3486</v>
      </c>
      <c r="G1116" s="7" t="s">
        <v>10793</v>
      </c>
      <c r="I1116" s="119">
        <v>45292.0</v>
      </c>
      <c r="K1116" s="7" t="s">
        <v>419</v>
      </c>
      <c r="L1116" s="7" t="s">
        <v>991</v>
      </c>
      <c r="M1116" s="7" t="s">
        <v>3531</v>
      </c>
      <c r="N1116" s="7" t="s">
        <v>419</v>
      </c>
      <c r="O1116" s="7" t="s">
        <v>19430</v>
      </c>
      <c r="P1116" s="7" t="s">
        <v>854</v>
      </c>
      <c r="Q1116" s="7" t="s">
        <v>859</v>
      </c>
      <c r="T1116" s="7" t="s">
        <v>3821</v>
      </c>
      <c r="U1116" s="7" t="s">
        <v>3493</v>
      </c>
      <c r="V1116" s="7">
        <v>1.0</v>
      </c>
    </row>
    <row r="1117">
      <c r="A1117" s="7" t="s">
        <v>21009</v>
      </c>
      <c r="B1117" s="7">
        <v>2300246.0</v>
      </c>
      <c r="C1117" s="7" t="s">
        <v>10795</v>
      </c>
      <c r="D1117" s="7" t="s">
        <v>10796</v>
      </c>
      <c r="E1117" s="7" t="s">
        <v>10797</v>
      </c>
      <c r="F1117" s="7" t="s">
        <v>10798</v>
      </c>
      <c r="G1117" s="7" t="s">
        <v>10799</v>
      </c>
      <c r="H1117" s="7" t="s">
        <v>10800</v>
      </c>
      <c r="I1117" s="119">
        <v>45292.0</v>
      </c>
      <c r="K1117" s="7" t="s">
        <v>419</v>
      </c>
      <c r="L1117" s="7" t="s">
        <v>991</v>
      </c>
      <c r="M1117" s="7" t="s">
        <v>3501</v>
      </c>
      <c r="N1117" s="7" t="s">
        <v>419</v>
      </c>
      <c r="O1117" s="7" t="s">
        <v>19443</v>
      </c>
      <c r="P1117" s="7" t="s">
        <v>1242</v>
      </c>
      <c r="Q1117" s="7" t="s">
        <v>51</v>
      </c>
      <c r="R1117" s="7" t="s">
        <v>19574</v>
      </c>
      <c r="T1117" s="7" t="s">
        <v>10802</v>
      </c>
      <c r="U1117" s="7" t="s">
        <v>3493</v>
      </c>
      <c r="V1117" s="7">
        <v>1.0</v>
      </c>
    </row>
    <row r="1118">
      <c r="A1118" s="7" t="s">
        <v>21010</v>
      </c>
      <c r="B1118" s="7">
        <v>11545.0</v>
      </c>
      <c r="C1118" s="7" t="s">
        <v>10795</v>
      </c>
      <c r="D1118" s="7" t="s">
        <v>10804</v>
      </c>
      <c r="E1118" s="7" t="s">
        <v>10797</v>
      </c>
      <c r="F1118" s="7" t="s">
        <v>6166</v>
      </c>
      <c r="G1118" s="7" t="s">
        <v>10805</v>
      </c>
      <c r="H1118" s="7" t="s">
        <v>10806</v>
      </c>
      <c r="I1118" s="119">
        <v>45292.0</v>
      </c>
      <c r="K1118" s="7" t="s">
        <v>419</v>
      </c>
      <c r="L1118" s="7" t="s">
        <v>991</v>
      </c>
      <c r="M1118" s="7" t="s">
        <v>3501</v>
      </c>
      <c r="N1118" s="7" t="s">
        <v>419</v>
      </c>
      <c r="O1118" s="7" t="s">
        <v>19430</v>
      </c>
      <c r="P1118" s="7" t="s">
        <v>717</v>
      </c>
      <c r="Q1118" s="7" t="s">
        <v>725</v>
      </c>
      <c r="R1118" s="7" t="s">
        <v>19501</v>
      </c>
      <c r="S1118" s="7" t="s">
        <v>19643</v>
      </c>
      <c r="T1118" s="7" t="s">
        <v>4097</v>
      </c>
      <c r="U1118" s="7" t="s">
        <v>3493</v>
      </c>
      <c r="V1118" s="7">
        <v>1.0</v>
      </c>
    </row>
    <row r="1119">
      <c r="A1119" s="7" t="s">
        <v>21011</v>
      </c>
      <c r="B1119" s="7">
        <v>2300649.0</v>
      </c>
      <c r="C1119" s="7" t="s">
        <v>10808</v>
      </c>
      <c r="D1119" s="7" t="s">
        <v>10809</v>
      </c>
      <c r="E1119" s="7" t="s">
        <v>10810</v>
      </c>
      <c r="F1119" s="7" t="s">
        <v>10811</v>
      </c>
      <c r="G1119" s="7" t="s">
        <v>10812</v>
      </c>
      <c r="H1119" s="7" t="s">
        <v>10813</v>
      </c>
      <c r="I1119" s="119">
        <v>45292.0</v>
      </c>
      <c r="K1119" s="7" t="s">
        <v>419</v>
      </c>
      <c r="L1119" s="7" t="s">
        <v>991</v>
      </c>
      <c r="M1119" s="7" t="s">
        <v>3531</v>
      </c>
      <c r="N1119" s="7" t="s">
        <v>419</v>
      </c>
      <c r="O1119" s="7" t="s">
        <v>19430</v>
      </c>
      <c r="P1119" s="7" t="s">
        <v>717</v>
      </c>
      <c r="Q1119" s="7" t="s">
        <v>722</v>
      </c>
      <c r="R1119" s="7" t="s">
        <v>19655</v>
      </c>
      <c r="S1119" s="7" t="s">
        <v>19656</v>
      </c>
      <c r="T1119" s="7" t="s">
        <v>4141</v>
      </c>
      <c r="U1119" s="7" t="s">
        <v>3493</v>
      </c>
      <c r="V1119" s="7">
        <v>1.0</v>
      </c>
    </row>
    <row r="1120">
      <c r="A1120" s="7" t="s">
        <v>1389</v>
      </c>
      <c r="B1120" s="7">
        <v>552.0</v>
      </c>
      <c r="C1120" s="7" t="s">
        <v>10814</v>
      </c>
      <c r="D1120" s="7" t="s">
        <v>9973</v>
      </c>
      <c r="E1120" s="7" t="s">
        <v>10815</v>
      </c>
      <c r="F1120" s="7" t="s">
        <v>9975</v>
      </c>
      <c r="G1120" s="7" t="s">
        <v>10816</v>
      </c>
      <c r="H1120" s="7" t="s">
        <v>10817</v>
      </c>
      <c r="I1120" s="119">
        <v>45292.0</v>
      </c>
      <c r="K1120" s="7" t="s">
        <v>419</v>
      </c>
      <c r="L1120" s="7" t="s">
        <v>991</v>
      </c>
      <c r="M1120" s="7" t="s">
        <v>3501</v>
      </c>
      <c r="N1120" s="7" t="s">
        <v>419</v>
      </c>
      <c r="O1120" s="7" t="s">
        <v>19443</v>
      </c>
      <c r="P1120" s="7" t="s">
        <v>1242</v>
      </c>
      <c r="Q1120" s="7" t="s">
        <v>39</v>
      </c>
      <c r="R1120" s="7" t="s">
        <v>19929</v>
      </c>
      <c r="T1120" s="7" t="s">
        <v>10819</v>
      </c>
      <c r="U1120" s="7" t="s">
        <v>3604</v>
      </c>
      <c r="V1120" s="7">
        <v>1.0</v>
      </c>
    </row>
    <row r="1121">
      <c r="A1121" s="7" t="s">
        <v>21012</v>
      </c>
      <c r="B1121" s="7">
        <v>11401.0</v>
      </c>
      <c r="C1121" s="7" t="s">
        <v>10814</v>
      </c>
      <c r="D1121" s="7" t="s">
        <v>10821</v>
      </c>
      <c r="E1121" s="7" t="s">
        <v>10815</v>
      </c>
      <c r="F1121" s="7" t="s">
        <v>10822</v>
      </c>
      <c r="G1121" s="7" t="s">
        <v>10823</v>
      </c>
      <c r="H1121" s="7" t="s">
        <v>10824</v>
      </c>
      <c r="I1121" s="119">
        <v>45292.0</v>
      </c>
      <c r="K1121" s="7" t="s">
        <v>419</v>
      </c>
      <c r="L1121" s="7" t="s">
        <v>991</v>
      </c>
      <c r="M1121" s="7" t="s">
        <v>3501</v>
      </c>
      <c r="N1121" s="7" t="s">
        <v>419</v>
      </c>
      <c r="O1121" s="7" t="s">
        <v>19443</v>
      </c>
      <c r="P1121" s="7" t="s">
        <v>1242</v>
      </c>
      <c r="Q1121" s="7" t="s">
        <v>43</v>
      </c>
      <c r="R1121" s="7" t="s">
        <v>20115</v>
      </c>
      <c r="T1121" s="7" t="s">
        <v>6110</v>
      </c>
      <c r="U1121" s="7" t="s">
        <v>3493</v>
      </c>
      <c r="V1121" s="7">
        <v>1.0</v>
      </c>
    </row>
    <row r="1122">
      <c r="A1122" s="7" t="s">
        <v>21013</v>
      </c>
      <c r="B1122" s="7">
        <v>2200222.0</v>
      </c>
      <c r="C1122" s="7" t="s">
        <v>10814</v>
      </c>
      <c r="D1122" s="7" t="s">
        <v>10826</v>
      </c>
      <c r="E1122" s="7" t="s">
        <v>10815</v>
      </c>
      <c r="F1122" s="7" t="s">
        <v>10491</v>
      </c>
      <c r="G1122" s="7" t="s">
        <v>10827</v>
      </c>
      <c r="H1122" s="7" t="s">
        <v>10828</v>
      </c>
      <c r="I1122" s="119">
        <v>45292.0</v>
      </c>
      <c r="K1122" s="7" t="s">
        <v>419</v>
      </c>
      <c r="L1122" s="7" t="s">
        <v>991</v>
      </c>
      <c r="M1122" s="7" t="s">
        <v>3501</v>
      </c>
      <c r="N1122" s="7" t="s">
        <v>419</v>
      </c>
      <c r="O1122" s="7" t="s">
        <v>19433</v>
      </c>
      <c r="P1122" s="7" t="s">
        <v>648</v>
      </c>
      <c r="Q1122" s="7" t="s">
        <v>143</v>
      </c>
      <c r="R1122" s="7" t="s">
        <v>19563</v>
      </c>
      <c r="S1122" s="7" t="s">
        <v>21014</v>
      </c>
      <c r="T1122" s="7" t="s">
        <v>10830</v>
      </c>
      <c r="U1122" s="7" t="s">
        <v>3843</v>
      </c>
      <c r="V1122" s="7">
        <v>1.0</v>
      </c>
    </row>
    <row r="1123">
      <c r="A1123" s="7" t="s">
        <v>21015</v>
      </c>
      <c r="B1123" s="7">
        <v>2300778.0</v>
      </c>
      <c r="C1123" s="7" t="s">
        <v>10832</v>
      </c>
      <c r="D1123" s="7" t="s">
        <v>10833</v>
      </c>
      <c r="E1123" s="7" t="s">
        <v>10834</v>
      </c>
      <c r="F1123" s="7" t="s">
        <v>3926</v>
      </c>
      <c r="G1123" s="7" t="s">
        <v>10835</v>
      </c>
      <c r="H1123" s="7" t="s">
        <v>10836</v>
      </c>
      <c r="I1123" s="119">
        <v>45292.0</v>
      </c>
      <c r="K1123" s="7" t="s">
        <v>3642</v>
      </c>
      <c r="L1123" s="7" t="s">
        <v>991</v>
      </c>
      <c r="M1123" s="7" t="s">
        <v>3501</v>
      </c>
      <c r="N1123" s="7" t="s">
        <v>3642</v>
      </c>
      <c r="O1123" s="7" t="s">
        <v>3642</v>
      </c>
      <c r="P1123" s="7" t="s">
        <v>19524</v>
      </c>
      <c r="T1123" s="7" t="s">
        <v>3644</v>
      </c>
      <c r="U1123" s="7" t="s">
        <v>3493</v>
      </c>
      <c r="V1123" s="7">
        <v>1.0</v>
      </c>
    </row>
    <row r="1124">
      <c r="A1124" s="7" t="s">
        <v>21016</v>
      </c>
      <c r="B1124" s="7">
        <v>2200703.0</v>
      </c>
      <c r="C1124" s="7" t="s">
        <v>10832</v>
      </c>
      <c r="D1124" s="7" t="s">
        <v>10838</v>
      </c>
      <c r="E1124" s="7" t="s">
        <v>10834</v>
      </c>
      <c r="F1124" s="7" t="s">
        <v>8058</v>
      </c>
      <c r="G1124" s="7" t="s">
        <v>10839</v>
      </c>
      <c r="H1124" s="7" t="s">
        <v>10840</v>
      </c>
      <c r="I1124" s="119">
        <v>45292.0</v>
      </c>
      <c r="K1124" s="7" t="s">
        <v>4042</v>
      </c>
      <c r="L1124" s="7" t="s">
        <v>991</v>
      </c>
      <c r="M1124" s="7" t="s">
        <v>3501</v>
      </c>
      <c r="N1124" s="7" t="s">
        <v>4042</v>
      </c>
      <c r="O1124" s="7" t="s">
        <v>4042</v>
      </c>
      <c r="P1124" s="7" t="s">
        <v>19632</v>
      </c>
      <c r="T1124" s="7" t="s">
        <v>4044</v>
      </c>
      <c r="U1124" s="7" t="s">
        <v>3493</v>
      </c>
      <c r="V1124" s="7">
        <v>1.0</v>
      </c>
    </row>
    <row r="1125">
      <c r="A1125" s="7" t="s">
        <v>21017</v>
      </c>
      <c r="B1125" s="7">
        <v>2300266.0</v>
      </c>
      <c r="C1125" s="7" t="s">
        <v>10832</v>
      </c>
      <c r="D1125" s="7" t="s">
        <v>10842</v>
      </c>
      <c r="E1125" s="7" t="s">
        <v>10834</v>
      </c>
      <c r="F1125" s="7" t="s">
        <v>10843</v>
      </c>
      <c r="G1125" s="7" t="s">
        <v>10844</v>
      </c>
      <c r="H1125" s="7" t="s">
        <v>10845</v>
      </c>
      <c r="I1125" s="119">
        <v>45292.0</v>
      </c>
      <c r="K1125" s="7" t="s">
        <v>3632</v>
      </c>
      <c r="L1125" s="7" t="s">
        <v>991</v>
      </c>
      <c r="M1125" s="7" t="s">
        <v>3531</v>
      </c>
      <c r="N1125" s="7" t="s">
        <v>3632</v>
      </c>
      <c r="O1125" s="7" t="s">
        <v>3632</v>
      </c>
      <c r="P1125" s="7" t="s">
        <v>22</v>
      </c>
      <c r="Q1125" s="7" t="s">
        <v>23</v>
      </c>
      <c r="T1125" s="7" t="s">
        <v>10846</v>
      </c>
      <c r="U1125" s="7" t="s">
        <v>3493</v>
      </c>
      <c r="V1125" s="7">
        <v>1.0</v>
      </c>
    </row>
    <row r="1126">
      <c r="A1126" s="7" t="s">
        <v>2193</v>
      </c>
      <c r="B1126" s="7">
        <v>1309.0</v>
      </c>
      <c r="C1126" s="7" t="s">
        <v>10832</v>
      </c>
      <c r="D1126" s="7" t="s">
        <v>10847</v>
      </c>
      <c r="E1126" s="7" t="s">
        <v>10834</v>
      </c>
      <c r="F1126" s="7" t="s">
        <v>10848</v>
      </c>
      <c r="G1126" s="7" t="s">
        <v>10849</v>
      </c>
      <c r="H1126" s="7" t="s">
        <v>10850</v>
      </c>
      <c r="I1126" s="119">
        <v>45292.0</v>
      </c>
      <c r="K1126" s="7" t="s">
        <v>10851</v>
      </c>
      <c r="L1126" s="7" t="s">
        <v>4406</v>
      </c>
      <c r="M1126" s="7" t="s">
        <v>4407</v>
      </c>
      <c r="N1126" s="7" t="s">
        <v>419</v>
      </c>
      <c r="O1126" s="7" t="s">
        <v>19437</v>
      </c>
      <c r="P1126" s="7" t="s">
        <v>478</v>
      </c>
      <c r="Q1126" s="7" t="s">
        <v>958</v>
      </c>
      <c r="T1126" s="7" t="s">
        <v>19458</v>
      </c>
      <c r="U1126" s="7" t="s">
        <v>5585</v>
      </c>
      <c r="V1126" s="7">
        <v>1.0</v>
      </c>
    </row>
    <row r="1127">
      <c r="A1127" s="7" t="s">
        <v>21018</v>
      </c>
      <c r="B1127" s="7">
        <v>11705.0</v>
      </c>
      <c r="C1127" s="7" t="s">
        <v>10832</v>
      </c>
      <c r="D1127" s="7" t="s">
        <v>8948</v>
      </c>
      <c r="E1127" s="7" t="s">
        <v>10834</v>
      </c>
      <c r="F1127" s="7" t="s">
        <v>8756</v>
      </c>
      <c r="G1127" s="7" t="s">
        <v>10856</v>
      </c>
      <c r="H1127" s="7" t="s">
        <v>10857</v>
      </c>
      <c r="I1127" s="119">
        <v>45292.0</v>
      </c>
      <c r="K1127" s="7" t="s">
        <v>419</v>
      </c>
      <c r="L1127" s="7" t="s">
        <v>991</v>
      </c>
      <c r="M1127" s="7" t="s">
        <v>3501</v>
      </c>
      <c r="N1127" s="7" t="s">
        <v>419</v>
      </c>
      <c r="O1127" s="7" t="s">
        <v>19443</v>
      </c>
      <c r="P1127" s="7" t="s">
        <v>323</v>
      </c>
      <c r="Q1127" s="7" t="s">
        <v>324</v>
      </c>
      <c r="R1127" s="7" t="s">
        <v>20997</v>
      </c>
      <c r="T1127" s="7" t="s">
        <v>11045</v>
      </c>
      <c r="U1127" s="7" t="s">
        <v>3493</v>
      </c>
      <c r="V1127" s="7">
        <v>1.0</v>
      </c>
    </row>
    <row r="1128">
      <c r="A1128" s="7" t="s">
        <v>21019</v>
      </c>
      <c r="B1128" s="7">
        <v>2200929.0</v>
      </c>
      <c r="C1128" s="7" t="s">
        <v>10859</v>
      </c>
      <c r="D1128" s="7" t="s">
        <v>10860</v>
      </c>
      <c r="E1128" s="7" t="s">
        <v>10861</v>
      </c>
      <c r="F1128" s="7" t="s">
        <v>6279</v>
      </c>
      <c r="G1128" s="7" t="s">
        <v>10862</v>
      </c>
      <c r="H1128" s="7" t="s">
        <v>10863</v>
      </c>
      <c r="I1128" s="119">
        <v>45292.0</v>
      </c>
      <c r="K1128" s="7" t="s">
        <v>419</v>
      </c>
      <c r="L1128" s="7" t="s">
        <v>991</v>
      </c>
      <c r="M1128" s="7" t="s">
        <v>3531</v>
      </c>
      <c r="N1128" s="7" t="s">
        <v>419</v>
      </c>
      <c r="O1128" s="7" t="s">
        <v>19430</v>
      </c>
      <c r="P1128" s="7" t="s">
        <v>717</v>
      </c>
      <c r="Q1128" s="7" t="s">
        <v>725</v>
      </c>
      <c r="R1128" s="7" t="s">
        <v>20253</v>
      </c>
      <c r="S1128" s="7" t="s">
        <v>19749</v>
      </c>
      <c r="T1128" s="7" t="s">
        <v>6815</v>
      </c>
      <c r="U1128" s="7" t="s">
        <v>3493</v>
      </c>
      <c r="V1128" s="7">
        <v>1.0</v>
      </c>
    </row>
    <row r="1129">
      <c r="A1129" s="7" t="s">
        <v>21020</v>
      </c>
      <c r="B1129" s="7">
        <v>2300206.0</v>
      </c>
      <c r="C1129" s="7" t="s">
        <v>10865</v>
      </c>
      <c r="D1129" s="7" t="s">
        <v>10866</v>
      </c>
      <c r="E1129" s="7" t="s">
        <v>10867</v>
      </c>
      <c r="F1129" s="7" t="s">
        <v>10866</v>
      </c>
      <c r="G1129" s="7" t="s">
        <v>10868</v>
      </c>
      <c r="H1129" s="7" t="s">
        <v>10869</v>
      </c>
      <c r="I1129" s="119">
        <v>45292.0</v>
      </c>
      <c r="K1129" s="7" t="s">
        <v>4042</v>
      </c>
      <c r="L1129" s="7" t="s">
        <v>991</v>
      </c>
      <c r="M1129" s="7" t="s">
        <v>3531</v>
      </c>
      <c r="N1129" s="7" t="s">
        <v>4042</v>
      </c>
      <c r="O1129" s="7" t="s">
        <v>4042</v>
      </c>
      <c r="P1129" s="7" t="s">
        <v>19632</v>
      </c>
      <c r="T1129" s="7" t="s">
        <v>4044</v>
      </c>
      <c r="U1129" s="7" t="s">
        <v>3493</v>
      </c>
      <c r="V1129" s="7">
        <v>1.0</v>
      </c>
    </row>
    <row r="1130">
      <c r="A1130" s="7" t="s">
        <v>21021</v>
      </c>
      <c r="B1130" s="7">
        <v>2400005.0</v>
      </c>
      <c r="C1130" s="7" t="s">
        <v>10865</v>
      </c>
      <c r="D1130" s="7" t="s">
        <v>6926</v>
      </c>
      <c r="E1130" s="7" t="s">
        <v>10867</v>
      </c>
      <c r="F1130" s="7" t="s">
        <v>6262</v>
      </c>
      <c r="G1130" s="7" t="s">
        <v>10871</v>
      </c>
      <c r="H1130" s="7" t="s">
        <v>10872</v>
      </c>
      <c r="I1130" s="119">
        <v>45292.0</v>
      </c>
      <c r="K1130" s="7" t="s">
        <v>419</v>
      </c>
      <c r="L1130" s="7" t="s">
        <v>991</v>
      </c>
      <c r="M1130" s="7" t="s">
        <v>3501</v>
      </c>
      <c r="N1130" s="7" t="s">
        <v>419</v>
      </c>
      <c r="O1130" s="7" t="s">
        <v>19437</v>
      </c>
      <c r="P1130" s="7" t="s">
        <v>440</v>
      </c>
      <c r="Q1130" s="7" t="s">
        <v>924</v>
      </c>
      <c r="R1130" s="7" t="s">
        <v>20135</v>
      </c>
      <c r="S1130" s="7" t="s">
        <v>20279</v>
      </c>
      <c r="T1130" s="7" t="s">
        <v>6950</v>
      </c>
      <c r="U1130" s="7" t="s">
        <v>3493</v>
      </c>
      <c r="V1130" s="7">
        <v>1.0</v>
      </c>
    </row>
    <row r="1131">
      <c r="A1131" s="7" t="s">
        <v>21022</v>
      </c>
      <c r="B1131" s="7">
        <v>13545.0</v>
      </c>
      <c r="C1131" s="7" t="s">
        <v>10875</v>
      </c>
      <c r="D1131" s="7" t="s">
        <v>6003</v>
      </c>
      <c r="E1131" s="7" t="s">
        <v>10876</v>
      </c>
      <c r="F1131" s="7" t="s">
        <v>6004</v>
      </c>
      <c r="G1131" s="7" t="s">
        <v>10877</v>
      </c>
      <c r="H1131" s="7" t="s">
        <v>10878</v>
      </c>
      <c r="I1131" s="119">
        <v>45292.0</v>
      </c>
      <c r="K1131" s="7" t="s">
        <v>419</v>
      </c>
      <c r="L1131" s="7" t="s">
        <v>991</v>
      </c>
      <c r="M1131" s="7" t="s">
        <v>3501</v>
      </c>
      <c r="N1131" s="7" t="s">
        <v>419</v>
      </c>
      <c r="O1131" s="7" t="s">
        <v>19432</v>
      </c>
      <c r="P1131" s="7" t="s">
        <v>693</v>
      </c>
      <c r="Q1131" s="7" t="s">
        <v>703</v>
      </c>
      <c r="R1131" s="7" t="s">
        <v>19579</v>
      </c>
      <c r="S1131" s="7" t="s">
        <v>20612</v>
      </c>
      <c r="T1131" s="7" t="s">
        <v>8620</v>
      </c>
      <c r="U1131" s="7" t="s">
        <v>3843</v>
      </c>
      <c r="V1131" s="7">
        <v>1.0</v>
      </c>
    </row>
    <row r="1132">
      <c r="A1132" s="7" t="s">
        <v>21023</v>
      </c>
      <c r="B1132" s="7">
        <v>13730.0</v>
      </c>
      <c r="C1132" s="7" t="s">
        <v>10880</v>
      </c>
      <c r="D1132" s="7" t="s">
        <v>8948</v>
      </c>
      <c r="E1132" s="7" t="s">
        <v>10881</v>
      </c>
      <c r="F1132" s="7" t="s">
        <v>6806</v>
      </c>
      <c r="G1132" s="7" t="s">
        <v>10882</v>
      </c>
      <c r="H1132" s="7" t="s">
        <v>10883</v>
      </c>
      <c r="I1132" s="119">
        <v>45292.0</v>
      </c>
      <c r="K1132" s="7" t="s">
        <v>3632</v>
      </c>
      <c r="L1132" s="7" t="s">
        <v>991</v>
      </c>
      <c r="M1132" s="7" t="s">
        <v>3501</v>
      </c>
      <c r="N1132" s="7" t="s">
        <v>3632</v>
      </c>
      <c r="O1132" s="7" t="s">
        <v>3632</v>
      </c>
      <c r="P1132" s="7" t="s">
        <v>19462</v>
      </c>
      <c r="Q1132" s="7" t="s">
        <v>19463</v>
      </c>
      <c r="R1132" s="7" t="s">
        <v>19883</v>
      </c>
      <c r="T1132" s="7" t="s">
        <v>15149</v>
      </c>
      <c r="U1132" s="7" t="s">
        <v>3493</v>
      </c>
      <c r="V1132" s="7">
        <v>1.0</v>
      </c>
    </row>
    <row r="1133">
      <c r="A1133" s="7" t="s">
        <v>21024</v>
      </c>
      <c r="B1133" s="7">
        <v>12029.0</v>
      </c>
      <c r="C1133" s="7" t="s">
        <v>10885</v>
      </c>
      <c r="D1133" s="7" t="s">
        <v>10886</v>
      </c>
      <c r="E1133" s="7" t="s">
        <v>10887</v>
      </c>
      <c r="F1133" s="7" t="s">
        <v>3580</v>
      </c>
      <c r="G1133" s="7" t="s">
        <v>10888</v>
      </c>
      <c r="H1133" s="7" t="s">
        <v>10889</v>
      </c>
      <c r="I1133" s="119">
        <v>45292.0</v>
      </c>
      <c r="K1133" s="7" t="s">
        <v>419</v>
      </c>
      <c r="L1133" s="7" t="s">
        <v>991</v>
      </c>
      <c r="M1133" s="7" t="s">
        <v>3501</v>
      </c>
      <c r="N1133" s="7" t="s">
        <v>419</v>
      </c>
      <c r="O1133" s="7" t="s">
        <v>19430</v>
      </c>
      <c r="P1133" s="7" t="s">
        <v>717</v>
      </c>
      <c r="Q1133" s="7" t="s">
        <v>722</v>
      </c>
      <c r="R1133" s="7" t="s">
        <v>20209</v>
      </c>
      <c r="S1133" s="7" t="s">
        <v>20210</v>
      </c>
      <c r="T1133" s="7" t="s">
        <v>6569</v>
      </c>
      <c r="U1133" s="7" t="s">
        <v>3843</v>
      </c>
      <c r="V1133" s="7">
        <v>1.0</v>
      </c>
    </row>
    <row r="1134">
      <c r="A1134" s="7" t="s">
        <v>21025</v>
      </c>
      <c r="B1134" s="7">
        <v>2200259.0</v>
      </c>
      <c r="C1134" s="7" t="s">
        <v>10885</v>
      </c>
      <c r="D1134" s="7" t="s">
        <v>10891</v>
      </c>
      <c r="E1134" s="7" t="s">
        <v>10887</v>
      </c>
      <c r="F1134" s="7" t="s">
        <v>10892</v>
      </c>
      <c r="G1134" s="7" t="s">
        <v>10893</v>
      </c>
      <c r="H1134" s="7" t="s">
        <v>10894</v>
      </c>
      <c r="I1134" s="119">
        <v>45292.0</v>
      </c>
      <c r="K1134" s="7" t="s">
        <v>419</v>
      </c>
      <c r="L1134" s="7" t="s">
        <v>991</v>
      </c>
      <c r="M1134" s="7" t="s">
        <v>3531</v>
      </c>
      <c r="N1134" s="7" t="s">
        <v>419</v>
      </c>
      <c r="O1134" s="7" t="s">
        <v>19432</v>
      </c>
      <c r="P1134" s="7" t="s">
        <v>391</v>
      </c>
      <c r="Q1134" s="7" t="s">
        <v>399</v>
      </c>
      <c r="R1134" s="7" t="s">
        <v>20194</v>
      </c>
      <c r="T1134" s="7" t="s">
        <v>6534</v>
      </c>
      <c r="U1134" s="7" t="s">
        <v>3493</v>
      </c>
      <c r="V1134" s="7">
        <v>1.0</v>
      </c>
    </row>
    <row r="1135">
      <c r="A1135" s="7" t="s">
        <v>1715</v>
      </c>
      <c r="B1135" s="7">
        <v>11324.0</v>
      </c>
      <c r="C1135" s="7" t="s">
        <v>10885</v>
      </c>
      <c r="D1135" s="7" t="s">
        <v>10895</v>
      </c>
      <c r="E1135" s="7" t="s">
        <v>10887</v>
      </c>
      <c r="F1135" s="7" t="s">
        <v>10896</v>
      </c>
      <c r="G1135" s="7" t="s">
        <v>10897</v>
      </c>
      <c r="H1135" s="7" t="s">
        <v>10898</v>
      </c>
      <c r="I1135" s="119">
        <v>45292.0</v>
      </c>
      <c r="K1135" s="7" t="s">
        <v>419</v>
      </c>
      <c r="L1135" s="7" t="s">
        <v>991</v>
      </c>
      <c r="M1135" s="7" t="s">
        <v>3501</v>
      </c>
      <c r="N1135" s="7" t="s">
        <v>419</v>
      </c>
      <c r="O1135" s="7" t="s">
        <v>19430</v>
      </c>
      <c r="P1135" s="7" t="s">
        <v>717</v>
      </c>
      <c r="Q1135" s="7" t="s">
        <v>730</v>
      </c>
      <c r="R1135" s="7" t="s">
        <v>20149</v>
      </c>
      <c r="S1135" s="7" t="s">
        <v>20150</v>
      </c>
      <c r="T1135" s="7" t="s">
        <v>8357</v>
      </c>
      <c r="U1135" s="7" t="s">
        <v>3493</v>
      </c>
      <c r="V1135" s="7">
        <v>1.0</v>
      </c>
    </row>
    <row r="1136">
      <c r="A1136" s="7" t="s">
        <v>21026</v>
      </c>
      <c r="B1136" s="7">
        <v>14124.0</v>
      </c>
      <c r="C1136" s="7" t="s">
        <v>10900</v>
      </c>
      <c r="D1136" s="7" t="s">
        <v>3526</v>
      </c>
      <c r="E1136" s="7" t="s">
        <v>10901</v>
      </c>
      <c r="F1136" s="7" t="s">
        <v>3528</v>
      </c>
      <c r="G1136" s="7" t="s">
        <v>10902</v>
      </c>
      <c r="H1136" s="7" t="s">
        <v>10903</v>
      </c>
      <c r="I1136" s="119">
        <v>45292.0</v>
      </c>
      <c r="K1136" s="7" t="s">
        <v>419</v>
      </c>
      <c r="L1136" s="7" t="s">
        <v>991</v>
      </c>
      <c r="M1136" s="7" t="s">
        <v>3583</v>
      </c>
      <c r="N1136" s="7" t="s">
        <v>419</v>
      </c>
      <c r="O1136" s="7" t="s">
        <v>19430</v>
      </c>
      <c r="P1136" s="7" t="s">
        <v>717</v>
      </c>
      <c r="Q1136" s="7" t="s">
        <v>738</v>
      </c>
      <c r="R1136" s="7" t="s">
        <v>20012</v>
      </c>
      <c r="S1136" s="7" t="s">
        <v>20068</v>
      </c>
      <c r="T1136" s="7" t="s">
        <v>5889</v>
      </c>
      <c r="U1136" s="7" t="s">
        <v>3493</v>
      </c>
      <c r="V1136" s="7">
        <v>1.0</v>
      </c>
    </row>
    <row r="1137">
      <c r="A1137" s="7" t="s">
        <v>21027</v>
      </c>
      <c r="B1137" s="7">
        <v>2300397.0</v>
      </c>
      <c r="C1137" s="7" t="s">
        <v>10885</v>
      </c>
      <c r="D1137" s="7" t="s">
        <v>10905</v>
      </c>
      <c r="E1137" s="7" t="s">
        <v>10901</v>
      </c>
      <c r="F1137" s="7" t="s">
        <v>10906</v>
      </c>
      <c r="G1137" s="7" t="s">
        <v>10907</v>
      </c>
      <c r="H1137" s="7" t="s">
        <v>10908</v>
      </c>
      <c r="I1137" s="119">
        <v>45292.0</v>
      </c>
      <c r="K1137" s="7" t="s">
        <v>419</v>
      </c>
      <c r="L1137" s="7" t="s">
        <v>991</v>
      </c>
      <c r="M1137" s="7" t="s">
        <v>3531</v>
      </c>
      <c r="N1137" s="7" t="s">
        <v>419</v>
      </c>
      <c r="O1137" s="7" t="s">
        <v>19430</v>
      </c>
      <c r="P1137" s="7" t="s">
        <v>717</v>
      </c>
      <c r="Q1137" s="7" t="s">
        <v>725</v>
      </c>
      <c r="R1137" s="7" t="s">
        <v>19741</v>
      </c>
      <c r="S1137" s="7" t="s">
        <v>19495</v>
      </c>
      <c r="T1137" s="7" t="s">
        <v>10122</v>
      </c>
      <c r="U1137" s="7" t="s">
        <v>3493</v>
      </c>
      <c r="V1137" s="7">
        <v>1.0</v>
      </c>
    </row>
    <row r="1138">
      <c r="A1138" s="7" t="s">
        <v>21028</v>
      </c>
      <c r="B1138" s="7">
        <v>2200748.0</v>
      </c>
      <c r="C1138" s="7" t="s">
        <v>10885</v>
      </c>
      <c r="D1138" s="7" t="s">
        <v>10910</v>
      </c>
      <c r="E1138" s="7" t="s">
        <v>10901</v>
      </c>
      <c r="F1138" s="7" t="s">
        <v>10911</v>
      </c>
      <c r="G1138" s="7" t="s">
        <v>10912</v>
      </c>
      <c r="H1138" s="7" t="s">
        <v>10913</v>
      </c>
      <c r="I1138" s="119">
        <v>45292.0</v>
      </c>
      <c r="K1138" s="7" t="s">
        <v>419</v>
      </c>
      <c r="L1138" s="7" t="s">
        <v>991</v>
      </c>
      <c r="M1138" s="7" t="s">
        <v>3501</v>
      </c>
      <c r="N1138" s="7" t="s">
        <v>419</v>
      </c>
      <c r="O1138" s="7" t="s">
        <v>19433</v>
      </c>
      <c r="P1138" s="7" t="s">
        <v>587</v>
      </c>
      <c r="Q1138" s="7" t="s">
        <v>74</v>
      </c>
      <c r="R1138" s="7" t="s">
        <v>19911</v>
      </c>
      <c r="S1138" s="7" t="s">
        <v>19964</v>
      </c>
      <c r="T1138" s="7" t="s">
        <v>5421</v>
      </c>
      <c r="U1138" s="7" t="s">
        <v>3493</v>
      </c>
      <c r="V1138" s="7">
        <v>1.0</v>
      </c>
    </row>
    <row r="1139">
      <c r="A1139" s="7" t="s">
        <v>21029</v>
      </c>
      <c r="B1139" s="7">
        <v>12520.0</v>
      </c>
      <c r="C1139" s="7" t="s">
        <v>10885</v>
      </c>
      <c r="D1139" s="7" t="s">
        <v>6650</v>
      </c>
      <c r="E1139" s="7" t="s">
        <v>10901</v>
      </c>
      <c r="F1139" s="7" t="s">
        <v>3517</v>
      </c>
      <c r="G1139" s="7" t="s">
        <v>10916</v>
      </c>
      <c r="H1139" s="7" t="s">
        <v>10917</v>
      </c>
      <c r="I1139" s="119">
        <v>45292.0</v>
      </c>
      <c r="K1139" s="7" t="s">
        <v>419</v>
      </c>
      <c r="L1139" s="7" t="s">
        <v>991</v>
      </c>
      <c r="M1139" s="7" t="s">
        <v>3583</v>
      </c>
      <c r="N1139" s="7" t="s">
        <v>419</v>
      </c>
      <c r="O1139" s="7" t="s">
        <v>19437</v>
      </c>
      <c r="P1139" s="7" t="s">
        <v>440</v>
      </c>
      <c r="Q1139" s="7" t="s">
        <v>924</v>
      </c>
      <c r="R1139" s="7" t="s">
        <v>19793</v>
      </c>
      <c r="S1139" s="7" t="s">
        <v>19794</v>
      </c>
      <c r="T1139" s="7" t="s">
        <v>4661</v>
      </c>
      <c r="U1139" s="7" t="s">
        <v>3493</v>
      </c>
      <c r="V1139" s="7">
        <v>1.0</v>
      </c>
    </row>
    <row r="1140">
      <c r="A1140" s="7" t="s">
        <v>21030</v>
      </c>
      <c r="B1140" s="7">
        <v>127.0</v>
      </c>
      <c r="C1140" s="7" t="s">
        <v>10919</v>
      </c>
      <c r="D1140" s="7" t="s">
        <v>5962</v>
      </c>
      <c r="E1140" s="7" t="s">
        <v>10920</v>
      </c>
      <c r="F1140" s="7" t="s">
        <v>5723</v>
      </c>
      <c r="G1140" s="7" t="s">
        <v>10921</v>
      </c>
      <c r="H1140" s="7" t="s">
        <v>10922</v>
      </c>
      <c r="I1140" s="119">
        <v>45292.0</v>
      </c>
      <c r="K1140" s="7" t="s">
        <v>419</v>
      </c>
      <c r="L1140" s="7" t="s">
        <v>991</v>
      </c>
      <c r="M1140" s="7" t="s">
        <v>3501</v>
      </c>
      <c r="N1140" s="7" t="s">
        <v>419</v>
      </c>
      <c r="O1140" s="7" t="s">
        <v>19443</v>
      </c>
      <c r="P1140" s="7" t="s">
        <v>1242</v>
      </c>
      <c r="Q1140" s="7" t="s">
        <v>48</v>
      </c>
      <c r="R1140" s="7" t="s">
        <v>19700</v>
      </c>
      <c r="S1140" s="7" t="s">
        <v>19749</v>
      </c>
      <c r="T1140" s="7" t="s">
        <v>4515</v>
      </c>
      <c r="U1140" s="7" t="s">
        <v>3843</v>
      </c>
      <c r="V1140" s="7">
        <v>1.0</v>
      </c>
    </row>
    <row r="1141">
      <c r="A1141" s="7" t="s">
        <v>21031</v>
      </c>
      <c r="B1141" s="7">
        <v>2300001.0</v>
      </c>
      <c r="C1141" s="7" t="s">
        <v>10924</v>
      </c>
      <c r="D1141" s="7" t="s">
        <v>10925</v>
      </c>
      <c r="E1141" s="7" t="s">
        <v>10926</v>
      </c>
      <c r="F1141" s="7" t="s">
        <v>3903</v>
      </c>
      <c r="G1141" s="7" t="s">
        <v>10927</v>
      </c>
      <c r="H1141" s="7" t="s">
        <v>10928</v>
      </c>
      <c r="I1141" s="119">
        <v>45292.0</v>
      </c>
      <c r="J1141" s="7" t="s">
        <v>3929</v>
      </c>
      <c r="K1141" s="7" t="s">
        <v>419</v>
      </c>
      <c r="L1141" s="7" t="s">
        <v>991</v>
      </c>
      <c r="M1141" s="7" t="s">
        <v>3490</v>
      </c>
      <c r="N1141" s="7" t="s">
        <v>419</v>
      </c>
      <c r="O1141" s="7" t="s">
        <v>19430</v>
      </c>
      <c r="P1141" s="7" t="s">
        <v>854</v>
      </c>
      <c r="Q1141" s="7" t="s">
        <v>861</v>
      </c>
      <c r="R1141" s="7" t="s">
        <v>19664</v>
      </c>
      <c r="T1141" s="7" t="s">
        <v>9590</v>
      </c>
      <c r="U1141" s="7" t="s">
        <v>3493</v>
      </c>
      <c r="V1141" s="7">
        <v>1.0</v>
      </c>
    </row>
    <row r="1142">
      <c r="A1142" s="7" t="s">
        <v>21032</v>
      </c>
      <c r="B1142" s="7">
        <v>2300801.0</v>
      </c>
      <c r="C1142" s="7" t="s">
        <v>10930</v>
      </c>
      <c r="D1142" s="7" t="s">
        <v>10931</v>
      </c>
      <c r="E1142" s="7" t="s">
        <v>10932</v>
      </c>
      <c r="F1142" s="7" t="s">
        <v>10933</v>
      </c>
      <c r="G1142" s="7" t="s">
        <v>10934</v>
      </c>
      <c r="H1142" s="7" t="s">
        <v>10935</v>
      </c>
      <c r="I1142" s="119">
        <v>45292.0</v>
      </c>
      <c r="K1142" s="7" t="s">
        <v>3642</v>
      </c>
      <c r="L1142" s="7" t="s">
        <v>991</v>
      </c>
      <c r="M1142" s="7" t="s">
        <v>3583</v>
      </c>
      <c r="N1142" s="7" t="s">
        <v>3642</v>
      </c>
      <c r="O1142" s="7" t="s">
        <v>3642</v>
      </c>
      <c r="P1142" s="7" t="s">
        <v>19524</v>
      </c>
      <c r="T1142" s="7" t="s">
        <v>3644</v>
      </c>
      <c r="U1142" s="7" t="s">
        <v>3493</v>
      </c>
      <c r="V1142" s="7">
        <v>1.0</v>
      </c>
    </row>
    <row r="1143">
      <c r="A1143" s="7" t="s">
        <v>21033</v>
      </c>
      <c r="B1143" s="7">
        <v>2200618.0</v>
      </c>
      <c r="C1143" s="7" t="s">
        <v>10930</v>
      </c>
      <c r="D1143" s="7" t="s">
        <v>10937</v>
      </c>
      <c r="E1143" s="7" t="s">
        <v>10932</v>
      </c>
      <c r="F1143" s="7" t="s">
        <v>10938</v>
      </c>
      <c r="G1143" s="7" t="s">
        <v>10939</v>
      </c>
      <c r="H1143" s="7" t="s">
        <v>10940</v>
      </c>
      <c r="I1143" s="119">
        <v>45292.0</v>
      </c>
      <c r="K1143" s="7" t="s">
        <v>419</v>
      </c>
      <c r="L1143" s="7" t="s">
        <v>991</v>
      </c>
      <c r="M1143" s="7" t="s">
        <v>3531</v>
      </c>
      <c r="N1143" s="7" t="s">
        <v>419</v>
      </c>
      <c r="O1143" s="7" t="s">
        <v>19433</v>
      </c>
      <c r="P1143" s="7" t="s">
        <v>587</v>
      </c>
      <c r="Q1143" s="7" t="s">
        <v>74</v>
      </c>
      <c r="T1143" s="7" t="s">
        <v>5112</v>
      </c>
      <c r="U1143" s="7" t="s">
        <v>3493</v>
      </c>
      <c r="V1143" s="7">
        <v>1.0</v>
      </c>
    </row>
    <row r="1144">
      <c r="A1144" s="7" t="s">
        <v>21034</v>
      </c>
      <c r="B1144" s="7">
        <v>2200872.0</v>
      </c>
      <c r="C1144" s="7" t="s">
        <v>10930</v>
      </c>
      <c r="D1144" s="7" t="s">
        <v>10942</v>
      </c>
      <c r="E1144" s="7" t="s">
        <v>10932</v>
      </c>
      <c r="F1144" s="7" t="s">
        <v>10943</v>
      </c>
      <c r="G1144" s="7" t="s">
        <v>10944</v>
      </c>
      <c r="H1144" s="7" t="s">
        <v>10945</v>
      </c>
      <c r="I1144" s="119">
        <v>45292.0</v>
      </c>
      <c r="K1144" s="7" t="s">
        <v>3632</v>
      </c>
      <c r="L1144" s="7" t="s">
        <v>991</v>
      </c>
      <c r="M1144" s="7" t="s">
        <v>3866</v>
      </c>
      <c r="N1144" s="7" t="s">
        <v>3632</v>
      </c>
      <c r="O1144" s="7" t="s">
        <v>3632</v>
      </c>
      <c r="P1144" s="7" t="s">
        <v>625</v>
      </c>
      <c r="Q1144" s="7" t="s">
        <v>626</v>
      </c>
      <c r="R1144" s="7" t="s">
        <v>19672</v>
      </c>
      <c r="T1144" s="7" t="s">
        <v>4191</v>
      </c>
      <c r="U1144" s="7" t="s">
        <v>3493</v>
      </c>
      <c r="V1144" s="7">
        <v>1.0</v>
      </c>
    </row>
    <row r="1145">
      <c r="A1145" s="7" t="s">
        <v>21035</v>
      </c>
      <c r="B1145" s="7">
        <v>12289.0</v>
      </c>
      <c r="C1145" s="7" t="s">
        <v>10947</v>
      </c>
      <c r="D1145" s="7" t="s">
        <v>4247</v>
      </c>
      <c r="E1145" s="7" t="s">
        <v>10948</v>
      </c>
      <c r="F1145" s="7" t="s">
        <v>3818</v>
      </c>
      <c r="G1145" s="7" t="s">
        <v>10949</v>
      </c>
      <c r="H1145" s="7" t="s">
        <v>10950</v>
      </c>
      <c r="I1145" s="119">
        <v>45292.0</v>
      </c>
      <c r="K1145" s="7" t="s">
        <v>419</v>
      </c>
      <c r="L1145" s="7" t="s">
        <v>991</v>
      </c>
      <c r="M1145" s="7" t="s">
        <v>3501</v>
      </c>
      <c r="N1145" s="7" t="s">
        <v>419</v>
      </c>
      <c r="O1145" s="7" t="s">
        <v>19433</v>
      </c>
      <c r="P1145" s="7" t="s">
        <v>648</v>
      </c>
      <c r="Q1145" s="7" t="s">
        <v>141</v>
      </c>
      <c r="R1145" s="7" t="s">
        <v>19886</v>
      </c>
      <c r="S1145" s="7" t="s">
        <v>20331</v>
      </c>
      <c r="T1145" s="7" t="s">
        <v>7253</v>
      </c>
      <c r="U1145" s="7" t="s">
        <v>3493</v>
      </c>
      <c r="V1145" s="7">
        <v>1.0</v>
      </c>
    </row>
    <row r="1146">
      <c r="A1146" s="7" t="s">
        <v>21036</v>
      </c>
      <c r="B1146" s="7">
        <v>2300513.0</v>
      </c>
      <c r="C1146" s="7" t="s">
        <v>10952</v>
      </c>
      <c r="D1146" s="7" t="s">
        <v>6628</v>
      </c>
      <c r="E1146" s="7" t="s">
        <v>10953</v>
      </c>
      <c r="F1146" s="7" t="s">
        <v>6630</v>
      </c>
      <c r="G1146" s="7" t="s">
        <v>10954</v>
      </c>
      <c r="H1146" s="7" t="s">
        <v>10955</v>
      </c>
      <c r="I1146" s="119">
        <v>45292.0</v>
      </c>
      <c r="K1146" s="7" t="s">
        <v>419</v>
      </c>
      <c r="L1146" s="7" t="s">
        <v>991</v>
      </c>
      <c r="M1146" s="7" t="s">
        <v>3501</v>
      </c>
      <c r="N1146" s="7" t="s">
        <v>419</v>
      </c>
      <c r="O1146" s="7" t="s">
        <v>19430</v>
      </c>
      <c r="P1146" s="7" t="s">
        <v>717</v>
      </c>
      <c r="Q1146" s="7" t="s">
        <v>223</v>
      </c>
      <c r="R1146" s="7" t="s">
        <v>20315</v>
      </c>
      <c r="S1146" s="7" t="s">
        <v>19724</v>
      </c>
      <c r="T1146" s="7" t="s">
        <v>10570</v>
      </c>
      <c r="U1146" s="7" t="s">
        <v>3493</v>
      </c>
      <c r="V1146" s="7">
        <v>1.0</v>
      </c>
    </row>
    <row r="1147">
      <c r="A1147" s="7" t="s">
        <v>2124</v>
      </c>
      <c r="B1147" s="7">
        <v>989.0</v>
      </c>
      <c r="C1147" s="7" t="s">
        <v>10957</v>
      </c>
      <c r="D1147" s="7" t="s">
        <v>10958</v>
      </c>
      <c r="E1147" s="7" t="s">
        <v>10959</v>
      </c>
      <c r="F1147" s="7" t="s">
        <v>4234</v>
      </c>
      <c r="G1147" s="7" t="s">
        <v>10960</v>
      </c>
      <c r="H1147" s="7" t="s">
        <v>10961</v>
      </c>
      <c r="I1147" s="119">
        <v>45292.0</v>
      </c>
      <c r="K1147" s="7" t="s">
        <v>419</v>
      </c>
      <c r="L1147" s="7" t="s">
        <v>991</v>
      </c>
      <c r="M1147" s="7" t="s">
        <v>3501</v>
      </c>
      <c r="N1147" s="7" t="s">
        <v>419</v>
      </c>
      <c r="O1147" s="7" t="s">
        <v>19440</v>
      </c>
      <c r="P1147" s="7" t="s">
        <v>3</v>
      </c>
      <c r="Q1147" s="7" t="s">
        <v>9</v>
      </c>
      <c r="T1147" s="7" t="s">
        <v>10963</v>
      </c>
      <c r="U1147" s="7" t="s">
        <v>5585</v>
      </c>
      <c r="V1147" s="7">
        <v>1.0</v>
      </c>
    </row>
    <row r="1148">
      <c r="A1148" s="7" t="s">
        <v>21037</v>
      </c>
      <c r="B1148" s="7">
        <v>1153.0</v>
      </c>
      <c r="C1148" s="7" t="s">
        <v>10957</v>
      </c>
      <c r="D1148" s="7" t="s">
        <v>10965</v>
      </c>
      <c r="E1148" s="7" t="s">
        <v>10959</v>
      </c>
      <c r="F1148" s="7" t="s">
        <v>5312</v>
      </c>
      <c r="G1148" s="7" t="s">
        <v>10966</v>
      </c>
      <c r="H1148" s="7" t="s">
        <v>10967</v>
      </c>
      <c r="I1148" s="119">
        <v>45292.0</v>
      </c>
      <c r="K1148" s="7" t="s">
        <v>419</v>
      </c>
      <c r="L1148" s="7" t="s">
        <v>991</v>
      </c>
      <c r="M1148" s="7" t="s">
        <v>3501</v>
      </c>
      <c r="N1148" s="7" t="s">
        <v>419</v>
      </c>
      <c r="O1148" s="7" t="s">
        <v>19432</v>
      </c>
      <c r="P1148" s="7" t="s">
        <v>391</v>
      </c>
      <c r="Q1148" s="7" t="s">
        <v>399</v>
      </c>
      <c r="R1148" s="7" t="s">
        <v>19508</v>
      </c>
      <c r="T1148" s="7" t="s">
        <v>7225</v>
      </c>
      <c r="U1148" s="7" t="s">
        <v>3493</v>
      </c>
      <c r="V1148" s="7">
        <v>1.0</v>
      </c>
    </row>
    <row r="1149">
      <c r="A1149" s="7" t="s">
        <v>21038</v>
      </c>
      <c r="B1149" s="7">
        <v>13564.0</v>
      </c>
      <c r="C1149" s="7" t="s">
        <v>10957</v>
      </c>
      <c r="D1149" s="7" t="s">
        <v>10969</v>
      </c>
      <c r="E1149" s="7" t="s">
        <v>10959</v>
      </c>
      <c r="F1149" s="7" t="s">
        <v>10970</v>
      </c>
      <c r="G1149" s="7" t="s">
        <v>10971</v>
      </c>
      <c r="H1149" s="7" t="s">
        <v>10972</v>
      </c>
      <c r="I1149" s="119">
        <v>45292.0</v>
      </c>
      <c r="K1149" s="7" t="s">
        <v>3632</v>
      </c>
      <c r="L1149" s="7" t="s">
        <v>991</v>
      </c>
      <c r="M1149" s="7" t="s">
        <v>3501</v>
      </c>
      <c r="N1149" s="7" t="s">
        <v>3632</v>
      </c>
      <c r="O1149" s="7" t="s">
        <v>3632</v>
      </c>
      <c r="P1149" s="7" t="s">
        <v>625</v>
      </c>
      <c r="Q1149" s="7" t="s">
        <v>118</v>
      </c>
      <c r="R1149" s="7" t="s">
        <v>20202</v>
      </c>
      <c r="T1149" s="7" t="s">
        <v>12942</v>
      </c>
      <c r="U1149" s="7" t="s">
        <v>3604</v>
      </c>
      <c r="V1149" s="7">
        <v>1.0</v>
      </c>
    </row>
    <row r="1150">
      <c r="A1150" s="7" t="s">
        <v>21039</v>
      </c>
      <c r="B1150" s="7">
        <v>2200636.0</v>
      </c>
      <c r="C1150" s="7" t="s">
        <v>10957</v>
      </c>
      <c r="D1150" s="7" t="s">
        <v>5881</v>
      </c>
      <c r="E1150" s="7" t="s">
        <v>10959</v>
      </c>
      <c r="F1150" s="7" t="s">
        <v>4546</v>
      </c>
      <c r="G1150" s="7" t="s">
        <v>10974</v>
      </c>
      <c r="H1150" s="7" t="s">
        <v>10975</v>
      </c>
      <c r="I1150" s="119">
        <v>45292.0</v>
      </c>
      <c r="K1150" s="7" t="s">
        <v>419</v>
      </c>
      <c r="L1150" s="7" t="s">
        <v>991</v>
      </c>
      <c r="M1150" s="7" t="s">
        <v>3501</v>
      </c>
      <c r="N1150" s="7" t="s">
        <v>419</v>
      </c>
      <c r="O1150" s="7" t="s">
        <v>19430</v>
      </c>
      <c r="P1150" s="7" t="s">
        <v>717</v>
      </c>
      <c r="Q1150" s="7" t="s">
        <v>720</v>
      </c>
      <c r="R1150" s="7" t="s">
        <v>19626</v>
      </c>
      <c r="S1150" s="7" t="s">
        <v>19718</v>
      </c>
      <c r="T1150" s="7" t="s">
        <v>4368</v>
      </c>
      <c r="U1150" s="7" t="s">
        <v>3843</v>
      </c>
      <c r="V1150" s="7">
        <v>1.0</v>
      </c>
    </row>
    <row r="1151">
      <c r="A1151" s="7" t="s">
        <v>21040</v>
      </c>
      <c r="B1151" s="7">
        <v>13560.0</v>
      </c>
      <c r="C1151" s="7" t="s">
        <v>10977</v>
      </c>
      <c r="D1151" s="7" t="s">
        <v>9723</v>
      </c>
      <c r="E1151" s="7" t="s">
        <v>10959</v>
      </c>
      <c r="F1151" s="7" t="s">
        <v>4093</v>
      </c>
      <c r="G1151" s="7" t="s">
        <v>10978</v>
      </c>
      <c r="H1151" s="7" t="s">
        <v>10979</v>
      </c>
      <c r="I1151" s="119">
        <v>45292.0</v>
      </c>
      <c r="K1151" s="7" t="s">
        <v>3632</v>
      </c>
      <c r="L1151" s="7" t="s">
        <v>991</v>
      </c>
      <c r="M1151" s="7" t="s">
        <v>3501</v>
      </c>
      <c r="N1151" s="7" t="s">
        <v>3632</v>
      </c>
      <c r="O1151" s="7" t="s">
        <v>3632</v>
      </c>
      <c r="P1151" s="7" t="s">
        <v>22</v>
      </c>
      <c r="Q1151" s="7" t="s">
        <v>23</v>
      </c>
      <c r="T1151" s="7" t="s">
        <v>10846</v>
      </c>
      <c r="U1151" s="7" t="s">
        <v>3493</v>
      </c>
      <c r="V1151" s="7">
        <v>1.0</v>
      </c>
    </row>
    <row r="1152">
      <c r="A1152" s="7" t="s">
        <v>21041</v>
      </c>
      <c r="B1152" s="7">
        <v>2200900.0</v>
      </c>
      <c r="C1152" s="7" t="s">
        <v>10981</v>
      </c>
      <c r="D1152" s="7" t="s">
        <v>10982</v>
      </c>
      <c r="E1152" s="7" t="s">
        <v>10983</v>
      </c>
      <c r="F1152" s="7" t="s">
        <v>10984</v>
      </c>
      <c r="G1152" s="7" t="s">
        <v>10985</v>
      </c>
      <c r="H1152" s="7" t="s">
        <v>10986</v>
      </c>
      <c r="I1152" s="119">
        <v>45292.0</v>
      </c>
      <c r="K1152" s="7" t="s">
        <v>419</v>
      </c>
      <c r="L1152" s="7" t="s">
        <v>991</v>
      </c>
      <c r="M1152" s="7" t="s">
        <v>3501</v>
      </c>
      <c r="N1152" s="7" t="s">
        <v>419</v>
      </c>
      <c r="O1152" s="7" t="s">
        <v>19443</v>
      </c>
      <c r="P1152" s="7" t="s">
        <v>1242</v>
      </c>
      <c r="Q1152" s="7" t="s">
        <v>39</v>
      </c>
      <c r="R1152" s="7" t="s">
        <v>19757</v>
      </c>
      <c r="T1152" s="7" t="s">
        <v>4536</v>
      </c>
      <c r="U1152" s="7" t="s">
        <v>3493</v>
      </c>
      <c r="V1152" s="7">
        <v>1.0</v>
      </c>
    </row>
    <row r="1153">
      <c r="A1153" s="7" t="s">
        <v>21042</v>
      </c>
      <c r="B1153" s="7">
        <v>13685.0</v>
      </c>
      <c r="C1153" s="7" t="s">
        <v>10989</v>
      </c>
      <c r="D1153" s="7" t="s">
        <v>10990</v>
      </c>
      <c r="E1153" s="7" t="s">
        <v>10991</v>
      </c>
      <c r="F1153" s="7" t="s">
        <v>10938</v>
      </c>
      <c r="G1153" s="7" t="s">
        <v>10992</v>
      </c>
      <c r="H1153" s="7" t="s">
        <v>10993</v>
      </c>
      <c r="I1153" s="119">
        <v>45292.0</v>
      </c>
      <c r="K1153" s="7" t="s">
        <v>3632</v>
      </c>
      <c r="L1153" s="7" t="s">
        <v>991</v>
      </c>
      <c r="M1153" s="7" t="s">
        <v>3501</v>
      </c>
      <c r="N1153" s="7" t="s">
        <v>3632</v>
      </c>
      <c r="O1153" s="7" t="s">
        <v>3632</v>
      </c>
      <c r="P1153" s="7" t="s">
        <v>3463</v>
      </c>
      <c r="Q1153" s="7" t="s">
        <v>359</v>
      </c>
      <c r="R1153" s="7" t="s">
        <v>20723</v>
      </c>
      <c r="T1153" s="7" t="s">
        <v>20724</v>
      </c>
      <c r="U1153" s="7" t="s">
        <v>3493</v>
      </c>
      <c r="V1153" s="7">
        <v>1.0</v>
      </c>
    </row>
    <row r="1154">
      <c r="A1154" s="7" t="s">
        <v>21043</v>
      </c>
      <c r="B1154" s="7">
        <v>2300540.0</v>
      </c>
      <c r="C1154" s="7" t="s">
        <v>10996</v>
      </c>
      <c r="D1154" s="7" t="s">
        <v>10997</v>
      </c>
      <c r="E1154" s="7" t="s">
        <v>10991</v>
      </c>
      <c r="F1154" s="7" t="s">
        <v>10997</v>
      </c>
      <c r="G1154" s="7" t="s">
        <v>10998</v>
      </c>
      <c r="H1154" s="7" t="s">
        <v>10999</v>
      </c>
      <c r="I1154" s="119">
        <v>45292.0</v>
      </c>
      <c r="K1154" s="7" t="s">
        <v>419</v>
      </c>
      <c r="L1154" s="7" t="s">
        <v>991</v>
      </c>
      <c r="M1154" s="7" t="s">
        <v>3531</v>
      </c>
      <c r="N1154" s="7" t="s">
        <v>419</v>
      </c>
      <c r="O1154" s="7" t="s">
        <v>19432</v>
      </c>
      <c r="P1154" s="7" t="s">
        <v>298</v>
      </c>
      <c r="Q1154" s="7" t="s">
        <v>1284</v>
      </c>
      <c r="R1154" s="7" t="s">
        <v>20190</v>
      </c>
      <c r="S1154" s="7" t="s">
        <v>20220</v>
      </c>
      <c r="T1154" s="7" t="s">
        <v>9604</v>
      </c>
      <c r="U1154" s="7" t="s">
        <v>3493</v>
      </c>
      <c r="V1154" s="7">
        <v>1.0</v>
      </c>
    </row>
    <row r="1155">
      <c r="A1155" s="7" t="s">
        <v>21044</v>
      </c>
      <c r="B1155" s="7">
        <v>8362.0</v>
      </c>
      <c r="C1155" s="7" t="s">
        <v>11001</v>
      </c>
      <c r="D1155" s="7" t="s">
        <v>8442</v>
      </c>
      <c r="E1155" s="7" t="s">
        <v>11002</v>
      </c>
      <c r="F1155" s="7" t="s">
        <v>4929</v>
      </c>
      <c r="G1155" s="7" t="s">
        <v>11003</v>
      </c>
      <c r="H1155" s="7" t="s">
        <v>11004</v>
      </c>
      <c r="I1155" s="119">
        <v>45292.0</v>
      </c>
      <c r="K1155" s="7" t="s">
        <v>419</v>
      </c>
      <c r="L1155" s="7" t="s">
        <v>991</v>
      </c>
      <c r="M1155" s="7" t="s">
        <v>3531</v>
      </c>
      <c r="N1155" s="7" t="s">
        <v>419</v>
      </c>
      <c r="O1155" s="7" t="s">
        <v>19430</v>
      </c>
      <c r="P1155" s="7" t="s">
        <v>717</v>
      </c>
      <c r="Q1155" s="7" t="s">
        <v>722</v>
      </c>
      <c r="R1155" s="7" t="s">
        <v>19703</v>
      </c>
      <c r="T1155" s="7" t="s">
        <v>11005</v>
      </c>
      <c r="U1155" s="7" t="s">
        <v>3493</v>
      </c>
      <c r="V1155" s="7">
        <v>1.0</v>
      </c>
    </row>
    <row r="1156">
      <c r="A1156" s="7" t="s">
        <v>21045</v>
      </c>
      <c r="B1156" s="7">
        <v>1159.0</v>
      </c>
      <c r="C1156" s="7" t="s">
        <v>11007</v>
      </c>
      <c r="D1156" s="7" t="s">
        <v>7198</v>
      </c>
      <c r="E1156" s="7" t="s">
        <v>11008</v>
      </c>
      <c r="F1156" s="7" t="s">
        <v>4203</v>
      </c>
      <c r="G1156" s="7" t="s">
        <v>11009</v>
      </c>
      <c r="H1156" s="7" t="s">
        <v>11010</v>
      </c>
      <c r="I1156" s="119">
        <v>45292.0</v>
      </c>
      <c r="K1156" s="7" t="s">
        <v>419</v>
      </c>
      <c r="L1156" s="7" t="s">
        <v>991</v>
      </c>
      <c r="M1156" s="7" t="s">
        <v>3501</v>
      </c>
      <c r="N1156" s="7" t="s">
        <v>419</v>
      </c>
      <c r="O1156" s="7" t="s">
        <v>19433</v>
      </c>
      <c r="P1156" s="7" t="s">
        <v>648</v>
      </c>
      <c r="Q1156" s="7" t="s">
        <v>143</v>
      </c>
      <c r="R1156" s="7" t="s">
        <v>19712</v>
      </c>
      <c r="S1156" s="7" t="s">
        <v>19830</v>
      </c>
      <c r="T1156" s="7" t="s">
        <v>4797</v>
      </c>
      <c r="U1156" s="7" t="s">
        <v>3493</v>
      </c>
      <c r="V1156" s="7">
        <v>1.0</v>
      </c>
    </row>
    <row r="1157">
      <c r="A1157" s="7" t="s">
        <v>21046</v>
      </c>
      <c r="B1157" s="7">
        <v>11813.0</v>
      </c>
      <c r="C1157" s="7" t="s">
        <v>11013</v>
      </c>
      <c r="D1157" s="7" t="s">
        <v>5301</v>
      </c>
      <c r="E1157" s="7" t="s">
        <v>11014</v>
      </c>
      <c r="F1157" s="7" t="s">
        <v>5295</v>
      </c>
      <c r="G1157" s="7" t="s">
        <v>11015</v>
      </c>
      <c r="H1157" s="7" t="s">
        <v>11016</v>
      </c>
      <c r="I1157" s="119">
        <v>45292.0</v>
      </c>
      <c r="K1157" s="7" t="s">
        <v>419</v>
      </c>
      <c r="L1157" s="7" t="s">
        <v>991</v>
      </c>
      <c r="M1157" s="7" t="s">
        <v>3501</v>
      </c>
      <c r="N1157" s="7" t="s">
        <v>419</v>
      </c>
      <c r="O1157" s="7" t="s">
        <v>19430</v>
      </c>
      <c r="P1157" s="7" t="s">
        <v>780</v>
      </c>
      <c r="Q1157" s="7" t="s">
        <v>786</v>
      </c>
      <c r="R1157" s="7" t="s">
        <v>20558</v>
      </c>
      <c r="T1157" s="7" t="s">
        <v>16162</v>
      </c>
      <c r="U1157" s="7" t="s">
        <v>3493</v>
      </c>
      <c r="V1157" s="7">
        <v>1.0</v>
      </c>
    </row>
    <row r="1158">
      <c r="A1158" s="7" t="s">
        <v>21047</v>
      </c>
      <c r="B1158" s="7">
        <v>2100496.0</v>
      </c>
      <c r="C1158" s="7" t="s">
        <v>11019</v>
      </c>
      <c r="D1158" s="7" t="s">
        <v>7978</v>
      </c>
      <c r="E1158" s="7" t="s">
        <v>11020</v>
      </c>
      <c r="F1158" s="7" t="s">
        <v>3691</v>
      </c>
      <c r="G1158" s="7" t="s">
        <v>11021</v>
      </c>
      <c r="H1158" s="7" t="s">
        <v>11022</v>
      </c>
      <c r="I1158" s="119">
        <v>45292.0</v>
      </c>
      <c r="K1158" s="7" t="s">
        <v>419</v>
      </c>
      <c r="L1158" s="7" t="s">
        <v>991</v>
      </c>
      <c r="M1158" s="7" t="s">
        <v>3501</v>
      </c>
      <c r="N1158" s="7" t="s">
        <v>419</v>
      </c>
      <c r="O1158" s="7" t="s">
        <v>19437</v>
      </c>
      <c r="P1158" s="7" t="s">
        <v>478</v>
      </c>
      <c r="Q1158" s="7" t="s">
        <v>491</v>
      </c>
      <c r="R1158" s="7" t="s">
        <v>20577</v>
      </c>
      <c r="T1158" s="7" t="s">
        <v>9794</v>
      </c>
      <c r="U1158" s="7" t="s">
        <v>3493</v>
      </c>
      <c r="V1158" s="7">
        <v>1.0</v>
      </c>
    </row>
    <row r="1159">
      <c r="A1159" s="7" t="s">
        <v>21048</v>
      </c>
      <c r="B1159" s="7">
        <v>12561.0</v>
      </c>
      <c r="C1159" s="7" t="s">
        <v>11019</v>
      </c>
      <c r="D1159" s="7" t="s">
        <v>11025</v>
      </c>
      <c r="E1159" s="7" t="s">
        <v>11020</v>
      </c>
      <c r="F1159" s="7" t="s">
        <v>5987</v>
      </c>
      <c r="G1159" s="7" t="s">
        <v>11026</v>
      </c>
      <c r="H1159" s="7" t="s">
        <v>11027</v>
      </c>
      <c r="I1159" s="119">
        <v>45292.0</v>
      </c>
      <c r="K1159" s="7" t="s">
        <v>419</v>
      </c>
      <c r="L1159" s="7" t="s">
        <v>991</v>
      </c>
      <c r="M1159" s="7" t="s">
        <v>3501</v>
      </c>
      <c r="N1159" s="7" t="s">
        <v>419</v>
      </c>
      <c r="O1159" s="7" t="s">
        <v>19430</v>
      </c>
      <c r="P1159" s="7" t="s">
        <v>717</v>
      </c>
      <c r="Q1159" s="7" t="s">
        <v>223</v>
      </c>
      <c r="R1159" s="7" t="s">
        <v>20799</v>
      </c>
      <c r="S1159" s="7" t="s">
        <v>20874</v>
      </c>
      <c r="T1159" s="7" t="s">
        <v>10019</v>
      </c>
      <c r="U1159" s="7" t="s">
        <v>3493</v>
      </c>
      <c r="V1159" s="7">
        <v>1.0</v>
      </c>
    </row>
    <row r="1160">
      <c r="A1160" s="7" t="s">
        <v>21049</v>
      </c>
      <c r="B1160" s="7">
        <v>12210.0</v>
      </c>
      <c r="C1160" s="7" t="s">
        <v>11019</v>
      </c>
      <c r="D1160" s="7" t="s">
        <v>11029</v>
      </c>
      <c r="E1160" s="7" t="s">
        <v>11020</v>
      </c>
      <c r="F1160" s="7" t="s">
        <v>4469</v>
      </c>
      <c r="G1160" s="7" t="s">
        <v>11030</v>
      </c>
      <c r="H1160" s="7" t="s">
        <v>11031</v>
      </c>
      <c r="I1160" s="119">
        <v>45292.0</v>
      </c>
      <c r="K1160" s="7" t="s">
        <v>419</v>
      </c>
      <c r="L1160" s="7" t="s">
        <v>991</v>
      </c>
      <c r="M1160" s="7" t="s">
        <v>3501</v>
      </c>
      <c r="N1160" s="7" t="s">
        <v>419</v>
      </c>
      <c r="O1160" s="7" t="s">
        <v>19437</v>
      </c>
      <c r="P1160" s="7" t="s">
        <v>603</v>
      </c>
      <c r="Q1160" s="7" t="s">
        <v>90</v>
      </c>
      <c r="R1160" s="7" t="s">
        <v>19938</v>
      </c>
      <c r="T1160" s="7" t="s">
        <v>5321</v>
      </c>
      <c r="U1160" s="7" t="s">
        <v>3493</v>
      </c>
      <c r="V1160" s="7">
        <v>1.0</v>
      </c>
    </row>
    <row r="1161">
      <c r="A1161" s="7" t="s">
        <v>21050</v>
      </c>
      <c r="B1161" s="7">
        <v>8159.0</v>
      </c>
      <c r="C1161" s="7" t="s">
        <v>11019</v>
      </c>
      <c r="D1161" s="7" t="s">
        <v>3812</v>
      </c>
      <c r="E1161" s="7" t="s">
        <v>11020</v>
      </c>
      <c r="F1161" s="7" t="s">
        <v>3609</v>
      </c>
      <c r="G1161" s="7" t="s">
        <v>11033</v>
      </c>
      <c r="H1161" s="7" t="s">
        <v>11034</v>
      </c>
      <c r="I1161" s="119">
        <v>45292.0</v>
      </c>
      <c r="K1161" s="7" t="s">
        <v>419</v>
      </c>
      <c r="L1161" s="7" t="s">
        <v>991</v>
      </c>
      <c r="M1161" s="7" t="s">
        <v>3531</v>
      </c>
      <c r="N1161" s="7" t="s">
        <v>419</v>
      </c>
      <c r="O1161" s="7" t="s">
        <v>19430</v>
      </c>
      <c r="P1161" s="7" t="s">
        <v>717</v>
      </c>
      <c r="Q1161" s="7" t="s">
        <v>725</v>
      </c>
      <c r="R1161" s="7" t="s">
        <v>19741</v>
      </c>
      <c r="S1161" s="7" t="s">
        <v>19742</v>
      </c>
      <c r="T1161" s="7" t="s">
        <v>4482</v>
      </c>
      <c r="U1161" s="7" t="s">
        <v>3493</v>
      </c>
      <c r="V1161" s="7">
        <v>1.0</v>
      </c>
    </row>
    <row r="1162">
      <c r="A1162" s="7" t="s">
        <v>21051</v>
      </c>
      <c r="B1162" s="7">
        <v>2200199.0</v>
      </c>
      <c r="C1162" s="7" t="s">
        <v>11019</v>
      </c>
      <c r="D1162" s="7" t="s">
        <v>11036</v>
      </c>
      <c r="E1162" s="7" t="s">
        <v>11020</v>
      </c>
      <c r="F1162" s="7" t="s">
        <v>4109</v>
      </c>
      <c r="G1162" s="7" t="s">
        <v>11037</v>
      </c>
      <c r="H1162" s="7" t="s">
        <v>11038</v>
      </c>
      <c r="I1162" s="119">
        <v>45292.0</v>
      </c>
      <c r="K1162" s="7" t="s">
        <v>419</v>
      </c>
      <c r="L1162" s="7" t="s">
        <v>991</v>
      </c>
      <c r="M1162" s="7" t="s">
        <v>3501</v>
      </c>
      <c r="N1162" s="7" t="s">
        <v>419</v>
      </c>
      <c r="O1162" s="7" t="s">
        <v>19443</v>
      </c>
      <c r="P1162" s="7" t="s">
        <v>323</v>
      </c>
      <c r="Q1162" s="7" t="s">
        <v>819</v>
      </c>
      <c r="R1162" s="7" t="s">
        <v>19778</v>
      </c>
      <c r="T1162" s="7" t="s">
        <v>21052</v>
      </c>
      <c r="U1162" s="7" t="s">
        <v>3493</v>
      </c>
      <c r="V1162" s="7">
        <v>1.0</v>
      </c>
    </row>
    <row r="1163">
      <c r="A1163" s="7" t="s">
        <v>21053</v>
      </c>
      <c r="B1163" s="7">
        <v>10797.0</v>
      </c>
      <c r="C1163" s="7" t="s">
        <v>11019</v>
      </c>
      <c r="D1163" s="7" t="s">
        <v>11042</v>
      </c>
      <c r="E1163" s="7" t="s">
        <v>11020</v>
      </c>
      <c r="F1163" s="7" t="s">
        <v>10171</v>
      </c>
      <c r="G1163" s="7" t="s">
        <v>11043</v>
      </c>
      <c r="H1163" s="7" t="s">
        <v>11044</v>
      </c>
      <c r="I1163" s="119">
        <v>45292.0</v>
      </c>
      <c r="K1163" s="7" t="s">
        <v>419</v>
      </c>
      <c r="L1163" s="7" t="s">
        <v>991</v>
      </c>
      <c r="M1163" s="7" t="s">
        <v>3501</v>
      </c>
      <c r="N1163" s="7" t="s">
        <v>419</v>
      </c>
      <c r="O1163" s="7" t="s">
        <v>19443</v>
      </c>
      <c r="P1163" s="7" t="s">
        <v>323</v>
      </c>
      <c r="Q1163" s="7" t="s">
        <v>324</v>
      </c>
      <c r="R1163" s="7" t="s">
        <v>20997</v>
      </c>
      <c r="T1163" s="7" t="s">
        <v>11045</v>
      </c>
      <c r="U1163" s="7" t="s">
        <v>3493</v>
      </c>
      <c r="V1163" s="7">
        <v>1.0</v>
      </c>
    </row>
    <row r="1164">
      <c r="A1164" s="7" t="s">
        <v>21054</v>
      </c>
      <c r="B1164" s="7">
        <v>1098.0</v>
      </c>
      <c r="C1164" s="7" t="s">
        <v>11047</v>
      </c>
      <c r="D1164" s="7" t="s">
        <v>5513</v>
      </c>
      <c r="E1164" s="7" t="s">
        <v>11048</v>
      </c>
      <c r="F1164" s="7" t="s">
        <v>5514</v>
      </c>
      <c r="G1164" s="7" t="s">
        <v>11049</v>
      </c>
      <c r="H1164" s="7" t="s">
        <v>11050</v>
      </c>
      <c r="I1164" s="119">
        <v>45292.0</v>
      </c>
      <c r="K1164" s="7" t="s">
        <v>419</v>
      </c>
      <c r="L1164" s="7" t="s">
        <v>991</v>
      </c>
      <c r="M1164" s="7" t="s">
        <v>3501</v>
      </c>
      <c r="N1164" s="7" t="s">
        <v>419</v>
      </c>
      <c r="O1164" s="7" t="s">
        <v>19430</v>
      </c>
      <c r="P1164" s="7" t="s">
        <v>717</v>
      </c>
      <c r="Q1164" s="7" t="s">
        <v>725</v>
      </c>
      <c r="R1164" s="7" t="s">
        <v>19621</v>
      </c>
      <c r="S1164" s="7" t="s">
        <v>20968</v>
      </c>
      <c r="T1164" s="7" t="s">
        <v>10578</v>
      </c>
      <c r="U1164" s="7" t="s">
        <v>3493</v>
      </c>
      <c r="V1164" s="7">
        <v>1.0</v>
      </c>
    </row>
    <row r="1165">
      <c r="A1165" s="7" t="s">
        <v>21055</v>
      </c>
      <c r="B1165" s="7">
        <v>2200440.0</v>
      </c>
      <c r="C1165" s="7" t="s">
        <v>11052</v>
      </c>
      <c r="D1165" s="7" t="s">
        <v>11053</v>
      </c>
      <c r="E1165" s="7" t="s">
        <v>11054</v>
      </c>
      <c r="F1165" s="7" t="s">
        <v>11055</v>
      </c>
      <c r="G1165" s="7" t="s">
        <v>11056</v>
      </c>
      <c r="H1165" s="7" t="s">
        <v>11057</v>
      </c>
      <c r="I1165" s="119">
        <v>45292.0</v>
      </c>
      <c r="K1165" s="7" t="s">
        <v>419</v>
      </c>
      <c r="L1165" s="7" t="s">
        <v>991</v>
      </c>
      <c r="M1165" s="7" t="s">
        <v>3501</v>
      </c>
      <c r="N1165" s="7" t="s">
        <v>419</v>
      </c>
      <c r="O1165" s="7" t="s">
        <v>19430</v>
      </c>
      <c r="P1165" s="7" t="s">
        <v>717</v>
      </c>
      <c r="Q1165" s="7" t="s">
        <v>738</v>
      </c>
      <c r="R1165" s="7" t="s">
        <v>19902</v>
      </c>
      <c r="S1165" s="7" t="s">
        <v>20062</v>
      </c>
      <c r="T1165" s="7" t="s">
        <v>5869</v>
      </c>
      <c r="U1165" s="7" t="s">
        <v>3493</v>
      </c>
      <c r="V1165" s="7">
        <v>1.0</v>
      </c>
    </row>
    <row r="1166">
      <c r="A1166" s="7" t="s">
        <v>21056</v>
      </c>
      <c r="B1166" s="7">
        <v>12154.0</v>
      </c>
      <c r="C1166" s="7" t="s">
        <v>11059</v>
      </c>
      <c r="D1166" s="7" t="s">
        <v>11060</v>
      </c>
      <c r="E1166" s="7" t="s">
        <v>11061</v>
      </c>
      <c r="F1166" s="7" t="s">
        <v>11062</v>
      </c>
      <c r="G1166" s="7" t="s">
        <v>11063</v>
      </c>
      <c r="H1166" s="7" t="s">
        <v>11064</v>
      </c>
      <c r="I1166" s="119">
        <v>45292.0</v>
      </c>
      <c r="K1166" s="7" t="s">
        <v>419</v>
      </c>
      <c r="L1166" s="7" t="s">
        <v>991</v>
      </c>
      <c r="M1166" s="7" t="s">
        <v>3501</v>
      </c>
      <c r="N1166" s="7" t="s">
        <v>419</v>
      </c>
      <c r="O1166" s="7" t="s">
        <v>19443</v>
      </c>
      <c r="P1166" s="7" t="s">
        <v>323</v>
      </c>
      <c r="Q1166" s="7" t="s">
        <v>324</v>
      </c>
      <c r="R1166" s="7" t="s">
        <v>20997</v>
      </c>
      <c r="T1166" s="7" t="s">
        <v>11045</v>
      </c>
      <c r="U1166" s="7" t="s">
        <v>3604</v>
      </c>
      <c r="V1166" s="7">
        <v>1.0</v>
      </c>
    </row>
    <row r="1167">
      <c r="A1167" s="7" t="s">
        <v>21057</v>
      </c>
      <c r="B1167" s="7">
        <v>14275.0</v>
      </c>
      <c r="C1167" s="7" t="s">
        <v>11066</v>
      </c>
      <c r="D1167" s="7" t="s">
        <v>8202</v>
      </c>
      <c r="E1167" s="7" t="s">
        <v>11067</v>
      </c>
      <c r="F1167" s="7" t="s">
        <v>4314</v>
      </c>
      <c r="G1167" s="7" t="s">
        <v>11068</v>
      </c>
      <c r="H1167" s="7" t="s">
        <v>11069</v>
      </c>
      <c r="I1167" s="119">
        <v>45292.0</v>
      </c>
      <c r="K1167" s="7" t="s">
        <v>419</v>
      </c>
      <c r="L1167" s="7" t="s">
        <v>991</v>
      </c>
      <c r="M1167" s="7" t="s">
        <v>3501</v>
      </c>
      <c r="N1167" s="7" t="s">
        <v>419</v>
      </c>
      <c r="O1167" s="7" t="s">
        <v>19433</v>
      </c>
      <c r="P1167" s="7" t="s">
        <v>648</v>
      </c>
      <c r="Q1167" s="7" t="s">
        <v>148</v>
      </c>
      <c r="R1167" s="7" t="s">
        <v>19501</v>
      </c>
      <c r="T1167" s="7" t="s">
        <v>4445</v>
      </c>
      <c r="U1167" s="7" t="s">
        <v>3493</v>
      </c>
      <c r="V1167" s="7">
        <v>1.0</v>
      </c>
    </row>
    <row r="1168">
      <c r="A1168" s="7" t="s">
        <v>21058</v>
      </c>
      <c r="B1168" s="7">
        <v>14276.0</v>
      </c>
      <c r="C1168" s="7" t="s">
        <v>11071</v>
      </c>
      <c r="D1168" s="7" t="s">
        <v>5632</v>
      </c>
      <c r="E1168" s="7" t="s">
        <v>11072</v>
      </c>
      <c r="F1168" s="7" t="s">
        <v>3508</v>
      </c>
      <c r="G1168" s="7" t="s">
        <v>11073</v>
      </c>
      <c r="H1168" s="7" t="s">
        <v>11074</v>
      </c>
      <c r="I1168" s="119">
        <v>45292.0</v>
      </c>
      <c r="K1168" s="7" t="s">
        <v>419</v>
      </c>
      <c r="L1168" s="7" t="s">
        <v>991</v>
      </c>
      <c r="M1168" s="7" t="s">
        <v>3531</v>
      </c>
      <c r="N1168" s="7" t="s">
        <v>419</v>
      </c>
      <c r="O1168" s="7" t="s">
        <v>19443</v>
      </c>
      <c r="P1168" s="7" t="s">
        <v>1242</v>
      </c>
      <c r="Q1168" s="7" t="s">
        <v>51</v>
      </c>
      <c r="R1168" s="7" t="s">
        <v>19549</v>
      </c>
      <c r="S1168" s="7" t="s">
        <v>19577</v>
      </c>
      <c r="T1168" s="7" t="s">
        <v>3842</v>
      </c>
      <c r="U1168" s="7" t="s">
        <v>3493</v>
      </c>
      <c r="V1168" s="7">
        <v>1.0</v>
      </c>
    </row>
    <row r="1169">
      <c r="A1169" s="7" t="s">
        <v>21059</v>
      </c>
      <c r="B1169" s="7">
        <v>2300752.0</v>
      </c>
      <c r="C1169" s="7" t="s">
        <v>11071</v>
      </c>
      <c r="D1169" s="7" t="s">
        <v>11076</v>
      </c>
      <c r="E1169" s="7" t="s">
        <v>11072</v>
      </c>
      <c r="F1169" s="7" t="s">
        <v>11077</v>
      </c>
      <c r="G1169" s="7" t="s">
        <v>11078</v>
      </c>
      <c r="H1169" s="7" t="s">
        <v>11079</v>
      </c>
      <c r="I1169" s="119">
        <v>45292.0</v>
      </c>
      <c r="K1169" s="7" t="s">
        <v>419</v>
      </c>
      <c r="L1169" s="7" t="s">
        <v>991</v>
      </c>
      <c r="M1169" s="7" t="s">
        <v>3501</v>
      </c>
      <c r="N1169" s="7" t="s">
        <v>419</v>
      </c>
      <c r="O1169" s="7" t="s">
        <v>19430</v>
      </c>
      <c r="P1169" s="7" t="s">
        <v>717</v>
      </c>
      <c r="Q1169" s="7" t="s">
        <v>738</v>
      </c>
      <c r="R1169" s="7" t="s">
        <v>20305</v>
      </c>
      <c r="S1169" s="7" t="s">
        <v>20306</v>
      </c>
      <c r="T1169" s="7" t="s">
        <v>7094</v>
      </c>
      <c r="U1169" s="7" t="s">
        <v>3843</v>
      </c>
      <c r="V1169" s="7">
        <v>1.0</v>
      </c>
    </row>
    <row r="1170">
      <c r="A1170" s="7" t="s">
        <v>21060</v>
      </c>
      <c r="B1170" s="7">
        <v>2200741.0</v>
      </c>
      <c r="C1170" s="7" t="s">
        <v>11071</v>
      </c>
      <c r="D1170" s="7" t="s">
        <v>11081</v>
      </c>
      <c r="E1170" s="7" t="s">
        <v>11072</v>
      </c>
      <c r="F1170" s="7" t="s">
        <v>4478</v>
      </c>
      <c r="G1170" s="7" t="s">
        <v>11082</v>
      </c>
      <c r="H1170" s="7" t="s">
        <v>11083</v>
      </c>
      <c r="I1170" s="119">
        <v>45292.0</v>
      </c>
      <c r="K1170" s="7" t="s">
        <v>419</v>
      </c>
      <c r="L1170" s="7" t="s">
        <v>991</v>
      </c>
      <c r="M1170" s="7" t="s">
        <v>3501</v>
      </c>
      <c r="N1170" s="7" t="s">
        <v>419</v>
      </c>
      <c r="O1170" s="7" t="s">
        <v>19433</v>
      </c>
      <c r="P1170" s="7" t="s">
        <v>648</v>
      </c>
      <c r="Q1170" s="7" t="s">
        <v>148</v>
      </c>
      <c r="T1170" s="7" t="s">
        <v>11084</v>
      </c>
      <c r="U1170" s="7" t="s">
        <v>3493</v>
      </c>
      <c r="V1170" s="7">
        <v>1.0</v>
      </c>
    </row>
    <row r="1171">
      <c r="A1171" s="7" t="s">
        <v>21061</v>
      </c>
      <c r="B1171" s="7">
        <v>2400037.0</v>
      </c>
      <c r="C1171" s="7" t="s">
        <v>11086</v>
      </c>
      <c r="D1171" s="7" t="s">
        <v>11087</v>
      </c>
      <c r="E1171" s="7" t="s">
        <v>11088</v>
      </c>
      <c r="F1171" s="7" t="s">
        <v>11089</v>
      </c>
      <c r="G1171" s="7" t="s">
        <v>11090</v>
      </c>
      <c r="H1171" s="7" t="s">
        <v>11091</v>
      </c>
      <c r="I1171" s="119">
        <v>45292.0</v>
      </c>
      <c r="K1171" s="7" t="s">
        <v>419</v>
      </c>
      <c r="L1171" s="7" t="s">
        <v>991</v>
      </c>
      <c r="M1171" s="7" t="s">
        <v>3490</v>
      </c>
      <c r="N1171" s="7" t="s">
        <v>419</v>
      </c>
      <c r="O1171" s="7" t="s">
        <v>19440</v>
      </c>
      <c r="P1171" s="7" t="s">
        <v>3</v>
      </c>
      <c r="Q1171" s="7" t="s">
        <v>9</v>
      </c>
      <c r="R1171" s="7" t="s">
        <v>20413</v>
      </c>
      <c r="S1171" s="7" t="s">
        <v>19519</v>
      </c>
      <c r="T1171" s="7" t="s">
        <v>7663</v>
      </c>
      <c r="U1171" s="7" t="s">
        <v>3493</v>
      </c>
      <c r="V1171" s="7">
        <v>1.0</v>
      </c>
    </row>
    <row r="1172">
      <c r="A1172" s="7" t="s">
        <v>21062</v>
      </c>
      <c r="B1172" s="7">
        <v>13038.0</v>
      </c>
      <c r="C1172" s="7" t="s">
        <v>11093</v>
      </c>
      <c r="D1172" s="7" t="s">
        <v>11094</v>
      </c>
      <c r="E1172" s="7" t="s">
        <v>11095</v>
      </c>
      <c r="F1172" s="7" t="s">
        <v>8233</v>
      </c>
      <c r="G1172" s="7" t="s">
        <v>11096</v>
      </c>
      <c r="H1172" s="7" t="s">
        <v>11097</v>
      </c>
      <c r="I1172" s="119">
        <v>45292.0</v>
      </c>
      <c r="K1172" s="7" t="s">
        <v>419</v>
      </c>
      <c r="L1172" s="7" t="s">
        <v>991</v>
      </c>
      <c r="M1172" s="7" t="s">
        <v>3501</v>
      </c>
      <c r="N1172" s="7" t="s">
        <v>419</v>
      </c>
      <c r="O1172" s="7" t="s">
        <v>19430</v>
      </c>
      <c r="P1172" s="7" t="s">
        <v>854</v>
      </c>
      <c r="Q1172" s="7" t="s">
        <v>857</v>
      </c>
      <c r="R1172" s="7" t="s">
        <v>19682</v>
      </c>
      <c r="T1172" s="7" t="s">
        <v>4225</v>
      </c>
      <c r="U1172" s="7" t="s">
        <v>3604</v>
      </c>
      <c r="V1172" s="7">
        <v>1.0</v>
      </c>
    </row>
    <row r="1173">
      <c r="A1173" s="7" t="s">
        <v>21063</v>
      </c>
      <c r="B1173" s="7">
        <v>1231.0</v>
      </c>
      <c r="C1173" s="7" t="s">
        <v>11099</v>
      </c>
      <c r="D1173" s="7" t="s">
        <v>4073</v>
      </c>
      <c r="E1173" s="7" t="s">
        <v>11100</v>
      </c>
      <c r="F1173" s="7" t="s">
        <v>4075</v>
      </c>
      <c r="G1173" s="7" t="s">
        <v>11101</v>
      </c>
      <c r="H1173" s="7" t="s">
        <v>11102</v>
      </c>
      <c r="I1173" s="119">
        <v>45292.0</v>
      </c>
      <c r="K1173" s="7" t="s">
        <v>419</v>
      </c>
      <c r="L1173" s="7" t="s">
        <v>991</v>
      </c>
      <c r="M1173" s="7" t="s">
        <v>3501</v>
      </c>
      <c r="N1173" s="7" t="s">
        <v>419</v>
      </c>
      <c r="O1173" s="7" t="s">
        <v>19432</v>
      </c>
      <c r="P1173" s="7" t="s">
        <v>391</v>
      </c>
      <c r="Q1173" s="7" t="s">
        <v>392</v>
      </c>
      <c r="R1173" s="7" t="s">
        <v>19706</v>
      </c>
      <c r="T1173" s="7" t="s">
        <v>18578</v>
      </c>
      <c r="U1173" s="7" t="s">
        <v>3493</v>
      </c>
      <c r="V1173" s="7">
        <v>1.0</v>
      </c>
    </row>
    <row r="1174">
      <c r="A1174" s="7" t="s">
        <v>21064</v>
      </c>
      <c r="B1174" s="7">
        <v>11527.0</v>
      </c>
      <c r="C1174" s="7" t="s">
        <v>11104</v>
      </c>
      <c r="D1174" s="7" t="s">
        <v>10891</v>
      </c>
      <c r="E1174" s="7" t="s">
        <v>11105</v>
      </c>
      <c r="F1174" s="7" t="s">
        <v>10892</v>
      </c>
      <c r="G1174" s="7" t="s">
        <v>11106</v>
      </c>
      <c r="H1174" s="7" t="s">
        <v>11107</v>
      </c>
      <c r="I1174" s="119">
        <v>45292.0</v>
      </c>
      <c r="K1174" s="7" t="s">
        <v>419</v>
      </c>
      <c r="L1174" s="7" t="s">
        <v>991</v>
      </c>
      <c r="M1174" s="7" t="s">
        <v>3501</v>
      </c>
      <c r="N1174" s="7" t="s">
        <v>419</v>
      </c>
      <c r="O1174" s="7" t="s">
        <v>19437</v>
      </c>
      <c r="P1174" s="7" t="s">
        <v>478</v>
      </c>
      <c r="Q1174" s="7" t="s">
        <v>484</v>
      </c>
      <c r="R1174" s="7" t="s">
        <v>20513</v>
      </c>
      <c r="S1174" s="7" t="s">
        <v>20514</v>
      </c>
      <c r="T1174" s="7" t="s">
        <v>8179</v>
      </c>
      <c r="U1174" s="7" t="s">
        <v>3493</v>
      </c>
      <c r="V1174" s="7">
        <v>1.0</v>
      </c>
    </row>
    <row r="1175">
      <c r="A1175" s="7" t="s">
        <v>21065</v>
      </c>
      <c r="B1175" s="7">
        <v>12757.0</v>
      </c>
      <c r="C1175" s="7" t="s">
        <v>11104</v>
      </c>
      <c r="D1175" s="7" t="s">
        <v>7508</v>
      </c>
      <c r="E1175" s="7" t="s">
        <v>11105</v>
      </c>
      <c r="F1175" s="7" t="s">
        <v>4478</v>
      </c>
      <c r="G1175" s="7" t="s">
        <v>11109</v>
      </c>
      <c r="H1175" s="7" t="s">
        <v>11110</v>
      </c>
      <c r="I1175" s="119">
        <v>45292.0</v>
      </c>
      <c r="K1175" s="7" t="s">
        <v>419</v>
      </c>
      <c r="L1175" s="7" t="s">
        <v>991</v>
      </c>
      <c r="M1175" s="7" t="s">
        <v>3501</v>
      </c>
      <c r="N1175" s="7" t="s">
        <v>419</v>
      </c>
      <c r="O1175" s="7" t="s">
        <v>19432</v>
      </c>
      <c r="P1175" s="7" t="s">
        <v>298</v>
      </c>
      <c r="Q1175" s="7" t="s">
        <v>1284</v>
      </c>
      <c r="R1175" s="7" t="s">
        <v>20579</v>
      </c>
      <c r="S1175" s="7" t="s">
        <v>20580</v>
      </c>
      <c r="T1175" s="7" t="s">
        <v>11111</v>
      </c>
      <c r="U1175" s="7" t="s">
        <v>3843</v>
      </c>
      <c r="V1175" s="7">
        <v>1.0</v>
      </c>
    </row>
    <row r="1176">
      <c r="A1176" s="7" t="s">
        <v>21066</v>
      </c>
      <c r="B1176" s="7">
        <v>2300526.0</v>
      </c>
      <c r="C1176" s="7" t="s">
        <v>11113</v>
      </c>
      <c r="D1176" s="7" t="s">
        <v>11114</v>
      </c>
      <c r="E1176" s="7" t="s">
        <v>11115</v>
      </c>
      <c r="F1176" s="7" t="s">
        <v>11116</v>
      </c>
      <c r="G1176" s="7" t="s">
        <v>11117</v>
      </c>
      <c r="H1176" s="7" t="s">
        <v>11118</v>
      </c>
      <c r="I1176" s="119">
        <v>45292.0</v>
      </c>
      <c r="K1176" s="7" t="s">
        <v>419</v>
      </c>
      <c r="L1176" s="7" t="s">
        <v>991</v>
      </c>
      <c r="M1176" s="7" t="s">
        <v>3531</v>
      </c>
      <c r="N1176" s="7" t="s">
        <v>419</v>
      </c>
      <c r="O1176" s="7" t="s">
        <v>19432</v>
      </c>
      <c r="P1176" s="7" t="s">
        <v>693</v>
      </c>
      <c r="Q1176" s="7" t="s">
        <v>701</v>
      </c>
      <c r="R1176" s="7" t="s">
        <v>20587</v>
      </c>
      <c r="S1176" s="7" t="s">
        <v>19611</v>
      </c>
      <c r="T1176" s="7" t="s">
        <v>8504</v>
      </c>
      <c r="U1176" s="7" t="s">
        <v>3493</v>
      </c>
      <c r="V1176" s="7">
        <v>1.0</v>
      </c>
    </row>
    <row r="1177">
      <c r="A1177" s="7" t="s">
        <v>21067</v>
      </c>
      <c r="B1177" s="7">
        <v>2200899.0</v>
      </c>
      <c r="C1177" s="7" t="s">
        <v>11120</v>
      </c>
      <c r="D1177" s="7" t="s">
        <v>7508</v>
      </c>
      <c r="E1177" s="7" t="s">
        <v>11121</v>
      </c>
      <c r="F1177" s="7" t="s">
        <v>9094</v>
      </c>
      <c r="G1177" s="7" t="s">
        <v>11122</v>
      </c>
      <c r="H1177" s="7" t="s">
        <v>11123</v>
      </c>
      <c r="I1177" s="119">
        <v>45292.0</v>
      </c>
      <c r="K1177" s="7" t="s">
        <v>419</v>
      </c>
      <c r="L1177" s="7" t="s">
        <v>991</v>
      </c>
      <c r="M1177" s="7" t="s">
        <v>3501</v>
      </c>
      <c r="N1177" s="7" t="s">
        <v>419</v>
      </c>
      <c r="O1177" s="7" t="s">
        <v>19443</v>
      </c>
      <c r="P1177" s="7" t="s">
        <v>323</v>
      </c>
      <c r="Q1177" s="7" t="s">
        <v>824</v>
      </c>
      <c r="R1177" s="7" t="s">
        <v>19771</v>
      </c>
      <c r="T1177" s="7" t="s">
        <v>12660</v>
      </c>
      <c r="U1177" s="7" t="s">
        <v>3604</v>
      </c>
      <c r="V1177" s="7">
        <v>1.0</v>
      </c>
    </row>
    <row r="1178">
      <c r="A1178" s="7" t="s">
        <v>21068</v>
      </c>
      <c r="B1178" s="7">
        <v>12318.0</v>
      </c>
      <c r="C1178" s="7" t="s">
        <v>11125</v>
      </c>
      <c r="D1178" s="7" t="s">
        <v>6749</v>
      </c>
      <c r="E1178" s="7" t="s">
        <v>11126</v>
      </c>
      <c r="F1178" s="7" t="s">
        <v>6750</v>
      </c>
      <c r="G1178" s="7" t="s">
        <v>11127</v>
      </c>
      <c r="H1178" s="7" t="s">
        <v>11128</v>
      </c>
      <c r="I1178" s="119">
        <v>45292.0</v>
      </c>
      <c r="K1178" s="7" t="s">
        <v>419</v>
      </c>
      <c r="L1178" s="7" t="s">
        <v>991</v>
      </c>
      <c r="M1178" s="7" t="s">
        <v>3583</v>
      </c>
      <c r="N1178" s="7" t="s">
        <v>419</v>
      </c>
      <c r="O1178" s="7" t="s">
        <v>19437</v>
      </c>
      <c r="P1178" s="7" t="s">
        <v>603</v>
      </c>
      <c r="Q1178" s="7" t="s">
        <v>90</v>
      </c>
      <c r="R1178" s="7" t="s">
        <v>19690</v>
      </c>
      <c r="S1178" s="7" t="s">
        <v>19691</v>
      </c>
      <c r="T1178" s="7" t="s">
        <v>4266</v>
      </c>
      <c r="U1178" s="7" t="s">
        <v>3493</v>
      </c>
      <c r="V1178" s="7">
        <v>1.0</v>
      </c>
    </row>
    <row r="1179">
      <c r="A1179" s="7" t="s">
        <v>21069</v>
      </c>
      <c r="B1179" s="7">
        <v>2200187.0</v>
      </c>
      <c r="C1179" s="7" t="s">
        <v>11130</v>
      </c>
      <c r="D1179" s="7" t="s">
        <v>11131</v>
      </c>
      <c r="E1179" s="7" t="s">
        <v>11132</v>
      </c>
      <c r="F1179" s="7" t="s">
        <v>6245</v>
      </c>
      <c r="G1179" s="7" t="s">
        <v>11133</v>
      </c>
      <c r="H1179" s="7" t="s">
        <v>11134</v>
      </c>
      <c r="I1179" s="119">
        <v>45292.0</v>
      </c>
      <c r="K1179" s="7" t="s">
        <v>419</v>
      </c>
      <c r="L1179" s="7" t="s">
        <v>991</v>
      </c>
      <c r="M1179" s="7" t="s">
        <v>3501</v>
      </c>
      <c r="N1179" s="7" t="s">
        <v>419</v>
      </c>
      <c r="O1179" s="7" t="s">
        <v>19430</v>
      </c>
      <c r="P1179" s="7" t="s">
        <v>717</v>
      </c>
      <c r="Q1179" s="7" t="s">
        <v>720</v>
      </c>
      <c r="R1179" s="7" t="s">
        <v>19542</v>
      </c>
      <c r="S1179" s="7" t="s">
        <v>20910</v>
      </c>
      <c r="T1179" s="7" t="s">
        <v>10215</v>
      </c>
      <c r="U1179" s="7" t="s">
        <v>3493</v>
      </c>
      <c r="V1179" s="7">
        <v>1.0</v>
      </c>
    </row>
    <row r="1180">
      <c r="A1180" s="7" t="s">
        <v>21070</v>
      </c>
      <c r="B1180" s="7">
        <v>10023.0</v>
      </c>
      <c r="C1180" s="7" t="s">
        <v>11136</v>
      </c>
      <c r="D1180" s="7" t="s">
        <v>11137</v>
      </c>
      <c r="E1180" s="7" t="s">
        <v>11138</v>
      </c>
      <c r="F1180" s="7" t="s">
        <v>6335</v>
      </c>
      <c r="G1180" s="7" t="s">
        <v>11139</v>
      </c>
      <c r="H1180" s="7" t="s">
        <v>11140</v>
      </c>
      <c r="I1180" s="119">
        <v>45292.0</v>
      </c>
      <c r="J1180" s="7" t="s">
        <v>4216</v>
      </c>
      <c r="K1180" s="7" t="s">
        <v>419</v>
      </c>
      <c r="L1180" s="7" t="s">
        <v>991</v>
      </c>
      <c r="M1180" s="7" t="s">
        <v>3501</v>
      </c>
      <c r="N1180" s="7" t="s">
        <v>419</v>
      </c>
      <c r="O1180" s="7" t="s">
        <v>19443</v>
      </c>
      <c r="P1180" s="7" t="s">
        <v>1242</v>
      </c>
      <c r="Q1180" s="7" t="s">
        <v>51</v>
      </c>
      <c r="R1180" s="7" t="s">
        <v>19597</v>
      </c>
      <c r="S1180" s="7" t="s">
        <v>19650</v>
      </c>
      <c r="T1180" s="7" t="s">
        <v>4128</v>
      </c>
      <c r="U1180" s="7" t="s">
        <v>3493</v>
      </c>
      <c r="V1180" s="7">
        <v>1.0</v>
      </c>
    </row>
    <row r="1181">
      <c r="A1181" s="7" t="s">
        <v>21071</v>
      </c>
      <c r="B1181" s="7">
        <v>13105.0</v>
      </c>
      <c r="C1181" s="7" t="s">
        <v>11136</v>
      </c>
      <c r="D1181" s="7" t="s">
        <v>5614</v>
      </c>
      <c r="E1181" s="7" t="s">
        <v>11138</v>
      </c>
      <c r="F1181" s="7" t="s">
        <v>3656</v>
      </c>
      <c r="G1181" s="7" t="s">
        <v>11142</v>
      </c>
      <c r="H1181" s="7" t="s">
        <v>11143</v>
      </c>
      <c r="I1181" s="119">
        <v>45292.0</v>
      </c>
      <c r="K1181" s="7" t="s">
        <v>419</v>
      </c>
      <c r="L1181" s="7" t="s">
        <v>991</v>
      </c>
      <c r="M1181" s="7" t="s">
        <v>3531</v>
      </c>
      <c r="N1181" s="7" t="s">
        <v>419</v>
      </c>
      <c r="O1181" s="7" t="s">
        <v>19432</v>
      </c>
      <c r="P1181" s="7" t="s">
        <v>693</v>
      </c>
      <c r="Q1181" s="7" t="s">
        <v>698</v>
      </c>
      <c r="R1181" s="7" t="s">
        <v>20444</v>
      </c>
      <c r="S1181" s="7" t="s">
        <v>20860</v>
      </c>
      <c r="T1181" s="7" t="s">
        <v>9954</v>
      </c>
      <c r="U1181" s="7" t="s">
        <v>3493</v>
      </c>
      <c r="V1181" s="7">
        <v>1.0</v>
      </c>
    </row>
    <row r="1182">
      <c r="A1182" s="7" t="s">
        <v>21072</v>
      </c>
      <c r="B1182" s="7">
        <v>14223.0</v>
      </c>
      <c r="C1182" s="7" t="s">
        <v>11145</v>
      </c>
      <c r="D1182" s="7" t="s">
        <v>11146</v>
      </c>
      <c r="E1182" s="7" t="s">
        <v>11147</v>
      </c>
      <c r="F1182" s="7" t="s">
        <v>4213</v>
      </c>
      <c r="G1182" s="7" t="s">
        <v>11148</v>
      </c>
      <c r="H1182" s="7" t="s">
        <v>11149</v>
      </c>
      <c r="I1182" s="119">
        <v>45292.0</v>
      </c>
      <c r="K1182" s="7" t="s">
        <v>3632</v>
      </c>
      <c r="L1182" s="7" t="s">
        <v>991</v>
      </c>
      <c r="M1182" s="7" t="s">
        <v>3531</v>
      </c>
      <c r="N1182" s="7" t="s">
        <v>3632</v>
      </c>
      <c r="O1182" s="7" t="s">
        <v>3632</v>
      </c>
      <c r="P1182" s="7" t="s">
        <v>625</v>
      </c>
      <c r="Q1182" s="7" t="s">
        <v>124</v>
      </c>
      <c r="R1182" s="7" t="s">
        <v>19646</v>
      </c>
      <c r="T1182" s="7" t="s">
        <v>11150</v>
      </c>
      <c r="U1182" s="7" t="s">
        <v>3493</v>
      </c>
      <c r="V1182" s="7">
        <v>1.0</v>
      </c>
    </row>
    <row r="1183">
      <c r="A1183" s="7" t="s">
        <v>2036</v>
      </c>
      <c r="B1183" s="7">
        <v>2200399.0</v>
      </c>
      <c r="C1183" s="7" t="s">
        <v>11145</v>
      </c>
      <c r="D1183" s="7" t="s">
        <v>11151</v>
      </c>
      <c r="E1183" s="7" t="s">
        <v>11147</v>
      </c>
      <c r="F1183" s="7" t="s">
        <v>4084</v>
      </c>
      <c r="G1183" s="7" t="s">
        <v>11152</v>
      </c>
      <c r="H1183" s="7" t="s">
        <v>11153</v>
      </c>
      <c r="I1183" s="119">
        <v>45292.0</v>
      </c>
      <c r="K1183" s="7" t="s">
        <v>419</v>
      </c>
      <c r="L1183" s="7" t="s">
        <v>991</v>
      </c>
      <c r="M1183" s="7" t="s">
        <v>3501</v>
      </c>
      <c r="N1183" s="7" t="s">
        <v>419</v>
      </c>
      <c r="O1183" s="7" t="s">
        <v>19430</v>
      </c>
      <c r="P1183" s="7" t="s">
        <v>717</v>
      </c>
      <c r="Q1183" s="7" t="s">
        <v>1163</v>
      </c>
      <c r="R1183" s="7" t="s">
        <v>19546</v>
      </c>
      <c r="T1183" s="7" t="s">
        <v>21073</v>
      </c>
      <c r="U1183" s="7" t="s">
        <v>3604</v>
      </c>
      <c r="V1183" s="7">
        <v>1.0</v>
      </c>
    </row>
    <row r="1184">
      <c r="A1184" s="7" t="s">
        <v>21074</v>
      </c>
      <c r="B1184" s="7">
        <v>13166.0</v>
      </c>
      <c r="C1184" s="7" t="s">
        <v>11145</v>
      </c>
      <c r="D1184" s="7" t="s">
        <v>11158</v>
      </c>
      <c r="E1184" s="7" t="s">
        <v>11147</v>
      </c>
      <c r="F1184" s="7" t="s">
        <v>7477</v>
      </c>
      <c r="G1184" s="7" t="s">
        <v>11159</v>
      </c>
      <c r="H1184" s="7" t="s">
        <v>11160</v>
      </c>
      <c r="I1184" s="119">
        <v>45292.0</v>
      </c>
      <c r="K1184" s="7" t="s">
        <v>9317</v>
      </c>
      <c r="L1184" s="7" t="s">
        <v>9318</v>
      </c>
      <c r="M1184" s="7" t="s">
        <v>9319</v>
      </c>
      <c r="N1184" s="7" t="s">
        <v>419</v>
      </c>
      <c r="O1184" s="7" t="s">
        <v>19440</v>
      </c>
      <c r="P1184" s="7" t="s">
        <v>3</v>
      </c>
      <c r="Q1184" s="7" t="s">
        <v>4</v>
      </c>
      <c r="R1184" s="7" t="s">
        <v>19614</v>
      </c>
      <c r="S1184" s="7" t="s">
        <v>20454</v>
      </c>
      <c r="T1184" s="7" t="s">
        <v>7870</v>
      </c>
      <c r="U1184" s="7" t="s">
        <v>3493</v>
      </c>
      <c r="V1184" s="7">
        <v>1.0</v>
      </c>
    </row>
    <row r="1185">
      <c r="A1185" s="7" t="s">
        <v>21075</v>
      </c>
      <c r="B1185" s="7">
        <v>2300709.0</v>
      </c>
      <c r="C1185" s="7" t="s">
        <v>11163</v>
      </c>
      <c r="D1185" s="7" t="s">
        <v>4286</v>
      </c>
      <c r="E1185" s="7" t="s">
        <v>6271</v>
      </c>
      <c r="F1185" s="7" t="s">
        <v>4287</v>
      </c>
      <c r="G1185" s="7" t="s">
        <v>11164</v>
      </c>
      <c r="H1185" s="7" t="s">
        <v>11165</v>
      </c>
      <c r="I1185" s="119">
        <v>45292.0</v>
      </c>
      <c r="K1185" s="7" t="s">
        <v>419</v>
      </c>
      <c r="L1185" s="7" t="s">
        <v>991</v>
      </c>
      <c r="M1185" s="7" t="s">
        <v>3490</v>
      </c>
      <c r="N1185" s="7" t="s">
        <v>419</v>
      </c>
      <c r="O1185" s="7" t="s">
        <v>19440</v>
      </c>
      <c r="P1185" s="7" t="s">
        <v>3</v>
      </c>
      <c r="Q1185" s="7" t="s">
        <v>9</v>
      </c>
      <c r="R1185" s="7" t="s">
        <v>20413</v>
      </c>
      <c r="S1185" s="7" t="s">
        <v>19519</v>
      </c>
      <c r="T1185" s="7" t="s">
        <v>7663</v>
      </c>
      <c r="U1185" s="7" t="s">
        <v>3493</v>
      </c>
      <c r="V1185" s="7">
        <v>1.0</v>
      </c>
    </row>
    <row r="1186">
      <c r="A1186" s="7" t="s">
        <v>21076</v>
      </c>
      <c r="B1186" s="7">
        <v>2300139.0</v>
      </c>
      <c r="C1186" s="7" t="s">
        <v>11167</v>
      </c>
      <c r="D1186" s="7" t="s">
        <v>11168</v>
      </c>
      <c r="E1186" s="7" t="s">
        <v>11169</v>
      </c>
      <c r="F1186" s="7" t="s">
        <v>7078</v>
      </c>
      <c r="G1186" s="7" t="s">
        <v>11170</v>
      </c>
      <c r="H1186" s="7" t="s">
        <v>11171</v>
      </c>
      <c r="I1186" s="119">
        <v>45292.0</v>
      </c>
      <c r="K1186" s="7" t="s">
        <v>419</v>
      </c>
      <c r="L1186" s="7" t="s">
        <v>991</v>
      </c>
      <c r="M1186" s="7" t="s">
        <v>3501</v>
      </c>
      <c r="N1186" s="7" t="s">
        <v>419</v>
      </c>
      <c r="O1186" s="7" t="s">
        <v>19430</v>
      </c>
      <c r="P1186" s="7" t="s">
        <v>780</v>
      </c>
      <c r="Q1186" s="7" t="s">
        <v>284</v>
      </c>
      <c r="R1186" s="7" t="s">
        <v>19932</v>
      </c>
      <c r="T1186" s="7" t="s">
        <v>8002</v>
      </c>
      <c r="U1186" s="7" t="s">
        <v>3493</v>
      </c>
      <c r="V1186" s="7">
        <v>1.0</v>
      </c>
    </row>
    <row r="1187">
      <c r="A1187" s="7" t="s">
        <v>21077</v>
      </c>
      <c r="B1187" s="7">
        <v>11690.0</v>
      </c>
      <c r="C1187" s="7" t="s">
        <v>11173</v>
      </c>
      <c r="D1187" s="7" t="s">
        <v>11174</v>
      </c>
      <c r="E1187" s="7" t="s">
        <v>11175</v>
      </c>
      <c r="F1187" s="7" t="s">
        <v>3674</v>
      </c>
      <c r="G1187" s="7" t="s">
        <v>11176</v>
      </c>
      <c r="H1187" s="7" t="s">
        <v>11177</v>
      </c>
      <c r="I1187" s="119">
        <v>45338.0</v>
      </c>
      <c r="K1187" s="7" t="s">
        <v>419</v>
      </c>
      <c r="L1187" s="7" t="s">
        <v>991</v>
      </c>
      <c r="M1187" s="7" t="s">
        <v>3501</v>
      </c>
      <c r="N1187" s="7" t="s">
        <v>419</v>
      </c>
      <c r="O1187" s="7" t="s">
        <v>19437</v>
      </c>
      <c r="P1187" s="7" t="s">
        <v>478</v>
      </c>
      <c r="Q1187" s="7" t="s">
        <v>958</v>
      </c>
      <c r="R1187" s="7" t="s">
        <v>19708</v>
      </c>
      <c r="T1187" s="7" t="s">
        <v>20807</v>
      </c>
      <c r="U1187" s="7" t="s">
        <v>3604</v>
      </c>
      <c r="V1187" s="7">
        <v>1.0</v>
      </c>
    </row>
    <row r="1188">
      <c r="A1188" s="7" t="s">
        <v>21078</v>
      </c>
      <c r="B1188" s="7">
        <v>14173.0</v>
      </c>
      <c r="C1188" s="7" t="s">
        <v>11173</v>
      </c>
      <c r="D1188" s="7" t="s">
        <v>11180</v>
      </c>
      <c r="E1188" s="7" t="s">
        <v>11175</v>
      </c>
      <c r="F1188" s="7" t="s">
        <v>4469</v>
      </c>
      <c r="G1188" s="7" t="s">
        <v>11181</v>
      </c>
      <c r="H1188" s="7" t="s">
        <v>11182</v>
      </c>
      <c r="I1188" s="119">
        <v>45292.0</v>
      </c>
      <c r="K1188" s="7" t="s">
        <v>419</v>
      </c>
      <c r="L1188" s="7" t="s">
        <v>991</v>
      </c>
      <c r="M1188" s="7" t="s">
        <v>3531</v>
      </c>
      <c r="N1188" s="7" t="s">
        <v>419</v>
      </c>
      <c r="O1188" s="7" t="s">
        <v>19433</v>
      </c>
      <c r="P1188" s="7" t="s">
        <v>648</v>
      </c>
      <c r="Q1188" s="7" t="s">
        <v>143</v>
      </c>
      <c r="R1188" s="7" t="s">
        <v>19712</v>
      </c>
      <c r="S1188" s="7" t="s">
        <v>19830</v>
      </c>
      <c r="T1188" s="7" t="s">
        <v>4797</v>
      </c>
      <c r="U1188" s="7" t="s">
        <v>3493</v>
      </c>
      <c r="V1188" s="7">
        <v>1.0</v>
      </c>
    </row>
    <row r="1189">
      <c r="A1189" s="7" t="s">
        <v>21079</v>
      </c>
      <c r="B1189" s="7">
        <v>8210.0</v>
      </c>
      <c r="C1189" s="7" t="s">
        <v>11184</v>
      </c>
      <c r="D1189" s="7" t="s">
        <v>11185</v>
      </c>
      <c r="E1189" s="7" t="s">
        <v>11186</v>
      </c>
      <c r="F1189" s="7" t="s">
        <v>3748</v>
      </c>
      <c r="G1189" s="7" t="s">
        <v>11187</v>
      </c>
      <c r="H1189" s="7" t="s">
        <v>11188</v>
      </c>
      <c r="I1189" s="119">
        <v>45292.0</v>
      </c>
      <c r="K1189" s="7" t="s">
        <v>419</v>
      </c>
      <c r="L1189" s="7" t="s">
        <v>991</v>
      </c>
      <c r="M1189" s="7" t="s">
        <v>3531</v>
      </c>
      <c r="N1189" s="7" t="s">
        <v>419</v>
      </c>
      <c r="O1189" s="7" t="s">
        <v>19430</v>
      </c>
      <c r="P1189" s="7" t="s">
        <v>780</v>
      </c>
      <c r="Q1189" s="7" t="s">
        <v>786</v>
      </c>
      <c r="R1189" s="7" t="s">
        <v>19839</v>
      </c>
      <c r="T1189" s="7" t="s">
        <v>4835</v>
      </c>
      <c r="U1189" s="7" t="s">
        <v>3493</v>
      </c>
      <c r="V1189" s="7">
        <v>1.0</v>
      </c>
    </row>
    <row r="1190">
      <c r="A1190" s="7" t="s">
        <v>21080</v>
      </c>
      <c r="B1190" s="7">
        <v>2100394.0</v>
      </c>
      <c r="C1190" s="7" t="s">
        <v>11184</v>
      </c>
      <c r="D1190" s="7" t="s">
        <v>11190</v>
      </c>
      <c r="E1190" s="7" t="s">
        <v>11186</v>
      </c>
      <c r="F1190" s="7" t="s">
        <v>6902</v>
      </c>
      <c r="G1190" s="7" t="s">
        <v>11191</v>
      </c>
      <c r="H1190" s="7" t="s">
        <v>11192</v>
      </c>
      <c r="I1190" s="119">
        <v>45292.0</v>
      </c>
      <c r="K1190" s="7" t="s">
        <v>419</v>
      </c>
      <c r="L1190" s="7" t="s">
        <v>991</v>
      </c>
      <c r="M1190" s="7" t="s">
        <v>3501</v>
      </c>
      <c r="N1190" s="7" t="s">
        <v>419</v>
      </c>
      <c r="O1190" s="7" t="s">
        <v>19432</v>
      </c>
      <c r="P1190" s="7" t="s">
        <v>391</v>
      </c>
      <c r="Q1190" s="7" t="s">
        <v>399</v>
      </c>
      <c r="R1190" s="7" t="s">
        <v>20194</v>
      </c>
      <c r="T1190" s="7" t="s">
        <v>6534</v>
      </c>
      <c r="U1190" s="7" t="s">
        <v>3493</v>
      </c>
      <c r="V1190" s="7">
        <v>1.0</v>
      </c>
    </row>
    <row r="1191">
      <c r="A1191" s="7" t="s">
        <v>21081</v>
      </c>
      <c r="B1191" s="7">
        <v>13056.0</v>
      </c>
      <c r="C1191" s="7" t="s">
        <v>11195</v>
      </c>
      <c r="D1191" s="7" t="s">
        <v>11196</v>
      </c>
      <c r="E1191" s="7" t="s">
        <v>11197</v>
      </c>
      <c r="F1191" s="7" t="s">
        <v>10694</v>
      </c>
      <c r="G1191" s="7" t="s">
        <v>11198</v>
      </c>
      <c r="H1191" s="7" t="s">
        <v>11199</v>
      </c>
      <c r="I1191" s="119">
        <v>45292.0</v>
      </c>
      <c r="K1191" s="7" t="s">
        <v>419</v>
      </c>
      <c r="L1191" s="7" t="s">
        <v>991</v>
      </c>
      <c r="M1191" s="7" t="s">
        <v>3501</v>
      </c>
      <c r="N1191" s="7" t="s">
        <v>419</v>
      </c>
      <c r="O1191" s="7" t="s">
        <v>19437</v>
      </c>
      <c r="P1191" s="7" t="s">
        <v>478</v>
      </c>
      <c r="Q1191" s="7" t="s">
        <v>484</v>
      </c>
      <c r="R1191" s="7" t="s">
        <v>20513</v>
      </c>
      <c r="T1191" s="7" t="s">
        <v>8973</v>
      </c>
      <c r="U1191" s="7" t="s">
        <v>3604</v>
      </c>
      <c r="V1191" s="7">
        <v>1.0</v>
      </c>
    </row>
    <row r="1192">
      <c r="A1192" s="7" t="s">
        <v>21082</v>
      </c>
      <c r="B1192" s="7">
        <v>2200253.0</v>
      </c>
      <c r="C1192" s="7" t="s">
        <v>11195</v>
      </c>
      <c r="D1192" s="7" t="s">
        <v>11201</v>
      </c>
      <c r="E1192" s="7" t="s">
        <v>11197</v>
      </c>
      <c r="F1192" s="7" t="s">
        <v>11202</v>
      </c>
      <c r="G1192" s="7" t="s">
        <v>11203</v>
      </c>
      <c r="H1192" s="7" t="s">
        <v>11204</v>
      </c>
      <c r="I1192" s="119">
        <v>45292.0</v>
      </c>
      <c r="K1192" s="7" t="s">
        <v>419</v>
      </c>
      <c r="L1192" s="7" t="s">
        <v>991</v>
      </c>
      <c r="M1192" s="7" t="s">
        <v>3501</v>
      </c>
      <c r="N1192" s="7" t="s">
        <v>419</v>
      </c>
      <c r="O1192" s="7" t="s">
        <v>19432</v>
      </c>
      <c r="P1192" s="7" t="s">
        <v>391</v>
      </c>
      <c r="Q1192" s="7" t="s">
        <v>392</v>
      </c>
      <c r="R1192" s="7" t="s">
        <v>19661</v>
      </c>
      <c r="T1192" s="7" t="s">
        <v>19662</v>
      </c>
      <c r="U1192" s="7" t="s">
        <v>3493</v>
      </c>
      <c r="V1192" s="7">
        <v>1.0</v>
      </c>
    </row>
    <row r="1193">
      <c r="A1193" s="7" t="s">
        <v>21083</v>
      </c>
      <c r="B1193" s="7">
        <v>13742.0</v>
      </c>
      <c r="C1193" s="7" t="s">
        <v>11195</v>
      </c>
      <c r="D1193" s="7" t="s">
        <v>10460</v>
      </c>
      <c r="E1193" s="7" t="s">
        <v>11197</v>
      </c>
      <c r="F1193" s="7" t="s">
        <v>4751</v>
      </c>
      <c r="G1193" s="7" t="s">
        <v>11206</v>
      </c>
      <c r="H1193" s="7" t="s">
        <v>11207</v>
      </c>
      <c r="I1193" s="119">
        <v>45292.0</v>
      </c>
      <c r="K1193" s="7" t="s">
        <v>419</v>
      </c>
      <c r="L1193" s="7" t="s">
        <v>991</v>
      </c>
      <c r="M1193" s="7" t="s">
        <v>3531</v>
      </c>
      <c r="N1193" s="7" t="s">
        <v>419</v>
      </c>
      <c r="O1193" s="7" t="s">
        <v>19430</v>
      </c>
      <c r="P1193" s="7" t="s">
        <v>854</v>
      </c>
      <c r="Q1193" s="7" t="s">
        <v>173</v>
      </c>
      <c r="R1193" s="7" t="s">
        <v>20485</v>
      </c>
      <c r="T1193" s="7" t="s">
        <v>20731</v>
      </c>
      <c r="U1193" s="7" t="s">
        <v>3493</v>
      </c>
      <c r="V1193" s="7">
        <v>1.0</v>
      </c>
    </row>
    <row r="1194">
      <c r="A1194" s="7" t="s">
        <v>21084</v>
      </c>
      <c r="B1194" s="7">
        <v>2200231.0</v>
      </c>
      <c r="C1194" s="7" t="s">
        <v>11195</v>
      </c>
      <c r="D1194" s="7" t="s">
        <v>11210</v>
      </c>
      <c r="E1194" s="7" t="s">
        <v>11197</v>
      </c>
      <c r="F1194" s="7" t="s">
        <v>4917</v>
      </c>
      <c r="G1194" s="7" t="s">
        <v>11211</v>
      </c>
      <c r="H1194" s="7" t="s">
        <v>11212</v>
      </c>
      <c r="I1194" s="119">
        <v>45292.0</v>
      </c>
      <c r="K1194" s="7" t="s">
        <v>419</v>
      </c>
      <c r="L1194" s="7" t="s">
        <v>991</v>
      </c>
      <c r="M1194" s="7" t="s">
        <v>3501</v>
      </c>
      <c r="N1194" s="7" t="s">
        <v>419</v>
      </c>
      <c r="O1194" s="7" t="s">
        <v>19437</v>
      </c>
      <c r="P1194" s="7" t="s">
        <v>440</v>
      </c>
      <c r="Q1194" s="7" t="s">
        <v>441</v>
      </c>
      <c r="R1194" s="7" t="s">
        <v>20752</v>
      </c>
      <c r="S1194" s="7" t="s">
        <v>20753</v>
      </c>
      <c r="T1194" s="7" t="s">
        <v>20754</v>
      </c>
      <c r="U1194" s="7" t="s">
        <v>3843</v>
      </c>
      <c r="V1194" s="7">
        <v>1.0</v>
      </c>
    </row>
    <row r="1195">
      <c r="A1195" s="7" t="s">
        <v>21085</v>
      </c>
      <c r="B1195" s="7">
        <v>1109.0</v>
      </c>
      <c r="C1195" s="7" t="s">
        <v>11214</v>
      </c>
      <c r="D1195" s="7" t="s">
        <v>11215</v>
      </c>
      <c r="E1195" s="7" t="s">
        <v>11216</v>
      </c>
      <c r="F1195" s="7" t="s">
        <v>5860</v>
      </c>
      <c r="G1195" s="7" t="s">
        <v>11217</v>
      </c>
      <c r="H1195" s="7" t="s">
        <v>11218</v>
      </c>
      <c r="I1195" s="119">
        <v>45292.0</v>
      </c>
      <c r="K1195" s="7" t="s">
        <v>419</v>
      </c>
      <c r="L1195" s="7" t="s">
        <v>991</v>
      </c>
      <c r="M1195" s="7" t="s">
        <v>3501</v>
      </c>
      <c r="N1195" s="7" t="s">
        <v>419</v>
      </c>
      <c r="O1195" s="7" t="s">
        <v>19430</v>
      </c>
      <c r="P1195" s="7" t="s">
        <v>717</v>
      </c>
      <c r="Q1195" s="7" t="s">
        <v>720</v>
      </c>
      <c r="R1195" s="7" t="s">
        <v>19805</v>
      </c>
      <c r="S1195" s="7" t="s">
        <v>19806</v>
      </c>
      <c r="T1195" s="7" t="s">
        <v>4704</v>
      </c>
      <c r="U1195" s="7" t="s">
        <v>3493</v>
      </c>
      <c r="V1195" s="7">
        <v>1.0</v>
      </c>
    </row>
    <row r="1196">
      <c r="A1196" s="7" t="s">
        <v>21086</v>
      </c>
      <c r="B1196" s="7">
        <v>2100661.0</v>
      </c>
      <c r="C1196" s="7" t="s">
        <v>11220</v>
      </c>
      <c r="D1196" s="7" t="s">
        <v>11221</v>
      </c>
      <c r="E1196" s="7" t="s">
        <v>11222</v>
      </c>
      <c r="F1196" s="7" t="s">
        <v>11223</v>
      </c>
      <c r="G1196" s="7" t="s">
        <v>11224</v>
      </c>
      <c r="H1196" s="7" t="s">
        <v>11225</v>
      </c>
      <c r="I1196" s="119">
        <v>45292.0</v>
      </c>
      <c r="K1196" s="7" t="s">
        <v>419</v>
      </c>
      <c r="L1196" s="7" t="s">
        <v>991</v>
      </c>
      <c r="M1196" s="7" t="s">
        <v>3501</v>
      </c>
      <c r="N1196" s="7" t="s">
        <v>419</v>
      </c>
      <c r="O1196" s="7" t="s">
        <v>19433</v>
      </c>
      <c r="P1196" s="7" t="s">
        <v>648</v>
      </c>
      <c r="Q1196" s="7" t="s">
        <v>155</v>
      </c>
      <c r="R1196" s="7" t="s">
        <v>19566</v>
      </c>
      <c r="T1196" s="7" t="s">
        <v>7179</v>
      </c>
      <c r="U1196" s="7" t="s">
        <v>3493</v>
      </c>
      <c r="V1196" s="7">
        <v>1.0</v>
      </c>
    </row>
    <row r="1197">
      <c r="A1197" s="7" t="s">
        <v>21087</v>
      </c>
      <c r="B1197" s="7">
        <v>13784.0</v>
      </c>
      <c r="C1197" s="7" t="s">
        <v>11220</v>
      </c>
      <c r="D1197" s="7" t="s">
        <v>11227</v>
      </c>
      <c r="E1197" s="7" t="s">
        <v>11222</v>
      </c>
      <c r="F1197" s="7" t="s">
        <v>11228</v>
      </c>
      <c r="G1197" s="7" t="s">
        <v>11229</v>
      </c>
      <c r="H1197" s="7" t="s">
        <v>11230</v>
      </c>
      <c r="I1197" s="119">
        <v>45292.0</v>
      </c>
      <c r="J1197" s="7" t="s">
        <v>4216</v>
      </c>
      <c r="K1197" s="7" t="s">
        <v>419</v>
      </c>
      <c r="L1197" s="7" t="s">
        <v>991</v>
      </c>
      <c r="M1197" s="7" t="s">
        <v>3501</v>
      </c>
      <c r="N1197" s="7" t="s">
        <v>419</v>
      </c>
      <c r="O1197" s="7" t="s">
        <v>19430</v>
      </c>
      <c r="P1197" s="7" t="s">
        <v>780</v>
      </c>
      <c r="Q1197" s="7" t="s">
        <v>786</v>
      </c>
      <c r="R1197" s="7" t="s">
        <v>19666</v>
      </c>
      <c r="T1197" s="7" t="s">
        <v>4169</v>
      </c>
      <c r="U1197" s="7" t="s">
        <v>3493</v>
      </c>
      <c r="V1197" s="7">
        <v>1.0</v>
      </c>
    </row>
    <row r="1198">
      <c r="A1198" s="7" t="s">
        <v>21088</v>
      </c>
      <c r="B1198" s="7">
        <v>2300807.0</v>
      </c>
      <c r="C1198" s="7" t="s">
        <v>11232</v>
      </c>
      <c r="D1198" s="7" t="s">
        <v>11233</v>
      </c>
      <c r="E1198" s="7" t="s">
        <v>11234</v>
      </c>
      <c r="F1198" s="7" t="s">
        <v>11235</v>
      </c>
      <c r="G1198" s="7" t="s">
        <v>11236</v>
      </c>
      <c r="H1198" s="7" t="s">
        <v>11237</v>
      </c>
      <c r="I1198" s="119">
        <v>45292.0</v>
      </c>
      <c r="K1198" s="7" t="s">
        <v>419</v>
      </c>
      <c r="L1198" s="7" t="s">
        <v>991</v>
      </c>
      <c r="M1198" s="7" t="s">
        <v>3583</v>
      </c>
      <c r="N1198" s="7" t="s">
        <v>419</v>
      </c>
      <c r="O1198" s="7" t="s">
        <v>19430</v>
      </c>
      <c r="P1198" s="7" t="s">
        <v>717</v>
      </c>
      <c r="Q1198" s="7" t="s">
        <v>1163</v>
      </c>
      <c r="R1198" s="7" t="s">
        <v>20486</v>
      </c>
      <c r="T1198" s="7" t="s">
        <v>9112</v>
      </c>
      <c r="U1198" s="7" t="s">
        <v>3493</v>
      </c>
      <c r="V1198" s="7">
        <v>1.0</v>
      </c>
    </row>
    <row r="1199">
      <c r="A1199" s="7" t="s">
        <v>21089</v>
      </c>
      <c r="B1199" s="7">
        <v>2300178.0</v>
      </c>
      <c r="C1199" s="7" t="s">
        <v>11240</v>
      </c>
      <c r="D1199" s="7" t="s">
        <v>7266</v>
      </c>
      <c r="E1199" s="7" t="s">
        <v>11241</v>
      </c>
      <c r="F1199" s="7" t="s">
        <v>7266</v>
      </c>
      <c r="G1199" s="7" t="s">
        <v>11242</v>
      </c>
      <c r="H1199" s="7" t="s">
        <v>11243</v>
      </c>
      <c r="I1199" s="119">
        <v>45292.0</v>
      </c>
      <c r="K1199" s="7" t="s">
        <v>4042</v>
      </c>
      <c r="L1199" s="7" t="s">
        <v>991</v>
      </c>
      <c r="M1199" s="7" t="s">
        <v>3501</v>
      </c>
      <c r="N1199" s="7" t="s">
        <v>4042</v>
      </c>
      <c r="O1199" s="7" t="s">
        <v>4042</v>
      </c>
      <c r="P1199" s="7" t="s">
        <v>19632</v>
      </c>
      <c r="T1199" s="7" t="s">
        <v>4044</v>
      </c>
      <c r="U1199" s="7" t="s">
        <v>3493</v>
      </c>
      <c r="V1199" s="7">
        <v>1.0</v>
      </c>
    </row>
    <row r="1200">
      <c r="A1200" s="7" t="s">
        <v>21090</v>
      </c>
      <c r="B1200" s="7">
        <v>2300784.0</v>
      </c>
      <c r="C1200" s="7" t="s">
        <v>11245</v>
      </c>
      <c r="D1200" s="7" t="s">
        <v>11246</v>
      </c>
      <c r="E1200" s="7" t="s">
        <v>11247</v>
      </c>
      <c r="F1200" s="7" t="s">
        <v>11246</v>
      </c>
      <c r="G1200" s="7" t="s">
        <v>11248</v>
      </c>
      <c r="H1200" s="7" t="s">
        <v>11249</v>
      </c>
      <c r="I1200" s="119">
        <v>45292.0</v>
      </c>
      <c r="K1200" s="7" t="s">
        <v>3642</v>
      </c>
      <c r="L1200" s="7" t="s">
        <v>991</v>
      </c>
      <c r="M1200" s="7" t="s">
        <v>3501</v>
      </c>
      <c r="N1200" s="7" t="s">
        <v>3642</v>
      </c>
      <c r="O1200" s="7" t="s">
        <v>3642</v>
      </c>
      <c r="P1200" s="7" t="s">
        <v>19524</v>
      </c>
      <c r="T1200" s="7" t="s">
        <v>3644</v>
      </c>
      <c r="U1200" s="7" t="s">
        <v>3493</v>
      </c>
      <c r="V1200" s="7">
        <v>1.0</v>
      </c>
    </row>
    <row r="1201">
      <c r="A1201" s="7" t="s">
        <v>21091</v>
      </c>
      <c r="B1201" s="7">
        <v>13507.0</v>
      </c>
      <c r="C1201" s="7" t="s">
        <v>11251</v>
      </c>
      <c r="D1201" s="7" t="s">
        <v>11252</v>
      </c>
      <c r="E1201" s="7" t="s">
        <v>11253</v>
      </c>
      <c r="F1201" s="7" t="s">
        <v>11254</v>
      </c>
      <c r="G1201" s="7" t="s">
        <v>11255</v>
      </c>
      <c r="H1201" s="7" t="s">
        <v>11256</v>
      </c>
      <c r="I1201" s="119">
        <v>45292.0</v>
      </c>
      <c r="J1201" s="7" t="s">
        <v>3929</v>
      </c>
      <c r="K1201" s="7" t="s">
        <v>419</v>
      </c>
      <c r="L1201" s="7" t="s">
        <v>991</v>
      </c>
      <c r="M1201" s="7" t="s">
        <v>3501</v>
      </c>
      <c r="N1201" s="7" t="s">
        <v>419</v>
      </c>
      <c r="O1201" s="7" t="s">
        <v>19437</v>
      </c>
      <c r="P1201" s="7" t="s">
        <v>603</v>
      </c>
      <c r="Q1201" s="7" t="s">
        <v>90</v>
      </c>
      <c r="R1201" s="7" t="s">
        <v>19690</v>
      </c>
      <c r="S1201" s="7" t="s">
        <v>20268</v>
      </c>
      <c r="T1201" s="7" t="s">
        <v>6897</v>
      </c>
      <c r="U1201" s="7" t="s">
        <v>3493</v>
      </c>
      <c r="V1201" s="7">
        <v>1.0</v>
      </c>
    </row>
    <row r="1202">
      <c r="A1202" s="7" t="s">
        <v>21092</v>
      </c>
      <c r="B1202" s="7">
        <v>11005.0</v>
      </c>
      <c r="C1202" s="7" t="s">
        <v>11258</v>
      </c>
      <c r="D1202" s="7" t="s">
        <v>11259</v>
      </c>
      <c r="E1202" s="7" t="s">
        <v>11260</v>
      </c>
      <c r="F1202" s="7" t="s">
        <v>11261</v>
      </c>
      <c r="G1202" s="7" t="s">
        <v>11262</v>
      </c>
      <c r="H1202" s="7" t="s">
        <v>11263</v>
      </c>
      <c r="I1202" s="119">
        <v>45292.0</v>
      </c>
      <c r="K1202" s="7" t="s">
        <v>419</v>
      </c>
      <c r="L1202" s="7" t="s">
        <v>991</v>
      </c>
      <c r="M1202" s="7" t="s">
        <v>3501</v>
      </c>
      <c r="N1202" s="7" t="s">
        <v>419</v>
      </c>
      <c r="O1202" s="7" t="s">
        <v>19432</v>
      </c>
      <c r="P1202" s="7" t="s">
        <v>693</v>
      </c>
      <c r="Q1202" s="7" t="s">
        <v>698</v>
      </c>
      <c r="R1202" s="7" t="s">
        <v>19563</v>
      </c>
      <c r="S1202" s="7" t="s">
        <v>19971</v>
      </c>
      <c r="T1202" s="7" t="s">
        <v>5462</v>
      </c>
      <c r="U1202" s="7" t="s">
        <v>3493</v>
      </c>
      <c r="V1202" s="7">
        <v>1.0</v>
      </c>
    </row>
    <row r="1203">
      <c r="A1203" s="7" t="s">
        <v>21093</v>
      </c>
      <c r="B1203" s="7">
        <v>2100656.0</v>
      </c>
      <c r="C1203" s="7" t="s">
        <v>11265</v>
      </c>
      <c r="D1203" s="7" t="s">
        <v>11266</v>
      </c>
      <c r="E1203" s="7" t="s">
        <v>11267</v>
      </c>
      <c r="F1203" s="7" t="s">
        <v>4751</v>
      </c>
      <c r="G1203" s="7" t="s">
        <v>11268</v>
      </c>
      <c r="H1203" s="7" t="s">
        <v>11269</v>
      </c>
      <c r="I1203" s="119">
        <v>45292.0</v>
      </c>
      <c r="K1203" s="7" t="s">
        <v>419</v>
      </c>
      <c r="L1203" s="7" t="s">
        <v>991</v>
      </c>
      <c r="M1203" s="7" t="s">
        <v>3501</v>
      </c>
      <c r="N1203" s="7" t="s">
        <v>419</v>
      </c>
      <c r="O1203" s="7" t="s">
        <v>19430</v>
      </c>
      <c r="P1203" s="7" t="s">
        <v>780</v>
      </c>
      <c r="Q1203" s="7" t="s">
        <v>786</v>
      </c>
      <c r="R1203" s="7" t="s">
        <v>20558</v>
      </c>
      <c r="T1203" s="7" t="s">
        <v>16162</v>
      </c>
      <c r="U1203" s="7" t="s">
        <v>3493</v>
      </c>
      <c r="V1203" s="7">
        <v>1.0</v>
      </c>
    </row>
    <row r="1204">
      <c r="A1204" s="7" t="s">
        <v>21094</v>
      </c>
      <c r="B1204" s="7">
        <v>13034.0</v>
      </c>
      <c r="C1204" s="7" t="s">
        <v>11265</v>
      </c>
      <c r="D1204" s="7" t="s">
        <v>11272</v>
      </c>
      <c r="E1204" s="7" t="s">
        <v>11267</v>
      </c>
      <c r="F1204" s="7" t="s">
        <v>3649</v>
      </c>
      <c r="G1204" s="7" t="s">
        <v>11273</v>
      </c>
      <c r="H1204" s="7" t="s">
        <v>11274</v>
      </c>
      <c r="I1204" s="119">
        <v>45292.0</v>
      </c>
      <c r="K1204" s="7" t="s">
        <v>419</v>
      </c>
      <c r="L1204" s="7" t="s">
        <v>991</v>
      </c>
      <c r="M1204" s="7" t="s">
        <v>4644</v>
      </c>
      <c r="N1204" s="7" t="s">
        <v>419</v>
      </c>
      <c r="O1204" s="7" t="s">
        <v>19438</v>
      </c>
      <c r="P1204" s="7" t="s">
        <v>424</v>
      </c>
      <c r="T1204" s="7" t="s">
        <v>4907</v>
      </c>
      <c r="U1204" s="7" t="s">
        <v>424</v>
      </c>
      <c r="V1204" s="7">
        <v>1.0</v>
      </c>
    </row>
    <row r="1205">
      <c r="A1205" s="7" t="s">
        <v>21095</v>
      </c>
      <c r="B1205" s="7">
        <v>2300218.0</v>
      </c>
      <c r="C1205" s="7" t="s">
        <v>11276</v>
      </c>
      <c r="D1205" s="7" t="s">
        <v>11277</v>
      </c>
      <c r="E1205" s="7" t="s">
        <v>11278</v>
      </c>
      <c r="F1205" s="7" t="s">
        <v>11279</v>
      </c>
      <c r="G1205" s="7" t="s">
        <v>11280</v>
      </c>
      <c r="H1205" s="7" t="s">
        <v>11281</v>
      </c>
      <c r="I1205" s="119">
        <v>45292.0</v>
      </c>
      <c r="K1205" s="7" t="s">
        <v>419</v>
      </c>
      <c r="L1205" s="7" t="s">
        <v>991</v>
      </c>
      <c r="M1205" s="7" t="s">
        <v>3501</v>
      </c>
      <c r="N1205" s="7" t="s">
        <v>419</v>
      </c>
      <c r="O1205" s="7" t="s">
        <v>19430</v>
      </c>
      <c r="P1205" s="7" t="s">
        <v>717</v>
      </c>
      <c r="Q1205" s="7" t="s">
        <v>722</v>
      </c>
      <c r="R1205" s="7" t="s">
        <v>20163</v>
      </c>
      <c r="S1205" s="7" t="s">
        <v>20729</v>
      </c>
      <c r="T1205" s="7" t="s">
        <v>17776</v>
      </c>
      <c r="U1205" s="7" t="s">
        <v>3843</v>
      </c>
      <c r="V1205" s="7">
        <v>1.0</v>
      </c>
    </row>
    <row r="1206">
      <c r="A1206" s="7" t="s">
        <v>21096</v>
      </c>
      <c r="B1206" s="7">
        <v>14045.0</v>
      </c>
      <c r="C1206" s="7" t="s">
        <v>11276</v>
      </c>
      <c r="D1206" s="7" t="s">
        <v>7721</v>
      </c>
      <c r="E1206" s="7" t="s">
        <v>11278</v>
      </c>
      <c r="F1206" s="7" t="s">
        <v>4751</v>
      </c>
      <c r="G1206" s="7" t="s">
        <v>11283</v>
      </c>
      <c r="H1206" s="7" t="s">
        <v>11284</v>
      </c>
      <c r="I1206" s="119">
        <v>45292.0</v>
      </c>
      <c r="K1206" s="7" t="s">
        <v>419</v>
      </c>
      <c r="L1206" s="7" t="s">
        <v>991</v>
      </c>
      <c r="M1206" s="7" t="s">
        <v>3501</v>
      </c>
      <c r="N1206" s="7" t="s">
        <v>419</v>
      </c>
      <c r="O1206" s="7" t="s">
        <v>19432</v>
      </c>
      <c r="P1206" s="7" t="s">
        <v>298</v>
      </c>
      <c r="Q1206" s="7" t="s">
        <v>1284</v>
      </c>
      <c r="R1206" s="7" t="s">
        <v>20190</v>
      </c>
      <c r="S1206" s="7" t="s">
        <v>21097</v>
      </c>
      <c r="T1206" s="7" t="s">
        <v>14663</v>
      </c>
      <c r="U1206" s="7" t="s">
        <v>3843</v>
      </c>
      <c r="V1206" s="7">
        <v>1.0</v>
      </c>
    </row>
    <row r="1207">
      <c r="A1207" s="7" t="s">
        <v>21098</v>
      </c>
      <c r="B1207" s="7">
        <v>12361.0</v>
      </c>
      <c r="C1207" s="7" t="s">
        <v>11288</v>
      </c>
      <c r="D1207" s="7" t="s">
        <v>11289</v>
      </c>
      <c r="E1207" s="7" t="s">
        <v>11290</v>
      </c>
      <c r="F1207" s="7" t="s">
        <v>7007</v>
      </c>
      <c r="G1207" s="7" t="s">
        <v>11291</v>
      </c>
      <c r="H1207" s="7" t="s">
        <v>11292</v>
      </c>
      <c r="I1207" s="119">
        <v>45292.0</v>
      </c>
      <c r="K1207" s="7" t="s">
        <v>3885</v>
      </c>
      <c r="L1207" s="7" t="s">
        <v>3542</v>
      </c>
      <c r="M1207" s="7" t="s">
        <v>3543</v>
      </c>
      <c r="N1207" s="7" t="s">
        <v>419</v>
      </c>
      <c r="O1207" s="7" t="s">
        <v>19433</v>
      </c>
      <c r="P1207" s="7" t="s">
        <v>648</v>
      </c>
      <c r="Q1207" s="7" t="s">
        <v>651</v>
      </c>
      <c r="R1207" s="7" t="s">
        <v>19922</v>
      </c>
      <c r="S1207" s="7" t="s">
        <v>19749</v>
      </c>
      <c r="T1207" s="7" t="s">
        <v>19923</v>
      </c>
      <c r="U1207" s="7" t="s">
        <v>3493</v>
      </c>
      <c r="V1207" s="7">
        <v>1.0</v>
      </c>
    </row>
    <row r="1208">
      <c r="A1208" s="7" t="s">
        <v>21099</v>
      </c>
      <c r="B1208" s="7">
        <v>2200427.0</v>
      </c>
      <c r="C1208" s="7" t="s">
        <v>11294</v>
      </c>
      <c r="D1208" s="7" t="s">
        <v>11295</v>
      </c>
      <c r="E1208" s="7" t="s">
        <v>11296</v>
      </c>
      <c r="F1208" s="7" t="s">
        <v>9116</v>
      </c>
      <c r="G1208" s="7" t="s">
        <v>11297</v>
      </c>
      <c r="H1208" s="7" t="s">
        <v>11298</v>
      </c>
      <c r="I1208" s="119">
        <v>45292.0</v>
      </c>
      <c r="K1208" s="7" t="s">
        <v>419</v>
      </c>
      <c r="L1208" s="7" t="s">
        <v>991</v>
      </c>
      <c r="M1208" s="7" t="s">
        <v>3531</v>
      </c>
      <c r="N1208" s="7" t="s">
        <v>419</v>
      </c>
      <c r="O1208" s="7" t="s">
        <v>19430</v>
      </c>
      <c r="P1208" s="7" t="s">
        <v>717</v>
      </c>
      <c r="Q1208" s="7" t="s">
        <v>738</v>
      </c>
      <c r="R1208" s="7" t="s">
        <v>19818</v>
      </c>
      <c r="S1208" s="7" t="s">
        <v>19668</v>
      </c>
      <c r="T1208" s="7" t="s">
        <v>4739</v>
      </c>
      <c r="U1208" s="7" t="s">
        <v>3493</v>
      </c>
      <c r="V1208" s="7">
        <v>1.0</v>
      </c>
    </row>
    <row r="1209">
      <c r="A1209" s="7" t="s">
        <v>21100</v>
      </c>
      <c r="B1209" s="7">
        <v>2100393.0</v>
      </c>
      <c r="C1209" s="7" t="s">
        <v>11300</v>
      </c>
      <c r="D1209" s="7" t="s">
        <v>11301</v>
      </c>
      <c r="E1209" s="7" t="s">
        <v>11302</v>
      </c>
      <c r="F1209" s="7" t="s">
        <v>4068</v>
      </c>
      <c r="G1209" s="7" t="s">
        <v>11303</v>
      </c>
      <c r="H1209" s="7" t="s">
        <v>11304</v>
      </c>
      <c r="I1209" s="119">
        <v>45292.0</v>
      </c>
      <c r="K1209" s="7" t="s">
        <v>419</v>
      </c>
      <c r="L1209" s="7" t="s">
        <v>991</v>
      </c>
      <c r="M1209" s="7" t="s">
        <v>3501</v>
      </c>
      <c r="N1209" s="7" t="s">
        <v>419</v>
      </c>
      <c r="O1209" s="7" t="s">
        <v>19440</v>
      </c>
      <c r="P1209" s="7" t="s">
        <v>613</v>
      </c>
      <c r="Q1209" s="7" t="s">
        <v>104</v>
      </c>
      <c r="R1209" s="7" t="s">
        <v>19738</v>
      </c>
      <c r="S1209" s="7" t="s">
        <v>20767</v>
      </c>
      <c r="T1209" s="7" t="s">
        <v>13677</v>
      </c>
      <c r="U1209" s="7" t="s">
        <v>3493</v>
      </c>
      <c r="V1209" s="7">
        <v>1.0</v>
      </c>
    </row>
    <row r="1210">
      <c r="A1210" s="7" t="s">
        <v>21101</v>
      </c>
      <c r="B1210" s="7">
        <v>13829.0</v>
      </c>
      <c r="C1210" s="7" t="s">
        <v>11308</v>
      </c>
      <c r="D1210" s="7" t="s">
        <v>11309</v>
      </c>
      <c r="E1210" s="7" t="s">
        <v>11310</v>
      </c>
      <c r="F1210" s="7" t="s">
        <v>5801</v>
      </c>
      <c r="G1210" s="7" t="s">
        <v>11311</v>
      </c>
      <c r="H1210" s="7" t="s">
        <v>11312</v>
      </c>
      <c r="I1210" s="119">
        <v>45292.0</v>
      </c>
      <c r="K1210" s="7" t="s">
        <v>419</v>
      </c>
      <c r="L1210" s="7" t="s">
        <v>991</v>
      </c>
      <c r="M1210" s="7" t="s">
        <v>3531</v>
      </c>
      <c r="N1210" s="7" t="s">
        <v>419</v>
      </c>
      <c r="O1210" s="7" t="s">
        <v>19430</v>
      </c>
      <c r="P1210" s="7" t="s">
        <v>717</v>
      </c>
      <c r="Q1210" s="7" t="s">
        <v>1163</v>
      </c>
      <c r="R1210" s="7" t="s">
        <v>19546</v>
      </c>
      <c r="S1210" s="7" t="s">
        <v>19762</v>
      </c>
      <c r="T1210" s="7" t="s">
        <v>4558</v>
      </c>
      <c r="U1210" s="7" t="s">
        <v>3493</v>
      </c>
      <c r="V1210" s="7">
        <v>1.0</v>
      </c>
    </row>
    <row r="1211">
      <c r="A1211" s="7" t="s">
        <v>21102</v>
      </c>
      <c r="B1211" s="7">
        <v>2300779.0</v>
      </c>
      <c r="C1211" s="7" t="s">
        <v>11314</v>
      </c>
      <c r="D1211" s="7" t="s">
        <v>3854</v>
      </c>
      <c r="E1211" s="7" t="s">
        <v>11315</v>
      </c>
      <c r="F1211" s="7" t="s">
        <v>3580</v>
      </c>
      <c r="G1211" s="7" t="s">
        <v>11316</v>
      </c>
      <c r="H1211" s="7" t="s">
        <v>11317</v>
      </c>
      <c r="I1211" s="119">
        <v>45292.0</v>
      </c>
      <c r="K1211" s="7" t="s">
        <v>3642</v>
      </c>
      <c r="L1211" s="7" t="s">
        <v>991</v>
      </c>
      <c r="M1211" s="7" t="s">
        <v>3501</v>
      </c>
      <c r="N1211" s="7" t="s">
        <v>3642</v>
      </c>
      <c r="O1211" s="7" t="s">
        <v>3642</v>
      </c>
      <c r="P1211" s="7" t="s">
        <v>19524</v>
      </c>
      <c r="T1211" s="7" t="s">
        <v>3644</v>
      </c>
      <c r="U1211" s="7" t="s">
        <v>3493</v>
      </c>
      <c r="V1211" s="7">
        <v>1.0</v>
      </c>
    </row>
    <row r="1212">
      <c r="A1212" s="7" t="s">
        <v>2278</v>
      </c>
      <c r="B1212" s="7">
        <v>2200637.0</v>
      </c>
      <c r="C1212" s="7" t="s">
        <v>11319</v>
      </c>
      <c r="D1212" s="7" t="s">
        <v>11320</v>
      </c>
      <c r="E1212" s="7" t="s">
        <v>11321</v>
      </c>
      <c r="F1212" s="7" t="s">
        <v>3609</v>
      </c>
      <c r="G1212" s="7" t="s">
        <v>11322</v>
      </c>
      <c r="H1212" s="7" t="s">
        <v>11323</v>
      </c>
      <c r="I1212" s="119">
        <v>45292.0</v>
      </c>
      <c r="K1212" s="7" t="s">
        <v>419</v>
      </c>
      <c r="L1212" s="7" t="s">
        <v>991</v>
      </c>
      <c r="M1212" s="7" t="s">
        <v>3501</v>
      </c>
      <c r="N1212" s="7" t="s">
        <v>419</v>
      </c>
      <c r="O1212" s="7" t="s">
        <v>19443</v>
      </c>
      <c r="P1212" s="7" t="s">
        <v>323</v>
      </c>
      <c r="Q1212" s="7" t="s">
        <v>819</v>
      </c>
      <c r="T1212" s="7" t="s">
        <v>19459</v>
      </c>
      <c r="U1212" s="7" t="s">
        <v>5585</v>
      </c>
      <c r="V1212" s="7">
        <v>1.0</v>
      </c>
    </row>
    <row r="1213">
      <c r="A1213" s="7" t="s">
        <v>21103</v>
      </c>
      <c r="B1213" s="7">
        <v>12560.0</v>
      </c>
      <c r="C1213" s="7" t="s">
        <v>11327</v>
      </c>
      <c r="D1213" s="7" t="s">
        <v>11328</v>
      </c>
      <c r="E1213" s="7" t="s">
        <v>11329</v>
      </c>
      <c r="F1213" s="7" t="s">
        <v>11330</v>
      </c>
      <c r="G1213" s="7" t="s">
        <v>11331</v>
      </c>
      <c r="H1213" s="7" t="s">
        <v>11332</v>
      </c>
      <c r="I1213" s="119">
        <v>45292.0</v>
      </c>
      <c r="K1213" s="7" t="s">
        <v>3885</v>
      </c>
      <c r="L1213" s="7" t="s">
        <v>3542</v>
      </c>
      <c r="M1213" s="7" t="s">
        <v>3543</v>
      </c>
      <c r="N1213" s="7" t="s">
        <v>419</v>
      </c>
      <c r="O1213" s="7" t="s">
        <v>19433</v>
      </c>
      <c r="P1213" s="7" t="s">
        <v>648</v>
      </c>
      <c r="Q1213" s="7" t="s">
        <v>651</v>
      </c>
      <c r="R1213" s="7" t="s">
        <v>19922</v>
      </c>
      <c r="S1213" s="7" t="s">
        <v>19749</v>
      </c>
      <c r="T1213" s="7" t="s">
        <v>19923</v>
      </c>
      <c r="U1213" s="7" t="s">
        <v>3493</v>
      </c>
      <c r="V1213" s="7">
        <v>1.0</v>
      </c>
    </row>
    <row r="1214">
      <c r="A1214" s="7" t="s">
        <v>21104</v>
      </c>
      <c r="B1214" s="7">
        <v>2100101.0</v>
      </c>
      <c r="C1214" s="7" t="s">
        <v>11334</v>
      </c>
      <c r="D1214" s="7" t="s">
        <v>11335</v>
      </c>
      <c r="E1214" s="7" t="s">
        <v>11336</v>
      </c>
      <c r="F1214" s="7" t="s">
        <v>11337</v>
      </c>
      <c r="G1214" s="7" t="s">
        <v>11338</v>
      </c>
      <c r="H1214" s="7" t="s">
        <v>11339</v>
      </c>
      <c r="I1214" s="119">
        <v>45292.0</v>
      </c>
      <c r="K1214" s="7" t="s">
        <v>419</v>
      </c>
      <c r="L1214" s="7" t="s">
        <v>991</v>
      </c>
      <c r="M1214" s="7" t="s">
        <v>3501</v>
      </c>
      <c r="N1214" s="7" t="s">
        <v>419</v>
      </c>
      <c r="O1214" s="7" t="s">
        <v>19437</v>
      </c>
      <c r="P1214" s="7" t="s">
        <v>478</v>
      </c>
      <c r="Q1214" s="7" t="s">
        <v>491</v>
      </c>
      <c r="R1214" s="7" t="s">
        <v>20577</v>
      </c>
      <c r="T1214" s="7" t="s">
        <v>9794</v>
      </c>
      <c r="U1214" s="7" t="s">
        <v>3493</v>
      </c>
      <c r="V1214" s="7">
        <v>1.0</v>
      </c>
    </row>
    <row r="1215">
      <c r="A1215" s="7" t="s">
        <v>21105</v>
      </c>
      <c r="B1215" s="7">
        <v>2100321.0</v>
      </c>
      <c r="C1215" s="7" t="s">
        <v>11334</v>
      </c>
      <c r="D1215" s="7" t="s">
        <v>11341</v>
      </c>
      <c r="E1215" s="7" t="s">
        <v>11336</v>
      </c>
      <c r="F1215" s="7" t="s">
        <v>10522</v>
      </c>
      <c r="G1215" s="7" t="s">
        <v>11342</v>
      </c>
      <c r="H1215" s="7" t="s">
        <v>11343</v>
      </c>
      <c r="I1215" s="119">
        <v>45292.0</v>
      </c>
      <c r="K1215" s="7" t="s">
        <v>419</v>
      </c>
      <c r="L1215" s="7" t="s">
        <v>991</v>
      </c>
      <c r="M1215" s="7" t="s">
        <v>3501</v>
      </c>
      <c r="N1215" s="7" t="s">
        <v>419</v>
      </c>
      <c r="O1215" s="7" t="s">
        <v>19430</v>
      </c>
      <c r="P1215" s="7" t="s">
        <v>854</v>
      </c>
      <c r="Q1215" s="7" t="s">
        <v>861</v>
      </c>
      <c r="R1215" s="7" t="s">
        <v>19800</v>
      </c>
      <c r="S1215" s="7" t="s">
        <v>21106</v>
      </c>
      <c r="T1215" s="7" t="s">
        <v>11345</v>
      </c>
      <c r="U1215" s="7" t="s">
        <v>3493</v>
      </c>
      <c r="V1215" s="7">
        <v>1.0</v>
      </c>
    </row>
    <row r="1216">
      <c r="A1216" s="7" t="s">
        <v>21107</v>
      </c>
      <c r="B1216" s="7">
        <v>2300503.0</v>
      </c>
      <c r="C1216" s="7" t="s">
        <v>11347</v>
      </c>
      <c r="D1216" s="7" t="s">
        <v>11348</v>
      </c>
      <c r="E1216" s="7" t="s">
        <v>11349</v>
      </c>
      <c r="F1216" s="7" t="s">
        <v>11350</v>
      </c>
      <c r="G1216" s="7" t="s">
        <v>11351</v>
      </c>
      <c r="H1216" s="7" t="s">
        <v>11352</v>
      </c>
      <c r="I1216" s="119">
        <v>45292.0</v>
      </c>
      <c r="K1216" s="7" t="s">
        <v>419</v>
      </c>
      <c r="L1216" s="7" t="s">
        <v>991</v>
      </c>
      <c r="M1216" s="7" t="s">
        <v>3583</v>
      </c>
      <c r="N1216" s="7" t="s">
        <v>419</v>
      </c>
      <c r="O1216" s="7" t="s">
        <v>19443</v>
      </c>
      <c r="P1216" s="7" t="s">
        <v>323</v>
      </c>
      <c r="Q1216" s="7" t="s">
        <v>324</v>
      </c>
      <c r="R1216" s="7" t="s">
        <v>19599</v>
      </c>
      <c r="T1216" s="7" t="s">
        <v>3921</v>
      </c>
      <c r="U1216" s="7" t="s">
        <v>3493</v>
      </c>
      <c r="V1216" s="7">
        <v>1.0</v>
      </c>
    </row>
    <row r="1217">
      <c r="A1217" s="7" t="s">
        <v>21108</v>
      </c>
      <c r="B1217" s="7">
        <v>12028.0</v>
      </c>
      <c r="C1217" s="7" t="s">
        <v>11354</v>
      </c>
      <c r="D1217" s="7" t="s">
        <v>11355</v>
      </c>
      <c r="E1217" s="7" t="s">
        <v>11356</v>
      </c>
      <c r="F1217" s="7" t="s">
        <v>11357</v>
      </c>
      <c r="G1217" s="7" t="s">
        <v>11358</v>
      </c>
      <c r="H1217" s="7" t="s">
        <v>11359</v>
      </c>
      <c r="I1217" s="119">
        <v>45292.0</v>
      </c>
      <c r="K1217" s="7" t="s">
        <v>419</v>
      </c>
      <c r="L1217" s="7" t="s">
        <v>991</v>
      </c>
      <c r="M1217" s="7" t="s">
        <v>3501</v>
      </c>
      <c r="N1217" s="7" t="s">
        <v>419</v>
      </c>
      <c r="O1217" s="7" t="s">
        <v>19432</v>
      </c>
      <c r="P1217" s="7" t="s">
        <v>693</v>
      </c>
      <c r="Q1217" s="7" t="s">
        <v>696</v>
      </c>
      <c r="R1217" s="7" t="s">
        <v>19563</v>
      </c>
      <c r="T1217" s="7" t="s">
        <v>9922</v>
      </c>
      <c r="U1217" s="7" t="s">
        <v>3493</v>
      </c>
      <c r="V1217" s="7">
        <v>1.0</v>
      </c>
    </row>
    <row r="1218">
      <c r="A1218" s="7" t="s">
        <v>21109</v>
      </c>
      <c r="B1218" s="7">
        <v>10427.0</v>
      </c>
      <c r="C1218" s="7" t="s">
        <v>11361</v>
      </c>
      <c r="D1218" s="7" t="s">
        <v>11362</v>
      </c>
      <c r="E1218" s="7" t="s">
        <v>11363</v>
      </c>
      <c r="F1218" s="7" t="s">
        <v>5155</v>
      </c>
      <c r="G1218" s="7" t="s">
        <v>11364</v>
      </c>
      <c r="H1218" s="7" t="s">
        <v>11365</v>
      </c>
      <c r="I1218" s="119">
        <v>45292.0</v>
      </c>
      <c r="K1218" s="7" t="s">
        <v>419</v>
      </c>
      <c r="L1218" s="7" t="s">
        <v>991</v>
      </c>
      <c r="M1218" s="7" t="s">
        <v>3501</v>
      </c>
      <c r="N1218" s="7" t="s">
        <v>419</v>
      </c>
      <c r="O1218" s="7" t="s">
        <v>19433</v>
      </c>
      <c r="P1218" s="7" t="s">
        <v>648</v>
      </c>
      <c r="Q1218" s="7" t="s">
        <v>143</v>
      </c>
      <c r="R1218" s="7" t="s">
        <v>19723</v>
      </c>
      <c r="S1218" s="7" t="s">
        <v>19920</v>
      </c>
      <c r="T1218" s="7" t="s">
        <v>5699</v>
      </c>
      <c r="U1218" s="7" t="s">
        <v>3493</v>
      </c>
      <c r="V1218" s="7">
        <v>1.0</v>
      </c>
    </row>
    <row r="1219">
      <c r="A1219" s="7" t="s">
        <v>21110</v>
      </c>
      <c r="B1219" s="7">
        <v>13660.0</v>
      </c>
      <c r="C1219" s="7" t="s">
        <v>11361</v>
      </c>
      <c r="D1219" s="7" t="s">
        <v>3812</v>
      </c>
      <c r="E1219" s="7" t="s">
        <v>11363</v>
      </c>
      <c r="F1219" s="7" t="s">
        <v>3609</v>
      </c>
      <c r="G1219" s="7" t="s">
        <v>11367</v>
      </c>
      <c r="H1219" s="7" t="s">
        <v>11368</v>
      </c>
      <c r="I1219" s="119">
        <v>45292.0</v>
      </c>
      <c r="K1219" s="7" t="s">
        <v>3632</v>
      </c>
      <c r="L1219" s="7" t="s">
        <v>991</v>
      </c>
      <c r="M1219" s="7" t="s">
        <v>3501</v>
      </c>
      <c r="N1219" s="7" t="s">
        <v>3632</v>
      </c>
      <c r="O1219" s="7" t="s">
        <v>3632</v>
      </c>
      <c r="P1219" s="7" t="s">
        <v>22</v>
      </c>
      <c r="Q1219" s="7" t="s">
        <v>23</v>
      </c>
      <c r="T1219" s="7" t="s">
        <v>10846</v>
      </c>
      <c r="U1219" s="7" t="s">
        <v>3493</v>
      </c>
      <c r="V1219" s="7">
        <v>1.0</v>
      </c>
    </row>
    <row r="1220">
      <c r="A1220" s="7" t="s">
        <v>21111</v>
      </c>
      <c r="B1220" s="7">
        <v>2200746.0</v>
      </c>
      <c r="C1220" s="7" t="s">
        <v>11361</v>
      </c>
      <c r="D1220" s="7" t="s">
        <v>11370</v>
      </c>
      <c r="E1220" s="7" t="s">
        <v>11363</v>
      </c>
      <c r="F1220" s="7" t="s">
        <v>5899</v>
      </c>
      <c r="G1220" s="7" t="s">
        <v>11371</v>
      </c>
      <c r="H1220" s="7" t="s">
        <v>11372</v>
      </c>
      <c r="I1220" s="119">
        <v>45292.0</v>
      </c>
      <c r="K1220" s="7" t="s">
        <v>419</v>
      </c>
      <c r="L1220" s="7" t="s">
        <v>991</v>
      </c>
      <c r="M1220" s="7" t="s">
        <v>3501</v>
      </c>
      <c r="N1220" s="7" t="s">
        <v>419</v>
      </c>
      <c r="O1220" s="7" t="s">
        <v>19430</v>
      </c>
      <c r="P1220" s="7" t="s">
        <v>717</v>
      </c>
      <c r="Q1220" s="7" t="s">
        <v>730</v>
      </c>
      <c r="R1220" s="7" t="s">
        <v>20149</v>
      </c>
      <c r="S1220" s="7" t="s">
        <v>20150</v>
      </c>
      <c r="T1220" s="7" t="s">
        <v>8357</v>
      </c>
      <c r="U1220" s="7" t="s">
        <v>3843</v>
      </c>
      <c r="V1220" s="7">
        <v>1.0</v>
      </c>
    </row>
    <row r="1221">
      <c r="A1221" s="7" t="s">
        <v>21112</v>
      </c>
      <c r="B1221" s="7">
        <v>2100056.0</v>
      </c>
      <c r="C1221" s="7" t="s">
        <v>11374</v>
      </c>
      <c r="D1221" s="7" t="s">
        <v>11375</v>
      </c>
      <c r="E1221" s="7" t="s">
        <v>11376</v>
      </c>
      <c r="F1221" s="7" t="s">
        <v>3721</v>
      </c>
      <c r="G1221" s="7" t="s">
        <v>11377</v>
      </c>
      <c r="H1221" s="7" t="s">
        <v>11378</v>
      </c>
      <c r="I1221" s="119">
        <v>45292.0</v>
      </c>
      <c r="K1221" s="7" t="s">
        <v>419</v>
      </c>
      <c r="L1221" s="7" t="s">
        <v>991</v>
      </c>
      <c r="M1221" s="7" t="s">
        <v>3501</v>
      </c>
      <c r="N1221" s="7" t="s">
        <v>419</v>
      </c>
      <c r="O1221" s="7" t="s">
        <v>19430</v>
      </c>
      <c r="P1221" s="7" t="s">
        <v>717</v>
      </c>
      <c r="Q1221" s="7" t="s">
        <v>725</v>
      </c>
      <c r="R1221" s="7" t="s">
        <v>19741</v>
      </c>
      <c r="S1221" s="7" t="s">
        <v>19742</v>
      </c>
      <c r="T1221" s="7" t="s">
        <v>4482</v>
      </c>
      <c r="U1221" s="7" t="s">
        <v>3493</v>
      </c>
      <c r="V1221" s="7">
        <v>1.0</v>
      </c>
    </row>
    <row r="1222">
      <c r="A1222" s="7" t="s">
        <v>21113</v>
      </c>
      <c r="B1222" s="7">
        <v>14056.0</v>
      </c>
      <c r="C1222" s="7" t="s">
        <v>11380</v>
      </c>
      <c r="D1222" s="7" t="s">
        <v>11381</v>
      </c>
      <c r="E1222" s="7" t="s">
        <v>11376</v>
      </c>
      <c r="F1222" s="7" t="s">
        <v>11382</v>
      </c>
      <c r="G1222" s="7" t="s">
        <v>11383</v>
      </c>
      <c r="H1222" s="7" t="s">
        <v>11384</v>
      </c>
      <c r="I1222" s="119">
        <v>45292.0</v>
      </c>
      <c r="K1222" s="7" t="s">
        <v>419</v>
      </c>
      <c r="L1222" s="7" t="s">
        <v>991</v>
      </c>
      <c r="M1222" s="7" t="s">
        <v>3501</v>
      </c>
      <c r="N1222" s="7" t="s">
        <v>419</v>
      </c>
      <c r="O1222" s="7" t="s">
        <v>19440</v>
      </c>
      <c r="P1222" s="7" t="s">
        <v>3</v>
      </c>
      <c r="Q1222" s="7" t="s">
        <v>9</v>
      </c>
      <c r="R1222" s="7" t="s">
        <v>20413</v>
      </c>
      <c r="S1222" s="7" t="s">
        <v>21114</v>
      </c>
      <c r="T1222" s="7" t="s">
        <v>12621</v>
      </c>
      <c r="U1222" s="7" t="s">
        <v>3493</v>
      </c>
      <c r="V1222" s="7">
        <v>1.0</v>
      </c>
    </row>
    <row r="1223">
      <c r="A1223" s="7" t="s">
        <v>21115</v>
      </c>
      <c r="B1223" s="7">
        <v>14075.0</v>
      </c>
      <c r="C1223" s="7" t="s">
        <v>11388</v>
      </c>
      <c r="D1223" s="7" t="s">
        <v>11389</v>
      </c>
      <c r="E1223" s="7" t="s">
        <v>11390</v>
      </c>
      <c r="F1223" s="7" t="s">
        <v>11391</v>
      </c>
      <c r="G1223" s="7" t="s">
        <v>11392</v>
      </c>
      <c r="H1223" s="7" t="s">
        <v>11393</v>
      </c>
      <c r="I1223" s="119">
        <v>45292.0</v>
      </c>
      <c r="K1223" s="7" t="s">
        <v>419</v>
      </c>
      <c r="L1223" s="7" t="s">
        <v>991</v>
      </c>
      <c r="M1223" s="7" t="s">
        <v>3501</v>
      </c>
      <c r="N1223" s="7" t="s">
        <v>419</v>
      </c>
      <c r="O1223" s="7" t="s">
        <v>19443</v>
      </c>
      <c r="P1223" s="7" t="s">
        <v>323</v>
      </c>
      <c r="Q1223" s="7" t="s">
        <v>324</v>
      </c>
      <c r="R1223" s="7" t="s">
        <v>20352</v>
      </c>
      <c r="T1223" s="7" t="s">
        <v>7344</v>
      </c>
      <c r="U1223" s="7" t="s">
        <v>3493</v>
      </c>
      <c r="V1223" s="7">
        <v>1.0</v>
      </c>
    </row>
    <row r="1224">
      <c r="A1224" s="7" t="s">
        <v>21116</v>
      </c>
      <c r="B1224" s="7">
        <v>11006.0</v>
      </c>
      <c r="C1224" s="7" t="s">
        <v>11395</v>
      </c>
      <c r="D1224" s="7" t="s">
        <v>10171</v>
      </c>
      <c r="E1224" s="7" t="s">
        <v>11396</v>
      </c>
      <c r="F1224" s="7" t="s">
        <v>10171</v>
      </c>
      <c r="G1224" s="7" t="s">
        <v>11397</v>
      </c>
      <c r="H1224" s="7" t="s">
        <v>11398</v>
      </c>
      <c r="I1224" s="119">
        <v>45292.0</v>
      </c>
      <c r="K1224" s="7" t="s">
        <v>419</v>
      </c>
      <c r="L1224" s="7" t="s">
        <v>991</v>
      </c>
      <c r="M1224" s="7" t="s">
        <v>3501</v>
      </c>
      <c r="N1224" s="7" t="s">
        <v>419</v>
      </c>
      <c r="O1224" s="7" t="s">
        <v>19443</v>
      </c>
      <c r="P1224" s="7" t="s">
        <v>323</v>
      </c>
      <c r="Q1224" s="7" t="s">
        <v>824</v>
      </c>
      <c r="R1224" s="7" t="s">
        <v>20311</v>
      </c>
      <c r="T1224" s="7" t="s">
        <v>7132</v>
      </c>
      <c r="U1224" s="7" t="s">
        <v>3493</v>
      </c>
      <c r="V1224" s="7">
        <v>1.0</v>
      </c>
    </row>
    <row r="1225">
      <c r="A1225" s="7" t="s">
        <v>21117</v>
      </c>
      <c r="B1225" s="7">
        <v>2200783.0</v>
      </c>
      <c r="C1225" s="7" t="s">
        <v>11401</v>
      </c>
      <c r="D1225" s="7" t="s">
        <v>11402</v>
      </c>
      <c r="E1225" s="7" t="s">
        <v>11403</v>
      </c>
      <c r="F1225" s="7" t="s">
        <v>11404</v>
      </c>
      <c r="G1225" s="7" t="s">
        <v>11405</v>
      </c>
      <c r="H1225" s="7" t="s">
        <v>11406</v>
      </c>
      <c r="I1225" s="119">
        <v>45292.0</v>
      </c>
      <c r="K1225" s="7" t="s">
        <v>419</v>
      </c>
      <c r="L1225" s="7" t="s">
        <v>991</v>
      </c>
      <c r="M1225" s="7" t="s">
        <v>3531</v>
      </c>
      <c r="N1225" s="7" t="s">
        <v>419</v>
      </c>
      <c r="O1225" s="7" t="s">
        <v>19430</v>
      </c>
      <c r="P1225" s="7" t="s">
        <v>717</v>
      </c>
      <c r="Q1225" s="7" t="s">
        <v>725</v>
      </c>
      <c r="R1225" s="7" t="s">
        <v>19501</v>
      </c>
      <c r="S1225" s="7" t="s">
        <v>19688</v>
      </c>
      <c r="T1225" s="7" t="s">
        <v>4257</v>
      </c>
      <c r="U1225" s="7" t="s">
        <v>3493</v>
      </c>
      <c r="V1225" s="7">
        <v>1.0</v>
      </c>
    </row>
    <row r="1226">
      <c r="A1226" s="7" t="s">
        <v>21118</v>
      </c>
      <c r="B1226" s="7">
        <v>10935.0</v>
      </c>
      <c r="C1226" s="7" t="s">
        <v>11408</v>
      </c>
      <c r="D1226" s="7" t="s">
        <v>11409</v>
      </c>
      <c r="E1226" s="7" t="s">
        <v>11410</v>
      </c>
      <c r="F1226" s="7" t="s">
        <v>3896</v>
      </c>
      <c r="G1226" s="7" t="s">
        <v>11411</v>
      </c>
      <c r="H1226" s="7" t="s">
        <v>11412</v>
      </c>
      <c r="I1226" s="119">
        <v>45292.0</v>
      </c>
      <c r="K1226" s="7" t="s">
        <v>419</v>
      </c>
      <c r="L1226" s="7" t="s">
        <v>991</v>
      </c>
      <c r="M1226" s="7" t="s">
        <v>3501</v>
      </c>
      <c r="N1226" s="7" t="s">
        <v>419</v>
      </c>
      <c r="O1226" s="7" t="s">
        <v>19443</v>
      </c>
      <c r="P1226" s="7" t="s">
        <v>1242</v>
      </c>
      <c r="Q1226" s="7" t="s">
        <v>51</v>
      </c>
      <c r="R1226" s="7" t="s">
        <v>20172</v>
      </c>
      <c r="T1226" s="7" t="s">
        <v>6403</v>
      </c>
      <c r="U1226" s="7" t="s">
        <v>3493</v>
      </c>
      <c r="V1226" s="7">
        <v>1.0</v>
      </c>
    </row>
    <row r="1227">
      <c r="A1227" s="7" t="s">
        <v>2096</v>
      </c>
      <c r="B1227" s="7">
        <v>13563.0</v>
      </c>
      <c r="C1227" s="7" t="s">
        <v>11414</v>
      </c>
      <c r="D1227" s="7" t="s">
        <v>11415</v>
      </c>
      <c r="E1227" s="7" t="s">
        <v>11416</v>
      </c>
      <c r="F1227" s="7" t="s">
        <v>4075</v>
      </c>
      <c r="G1227" s="7" t="s">
        <v>11417</v>
      </c>
      <c r="H1227" s="7" t="s">
        <v>11418</v>
      </c>
      <c r="I1227" s="119">
        <v>45292.0</v>
      </c>
      <c r="K1227" s="7" t="s">
        <v>3632</v>
      </c>
      <c r="L1227" s="7" t="s">
        <v>991</v>
      </c>
      <c r="M1227" s="7" t="s">
        <v>3501</v>
      </c>
      <c r="N1227" s="7" t="s">
        <v>3632</v>
      </c>
      <c r="O1227" s="7" t="s">
        <v>3632</v>
      </c>
      <c r="P1227" s="7" t="s">
        <v>429</v>
      </c>
      <c r="T1227" s="7" t="s">
        <v>11988</v>
      </c>
      <c r="U1227" s="7" t="s">
        <v>12011</v>
      </c>
      <c r="V1227" s="7">
        <v>1.0</v>
      </c>
    </row>
    <row r="1228">
      <c r="A1228" s="7" t="s">
        <v>21119</v>
      </c>
      <c r="B1228" s="7">
        <v>873.0</v>
      </c>
      <c r="C1228" s="7" t="s">
        <v>11423</v>
      </c>
      <c r="D1228" s="7" t="s">
        <v>11424</v>
      </c>
      <c r="E1228" s="7" t="s">
        <v>11425</v>
      </c>
      <c r="F1228" s="7" t="s">
        <v>11426</v>
      </c>
      <c r="G1228" s="7" t="s">
        <v>11427</v>
      </c>
      <c r="H1228" s="7" t="s">
        <v>11428</v>
      </c>
      <c r="I1228" s="119">
        <v>45292.0</v>
      </c>
      <c r="K1228" s="7" t="s">
        <v>419</v>
      </c>
      <c r="L1228" s="7" t="s">
        <v>991</v>
      </c>
      <c r="M1228" s="7" t="s">
        <v>3501</v>
      </c>
      <c r="N1228" s="7" t="s">
        <v>419</v>
      </c>
      <c r="O1228" s="7" t="s">
        <v>19443</v>
      </c>
      <c r="P1228" s="7" t="s">
        <v>1242</v>
      </c>
      <c r="Q1228" s="7" t="s">
        <v>39</v>
      </c>
      <c r="R1228" s="7" t="s">
        <v>19712</v>
      </c>
      <c r="T1228" s="7" t="s">
        <v>21120</v>
      </c>
      <c r="U1228" s="7" t="s">
        <v>3604</v>
      </c>
      <c r="V1228" s="7">
        <v>1.0</v>
      </c>
    </row>
    <row r="1229">
      <c r="A1229" s="7" t="s">
        <v>21121</v>
      </c>
      <c r="B1229" s="7">
        <v>11352.0</v>
      </c>
      <c r="C1229" s="7" t="s">
        <v>11432</v>
      </c>
      <c r="D1229" s="7" t="s">
        <v>11433</v>
      </c>
      <c r="E1229" s="7" t="s">
        <v>11434</v>
      </c>
      <c r="F1229" s="7" t="s">
        <v>4539</v>
      </c>
      <c r="G1229" s="7" t="s">
        <v>11435</v>
      </c>
      <c r="H1229" s="7" t="s">
        <v>11436</v>
      </c>
      <c r="I1229" s="119">
        <v>45292.0</v>
      </c>
      <c r="K1229" s="7" t="s">
        <v>419</v>
      </c>
      <c r="L1229" s="7" t="s">
        <v>991</v>
      </c>
      <c r="M1229" s="7" t="s">
        <v>3501</v>
      </c>
      <c r="N1229" s="7" t="s">
        <v>419</v>
      </c>
      <c r="O1229" s="7" t="s">
        <v>19430</v>
      </c>
      <c r="P1229" s="7" t="s">
        <v>717</v>
      </c>
      <c r="Q1229" s="7" t="s">
        <v>223</v>
      </c>
      <c r="R1229" s="7" t="s">
        <v>19764</v>
      </c>
      <c r="S1229" s="7" t="s">
        <v>19765</v>
      </c>
      <c r="T1229" s="7" t="s">
        <v>4565</v>
      </c>
      <c r="U1229" s="7" t="s">
        <v>3493</v>
      </c>
      <c r="V1229" s="7">
        <v>1.0</v>
      </c>
    </row>
    <row r="1230">
      <c r="A1230" s="7" t="s">
        <v>21122</v>
      </c>
      <c r="B1230" s="7">
        <v>11653.0</v>
      </c>
      <c r="C1230" s="7" t="s">
        <v>11432</v>
      </c>
      <c r="D1230" s="7" t="s">
        <v>11438</v>
      </c>
      <c r="E1230" s="7" t="s">
        <v>11434</v>
      </c>
      <c r="F1230" s="7" t="s">
        <v>4364</v>
      </c>
      <c r="G1230" s="7" t="s">
        <v>11439</v>
      </c>
      <c r="H1230" s="7" t="s">
        <v>11440</v>
      </c>
      <c r="I1230" s="119">
        <v>45292.0</v>
      </c>
      <c r="K1230" s="7" t="s">
        <v>419</v>
      </c>
      <c r="L1230" s="7" t="s">
        <v>991</v>
      </c>
      <c r="M1230" s="7" t="s">
        <v>3501</v>
      </c>
      <c r="N1230" s="7" t="s">
        <v>419</v>
      </c>
      <c r="O1230" s="7" t="s">
        <v>19432</v>
      </c>
      <c r="P1230" s="7" t="s">
        <v>1433</v>
      </c>
      <c r="Q1230" s="7" t="s">
        <v>644</v>
      </c>
      <c r="T1230" s="7" t="s">
        <v>21123</v>
      </c>
      <c r="U1230" s="7" t="s">
        <v>3493</v>
      </c>
      <c r="V1230" s="7">
        <v>1.0</v>
      </c>
    </row>
    <row r="1231">
      <c r="A1231" s="7" t="s">
        <v>21124</v>
      </c>
      <c r="B1231" s="7">
        <v>887.0</v>
      </c>
      <c r="C1231" s="7" t="s">
        <v>11444</v>
      </c>
      <c r="D1231" s="7" t="s">
        <v>11445</v>
      </c>
      <c r="E1231" s="7" t="s">
        <v>11446</v>
      </c>
      <c r="F1231" s="7" t="s">
        <v>10353</v>
      </c>
      <c r="G1231" s="7" t="s">
        <v>11447</v>
      </c>
      <c r="H1231" s="7" t="s">
        <v>11448</v>
      </c>
      <c r="I1231" s="119">
        <v>45292.0</v>
      </c>
      <c r="K1231" s="7" t="s">
        <v>419</v>
      </c>
      <c r="L1231" s="7" t="s">
        <v>991</v>
      </c>
      <c r="M1231" s="7" t="s">
        <v>3501</v>
      </c>
      <c r="N1231" s="7" t="s">
        <v>419</v>
      </c>
      <c r="O1231" s="7" t="s">
        <v>19432</v>
      </c>
      <c r="P1231" s="7" t="s">
        <v>693</v>
      </c>
      <c r="Q1231" s="7" t="s">
        <v>696</v>
      </c>
      <c r="R1231" s="7" t="s">
        <v>19934</v>
      </c>
      <c r="S1231" s="7" t="s">
        <v>19739</v>
      </c>
      <c r="T1231" s="7" t="s">
        <v>11449</v>
      </c>
      <c r="U1231" s="7" t="s">
        <v>3493</v>
      </c>
      <c r="V1231" s="7">
        <v>1.0</v>
      </c>
    </row>
    <row r="1232">
      <c r="A1232" s="7" t="s">
        <v>21125</v>
      </c>
      <c r="B1232" s="7">
        <v>2300395.0</v>
      </c>
      <c r="C1232" s="7" t="s">
        <v>11451</v>
      </c>
      <c r="D1232" s="7" t="s">
        <v>4943</v>
      </c>
      <c r="E1232" s="7" t="s">
        <v>11452</v>
      </c>
      <c r="F1232" s="7" t="s">
        <v>3792</v>
      </c>
      <c r="G1232" s="7" t="s">
        <v>11453</v>
      </c>
      <c r="H1232" s="7" t="s">
        <v>11454</v>
      </c>
      <c r="I1232" s="119">
        <v>45292.0</v>
      </c>
      <c r="K1232" s="7" t="s">
        <v>419</v>
      </c>
      <c r="L1232" s="7" t="s">
        <v>991</v>
      </c>
      <c r="M1232" s="7" t="s">
        <v>3531</v>
      </c>
      <c r="N1232" s="7" t="s">
        <v>419</v>
      </c>
      <c r="O1232" s="7" t="s">
        <v>19430</v>
      </c>
      <c r="P1232" s="7" t="s">
        <v>717</v>
      </c>
      <c r="Q1232" s="7" t="s">
        <v>1163</v>
      </c>
      <c r="R1232" s="7" t="s">
        <v>19608</v>
      </c>
      <c r="S1232" s="7" t="s">
        <v>19609</v>
      </c>
      <c r="T1232" s="7" t="s">
        <v>3967</v>
      </c>
      <c r="U1232" s="7" t="s">
        <v>3493</v>
      </c>
      <c r="V1232" s="7">
        <v>1.0</v>
      </c>
    </row>
    <row r="1233">
      <c r="A1233" s="7" t="s">
        <v>21126</v>
      </c>
      <c r="B1233" s="7">
        <v>2300300.0</v>
      </c>
      <c r="C1233" s="7" t="s">
        <v>11456</v>
      </c>
      <c r="D1233" s="7" t="s">
        <v>11457</v>
      </c>
      <c r="E1233" s="7" t="s">
        <v>11458</v>
      </c>
      <c r="F1233" s="7" t="s">
        <v>4049</v>
      </c>
      <c r="G1233" s="7" t="s">
        <v>11459</v>
      </c>
      <c r="H1233" s="7" t="s">
        <v>11460</v>
      </c>
      <c r="I1233" s="119">
        <v>45292.0</v>
      </c>
      <c r="K1233" s="7" t="s">
        <v>419</v>
      </c>
      <c r="L1233" s="7" t="s">
        <v>991</v>
      </c>
      <c r="M1233" s="7" t="s">
        <v>3531</v>
      </c>
      <c r="N1233" s="7" t="s">
        <v>419</v>
      </c>
      <c r="O1233" s="7" t="s">
        <v>19430</v>
      </c>
      <c r="P1233" s="7" t="s">
        <v>717</v>
      </c>
      <c r="Q1233" s="7" t="s">
        <v>1163</v>
      </c>
      <c r="R1233" s="7" t="s">
        <v>19608</v>
      </c>
      <c r="S1233" s="7" t="s">
        <v>20124</v>
      </c>
      <c r="T1233" s="7" t="s">
        <v>6142</v>
      </c>
      <c r="U1233" s="7" t="s">
        <v>3493</v>
      </c>
      <c r="V1233" s="7">
        <v>1.0</v>
      </c>
    </row>
    <row r="1234">
      <c r="A1234" s="7" t="s">
        <v>21127</v>
      </c>
      <c r="B1234" s="7">
        <v>12875.0</v>
      </c>
      <c r="C1234" s="7" t="s">
        <v>11462</v>
      </c>
      <c r="D1234" s="7" t="s">
        <v>11463</v>
      </c>
      <c r="E1234" s="7" t="s">
        <v>11464</v>
      </c>
      <c r="F1234" s="7" t="s">
        <v>8387</v>
      </c>
      <c r="G1234" s="7" t="s">
        <v>11465</v>
      </c>
      <c r="H1234" s="7" t="s">
        <v>11466</v>
      </c>
      <c r="I1234" s="119">
        <v>45292.0</v>
      </c>
      <c r="K1234" s="7" t="s">
        <v>419</v>
      </c>
      <c r="L1234" s="7" t="s">
        <v>991</v>
      </c>
      <c r="M1234" s="7" t="s">
        <v>3531</v>
      </c>
      <c r="N1234" s="7" t="s">
        <v>419</v>
      </c>
      <c r="O1234" s="7" t="s">
        <v>19432</v>
      </c>
      <c r="P1234" s="7" t="s">
        <v>298</v>
      </c>
      <c r="Q1234" s="7" t="s">
        <v>1284</v>
      </c>
      <c r="R1234" s="7" t="s">
        <v>20033</v>
      </c>
      <c r="S1234" s="7" t="s">
        <v>20456</v>
      </c>
      <c r="T1234" s="7" t="s">
        <v>7884</v>
      </c>
      <c r="U1234" s="7" t="s">
        <v>3493</v>
      </c>
      <c r="V1234" s="7">
        <v>1.0</v>
      </c>
    </row>
    <row r="1235">
      <c r="A1235" s="7" t="s">
        <v>21128</v>
      </c>
      <c r="B1235" s="7">
        <v>2100513.0</v>
      </c>
      <c r="C1235" s="7" t="s">
        <v>11468</v>
      </c>
      <c r="D1235" s="7" t="s">
        <v>11469</v>
      </c>
      <c r="E1235" s="7" t="s">
        <v>11470</v>
      </c>
      <c r="F1235" s="7" t="s">
        <v>6262</v>
      </c>
      <c r="G1235" s="7" t="s">
        <v>11471</v>
      </c>
      <c r="H1235" s="7" t="s">
        <v>11472</v>
      </c>
      <c r="I1235" s="119">
        <v>45292.0</v>
      </c>
      <c r="K1235" s="7" t="s">
        <v>4206</v>
      </c>
      <c r="L1235" s="7" t="s">
        <v>3542</v>
      </c>
      <c r="M1235" s="7" t="s">
        <v>3543</v>
      </c>
      <c r="N1235" s="7" t="s">
        <v>419</v>
      </c>
      <c r="O1235" s="7" t="s">
        <v>19433</v>
      </c>
      <c r="P1235" s="7" t="s">
        <v>587</v>
      </c>
      <c r="Q1235" s="7" t="s">
        <v>72</v>
      </c>
      <c r="R1235" s="7" t="s">
        <v>19677</v>
      </c>
      <c r="S1235" s="7" t="s">
        <v>19678</v>
      </c>
      <c r="T1235" s="7" t="s">
        <v>19679</v>
      </c>
      <c r="U1235" s="7" t="s">
        <v>3493</v>
      </c>
      <c r="V1235" s="7">
        <v>1.0</v>
      </c>
    </row>
    <row r="1236">
      <c r="A1236" s="7" t="s">
        <v>21129</v>
      </c>
      <c r="B1236" s="7">
        <v>10917.0</v>
      </c>
      <c r="C1236" s="7" t="s">
        <v>11468</v>
      </c>
      <c r="D1236" s="7" t="s">
        <v>11474</v>
      </c>
      <c r="E1236" s="7" t="s">
        <v>11475</v>
      </c>
      <c r="F1236" s="7" t="s">
        <v>6335</v>
      </c>
      <c r="G1236" s="7" t="s">
        <v>11476</v>
      </c>
      <c r="H1236" s="7" t="s">
        <v>11477</v>
      </c>
      <c r="I1236" s="119">
        <v>45292.0</v>
      </c>
      <c r="K1236" s="7" t="s">
        <v>419</v>
      </c>
      <c r="L1236" s="7" t="s">
        <v>991</v>
      </c>
      <c r="M1236" s="7" t="s">
        <v>3501</v>
      </c>
      <c r="N1236" s="7" t="s">
        <v>419</v>
      </c>
      <c r="O1236" s="7" t="s">
        <v>19433</v>
      </c>
      <c r="P1236" s="7" t="s">
        <v>648</v>
      </c>
      <c r="Q1236" s="7" t="s">
        <v>141</v>
      </c>
      <c r="R1236" s="7" t="s">
        <v>19886</v>
      </c>
      <c r="S1236" s="7" t="s">
        <v>20701</v>
      </c>
      <c r="T1236" s="7" t="s">
        <v>9138</v>
      </c>
      <c r="U1236" s="7" t="s">
        <v>3843</v>
      </c>
      <c r="V1236" s="7">
        <v>1.0</v>
      </c>
    </row>
    <row r="1237">
      <c r="A1237" s="7" t="s">
        <v>21130</v>
      </c>
      <c r="B1237" s="7">
        <v>12420.0</v>
      </c>
      <c r="C1237" s="7" t="s">
        <v>11479</v>
      </c>
      <c r="D1237" s="7" t="s">
        <v>11480</v>
      </c>
      <c r="E1237" s="7" t="s">
        <v>11481</v>
      </c>
      <c r="F1237" s="7" t="s">
        <v>7078</v>
      </c>
      <c r="G1237" s="7" t="s">
        <v>11482</v>
      </c>
      <c r="H1237" s="7" t="s">
        <v>11483</v>
      </c>
      <c r="I1237" s="119">
        <v>45292.0</v>
      </c>
      <c r="K1237" s="7" t="s">
        <v>419</v>
      </c>
      <c r="L1237" s="7" t="s">
        <v>991</v>
      </c>
      <c r="M1237" s="7" t="s">
        <v>3501</v>
      </c>
      <c r="N1237" s="7" t="s">
        <v>419</v>
      </c>
      <c r="O1237" s="7" t="s">
        <v>19433</v>
      </c>
      <c r="P1237" s="7" t="s">
        <v>648</v>
      </c>
      <c r="Q1237" s="7" t="s">
        <v>143</v>
      </c>
      <c r="R1237" s="7" t="s">
        <v>19672</v>
      </c>
      <c r="T1237" s="7" t="s">
        <v>21131</v>
      </c>
      <c r="U1237" s="7" t="s">
        <v>3604</v>
      </c>
      <c r="V1237" s="7">
        <v>1.0</v>
      </c>
    </row>
    <row r="1238">
      <c r="A1238" s="7" t="s">
        <v>21132</v>
      </c>
      <c r="B1238" s="7">
        <v>2200081.0</v>
      </c>
      <c r="C1238" s="7" t="s">
        <v>11487</v>
      </c>
      <c r="D1238" s="7" t="s">
        <v>11488</v>
      </c>
      <c r="E1238" s="7" t="s">
        <v>11489</v>
      </c>
      <c r="F1238" s="7" t="s">
        <v>11490</v>
      </c>
      <c r="G1238" s="7" t="s">
        <v>11491</v>
      </c>
      <c r="H1238" s="7" t="s">
        <v>11492</v>
      </c>
      <c r="I1238" s="119">
        <v>45292.0</v>
      </c>
      <c r="K1238" s="7" t="s">
        <v>419</v>
      </c>
      <c r="L1238" s="7" t="s">
        <v>991</v>
      </c>
      <c r="M1238" s="7" t="s">
        <v>3501</v>
      </c>
      <c r="N1238" s="7" t="s">
        <v>419</v>
      </c>
      <c r="O1238" s="7" t="s">
        <v>19430</v>
      </c>
      <c r="P1238" s="7" t="s">
        <v>717</v>
      </c>
      <c r="Q1238" s="7" t="s">
        <v>738</v>
      </c>
      <c r="R1238" s="7" t="s">
        <v>20305</v>
      </c>
      <c r="S1238" s="7" t="s">
        <v>20306</v>
      </c>
      <c r="T1238" s="7" t="s">
        <v>7094</v>
      </c>
      <c r="U1238" s="7" t="s">
        <v>3493</v>
      </c>
      <c r="V1238" s="7">
        <v>1.0</v>
      </c>
    </row>
    <row r="1239">
      <c r="A1239" s="7" t="s">
        <v>21133</v>
      </c>
      <c r="B1239" s="7">
        <v>789.0</v>
      </c>
      <c r="C1239" s="7" t="s">
        <v>11487</v>
      </c>
      <c r="D1239" s="7" t="s">
        <v>11494</v>
      </c>
      <c r="E1239" s="7" t="s">
        <v>11489</v>
      </c>
      <c r="F1239" s="7" t="s">
        <v>11495</v>
      </c>
      <c r="G1239" s="7" t="s">
        <v>11496</v>
      </c>
      <c r="H1239" s="7" t="s">
        <v>11497</v>
      </c>
      <c r="I1239" s="119">
        <v>45292.0</v>
      </c>
      <c r="K1239" s="7" t="s">
        <v>419</v>
      </c>
      <c r="L1239" s="7" t="s">
        <v>991</v>
      </c>
      <c r="M1239" s="7" t="s">
        <v>3501</v>
      </c>
      <c r="N1239" s="7" t="s">
        <v>419</v>
      </c>
      <c r="O1239" s="7" t="s">
        <v>19432</v>
      </c>
      <c r="P1239" s="7" t="s">
        <v>391</v>
      </c>
      <c r="Q1239" s="7" t="s">
        <v>392</v>
      </c>
      <c r="R1239" s="7" t="s">
        <v>20982</v>
      </c>
      <c r="T1239" s="7" t="s">
        <v>11498</v>
      </c>
      <c r="U1239" s="7" t="s">
        <v>3493</v>
      </c>
      <c r="V1239" s="7">
        <v>1.0</v>
      </c>
    </row>
    <row r="1240">
      <c r="A1240" s="7" t="s">
        <v>21134</v>
      </c>
      <c r="B1240" s="7">
        <v>10414.0</v>
      </c>
      <c r="C1240" s="7" t="s">
        <v>11500</v>
      </c>
      <c r="D1240" s="7" t="s">
        <v>11501</v>
      </c>
      <c r="E1240" s="7" t="s">
        <v>11502</v>
      </c>
      <c r="F1240" s="7" t="s">
        <v>11503</v>
      </c>
      <c r="G1240" s="7" t="s">
        <v>11504</v>
      </c>
      <c r="H1240" s="7" t="s">
        <v>11505</v>
      </c>
      <c r="I1240" s="119">
        <v>45292.0</v>
      </c>
      <c r="K1240" s="7" t="s">
        <v>419</v>
      </c>
      <c r="L1240" s="7" t="s">
        <v>991</v>
      </c>
      <c r="M1240" s="7" t="s">
        <v>3501</v>
      </c>
      <c r="N1240" s="7" t="s">
        <v>419</v>
      </c>
      <c r="O1240" s="7" t="s">
        <v>19432</v>
      </c>
      <c r="P1240" s="7" t="s">
        <v>693</v>
      </c>
      <c r="Q1240" s="7" t="s">
        <v>698</v>
      </c>
      <c r="R1240" s="7" t="s">
        <v>19652</v>
      </c>
      <c r="S1240" s="7" t="s">
        <v>19843</v>
      </c>
      <c r="T1240" s="7" t="s">
        <v>4854</v>
      </c>
      <c r="U1240" s="7" t="s">
        <v>3493</v>
      </c>
      <c r="V1240" s="7">
        <v>1.0</v>
      </c>
    </row>
    <row r="1241">
      <c r="A1241" s="7" t="s">
        <v>21135</v>
      </c>
      <c r="B1241" s="7">
        <v>10024.0</v>
      </c>
      <c r="C1241" s="7" t="s">
        <v>11500</v>
      </c>
      <c r="D1241" s="7" t="s">
        <v>11507</v>
      </c>
      <c r="E1241" s="7" t="s">
        <v>11502</v>
      </c>
      <c r="F1241" s="7" t="s">
        <v>11508</v>
      </c>
      <c r="G1241" s="7" t="s">
        <v>11509</v>
      </c>
      <c r="H1241" s="7" t="s">
        <v>11510</v>
      </c>
      <c r="I1241" s="119">
        <v>45292.0</v>
      </c>
      <c r="K1241" s="7" t="s">
        <v>419</v>
      </c>
      <c r="L1241" s="7" t="s">
        <v>991</v>
      </c>
      <c r="M1241" s="7" t="s">
        <v>3501</v>
      </c>
      <c r="N1241" s="7" t="s">
        <v>419</v>
      </c>
      <c r="O1241" s="7" t="s">
        <v>19432</v>
      </c>
      <c r="P1241" s="7" t="s">
        <v>391</v>
      </c>
      <c r="Q1241" s="7" t="s">
        <v>392</v>
      </c>
      <c r="R1241" s="7" t="s">
        <v>19706</v>
      </c>
      <c r="T1241" s="7" t="s">
        <v>18578</v>
      </c>
      <c r="U1241" s="7" t="s">
        <v>3604</v>
      </c>
      <c r="V1241" s="7">
        <v>1.0</v>
      </c>
    </row>
    <row r="1242">
      <c r="A1242" s="7" t="s">
        <v>21136</v>
      </c>
      <c r="B1242" s="7">
        <v>790.0</v>
      </c>
      <c r="C1242" s="7" t="s">
        <v>11500</v>
      </c>
      <c r="D1242" s="7" t="s">
        <v>4510</v>
      </c>
      <c r="E1242" s="7" t="s">
        <v>11502</v>
      </c>
      <c r="F1242" s="7" t="s">
        <v>4511</v>
      </c>
      <c r="G1242" s="7" t="s">
        <v>11512</v>
      </c>
      <c r="H1242" s="7" t="s">
        <v>11513</v>
      </c>
      <c r="I1242" s="119">
        <v>45292.0</v>
      </c>
      <c r="K1242" s="7" t="s">
        <v>419</v>
      </c>
      <c r="L1242" s="7" t="s">
        <v>991</v>
      </c>
      <c r="M1242" s="7" t="s">
        <v>3501</v>
      </c>
      <c r="N1242" s="7" t="s">
        <v>419</v>
      </c>
      <c r="O1242" s="7" t="s">
        <v>19440</v>
      </c>
      <c r="P1242" s="7" t="s">
        <v>3</v>
      </c>
      <c r="T1242" s="7" t="s">
        <v>11515</v>
      </c>
      <c r="U1242" s="7" t="s">
        <v>3493</v>
      </c>
      <c r="V1242" s="7">
        <v>1.0</v>
      </c>
    </row>
    <row r="1243">
      <c r="A1243" s="7" t="s">
        <v>21137</v>
      </c>
      <c r="B1243" s="7">
        <v>13691.0</v>
      </c>
      <c r="C1243" s="7" t="s">
        <v>11500</v>
      </c>
      <c r="D1243" s="7" t="s">
        <v>11517</v>
      </c>
      <c r="E1243" s="7" t="s">
        <v>11502</v>
      </c>
      <c r="F1243" s="7" t="s">
        <v>4525</v>
      </c>
      <c r="G1243" s="7" t="s">
        <v>11518</v>
      </c>
      <c r="H1243" s="7" t="s">
        <v>11519</v>
      </c>
      <c r="I1243" s="119">
        <v>45292.0</v>
      </c>
      <c r="K1243" s="7" t="s">
        <v>3632</v>
      </c>
      <c r="L1243" s="7" t="s">
        <v>991</v>
      </c>
      <c r="M1243" s="7" t="s">
        <v>3501</v>
      </c>
      <c r="N1243" s="7" t="s">
        <v>3632</v>
      </c>
      <c r="O1243" s="7" t="s">
        <v>3632</v>
      </c>
      <c r="P1243" s="7" t="s">
        <v>625</v>
      </c>
      <c r="Q1243" s="7" t="s">
        <v>118</v>
      </c>
      <c r="R1243" s="7" t="s">
        <v>19540</v>
      </c>
      <c r="T1243" s="7" t="s">
        <v>3718</v>
      </c>
      <c r="U1243" s="7" t="s">
        <v>3604</v>
      </c>
      <c r="V1243" s="7">
        <v>1.0</v>
      </c>
    </row>
    <row r="1244">
      <c r="A1244" s="7" t="s">
        <v>21138</v>
      </c>
      <c r="B1244" s="7">
        <v>11918.0</v>
      </c>
      <c r="C1244" s="7" t="s">
        <v>11500</v>
      </c>
      <c r="D1244" s="7" t="s">
        <v>11522</v>
      </c>
      <c r="E1244" s="7" t="s">
        <v>11502</v>
      </c>
      <c r="F1244" s="7" t="s">
        <v>11523</v>
      </c>
      <c r="G1244" s="7" t="s">
        <v>11524</v>
      </c>
      <c r="H1244" s="7" t="s">
        <v>11525</v>
      </c>
      <c r="I1244" s="119">
        <v>45292.0</v>
      </c>
      <c r="K1244" s="7" t="s">
        <v>419</v>
      </c>
      <c r="L1244" s="7" t="s">
        <v>991</v>
      </c>
      <c r="M1244" s="7" t="s">
        <v>3501</v>
      </c>
      <c r="N1244" s="7" t="s">
        <v>419</v>
      </c>
      <c r="O1244" s="7" t="s">
        <v>19430</v>
      </c>
      <c r="P1244" s="7" t="s">
        <v>780</v>
      </c>
      <c r="Q1244" s="7" t="s">
        <v>786</v>
      </c>
      <c r="R1244" s="7" t="s">
        <v>19839</v>
      </c>
      <c r="T1244" s="7" t="s">
        <v>4835</v>
      </c>
      <c r="U1244" s="7" t="s">
        <v>3493</v>
      </c>
      <c r="V1244" s="7">
        <v>1.0</v>
      </c>
    </row>
    <row r="1245">
      <c r="A1245" s="7" t="s">
        <v>21139</v>
      </c>
      <c r="B1245" s="7">
        <v>10680.0</v>
      </c>
      <c r="C1245" s="7" t="s">
        <v>11500</v>
      </c>
      <c r="D1245" s="7" t="s">
        <v>11528</v>
      </c>
      <c r="E1245" s="7" t="s">
        <v>11502</v>
      </c>
      <c r="F1245" s="7" t="s">
        <v>6612</v>
      </c>
      <c r="G1245" s="7" t="s">
        <v>11529</v>
      </c>
      <c r="H1245" s="7" t="s">
        <v>11530</v>
      </c>
      <c r="I1245" s="119">
        <v>45292.0</v>
      </c>
      <c r="K1245" s="7" t="s">
        <v>419</v>
      </c>
      <c r="L1245" s="7" t="s">
        <v>991</v>
      </c>
      <c r="M1245" s="7" t="s">
        <v>3501</v>
      </c>
      <c r="N1245" s="7" t="s">
        <v>419</v>
      </c>
      <c r="O1245" s="7" t="s">
        <v>19432</v>
      </c>
      <c r="P1245" s="7" t="s">
        <v>693</v>
      </c>
      <c r="Q1245" s="7" t="s">
        <v>696</v>
      </c>
      <c r="R1245" s="7" t="s">
        <v>20395</v>
      </c>
      <c r="T1245" s="7" t="s">
        <v>11532</v>
      </c>
      <c r="U1245" s="7" t="s">
        <v>3604</v>
      </c>
      <c r="V1245" s="7">
        <v>1.0</v>
      </c>
    </row>
    <row r="1246">
      <c r="A1246" s="7" t="s">
        <v>21140</v>
      </c>
      <c r="B1246" s="7">
        <v>13905.0</v>
      </c>
      <c r="C1246" s="7" t="s">
        <v>11500</v>
      </c>
      <c r="D1246" s="7" t="s">
        <v>5675</v>
      </c>
      <c r="E1246" s="7" t="s">
        <v>11502</v>
      </c>
      <c r="F1246" s="7" t="s">
        <v>4539</v>
      </c>
      <c r="G1246" s="7" t="s">
        <v>11534</v>
      </c>
      <c r="H1246" s="7" t="s">
        <v>11535</v>
      </c>
      <c r="I1246" s="119">
        <v>45292.0</v>
      </c>
      <c r="K1246" s="7" t="s">
        <v>419</v>
      </c>
      <c r="L1246" s="7" t="s">
        <v>991</v>
      </c>
      <c r="M1246" s="7" t="s">
        <v>3531</v>
      </c>
      <c r="N1246" s="7" t="s">
        <v>419</v>
      </c>
      <c r="O1246" s="7" t="s">
        <v>19443</v>
      </c>
      <c r="P1246" s="7" t="s">
        <v>323</v>
      </c>
      <c r="Q1246" s="7" t="s">
        <v>824</v>
      </c>
      <c r="R1246" s="7" t="s">
        <v>19570</v>
      </c>
      <c r="T1246" s="7" t="s">
        <v>8116</v>
      </c>
      <c r="U1246" s="7" t="s">
        <v>3493</v>
      </c>
      <c r="V1246" s="7">
        <v>1.0</v>
      </c>
    </row>
    <row r="1247">
      <c r="A1247" s="7" t="s">
        <v>21141</v>
      </c>
      <c r="B1247" s="7">
        <v>14298.0</v>
      </c>
      <c r="C1247" s="7" t="s">
        <v>11500</v>
      </c>
      <c r="D1247" s="7" t="s">
        <v>11537</v>
      </c>
      <c r="E1247" s="7" t="s">
        <v>11502</v>
      </c>
      <c r="F1247" s="7" t="s">
        <v>5074</v>
      </c>
      <c r="G1247" s="7" t="s">
        <v>11538</v>
      </c>
      <c r="H1247" s="7" t="s">
        <v>11539</v>
      </c>
      <c r="I1247" s="119">
        <v>45292.0</v>
      </c>
      <c r="K1247" s="7" t="s">
        <v>419</v>
      </c>
      <c r="L1247" s="7" t="s">
        <v>991</v>
      </c>
      <c r="M1247" s="7" t="s">
        <v>3531</v>
      </c>
      <c r="N1247" s="7" t="s">
        <v>419</v>
      </c>
      <c r="O1247" s="7" t="s">
        <v>19430</v>
      </c>
      <c r="P1247" s="7" t="s">
        <v>717</v>
      </c>
      <c r="Q1247" s="7" t="s">
        <v>1163</v>
      </c>
      <c r="R1247" s="7" t="s">
        <v>19546</v>
      </c>
      <c r="S1247" s="7" t="s">
        <v>19684</v>
      </c>
      <c r="T1247" s="7" t="s">
        <v>4238</v>
      </c>
      <c r="U1247" s="7" t="s">
        <v>3493</v>
      </c>
      <c r="V1247" s="7">
        <v>1.0</v>
      </c>
    </row>
    <row r="1248">
      <c r="A1248" s="7" t="s">
        <v>21142</v>
      </c>
      <c r="B1248" s="7">
        <v>1256.0</v>
      </c>
      <c r="C1248" s="7" t="s">
        <v>11541</v>
      </c>
      <c r="D1248" s="7" t="s">
        <v>11542</v>
      </c>
      <c r="E1248" s="7" t="s">
        <v>11543</v>
      </c>
      <c r="F1248" s="7" t="s">
        <v>11544</v>
      </c>
      <c r="G1248" s="7" t="s">
        <v>11545</v>
      </c>
      <c r="H1248" s="7" t="s">
        <v>11546</v>
      </c>
      <c r="I1248" s="119">
        <v>45292.0</v>
      </c>
      <c r="K1248" s="7" t="s">
        <v>419</v>
      </c>
      <c r="L1248" s="7" t="s">
        <v>991</v>
      </c>
      <c r="M1248" s="7" t="s">
        <v>3501</v>
      </c>
      <c r="N1248" s="7" t="s">
        <v>419</v>
      </c>
      <c r="O1248" s="7" t="s">
        <v>19430</v>
      </c>
      <c r="P1248" s="7" t="s">
        <v>717</v>
      </c>
      <c r="Q1248" s="7" t="s">
        <v>738</v>
      </c>
      <c r="R1248" s="7" t="s">
        <v>20305</v>
      </c>
      <c r="S1248" s="7" t="s">
        <v>20306</v>
      </c>
      <c r="T1248" s="7" t="s">
        <v>7094</v>
      </c>
      <c r="U1248" s="7" t="s">
        <v>3493</v>
      </c>
      <c r="V1248" s="7">
        <v>1.0</v>
      </c>
    </row>
    <row r="1249">
      <c r="A1249" s="7" t="s">
        <v>1377</v>
      </c>
      <c r="B1249" s="7">
        <v>231.0</v>
      </c>
      <c r="C1249" s="7" t="s">
        <v>11541</v>
      </c>
      <c r="D1249" s="7" t="s">
        <v>11547</v>
      </c>
      <c r="E1249" s="7" t="s">
        <v>11543</v>
      </c>
      <c r="F1249" s="7" t="s">
        <v>11548</v>
      </c>
      <c r="G1249" s="7" t="s">
        <v>11549</v>
      </c>
      <c r="H1249" s="7" t="s">
        <v>11550</v>
      </c>
      <c r="I1249" s="119">
        <v>45292.0</v>
      </c>
      <c r="K1249" s="7" t="s">
        <v>419</v>
      </c>
      <c r="L1249" s="7" t="s">
        <v>991</v>
      </c>
      <c r="M1249" s="7" t="s">
        <v>3501</v>
      </c>
      <c r="N1249" s="7" t="s">
        <v>419</v>
      </c>
      <c r="O1249" s="7" t="s">
        <v>19437</v>
      </c>
      <c r="P1249" s="7" t="s">
        <v>603</v>
      </c>
      <c r="Q1249" s="7" t="s">
        <v>90</v>
      </c>
      <c r="R1249" s="7" t="s">
        <v>19690</v>
      </c>
      <c r="T1249" s="7" t="s">
        <v>11552</v>
      </c>
      <c r="U1249" s="7" t="s">
        <v>3604</v>
      </c>
      <c r="V1249" s="7">
        <v>1.0</v>
      </c>
    </row>
    <row r="1250">
      <c r="A1250" s="7" t="s">
        <v>21143</v>
      </c>
      <c r="B1250" s="7">
        <v>10898.0</v>
      </c>
      <c r="C1250" s="7" t="s">
        <v>11541</v>
      </c>
      <c r="D1250" s="7" t="s">
        <v>11554</v>
      </c>
      <c r="E1250" s="7" t="s">
        <v>11543</v>
      </c>
      <c r="F1250" s="7" t="s">
        <v>11555</v>
      </c>
      <c r="G1250" s="7" t="s">
        <v>11556</v>
      </c>
      <c r="H1250" s="7" t="s">
        <v>11557</v>
      </c>
      <c r="I1250" s="119">
        <v>45292.0</v>
      </c>
      <c r="K1250" s="7" t="s">
        <v>419</v>
      </c>
      <c r="L1250" s="7" t="s">
        <v>991</v>
      </c>
      <c r="M1250" s="7" t="s">
        <v>3501</v>
      </c>
      <c r="N1250" s="7" t="s">
        <v>419</v>
      </c>
      <c r="O1250" s="7" t="s">
        <v>19430</v>
      </c>
      <c r="P1250" s="7" t="s">
        <v>854</v>
      </c>
      <c r="Q1250" s="7" t="s">
        <v>857</v>
      </c>
      <c r="R1250" s="7" t="s">
        <v>21144</v>
      </c>
      <c r="T1250" s="7" t="s">
        <v>11559</v>
      </c>
      <c r="U1250" s="7" t="s">
        <v>3604</v>
      </c>
      <c r="V1250" s="7">
        <v>1.0</v>
      </c>
    </row>
    <row r="1251">
      <c r="A1251" s="7" t="s">
        <v>21145</v>
      </c>
      <c r="B1251" s="7">
        <v>2200444.0</v>
      </c>
      <c r="C1251" s="7" t="s">
        <v>11541</v>
      </c>
      <c r="D1251" s="7" t="s">
        <v>11507</v>
      </c>
      <c r="E1251" s="7" t="s">
        <v>11543</v>
      </c>
      <c r="F1251" s="7" t="s">
        <v>4911</v>
      </c>
      <c r="G1251" s="7" t="s">
        <v>11561</v>
      </c>
      <c r="H1251" s="7" t="s">
        <v>11562</v>
      </c>
      <c r="I1251" s="119">
        <v>45292.0</v>
      </c>
      <c r="K1251" s="7" t="s">
        <v>419</v>
      </c>
      <c r="L1251" s="7" t="s">
        <v>991</v>
      </c>
      <c r="M1251" s="7" t="s">
        <v>3501</v>
      </c>
      <c r="N1251" s="7" t="s">
        <v>419</v>
      </c>
      <c r="O1251" s="7" t="s">
        <v>19430</v>
      </c>
      <c r="P1251" s="7" t="s">
        <v>780</v>
      </c>
      <c r="Q1251" s="7" t="s">
        <v>284</v>
      </c>
      <c r="R1251" s="7" t="s">
        <v>19554</v>
      </c>
      <c r="T1251" s="7" t="s">
        <v>5454</v>
      </c>
      <c r="U1251" s="7" t="s">
        <v>3493</v>
      </c>
      <c r="V1251" s="7">
        <v>1.0</v>
      </c>
    </row>
    <row r="1252">
      <c r="A1252" s="7" t="s">
        <v>21146</v>
      </c>
      <c r="B1252" s="7">
        <v>2300213.0</v>
      </c>
      <c r="C1252" s="7" t="s">
        <v>11541</v>
      </c>
      <c r="D1252" s="7" t="s">
        <v>5132</v>
      </c>
      <c r="E1252" s="7" t="s">
        <v>11543</v>
      </c>
      <c r="F1252" s="7" t="s">
        <v>5132</v>
      </c>
      <c r="G1252" s="7" t="s">
        <v>11565</v>
      </c>
      <c r="H1252" s="7" t="s">
        <v>11566</v>
      </c>
      <c r="I1252" s="119">
        <v>45292.0</v>
      </c>
      <c r="K1252" s="7" t="s">
        <v>6291</v>
      </c>
      <c r="L1252" s="7" t="s">
        <v>3542</v>
      </c>
      <c r="M1252" s="7" t="s">
        <v>3563</v>
      </c>
      <c r="N1252" s="7" t="s">
        <v>419</v>
      </c>
      <c r="O1252" s="7" t="s">
        <v>19437</v>
      </c>
      <c r="P1252" s="7" t="s">
        <v>440</v>
      </c>
      <c r="Q1252" s="7" t="s">
        <v>924</v>
      </c>
      <c r="R1252" s="7" t="s">
        <v>19773</v>
      </c>
      <c r="T1252" s="7" t="s">
        <v>21147</v>
      </c>
      <c r="U1252" s="7" t="s">
        <v>3604</v>
      </c>
      <c r="V1252" s="7">
        <v>1.0</v>
      </c>
    </row>
    <row r="1253">
      <c r="A1253" s="7" t="s">
        <v>21148</v>
      </c>
      <c r="B1253" s="7">
        <v>875.0</v>
      </c>
      <c r="C1253" s="7" t="s">
        <v>11541</v>
      </c>
      <c r="D1253" s="7" t="s">
        <v>11571</v>
      </c>
      <c r="E1253" s="7" t="s">
        <v>11543</v>
      </c>
      <c r="F1253" s="7" t="s">
        <v>3721</v>
      </c>
      <c r="G1253" s="7" t="s">
        <v>11572</v>
      </c>
      <c r="H1253" s="7" t="s">
        <v>11573</v>
      </c>
      <c r="I1253" s="119">
        <v>45292.0</v>
      </c>
      <c r="K1253" s="7" t="s">
        <v>419</v>
      </c>
      <c r="L1253" s="7" t="s">
        <v>991</v>
      </c>
      <c r="M1253" s="7" t="s">
        <v>3501</v>
      </c>
      <c r="N1253" s="7" t="s">
        <v>419</v>
      </c>
      <c r="O1253" s="7" t="s">
        <v>19443</v>
      </c>
      <c r="P1253" s="7" t="s">
        <v>1242</v>
      </c>
      <c r="Q1253" s="7" t="s">
        <v>48</v>
      </c>
      <c r="R1253" s="7" t="s">
        <v>19710</v>
      </c>
      <c r="T1253" s="7" t="s">
        <v>4331</v>
      </c>
      <c r="U1253" s="7" t="s">
        <v>3493</v>
      </c>
      <c r="V1253" s="7">
        <v>1.0</v>
      </c>
    </row>
    <row r="1254">
      <c r="A1254" s="7" t="s">
        <v>21149</v>
      </c>
      <c r="B1254" s="7">
        <v>2100682.0</v>
      </c>
      <c r="C1254" s="7" t="s">
        <v>11575</v>
      </c>
      <c r="D1254" s="7" t="s">
        <v>11576</v>
      </c>
      <c r="E1254" s="7" t="s">
        <v>11577</v>
      </c>
      <c r="F1254" s="7" t="s">
        <v>11578</v>
      </c>
      <c r="G1254" s="7" t="s">
        <v>11579</v>
      </c>
      <c r="H1254" s="7" t="s">
        <v>11580</v>
      </c>
      <c r="I1254" s="119">
        <v>45292.0</v>
      </c>
      <c r="K1254" s="7" t="s">
        <v>419</v>
      </c>
      <c r="L1254" s="7" t="s">
        <v>991</v>
      </c>
      <c r="M1254" s="7" t="s">
        <v>3531</v>
      </c>
      <c r="N1254" s="7" t="s">
        <v>419</v>
      </c>
      <c r="O1254" s="7" t="s">
        <v>19443</v>
      </c>
      <c r="P1254" s="7" t="s">
        <v>323</v>
      </c>
      <c r="Q1254" s="7" t="s">
        <v>324</v>
      </c>
      <c r="T1254" s="7" t="s">
        <v>7948</v>
      </c>
      <c r="U1254" s="7" t="s">
        <v>3493</v>
      </c>
      <c r="V1254" s="7">
        <v>1.0</v>
      </c>
    </row>
    <row r="1255">
      <c r="A1255" s="7" t="s">
        <v>21150</v>
      </c>
      <c r="B1255" s="7">
        <v>12728.0</v>
      </c>
      <c r="C1255" s="7" t="s">
        <v>11582</v>
      </c>
      <c r="D1255" s="7" t="s">
        <v>11583</v>
      </c>
      <c r="E1255" s="7" t="s">
        <v>11584</v>
      </c>
      <c r="F1255" s="7" t="s">
        <v>11585</v>
      </c>
      <c r="G1255" s="7" t="s">
        <v>11586</v>
      </c>
      <c r="H1255" s="7" t="s">
        <v>11587</v>
      </c>
      <c r="I1255" s="119">
        <v>45292.0</v>
      </c>
      <c r="K1255" s="7" t="s">
        <v>419</v>
      </c>
      <c r="L1255" s="7" t="s">
        <v>991</v>
      </c>
      <c r="M1255" s="7" t="s">
        <v>3501</v>
      </c>
      <c r="N1255" s="7" t="s">
        <v>419</v>
      </c>
      <c r="O1255" s="7" t="s">
        <v>19430</v>
      </c>
      <c r="P1255" s="7" t="s">
        <v>717</v>
      </c>
      <c r="Q1255" s="7" t="s">
        <v>730</v>
      </c>
      <c r="R1255" s="7" t="s">
        <v>20149</v>
      </c>
      <c r="S1255" s="7" t="s">
        <v>20150</v>
      </c>
      <c r="T1255" s="7" t="s">
        <v>8357</v>
      </c>
      <c r="U1255" s="7" t="s">
        <v>3493</v>
      </c>
      <c r="V1255" s="7">
        <v>1.0</v>
      </c>
    </row>
    <row r="1256">
      <c r="A1256" s="7" t="s">
        <v>21151</v>
      </c>
      <c r="B1256" s="7">
        <v>11647.0</v>
      </c>
      <c r="C1256" s="7" t="s">
        <v>11589</v>
      </c>
      <c r="D1256" s="7" t="s">
        <v>11590</v>
      </c>
      <c r="E1256" s="7" t="s">
        <v>11591</v>
      </c>
      <c r="F1256" s="7" t="s">
        <v>4478</v>
      </c>
      <c r="G1256" s="7" t="s">
        <v>11592</v>
      </c>
      <c r="H1256" s="7" t="s">
        <v>11593</v>
      </c>
      <c r="I1256" s="119">
        <v>45292.0</v>
      </c>
      <c r="K1256" s="7" t="s">
        <v>419</v>
      </c>
      <c r="L1256" s="7" t="s">
        <v>991</v>
      </c>
      <c r="M1256" s="7" t="s">
        <v>3501</v>
      </c>
      <c r="N1256" s="7" t="s">
        <v>419</v>
      </c>
      <c r="O1256" s="7" t="s">
        <v>19430</v>
      </c>
      <c r="P1256" s="7" t="s">
        <v>780</v>
      </c>
      <c r="Q1256" s="7" t="s">
        <v>286</v>
      </c>
      <c r="R1256" s="7" t="s">
        <v>19914</v>
      </c>
      <c r="T1256" s="7" t="s">
        <v>18038</v>
      </c>
      <c r="U1256" s="7" t="s">
        <v>3604</v>
      </c>
      <c r="V1256" s="7">
        <v>1.0</v>
      </c>
    </row>
    <row r="1257">
      <c r="A1257" s="7" t="s">
        <v>21152</v>
      </c>
      <c r="B1257" s="7">
        <v>2100363.0</v>
      </c>
      <c r="C1257" s="7" t="s">
        <v>11596</v>
      </c>
      <c r="D1257" s="7" t="s">
        <v>11597</v>
      </c>
      <c r="E1257" s="7" t="s">
        <v>11598</v>
      </c>
      <c r="F1257" s="7" t="s">
        <v>11599</v>
      </c>
      <c r="G1257" s="7" t="s">
        <v>11600</v>
      </c>
      <c r="H1257" s="7" t="s">
        <v>11601</v>
      </c>
      <c r="I1257" s="119">
        <v>45292.0</v>
      </c>
      <c r="K1257" s="7" t="s">
        <v>419</v>
      </c>
      <c r="L1257" s="7" t="s">
        <v>991</v>
      </c>
      <c r="M1257" s="7" t="s">
        <v>3531</v>
      </c>
      <c r="N1257" s="7" t="s">
        <v>419</v>
      </c>
      <c r="O1257" s="7" t="s">
        <v>19430</v>
      </c>
      <c r="P1257" s="7" t="s">
        <v>717</v>
      </c>
      <c r="Q1257" s="7" t="s">
        <v>725</v>
      </c>
      <c r="R1257" s="7" t="s">
        <v>19501</v>
      </c>
      <c r="S1257" s="7" t="s">
        <v>19726</v>
      </c>
      <c r="T1257" s="7" t="s">
        <v>4400</v>
      </c>
      <c r="U1257" s="7" t="s">
        <v>3493</v>
      </c>
      <c r="V1257" s="7">
        <v>1.0</v>
      </c>
    </row>
    <row r="1258">
      <c r="A1258" s="7" t="s">
        <v>21153</v>
      </c>
      <c r="B1258" s="7">
        <v>13548.0</v>
      </c>
      <c r="C1258" s="7" t="s">
        <v>11603</v>
      </c>
      <c r="D1258" s="7" t="s">
        <v>11604</v>
      </c>
      <c r="E1258" s="7" t="s">
        <v>11605</v>
      </c>
      <c r="F1258" s="7" t="s">
        <v>11606</v>
      </c>
      <c r="G1258" s="7" t="s">
        <v>11607</v>
      </c>
      <c r="H1258" s="7" t="s">
        <v>11608</v>
      </c>
      <c r="I1258" s="119">
        <v>45292.0</v>
      </c>
      <c r="K1258" s="7" t="s">
        <v>419</v>
      </c>
      <c r="L1258" s="7" t="s">
        <v>991</v>
      </c>
      <c r="M1258" s="7" t="s">
        <v>3501</v>
      </c>
      <c r="N1258" s="7" t="s">
        <v>419</v>
      </c>
      <c r="O1258" s="7" t="s">
        <v>19430</v>
      </c>
      <c r="P1258" s="7" t="s">
        <v>717</v>
      </c>
      <c r="Q1258" s="7" t="s">
        <v>1163</v>
      </c>
      <c r="R1258" s="7" t="s">
        <v>19546</v>
      </c>
      <c r="S1258" s="7" t="s">
        <v>19684</v>
      </c>
      <c r="T1258" s="7" t="s">
        <v>4238</v>
      </c>
      <c r="U1258" s="7" t="s">
        <v>3493</v>
      </c>
      <c r="V1258" s="7">
        <v>1.0</v>
      </c>
    </row>
    <row r="1259">
      <c r="A1259" s="7" t="s">
        <v>21154</v>
      </c>
      <c r="B1259" s="7">
        <v>2300514.0</v>
      </c>
      <c r="C1259" s="7" t="s">
        <v>11610</v>
      </c>
      <c r="D1259" s="7" t="s">
        <v>11611</v>
      </c>
      <c r="E1259" s="7" t="s">
        <v>11612</v>
      </c>
      <c r="F1259" s="7" t="s">
        <v>3549</v>
      </c>
      <c r="G1259" s="7" t="s">
        <v>11613</v>
      </c>
      <c r="H1259" s="7" t="s">
        <v>11614</v>
      </c>
      <c r="I1259" s="119">
        <v>45292.0</v>
      </c>
      <c r="K1259" s="7" t="s">
        <v>419</v>
      </c>
      <c r="L1259" s="7" t="s">
        <v>991</v>
      </c>
      <c r="M1259" s="7" t="s">
        <v>3501</v>
      </c>
      <c r="N1259" s="7" t="s">
        <v>419</v>
      </c>
      <c r="O1259" s="7" t="s">
        <v>19430</v>
      </c>
      <c r="P1259" s="7" t="s">
        <v>717</v>
      </c>
      <c r="Q1259" s="7" t="s">
        <v>730</v>
      </c>
      <c r="R1259" s="7" t="s">
        <v>20149</v>
      </c>
      <c r="S1259" s="7" t="s">
        <v>20420</v>
      </c>
      <c r="T1259" s="7" t="s">
        <v>7695</v>
      </c>
      <c r="U1259" s="7" t="s">
        <v>3843</v>
      </c>
      <c r="V1259" s="7">
        <v>1.0</v>
      </c>
    </row>
    <row r="1260">
      <c r="A1260" s="7" t="s">
        <v>21155</v>
      </c>
      <c r="B1260" s="7">
        <v>11712.0</v>
      </c>
      <c r="C1260" s="7" t="s">
        <v>11616</v>
      </c>
      <c r="D1260" s="7" t="s">
        <v>11617</v>
      </c>
      <c r="E1260" s="7" t="s">
        <v>11612</v>
      </c>
      <c r="F1260" s="7" t="s">
        <v>11618</v>
      </c>
      <c r="G1260" s="7" t="s">
        <v>11619</v>
      </c>
      <c r="H1260" s="7" t="s">
        <v>11620</v>
      </c>
      <c r="I1260" s="119">
        <v>45292.0</v>
      </c>
      <c r="K1260" s="7" t="s">
        <v>419</v>
      </c>
      <c r="L1260" s="7" t="s">
        <v>991</v>
      </c>
      <c r="M1260" s="7" t="s">
        <v>3501</v>
      </c>
      <c r="N1260" s="7" t="s">
        <v>419</v>
      </c>
      <c r="O1260" s="7" t="s">
        <v>19430</v>
      </c>
      <c r="P1260" s="7" t="s">
        <v>717</v>
      </c>
      <c r="Q1260" s="7" t="s">
        <v>720</v>
      </c>
      <c r="R1260" s="7" t="s">
        <v>19542</v>
      </c>
      <c r="S1260" s="7" t="s">
        <v>19659</v>
      </c>
      <c r="T1260" s="7" t="s">
        <v>4606</v>
      </c>
      <c r="U1260" s="7" t="s">
        <v>3843</v>
      </c>
      <c r="V1260" s="7">
        <v>1.0</v>
      </c>
    </row>
    <row r="1261">
      <c r="A1261" s="7" t="s">
        <v>21156</v>
      </c>
      <c r="B1261" s="7">
        <v>13677.0</v>
      </c>
      <c r="C1261" s="7" t="s">
        <v>11622</v>
      </c>
      <c r="D1261" s="7" t="s">
        <v>11623</v>
      </c>
      <c r="E1261" s="7" t="s">
        <v>11624</v>
      </c>
      <c r="F1261" s="7" t="s">
        <v>6678</v>
      </c>
      <c r="G1261" s="7" t="s">
        <v>11625</v>
      </c>
      <c r="H1261" s="7" t="s">
        <v>11626</v>
      </c>
      <c r="I1261" s="119">
        <v>45292.0</v>
      </c>
      <c r="K1261" s="7" t="s">
        <v>3632</v>
      </c>
      <c r="L1261" s="7" t="s">
        <v>991</v>
      </c>
      <c r="M1261" s="7" t="s">
        <v>3501</v>
      </c>
      <c r="N1261" s="7" t="s">
        <v>3632</v>
      </c>
      <c r="O1261" s="7" t="s">
        <v>3632</v>
      </c>
      <c r="P1261" s="7" t="s">
        <v>22</v>
      </c>
      <c r="Q1261" s="7" t="s">
        <v>546</v>
      </c>
      <c r="R1261" s="7" t="s">
        <v>20870</v>
      </c>
      <c r="T1261" s="7" t="s">
        <v>12879</v>
      </c>
      <c r="U1261" s="7" t="s">
        <v>3493</v>
      </c>
      <c r="V1261" s="7">
        <v>1.0</v>
      </c>
    </row>
    <row r="1262">
      <c r="A1262" s="7" t="s">
        <v>21157</v>
      </c>
      <c r="B1262" s="7">
        <v>2200531.0</v>
      </c>
      <c r="C1262" s="7" t="s">
        <v>11622</v>
      </c>
      <c r="D1262" s="7" t="s">
        <v>11628</v>
      </c>
      <c r="E1262" s="7" t="s">
        <v>11624</v>
      </c>
      <c r="F1262" s="7" t="s">
        <v>3714</v>
      </c>
      <c r="G1262" s="7" t="s">
        <v>11629</v>
      </c>
      <c r="H1262" s="7" t="s">
        <v>11630</v>
      </c>
      <c r="I1262" s="119">
        <v>45292.0</v>
      </c>
      <c r="K1262" s="7" t="s">
        <v>419</v>
      </c>
      <c r="L1262" s="7" t="s">
        <v>991</v>
      </c>
      <c r="M1262" s="7" t="s">
        <v>3531</v>
      </c>
      <c r="N1262" s="7" t="s">
        <v>419</v>
      </c>
      <c r="O1262" s="7" t="s">
        <v>19430</v>
      </c>
      <c r="P1262" s="7" t="s">
        <v>717</v>
      </c>
      <c r="Q1262" s="7" t="s">
        <v>725</v>
      </c>
      <c r="R1262" s="7" t="s">
        <v>19501</v>
      </c>
      <c r="S1262" s="7" t="s">
        <v>19643</v>
      </c>
      <c r="T1262" s="7" t="s">
        <v>4097</v>
      </c>
      <c r="U1262" s="7" t="s">
        <v>3493</v>
      </c>
      <c r="V1262" s="7">
        <v>1.0</v>
      </c>
    </row>
    <row r="1263">
      <c r="A1263" s="7" t="s">
        <v>21158</v>
      </c>
      <c r="B1263" s="7">
        <v>2200605.0</v>
      </c>
      <c r="C1263" s="7" t="s">
        <v>11622</v>
      </c>
      <c r="D1263" s="7" t="s">
        <v>11632</v>
      </c>
      <c r="E1263" s="7" t="s">
        <v>11624</v>
      </c>
      <c r="F1263" s="7" t="s">
        <v>11633</v>
      </c>
      <c r="G1263" s="7" t="s">
        <v>11634</v>
      </c>
      <c r="H1263" s="7" t="s">
        <v>11635</v>
      </c>
      <c r="I1263" s="119">
        <v>45292.0</v>
      </c>
      <c r="K1263" s="7" t="s">
        <v>419</v>
      </c>
      <c r="L1263" s="7" t="s">
        <v>991</v>
      </c>
      <c r="M1263" s="7" t="s">
        <v>3501</v>
      </c>
      <c r="N1263" s="7" t="s">
        <v>419</v>
      </c>
      <c r="O1263" s="7" t="s">
        <v>19437</v>
      </c>
      <c r="P1263" s="7" t="s">
        <v>478</v>
      </c>
      <c r="Q1263" s="7" t="s">
        <v>487</v>
      </c>
      <c r="R1263" s="7" t="s">
        <v>21159</v>
      </c>
      <c r="T1263" s="7" t="s">
        <v>21160</v>
      </c>
      <c r="U1263" s="7" t="s">
        <v>3493</v>
      </c>
      <c r="V1263" s="7">
        <v>1.0</v>
      </c>
    </row>
    <row r="1264">
      <c r="A1264" s="7" t="s">
        <v>21161</v>
      </c>
      <c r="B1264" s="7">
        <v>232.0</v>
      </c>
      <c r="C1264" s="7" t="s">
        <v>11639</v>
      </c>
      <c r="D1264" s="7" t="s">
        <v>11640</v>
      </c>
      <c r="E1264" s="7" t="s">
        <v>11641</v>
      </c>
      <c r="F1264" s="7" t="s">
        <v>3498</v>
      </c>
      <c r="G1264" s="7" t="s">
        <v>11642</v>
      </c>
      <c r="H1264" s="7" t="s">
        <v>11643</v>
      </c>
      <c r="I1264" s="119">
        <v>45292.0</v>
      </c>
      <c r="K1264" s="7" t="s">
        <v>419</v>
      </c>
      <c r="L1264" s="7" t="s">
        <v>991</v>
      </c>
      <c r="M1264" s="7" t="s">
        <v>3501</v>
      </c>
      <c r="N1264" s="7" t="s">
        <v>419</v>
      </c>
      <c r="O1264" s="7" t="s">
        <v>19440</v>
      </c>
      <c r="P1264" s="7" t="s">
        <v>613</v>
      </c>
      <c r="Q1264" s="7" t="s">
        <v>104</v>
      </c>
      <c r="R1264" s="7" t="s">
        <v>19738</v>
      </c>
      <c r="S1264" s="7" t="s">
        <v>21162</v>
      </c>
      <c r="T1264" s="7" t="s">
        <v>11645</v>
      </c>
      <c r="U1264" s="7" t="s">
        <v>3843</v>
      </c>
      <c r="V1264" s="7">
        <v>1.0</v>
      </c>
    </row>
    <row r="1265">
      <c r="A1265" s="7" t="s">
        <v>21163</v>
      </c>
      <c r="B1265" s="7">
        <v>14051.0</v>
      </c>
      <c r="C1265" s="7" t="s">
        <v>11647</v>
      </c>
      <c r="D1265" s="7" t="s">
        <v>11648</v>
      </c>
      <c r="E1265" s="7" t="s">
        <v>11649</v>
      </c>
      <c r="F1265" s="7" t="s">
        <v>11650</v>
      </c>
      <c r="G1265" s="7" t="s">
        <v>11651</v>
      </c>
      <c r="H1265" s="7" t="s">
        <v>11652</v>
      </c>
      <c r="I1265" s="119">
        <v>45292.0</v>
      </c>
      <c r="K1265" s="7" t="s">
        <v>419</v>
      </c>
      <c r="L1265" s="7" t="s">
        <v>991</v>
      </c>
      <c r="M1265" s="7" t="s">
        <v>3501</v>
      </c>
      <c r="N1265" s="7" t="s">
        <v>419</v>
      </c>
      <c r="O1265" s="7" t="s">
        <v>19433</v>
      </c>
      <c r="P1265" s="7" t="s">
        <v>648</v>
      </c>
      <c r="Q1265" s="7" t="s">
        <v>143</v>
      </c>
      <c r="R1265" s="7" t="s">
        <v>19723</v>
      </c>
      <c r="T1265" s="7" t="s">
        <v>11654</v>
      </c>
      <c r="U1265" s="7" t="s">
        <v>3604</v>
      </c>
      <c r="V1265" s="7">
        <v>1.0</v>
      </c>
    </row>
    <row r="1266">
      <c r="A1266" s="7" t="s">
        <v>21164</v>
      </c>
      <c r="B1266" s="7">
        <v>2300460.0</v>
      </c>
      <c r="C1266" s="7" t="s">
        <v>11656</v>
      </c>
      <c r="D1266" s="7" t="s">
        <v>11657</v>
      </c>
      <c r="E1266" s="7" t="s">
        <v>11658</v>
      </c>
      <c r="F1266" s="7" t="s">
        <v>5917</v>
      </c>
      <c r="G1266" s="7" t="s">
        <v>11659</v>
      </c>
      <c r="H1266" s="7" t="s">
        <v>11660</v>
      </c>
      <c r="I1266" s="119">
        <v>45292.0</v>
      </c>
      <c r="K1266" s="7" t="s">
        <v>419</v>
      </c>
      <c r="L1266" s="7" t="s">
        <v>991</v>
      </c>
      <c r="M1266" s="7" t="s">
        <v>3531</v>
      </c>
      <c r="N1266" s="7" t="s">
        <v>419</v>
      </c>
      <c r="O1266" s="7" t="s">
        <v>19433</v>
      </c>
      <c r="P1266" s="7" t="s">
        <v>648</v>
      </c>
      <c r="Q1266" s="7" t="s">
        <v>148</v>
      </c>
      <c r="R1266" s="7" t="s">
        <v>19501</v>
      </c>
      <c r="T1266" s="7" t="s">
        <v>4445</v>
      </c>
      <c r="U1266" s="7" t="s">
        <v>3493</v>
      </c>
      <c r="V1266" s="7">
        <v>1.0</v>
      </c>
    </row>
    <row r="1267">
      <c r="A1267" s="7" t="s">
        <v>21165</v>
      </c>
      <c r="B1267" s="7">
        <v>2300621.0</v>
      </c>
      <c r="C1267" s="7" t="s">
        <v>11662</v>
      </c>
      <c r="D1267" s="7" t="s">
        <v>6164</v>
      </c>
      <c r="E1267" s="7" t="s">
        <v>11663</v>
      </c>
      <c r="F1267" s="7" t="s">
        <v>6166</v>
      </c>
      <c r="G1267" s="7" t="s">
        <v>11664</v>
      </c>
      <c r="H1267" s="7" t="s">
        <v>11665</v>
      </c>
      <c r="I1267" s="119">
        <v>45292.0</v>
      </c>
      <c r="K1267" s="7" t="s">
        <v>419</v>
      </c>
      <c r="L1267" s="7" t="s">
        <v>991</v>
      </c>
      <c r="M1267" s="7" t="s">
        <v>3501</v>
      </c>
      <c r="N1267" s="7" t="s">
        <v>419</v>
      </c>
      <c r="O1267" s="7" t="s">
        <v>19443</v>
      </c>
      <c r="P1267" s="7" t="s">
        <v>323</v>
      </c>
      <c r="Q1267" s="7" t="s">
        <v>824</v>
      </c>
      <c r="R1267" s="7" t="s">
        <v>20311</v>
      </c>
      <c r="T1267" s="7" t="s">
        <v>7132</v>
      </c>
      <c r="U1267" s="7" t="s">
        <v>3604</v>
      </c>
      <c r="V1267" s="7">
        <v>1.0</v>
      </c>
    </row>
    <row r="1268">
      <c r="A1268" s="7" t="s">
        <v>21166</v>
      </c>
      <c r="B1268" s="7">
        <v>2300753.0</v>
      </c>
      <c r="C1268" s="7" t="s">
        <v>11662</v>
      </c>
      <c r="D1268" s="7" t="s">
        <v>11667</v>
      </c>
      <c r="E1268" s="7" t="s">
        <v>11663</v>
      </c>
      <c r="F1268" s="7" t="s">
        <v>3549</v>
      </c>
      <c r="G1268" s="7" t="s">
        <v>11668</v>
      </c>
      <c r="H1268" s="7" t="s">
        <v>11669</v>
      </c>
      <c r="I1268" s="119">
        <v>45292.0</v>
      </c>
      <c r="K1268" s="7" t="s">
        <v>419</v>
      </c>
      <c r="L1268" s="7" t="s">
        <v>991</v>
      </c>
      <c r="M1268" s="7" t="s">
        <v>3501</v>
      </c>
      <c r="N1268" s="7" t="s">
        <v>419</v>
      </c>
      <c r="O1268" s="7" t="s">
        <v>19443</v>
      </c>
      <c r="P1268" s="7" t="s">
        <v>323</v>
      </c>
      <c r="Q1268" s="7" t="s">
        <v>824</v>
      </c>
      <c r="R1268" s="7" t="s">
        <v>19771</v>
      </c>
      <c r="T1268" s="7" t="s">
        <v>12660</v>
      </c>
      <c r="U1268" s="7" t="s">
        <v>3493</v>
      </c>
      <c r="V1268" s="7">
        <v>1.0</v>
      </c>
    </row>
    <row r="1269">
      <c r="A1269" s="7" t="s">
        <v>21167</v>
      </c>
      <c r="B1269" s="7">
        <v>2300196.0</v>
      </c>
      <c r="C1269" s="7" t="s">
        <v>11671</v>
      </c>
      <c r="D1269" s="7" t="s">
        <v>11672</v>
      </c>
      <c r="E1269" s="7" t="s">
        <v>11663</v>
      </c>
      <c r="F1269" s="7" t="s">
        <v>3917</v>
      </c>
      <c r="G1269" s="7" t="s">
        <v>11673</v>
      </c>
      <c r="H1269" s="7" t="s">
        <v>11674</v>
      </c>
      <c r="I1269" s="119">
        <v>45292.0</v>
      </c>
      <c r="K1269" s="7" t="s">
        <v>419</v>
      </c>
      <c r="L1269" s="7" t="s">
        <v>991</v>
      </c>
      <c r="M1269" s="7" t="s">
        <v>3501</v>
      </c>
      <c r="N1269" s="7" t="s">
        <v>419</v>
      </c>
      <c r="O1269" s="7" t="s">
        <v>19432</v>
      </c>
      <c r="P1269" s="7" t="s">
        <v>693</v>
      </c>
      <c r="Q1269" s="7" t="s">
        <v>696</v>
      </c>
      <c r="R1269" s="7" t="s">
        <v>19934</v>
      </c>
      <c r="S1269" s="7" t="s">
        <v>20767</v>
      </c>
      <c r="T1269" s="7" t="s">
        <v>11675</v>
      </c>
      <c r="U1269" s="7" t="s">
        <v>3493</v>
      </c>
      <c r="V1269" s="7">
        <v>1.0</v>
      </c>
    </row>
    <row r="1270">
      <c r="A1270" s="7" t="s">
        <v>21168</v>
      </c>
      <c r="B1270" s="7">
        <v>2200566.0</v>
      </c>
      <c r="C1270" s="7" t="s">
        <v>11677</v>
      </c>
      <c r="D1270" s="7" t="s">
        <v>11678</v>
      </c>
      <c r="E1270" s="7" t="s">
        <v>11679</v>
      </c>
      <c r="F1270" s="7" t="s">
        <v>4068</v>
      </c>
      <c r="G1270" s="7" t="s">
        <v>11680</v>
      </c>
      <c r="H1270" s="7" t="s">
        <v>11681</v>
      </c>
      <c r="I1270" s="119">
        <v>45292.0</v>
      </c>
      <c r="K1270" s="7" t="s">
        <v>419</v>
      </c>
      <c r="L1270" s="7" t="s">
        <v>991</v>
      </c>
      <c r="M1270" s="7" t="s">
        <v>3531</v>
      </c>
      <c r="N1270" s="7" t="s">
        <v>419</v>
      </c>
      <c r="O1270" s="7" t="s">
        <v>19443</v>
      </c>
      <c r="P1270" s="7" t="s">
        <v>1242</v>
      </c>
      <c r="Q1270" s="7" t="s">
        <v>51</v>
      </c>
      <c r="R1270" s="7" t="s">
        <v>19574</v>
      </c>
      <c r="T1270" s="7" t="s">
        <v>10802</v>
      </c>
      <c r="U1270" s="7" t="s">
        <v>3493</v>
      </c>
      <c r="V1270" s="7">
        <v>1.0</v>
      </c>
    </row>
    <row r="1271">
      <c r="A1271" s="7" t="s">
        <v>21169</v>
      </c>
      <c r="B1271" s="7">
        <v>2100633.0</v>
      </c>
      <c r="C1271" s="7" t="s">
        <v>11677</v>
      </c>
      <c r="D1271" s="7" t="s">
        <v>8146</v>
      </c>
      <c r="E1271" s="7" t="s">
        <v>11679</v>
      </c>
      <c r="F1271" s="7" t="s">
        <v>3656</v>
      </c>
      <c r="G1271" s="7" t="s">
        <v>11683</v>
      </c>
      <c r="I1271" s="119">
        <v>45292.0</v>
      </c>
      <c r="K1271" s="7" t="s">
        <v>419</v>
      </c>
      <c r="L1271" s="7" t="s">
        <v>991</v>
      </c>
      <c r="M1271" s="7" t="s">
        <v>3531</v>
      </c>
      <c r="N1271" s="7" t="s">
        <v>419</v>
      </c>
      <c r="O1271" s="7" t="s">
        <v>19430</v>
      </c>
      <c r="P1271" s="7" t="s">
        <v>854</v>
      </c>
      <c r="Q1271" s="7" t="s">
        <v>857</v>
      </c>
      <c r="T1271" s="7" t="s">
        <v>4104</v>
      </c>
      <c r="U1271" s="7" t="s">
        <v>3493</v>
      </c>
      <c r="V1271" s="7">
        <v>1.0</v>
      </c>
    </row>
    <row r="1272">
      <c r="A1272" s="7" t="s">
        <v>21170</v>
      </c>
      <c r="B1272" s="7">
        <v>2100470.0</v>
      </c>
      <c r="C1272" s="7" t="s">
        <v>11685</v>
      </c>
      <c r="D1272" s="7" t="s">
        <v>11686</v>
      </c>
      <c r="E1272" s="7" t="s">
        <v>11687</v>
      </c>
      <c r="F1272" s="7" t="s">
        <v>11235</v>
      </c>
      <c r="G1272" s="7" t="s">
        <v>11688</v>
      </c>
      <c r="H1272" s="7" t="s">
        <v>11689</v>
      </c>
      <c r="I1272" s="119">
        <v>45292.0</v>
      </c>
      <c r="K1272" s="7" t="s">
        <v>419</v>
      </c>
      <c r="L1272" s="7" t="s">
        <v>991</v>
      </c>
      <c r="M1272" s="7" t="s">
        <v>3531</v>
      </c>
      <c r="N1272" s="7" t="s">
        <v>419</v>
      </c>
      <c r="O1272" s="7" t="s">
        <v>19432</v>
      </c>
      <c r="P1272" s="7" t="s">
        <v>298</v>
      </c>
      <c r="Q1272" s="7" t="s">
        <v>304</v>
      </c>
      <c r="T1272" s="7" t="s">
        <v>7374</v>
      </c>
      <c r="U1272" s="7" t="s">
        <v>3493</v>
      </c>
      <c r="V1272" s="7">
        <v>1.0</v>
      </c>
    </row>
    <row r="1273">
      <c r="A1273" s="7" t="s">
        <v>21171</v>
      </c>
      <c r="B1273" s="7">
        <v>2100068.0</v>
      </c>
      <c r="C1273" s="7" t="s">
        <v>11691</v>
      </c>
      <c r="D1273" s="7" t="s">
        <v>11692</v>
      </c>
      <c r="E1273" s="7" t="s">
        <v>11693</v>
      </c>
      <c r="F1273" s="7" t="s">
        <v>11694</v>
      </c>
      <c r="G1273" s="7" t="s">
        <v>11695</v>
      </c>
      <c r="H1273" s="7" t="s">
        <v>11696</v>
      </c>
      <c r="I1273" s="119">
        <v>45292.0</v>
      </c>
      <c r="J1273" s="7" t="s">
        <v>3929</v>
      </c>
      <c r="K1273" s="7" t="s">
        <v>419</v>
      </c>
      <c r="L1273" s="7" t="s">
        <v>991</v>
      </c>
      <c r="M1273" s="7" t="s">
        <v>3501</v>
      </c>
      <c r="N1273" s="7" t="s">
        <v>419</v>
      </c>
      <c r="O1273" s="7" t="s">
        <v>19443</v>
      </c>
      <c r="P1273" s="7" t="s">
        <v>323</v>
      </c>
      <c r="Q1273" s="7" t="s">
        <v>324</v>
      </c>
      <c r="R1273" s="7" t="s">
        <v>20352</v>
      </c>
      <c r="T1273" s="7" t="s">
        <v>7344</v>
      </c>
      <c r="U1273" s="7" t="s">
        <v>3493</v>
      </c>
      <c r="V1273" s="7">
        <v>1.0</v>
      </c>
    </row>
    <row r="1274">
      <c r="A1274" s="7" t="s">
        <v>21172</v>
      </c>
      <c r="B1274" s="7">
        <v>14044.0</v>
      </c>
      <c r="C1274" s="7" t="s">
        <v>11698</v>
      </c>
      <c r="D1274" s="7" t="s">
        <v>9960</v>
      </c>
      <c r="E1274" s="7" t="s">
        <v>11699</v>
      </c>
      <c r="F1274" s="7" t="s">
        <v>3656</v>
      </c>
      <c r="G1274" s="7" t="s">
        <v>11700</v>
      </c>
      <c r="H1274" s="7" t="s">
        <v>11701</v>
      </c>
      <c r="I1274" s="119">
        <v>45292.0</v>
      </c>
      <c r="J1274" s="7" t="s">
        <v>3929</v>
      </c>
      <c r="K1274" s="7" t="s">
        <v>419</v>
      </c>
      <c r="L1274" s="7" t="s">
        <v>991</v>
      </c>
      <c r="M1274" s="7" t="s">
        <v>3501</v>
      </c>
      <c r="N1274" s="7" t="s">
        <v>419</v>
      </c>
      <c r="O1274" s="7" t="s">
        <v>19443</v>
      </c>
      <c r="P1274" s="7" t="s">
        <v>1242</v>
      </c>
      <c r="Q1274" s="7" t="s">
        <v>51</v>
      </c>
      <c r="R1274" s="7" t="s">
        <v>19597</v>
      </c>
      <c r="S1274" s="7" t="s">
        <v>19830</v>
      </c>
      <c r="T1274" s="7" t="s">
        <v>7117</v>
      </c>
      <c r="U1274" s="7" t="s">
        <v>3493</v>
      </c>
      <c r="V1274" s="7">
        <v>1.0</v>
      </c>
    </row>
    <row r="1275">
      <c r="A1275" s="7" t="s">
        <v>21173</v>
      </c>
      <c r="B1275" s="7">
        <v>8426.0</v>
      </c>
      <c r="C1275" s="7" t="s">
        <v>11703</v>
      </c>
      <c r="D1275" s="7" t="s">
        <v>11704</v>
      </c>
      <c r="E1275" s="7" t="s">
        <v>11705</v>
      </c>
      <c r="F1275" s="7" t="s">
        <v>7477</v>
      </c>
      <c r="G1275" s="7" t="s">
        <v>11706</v>
      </c>
      <c r="H1275" s="7" t="s">
        <v>11707</v>
      </c>
      <c r="I1275" s="119">
        <v>45292.0</v>
      </c>
      <c r="K1275" s="7" t="s">
        <v>419</v>
      </c>
      <c r="L1275" s="7" t="s">
        <v>991</v>
      </c>
      <c r="M1275" s="7" t="s">
        <v>3531</v>
      </c>
      <c r="N1275" s="7" t="s">
        <v>419</v>
      </c>
      <c r="O1275" s="7" t="s">
        <v>19430</v>
      </c>
      <c r="P1275" s="7" t="s">
        <v>717</v>
      </c>
      <c r="Q1275" s="7" t="s">
        <v>730</v>
      </c>
      <c r="R1275" s="7" t="s">
        <v>19979</v>
      </c>
      <c r="S1275" s="7" t="s">
        <v>19636</v>
      </c>
      <c r="T1275" s="7" t="s">
        <v>8584</v>
      </c>
      <c r="U1275" s="7" t="s">
        <v>3493</v>
      </c>
      <c r="V1275" s="7">
        <v>1.0</v>
      </c>
    </row>
    <row r="1276">
      <c r="A1276" s="7" t="s">
        <v>21174</v>
      </c>
      <c r="B1276" s="7">
        <v>2200419.0</v>
      </c>
      <c r="C1276" s="7" t="s">
        <v>11709</v>
      </c>
      <c r="D1276" s="7" t="s">
        <v>11710</v>
      </c>
      <c r="E1276" s="7" t="s">
        <v>11711</v>
      </c>
      <c r="F1276" s="7" t="s">
        <v>5441</v>
      </c>
      <c r="G1276" s="7" t="s">
        <v>11712</v>
      </c>
      <c r="H1276" s="7" t="s">
        <v>11713</v>
      </c>
      <c r="I1276" s="119">
        <v>45292.0</v>
      </c>
      <c r="K1276" s="7" t="s">
        <v>419</v>
      </c>
      <c r="L1276" s="7" t="s">
        <v>991</v>
      </c>
      <c r="M1276" s="7" t="s">
        <v>3501</v>
      </c>
      <c r="N1276" s="7" t="s">
        <v>419</v>
      </c>
      <c r="O1276" s="7" t="s">
        <v>19430</v>
      </c>
      <c r="P1276" s="7" t="s">
        <v>717</v>
      </c>
      <c r="Q1276" s="7" t="s">
        <v>738</v>
      </c>
      <c r="R1276" s="7" t="s">
        <v>19574</v>
      </c>
      <c r="S1276" s="7" t="s">
        <v>19920</v>
      </c>
      <c r="T1276" s="7" t="s">
        <v>10314</v>
      </c>
      <c r="U1276" s="7" t="s">
        <v>3493</v>
      </c>
      <c r="V1276" s="7">
        <v>1.0</v>
      </c>
    </row>
    <row r="1277">
      <c r="A1277" s="7" t="s">
        <v>21175</v>
      </c>
      <c r="B1277" s="7">
        <v>2200850.0</v>
      </c>
      <c r="C1277" s="7" t="s">
        <v>11715</v>
      </c>
      <c r="D1277" s="7" t="s">
        <v>11716</v>
      </c>
      <c r="E1277" s="7" t="s">
        <v>11717</v>
      </c>
      <c r="F1277" s="7" t="s">
        <v>11718</v>
      </c>
      <c r="G1277" s="7" t="s">
        <v>11719</v>
      </c>
      <c r="H1277" s="7" t="s">
        <v>11720</v>
      </c>
      <c r="I1277" s="119">
        <v>45292.0</v>
      </c>
      <c r="K1277" s="7" t="s">
        <v>419</v>
      </c>
      <c r="L1277" s="7" t="s">
        <v>991</v>
      </c>
      <c r="M1277" s="7" t="s">
        <v>3531</v>
      </c>
      <c r="N1277" s="7" t="s">
        <v>419</v>
      </c>
      <c r="O1277" s="7" t="s">
        <v>19430</v>
      </c>
      <c r="P1277" s="7" t="s">
        <v>717</v>
      </c>
      <c r="Q1277" s="7" t="s">
        <v>738</v>
      </c>
      <c r="R1277" s="7" t="s">
        <v>20012</v>
      </c>
      <c r="S1277" s="7" t="s">
        <v>20068</v>
      </c>
      <c r="T1277" s="7" t="s">
        <v>5889</v>
      </c>
      <c r="U1277" s="7" t="s">
        <v>3493</v>
      </c>
      <c r="V1277" s="7">
        <v>1.0</v>
      </c>
    </row>
    <row r="1278">
      <c r="A1278" s="7" t="s">
        <v>21176</v>
      </c>
      <c r="B1278" s="7">
        <v>11559.0</v>
      </c>
      <c r="C1278" s="7" t="s">
        <v>11715</v>
      </c>
      <c r="D1278" s="7" t="s">
        <v>6749</v>
      </c>
      <c r="E1278" s="7" t="s">
        <v>11717</v>
      </c>
      <c r="F1278" s="7" t="s">
        <v>6750</v>
      </c>
      <c r="G1278" s="7" t="s">
        <v>11722</v>
      </c>
      <c r="H1278" s="7" t="s">
        <v>11723</v>
      </c>
      <c r="I1278" s="119">
        <v>45292.0</v>
      </c>
      <c r="K1278" s="7" t="s">
        <v>419</v>
      </c>
      <c r="L1278" s="7" t="s">
        <v>991</v>
      </c>
      <c r="M1278" s="7" t="s">
        <v>3501</v>
      </c>
      <c r="N1278" s="7" t="s">
        <v>419</v>
      </c>
      <c r="O1278" s="7" t="s">
        <v>19443</v>
      </c>
      <c r="P1278" s="7" t="s">
        <v>323</v>
      </c>
      <c r="Q1278" s="7" t="s">
        <v>324</v>
      </c>
      <c r="R1278" s="7" t="s">
        <v>20025</v>
      </c>
      <c r="T1278" s="7" t="s">
        <v>20026</v>
      </c>
      <c r="U1278" s="7" t="s">
        <v>3493</v>
      </c>
      <c r="V1278" s="7">
        <v>1.0</v>
      </c>
    </row>
    <row r="1279">
      <c r="A1279" s="7" t="s">
        <v>21177</v>
      </c>
      <c r="B1279" s="7">
        <v>12666.0</v>
      </c>
      <c r="C1279" s="7" t="s">
        <v>11715</v>
      </c>
      <c r="D1279" s="7" t="s">
        <v>4686</v>
      </c>
      <c r="E1279" s="7" t="s">
        <v>11717</v>
      </c>
      <c r="F1279" s="7" t="s">
        <v>4687</v>
      </c>
      <c r="G1279" s="7" t="s">
        <v>11726</v>
      </c>
      <c r="H1279" s="7" t="s">
        <v>11727</v>
      </c>
      <c r="I1279" s="119">
        <v>45292.0</v>
      </c>
      <c r="K1279" s="7" t="s">
        <v>419</v>
      </c>
      <c r="L1279" s="7" t="s">
        <v>991</v>
      </c>
      <c r="M1279" s="7" t="s">
        <v>3531</v>
      </c>
      <c r="N1279" s="7" t="s">
        <v>419</v>
      </c>
      <c r="O1279" s="7" t="s">
        <v>19432</v>
      </c>
      <c r="P1279" s="7" t="s">
        <v>298</v>
      </c>
      <c r="Q1279" s="7" t="s">
        <v>1284</v>
      </c>
      <c r="R1279" s="7" t="s">
        <v>20033</v>
      </c>
      <c r="S1279" s="7" t="s">
        <v>20456</v>
      </c>
      <c r="T1279" s="7" t="s">
        <v>7884</v>
      </c>
      <c r="U1279" s="7" t="s">
        <v>3493</v>
      </c>
      <c r="V1279" s="7">
        <v>1.0</v>
      </c>
    </row>
    <row r="1280">
      <c r="A1280" s="7" t="s">
        <v>21178</v>
      </c>
      <c r="B1280" s="7">
        <v>13681.0</v>
      </c>
      <c r="C1280" s="7" t="s">
        <v>11715</v>
      </c>
      <c r="D1280" s="7" t="s">
        <v>11729</v>
      </c>
      <c r="E1280" s="7" t="s">
        <v>11717</v>
      </c>
      <c r="F1280" s="7" t="s">
        <v>4751</v>
      </c>
      <c r="G1280" s="7" t="s">
        <v>11730</v>
      </c>
      <c r="H1280" s="7" t="s">
        <v>11731</v>
      </c>
      <c r="I1280" s="119">
        <v>45292.0</v>
      </c>
      <c r="K1280" s="7" t="s">
        <v>3632</v>
      </c>
      <c r="L1280" s="7" t="s">
        <v>991</v>
      </c>
      <c r="M1280" s="7" t="s">
        <v>3501</v>
      </c>
      <c r="N1280" s="7" t="s">
        <v>3632</v>
      </c>
      <c r="O1280" s="7" t="s">
        <v>3632</v>
      </c>
      <c r="P1280" s="7" t="s">
        <v>3463</v>
      </c>
      <c r="Q1280" s="7" t="s">
        <v>356</v>
      </c>
      <c r="R1280" s="7" t="s">
        <v>19759</v>
      </c>
      <c r="T1280" s="7" t="s">
        <v>18604</v>
      </c>
      <c r="U1280" s="7" t="s">
        <v>3493</v>
      </c>
      <c r="V1280" s="7">
        <v>1.0</v>
      </c>
    </row>
    <row r="1281">
      <c r="A1281" s="7" t="s">
        <v>21179</v>
      </c>
      <c r="B1281" s="7">
        <v>1046.0</v>
      </c>
      <c r="C1281" s="7" t="s">
        <v>11715</v>
      </c>
      <c r="D1281" s="7" t="s">
        <v>11734</v>
      </c>
      <c r="E1281" s="7" t="s">
        <v>11717</v>
      </c>
      <c r="F1281" s="7" t="s">
        <v>11735</v>
      </c>
      <c r="G1281" s="7" t="s">
        <v>11736</v>
      </c>
      <c r="H1281" s="7" t="s">
        <v>11737</v>
      </c>
      <c r="I1281" s="119">
        <v>45292.0</v>
      </c>
      <c r="K1281" s="7" t="s">
        <v>419</v>
      </c>
      <c r="L1281" s="7" t="s">
        <v>991</v>
      </c>
      <c r="M1281" s="7" t="s">
        <v>3501</v>
      </c>
      <c r="N1281" s="7" t="s">
        <v>419</v>
      </c>
      <c r="O1281" s="7" t="s">
        <v>19430</v>
      </c>
      <c r="P1281" s="7" t="s">
        <v>717</v>
      </c>
      <c r="Q1281" s="7" t="s">
        <v>720</v>
      </c>
      <c r="R1281" s="7" t="s">
        <v>19542</v>
      </c>
      <c r="T1281" s="7" t="s">
        <v>3725</v>
      </c>
      <c r="U1281" s="7" t="s">
        <v>3604</v>
      </c>
      <c r="V1281" s="7">
        <v>1.0</v>
      </c>
    </row>
    <row r="1282">
      <c r="A1282" s="7" t="s">
        <v>21180</v>
      </c>
      <c r="B1282" s="7">
        <v>1059.0</v>
      </c>
      <c r="C1282" s="7" t="s">
        <v>11715</v>
      </c>
      <c r="D1282" s="7" t="s">
        <v>11739</v>
      </c>
      <c r="E1282" s="7" t="s">
        <v>11717</v>
      </c>
      <c r="F1282" s="7" t="s">
        <v>11740</v>
      </c>
      <c r="G1282" s="7" t="s">
        <v>11741</v>
      </c>
      <c r="H1282" s="7" t="s">
        <v>11742</v>
      </c>
      <c r="I1282" s="119">
        <v>45292.0</v>
      </c>
      <c r="K1282" s="7" t="s">
        <v>6124</v>
      </c>
      <c r="L1282" s="7" t="s">
        <v>3542</v>
      </c>
      <c r="M1282" s="7" t="s">
        <v>4383</v>
      </c>
      <c r="N1282" s="7" t="s">
        <v>419</v>
      </c>
      <c r="O1282" s="7" t="s">
        <v>19437</v>
      </c>
      <c r="P1282" s="7" t="s">
        <v>478</v>
      </c>
      <c r="Q1282" s="7" t="s">
        <v>953</v>
      </c>
      <c r="R1282" s="7" t="s">
        <v>19492</v>
      </c>
      <c r="S1282" s="7" t="s">
        <v>20118</v>
      </c>
      <c r="T1282" s="7" t="s">
        <v>20119</v>
      </c>
      <c r="U1282" s="7" t="s">
        <v>3493</v>
      </c>
      <c r="V1282" s="7">
        <v>1.0</v>
      </c>
    </row>
    <row r="1283">
      <c r="A1283" s="7" t="s">
        <v>21181</v>
      </c>
      <c r="B1283" s="7">
        <v>11348.0</v>
      </c>
      <c r="C1283" s="7" t="s">
        <v>11715</v>
      </c>
      <c r="D1283" s="7" t="s">
        <v>11744</v>
      </c>
      <c r="E1283" s="7" t="s">
        <v>11717</v>
      </c>
      <c r="F1283" s="7" t="s">
        <v>6262</v>
      </c>
      <c r="G1283" s="7" t="s">
        <v>11745</v>
      </c>
      <c r="H1283" s="7" t="s">
        <v>11746</v>
      </c>
      <c r="I1283" s="119">
        <v>45292.0</v>
      </c>
      <c r="K1283" s="7" t="s">
        <v>419</v>
      </c>
      <c r="L1283" s="7" t="s">
        <v>991</v>
      </c>
      <c r="M1283" s="7" t="s">
        <v>3501</v>
      </c>
      <c r="N1283" s="7" t="s">
        <v>419</v>
      </c>
      <c r="O1283" s="7" t="s">
        <v>19430</v>
      </c>
      <c r="P1283" s="7" t="s">
        <v>717</v>
      </c>
      <c r="Q1283" s="7" t="s">
        <v>1163</v>
      </c>
      <c r="R1283" s="7" t="s">
        <v>19601</v>
      </c>
      <c r="S1283" s="7" t="s">
        <v>19811</v>
      </c>
      <c r="T1283" s="7" t="s">
        <v>4721</v>
      </c>
      <c r="U1283" s="7" t="s">
        <v>3493</v>
      </c>
      <c r="V1283" s="7">
        <v>1.0</v>
      </c>
    </row>
    <row r="1284">
      <c r="A1284" s="7" t="s">
        <v>21182</v>
      </c>
      <c r="B1284" s="7">
        <v>2100483.0</v>
      </c>
      <c r="C1284" s="7" t="s">
        <v>11749</v>
      </c>
      <c r="D1284" s="7" t="s">
        <v>11750</v>
      </c>
      <c r="E1284" s="7" t="s">
        <v>11751</v>
      </c>
      <c r="F1284" s="7" t="s">
        <v>10071</v>
      </c>
      <c r="G1284" s="7" t="s">
        <v>11752</v>
      </c>
      <c r="H1284" s="7" t="s">
        <v>11753</v>
      </c>
      <c r="I1284" s="119">
        <v>45292.0</v>
      </c>
      <c r="K1284" s="7" t="s">
        <v>419</v>
      </c>
      <c r="L1284" s="7" t="s">
        <v>991</v>
      </c>
      <c r="M1284" s="7" t="s">
        <v>3501</v>
      </c>
      <c r="N1284" s="7" t="s">
        <v>419</v>
      </c>
      <c r="O1284" s="7" t="s">
        <v>19430</v>
      </c>
      <c r="P1284" s="7" t="s">
        <v>717</v>
      </c>
      <c r="Q1284" s="7" t="s">
        <v>223</v>
      </c>
      <c r="R1284" s="7" t="s">
        <v>19764</v>
      </c>
      <c r="S1284" s="7" t="s">
        <v>20036</v>
      </c>
      <c r="T1284" s="7" t="s">
        <v>5756</v>
      </c>
      <c r="U1284" s="7" t="s">
        <v>3493</v>
      </c>
      <c r="V1284" s="7">
        <v>1.0</v>
      </c>
    </row>
    <row r="1285">
      <c r="A1285" s="7" t="s">
        <v>21183</v>
      </c>
      <c r="B1285" s="7">
        <v>11016.0</v>
      </c>
      <c r="C1285" s="7" t="s">
        <v>11755</v>
      </c>
      <c r="D1285" s="7" t="s">
        <v>11756</v>
      </c>
      <c r="E1285" s="7" t="s">
        <v>11757</v>
      </c>
      <c r="F1285" s="7" t="s">
        <v>9981</v>
      </c>
      <c r="G1285" s="7" t="s">
        <v>11758</v>
      </c>
      <c r="H1285" s="7" t="s">
        <v>11759</v>
      </c>
      <c r="I1285" s="119">
        <v>45292.0</v>
      </c>
      <c r="K1285" s="7" t="s">
        <v>419</v>
      </c>
      <c r="L1285" s="7" t="s">
        <v>991</v>
      </c>
      <c r="M1285" s="7" t="s">
        <v>3501</v>
      </c>
      <c r="N1285" s="7" t="s">
        <v>419</v>
      </c>
      <c r="O1285" s="7" t="s">
        <v>19430</v>
      </c>
      <c r="P1285" s="7" t="s">
        <v>717</v>
      </c>
      <c r="Q1285" s="7" t="s">
        <v>730</v>
      </c>
      <c r="R1285" s="7" t="s">
        <v>20149</v>
      </c>
      <c r="S1285" s="7" t="s">
        <v>20150</v>
      </c>
      <c r="T1285" s="7" t="s">
        <v>8357</v>
      </c>
      <c r="U1285" s="7" t="s">
        <v>3493</v>
      </c>
      <c r="V1285" s="7">
        <v>1.0</v>
      </c>
    </row>
    <row r="1286">
      <c r="A1286" s="7" t="s">
        <v>21184</v>
      </c>
      <c r="B1286" s="7">
        <v>2200018.0</v>
      </c>
      <c r="C1286" s="7" t="s">
        <v>11755</v>
      </c>
      <c r="D1286" s="7" t="s">
        <v>5632</v>
      </c>
      <c r="E1286" s="7" t="s">
        <v>11757</v>
      </c>
      <c r="F1286" s="7" t="s">
        <v>3508</v>
      </c>
      <c r="G1286" s="7" t="s">
        <v>11761</v>
      </c>
      <c r="H1286" s="7" t="s">
        <v>11762</v>
      </c>
      <c r="I1286" s="119">
        <v>45292.0</v>
      </c>
      <c r="K1286" s="7" t="s">
        <v>419</v>
      </c>
      <c r="L1286" s="7" t="s">
        <v>991</v>
      </c>
      <c r="M1286" s="7" t="s">
        <v>3501</v>
      </c>
      <c r="N1286" s="7" t="s">
        <v>419</v>
      </c>
      <c r="O1286" s="7" t="s">
        <v>19430</v>
      </c>
      <c r="P1286" s="7" t="s">
        <v>717</v>
      </c>
      <c r="Q1286" s="7" t="s">
        <v>722</v>
      </c>
      <c r="R1286" s="7" t="s">
        <v>19655</v>
      </c>
      <c r="S1286" s="7" t="s">
        <v>20147</v>
      </c>
      <c r="T1286" s="7" t="s">
        <v>6266</v>
      </c>
      <c r="U1286" s="7" t="s">
        <v>3493</v>
      </c>
      <c r="V1286" s="7">
        <v>1.0</v>
      </c>
    </row>
    <row r="1287">
      <c r="A1287" s="7" t="s">
        <v>21185</v>
      </c>
      <c r="B1287" s="7">
        <v>13206.0</v>
      </c>
      <c r="C1287" s="7" t="s">
        <v>11755</v>
      </c>
      <c r="D1287" s="7" t="s">
        <v>11764</v>
      </c>
      <c r="E1287" s="7" t="s">
        <v>11757</v>
      </c>
      <c r="F1287" s="7" t="s">
        <v>4960</v>
      </c>
      <c r="G1287" s="7" t="s">
        <v>11765</v>
      </c>
      <c r="H1287" s="7" t="s">
        <v>11766</v>
      </c>
      <c r="I1287" s="119">
        <v>45292.0</v>
      </c>
      <c r="K1287" s="7" t="s">
        <v>419</v>
      </c>
      <c r="L1287" s="7" t="s">
        <v>991</v>
      </c>
      <c r="M1287" s="7" t="s">
        <v>3501</v>
      </c>
      <c r="N1287" s="7" t="s">
        <v>419</v>
      </c>
      <c r="O1287" s="7" t="s">
        <v>19433</v>
      </c>
      <c r="P1287" s="7" t="s">
        <v>648</v>
      </c>
      <c r="Q1287" s="7" t="s">
        <v>148</v>
      </c>
      <c r="R1287" s="7" t="s">
        <v>19544</v>
      </c>
      <c r="T1287" s="7" t="s">
        <v>3734</v>
      </c>
      <c r="U1287" s="7" t="s">
        <v>3493</v>
      </c>
      <c r="V1287" s="7">
        <v>1.0</v>
      </c>
    </row>
    <row r="1288">
      <c r="A1288" s="7" t="s">
        <v>21186</v>
      </c>
      <c r="B1288" s="7">
        <v>2300519.0</v>
      </c>
      <c r="C1288" s="7" t="s">
        <v>11755</v>
      </c>
      <c r="D1288" s="7" t="s">
        <v>11768</v>
      </c>
      <c r="E1288" s="7" t="s">
        <v>11757</v>
      </c>
      <c r="F1288" s="7" t="s">
        <v>10306</v>
      </c>
      <c r="G1288" s="7" t="s">
        <v>11769</v>
      </c>
      <c r="I1288" s="119">
        <v>45292.0</v>
      </c>
      <c r="K1288" s="7" t="s">
        <v>419</v>
      </c>
      <c r="L1288" s="7" t="s">
        <v>991</v>
      </c>
      <c r="M1288" s="7" t="s">
        <v>3531</v>
      </c>
      <c r="N1288" s="7" t="s">
        <v>419</v>
      </c>
      <c r="O1288" s="7" t="s">
        <v>19430</v>
      </c>
      <c r="P1288" s="7" t="s">
        <v>854</v>
      </c>
      <c r="Q1288" s="7" t="s">
        <v>859</v>
      </c>
      <c r="T1288" s="7" t="s">
        <v>3821</v>
      </c>
      <c r="U1288" s="7" t="s">
        <v>3493</v>
      </c>
      <c r="V1288" s="7">
        <v>1.0</v>
      </c>
    </row>
    <row r="1289">
      <c r="A1289" s="7" t="s">
        <v>21187</v>
      </c>
      <c r="B1289" s="7">
        <v>11969.0</v>
      </c>
      <c r="C1289" s="7" t="s">
        <v>11755</v>
      </c>
      <c r="D1289" s="7" t="s">
        <v>11771</v>
      </c>
      <c r="E1289" s="7" t="s">
        <v>11757</v>
      </c>
      <c r="F1289" s="7" t="s">
        <v>11772</v>
      </c>
      <c r="G1289" s="7" t="s">
        <v>11773</v>
      </c>
      <c r="H1289" s="7" t="s">
        <v>11774</v>
      </c>
      <c r="I1289" s="119">
        <v>45292.0</v>
      </c>
      <c r="K1289" s="7" t="s">
        <v>3489</v>
      </c>
      <c r="L1289" s="7" t="s">
        <v>991</v>
      </c>
      <c r="M1289" s="7" t="s">
        <v>3490</v>
      </c>
      <c r="N1289" s="7" t="s">
        <v>3489</v>
      </c>
      <c r="O1289" s="7" t="s">
        <v>3489</v>
      </c>
      <c r="P1289" s="7" t="s">
        <v>19491</v>
      </c>
      <c r="Q1289" s="7" t="s">
        <v>169</v>
      </c>
      <c r="R1289" s="7" t="s">
        <v>19492</v>
      </c>
      <c r="T1289" s="7" t="s">
        <v>3492</v>
      </c>
      <c r="U1289" s="7" t="s">
        <v>3493</v>
      </c>
      <c r="V1289" s="7">
        <v>1.0</v>
      </c>
    </row>
    <row r="1290">
      <c r="A1290" s="7" t="s">
        <v>21188</v>
      </c>
      <c r="B1290" s="7">
        <v>2200075.0</v>
      </c>
      <c r="C1290" s="7" t="s">
        <v>11755</v>
      </c>
      <c r="D1290" s="7" t="s">
        <v>11776</v>
      </c>
      <c r="E1290" s="7" t="s">
        <v>11757</v>
      </c>
      <c r="F1290" s="7" t="s">
        <v>10491</v>
      </c>
      <c r="G1290" s="7" t="s">
        <v>11777</v>
      </c>
      <c r="H1290" s="7" t="s">
        <v>11778</v>
      </c>
      <c r="I1290" s="119">
        <v>45292.0</v>
      </c>
      <c r="K1290" s="7" t="s">
        <v>419</v>
      </c>
      <c r="L1290" s="7" t="s">
        <v>991</v>
      </c>
      <c r="M1290" s="7" t="s">
        <v>3501</v>
      </c>
      <c r="N1290" s="7" t="s">
        <v>419</v>
      </c>
      <c r="O1290" s="7" t="s">
        <v>19433</v>
      </c>
      <c r="P1290" s="7" t="s">
        <v>587</v>
      </c>
      <c r="Q1290" s="7" t="s">
        <v>74</v>
      </c>
      <c r="R1290" s="7" t="s">
        <v>21189</v>
      </c>
      <c r="T1290" s="7" t="s">
        <v>11780</v>
      </c>
      <c r="U1290" s="7" t="s">
        <v>3493</v>
      </c>
      <c r="V1290" s="7">
        <v>1.0</v>
      </c>
    </row>
    <row r="1291">
      <c r="A1291" s="7" t="s">
        <v>1741</v>
      </c>
      <c r="B1291" s="7">
        <v>10756.0</v>
      </c>
      <c r="C1291" s="7" t="s">
        <v>11755</v>
      </c>
      <c r="D1291" s="7" t="s">
        <v>11781</v>
      </c>
      <c r="E1291" s="7" t="s">
        <v>11757</v>
      </c>
      <c r="F1291" s="7" t="s">
        <v>10171</v>
      </c>
      <c r="G1291" s="7" t="s">
        <v>11782</v>
      </c>
      <c r="H1291" s="7" t="s">
        <v>11783</v>
      </c>
      <c r="I1291" s="119">
        <v>45292.0</v>
      </c>
      <c r="K1291" s="7" t="s">
        <v>419</v>
      </c>
      <c r="L1291" s="7" t="s">
        <v>991</v>
      </c>
      <c r="M1291" s="7" t="s">
        <v>3501</v>
      </c>
      <c r="N1291" s="7" t="s">
        <v>419</v>
      </c>
      <c r="O1291" s="7" t="s">
        <v>19432</v>
      </c>
      <c r="P1291" s="7" t="s">
        <v>693</v>
      </c>
      <c r="Q1291" s="7" t="s">
        <v>703</v>
      </c>
      <c r="R1291" s="7" t="s">
        <v>19945</v>
      </c>
      <c r="S1291" s="7" t="s">
        <v>21190</v>
      </c>
      <c r="T1291" s="7" t="s">
        <v>11785</v>
      </c>
      <c r="U1291" s="7" t="s">
        <v>3843</v>
      </c>
      <c r="V1291" s="7">
        <v>1.0</v>
      </c>
    </row>
    <row r="1292">
      <c r="A1292" s="7" t="s">
        <v>21191</v>
      </c>
      <c r="B1292" s="7">
        <v>199.0</v>
      </c>
      <c r="C1292" s="7" t="s">
        <v>11787</v>
      </c>
      <c r="D1292" s="7" t="s">
        <v>11788</v>
      </c>
      <c r="E1292" s="7" t="s">
        <v>11789</v>
      </c>
      <c r="F1292" s="7" t="s">
        <v>11790</v>
      </c>
      <c r="G1292" s="7" t="s">
        <v>11791</v>
      </c>
      <c r="H1292" s="7" t="s">
        <v>11792</v>
      </c>
      <c r="I1292" s="119">
        <v>45292.0</v>
      </c>
      <c r="K1292" s="7" t="s">
        <v>419</v>
      </c>
      <c r="L1292" s="7" t="s">
        <v>991</v>
      </c>
      <c r="M1292" s="7" t="s">
        <v>3501</v>
      </c>
      <c r="N1292" s="7" t="s">
        <v>419</v>
      </c>
      <c r="O1292" s="7" t="s">
        <v>19430</v>
      </c>
      <c r="P1292" s="7" t="s">
        <v>717</v>
      </c>
      <c r="Q1292" s="7" t="s">
        <v>725</v>
      </c>
      <c r="R1292" s="7" t="s">
        <v>19621</v>
      </c>
      <c r="T1292" s="7" t="s">
        <v>21192</v>
      </c>
      <c r="U1292" s="7" t="s">
        <v>3604</v>
      </c>
      <c r="V1292" s="7">
        <v>1.0</v>
      </c>
    </row>
    <row r="1293">
      <c r="A1293" s="7" t="s">
        <v>21193</v>
      </c>
      <c r="B1293" s="7">
        <v>2200254.0</v>
      </c>
      <c r="C1293" s="7" t="s">
        <v>11796</v>
      </c>
      <c r="D1293" s="7" t="s">
        <v>4066</v>
      </c>
      <c r="E1293" s="7" t="s">
        <v>11797</v>
      </c>
      <c r="F1293" s="7" t="s">
        <v>4068</v>
      </c>
      <c r="G1293" s="7" t="s">
        <v>11798</v>
      </c>
      <c r="H1293" s="7" t="s">
        <v>11799</v>
      </c>
      <c r="I1293" s="119">
        <v>45292.0</v>
      </c>
      <c r="K1293" s="7" t="s">
        <v>419</v>
      </c>
      <c r="L1293" s="7" t="s">
        <v>991</v>
      </c>
      <c r="M1293" s="7" t="s">
        <v>3501</v>
      </c>
      <c r="N1293" s="7" t="s">
        <v>419</v>
      </c>
      <c r="O1293" s="7" t="s">
        <v>19430</v>
      </c>
      <c r="P1293" s="7" t="s">
        <v>717</v>
      </c>
      <c r="Q1293" s="7" t="s">
        <v>720</v>
      </c>
      <c r="R1293" s="7" t="s">
        <v>19626</v>
      </c>
      <c r="S1293" s="7" t="s">
        <v>19627</v>
      </c>
      <c r="T1293" s="7" t="s">
        <v>4029</v>
      </c>
      <c r="U1293" s="7" t="s">
        <v>3493</v>
      </c>
      <c r="V1293" s="7">
        <v>1.0</v>
      </c>
    </row>
    <row r="1294">
      <c r="A1294" s="7" t="s">
        <v>21194</v>
      </c>
      <c r="B1294" s="7">
        <v>2200309.0</v>
      </c>
      <c r="C1294" s="7" t="s">
        <v>11801</v>
      </c>
      <c r="D1294" s="7" t="s">
        <v>11802</v>
      </c>
      <c r="E1294" s="7" t="s">
        <v>11803</v>
      </c>
      <c r="F1294" s="7" t="s">
        <v>11804</v>
      </c>
      <c r="G1294" s="7" t="s">
        <v>11805</v>
      </c>
      <c r="I1294" s="119">
        <v>45292.0</v>
      </c>
      <c r="K1294" s="7" t="s">
        <v>419</v>
      </c>
      <c r="L1294" s="7" t="s">
        <v>991</v>
      </c>
      <c r="M1294" s="7" t="s">
        <v>3531</v>
      </c>
      <c r="N1294" s="7" t="s">
        <v>419</v>
      </c>
      <c r="O1294" s="7" t="s">
        <v>19430</v>
      </c>
      <c r="P1294" s="7" t="s">
        <v>854</v>
      </c>
      <c r="Q1294" s="7" t="s">
        <v>859</v>
      </c>
      <c r="T1294" s="7" t="s">
        <v>3821</v>
      </c>
      <c r="U1294" s="7" t="s">
        <v>3493</v>
      </c>
      <c r="V1294" s="7">
        <v>1.0</v>
      </c>
    </row>
    <row r="1295">
      <c r="A1295" s="7" t="s">
        <v>21195</v>
      </c>
      <c r="B1295" s="7">
        <v>13860.0</v>
      </c>
      <c r="C1295" s="7" t="s">
        <v>11807</v>
      </c>
      <c r="D1295" s="7" t="s">
        <v>11808</v>
      </c>
      <c r="E1295" s="7" t="s">
        <v>11809</v>
      </c>
      <c r="F1295" s="7" t="s">
        <v>4677</v>
      </c>
      <c r="G1295" s="7" t="s">
        <v>11810</v>
      </c>
      <c r="H1295" s="7" t="s">
        <v>11811</v>
      </c>
      <c r="I1295" s="119">
        <v>45292.0</v>
      </c>
      <c r="K1295" s="7" t="s">
        <v>419</v>
      </c>
      <c r="L1295" s="7" t="s">
        <v>991</v>
      </c>
      <c r="M1295" s="7" t="s">
        <v>3531</v>
      </c>
      <c r="N1295" s="7" t="s">
        <v>419</v>
      </c>
      <c r="O1295" s="7" t="s">
        <v>19433</v>
      </c>
      <c r="P1295" s="7" t="s">
        <v>648</v>
      </c>
      <c r="Q1295" s="7" t="s">
        <v>143</v>
      </c>
      <c r="R1295" s="7" t="s">
        <v>19563</v>
      </c>
      <c r="S1295" s="7" t="s">
        <v>21014</v>
      </c>
      <c r="T1295" s="7" t="s">
        <v>10830</v>
      </c>
      <c r="U1295" s="7" t="s">
        <v>3493</v>
      </c>
      <c r="V1295" s="7">
        <v>1.0</v>
      </c>
    </row>
    <row r="1296">
      <c r="A1296" s="7" t="s">
        <v>21196</v>
      </c>
      <c r="B1296" s="7">
        <v>11956.0</v>
      </c>
      <c r="C1296" s="7" t="s">
        <v>11813</v>
      </c>
      <c r="D1296" s="7" t="s">
        <v>11814</v>
      </c>
      <c r="E1296" s="7" t="s">
        <v>11815</v>
      </c>
      <c r="F1296" s="7" t="s">
        <v>3665</v>
      </c>
      <c r="G1296" s="7" t="s">
        <v>11816</v>
      </c>
      <c r="H1296" s="7" t="s">
        <v>11817</v>
      </c>
      <c r="I1296" s="119">
        <v>45292.0</v>
      </c>
      <c r="K1296" s="7" t="s">
        <v>419</v>
      </c>
      <c r="L1296" s="7" t="s">
        <v>991</v>
      </c>
      <c r="M1296" s="7" t="s">
        <v>3501</v>
      </c>
      <c r="N1296" s="7" t="s">
        <v>419</v>
      </c>
      <c r="O1296" s="7" t="s">
        <v>19443</v>
      </c>
      <c r="P1296" s="7" t="s">
        <v>1242</v>
      </c>
      <c r="Q1296" s="7" t="s">
        <v>51</v>
      </c>
      <c r="R1296" s="7" t="s">
        <v>19597</v>
      </c>
      <c r="S1296" s="7" t="s">
        <v>19650</v>
      </c>
      <c r="T1296" s="7" t="s">
        <v>4128</v>
      </c>
      <c r="U1296" s="7" t="s">
        <v>3843</v>
      </c>
      <c r="V1296" s="7">
        <v>1.0</v>
      </c>
    </row>
    <row r="1297">
      <c r="A1297" s="7" t="s">
        <v>21197</v>
      </c>
      <c r="B1297" s="7">
        <v>2300552.0</v>
      </c>
      <c r="C1297" s="7" t="s">
        <v>11819</v>
      </c>
      <c r="D1297" s="7" t="s">
        <v>11089</v>
      </c>
      <c r="E1297" s="7" t="s">
        <v>11820</v>
      </c>
      <c r="F1297" s="7" t="s">
        <v>11089</v>
      </c>
      <c r="G1297" s="7" t="s">
        <v>11821</v>
      </c>
      <c r="H1297" s="7" t="s">
        <v>11822</v>
      </c>
      <c r="I1297" s="119">
        <v>45292.0</v>
      </c>
      <c r="K1297" s="7" t="s">
        <v>419</v>
      </c>
      <c r="L1297" s="7" t="s">
        <v>991</v>
      </c>
      <c r="M1297" s="7" t="s">
        <v>3531</v>
      </c>
      <c r="N1297" s="7" t="s">
        <v>419</v>
      </c>
      <c r="O1297" s="7" t="s">
        <v>19443</v>
      </c>
      <c r="P1297" s="7" t="s">
        <v>323</v>
      </c>
      <c r="Q1297" s="7" t="s">
        <v>824</v>
      </c>
      <c r="R1297" s="7" t="s">
        <v>20311</v>
      </c>
      <c r="T1297" s="7" t="s">
        <v>7132</v>
      </c>
      <c r="U1297" s="7" t="s">
        <v>3493</v>
      </c>
      <c r="V1297" s="7">
        <v>1.0</v>
      </c>
    </row>
    <row r="1298">
      <c r="A1298" s="7" t="s">
        <v>21198</v>
      </c>
      <c r="B1298" s="7">
        <v>2200012.0</v>
      </c>
      <c r="C1298" s="7" t="s">
        <v>11824</v>
      </c>
      <c r="D1298" s="7" t="s">
        <v>11825</v>
      </c>
      <c r="E1298" s="7" t="s">
        <v>11826</v>
      </c>
      <c r="F1298" s="7" t="s">
        <v>11827</v>
      </c>
      <c r="G1298" s="7" t="s">
        <v>11828</v>
      </c>
      <c r="H1298" s="7" t="s">
        <v>11829</v>
      </c>
      <c r="I1298" s="119">
        <v>45292.0</v>
      </c>
      <c r="K1298" s="7" t="s">
        <v>419</v>
      </c>
      <c r="L1298" s="7" t="s">
        <v>991</v>
      </c>
      <c r="M1298" s="7" t="s">
        <v>3501</v>
      </c>
      <c r="N1298" s="7" t="s">
        <v>419</v>
      </c>
      <c r="O1298" s="7" t="s">
        <v>19430</v>
      </c>
      <c r="P1298" s="7" t="s">
        <v>854</v>
      </c>
      <c r="Q1298" s="7" t="s">
        <v>859</v>
      </c>
      <c r="R1298" s="7" t="s">
        <v>20523</v>
      </c>
      <c r="S1298" s="7" t="s">
        <v>20524</v>
      </c>
      <c r="T1298" s="7" t="s">
        <v>11830</v>
      </c>
      <c r="U1298" s="7" t="s">
        <v>3493</v>
      </c>
      <c r="V1298" s="7">
        <v>1.0</v>
      </c>
    </row>
    <row r="1299">
      <c r="A1299" s="7" t="s">
        <v>21199</v>
      </c>
      <c r="B1299" s="7">
        <v>13596.0</v>
      </c>
      <c r="C1299" s="7" t="s">
        <v>11824</v>
      </c>
      <c r="D1299" s="7" t="s">
        <v>11832</v>
      </c>
      <c r="E1299" s="7" t="s">
        <v>11833</v>
      </c>
      <c r="F1299" s="7" t="s">
        <v>5514</v>
      </c>
      <c r="G1299" s="7" t="s">
        <v>11834</v>
      </c>
      <c r="H1299" s="7" t="s">
        <v>11835</v>
      </c>
      <c r="I1299" s="119">
        <v>45292.0</v>
      </c>
      <c r="K1299" s="7" t="s">
        <v>419</v>
      </c>
      <c r="L1299" s="7" t="s">
        <v>991</v>
      </c>
      <c r="M1299" s="7" t="s">
        <v>3501</v>
      </c>
      <c r="N1299" s="7" t="s">
        <v>419</v>
      </c>
      <c r="O1299" s="7" t="s">
        <v>19430</v>
      </c>
      <c r="P1299" s="7" t="s">
        <v>717</v>
      </c>
      <c r="Q1299" s="7" t="s">
        <v>722</v>
      </c>
      <c r="R1299" s="7" t="s">
        <v>20209</v>
      </c>
      <c r="S1299" s="7" t="s">
        <v>20210</v>
      </c>
      <c r="T1299" s="7" t="s">
        <v>6569</v>
      </c>
      <c r="U1299" s="7" t="s">
        <v>3493</v>
      </c>
      <c r="V1299" s="7">
        <v>1.0</v>
      </c>
    </row>
    <row r="1300">
      <c r="A1300" s="7" t="s">
        <v>21200</v>
      </c>
      <c r="B1300" s="7">
        <v>2100015.0</v>
      </c>
      <c r="C1300" s="7" t="s">
        <v>3727</v>
      </c>
      <c r="D1300" s="7" t="s">
        <v>7998</v>
      </c>
      <c r="E1300" s="7" t="s">
        <v>11837</v>
      </c>
      <c r="F1300" s="7" t="s">
        <v>6202</v>
      </c>
      <c r="G1300" s="7" t="s">
        <v>11838</v>
      </c>
      <c r="H1300" s="7" t="s">
        <v>11839</v>
      </c>
      <c r="I1300" s="119">
        <v>45292.0</v>
      </c>
      <c r="K1300" s="7" t="s">
        <v>419</v>
      </c>
      <c r="L1300" s="7" t="s">
        <v>991</v>
      </c>
      <c r="M1300" s="7" t="s">
        <v>3490</v>
      </c>
      <c r="N1300" s="7" t="s">
        <v>419</v>
      </c>
      <c r="O1300" s="7" t="s">
        <v>19443</v>
      </c>
      <c r="P1300" s="7" t="s">
        <v>1242</v>
      </c>
      <c r="Q1300" s="7" t="s">
        <v>51</v>
      </c>
      <c r="R1300" s="7" t="s">
        <v>19599</v>
      </c>
      <c r="S1300" s="7" t="s">
        <v>20161</v>
      </c>
      <c r="T1300" s="7" t="s">
        <v>6346</v>
      </c>
      <c r="U1300" s="7" t="s">
        <v>3493</v>
      </c>
      <c r="V1300" s="7">
        <v>1.0</v>
      </c>
    </row>
    <row r="1301">
      <c r="A1301" s="7" t="s">
        <v>21201</v>
      </c>
      <c r="B1301" s="7">
        <v>2200421.0</v>
      </c>
      <c r="C1301" s="7" t="s">
        <v>11841</v>
      </c>
      <c r="D1301" s="7" t="s">
        <v>11842</v>
      </c>
      <c r="E1301" s="7" t="s">
        <v>11843</v>
      </c>
      <c r="F1301" s="7" t="s">
        <v>4677</v>
      </c>
      <c r="G1301" s="7" t="s">
        <v>11844</v>
      </c>
      <c r="H1301" s="7" t="s">
        <v>11845</v>
      </c>
      <c r="I1301" s="119">
        <v>45292.0</v>
      </c>
      <c r="K1301" s="7" t="s">
        <v>419</v>
      </c>
      <c r="L1301" s="7" t="s">
        <v>991</v>
      </c>
      <c r="M1301" s="7" t="s">
        <v>3531</v>
      </c>
      <c r="N1301" s="7" t="s">
        <v>419</v>
      </c>
      <c r="O1301" s="7" t="s">
        <v>19433</v>
      </c>
      <c r="P1301" s="7" t="s">
        <v>648</v>
      </c>
      <c r="Q1301" s="7" t="s">
        <v>148</v>
      </c>
      <c r="R1301" s="7" t="s">
        <v>19501</v>
      </c>
      <c r="T1301" s="7" t="s">
        <v>4445</v>
      </c>
      <c r="U1301" s="7" t="s">
        <v>3493</v>
      </c>
      <c r="V1301" s="7">
        <v>1.0</v>
      </c>
    </row>
    <row r="1302">
      <c r="A1302" s="7" t="s">
        <v>21202</v>
      </c>
      <c r="B1302" s="7">
        <v>2200223.0</v>
      </c>
      <c r="C1302" s="7" t="s">
        <v>11847</v>
      </c>
      <c r="D1302" s="7" t="s">
        <v>11848</v>
      </c>
      <c r="E1302" s="7" t="s">
        <v>11849</v>
      </c>
      <c r="F1302" s="7" t="s">
        <v>11850</v>
      </c>
      <c r="G1302" s="7" t="s">
        <v>11851</v>
      </c>
      <c r="H1302" s="7" t="s">
        <v>11852</v>
      </c>
      <c r="I1302" s="119">
        <v>45292.0</v>
      </c>
      <c r="K1302" s="7" t="s">
        <v>419</v>
      </c>
      <c r="L1302" s="7" t="s">
        <v>991</v>
      </c>
      <c r="M1302" s="7" t="s">
        <v>3501</v>
      </c>
      <c r="N1302" s="7" t="s">
        <v>419</v>
      </c>
      <c r="O1302" s="7" t="s">
        <v>19430</v>
      </c>
      <c r="P1302" s="7" t="s">
        <v>854</v>
      </c>
      <c r="Q1302" s="7" t="s">
        <v>861</v>
      </c>
      <c r="R1302" s="7" t="s">
        <v>19800</v>
      </c>
      <c r="S1302" s="7" t="s">
        <v>21106</v>
      </c>
      <c r="T1302" s="7" t="s">
        <v>11345</v>
      </c>
      <c r="U1302" s="7" t="s">
        <v>3493</v>
      </c>
      <c r="V1302" s="7">
        <v>1.0</v>
      </c>
    </row>
    <row r="1303">
      <c r="A1303" s="7" t="s">
        <v>21203</v>
      </c>
      <c r="B1303" s="7">
        <v>12758.0</v>
      </c>
      <c r="C1303" s="7" t="s">
        <v>11854</v>
      </c>
      <c r="D1303" s="7" t="s">
        <v>11855</v>
      </c>
      <c r="E1303" s="7" t="s">
        <v>11856</v>
      </c>
      <c r="F1303" s="7" t="s">
        <v>9975</v>
      </c>
      <c r="G1303" s="7" t="s">
        <v>11857</v>
      </c>
      <c r="H1303" s="7" t="s">
        <v>11858</v>
      </c>
      <c r="I1303" s="119">
        <v>45292.0</v>
      </c>
      <c r="K1303" s="7" t="s">
        <v>419</v>
      </c>
      <c r="L1303" s="7" t="s">
        <v>991</v>
      </c>
      <c r="M1303" s="7" t="s">
        <v>3501</v>
      </c>
      <c r="N1303" s="7" t="s">
        <v>419</v>
      </c>
      <c r="O1303" s="7" t="s">
        <v>19432</v>
      </c>
      <c r="P1303" s="7" t="s">
        <v>298</v>
      </c>
      <c r="Q1303" s="7" t="s">
        <v>1284</v>
      </c>
      <c r="R1303" s="7" t="s">
        <v>20033</v>
      </c>
      <c r="S1303" s="7" t="s">
        <v>20456</v>
      </c>
      <c r="T1303" s="7" t="s">
        <v>7884</v>
      </c>
      <c r="U1303" s="7" t="s">
        <v>3493</v>
      </c>
      <c r="V1303" s="7">
        <v>1.0</v>
      </c>
    </row>
    <row r="1304">
      <c r="A1304" s="7" t="s">
        <v>21204</v>
      </c>
      <c r="B1304" s="7">
        <v>13809.0</v>
      </c>
      <c r="C1304" s="7" t="s">
        <v>11860</v>
      </c>
      <c r="D1304" s="7" t="s">
        <v>11861</v>
      </c>
      <c r="E1304" s="7" t="s">
        <v>11862</v>
      </c>
      <c r="F1304" s="7" t="s">
        <v>3869</v>
      </c>
      <c r="G1304" s="7" t="s">
        <v>11863</v>
      </c>
      <c r="H1304" s="7" t="s">
        <v>11864</v>
      </c>
      <c r="I1304" s="119">
        <v>45292.0</v>
      </c>
      <c r="K1304" s="7" t="s">
        <v>419</v>
      </c>
      <c r="L1304" s="7" t="s">
        <v>991</v>
      </c>
      <c r="M1304" s="7" t="s">
        <v>3501</v>
      </c>
      <c r="N1304" s="7" t="s">
        <v>419</v>
      </c>
      <c r="O1304" s="7" t="s">
        <v>19432</v>
      </c>
      <c r="P1304" s="7" t="s">
        <v>693</v>
      </c>
      <c r="Q1304" s="7" t="s">
        <v>703</v>
      </c>
      <c r="R1304" s="7" t="s">
        <v>19579</v>
      </c>
      <c r="S1304" s="7" t="s">
        <v>20895</v>
      </c>
      <c r="T1304" s="7" t="s">
        <v>11865</v>
      </c>
      <c r="U1304" s="7" t="s">
        <v>3493</v>
      </c>
      <c r="V1304" s="7">
        <v>1.0</v>
      </c>
    </row>
    <row r="1305">
      <c r="A1305" s="7" t="s">
        <v>21205</v>
      </c>
      <c r="B1305" s="7">
        <v>2300624.0</v>
      </c>
      <c r="C1305" s="7" t="s">
        <v>11867</v>
      </c>
      <c r="D1305" s="7" t="s">
        <v>11868</v>
      </c>
      <c r="E1305" s="7" t="s">
        <v>11869</v>
      </c>
      <c r="F1305" s="7" t="s">
        <v>5155</v>
      </c>
      <c r="G1305" s="7" t="s">
        <v>11870</v>
      </c>
      <c r="H1305" s="7" t="s">
        <v>11871</v>
      </c>
      <c r="I1305" s="119">
        <v>45292.0</v>
      </c>
      <c r="K1305" s="7" t="s">
        <v>419</v>
      </c>
      <c r="L1305" s="7" t="s">
        <v>991</v>
      </c>
      <c r="M1305" s="7" t="s">
        <v>3501</v>
      </c>
      <c r="N1305" s="7" t="s">
        <v>419</v>
      </c>
      <c r="O1305" s="7" t="s">
        <v>19430</v>
      </c>
      <c r="P1305" s="7" t="s">
        <v>717</v>
      </c>
      <c r="Q1305" s="7" t="s">
        <v>223</v>
      </c>
      <c r="R1305" s="7" t="s">
        <v>20799</v>
      </c>
      <c r="S1305" s="7" t="s">
        <v>20874</v>
      </c>
      <c r="T1305" s="7" t="s">
        <v>10019</v>
      </c>
      <c r="U1305" s="7" t="s">
        <v>3493</v>
      </c>
      <c r="V1305" s="7">
        <v>1.0</v>
      </c>
    </row>
    <row r="1306">
      <c r="A1306" s="7" t="s">
        <v>21206</v>
      </c>
      <c r="B1306" s="7">
        <v>11620.0</v>
      </c>
      <c r="C1306" s="7" t="s">
        <v>11873</v>
      </c>
      <c r="D1306" s="7" t="s">
        <v>11874</v>
      </c>
      <c r="E1306" s="7" t="s">
        <v>11875</v>
      </c>
      <c r="F1306" s="7" t="s">
        <v>11876</v>
      </c>
      <c r="G1306" s="7" t="s">
        <v>11877</v>
      </c>
      <c r="H1306" s="7" t="s">
        <v>11878</v>
      </c>
      <c r="I1306" s="119">
        <v>45292.0</v>
      </c>
      <c r="K1306" s="7" t="s">
        <v>419</v>
      </c>
      <c r="L1306" s="7" t="s">
        <v>991</v>
      </c>
      <c r="M1306" s="7" t="s">
        <v>3501</v>
      </c>
      <c r="N1306" s="7" t="s">
        <v>419</v>
      </c>
      <c r="O1306" s="7" t="s">
        <v>19432</v>
      </c>
      <c r="P1306" s="7" t="s">
        <v>693</v>
      </c>
      <c r="Q1306" s="7" t="s">
        <v>696</v>
      </c>
      <c r="R1306" s="7" t="s">
        <v>19563</v>
      </c>
      <c r="T1306" s="7" t="s">
        <v>9922</v>
      </c>
      <c r="U1306" s="7" t="s">
        <v>3493</v>
      </c>
      <c r="V1306" s="7">
        <v>1.0</v>
      </c>
    </row>
    <row r="1307">
      <c r="A1307" s="7" t="s">
        <v>21207</v>
      </c>
      <c r="B1307" s="7">
        <v>10445.0</v>
      </c>
      <c r="C1307" s="7" t="s">
        <v>11880</v>
      </c>
      <c r="D1307" s="7" t="s">
        <v>5056</v>
      </c>
      <c r="E1307" s="7" t="s">
        <v>11881</v>
      </c>
      <c r="F1307" s="7" t="s">
        <v>9001</v>
      </c>
      <c r="G1307" s="7" t="s">
        <v>11882</v>
      </c>
      <c r="H1307" s="7" t="s">
        <v>11883</v>
      </c>
      <c r="I1307" s="119">
        <v>45292.0</v>
      </c>
      <c r="K1307" s="7" t="s">
        <v>419</v>
      </c>
      <c r="L1307" s="7" t="s">
        <v>991</v>
      </c>
      <c r="M1307" s="7" t="s">
        <v>3501</v>
      </c>
      <c r="N1307" s="7" t="s">
        <v>419</v>
      </c>
      <c r="O1307" s="7" t="s">
        <v>19430</v>
      </c>
      <c r="P1307" s="7" t="s">
        <v>717</v>
      </c>
      <c r="Q1307" s="7" t="s">
        <v>223</v>
      </c>
      <c r="R1307" s="7" t="s">
        <v>19764</v>
      </c>
      <c r="T1307" s="7" t="s">
        <v>21208</v>
      </c>
      <c r="U1307" s="7" t="s">
        <v>3604</v>
      </c>
      <c r="V1307" s="7">
        <v>1.0</v>
      </c>
    </row>
    <row r="1308">
      <c r="A1308" s="7" t="s">
        <v>21209</v>
      </c>
      <c r="B1308" s="7">
        <v>14358.0</v>
      </c>
      <c r="C1308" s="7" t="s">
        <v>11887</v>
      </c>
      <c r="D1308" s="7" t="s">
        <v>11888</v>
      </c>
      <c r="E1308" s="7" t="s">
        <v>11889</v>
      </c>
      <c r="F1308" s="7" t="s">
        <v>11890</v>
      </c>
      <c r="G1308" s="7" t="s">
        <v>11891</v>
      </c>
      <c r="H1308" s="7" t="s">
        <v>11892</v>
      </c>
      <c r="I1308" s="119">
        <v>45292.0</v>
      </c>
      <c r="K1308" s="7" t="s">
        <v>4206</v>
      </c>
      <c r="L1308" s="7" t="s">
        <v>3542</v>
      </c>
      <c r="M1308" s="7" t="s">
        <v>3543</v>
      </c>
      <c r="N1308" s="7" t="s">
        <v>419</v>
      </c>
      <c r="O1308" s="7" t="s">
        <v>19433</v>
      </c>
      <c r="P1308" s="7" t="s">
        <v>587</v>
      </c>
      <c r="Q1308" s="7" t="s">
        <v>72</v>
      </c>
      <c r="R1308" s="7" t="s">
        <v>19677</v>
      </c>
      <c r="S1308" s="7" t="s">
        <v>19678</v>
      </c>
      <c r="T1308" s="7" t="s">
        <v>19679</v>
      </c>
      <c r="U1308" s="7" t="s">
        <v>3493</v>
      </c>
      <c r="V1308" s="7">
        <v>1.0</v>
      </c>
    </row>
    <row r="1309">
      <c r="A1309" s="7" t="s">
        <v>21210</v>
      </c>
      <c r="B1309" s="7">
        <v>2100314.0</v>
      </c>
      <c r="C1309" s="7" t="s">
        <v>11894</v>
      </c>
      <c r="D1309" s="7" t="s">
        <v>6749</v>
      </c>
      <c r="E1309" s="7" t="s">
        <v>11895</v>
      </c>
      <c r="F1309" s="7" t="s">
        <v>6750</v>
      </c>
      <c r="G1309" s="7" t="s">
        <v>11896</v>
      </c>
      <c r="H1309" s="7" t="s">
        <v>11897</v>
      </c>
      <c r="I1309" s="119">
        <v>45292.0</v>
      </c>
      <c r="K1309" s="7" t="s">
        <v>419</v>
      </c>
      <c r="L1309" s="7" t="s">
        <v>991</v>
      </c>
      <c r="M1309" s="7" t="s">
        <v>3501</v>
      </c>
      <c r="N1309" s="7" t="s">
        <v>419</v>
      </c>
      <c r="O1309" s="7" t="s">
        <v>19438</v>
      </c>
      <c r="P1309" s="7" t="s">
        <v>19475</v>
      </c>
      <c r="Q1309" s="7" t="s">
        <v>188</v>
      </c>
      <c r="R1309" s="7" t="s">
        <v>20720</v>
      </c>
      <c r="S1309" s="7" t="s">
        <v>21211</v>
      </c>
      <c r="T1309" s="7" t="s">
        <v>11899</v>
      </c>
      <c r="U1309" s="7" t="s">
        <v>3493</v>
      </c>
      <c r="V1309" s="7">
        <v>1.0</v>
      </c>
    </row>
    <row r="1310">
      <c r="A1310" s="7" t="s">
        <v>21212</v>
      </c>
      <c r="B1310" s="7">
        <v>2300541.0</v>
      </c>
      <c r="C1310" s="7" t="s">
        <v>11901</v>
      </c>
      <c r="D1310" s="7" t="s">
        <v>4597</v>
      </c>
      <c r="E1310" s="7" t="s">
        <v>11895</v>
      </c>
      <c r="F1310" s="7" t="s">
        <v>4598</v>
      </c>
      <c r="G1310" s="7" t="s">
        <v>11902</v>
      </c>
      <c r="H1310" s="7" t="s">
        <v>11903</v>
      </c>
      <c r="I1310" s="119">
        <v>45292.0</v>
      </c>
      <c r="K1310" s="7" t="s">
        <v>419</v>
      </c>
      <c r="L1310" s="7" t="s">
        <v>991</v>
      </c>
      <c r="M1310" s="7" t="s">
        <v>3531</v>
      </c>
      <c r="N1310" s="7" t="s">
        <v>419</v>
      </c>
      <c r="O1310" s="7" t="s">
        <v>19432</v>
      </c>
      <c r="P1310" s="7" t="s">
        <v>298</v>
      </c>
      <c r="Q1310" s="7" t="s">
        <v>1284</v>
      </c>
      <c r="R1310" s="7" t="s">
        <v>20190</v>
      </c>
      <c r="S1310" s="7" t="s">
        <v>20220</v>
      </c>
      <c r="T1310" s="7" t="s">
        <v>9604</v>
      </c>
      <c r="U1310" s="7" t="s">
        <v>3493</v>
      </c>
      <c r="V1310" s="7">
        <v>1.0</v>
      </c>
    </row>
    <row r="1311">
      <c r="A1311" s="7" t="s">
        <v>21213</v>
      </c>
      <c r="B1311" s="7">
        <v>2300452.0</v>
      </c>
      <c r="C1311" s="7" t="s">
        <v>11905</v>
      </c>
      <c r="D1311" s="7" t="s">
        <v>11906</v>
      </c>
      <c r="E1311" s="7" t="s">
        <v>11907</v>
      </c>
      <c r="F1311" s="7" t="s">
        <v>11906</v>
      </c>
      <c r="G1311" s="7" t="s">
        <v>11908</v>
      </c>
      <c r="H1311" s="7" t="s">
        <v>11909</v>
      </c>
      <c r="I1311" s="119">
        <v>45292.0</v>
      </c>
      <c r="K1311" s="7" t="s">
        <v>419</v>
      </c>
      <c r="L1311" s="7" t="s">
        <v>991</v>
      </c>
      <c r="M1311" s="7" t="s">
        <v>3531</v>
      </c>
      <c r="N1311" s="7" t="s">
        <v>419</v>
      </c>
      <c r="O1311" s="7" t="s">
        <v>19430</v>
      </c>
      <c r="P1311" s="7" t="s">
        <v>717</v>
      </c>
      <c r="Q1311" s="7" t="s">
        <v>1163</v>
      </c>
      <c r="R1311" s="7" t="s">
        <v>19546</v>
      </c>
      <c r="S1311" s="7" t="s">
        <v>19547</v>
      </c>
      <c r="T1311" s="7" t="s">
        <v>3743</v>
      </c>
      <c r="U1311" s="7" t="s">
        <v>3493</v>
      </c>
      <c r="V1311" s="7">
        <v>1.0</v>
      </c>
    </row>
    <row r="1312">
      <c r="A1312" s="7" t="s">
        <v>21214</v>
      </c>
      <c r="B1312" s="7">
        <v>2200080.0</v>
      </c>
      <c r="C1312" s="7" t="s">
        <v>11905</v>
      </c>
      <c r="D1312" s="7" t="s">
        <v>11911</v>
      </c>
      <c r="E1312" s="7" t="s">
        <v>11907</v>
      </c>
      <c r="F1312" s="7" t="s">
        <v>11912</v>
      </c>
      <c r="G1312" s="7" t="s">
        <v>11913</v>
      </c>
      <c r="H1312" s="7" t="s">
        <v>11914</v>
      </c>
      <c r="I1312" s="119">
        <v>45292.0</v>
      </c>
      <c r="K1312" s="7" t="s">
        <v>419</v>
      </c>
      <c r="L1312" s="7" t="s">
        <v>991</v>
      </c>
      <c r="M1312" s="7" t="s">
        <v>3501</v>
      </c>
      <c r="N1312" s="7" t="s">
        <v>419</v>
      </c>
      <c r="O1312" s="7" t="s">
        <v>19430</v>
      </c>
      <c r="P1312" s="7" t="s">
        <v>717</v>
      </c>
      <c r="Q1312" s="7" t="s">
        <v>738</v>
      </c>
      <c r="R1312" s="7" t="s">
        <v>19902</v>
      </c>
      <c r="S1312" s="7" t="s">
        <v>20062</v>
      </c>
      <c r="T1312" s="7" t="s">
        <v>5869</v>
      </c>
      <c r="U1312" s="7" t="s">
        <v>3493</v>
      </c>
      <c r="V1312" s="7">
        <v>1.0</v>
      </c>
    </row>
    <row r="1313">
      <c r="A1313" s="7" t="s">
        <v>21215</v>
      </c>
      <c r="B1313" s="7">
        <v>11499.0</v>
      </c>
      <c r="C1313" s="7" t="s">
        <v>11916</v>
      </c>
      <c r="D1313" s="7" t="s">
        <v>11917</v>
      </c>
      <c r="E1313" s="7" t="s">
        <v>11918</v>
      </c>
      <c r="F1313" s="7" t="s">
        <v>11919</v>
      </c>
      <c r="G1313" s="7" t="s">
        <v>11920</v>
      </c>
      <c r="H1313" s="7" t="s">
        <v>11921</v>
      </c>
      <c r="I1313" s="119">
        <v>45292.0</v>
      </c>
      <c r="K1313" s="7" t="s">
        <v>419</v>
      </c>
      <c r="L1313" s="7" t="s">
        <v>991</v>
      </c>
      <c r="M1313" s="7" t="s">
        <v>3501</v>
      </c>
      <c r="N1313" s="7" t="s">
        <v>419</v>
      </c>
      <c r="O1313" s="7" t="s">
        <v>19432</v>
      </c>
      <c r="P1313" s="7" t="s">
        <v>693</v>
      </c>
      <c r="Q1313" s="7" t="s">
        <v>696</v>
      </c>
      <c r="R1313" s="7" t="s">
        <v>19813</v>
      </c>
      <c r="T1313" s="7" t="s">
        <v>11923</v>
      </c>
      <c r="U1313" s="7" t="s">
        <v>3604</v>
      </c>
      <c r="V1313" s="7">
        <v>1.0</v>
      </c>
    </row>
    <row r="1314">
      <c r="A1314" s="7" t="s">
        <v>21216</v>
      </c>
      <c r="B1314" s="7">
        <v>2300074.0</v>
      </c>
      <c r="C1314" s="7" t="s">
        <v>11925</v>
      </c>
      <c r="D1314" s="7" t="s">
        <v>4672</v>
      </c>
      <c r="E1314" s="7" t="s">
        <v>11926</v>
      </c>
      <c r="F1314" s="7" t="s">
        <v>4673</v>
      </c>
      <c r="G1314" s="7" t="s">
        <v>11927</v>
      </c>
      <c r="H1314" s="7" t="s">
        <v>11928</v>
      </c>
      <c r="I1314" s="119">
        <v>45292.0</v>
      </c>
      <c r="K1314" s="7" t="s">
        <v>419</v>
      </c>
      <c r="L1314" s="7" t="s">
        <v>991</v>
      </c>
      <c r="M1314" s="7" t="s">
        <v>3501</v>
      </c>
      <c r="N1314" s="7" t="s">
        <v>419</v>
      </c>
      <c r="O1314" s="7" t="s">
        <v>19430</v>
      </c>
      <c r="P1314" s="7" t="s">
        <v>717</v>
      </c>
      <c r="Q1314" s="7" t="s">
        <v>738</v>
      </c>
      <c r="R1314" s="7" t="s">
        <v>20651</v>
      </c>
      <c r="T1314" s="7" t="s">
        <v>11929</v>
      </c>
      <c r="U1314" s="7" t="s">
        <v>3493</v>
      </c>
      <c r="V1314" s="7">
        <v>1.0</v>
      </c>
    </row>
    <row r="1315">
      <c r="A1315" s="7" t="s">
        <v>1650</v>
      </c>
      <c r="B1315" s="7">
        <v>11393.0</v>
      </c>
      <c r="C1315" s="7" t="s">
        <v>11930</v>
      </c>
      <c r="D1315" s="7" t="s">
        <v>11931</v>
      </c>
      <c r="E1315" s="7" t="s">
        <v>11932</v>
      </c>
      <c r="F1315" s="7" t="s">
        <v>4234</v>
      </c>
      <c r="G1315" s="7" t="s">
        <v>11933</v>
      </c>
      <c r="H1315" s="7" t="s">
        <v>11934</v>
      </c>
      <c r="I1315" s="119">
        <v>45292.0</v>
      </c>
      <c r="K1315" s="7" t="s">
        <v>5973</v>
      </c>
      <c r="L1315" s="7" t="s">
        <v>3542</v>
      </c>
      <c r="M1315" s="7" t="s">
        <v>3563</v>
      </c>
      <c r="N1315" s="7" t="s">
        <v>419</v>
      </c>
      <c r="O1315" s="7" t="s">
        <v>19437</v>
      </c>
      <c r="P1315" s="7" t="s">
        <v>440</v>
      </c>
      <c r="Q1315" s="7" t="s">
        <v>924</v>
      </c>
      <c r="T1315" s="7" t="s">
        <v>4375</v>
      </c>
      <c r="U1315" s="7" t="s">
        <v>5585</v>
      </c>
      <c r="V1315" s="7">
        <v>1.0</v>
      </c>
    </row>
    <row r="1316">
      <c r="A1316" s="7" t="s">
        <v>21217</v>
      </c>
      <c r="B1316" s="7">
        <v>2100327.0</v>
      </c>
      <c r="C1316" s="7" t="s">
        <v>11938</v>
      </c>
      <c r="D1316" s="7" t="s">
        <v>11939</v>
      </c>
      <c r="E1316" s="7" t="s">
        <v>11940</v>
      </c>
      <c r="F1316" s="7" t="s">
        <v>11941</v>
      </c>
      <c r="G1316" s="7" t="s">
        <v>11942</v>
      </c>
      <c r="H1316" s="7" t="s">
        <v>11943</v>
      </c>
      <c r="I1316" s="119">
        <v>45292.0</v>
      </c>
      <c r="K1316" s="7" t="s">
        <v>3632</v>
      </c>
      <c r="L1316" s="7" t="s">
        <v>991</v>
      </c>
      <c r="M1316" s="7" t="s">
        <v>3501</v>
      </c>
      <c r="N1316" s="7" t="s">
        <v>3632</v>
      </c>
      <c r="O1316" s="7" t="s">
        <v>3632</v>
      </c>
      <c r="P1316" s="7" t="s">
        <v>22</v>
      </c>
      <c r="Q1316" s="7" t="s">
        <v>544</v>
      </c>
      <c r="T1316" s="7" t="s">
        <v>7472</v>
      </c>
      <c r="U1316" s="7" t="s">
        <v>3493</v>
      </c>
      <c r="V1316" s="7">
        <v>1.0</v>
      </c>
    </row>
    <row r="1317">
      <c r="A1317" s="7" t="s">
        <v>21218</v>
      </c>
      <c r="B1317" s="7">
        <v>2300496.0</v>
      </c>
      <c r="C1317" s="7" t="s">
        <v>11945</v>
      </c>
      <c r="D1317" s="7" t="s">
        <v>11946</v>
      </c>
      <c r="E1317" s="7" t="s">
        <v>11947</v>
      </c>
      <c r="F1317" s="7" t="s">
        <v>11948</v>
      </c>
      <c r="G1317" s="7" t="s">
        <v>11949</v>
      </c>
      <c r="H1317" s="7" t="s">
        <v>11950</v>
      </c>
      <c r="I1317" s="119">
        <v>45292.0</v>
      </c>
      <c r="K1317" s="7" t="s">
        <v>419</v>
      </c>
      <c r="L1317" s="7" t="s">
        <v>991</v>
      </c>
      <c r="M1317" s="7" t="s">
        <v>3531</v>
      </c>
      <c r="N1317" s="7" t="s">
        <v>419</v>
      </c>
      <c r="O1317" s="7" t="s">
        <v>19443</v>
      </c>
      <c r="P1317" s="7" t="s">
        <v>323</v>
      </c>
      <c r="Q1317" s="7" t="s">
        <v>824</v>
      </c>
      <c r="R1317" s="7" t="s">
        <v>19582</v>
      </c>
      <c r="T1317" s="7" t="s">
        <v>11951</v>
      </c>
      <c r="U1317" s="7" t="s">
        <v>3493</v>
      </c>
      <c r="V1317" s="7">
        <v>1.0</v>
      </c>
    </row>
    <row r="1318">
      <c r="A1318" s="7" t="s">
        <v>21219</v>
      </c>
      <c r="B1318" s="7">
        <v>2200766.0</v>
      </c>
      <c r="C1318" s="7" t="s">
        <v>11953</v>
      </c>
      <c r="D1318" s="7" t="s">
        <v>8462</v>
      </c>
      <c r="E1318" s="7" t="s">
        <v>11954</v>
      </c>
      <c r="F1318" s="7" t="s">
        <v>8463</v>
      </c>
      <c r="G1318" s="7" t="s">
        <v>11955</v>
      </c>
      <c r="H1318" s="7" t="s">
        <v>11956</v>
      </c>
      <c r="I1318" s="119">
        <v>45292.0</v>
      </c>
      <c r="K1318" s="7" t="s">
        <v>419</v>
      </c>
      <c r="L1318" s="7" t="s">
        <v>991</v>
      </c>
      <c r="M1318" s="7" t="s">
        <v>3501</v>
      </c>
      <c r="N1318" s="7" t="s">
        <v>419</v>
      </c>
      <c r="O1318" s="7" t="s">
        <v>19433</v>
      </c>
      <c r="P1318" s="7" t="s">
        <v>587</v>
      </c>
      <c r="Q1318" s="7" t="s">
        <v>74</v>
      </c>
      <c r="R1318" s="7" t="s">
        <v>21220</v>
      </c>
      <c r="T1318" s="7" t="s">
        <v>13310</v>
      </c>
      <c r="U1318" s="7" t="s">
        <v>3493</v>
      </c>
      <c r="V1318" s="7">
        <v>1.0</v>
      </c>
    </row>
    <row r="1319">
      <c r="A1319" s="7" t="s">
        <v>21221</v>
      </c>
      <c r="B1319" s="7">
        <v>2200453.0</v>
      </c>
      <c r="C1319" s="7" t="s">
        <v>11953</v>
      </c>
      <c r="D1319" s="7" t="s">
        <v>3526</v>
      </c>
      <c r="E1319" s="7" t="s">
        <v>11954</v>
      </c>
      <c r="F1319" s="7" t="s">
        <v>3528</v>
      </c>
      <c r="G1319" s="7" t="s">
        <v>11960</v>
      </c>
      <c r="H1319" s="7" t="s">
        <v>11961</v>
      </c>
      <c r="I1319" s="119">
        <v>45292.0</v>
      </c>
      <c r="K1319" s="7" t="s">
        <v>419</v>
      </c>
      <c r="L1319" s="7" t="s">
        <v>991</v>
      </c>
      <c r="M1319" s="7" t="s">
        <v>3501</v>
      </c>
      <c r="N1319" s="7" t="s">
        <v>419</v>
      </c>
      <c r="O1319" s="7" t="s">
        <v>19433</v>
      </c>
      <c r="P1319" s="7" t="s">
        <v>648</v>
      </c>
      <c r="Q1319" s="7" t="s">
        <v>148</v>
      </c>
      <c r="R1319" s="7" t="s">
        <v>19544</v>
      </c>
      <c r="T1319" s="7" t="s">
        <v>3734</v>
      </c>
      <c r="U1319" s="7" t="s">
        <v>3493</v>
      </c>
      <c r="V1319" s="7">
        <v>1.0</v>
      </c>
    </row>
    <row r="1320">
      <c r="A1320" s="7" t="s">
        <v>2281</v>
      </c>
      <c r="B1320" s="7">
        <v>2200927.0</v>
      </c>
      <c r="C1320" s="7" t="s">
        <v>11953</v>
      </c>
      <c r="D1320" s="7" t="s">
        <v>11963</v>
      </c>
      <c r="E1320" s="7" t="s">
        <v>11954</v>
      </c>
      <c r="F1320" s="7" t="s">
        <v>11964</v>
      </c>
      <c r="G1320" s="7" t="s">
        <v>11965</v>
      </c>
      <c r="H1320" s="7" t="s">
        <v>11966</v>
      </c>
      <c r="I1320" s="119">
        <v>45292.0</v>
      </c>
      <c r="K1320" s="7" t="s">
        <v>419</v>
      </c>
      <c r="L1320" s="7" t="s">
        <v>991</v>
      </c>
      <c r="M1320" s="7" t="s">
        <v>3501</v>
      </c>
      <c r="N1320" s="7" t="s">
        <v>419</v>
      </c>
      <c r="O1320" s="7" t="s">
        <v>19443</v>
      </c>
      <c r="P1320" s="7" t="s">
        <v>323</v>
      </c>
      <c r="Q1320" s="7" t="s">
        <v>824</v>
      </c>
      <c r="T1320" s="7" t="s">
        <v>19460</v>
      </c>
      <c r="U1320" s="7" t="s">
        <v>5585</v>
      </c>
      <c r="V1320" s="7">
        <v>1.0</v>
      </c>
    </row>
    <row r="1321">
      <c r="A1321" s="7" t="s">
        <v>21222</v>
      </c>
      <c r="B1321" s="7">
        <v>2300265.0</v>
      </c>
      <c r="C1321" s="7" t="s">
        <v>11970</v>
      </c>
      <c r="D1321" s="7" t="s">
        <v>5431</v>
      </c>
      <c r="E1321" s="7" t="s">
        <v>11971</v>
      </c>
      <c r="F1321" s="7" t="s">
        <v>5433</v>
      </c>
      <c r="G1321" s="7" t="s">
        <v>11972</v>
      </c>
      <c r="H1321" s="7" t="s">
        <v>11973</v>
      </c>
      <c r="I1321" s="119">
        <v>45292.0</v>
      </c>
      <c r="K1321" s="7" t="s">
        <v>11974</v>
      </c>
      <c r="L1321" s="7" t="s">
        <v>991</v>
      </c>
      <c r="M1321" s="7" t="s">
        <v>3501</v>
      </c>
      <c r="N1321" s="7" t="s">
        <v>11974</v>
      </c>
      <c r="O1321" s="7" t="s">
        <v>11974</v>
      </c>
      <c r="P1321" s="7" t="s">
        <v>386</v>
      </c>
      <c r="Q1321" s="7" t="s">
        <v>387</v>
      </c>
      <c r="T1321" s="7" t="s">
        <v>11976</v>
      </c>
      <c r="U1321" s="7" t="s">
        <v>3493</v>
      </c>
      <c r="V1321" s="7">
        <v>1.0</v>
      </c>
    </row>
    <row r="1322">
      <c r="A1322" s="7" t="s">
        <v>21223</v>
      </c>
      <c r="B1322" s="7">
        <v>2100448.0</v>
      </c>
      <c r="C1322" s="7" t="s">
        <v>11970</v>
      </c>
      <c r="D1322" s="7" t="s">
        <v>4320</v>
      </c>
      <c r="E1322" s="7" t="s">
        <v>11971</v>
      </c>
      <c r="F1322" s="7" t="s">
        <v>4321</v>
      </c>
      <c r="G1322" s="7" t="s">
        <v>11978</v>
      </c>
      <c r="H1322" s="7" t="s">
        <v>11979</v>
      </c>
      <c r="I1322" s="119">
        <v>45292.0</v>
      </c>
      <c r="K1322" s="7" t="s">
        <v>419</v>
      </c>
      <c r="L1322" s="7" t="s">
        <v>991</v>
      </c>
      <c r="M1322" s="7" t="s">
        <v>3531</v>
      </c>
      <c r="N1322" s="7" t="s">
        <v>419</v>
      </c>
      <c r="O1322" s="7" t="s">
        <v>19443</v>
      </c>
      <c r="P1322" s="7" t="s">
        <v>323</v>
      </c>
      <c r="Q1322" s="7" t="s">
        <v>824</v>
      </c>
      <c r="R1322" s="7" t="s">
        <v>19570</v>
      </c>
      <c r="T1322" s="7" t="s">
        <v>8116</v>
      </c>
      <c r="U1322" s="7" t="s">
        <v>3493</v>
      </c>
      <c r="V1322" s="7">
        <v>1.0</v>
      </c>
    </row>
    <row r="1323">
      <c r="A1323" s="7" t="s">
        <v>21224</v>
      </c>
      <c r="B1323" s="7">
        <v>964.0</v>
      </c>
      <c r="C1323" s="7" t="s">
        <v>11970</v>
      </c>
      <c r="D1323" s="7" t="s">
        <v>11981</v>
      </c>
      <c r="E1323" s="7" t="s">
        <v>11971</v>
      </c>
      <c r="F1323" s="7" t="s">
        <v>8407</v>
      </c>
      <c r="G1323" s="7" t="s">
        <v>11982</v>
      </c>
      <c r="H1323" s="7" t="s">
        <v>11983</v>
      </c>
      <c r="I1323" s="119">
        <v>45292.0</v>
      </c>
      <c r="K1323" s="7" t="s">
        <v>419</v>
      </c>
      <c r="L1323" s="7" t="s">
        <v>991</v>
      </c>
      <c r="M1323" s="7" t="s">
        <v>3501</v>
      </c>
      <c r="N1323" s="7" t="s">
        <v>419</v>
      </c>
      <c r="O1323" s="7" t="s">
        <v>19430</v>
      </c>
      <c r="P1323" s="7" t="s">
        <v>717</v>
      </c>
      <c r="Q1323" s="7" t="s">
        <v>251</v>
      </c>
      <c r="R1323" s="7" t="s">
        <v>19593</v>
      </c>
      <c r="S1323" s="7" t="s">
        <v>19594</v>
      </c>
      <c r="T1323" s="7" t="s">
        <v>3900</v>
      </c>
      <c r="U1323" s="7" t="s">
        <v>3843</v>
      </c>
      <c r="V1323" s="7">
        <v>1.0</v>
      </c>
    </row>
    <row r="1324">
      <c r="A1324" s="7" t="s">
        <v>21225</v>
      </c>
      <c r="B1324" s="7">
        <v>13806.0</v>
      </c>
      <c r="C1324" s="7" t="s">
        <v>11985</v>
      </c>
      <c r="D1324" s="7" t="s">
        <v>5962</v>
      </c>
      <c r="E1324" s="7" t="s">
        <v>11986</v>
      </c>
      <c r="F1324" s="7" t="s">
        <v>5723</v>
      </c>
      <c r="G1324" s="7" t="s">
        <v>11987</v>
      </c>
      <c r="I1324" s="119">
        <v>45292.0</v>
      </c>
      <c r="K1324" s="7" t="s">
        <v>3632</v>
      </c>
      <c r="L1324" s="7" t="s">
        <v>991</v>
      </c>
      <c r="M1324" s="7" t="s">
        <v>3531</v>
      </c>
      <c r="N1324" s="7" t="s">
        <v>3632</v>
      </c>
      <c r="O1324" s="7" t="s">
        <v>3632</v>
      </c>
      <c r="P1324" s="7" t="s">
        <v>429</v>
      </c>
      <c r="T1324" s="7" t="s">
        <v>11988</v>
      </c>
      <c r="U1324" s="7" t="s">
        <v>3493</v>
      </c>
      <c r="V1324" s="7">
        <v>1.0</v>
      </c>
    </row>
    <row r="1325">
      <c r="A1325" s="7" t="s">
        <v>21226</v>
      </c>
      <c r="B1325" s="7">
        <v>1162.0</v>
      </c>
      <c r="C1325" s="7" t="s">
        <v>11990</v>
      </c>
      <c r="D1325" s="7" t="s">
        <v>11991</v>
      </c>
      <c r="E1325" s="7" t="s">
        <v>11992</v>
      </c>
      <c r="F1325" s="7" t="s">
        <v>3629</v>
      </c>
      <c r="G1325" s="7" t="s">
        <v>11993</v>
      </c>
      <c r="H1325" s="7" t="s">
        <v>11994</v>
      </c>
      <c r="I1325" s="119">
        <v>45292.0</v>
      </c>
      <c r="K1325" s="7" t="s">
        <v>419</v>
      </c>
      <c r="L1325" s="7" t="s">
        <v>991</v>
      </c>
      <c r="M1325" s="7" t="s">
        <v>3501</v>
      </c>
      <c r="N1325" s="7" t="s">
        <v>419</v>
      </c>
      <c r="O1325" s="7" t="s">
        <v>19430</v>
      </c>
      <c r="P1325" s="7" t="s">
        <v>717</v>
      </c>
      <c r="Q1325" s="7" t="s">
        <v>1163</v>
      </c>
      <c r="R1325" s="7" t="s">
        <v>20110</v>
      </c>
      <c r="S1325" s="7" t="s">
        <v>20213</v>
      </c>
      <c r="T1325" s="7" t="s">
        <v>6580</v>
      </c>
      <c r="U1325" s="7" t="s">
        <v>3493</v>
      </c>
      <c r="V1325" s="7">
        <v>1.0</v>
      </c>
    </row>
    <row r="1326">
      <c r="A1326" s="7" t="s">
        <v>21227</v>
      </c>
      <c r="B1326" s="7">
        <v>12615.0</v>
      </c>
      <c r="C1326" s="7" t="s">
        <v>11996</v>
      </c>
      <c r="D1326" s="7" t="s">
        <v>11861</v>
      </c>
      <c r="E1326" s="7" t="s">
        <v>11997</v>
      </c>
      <c r="F1326" s="7" t="s">
        <v>3869</v>
      </c>
      <c r="G1326" s="7" t="s">
        <v>11998</v>
      </c>
      <c r="H1326" s="7" t="s">
        <v>11999</v>
      </c>
      <c r="I1326" s="119">
        <v>45292.0</v>
      </c>
      <c r="K1326" s="7" t="s">
        <v>419</v>
      </c>
      <c r="L1326" s="7" t="s">
        <v>991</v>
      </c>
      <c r="M1326" s="7" t="s">
        <v>3583</v>
      </c>
      <c r="N1326" s="7" t="s">
        <v>419</v>
      </c>
      <c r="O1326" s="7" t="s">
        <v>19430</v>
      </c>
      <c r="P1326" s="7" t="s">
        <v>717</v>
      </c>
      <c r="Q1326" s="7" t="s">
        <v>722</v>
      </c>
      <c r="R1326" s="7" t="s">
        <v>19787</v>
      </c>
      <c r="S1326" s="7" t="s">
        <v>21228</v>
      </c>
      <c r="T1326" s="7" t="s">
        <v>21229</v>
      </c>
      <c r="U1326" s="7" t="s">
        <v>3493</v>
      </c>
      <c r="V1326" s="7">
        <v>1.0</v>
      </c>
    </row>
    <row r="1327">
      <c r="A1327" s="7" t="s">
        <v>21230</v>
      </c>
      <c r="B1327" s="7">
        <v>2200304.0</v>
      </c>
      <c r="C1327" s="7" t="s">
        <v>11996</v>
      </c>
      <c r="D1327" s="7" t="s">
        <v>12004</v>
      </c>
      <c r="E1327" s="7" t="s">
        <v>11997</v>
      </c>
      <c r="F1327" s="7" t="s">
        <v>4751</v>
      </c>
      <c r="G1327" s="7" t="s">
        <v>12005</v>
      </c>
      <c r="I1327" s="119">
        <v>45292.0</v>
      </c>
      <c r="K1327" s="7" t="s">
        <v>419</v>
      </c>
      <c r="L1327" s="7" t="s">
        <v>991</v>
      </c>
      <c r="M1327" s="7" t="s">
        <v>3531</v>
      </c>
      <c r="N1327" s="7" t="s">
        <v>419</v>
      </c>
      <c r="O1327" s="7" t="s">
        <v>19430</v>
      </c>
      <c r="P1327" s="7" t="s">
        <v>854</v>
      </c>
      <c r="Q1327" s="7" t="s">
        <v>859</v>
      </c>
      <c r="T1327" s="7" t="s">
        <v>3821</v>
      </c>
      <c r="U1327" s="7" t="s">
        <v>3493</v>
      </c>
      <c r="V1327" s="7">
        <v>1.0</v>
      </c>
    </row>
    <row r="1328">
      <c r="A1328" s="7" t="s">
        <v>1063</v>
      </c>
      <c r="B1328" s="7">
        <v>1006.0</v>
      </c>
      <c r="C1328" s="7" t="s">
        <v>11996</v>
      </c>
      <c r="D1328" s="7" t="s">
        <v>12006</v>
      </c>
      <c r="E1328" s="7" t="s">
        <v>11997</v>
      </c>
      <c r="F1328" s="7" t="s">
        <v>8233</v>
      </c>
      <c r="G1328" s="7" t="s">
        <v>12007</v>
      </c>
      <c r="H1328" s="7" t="s">
        <v>12008</v>
      </c>
      <c r="I1328" s="119">
        <v>45292.0</v>
      </c>
      <c r="K1328" s="7" t="s">
        <v>419</v>
      </c>
      <c r="L1328" s="7" t="s">
        <v>991</v>
      </c>
      <c r="M1328" s="7" t="s">
        <v>3501</v>
      </c>
      <c r="N1328" s="7" t="s">
        <v>419</v>
      </c>
      <c r="O1328" s="7" t="s">
        <v>19432</v>
      </c>
      <c r="P1328" s="7" t="s">
        <v>298</v>
      </c>
      <c r="T1328" s="7" t="s">
        <v>12010</v>
      </c>
      <c r="U1328" s="7" t="s">
        <v>12011</v>
      </c>
      <c r="V1328" s="7">
        <v>1.0</v>
      </c>
    </row>
    <row r="1329">
      <c r="A1329" s="7" t="s">
        <v>21231</v>
      </c>
      <c r="B1329" s="7">
        <v>12254.0</v>
      </c>
      <c r="C1329" s="7" t="s">
        <v>12012</v>
      </c>
      <c r="D1329" s="7" t="s">
        <v>12013</v>
      </c>
      <c r="E1329" s="7" t="s">
        <v>12014</v>
      </c>
      <c r="F1329" s="7" t="s">
        <v>4234</v>
      </c>
      <c r="G1329" s="7" t="s">
        <v>12015</v>
      </c>
      <c r="H1329" s="7" t="s">
        <v>12016</v>
      </c>
      <c r="I1329" s="119">
        <v>45292.0</v>
      </c>
      <c r="K1329" s="7" t="s">
        <v>419</v>
      </c>
      <c r="L1329" s="7" t="s">
        <v>991</v>
      </c>
      <c r="M1329" s="7" t="s">
        <v>3501</v>
      </c>
      <c r="N1329" s="7" t="s">
        <v>419</v>
      </c>
      <c r="O1329" s="7" t="s">
        <v>19432</v>
      </c>
      <c r="P1329" s="7" t="s">
        <v>298</v>
      </c>
      <c r="Q1329" s="7" t="s">
        <v>802</v>
      </c>
      <c r="R1329" s="7" t="s">
        <v>19604</v>
      </c>
      <c r="T1329" s="7" t="s">
        <v>3949</v>
      </c>
      <c r="U1329" s="7" t="s">
        <v>3493</v>
      </c>
      <c r="V1329" s="7">
        <v>1.0</v>
      </c>
    </row>
    <row r="1330">
      <c r="A1330" s="7" t="s">
        <v>21232</v>
      </c>
      <c r="B1330" s="7">
        <v>2200701.0</v>
      </c>
      <c r="C1330" s="7" t="s">
        <v>12018</v>
      </c>
      <c r="D1330" s="7" t="s">
        <v>12019</v>
      </c>
      <c r="E1330" s="7" t="s">
        <v>12020</v>
      </c>
      <c r="F1330" s="7" t="s">
        <v>12021</v>
      </c>
      <c r="G1330" s="7" t="s">
        <v>12022</v>
      </c>
      <c r="H1330" s="7" t="s">
        <v>12023</v>
      </c>
      <c r="I1330" s="119">
        <v>45292.0</v>
      </c>
      <c r="K1330" s="7" t="s">
        <v>4042</v>
      </c>
      <c r="L1330" s="7" t="s">
        <v>991</v>
      </c>
      <c r="M1330" s="7" t="s">
        <v>3501</v>
      </c>
      <c r="N1330" s="7" t="s">
        <v>4042</v>
      </c>
      <c r="O1330" s="7" t="s">
        <v>4042</v>
      </c>
      <c r="P1330" s="7" t="s">
        <v>19632</v>
      </c>
      <c r="T1330" s="7" t="s">
        <v>4044</v>
      </c>
      <c r="U1330" s="7" t="s">
        <v>3493</v>
      </c>
      <c r="V1330" s="7">
        <v>1.0</v>
      </c>
    </row>
    <row r="1331">
      <c r="A1331" s="7" t="s">
        <v>21233</v>
      </c>
      <c r="B1331" s="7">
        <v>2200305.0</v>
      </c>
      <c r="C1331" s="7" t="s">
        <v>12025</v>
      </c>
      <c r="D1331" s="7" t="s">
        <v>12026</v>
      </c>
      <c r="E1331" s="7" t="s">
        <v>12027</v>
      </c>
      <c r="F1331" s="7" t="s">
        <v>3508</v>
      </c>
      <c r="G1331" s="7" t="s">
        <v>12028</v>
      </c>
      <c r="I1331" s="119">
        <v>45292.0</v>
      </c>
      <c r="K1331" s="7" t="s">
        <v>419</v>
      </c>
      <c r="L1331" s="7" t="s">
        <v>991</v>
      </c>
      <c r="M1331" s="7" t="s">
        <v>3531</v>
      </c>
      <c r="N1331" s="7" t="s">
        <v>419</v>
      </c>
      <c r="O1331" s="7" t="s">
        <v>19430</v>
      </c>
      <c r="P1331" s="7" t="s">
        <v>854</v>
      </c>
      <c r="Q1331" s="7" t="s">
        <v>859</v>
      </c>
      <c r="T1331" s="7" t="s">
        <v>3821</v>
      </c>
      <c r="U1331" s="7" t="s">
        <v>3493</v>
      </c>
      <c r="V1331" s="7">
        <v>1.0</v>
      </c>
    </row>
    <row r="1332">
      <c r="A1332" s="7" t="s">
        <v>21234</v>
      </c>
      <c r="B1332" s="7">
        <v>14207.0</v>
      </c>
      <c r="C1332" s="7" t="s">
        <v>12025</v>
      </c>
      <c r="D1332" s="7" t="s">
        <v>12030</v>
      </c>
      <c r="E1332" s="7" t="s">
        <v>12027</v>
      </c>
      <c r="F1332" s="7" t="s">
        <v>12031</v>
      </c>
      <c r="G1332" s="7" t="s">
        <v>12032</v>
      </c>
      <c r="H1332" s="7" t="s">
        <v>12033</v>
      </c>
      <c r="I1332" s="119">
        <v>45292.0</v>
      </c>
      <c r="K1332" s="7" t="s">
        <v>419</v>
      </c>
      <c r="L1332" s="7" t="s">
        <v>991</v>
      </c>
      <c r="M1332" s="7" t="s">
        <v>3501</v>
      </c>
      <c r="N1332" s="7" t="s">
        <v>419</v>
      </c>
      <c r="O1332" s="7" t="s">
        <v>19437</v>
      </c>
      <c r="P1332" s="7" t="s">
        <v>440</v>
      </c>
      <c r="Q1332" s="7" t="s">
        <v>19453</v>
      </c>
      <c r="R1332" s="7" t="s">
        <v>20401</v>
      </c>
      <c r="T1332" s="7" t="s">
        <v>7591</v>
      </c>
      <c r="U1332" s="7" t="s">
        <v>3493</v>
      </c>
      <c r="V1332" s="7">
        <v>1.0</v>
      </c>
    </row>
    <row r="1333">
      <c r="A1333" s="7" t="s">
        <v>21235</v>
      </c>
      <c r="B1333" s="7">
        <v>2200361.0</v>
      </c>
      <c r="C1333" s="7" t="s">
        <v>12035</v>
      </c>
      <c r="D1333" s="7" t="s">
        <v>12036</v>
      </c>
      <c r="E1333" s="7" t="s">
        <v>12037</v>
      </c>
      <c r="F1333" s="7" t="s">
        <v>6175</v>
      </c>
      <c r="G1333" s="7" t="s">
        <v>12038</v>
      </c>
      <c r="H1333" s="7" t="s">
        <v>12039</v>
      </c>
      <c r="I1333" s="119">
        <v>45292.0</v>
      </c>
      <c r="K1333" s="7" t="s">
        <v>419</v>
      </c>
      <c r="L1333" s="7" t="s">
        <v>991</v>
      </c>
      <c r="M1333" s="7" t="s">
        <v>3531</v>
      </c>
      <c r="N1333" s="7" t="s">
        <v>419</v>
      </c>
      <c r="O1333" s="7" t="s">
        <v>19430</v>
      </c>
      <c r="P1333" s="7" t="s">
        <v>717</v>
      </c>
      <c r="Q1333" s="7" t="s">
        <v>738</v>
      </c>
      <c r="R1333" s="7" t="s">
        <v>19818</v>
      </c>
      <c r="S1333" s="7" t="s">
        <v>19668</v>
      </c>
      <c r="T1333" s="7" t="s">
        <v>4739</v>
      </c>
      <c r="U1333" s="7" t="s">
        <v>3493</v>
      </c>
      <c r="V1333" s="7">
        <v>1.0</v>
      </c>
    </row>
    <row r="1334">
      <c r="A1334" s="7" t="s">
        <v>21236</v>
      </c>
      <c r="B1334" s="7">
        <v>11330.0</v>
      </c>
      <c r="C1334" s="7" t="s">
        <v>12041</v>
      </c>
      <c r="D1334" s="7" t="s">
        <v>12042</v>
      </c>
      <c r="E1334" s="7" t="s">
        <v>12043</v>
      </c>
      <c r="F1334" s="7" t="s">
        <v>12044</v>
      </c>
      <c r="G1334" s="7" t="s">
        <v>12045</v>
      </c>
      <c r="H1334" s="7" t="s">
        <v>12046</v>
      </c>
      <c r="I1334" s="119">
        <v>45292.0</v>
      </c>
      <c r="K1334" s="7" t="s">
        <v>419</v>
      </c>
      <c r="L1334" s="7" t="s">
        <v>991</v>
      </c>
      <c r="M1334" s="7" t="s">
        <v>3501</v>
      </c>
      <c r="N1334" s="7" t="s">
        <v>419</v>
      </c>
      <c r="O1334" s="7" t="s">
        <v>19430</v>
      </c>
      <c r="P1334" s="7" t="s">
        <v>717</v>
      </c>
      <c r="Q1334" s="7" t="s">
        <v>730</v>
      </c>
      <c r="R1334" s="7" t="s">
        <v>19961</v>
      </c>
      <c r="S1334" s="7" t="s">
        <v>19962</v>
      </c>
      <c r="T1334" s="7" t="s">
        <v>5412</v>
      </c>
      <c r="U1334" s="7" t="s">
        <v>3493</v>
      </c>
      <c r="V1334" s="7">
        <v>1.0</v>
      </c>
    </row>
    <row r="1335">
      <c r="A1335" s="7" t="s">
        <v>21237</v>
      </c>
      <c r="B1335" s="7">
        <v>2300697.0</v>
      </c>
      <c r="C1335" s="7" t="s">
        <v>12048</v>
      </c>
      <c r="D1335" s="7" t="s">
        <v>9862</v>
      </c>
      <c r="E1335" s="7" t="s">
        <v>12049</v>
      </c>
      <c r="F1335" s="7" t="s">
        <v>9862</v>
      </c>
      <c r="G1335" s="7" t="s">
        <v>12050</v>
      </c>
      <c r="H1335" s="7" t="s">
        <v>12051</v>
      </c>
      <c r="I1335" s="119">
        <v>45292.0</v>
      </c>
      <c r="K1335" s="7" t="s">
        <v>8491</v>
      </c>
      <c r="L1335" s="7" t="s">
        <v>991</v>
      </c>
      <c r="M1335" s="7" t="s">
        <v>3490</v>
      </c>
      <c r="N1335" s="7" t="s">
        <v>8491</v>
      </c>
      <c r="O1335" s="7" t="s">
        <v>8491</v>
      </c>
      <c r="P1335" s="7" t="s">
        <v>20584</v>
      </c>
      <c r="T1335" s="7" t="s">
        <v>8493</v>
      </c>
      <c r="U1335" s="7" t="s">
        <v>3493</v>
      </c>
      <c r="V1335" s="7">
        <v>1.0</v>
      </c>
    </row>
    <row r="1336">
      <c r="A1336" s="7" t="s">
        <v>21238</v>
      </c>
      <c r="B1336" s="7">
        <v>2300080.0</v>
      </c>
      <c r="C1336" s="7" t="s">
        <v>12053</v>
      </c>
      <c r="D1336" s="7" t="s">
        <v>5788</v>
      </c>
      <c r="E1336" s="7" t="s">
        <v>12054</v>
      </c>
      <c r="F1336" s="7" t="s">
        <v>5788</v>
      </c>
      <c r="G1336" s="7" t="s">
        <v>12055</v>
      </c>
      <c r="H1336" s="7" t="s">
        <v>12056</v>
      </c>
      <c r="I1336" s="119">
        <v>45292.0</v>
      </c>
      <c r="K1336" s="7" t="s">
        <v>419</v>
      </c>
      <c r="L1336" s="7" t="s">
        <v>991</v>
      </c>
      <c r="M1336" s="7" t="s">
        <v>3531</v>
      </c>
      <c r="N1336" s="7" t="s">
        <v>419</v>
      </c>
      <c r="O1336" s="7" t="s">
        <v>19430</v>
      </c>
      <c r="P1336" s="7" t="s">
        <v>717</v>
      </c>
      <c r="Q1336" s="7" t="s">
        <v>1163</v>
      </c>
      <c r="R1336" s="7" t="s">
        <v>19601</v>
      </c>
      <c r="S1336" s="7" t="s">
        <v>19877</v>
      </c>
      <c r="T1336" s="7" t="s">
        <v>5027</v>
      </c>
      <c r="U1336" s="7" t="s">
        <v>3493</v>
      </c>
      <c r="V1336" s="7">
        <v>1.0</v>
      </c>
    </row>
    <row r="1337">
      <c r="A1337" s="7" t="s">
        <v>21239</v>
      </c>
      <c r="B1337" s="7">
        <v>2300390.0</v>
      </c>
      <c r="C1337" s="7" t="s">
        <v>12058</v>
      </c>
      <c r="D1337" s="7" t="s">
        <v>12059</v>
      </c>
      <c r="E1337" s="7" t="s">
        <v>12060</v>
      </c>
      <c r="F1337" s="7" t="s">
        <v>12061</v>
      </c>
      <c r="G1337" s="7" t="s">
        <v>12062</v>
      </c>
      <c r="H1337" s="7" t="s">
        <v>12063</v>
      </c>
      <c r="I1337" s="119">
        <v>45292.0</v>
      </c>
      <c r="K1337" s="7" t="s">
        <v>419</v>
      </c>
      <c r="L1337" s="7" t="s">
        <v>991</v>
      </c>
      <c r="M1337" s="7" t="s">
        <v>3501</v>
      </c>
      <c r="N1337" s="7" t="s">
        <v>419</v>
      </c>
      <c r="O1337" s="7" t="s">
        <v>19432</v>
      </c>
      <c r="P1337" s="7" t="s">
        <v>693</v>
      </c>
      <c r="Q1337" s="7" t="s">
        <v>698</v>
      </c>
      <c r="R1337" s="7" t="s">
        <v>20004</v>
      </c>
      <c r="S1337" s="7" t="s">
        <v>19820</v>
      </c>
      <c r="T1337" s="7" t="s">
        <v>5606</v>
      </c>
      <c r="U1337" s="7" t="s">
        <v>3843</v>
      </c>
      <c r="V1337" s="7">
        <v>1.0</v>
      </c>
    </row>
    <row r="1338">
      <c r="A1338" s="7" t="s">
        <v>21240</v>
      </c>
      <c r="B1338" s="7">
        <v>1210.0</v>
      </c>
      <c r="C1338" s="7" t="s">
        <v>12065</v>
      </c>
      <c r="D1338" s="7" t="s">
        <v>12066</v>
      </c>
      <c r="E1338" s="7" t="s">
        <v>12067</v>
      </c>
      <c r="F1338" s="7" t="s">
        <v>5155</v>
      </c>
      <c r="G1338" s="7" t="s">
        <v>12068</v>
      </c>
      <c r="H1338" s="7" t="s">
        <v>12069</v>
      </c>
      <c r="I1338" s="119">
        <v>45292.0</v>
      </c>
      <c r="K1338" s="7" t="s">
        <v>419</v>
      </c>
      <c r="L1338" s="7" t="s">
        <v>991</v>
      </c>
      <c r="M1338" s="7" t="s">
        <v>3501</v>
      </c>
      <c r="N1338" s="7" t="s">
        <v>419</v>
      </c>
      <c r="O1338" s="7" t="s">
        <v>19432</v>
      </c>
      <c r="P1338" s="7" t="s">
        <v>693</v>
      </c>
      <c r="Q1338" s="7" t="s">
        <v>703</v>
      </c>
      <c r="R1338" s="7" t="s">
        <v>19815</v>
      </c>
      <c r="S1338" s="7" t="s">
        <v>19816</v>
      </c>
      <c r="T1338" s="7" t="s">
        <v>4734</v>
      </c>
      <c r="U1338" s="7" t="s">
        <v>3843</v>
      </c>
      <c r="V1338" s="7">
        <v>1.0</v>
      </c>
    </row>
    <row r="1339">
      <c r="A1339" s="7" t="s">
        <v>21241</v>
      </c>
      <c r="B1339" s="7">
        <v>2200906.0</v>
      </c>
      <c r="C1339" s="7" t="s">
        <v>12065</v>
      </c>
      <c r="D1339" s="7" t="s">
        <v>12071</v>
      </c>
      <c r="E1339" s="7" t="s">
        <v>12067</v>
      </c>
      <c r="F1339" s="7" t="s">
        <v>9352</v>
      </c>
      <c r="G1339" s="7" t="s">
        <v>12072</v>
      </c>
      <c r="H1339" s="7" t="s">
        <v>12073</v>
      </c>
      <c r="I1339" s="119">
        <v>45292.0</v>
      </c>
      <c r="K1339" s="7" t="s">
        <v>3632</v>
      </c>
      <c r="L1339" s="7" t="s">
        <v>991</v>
      </c>
      <c r="M1339" s="7" t="s">
        <v>3866</v>
      </c>
      <c r="N1339" s="7" t="s">
        <v>3632</v>
      </c>
      <c r="O1339" s="7" t="s">
        <v>3632</v>
      </c>
      <c r="P1339" s="7" t="s">
        <v>625</v>
      </c>
      <c r="Q1339" s="7" t="s">
        <v>626</v>
      </c>
      <c r="R1339" s="7" t="s">
        <v>19672</v>
      </c>
      <c r="T1339" s="7" t="s">
        <v>4191</v>
      </c>
      <c r="U1339" s="7" t="s">
        <v>3493</v>
      </c>
      <c r="V1339" s="7">
        <v>1.0</v>
      </c>
    </row>
    <row r="1340">
      <c r="A1340" s="7" t="s">
        <v>21242</v>
      </c>
      <c r="B1340" s="7">
        <v>2300791.0</v>
      </c>
      <c r="C1340" s="7" t="s">
        <v>12065</v>
      </c>
      <c r="D1340" s="7" t="s">
        <v>3713</v>
      </c>
      <c r="E1340" s="7" t="s">
        <v>12067</v>
      </c>
      <c r="F1340" s="7" t="s">
        <v>3909</v>
      </c>
      <c r="G1340" s="7" t="s">
        <v>12075</v>
      </c>
      <c r="H1340" s="7" t="s">
        <v>12076</v>
      </c>
      <c r="I1340" s="119">
        <v>45292.0</v>
      </c>
      <c r="K1340" s="7" t="s">
        <v>3642</v>
      </c>
      <c r="L1340" s="7" t="s">
        <v>991</v>
      </c>
      <c r="M1340" s="7" t="s">
        <v>3501</v>
      </c>
      <c r="N1340" s="7" t="s">
        <v>3642</v>
      </c>
      <c r="O1340" s="7" t="s">
        <v>3642</v>
      </c>
      <c r="P1340" s="7" t="s">
        <v>19524</v>
      </c>
      <c r="T1340" s="7" t="s">
        <v>3644</v>
      </c>
      <c r="U1340" s="7" t="s">
        <v>3493</v>
      </c>
      <c r="V1340" s="7">
        <v>1.0</v>
      </c>
    </row>
    <row r="1341">
      <c r="A1341" s="7" t="s">
        <v>21243</v>
      </c>
      <c r="B1341" s="7">
        <v>1147.0</v>
      </c>
      <c r="C1341" s="7" t="s">
        <v>12078</v>
      </c>
      <c r="D1341" s="7" t="s">
        <v>12079</v>
      </c>
      <c r="E1341" s="7" t="s">
        <v>12080</v>
      </c>
      <c r="F1341" s="7" t="s">
        <v>12081</v>
      </c>
      <c r="G1341" s="7" t="s">
        <v>12082</v>
      </c>
      <c r="H1341" s="7" t="s">
        <v>12083</v>
      </c>
      <c r="I1341" s="119">
        <v>45292.0</v>
      </c>
      <c r="K1341" s="7" t="s">
        <v>419</v>
      </c>
      <c r="L1341" s="7" t="s">
        <v>991</v>
      </c>
      <c r="M1341" s="7" t="s">
        <v>3501</v>
      </c>
      <c r="N1341" s="7" t="s">
        <v>419</v>
      </c>
      <c r="O1341" s="7" t="s">
        <v>19430</v>
      </c>
      <c r="P1341" s="7" t="s">
        <v>717</v>
      </c>
      <c r="Q1341" s="7" t="s">
        <v>223</v>
      </c>
      <c r="R1341" s="7" t="s">
        <v>19764</v>
      </c>
      <c r="S1341" s="7" t="s">
        <v>20036</v>
      </c>
      <c r="T1341" s="7" t="s">
        <v>5756</v>
      </c>
      <c r="U1341" s="7" t="s">
        <v>3493</v>
      </c>
      <c r="V1341" s="7">
        <v>1.0</v>
      </c>
    </row>
    <row r="1342">
      <c r="A1342" s="7" t="s">
        <v>21244</v>
      </c>
      <c r="B1342" s="7">
        <v>2300396.0</v>
      </c>
      <c r="C1342" s="7" t="s">
        <v>12078</v>
      </c>
      <c r="D1342" s="7" t="s">
        <v>12085</v>
      </c>
      <c r="E1342" s="7" t="s">
        <v>12080</v>
      </c>
      <c r="F1342" s="7" t="s">
        <v>12086</v>
      </c>
      <c r="G1342" s="7" t="s">
        <v>12087</v>
      </c>
      <c r="H1342" s="7" t="s">
        <v>12088</v>
      </c>
      <c r="I1342" s="119">
        <v>45292.0</v>
      </c>
      <c r="K1342" s="7" t="s">
        <v>419</v>
      </c>
      <c r="L1342" s="7" t="s">
        <v>991</v>
      </c>
      <c r="M1342" s="7" t="s">
        <v>3583</v>
      </c>
      <c r="N1342" s="7" t="s">
        <v>419</v>
      </c>
      <c r="O1342" s="7" t="s">
        <v>19430</v>
      </c>
      <c r="P1342" s="7" t="s">
        <v>717</v>
      </c>
      <c r="Q1342" s="7" t="s">
        <v>720</v>
      </c>
      <c r="R1342" s="7" t="s">
        <v>19542</v>
      </c>
      <c r="T1342" s="7" t="s">
        <v>3725</v>
      </c>
      <c r="U1342" s="7" t="s">
        <v>3493</v>
      </c>
      <c r="V1342" s="7">
        <v>1.0</v>
      </c>
    </row>
    <row r="1343">
      <c r="A1343" s="7" t="s">
        <v>21245</v>
      </c>
      <c r="B1343" s="7">
        <v>1051.0</v>
      </c>
      <c r="C1343" s="7" t="s">
        <v>12078</v>
      </c>
      <c r="D1343" s="7" t="s">
        <v>12090</v>
      </c>
      <c r="E1343" s="7" t="s">
        <v>12080</v>
      </c>
      <c r="F1343" s="7" t="s">
        <v>3909</v>
      </c>
      <c r="G1343" s="7" t="s">
        <v>12091</v>
      </c>
      <c r="H1343" s="7" t="s">
        <v>12092</v>
      </c>
      <c r="I1343" s="119">
        <v>45292.0</v>
      </c>
      <c r="K1343" s="7" t="s">
        <v>419</v>
      </c>
      <c r="L1343" s="7" t="s">
        <v>991</v>
      </c>
      <c r="M1343" s="7" t="s">
        <v>3501</v>
      </c>
      <c r="N1343" s="7" t="s">
        <v>419</v>
      </c>
      <c r="O1343" s="7" t="s">
        <v>19430</v>
      </c>
      <c r="P1343" s="7" t="s">
        <v>717</v>
      </c>
      <c r="Q1343" s="7" t="s">
        <v>730</v>
      </c>
      <c r="R1343" s="7" t="s">
        <v>20149</v>
      </c>
      <c r="S1343" s="7" t="s">
        <v>20420</v>
      </c>
      <c r="T1343" s="7" t="s">
        <v>7695</v>
      </c>
      <c r="U1343" s="7" t="s">
        <v>3493</v>
      </c>
      <c r="V1343" s="7">
        <v>1.0</v>
      </c>
    </row>
    <row r="1344">
      <c r="A1344" s="7" t="s">
        <v>21246</v>
      </c>
      <c r="B1344" s="7">
        <v>12775.0</v>
      </c>
      <c r="C1344" s="7" t="s">
        <v>12078</v>
      </c>
      <c r="D1344" s="7" t="s">
        <v>12094</v>
      </c>
      <c r="E1344" s="7" t="s">
        <v>12080</v>
      </c>
      <c r="F1344" s="7" t="s">
        <v>6202</v>
      </c>
      <c r="G1344" s="7" t="s">
        <v>12095</v>
      </c>
      <c r="H1344" s="7" t="s">
        <v>12096</v>
      </c>
      <c r="I1344" s="119">
        <v>45292.0</v>
      </c>
      <c r="K1344" s="7" t="s">
        <v>419</v>
      </c>
      <c r="L1344" s="7" t="s">
        <v>991</v>
      </c>
      <c r="M1344" s="7" t="s">
        <v>3501</v>
      </c>
      <c r="N1344" s="7" t="s">
        <v>419</v>
      </c>
      <c r="O1344" s="7" t="s">
        <v>19430</v>
      </c>
      <c r="P1344" s="7" t="s">
        <v>717</v>
      </c>
      <c r="Q1344" s="7" t="s">
        <v>720</v>
      </c>
      <c r="R1344" s="7" t="s">
        <v>19626</v>
      </c>
      <c r="S1344" s="7" t="s">
        <v>20789</v>
      </c>
      <c r="T1344" s="7" t="s">
        <v>9595</v>
      </c>
      <c r="U1344" s="7" t="s">
        <v>3843</v>
      </c>
      <c r="V1344" s="7">
        <v>1.0</v>
      </c>
    </row>
    <row r="1345">
      <c r="A1345" s="7" t="s">
        <v>21247</v>
      </c>
      <c r="B1345" s="7">
        <v>2300158.0</v>
      </c>
      <c r="C1345" s="7" t="s">
        <v>12098</v>
      </c>
      <c r="D1345" s="7" t="s">
        <v>12099</v>
      </c>
      <c r="E1345" s="7" t="s">
        <v>12100</v>
      </c>
      <c r="F1345" s="7" t="s">
        <v>11827</v>
      </c>
      <c r="G1345" s="7" t="s">
        <v>12101</v>
      </c>
      <c r="H1345" s="7" t="s">
        <v>12102</v>
      </c>
      <c r="I1345" s="119">
        <v>45292.0</v>
      </c>
      <c r="K1345" s="7" t="s">
        <v>419</v>
      </c>
      <c r="L1345" s="7" t="s">
        <v>991</v>
      </c>
      <c r="M1345" s="7" t="s">
        <v>3501</v>
      </c>
      <c r="N1345" s="7" t="s">
        <v>419</v>
      </c>
      <c r="O1345" s="7" t="s">
        <v>19430</v>
      </c>
      <c r="P1345" s="7" t="s">
        <v>717</v>
      </c>
      <c r="Q1345" s="7" t="s">
        <v>223</v>
      </c>
      <c r="R1345" s="7" t="s">
        <v>19764</v>
      </c>
      <c r="S1345" s="7" t="s">
        <v>20036</v>
      </c>
      <c r="T1345" s="7" t="s">
        <v>5756</v>
      </c>
      <c r="U1345" s="7" t="s">
        <v>3493</v>
      </c>
      <c r="V1345" s="7">
        <v>1.0</v>
      </c>
    </row>
    <row r="1346">
      <c r="A1346" s="7" t="s">
        <v>21248</v>
      </c>
      <c r="B1346" s="7">
        <v>2200138.0</v>
      </c>
      <c r="C1346" s="7" t="s">
        <v>12105</v>
      </c>
      <c r="D1346" s="7" t="s">
        <v>5935</v>
      </c>
      <c r="E1346" s="7" t="s">
        <v>12106</v>
      </c>
      <c r="F1346" s="7" t="s">
        <v>4700</v>
      </c>
      <c r="G1346" s="7" t="s">
        <v>12107</v>
      </c>
      <c r="H1346" s="7" t="s">
        <v>12108</v>
      </c>
      <c r="I1346" s="119">
        <v>45292.0</v>
      </c>
      <c r="K1346" s="7" t="s">
        <v>419</v>
      </c>
      <c r="L1346" s="7" t="s">
        <v>991</v>
      </c>
      <c r="M1346" s="7" t="s">
        <v>3501</v>
      </c>
      <c r="N1346" s="7" t="s">
        <v>419</v>
      </c>
      <c r="O1346" s="7" t="s">
        <v>19432</v>
      </c>
      <c r="P1346" s="7" t="s">
        <v>391</v>
      </c>
      <c r="Q1346" s="7" t="s">
        <v>392</v>
      </c>
      <c r="R1346" s="7" t="s">
        <v>19706</v>
      </c>
      <c r="T1346" s="7" t="s">
        <v>18578</v>
      </c>
      <c r="U1346" s="7" t="s">
        <v>3493</v>
      </c>
      <c r="V1346" s="7">
        <v>1.0</v>
      </c>
    </row>
    <row r="1347">
      <c r="A1347" s="7" t="s">
        <v>21249</v>
      </c>
      <c r="B1347" s="7">
        <v>10332.0</v>
      </c>
      <c r="C1347" s="7" t="s">
        <v>12110</v>
      </c>
      <c r="D1347" s="7" t="s">
        <v>12111</v>
      </c>
      <c r="E1347" s="7" t="s">
        <v>12112</v>
      </c>
      <c r="F1347" s="7" t="s">
        <v>3609</v>
      </c>
      <c r="G1347" s="7" t="s">
        <v>12113</v>
      </c>
      <c r="H1347" s="7" t="s">
        <v>12114</v>
      </c>
      <c r="I1347" s="119">
        <v>45292.0</v>
      </c>
      <c r="K1347" s="7" t="s">
        <v>419</v>
      </c>
      <c r="L1347" s="7" t="s">
        <v>991</v>
      </c>
      <c r="M1347" s="7" t="s">
        <v>3501</v>
      </c>
      <c r="N1347" s="7" t="s">
        <v>419</v>
      </c>
      <c r="O1347" s="7" t="s">
        <v>19430</v>
      </c>
      <c r="P1347" s="7" t="s">
        <v>717</v>
      </c>
      <c r="Q1347" s="7" t="s">
        <v>725</v>
      </c>
      <c r="R1347" s="7" t="s">
        <v>19501</v>
      </c>
      <c r="T1347" s="7" t="s">
        <v>14257</v>
      </c>
      <c r="U1347" s="7" t="s">
        <v>3604</v>
      </c>
      <c r="V1347" s="7">
        <v>1.0</v>
      </c>
    </row>
    <row r="1348">
      <c r="A1348" s="7" t="s">
        <v>21250</v>
      </c>
      <c r="B1348" s="7">
        <v>14332.0</v>
      </c>
      <c r="C1348" s="7" t="s">
        <v>12117</v>
      </c>
      <c r="D1348" s="7" t="s">
        <v>12118</v>
      </c>
      <c r="E1348" s="7" t="s">
        <v>12119</v>
      </c>
      <c r="F1348" s="7" t="s">
        <v>12120</v>
      </c>
      <c r="G1348" s="7" t="s">
        <v>12121</v>
      </c>
      <c r="H1348" s="7" t="s">
        <v>12122</v>
      </c>
      <c r="I1348" s="119">
        <v>45292.0</v>
      </c>
      <c r="K1348" s="7" t="s">
        <v>419</v>
      </c>
      <c r="L1348" s="7" t="s">
        <v>991</v>
      </c>
      <c r="M1348" s="7" t="s">
        <v>3501</v>
      </c>
      <c r="N1348" s="7" t="s">
        <v>419</v>
      </c>
      <c r="O1348" s="7" t="s">
        <v>19430</v>
      </c>
      <c r="P1348" s="7" t="s">
        <v>780</v>
      </c>
      <c r="Q1348" s="7" t="s">
        <v>786</v>
      </c>
      <c r="R1348" s="7" t="s">
        <v>20558</v>
      </c>
      <c r="T1348" s="7" t="s">
        <v>16162</v>
      </c>
      <c r="U1348" s="7" t="s">
        <v>3604</v>
      </c>
      <c r="V1348" s="7">
        <v>1.0</v>
      </c>
    </row>
    <row r="1349">
      <c r="A1349" s="7" t="s">
        <v>21251</v>
      </c>
      <c r="B1349" s="7">
        <v>2200669.0</v>
      </c>
      <c r="C1349" s="7" t="s">
        <v>12117</v>
      </c>
      <c r="D1349" s="7" t="s">
        <v>6554</v>
      </c>
      <c r="E1349" s="7" t="s">
        <v>12119</v>
      </c>
      <c r="F1349" s="7" t="s">
        <v>8311</v>
      </c>
      <c r="G1349" s="7" t="s">
        <v>12126</v>
      </c>
      <c r="H1349" s="7" t="s">
        <v>12127</v>
      </c>
      <c r="I1349" s="119">
        <v>45292.0</v>
      </c>
      <c r="K1349" s="7" t="s">
        <v>419</v>
      </c>
      <c r="L1349" s="7" t="s">
        <v>991</v>
      </c>
      <c r="M1349" s="7" t="s">
        <v>3531</v>
      </c>
      <c r="N1349" s="7" t="s">
        <v>419</v>
      </c>
      <c r="O1349" s="7" t="s">
        <v>19430</v>
      </c>
      <c r="P1349" s="7" t="s">
        <v>717</v>
      </c>
      <c r="Q1349" s="7" t="s">
        <v>1163</v>
      </c>
      <c r="R1349" s="7" t="s">
        <v>19546</v>
      </c>
      <c r="S1349" s="7" t="s">
        <v>19684</v>
      </c>
      <c r="T1349" s="7" t="s">
        <v>4238</v>
      </c>
      <c r="U1349" s="7" t="s">
        <v>3493</v>
      </c>
      <c r="V1349" s="7">
        <v>1.0</v>
      </c>
    </row>
    <row r="1350">
      <c r="A1350" s="7" t="s">
        <v>21252</v>
      </c>
      <c r="B1350" s="7">
        <v>2200615.0</v>
      </c>
      <c r="C1350" s="7" t="s">
        <v>12129</v>
      </c>
      <c r="D1350" s="7" t="s">
        <v>12130</v>
      </c>
      <c r="E1350" s="7" t="s">
        <v>12131</v>
      </c>
      <c r="F1350" s="7" t="s">
        <v>12031</v>
      </c>
      <c r="G1350" s="7" t="s">
        <v>12132</v>
      </c>
      <c r="I1350" s="119">
        <v>45292.0</v>
      </c>
      <c r="K1350" s="7" t="s">
        <v>419</v>
      </c>
      <c r="L1350" s="7" t="s">
        <v>991</v>
      </c>
      <c r="M1350" s="7" t="s">
        <v>3531</v>
      </c>
      <c r="N1350" s="7" t="s">
        <v>419</v>
      </c>
      <c r="O1350" s="7" t="s">
        <v>19430</v>
      </c>
      <c r="P1350" s="7" t="s">
        <v>854</v>
      </c>
      <c r="Q1350" s="7" t="s">
        <v>859</v>
      </c>
      <c r="T1350" s="7" t="s">
        <v>3821</v>
      </c>
      <c r="U1350" s="7" t="s">
        <v>3493</v>
      </c>
      <c r="V1350" s="7">
        <v>1.0</v>
      </c>
    </row>
    <row r="1351">
      <c r="A1351" s="7" t="s">
        <v>21253</v>
      </c>
      <c r="B1351" s="7">
        <v>14242.0</v>
      </c>
      <c r="C1351" s="7" t="s">
        <v>12134</v>
      </c>
      <c r="D1351" s="7" t="s">
        <v>12135</v>
      </c>
      <c r="E1351" s="7" t="s">
        <v>12136</v>
      </c>
      <c r="F1351" s="7" t="s">
        <v>12137</v>
      </c>
      <c r="G1351" s="7" t="s">
        <v>12138</v>
      </c>
      <c r="I1351" s="119">
        <v>45292.0</v>
      </c>
      <c r="K1351" s="7" t="s">
        <v>419</v>
      </c>
      <c r="L1351" s="7" t="s">
        <v>991</v>
      </c>
      <c r="M1351" s="7" t="s">
        <v>3531</v>
      </c>
      <c r="N1351" s="7" t="s">
        <v>419</v>
      </c>
      <c r="O1351" s="7" t="s">
        <v>19432</v>
      </c>
      <c r="P1351" s="7" t="s">
        <v>298</v>
      </c>
      <c r="Q1351" s="7" t="s">
        <v>1284</v>
      </c>
      <c r="R1351" s="7" t="s">
        <v>20033</v>
      </c>
      <c r="S1351" s="7" t="s">
        <v>20456</v>
      </c>
      <c r="T1351" s="7" t="s">
        <v>7884</v>
      </c>
      <c r="U1351" s="7" t="s">
        <v>3493</v>
      </c>
      <c r="V1351" s="7">
        <v>1.0</v>
      </c>
    </row>
    <row r="1352">
      <c r="A1352" s="7" t="s">
        <v>21254</v>
      </c>
      <c r="B1352" s="7">
        <v>2100512.0</v>
      </c>
      <c r="C1352" s="7" t="s">
        <v>12140</v>
      </c>
      <c r="D1352" s="7" t="s">
        <v>12141</v>
      </c>
      <c r="E1352" s="7" t="s">
        <v>12142</v>
      </c>
      <c r="F1352" s="7" t="s">
        <v>9975</v>
      </c>
      <c r="G1352" s="7" t="s">
        <v>12143</v>
      </c>
      <c r="H1352" s="7" t="s">
        <v>12144</v>
      </c>
      <c r="I1352" s="119">
        <v>45292.0</v>
      </c>
      <c r="K1352" s="7" t="s">
        <v>419</v>
      </c>
      <c r="L1352" s="7" t="s">
        <v>991</v>
      </c>
      <c r="M1352" s="7" t="s">
        <v>3501</v>
      </c>
      <c r="N1352" s="7" t="s">
        <v>419</v>
      </c>
      <c r="O1352" s="7" t="s">
        <v>19430</v>
      </c>
      <c r="P1352" s="7" t="s">
        <v>717</v>
      </c>
      <c r="Q1352" s="7" t="s">
        <v>725</v>
      </c>
      <c r="R1352" s="7" t="s">
        <v>19741</v>
      </c>
      <c r="S1352" s="7" t="s">
        <v>19742</v>
      </c>
      <c r="T1352" s="7" t="s">
        <v>4482</v>
      </c>
      <c r="U1352" s="7" t="s">
        <v>3493</v>
      </c>
      <c r="V1352" s="7">
        <v>1.0</v>
      </c>
    </row>
    <row r="1353">
      <c r="A1353" s="7" t="s">
        <v>21255</v>
      </c>
      <c r="B1353" s="7">
        <v>13424.0</v>
      </c>
      <c r="C1353" s="7" t="s">
        <v>12140</v>
      </c>
      <c r="D1353" s="7" t="s">
        <v>12146</v>
      </c>
      <c r="E1353" s="7" t="s">
        <v>12142</v>
      </c>
      <c r="F1353" s="7" t="s">
        <v>12147</v>
      </c>
      <c r="G1353" s="7" t="s">
        <v>12148</v>
      </c>
      <c r="H1353" s="7" t="s">
        <v>12149</v>
      </c>
      <c r="I1353" s="119">
        <v>45292.0</v>
      </c>
      <c r="K1353" s="7" t="s">
        <v>419</v>
      </c>
      <c r="L1353" s="7" t="s">
        <v>991</v>
      </c>
      <c r="M1353" s="7" t="s">
        <v>3501</v>
      </c>
      <c r="N1353" s="7" t="s">
        <v>419</v>
      </c>
      <c r="O1353" s="7" t="s">
        <v>19430</v>
      </c>
      <c r="P1353" s="7" t="s">
        <v>717</v>
      </c>
      <c r="Q1353" s="7" t="s">
        <v>1163</v>
      </c>
      <c r="R1353" s="7" t="s">
        <v>19601</v>
      </c>
      <c r="S1353" s="7" t="s">
        <v>19811</v>
      </c>
      <c r="T1353" s="7" t="s">
        <v>4721</v>
      </c>
      <c r="U1353" s="7" t="s">
        <v>3493</v>
      </c>
      <c r="V1353" s="7">
        <v>1.0</v>
      </c>
    </row>
    <row r="1354">
      <c r="A1354" s="7" t="s">
        <v>21256</v>
      </c>
      <c r="B1354" s="7">
        <v>2100229.0</v>
      </c>
      <c r="C1354" s="7" t="s">
        <v>12140</v>
      </c>
      <c r="D1354" s="7" t="s">
        <v>12151</v>
      </c>
      <c r="E1354" s="7" t="s">
        <v>12142</v>
      </c>
      <c r="F1354" s="7" t="s">
        <v>12152</v>
      </c>
      <c r="G1354" s="7" t="s">
        <v>12153</v>
      </c>
      <c r="H1354" s="7" t="s">
        <v>12154</v>
      </c>
      <c r="I1354" s="119">
        <v>45292.0</v>
      </c>
      <c r="K1354" s="7" t="s">
        <v>419</v>
      </c>
      <c r="L1354" s="7" t="s">
        <v>991</v>
      </c>
      <c r="M1354" s="7" t="s">
        <v>3531</v>
      </c>
      <c r="N1354" s="7" t="s">
        <v>419</v>
      </c>
      <c r="O1354" s="7" t="s">
        <v>19430</v>
      </c>
      <c r="P1354" s="7" t="s">
        <v>717</v>
      </c>
      <c r="Q1354" s="7" t="s">
        <v>1163</v>
      </c>
      <c r="R1354" s="7" t="s">
        <v>19608</v>
      </c>
      <c r="S1354" s="7" t="s">
        <v>20046</v>
      </c>
      <c r="T1354" s="7" t="s">
        <v>5796</v>
      </c>
      <c r="U1354" s="7" t="s">
        <v>3493</v>
      </c>
      <c r="V1354" s="7">
        <v>1.0</v>
      </c>
    </row>
    <row r="1355">
      <c r="A1355" s="7" t="s">
        <v>21257</v>
      </c>
      <c r="B1355" s="7">
        <v>2300192.0</v>
      </c>
      <c r="C1355" s="7" t="s">
        <v>12140</v>
      </c>
      <c r="D1355" s="7" t="s">
        <v>4313</v>
      </c>
      <c r="E1355" s="7" t="s">
        <v>12142</v>
      </c>
      <c r="F1355" s="7" t="s">
        <v>4314</v>
      </c>
      <c r="G1355" s="7" t="s">
        <v>12156</v>
      </c>
      <c r="H1355" s="7" t="s">
        <v>12157</v>
      </c>
      <c r="I1355" s="119">
        <v>45292.0</v>
      </c>
      <c r="K1355" s="7" t="s">
        <v>419</v>
      </c>
      <c r="L1355" s="7" t="s">
        <v>991</v>
      </c>
      <c r="M1355" s="7" t="s">
        <v>3501</v>
      </c>
      <c r="N1355" s="7" t="s">
        <v>419</v>
      </c>
      <c r="O1355" s="7" t="s">
        <v>19433</v>
      </c>
      <c r="P1355" s="7" t="s">
        <v>587</v>
      </c>
      <c r="Q1355" s="7" t="s">
        <v>74</v>
      </c>
      <c r="R1355" s="7" t="s">
        <v>19721</v>
      </c>
      <c r="T1355" s="7" t="s">
        <v>10691</v>
      </c>
      <c r="U1355" s="7" t="s">
        <v>3493</v>
      </c>
      <c r="V1355" s="7">
        <v>1.0</v>
      </c>
    </row>
    <row r="1356">
      <c r="A1356" s="7" t="s">
        <v>21258</v>
      </c>
      <c r="B1356" s="7">
        <v>13130.0</v>
      </c>
      <c r="C1356" s="7" t="s">
        <v>12159</v>
      </c>
      <c r="D1356" s="7" t="s">
        <v>12160</v>
      </c>
      <c r="E1356" s="7" t="s">
        <v>12161</v>
      </c>
      <c r="F1356" s="7" t="s">
        <v>10234</v>
      </c>
      <c r="G1356" s="7" t="s">
        <v>12162</v>
      </c>
      <c r="H1356" s="7" t="s">
        <v>12163</v>
      </c>
      <c r="I1356" s="119">
        <v>45292.0</v>
      </c>
      <c r="K1356" s="7" t="s">
        <v>419</v>
      </c>
      <c r="L1356" s="7" t="s">
        <v>991</v>
      </c>
      <c r="M1356" s="7" t="s">
        <v>3583</v>
      </c>
      <c r="N1356" s="7" t="s">
        <v>419</v>
      </c>
      <c r="O1356" s="7" t="s">
        <v>19430</v>
      </c>
      <c r="P1356" s="7" t="s">
        <v>717</v>
      </c>
      <c r="Q1356" s="7" t="s">
        <v>722</v>
      </c>
      <c r="R1356" s="7" t="s">
        <v>19863</v>
      </c>
      <c r="S1356" s="7" t="s">
        <v>19869</v>
      </c>
      <c r="T1356" s="7" t="s">
        <v>4980</v>
      </c>
      <c r="U1356" s="7" t="s">
        <v>3493</v>
      </c>
      <c r="V1356" s="7">
        <v>1.0</v>
      </c>
    </row>
    <row r="1357">
      <c r="A1357" s="7" t="s">
        <v>21259</v>
      </c>
      <c r="B1357" s="7">
        <v>1265.0</v>
      </c>
      <c r="C1357" s="7" t="s">
        <v>12165</v>
      </c>
      <c r="D1357" s="7" t="s">
        <v>6693</v>
      </c>
      <c r="E1357" s="7" t="s">
        <v>12166</v>
      </c>
      <c r="F1357" s="7" t="s">
        <v>5203</v>
      </c>
      <c r="G1357" s="7" t="s">
        <v>12167</v>
      </c>
      <c r="H1357" s="7" t="s">
        <v>12168</v>
      </c>
      <c r="I1357" s="119">
        <v>45292.0</v>
      </c>
      <c r="K1357" s="7" t="s">
        <v>419</v>
      </c>
      <c r="L1357" s="7" t="s">
        <v>991</v>
      </c>
      <c r="M1357" s="7" t="s">
        <v>3501</v>
      </c>
      <c r="N1357" s="7" t="s">
        <v>419</v>
      </c>
      <c r="O1357" s="7" t="s">
        <v>19430</v>
      </c>
      <c r="P1357" s="7" t="s">
        <v>780</v>
      </c>
      <c r="Q1357" s="7" t="s">
        <v>786</v>
      </c>
      <c r="R1357" s="7" t="s">
        <v>19559</v>
      </c>
      <c r="S1357" s="7" t="s">
        <v>20647</v>
      </c>
      <c r="T1357" s="7" t="s">
        <v>8809</v>
      </c>
      <c r="U1357" s="7" t="s">
        <v>3493</v>
      </c>
      <c r="V1357" s="7">
        <v>1.0</v>
      </c>
    </row>
    <row r="1358">
      <c r="A1358" s="7" t="s">
        <v>21260</v>
      </c>
      <c r="B1358" s="7">
        <v>876.0</v>
      </c>
      <c r="C1358" s="7" t="s">
        <v>12170</v>
      </c>
      <c r="D1358" s="7" t="s">
        <v>12171</v>
      </c>
      <c r="E1358" s="7" t="s">
        <v>12172</v>
      </c>
      <c r="F1358" s="7" t="s">
        <v>12173</v>
      </c>
      <c r="G1358" s="7" t="s">
        <v>12174</v>
      </c>
      <c r="H1358" s="7" t="s">
        <v>12175</v>
      </c>
      <c r="I1358" s="119">
        <v>45292.0</v>
      </c>
      <c r="K1358" s="7" t="s">
        <v>419</v>
      </c>
      <c r="L1358" s="7" t="s">
        <v>991</v>
      </c>
      <c r="M1358" s="7" t="s">
        <v>3501</v>
      </c>
      <c r="N1358" s="7" t="s">
        <v>419</v>
      </c>
      <c r="O1358" s="7" t="s">
        <v>19430</v>
      </c>
      <c r="P1358" s="7" t="s">
        <v>854</v>
      </c>
      <c r="Q1358" s="7" t="s">
        <v>861</v>
      </c>
      <c r="T1358" s="7" t="s">
        <v>4755</v>
      </c>
      <c r="U1358" s="7" t="s">
        <v>3493</v>
      </c>
      <c r="V1358" s="7">
        <v>1.0</v>
      </c>
    </row>
    <row r="1359">
      <c r="A1359" s="7" t="s">
        <v>1393</v>
      </c>
      <c r="B1359" s="7">
        <v>204.0</v>
      </c>
      <c r="C1359" s="7" t="s">
        <v>12176</v>
      </c>
      <c r="D1359" s="7" t="s">
        <v>12177</v>
      </c>
      <c r="E1359" s="7" t="s">
        <v>12178</v>
      </c>
      <c r="F1359" s="7" t="s">
        <v>3498</v>
      </c>
      <c r="G1359" s="7" t="s">
        <v>12179</v>
      </c>
      <c r="H1359" s="7" t="s">
        <v>12180</v>
      </c>
      <c r="I1359" s="119">
        <v>45292.0</v>
      </c>
      <c r="K1359" s="7" t="s">
        <v>419</v>
      </c>
      <c r="L1359" s="7" t="s">
        <v>991</v>
      </c>
      <c r="M1359" s="7" t="s">
        <v>3501</v>
      </c>
      <c r="N1359" s="7" t="s">
        <v>419</v>
      </c>
      <c r="O1359" s="7" t="s">
        <v>19443</v>
      </c>
      <c r="P1359" s="7" t="s">
        <v>1242</v>
      </c>
      <c r="Q1359" s="7" t="s">
        <v>43</v>
      </c>
      <c r="R1359" s="7" t="s">
        <v>19847</v>
      </c>
      <c r="T1359" s="7" t="s">
        <v>5002</v>
      </c>
      <c r="U1359" s="7" t="s">
        <v>3493</v>
      </c>
      <c r="V1359" s="7">
        <v>1.0</v>
      </c>
    </row>
    <row r="1360">
      <c r="A1360" s="7" t="s">
        <v>21261</v>
      </c>
      <c r="B1360" s="7">
        <v>13311.0</v>
      </c>
      <c r="C1360" s="7" t="s">
        <v>12182</v>
      </c>
      <c r="D1360" s="7" t="s">
        <v>12183</v>
      </c>
      <c r="E1360" s="7" t="s">
        <v>12184</v>
      </c>
      <c r="F1360" s="7" t="s">
        <v>12185</v>
      </c>
      <c r="G1360" s="7" t="s">
        <v>12186</v>
      </c>
      <c r="H1360" s="7" t="s">
        <v>12187</v>
      </c>
      <c r="I1360" s="119">
        <v>45292.0</v>
      </c>
      <c r="K1360" s="7" t="s">
        <v>419</v>
      </c>
      <c r="L1360" s="7" t="s">
        <v>991</v>
      </c>
      <c r="M1360" s="7" t="s">
        <v>3501</v>
      </c>
      <c r="N1360" s="7" t="s">
        <v>419</v>
      </c>
      <c r="O1360" s="7" t="s">
        <v>19430</v>
      </c>
      <c r="P1360" s="7" t="s">
        <v>854</v>
      </c>
      <c r="Q1360" s="7" t="s">
        <v>857</v>
      </c>
      <c r="R1360" s="7" t="s">
        <v>19574</v>
      </c>
      <c r="T1360" s="7" t="s">
        <v>3878</v>
      </c>
      <c r="U1360" s="7" t="s">
        <v>3493</v>
      </c>
      <c r="V1360" s="7">
        <v>1.0</v>
      </c>
    </row>
    <row r="1361">
      <c r="A1361" s="7" t="s">
        <v>21262</v>
      </c>
      <c r="B1361" s="7">
        <v>13880.0</v>
      </c>
      <c r="C1361" s="7" t="s">
        <v>12189</v>
      </c>
      <c r="D1361" s="7" t="s">
        <v>8105</v>
      </c>
      <c r="E1361" s="7" t="s">
        <v>12184</v>
      </c>
      <c r="F1361" s="7" t="s">
        <v>7066</v>
      </c>
      <c r="G1361" s="7" t="s">
        <v>12190</v>
      </c>
      <c r="H1361" s="7" t="s">
        <v>12191</v>
      </c>
      <c r="I1361" s="119">
        <v>45292.0</v>
      </c>
      <c r="K1361" s="7" t="s">
        <v>3632</v>
      </c>
      <c r="L1361" s="7" t="s">
        <v>991</v>
      </c>
      <c r="M1361" s="7" t="s">
        <v>3501</v>
      </c>
      <c r="N1361" s="7" t="s">
        <v>3632</v>
      </c>
      <c r="O1361" s="7" t="s">
        <v>3632</v>
      </c>
      <c r="P1361" s="7" t="s">
        <v>19462</v>
      </c>
      <c r="Q1361" s="7" t="s">
        <v>19463</v>
      </c>
      <c r="R1361" s="7" t="s">
        <v>19883</v>
      </c>
      <c r="T1361" s="7" t="s">
        <v>15149</v>
      </c>
      <c r="U1361" s="7" t="s">
        <v>3493</v>
      </c>
      <c r="V1361" s="7">
        <v>1.0</v>
      </c>
    </row>
    <row r="1362">
      <c r="A1362" s="7" t="s">
        <v>21263</v>
      </c>
      <c r="B1362" s="7">
        <v>12896.0</v>
      </c>
      <c r="C1362" s="7" t="s">
        <v>12189</v>
      </c>
      <c r="D1362" s="7" t="s">
        <v>12194</v>
      </c>
      <c r="E1362" s="7" t="s">
        <v>12184</v>
      </c>
      <c r="F1362" s="7" t="s">
        <v>9012</v>
      </c>
      <c r="G1362" s="7" t="s">
        <v>12195</v>
      </c>
      <c r="H1362" s="7" t="s">
        <v>12196</v>
      </c>
      <c r="I1362" s="119">
        <v>45292.0</v>
      </c>
      <c r="K1362" s="7" t="s">
        <v>419</v>
      </c>
      <c r="L1362" s="7" t="s">
        <v>991</v>
      </c>
      <c r="M1362" s="7" t="s">
        <v>3501</v>
      </c>
      <c r="N1362" s="7" t="s">
        <v>419</v>
      </c>
      <c r="O1362" s="7" t="s">
        <v>19433</v>
      </c>
      <c r="P1362" s="7" t="s">
        <v>587</v>
      </c>
      <c r="Q1362" s="7" t="s">
        <v>72</v>
      </c>
      <c r="R1362" s="7" t="s">
        <v>19566</v>
      </c>
      <c r="S1362" s="7" t="s">
        <v>20959</v>
      </c>
      <c r="T1362" s="7" t="s">
        <v>10517</v>
      </c>
      <c r="U1362" s="7" t="s">
        <v>3493</v>
      </c>
      <c r="V1362" s="7">
        <v>1.0</v>
      </c>
    </row>
    <row r="1363">
      <c r="A1363" s="7" t="s">
        <v>21264</v>
      </c>
      <c r="B1363" s="7">
        <v>2200643.0</v>
      </c>
      <c r="C1363" s="7" t="s">
        <v>12198</v>
      </c>
      <c r="D1363" s="7" t="s">
        <v>12199</v>
      </c>
      <c r="E1363" s="7" t="s">
        <v>12200</v>
      </c>
      <c r="F1363" s="7" t="s">
        <v>12201</v>
      </c>
      <c r="G1363" s="7" t="s">
        <v>12202</v>
      </c>
      <c r="H1363" s="7" t="s">
        <v>12203</v>
      </c>
      <c r="I1363" s="119">
        <v>45292.0</v>
      </c>
      <c r="K1363" s="7" t="s">
        <v>419</v>
      </c>
      <c r="L1363" s="7" t="s">
        <v>991</v>
      </c>
      <c r="M1363" s="7" t="s">
        <v>3501</v>
      </c>
      <c r="N1363" s="7" t="s">
        <v>419</v>
      </c>
      <c r="O1363" s="7" t="s">
        <v>19430</v>
      </c>
      <c r="P1363" s="7" t="s">
        <v>717</v>
      </c>
      <c r="Q1363" s="7" t="s">
        <v>223</v>
      </c>
      <c r="R1363" s="7" t="s">
        <v>20799</v>
      </c>
      <c r="S1363" s="7" t="s">
        <v>20936</v>
      </c>
      <c r="T1363" s="7" t="s">
        <v>10371</v>
      </c>
      <c r="U1363" s="7" t="s">
        <v>3493</v>
      </c>
      <c r="V1363" s="7">
        <v>1.0</v>
      </c>
    </row>
    <row r="1364">
      <c r="A1364" s="7" t="s">
        <v>21265</v>
      </c>
      <c r="B1364" s="7">
        <v>2200446.0</v>
      </c>
      <c r="C1364" s="7" t="s">
        <v>12205</v>
      </c>
      <c r="D1364" s="7" t="s">
        <v>12206</v>
      </c>
      <c r="E1364" s="7" t="s">
        <v>12207</v>
      </c>
      <c r="F1364" s="7" t="s">
        <v>12208</v>
      </c>
      <c r="G1364" s="7" t="s">
        <v>12209</v>
      </c>
      <c r="I1364" s="119">
        <v>45292.0</v>
      </c>
      <c r="K1364" s="7" t="s">
        <v>419</v>
      </c>
      <c r="L1364" s="7" t="s">
        <v>991</v>
      </c>
      <c r="M1364" s="7" t="s">
        <v>4644</v>
      </c>
      <c r="N1364" s="7" t="s">
        <v>419</v>
      </c>
      <c r="O1364" s="7" t="s">
        <v>19438</v>
      </c>
      <c r="P1364" s="7" t="s">
        <v>420</v>
      </c>
      <c r="T1364" s="7" t="s">
        <v>12210</v>
      </c>
      <c r="U1364" s="7" t="s">
        <v>4908</v>
      </c>
      <c r="V1364" s="7">
        <v>1.0</v>
      </c>
    </row>
    <row r="1365">
      <c r="A1365" s="7" t="s">
        <v>21266</v>
      </c>
      <c r="B1365" s="7">
        <v>13577.0</v>
      </c>
      <c r="C1365" s="7" t="s">
        <v>12205</v>
      </c>
      <c r="D1365" s="7" t="s">
        <v>12212</v>
      </c>
      <c r="E1365" s="7" t="s">
        <v>12207</v>
      </c>
      <c r="F1365" s="7" t="s">
        <v>4677</v>
      </c>
      <c r="G1365" s="7" t="s">
        <v>12213</v>
      </c>
      <c r="H1365" s="7" t="s">
        <v>12214</v>
      </c>
      <c r="I1365" s="119">
        <v>45292.0</v>
      </c>
      <c r="K1365" s="7" t="s">
        <v>419</v>
      </c>
      <c r="L1365" s="7" t="s">
        <v>991</v>
      </c>
      <c r="M1365" s="7" t="s">
        <v>3501</v>
      </c>
      <c r="N1365" s="7" t="s">
        <v>419</v>
      </c>
      <c r="O1365" s="7" t="s">
        <v>19443</v>
      </c>
      <c r="P1365" s="7" t="s">
        <v>1242</v>
      </c>
      <c r="Q1365" s="7" t="s">
        <v>51</v>
      </c>
      <c r="R1365" s="7" t="s">
        <v>19597</v>
      </c>
      <c r="S1365" s="7" t="s">
        <v>19650</v>
      </c>
      <c r="T1365" s="7" t="s">
        <v>4128</v>
      </c>
      <c r="U1365" s="7" t="s">
        <v>3493</v>
      </c>
      <c r="V1365" s="7">
        <v>1.0</v>
      </c>
    </row>
    <row r="1366">
      <c r="A1366" s="7" t="s">
        <v>21267</v>
      </c>
      <c r="B1366" s="7">
        <v>2300212.0</v>
      </c>
      <c r="C1366" s="7" t="s">
        <v>12205</v>
      </c>
      <c r="D1366" s="7" t="s">
        <v>12216</v>
      </c>
      <c r="E1366" s="7" t="s">
        <v>12207</v>
      </c>
      <c r="F1366" s="7" t="s">
        <v>12217</v>
      </c>
      <c r="G1366" s="7" t="s">
        <v>12218</v>
      </c>
      <c r="H1366" s="7" t="s">
        <v>12219</v>
      </c>
      <c r="I1366" s="119">
        <v>45292.0</v>
      </c>
      <c r="K1366" s="7" t="s">
        <v>4042</v>
      </c>
      <c r="L1366" s="7" t="s">
        <v>991</v>
      </c>
      <c r="M1366" s="7" t="s">
        <v>3531</v>
      </c>
      <c r="N1366" s="7" t="s">
        <v>4042</v>
      </c>
      <c r="O1366" s="7" t="s">
        <v>4042</v>
      </c>
      <c r="P1366" s="7" t="s">
        <v>19632</v>
      </c>
      <c r="T1366" s="7" t="s">
        <v>4044</v>
      </c>
      <c r="U1366" s="7" t="s">
        <v>3493</v>
      </c>
      <c r="V1366" s="7">
        <v>1.0</v>
      </c>
    </row>
    <row r="1367">
      <c r="A1367" s="7" t="s">
        <v>21268</v>
      </c>
      <c r="B1367" s="7">
        <v>13699.0</v>
      </c>
      <c r="C1367" s="7" t="s">
        <v>12221</v>
      </c>
      <c r="D1367" s="7" t="s">
        <v>12222</v>
      </c>
      <c r="E1367" s="7" t="s">
        <v>12223</v>
      </c>
      <c r="F1367" s="7" t="s">
        <v>12224</v>
      </c>
      <c r="G1367" s="7" t="s">
        <v>12225</v>
      </c>
      <c r="H1367" s="7" t="s">
        <v>12226</v>
      </c>
      <c r="I1367" s="119">
        <v>45292.0</v>
      </c>
      <c r="K1367" s="7" t="s">
        <v>3632</v>
      </c>
      <c r="L1367" s="7" t="s">
        <v>991</v>
      </c>
      <c r="M1367" s="7" t="s">
        <v>3501</v>
      </c>
      <c r="N1367" s="7" t="s">
        <v>3632</v>
      </c>
      <c r="O1367" s="7" t="s">
        <v>3632</v>
      </c>
      <c r="P1367" s="7" t="s">
        <v>22</v>
      </c>
      <c r="Q1367" s="7" t="s">
        <v>546</v>
      </c>
      <c r="R1367" s="7" t="s">
        <v>20870</v>
      </c>
      <c r="T1367" s="7" t="s">
        <v>12879</v>
      </c>
      <c r="U1367" s="7" t="s">
        <v>3604</v>
      </c>
      <c r="V1367" s="7">
        <v>1.0</v>
      </c>
    </row>
    <row r="1368">
      <c r="A1368" s="7" t="s">
        <v>19461</v>
      </c>
      <c r="B1368" s="7">
        <v>13651.0</v>
      </c>
      <c r="C1368" s="7" t="s">
        <v>12228</v>
      </c>
      <c r="D1368" s="7" t="s">
        <v>12229</v>
      </c>
      <c r="E1368" s="7" t="s">
        <v>12230</v>
      </c>
      <c r="F1368" s="7" t="s">
        <v>12231</v>
      </c>
      <c r="G1368" s="7" t="s">
        <v>12232</v>
      </c>
      <c r="H1368" s="7" t="s">
        <v>12233</v>
      </c>
      <c r="I1368" s="119">
        <v>45292.0</v>
      </c>
      <c r="K1368" s="7" t="s">
        <v>3632</v>
      </c>
      <c r="L1368" s="7" t="s">
        <v>991</v>
      </c>
      <c r="M1368" s="7" t="s">
        <v>3501</v>
      </c>
      <c r="N1368" s="7" t="s">
        <v>3632</v>
      </c>
      <c r="O1368" s="7" t="s">
        <v>3632</v>
      </c>
      <c r="P1368" s="7" t="s">
        <v>19462</v>
      </c>
      <c r="Q1368" s="7" t="s">
        <v>19463</v>
      </c>
      <c r="T1368" s="7" t="s">
        <v>19464</v>
      </c>
      <c r="U1368" s="7" t="s">
        <v>5585</v>
      </c>
      <c r="V1368" s="7">
        <v>1.0</v>
      </c>
    </row>
    <row r="1369">
      <c r="A1369" s="7" t="s">
        <v>21269</v>
      </c>
      <c r="B1369" s="7">
        <v>2100505.0</v>
      </c>
      <c r="C1369" s="7" t="s">
        <v>12228</v>
      </c>
      <c r="D1369" s="7" t="s">
        <v>11151</v>
      </c>
      <c r="E1369" s="7" t="s">
        <v>12230</v>
      </c>
      <c r="F1369" s="7" t="s">
        <v>4084</v>
      </c>
      <c r="G1369" s="7" t="s">
        <v>12237</v>
      </c>
      <c r="H1369" s="7" t="s">
        <v>12238</v>
      </c>
      <c r="I1369" s="119">
        <v>45292.0</v>
      </c>
      <c r="K1369" s="7" t="s">
        <v>3489</v>
      </c>
      <c r="L1369" s="7" t="s">
        <v>991</v>
      </c>
      <c r="M1369" s="7" t="s">
        <v>3490</v>
      </c>
      <c r="N1369" s="7" t="s">
        <v>3489</v>
      </c>
      <c r="O1369" s="7" t="s">
        <v>3489</v>
      </c>
      <c r="P1369" s="7" t="s">
        <v>19491</v>
      </c>
      <c r="Q1369" s="7" t="s">
        <v>169</v>
      </c>
      <c r="R1369" s="7" t="s">
        <v>19492</v>
      </c>
      <c r="T1369" s="7" t="s">
        <v>3492</v>
      </c>
      <c r="U1369" s="7" t="s">
        <v>3493</v>
      </c>
      <c r="V1369" s="7">
        <v>1.0</v>
      </c>
    </row>
    <row r="1370">
      <c r="A1370" s="7" t="s">
        <v>21270</v>
      </c>
      <c r="B1370" s="7">
        <v>2300170.0</v>
      </c>
      <c r="C1370" s="7" t="s">
        <v>12228</v>
      </c>
      <c r="D1370" s="7" t="s">
        <v>12240</v>
      </c>
      <c r="E1370" s="7" t="s">
        <v>12230</v>
      </c>
      <c r="F1370" s="7" t="s">
        <v>9001</v>
      </c>
      <c r="G1370" s="7" t="s">
        <v>12241</v>
      </c>
      <c r="H1370" s="7" t="s">
        <v>12242</v>
      </c>
      <c r="I1370" s="119">
        <v>45292.0</v>
      </c>
      <c r="K1370" s="7" t="s">
        <v>3632</v>
      </c>
      <c r="L1370" s="7" t="s">
        <v>991</v>
      </c>
      <c r="M1370" s="7" t="s">
        <v>3583</v>
      </c>
      <c r="N1370" s="7" t="s">
        <v>3632</v>
      </c>
      <c r="O1370" s="7" t="s">
        <v>3632</v>
      </c>
      <c r="P1370" s="7" t="s">
        <v>22</v>
      </c>
      <c r="Q1370" s="7" t="s">
        <v>23</v>
      </c>
      <c r="T1370" s="7" t="s">
        <v>10846</v>
      </c>
      <c r="U1370" s="7" t="s">
        <v>3493</v>
      </c>
      <c r="V1370" s="7">
        <v>1.0</v>
      </c>
    </row>
    <row r="1371">
      <c r="A1371" s="7" t="s">
        <v>21271</v>
      </c>
      <c r="B1371" s="7">
        <v>2400007.0</v>
      </c>
      <c r="C1371" s="7" t="s">
        <v>12228</v>
      </c>
      <c r="D1371" s="7" t="s">
        <v>12244</v>
      </c>
      <c r="E1371" s="7" t="s">
        <v>12230</v>
      </c>
      <c r="F1371" s="7" t="s">
        <v>6738</v>
      </c>
      <c r="G1371" s="7" t="s">
        <v>12245</v>
      </c>
      <c r="H1371" s="7" t="s">
        <v>12246</v>
      </c>
      <c r="I1371" s="119">
        <v>45292.0</v>
      </c>
      <c r="K1371" s="7" t="s">
        <v>419</v>
      </c>
      <c r="L1371" s="7" t="s">
        <v>991</v>
      </c>
      <c r="M1371" s="7" t="s">
        <v>3501</v>
      </c>
      <c r="N1371" s="7" t="s">
        <v>419</v>
      </c>
      <c r="O1371" s="7" t="s">
        <v>19432</v>
      </c>
      <c r="P1371" s="7" t="s">
        <v>391</v>
      </c>
      <c r="Q1371" s="7" t="s">
        <v>399</v>
      </c>
      <c r="R1371" s="7" t="s">
        <v>20343</v>
      </c>
      <c r="T1371" s="7" t="s">
        <v>7379</v>
      </c>
      <c r="U1371" s="7" t="s">
        <v>3493</v>
      </c>
      <c r="V1371" s="7">
        <v>1.0</v>
      </c>
    </row>
    <row r="1372">
      <c r="A1372" s="7" t="s">
        <v>21272</v>
      </c>
      <c r="B1372" s="7">
        <v>13398.0</v>
      </c>
      <c r="C1372" s="7" t="s">
        <v>12228</v>
      </c>
      <c r="D1372" s="7" t="s">
        <v>12248</v>
      </c>
      <c r="E1372" s="7" t="s">
        <v>12230</v>
      </c>
      <c r="F1372" s="7" t="s">
        <v>8711</v>
      </c>
      <c r="G1372" s="7" t="s">
        <v>12249</v>
      </c>
      <c r="H1372" s="7" t="s">
        <v>12250</v>
      </c>
      <c r="I1372" s="119">
        <v>45292.0</v>
      </c>
      <c r="K1372" s="7" t="s">
        <v>419</v>
      </c>
      <c r="L1372" s="7" t="s">
        <v>991</v>
      </c>
      <c r="M1372" s="7" t="s">
        <v>3490</v>
      </c>
      <c r="N1372" s="7" t="s">
        <v>419</v>
      </c>
      <c r="O1372" s="7" t="s">
        <v>19440</v>
      </c>
      <c r="P1372" s="7" t="s">
        <v>3</v>
      </c>
      <c r="Q1372" s="7" t="s">
        <v>9</v>
      </c>
      <c r="R1372" s="7" t="s">
        <v>20413</v>
      </c>
      <c r="S1372" s="7" t="s">
        <v>19519</v>
      </c>
      <c r="T1372" s="7" t="s">
        <v>7663</v>
      </c>
      <c r="U1372" s="7" t="s">
        <v>3493</v>
      </c>
      <c r="V1372" s="7">
        <v>1.0</v>
      </c>
    </row>
    <row r="1373">
      <c r="A1373" s="7" t="s">
        <v>21273</v>
      </c>
      <c r="B1373" s="7">
        <v>2100578.0</v>
      </c>
      <c r="C1373" s="7" t="s">
        <v>12228</v>
      </c>
      <c r="D1373" s="7" t="s">
        <v>12252</v>
      </c>
      <c r="E1373" s="7" t="s">
        <v>12230</v>
      </c>
      <c r="F1373" s="7" t="s">
        <v>5250</v>
      </c>
      <c r="G1373" s="7" t="s">
        <v>12253</v>
      </c>
      <c r="H1373" s="7" t="s">
        <v>12254</v>
      </c>
      <c r="I1373" s="119">
        <v>45292.0</v>
      </c>
      <c r="K1373" s="7" t="s">
        <v>419</v>
      </c>
      <c r="L1373" s="7" t="s">
        <v>991</v>
      </c>
      <c r="M1373" s="7" t="s">
        <v>3501</v>
      </c>
      <c r="N1373" s="7" t="s">
        <v>419</v>
      </c>
      <c r="O1373" s="7" t="s">
        <v>19443</v>
      </c>
      <c r="P1373" s="7" t="s">
        <v>323</v>
      </c>
      <c r="Q1373" s="7" t="s">
        <v>324</v>
      </c>
      <c r="R1373" s="7" t="s">
        <v>20997</v>
      </c>
      <c r="T1373" s="7" t="s">
        <v>11045</v>
      </c>
      <c r="U1373" s="7" t="s">
        <v>3493</v>
      </c>
      <c r="V1373" s="7">
        <v>1.0</v>
      </c>
    </row>
    <row r="1374">
      <c r="A1374" s="7" t="s">
        <v>21274</v>
      </c>
      <c r="B1374" s="7">
        <v>2200135.0</v>
      </c>
      <c r="C1374" s="7" t="s">
        <v>12228</v>
      </c>
      <c r="D1374" s="7" t="s">
        <v>12256</v>
      </c>
      <c r="E1374" s="7" t="s">
        <v>12230</v>
      </c>
      <c r="F1374" s="7" t="s">
        <v>3609</v>
      </c>
      <c r="G1374" s="7" t="s">
        <v>12257</v>
      </c>
      <c r="H1374" s="7" t="s">
        <v>12258</v>
      </c>
      <c r="I1374" s="119">
        <v>45292.0</v>
      </c>
      <c r="K1374" s="7" t="s">
        <v>419</v>
      </c>
      <c r="L1374" s="7" t="s">
        <v>991</v>
      </c>
      <c r="M1374" s="7" t="s">
        <v>3501</v>
      </c>
      <c r="N1374" s="7" t="s">
        <v>419</v>
      </c>
      <c r="O1374" s="7" t="s">
        <v>19433</v>
      </c>
      <c r="P1374" s="7" t="s">
        <v>587</v>
      </c>
      <c r="Q1374" s="7" t="s">
        <v>74</v>
      </c>
      <c r="R1374" s="7" t="s">
        <v>20816</v>
      </c>
      <c r="T1374" s="7" t="s">
        <v>9728</v>
      </c>
      <c r="U1374" s="7" t="s">
        <v>3604</v>
      </c>
      <c r="V1374" s="7">
        <v>1.0</v>
      </c>
    </row>
    <row r="1375">
      <c r="A1375" s="7" t="s">
        <v>21275</v>
      </c>
      <c r="B1375" s="7">
        <v>2100150.0</v>
      </c>
      <c r="C1375" s="7" t="s">
        <v>12260</v>
      </c>
      <c r="D1375" s="7" t="s">
        <v>12261</v>
      </c>
      <c r="E1375" s="7" t="s">
        <v>12262</v>
      </c>
      <c r="F1375" s="7" t="s">
        <v>4546</v>
      </c>
      <c r="G1375" s="7" t="s">
        <v>12263</v>
      </c>
      <c r="H1375" s="7" t="s">
        <v>12264</v>
      </c>
      <c r="I1375" s="119">
        <v>45292.0</v>
      </c>
      <c r="K1375" s="7" t="s">
        <v>419</v>
      </c>
      <c r="L1375" s="7" t="s">
        <v>991</v>
      </c>
      <c r="M1375" s="7" t="s">
        <v>3531</v>
      </c>
      <c r="N1375" s="7" t="s">
        <v>419</v>
      </c>
      <c r="O1375" s="7" t="s">
        <v>19430</v>
      </c>
      <c r="P1375" s="7" t="s">
        <v>717</v>
      </c>
      <c r="Q1375" s="7" t="s">
        <v>1163</v>
      </c>
      <c r="R1375" s="7" t="s">
        <v>19601</v>
      </c>
      <c r="S1375" s="7" t="s">
        <v>19877</v>
      </c>
      <c r="T1375" s="7" t="s">
        <v>5027</v>
      </c>
      <c r="U1375" s="7" t="s">
        <v>3493</v>
      </c>
      <c r="V1375" s="7">
        <v>1.0</v>
      </c>
    </row>
    <row r="1376">
      <c r="A1376" s="7" t="s">
        <v>1745</v>
      </c>
      <c r="B1376" s="7">
        <v>606.0</v>
      </c>
      <c r="C1376" s="7" t="s">
        <v>12265</v>
      </c>
      <c r="D1376" s="7" t="s">
        <v>9714</v>
      </c>
      <c r="E1376" s="7" t="s">
        <v>12266</v>
      </c>
      <c r="F1376" s="7" t="s">
        <v>4700</v>
      </c>
      <c r="G1376" s="7" t="s">
        <v>12267</v>
      </c>
      <c r="H1376" s="7" t="s">
        <v>12268</v>
      </c>
      <c r="I1376" s="119">
        <v>45292.0</v>
      </c>
      <c r="K1376" s="7" t="s">
        <v>3885</v>
      </c>
      <c r="L1376" s="7" t="s">
        <v>3542</v>
      </c>
      <c r="M1376" s="7" t="s">
        <v>3563</v>
      </c>
      <c r="N1376" s="7" t="s">
        <v>419</v>
      </c>
      <c r="O1376" s="7" t="s">
        <v>19438</v>
      </c>
      <c r="P1376" s="7" t="s">
        <v>19465</v>
      </c>
      <c r="Q1376" s="7" t="s">
        <v>186</v>
      </c>
      <c r="T1376" s="7" t="s">
        <v>19466</v>
      </c>
      <c r="U1376" s="7" t="s">
        <v>6078</v>
      </c>
      <c r="V1376" s="7">
        <v>1.0</v>
      </c>
    </row>
    <row r="1377">
      <c r="A1377" s="7" t="s">
        <v>21276</v>
      </c>
      <c r="B1377" s="7">
        <v>2300456.0</v>
      </c>
      <c r="C1377" s="7" t="s">
        <v>12272</v>
      </c>
      <c r="D1377" s="7" t="s">
        <v>4590</v>
      </c>
      <c r="E1377" s="7" t="s">
        <v>12273</v>
      </c>
      <c r="F1377" s="7" t="s">
        <v>4203</v>
      </c>
      <c r="G1377" s="7" t="s">
        <v>12274</v>
      </c>
      <c r="H1377" s="7" t="s">
        <v>12275</v>
      </c>
      <c r="I1377" s="119">
        <v>45292.0</v>
      </c>
      <c r="K1377" s="7" t="s">
        <v>419</v>
      </c>
      <c r="L1377" s="7" t="s">
        <v>991</v>
      </c>
      <c r="M1377" s="7" t="s">
        <v>3531</v>
      </c>
      <c r="N1377" s="7" t="s">
        <v>419</v>
      </c>
      <c r="O1377" s="7" t="s">
        <v>19430</v>
      </c>
      <c r="P1377" s="7" t="s">
        <v>717</v>
      </c>
      <c r="Q1377" s="7" t="s">
        <v>1163</v>
      </c>
      <c r="R1377" s="7" t="s">
        <v>19546</v>
      </c>
      <c r="S1377" s="7" t="s">
        <v>19547</v>
      </c>
      <c r="T1377" s="7" t="s">
        <v>3743</v>
      </c>
      <c r="U1377" s="7" t="s">
        <v>3493</v>
      </c>
      <c r="V1377" s="7">
        <v>1.0</v>
      </c>
    </row>
    <row r="1378">
      <c r="A1378" s="7" t="s">
        <v>21277</v>
      </c>
      <c r="B1378" s="7">
        <v>12778.0</v>
      </c>
      <c r="C1378" s="7" t="s">
        <v>12277</v>
      </c>
      <c r="D1378" s="7" t="s">
        <v>12278</v>
      </c>
      <c r="E1378" s="7" t="s">
        <v>12279</v>
      </c>
      <c r="F1378" s="7" t="s">
        <v>12280</v>
      </c>
      <c r="G1378" s="7" t="s">
        <v>12281</v>
      </c>
      <c r="H1378" s="7" t="s">
        <v>12282</v>
      </c>
      <c r="I1378" s="119">
        <v>45292.0</v>
      </c>
      <c r="K1378" s="7" t="s">
        <v>419</v>
      </c>
      <c r="L1378" s="7" t="s">
        <v>991</v>
      </c>
      <c r="M1378" s="7" t="s">
        <v>3501</v>
      </c>
      <c r="N1378" s="7" t="s">
        <v>419</v>
      </c>
      <c r="O1378" s="7" t="s">
        <v>19430</v>
      </c>
      <c r="P1378" s="7" t="s">
        <v>854</v>
      </c>
      <c r="Q1378" s="7" t="s">
        <v>857</v>
      </c>
      <c r="R1378" s="7" t="s">
        <v>19574</v>
      </c>
      <c r="T1378" s="7" t="s">
        <v>3878</v>
      </c>
      <c r="U1378" s="7" t="s">
        <v>3604</v>
      </c>
      <c r="V1378" s="7">
        <v>1.0</v>
      </c>
    </row>
    <row r="1379">
      <c r="A1379" s="7" t="s">
        <v>21278</v>
      </c>
      <c r="B1379" s="7">
        <v>2200205.0</v>
      </c>
      <c r="C1379" s="7" t="s">
        <v>12284</v>
      </c>
      <c r="D1379" s="7" t="s">
        <v>12285</v>
      </c>
      <c r="E1379" s="7" t="s">
        <v>12286</v>
      </c>
      <c r="F1379" s="7" t="s">
        <v>4357</v>
      </c>
      <c r="G1379" s="7" t="s">
        <v>12287</v>
      </c>
      <c r="H1379" s="7" t="s">
        <v>12288</v>
      </c>
      <c r="I1379" s="119">
        <v>45292.0</v>
      </c>
      <c r="K1379" s="7" t="s">
        <v>419</v>
      </c>
      <c r="L1379" s="7" t="s">
        <v>991</v>
      </c>
      <c r="M1379" s="7" t="s">
        <v>3583</v>
      </c>
      <c r="N1379" s="7" t="s">
        <v>419</v>
      </c>
      <c r="O1379" s="7" t="s">
        <v>19437</v>
      </c>
      <c r="P1379" s="7" t="s">
        <v>603</v>
      </c>
      <c r="Q1379" s="7" t="s">
        <v>90</v>
      </c>
      <c r="R1379" s="7" t="s">
        <v>19690</v>
      </c>
      <c r="S1379" s="7" t="s">
        <v>19691</v>
      </c>
      <c r="T1379" s="7" t="s">
        <v>4266</v>
      </c>
      <c r="U1379" s="7" t="s">
        <v>3493</v>
      </c>
      <c r="V1379" s="7">
        <v>1.0</v>
      </c>
    </row>
    <row r="1380">
      <c r="A1380" s="7" t="s">
        <v>21279</v>
      </c>
      <c r="B1380" s="7">
        <v>2200169.0</v>
      </c>
      <c r="C1380" s="7" t="s">
        <v>12290</v>
      </c>
      <c r="D1380" s="7" t="s">
        <v>12291</v>
      </c>
      <c r="E1380" s="7" t="s">
        <v>12292</v>
      </c>
      <c r="F1380" s="7" t="s">
        <v>4068</v>
      </c>
      <c r="G1380" s="7" t="s">
        <v>12293</v>
      </c>
      <c r="H1380" s="7" t="s">
        <v>12294</v>
      </c>
      <c r="I1380" s="119">
        <v>45292.0</v>
      </c>
      <c r="K1380" s="7" t="s">
        <v>419</v>
      </c>
      <c r="L1380" s="7" t="s">
        <v>991</v>
      </c>
      <c r="M1380" s="7" t="s">
        <v>3531</v>
      </c>
      <c r="N1380" s="7" t="s">
        <v>419</v>
      </c>
      <c r="O1380" s="7" t="s">
        <v>19432</v>
      </c>
      <c r="P1380" s="7" t="s">
        <v>391</v>
      </c>
      <c r="Q1380" s="7" t="s">
        <v>399</v>
      </c>
      <c r="R1380" s="7" t="s">
        <v>20194</v>
      </c>
      <c r="T1380" s="7" t="s">
        <v>6534</v>
      </c>
      <c r="U1380" s="7" t="s">
        <v>3493</v>
      </c>
      <c r="V1380" s="7">
        <v>1.0</v>
      </c>
    </row>
    <row r="1381">
      <c r="A1381" s="7" t="s">
        <v>21280</v>
      </c>
      <c r="B1381" s="7">
        <v>2100517.0</v>
      </c>
      <c r="C1381" s="7" t="s">
        <v>12296</v>
      </c>
      <c r="D1381" s="7" t="s">
        <v>12297</v>
      </c>
      <c r="E1381" s="7" t="s">
        <v>12298</v>
      </c>
      <c r="F1381" s="7" t="s">
        <v>12299</v>
      </c>
      <c r="G1381" s="7" t="s">
        <v>12300</v>
      </c>
      <c r="H1381" s="7" t="s">
        <v>12301</v>
      </c>
      <c r="I1381" s="119">
        <v>45292.0</v>
      </c>
      <c r="K1381" s="7" t="s">
        <v>419</v>
      </c>
      <c r="L1381" s="7" t="s">
        <v>991</v>
      </c>
      <c r="M1381" s="7" t="s">
        <v>3531</v>
      </c>
      <c r="N1381" s="7" t="s">
        <v>419</v>
      </c>
      <c r="O1381" s="7" t="s">
        <v>19443</v>
      </c>
      <c r="P1381" s="7" t="s">
        <v>323</v>
      </c>
      <c r="Q1381" s="7" t="s">
        <v>324</v>
      </c>
      <c r="T1381" s="7" t="s">
        <v>7948</v>
      </c>
      <c r="U1381" s="7" t="s">
        <v>3493</v>
      </c>
      <c r="V1381" s="7">
        <v>1.0</v>
      </c>
    </row>
    <row r="1382">
      <c r="A1382" s="7" t="s">
        <v>21281</v>
      </c>
      <c r="B1382" s="7">
        <v>2300236.0</v>
      </c>
      <c r="C1382" s="7" t="s">
        <v>7708</v>
      </c>
      <c r="D1382" s="7" t="s">
        <v>12303</v>
      </c>
      <c r="E1382" s="7" t="s">
        <v>12304</v>
      </c>
      <c r="F1382" s="7" t="s">
        <v>3508</v>
      </c>
      <c r="G1382" s="7" t="s">
        <v>12305</v>
      </c>
      <c r="H1382" s="7" t="s">
        <v>12306</v>
      </c>
      <c r="I1382" s="119">
        <v>45292.0</v>
      </c>
      <c r="K1382" s="7" t="s">
        <v>3632</v>
      </c>
      <c r="L1382" s="7" t="s">
        <v>991</v>
      </c>
      <c r="M1382" s="7" t="s">
        <v>3866</v>
      </c>
      <c r="N1382" s="7" t="s">
        <v>3632</v>
      </c>
      <c r="O1382" s="7" t="s">
        <v>3632</v>
      </c>
      <c r="P1382" s="7" t="s">
        <v>22</v>
      </c>
      <c r="Q1382" s="7" t="s">
        <v>23</v>
      </c>
      <c r="T1382" s="7" t="s">
        <v>10846</v>
      </c>
      <c r="U1382" s="7" t="s">
        <v>3493</v>
      </c>
      <c r="V1382" s="7">
        <v>1.0</v>
      </c>
    </row>
    <row r="1383">
      <c r="A1383" s="7" t="s">
        <v>21282</v>
      </c>
      <c r="B1383" s="7">
        <v>13265.0</v>
      </c>
      <c r="C1383" s="7" t="s">
        <v>7708</v>
      </c>
      <c r="D1383" s="7" t="s">
        <v>12308</v>
      </c>
      <c r="E1383" s="7" t="s">
        <v>12304</v>
      </c>
      <c r="F1383" s="7" t="s">
        <v>5049</v>
      </c>
      <c r="G1383" s="7" t="s">
        <v>12309</v>
      </c>
      <c r="H1383" s="7" t="s">
        <v>12310</v>
      </c>
      <c r="I1383" s="119">
        <v>45292.0</v>
      </c>
      <c r="K1383" s="7" t="s">
        <v>419</v>
      </c>
      <c r="L1383" s="7" t="s">
        <v>991</v>
      </c>
      <c r="M1383" s="7" t="s">
        <v>3501</v>
      </c>
      <c r="N1383" s="7" t="s">
        <v>419</v>
      </c>
      <c r="O1383" s="7" t="s">
        <v>19440</v>
      </c>
      <c r="P1383" s="7" t="s">
        <v>3</v>
      </c>
      <c r="Q1383" s="7" t="s">
        <v>4</v>
      </c>
      <c r="R1383" s="7" t="s">
        <v>20991</v>
      </c>
      <c r="S1383" s="7" t="s">
        <v>21283</v>
      </c>
      <c r="T1383" s="7" t="s">
        <v>12312</v>
      </c>
      <c r="U1383" s="7" t="s">
        <v>3493</v>
      </c>
      <c r="V1383" s="7">
        <v>1.0</v>
      </c>
    </row>
    <row r="1384">
      <c r="A1384" s="7" t="s">
        <v>21284</v>
      </c>
      <c r="B1384" s="7">
        <v>2200191.0</v>
      </c>
      <c r="C1384" s="7" t="s">
        <v>7708</v>
      </c>
      <c r="D1384" s="7" t="s">
        <v>8462</v>
      </c>
      <c r="E1384" s="7" t="s">
        <v>12304</v>
      </c>
      <c r="F1384" s="7" t="s">
        <v>8463</v>
      </c>
      <c r="G1384" s="7" t="s">
        <v>12314</v>
      </c>
      <c r="H1384" s="7" t="s">
        <v>12315</v>
      </c>
      <c r="I1384" s="119">
        <v>45292.0</v>
      </c>
      <c r="K1384" s="7" t="s">
        <v>419</v>
      </c>
      <c r="L1384" s="7" t="s">
        <v>991</v>
      </c>
      <c r="M1384" s="7" t="s">
        <v>3501</v>
      </c>
      <c r="N1384" s="7" t="s">
        <v>419</v>
      </c>
      <c r="O1384" s="7" t="s">
        <v>19430</v>
      </c>
      <c r="P1384" s="7" t="s">
        <v>717</v>
      </c>
      <c r="Q1384" s="7" t="s">
        <v>738</v>
      </c>
      <c r="R1384" s="7" t="s">
        <v>19902</v>
      </c>
      <c r="S1384" s="7" t="s">
        <v>20062</v>
      </c>
      <c r="T1384" s="7" t="s">
        <v>5869</v>
      </c>
      <c r="U1384" s="7" t="s">
        <v>3843</v>
      </c>
      <c r="V1384" s="7">
        <v>1.0</v>
      </c>
    </row>
    <row r="1385">
      <c r="A1385" s="7" t="s">
        <v>21285</v>
      </c>
      <c r="B1385" s="7">
        <v>10347.0</v>
      </c>
      <c r="C1385" s="7" t="s">
        <v>7708</v>
      </c>
      <c r="D1385" s="7" t="s">
        <v>5743</v>
      </c>
      <c r="E1385" s="7" t="s">
        <v>12304</v>
      </c>
      <c r="F1385" s="7" t="s">
        <v>5058</v>
      </c>
      <c r="G1385" s="7" t="s">
        <v>12317</v>
      </c>
      <c r="H1385" s="7" t="s">
        <v>12318</v>
      </c>
      <c r="I1385" s="119">
        <v>45292.0</v>
      </c>
      <c r="K1385" s="7" t="s">
        <v>419</v>
      </c>
      <c r="L1385" s="7" t="s">
        <v>991</v>
      </c>
      <c r="M1385" s="7" t="s">
        <v>3501</v>
      </c>
      <c r="N1385" s="7" t="s">
        <v>419</v>
      </c>
      <c r="O1385" s="7" t="s">
        <v>19440</v>
      </c>
      <c r="P1385" s="7" t="s">
        <v>3</v>
      </c>
      <c r="Q1385" s="7" t="s">
        <v>9</v>
      </c>
      <c r="R1385" s="7" t="s">
        <v>19871</v>
      </c>
      <c r="T1385" s="7" t="s">
        <v>21286</v>
      </c>
      <c r="U1385" s="7" t="s">
        <v>3604</v>
      </c>
      <c r="V1385" s="7">
        <v>1.0</v>
      </c>
    </row>
    <row r="1386">
      <c r="A1386" s="7" t="s">
        <v>1408</v>
      </c>
      <c r="B1386" s="7">
        <v>12755.0</v>
      </c>
      <c r="C1386" s="7" t="s">
        <v>12321</v>
      </c>
      <c r="D1386" s="7" t="s">
        <v>12322</v>
      </c>
      <c r="E1386" s="7" t="s">
        <v>12323</v>
      </c>
      <c r="F1386" s="7" t="s">
        <v>10938</v>
      </c>
      <c r="G1386" s="7" t="s">
        <v>12324</v>
      </c>
      <c r="H1386" s="7" t="s">
        <v>12325</v>
      </c>
      <c r="I1386" s="119">
        <v>45292.0</v>
      </c>
      <c r="K1386" s="7" t="s">
        <v>419</v>
      </c>
      <c r="L1386" s="7" t="s">
        <v>991</v>
      </c>
      <c r="M1386" s="7" t="s">
        <v>3501</v>
      </c>
      <c r="N1386" s="7" t="s">
        <v>419</v>
      </c>
      <c r="O1386" s="7" t="s">
        <v>19437</v>
      </c>
      <c r="P1386" s="7" t="s">
        <v>440</v>
      </c>
      <c r="Q1386" s="7" t="s">
        <v>441</v>
      </c>
      <c r="R1386" s="7" t="s">
        <v>20752</v>
      </c>
      <c r="T1386" s="7" t="s">
        <v>21287</v>
      </c>
      <c r="U1386" s="7" t="s">
        <v>3604</v>
      </c>
      <c r="V1386" s="7">
        <v>1.0</v>
      </c>
    </row>
    <row r="1387">
      <c r="A1387" s="7" t="s">
        <v>21288</v>
      </c>
      <c r="B1387" s="7">
        <v>2200713.0</v>
      </c>
      <c r="C1387" s="7" t="s">
        <v>12329</v>
      </c>
      <c r="D1387" s="7" t="s">
        <v>12330</v>
      </c>
      <c r="E1387" s="7" t="s">
        <v>12331</v>
      </c>
      <c r="F1387" s="7" t="s">
        <v>12332</v>
      </c>
      <c r="G1387" s="7" t="s">
        <v>12333</v>
      </c>
      <c r="H1387" s="7" t="s">
        <v>12334</v>
      </c>
      <c r="I1387" s="119">
        <v>45292.0</v>
      </c>
      <c r="K1387" s="7" t="s">
        <v>4042</v>
      </c>
      <c r="L1387" s="7" t="s">
        <v>991</v>
      </c>
      <c r="M1387" s="7" t="s">
        <v>3501</v>
      </c>
      <c r="N1387" s="7" t="s">
        <v>4042</v>
      </c>
      <c r="O1387" s="7" t="s">
        <v>4042</v>
      </c>
      <c r="P1387" s="7" t="s">
        <v>19632</v>
      </c>
      <c r="T1387" s="7" t="s">
        <v>4044</v>
      </c>
      <c r="U1387" s="7" t="s">
        <v>3493</v>
      </c>
      <c r="V1387" s="7">
        <v>1.0</v>
      </c>
    </row>
    <row r="1388">
      <c r="A1388" s="7" t="s">
        <v>21289</v>
      </c>
      <c r="B1388" s="7">
        <v>2300181.0</v>
      </c>
      <c r="C1388" s="7" t="s">
        <v>12336</v>
      </c>
      <c r="D1388" s="7" t="s">
        <v>4943</v>
      </c>
      <c r="E1388" s="7" t="s">
        <v>12337</v>
      </c>
      <c r="F1388" s="7" t="s">
        <v>3792</v>
      </c>
      <c r="G1388" s="7" t="s">
        <v>12338</v>
      </c>
      <c r="H1388" s="7" t="s">
        <v>12339</v>
      </c>
      <c r="I1388" s="119">
        <v>45292.0</v>
      </c>
      <c r="K1388" s="7" t="s">
        <v>4042</v>
      </c>
      <c r="L1388" s="7" t="s">
        <v>991</v>
      </c>
      <c r="M1388" s="7" t="s">
        <v>3501</v>
      </c>
      <c r="N1388" s="7" t="s">
        <v>4042</v>
      </c>
      <c r="O1388" s="7" t="s">
        <v>4042</v>
      </c>
      <c r="P1388" s="7" t="s">
        <v>19632</v>
      </c>
      <c r="T1388" s="7" t="s">
        <v>4044</v>
      </c>
      <c r="U1388" s="7" t="s">
        <v>3493</v>
      </c>
      <c r="V1388" s="7">
        <v>1.0</v>
      </c>
    </row>
    <row r="1389">
      <c r="A1389" s="7" t="s">
        <v>21290</v>
      </c>
      <c r="B1389" s="7">
        <v>2100367.0</v>
      </c>
      <c r="C1389" s="7" t="s">
        <v>12341</v>
      </c>
      <c r="D1389" s="7" t="s">
        <v>12342</v>
      </c>
      <c r="E1389" s="7" t="s">
        <v>12343</v>
      </c>
      <c r="F1389" s="7" t="s">
        <v>8580</v>
      </c>
      <c r="G1389" s="7" t="s">
        <v>12344</v>
      </c>
      <c r="H1389" s="7" t="s">
        <v>12345</v>
      </c>
      <c r="I1389" s="119">
        <v>45292.0</v>
      </c>
      <c r="K1389" s="7" t="s">
        <v>419</v>
      </c>
      <c r="L1389" s="7" t="s">
        <v>991</v>
      </c>
      <c r="M1389" s="7" t="s">
        <v>3531</v>
      </c>
      <c r="N1389" s="7" t="s">
        <v>419</v>
      </c>
      <c r="O1389" s="7" t="s">
        <v>19430</v>
      </c>
      <c r="P1389" s="7" t="s">
        <v>717</v>
      </c>
      <c r="Q1389" s="7" t="s">
        <v>725</v>
      </c>
      <c r="R1389" s="7" t="s">
        <v>19501</v>
      </c>
      <c r="S1389" s="7" t="s">
        <v>19502</v>
      </c>
      <c r="T1389" s="7" t="s">
        <v>3533</v>
      </c>
      <c r="U1389" s="7" t="s">
        <v>3493</v>
      </c>
      <c r="V1389" s="7">
        <v>1.0</v>
      </c>
    </row>
    <row r="1390">
      <c r="A1390" s="7" t="s">
        <v>19467</v>
      </c>
      <c r="B1390" s="7">
        <v>13680.0</v>
      </c>
      <c r="C1390" s="7" t="s">
        <v>12347</v>
      </c>
      <c r="D1390" s="7" t="s">
        <v>12348</v>
      </c>
      <c r="E1390" s="7" t="s">
        <v>12349</v>
      </c>
      <c r="F1390" s="7" t="s">
        <v>11827</v>
      </c>
      <c r="G1390" s="7" t="s">
        <v>12350</v>
      </c>
      <c r="H1390" s="7" t="s">
        <v>12351</v>
      </c>
      <c r="I1390" s="119">
        <v>45292.0</v>
      </c>
      <c r="K1390" s="7" t="s">
        <v>3632</v>
      </c>
      <c r="L1390" s="7" t="s">
        <v>991</v>
      </c>
      <c r="M1390" s="7" t="s">
        <v>3501</v>
      </c>
      <c r="N1390" s="7" t="s">
        <v>3632</v>
      </c>
      <c r="O1390" s="7" t="s">
        <v>3632</v>
      </c>
      <c r="P1390" s="7" t="s">
        <v>22</v>
      </c>
      <c r="Q1390" s="7" t="s">
        <v>549</v>
      </c>
      <c r="T1390" s="7" t="s">
        <v>19468</v>
      </c>
      <c r="U1390" s="7" t="s">
        <v>5585</v>
      </c>
      <c r="V1390" s="7">
        <v>1.0</v>
      </c>
    </row>
    <row r="1391">
      <c r="A1391" s="7" t="s">
        <v>21291</v>
      </c>
      <c r="B1391" s="7">
        <v>8361.0</v>
      </c>
      <c r="C1391" s="7" t="s">
        <v>12356</v>
      </c>
      <c r="D1391" s="7" t="s">
        <v>12357</v>
      </c>
      <c r="E1391" s="7" t="s">
        <v>12349</v>
      </c>
      <c r="F1391" s="7" t="s">
        <v>12358</v>
      </c>
      <c r="G1391" s="7" t="s">
        <v>12359</v>
      </c>
      <c r="H1391" s="7" t="s">
        <v>12360</v>
      </c>
      <c r="I1391" s="119">
        <v>45292.0</v>
      </c>
      <c r="K1391" s="7" t="s">
        <v>419</v>
      </c>
      <c r="L1391" s="7" t="s">
        <v>991</v>
      </c>
      <c r="M1391" s="7" t="s">
        <v>3531</v>
      </c>
      <c r="N1391" s="7" t="s">
        <v>419</v>
      </c>
      <c r="O1391" s="7" t="s">
        <v>19430</v>
      </c>
      <c r="P1391" s="7" t="s">
        <v>717</v>
      </c>
      <c r="Q1391" s="7" t="s">
        <v>725</v>
      </c>
      <c r="R1391" s="7" t="s">
        <v>19741</v>
      </c>
      <c r="S1391" s="7" t="s">
        <v>19791</v>
      </c>
      <c r="T1391" s="7" t="s">
        <v>6240</v>
      </c>
      <c r="U1391" s="7" t="s">
        <v>3493</v>
      </c>
      <c r="V1391" s="7">
        <v>1.0</v>
      </c>
    </row>
    <row r="1392">
      <c r="A1392" s="7" t="s">
        <v>21292</v>
      </c>
      <c r="B1392" s="7">
        <v>13503.0</v>
      </c>
      <c r="C1392" s="7" t="s">
        <v>12362</v>
      </c>
      <c r="D1392" s="7" t="s">
        <v>12363</v>
      </c>
      <c r="E1392" s="7" t="s">
        <v>12364</v>
      </c>
      <c r="F1392" s="7" t="s">
        <v>12365</v>
      </c>
      <c r="G1392" s="7" t="s">
        <v>12366</v>
      </c>
      <c r="H1392" s="7" t="s">
        <v>12367</v>
      </c>
      <c r="I1392" s="119">
        <v>45292.0</v>
      </c>
      <c r="K1392" s="7" t="s">
        <v>419</v>
      </c>
      <c r="L1392" s="7" t="s">
        <v>991</v>
      </c>
      <c r="M1392" s="7" t="s">
        <v>3501</v>
      </c>
      <c r="N1392" s="7" t="s">
        <v>419</v>
      </c>
      <c r="O1392" s="7" t="s">
        <v>19432</v>
      </c>
      <c r="P1392" s="7" t="s">
        <v>298</v>
      </c>
      <c r="Q1392" s="7" t="s">
        <v>802</v>
      </c>
      <c r="R1392" s="7" t="s">
        <v>19827</v>
      </c>
      <c r="S1392" s="7" t="s">
        <v>19828</v>
      </c>
      <c r="T1392" s="7" t="s">
        <v>4779</v>
      </c>
      <c r="U1392" s="7" t="s">
        <v>3493</v>
      </c>
      <c r="V1392" s="7">
        <v>1.0</v>
      </c>
    </row>
    <row r="1393">
      <c r="A1393" s="7" t="s">
        <v>21293</v>
      </c>
      <c r="B1393" s="7">
        <v>667.0</v>
      </c>
      <c r="C1393" s="7" t="s">
        <v>12369</v>
      </c>
      <c r="D1393" s="7" t="s">
        <v>12370</v>
      </c>
      <c r="E1393" s="7" t="s">
        <v>12371</v>
      </c>
      <c r="F1393" s="7" t="s">
        <v>12372</v>
      </c>
      <c r="G1393" s="7" t="s">
        <v>12373</v>
      </c>
      <c r="H1393" s="7" t="s">
        <v>12374</v>
      </c>
      <c r="I1393" s="119">
        <v>45292.0</v>
      </c>
      <c r="K1393" s="7" t="s">
        <v>419</v>
      </c>
      <c r="L1393" s="7" t="s">
        <v>991</v>
      </c>
      <c r="M1393" s="7" t="s">
        <v>3501</v>
      </c>
      <c r="N1393" s="7" t="s">
        <v>419</v>
      </c>
      <c r="O1393" s="7" t="s">
        <v>19443</v>
      </c>
      <c r="P1393" s="7" t="s">
        <v>323</v>
      </c>
      <c r="Q1393" s="7" t="s">
        <v>824</v>
      </c>
      <c r="R1393" s="7" t="s">
        <v>19570</v>
      </c>
      <c r="T1393" s="7" t="s">
        <v>8116</v>
      </c>
      <c r="U1393" s="7" t="s">
        <v>3493</v>
      </c>
      <c r="V1393" s="7">
        <v>1.0</v>
      </c>
    </row>
    <row r="1394">
      <c r="A1394" s="7" t="s">
        <v>21294</v>
      </c>
      <c r="B1394" s="7">
        <v>2100679.0</v>
      </c>
      <c r="C1394" s="7" t="s">
        <v>12377</v>
      </c>
      <c r="D1394" s="7" t="s">
        <v>12378</v>
      </c>
      <c r="E1394" s="7" t="s">
        <v>12379</v>
      </c>
      <c r="F1394" s="7" t="s">
        <v>12380</v>
      </c>
      <c r="G1394" s="7" t="s">
        <v>12381</v>
      </c>
      <c r="H1394" s="7" t="s">
        <v>12382</v>
      </c>
      <c r="I1394" s="119">
        <v>45292.0</v>
      </c>
      <c r="K1394" s="7" t="s">
        <v>419</v>
      </c>
      <c r="L1394" s="7" t="s">
        <v>991</v>
      </c>
      <c r="M1394" s="7" t="s">
        <v>3531</v>
      </c>
      <c r="N1394" s="7" t="s">
        <v>419</v>
      </c>
      <c r="O1394" s="7" t="s">
        <v>19443</v>
      </c>
      <c r="P1394" s="7" t="s">
        <v>323</v>
      </c>
      <c r="Q1394" s="7" t="s">
        <v>324</v>
      </c>
      <c r="T1394" s="7" t="s">
        <v>7948</v>
      </c>
      <c r="U1394" s="7" t="s">
        <v>3493</v>
      </c>
      <c r="V1394" s="7">
        <v>1.0</v>
      </c>
    </row>
    <row r="1395">
      <c r="A1395" s="7" t="s">
        <v>21295</v>
      </c>
      <c r="B1395" s="7">
        <v>2200813.0</v>
      </c>
      <c r="C1395" s="7" t="s">
        <v>12384</v>
      </c>
      <c r="D1395" s="7" t="s">
        <v>12385</v>
      </c>
      <c r="E1395" s="7" t="s">
        <v>12386</v>
      </c>
      <c r="F1395" s="7" t="s">
        <v>3498</v>
      </c>
      <c r="G1395" s="7" t="s">
        <v>12387</v>
      </c>
      <c r="H1395" s="7" t="s">
        <v>12388</v>
      </c>
      <c r="I1395" s="119">
        <v>45292.0</v>
      </c>
      <c r="K1395" s="7" t="s">
        <v>419</v>
      </c>
      <c r="L1395" s="7" t="s">
        <v>991</v>
      </c>
      <c r="M1395" s="7" t="s">
        <v>3501</v>
      </c>
      <c r="N1395" s="7" t="s">
        <v>419</v>
      </c>
      <c r="O1395" s="7" t="s">
        <v>19432</v>
      </c>
      <c r="P1395" s="7" t="s">
        <v>391</v>
      </c>
      <c r="Q1395" s="7" t="s">
        <v>399</v>
      </c>
      <c r="T1395" s="7" t="s">
        <v>8211</v>
      </c>
      <c r="U1395" s="7" t="s">
        <v>3493</v>
      </c>
      <c r="V1395" s="7">
        <v>1.0</v>
      </c>
    </row>
    <row r="1396">
      <c r="A1396" s="7" t="s">
        <v>21296</v>
      </c>
      <c r="B1396" s="7">
        <v>12779.0</v>
      </c>
      <c r="C1396" s="7" t="s">
        <v>12391</v>
      </c>
      <c r="D1396" s="7" t="s">
        <v>12392</v>
      </c>
      <c r="E1396" s="7" t="s">
        <v>12393</v>
      </c>
      <c r="F1396" s="7" t="s">
        <v>5229</v>
      </c>
      <c r="G1396" s="7" t="s">
        <v>12394</v>
      </c>
      <c r="H1396" s="7" t="s">
        <v>12395</v>
      </c>
      <c r="I1396" s="119">
        <v>45292.0</v>
      </c>
      <c r="K1396" s="7" t="s">
        <v>419</v>
      </c>
      <c r="L1396" s="7" t="s">
        <v>991</v>
      </c>
      <c r="M1396" s="7" t="s">
        <v>3501</v>
      </c>
      <c r="N1396" s="7" t="s">
        <v>419</v>
      </c>
      <c r="O1396" s="7" t="s">
        <v>19443</v>
      </c>
      <c r="P1396" s="7" t="s">
        <v>323</v>
      </c>
      <c r="Q1396" s="7" t="s">
        <v>324</v>
      </c>
      <c r="R1396" s="7" t="s">
        <v>20352</v>
      </c>
      <c r="T1396" s="7" t="s">
        <v>7344</v>
      </c>
      <c r="U1396" s="7" t="s">
        <v>3493</v>
      </c>
      <c r="V1396" s="7">
        <v>1.0</v>
      </c>
    </row>
    <row r="1397">
      <c r="A1397" s="7" t="s">
        <v>21297</v>
      </c>
      <c r="B1397" s="7">
        <v>2200902.0</v>
      </c>
      <c r="C1397" s="7" t="s">
        <v>12397</v>
      </c>
      <c r="D1397" s="7" t="s">
        <v>12398</v>
      </c>
      <c r="E1397" s="7" t="s">
        <v>12399</v>
      </c>
      <c r="F1397" s="7" t="s">
        <v>4525</v>
      </c>
      <c r="G1397" s="7" t="s">
        <v>12400</v>
      </c>
      <c r="H1397" s="7" t="s">
        <v>12401</v>
      </c>
      <c r="I1397" s="119">
        <v>45292.0</v>
      </c>
      <c r="K1397" s="7" t="s">
        <v>419</v>
      </c>
      <c r="L1397" s="7" t="s">
        <v>991</v>
      </c>
      <c r="M1397" s="7" t="s">
        <v>3501</v>
      </c>
      <c r="N1397" s="7" t="s">
        <v>419</v>
      </c>
      <c r="O1397" s="7" t="s">
        <v>19430</v>
      </c>
      <c r="P1397" s="7" t="s">
        <v>717</v>
      </c>
      <c r="Q1397" s="7" t="s">
        <v>738</v>
      </c>
      <c r="R1397" s="7" t="s">
        <v>19818</v>
      </c>
      <c r="S1397" s="7" t="s">
        <v>19668</v>
      </c>
      <c r="T1397" s="7" t="s">
        <v>4739</v>
      </c>
      <c r="U1397" s="7" t="s">
        <v>3843</v>
      </c>
      <c r="V1397" s="7">
        <v>1.0</v>
      </c>
    </row>
    <row r="1398">
      <c r="A1398" s="7" t="s">
        <v>21298</v>
      </c>
      <c r="B1398" s="7">
        <v>2200356.0</v>
      </c>
      <c r="C1398" s="7" t="s">
        <v>12403</v>
      </c>
      <c r="D1398" s="7" t="s">
        <v>4676</v>
      </c>
      <c r="E1398" s="7" t="s">
        <v>12404</v>
      </c>
      <c r="F1398" s="7" t="s">
        <v>4677</v>
      </c>
      <c r="G1398" s="7" t="s">
        <v>12405</v>
      </c>
      <c r="H1398" s="7" t="s">
        <v>12406</v>
      </c>
      <c r="I1398" s="119">
        <v>45292.0</v>
      </c>
      <c r="K1398" s="7" t="s">
        <v>419</v>
      </c>
      <c r="L1398" s="7" t="s">
        <v>991</v>
      </c>
      <c r="M1398" s="7" t="s">
        <v>3501</v>
      </c>
      <c r="N1398" s="7" t="s">
        <v>419</v>
      </c>
      <c r="O1398" s="7" t="s">
        <v>19438</v>
      </c>
      <c r="P1398" s="7" t="s">
        <v>19475</v>
      </c>
      <c r="Q1398" s="7" t="s">
        <v>188</v>
      </c>
      <c r="R1398" s="7" t="s">
        <v>21299</v>
      </c>
      <c r="T1398" s="7" t="s">
        <v>12408</v>
      </c>
      <c r="U1398" s="7" t="s">
        <v>3493</v>
      </c>
      <c r="V1398" s="7">
        <v>1.0</v>
      </c>
    </row>
    <row r="1399">
      <c r="A1399" s="7" t="s">
        <v>21300</v>
      </c>
      <c r="B1399" s="7">
        <v>10003.0</v>
      </c>
      <c r="C1399" s="7" t="s">
        <v>12410</v>
      </c>
      <c r="D1399" s="7" t="s">
        <v>12411</v>
      </c>
      <c r="E1399" s="7" t="s">
        <v>12412</v>
      </c>
      <c r="F1399" s="7" t="s">
        <v>12413</v>
      </c>
      <c r="G1399" s="7" t="s">
        <v>12414</v>
      </c>
      <c r="H1399" s="7" t="s">
        <v>12415</v>
      </c>
      <c r="I1399" s="119">
        <v>45292.0</v>
      </c>
      <c r="K1399" s="7" t="s">
        <v>419</v>
      </c>
      <c r="L1399" s="7" t="s">
        <v>991</v>
      </c>
      <c r="M1399" s="7" t="s">
        <v>3501</v>
      </c>
      <c r="N1399" s="7" t="s">
        <v>419</v>
      </c>
      <c r="O1399" s="7" t="s">
        <v>19432</v>
      </c>
      <c r="P1399" s="7" t="s">
        <v>693</v>
      </c>
      <c r="Q1399" s="7" t="s">
        <v>703</v>
      </c>
      <c r="R1399" s="7" t="s">
        <v>19579</v>
      </c>
      <c r="S1399" s="7" t="s">
        <v>19580</v>
      </c>
      <c r="T1399" s="7" t="s">
        <v>3852</v>
      </c>
      <c r="U1399" s="7" t="s">
        <v>3493</v>
      </c>
      <c r="V1399" s="7">
        <v>1.0</v>
      </c>
    </row>
    <row r="1400">
      <c r="A1400" s="7" t="s">
        <v>21301</v>
      </c>
      <c r="B1400" s="7">
        <v>11537.0</v>
      </c>
      <c r="C1400" s="7" t="s">
        <v>12410</v>
      </c>
      <c r="D1400" s="7" t="s">
        <v>8975</v>
      </c>
      <c r="E1400" s="7" t="s">
        <v>12412</v>
      </c>
      <c r="F1400" s="7" t="s">
        <v>4967</v>
      </c>
      <c r="G1400" s="7" t="s">
        <v>12417</v>
      </c>
      <c r="H1400" s="7" t="s">
        <v>12418</v>
      </c>
      <c r="I1400" s="119">
        <v>45292.0</v>
      </c>
      <c r="K1400" s="7" t="s">
        <v>419</v>
      </c>
      <c r="L1400" s="7" t="s">
        <v>991</v>
      </c>
      <c r="M1400" s="7" t="s">
        <v>3531</v>
      </c>
      <c r="N1400" s="7" t="s">
        <v>419</v>
      </c>
      <c r="O1400" s="7" t="s">
        <v>19430</v>
      </c>
      <c r="P1400" s="7" t="s">
        <v>717</v>
      </c>
      <c r="Q1400" s="7" t="s">
        <v>725</v>
      </c>
      <c r="R1400" s="7" t="s">
        <v>19501</v>
      </c>
      <c r="S1400" s="7" t="s">
        <v>19688</v>
      </c>
      <c r="T1400" s="7" t="s">
        <v>4257</v>
      </c>
      <c r="U1400" s="7" t="s">
        <v>3493</v>
      </c>
      <c r="V1400" s="7">
        <v>1.0</v>
      </c>
    </row>
    <row r="1401">
      <c r="A1401" s="7" t="s">
        <v>21302</v>
      </c>
      <c r="B1401" s="7">
        <v>1060.0</v>
      </c>
      <c r="C1401" s="7" t="s">
        <v>12420</v>
      </c>
      <c r="D1401" s="7" t="s">
        <v>12421</v>
      </c>
      <c r="E1401" s="7" t="s">
        <v>12422</v>
      </c>
      <c r="F1401" s="7" t="s">
        <v>5545</v>
      </c>
      <c r="G1401" s="7" t="s">
        <v>12423</v>
      </c>
      <c r="H1401" s="7" t="s">
        <v>12424</v>
      </c>
      <c r="I1401" s="119">
        <v>45292.0</v>
      </c>
      <c r="K1401" s="7" t="s">
        <v>419</v>
      </c>
      <c r="L1401" s="7" t="s">
        <v>991</v>
      </c>
      <c r="M1401" s="7" t="s">
        <v>3501</v>
      </c>
      <c r="N1401" s="7" t="s">
        <v>419</v>
      </c>
      <c r="O1401" s="7" t="s">
        <v>19443</v>
      </c>
      <c r="P1401" s="7" t="s">
        <v>1242</v>
      </c>
      <c r="Q1401" s="7" t="s">
        <v>48</v>
      </c>
      <c r="T1401" s="7" t="s">
        <v>10546</v>
      </c>
      <c r="U1401" s="7" t="s">
        <v>3493</v>
      </c>
      <c r="V1401" s="7">
        <v>1.0</v>
      </c>
    </row>
    <row r="1402">
      <c r="A1402" s="7" t="s">
        <v>21303</v>
      </c>
      <c r="B1402" s="7">
        <v>2200688.0</v>
      </c>
      <c r="C1402" s="7" t="s">
        <v>12426</v>
      </c>
      <c r="D1402" s="7" t="s">
        <v>12427</v>
      </c>
      <c r="E1402" s="7" t="s">
        <v>12428</v>
      </c>
      <c r="F1402" s="7" t="s">
        <v>6166</v>
      </c>
      <c r="G1402" s="7" t="s">
        <v>12429</v>
      </c>
      <c r="H1402" s="7" t="s">
        <v>12430</v>
      </c>
      <c r="I1402" s="119">
        <v>45292.0</v>
      </c>
      <c r="K1402" s="7" t="s">
        <v>419</v>
      </c>
      <c r="L1402" s="7" t="s">
        <v>991</v>
      </c>
      <c r="M1402" s="7" t="s">
        <v>3501</v>
      </c>
      <c r="N1402" s="7" t="s">
        <v>419</v>
      </c>
      <c r="O1402" s="7" t="s">
        <v>19430</v>
      </c>
      <c r="P1402" s="7" t="s">
        <v>717</v>
      </c>
      <c r="Q1402" s="7" t="s">
        <v>1163</v>
      </c>
      <c r="R1402" s="7" t="s">
        <v>19608</v>
      </c>
      <c r="S1402" s="7" t="s">
        <v>20046</v>
      </c>
      <c r="T1402" s="7" t="s">
        <v>5796</v>
      </c>
      <c r="U1402" s="7" t="s">
        <v>3493</v>
      </c>
      <c r="V1402" s="7">
        <v>1.0</v>
      </c>
    </row>
    <row r="1403">
      <c r="A1403" s="7" t="s">
        <v>21304</v>
      </c>
      <c r="B1403" s="7">
        <v>2200314.0</v>
      </c>
      <c r="C1403" s="7" t="s">
        <v>12432</v>
      </c>
      <c r="D1403" s="7" t="s">
        <v>12433</v>
      </c>
      <c r="E1403" s="7" t="s">
        <v>12434</v>
      </c>
      <c r="F1403" s="7" t="s">
        <v>12435</v>
      </c>
      <c r="G1403" s="7" t="s">
        <v>12436</v>
      </c>
      <c r="H1403" s="7" t="s">
        <v>12437</v>
      </c>
      <c r="I1403" s="119">
        <v>45292.0</v>
      </c>
      <c r="K1403" s="7" t="s">
        <v>419</v>
      </c>
      <c r="L1403" s="7" t="s">
        <v>991</v>
      </c>
      <c r="M1403" s="7" t="s">
        <v>3531</v>
      </c>
      <c r="N1403" s="7" t="s">
        <v>419</v>
      </c>
      <c r="O1403" s="7" t="s">
        <v>19432</v>
      </c>
      <c r="P1403" s="7" t="s">
        <v>391</v>
      </c>
      <c r="Q1403" s="7" t="s">
        <v>890</v>
      </c>
      <c r="R1403" s="7" t="s">
        <v>19497</v>
      </c>
      <c r="T1403" s="7" t="s">
        <v>7757</v>
      </c>
      <c r="U1403" s="7" t="s">
        <v>3493</v>
      </c>
      <c r="V1403" s="7">
        <v>1.0</v>
      </c>
    </row>
    <row r="1404">
      <c r="A1404" s="7" t="s">
        <v>21305</v>
      </c>
      <c r="B1404" s="7">
        <v>1260.0</v>
      </c>
      <c r="C1404" s="7" t="s">
        <v>12439</v>
      </c>
      <c r="D1404" s="7" t="s">
        <v>12440</v>
      </c>
      <c r="E1404" s="7" t="s">
        <v>12441</v>
      </c>
      <c r="F1404" s="7" t="s">
        <v>3730</v>
      </c>
      <c r="G1404" s="7" t="s">
        <v>12442</v>
      </c>
      <c r="H1404" s="7" t="s">
        <v>12443</v>
      </c>
      <c r="I1404" s="119">
        <v>45292.0</v>
      </c>
      <c r="K1404" s="7" t="s">
        <v>419</v>
      </c>
      <c r="L1404" s="7" t="s">
        <v>991</v>
      </c>
      <c r="M1404" s="7" t="s">
        <v>3501</v>
      </c>
      <c r="N1404" s="7" t="s">
        <v>419</v>
      </c>
      <c r="O1404" s="7" t="s">
        <v>19432</v>
      </c>
      <c r="P1404" s="7" t="s">
        <v>693</v>
      </c>
      <c r="Q1404" s="7" t="s">
        <v>703</v>
      </c>
      <c r="R1404" s="7" t="s">
        <v>19579</v>
      </c>
      <c r="S1404" s="7" t="s">
        <v>21306</v>
      </c>
      <c r="T1404" s="7" t="s">
        <v>12445</v>
      </c>
      <c r="U1404" s="7" t="s">
        <v>3493</v>
      </c>
      <c r="V1404" s="7">
        <v>1.0</v>
      </c>
    </row>
    <row r="1405">
      <c r="A1405" s="7" t="s">
        <v>21307</v>
      </c>
      <c r="B1405" s="7">
        <v>10764.0</v>
      </c>
      <c r="C1405" s="7" t="s">
        <v>12447</v>
      </c>
      <c r="D1405" s="7" t="s">
        <v>12448</v>
      </c>
      <c r="E1405" s="7" t="s">
        <v>12449</v>
      </c>
      <c r="F1405" s="7" t="s">
        <v>5668</v>
      </c>
      <c r="G1405" s="7" t="s">
        <v>12450</v>
      </c>
      <c r="H1405" s="7" t="s">
        <v>12451</v>
      </c>
      <c r="I1405" s="119">
        <v>45292.0</v>
      </c>
      <c r="K1405" s="7" t="s">
        <v>419</v>
      </c>
      <c r="L1405" s="7" t="s">
        <v>991</v>
      </c>
      <c r="M1405" s="7" t="s">
        <v>3531</v>
      </c>
      <c r="N1405" s="7" t="s">
        <v>419</v>
      </c>
      <c r="O1405" s="7" t="s">
        <v>19432</v>
      </c>
      <c r="P1405" s="7" t="s">
        <v>298</v>
      </c>
      <c r="Q1405" s="7" t="s">
        <v>1284</v>
      </c>
      <c r="R1405" s="7" t="s">
        <v>20033</v>
      </c>
      <c r="S1405" s="7" t="s">
        <v>20456</v>
      </c>
      <c r="T1405" s="7" t="s">
        <v>7884</v>
      </c>
      <c r="U1405" s="7" t="s">
        <v>3493</v>
      </c>
      <c r="V1405" s="7">
        <v>1.0</v>
      </c>
    </row>
    <row r="1406">
      <c r="A1406" s="7" t="s">
        <v>21308</v>
      </c>
      <c r="B1406" s="7">
        <v>2200299.0</v>
      </c>
      <c r="C1406" s="7" t="s">
        <v>12453</v>
      </c>
      <c r="D1406" s="7" t="s">
        <v>10756</v>
      </c>
      <c r="E1406" s="7" t="s">
        <v>12454</v>
      </c>
      <c r="F1406" s="7" t="s">
        <v>4632</v>
      </c>
      <c r="G1406" s="7" t="s">
        <v>12455</v>
      </c>
      <c r="H1406" s="7" t="s">
        <v>12456</v>
      </c>
      <c r="I1406" s="119">
        <v>45292.0</v>
      </c>
      <c r="K1406" s="7" t="s">
        <v>419</v>
      </c>
      <c r="L1406" s="7" t="s">
        <v>991</v>
      </c>
      <c r="M1406" s="7" t="s">
        <v>3501</v>
      </c>
      <c r="N1406" s="7" t="s">
        <v>419</v>
      </c>
      <c r="O1406" s="7" t="s">
        <v>19430</v>
      </c>
      <c r="P1406" s="7" t="s">
        <v>854</v>
      </c>
      <c r="Q1406" s="7" t="s">
        <v>861</v>
      </c>
      <c r="R1406" s="7" t="s">
        <v>19664</v>
      </c>
      <c r="T1406" s="7" t="s">
        <v>9590</v>
      </c>
      <c r="U1406" s="7" t="s">
        <v>3493</v>
      </c>
      <c r="V1406" s="7">
        <v>1.0</v>
      </c>
    </row>
    <row r="1407">
      <c r="A1407" s="7" t="s">
        <v>21309</v>
      </c>
      <c r="B1407" s="7">
        <v>12240.0</v>
      </c>
      <c r="C1407" s="7" t="s">
        <v>12453</v>
      </c>
      <c r="D1407" s="7" t="s">
        <v>12458</v>
      </c>
      <c r="E1407" s="7" t="s">
        <v>12454</v>
      </c>
      <c r="F1407" s="7" t="s">
        <v>12459</v>
      </c>
      <c r="G1407" s="7" t="s">
        <v>12460</v>
      </c>
      <c r="H1407" s="7" t="s">
        <v>12461</v>
      </c>
      <c r="I1407" s="119">
        <v>45292.0</v>
      </c>
      <c r="K1407" s="7" t="s">
        <v>419</v>
      </c>
      <c r="L1407" s="7" t="s">
        <v>991</v>
      </c>
      <c r="M1407" s="7" t="s">
        <v>3501</v>
      </c>
      <c r="N1407" s="7" t="s">
        <v>419</v>
      </c>
      <c r="O1407" s="7" t="s">
        <v>19432</v>
      </c>
      <c r="P1407" s="7" t="s">
        <v>298</v>
      </c>
      <c r="Q1407" s="7" t="s">
        <v>1284</v>
      </c>
      <c r="R1407" s="7" t="s">
        <v>20190</v>
      </c>
      <c r="T1407" s="7" t="s">
        <v>21310</v>
      </c>
      <c r="U1407" s="7" t="s">
        <v>3604</v>
      </c>
      <c r="V1407" s="7">
        <v>1.0</v>
      </c>
    </row>
    <row r="1408">
      <c r="A1408" s="7" t="s">
        <v>21311</v>
      </c>
      <c r="B1408" s="7">
        <v>8205.0</v>
      </c>
      <c r="C1408" s="7" t="s">
        <v>12453</v>
      </c>
      <c r="D1408" s="7" t="s">
        <v>12465</v>
      </c>
      <c r="E1408" s="7" t="s">
        <v>12454</v>
      </c>
      <c r="F1408" s="7" t="s">
        <v>12466</v>
      </c>
      <c r="G1408" s="7" t="s">
        <v>12467</v>
      </c>
      <c r="H1408" s="7" t="s">
        <v>12468</v>
      </c>
      <c r="I1408" s="119">
        <v>45292.0</v>
      </c>
      <c r="K1408" s="7" t="s">
        <v>419</v>
      </c>
      <c r="L1408" s="7" t="s">
        <v>991</v>
      </c>
      <c r="M1408" s="7" t="s">
        <v>3531</v>
      </c>
      <c r="N1408" s="7" t="s">
        <v>419</v>
      </c>
      <c r="O1408" s="7" t="s">
        <v>19430</v>
      </c>
      <c r="P1408" s="7" t="s">
        <v>780</v>
      </c>
      <c r="Q1408" s="7" t="s">
        <v>786</v>
      </c>
      <c r="R1408" s="7" t="s">
        <v>19839</v>
      </c>
      <c r="T1408" s="7" t="s">
        <v>4835</v>
      </c>
      <c r="U1408" s="7" t="s">
        <v>3493</v>
      </c>
      <c r="V1408" s="7">
        <v>1.0</v>
      </c>
    </row>
    <row r="1409">
      <c r="A1409" s="7" t="s">
        <v>21312</v>
      </c>
      <c r="B1409" s="7">
        <v>12685.0</v>
      </c>
      <c r="C1409" s="7" t="s">
        <v>12470</v>
      </c>
      <c r="D1409" s="7" t="s">
        <v>3506</v>
      </c>
      <c r="E1409" s="7" t="s">
        <v>12471</v>
      </c>
      <c r="F1409" s="7" t="s">
        <v>3508</v>
      </c>
      <c r="G1409" s="7" t="s">
        <v>12472</v>
      </c>
      <c r="H1409" s="7" t="s">
        <v>12473</v>
      </c>
      <c r="I1409" s="119">
        <v>45292.0</v>
      </c>
      <c r="K1409" s="7" t="s">
        <v>419</v>
      </c>
      <c r="L1409" s="7" t="s">
        <v>991</v>
      </c>
      <c r="M1409" s="7" t="s">
        <v>3531</v>
      </c>
      <c r="N1409" s="7" t="s">
        <v>419</v>
      </c>
      <c r="O1409" s="7" t="s">
        <v>19433</v>
      </c>
      <c r="P1409" s="7" t="s">
        <v>648</v>
      </c>
      <c r="Q1409" s="7" t="s">
        <v>143</v>
      </c>
      <c r="R1409" s="7" t="s">
        <v>19712</v>
      </c>
      <c r="S1409" s="7" t="s">
        <v>19987</v>
      </c>
      <c r="T1409" s="7" t="s">
        <v>5506</v>
      </c>
      <c r="U1409" s="7" t="s">
        <v>3493</v>
      </c>
      <c r="V1409" s="7">
        <v>1.0</v>
      </c>
    </row>
    <row r="1410">
      <c r="A1410" s="7" t="s">
        <v>21313</v>
      </c>
      <c r="B1410" s="7">
        <v>11017.0</v>
      </c>
      <c r="C1410" s="7" t="s">
        <v>12470</v>
      </c>
      <c r="D1410" s="7" t="s">
        <v>12475</v>
      </c>
      <c r="E1410" s="7" t="s">
        <v>12471</v>
      </c>
      <c r="F1410" s="7" t="s">
        <v>12476</v>
      </c>
      <c r="G1410" s="7" t="s">
        <v>12477</v>
      </c>
      <c r="H1410" s="7" t="s">
        <v>12478</v>
      </c>
      <c r="I1410" s="119">
        <v>45292.0</v>
      </c>
      <c r="K1410" s="7" t="s">
        <v>419</v>
      </c>
      <c r="L1410" s="7" t="s">
        <v>991</v>
      </c>
      <c r="M1410" s="7" t="s">
        <v>3501</v>
      </c>
      <c r="N1410" s="7" t="s">
        <v>419</v>
      </c>
      <c r="O1410" s="7" t="s">
        <v>19437</v>
      </c>
      <c r="P1410" s="7" t="s">
        <v>478</v>
      </c>
      <c r="Q1410" s="7" t="s">
        <v>958</v>
      </c>
      <c r="R1410" s="7" t="s">
        <v>19708</v>
      </c>
      <c r="T1410" s="7" t="s">
        <v>20807</v>
      </c>
      <c r="U1410" s="7" t="s">
        <v>3493</v>
      </c>
      <c r="V1410" s="7">
        <v>1.0</v>
      </c>
    </row>
    <row r="1411">
      <c r="A1411" s="7" t="s">
        <v>21314</v>
      </c>
      <c r="B1411" s="7">
        <v>1234.0</v>
      </c>
      <c r="C1411" s="7" t="s">
        <v>12481</v>
      </c>
      <c r="D1411" s="7" t="s">
        <v>12482</v>
      </c>
      <c r="E1411" s="7" t="s">
        <v>12483</v>
      </c>
      <c r="F1411" s="7" t="s">
        <v>12484</v>
      </c>
      <c r="G1411" s="7" t="s">
        <v>12485</v>
      </c>
      <c r="H1411" s="7" t="s">
        <v>12486</v>
      </c>
      <c r="I1411" s="119">
        <v>45292.0</v>
      </c>
      <c r="J1411" s="7" t="s">
        <v>3929</v>
      </c>
      <c r="K1411" s="7" t="s">
        <v>419</v>
      </c>
      <c r="L1411" s="7" t="s">
        <v>991</v>
      </c>
      <c r="M1411" s="7" t="s">
        <v>3501</v>
      </c>
      <c r="N1411" s="7" t="s">
        <v>419</v>
      </c>
      <c r="O1411" s="7" t="s">
        <v>19440</v>
      </c>
      <c r="P1411" s="7" t="s">
        <v>613</v>
      </c>
      <c r="Q1411" s="7" t="s">
        <v>104</v>
      </c>
      <c r="R1411" s="7" t="s">
        <v>19738</v>
      </c>
      <c r="S1411" s="7" t="s">
        <v>19739</v>
      </c>
      <c r="T1411" s="7" t="s">
        <v>4473</v>
      </c>
      <c r="U1411" s="7" t="s">
        <v>3493</v>
      </c>
      <c r="V1411" s="7">
        <v>1.0</v>
      </c>
    </row>
    <row r="1412">
      <c r="A1412" s="7" t="s">
        <v>21315</v>
      </c>
      <c r="B1412" s="7">
        <v>12034.0</v>
      </c>
      <c r="C1412" s="7" t="s">
        <v>12488</v>
      </c>
      <c r="D1412" s="7" t="s">
        <v>3837</v>
      </c>
      <c r="E1412" s="7" t="s">
        <v>12489</v>
      </c>
      <c r="F1412" s="7" t="s">
        <v>3838</v>
      </c>
      <c r="G1412" s="7" t="s">
        <v>12490</v>
      </c>
      <c r="H1412" s="7" t="s">
        <v>12491</v>
      </c>
      <c r="I1412" s="119">
        <v>45292.0</v>
      </c>
      <c r="K1412" s="7" t="s">
        <v>7069</v>
      </c>
      <c r="L1412" s="7" t="s">
        <v>4406</v>
      </c>
      <c r="M1412" s="7" t="s">
        <v>7070</v>
      </c>
      <c r="N1412" s="7" t="s">
        <v>419</v>
      </c>
      <c r="O1412" s="7" t="s">
        <v>19440</v>
      </c>
      <c r="P1412" s="7" t="s">
        <v>3</v>
      </c>
      <c r="Q1412" s="7" t="s">
        <v>4</v>
      </c>
      <c r="R1412" s="7" t="s">
        <v>20991</v>
      </c>
      <c r="S1412" s="7" t="s">
        <v>21283</v>
      </c>
      <c r="T1412" s="7" t="s">
        <v>12312</v>
      </c>
      <c r="U1412" s="7" t="s">
        <v>3493</v>
      </c>
      <c r="V1412" s="7">
        <v>1.0</v>
      </c>
    </row>
    <row r="1413">
      <c r="A1413" s="7" t="s">
        <v>21316</v>
      </c>
      <c r="B1413" s="7">
        <v>13756.0</v>
      </c>
      <c r="C1413" s="7" t="s">
        <v>12494</v>
      </c>
      <c r="D1413" s="7" t="s">
        <v>4620</v>
      </c>
      <c r="E1413" s="7" t="s">
        <v>12495</v>
      </c>
      <c r="F1413" s="7" t="s">
        <v>3792</v>
      </c>
      <c r="G1413" s="7" t="s">
        <v>12496</v>
      </c>
      <c r="H1413" s="7" t="s">
        <v>12497</v>
      </c>
      <c r="I1413" s="119">
        <v>45292.0</v>
      </c>
      <c r="K1413" s="7" t="s">
        <v>419</v>
      </c>
      <c r="L1413" s="7" t="s">
        <v>991</v>
      </c>
      <c r="M1413" s="7" t="s">
        <v>3531</v>
      </c>
      <c r="N1413" s="7" t="s">
        <v>419</v>
      </c>
      <c r="O1413" s="7" t="s">
        <v>19443</v>
      </c>
      <c r="P1413" s="7" t="s">
        <v>323</v>
      </c>
      <c r="Q1413" s="7" t="s">
        <v>324</v>
      </c>
      <c r="T1413" s="7" t="s">
        <v>7948</v>
      </c>
      <c r="U1413" s="7" t="s">
        <v>3493</v>
      </c>
      <c r="V1413" s="7">
        <v>1.0</v>
      </c>
    </row>
    <row r="1414">
      <c r="A1414" s="7" t="s">
        <v>21317</v>
      </c>
      <c r="B1414" s="7">
        <v>2200809.0</v>
      </c>
      <c r="C1414" s="7" t="s">
        <v>12494</v>
      </c>
      <c r="D1414" s="7" t="s">
        <v>12499</v>
      </c>
      <c r="E1414" s="7" t="s">
        <v>12495</v>
      </c>
      <c r="F1414" s="7" t="s">
        <v>3792</v>
      </c>
      <c r="G1414" s="7" t="s">
        <v>12500</v>
      </c>
      <c r="H1414" s="7" t="s">
        <v>12501</v>
      </c>
      <c r="I1414" s="119">
        <v>45292.0</v>
      </c>
      <c r="K1414" s="7" t="s">
        <v>3622</v>
      </c>
      <c r="L1414" s="7" t="s">
        <v>991</v>
      </c>
      <c r="M1414" s="7" t="s">
        <v>4644</v>
      </c>
      <c r="N1414" s="7" t="s">
        <v>3622</v>
      </c>
      <c r="O1414" s="7" t="s">
        <v>3622</v>
      </c>
      <c r="P1414" s="7" t="s">
        <v>19521</v>
      </c>
      <c r="T1414" s="7" t="s">
        <v>3624</v>
      </c>
      <c r="U1414" s="7" t="s">
        <v>420</v>
      </c>
      <c r="V1414" s="7">
        <v>1.0</v>
      </c>
    </row>
    <row r="1415">
      <c r="A1415" s="7" t="s">
        <v>21318</v>
      </c>
      <c r="B1415" s="7">
        <v>14209.0</v>
      </c>
      <c r="C1415" s="7" t="s">
        <v>12494</v>
      </c>
      <c r="D1415" s="7" t="s">
        <v>12503</v>
      </c>
      <c r="E1415" s="7" t="s">
        <v>12495</v>
      </c>
      <c r="F1415" s="7" t="s">
        <v>4002</v>
      </c>
      <c r="G1415" s="7" t="s">
        <v>12504</v>
      </c>
      <c r="H1415" s="7" t="s">
        <v>12505</v>
      </c>
      <c r="I1415" s="119">
        <v>45292.0</v>
      </c>
      <c r="K1415" s="7" t="s">
        <v>419</v>
      </c>
      <c r="L1415" s="7" t="s">
        <v>991</v>
      </c>
      <c r="M1415" s="7" t="s">
        <v>3501</v>
      </c>
      <c r="N1415" s="7" t="s">
        <v>419</v>
      </c>
      <c r="O1415" s="7" t="s">
        <v>19430</v>
      </c>
      <c r="P1415" s="7" t="s">
        <v>717</v>
      </c>
      <c r="Q1415" s="7" t="s">
        <v>223</v>
      </c>
      <c r="R1415" s="7" t="s">
        <v>19764</v>
      </c>
      <c r="S1415" s="7" t="s">
        <v>20036</v>
      </c>
      <c r="T1415" s="7" t="s">
        <v>5756</v>
      </c>
      <c r="U1415" s="7" t="s">
        <v>3493</v>
      </c>
      <c r="V1415" s="7">
        <v>1.0</v>
      </c>
    </row>
    <row r="1416">
      <c r="A1416" s="7" t="s">
        <v>21319</v>
      </c>
      <c r="B1416" s="7">
        <v>2200340.0</v>
      </c>
      <c r="C1416" s="7" t="s">
        <v>12494</v>
      </c>
      <c r="D1416" s="7" t="s">
        <v>12507</v>
      </c>
      <c r="E1416" s="7" t="s">
        <v>12495</v>
      </c>
      <c r="F1416" s="7" t="s">
        <v>12508</v>
      </c>
      <c r="G1416" s="7" t="s">
        <v>12509</v>
      </c>
      <c r="H1416" s="7" t="s">
        <v>12510</v>
      </c>
      <c r="I1416" s="119">
        <v>45292.0</v>
      </c>
      <c r="K1416" s="7" t="s">
        <v>419</v>
      </c>
      <c r="L1416" s="7" t="s">
        <v>991</v>
      </c>
      <c r="M1416" s="7" t="s">
        <v>3501</v>
      </c>
      <c r="N1416" s="7" t="s">
        <v>419</v>
      </c>
      <c r="O1416" s="7" t="s">
        <v>19443</v>
      </c>
      <c r="P1416" s="7" t="s">
        <v>323</v>
      </c>
      <c r="Q1416" s="7" t="s">
        <v>821</v>
      </c>
      <c r="R1416" s="7" t="s">
        <v>20103</v>
      </c>
      <c r="T1416" s="7" t="s">
        <v>20104</v>
      </c>
      <c r="U1416" s="7" t="s">
        <v>3604</v>
      </c>
      <c r="V1416" s="7">
        <v>1.0</v>
      </c>
    </row>
    <row r="1417">
      <c r="A1417" s="7" t="s">
        <v>21320</v>
      </c>
      <c r="B1417" s="7">
        <v>11755.0</v>
      </c>
      <c r="C1417" s="7" t="s">
        <v>12494</v>
      </c>
      <c r="D1417" s="7" t="s">
        <v>12512</v>
      </c>
      <c r="E1417" s="7" t="s">
        <v>12495</v>
      </c>
      <c r="F1417" s="7" t="s">
        <v>12513</v>
      </c>
      <c r="G1417" s="7" t="s">
        <v>12514</v>
      </c>
      <c r="H1417" s="7" t="s">
        <v>12515</v>
      </c>
      <c r="I1417" s="119">
        <v>45292.0</v>
      </c>
      <c r="K1417" s="7" t="s">
        <v>419</v>
      </c>
      <c r="L1417" s="7" t="s">
        <v>991</v>
      </c>
      <c r="M1417" s="7" t="s">
        <v>3501</v>
      </c>
      <c r="N1417" s="7" t="s">
        <v>419</v>
      </c>
      <c r="O1417" s="7" t="s">
        <v>19443</v>
      </c>
      <c r="P1417" s="7" t="s">
        <v>1242</v>
      </c>
      <c r="Q1417" s="7" t="s">
        <v>51</v>
      </c>
      <c r="R1417" s="7" t="s">
        <v>19549</v>
      </c>
      <c r="T1417" s="7" t="s">
        <v>21321</v>
      </c>
      <c r="U1417" s="7" t="s">
        <v>3604</v>
      </c>
      <c r="V1417" s="7">
        <v>1.0</v>
      </c>
    </row>
    <row r="1418">
      <c r="A1418" s="7" t="s">
        <v>21322</v>
      </c>
      <c r="B1418" s="7">
        <v>8514.0</v>
      </c>
      <c r="C1418" s="7" t="s">
        <v>12494</v>
      </c>
      <c r="D1418" s="7" t="s">
        <v>12520</v>
      </c>
      <c r="E1418" s="7" t="s">
        <v>12495</v>
      </c>
      <c r="F1418" s="7" t="s">
        <v>12521</v>
      </c>
      <c r="G1418" s="7" t="s">
        <v>12522</v>
      </c>
      <c r="H1418" s="7" t="s">
        <v>12523</v>
      </c>
      <c r="I1418" s="119">
        <v>45292.0</v>
      </c>
      <c r="K1418" s="7" t="s">
        <v>419</v>
      </c>
      <c r="L1418" s="7" t="s">
        <v>991</v>
      </c>
      <c r="M1418" s="7" t="s">
        <v>3531</v>
      </c>
      <c r="N1418" s="7" t="s">
        <v>419</v>
      </c>
      <c r="O1418" s="7" t="s">
        <v>19430</v>
      </c>
      <c r="P1418" s="7" t="s">
        <v>717</v>
      </c>
      <c r="Q1418" s="7" t="s">
        <v>725</v>
      </c>
      <c r="R1418" s="7" t="s">
        <v>19741</v>
      </c>
      <c r="S1418" s="7" t="s">
        <v>19742</v>
      </c>
      <c r="T1418" s="7" t="s">
        <v>4482</v>
      </c>
      <c r="U1418" s="7" t="s">
        <v>3493</v>
      </c>
      <c r="V1418" s="7">
        <v>1.0</v>
      </c>
    </row>
    <row r="1419">
      <c r="A1419" s="7" t="s">
        <v>21323</v>
      </c>
      <c r="B1419" s="7">
        <v>798.0</v>
      </c>
      <c r="C1419" s="7" t="s">
        <v>12525</v>
      </c>
      <c r="D1419" s="7" t="s">
        <v>12526</v>
      </c>
      <c r="E1419" s="7" t="s">
        <v>12527</v>
      </c>
      <c r="F1419" s="7" t="s">
        <v>8834</v>
      </c>
      <c r="G1419" s="7" t="s">
        <v>12528</v>
      </c>
      <c r="H1419" s="7" t="s">
        <v>12529</v>
      </c>
      <c r="I1419" s="119">
        <v>45292.0</v>
      </c>
      <c r="K1419" s="7" t="s">
        <v>419</v>
      </c>
      <c r="L1419" s="7" t="s">
        <v>991</v>
      </c>
      <c r="M1419" s="7" t="s">
        <v>3501</v>
      </c>
      <c r="N1419" s="7" t="s">
        <v>419</v>
      </c>
      <c r="O1419" s="7" t="s">
        <v>19443</v>
      </c>
      <c r="P1419" s="7" t="s">
        <v>1242</v>
      </c>
      <c r="Q1419" s="7" t="s">
        <v>39</v>
      </c>
      <c r="R1419" s="7" t="s">
        <v>19712</v>
      </c>
      <c r="S1419" s="7" t="s">
        <v>19713</v>
      </c>
      <c r="T1419" s="7" t="s">
        <v>4340</v>
      </c>
      <c r="U1419" s="7" t="s">
        <v>3843</v>
      </c>
      <c r="V1419" s="7">
        <v>1.0</v>
      </c>
    </row>
    <row r="1420">
      <c r="A1420" s="7" t="s">
        <v>21324</v>
      </c>
      <c r="B1420" s="7">
        <v>2100664.0</v>
      </c>
      <c r="C1420" s="7" t="s">
        <v>12531</v>
      </c>
      <c r="D1420" s="7" t="s">
        <v>5881</v>
      </c>
      <c r="E1420" s="7" t="s">
        <v>12532</v>
      </c>
      <c r="F1420" s="7" t="s">
        <v>4546</v>
      </c>
      <c r="G1420" s="7" t="s">
        <v>12533</v>
      </c>
      <c r="H1420" s="7" t="s">
        <v>12534</v>
      </c>
      <c r="I1420" s="119">
        <v>45292.0</v>
      </c>
      <c r="K1420" s="7" t="s">
        <v>5135</v>
      </c>
      <c r="L1420" s="7" t="s">
        <v>3706</v>
      </c>
      <c r="M1420" s="7" t="s">
        <v>3707</v>
      </c>
      <c r="N1420" s="7" t="s">
        <v>419</v>
      </c>
      <c r="O1420" s="7" t="s">
        <v>19433</v>
      </c>
      <c r="P1420" s="7" t="s">
        <v>587</v>
      </c>
      <c r="Q1420" s="7" t="s">
        <v>74</v>
      </c>
      <c r="R1420" s="7" t="s">
        <v>19536</v>
      </c>
      <c r="S1420" s="7" t="s">
        <v>19896</v>
      </c>
      <c r="T1420" s="7" t="s">
        <v>19897</v>
      </c>
      <c r="U1420" s="7" t="s">
        <v>3843</v>
      </c>
      <c r="V1420" s="7">
        <v>1.0</v>
      </c>
    </row>
    <row r="1421">
      <c r="A1421" s="7" t="s">
        <v>21325</v>
      </c>
      <c r="B1421" s="7">
        <v>2200780.0</v>
      </c>
      <c r="C1421" s="7" t="s">
        <v>12537</v>
      </c>
      <c r="D1421" s="7" t="s">
        <v>12538</v>
      </c>
      <c r="E1421" s="7" t="s">
        <v>12539</v>
      </c>
      <c r="F1421" s="7" t="s">
        <v>9819</v>
      </c>
      <c r="G1421" s="7" t="s">
        <v>12540</v>
      </c>
      <c r="H1421" s="7" t="s">
        <v>12541</v>
      </c>
      <c r="I1421" s="119">
        <v>45292.0</v>
      </c>
      <c r="K1421" s="7" t="s">
        <v>3632</v>
      </c>
      <c r="L1421" s="7" t="s">
        <v>991</v>
      </c>
      <c r="M1421" s="7" t="s">
        <v>3501</v>
      </c>
      <c r="N1421" s="7" t="s">
        <v>3632</v>
      </c>
      <c r="O1421" s="7" t="s">
        <v>3632</v>
      </c>
      <c r="P1421" s="7" t="s">
        <v>625</v>
      </c>
      <c r="Q1421" s="7" t="s">
        <v>118</v>
      </c>
      <c r="R1421" s="7" t="s">
        <v>20076</v>
      </c>
      <c r="T1421" s="7" t="s">
        <v>6924</v>
      </c>
      <c r="U1421" s="7" t="s">
        <v>3493</v>
      </c>
      <c r="V1421" s="7">
        <v>1.0</v>
      </c>
    </row>
    <row r="1422">
      <c r="A1422" s="7" t="s">
        <v>21326</v>
      </c>
      <c r="B1422" s="7">
        <v>2200224.0</v>
      </c>
      <c r="C1422" s="7" t="s">
        <v>12537</v>
      </c>
      <c r="D1422" s="7" t="s">
        <v>12544</v>
      </c>
      <c r="E1422" s="7" t="s">
        <v>12539</v>
      </c>
      <c r="F1422" s="7" t="s">
        <v>12545</v>
      </c>
      <c r="G1422" s="7" t="s">
        <v>12546</v>
      </c>
      <c r="H1422" s="7" t="s">
        <v>12547</v>
      </c>
      <c r="I1422" s="119">
        <v>45292.0</v>
      </c>
      <c r="K1422" s="7" t="s">
        <v>419</v>
      </c>
      <c r="L1422" s="7" t="s">
        <v>991</v>
      </c>
      <c r="M1422" s="7" t="s">
        <v>3501</v>
      </c>
      <c r="N1422" s="7" t="s">
        <v>419</v>
      </c>
      <c r="O1422" s="7" t="s">
        <v>19443</v>
      </c>
      <c r="P1422" s="7" t="s">
        <v>1242</v>
      </c>
      <c r="Q1422" s="7" t="s">
        <v>51</v>
      </c>
      <c r="R1422" s="7" t="s">
        <v>19574</v>
      </c>
      <c r="T1422" s="7" t="s">
        <v>10802</v>
      </c>
      <c r="U1422" s="7" t="s">
        <v>3493</v>
      </c>
      <c r="V1422" s="7">
        <v>1.0</v>
      </c>
    </row>
    <row r="1423">
      <c r="A1423" s="7" t="s">
        <v>21327</v>
      </c>
      <c r="B1423" s="7">
        <v>112.0</v>
      </c>
      <c r="C1423" s="7" t="s">
        <v>12537</v>
      </c>
      <c r="D1423" s="7" t="s">
        <v>6749</v>
      </c>
      <c r="E1423" s="7" t="s">
        <v>12539</v>
      </c>
      <c r="F1423" s="7" t="s">
        <v>6750</v>
      </c>
      <c r="G1423" s="7" t="s">
        <v>12549</v>
      </c>
      <c r="H1423" s="7" t="s">
        <v>12550</v>
      </c>
      <c r="I1423" s="119">
        <v>45292.0</v>
      </c>
      <c r="K1423" s="7" t="s">
        <v>419</v>
      </c>
      <c r="L1423" s="7" t="s">
        <v>991</v>
      </c>
      <c r="M1423" s="7" t="s">
        <v>3501</v>
      </c>
      <c r="N1423" s="7" t="s">
        <v>419</v>
      </c>
      <c r="O1423" s="7" t="s">
        <v>19437</v>
      </c>
      <c r="P1423" s="7" t="s">
        <v>440</v>
      </c>
      <c r="Q1423" s="7" t="s">
        <v>443</v>
      </c>
      <c r="R1423" s="7" t="s">
        <v>20416</v>
      </c>
      <c r="T1423" s="7" t="s">
        <v>7677</v>
      </c>
      <c r="U1423" s="7" t="s">
        <v>3604</v>
      </c>
      <c r="V1423" s="7">
        <v>1.0</v>
      </c>
    </row>
    <row r="1424">
      <c r="A1424" s="7" t="s">
        <v>21328</v>
      </c>
      <c r="B1424" s="7">
        <v>594.0</v>
      </c>
      <c r="C1424" s="7" t="s">
        <v>12537</v>
      </c>
      <c r="D1424" s="7" t="s">
        <v>12553</v>
      </c>
      <c r="E1424" s="7" t="s">
        <v>12539</v>
      </c>
      <c r="F1424" s="7" t="s">
        <v>12553</v>
      </c>
      <c r="G1424" s="7" t="s">
        <v>12554</v>
      </c>
      <c r="H1424" s="7" t="s">
        <v>12555</v>
      </c>
      <c r="I1424" s="119">
        <v>45292.0</v>
      </c>
      <c r="K1424" s="7" t="s">
        <v>419</v>
      </c>
      <c r="L1424" s="7" t="s">
        <v>991</v>
      </c>
      <c r="M1424" s="7" t="s">
        <v>3501</v>
      </c>
      <c r="N1424" s="7" t="s">
        <v>419</v>
      </c>
      <c r="O1424" s="7" t="s">
        <v>19437</v>
      </c>
      <c r="P1424" s="7" t="s">
        <v>440</v>
      </c>
      <c r="Q1424" s="7" t="s">
        <v>443</v>
      </c>
      <c r="R1424" s="7" t="s">
        <v>20435</v>
      </c>
      <c r="S1424" s="7" t="s">
        <v>20436</v>
      </c>
      <c r="T1424" s="7" t="s">
        <v>8440</v>
      </c>
      <c r="U1424" s="7" t="s">
        <v>3493</v>
      </c>
      <c r="V1424" s="7">
        <v>1.0</v>
      </c>
    </row>
    <row r="1425">
      <c r="A1425" s="7" t="s">
        <v>21329</v>
      </c>
      <c r="B1425" s="7">
        <v>13894.0</v>
      </c>
      <c r="C1425" s="7" t="s">
        <v>12537</v>
      </c>
      <c r="D1425" s="7" t="s">
        <v>12557</v>
      </c>
      <c r="E1425" s="7" t="s">
        <v>12539</v>
      </c>
      <c r="F1425" s="7" t="s">
        <v>12558</v>
      </c>
      <c r="G1425" s="7" t="s">
        <v>12559</v>
      </c>
      <c r="H1425" s="7" t="s">
        <v>12560</v>
      </c>
      <c r="I1425" s="119">
        <v>45292.0</v>
      </c>
      <c r="K1425" s="7" t="s">
        <v>419</v>
      </c>
      <c r="L1425" s="7" t="s">
        <v>991</v>
      </c>
      <c r="M1425" s="7" t="s">
        <v>3531</v>
      </c>
      <c r="N1425" s="7" t="s">
        <v>419</v>
      </c>
      <c r="O1425" s="7" t="s">
        <v>19443</v>
      </c>
      <c r="P1425" s="7" t="s">
        <v>323</v>
      </c>
      <c r="Q1425" s="7" t="s">
        <v>324</v>
      </c>
      <c r="R1425" s="7" t="s">
        <v>19599</v>
      </c>
      <c r="T1425" s="7" t="s">
        <v>3921</v>
      </c>
      <c r="U1425" s="7" t="s">
        <v>3493</v>
      </c>
      <c r="V1425" s="7">
        <v>1.0</v>
      </c>
    </row>
    <row r="1426">
      <c r="A1426" s="7" t="s">
        <v>21330</v>
      </c>
      <c r="B1426" s="7">
        <v>1187.0</v>
      </c>
      <c r="C1426" s="7" t="s">
        <v>12562</v>
      </c>
      <c r="D1426" s="7" t="s">
        <v>3516</v>
      </c>
      <c r="E1426" s="7" t="s">
        <v>12563</v>
      </c>
      <c r="F1426" s="7" t="s">
        <v>3517</v>
      </c>
      <c r="G1426" s="7" t="s">
        <v>12564</v>
      </c>
      <c r="H1426" s="7" t="s">
        <v>12565</v>
      </c>
      <c r="I1426" s="119">
        <v>45292.0</v>
      </c>
      <c r="K1426" s="7" t="s">
        <v>419</v>
      </c>
      <c r="L1426" s="7" t="s">
        <v>991</v>
      </c>
      <c r="M1426" s="7" t="s">
        <v>3501</v>
      </c>
      <c r="N1426" s="7" t="s">
        <v>419</v>
      </c>
      <c r="O1426" s="7" t="s">
        <v>19430</v>
      </c>
      <c r="P1426" s="7" t="s">
        <v>717</v>
      </c>
      <c r="Q1426" s="7" t="s">
        <v>722</v>
      </c>
      <c r="R1426" s="7" t="s">
        <v>19863</v>
      </c>
      <c r="S1426" s="7" t="s">
        <v>19869</v>
      </c>
      <c r="T1426" s="7" t="s">
        <v>4980</v>
      </c>
      <c r="U1426" s="7" t="s">
        <v>3843</v>
      </c>
      <c r="V1426" s="7">
        <v>1.0</v>
      </c>
    </row>
    <row r="1427">
      <c r="A1427" s="7" t="s">
        <v>21331</v>
      </c>
      <c r="B1427" s="7">
        <v>12780.0</v>
      </c>
      <c r="C1427" s="7" t="s">
        <v>12567</v>
      </c>
      <c r="D1427" s="7" t="s">
        <v>5777</v>
      </c>
      <c r="E1427" s="7" t="s">
        <v>12568</v>
      </c>
      <c r="F1427" s="7" t="s">
        <v>4032</v>
      </c>
      <c r="G1427" s="7" t="s">
        <v>12569</v>
      </c>
      <c r="H1427" s="7" t="s">
        <v>12570</v>
      </c>
      <c r="I1427" s="119">
        <v>45292.0</v>
      </c>
      <c r="K1427" s="7" t="s">
        <v>419</v>
      </c>
      <c r="L1427" s="7" t="s">
        <v>991</v>
      </c>
      <c r="M1427" s="7" t="s">
        <v>3501</v>
      </c>
      <c r="N1427" s="7" t="s">
        <v>419</v>
      </c>
      <c r="O1427" s="7" t="s">
        <v>19443</v>
      </c>
      <c r="P1427" s="7" t="s">
        <v>1242</v>
      </c>
      <c r="Q1427" s="7" t="s">
        <v>51</v>
      </c>
      <c r="R1427" s="7" t="s">
        <v>19597</v>
      </c>
      <c r="S1427" s="7" t="s">
        <v>19598</v>
      </c>
      <c r="T1427" s="7" t="s">
        <v>3913</v>
      </c>
      <c r="U1427" s="7" t="s">
        <v>3493</v>
      </c>
      <c r="V1427" s="7">
        <v>1.0</v>
      </c>
    </row>
    <row r="1428">
      <c r="A1428" s="7" t="s">
        <v>21332</v>
      </c>
      <c r="B1428" s="7">
        <v>102.0</v>
      </c>
      <c r="C1428" s="7" t="s">
        <v>12572</v>
      </c>
      <c r="D1428" s="7" t="s">
        <v>10076</v>
      </c>
      <c r="E1428" s="7" t="s">
        <v>12573</v>
      </c>
      <c r="F1428" s="7" t="s">
        <v>6811</v>
      </c>
      <c r="G1428" s="7" t="s">
        <v>12574</v>
      </c>
      <c r="H1428" s="7" t="s">
        <v>12575</v>
      </c>
      <c r="I1428" s="119">
        <v>45292.0</v>
      </c>
      <c r="K1428" s="7" t="s">
        <v>419</v>
      </c>
      <c r="L1428" s="7" t="s">
        <v>991</v>
      </c>
      <c r="M1428" s="7" t="s">
        <v>3501</v>
      </c>
      <c r="N1428" s="7" t="s">
        <v>419</v>
      </c>
      <c r="O1428" s="7" t="s">
        <v>19430</v>
      </c>
      <c r="P1428" s="7" t="s">
        <v>717</v>
      </c>
      <c r="Q1428" s="7" t="s">
        <v>720</v>
      </c>
      <c r="R1428" s="7" t="s">
        <v>19542</v>
      </c>
      <c r="S1428" s="7" t="s">
        <v>19659</v>
      </c>
      <c r="T1428" s="7" t="s">
        <v>4606</v>
      </c>
      <c r="U1428" s="7" t="s">
        <v>3493</v>
      </c>
      <c r="V1428" s="7">
        <v>1.0</v>
      </c>
    </row>
    <row r="1429">
      <c r="A1429" s="7" t="s">
        <v>21333</v>
      </c>
      <c r="B1429" s="7">
        <v>2300025.0</v>
      </c>
      <c r="C1429" s="7" t="s">
        <v>12577</v>
      </c>
      <c r="D1429" s="7" t="s">
        <v>12578</v>
      </c>
      <c r="E1429" s="7" t="s">
        <v>12579</v>
      </c>
      <c r="F1429" s="7" t="s">
        <v>8668</v>
      </c>
      <c r="G1429" s="7" t="s">
        <v>12580</v>
      </c>
      <c r="H1429" s="7" t="s">
        <v>12581</v>
      </c>
      <c r="I1429" s="119">
        <v>45292.0</v>
      </c>
      <c r="K1429" s="7" t="s">
        <v>419</v>
      </c>
      <c r="L1429" s="7" t="s">
        <v>991</v>
      </c>
      <c r="M1429" s="7" t="s">
        <v>3531</v>
      </c>
      <c r="N1429" s="7" t="s">
        <v>419</v>
      </c>
      <c r="O1429" s="7" t="s">
        <v>19432</v>
      </c>
      <c r="P1429" s="7" t="s">
        <v>693</v>
      </c>
      <c r="Q1429" s="7" t="s">
        <v>698</v>
      </c>
      <c r="R1429" s="7" t="s">
        <v>20444</v>
      </c>
      <c r="S1429" s="7" t="s">
        <v>20860</v>
      </c>
      <c r="T1429" s="7" t="s">
        <v>9954</v>
      </c>
      <c r="U1429" s="7" t="s">
        <v>3493</v>
      </c>
      <c r="V1429" s="7">
        <v>1.0</v>
      </c>
    </row>
    <row r="1430">
      <c r="A1430" s="7" t="s">
        <v>21334</v>
      </c>
      <c r="B1430" s="7">
        <v>14189.0</v>
      </c>
      <c r="C1430" s="7" t="s">
        <v>12583</v>
      </c>
      <c r="D1430" s="7" t="s">
        <v>12584</v>
      </c>
      <c r="E1430" s="7" t="s">
        <v>12585</v>
      </c>
      <c r="F1430" s="7" t="s">
        <v>9649</v>
      </c>
      <c r="G1430" s="7" t="s">
        <v>12586</v>
      </c>
      <c r="H1430" s="7" t="s">
        <v>12587</v>
      </c>
      <c r="I1430" s="119">
        <v>45292.0</v>
      </c>
      <c r="K1430" s="7" t="s">
        <v>3885</v>
      </c>
      <c r="L1430" s="7" t="s">
        <v>3542</v>
      </c>
      <c r="M1430" s="7" t="s">
        <v>3543</v>
      </c>
      <c r="N1430" s="7" t="s">
        <v>419</v>
      </c>
      <c r="O1430" s="7" t="s">
        <v>19438</v>
      </c>
      <c r="P1430" s="7" t="s">
        <v>19465</v>
      </c>
      <c r="Q1430" s="7" t="s">
        <v>186</v>
      </c>
      <c r="R1430" s="7" t="s">
        <v>21335</v>
      </c>
      <c r="T1430" s="7" t="s">
        <v>15257</v>
      </c>
      <c r="U1430" s="7" t="s">
        <v>3493</v>
      </c>
      <c r="V1430" s="7">
        <v>1.0</v>
      </c>
    </row>
    <row r="1431">
      <c r="A1431" s="7" t="s">
        <v>21336</v>
      </c>
      <c r="B1431" s="7">
        <v>2300186.0</v>
      </c>
      <c r="C1431" s="7" t="s">
        <v>12591</v>
      </c>
      <c r="D1431" s="7" t="s">
        <v>12592</v>
      </c>
      <c r="E1431" s="7" t="s">
        <v>12593</v>
      </c>
      <c r="F1431" s="7" t="s">
        <v>3792</v>
      </c>
      <c r="G1431" s="7" t="s">
        <v>12594</v>
      </c>
      <c r="H1431" s="7" t="s">
        <v>12595</v>
      </c>
      <c r="I1431" s="119">
        <v>45292.0</v>
      </c>
      <c r="K1431" s="7" t="s">
        <v>4042</v>
      </c>
      <c r="L1431" s="7" t="s">
        <v>991</v>
      </c>
      <c r="M1431" s="7" t="s">
        <v>3501</v>
      </c>
      <c r="N1431" s="7" t="s">
        <v>4042</v>
      </c>
      <c r="O1431" s="7" t="s">
        <v>4042</v>
      </c>
      <c r="P1431" s="7" t="s">
        <v>19632</v>
      </c>
      <c r="T1431" s="7" t="s">
        <v>4044</v>
      </c>
      <c r="U1431" s="7" t="s">
        <v>3493</v>
      </c>
      <c r="V1431" s="7">
        <v>1.0</v>
      </c>
    </row>
    <row r="1432">
      <c r="A1432" s="7" t="s">
        <v>21337</v>
      </c>
      <c r="B1432" s="7">
        <v>11708.0</v>
      </c>
      <c r="C1432" s="7" t="s">
        <v>12597</v>
      </c>
      <c r="D1432" s="7" t="s">
        <v>11320</v>
      </c>
      <c r="E1432" s="7" t="s">
        <v>12598</v>
      </c>
      <c r="F1432" s="7" t="s">
        <v>3609</v>
      </c>
      <c r="G1432" s="7" t="s">
        <v>12599</v>
      </c>
      <c r="H1432" s="7" t="s">
        <v>12600</v>
      </c>
      <c r="I1432" s="119">
        <v>45292.0</v>
      </c>
      <c r="K1432" s="7" t="s">
        <v>419</v>
      </c>
      <c r="L1432" s="7" t="s">
        <v>991</v>
      </c>
      <c r="M1432" s="7" t="s">
        <v>3501</v>
      </c>
      <c r="N1432" s="7" t="s">
        <v>419</v>
      </c>
      <c r="O1432" s="7" t="s">
        <v>19432</v>
      </c>
      <c r="P1432" s="7" t="s">
        <v>298</v>
      </c>
      <c r="Q1432" s="7" t="s">
        <v>802</v>
      </c>
      <c r="R1432" s="7" t="s">
        <v>21338</v>
      </c>
      <c r="T1432" s="7" t="s">
        <v>12602</v>
      </c>
      <c r="U1432" s="7" t="s">
        <v>3604</v>
      </c>
      <c r="V1432" s="7">
        <v>1.0</v>
      </c>
    </row>
    <row r="1433">
      <c r="A1433" s="7" t="s">
        <v>1659</v>
      </c>
      <c r="B1433" s="7">
        <v>532.0</v>
      </c>
      <c r="C1433" s="7" t="s">
        <v>12603</v>
      </c>
      <c r="D1433" s="7" t="s">
        <v>12604</v>
      </c>
      <c r="E1433" s="7" t="s">
        <v>12605</v>
      </c>
      <c r="F1433" s="7" t="s">
        <v>12606</v>
      </c>
      <c r="G1433" s="7" t="s">
        <v>12607</v>
      </c>
      <c r="H1433" s="7" t="s">
        <v>12608</v>
      </c>
      <c r="I1433" s="119">
        <v>45292.0</v>
      </c>
      <c r="K1433" s="7" t="s">
        <v>419</v>
      </c>
      <c r="L1433" s="7" t="s">
        <v>991</v>
      </c>
      <c r="M1433" s="7" t="s">
        <v>3501</v>
      </c>
      <c r="N1433" s="7" t="s">
        <v>419</v>
      </c>
      <c r="O1433" s="7" t="s">
        <v>19432</v>
      </c>
      <c r="P1433" s="7" t="s">
        <v>391</v>
      </c>
      <c r="Q1433" s="7" t="s">
        <v>890</v>
      </c>
      <c r="T1433" s="7" t="s">
        <v>19445</v>
      </c>
      <c r="U1433" s="7" t="s">
        <v>3493</v>
      </c>
      <c r="V1433" s="7">
        <v>1.0</v>
      </c>
    </row>
    <row r="1434">
      <c r="A1434" s="7" t="s">
        <v>1406</v>
      </c>
      <c r="B1434" s="7">
        <v>12253.0</v>
      </c>
      <c r="C1434" s="7" t="s">
        <v>12610</v>
      </c>
      <c r="D1434" s="7" t="s">
        <v>8442</v>
      </c>
      <c r="E1434" s="7" t="s">
        <v>12611</v>
      </c>
      <c r="F1434" s="7" t="s">
        <v>4929</v>
      </c>
      <c r="G1434" s="7" t="s">
        <v>12612</v>
      </c>
      <c r="H1434" s="7" t="s">
        <v>12613</v>
      </c>
      <c r="I1434" s="119">
        <v>45292.0</v>
      </c>
      <c r="K1434" s="7" t="s">
        <v>419</v>
      </c>
      <c r="L1434" s="7" t="s">
        <v>991</v>
      </c>
      <c r="M1434" s="7" t="s">
        <v>3501</v>
      </c>
      <c r="N1434" s="7" t="s">
        <v>419</v>
      </c>
      <c r="O1434" s="7" t="s">
        <v>19437</v>
      </c>
      <c r="P1434" s="7" t="s">
        <v>440</v>
      </c>
      <c r="Q1434" s="7" t="s">
        <v>441</v>
      </c>
      <c r="R1434" s="7" t="s">
        <v>19669</v>
      </c>
      <c r="S1434" s="7" t="s">
        <v>20952</v>
      </c>
      <c r="T1434" s="7" t="s">
        <v>20953</v>
      </c>
      <c r="U1434" s="7" t="s">
        <v>3843</v>
      </c>
      <c r="V1434" s="7">
        <v>1.0</v>
      </c>
    </row>
    <row r="1435">
      <c r="A1435" s="7" t="s">
        <v>21339</v>
      </c>
      <c r="B1435" s="7">
        <v>13178.0</v>
      </c>
      <c r="C1435" s="7" t="s">
        <v>12616</v>
      </c>
      <c r="D1435" s="7" t="s">
        <v>12617</v>
      </c>
      <c r="E1435" s="7" t="s">
        <v>12618</v>
      </c>
      <c r="F1435" s="7" t="s">
        <v>10657</v>
      </c>
      <c r="G1435" s="7" t="s">
        <v>12619</v>
      </c>
      <c r="H1435" s="7" t="s">
        <v>12620</v>
      </c>
      <c r="I1435" s="119">
        <v>45292.0</v>
      </c>
      <c r="K1435" s="7" t="s">
        <v>419</v>
      </c>
      <c r="L1435" s="7" t="s">
        <v>991</v>
      </c>
      <c r="M1435" s="7" t="s">
        <v>3501</v>
      </c>
      <c r="N1435" s="7" t="s">
        <v>419</v>
      </c>
      <c r="O1435" s="7" t="s">
        <v>19440</v>
      </c>
      <c r="P1435" s="7" t="s">
        <v>3</v>
      </c>
      <c r="Q1435" s="7" t="s">
        <v>9</v>
      </c>
      <c r="R1435" s="7" t="s">
        <v>20413</v>
      </c>
      <c r="S1435" s="7" t="s">
        <v>21114</v>
      </c>
      <c r="T1435" s="7" t="s">
        <v>12621</v>
      </c>
      <c r="U1435" s="7" t="s">
        <v>3843</v>
      </c>
      <c r="V1435" s="7">
        <v>1.0</v>
      </c>
    </row>
    <row r="1436">
      <c r="A1436" s="7" t="s">
        <v>21340</v>
      </c>
      <c r="B1436" s="7">
        <v>12643.0</v>
      </c>
      <c r="C1436" s="7" t="s">
        <v>12623</v>
      </c>
      <c r="D1436" s="7" t="s">
        <v>12624</v>
      </c>
      <c r="E1436" s="7" t="s">
        <v>12625</v>
      </c>
      <c r="F1436" s="7" t="s">
        <v>10607</v>
      </c>
      <c r="G1436" s="7" t="s">
        <v>12626</v>
      </c>
      <c r="H1436" s="7" t="s">
        <v>12627</v>
      </c>
      <c r="I1436" s="119">
        <v>45292.0</v>
      </c>
      <c r="K1436" s="7" t="s">
        <v>419</v>
      </c>
      <c r="L1436" s="7" t="s">
        <v>991</v>
      </c>
      <c r="M1436" s="7" t="s">
        <v>3501</v>
      </c>
      <c r="N1436" s="7" t="s">
        <v>419</v>
      </c>
      <c r="O1436" s="7" t="s">
        <v>19432</v>
      </c>
      <c r="P1436" s="7" t="s">
        <v>391</v>
      </c>
      <c r="Q1436" s="7" t="s">
        <v>399</v>
      </c>
      <c r="R1436" s="7" t="s">
        <v>19508</v>
      </c>
      <c r="T1436" s="7" t="s">
        <v>7225</v>
      </c>
      <c r="U1436" s="7" t="s">
        <v>3493</v>
      </c>
      <c r="V1436" s="7">
        <v>1.0</v>
      </c>
    </row>
    <row r="1437">
      <c r="A1437" s="7" t="s">
        <v>21341</v>
      </c>
      <c r="B1437" s="7">
        <v>13650.0</v>
      </c>
      <c r="C1437" s="7" t="s">
        <v>12623</v>
      </c>
      <c r="D1437" s="7" t="s">
        <v>5153</v>
      </c>
      <c r="E1437" s="7" t="s">
        <v>12625</v>
      </c>
      <c r="F1437" s="7" t="s">
        <v>5155</v>
      </c>
      <c r="G1437" s="7" t="s">
        <v>12630</v>
      </c>
      <c r="H1437" s="7" t="s">
        <v>12631</v>
      </c>
      <c r="I1437" s="119">
        <v>45292.0</v>
      </c>
      <c r="K1437" s="7" t="s">
        <v>3632</v>
      </c>
      <c r="L1437" s="7" t="s">
        <v>991</v>
      </c>
      <c r="M1437" s="7" t="s">
        <v>3501</v>
      </c>
      <c r="N1437" s="7" t="s">
        <v>3632</v>
      </c>
      <c r="O1437" s="7" t="s">
        <v>3632</v>
      </c>
      <c r="P1437" s="7" t="s">
        <v>3463</v>
      </c>
      <c r="Q1437" s="7" t="s">
        <v>356</v>
      </c>
      <c r="R1437" s="7" t="s">
        <v>19880</v>
      </c>
      <c r="T1437" s="7" t="s">
        <v>5038</v>
      </c>
      <c r="U1437" s="7" t="s">
        <v>3604</v>
      </c>
      <c r="V1437" s="7">
        <v>1.0</v>
      </c>
    </row>
    <row r="1438">
      <c r="A1438" s="7" t="s">
        <v>21342</v>
      </c>
      <c r="B1438" s="7">
        <v>2300391.0</v>
      </c>
      <c r="C1438" s="7" t="s">
        <v>12623</v>
      </c>
      <c r="D1438" s="7" t="s">
        <v>12634</v>
      </c>
      <c r="E1438" s="7" t="s">
        <v>12625</v>
      </c>
      <c r="F1438" s="7" t="s">
        <v>10160</v>
      </c>
      <c r="G1438" s="7" t="s">
        <v>12635</v>
      </c>
      <c r="H1438" s="7" t="s">
        <v>12636</v>
      </c>
      <c r="I1438" s="119">
        <v>45292.0</v>
      </c>
      <c r="K1438" s="7" t="s">
        <v>419</v>
      </c>
      <c r="L1438" s="7" t="s">
        <v>991</v>
      </c>
      <c r="M1438" s="7" t="s">
        <v>3501</v>
      </c>
      <c r="N1438" s="7" t="s">
        <v>419</v>
      </c>
      <c r="O1438" s="7" t="s">
        <v>19430</v>
      </c>
      <c r="P1438" s="7" t="s">
        <v>780</v>
      </c>
      <c r="Q1438" s="7" t="s">
        <v>284</v>
      </c>
      <c r="R1438" s="7" t="s">
        <v>19554</v>
      </c>
      <c r="T1438" s="7" t="s">
        <v>5454</v>
      </c>
      <c r="U1438" s="7" t="s">
        <v>3493</v>
      </c>
      <c r="V1438" s="7">
        <v>1.0</v>
      </c>
    </row>
    <row r="1439">
      <c r="A1439" s="7" t="s">
        <v>21343</v>
      </c>
      <c r="B1439" s="7">
        <v>10027.0</v>
      </c>
      <c r="C1439" s="7" t="s">
        <v>12638</v>
      </c>
      <c r="D1439" s="7" t="s">
        <v>12639</v>
      </c>
      <c r="E1439" s="7" t="s">
        <v>12640</v>
      </c>
      <c r="F1439" s="7" t="s">
        <v>3692</v>
      </c>
      <c r="G1439" s="7" t="s">
        <v>12641</v>
      </c>
      <c r="H1439" s="7" t="s">
        <v>12642</v>
      </c>
      <c r="I1439" s="119">
        <v>45292.0</v>
      </c>
      <c r="K1439" s="7" t="s">
        <v>419</v>
      </c>
      <c r="L1439" s="7" t="s">
        <v>991</v>
      </c>
      <c r="M1439" s="7" t="s">
        <v>3501</v>
      </c>
      <c r="N1439" s="7" t="s">
        <v>419</v>
      </c>
      <c r="O1439" s="7" t="s">
        <v>19443</v>
      </c>
      <c r="P1439" s="7" t="s">
        <v>323</v>
      </c>
      <c r="Q1439" s="7" t="s">
        <v>824</v>
      </c>
      <c r="R1439" s="7" t="s">
        <v>20541</v>
      </c>
      <c r="T1439" s="7" t="s">
        <v>20542</v>
      </c>
      <c r="U1439" s="7" t="s">
        <v>3604</v>
      </c>
      <c r="V1439" s="7">
        <v>1.0</v>
      </c>
    </row>
    <row r="1440">
      <c r="A1440" s="7" t="s">
        <v>21344</v>
      </c>
      <c r="B1440" s="7">
        <v>2200225.0</v>
      </c>
      <c r="C1440" s="7" t="s">
        <v>12644</v>
      </c>
      <c r="D1440" s="7" t="s">
        <v>12645</v>
      </c>
      <c r="E1440" s="7" t="s">
        <v>12646</v>
      </c>
      <c r="F1440" s="7" t="s">
        <v>12086</v>
      </c>
      <c r="G1440" s="7" t="s">
        <v>12647</v>
      </c>
      <c r="H1440" s="7" t="s">
        <v>12648</v>
      </c>
      <c r="I1440" s="119">
        <v>45292.0</v>
      </c>
      <c r="K1440" s="7" t="s">
        <v>419</v>
      </c>
      <c r="L1440" s="7" t="s">
        <v>991</v>
      </c>
      <c r="M1440" s="7" t="s">
        <v>3501</v>
      </c>
      <c r="N1440" s="7" t="s">
        <v>419</v>
      </c>
      <c r="O1440" s="7" t="s">
        <v>19430</v>
      </c>
      <c r="P1440" s="7" t="s">
        <v>717</v>
      </c>
      <c r="Q1440" s="7" t="s">
        <v>251</v>
      </c>
      <c r="R1440" s="7" t="s">
        <v>19530</v>
      </c>
      <c r="S1440" s="7" t="s">
        <v>21345</v>
      </c>
      <c r="T1440" s="7" t="s">
        <v>12650</v>
      </c>
      <c r="U1440" s="7" t="s">
        <v>3493</v>
      </c>
      <c r="V1440" s="7">
        <v>1.0</v>
      </c>
    </row>
    <row r="1441">
      <c r="A1441" s="7" t="s">
        <v>21346</v>
      </c>
      <c r="B1441" s="7">
        <v>2100638.0</v>
      </c>
      <c r="C1441" s="7" t="s">
        <v>12652</v>
      </c>
      <c r="D1441" s="7" t="s">
        <v>12653</v>
      </c>
      <c r="E1441" s="7" t="s">
        <v>12654</v>
      </c>
      <c r="F1441" s="7" t="s">
        <v>12201</v>
      </c>
      <c r="G1441" s="7" t="s">
        <v>12655</v>
      </c>
      <c r="H1441" s="7" t="s">
        <v>12656</v>
      </c>
      <c r="I1441" s="119">
        <v>45292.0</v>
      </c>
      <c r="K1441" s="7" t="s">
        <v>419</v>
      </c>
      <c r="L1441" s="7" t="s">
        <v>991</v>
      </c>
      <c r="M1441" s="7" t="s">
        <v>3501</v>
      </c>
      <c r="N1441" s="7" t="s">
        <v>419</v>
      </c>
      <c r="O1441" s="7" t="s">
        <v>19437</v>
      </c>
      <c r="P1441" s="7" t="s">
        <v>603</v>
      </c>
      <c r="Q1441" s="7" t="s">
        <v>90</v>
      </c>
      <c r="R1441" s="7" t="s">
        <v>19690</v>
      </c>
      <c r="S1441" s="7" t="s">
        <v>19691</v>
      </c>
      <c r="T1441" s="7" t="s">
        <v>4266</v>
      </c>
      <c r="U1441" s="7" t="s">
        <v>3493</v>
      </c>
      <c r="V1441" s="7">
        <v>1.0</v>
      </c>
    </row>
    <row r="1442">
      <c r="A1442" s="7" t="s">
        <v>21347</v>
      </c>
      <c r="B1442" s="7">
        <v>2300711.0</v>
      </c>
      <c r="C1442" s="7" t="s">
        <v>12652</v>
      </c>
      <c r="D1442" s="7" t="s">
        <v>5758</v>
      </c>
      <c r="E1442" s="7" t="s">
        <v>12654</v>
      </c>
      <c r="F1442" s="7" t="s">
        <v>5759</v>
      </c>
      <c r="G1442" s="7" t="s">
        <v>12658</v>
      </c>
      <c r="H1442" s="7" t="s">
        <v>12659</v>
      </c>
      <c r="I1442" s="119">
        <v>45292.0</v>
      </c>
      <c r="K1442" s="7" t="s">
        <v>419</v>
      </c>
      <c r="L1442" s="7" t="s">
        <v>991</v>
      </c>
      <c r="M1442" s="7" t="s">
        <v>3866</v>
      </c>
      <c r="N1442" s="7" t="s">
        <v>419</v>
      </c>
      <c r="O1442" s="7" t="s">
        <v>19443</v>
      </c>
      <c r="P1442" s="7" t="s">
        <v>323</v>
      </c>
      <c r="Q1442" s="7" t="s">
        <v>824</v>
      </c>
      <c r="R1442" s="7" t="s">
        <v>19771</v>
      </c>
      <c r="T1442" s="7" t="s">
        <v>12660</v>
      </c>
      <c r="U1442" s="7" t="s">
        <v>3493</v>
      </c>
      <c r="V1442" s="7">
        <v>1.0</v>
      </c>
    </row>
    <row r="1443">
      <c r="A1443" s="7" t="s">
        <v>21348</v>
      </c>
      <c r="B1443" s="7">
        <v>1083.0</v>
      </c>
      <c r="C1443" s="7" t="s">
        <v>12652</v>
      </c>
      <c r="D1443" s="7" t="s">
        <v>12662</v>
      </c>
      <c r="E1443" s="7" t="s">
        <v>12654</v>
      </c>
      <c r="F1443" s="7" t="s">
        <v>4371</v>
      </c>
      <c r="G1443" s="7" t="s">
        <v>12663</v>
      </c>
      <c r="H1443" s="7" t="s">
        <v>12664</v>
      </c>
      <c r="I1443" s="119">
        <v>45292.0</v>
      </c>
      <c r="K1443" s="7" t="s">
        <v>419</v>
      </c>
      <c r="L1443" s="7" t="s">
        <v>991</v>
      </c>
      <c r="M1443" s="7" t="s">
        <v>3501</v>
      </c>
      <c r="N1443" s="7" t="s">
        <v>419</v>
      </c>
      <c r="O1443" s="7" t="s">
        <v>19430</v>
      </c>
      <c r="P1443" s="7" t="s">
        <v>717</v>
      </c>
      <c r="Q1443" s="7" t="s">
        <v>251</v>
      </c>
      <c r="R1443" s="7" t="s">
        <v>19530</v>
      </c>
      <c r="T1443" s="7" t="s">
        <v>12666</v>
      </c>
      <c r="U1443" s="7" t="s">
        <v>3604</v>
      </c>
      <c r="V1443" s="7">
        <v>1.0</v>
      </c>
    </row>
    <row r="1444">
      <c r="A1444" s="7" t="s">
        <v>21349</v>
      </c>
      <c r="B1444" s="7">
        <v>2200393.0</v>
      </c>
      <c r="C1444" s="7" t="s">
        <v>12668</v>
      </c>
      <c r="D1444" s="7" t="s">
        <v>8598</v>
      </c>
      <c r="E1444" s="7" t="s">
        <v>12669</v>
      </c>
      <c r="F1444" s="7" t="s">
        <v>4598</v>
      </c>
      <c r="G1444" s="7" t="s">
        <v>12670</v>
      </c>
      <c r="H1444" s="7" t="s">
        <v>12671</v>
      </c>
      <c r="I1444" s="119">
        <v>45292.0</v>
      </c>
      <c r="K1444" s="7" t="s">
        <v>419</v>
      </c>
      <c r="L1444" s="7" t="s">
        <v>991</v>
      </c>
      <c r="M1444" s="7" t="s">
        <v>3501</v>
      </c>
      <c r="N1444" s="7" t="s">
        <v>419</v>
      </c>
      <c r="O1444" s="7" t="s">
        <v>19443</v>
      </c>
      <c r="P1444" s="7" t="s">
        <v>1242</v>
      </c>
      <c r="Q1444" s="7" t="s">
        <v>51</v>
      </c>
      <c r="R1444" s="7" t="s">
        <v>19574</v>
      </c>
      <c r="T1444" s="7" t="s">
        <v>10802</v>
      </c>
      <c r="U1444" s="7" t="s">
        <v>3604</v>
      </c>
      <c r="V1444" s="7">
        <v>1.0</v>
      </c>
    </row>
    <row r="1445">
      <c r="A1445" s="7" t="s">
        <v>21350</v>
      </c>
      <c r="B1445" s="7">
        <v>2300124.0</v>
      </c>
      <c r="C1445" s="7" t="s">
        <v>12673</v>
      </c>
      <c r="D1445" s="7" t="s">
        <v>12674</v>
      </c>
      <c r="E1445" s="7" t="s">
        <v>12675</v>
      </c>
      <c r="F1445" s="7" t="s">
        <v>10155</v>
      </c>
      <c r="G1445" s="7" t="s">
        <v>12676</v>
      </c>
      <c r="H1445" s="7" t="s">
        <v>12677</v>
      </c>
      <c r="I1445" s="119">
        <v>45292.0</v>
      </c>
      <c r="K1445" s="7" t="s">
        <v>419</v>
      </c>
      <c r="L1445" s="7" t="s">
        <v>991</v>
      </c>
      <c r="M1445" s="7" t="s">
        <v>3501</v>
      </c>
      <c r="N1445" s="7" t="s">
        <v>419</v>
      </c>
      <c r="O1445" s="7" t="s">
        <v>19430</v>
      </c>
      <c r="P1445" s="7" t="s">
        <v>854</v>
      </c>
      <c r="Q1445" s="7" t="s">
        <v>173</v>
      </c>
      <c r="R1445" s="7" t="s">
        <v>19919</v>
      </c>
      <c r="S1445" s="7" t="s">
        <v>20863</v>
      </c>
      <c r="T1445" s="7" t="s">
        <v>9964</v>
      </c>
      <c r="U1445" s="7" t="s">
        <v>3493</v>
      </c>
      <c r="V1445" s="7">
        <v>1.0</v>
      </c>
    </row>
    <row r="1446">
      <c r="A1446" s="7" t="s">
        <v>21351</v>
      </c>
      <c r="B1446" s="7">
        <v>2300703.0</v>
      </c>
      <c r="C1446" s="7" t="s">
        <v>12679</v>
      </c>
      <c r="D1446" s="7" t="s">
        <v>12680</v>
      </c>
      <c r="E1446" s="7" t="s">
        <v>12681</v>
      </c>
      <c r="F1446" s="7" t="s">
        <v>12682</v>
      </c>
      <c r="G1446" s="7" t="s">
        <v>12683</v>
      </c>
      <c r="H1446" s="7" t="s">
        <v>12684</v>
      </c>
      <c r="I1446" s="119">
        <v>45292.0</v>
      </c>
      <c r="K1446" s="7" t="s">
        <v>419</v>
      </c>
      <c r="L1446" s="7" t="s">
        <v>991</v>
      </c>
      <c r="M1446" s="7" t="s">
        <v>3501</v>
      </c>
      <c r="N1446" s="7" t="s">
        <v>419</v>
      </c>
      <c r="O1446" s="7" t="s">
        <v>19432</v>
      </c>
      <c r="P1446" s="7" t="s">
        <v>391</v>
      </c>
      <c r="Q1446" s="7" t="s">
        <v>392</v>
      </c>
      <c r="R1446" s="7" t="s">
        <v>19552</v>
      </c>
      <c r="T1446" s="7" t="s">
        <v>6965</v>
      </c>
      <c r="U1446" s="7" t="s">
        <v>3493</v>
      </c>
      <c r="V1446" s="7">
        <v>1.0</v>
      </c>
    </row>
    <row r="1447">
      <c r="A1447" s="7" t="s">
        <v>21352</v>
      </c>
      <c r="B1447" s="7">
        <v>12192.0</v>
      </c>
      <c r="C1447" s="7" t="s">
        <v>12686</v>
      </c>
      <c r="D1447" s="7" t="s">
        <v>12687</v>
      </c>
      <c r="E1447" s="7" t="s">
        <v>12681</v>
      </c>
      <c r="F1447" s="7" t="s">
        <v>3748</v>
      </c>
      <c r="G1447" s="7" t="s">
        <v>12688</v>
      </c>
      <c r="H1447" s="7" t="s">
        <v>12689</v>
      </c>
      <c r="I1447" s="119">
        <v>45292.0</v>
      </c>
      <c r="K1447" s="7" t="s">
        <v>419</v>
      </c>
      <c r="L1447" s="7" t="s">
        <v>991</v>
      </c>
      <c r="M1447" s="7" t="s">
        <v>3531</v>
      </c>
      <c r="N1447" s="7" t="s">
        <v>419</v>
      </c>
      <c r="O1447" s="7" t="s">
        <v>19430</v>
      </c>
      <c r="P1447" s="7" t="s">
        <v>854</v>
      </c>
      <c r="Q1447" s="7" t="s">
        <v>861</v>
      </c>
      <c r="R1447" s="7" t="s">
        <v>19664</v>
      </c>
      <c r="T1447" s="7" t="s">
        <v>9590</v>
      </c>
      <c r="U1447" s="7" t="s">
        <v>3493</v>
      </c>
      <c r="V1447" s="7">
        <v>1.0</v>
      </c>
    </row>
    <row r="1448">
      <c r="A1448" s="7" t="s">
        <v>21353</v>
      </c>
      <c r="B1448" s="7">
        <v>13241.0</v>
      </c>
      <c r="C1448" s="7" t="s">
        <v>12686</v>
      </c>
      <c r="D1448" s="7" t="s">
        <v>12690</v>
      </c>
      <c r="E1448" s="7" t="s">
        <v>12681</v>
      </c>
      <c r="F1448" s="7" t="s">
        <v>7361</v>
      </c>
      <c r="G1448" s="7" t="s">
        <v>12691</v>
      </c>
      <c r="H1448" s="7" t="s">
        <v>12692</v>
      </c>
      <c r="I1448" s="119">
        <v>45292.0</v>
      </c>
      <c r="K1448" s="7" t="s">
        <v>419</v>
      </c>
      <c r="L1448" s="7" t="s">
        <v>991</v>
      </c>
      <c r="M1448" s="7" t="s">
        <v>3501</v>
      </c>
      <c r="N1448" s="7" t="s">
        <v>419</v>
      </c>
      <c r="O1448" s="7" t="s">
        <v>19432</v>
      </c>
      <c r="P1448" s="7" t="s">
        <v>693</v>
      </c>
      <c r="Q1448" s="7" t="s">
        <v>701</v>
      </c>
      <c r="R1448" s="7" t="s">
        <v>19518</v>
      </c>
      <c r="S1448" s="7" t="s">
        <v>19996</v>
      </c>
      <c r="T1448" s="7" t="s">
        <v>19997</v>
      </c>
      <c r="U1448" s="7" t="s">
        <v>3843</v>
      </c>
      <c r="V1448" s="7">
        <v>1.0</v>
      </c>
    </row>
    <row r="1449">
      <c r="A1449" s="7" t="s">
        <v>21354</v>
      </c>
      <c r="B1449" s="7">
        <v>12564.0</v>
      </c>
      <c r="C1449" s="7" t="s">
        <v>12695</v>
      </c>
      <c r="D1449" s="7" t="s">
        <v>12696</v>
      </c>
      <c r="E1449" s="7" t="s">
        <v>12697</v>
      </c>
      <c r="F1449" s="7" t="s">
        <v>3656</v>
      </c>
      <c r="G1449" s="7" t="s">
        <v>12698</v>
      </c>
      <c r="H1449" s="7" t="s">
        <v>12699</v>
      </c>
      <c r="I1449" s="119">
        <v>45292.0</v>
      </c>
      <c r="K1449" s="7" t="s">
        <v>419</v>
      </c>
      <c r="L1449" s="7" t="s">
        <v>991</v>
      </c>
      <c r="M1449" s="7" t="s">
        <v>3501</v>
      </c>
      <c r="N1449" s="7" t="s">
        <v>419</v>
      </c>
      <c r="O1449" s="7" t="s">
        <v>19433</v>
      </c>
      <c r="P1449" s="7" t="s">
        <v>648</v>
      </c>
      <c r="Q1449" s="7" t="s">
        <v>141</v>
      </c>
      <c r="T1449" s="7" t="s">
        <v>4500</v>
      </c>
      <c r="U1449" s="7" t="s">
        <v>3493</v>
      </c>
      <c r="V1449" s="7">
        <v>1.0</v>
      </c>
    </row>
    <row r="1450">
      <c r="A1450" s="7" t="s">
        <v>21355</v>
      </c>
      <c r="B1450" s="7">
        <v>13675.0</v>
      </c>
      <c r="C1450" s="7" t="s">
        <v>12701</v>
      </c>
      <c r="D1450" s="7" t="s">
        <v>12702</v>
      </c>
      <c r="E1450" s="7" t="s">
        <v>12703</v>
      </c>
      <c r="F1450" s="7" t="s">
        <v>10220</v>
      </c>
      <c r="G1450" s="7" t="s">
        <v>12704</v>
      </c>
      <c r="H1450" s="7" t="s">
        <v>12705</v>
      </c>
      <c r="I1450" s="119">
        <v>45292.0</v>
      </c>
      <c r="K1450" s="7" t="s">
        <v>3632</v>
      </c>
      <c r="L1450" s="7" t="s">
        <v>991</v>
      </c>
      <c r="M1450" s="7" t="s">
        <v>3501</v>
      </c>
      <c r="N1450" s="7" t="s">
        <v>3632</v>
      </c>
      <c r="O1450" s="7" t="s">
        <v>3632</v>
      </c>
      <c r="P1450" s="7" t="s">
        <v>625</v>
      </c>
      <c r="Q1450" s="7" t="s">
        <v>118</v>
      </c>
      <c r="R1450" s="7" t="s">
        <v>20138</v>
      </c>
      <c r="T1450" s="7" t="s">
        <v>12840</v>
      </c>
      <c r="U1450" s="7" t="s">
        <v>3493</v>
      </c>
      <c r="V1450" s="7">
        <v>1.0</v>
      </c>
    </row>
    <row r="1451">
      <c r="A1451" s="7" t="s">
        <v>21356</v>
      </c>
      <c r="B1451" s="7">
        <v>2300685.0</v>
      </c>
      <c r="C1451" s="7" t="s">
        <v>12707</v>
      </c>
      <c r="D1451" s="7" t="s">
        <v>12708</v>
      </c>
      <c r="E1451" s="7" t="s">
        <v>12709</v>
      </c>
      <c r="F1451" s="7" t="s">
        <v>12710</v>
      </c>
      <c r="G1451" s="7" t="s">
        <v>12711</v>
      </c>
      <c r="I1451" s="119">
        <v>45292.0</v>
      </c>
      <c r="K1451" s="7" t="s">
        <v>419</v>
      </c>
      <c r="L1451" s="7" t="s">
        <v>991</v>
      </c>
      <c r="M1451" s="7" t="s">
        <v>3531</v>
      </c>
      <c r="N1451" s="7" t="s">
        <v>419</v>
      </c>
      <c r="O1451" s="7" t="s">
        <v>19433</v>
      </c>
      <c r="P1451" s="7" t="s">
        <v>587</v>
      </c>
      <c r="Q1451" s="7" t="s">
        <v>74</v>
      </c>
      <c r="R1451" s="7" t="s">
        <v>19911</v>
      </c>
      <c r="T1451" s="7" t="s">
        <v>5198</v>
      </c>
      <c r="U1451" s="7" t="s">
        <v>3493</v>
      </c>
      <c r="V1451" s="7">
        <v>1.0</v>
      </c>
    </row>
    <row r="1452">
      <c r="A1452" s="7" t="s">
        <v>21357</v>
      </c>
      <c r="B1452" s="7">
        <v>2300207.0</v>
      </c>
      <c r="C1452" s="7" t="s">
        <v>12707</v>
      </c>
      <c r="D1452" s="7" t="s">
        <v>12713</v>
      </c>
      <c r="E1452" s="7" t="s">
        <v>12709</v>
      </c>
      <c r="F1452" s="7" t="s">
        <v>6859</v>
      </c>
      <c r="G1452" s="7" t="s">
        <v>12714</v>
      </c>
      <c r="H1452" s="7" t="s">
        <v>12715</v>
      </c>
      <c r="I1452" s="119">
        <v>45292.0</v>
      </c>
      <c r="K1452" s="7" t="s">
        <v>4042</v>
      </c>
      <c r="L1452" s="7" t="s">
        <v>991</v>
      </c>
      <c r="M1452" s="7" t="s">
        <v>3531</v>
      </c>
      <c r="N1452" s="7" t="s">
        <v>4042</v>
      </c>
      <c r="O1452" s="7" t="s">
        <v>4042</v>
      </c>
      <c r="P1452" s="7" t="s">
        <v>19632</v>
      </c>
      <c r="T1452" s="7" t="s">
        <v>4044</v>
      </c>
      <c r="U1452" s="7" t="s">
        <v>3493</v>
      </c>
      <c r="V1452" s="7">
        <v>1.0</v>
      </c>
    </row>
    <row r="1453">
      <c r="A1453" s="7" t="s">
        <v>21358</v>
      </c>
      <c r="B1453" s="7">
        <v>2100277.0</v>
      </c>
      <c r="C1453" s="7" t="s">
        <v>12707</v>
      </c>
      <c r="D1453" s="7" t="s">
        <v>12717</v>
      </c>
      <c r="E1453" s="7" t="s">
        <v>12709</v>
      </c>
      <c r="F1453" s="7" t="s">
        <v>3714</v>
      </c>
      <c r="G1453" s="7" t="s">
        <v>12718</v>
      </c>
      <c r="H1453" s="7" t="s">
        <v>12719</v>
      </c>
      <c r="I1453" s="119">
        <v>45292.0</v>
      </c>
      <c r="K1453" s="7" t="s">
        <v>419</v>
      </c>
      <c r="L1453" s="7" t="s">
        <v>991</v>
      </c>
      <c r="M1453" s="7" t="s">
        <v>3501</v>
      </c>
      <c r="N1453" s="7" t="s">
        <v>419</v>
      </c>
      <c r="O1453" s="7" t="s">
        <v>19432</v>
      </c>
      <c r="P1453" s="7" t="s">
        <v>693</v>
      </c>
      <c r="Q1453" s="7" t="s">
        <v>698</v>
      </c>
      <c r="R1453" s="7" t="s">
        <v>20004</v>
      </c>
      <c r="S1453" s="7" t="s">
        <v>19820</v>
      </c>
      <c r="T1453" s="7" t="s">
        <v>5606</v>
      </c>
      <c r="U1453" s="7" t="s">
        <v>3493</v>
      </c>
      <c r="V1453" s="7">
        <v>1.0</v>
      </c>
    </row>
    <row r="1454">
      <c r="A1454" s="7" t="s">
        <v>21359</v>
      </c>
      <c r="B1454" s="7">
        <v>13579.0</v>
      </c>
      <c r="C1454" s="7" t="s">
        <v>12721</v>
      </c>
      <c r="D1454" s="7" t="s">
        <v>12722</v>
      </c>
      <c r="E1454" s="7" t="s">
        <v>12723</v>
      </c>
      <c r="F1454" s="7" t="s">
        <v>12724</v>
      </c>
      <c r="G1454" s="7" t="s">
        <v>12725</v>
      </c>
      <c r="H1454" s="7" t="s">
        <v>12726</v>
      </c>
      <c r="I1454" s="119">
        <v>45292.0</v>
      </c>
      <c r="K1454" s="7" t="s">
        <v>419</v>
      </c>
      <c r="L1454" s="7" t="s">
        <v>991</v>
      </c>
      <c r="M1454" s="7" t="s">
        <v>3501</v>
      </c>
      <c r="N1454" s="7" t="s">
        <v>419</v>
      </c>
      <c r="O1454" s="7" t="s">
        <v>19443</v>
      </c>
      <c r="P1454" s="7" t="s">
        <v>1242</v>
      </c>
      <c r="Q1454" s="7" t="s">
        <v>51</v>
      </c>
      <c r="R1454" s="7" t="s">
        <v>19549</v>
      </c>
      <c r="S1454" s="7" t="s">
        <v>19550</v>
      </c>
      <c r="T1454" s="7" t="s">
        <v>3752</v>
      </c>
      <c r="U1454" s="7" t="s">
        <v>3493</v>
      </c>
      <c r="V1454" s="7">
        <v>1.0</v>
      </c>
    </row>
    <row r="1455">
      <c r="A1455" s="7" t="s">
        <v>21360</v>
      </c>
      <c r="B1455" s="7">
        <v>13580.0</v>
      </c>
      <c r="C1455" s="7" t="s">
        <v>12728</v>
      </c>
      <c r="D1455" s="7" t="s">
        <v>12729</v>
      </c>
      <c r="E1455" s="7" t="s">
        <v>12730</v>
      </c>
      <c r="F1455" s="7" t="s">
        <v>12731</v>
      </c>
      <c r="G1455" s="7" t="s">
        <v>12732</v>
      </c>
      <c r="H1455" s="7" t="s">
        <v>12733</v>
      </c>
      <c r="I1455" s="119">
        <v>45292.0</v>
      </c>
      <c r="K1455" s="7" t="s">
        <v>419</v>
      </c>
      <c r="L1455" s="7" t="s">
        <v>991</v>
      </c>
      <c r="M1455" s="7" t="s">
        <v>3501</v>
      </c>
      <c r="N1455" s="7" t="s">
        <v>419</v>
      </c>
      <c r="O1455" s="7" t="s">
        <v>19443</v>
      </c>
      <c r="P1455" s="7" t="s">
        <v>1242</v>
      </c>
      <c r="Q1455" s="7" t="s">
        <v>51</v>
      </c>
      <c r="R1455" s="7" t="s">
        <v>20172</v>
      </c>
      <c r="T1455" s="7" t="s">
        <v>6403</v>
      </c>
      <c r="U1455" s="7" t="s">
        <v>3493</v>
      </c>
      <c r="V1455" s="7">
        <v>1.0</v>
      </c>
    </row>
    <row r="1456">
      <c r="A1456" s="7" t="s">
        <v>21361</v>
      </c>
      <c r="B1456" s="7">
        <v>2200041.0</v>
      </c>
      <c r="C1456" s="7" t="s">
        <v>12735</v>
      </c>
      <c r="D1456" s="7" t="s">
        <v>4485</v>
      </c>
      <c r="E1456" s="7" t="s">
        <v>12736</v>
      </c>
      <c r="F1456" s="7" t="s">
        <v>4487</v>
      </c>
      <c r="G1456" s="7" t="s">
        <v>12737</v>
      </c>
      <c r="H1456" s="7" t="s">
        <v>12738</v>
      </c>
      <c r="I1456" s="119">
        <v>45292.0</v>
      </c>
      <c r="K1456" s="7" t="s">
        <v>419</v>
      </c>
      <c r="L1456" s="7" t="s">
        <v>991</v>
      </c>
      <c r="M1456" s="7" t="s">
        <v>3531</v>
      </c>
      <c r="N1456" s="7" t="s">
        <v>419</v>
      </c>
      <c r="O1456" s="7" t="s">
        <v>19432</v>
      </c>
      <c r="P1456" s="7" t="s">
        <v>298</v>
      </c>
      <c r="Q1456" s="7" t="s">
        <v>1284</v>
      </c>
      <c r="R1456" s="7" t="s">
        <v>20579</v>
      </c>
      <c r="S1456" s="7" t="s">
        <v>21362</v>
      </c>
      <c r="T1456" s="7" t="s">
        <v>12740</v>
      </c>
      <c r="U1456" s="7" t="s">
        <v>3493</v>
      </c>
      <c r="V1456" s="7">
        <v>1.0</v>
      </c>
    </row>
    <row r="1457">
      <c r="A1457" s="7" t="s">
        <v>21363</v>
      </c>
      <c r="B1457" s="7">
        <v>10514.0</v>
      </c>
      <c r="C1457" s="7" t="s">
        <v>12735</v>
      </c>
      <c r="D1457" s="7" t="s">
        <v>12742</v>
      </c>
      <c r="E1457" s="7" t="s">
        <v>12736</v>
      </c>
      <c r="F1457" s="7" t="s">
        <v>12743</v>
      </c>
      <c r="G1457" s="7" t="s">
        <v>12744</v>
      </c>
      <c r="H1457" s="7" t="s">
        <v>12745</v>
      </c>
      <c r="I1457" s="119">
        <v>45292.0</v>
      </c>
      <c r="K1457" s="7" t="s">
        <v>419</v>
      </c>
      <c r="L1457" s="7" t="s">
        <v>991</v>
      </c>
      <c r="M1457" s="7" t="s">
        <v>3501</v>
      </c>
      <c r="N1457" s="7" t="s">
        <v>419</v>
      </c>
      <c r="O1457" s="7" t="s">
        <v>19430</v>
      </c>
      <c r="P1457" s="7" t="s">
        <v>717</v>
      </c>
      <c r="Q1457" s="7" t="s">
        <v>730</v>
      </c>
      <c r="R1457" s="7" t="s">
        <v>19961</v>
      </c>
      <c r="S1457" s="7" t="s">
        <v>20029</v>
      </c>
      <c r="T1457" s="7" t="s">
        <v>7042</v>
      </c>
      <c r="U1457" s="7" t="s">
        <v>3843</v>
      </c>
      <c r="V1457" s="7">
        <v>1.0</v>
      </c>
    </row>
    <row r="1458">
      <c r="A1458" s="7" t="s">
        <v>21364</v>
      </c>
      <c r="B1458" s="7">
        <v>2200523.0</v>
      </c>
      <c r="C1458" s="7" t="s">
        <v>12747</v>
      </c>
      <c r="D1458" s="7" t="s">
        <v>5987</v>
      </c>
      <c r="E1458" s="7" t="s">
        <v>12748</v>
      </c>
      <c r="F1458" s="7" t="s">
        <v>5987</v>
      </c>
      <c r="G1458" s="7" t="s">
        <v>12749</v>
      </c>
      <c r="H1458" s="7" t="s">
        <v>12750</v>
      </c>
      <c r="I1458" s="119">
        <v>45292.0</v>
      </c>
      <c r="J1458" s="7" t="s">
        <v>3929</v>
      </c>
      <c r="K1458" s="7" t="s">
        <v>419</v>
      </c>
      <c r="L1458" s="7" t="s">
        <v>991</v>
      </c>
      <c r="M1458" s="7" t="s">
        <v>3501</v>
      </c>
      <c r="N1458" s="7" t="s">
        <v>419</v>
      </c>
      <c r="O1458" s="7" t="s">
        <v>19433</v>
      </c>
      <c r="P1458" s="7" t="s">
        <v>587</v>
      </c>
      <c r="Q1458" s="7" t="s">
        <v>72</v>
      </c>
      <c r="R1458" s="7" t="s">
        <v>19566</v>
      </c>
      <c r="T1458" s="7" t="s">
        <v>5672</v>
      </c>
      <c r="U1458" s="7" t="s">
        <v>3493</v>
      </c>
      <c r="V1458" s="7">
        <v>1.0</v>
      </c>
    </row>
    <row r="1459">
      <c r="A1459" s="7" t="s">
        <v>21365</v>
      </c>
      <c r="B1459" s="7">
        <v>14269.0</v>
      </c>
      <c r="C1459" s="7" t="s">
        <v>12747</v>
      </c>
      <c r="D1459" s="7" t="s">
        <v>12752</v>
      </c>
      <c r="E1459" s="7" t="s">
        <v>12748</v>
      </c>
      <c r="F1459" s="7" t="s">
        <v>3748</v>
      </c>
      <c r="G1459" s="7" t="s">
        <v>12753</v>
      </c>
      <c r="H1459" s="7" t="s">
        <v>12754</v>
      </c>
      <c r="I1459" s="119">
        <v>45292.0</v>
      </c>
      <c r="K1459" s="7" t="s">
        <v>419</v>
      </c>
      <c r="L1459" s="7" t="s">
        <v>991</v>
      </c>
      <c r="M1459" s="7" t="s">
        <v>3501</v>
      </c>
      <c r="N1459" s="7" t="s">
        <v>419</v>
      </c>
      <c r="O1459" s="7" t="s">
        <v>19437</v>
      </c>
      <c r="P1459" s="7" t="s">
        <v>440</v>
      </c>
      <c r="Q1459" s="7" t="s">
        <v>924</v>
      </c>
      <c r="R1459" s="7" t="s">
        <v>19793</v>
      </c>
      <c r="T1459" s="7" t="s">
        <v>12756</v>
      </c>
      <c r="U1459" s="7" t="s">
        <v>3604</v>
      </c>
      <c r="V1459" s="7">
        <v>1.0</v>
      </c>
    </row>
    <row r="1460">
      <c r="A1460" s="7" t="s">
        <v>21366</v>
      </c>
      <c r="B1460" s="7">
        <v>11756.0</v>
      </c>
      <c r="C1460" s="7" t="s">
        <v>12747</v>
      </c>
      <c r="D1460" s="7" t="s">
        <v>12758</v>
      </c>
      <c r="E1460" s="7" t="s">
        <v>12748</v>
      </c>
      <c r="F1460" s="7" t="s">
        <v>12759</v>
      </c>
      <c r="G1460" s="7" t="s">
        <v>12760</v>
      </c>
      <c r="H1460" s="7" t="s">
        <v>12761</v>
      </c>
      <c r="I1460" s="119">
        <v>45292.0</v>
      </c>
      <c r="K1460" s="7" t="s">
        <v>419</v>
      </c>
      <c r="L1460" s="7" t="s">
        <v>991</v>
      </c>
      <c r="M1460" s="7" t="s">
        <v>3501</v>
      </c>
      <c r="N1460" s="7" t="s">
        <v>419</v>
      </c>
      <c r="O1460" s="7" t="s">
        <v>19430</v>
      </c>
      <c r="P1460" s="7" t="s">
        <v>717</v>
      </c>
      <c r="Q1460" s="7" t="s">
        <v>725</v>
      </c>
      <c r="R1460" s="7" t="s">
        <v>19621</v>
      </c>
      <c r="S1460" s="7" t="s">
        <v>19622</v>
      </c>
      <c r="T1460" s="7" t="s">
        <v>4013</v>
      </c>
      <c r="U1460" s="7" t="s">
        <v>3493</v>
      </c>
      <c r="V1460" s="7">
        <v>1.0</v>
      </c>
    </row>
    <row r="1461">
      <c r="A1461" s="7" t="s">
        <v>21367</v>
      </c>
      <c r="B1461" s="7">
        <v>2300195.0</v>
      </c>
      <c r="C1461" s="7" t="s">
        <v>12763</v>
      </c>
      <c r="D1461" s="7" t="s">
        <v>12764</v>
      </c>
      <c r="E1461" s="7" t="s">
        <v>12765</v>
      </c>
      <c r="F1461" s="7" t="s">
        <v>4068</v>
      </c>
      <c r="G1461" s="7" t="s">
        <v>12766</v>
      </c>
      <c r="H1461" s="7" t="s">
        <v>12767</v>
      </c>
      <c r="I1461" s="119">
        <v>45292.0</v>
      </c>
      <c r="J1461" s="7" t="s">
        <v>4216</v>
      </c>
      <c r="K1461" s="7" t="s">
        <v>419</v>
      </c>
      <c r="L1461" s="7" t="s">
        <v>991</v>
      </c>
      <c r="M1461" s="7" t="s">
        <v>3501</v>
      </c>
      <c r="N1461" s="7" t="s">
        <v>419</v>
      </c>
      <c r="O1461" s="7" t="s">
        <v>19433</v>
      </c>
      <c r="P1461" s="7" t="s">
        <v>648</v>
      </c>
      <c r="Q1461" s="7" t="s">
        <v>143</v>
      </c>
      <c r="R1461" s="7" t="s">
        <v>19563</v>
      </c>
      <c r="S1461" s="7" t="s">
        <v>21368</v>
      </c>
      <c r="T1461" s="7" t="s">
        <v>12769</v>
      </c>
      <c r="U1461" s="7" t="s">
        <v>3493</v>
      </c>
      <c r="V1461" s="7">
        <v>1.0</v>
      </c>
    </row>
    <row r="1462">
      <c r="A1462" s="7" t="s">
        <v>21369</v>
      </c>
      <c r="B1462" s="7">
        <v>14129.0</v>
      </c>
      <c r="C1462" s="7" t="s">
        <v>12771</v>
      </c>
      <c r="D1462" s="7" t="s">
        <v>12772</v>
      </c>
      <c r="E1462" s="7" t="s">
        <v>12765</v>
      </c>
      <c r="F1462" s="7" t="s">
        <v>5451</v>
      </c>
      <c r="G1462" s="7" t="s">
        <v>12773</v>
      </c>
      <c r="H1462" s="7" t="s">
        <v>12774</v>
      </c>
      <c r="I1462" s="119">
        <v>45292.0</v>
      </c>
      <c r="K1462" s="7" t="s">
        <v>3632</v>
      </c>
      <c r="L1462" s="7" t="s">
        <v>991</v>
      </c>
      <c r="M1462" s="7" t="s">
        <v>3501</v>
      </c>
      <c r="N1462" s="7" t="s">
        <v>3632</v>
      </c>
      <c r="O1462" s="7" t="s">
        <v>3632</v>
      </c>
      <c r="P1462" s="7" t="s">
        <v>625</v>
      </c>
      <c r="Q1462" s="7" t="s">
        <v>124</v>
      </c>
      <c r="R1462" s="7" t="s">
        <v>19646</v>
      </c>
      <c r="T1462" s="7" t="s">
        <v>11150</v>
      </c>
      <c r="U1462" s="7" t="s">
        <v>3493</v>
      </c>
      <c r="V1462" s="7">
        <v>1.0</v>
      </c>
    </row>
    <row r="1463">
      <c r="A1463" s="7" t="s">
        <v>21370</v>
      </c>
      <c r="B1463" s="7">
        <v>793.0</v>
      </c>
      <c r="C1463" s="7" t="s">
        <v>12771</v>
      </c>
      <c r="D1463" s="7" t="s">
        <v>12776</v>
      </c>
      <c r="E1463" s="7" t="s">
        <v>12765</v>
      </c>
      <c r="F1463" s="7" t="s">
        <v>12777</v>
      </c>
      <c r="G1463" s="7" t="s">
        <v>12778</v>
      </c>
      <c r="H1463" s="7" t="s">
        <v>12779</v>
      </c>
      <c r="I1463" s="119">
        <v>45292.0</v>
      </c>
      <c r="K1463" s="7" t="s">
        <v>3885</v>
      </c>
      <c r="L1463" s="7" t="s">
        <v>3542</v>
      </c>
      <c r="M1463" s="7" t="s">
        <v>3543</v>
      </c>
      <c r="N1463" s="7" t="s">
        <v>419</v>
      </c>
      <c r="O1463" s="7" t="s">
        <v>19432</v>
      </c>
      <c r="P1463" s="7" t="s">
        <v>391</v>
      </c>
      <c r="Q1463" s="7" t="s">
        <v>392</v>
      </c>
      <c r="R1463" s="7" t="s">
        <v>19534</v>
      </c>
      <c r="T1463" s="7" t="s">
        <v>5350</v>
      </c>
      <c r="U1463" s="7" t="s">
        <v>3493</v>
      </c>
      <c r="V1463" s="7">
        <v>1.0</v>
      </c>
    </row>
    <row r="1464">
      <c r="A1464" s="7" t="s">
        <v>2090</v>
      </c>
      <c r="B1464" s="7">
        <v>12288.0</v>
      </c>
      <c r="C1464" s="7" t="s">
        <v>12771</v>
      </c>
      <c r="D1464" s="7" t="s">
        <v>12782</v>
      </c>
      <c r="E1464" s="7" t="s">
        <v>12765</v>
      </c>
      <c r="F1464" s="7" t="s">
        <v>3748</v>
      </c>
      <c r="G1464" s="7" t="s">
        <v>12783</v>
      </c>
      <c r="H1464" s="7" t="s">
        <v>12784</v>
      </c>
      <c r="I1464" s="119">
        <v>45292.0</v>
      </c>
      <c r="K1464" s="7" t="s">
        <v>419</v>
      </c>
      <c r="L1464" s="7" t="s">
        <v>991</v>
      </c>
      <c r="M1464" s="7" t="s">
        <v>3501</v>
      </c>
      <c r="N1464" s="7" t="s">
        <v>419</v>
      </c>
      <c r="O1464" s="7" t="s">
        <v>19430</v>
      </c>
      <c r="P1464" s="7" t="s">
        <v>717</v>
      </c>
      <c r="Q1464" s="7" t="s">
        <v>251</v>
      </c>
      <c r="T1464" s="7" t="s">
        <v>7314</v>
      </c>
      <c r="U1464" s="7" t="s">
        <v>5585</v>
      </c>
      <c r="V1464" s="7">
        <v>1.0</v>
      </c>
    </row>
    <row r="1465">
      <c r="A1465" s="7" t="s">
        <v>21371</v>
      </c>
      <c r="B1465" s="7">
        <v>2200716.0</v>
      </c>
      <c r="C1465" s="7" t="s">
        <v>12771</v>
      </c>
      <c r="D1465" s="7" t="s">
        <v>11210</v>
      </c>
      <c r="E1465" s="7" t="s">
        <v>12765</v>
      </c>
      <c r="F1465" s="7" t="s">
        <v>5490</v>
      </c>
      <c r="G1465" s="7" t="s">
        <v>12786</v>
      </c>
      <c r="H1465" s="7" t="s">
        <v>12787</v>
      </c>
      <c r="I1465" s="119">
        <v>45292.0</v>
      </c>
      <c r="K1465" s="7" t="s">
        <v>4042</v>
      </c>
      <c r="L1465" s="7" t="s">
        <v>991</v>
      </c>
      <c r="M1465" s="7" t="s">
        <v>3501</v>
      </c>
      <c r="N1465" s="7" t="s">
        <v>4042</v>
      </c>
      <c r="O1465" s="7" t="s">
        <v>4042</v>
      </c>
      <c r="P1465" s="7" t="s">
        <v>19632</v>
      </c>
      <c r="T1465" s="7" t="s">
        <v>4044</v>
      </c>
      <c r="U1465" s="7" t="s">
        <v>3493</v>
      </c>
      <c r="V1465" s="7">
        <v>1.0</v>
      </c>
    </row>
    <row r="1466">
      <c r="A1466" s="7" t="s">
        <v>21372</v>
      </c>
      <c r="B1466" s="7">
        <v>2200928.0</v>
      </c>
      <c r="C1466" s="7" t="s">
        <v>12771</v>
      </c>
      <c r="D1466" s="7" t="s">
        <v>12789</v>
      </c>
      <c r="E1466" s="7" t="s">
        <v>12765</v>
      </c>
      <c r="F1466" s="7" t="s">
        <v>12790</v>
      </c>
      <c r="G1466" s="7" t="s">
        <v>12791</v>
      </c>
      <c r="H1466" s="7" t="s">
        <v>12792</v>
      </c>
      <c r="I1466" s="119">
        <v>45292.0</v>
      </c>
      <c r="K1466" s="7" t="s">
        <v>419</v>
      </c>
      <c r="L1466" s="7" t="s">
        <v>991</v>
      </c>
      <c r="M1466" s="7" t="s">
        <v>3583</v>
      </c>
      <c r="N1466" s="7" t="s">
        <v>419</v>
      </c>
      <c r="O1466" s="7" t="s">
        <v>19440</v>
      </c>
      <c r="P1466" s="7" t="s">
        <v>613</v>
      </c>
      <c r="Q1466" s="7" t="s">
        <v>104</v>
      </c>
      <c r="R1466" s="7" t="s">
        <v>19729</v>
      </c>
      <c r="S1466" s="7" t="s">
        <v>19519</v>
      </c>
      <c r="T1466" s="7" t="s">
        <v>12794</v>
      </c>
      <c r="U1466" s="7" t="s">
        <v>3493</v>
      </c>
      <c r="V1466" s="7">
        <v>1.0</v>
      </c>
    </row>
    <row r="1467">
      <c r="A1467" s="7" t="s">
        <v>21373</v>
      </c>
      <c r="B1467" s="7">
        <v>2300650.0</v>
      </c>
      <c r="C1467" s="7" t="s">
        <v>12771</v>
      </c>
      <c r="D1467" s="7" t="s">
        <v>4982</v>
      </c>
      <c r="E1467" s="7" t="s">
        <v>12765</v>
      </c>
      <c r="F1467" s="7" t="s">
        <v>4984</v>
      </c>
      <c r="G1467" s="7" t="s">
        <v>12796</v>
      </c>
      <c r="H1467" s="7" t="s">
        <v>12797</v>
      </c>
      <c r="I1467" s="119">
        <v>45292.0</v>
      </c>
      <c r="K1467" s="7" t="s">
        <v>419</v>
      </c>
      <c r="L1467" s="7" t="s">
        <v>991</v>
      </c>
      <c r="M1467" s="7" t="s">
        <v>3501</v>
      </c>
      <c r="N1467" s="7" t="s">
        <v>419</v>
      </c>
      <c r="O1467" s="7" t="s">
        <v>19432</v>
      </c>
      <c r="P1467" s="7" t="s">
        <v>693</v>
      </c>
      <c r="Q1467" s="7" t="s">
        <v>698</v>
      </c>
      <c r="R1467" s="7" t="s">
        <v>19563</v>
      </c>
      <c r="S1467" s="7" t="s">
        <v>19971</v>
      </c>
      <c r="T1467" s="7" t="s">
        <v>5462</v>
      </c>
      <c r="U1467" s="7" t="s">
        <v>3493</v>
      </c>
      <c r="V1467" s="7">
        <v>1.0</v>
      </c>
    </row>
    <row r="1468">
      <c r="A1468" s="7" t="s">
        <v>21374</v>
      </c>
      <c r="B1468" s="7">
        <v>12364.0</v>
      </c>
      <c r="C1468" s="7" t="s">
        <v>12771</v>
      </c>
      <c r="D1468" s="7" t="s">
        <v>12799</v>
      </c>
      <c r="E1468" s="7" t="s">
        <v>12765</v>
      </c>
      <c r="F1468" s="7" t="s">
        <v>12800</v>
      </c>
      <c r="G1468" s="7" t="s">
        <v>12801</v>
      </c>
      <c r="H1468" s="7" t="s">
        <v>12802</v>
      </c>
      <c r="I1468" s="119">
        <v>45292.0</v>
      </c>
      <c r="K1468" s="7" t="s">
        <v>419</v>
      </c>
      <c r="L1468" s="7" t="s">
        <v>991</v>
      </c>
      <c r="M1468" s="7" t="s">
        <v>3501</v>
      </c>
      <c r="N1468" s="7" t="s">
        <v>419</v>
      </c>
      <c r="O1468" s="7" t="s">
        <v>19443</v>
      </c>
      <c r="P1468" s="7" t="s">
        <v>323</v>
      </c>
      <c r="Q1468" s="7" t="s">
        <v>824</v>
      </c>
      <c r="R1468" s="7" t="s">
        <v>19582</v>
      </c>
      <c r="T1468" s="7" t="s">
        <v>11951</v>
      </c>
      <c r="U1468" s="7" t="s">
        <v>3493</v>
      </c>
      <c r="V1468" s="7">
        <v>1.0</v>
      </c>
    </row>
    <row r="1469">
      <c r="A1469" s="7" t="s">
        <v>21375</v>
      </c>
      <c r="B1469" s="7">
        <v>11707.0</v>
      </c>
      <c r="C1469" s="7" t="s">
        <v>12771</v>
      </c>
      <c r="D1469" s="7" t="s">
        <v>12804</v>
      </c>
      <c r="E1469" s="7" t="s">
        <v>12765</v>
      </c>
      <c r="F1469" s="7" t="s">
        <v>3517</v>
      </c>
      <c r="G1469" s="7" t="s">
        <v>12805</v>
      </c>
      <c r="H1469" s="7" t="s">
        <v>12806</v>
      </c>
      <c r="I1469" s="119">
        <v>45292.0</v>
      </c>
      <c r="K1469" s="7" t="s">
        <v>419</v>
      </c>
      <c r="L1469" s="7" t="s">
        <v>991</v>
      </c>
      <c r="M1469" s="7" t="s">
        <v>3501</v>
      </c>
      <c r="N1469" s="7" t="s">
        <v>419</v>
      </c>
      <c r="O1469" s="7" t="s">
        <v>19437</v>
      </c>
      <c r="P1469" s="7" t="s">
        <v>478</v>
      </c>
      <c r="Q1469" s="7" t="s">
        <v>484</v>
      </c>
      <c r="R1469" s="7" t="s">
        <v>20513</v>
      </c>
      <c r="S1469" s="7" t="s">
        <v>20514</v>
      </c>
      <c r="T1469" s="7" t="s">
        <v>8179</v>
      </c>
      <c r="U1469" s="7" t="s">
        <v>3843</v>
      </c>
      <c r="V1469" s="7">
        <v>1.0</v>
      </c>
    </row>
    <row r="1470">
      <c r="A1470" s="7" t="s">
        <v>21376</v>
      </c>
      <c r="B1470" s="7">
        <v>2100511.0</v>
      </c>
      <c r="C1470" s="7" t="s">
        <v>12808</v>
      </c>
      <c r="D1470" s="7" t="s">
        <v>4233</v>
      </c>
      <c r="E1470" s="7" t="s">
        <v>12809</v>
      </c>
      <c r="F1470" s="7" t="s">
        <v>4234</v>
      </c>
      <c r="G1470" s="7" t="s">
        <v>12810</v>
      </c>
      <c r="H1470" s="7" t="s">
        <v>12811</v>
      </c>
      <c r="I1470" s="119">
        <v>45292.0</v>
      </c>
      <c r="K1470" s="7" t="s">
        <v>419</v>
      </c>
      <c r="L1470" s="7" t="s">
        <v>991</v>
      </c>
      <c r="M1470" s="7" t="s">
        <v>3501</v>
      </c>
      <c r="N1470" s="7" t="s">
        <v>419</v>
      </c>
      <c r="O1470" s="7" t="s">
        <v>19432</v>
      </c>
      <c r="P1470" s="7" t="s">
        <v>391</v>
      </c>
      <c r="Q1470" s="7" t="s">
        <v>392</v>
      </c>
      <c r="R1470" s="7" t="s">
        <v>19552</v>
      </c>
      <c r="T1470" s="7" t="s">
        <v>6965</v>
      </c>
      <c r="U1470" s="7" t="s">
        <v>3493</v>
      </c>
      <c r="V1470" s="7">
        <v>1.0</v>
      </c>
    </row>
    <row r="1471">
      <c r="A1471" s="7" t="s">
        <v>21377</v>
      </c>
      <c r="B1471" s="7">
        <v>2300566.0</v>
      </c>
      <c r="C1471" s="7" t="s">
        <v>12813</v>
      </c>
      <c r="D1471" s="7" t="s">
        <v>12814</v>
      </c>
      <c r="E1471" s="7" t="s">
        <v>12809</v>
      </c>
      <c r="F1471" s="7" t="s">
        <v>12815</v>
      </c>
      <c r="G1471" s="7" t="s">
        <v>12816</v>
      </c>
      <c r="H1471" s="7" t="s">
        <v>12817</v>
      </c>
      <c r="I1471" s="119">
        <v>45292.0</v>
      </c>
      <c r="K1471" s="7" t="s">
        <v>419</v>
      </c>
      <c r="L1471" s="7" t="s">
        <v>991</v>
      </c>
      <c r="M1471" s="7" t="s">
        <v>3501</v>
      </c>
      <c r="N1471" s="7" t="s">
        <v>419</v>
      </c>
      <c r="O1471" s="7" t="s">
        <v>19432</v>
      </c>
      <c r="P1471" s="7" t="s">
        <v>391</v>
      </c>
      <c r="Q1471" s="7" t="s">
        <v>399</v>
      </c>
      <c r="R1471" s="7" t="s">
        <v>19732</v>
      </c>
      <c r="T1471" s="7" t="s">
        <v>4438</v>
      </c>
      <c r="U1471" s="7" t="s">
        <v>3493</v>
      </c>
      <c r="V1471" s="7">
        <v>1.0</v>
      </c>
    </row>
    <row r="1472">
      <c r="A1472" s="7" t="s">
        <v>21378</v>
      </c>
      <c r="B1472" s="7">
        <v>12494.0</v>
      </c>
      <c r="C1472" s="7" t="s">
        <v>12820</v>
      </c>
      <c r="D1472" s="7" t="s">
        <v>12821</v>
      </c>
      <c r="E1472" s="7" t="s">
        <v>12822</v>
      </c>
      <c r="F1472" s="7" t="s">
        <v>12823</v>
      </c>
      <c r="G1472" s="7" t="s">
        <v>12824</v>
      </c>
      <c r="H1472" s="7" t="s">
        <v>12825</v>
      </c>
      <c r="I1472" s="119">
        <v>45292.0</v>
      </c>
      <c r="K1472" s="7" t="s">
        <v>419</v>
      </c>
      <c r="L1472" s="7" t="s">
        <v>991</v>
      </c>
      <c r="M1472" s="7" t="s">
        <v>3501</v>
      </c>
      <c r="N1472" s="7" t="s">
        <v>419</v>
      </c>
      <c r="O1472" s="7" t="s">
        <v>19430</v>
      </c>
      <c r="P1472" s="7" t="s">
        <v>780</v>
      </c>
      <c r="Q1472" s="7" t="s">
        <v>786</v>
      </c>
      <c r="R1472" s="7" t="s">
        <v>20558</v>
      </c>
      <c r="T1472" s="7" t="s">
        <v>16162</v>
      </c>
      <c r="U1472" s="7" t="s">
        <v>3493</v>
      </c>
      <c r="V1472" s="7">
        <v>1.0</v>
      </c>
    </row>
    <row r="1473">
      <c r="A1473" s="7" t="s">
        <v>21379</v>
      </c>
      <c r="B1473" s="7">
        <v>2200100.0</v>
      </c>
      <c r="C1473" s="7" t="s">
        <v>12827</v>
      </c>
      <c r="D1473" s="7" t="s">
        <v>12828</v>
      </c>
      <c r="E1473" s="7" t="s">
        <v>12829</v>
      </c>
      <c r="F1473" s="7" t="s">
        <v>4241</v>
      </c>
      <c r="G1473" s="7" t="s">
        <v>12830</v>
      </c>
      <c r="H1473" s="7" t="s">
        <v>12831</v>
      </c>
      <c r="I1473" s="119">
        <v>45292.0</v>
      </c>
      <c r="K1473" s="7" t="s">
        <v>419</v>
      </c>
      <c r="L1473" s="7" t="s">
        <v>991</v>
      </c>
      <c r="M1473" s="7" t="s">
        <v>3501</v>
      </c>
      <c r="N1473" s="7" t="s">
        <v>419</v>
      </c>
      <c r="O1473" s="7" t="s">
        <v>19430</v>
      </c>
      <c r="P1473" s="7" t="s">
        <v>717</v>
      </c>
      <c r="Q1473" s="7" t="s">
        <v>738</v>
      </c>
      <c r="R1473" s="7" t="s">
        <v>19818</v>
      </c>
      <c r="T1473" s="7" t="s">
        <v>12833</v>
      </c>
      <c r="U1473" s="7" t="s">
        <v>3604</v>
      </c>
      <c r="V1473" s="7">
        <v>1.0</v>
      </c>
    </row>
    <row r="1474">
      <c r="A1474" s="7" t="s">
        <v>21380</v>
      </c>
      <c r="B1474" s="7">
        <v>2300634.0</v>
      </c>
      <c r="C1474" s="7" t="s">
        <v>12835</v>
      </c>
      <c r="D1474" s="7" t="s">
        <v>12836</v>
      </c>
      <c r="E1474" s="7" t="s">
        <v>12837</v>
      </c>
      <c r="F1474" s="7" t="s">
        <v>4084</v>
      </c>
      <c r="G1474" s="7" t="s">
        <v>12838</v>
      </c>
      <c r="H1474" s="7" t="s">
        <v>12839</v>
      </c>
      <c r="I1474" s="119">
        <v>45292.0</v>
      </c>
      <c r="K1474" s="7" t="s">
        <v>3632</v>
      </c>
      <c r="L1474" s="7" t="s">
        <v>991</v>
      </c>
      <c r="M1474" s="7" t="s">
        <v>3531</v>
      </c>
      <c r="N1474" s="7" t="s">
        <v>3632</v>
      </c>
      <c r="O1474" s="7" t="s">
        <v>3632</v>
      </c>
      <c r="P1474" s="7" t="s">
        <v>625</v>
      </c>
      <c r="Q1474" s="7" t="s">
        <v>118</v>
      </c>
      <c r="R1474" s="7" t="s">
        <v>20138</v>
      </c>
      <c r="T1474" s="7" t="s">
        <v>12840</v>
      </c>
      <c r="U1474" s="7" t="s">
        <v>3493</v>
      </c>
      <c r="V1474" s="7">
        <v>1.0</v>
      </c>
    </row>
    <row r="1475">
      <c r="A1475" s="7" t="s">
        <v>21381</v>
      </c>
      <c r="B1475" s="7">
        <v>2300568.0</v>
      </c>
      <c r="C1475" s="7" t="s">
        <v>12842</v>
      </c>
      <c r="D1475" s="7" t="s">
        <v>4066</v>
      </c>
      <c r="E1475" s="7" t="s">
        <v>12843</v>
      </c>
      <c r="F1475" s="7" t="s">
        <v>4068</v>
      </c>
      <c r="G1475" s="7" t="s">
        <v>12844</v>
      </c>
      <c r="H1475" s="7" t="s">
        <v>12845</v>
      </c>
      <c r="I1475" s="119">
        <v>45292.0</v>
      </c>
      <c r="K1475" s="7" t="s">
        <v>419</v>
      </c>
      <c r="L1475" s="7" t="s">
        <v>991</v>
      </c>
      <c r="M1475" s="7" t="s">
        <v>3501</v>
      </c>
      <c r="N1475" s="7" t="s">
        <v>419</v>
      </c>
      <c r="O1475" s="7" t="s">
        <v>19437</v>
      </c>
      <c r="P1475" s="7" t="s">
        <v>478</v>
      </c>
      <c r="Q1475" s="7" t="s">
        <v>487</v>
      </c>
      <c r="R1475" s="7" t="s">
        <v>20534</v>
      </c>
      <c r="T1475" s="7" t="s">
        <v>8282</v>
      </c>
      <c r="U1475" s="7" t="s">
        <v>3493</v>
      </c>
      <c r="V1475" s="7">
        <v>1.0</v>
      </c>
    </row>
    <row r="1476">
      <c r="A1476" s="7" t="s">
        <v>21382</v>
      </c>
      <c r="B1476" s="7">
        <v>632.0</v>
      </c>
      <c r="C1476" s="7" t="s">
        <v>12847</v>
      </c>
      <c r="D1476" s="7" t="s">
        <v>12848</v>
      </c>
      <c r="E1476" s="7" t="s">
        <v>12849</v>
      </c>
      <c r="F1476" s="7" t="s">
        <v>4336</v>
      </c>
      <c r="G1476" s="7" t="s">
        <v>12850</v>
      </c>
      <c r="H1476" s="7" t="s">
        <v>12851</v>
      </c>
      <c r="I1476" s="119">
        <v>45307.0</v>
      </c>
      <c r="K1476" s="7" t="s">
        <v>3885</v>
      </c>
      <c r="L1476" s="7" t="s">
        <v>3542</v>
      </c>
      <c r="M1476" s="7" t="s">
        <v>3543</v>
      </c>
      <c r="N1476" s="7" t="s">
        <v>419</v>
      </c>
      <c r="O1476" s="7" t="s">
        <v>19433</v>
      </c>
      <c r="P1476" s="7" t="s">
        <v>648</v>
      </c>
      <c r="Q1476" s="7" t="s">
        <v>651</v>
      </c>
      <c r="R1476" s="7" t="s">
        <v>19922</v>
      </c>
      <c r="S1476" s="7" t="s">
        <v>19749</v>
      </c>
      <c r="T1476" s="7" t="s">
        <v>19923</v>
      </c>
      <c r="U1476" s="7" t="s">
        <v>3843</v>
      </c>
      <c r="V1476" s="7">
        <v>1.0</v>
      </c>
    </row>
    <row r="1477">
      <c r="A1477" s="7" t="s">
        <v>21383</v>
      </c>
      <c r="B1477" s="7">
        <v>12703.0</v>
      </c>
      <c r="C1477" s="7" t="s">
        <v>12853</v>
      </c>
      <c r="D1477" s="7" t="s">
        <v>12854</v>
      </c>
      <c r="E1477" s="7" t="s">
        <v>12855</v>
      </c>
      <c r="F1477" s="7" t="s">
        <v>8319</v>
      </c>
      <c r="G1477" s="7" t="s">
        <v>12856</v>
      </c>
      <c r="H1477" s="7" t="s">
        <v>12857</v>
      </c>
      <c r="I1477" s="119">
        <v>45292.0</v>
      </c>
      <c r="K1477" s="7" t="s">
        <v>419</v>
      </c>
      <c r="L1477" s="7" t="s">
        <v>991</v>
      </c>
      <c r="M1477" s="7" t="s">
        <v>3501</v>
      </c>
      <c r="N1477" s="7" t="s">
        <v>419</v>
      </c>
      <c r="O1477" s="7" t="s">
        <v>19430</v>
      </c>
      <c r="P1477" s="7" t="s">
        <v>717</v>
      </c>
      <c r="Q1477" s="7" t="s">
        <v>725</v>
      </c>
      <c r="R1477" s="7" t="s">
        <v>19741</v>
      </c>
      <c r="S1477" s="7" t="s">
        <v>19742</v>
      </c>
      <c r="T1477" s="7" t="s">
        <v>4482</v>
      </c>
      <c r="U1477" s="7" t="s">
        <v>3843</v>
      </c>
      <c r="V1477" s="7">
        <v>1.0</v>
      </c>
    </row>
    <row r="1478">
      <c r="A1478" s="7" t="s">
        <v>21384</v>
      </c>
      <c r="B1478" s="7">
        <v>2200774.0</v>
      </c>
      <c r="C1478" s="7" t="s">
        <v>12853</v>
      </c>
      <c r="D1478" s="7" t="s">
        <v>4100</v>
      </c>
      <c r="E1478" s="7" t="s">
        <v>12855</v>
      </c>
      <c r="F1478" s="7" t="s">
        <v>3486</v>
      </c>
      <c r="G1478" s="7" t="s">
        <v>12859</v>
      </c>
      <c r="H1478" s="7" t="s">
        <v>12860</v>
      </c>
      <c r="I1478" s="119">
        <v>45292.0</v>
      </c>
      <c r="K1478" s="7" t="s">
        <v>419</v>
      </c>
      <c r="L1478" s="7" t="s">
        <v>991</v>
      </c>
      <c r="M1478" s="7" t="s">
        <v>3583</v>
      </c>
      <c r="N1478" s="7" t="s">
        <v>419</v>
      </c>
      <c r="O1478" s="7" t="s">
        <v>19430</v>
      </c>
      <c r="P1478" s="7" t="s">
        <v>717</v>
      </c>
      <c r="Q1478" s="7" t="s">
        <v>738</v>
      </c>
      <c r="R1478" s="7" t="s">
        <v>20012</v>
      </c>
      <c r="S1478" s="7" t="s">
        <v>20068</v>
      </c>
      <c r="T1478" s="7" t="s">
        <v>5889</v>
      </c>
      <c r="U1478" s="7" t="s">
        <v>3493</v>
      </c>
      <c r="V1478" s="7">
        <v>1.0</v>
      </c>
    </row>
    <row r="1479">
      <c r="A1479" s="7" t="s">
        <v>21385</v>
      </c>
      <c r="B1479" s="7">
        <v>2100630.0</v>
      </c>
      <c r="C1479" s="7" t="s">
        <v>12862</v>
      </c>
      <c r="D1479" s="7" t="s">
        <v>12863</v>
      </c>
      <c r="E1479" s="7" t="s">
        <v>12864</v>
      </c>
      <c r="F1479" s="7" t="s">
        <v>12865</v>
      </c>
      <c r="G1479" s="7" t="s">
        <v>12866</v>
      </c>
      <c r="I1479" s="119">
        <v>45292.0</v>
      </c>
      <c r="K1479" s="7" t="s">
        <v>419</v>
      </c>
      <c r="L1479" s="7" t="s">
        <v>991</v>
      </c>
      <c r="M1479" s="7" t="s">
        <v>3531</v>
      </c>
      <c r="N1479" s="7" t="s">
        <v>419</v>
      </c>
      <c r="O1479" s="7" t="s">
        <v>19430</v>
      </c>
      <c r="P1479" s="7" t="s">
        <v>854</v>
      </c>
      <c r="Q1479" s="7" t="s">
        <v>857</v>
      </c>
      <c r="T1479" s="7" t="s">
        <v>4104</v>
      </c>
      <c r="U1479" s="7" t="s">
        <v>3493</v>
      </c>
      <c r="V1479" s="7">
        <v>1.0</v>
      </c>
    </row>
    <row r="1480">
      <c r="A1480" s="7" t="s">
        <v>21386</v>
      </c>
      <c r="B1480" s="7">
        <v>2300071.0</v>
      </c>
      <c r="C1480" s="7" t="s">
        <v>12862</v>
      </c>
      <c r="D1480" s="7" t="s">
        <v>12868</v>
      </c>
      <c r="E1480" s="7" t="s">
        <v>12864</v>
      </c>
      <c r="F1480" s="7" t="s">
        <v>12459</v>
      </c>
      <c r="G1480" s="7" t="s">
        <v>12869</v>
      </c>
      <c r="H1480" s="7" t="s">
        <v>12870</v>
      </c>
      <c r="I1480" s="119">
        <v>45292.0</v>
      </c>
      <c r="K1480" s="7" t="s">
        <v>3632</v>
      </c>
      <c r="L1480" s="7" t="s">
        <v>991</v>
      </c>
      <c r="M1480" s="7" t="s">
        <v>3501</v>
      </c>
      <c r="N1480" s="7" t="s">
        <v>3632</v>
      </c>
      <c r="O1480" s="7" t="s">
        <v>3632</v>
      </c>
      <c r="P1480" s="7" t="s">
        <v>429</v>
      </c>
      <c r="Q1480" s="7" t="s">
        <v>436</v>
      </c>
      <c r="R1480" s="7" t="s">
        <v>19708</v>
      </c>
      <c r="T1480" s="7" t="s">
        <v>4325</v>
      </c>
      <c r="U1480" s="7" t="s">
        <v>3493</v>
      </c>
      <c r="V1480" s="7">
        <v>1.0</v>
      </c>
    </row>
    <row r="1481">
      <c r="A1481" s="7" t="s">
        <v>21387</v>
      </c>
      <c r="B1481" s="7">
        <v>13683.0</v>
      </c>
      <c r="C1481" s="7" t="s">
        <v>12862</v>
      </c>
      <c r="D1481" s="7" t="s">
        <v>12872</v>
      </c>
      <c r="E1481" s="7" t="s">
        <v>12864</v>
      </c>
      <c r="F1481" s="7" t="s">
        <v>11544</v>
      </c>
      <c r="G1481" s="7" t="s">
        <v>12873</v>
      </c>
      <c r="H1481" s="7" t="s">
        <v>12874</v>
      </c>
      <c r="I1481" s="119">
        <v>45292.0</v>
      </c>
      <c r="K1481" s="7" t="s">
        <v>3632</v>
      </c>
      <c r="L1481" s="7" t="s">
        <v>991</v>
      </c>
      <c r="M1481" s="7" t="s">
        <v>3501</v>
      </c>
      <c r="N1481" s="7" t="s">
        <v>3632</v>
      </c>
      <c r="O1481" s="7" t="s">
        <v>3632</v>
      </c>
      <c r="P1481" s="7" t="s">
        <v>22</v>
      </c>
      <c r="Q1481" s="7" t="s">
        <v>23</v>
      </c>
      <c r="T1481" s="7" t="s">
        <v>10846</v>
      </c>
      <c r="U1481" s="7" t="s">
        <v>3493</v>
      </c>
      <c r="V1481" s="7">
        <v>1.0</v>
      </c>
    </row>
    <row r="1482">
      <c r="A1482" s="7" t="s">
        <v>21388</v>
      </c>
      <c r="B1482" s="7">
        <v>2100548.0</v>
      </c>
      <c r="C1482" s="7" t="s">
        <v>12862</v>
      </c>
      <c r="D1482" s="7" t="s">
        <v>12876</v>
      </c>
      <c r="E1482" s="7" t="s">
        <v>12864</v>
      </c>
      <c r="F1482" s="7" t="s">
        <v>7637</v>
      </c>
      <c r="G1482" s="7" t="s">
        <v>12877</v>
      </c>
      <c r="H1482" s="7" t="s">
        <v>12878</v>
      </c>
      <c r="I1482" s="119">
        <v>45292.0</v>
      </c>
      <c r="K1482" s="7" t="s">
        <v>3632</v>
      </c>
      <c r="L1482" s="7" t="s">
        <v>991</v>
      </c>
      <c r="M1482" s="7" t="s">
        <v>3531</v>
      </c>
      <c r="N1482" s="7" t="s">
        <v>3632</v>
      </c>
      <c r="O1482" s="7" t="s">
        <v>3632</v>
      </c>
      <c r="P1482" s="7" t="s">
        <v>22</v>
      </c>
      <c r="Q1482" s="7" t="s">
        <v>546</v>
      </c>
      <c r="R1482" s="7" t="s">
        <v>20870</v>
      </c>
      <c r="T1482" s="7" t="s">
        <v>12879</v>
      </c>
      <c r="U1482" s="7" t="s">
        <v>3493</v>
      </c>
      <c r="V1482" s="7">
        <v>1.0</v>
      </c>
    </row>
    <row r="1483">
      <c r="A1483" s="7" t="s">
        <v>21389</v>
      </c>
      <c r="B1483" s="7">
        <v>14077.0</v>
      </c>
      <c r="C1483" s="7" t="s">
        <v>12862</v>
      </c>
      <c r="D1483" s="7" t="s">
        <v>12881</v>
      </c>
      <c r="E1483" s="7" t="s">
        <v>12864</v>
      </c>
      <c r="F1483" s="7" t="s">
        <v>4478</v>
      </c>
      <c r="G1483" s="7" t="s">
        <v>12882</v>
      </c>
      <c r="H1483" s="7" t="s">
        <v>12883</v>
      </c>
      <c r="I1483" s="119">
        <v>45292.0</v>
      </c>
      <c r="K1483" s="7" t="s">
        <v>419</v>
      </c>
      <c r="L1483" s="7" t="s">
        <v>991</v>
      </c>
      <c r="M1483" s="7" t="s">
        <v>3531</v>
      </c>
      <c r="N1483" s="7" t="s">
        <v>419</v>
      </c>
      <c r="O1483" s="7" t="s">
        <v>19430</v>
      </c>
      <c r="P1483" s="7" t="s">
        <v>717</v>
      </c>
      <c r="Q1483" s="7" t="s">
        <v>720</v>
      </c>
      <c r="R1483" s="7" t="s">
        <v>19626</v>
      </c>
      <c r="S1483" s="7" t="s">
        <v>19627</v>
      </c>
      <c r="T1483" s="7" t="s">
        <v>4029</v>
      </c>
      <c r="U1483" s="7" t="s">
        <v>3493</v>
      </c>
      <c r="V1483" s="7">
        <v>1.0</v>
      </c>
    </row>
    <row r="1484">
      <c r="A1484" s="7" t="s">
        <v>21390</v>
      </c>
      <c r="B1484" s="7">
        <v>2300331.0</v>
      </c>
      <c r="C1484" s="7" t="s">
        <v>12885</v>
      </c>
      <c r="D1484" s="7" t="s">
        <v>12886</v>
      </c>
      <c r="E1484" s="7" t="s">
        <v>12887</v>
      </c>
      <c r="F1484" s="7" t="s">
        <v>12888</v>
      </c>
      <c r="G1484" s="7" t="s">
        <v>12889</v>
      </c>
      <c r="H1484" s="7" t="s">
        <v>12890</v>
      </c>
      <c r="I1484" s="119">
        <v>45292.0</v>
      </c>
      <c r="K1484" s="7" t="s">
        <v>419</v>
      </c>
      <c r="L1484" s="7" t="s">
        <v>991</v>
      </c>
      <c r="M1484" s="7" t="s">
        <v>3531</v>
      </c>
      <c r="N1484" s="7" t="s">
        <v>419</v>
      </c>
      <c r="O1484" s="7" t="s">
        <v>19433</v>
      </c>
      <c r="P1484" s="7" t="s">
        <v>648</v>
      </c>
      <c r="Q1484" s="7" t="s">
        <v>143</v>
      </c>
      <c r="R1484" s="7" t="s">
        <v>19712</v>
      </c>
      <c r="S1484" s="7" t="s">
        <v>19830</v>
      </c>
      <c r="T1484" s="7" t="s">
        <v>4797</v>
      </c>
      <c r="U1484" s="7" t="s">
        <v>3493</v>
      </c>
      <c r="V1484" s="7">
        <v>1.0</v>
      </c>
    </row>
    <row r="1485">
      <c r="A1485" s="7" t="s">
        <v>21391</v>
      </c>
      <c r="B1485" s="7">
        <v>2100400.0</v>
      </c>
      <c r="C1485" s="7" t="s">
        <v>12885</v>
      </c>
      <c r="D1485" s="7" t="s">
        <v>12892</v>
      </c>
      <c r="E1485" s="7" t="s">
        <v>12887</v>
      </c>
      <c r="F1485" s="7" t="s">
        <v>9184</v>
      </c>
      <c r="G1485" s="7" t="s">
        <v>12893</v>
      </c>
      <c r="H1485" s="7" t="s">
        <v>12894</v>
      </c>
      <c r="I1485" s="119">
        <v>45292.0</v>
      </c>
      <c r="K1485" s="7" t="s">
        <v>419</v>
      </c>
      <c r="L1485" s="7" t="s">
        <v>991</v>
      </c>
      <c r="M1485" s="7" t="s">
        <v>3501</v>
      </c>
      <c r="N1485" s="7" t="s">
        <v>419</v>
      </c>
      <c r="O1485" s="7" t="s">
        <v>19432</v>
      </c>
      <c r="P1485" s="7" t="s">
        <v>391</v>
      </c>
      <c r="Q1485" s="7" t="s">
        <v>399</v>
      </c>
      <c r="R1485" s="7" t="s">
        <v>20010</v>
      </c>
      <c r="T1485" s="7" t="s">
        <v>5638</v>
      </c>
      <c r="U1485" s="7" t="s">
        <v>3493</v>
      </c>
      <c r="V1485" s="7">
        <v>1.0</v>
      </c>
    </row>
    <row r="1486">
      <c r="A1486" s="7" t="s">
        <v>21392</v>
      </c>
      <c r="B1486" s="7">
        <v>12249.0</v>
      </c>
      <c r="C1486" s="7" t="s">
        <v>12885</v>
      </c>
      <c r="D1486" s="7" t="s">
        <v>12897</v>
      </c>
      <c r="E1486" s="7" t="s">
        <v>12887</v>
      </c>
      <c r="F1486" s="7" t="s">
        <v>3806</v>
      </c>
      <c r="G1486" s="7" t="s">
        <v>12898</v>
      </c>
      <c r="H1486" s="7" t="s">
        <v>12899</v>
      </c>
      <c r="I1486" s="119">
        <v>45292.0</v>
      </c>
      <c r="K1486" s="7" t="s">
        <v>419</v>
      </c>
      <c r="L1486" s="7" t="s">
        <v>991</v>
      </c>
      <c r="M1486" s="7" t="s">
        <v>3501</v>
      </c>
      <c r="N1486" s="7" t="s">
        <v>419</v>
      </c>
      <c r="O1486" s="7" t="s">
        <v>19443</v>
      </c>
      <c r="P1486" s="7" t="s">
        <v>1242</v>
      </c>
      <c r="Q1486" s="7" t="s">
        <v>39</v>
      </c>
      <c r="R1486" s="7" t="s">
        <v>19712</v>
      </c>
      <c r="S1486" s="7" t="s">
        <v>19749</v>
      </c>
      <c r="T1486" s="7" t="s">
        <v>21393</v>
      </c>
      <c r="U1486" s="7" t="s">
        <v>3493</v>
      </c>
      <c r="V1486" s="7">
        <v>1.0</v>
      </c>
    </row>
    <row r="1487">
      <c r="A1487" s="7" t="s">
        <v>21394</v>
      </c>
      <c r="B1487" s="7">
        <v>13054.0</v>
      </c>
      <c r="C1487" s="7" t="s">
        <v>12903</v>
      </c>
      <c r="D1487" s="7" t="s">
        <v>12904</v>
      </c>
      <c r="E1487" s="7" t="s">
        <v>11585</v>
      </c>
      <c r="F1487" s="7" t="s">
        <v>5229</v>
      </c>
      <c r="G1487" s="7" t="s">
        <v>12905</v>
      </c>
      <c r="H1487" s="7" t="s">
        <v>12906</v>
      </c>
      <c r="I1487" s="119">
        <v>45292.0</v>
      </c>
      <c r="K1487" s="7" t="s">
        <v>419</v>
      </c>
      <c r="L1487" s="7" t="s">
        <v>991</v>
      </c>
      <c r="M1487" s="7" t="s">
        <v>3531</v>
      </c>
      <c r="N1487" s="7" t="s">
        <v>419</v>
      </c>
      <c r="O1487" s="7" t="s">
        <v>19430</v>
      </c>
      <c r="P1487" s="7" t="s">
        <v>717</v>
      </c>
      <c r="Q1487" s="7" t="s">
        <v>725</v>
      </c>
      <c r="R1487" s="7" t="s">
        <v>19501</v>
      </c>
      <c r="S1487" s="7" t="s">
        <v>19688</v>
      </c>
      <c r="T1487" s="7" t="s">
        <v>4257</v>
      </c>
      <c r="U1487" s="7" t="s">
        <v>3493</v>
      </c>
      <c r="V1487" s="7">
        <v>1.0</v>
      </c>
    </row>
    <row r="1488">
      <c r="A1488" s="7" t="s">
        <v>21395</v>
      </c>
      <c r="B1488" s="7">
        <v>11331.0</v>
      </c>
      <c r="C1488" s="7" t="s">
        <v>12908</v>
      </c>
      <c r="D1488" s="7" t="s">
        <v>12909</v>
      </c>
      <c r="E1488" s="7" t="s">
        <v>12910</v>
      </c>
      <c r="F1488" s="7" t="s">
        <v>3748</v>
      </c>
      <c r="G1488" s="7" t="s">
        <v>12911</v>
      </c>
      <c r="H1488" s="7" t="s">
        <v>12912</v>
      </c>
      <c r="I1488" s="119">
        <v>45292.0</v>
      </c>
      <c r="K1488" s="7" t="s">
        <v>419</v>
      </c>
      <c r="L1488" s="7" t="s">
        <v>991</v>
      </c>
      <c r="M1488" s="7" t="s">
        <v>3501</v>
      </c>
      <c r="N1488" s="7" t="s">
        <v>419</v>
      </c>
      <c r="O1488" s="7" t="s">
        <v>19430</v>
      </c>
      <c r="P1488" s="7" t="s">
        <v>717</v>
      </c>
      <c r="Q1488" s="7" t="s">
        <v>722</v>
      </c>
      <c r="R1488" s="7" t="s">
        <v>20209</v>
      </c>
      <c r="T1488" s="7" t="s">
        <v>21396</v>
      </c>
      <c r="U1488" s="7" t="s">
        <v>3604</v>
      </c>
      <c r="V1488" s="7">
        <v>1.0</v>
      </c>
    </row>
    <row r="1489">
      <c r="A1489" s="7" t="s">
        <v>21397</v>
      </c>
      <c r="B1489" s="7">
        <v>396.0</v>
      </c>
      <c r="C1489" s="7" t="s">
        <v>12908</v>
      </c>
      <c r="D1489" s="7" t="s">
        <v>12916</v>
      </c>
      <c r="E1489" s="7" t="s">
        <v>12910</v>
      </c>
      <c r="F1489" s="7" t="s">
        <v>5155</v>
      </c>
      <c r="G1489" s="7" t="s">
        <v>12917</v>
      </c>
      <c r="H1489" s="7" t="s">
        <v>12918</v>
      </c>
      <c r="I1489" s="119">
        <v>45292.0</v>
      </c>
      <c r="K1489" s="7" t="s">
        <v>419</v>
      </c>
      <c r="L1489" s="7" t="s">
        <v>991</v>
      </c>
      <c r="M1489" s="7" t="s">
        <v>3501</v>
      </c>
      <c r="N1489" s="7" t="s">
        <v>419</v>
      </c>
      <c r="O1489" s="7" t="s">
        <v>19432</v>
      </c>
      <c r="P1489" s="7" t="s">
        <v>391</v>
      </c>
      <c r="Q1489" s="7" t="s">
        <v>890</v>
      </c>
      <c r="R1489" s="7" t="s">
        <v>19497</v>
      </c>
      <c r="T1489" s="7" t="s">
        <v>7757</v>
      </c>
      <c r="U1489" s="7" t="s">
        <v>3493</v>
      </c>
      <c r="V1489" s="7">
        <v>1.0</v>
      </c>
    </row>
    <row r="1490">
      <c r="A1490" s="7" t="s">
        <v>21398</v>
      </c>
      <c r="B1490" s="7">
        <v>10443.0</v>
      </c>
      <c r="C1490" s="7" t="s">
        <v>12921</v>
      </c>
      <c r="D1490" s="7" t="s">
        <v>11710</v>
      </c>
      <c r="E1490" s="7" t="s">
        <v>12922</v>
      </c>
      <c r="F1490" s="7" t="s">
        <v>5441</v>
      </c>
      <c r="G1490" s="7" t="s">
        <v>12923</v>
      </c>
      <c r="H1490" s="7" t="s">
        <v>12924</v>
      </c>
      <c r="I1490" s="119">
        <v>45292.0</v>
      </c>
      <c r="K1490" s="7" t="s">
        <v>419</v>
      </c>
      <c r="L1490" s="7" t="s">
        <v>991</v>
      </c>
      <c r="M1490" s="7" t="s">
        <v>3501</v>
      </c>
      <c r="N1490" s="7" t="s">
        <v>419</v>
      </c>
      <c r="O1490" s="7" t="s">
        <v>19432</v>
      </c>
      <c r="P1490" s="7" t="s">
        <v>693</v>
      </c>
      <c r="Q1490" s="7" t="s">
        <v>703</v>
      </c>
      <c r="R1490" s="7" t="s">
        <v>19579</v>
      </c>
      <c r="S1490" s="7" t="s">
        <v>21306</v>
      </c>
      <c r="T1490" s="7" t="s">
        <v>12445</v>
      </c>
      <c r="U1490" s="7" t="s">
        <v>3843</v>
      </c>
      <c r="V1490" s="7">
        <v>1.0</v>
      </c>
    </row>
    <row r="1491">
      <c r="A1491" s="7" t="s">
        <v>21399</v>
      </c>
      <c r="B1491" s="7">
        <v>10607.0</v>
      </c>
      <c r="C1491" s="7" t="s">
        <v>12925</v>
      </c>
      <c r="D1491" s="7" t="s">
        <v>12926</v>
      </c>
      <c r="E1491" s="7" t="s">
        <v>12922</v>
      </c>
      <c r="F1491" s="7" t="s">
        <v>4929</v>
      </c>
      <c r="G1491" s="7" t="s">
        <v>12927</v>
      </c>
      <c r="H1491" s="7" t="s">
        <v>12928</v>
      </c>
      <c r="I1491" s="119">
        <v>45292.0</v>
      </c>
      <c r="K1491" s="7" t="s">
        <v>419</v>
      </c>
      <c r="L1491" s="7" t="s">
        <v>991</v>
      </c>
      <c r="M1491" s="7" t="s">
        <v>3501</v>
      </c>
      <c r="N1491" s="7" t="s">
        <v>419</v>
      </c>
      <c r="O1491" s="7" t="s">
        <v>19437</v>
      </c>
      <c r="P1491" s="7" t="s">
        <v>478</v>
      </c>
      <c r="Q1491" s="7" t="s">
        <v>491</v>
      </c>
      <c r="R1491" s="7" t="s">
        <v>20505</v>
      </c>
      <c r="T1491" s="7" t="s">
        <v>20506</v>
      </c>
      <c r="U1491" s="7" t="s">
        <v>3604</v>
      </c>
      <c r="V1491" s="7">
        <v>1.0</v>
      </c>
    </row>
    <row r="1492">
      <c r="A1492" s="7" t="s">
        <v>2100</v>
      </c>
      <c r="B1492" s="7">
        <v>829.0</v>
      </c>
      <c r="C1492" s="7" t="s">
        <v>12921</v>
      </c>
      <c r="D1492" s="7" t="s">
        <v>12930</v>
      </c>
      <c r="E1492" s="7" t="s">
        <v>12922</v>
      </c>
      <c r="F1492" s="7" t="s">
        <v>4960</v>
      </c>
      <c r="G1492" s="7" t="s">
        <v>12931</v>
      </c>
      <c r="H1492" s="7" t="s">
        <v>12932</v>
      </c>
      <c r="I1492" s="119">
        <v>45292.0</v>
      </c>
      <c r="K1492" s="7" t="s">
        <v>419</v>
      </c>
      <c r="L1492" s="7" t="s">
        <v>991</v>
      </c>
      <c r="M1492" s="7" t="s">
        <v>3501</v>
      </c>
      <c r="N1492" s="7" t="s">
        <v>419</v>
      </c>
      <c r="O1492" s="7" t="s">
        <v>19430</v>
      </c>
      <c r="P1492" s="7" t="s">
        <v>717</v>
      </c>
      <c r="T1492" s="7" t="s">
        <v>12934</v>
      </c>
      <c r="U1492" s="7" t="s">
        <v>12935</v>
      </c>
      <c r="V1492" s="7">
        <v>1.0</v>
      </c>
    </row>
    <row r="1493">
      <c r="A1493" s="7" t="s">
        <v>21400</v>
      </c>
      <c r="B1493" s="7">
        <v>2300358.0</v>
      </c>
      <c r="C1493" s="7" t="s">
        <v>12937</v>
      </c>
      <c r="D1493" s="7" t="s">
        <v>12938</v>
      </c>
      <c r="E1493" s="7" t="s">
        <v>12939</v>
      </c>
      <c r="F1493" s="7" t="s">
        <v>8834</v>
      </c>
      <c r="G1493" s="7" t="s">
        <v>12940</v>
      </c>
      <c r="H1493" s="7" t="s">
        <v>12941</v>
      </c>
      <c r="I1493" s="119">
        <v>45292.0</v>
      </c>
      <c r="K1493" s="7" t="s">
        <v>3632</v>
      </c>
      <c r="L1493" s="7" t="s">
        <v>991</v>
      </c>
      <c r="M1493" s="7" t="s">
        <v>3531</v>
      </c>
      <c r="N1493" s="7" t="s">
        <v>3632</v>
      </c>
      <c r="O1493" s="7" t="s">
        <v>3632</v>
      </c>
      <c r="P1493" s="7" t="s">
        <v>625</v>
      </c>
      <c r="Q1493" s="7" t="s">
        <v>118</v>
      </c>
      <c r="R1493" s="7" t="s">
        <v>20202</v>
      </c>
      <c r="T1493" s="7" t="s">
        <v>12942</v>
      </c>
      <c r="U1493" s="7" t="s">
        <v>3493</v>
      </c>
      <c r="V1493" s="7">
        <v>1.0</v>
      </c>
    </row>
    <row r="1494">
      <c r="A1494" s="7" t="s">
        <v>21401</v>
      </c>
      <c r="B1494" s="7">
        <v>2100388.0</v>
      </c>
      <c r="C1494" s="7" t="s">
        <v>12944</v>
      </c>
      <c r="D1494" s="7" t="s">
        <v>12945</v>
      </c>
      <c r="E1494" s="7" t="s">
        <v>12946</v>
      </c>
      <c r="F1494" s="7" t="s">
        <v>10491</v>
      </c>
      <c r="G1494" s="7" t="s">
        <v>12947</v>
      </c>
      <c r="H1494" s="7" t="s">
        <v>12948</v>
      </c>
      <c r="I1494" s="119">
        <v>45292.0</v>
      </c>
      <c r="K1494" s="7" t="s">
        <v>419</v>
      </c>
      <c r="L1494" s="7" t="s">
        <v>991</v>
      </c>
      <c r="M1494" s="7" t="s">
        <v>3531</v>
      </c>
      <c r="N1494" s="7" t="s">
        <v>419</v>
      </c>
      <c r="O1494" s="7" t="s">
        <v>19430</v>
      </c>
      <c r="P1494" s="7" t="s">
        <v>717</v>
      </c>
      <c r="Q1494" s="7" t="s">
        <v>738</v>
      </c>
      <c r="R1494" s="7" t="s">
        <v>19818</v>
      </c>
      <c r="S1494" s="7" t="s">
        <v>19668</v>
      </c>
      <c r="T1494" s="7" t="s">
        <v>4739</v>
      </c>
      <c r="U1494" s="7" t="s">
        <v>3493</v>
      </c>
      <c r="V1494" s="7">
        <v>1.0</v>
      </c>
    </row>
    <row r="1495">
      <c r="A1495" s="7" t="s">
        <v>21402</v>
      </c>
      <c r="B1495" s="7">
        <v>2300458.0</v>
      </c>
      <c r="C1495" s="7" t="s">
        <v>12950</v>
      </c>
      <c r="D1495" s="7" t="s">
        <v>12951</v>
      </c>
      <c r="E1495" s="7" t="s">
        <v>12952</v>
      </c>
      <c r="F1495" s="7" t="s">
        <v>5475</v>
      </c>
      <c r="G1495" s="7" t="s">
        <v>12953</v>
      </c>
      <c r="H1495" s="7" t="s">
        <v>12954</v>
      </c>
      <c r="I1495" s="119">
        <v>45292.0</v>
      </c>
      <c r="K1495" s="7" t="s">
        <v>419</v>
      </c>
      <c r="L1495" s="7" t="s">
        <v>991</v>
      </c>
      <c r="M1495" s="7" t="s">
        <v>3531</v>
      </c>
      <c r="N1495" s="7" t="s">
        <v>419</v>
      </c>
      <c r="O1495" s="7" t="s">
        <v>19430</v>
      </c>
      <c r="P1495" s="7" t="s">
        <v>717</v>
      </c>
      <c r="Q1495" s="7" t="s">
        <v>1163</v>
      </c>
      <c r="R1495" s="7" t="s">
        <v>19546</v>
      </c>
      <c r="S1495" s="7" t="s">
        <v>19547</v>
      </c>
      <c r="T1495" s="7" t="s">
        <v>3743</v>
      </c>
      <c r="U1495" s="7" t="s">
        <v>3493</v>
      </c>
      <c r="V1495" s="7">
        <v>1.0</v>
      </c>
    </row>
    <row r="1496">
      <c r="A1496" s="7" t="s">
        <v>21403</v>
      </c>
      <c r="B1496" s="7">
        <v>2400003.0</v>
      </c>
      <c r="C1496" s="7" t="s">
        <v>12956</v>
      </c>
      <c r="D1496" s="7" t="s">
        <v>8029</v>
      </c>
      <c r="E1496" s="7" t="s">
        <v>12957</v>
      </c>
      <c r="F1496" s="7" t="s">
        <v>4929</v>
      </c>
      <c r="G1496" s="7" t="s">
        <v>12958</v>
      </c>
      <c r="H1496" s="7" t="s">
        <v>12959</v>
      </c>
      <c r="I1496" s="119">
        <v>45292.0</v>
      </c>
      <c r="K1496" s="7" t="s">
        <v>419</v>
      </c>
      <c r="L1496" s="7" t="s">
        <v>991</v>
      </c>
      <c r="M1496" s="7" t="s">
        <v>3501</v>
      </c>
      <c r="N1496" s="7" t="s">
        <v>419</v>
      </c>
      <c r="O1496" s="7" t="s">
        <v>19432</v>
      </c>
      <c r="P1496" s="7" t="s">
        <v>693</v>
      </c>
      <c r="Q1496" s="7" t="s">
        <v>696</v>
      </c>
      <c r="R1496" s="7" t="s">
        <v>19934</v>
      </c>
      <c r="S1496" s="7" t="s">
        <v>19739</v>
      </c>
      <c r="T1496" s="7" t="s">
        <v>11449</v>
      </c>
      <c r="U1496" s="7" t="s">
        <v>3493</v>
      </c>
      <c r="V1496" s="7">
        <v>1.0</v>
      </c>
    </row>
    <row r="1497">
      <c r="A1497" s="7" t="s">
        <v>21404</v>
      </c>
      <c r="B1497" s="7">
        <v>2300159.0</v>
      </c>
      <c r="C1497" s="7" t="s">
        <v>12956</v>
      </c>
      <c r="D1497" s="7" t="s">
        <v>12961</v>
      </c>
      <c r="E1497" s="7" t="s">
        <v>12957</v>
      </c>
      <c r="F1497" s="7" t="s">
        <v>3739</v>
      </c>
      <c r="G1497" s="7" t="s">
        <v>12962</v>
      </c>
      <c r="H1497" s="7" t="s">
        <v>12963</v>
      </c>
      <c r="I1497" s="119">
        <v>45292.0</v>
      </c>
      <c r="K1497" s="7" t="s">
        <v>419</v>
      </c>
      <c r="L1497" s="7" t="s">
        <v>991</v>
      </c>
      <c r="M1497" s="7" t="s">
        <v>3531</v>
      </c>
      <c r="N1497" s="7" t="s">
        <v>419</v>
      </c>
      <c r="O1497" s="7" t="s">
        <v>19430</v>
      </c>
      <c r="P1497" s="7" t="s">
        <v>717</v>
      </c>
      <c r="Q1497" s="7" t="s">
        <v>1163</v>
      </c>
      <c r="R1497" s="7" t="s">
        <v>19601</v>
      </c>
      <c r="S1497" s="7" t="s">
        <v>19811</v>
      </c>
      <c r="T1497" s="7" t="s">
        <v>4721</v>
      </c>
      <c r="U1497" s="7" t="s">
        <v>3493</v>
      </c>
      <c r="V1497" s="7">
        <v>1.0</v>
      </c>
    </row>
    <row r="1498">
      <c r="A1498" s="7" t="s">
        <v>21405</v>
      </c>
      <c r="B1498" s="7">
        <v>2100049.0</v>
      </c>
      <c r="C1498" s="7" t="s">
        <v>12965</v>
      </c>
      <c r="D1498" s="7" t="s">
        <v>12199</v>
      </c>
      <c r="E1498" s="7" t="s">
        <v>12966</v>
      </c>
      <c r="F1498" s="7" t="s">
        <v>12201</v>
      </c>
      <c r="G1498" s="7" t="s">
        <v>12967</v>
      </c>
      <c r="H1498" s="7" t="s">
        <v>12968</v>
      </c>
      <c r="I1498" s="119">
        <v>45292.0</v>
      </c>
      <c r="K1498" s="7" t="s">
        <v>419</v>
      </c>
      <c r="L1498" s="7" t="s">
        <v>991</v>
      </c>
      <c r="M1498" s="7" t="s">
        <v>3501</v>
      </c>
      <c r="N1498" s="7" t="s">
        <v>419</v>
      </c>
      <c r="O1498" s="7" t="s">
        <v>19430</v>
      </c>
      <c r="P1498" s="7" t="s">
        <v>717</v>
      </c>
      <c r="Q1498" s="7" t="s">
        <v>251</v>
      </c>
      <c r="R1498" s="7" t="s">
        <v>19530</v>
      </c>
      <c r="S1498" s="7" t="s">
        <v>19531</v>
      </c>
      <c r="T1498" s="7" t="s">
        <v>3669</v>
      </c>
      <c r="U1498" s="7" t="s">
        <v>3843</v>
      </c>
      <c r="V1498" s="7">
        <v>1.0</v>
      </c>
    </row>
    <row r="1499">
      <c r="A1499" s="7" t="s">
        <v>21406</v>
      </c>
      <c r="B1499" s="7">
        <v>11215.0</v>
      </c>
      <c r="C1499" s="7" t="s">
        <v>12965</v>
      </c>
      <c r="D1499" s="7" t="s">
        <v>12194</v>
      </c>
      <c r="E1499" s="7" t="s">
        <v>12966</v>
      </c>
      <c r="F1499" s="7" t="s">
        <v>12970</v>
      </c>
      <c r="G1499" s="7" t="s">
        <v>12971</v>
      </c>
      <c r="H1499" s="7" t="s">
        <v>12972</v>
      </c>
      <c r="I1499" s="119">
        <v>45292.0</v>
      </c>
      <c r="K1499" s="7" t="s">
        <v>3885</v>
      </c>
      <c r="L1499" s="7" t="s">
        <v>3542</v>
      </c>
      <c r="M1499" s="7" t="s">
        <v>3543</v>
      </c>
      <c r="N1499" s="7" t="s">
        <v>419</v>
      </c>
      <c r="O1499" s="7" t="s">
        <v>19433</v>
      </c>
      <c r="P1499" s="7" t="s">
        <v>648</v>
      </c>
      <c r="Q1499" s="7" t="s">
        <v>651</v>
      </c>
      <c r="R1499" s="7" t="s">
        <v>19587</v>
      </c>
      <c r="S1499" s="7" t="s">
        <v>19942</v>
      </c>
      <c r="T1499" s="7" t="s">
        <v>19943</v>
      </c>
      <c r="U1499" s="7" t="s">
        <v>3493</v>
      </c>
      <c r="V1499" s="7">
        <v>1.0</v>
      </c>
    </row>
    <row r="1500">
      <c r="A1500" s="7" t="s">
        <v>21407</v>
      </c>
      <c r="B1500" s="7">
        <v>2300451.0</v>
      </c>
      <c r="C1500" s="7" t="s">
        <v>12965</v>
      </c>
      <c r="D1500" s="7" t="s">
        <v>12130</v>
      </c>
      <c r="E1500" s="7" t="s">
        <v>12966</v>
      </c>
      <c r="F1500" s="7" t="s">
        <v>12031</v>
      </c>
      <c r="G1500" s="7" t="s">
        <v>12974</v>
      </c>
      <c r="H1500" s="7" t="s">
        <v>12975</v>
      </c>
      <c r="I1500" s="119">
        <v>45292.0</v>
      </c>
      <c r="K1500" s="7" t="s">
        <v>419</v>
      </c>
      <c r="L1500" s="7" t="s">
        <v>991</v>
      </c>
      <c r="M1500" s="7" t="s">
        <v>3531</v>
      </c>
      <c r="N1500" s="7" t="s">
        <v>419</v>
      </c>
      <c r="O1500" s="7" t="s">
        <v>19430</v>
      </c>
      <c r="P1500" s="7" t="s">
        <v>717</v>
      </c>
      <c r="Q1500" s="7" t="s">
        <v>1163</v>
      </c>
      <c r="R1500" s="7" t="s">
        <v>19546</v>
      </c>
      <c r="S1500" s="7" t="s">
        <v>19547</v>
      </c>
      <c r="T1500" s="7" t="s">
        <v>3743</v>
      </c>
      <c r="U1500" s="7" t="s">
        <v>3493</v>
      </c>
      <c r="V1500" s="7">
        <v>1.0</v>
      </c>
    </row>
    <row r="1501">
      <c r="A1501" s="7" t="s">
        <v>21408</v>
      </c>
      <c r="B1501" s="7">
        <v>2100031.0</v>
      </c>
      <c r="C1501" s="7" t="s">
        <v>12977</v>
      </c>
      <c r="D1501" s="7" t="s">
        <v>4699</v>
      </c>
      <c r="E1501" s="7" t="s">
        <v>12978</v>
      </c>
      <c r="F1501" s="7" t="s">
        <v>4700</v>
      </c>
      <c r="G1501" s="7" t="s">
        <v>12979</v>
      </c>
      <c r="H1501" s="7" t="s">
        <v>12980</v>
      </c>
      <c r="I1501" s="119">
        <v>45292.0</v>
      </c>
      <c r="K1501" s="7" t="s">
        <v>419</v>
      </c>
      <c r="L1501" s="7" t="s">
        <v>991</v>
      </c>
      <c r="M1501" s="7" t="s">
        <v>3531</v>
      </c>
      <c r="N1501" s="7" t="s">
        <v>419</v>
      </c>
      <c r="O1501" s="7" t="s">
        <v>19430</v>
      </c>
      <c r="P1501" s="7" t="s">
        <v>717</v>
      </c>
      <c r="Q1501" s="7" t="s">
        <v>1163</v>
      </c>
      <c r="R1501" s="7" t="s">
        <v>19608</v>
      </c>
      <c r="S1501" s="7" t="s">
        <v>19618</v>
      </c>
      <c r="T1501" s="7" t="s">
        <v>3997</v>
      </c>
      <c r="U1501" s="7" t="s">
        <v>3493</v>
      </c>
      <c r="V1501" s="7">
        <v>1.0</v>
      </c>
    </row>
    <row r="1502">
      <c r="A1502" s="7" t="s">
        <v>21409</v>
      </c>
      <c r="B1502" s="7">
        <v>2100691.0</v>
      </c>
      <c r="C1502" s="7" t="s">
        <v>12982</v>
      </c>
      <c r="D1502" s="7" t="s">
        <v>12983</v>
      </c>
      <c r="E1502" s="7" t="s">
        <v>12984</v>
      </c>
      <c r="F1502" s="7" t="s">
        <v>5943</v>
      </c>
      <c r="G1502" s="7" t="s">
        <v>12985</v>
      </c>
      <c r="H1502" s="7" t="s">
        <v>12986</v>
      </c>
      <c r="I1502" s="119">
        <v>45292.0</v>
      </c>
      <c r="K1502" s="7" t="s">
        <v>419</v>
      </c>
      <c r="L1502" s="7" t="s">
        <v>991</v>
      </c>
      <c r="M1502" s="7" t="s">
        <v>3501</v>
      </c>
      <c r="N1502" s="7" t="s">
        <v>419</v>
      </c>
      <c r="O1502" s="7" t="s">
        <v>19432</v>
      </c>
      <c r="P1502" s="7" t="s">
        <v>693</v>
      </c>
      <c r="Q1502" s="7" t="s">
        <v>703</v>
      </c>
      <c r="R1502" s="7" t="s">
        <v>19579</v>
      </c>
      <c r="S1502" s="7" t="s">
        <v>21410</v>
      </c>
      <c r="T1502" s="7" t="s">
        <v>21411</v>
      </c>
      <c r="U1502" s="7" t="s">
        <v>3493</v>
      </c>
      <c r="V1502" s="7">
        <v>1.0</v>
      </c>
    </row>
    <row r="1503">
      <c r="A1503" s="7" t="s">
        <v>21412</v>
      </c>
      <c r="B1503" s="7">
        <v>13679.0</v>
      </c>
      <c r="C1503" s="7" t="s">
        <v>12982</v>
      </c>
      <c r="D1503" s="7" t="s">
        <v>3780</v>
      </c>
      <c r="E1503" s="7" t="s">
        <v>12984</v>
      </c>
      <c r="F1503" s="7" t="s">
        <v>3781</v>
      </c>
      <c r="G1503" s="7" t="s">
        <v>12990</v>
      </c>
      <c r="H1503" s="7" t="s">
        <v>12991</v>
      </c>
      <c r="I1503" s="119">
        <v>45292.0</v>
      </c>
      <c r="K1503" s="7" t="s">
        <v>3632</v>
      </c>
      <c r="L1503" s="7" t="s">
        <v>991</v>
      </c>
      <c r="M1503" s="7" t="s">
        <v>3501</v>
      </c>
      <c r="N1503" s="7" t="s">
        <v>3632</v>
      </c>
      <c r="O1503" s="7" t="s">
        <v>3632</v>
      </c>
      <c r="P1503" s="7" t="s">
        <v>22</v>
      </c>
      <c r="Q1503" s="7" t="s">
        <v>23</v>
      </c>
      <c r="T1503" s="7" t="s">
        <v>10846</v>
      </c>
      <c r="U1503" s="7" t="s">
        <v>3493</v>
      </c>
      <c r="V1503" s="7">
        <v>1.0</v>
      </c>
    </row>
    <row r="1504">
      <c r="A1504" s="7" t="s">
        <v>21413</v>
      </c>
      <c r="B1504" s="7">
        <v>2300781.0</v>
      </c>
      <c r="C1504" s="7" t="s">
        <v>12982</v>
      </c>
      <c r="D1504" s="7" t="s">
        <v>12330</v>
      </c>
      <c r="E1504" s="7" t="s">
        <v>12984</v>
      </c>
      <c r="F1504" s="7" t="s">
        <v>12994</v>
      </c>
      <c r="G1504" s="7" t="s">
        <v>12995</v>
      </c>
      <c r="H1504" s="7" t="s">
        <v>12996</v>
      </c>
      <c r="I1504" s="119">
        <v>45292.0</v>
      </c>
      <c r="K1504" s="7" t="s">
        <v>3642</v>
      </c>
      <c r="L1504" s="7" t="s">
        <v>991</v>
      </c>
      <c r="M1504" s="7" t="s">
        <v>3501</v>
      </c>
      <c r="N1504" s="7" t="s">
        <v>3642</v>
      </c>
      <c r="O1504" s="7" t="s">
        <v>3642</v>
      </c>
      <c r="P1504" s="7" t="s">
        <v>19524</v>
      </c>
      <c r="T1504" s="7" t="s">
        <v>3644</v>
      </c>
      <c r="U1504" s="7" t="s">
        <v>3493</v>
      </c>
      <c r="V1504" s="7">
        <v>1.0</v>
      </c>
    </row>
    <row r="1505">
      <c r="A1505" s="7" t="s">
        <v>21414</v>
      </c>
      <c r="B1505" s="7">
        <v>13244.0</v>
      </c>
      <c r="C1505" s="7" t="s">
        <v>12998</v>
      </c>
      <c r="D1505" s="7" t="s">
        <v>12999</v>
      </c>
      <c r="E1505" s="7" t="s">
        <v>13000</v>
      </c>
      <c r="F1505" s="7" t="s">
        <v>13001</v>
      </c>
      <c r="G1505" s="7" t="s">
        <v>13002</v>
      </c>
      <c r="H1505" s="7" t="s">
        <v>13003</v>
      </c>
      <c r="I1505" s="119">
        <v>45292.0</v>
      </c>
      <c r="K1505" s="7" t="s">
        <v>419</v>
      </c>
      <c r="L1505" s="7" t="s">
        <v>991</v>
      </c>
      <c r="M1505" s="7" t="s">
        <v>3501</v>
      </c>
      <c r="N1505" s="7" t="s">
        <v>419</v>
      </c>
      <c r="O1505" s="7" t="s">
        <v>19430</v>
      </c>
      <c r="P1505" s="7" t="s">
        <v>717</v>
      </c>
      <c r="Q1505" s="7" t="s">
        <v>738</v>
      </c>
      <c r="R1505" s="7" t="s">
        <v>19574</v>
      </c>
      <c r="T1505" s="7" t="s">
        <v>13005</v>
      </c>
      <c r="U1505" s="7" t="s">
        <v>3604</v>
      </c>
      <c r="V1505" s="7">
        <v>1.0</v>
      </c>
    </row>
    <row r="1506">
      <c r="A1506" s="7" t="s">
        <v>21415</v>
      </c>
      <c r="B1506" s="7">
        <v>13602.0</v>
      </c>
      <c r="C1506" s="7" t="s">
        <v>13007</v>
      </c>
      <c r="D1506" s="7" t="s">
        <v>5431</v>
      </c>
      <c r="E1506" s="7" t="s">
        <v>13008</v>
      </c>
      <c r="F1506" s="7" t="s">
        <v>5433</v>
      </c>
      <c r="G1506" s="7" t="s">
        <v>13009</v>
      </c>
      <c r="H1506" s="7" t="s">
        <v>13010</v>
      </c>
      <c r="I1506" s="119">
        <v>45292.0</v>
      </c>
      <c r="K1506" s="7" t="s">
        <v>419</v>
      </c>
      <c r="L1506" s="7" t="s">
        <v>991</v>
      </c>
      <c r="M1506" s="7" t="s">
        <v>3501</v>
      </c>
      <c r="N1506" s="7" t="s">
        <v>419</v>
      </c>
      <c r="O1506" s="7" t="s">
        <v>19432</v>
      </c>
      <c r="P1506" s="7" t="s">
        <v>693</v>
      </c>
      <c r="Q1506" s="7" t="s">
        <v>703</v>
      </c>
      <c r="R1506" s="7" t="s">
        <v>19579</v>
      </c>
      <c r="S1506" s="7" t="s">
        <v>21410</v>
      </c>
      <c r="T1506" s="7" t="s">
        <v>21411</v>
      </c>
      <c r="U1506" s="7" t="s">
        <v>3843</v>
      </c>
      <c r="V1506" s="7">
        <v>1.0</v>
      </c>
    </row>
    <row r="1507">
      <c r="A1507" s="7" t="s">
        <v>21416</v>
      </c>
      <c r="B1507" s="7">
        <v>2400019.0</v>
      </c>
      <c r="C1507" s="7" t="s">
        <v>13013</v>
      </c>
      <c r="D1507" s="7" t="s">
        <v>13014</v>
      </c>
      <c r="E1507" s="7" t="s">
        <v>13015</v>
      </c>
      <c r="F1507" s="7" t="s">
        <v>9490</v>
      </c>
      <c r="G1507" s="7" t="s">
        <v>13016</v>
      </c>
      <c r="H1507" s="7" t="s">
        <v>13017</v>
      </c>
      <c r="I1507" s="119">
        <v>45292.0</v>
      </c>
      <c r="K1507" s="7" t="s">
        <v>419</v>
      </c>
      <c r="L1507" s="7" t="s">
        <v>991</v>
      </c>
      <c r="M1507" s="7" t="s">
        <v>3583</v>
      </c>
      <c r="N1507" s="7" t="s">
        <v>419</v>
      </c>
      <c r="O1507" s="7" t="s">
        <v>19437</v>
      </c>
      <c r="P1507" s="7" t="s">
        <v>603</v>
      </c>
      <c r="Q1507" s="7" t="s">
        <v>90</v>
      </c>
      <c r="R1507" s="7" t="s">
        <v>19690</v>
      </c>
      <c r="S1507" s="7" t="s">
        <v>19691</v>
      </c>
      <c r="T1507" s="7" t="s">
        <v>4266</v>
      </c>
      <c r="U1507" s="7" t="s">
        <v>3493</v>
      </c>
      <c r="V1507" s="7">
        <v>1.0</v>
      </c>
    </row>
    <row r="1508">
      <c r="A1508" s="7" t="s">
        <v>21417</v>
      </c>
      <c r="B1508" s="7">
        <v>11043.0</v>
      </c>
      <c r="C1508" s="7" t="s">
        <v>13019</v>
      </c>
      <c r="D1508" s="7" t="s">
        <v>10171</v>
      </c>
      <c r="E1508" s="7" t="s">
        <v>13020</v>
      </c>
      <c r="F1508" s="7" t="s">
        <v>10171</v>
      </c>
      <c r="G1508" s="7" t="s">
        <v>13021</v>
      </c>
      <c r="H1508" s="7" t="s">
        <v>13022</v>
      </c>
      <c r="I1508" s="119">
        <v>45292.0</v>
      </c>
      <c r="K1508" s="7" t="s">
        <v>419</v>
      </c>
      <c r="L1508" s="7" t="s">
        <v>991</v>
      </c>
      <c r="M1508" s="7" t="s">
        <v>3501</v>
      </c>
      <c r="N1508" s="7" t="s">
        <v>419</v>
      </c>
      <c r="O1508" s="7" t="s">
        <v>19430</v>
      </c>
      <c r="P1508" s="7" t="s">
        <v>717</v>
      </c>
      <c r="Q1508" s="7" t="s">
        <v>722</v>
      </c>
      <c r="R1508" s="7" t="s">
        <v>19863</v>
      </c>
      <c r="S1508" s="7" t="s">
        <v>19864</v>
      </c>
      <c r="T1508" s="7" t="s">
        <v>4955</v>
      </c>
      <c r="U1508" s="7" t="s">
        <v>3493</v>
      </c>
      <c r="V1508" s="7">
        <v>1.0</v>
      </c>
    </row>
    <row r="1509">
      <c r="A1509" s="7" t="s">
        <v>21418</v>
      </c>
      <c r="B1509" s="7">
        <v>13303.0</v>
      </c>
      <c r="C1509" s="7" t="s">
        <v>13024</v>
      </c>
      <c r="D1509" s="7" t="s">
        <v>13025</v>
      </c>
      <c r="E1509" s="7" t="s">
        <v>13026</v>
      </c>
      <c r="F1509" s="7" t="s">
        <v>13027</v>
      </c>
      <c r="G1509" s="7" t="s">
        <v>13028</v>
      </c>
      <c r="H1509" s="7" t="s">
        <v>13029</v>
      </c>
      <c r="I1509" s="119">
        <v>45292.0</v>
      </c>
      <c r="K1509" s="7" t="s">
        <v>419</v>
      </c>
      <c r="L1509" s="7" t="s">
        <v>991</v>
      </c>
      <c r="M1509" s="7" t="s">
        <v>3531</v>
      </c>
      <c r="N1509" s="7" t="s">
        <v>419</v>
      </c>
      <c r="O1509" s="7" t="s">
        <v>19430</v>
      </c>
      <c r="P1509" s="7" t="s">
        <v>717</v>
      </c>
      <c r="Q1509" s="7" t="s">
        <v>720</v>
      </c>
      <c r="R1509" s="7" t="s">
        <v>19834</v>
      </c>
      <c r="S1509" s="7" t="s">
        <v>19835</v>
      </c>
      <c r="T1509" s="7" t="s">
        <v>4811</v>
      </c>
      <c r="U1509" s="7" t="s">
        <v>3493</v>
      </c>
      <c r="V1509" s="7">
        <v>1.0</v>
      </c>
    </row>
    <row r="1510">
      <c r="A1510" s="7" t="s">
        <v>21419</v>
      </c>
      <c r="B1510" s="7">
        <v>12701.0</v>
      </c>
      <c r="C1510" s="7" t="s">
        <v>13031</v>
      </c>
      <c r="D1510" s="7" t="s">
        <v>13032</v>
      </c>
      <c r="E1510" s="7" t="s">
        <v>13033</v>
      </c>
      <c r="F1510" s="7" t="s">
        <v>4751</v>
      </c>
      <c r="G1510" s="7" t="s">
        <v>13034</v>
      </c>
      <c r="H1510" s="7" t="s">
        <v>13035</v>
      </c>
      <c r="I1510" s="119">
        <v>45292.0</v>
      </c>
      <c r="K1510" s="7" t="s">
        <v>419</v>
      </c>
      <c r="L1510" s="7" t="s">
        <v>991</v>
      </c>
      <c r="M1510" s="7" t="s">
        <v>3501</v>
      </c>
      <c r="N1510" s="7" t="s">
        <v>419</v>
      </c>
      <c r="O1510" s="7" t="s">
        <v>19430</v>
      </c>
      <c r="P1510" s="7" t="s">
        <v>717</v>
      </c>
      <c r="Q1510" s="7" t="s">
        <v>730</v>
      </c>
      <c r="R1510" s="7" t="s">
        <v>20285</v>
      </c>
      <c r="T1510" s="7" t="s">
        <v>6981</v>
      </c>
      <c r="U1510" s="7" t="s">
        <v>3493</v>
      </c>
      <c r="V1510" s="7">
        <v>1.0</v>
      </c>
    </row>
    <row r="1511">
      <c r="A1511" s="7" t="s">
        <v>21420</v>
      </c>
      <c r="B1511" s="7">
        <v>2100132.0</v>
      </c>
      <c r="C1511" s="7" t="s">
        <v>13037</v>
      </c>
      <c r="D1511" s="7" t="s">
        <v>13038</v>
      </c>
      <c r="E1511" s="7" t="s">
        <v>13039</v>
      </c>
      <c r="F1511" s="7" t="s">
        <v>3806</v>
      </c>
      <c r="G1511" s="7" t="s">
        <v>13040</v>
      </c>
      <c r="H1511" s="7" t="s">
        <v>13041</v>
      </c>
      <c r="I1511" s="119">
        <v>45292.0</v>
      </c>
      <c r="K1511" s="7" t="s">
        <v>419</v>
      </c>
      <c r="L1511" s="7" t="s">
        <v>991</v>
      </c>
      <c r="M1511" s="7" t="s">
        <v>3501</v>
      </c>
      <c r="N1511" s="7" t="s">
        <v>419</v>
      </c>
      <c r="O1511" s="7" t="s">
        <v>19430</v>
      </c>
      <c r="P1511" s="7" t="s">
        <v>854</v>
      </c>
      <c r="Q1511" s="7" t="s">
        <v>857</v>
      </c>
      <c r="R1511" s="7" t="s">
        <v>19574</v>
      </c>
      <c r="T1511" s="7" t="s">
        <v>3878</v>
      </c>
      <c r="U1511" s="7" t="s">
        <v>3493</v>
      </c>
      <c r="V1511" s="7">
        <v>1.0</v>
      </c>
    </row>
    <row r="1512">
      <c r="A1512" s="7" t="s">
        <v>21421</v>
      </c>
      <c r="B1512" s="7">
        <v>13504.0</v>
      </c>
      <c r="C1512" s="7" t="s">
        <v>13043</v>
      </c>
      <c r="D1512" s="7" t="s">
        <v>13044</v>
      </c>
      <c r="E1512" s="7" t="s">
        <v>13045</v>
      </c>
      <c r="F1512" s="7" t="s">
        <v>4213</v>
      </c>
      <c r="G1512" s="7" t="s">
        <v>13046</v>
      </c>
      <c r="H1512" s="7" t="s">
        <v>13047</v>
      </c>
      <c r="I1512" s="119">
        <v>45292.0</v>
      </c>
      <c r="K1512" s="7" t="s">
        <v>419</v>
      </c>
      <c r="L1512" s="7" t="s">
        <v>991</v>
      </c>
      <c r="M1512" s="7" t="s">
        <v>3501</v>
      </c>
      <c r="N1512" s="7" t="s">
        <v>419</v>
      </c>
      <c r="O1512" s="7" t="s">
        <v>19437</v>
      </c>
      <c r="P1512" s="7" t="s">
        <v>603</v>
      </c>
      <c r="Q1512" s="7" t="s">
        <v>97</v>
      </c>
      <c r="R1512" s="7" t="s">
        <v>21422</v>
      </c>
      <c r="T1512" s="7" t="s">
        <v>13049</v>
      </c>
      <c r="U1512" s="7" t="s">
        <v>3604</v>
      </c>
      <c r="V1512" s="7">
        <v>1.0</v>
      </c>
    </row>
    <row r="1513">
      <c r="A1513" s="7" t="s">
        <v>21423</v>
      </c>
      <c r="B1513" s="7">
        <v>2300156.0</v>
      </c>
      <c r="C1513" s="7" t="s">
        <v>13051</v>
      </c>
      <c r="D1513" s="7" t="s">
        <v>13052</v>
      </c>
      <c r="E1513" s="7" t="s">
        <v>7600</v>
      </c>
      <c r="F1513" s="7" t="s">
        <v>8119</v>
      </c>
      <c r="G1513" s="7" t="s">
        <v>13053</v>
      </c>
      <c r="H1513" s="7" t="s">
        <v>13054</v>
      </c>
      <c r="I1513" s="119">
        <v>45292.0</v>
      </c>
      <c r="K1513" s="7" t="s">
        <v>419</v>
      </c>
      <c r="L1513" s="7" t="s">
        <v>991</v>
      </c>
      <c r="M1513" s="7" t="s">
        <v>3501</v>
      </c>
      <c r="N1513" s="7" t="s">
        <v>419</v>
      </c>
      <c r="O1513" s="7" t="s">
        <v>19432</v>
      </c>
      <c r="P1513" s="7" t="s">
        <v>298</v>
      </c>
      <c r="Q1513" s="7" t="s">
        <v>1284</v>
      </c>
      <c r="R1513" s="7" t="s">
        <v>20190</v>
      </c>
      <c r="S1513" s="7" t="s">
        <v>20191</v>
      </c>
      <c r="T1513" s="7" t="s">
        <v>6474</v>
      </c>
      <c r="U1513" s="7" t="s">
        <v>3493</v>
      </c>
      <c r="V1513" s="7">
        <v>1.0</v>
      </c>
    </row>
    <row r="1514">
      <c r="A1514" s="7" t="s">
        <v>21424</v>
      </c>
      <c r="B1514" s="7">
        <v>10539.0</v>
      </c>
      <c r="C1514" s="7" t="s">
        <v>13056</v>
      </c>
      <c r="D1514" s="7" t="s">
        <v>13057</v>
      </c>
      <c r="E1514" s="7" t="s">
        <v>13058</v>
      </c>
      <c r="F1514" s="7" t="s">
        <v>13059</v>
      </c>
      <c r="G1514" s="7" t="s">
        <v>13060</v>
      </c>
      <c r="H1514" s="7" t="s">
        <v>13061</v>
      </c>
      <c r="I1514" s="119">
        <v>45292.0</v>
      </c>
      <c r="K1514" s="7" t="s">
        <v>6681</v>
      </c>
      <c r="L1514" s="7" t="s">
        <v>3542</v>
      </c>
      <c r="M1514" s="7" t="s">
        <v>4383</v>
      </c>
      <c r="N1514" s="7" t="s">
        <v>419</v>
      </c>
      <c r="O1514" s="7" t="s">
        <v>19433</v>
      </c>
      <c r="P1514" s="7" t="s">
        <v>587</v>
      </c>
      <c r="Q1514" s="7" t="s">
        <v>74</v>
      </c>
      <c r="R1514" s="7" t="s">
        <v>19911</v>
      </c>
      <c r="S1514" s="7" t="s">
        <v>20593</v>
      </c>
      <c r="T1514" s="7" t="s">
        <v>16290</v>
      </c>
      <c r="U1514" s="7" t="s">
        <v>3493</v>
      </c>
      <c r="V1514" s="7">
        <v>1.0</v>
      </c>
    </row>
    <row r="1515">
      <c r="A1515" s="7" t="s">
        <v>21425</v>
      </c>
      <c r="B1515" s="7">
        <v>10775.0</v>
      </c>
      <c r="C1515" s="7" t="s">
        <v>13065</v>
      </c>
      <c r="D1515" s="7" t="s">
        <v>13066</v>
      </c>
      <c r="E1515" s="7" t="s">
        <v>13067</v>
      </c>
      <c r="F1515" s="7" t="s">
        <v>13068</v>
      </c>
      <c r="G1515" s="7" t="s">
        <v>13069</v>
      </c>
      <c r="H1515" s="7" t="s">
        <v>13070</v>
      </c>
      <c r="I1515" s="119">
        <v>45292.0</v>
      </c>
      <c r="K1515" s="7" t="s">
        <v>419</v>
      </c>
      <c r="L1515" s="7" t="s">
        <v>991</v>
      </c>
      <c r="M1515" s="7" t="s">
        <v>3501</v>
      </c>
      <c r="N1515" s="7" t="s">
        <v>419</v>
      </c>
      <c r="O1515" s="7" t="s">
        <v>19432</v>
      </c>
      <c r="P1515" s="7" t="s">
        <v>298</v>
      </c>
      <c r="Q1515" s="7" t="s">
        <v>802</v>
      </c>
      <c r="R1515" s="7" t="s">
        <v>19827</v>
      </c>
      <c r="S1515" s="7" t="s">
        <v>21426</v>
      </c>
      <c r="T1515" s="7" t="s">
        <v>21427</v>
      </c>
      <c r="U1515" s="7" t="s">
        <v>3493</v>
      </c>
      <c r="V1515" s="7">
        <v>1.0</v>
      </c>
    </row>
    <row r="1516">
      <c r="A1516" s="7" t="s">
        <v>21428</v>
      </c>
      <c r="B1516" s="7">
        <v>439.0</v>
      </c>
      <c r="C1516" s="7" t="s">
        <v>13074</v>
      </c>
      <c r="D1516" s="7" t="s">
        <v>13075</v>
      </c>
      <c r="E1516" s="7" t="s">
        <v>13076</v>
      </c>
      <c r="F1516" s="7" t="s">
        <v>4194</v>
      </c>
      <c r="G1516" s="7" t="s">
        <v>13077</v>
      </c>
      <c r="H1516" s="7" t="s">
        <v>13078</v>
      </c>
      <c r="I1516" s="119">
        <v>45292.0</v>
      </c>
      <c r="K1516" s="7" t="s">
        <v>419</v>
      </c>
      <c r="L1516" s="7" t="s">
        <v>991</v>
      </c>
      <c r="M1516" s="7" t="s">
        <v>3501</v>
      </c>
      <c r="N1516" s="7" t="s">
        <v>419</v>
      </c>
      <c r="O1516" s="7" t="s">
        <v>19430</v>
      </c>
      <c r="P1516" s="7" t="s">
        <v>717</v>
      </c>
      <c r="Q1516" s="7" t="s">
        <v>1163</v>
      </c>
      <c r="R1516" s="7" t="s">
        <v>19601</v>
      </c>
      <c r="S1516" s="7" t="s">
        <v>19877</v>
      </c>
      <c r="T1516" s="7" t="s">
        <v>5027</v>
      </c>
      <c r="U1516" s="7" t="s">
        <v>3843</v>
      </c>
      <c r="V1516" s="7">
        <v>1.0</v>
      </c>
    </row>
    <row r="1517">
      <c r="A1517" s="7" t="s">
        <v>21429</v>
      </c>
      <c r="B1517" s="7">
        <v>13511.0</v>
      </c>
      <c r="C1517" s="7" t="s">
        <v>13080</v>
      </c>
      <c r="D1517" s="7" t="s">
        <v>13081</v>
      </c>
      <c r="E1517" s="7" t="s">
        <v>13082</v>
      </c>
      <c r="F1517" s="7" t="s">
        <v>8682</v>
      </c>
      <c r="G1517" s="7" t="s">
        <v>13083</v>
      </c>
      <c r="H1517" s="7" t="s">
        <v>13084</v>
      </c>
      <c r="I1517" s="119">
        <v>45292.0</v>
      </c>
      <c r="K1517" s="7" t="s">
        <v>419</v>
      </c>
      <c r="L1517" s="7" t="s">
        <v>991</v>
      </c>
      <c r="M1517" s="7" t="s">
        <v>3501</v>
      </c>
      <c r="N1517" s="7" t="s">
        <v>419</v>
      </c>
      <c r="O1517" s="7" t="s">
        <v>19430</v>
      </c>
      <c r="P1517" s="7" t="s">
        <v>717</v>
      </c>
      <c r="Q1517" s="7" t="s">
        <v>251</v>
      </c>
      <c r="R1517" s="7" t="s">
        <v>19530</v>
      </c>
      <c r="S1517" s="7" t="s">
        <v>19648</v>
      </c>
      <c r="T1517" s="7" t="s">
        <v>4121</v>
      </c>
      <c r="U1517" s="7" t="s">
        <v>3493</v>
      </c>
      <c r="V1517" s="7">
        <v>1.0</v>
      </c>
    </row>
    <row r="1518">
      <c r="A1518" s="7" t="s">
        <v>21430</v>
      </c>
      <c r="B1518" s="7">
        <v>2300656.0</v>
      </c>
      <c r="C1518" s="7" t="s">
        <v>13086</v>
      </c>
      <c r="D1518" s="7" t="s">
        <v>10344</v>
      </c>
      <c r="E1518" s="7" t="s">
        <v>13087</v>
      </c>
      <c r="F1518" s="7" t="s">
        <v>3549</v>
      </c>
      <c r="G1518" s="7" t="s">
        <v>13088</v>
      </c>
      <c r="I1518" s="119">
        <v>45292.0</v>
      </c>
      <c r="K1518" s="7" t="s">
        <v>419</v>
      </c>
      <c r="L1518" s="7" t="s">
        <v>991</v>
      </c>
      <c r="M1518" s="7" t="s">
        <v>3531</v>
      </c>
      <c r="N1518" s="7" t="s">
        <v>419</v>
      </c>
      <c r="O1518" s="7" t="s">
        <v>19433</v>
      </c>
      <c r="P1518" s="7" t="s">
        <v>587</v>
      </c>
      <c r="Q1518" s="7" t="s">
        <v>74</v>
      </c>
      <c r="R1518" s="7" t="s">
        <v>19911</v>
      </c>
      <c r="T1518" s="7" t="s">
        <v>5198</v>
      </c>
      <c r="U1518" s="7" t="s">
        <v>3493</v>
      </c>
      <c r="V1518" s="7">
        <v>1.0</v>
      </c>
    </row>
    <row r="1519">
      <c r="A1519" s="7" t="s">
        <v>21431</v>
      </c>
      <c r="B1519" s="7">
        <v>2200247.0</v>
      </c>
      <c r="C1519" s="7" t="s">
        <v>13086</v>
      </c>
      <c r="D1519" s="7" t="s">
        <v>13090</v>
      </c>
      <c r="E1519" s="7" t="s">
        <v>13087</v>
      </c>
      <c r="F1519" s="7" t="s">
        <v>13090</v>
      </c>
      <c r="G1519" s="7" t="s">
        <v>13091</v>
      </c>
      <c r="H1519" s="7" t="s">
        <v>13092</v>
      </c>
      <c r="I1519" s="119">
        <v>45292.0</v>
      </c>
      <c r="K1519" s="7" t="s">
        <v>419</v>
      </c>
      <c r="L1519" s="7" t="s">
        <v>991</v>
      </c>
      <c r="M1519" s="7" t="s">
        <v>3501</v>
      </c>
      <c r="N1519" s="7" t="s">
        <v>419</v>
      </c>
      <c r="O1519" s="7" t="s">
        <v>19437</v>
      </c>
      <c r="P1519" s="7" t="s">
        <v>603</v>
      </c>
      <c r="Q1519" s="7" t="s">
        <v>97</v>
      </c>
      <c r="R1519" s="7" t="s">
        <v>19985</v>
      </c>
      <c r="T1519" s="7" t="s">
        <v>5501</v>
      </c>
      <c r="U1519" s="7" t="s">
        <v>3493</v>
      </c>
      <c r="V1519" s="7">
        <v>1.0</v>
      </c>
    </row>
    <row r="1520">
      <c r="A1520" s="7" t="s">
        <v>21432</v>
      </c>
      <c r="B1520" s="7">
        <v>2300453.0</v>
      </c>
      <c r="C1520" s="7" t="s">
        <v>13095</v>
      </c>
      <c r="D1520" s="7" t="s">
        <v>13096</v>
      </c>
      <c r="E1520" s="7" t="s">
        <v>13097</v>
      </c>
      <c r="F1520" s="7" t="s">
        <v>13098</v>
      </c>
      <c r="G1520" s="7" t="s">
        <v>13099</v>
      </c>
      <c r="H1520" s="7" t="s">
        <v>13100</v>
      </c>
      <c r="I1520" s="119">
        <v>45292.0</v>
      </c>
      <c r="K1520" s="7" t="s">
        <v>419</v>
      </c>
      <c r="L1520" s="7" t="s">
        <v>991</v>
      </c>
      <c r="M1520" s="7" t="s">
        <v>3531</v>
      </c>
      <c r="N1520" s="7" t="s">
        <v>419</v>
      </c>
      <c r="O1520" s="7" t="s">
        <v>19430</v>
      </c>
      <c r="P1520" s="7" t="s">
        <v>717</v>
      </c>
      <c r="Q1520" s="7" t="s">
        <v>1163</v>
      </c>
      <c r="R1520" s="7" t="s">
        <v>19546</v>
      </c>
      <c r="S1520" s="7" t="s">
        <v>19547</v>
      </c>
      <c r="T1520" s="7" t="s">
        <v>3743</v>
      </c>
      <c r="U1520" s="7" t="s">
        <v>3493</v>
      </c>
      <c r="V1520" s="7">
        <v>1.0</v>
      </c>
    </row>
    <row r="1521">
      <c r="A1521" s="7" t="s">
        <v>21433</v>
      </c>
      <c r="B1521" s="7">
        <v>2400231.0</v>
      </c>
      <c r="C1521" s="7" t="s">
        <v>13095</v>
      </c>
      <c r="D1521" s="7" t="s">
        <v>10076</v>
      </c>
      <c r="E1521" s="7" t="s">
        <v>13097</v>
      </c>
      <c r="F1521" s="7" t="s">
        <v>6811</v>
      </c>
      <c r="G1521" s="7" t="s">
        <v>13102</v>
      </c>
      <c r="H1521" s="7" t="s">
        <v>13103</v>
      </c>
      <c r="I1521" s="119">
        <v>45383.0</v>
      </c>
      <c r="K1521" s="7" t="s">
        <v>419</v>
      </c>
      <c r="L1521" s="7" t="s">
        <v>991</v>
      </c>
      <c r="M1521" s="7" t="s">
        <v>3501</v>
      </c>
      <c r="N1521" s="7" t="s">
        <v>419</v>
      </c>
      <c r="O1521" s="7" t="s">
        <v>19430</v>
      </c>
      <c r="P1521" s="7" t="s">
        <v>717</v>
      </c>
      <c r="Q1521" s="7" t="s">
        <v>720</v>
      </c>
      <c r="R1521" s="7" t="s">
        <v>19626</v>
      </c>
      <c r="S1521" s="7" t="s">
        <v>20561</v>
      </c>
      <c r="T1521" s="7" t="s">
        <v>8391</v>
      </c>
      <c r="U1521" s="7" t="s">
        <v>3493</v>
      </c>
      <c r="V1521" s="7">
        <v>1.0</v>
      </c>
    </row>
    <row r="1522">
      <c r="A1522" s="7" t="s">
        <v>21434</v>
      </c>
      <c r="B1522" s="7">
        <v>2200145.0</v>
      </c>
      <c r="C1522" s="7" t="s">
        <v>13105</v>
      </c>
      <c r="D1522" s="7" t="s">
        <v>13106</v>
      </c>
      <c r="E1522" s="7" t="s">
        <v>13107</v>
      </c>
      <c r="F1522" s="7" t="s">
        <v>13108</v>
      </c>
      <c r="G1522" s="7" t="s">
        <v>13109</v>
      </c>
      <c r="H1522" s="7" t="s">
        <v>13110</v>
      </c>
      <c r="I1522" s="119">
        <v>45292.0</v>
      </c>
      <c r="K1522" s="7" t="s">
        <v>419</v>
      </c>
      <c r="L1522" s="7" t="s">
        <v>991</v>
      </c>
      <c r="M1522" s="7" t="s">
        <v>3501</v>
      </c>
      <c r="N1522" s="7" t="s">
        <v>419</v>
      </c>
      <c r="O1522" s="7" t="s">
        <v>19433</v>
      </c>
      <c r="P1522" s="7" t="s">
        <v>587</v>
      </c>
      <c r="Q1522" s="7" t="s">
        <v>74</v>
      </c>
      <c r="R1522" s="7" t="s">
        <v>19721</v>
      </c>
      <c r="S1522" s="7" t="s">
        <v>20053</v>
      </c>
      <c r="T1522" s="7" t="s">
        <v>13111</v>
      </c>
      <c r="U1522" s="7" t="s">
        <v>3493</v>
      </c>
      <c r="V1522" s="7">
        <v>1.0</v>
      </c>
    </row>
    <row r="1523">
      <c r="A1523" s="7" t="s">
        <v>21435</v>
      </c>
      <c r="B1523" s="7">
        <v>2300226.0</v>
      </c>
      <c r="C1523" s="7" t="s">
        <v>13113</v>
      </c>
      <c r="D1523" s="7" t="s">
        <v>13114</v>
      </c>
      <c r="E1523" s="7" t="s">
        <v>13115</v>
      </c>
      <c r="F1523" s="7" t="s">
        <v>13116</v>
      </c>
      <c r="G1523" s="7" t="s">
        <v>13117</v>
      </c>
      <c r="H1523" s="7" t="s">
        <v>13118</v>
      </c>
      <c r="I1523" s="119">
        <v>45292.0</v>
      </c>
      <c r="K1523" s="7" t="s">
        <v>3632</v>
      </c>
      <c r="L1523" s="7" t="s">
        <v>991</v>
      </c>
      <c r="M1523" s="7" t="s">
        <v>3501</v>
      </c>
      <c r="N1523" s="7" t="s">
        <v>3632</v>
      </c>
      <c r="O1523" s="7" t="s">
        <v>3632</v>
      </c>
      <c r="P1523" s="7" t="s">
        <v>625</v>
      </c>
      <c r="Q1523" s="7" t="s">
        <v>124</v>
      </c>
      <c r="R1523" s="7" t="s">
        <v>19563</v>
      </c>
      <c r="T1523" s="7" t="s">
        <v>10625</v>
      </c>
      <c r="U1523" s="7" t="s">
        <v>3493</v>
      </c>
      <c r="V1523" s="7">
        <v>1.0</v>
      </c>
    </row>
    <row r="1524">
      <c r="A1524" s="7" t="s">
        <v>21436</v>
      </c>
      <c r="B1524" s="7">
        <v>2300474.0</v>
      </c>
      <c r="C1524" s="7" t="s">
        <v>13120</v>
      </c>
      <c r="D1524" s="7" t="s">
        <v>13121</v>
      </c>
      <c r="E1524" s="7" t="s">
        <v>13122</v>
      </c>
      <c r="F1524" s="7" t="s">
        <v>13123</v>
      </c>
      <c r="G1524" s="7" t="s">
        <v>13124</v>
      </c>
      <c r="H1524" s="7" t="s">
        <v>13125</v>
      </c>
      <c r="I1524" s="119">
        <v>45292.0</v>
      </c>
      <c r="K1524" s="7" t="s">
        <v>3632</v>
      </c>
      <c r="L1524" s="7" t="s">
        <v>991</v>
      </c>
      <c r="M1524" s="7" t="s">
        <v>3501</v>
      </c>
      <c r="N1524" s="7" t="s">
        <v>3632</v>
      </c>
      <c r="O1524" s="7" t="s">
        <v>3632</v>
      </c>
      <c r="P1524" s="7" t="s">
        <v>625</v>
      </c>
      <c r="Q1524" s="7" t="s">
        <v>118</v>
      </c>
      <c r="R1524" s="7" t="s">
        <v>20076</v>
      </c>
      <c r="T1524" s="7" t="s">
        <v>6924</v>
      </c>
      <c r="U1524" s="7" t="s">
        <v>3493</v>
      </c>
      <c r="V1524" s="7">
        <v>1.0</v>
      </c>
    </row>
    <row r="1525">
      <c r="A1525" s="7" t="s">
        <v>21437</v>
      </c>
      <c r="B1525" s="7">
        <v>2300726.0</v>
      </c>
      <c r="C1525" s="7" t="s">
        <v>13127</v>
      </c>
      <c r="D1525" s="7" t="s">
        <v>13128</v>
      </c>
      <c r="E1525" s="7" t="s">
        <v>13129</v>
      </c>
      <c r="F1525" s="7" t="s">
        <v>3909</v>
      </c>
      <c r="G1525" s="7" t="s">
        <v>13130</v>
      </c>
      <c r="H1525" s="7" t="s">
        <v>13131</v>
      </c>
      <c r="I1525" s="119">
        <v>45292.0</v>
      </c>
      <c r="K1525" s="7" t="s">
        <v>419</v>
      </c>
      <c r="L1525" s="7" t="s">
        <v>991</v>
      </c>
      <c r="M1525" s="7" t="s">
        <v>3501</v>
      </c>
      <c r="N1525" s="7" t="s">
        <v>419</v>
      </c>
      <c r="O1525" s="7" t="s">
        <v>19443</v>
      </c>
      <c r="P1525" s="7" t="s">
        <v>323</v>
      </c>
      <c r="Q1525" s="7" t="s">
        <v>824</v>
      </c>
      <c r="R1525" s="7" t="s">
        <v>20311</v>
      </c>
      <c r="T1525" s="7" t="s">
        <v>7132</v>
      </c>
      <c r="U1525" s="7" t="s">
        <v>3493</v>
      </c>
      <c r="V1525" s="7">
        <v>1.0</v>
      </c>
    </row>
    <row r="1526">
      <c r="A1526" s="7" t="s">
        <v>21438</v>
      </c>
      <c r="B1526" s="7">
        <v>2200596.0</v>
      </c>
      <c r="C1526" s="7" t="s">
        <v>13133</v>
      </c>
      <c r="D1526" s="7" t="s">
        <v>13134</v>
      </c>
      <c r="E1526" s="7" t="s">
        <v>13135</v>
      </c>
      <c r="F1526" s="7" t="s">
        <v>13136</v>
      </c>
      <c r="G1526" s="7" t="s">
        <v>13137</v>
      </c>
      <c r="H1526" s="7" t="s">
        <v>13138</v>
      </c>
      <c r="I1526" s="119">
        <v>45292.0</v>
      </c>
      <c r="K1526" s="7" t="s">
        <v>3622</v>
      </c>
      <c r="L1526" s="7" t="s">
        <v>991</v>
      </c>
      <c r="M1526" s="7" t="s">
        <v>3531</v>
      </c>
      <c r="N1526" s="7" t="s">
        <v>3622</v>
      </c>
      <c r="O1526" s="7" t="s">
        <v>3622</v>
      </c>
      <c r="P1526" s="7" t="s">
        <v>19521</v>
      </c>
      <c r="T1526" s="7" t="s">
        <v>3624</v>
      </c>
      <c r="U1526" s="7" t="s">
        <v>3493</v>
      </c>
      <c r="V1526" s="7">
        <v>1.0</v>
      </c>
    </row>
    <row r="1527">
      <c r="A1527" s="7" t="s">
        <v>21439</v>
      </c>
      <c r="B1527" s="7">
        <v>2200506.0</v>
      </c>
      <c r="C1527" s="7" t="s">
        <v>13140</v>
      </c>
      <c r="D1527" s="7" t="s">
        <v>7586</v>
      </c>
      <c r="E1527" s="7" t="s">
        <v>13141</v>
      </c>
      <c r="F1527" s="7" t="s">
        <v>5426</v>
      </c>
      <c r="G1527" s="7" t="s">
        <v>13142</v>
      </c>
      <c r="H1527" s="7" t="s">
        <v>13143</v>
      </c>
      <c r="I1527" s="119">
        <v>45292.0</v>
      </c>
      <c r="K1527" s="7" t="s">
        <v>419</v>
      </c>
      <c r="L1527" s="7" t="s">
        <v>991</v>
      </c>
      <c r="M1527" s="7" t="s">
        <v>3531</v>
      </c>
      <c r="N1527" s="7" t="s">
        <v>419</v>
      </c>
      <c r="O1527" s="7" t="s">
        <v>19433</v>
      </c>
      <c r="P1527" s="7" t="s">
        <v>648</v>
      </c>
      <c r="Q1527" s="7" t="s">
        <v>143</v>
      </c>
      <c r="R1527" s="7" t="s">
        <v>19723</v>
      </c>
      <c r="S1527" s="7" t="s">
        <v>19749</v>
      </c>
      <c r="T1527" s="7" t="s">
        <v>8265</v>
      </c>
      <c r="U1527" s="7" t="s">
        <v>3493</v>
      </c>
      <c r="V1527" s="7">
        <v>1.0</v>
      </c>
    </row>
    <row r="1528">
      <c r="A1528" s="7" t="s">
        <v>21440</v>
      </c>
      <c r="B1528" s="7">
        <v>2200397.0</v>
      </c>
      <c r="C1528" s="7" t="s">
        <v>13140</v>
      </c>
      <c r="D1528" s="7" t="s">
        <v>5269</v>
      </c>
      <c r="E1528" s="7" t="s">
        <v>13141</v>
      </c>
      <c r="F1528" s="7" t="s">
        <v>3889</v>
      </c>
      <c r="G1528" s="7" t="s">
        <v>13145</v>
      </c>
      <c r="H1528" s="7" t="s">
        <v>13146</v>
      </c>
      <c r="I1528" s="119">
        <v>45292.0</v>
      </c>
      <c r="K1528" s="7" t="s">
        <v>419</v>
      </c>
      <c r="L1528" s="7" t="s">
        <v>991</v>
      </c>
      <c r="M1528" s="7" t="s">
        <v>3501</v>
      </c>
      <c r="N1528" s="7" t="s">
        <v>419</v>
      </c>
      <c r="O1528" s="7" t="s">
        <v>19430</v>
      </c>
      <c r="P1528" s="7" t="s">
        <v>854</v>
      </c>
      <c r="Q1528" s="7" t="s">
        <v>173</v>
      </c>
      <c r="R1528" s="7" t="s">
        <v>20485</v>
      </c>
      <c r="S1528" s="7" t="s">
        <v>19749</v>
      </c>
      <c r="T1528" s="7" t="s">
        <v>8040</v>
      </c>
      <c r="U1528" s="7" t="s">
        <v>3843</v>
      </c>
      <c r="V1528" s="7">
        <v>1.0</v>
      </c>
    </row>
    <row r="1529">
      <c r="A1529" s="7" t="s">
        <v>21441</v>
      </c>
      <c r="B1529" s="7">
        <v>12976.0</v>
      </c>
      <c r="C1529" s="7" t="s">
        <v>13140</v>
      </c>
      <c r="D1529" s="7" t="s">
        <v>13149</v>
      </c>
      <c r="E1529" s="7" t="s">
        <v>13141</v>
      </c>
      <c r="F1529" s="7" t="s">
        <v>6301</v>
      </c>
      <c r="G1529" s="7" t="s">
        <v>13150</v>
      </c>
      <c r="H1529" s="7" t="s">
        <v>13151</v>
      </c>
      <c r="I1529" s="119">
        <v>45292.0</v>
      </c>
      <c r="K1529" s="7" t="s">
        <v>419</v>
      </c>
      <c r="L1529" s="7" t="s">
        <v>991</v>
      </c>
      <c r="M1529" s="7" t="s">
        <v>3501</v>
      </c>
      <c r="N1529" s="7" t="s">
        <v>419</v>
      </c>
      <c r="O1529" s="7" t="s">
        <v>19430</v>
      </c>
      <c r="P1529" s="7" t="s">
        <v>717</v>
      </c>
      <c r="Q1529" s="7" t="s">
        <v>738</v>
      </c>
      <c r="R1529" s="7" t="s">
        <v>20383</v>
      </c>
      <c r="S1529" s="7" t="s">
        <v>20835</v>
      </c>
      <c r="T1529" s="7" t="s">
        <v>20836</v>
      </c>
      <c r="U1529" s="7" t="s">
        <v>3493</v>
      </c>
      <c r="V1529" s="7">
        <v>1.0</v>
      </c>
    </row>
    <row r="1530">
      <c r="A1530" s="7" t="s">
        <v>21442</v>
      </c>
      <c r="B1530" s="7">
        <v>12382.0</v>
      </c>
      <c r="C1530" s="7" t="s">
        <v>13153</v>
      </c>
      <c r="D1530" s="7" t="s">
        <v>8598</v>
      </c>
      <c r="E1530" s="7" t="s">
        <v>13141</v>
      </c>
      <c r="F1530" s="7" t="s">
        <v>4598</v>
      </c>
      <c r="G1530" s="7" t="s">
        <v>13154</v>
      </c>
      <c r="H1530" s="7" t="s">
        <v>13155</v>
      </c>
      <c r="I1530" s="119">
        <v>45292.0</v>
      </c>
      <c r="K1530" s="7" t="s">
        <v>419</v>
      </c>
      <c r="L1530" s="7" t="s">
        <v>991</v>
      </c>
      <c r="M1530" s="7" t="s">
        <v>3531</v>
      </c>
      <c r="N1530" s="7" t="s">
        <v>419</v>
      </c>
      <c r="O1530" s="7" t="s">
        <v>19430</v>
      </c>
      <c r="P1530" s="7" t="s">
        <v>717</v>
      </c>
      <c r="Q1530" s="7" t="s">
        <v>738</v>
      </c>
      <c r="R1530" s="7" t="s">
        <v>20012</v>
      </c>
      <c r="S1530" s="7" t="s">
        <v>20392</v>
      </c>
      <c r="T1530" s="7" t="s">
        <v>7537</v>
      </c>
      <c r="U1530" s="7" t="s">
        <v>3493</v>
      </c>
      <c r="V1530" s="7">
        <v>1.0</v>
      </c>
    </row>
    <row r="1531">
      <c r="A1531" s="7" t="s">
        <v>21443</v>
      </c>
      <c r="B1531" s="7">
        <v>2100250.0</v>
      </c>
      <c r="C1531" s="7" t="s">
        <v>13157</v>
      </c>
      <c r="D1531" s="7" t="s">
        <v>13158</v>
      </c>
      <c r="E1531" s="7" t="s">
        <v>13159</v>
      </c>
      <c r="F1531" s="7" t="s">
        <v>10938</v>
      </c>
      <c r="G1531" s="7" t="s">
        <v>13160</v>
      </c>
      <c r="H1531" s="7" t="s">
        <v>13161</v>
      </c>
      <c r="I1531" s="119">
        <v>45292.0</v>
      </c>
      <c r="K1531" s="7" t="s">
        <v>419</v>
      </c>
      <c r="L1531" s="7" t="s">
        <v>991</v>
      </c>
      <c r="M1531" s="7" t="s">
        <v>3531</v>
      </c>
      <c r="N1531" s="7" t="s">
        <v>419</v>
      </c>
      <c r="O1531" s="7" t="s">
        <v>19432</v>
      </c>
      <c r="P1531" s="7" t="s">
        <v>298</v>
      </c>
      <c r="Q1531" s="7" t="s">
        <v>304</v>
      </c>
      <c r="T1531" s="7" t="s">
        <v>7374</v>
      </c>
      <c r="U1531" s="7" t="s">
        <v>3493</v>
      </c>
      <c r="V1531" s="7">
        <v>1.0</v>
      </c>
    </row>
    <row r="1532">
      <c r="A1532" s="7" t="s">
        <v>21444</v>
      </c>
      <c r="B1532" s="7">
        <v>2300361.0</v>
      </c>
      <c r="C1532" s="7" t="s">
        <v>13157</v>
      </c>
      <c r="D1532" s="7" t="s">
        <v>13163</v>
      </c>
      <c r="E1532" s="7" t="s">
        <v>13159</v>
      </c>
      <c r="F1532" s="7" t="s">
        <v>4561</v>
      </c>
      <c r="G1532" s="7" t="s">
        <v>13164</v>
      </c>
      <c r="H1532" s="7" t="s">
        <v>13165</v>
      </c>
      <c r="I1532" s="119">
        <v>45292.0</v>
      </c>
      <c r="K1532" s="7" t="s">
        <v>419</v>
      </c>
      <c r="L1532" s="7" t="s">
        <v>991</v>
      </c>
      <c r="M1532" s="7" t="s">
        <v>3531</v>
      </c>
      <c r="N1532" s="7" t="s">
        <v>419</v>
      </c>
      <c r="O1532" s="7" t="s">
        <v>19443</v>
      </c>
      <c r="P1532" s="7" t="s">
        <v>1242</v>
      </c>
      <c r="Q1532" s="7" t="s">
        <v>48</v>
      </c>
      <c r="R1532" s="7" t="s">
        <v>20064</v>
      </c>
      <c r="T1532" s="7" t="s">
        <v>5876</v>
      </c>
      <c r="U1532" s="7" t="s">
        <v>3493</v>
      </c>
      <c r="V1532" s="7">
        <v>1.0</v>
      </c>
    </row>
    <row r="1533">
      <c r="A1533" s="7" t="s">
        <v>21445</v>
      </c>
      <c r="B1533" s="7">
        <v>10475.0</v>
      </c>
      <c r="C1533" s="7" t="s">
        <v>13157</v>
      </c>
      <c r="D1533" s="7" t="s">
        <v>13167</v>
      </c>
      <c r="E1533" s="7" t="s">
        <v>13159</v>
      </c>
      <c r="F1533" s="7" t="s">
        <v>3517</v>
      </c>
      <c r="G1533" s="7" t="s">
        <v>13168</v>
      </c>
      <c r="H1533" s="7" t="s">
        <v>13169</v>
      </c>
      <c r="I1533" s="119">
        <v>45292.0</v>
      </c>
      <c r="K1533" s="7" t="s">
        <v>419</v>
      </c>
      <c r="L1533" s="7" t="s">
        <v>991</v>
      </c>
      <c r="M1533" s="7" t="s">
        <v>3501</v>
      </c>
      <c r="N1533" s="7" t="s">
        <v>419</v>
      </c>
      <c r="O1533" s="7" t="s">
        <v>19430</v>
      </c>
      <c r="P1533" s="7" t="s">
        <v>717</v>
      </c>
      <c r="Q1533" s="7" t="s">
        <v>725</v>
      </c>
      <c r="R1533" s="7" t="s">
        <v>19501</v>
      </c>
      <c r="S1533" s="7" t="s">
        <v>19688</v>
      </c>
      <c r="T1533" s="7" t="s">
        <v>4257</v>
      </c>
      <c r="U1533" s="7" t="s">
        <v>3843</v>
      </c>
      <c r="V1533" s="7">
        <v>1.0</v>
      </c>
    </row>
    <row r="1534">
      <c r="A1534" s="7" t="s">
        <v>21446</v>
      </c>
      <c r="B1534" s="7">
        <v>2100685.0</v>
      </c>
      <c r="C1534" s="7" t="s">
        <v>13171</v>
      </c>
      <c r="D1534" s="7" t="s">
        <v>13172</v>
      </c>
      <c r="E1534" s="7" t="s">
        <v>13173</v>
      </c>
      <c r="F1534" s="7" t="s">
        <v>13174</v>
      </c>
      <c r="G1534" s="7" t="s">
        <v>13175</v>
      </c>
      <c r="H1534" s="7" t="s">
        <v>13176</v>
      </c>
      <c r="I1534" s="119">
        <v>45292.0</v>
      </c>
      <c r="K1534" s="7" t="s">
        <v>419</v>
      </c>
      <c r="L1534" s="7" t="s">
        <v>991</v>
      </c>
      <c r="M1534" s="7" t="s">
        <v>3501</v>
      </c>
      <c r="N1534" s="7" t="s">
        <v>419</v>
      </c>
      <c r="O1534" s="7" t="s">
        <v>19430</v>
      </c>
      <c r="P1534" s="7" t="s">
        <v>780</v>
      </c>
      <c r="Q1534" s="7" t="s">
        <v>786</v>
      </c>
      <c r="R1534" s="7" t="s">
        <v>19839</v>
      </c>
      <c r="T1534" s="7" t="s">
        <v>4835</v>
      </c>
      <c r="U1534" s="7" t="s">
        <v>3493</v>
      </c>
      <c r="V1534" s="7">
        <v>1.0</v>
      </c>
    </row>
    <row r="1535">
      <c r="A1535" s="7" t="s">
        <v>21447</v>
      </c>
      <c r="B1535" s="7">
        <v>2400242.0</v>
      </c>
      <c r="C1535" s="7" t="s">
        <v>13171</v>
      </c>
      <c r="D1535" s="7" t="s">
        <v>13178</v>
      </c>
      <c r="E1535" s="7" t="s">
        <v>13173</v>
      </c>
      <c r="F1535" s="7" t="s">
        <v>4321</v>
      </c>
      <c r="G1535" s="7" t="s">
        <v>13179</v>
      </c>
      <c r="H1535" s="7" t="s">
        <v>13180</v>
      </c>
      <c r="I1535" s="119">
        <v>45383.0</v>
      </c>
      <c r="K1535" s="7" t="s">
        <v>419</v>
      </c>
      <c r="L1535" s="7" t="s">
        <v>991</v>
      </c>
      <c r="M1535" s="7" t="s">
        <v>3501</v>
      </c>
      <c r="N1535" s="7" t="s">
        <v>419</v>
      </c>
      <c r="O1535" s="7" t="s">
        <v>19430</v>
      </c>
      <c r="P1535" s="7" t="s">
        <v>717</v>
      </c>
      <c r="Q1535" s="7" t="s">
        <v>1163</v>
      </c>
      <c r="R1535" s="7" t="s">
        <v>19639</v>
      </c>
      <c r="S1535" s="7" t="s">
        <v>20600</v>
      </c>
      <c r="T1535" s="7" t="s">
        <v>8551</v>
      </c>
      <c r="U1535" s="7" t="s">
        <v>3493</v>
      </c>
      <c r="V1535" s="7">
        <v>1.0</v>
      </c>
    </row>
    <row r="1536">
      <c r="A1536" s="7" t="s">
        <v>21448</v>
      </c>
      <c r="B1536" s="7">
        <v>2100580.0</v>
      </c>
      <c r="C1536" s="7" t="s">
        <v>13182</v>
      </c>
      <c r="D1536" s="7" t="s">
        <v>13183</v>
      </c>
      <c r="E1536" s="7" t="s">
        <v>13184</v>
      </c>
      <c r="F1536" s="7" t="s">
        <v>11599</v>
      </c>
      <c r="G1536" s="7" t="s">
        <v>13185</v>
      </c>
      <c r="H1536" s="7" t="s">
        <v>13186</v>
      </c>
      <c r="I1536" s="119">
        <v>45292.0</v>
      </c>
      <c r="K1536" s="7" t="s">
        <v>419</v>
      </c>
      <c r="L1536" s="7" t="s">
        <v>991</v>
      </c>
      <c r="M1536" s="7" t="s">
        <v>3501</v>
      </c>
      <c r="N1536" s="7" t="s">
        <v>419</v>
      </c>
      <c r="O1536" s="7" t="s">
        <v>19437</v>
      </c>
      <c r="P1536" s="7" t="s">
        <v>440</v>
      </c>
      <c r="Q1536" s="7" t="s">
        <v>924</v>
      </c>
      <c r="R1536" s="7" t="s">
        <v>19793</v>
      </c>
      <c r="S1536" s="7" t="s">
        <v>19794</v>
      </c>
      <c r="T1536" s="7" t="s">
        <v>4661</v>
      </c>
      <c r="U1536" s="7" t="s">
        <v>3843</v>
      </c>
      <c r="V1536" s="7">
        <v>1.0</v>
      </c>
    </row>
    <row r="1537">
      <c r="A1537" s="7" t="s">
        <v>21449</v>
      </c>
      <c r="B1537" s="7">
        <v>2200339.0</v>
      </c>
      <c r="C1537" s="7" t="s">
        <v>13188</v>
      </c>
      <c r="D1537" s="7" t="s">
        <v>5675</v>
      </c>
      <c r="E1537" s="7" t="s">
        <v>13189</v>
      </c>
      <c r="F1537" s="7" t="s">
        <v>4539</v>
      </c>
      <c r="G1537" s="7" t="s">
        <v>13190</v>
      </c>
      <c r="H1537" s="7" t="s">
        <v>13191</v>
      </c>
      <c r="I1537" s="119">
        <v>45292.0</v>
      </c>
      <c r="J1537" s="7" t="s">
        <v>3929</v>
      </c>
      <c r="K1537" s="7" t="s">
        <v>419</v>
      </c>
      <c r="L1537" s="7" t="s">
        <v>991</v>
      </c>
      <c r="M1537" s="7" t="s">
        <v>3501</v>
      </c>
      <c r="N1537" s="7" t="s">
        <v>419</v>
      </c>
      <c r="O1537" s="7" t="s">
        <v>19432</v>
      </c>
      <c r="P1537" s="7" t="s">
        <v>391</v>
      </c>
      <c r="Q1537" s="7" t="s">
        <v>392</v>
      </c>
      <c r="R1537" s="7" t="s">
        <v>19706</v>
      </c>
      <c r="T1537" s="7" t="s">
        <v>18578</v>
      </c>
      <c r="U1537" s="7" t="s">
        <v>3493</v>
      </c>
      <c r="V1537" s="7">
        <v>1.0</v>
      </c>
    </row>
    <row r="1538">
      <c r="A1538" s="7" t="s">
        <v>21450</v>
      </c>
      <c r="B1538" s="7">
        <v>1185.0</v>
      </c>
      <c r="C1538" s="7" t="s">
        <v>13193</v>
      </c>
      <c r="D1538" s="7" t="s">
        <v>13194</v>
      </c>
      <c r="E1538" s="7" t="s">
        <v>13195</v>
      </c>
      <c r="F1538" s="7" t="s">
        <v>13196</v>
      </c>
      <c r="G1538" s="7" t="s">
        <v>13197</v>
      </c>
      <c r="H1538" s="7" t="s">
        <v>13198</v>
      </c>
      <c r="I1538" s="119">
        <v>45292.0</v>
      </c>
      <c r="K1538" s="7" t="s">
        <v>13199</v>
      </c>
      <c r="L1538" s="7" t="s">
        <v>3542</v>
      </c>
      <c r="M1538" s="7" t="s">
        <v>3543</v>
      </c>
      <c r="N1538" s="7" t="s">
        <v>419</v>
      </c>
      <c r="O1538" s="7" t="s">
        <v>19433</v>
      </c>
      <c r="P1538" s="7" t="s">
        <v>587</v>
      </c>
      <c r="Q1538" s="7" t="s">
        <v>72</v>
      </c>
      <c r="R1538" s="7" t="s">
        <v>19566</v>
      </c>
      <c r="T1538" s="7" t="s">
        <v>5672</v>
      </c>
      <c r="U1538" s="7" t="s">
        <v>3493</v>
      </c>
      <c r="V1538" s="7">
        <v>1.0</v>
      </c>
    </row>
    <row r="1539">
      <c r="A1539" s="7" t="s">
        <v>21451</v>
      </c>
      <c r="B1539" s="7">
        <v>10326.0</v>
      </c>
      <c r="C1539" s="7" t="s">
        <v>13202</v>
      </c>
      <c r="D1539" s="7" t="s">
        <v>13203</v>
      </c>
      <c r="E1539" s="7" t="s">
        <v>13204</v>
      </c>
      <c r="F1539" s="7" t="s">
        <v>4213</v>
      </c>
      <c r="G1539" s="7" t="s">
        <v>13205</v>
      </c>
      <c r="H1539" s="7" t="s">
        <v>13206</v>
      </c>
      <c r="I1539" s="119">
        <v>45292.0</v>
      </c>
      <c r="K1539" s="7" t="s">
        <v>419</v>
      </c>
      <c r="L1539" s="7" t="s">
        <v>991</v>
      </c>
      <c r="M1539" s="7" t="s">
        <v>3501</v>
      </c>
      <c r="N1539" s="7" t="s">
        <v>419</v>
      </c>
      <c r="O1539" s="7" t="s">
        <v>19430</v>
      </c>
      <c r="P1539" s="7" t="s">
        <v>717</v>
      </c>
      <c r="Q1539" s="7" t="s">
        <v>223</v>
      </c>
      <c r="R1539" s="7" t="s">
        <v>19764</v>
      </c>
      <c r="S1539" s="7" t="s">
        <v>20036</v>
      </c>
      <c r="T1539" s="7" t="s">
        <v>5756</v>
      </c>
      <c r="U1539" s="7" t="s">
        <v>3493</v>
      </c>
      <c r="V1539" s="7">
        <v>1.0</v>
      </c>
    </row>
    <row r="1540">
      <c r="A1540" s="7" t="s">
        <v>21452</v>
      </c>
      <c r="B1540" s="7">
        <v>13816.0</v>
      </c>
      <c r="C1540" s="7" t="s">
        <v>13208</v>
      </c>
      <c r="D1540" s="7" t="s">
        <v>13209</v>
      </c>
      <c r="E1540" s="7" t="s">
        <v>13210</v>
      </c>
      <c r="F1540" s="7" t="s">
        <v>13211</v>
      </c>
      <c r="G1540" s="7" t="s">
        <v>13212</v>
      </c>
      <c r="H1540" s="7" t="s">
        <v>13213</v>
      </c>
      <c r="I1540" s="119">
        <v>45292.0</v>
      </c>
      <c r="K1540" s="7" t="s">
        <v>419</v>
      </c>
      <c r="L1540" s="7" t="s">
        <v>991</v>
      </c>
      <c r="M1540" s="7" t="s">
        <v>3501</v>
      </c>
      <c r="N1540" s="7" t="s">
        <v>419</v>
      </c>
      <c r="O1540" s="7" t="s">
        <v>19430</v>
      </c>
      <c r="P1540" s="7" t="s">
        <v>854</v>
      </c>
      <c r="Q1540" s="7" t="s">
        <v>173</v>
      </c>
      <c r="R1540" s="7" t="s">
        <v>19919</v>
      </c>
      <c r="T1540" s="7" t="s">
        <v>13215</v>
      </c>
      <c r="U1540" s="7" t="s">
        <v>3604</v>
      </c>
      <c r="V1540" s="7">
        <v>1.0</v>
      </c>
    </row>
    <row r="1541">
      <c r="A1541" s="7" t="s">
        <v>21453</v>
      </c>
      <c r="B1541" s="7">
        <v>2100609.0</v>
      </c>
      <c r="C1541" s="7" t="s">
        <v>13217</v>
      </c>
      <c r="D1541" s="7" t="s">
        <v>13218</v>
      </c>
      <c r="E1541" s="7" t="s">
        <v>13219</v>
      </c>
      <c r="F1541" s="7" t="s">
        <v>13220</v>
      </c>
      <c r="G1541" s="7" t="s">
        <v>13221</v>
      </c>
      <c r="H1541" s="7" t="s">
        <v>13222</v>
      </c>
      <c r="I1541" s="119">
        <v>45292.0</v>
      </c>
      <c r="K1541" s="7" t="s">
        <v>419</v>
      </c>
      <c r="L1541" s="7" t="s">
        <v>991</v>
      </c>
      <c r="M1541" s="7" t="s">
        <v>3531</v>
      </c>
      <c r="N1541" s="7" t="s">
        <v>419</v>
      </c>
      <c r="O1541" s="7" t="s">
        <v>19443</v>
      </c>
      <c r="P1541" s="7" t="s">
        <v>1242</v>
      </c>
      <c r="Q1541" s="7" t="s">
        <v>43</v>
      </c>
      <c r="R1541" s="7" t="s">
        <v>19566</v>
      </c>
      <c r="S1541" s="7" t="s">
        <v>19668</v>
      </c>
      <c r="T1541" s="7" t="s">
        <v>13224</v>
      </c>
      <c r="U1541" s="7" t="s">
        <v>3493</v>
      </c>
      <c r="V1541" s="7">
        <v>1.0</v>
      </c>
    </row>
    <row r="1542">
      <c r="A1542" s="7" t="s">
        <v>21454</v>
      </c>
      <c r="B1542" s="7">
        <v>2100305.0</v>
      </c>
      <c r="C1542" s="7" t="s">
        <v>13217</v>
      </c>
      <c r="D1542" s="7" t="s">
        <v>5153</v>
      </c>
      <c r="E1542" s="7" t="s">
        <v>13219</v>
      </c>
      <c r="F1542" s="7" t="s">
        <v>5155</v>
      </c>
      <c r="G1542" s="7" t="s">
        <v>13226</v>
      </c>
      <c r="H1542" s="7" t="s">
        <v>13227</v>
      </c>
      <c r="I1542" s="119">
        <v>45292.0</v>
      </c>
      <c r="K1542" s="7" t="s">
        <v>419</v>
      </c>
      <c r="L1542" s="7" t="s">
        <v>991</v>
      </c>
      <c r="M1542" s="7" t="s">
        <v>3531</v>
      </c>
      <c r="N1542" s="7" t="s">
        <v>419</v>
      </c>
      <c r="O1542" s="7" t="s">
        <v>19430</v>
      </c>
      <c r="P1542" s="7" t="s">
        <v>717</v>
      </c>
      <c r="Q1542" s="7" t="s">
        <v>725</v>
      </c>
      <c r="R1542" s="7" t="s">
        <v>19501</v>
      </c>
      <c r="S1542" s="7" t="s">
        <v>19502</v>
      </c>
      <c r="T1542" s="7" t="s">
        <v>3533</v>
      </c>
      <c r="U1542" s="7" t="s">
        <v>3493</v>
      </c>
      <c r="V1542" s="7">
        <v>1.0</v>
      </c>
    </row>
    <row r="1543">
      <c r="A1543" s="7" t="s">
        <v>1790</v>
      </c>
      <c r="B1543" s="7">
        <v>359.0</v>
      </c>
      <c r="C1543" s="7" t="s">
        <v>13217</v>
      </c>
      <c r="D1543" s="7" t="s">
        <v>13228</v>
      </c>
      <c r="E1543" s="7" t="s">
        <v>13219</v>
      </c>
      <c r="F1543" s="7" t="s">
        <v>13229</v>
      </c>
      <c r="G1543" s="7" t="s">
        <v>13230</v>
      </c>
      <c r="H1543" s="7" t="s">
        <v>13231</v>
      </c>
      <c r="I1543" s="119">
        <v>45292.0</v>
      </c>
      <c r="K1543" s="7" t="s">
        <v>419</v>
      </c>
      <c r="L1543" s="7" t="s">
        <v>991</v>
      </c>
      <c r="M1543" s="7" t="s">
        <v>3501</v>
      </c>
      <c r="N1543" s="7" t="s">
        <v>419</v>
      </c>
      <c r="O1543" s="7" t="s">
        <v>19432</v>
      </c>
      <c r="P1543" s="7" t="s">
        <v>298</v>
      </c>
      <c r="Q1543" s="7" t="s">
        <v>304</v>
      </c>
      <c r="T1543" s="7" t="s">
        <v>7374</v>
      </c>
      <c r="U1543" s="7" t="s">
        <v>6078</v>
      </c>
      <c r="V1543" s="7">
        <v>1.0</v>
      </c>
    </row>
    <row r="1544">
      <c r="A1544" s="7" t="s">
        <v>21455</v>
      </c>
      <c r="B1544" s="7">
        <v>2300574.0</v>
      </c>
      <c r="C1544" s="7" t="s">
        <v>13217</v>
      </c>
      <c r="D1544" s="7" t="s">
        <v>13233</v>
      </c>
      <c r="E1544" s="7" t="s">
        <v>13219</v>
      </c>
      <c r="F1544" s="7" t="s">
        <v>13234</v>
      </c>
      <c r="G1544" s="7" t="s">
        <v>13235</v>
      </c>
      <c r="H1544" s="7" t="s">
        <v>13236</v>
      </c>
      <c r="I1544" s="119">
        <v>45292.0</v>
      </c>
      <c r="K1544" s="7" t="s">
        <v>419</v>
      </c>
      <c r="L1544" s="7" t="s">
        <v>991</v>
      </c>
      <c r="M1544" s="7" t="s">
        <v>3531</v>
      </c>
      <c r="N1544" s="7" t="s">
        <v>419</v>
      </c>
      <c r="O1544" s="7" t="s">
        <v>19430</v>
      </c>
      <c r="P1544" s="7" t="s">
        <v>717</v>
      </c>
      <c r="Q1544" s="7" t="s">
        <v>720</v>
      </c>
      <c r="R1544" s="7" t="s">
        <v>19542</v>
      </c>
      <c r="T1544" s="7" t="s">
        <v>3725</v>
      </c>
      <c r="U1544" s="7" t="s">
        <v>3493</v>
      </c>
      <c r="V1544" s="7">
        <v>1.0</v>
      </c>
    </row>
    <row r="1545">
      <c r="A1545" s="7" t="s">
        <v>21456</v>
      </c>
      <c r="B1545" s="7">
        <v>2100021.0</v>
      </c>
      <c r="C1545" s="7" t="s">
        <v>13217</v>
      </c>
      <c r="D1545" s="7" t="s">
        <v>13238</v>
      </c>
      <c r="E1545" s="7" t="s">
        <v>13219</v>
      </c>
      <c r="F1545" s="7" t="s">
        <v>13239</v>
      </c>
      <c r="G1545" s="7" t="s">
        <v>13240</v>
      </c>
      <c r="H1545" s="7" t="s">
        <v>13241</v>
      </c>
      <c r="I1545" s="119">
        <v>45292.0</v>
      </c>
      <c r="K1545" s="7" t="s">
        <v>419</v>
      </c>
      <c r="L1545" s="7" t="s">
        <v>991</v>
      </c>
      <c r="M1545" s="7" t="s">
        <v>3531</v>
      </c>
      <c r="N1545" s="7" t="s">
        <v>419</v>
      </c>
      <c r="O1545" s="7" t="s">
        <v>19430</v>
      </c>
      <c r="P1545" s="7" t="s">
        <v>717</v>
      </c>
      <c r="Q1545" s="7" t="s">
        <v>720</v>
      </c>
      <c r="R1545" s="7" t="s">
        <v>19626</v>
      </c>
      <c r="S1545" s="7" t="s">
        <v>20158</v>
      </c>
      <c r="T1545" s="7" t="s">
        <v>6330</v>
      </c>
      <c r="U1545" s="7" t="s">
        <v>3493</v>
      </c>
      <c r="V1545" s="7">
        <v>1.0</v>
      </c>
    </row>
    <row r="1546">
      <c r="A1546" s="7" t="s">
        <v>21457</v>
      </c>
      <c r="B1546" s="7">
        <v>2100166.0</v>
      </c>
      <c r="C1546" s="7" t="s">
        <v>13217</v>
      </c>
      <c r="D1546" s="7" t="s">
        <v>13243</v>
      </c>
      <c r="E1546" s="7" t="s">
        <v>13219</v>
      </c>
      <c r="F1546" s="7" t="s">
        <v>6175</v>
      </c>
      <c r="G1546" s="7" t="s">
        <v>13244</v>
      </c>
      <c r="H1546" s="7" t="s">
        <v>13245</v>
      </c>
      <c r="I1546" s="119">
        <v>45292.0</v>
      </c>
      <c r="K1546" s="7" t="s">
        <v>419</v>
      </c>
      <c r="L1546" s="7" t="s">
        <v>991</v>
      </c>
      <c r="M1546" s="7" t="s">
        <v>3531</v>
      </c>
      <c r="N1546" s="7" t="s">
        <v>419</v>
      </c>
      <c r="O1546" s="7" t="s">
        <v>19430</v>
      </c>
      <c r="P1546" s="7" t="s">
        <v>717</v>
      </c>
      <c r="Q1546" s="7" t="s">
        <v>738</v>
      </c>
      <c r="R1546" s="7" t="s">
        <v>19818</v>
      </c>
      <c r="S1546" s="7" t="s">
        <v>19668</v>
      </c>
      <c r="T1546" s="7" t="s">
        <v>4739</v>
      </c>
      <c r="U1546" s="7" t="s">
        <v>3493</v>
      </c>
      <c r="V1546" s="7">
        <v>1.0</v>
      </c>
    </row>
    <row r="1547">
      <c r="A1547" s="7" t="s">
        <v>21458</v>
      </c>
      <c r="B1547" s="7">
        <v>13403.0</v>
      </c>
      <c r="C1547" s="7" t="s">
        <v>13247</v>
      </c>
      <c r="D1547" s="7" t="s">
        <v>9683</v>
      </c>
      <c r="E1547" s="7" t="s">
        <v>13248</v>
      </c>
      <c r="F1547" s="7" t="s">
        <v>3486</v>
      </c>
      <c r="G1547" s="7" t="s">
        <v>13249</v>
      </c>
      <c r="H1547" s="7" t="s">
        <v>13250</v>
      </c>
      <c r="I1547" s="119">
        <v>45292.0</v>
      </c>
      <c r="K1547" s="7" t="s">
        <v>419</v>
      </c>
      <c r="L1547" s="7" t="s">
        <v>991</v>
      </c>
      <c r="M1547" s="7" t="s">
        <v>3501</v>
      </c>
      <c r="N1547" s="7" t="s">
        <v>419</v>
      </c>
      <c r="O1547" s="7" t="s">
        <v>19432</v>
      </c>
      <c r="P1547" s="7" t="s">
        <v>391</v>
      </c>
      <c r="Q1547" s="7" t="s">
        <v>392</v>
      </c>
      <c r="R1547" s="7" t="s">
        <v>20982</v>
      </c>
      <c r="T1547" s="7" t="s">
        <v>11498</v>
      </c>
      <c r="U1547" s="7" t="s">
        <v>3493</v>
      </c>
      <c r="V1547" s="7">
        <v>1.0</v>
      </c>
    </row>
    <row r="1548">
      <c r="A1548" s="7" t="s">
        <v>21459</v>
      </c>
      <c r="B1548" s="7">
        <v>12693.0</v>
      </c>
      <c r="C1548" s="7" t="s">
        <v>13252</v>
      </c>
      <c r="D1548" s="7" t="s">
        <v>13253</v>
      </c>
      <c r="E1548" s="7" t="s">
        <v>13254</v>
      </c>
      <c r="F1548" s="7" t="s">
        <v>8580</v>
      </c>
      <c r="G1548" s="7" t="s">
        <v>13255</v>
      </c>
      <c r="H1548" s="7" t="s">
        <v>13256</v>
      </c>
      <c r="I1548" s="119">
        <v>45292.0</v>
      </c>
      <c r="K1548" s="7" t="s">
        <v>419</v>
      </c>
      <c r="L1548" s="7" t="s">
        <v>991</v>
      </c>
      <c r="M1548" s="7" t="s">
        <v>3501</v>
      </c>
      <c r="N1548" s="7" t="s">
        <v>419</v>
      </c>
      <c r="O1548" s="7" t="s">
        <v>19443</v>
      </c>
      <c r="P1548" s="7" t="s">
        <v>1242</v>
      </c>
      <c r="Q1548" s="7" t="s">
        <v>39</v>
      </c>
      <c r="R1548" s="7" t="s">
        <v>19929</v>
      </c>
      <c r="S1548" s="7" t="s">
        <v>20299</v>
      </c>
      <c r="T1548" s="7" t="s">
        <v>7061</v>
      </c>
      <c r="U1548" s="7" t="s">
        <v>3493</v>
      </c>
      <c r="V1548" s="7">
        <v>1.0</v>
      </c>
    </row>
    <row r="1549">
      <c r="A1549" s="7" t="s">
        <v>1794</v>
      </c>
      <c r="B1549" s="7">
        <v>233.0</v>
      </c>
      <c r="C1549" s="7" t="s">
        <v>13257</v>
      </c>
      <c r="D1549" s="7" t="s">
        <v>13258</v>
      </c>
      <c r="E1549" s="7" t="s">
        <v>13259</v>
      </c>
      <c r="F1549" s="7" t="s">
        <v>3549</v>
      </c>
      <c r="G1549" s="7" t="s">
        <v>13260</v>
      </c>
      <c r="H1549" s="7" t="s">
        <v>13261</v>
      </c>
      <c r="I1549" s="119">
        <v>45292.0</v>
      </c>
      <c r="K1549" s="7" t="s">
        <v>419</v>
      </c>
      <c r="L1549" s="7" t="s">
        <v>991</v>
      </c>
      <c r="M1549" s="7" t="s">
        <v>3501</v>
      </c>
      <c r="N1549" s="7" t="s">
        <v>419</v>
      </c>
      <c r="O1549" s="7" t="s">
        <v>19443</v>
      </c>
      <c r="P1549" s="7" t="s">
        <v>1242</v>
      </c>
      <c r="Q1549" s="7" t="s">
        <v>48</v>
      </c>
      <c r="R1549" s="7" t="s">
        <v>20064</v>
      </c>
      <c r="T1549" s="7" t="s">
        <v>5876</v>
      </c>
      <c r="U1549" s="7" t="s">
        <v>3493</v>
      </c>
      <c r="V1549" s="7">
        <v>1.0</v>
      </c>
    </row>
    <row r="1550">
      <c r="A1550" s="7" t="s">
        <v>21460</v>
      </c>
      <c r="B1550" s="7">
        <v>13557.0</v>
      </c>
      <c r="C1550" s="7" t="s">
        <v>13263</v>
      </c>
      <c r="D1550" s="7" t="s">
        <v>13264</v>
      </c>
      <c r="E1550" s="7" t="s">
        <v>13265</v>
      </c>
      <c r="F1550" s="7" t="s">
        <v>10093</v>
      </c>
      <c r="G1550" s="7" t="s">
        <v>13266</v>
      </c>
      <c r="H1550" s="7" t="s">
        <v>13267</v>
      </c>
      <c r="I1550" s="119">
        <v>45292.0</v>
      </c>
      <c r="K1550" s="7" t="s">
        <v>3632</v>
      </c>
      <c r="L1550" s="7" t="s">
        <v>991</v>
      </c>
      <c r="M1550" s="7" t="s">
        <v>4644</v>
      </c>
      <c r="N1550" s="7" t="s">
        <v>3632</v>
      </c>
      <c r="O1550" s="7" t="s">
        <v>3632</v>
      </c>
      <c r="P1550" s="7" t="s">
        <v>19456</v>
      </c>
      <c r="T1550" s="7" t="s">
        <v>8891</v>
      </c>
      <c r="U1550" s="7" t="s">
        <v>7953</v>
      </c>
      <c r="V1550" s="7">
        <v>1.0</v>
      </c>
    </row>
    <row r="1551">
      <c r="A1551" s="7" t="s">
        <v>21461</v>
      </c>
      <c r="B1551" s="7">
        <v>2200718.0</v>
      </c>
      <c r="C1551" s="7" t="s">
        <v>13271</v>
      </c>
      <c r="D1551" s="7" t="s">
        <v>13272</v>
      </c>
      <c r="E1551" s="7" t="s">
        <v>13273</v>
      </c>
      <c r="F1551" s="7" t="s">
        <v>5569</v>
      </c>
      <c r="G1551" s="7" t="s">
        <v>13274</v>
      </c>
      <c r="H1551" s="7" t="s">
        <v>13275</v>
      </c>
      <c r="I1551" s="119">
        <v>45292.0</v>
      </c>
      <c r="K1551" s="7" t="s">
        <v>4042</v>
      </c>
      <c r="L1551" s="7" t="s">
        <v>991</v>
      </c>
      <c r="M1551" s="7" t="s">
        <v>3531</v>
      </c>
      <c r="N1551" s="7" t="s">
        <v>4042</v>
      </c>
      <c r="O1551" s="7" t="s">
        <v>4042</v>
      </c>
      <c r="P1551" s="7" t="s">
        <v>19632</v>
      </c>
      <c r="T1551" s="7" t="s">
        <v>4044</v>
      </c>
      <c r="U1551" s="7" t="s">
        <v>3493</v>
      </c>
      <c r="V1551" s="7">
        <v>1.0</v>
      </c>
    </row>
    <row r="1552">
      <c r="A1552" s="7" t="s">
        <v>21462</v>
      </c>
      <c r="B1552" s="7">
        <v>2200645.0</v>
      </c>
      <c r="C1552" s="7" t="s">
        <v>13277</v>
      </c>
      <c r="D1552" s="7" t="s">
        <v>13278</v>
      </c>
      <c r="E1552" s="7" t="s">
        <v>13279</v>
      </c>
      <c r="F1552" s="7" t="s">
        <v>7802</v>
      </c>
      <c r="G1552" s="7" t="s">
        <v>13280</v>
      </c>
      <c r="H1552" s="7" t="s">
        <v>13281</v>
      </c>
      <c r="I1552" s="119">
        <v>45292.0</v>
      </c>
      <c r="K1552" s="7" t="s">
        <v>419</v>
      </c>
      <c r="L1552" s="7" t="s">
        <v>991</v>
      </c>
      <c r="M1552" s="7" t="s">
        <v>3501</v>
      </c>
      <c r="N1552" s="7" t="s">
        <v>419</v>
      </c>
      <c r="O1552" s="7" t="s">
        <v>19430</v>
      </c>
      <c r="P1552" s="7" t="s">
        <v>717</v>
      </c>
      <c r="Q1552" s="7" t="s">
        <v>725</v>
      </c>
      <c r="R1552" s="7" t="s">
        <v>19741</v>
      </c>
      <c r="S1552" s="7" t="s">
        <v>19495</v>
      </c>
      <c r="T1552" s="7" t="s">
        <v>10122</v>
      </c>
      <c r="U1552" s="7" t="s">
        <v>3493</v>
      </c>
      <c r="V1552" s="7">
        <v>1.0</v>
      </c>
    </row>
    <row r="1553">
      <c r="A1553" s="7" t="s">
        <v>21463</v>
      </c>
      <c r="B1553" s="7">
        <v>2200226.0</v>
      </c>
      <c r="C1553" s="7" t="s">
        <v>13283</v>
      </c>
      <c r="D1553" s="7" t="s">
        <v>4881</v>
      </c>
      <c r="E1553" s="7" t="s">
        <v>13284</v>
      </c>
      <c r="F1553" s="7" t="s">
        <v>4883</v>
      </c>
      <c r="G1553" s="7" t="s">
        <v>13285</v>
      </c>
      <c r="H1553" s="7" t="s">
        <v>13286</v>
      </c>
      <c r="I1553" s="119">
        <v>45292.0</v>
      </c>
      <c r="K1553" s="7" t="s">
        <v>419</v>
      </c>
      <c r="L1553" s="7" t="s">
        <v>991</v>
      </c>
      <c r="M1553" s="7" t="s">
        <v>3501</v>
      </c>
      <c r="N1553" s="7" t="s">
        <v>419</v>
      </c>
      <c r="O1553" s="7" t="s">
        <v>19430</v>
      </c>
      <c r="P1553" s="7" t="s">
        <v>780</v>
      </c>
      <c r="Q1553" s="7" t="s">
        <v>786</v>
      </c>
      <c r="R1553" s="7" t="s">
        <v>19839</v>
      </c>
      <c r="T1553" s="7" t="s">
        <v>4835</v>
      </c>
      <c r="U1553" s="7" t="s">
        <v>3493</v>
      </c>
      <c r="V1553" s="7">
        <v>1.0</v>
      </c>
    </row>
    <row r="1554">
      <c r="A1554" s="7" t="s">
        <v>21464</v>
      </c>
      <c r="B1554" s="7">
        <v>2300522.0</v>
      </c>
      <c r="C1554" s="7" t="s">
        <v>13288</v>
      </c>
      <c r="D1554" s="7" t="s">
        <v>10055</v>
      </c>
      <c r="E1554" s="7" t="s">
        <v>13289</v>
      </c>
      <c r="F1554" s="7" t="s">
        <v>13290</v>
      </c>
      <c r="G1554" s="7" t="s">
        <v>13291</v>
      </c>
      <c r="H1554" s="7" t="s">
        <v>13292</v>
      </c>
      <c r="I1554" s="119">
        <v>45292.0</v>
      </c>
      <c r="K1554" s="7" t="s">
        <v>419</v>
      </c>
      <c r="L1554" s="7" t="s">
        <v>991</v>
      </c>
      <c r="M1554" s="7" t="s">
        <v>3501</v>
      </c>
      <c r="N1554" s="7" t="s">
        <v>419</v>
      </c>
      <c r="O1554" s="7" t="s">
        <v>19443</v>
      </c>
      <c r="P1554" s="7" t="s">
        <v>323</v>
      </c>
      <c r="Q1554" s="7" t="s">
        <v>824</v>
      </c>
      <c r="R1554" s="7" t="s">
        <v>20407</v>
      </c>
      <c r="T1554" s="7" t="s">
        <v>8908</v>
      </c>
      <c r="U1554" s="7" t="s">
        <v>3493</v>
      </c>
      <c r="V1554" s="7">
        <v>1.0</v>
      </c>
    </row>
    <row r="1555">
      <c r="A1555" s="7" t="s">
        <v>21465</v>
      </c>
      <c r="B1555" s="7">
        <v>11921.0</v>
      </c>
      <c r="C1555" s="7" t="s">
        <v>13294</v>
      </c>
      <c r="D1555" s="7" t="s">
        <v>8442</v>
      </c>
      <c r="E1555" s="7" t="s">
        <v>13295</v>
      </c>
      <c r="F1555" s="7" t="s">
        <v>4929</v>
      </c>
      <c r="G1555" s="7" t="s">
        <v>13296</v>
      </c>
      <c r="H1555" s="7" t="s">
        <v>13297</v>
      </c>
      <c r="I1555" s="119">
        <v>45292.0</v>
      </c>
      <c r="K1555" s="7" t="s">
        <v>419</v>
      </c>
      <c r="L1555" s="7" t="s">
        <v>991</v>
      </c>
      <c r="M1555" s="7" t="s">
        <v>3501</v>
      </c>
      <c r="N1555" s="7" t="s">
        <v>419</v>
      </c>
      <c r="O1555" s="7" t="s">
        <v>19437</v>
      </c>
      <c r="P1555" s="7" t="s">
        <v>478</v>
      </c>
      <c r="Q1555" s="7" t="s">
        <v>482</v>
      </c>
      <c r="R1555" s="7" t="s">
        <v>20526</v>
      </c>
      <c r="T1555" s="7" t="s">
        <v>20527</v>
      </c>
      <c r="U1555" s="7" t="s">
        <v>3493</v>
      </c>
      <c r="V1555" s="7">
        <v>1.0</v>
      </c>
    </row>
    <row r="1556">
      <c r="A1556" s="7" t="s">
        <v>21466</v>
      </c>
      <c r="B1556" s="7">
        <v>11310.0</v>
      </c>
      <c r="C1556" s="7" t="s">
        <v>13294</v>
      </c>
      <c r="D1556" s="7" t="s">
        <v>6701</v>
      </c>
      <c r="E1556" s="7" t="s">
        <v>13295</v>
      </c>
      <c r="F1556" s="7" t="s">
        <v>6703</v>
      </c>
      <c r="G1556" s="7" t="s">
        <v>13300</v>
      </c>
      <c r="H1556" s="7" t="s">
        <v>13301</v>
      </c>
      <c r="I1556" s="119">
        <v>45292.0</v>
      </c>
      <c r="K1556" s="7" t="s">
        <v>419</v>
      </c>
      <c r="L1556" s="7" t="s">
        <v>991</v>
      </c>
      <c r="M1556" s="7" t="s">
        <v>3501</v>
      </c>
      <c r="N1556" s="7" t="s">
        <v>419</v>
      </c>
      <c r="O1556" s="7" t="s">
        <v>19430</v>
      </c>
      <c r="P1556" s="7" t="s">
        <v>780</v>
      </c>
      <c r="Q1556" s="7" t="s">
        <v>786</v>
      </c>
      <c r="R1556" s="7" t="s">
        <v>19839</v>
      </c>
      <c r="T1556" s="7" t="s">
        <v>4835</v>
      </c>
      <c r="U1556" s="7" t="s">
        <v>3493</v>
      </c>
      <c r="V1556" s="7">
        <v>1.0</v>
      </c>
    </row>
    <row r="1557">
      <c r="A1557" s="7" t="s">
        <v>21467</v>
      </c>
      <c r="B1557" s="7">
        <v>1241.0</v>
      </c>
      <c r="C1557" s="7" t="s">
        <v>13294</v>
      </c>
      <c r="D1557" s="7" t="s">
        <v>13303</v>
      </c>
      <c r="E1557" s="7" t="s">
        <v>13295</v>
      </c>
      <c r="F1557" s="7" t="s">
        <v>3986</v>
      </c>
      <c r="G1557" s="7" t="s">
        <v>13304</v>
      </c>
      <c r="H1557" s="7" t="s">
        <v>13305</v>
      </c>
      <c r="I1557" s="119">
        <v>45292.0</v>
      </c>
      <c r="J1557" s="7" t="s">
        <v>3929</v>
      </c>
      <c r="K1557" s="7" t="s">
        <v>419</v>
      </c>
      <c r="L1557" s="7" t="s">
        <v>991</v>
      </c>
      <c r="M1557" s="7" t="s">
        <v>3501</v>
      </c>
      <c r="N1557" s="7" t="s">
        <v>419</v>
      </c>
      <c r="O1557" s="7" t="s">
        <v>19437</v>
      </c>
      <c r="P1557" s="7" t="s">
        <v>478</v>
      </c>
      <c r="Q1557" s="7" t="s">
        <v>487</v>
      </c>
      <c r="R1557" s="7" t="s">
        <v>19499</v>
      </c>
      <c r="T1557" s="7" t="s">
        <v>8093</v>
      </c>
      <c r="U1557" s="7" t="s">
        <v>3493</v>
      </c>
      <c r="V1557" s="7">
        <v>1.0</v>
      </c>
    </row>
    <row r="1558">
      <c r="A1558" s="7" t="s">
        <v>21468</v>
      </c>
      <c r="B1558" s="7">
        <v>2100309.0</v>
      </c>
      <c r="C1558" s="7" t="s">
        <v>13294</v>
      </c>
      <c r="D1558" s="7" t="s">
        <v>13307</v>
      </c>
      <c r="E1558" s="7" t="s">
        <v>13295</v>
      </c>
      <c r="F1558" s="7" t="s">
        <v>4158</v>
      </c>
      <c r="G1558" s="7" t="s">
        <v>13308</v>
      </c>
      <c r="H1558" s="7" t="s">
        <v>13309</v>
      </c>
      <c r="I1558" s="119">
        <v>45292.0</v>
      </c>
      <c r="K1558" s="7" t="s">
        <v>419</v>
      </c>
      <c r="L1558" s="7" t="s">
        <v>991</v>
      </c>
      <c r="M1558" s="7" t="s">
        <v>3501</v>
      </c>
      <c r="N1558" s="7" t="s">
        <v>419</v>
      </c>
      <c r="O1558" s="7" t="s">
        <v>19433</v>
      </c>
      <c r="P1558" s="7" t="s">
        <v>587</v>
      </c>
      <c r="Q1558" s="7" t="s">
        <v>74</v>
      </c>
      <c r="R1558" s="7" t="s">
        <v>21220</v>
      </c>
      <c r="T1558" s="7" t="s">
        <v>13310</v>
      </c>
      <c r="U1558" s="7" t="s">
        <v>3604</v>
      </c>
      <c r="V1558" s="7">
        <v>1.0</v>
      </c>
    </row>
    <row r="1559">
      <c r="A1559" s="7" t="s">
        <v>21469</v>
      </c>
      <c r="B1559" s="7">
        <v>11010.0</v>
      </c>
      <c r="C1559" s="7" t="s">
        <v>13294</v>
      </c>
      <c r="D1559" s="7" t="s">
        <v>13312</v>
      </c>
      <c r="E1559" s="7" t="s">
        <v>13295</v>
      </c>
      <c r="F1559" s="7" t="s">
        <v>6101</v>
      </c>
      <c r="G1559" s="7" t="s">
        <v>13313</v>
      </c>
      <c r="H1559" s="7" t="s">
        <v>13314</v>
      </c>
      <c r="I1559" s="119">
        <v>45292.0</v>
      </c>
      <c r="K1559" s="7" t="s">
        <v>419</v>
      </c>
      <c r="L1559" s="7" t="s">
        <v>991</v>
      </c>
      <c r="M1559" s="7" t="s">
        <v>3501</v>
      </c>
      <c r="N1559" s="7" t="s">
        <v>419</v>
      </c>
      <c r="O1559" s="7" t="s">
        <v>19430</v>
      </c>
      <c r="P1559" s="7" t="s">
        <v>717</v>
      </c>
      <c r="Q1559" s="7" t="s">
        <v>725</v>
      </c>
      <c r="R1559" s="7" t="s">
        <v>20253</v>
      </c>
      <c r="S1559" s="7" t="s">
        <v>19749</v>
      </c>
      <c r="T1559" s="7" t="s">
        <v>6815</v>
      </c>
      <c r="U1559" s="7" t="s">
        <v>3493</v>
      </c>
      <c r="V1559" s="7">
        <v>1.0</v>
      </c>
    </row>
    <row r="1560">
      <c r="A1560" s="7" t="s">
        <v>21470</v>
      </c>
      <c r="B1560" s="7">
        <v>977.0</v>
      </c>
      <c r="C1560" s="7" t="s">
        <v>13294</v>
      </c>
      <c r="D1560" s="7" t="s">
        <v>13316</v>
      </c>
      <c r="E1560" s="7" t="s">
        <v>13295</v>
      </c>
      <c r="F1560" s="7" t="s">
        <v>5395</v>
      </c>
      <c r="G1560" s="7" t="s">
        <v>13317</v>
      </c>
      <c r="H1560" s="7" t="s">
        <v>13318</v>
      </c>
      <c r="I1560" s="119">
        <v>45292.0</v>
      </c>
      <c r="K1560" s="7" t="s">
        <v>419</v>
      </c>
      <c r="L1560" s="7" t="s">
        <v>991</v>
      </c>
      <c r="M1560" s="7" t="s">
        <v>3501</v>
      </c>
      <c r="N1560" s="7" t="s">
        <v>419</v>
      </c>
      <c r="O1560" s="7" t="s">
        <v>19438</v>
      </c>
      <c r="P1560" s="7" t="s">
        <v>19475</v>
      </c>
      <c r="Q1560" s="7" t="s">
        <v>188</v>
      </c>
      <c r="R1560" s="7" t="s">
        <v>20720</v>
      </c>
      <c r="S1560" s="7" t="s">
        <v>21211</v>
      </c>
      <c r="T1560" s="7" t="s">
        <v>11899</v>
      </c>
      <c r="U1560" s="7" t="s">
        <v>3843</v>
      </c>
      <c r="V1560" s="7">
        <v>1.0</v>
      </c>
    </row>
    <row r="1561">
      <c r="A1561" s="7" t="s">
        <v>19487</v>
      </c>
      <c r="B1561" s="7">
        <v>13678.0</v>
      </c>
      <c r="C1561" s="7" t="s">
        <v>13294</v>
      </c>
      <c r="D1561" s="7" t="s">
        <v>13320</v>
      </c>
      <c r="E1561" s="7" t="s">
        <v>13295</v>
      </c>
      <c r="F1561" s="7" t="s">
        <v>13321</v>
      </c>
      <c r="G1561" s="7" t="s">
        <v>13322</v>
      </c>
      <c r="H1561" s="7" t="s">
        <v>13323</v>
      </c>
      <c r="I1561" s="119">
        <v>45292.0</v>
      </c>
      <c r="K1561" s="7" t="s">
        <v>3632</v>
      </c>
      <c r="L1561" s="7" t="s">
        <v>991</v>
      </c>
      <c r="M1561" s="7" t="s">
        <v>3501</v>
      </c>
      <c r="N1561" s="7" t="s">
        <v>3632</v>
      </c>
      <c r="O1561" s="7" t="s">
        <v>3632</v>
      </c>
      <c r="P1561" s="7" t="s">
        <v>22</v>
      </c>
      <c r="T1561" s="7" t="s">
        <v>13325</v>
      </c>
      <c r="U1561" s="7" t="s">
        <v>12011</v>
      </c>
      <c r="V1561" s="7">
        <v>1.0</v>
      </c>
    </row>
    <row r="1562">
      <c r="A1562" s="7" t="s">
        <v>21471</v>
      </c>
      <c r="B1562" s="7">
        <v>2200517.0</v>
      </c>
      <c r="C1562" s="7" t="s">
        <v>13294</v>
      </c>
      <c r="D1562" s="7" t="s">
        <v>8598</v>
      </c>
      <c r="E1562" s="7" t="s">
        <v>13295</v>
      </c>
      <c r="F1562" s="7" t="s">
        <v>4598</v>
      </c>
      <c r="G1562" s="7" t="s">
        <v>13327</v>
      </c>
      <c r="H1562" s="7" t="s">
        <v>13328</v>
      </c>
      <c r="I1562" s="119">
        <v>45292.0</v>
      </c>
      <c r="K1562" s="7" t="s">
        <v>419</v>
      </c>
      <c r="L1562" s="7" t="s">
        <v>991</v>
      </c>
      <c r="M1562" s="7" t="s">
        <v>3501</v>
      </c>
      <c r="N1562" s="7" t="s">
        <v>419</v>
      </c>
      <c r="O1562" s="7" t="s">
        <v>19443</v>
      </c>
      <c r="P1562" s="7" t="s">
        <v>323</v>
      </c>
      <c r="Q1562" s="7" t="s">
        <v>824</v>
      </c>
      <c r="R1562" s="7" t="s">
        <v>20311</v>
      </c>
      <c r="T1562" s="7" t="s">
        <v>7132</v>
      </c>
      <c r="U1562" s="7" t="s">
        <v>3493</v>
      </c>
      <c r="V1562" s="7">
        <v>1.0</v>
      </c>
    </row>
    <row r="1563">
      <c r="A1563" s="7" t="s">
        <v>21472</v>
      </c>
      <c r="B1563" s="7">
        <v>2200898.0</v>
      </c>
      <c r="C1563" s="7" t="s">
        <v>13331</v>
      </c>
      <c r="D1563" s="7" t="s">
        <v>13332</v>
      </c>
      <c r="E1563" s="7" t="s">
        <v>13333</v>
      </c>
      <c r="F1563" s="7" t="s">
        <v>9724</v>
      </c>
      <c r="G1563" s="7" t="s">
        <v>13334</v>
      </c>
      <c r="H1563" s="7" t="s">
        <v>13335</v>
      </c>
      <c r="I1563" s="119">
        <v>45292.0</v>
      </c>
      <c r="K1563" s="7" t="s">
        <v>419</v>
      </c>
      <c r="L1563" s="7" t="s">
        <v>991</v>
      </c>
      <c r="M1563" s="7" t="s">
        <v>3501</v>
      </c>
      <c r="N1563" s="7" t="s">
        <v>419</v>
      </c>
      <c r="O1563" s="7" t="s">
        <v>19432</v>
      </c>
      <c r="P1563" s="7" t="s">
        <v>693</v>
      </c>
      <c r="Q1563" s="7" t="s">
        <v>696</v>
      </c>
      <c r="R1563" s="7" t="s">
        <v>19813</v>
      </c>
      <c r="S1563" s="7" t="s">
        <v>20767</v>
      </c>
      <c r="T1563" s="7" t="s">
        <v>13337</v>
      </c>
      <c r="U1563" s="7" t="s">
        <v>3493</v>
      </c>
      <c r="V1563" s="7">
        <v>1.0</v>
      </c>
    </row>
    <row r="1564">
      <c r="A1564" s="7" t="s">
        <v>21473</v>
      </c>
      <c r="B1564" s="7">
        <v>846.0</v>
      </c>
      <c r="C1564" s="7" t="s">
        <v>13338</v>
      </c>
      <c r="D1564" s="7" t="s">
        <v>11328</v>
      </c>
      <c r="E1564" s="7" t="s">
        <v>13333</v>
      </c>
      <c r="F1564" s="7" t="s">
        <v>13339</v>
      </c>
      <c r="G1564" s="7" t="s">
        <v>13340</v>
      </c>
      <c r="H1564" s="7" t="s">
        <v>13341</v>
      </c>
      <c r="I1564" s="119">
        <v>45292.0</v>
      </c>
      <c r="K1564" s="7" t="s">
        <v>419</v>
      </c>
      <c r="L1564" s="7" t="s">
        <v>991</v>
      </c>
      <c r="M1564" s="7" t="s">
        <v>4644</v>
      </c>
      <c r="N1564" s="7" t="s">
        <v>419</v>
      </c>
      <c r="O1564" s="7" t="s">
        <v>19438</v>
      </c>
      <c r="P1564" s="7" t="s">
        <v>420</v>
      </c>
      <c r="T1564" s="7" t="s">
        <v>12210</v>
      </c>
      <c r="U1564" s="7" t="s">
        <v>420</v>
      </c>
      <c r="V1564" s="7">
        <v>1.0</v>
      </c>
    </row>
    <row r="1565">
      <c r="A1565" s="7" t="s">
        <v>21474</v>
      </c>
      <c r="B1565" s="7">
        <v>8330.0</v>
      </c>
      <c r="C1565" s="7" t="s">
        <v>13331</v>
      </c>
      <c r="D1565" s="7" t="s">
        <v>8146</v>
      </c>
      <c r="E1565" s="7" t="s">
        <v>13333</v>
      </c>
      <c r="F1565" s="7" t="s">
        <v>3656</v>
      </c>
      <c r="G1565" s="7" t="s">
        <v>13344</v>
      </c>
      <c r="H1565" s="7" t="s">
        <v>13345</v>
      </c>
      <c r="I1565" s="119">
        <v>45292.0</v>
      </c>
      <c r="K1565" s="7" t="s">
        <v>419</v>
      </c>
      <c r="L1565" s="7" t="s">
        <v>991</v>
      </c>
      <c r="M1565" s="7" t="s">
        <v>3531</v>
      </c>
      <c r="N1565" s="7" t="s">
        <v>419</v>
      </c>
      <c r="O1565" s="7" t="s">
        <v>19432</v>
      </c>
      <c r="P1565" s="7" t="s">
        <v>391</v>
      </c>
      <c r="Q1565" s="7" t="s">
        <v>890</v>
      </c>
      <c r="R1565" s="7" t="s">
        <v>19497</v>
      </c>
      <c r="T1565" s="7" t="s">
        <v>7757</v>
      </c>
      <c r="U1565" s="7" t="s">
        <v>3493</v>
      </c>
      <c r="V1565" s="7">
        <v>1.0</v>
      </c>
    </row>
    <row r="1566">
      <c r="A1566" s="7" t="s">
        <v>21475</v>
      </c>
      <c r="B1566" s="7">
        <v>13757.0</v>
      </c>
      <c r="C1566" s="7" t="s">
        <v>13347</v>
      </c>
      <c r="D1566" s="7" t="s">
        <v>13348</v>
      </c>
      <c r="E1566" s="7" t="s">
        <v>13349</v>
      </c>
      <c r="F1566" s="7" t="s">
        <v>10657</v>
      </c>
      <c r="G1566" s="7" t="s">
        <v>13350</v>
      </c>
      <c r="H1566" s="7" t="s">
        <v>13351</v>
      </c>
      <c r="I1566" s="119">
        <v>45292.0</v>
      </c>
      <c r="K1566" s="7" t="s">
        <v>419</v>
      </c>
      <c r="L1566" s="7" t="s">
        <v>991</v>
      </c>
      <c r="M1566" s="7" t="s">
        <v>3531</v>
      </c>
      <c r="N1566" s="7" t="s">
        <v>419</v>
      </c>
      <c r="O1566" s="7" t="s">
        <v>19443</v>
      </c>
      <c r="P1566" s="7" t="s">
        <v>323</v>
      </c>
      <c r="Q1566" s="7" t="s">
        <v>324</v>
      </c>
      <c r="T1566" s="7" t="s">
        <v>7948</v>
      </c>
      <c r="U1566" s="7" t="s">
        <v>3493</v>
      </c>
      <c r="V1566" s="7">
        <v>1.0</v>
      </c>
    </row>
    <row r="1567">
      <c r="A1567" s="7" t="s">
        <v>21476</v>
      </c>
      <c r="B1567" s="7">
        <v>2200811.0</v>
      </c>
      <c r="C1567" s="7" t="s">
        <v>13347</v>
      </c>
      <c r="D1567" s="7" t="s">
        <v>13353</v>
      </c>
      <c r="E1567" s="7" t="s">
        <v>13349</v>
      </c>
      <c r="F1567" s="7" t="s">
        <v>10657</v>
      </c>
      <c r="G1567" s="7" t="s">
        <v>13354</v>
      </c>
      <c r="H1567" s="7" t="s">
        <v>13355</v>
      </c>
      <c r="I1567" s="119">
        <v>45292.0</v>
      </c>
      <c r="K1567" s="7" t="s">
        <v>3622</v>
      </c>
      <c r="L1567" s="7" t="s">
        <v>991</v>
      </c>
      <c r="M1567" s="7" t="s">
        <v>3501</v>
      </c>
      <c r="N1567" s="7" t="s">
        <v>3622</v>
      </c>
      <c r="O1567" s="7" t="s">
        <v>3622</v>
      </c>
      <c r="P1567" s="7" t="s">
        <v>19521</v>
      </c>
      <c r="T1567" s="7" t="s">
        <v>3624</v>
      </c>
      <c r="U1567" s="7" t="s">
        <v>3493</v>
      </c>
      <c r="V1567" s="7">
        <v>1.0</v>
      </c>
    </row>
    <row r="1568">
      <c r="A1568" s="7" t="s">
        <v>21477</v>
      </c>
      <c r="B1568" s="7">
        <v>2200335.0</v>
      </c>
      <c r="C1568" s="7" t="s">
        <v>13347</v>
      </c>
      <c r="D1568" s="7" t="s">
        <v>13357</v>
      </c>
      <c r="E1568" s="7" t="s">
        <v>13349</v>
      </c>
      <c r="F1568" s="7" t="s">
        <v>7477</v>
      </c>
      <c r="G1568" s="7" t="s">
        <v>13358</v>
      </c>
      <c r="H1568" s="7" t="s">
        <v>13359</v>
      </c>
      <c r="I1568" s="119">
        <v>45292.0</v>
      </c>
      <c r="K1568" s="7" t="s">
        <v>419</v>
      </c>
      <c r="L1568" s="7" t="s">
        <v>991</v>
      </c>
      <c r="M1568" s="7" t="s">
        <v>3501</v>
      </c>
      <c r="N1568" s="7" t="s">
        <v>419</v>
      </c>
      <c r="O1568" s="7" t="s">
        <v>19433</v>
      </c>
      <c r="P1568" s="7" t="s">
        <v>648</v>
      </c>
      <c r="Q1568" s="7" t="s">
        <v>148</v>
      </c>
      <c r="R1568" s="7" t="s">
        <v>19501</v>
      </c>
      <c r="T1568" s="7" t="s">
        <v>4445</v>
      </c>
      <c r="U1568" s="7" t="s">
        <v>3493</v>
      </c>
      <c r="V1568" s="7">
        <v>1.0</v>
      </c>
    </row>
    <row r="1569">
      <c r="A1569" s="7" t="s">
        <v>1381</v>
      </c>
      <c r="B1569" s="7">
        <v>630.0</v>
      </c>
      <c r="C1569" s="7" t="s">
        <v>13360</v>
      </c>
      <c r="D1569" s="7" t="s">
        <v>13361</v>
      </c>
      <c r="E1569" s="7" t="s">
        <v>13362</v>
      </c>
      <c r="F1569" s="7" t="s">
        <v>13363</v>
      </c>
      <c r="G1569" s="7" t="s">
        <v>13364</v>
      </c>
      <c r="H1569" s="7" t="s">
        <v>13365</v>
      </c>
      <c r="I1569" s="119">
        <v>45292.0</v>
      </c>
      <c r="K1569" s="7" t="s">
        <v>419</v>
      </c>
      <c r="L1569" s="7" t="s">
        <v>991</v>
      </c>
      <c r="M1569" s="7" t="s">
        <v>3501</v>
      </c>
      <c r="N1569" s="7" t="s">
        <v>419</v>
      </c>
      <c r="O1569" s="7" t="s">
        <v>19440</v>
      </c>
      <c r="P1569" s="7" t="s">
        <v>613</v>
      </c>
      <c r="Q1569" s="7" t="s">
        <v>106</v>
      </c>
      <c r="R1569" s="7" t="s">
        <v>19528</v>
      </c>
      <c r="T1569" s="7" t="s">
        <v>3660</v>
      </c>
      <c r="U1569" s="7" t="s">
        <v>3604</v>
      </c>
      <c r="V1569" s="7">
        <v>1.0</v>
      </c>
    </row>
    <row r="1570">
      <c r="A1570" s="7" t="s">
        <v>21478</v>
      </c>
      <c r="B1570" s="7">
        <v>2100502.0</v>
      </c>
      <c r="C1570" s="7" t="s">
        <v>13367</v>
      </c>
      <c r="D1570" s="7" t="s">
        <v>13368</v>
      </c>
      <c r="E1570" s="7" t="s">
        <v>13369</v>
      </c>
      <c r="F1570" s="7" t="s">
        <v>7169</v>
      </c>
      <c r="G1570" s="7" t="s">
        <v>13370</v>
      </c>
      <c r="H1570" s="7" t="s">
        <v>13371</v>
      </c>
      <c r="I1570" s="119">
        <v>45292.0</v>
      </c>
      <c r="K1570" s="7" t="s">
        <v>419</v>
      </c>
      <c r="L1570" s="7" t="s">
        <v>991</v>
      </c>
      <c r="M1570" s="7" t="s">
        <v>3501</v>
      </c>
      <c r="N1570" s="7" t="s">
        <v>419</v>
      </c>
      <c r="O1570" s="7" t="s">
        <v>19430</v>
      </c>
      <c r="P1570" s="7" t="s">
        <v>717</v>
      </c>
      <c r="Q1570" s="7" t="s">
        <v>720</v>
      </c>
      <c r="R1570" s="7" t="s">
        <v>19626</v>
      </c>
      <c r="S1570" s="7" t="s">
        <v>20561</v>
      </c>
      <c r="T1570" s="7" t="s">
        <v>8391</v>
      </c>
      <c r="U1570" s="7" t="s">
        <v>3493</v>
      </c>
      <c r="V1570" s="7">
        <v>1.0</v>
      </c>
    </row>
    <row r="1571">
      <c r="A1571" s="7" t="s">
        <v>21479</v>
      </c>
      <c r="B1571" s="7">
        <v>2300773.0</v>
      </c>
      <c r="C1571" s="7" t="s">
        <v>13373</v>
      </c>
      <c r="D1571" s="7" t="s">
        <v>13374</v>
      </c>
      <c r="E1571" s="7" t="s">
        <v>13375</v>
      </c>
      <c r="F1571" s="7" t="s">
        <v>13058</v>
      </c>
      <c r="G1571" s="7" t="s">
        <v>13376</v>
      </c>
      <c r="H1571" s="7" t="s">
        <v>13377</v>
      </c>
      <c r="I1571" s="119">
        <v>45292.0</v>
      </c>
      <c r="K1571" s="7" t="s">
        <v>419</v>
      </c>
      <c r="L1571" s="7" t="s">
        <v>991</v>
      </c>
      <c r="M1571" s="7" t="s">
        <v>3531</v>
      </c>
      <c r="N1571" s="7" t="s">
        <v>419</v>
      </c>
      <c r="O1571" s="7" t="s">
        <v>19430</v>
      </c>
      <c r="P1571" s="7" t="s">
        <v>717</v>
      </c>
      <c r="Q1571" s="7" t="s">
        <v>223</v>
      </c>
      <c r="R1571" s="7" t="s">
        <v>19764</v>
      </c>
      <c r="S1571" s="7" t="s">
        <v>20036</v>
      </c>
      <c r="T1571" s="7" t="s">
        <v>5756</v>
      </c>
      <c r="U1571" s="7" t="s">
        <v>3493</v>
      </c>
      <c r="V1571" s="7">
        <v>1.0</v>
      </c>
    </row>
    <row r="1572">
      <c r="A1572" s="7" t="s">
        <v>21480</v>
      </c>
      <c r="B1572" s="7">
        <v>2100261.0</v>
      </c>
      <c r="C1572" s="7" t="s">
        <v>13379</v>
      </c>
      <c r="D1572" s="7" t="s">
        <v>13380</v>
      </c>
      <c r="E1572" s="7" t="s">
        <v>13381</v>
      </c>
      <c r="F1572" s="7" t="s">
        <v>5860</v>
      </c>
      <c r="G1572" s="7" t="s">
        <v>13382</v>
      </c>
      <c r="H1572" s="7" t="s">
        <v>13383</v>
      </c>
      <c r="I1572" s="119">
        <v>45292.0</v>
      </c>
      <c r="K1572" s="7" t="s">
        <v>419</v>
      </c>
      <c r="L1572" s="7" t="s">
        <v>991</v>
      </c>
      <c r="M1572" s="7" t="s">
        <v>3583</v>
      </c>
      <c r="N1572" s="7" t="s">
        <v>419</v>
      </c>
      <c r="O1572" s="7" t="s">
        <v>19430</v>
      </c>
      <c r="P1572" s="7" t="s">
        <v>717</v>
      </c>
      <c r="Q1572" s="7" t="s">
        <v>738</v>
      </c>
      <c r="R1572" s="7" t="s">
        <v>20012</v>
      </c>
      <c r="S1572" s="7" t="s">
        <v>20068</v>
      </c>
      <c r="T1572" s="7" t="s">
        <v>5889</v>
      </c>
      <c r="U1572" s="7" t="s">
        <v>3493</v>
      </c>
      <c r="V1572" s="7">
        <v>1.0</v>
      </c>
    </row>
    <row r="1573">
      <c r="A1573" s="7" t="s">
        <v>21481</v>
      </c>
      <c r="B1573" s="7">
        <v>2300157.0</v>
      </c>
      <c r="C1573" s="7" t="s">
        <v>13379</v>
      </c>
      <c r="D1573" s="7" t="s">
        <v>8105</v>
      </c>
      <c r="E1573" s="7" t="s">
        <v>13381</v>
      </c>
      <c r="F1573" s="7" t="s">
        <v>7066</v>
      </c>
      <c r="G1573" s="7" t="s">
        <v>13385</v>
      </c>
      <c r="H1573" s="7" t="s">
        <v>13386</v>
      </c>
      <c r="I1573" s="119">
        <v>45292.0</v>
      </c>
      <c r="K1573" s="7" t="s">
        <v>419</v>
      </c>
      <c r="L1573" s="7" t="s">
        <v>991</v>
      </c>
      <c r="M1573" s="7" t="s">
        <v>3501</v>
      </c>
      <c r="N1573" s="7" t="s">
        <v>419</v>
      </c>
      <c r="O1573" s="7" t="s">
        <v>19437</v>
      </c>
      <c r="P1573" s="7" t="s">
        <v>440</v>
      </c>
      <c r="Q1573" s="7" t="s">
        <v>19453</v>
      </c>
      <c r="R1573" s="7" t="s">
        <v>20273</v>
      </c>
      <c r="T1573" s="7" t="s">
        <v>13388</v>
      </c>
      <c r="U1573" s="7" t="s">
        <v>3604</v>
      </c>
      <c r="V1573" s="7">
        <v>1.0</v>
      </c>
    </row>
    <row r="1574">
      <c r="A1574" s="7" t="s">
        <v>21482</v>
      </c>
      <c r="B1574" s="7">
        <v>2100009.0</v>
      </c>
      <c r="C1574" s="7" t="s">
        <v>13379</v>
      </c>
      <c r="D1574" s="7" t="s">
        <v>13390</v>
      </c>
      <c r="E1574" s="7" t="s">
        <v>13381</v>
      </c>
      <c r="F1574" s="7" t="s">
        <v>8306</v>
      </c>
      <c r="G1574" s="7" t="s">
        <v>13391</v>
      </c>
      <c r="H1574" s="7" t="s">
        <v>13392</v>
      </c>
      <c r="I1574" s="119">
        <v>45292.0</v>
      </c>
      <c r="K1574" s="7" t="s">
        <v>3489</v>
      </c>
      <c r="L1574" s="7" t="s">
        <v>991</v>
      </c>
      <c r="M1574" s="7" t="s">
        <v>3490</v>
      </c>
      <c r="N1574" s="7" t="s">
        <v>3489</v>
      </c>
      <c r="O1574" s="7" t="s">
        <v>3489</v>
      </c>
      <c r="P1574" s="7" t="s">
        <v>19491</v>
      </c>
      <c r="Q1574" s="7" t="s">
        <v>169</v>
      </c>
      <c r="R1574" s="7" t="s">
        <v>19492</v>
      </c>
      <c r="T1574" s="7" t="s">
        <v>3492</v>
      </c>
      <c r="U1574" s="7" t="s">
        <v>3493</v>
      </c>
      <c r="V1574" s="7">
        <v>1.0</v>
      </c>
    </row>
    <row r="1575">
      <c r="A1575" s="7" t="s">
        <v>21483</v>
      </c>
      <c r="B1575" s="7">
        <v>10774.0</v>
      </c>
      <c r="C1575" s="7" t="s">
        <v>13393</v>
      </c>
      <c r="D1575" s="7" t="s">
        <v>12459</v>
      </c>
      <c r="E1575" s="7" t="s">
        <v>13394</v>
      </c>
      <c r="F1575" s="7" t="s">
        <v>12459</v>
      </c>
      <c r="G1575" s="7" t="s">
        <v>13395</v>
      </c>
      <c r="H1575" s="7" t="s">
        <v>13396</v>
      </c>
      <c r="I1575" s="119">
        <v>45292.0</v>
      </c>
      <c r="K1575" s="7" t="s">
        <v>419</v>
      </c>
      <c r="L1575" s="7" t="s">
        <v>991</v>
      </c>
      <c r="M1575" s="7" t="s">
        <v>3501</v>
      </c>
      <c r="N1575" s="7" t="s">
        <v>419</v>
      </c>
      <c r="O1575" s="7" t="s">
        <v>19437</v>
      </c>
      <c r="P1575" s="7" t="s">
        <v>440</v>
      </c>
      <c r="Q1575" s="7" t="s">
        <v>19453</v>
      </c>
      <c r="R1575" s="7" t="s">
        <v>20401</v>
      </c>
      <c r="T1575" s="7" t="s">
        <v>7591</v>
      </c>
      <c r="U1575" s="7" t="s">
        <v>3493</v>
      </c>
      <c r="V1575" s="7">
        <v>1.0</v>
      </c>
    </row>
    <row r="1576">
      <c r="A1576" s="7" t="s">
        <v>21484</v>
      </c>
      <c r="B1576" s="7">
        <v>2300625.0</v>
      </c>
      <c r="C1576" s="7" t="s">
        <v>13393</v>
      </c>
      <c r="D1576" s="7" t="s">
        <v>7733</v>
      </c>
      <c r="E1576" s="7" t="s">
        <v>13394</v>
      </c>
      <c r="F1576" s="7" t="s">
        <v>5514</v>
      </c>
      <c r="G1576" s="7" t="s">
        <v>13399</v>
      </c>
      <c r="H1576" s="7" t="s">
        <v>13400</v>
      </c>
      <c r="I1576" s="119">
        <v>45292.0</v>
      </c>
      <c r="K1576" s="7" t="s">
        <v>419</v>
      </c>
      <c r="L1576" s="7" t="s">
        <v>991</v>
      </c>
      <c r="M1576" s="7" t="s">
        <v>3501</v>
      </c>
      <c r="N1576" s="7" t="s">
        <v>419</v>
      </c>
      <c r="O1576" s="7" t="s">
        <v>19432</v>
      </c>
      <c r="P1576" s="7" t="s">
        <v>1433</v>
      </c>
      <c r="Q1576" s="7" t="s">
        <v>644</v>
      </c>
      <c r="R1576" s="7" t="s">
        <v>21485</v>
      </c>
      <c r="T1576" s="7" t="s">
        <v>14672</v>
      </c>
      <c r="U1576" s="7" t="s">
        <v>3604</v>
      </c>
      <c r="V1576" s="7">
        <v>1.0</v>
      </c>
    </row>
    <row r="1577">
      <c r="A1577" s="7" t="s">
        <v>21486</v>
      </c>
      <c r="B1577" s="7">
        <v>13418.0</v>
      </c>
      <c r="C1577" s="7" t="s">
        <v>13404</v>
      </c>
      <c r="D1577" s="7" t="s">
        <v>13405</v>
      </c>
      <c r="E1577" s="7" t="s">
        <v>13406</v>
      </c>
      <c r="F1577" s="7" t="s">
        <v>13407</v>
      </c>
      <c r="G1577" s="7" t="s">
        <v>13408</v>
      </c>
      <c r="H1577" s="7" t="s">
        <v>13409</v>
      </c>
      <c r="I1577" s="119">
        <v>45292.0</v>
      </c>
      <c r="K1577" s="7" t="s">
        <v>419</v>
      </c>
      <c r="L1577" s="7" t="s">
        <v>991</v>
      </c>
      <c r="M1577" s="7" t="s">
        <v>3531</v>
      </c>
      <c r="N1577" s="7" t="s">
        <v>419</v>
      </c>
      <c r="O1577" s="7" t="s">
        <v>19437</v>
      </c>
      <c r="P1577" s="7" t="s">
        <v>478</v>
      </c>
      <c r="Q1577" s="7" t="s">
        <v>484</v>
      </c>
      <c r="T1577" s="7" t="s">
        <v>13410</v>
      </c>
      <c r="U1577" s="7" t="s">
        <v>3493</v>
      </c>
      <c r="V1577" s="7">
        <v>1.0</v>
      </c>
    </row>
    <row r="1578">
      <c r="A1578" s="7" t="s">
        <v>21487</v>
      </c>
      <c r="B1578" s="7">
        <v>2300641.0</v>
      </c>
      <c r="C1578" s="7" t="s">
        <v>13412</v>
      </c>
      <c r="D1578" s="7" t="s">
        <v>13413</v>
      </c>
      <c r="E1578" s="7" t="s">
        <v>13414</v>
      </c>
      <c r="F1578" s="7" t="s">
        <v>13415</v>
      </c>
      <c r="G1578" s="7" t="s">
        <v>13416</v>
      </c>
      <c r="H1578" s="7" t="s">
        <v>13417</v>
      </c>
      <c r="I1578" s="119">
        <v>45292.0</v>
      </c>
      <c r="K1578" s="7" t="s">
        <v>419</v>
      </c>
      <c r="L1578" s="7" t="s">
        <v>991</v>
      </c>
      <c r="M1578" s="7" t="s">
        <v>3531</v>
      </c>
      <c r="N1578" s="7" t="s">
        <v>419</v>
      </c>
      <c r="O1578" s="7" t="s">
        <v>19432</v>
      </c>
      <c r="P1578" s="7" t="s">
        <v>298</v>
      </c>
      <c r="Q1578" s="7" t="s">
        <v>802</v>
      </c>
      <c r="R1578" s="7" t="s">
        <v>19827</v>
      </c>
      <c r="S1578" s="7" t="s">
        <v>19828</v>
      </c>
      <c r="T1578" s="7" t="s">
        <v>4779</v>
      </c>
      <c r="U1578" s="7" t="s">
        <v>3493</v>
      </c>
      <c r="V1578" s="7">
        <v>1.0</v>
      </c>
    </row>
    <row r="1579">
      <c r="A1579" s="7" t="s">
        <v>21488</v>
      </c>
      <c r="B1579" s="7">
        <v>13636.0</v>
      </c>
      <c r="C1579" s="7" t="s">
        <v>13419</v>
      </c>
      <c r="D1579" s="7" t="s">
        <v>8353</v>
      </c>
      <c r="E1579" s="7" t="s">
        <v>13420</v>
      </c>
      <c r="F1579" s="7" t="s">
        <v>6800</v>
      </c>
      <c r="G1579" s="7" t="s">
        <v>13421</v>
      </c>
      <c r="H1579" s="7" t="s">
        <v>13422</v>
      </c>
      <c r="I1579" s="119">
        <v>45292.0</v>
      </c>
      <c r="K1579" s="7" t="s">
        <v>419</v>
      </c>
      <c r="L1579" s="7" t="s">
        <v>991</v>
      </c>
      <c r="M1579" s="7" t="s">
        <v>3501</v>
      </c>
      <c r="N1579" s="7" t="s">
        <v>419</v>
      </c>
      <c r="O1579" s="7" t="s">
        <v>19437</v>
      </c>
      <c r="P1579" s="7" t="s">
        <v>440</v>
      </c>
      <c r="Q1579" s="7" t="s">
        <v>441</v>
      </c>
      <c r="R1579" s="7" t="s">
        <v>19949</v>
      </c>
      <c r="T1579" s="7" t="s">
        <v>21489</v>
      </c>
      <c r="U1579" s="7" t="s">
        <v>3604</v>
      </c>
      <c r="V1579" s="7">
        <v>1.0</v>
      </c>
    </row>
    <row r="1580">
      <c r="A1580" s="7" t="s">
        <v>1479</v>
      </c>
      <c r="B1580" s="7">
        <v>11392.0</v>
      </c>
      <c r="C1580" s="7" t="s">
        <v>13426</v>
      </c>
      <c r="D1580" s="7" t="s">
        <v>4699</v>
      </c>
      <c r="E1580" s="7" t="s">
        <v>13427</v>
      </c>
      <c r="F1580" s="7" t="s">
        <v>4700</v>
      </c>
      <c r="G1580" s="7" t="s">
        <v>13428</v>
      </c>
      <c r="H1580" s="7" t="s">
        <v>13429</v>
      </c>
      <c r="I1580" s="119">
        <v>45292.0</v>
      </c>
      <c r="K1580" s="7" t="s">
        <v>3541</v>
      </c>
      <c r="L1580" s="7" t="s">
        <v>3542</v>
      </c>
      <c r="M1580" s="7" t="s">
        <v>3563</v>
      </c>
      <c r="N1580" s="7" t="s">
        <v>419</v>
      </c>
      <c r="O1580" s="7" t="s">
        <v>19437</v>
      </c>
      <c r="P1580" s="7" t="s">
        <v>603</v>
      </c>
      <c r="Q1580" s="7" t="s">
        <v>90</v>
      </c>
      <c r="T1580" s="7" t="s">
        <v>19469</v>
      </c>
      <c r="U1580" s="7" t="s">
        <v>5585</v>
      </c>
      <c r="V1580" s="7">
        <v>1.0</v>
      </c>
    </row>
    <row r="1581">
      <c r="A1581" s="7" t="s">
        <v>21490</v>
      </c>
      <c r="B1581" s="7">
        <v>13446.0</v>
      </c>
      <c r="C1581" s="7" t="s">
        <v>13426</v>
      </c>
      <c r="D1581" s="7" t="s">
        <v>13433</v>
      </c>
      <c r="E1581" s="7" t="s">
        <v>13427</v>
      </c>
      <c r="F1581" s="7" t="s">
        <v>11495</v>
      </c>
      <c r="G1581" s="7" t="s">
        <v>13434</v>
      </c>
      <c r="H1581" s="7" t="s">
        <v>13435</v>
      </c>
      <c r="I1581" s="119">
        <v>45292.0</v>
      </c>
      <c r="K1581" s="7" t="s">
        <v>419</v>
      </c>
      <c r="L1581" s="7" t="s">
        <v>991</v>
      </c>
      <c r="M1581" s="7" t="s">
        <v>3501</v>
      </c>
      <c r="N1581" s="7" t="s">
        <v>419</v>
      </c>
      <c r="O1581" s="7" t="s">
        <v>19430</v>
      </c>
      <c r="P1581" s="7" t="s">
        <v>717</v>
      </c>
      <c r="Q1581" s="7" t="s">
        <v>738</v>
      </c>
      <c r="R1581" s="7" t="s">
        <v>19723</v>
      </c>
      <c r="T1581" s="7" t="s">
        <v>13437</v>
      </c>
      <c r="U1581" s="7" t="s">
        <v>3604</v>
      </c>
      <c r="V1581" s="7">
        <v>1.0</v>
      </c>
    </row>
    <row r="1582">
      <c r="A1582" s="7" t="s">
        <v>1839</v>
      </c>
      <c r="B1582" s="7">
        <v>116.0</v>
      </c>
      <c r="C1582" s="7" t="s">
        <v>13426</v>
      </c>
      <c r="D1582" s="7" t="s">
        <v>13438</v>
      </c>
      <c r="E1582" s="7" t="s">
        <v>13427</v>
      </c>
      <c r="F1582" s="7" t="s">
        <v>13439</v>
      </c>
      <c r="G1582" s="7" t="s">
        <v>13440</v>
      </c>
      <c r="H1582" s="7" t="s">
        <v>13441</v>
      </c>
      <c r="I1582" s="119">
        <v>45292.0</v>
      </c>
      <c r="K1582" s="7" t="s">
        <v>419</v>
      </c>
      <c r="L1582" s="7" t="s">
        <v>991</v>
      </c>
      <c r="M1582" s="7" t="s">
        <v>3501</v>
      </c>
      <c r="N1582" s="7" t="s">
        <v>419</v>
      </c>
      <c r="O1582" s="7" t="s">
        <v>19430</v>
      </c>
      <c r="P1582" s="7" t="s">
        <v>717</v>
      </c>
      <c r="Q1582" s="7" t="s">
        <v>722</v>
      </c>
      <c r="R1582" s="7" t="s">
        <v>19787</v>
      </c>
      <c r="S1582" s="7" t="s">
        <v>19788</v>
      </c>
      <c r="T1582" s="7" t="s">
        <v>4637</v>
      </c>
      <c r="U1582" s="7" t="s">
        <v>3493</v>
      </c>
      <c r="V1582" s="7">
        <v>1.0</v>
      </c>
    </row>
    <row r="1583">
      <c r="A1583" s="7" t="s">
        <v>21491</v>
      </c>
      <c r="B1583" s="7">
        <v>11024.0</v>
      </c>
      <c r="C1583" s="7" t="s">
        <v>13443</v>
      </c>
      <c r="D1583" s="7" t="s">
        <v>12926</v>
      </c>
      <c r="E1583" s="7" t="s">
        <v>13444</v>
      </c>
      <c r="F1583" s="7" t="s">
        <v>4929</v>
      </c>
      <c r="G1583" s="7" t="s">
        <v>13445</v>
      </c>
      <c r="H1583" s="7" t="s">
        <v>13446</v>
      </c>
      <c r="I1583" s="119">
        <v>45292.0</v>
      </c>
      <c r="K1583" s="7" t="s">
        <v>419</v>
      </c>
      <c r="L1583" s="7" t="s">
        <v>991</v>
      </c>
      <c r="M1583" s="7" t="s">
        <v>3501</v>
      </c>
      <c r="N1583" s="7" t="s">
        <v>419</v>
      </c>
      <c r="O1583" s="7" t="s">
        <v>19430</v>
      </c>
      <c r="P1583" s="7" t="s">
        <v>717</v>
      </c>
      <c r="Q1583" s="7" t="s">
        <v>251</v>
      </c>
      <c r="R1583" s="7" t="s">
        <v>19716</v>
      </c>
      <c r="S1583" s="7" t="s">
        <v>19694</v>
      </c>
      <c r="T1583" s="7" t="s">
        <v>6603</v>
      </c>
      <c r="U1583" s="7" t="s">
        <v>3493</v>
      </c>
      <c r="V1583" s="7">
        <v>1.0</v>
      </c>
    </row>
    <row r="1584">
      <c r="A1584" s="7" t="s">
        <v>21492</v>
      </c>
      <c r="B1584" s="7">
        <v>892.0</v>
      </c>
      <c r="C1584" s="7" t="s">
        <v>13448</v>
      </c>
      <c r="D1584" s="7" t="s">
        <v>13449</v>
      </c>
      <c r="E1584" s="7" t="s">
        <v>13450</v>
      </c>
      <c r="F1584" s="7" t="s">
        <v>13451</v>
      </c>
      <c r="G1584" s="7" t="s">
        <v>13452</v>
      </c>
      <c r="H1584" s="7" t="s">
        <v>13453</v>
      </c>
      <c r="I1584" s="119">
        <v>45292.0</v>
      </c>
      <c r="K1584" s="7" t="s">
        <v>419</v>
      </c>
      <c r="L1584" s="7" t="s">
        <v>991</v>
      </c>
      <c r="M1584" s="7" t="s">
        <v>3501</v>
      </c>
      <c r="N1584" s="7" t="s">
        <v>419</v>
      </c>
      <c r="O1584" s="7" t="s">
        <v>19432</v>
      </c>
      <c r="P1584" s="7" t="s">
        <v>391</v>
      </c>
      <c r="Q1584" s="7" t="s">
        <v>392</v>
      </c>
      <c r="R1584" s="7" t="s">
        <v>19661</v>
      </c>
      <c r="T1584" s="7" t="s">
        <v>19662</v>
      </c>
      <c r="U1584" s="7" t="s">
        <v>3493</v>
      </c>
      <c r="V1584" s="7">
        <v>1.0</v>
      </c>
    </row>
    <row r="1585">
      <c r="A1585" s="7" t="s">
        <v>21493</v>
      </c>
      <c r="B1585" s="7">
        <v>10827.0</v>
      </c>
      <c r="C1585" s="7" t="s">
        <v>13454</v>
      </c>
      <c r="D1585" s="7" t="s">
        <v>13455</v>
      </c>
      <c r="E1585" s="7" t="s">
        <v>13456</v>
      </c>
      <c r="F1585" s="7" t="s">
        <v>13059</v>
      </c>
      <c r="G1585" s="7" t="s">
        <v>13457</v>
      </c>
      <c r="H1585" s="7" t="s">
        <v>13458</v>
      </c>
      <c r="I1585" s="119">
        <v>45292.0</v>
      </c>
      <c r="K1585" s="7" t="s">
        <v>419</v>
      </c>
      <c r="L1585" s="7" t="s">
        <v>991</v>
      </c>
      <c r="M1585" s="7" t="s">
        <v>3501</v>
      </c>
      <c r="N1585" s="7" t="s">
        <v>419</v>
      </c>
      <c r="O1585" s="7" t="s">
        <v>19430</v>
      </c>
      <c r="P1585" s="7" t="s">
        <v>717</v>
      </c>
      <c r="Q1585" s="7" t="s">
        <v>251</v>
      </c>
      <c r="R1585" s="7" t="s">
        <v>19530</v>
      </c>
      <c r="S1585" s="7" t="s">
        <v>21345</v>
      </c>
      <c r="T1585" s="7" t="s">
        <v>12650</v>
      </c>
      <c r="U1585" s="7" t="s">
        <v>3843</v>
      </c>
      <c r="V1585" s="7">
        <v>1.0</v>
      </c>
    </row>
    <row r="1586">
      <c r="A1586" s="7" t="s">
        <v>21494</v>
      </c>
      <c r="B1586" s="7">
        <v>11950.0</v>
      </c>
      <c r="C1586" s="7" t="s">
        <v>13460</v>
      </c>
      <c r="D1586" s="7" t="s">
        <v>13461</v>
      </c>
      <c r="E1586" s="7" t="s">
        <v>13462</v>
      </c>
      <c r="F1586" s="7" t="s">
        <v>6089</v>
      </c>
      <c r="G1586" s="7" t="s">
        <v>13463</v>
      </c>
      <c r="H1586" s="7" t="s">
        <v>13464</v>
      </c>
      <c r="I1586" s="119">
        <v>45292.0</v>
      </c>
      <c r="K1586" s="7" t="s">
        <v>419</v>
      </c>
      <c r="L1586" s="7" t="s">
        <v>991</v>
      </c>
      <c r="M1586" s="7" t="s">
        <v>3501</v>
      </c>
      <c r="N1586" s="7" t="s">
        <v>419</v>
      </c>
      <c r="O1586" s="7" t="s">
        <v>19430</v>
      </c>
      <c r="P1586" s="7" t="s">
        <v>854</v>
      </c>
      <c r="Q1586" s="7" t="s">
        <v>857</v>
      </c>
      <c r="R1586" s="7" t="s">
        <v>19574</v>
      </c>
      <c r="T1586" s="7" t="s">
        <v>3878</v>
      </c>
      <c r="U1586" s="7" t="s">
        <v>3493</v>
      </c>
      <c r="V1586" s="7">
        <v>1.0</v>
      </c>
    </row>
    <row r="1587">
      <c r="A1587" s="7" t="s">
        <v>21495</v>
      </c>
      <c r="B1587" s="7">
        <v>2300707.0</v>
      </c>
      <c r="C1587" s="7" t="s">
        <v>13460</v>
      </c>
      <c r="D1587" s="7" t="s">
        <v>13466</v>
      </c>
      <c r="E1587" s="7" t="s">
        <v>13462</v>
      </c>
      <c r="F1587" s="7" t="s">
        <v>8129</v>
      </c>
      <c r="G1587" s="7" t="s">
        <v>13467</v>
      </c>
      <c r="H1587" s="7" t="s">
        <v>13468</v>
      </c>
      <c r="I1587" s="119">
        <v>45292.0</v>
      </c>
      <c r="K1587" s="7" t="s">
        <v>419</v>
      </c>
      <c r="L1587" s="7" t="s">
        <v>991</v>
      </c>
      <c r="M1587" s="7" t="s">
        <v>3501</v>
      </c>
      <c r="N1587" s="7" t="s">
        <v>419</v>
      </c>
      <c r="O1587" s="7" t="s">
        <v>19432</v>
      </c>
      <c r="P1587" s="7" t="s">
        <v>693</v>
      </c>
      <c r="Q1587" s="7" t="s">
        <v>698</v>
      </c>
      <c r="R1587" s="7" t="s">
        <v>20444</v>
      </c>
      <c r="S1587" s="7" t="s">
        <v>20860</v>
      </c>
      <c r="T1587" s="7" t="s">
        <v>9954</v>
      </c>
      <c r="U1587" s="7" t="s">
        <v>3843</v>
      </c>
      <c r="V1587" s="7">
        <v>1.0</v>
      </c>
    </row>
    <row r="1588">
      <c r="A1588" s="7" t="s">
        <v>21496</v>
      </c>
      <c r="B1588" s="7">
        <v>1042.0</v>
      </c>
      <c r="C1588" s="7" t="s">
        <v>13460</v>
      </c>
      <c r="D1588" s="7" t="s">
        <v>13470</v>
      </c>
      <c r="E1588" s="7" t="s">
        <v>13462</v>
      </c>
      <c r="F1588" s="7" t="s">
        <v>3714</v>
      </c>
      <c r="G1588" s="7" t="s">
        <v>13471</v>
      </c>
      <c r="H1588" s="7" t="s">
        <v>13472</v>
      </c>
      <c r="I1588" s="119">
        <v>45292.0</v>
      </c>
      <c r="K1588" s="7" t="s">
        <v>419</v>
      </c>
      <c r="L1588" s="7" t="s">
        <v>991</v>
      </c>
      <c r="M1588" s="7" t="s">
        <v>3501</v>
      </c>
      <c r="N1588" s="7" t="s">
        <v>419</v>
      </c>
      <c r="O1588" s="7" t="s">
        <v>19430</v>
      </c>
      <c r="P1588" s="7" t="s">
        <v>717</v>
      </c>
      <c r="Q1588" s="7" t="s">
        <v>223</v>
      </c>
      <c r="R1588" s="7" t="s">
        <v>19764</v>
      </c>
      <c r="S1588" s="7" t="s">
        <v>20036</v>
      </c>
      <c r="T1588" s="7" t="s">
        <v>5756</v>
      </c>
      <c r="U1588" s="7" t="s">
        <v>3493</v>
      </c>
      <c r="V1588" s="7">
        <v>1.0</v>
      </c>
    </row>
    <row r="1589">
      <c r="A1589" s="7" t="s">
        <v>21497</v>
      </c>
      <c r="B1589" s="7">
        <v>2300623.0</v>
      </c>
      <c r="C1589" s="7" t="s">
        <v>13460</v>
      </c>
      <c r="D1589" s="7" t="s">
        <v>13474</v>
      </c>
      <c r="E1589" s="7" t="s">
        <v>13462</v>
      </c>
      <c r="F1589" s="7" t="s">
        <v>5369</v>
      </c>
      <c r="G1589" s="7" t="s">
        <v>13475</v>
      </c>
      <c r="H1589" s="7" t="s">
        <v>13476</v>
      </c>
      <c r="I1589" s="119">
        <v>45292.0</v>
      </c>
      <c r="K1589" s="7" t="s">
        <v>419</v>
      </c>
      <c r="L1589" s="7" t="s">
        <v>991</v>
      </c>
      <c r="M1589" s="7" t="s">
        <v>3501</v>
      </c>
      <c r="N1589" s="7" t="s">
        <v>419</v>
      </c>
      <c r="O1589" s="7" t="s">
        <v>19437</v>
      </c>
      <c r="P1589" s="7" t="s">
        <v>478</v>
      </c>
      <c r="Q1589" s="7" t="s">
        <v>487</v>
      </c>
      <c r="R1589" s="7" t="s">
        <v>19982</v>
      </c>
      <c r="S1589" s="7" t="s">
        <v>21498</v>
      </c>
      <c r="T1589" s="7" t="s">
        <v>13478</v>
      </c>
      <c r="U1589" s="7" t="s">
        <v>3493</v>
      </c>
      <c r="V1589" s="7">
        <v>1.0</v>
      </c>
    </row>
    <row r="1590">
      <c r="A1590" s="7" t="s">
        <v>21499</v>
      </c>
      <c r="B1590" s="7">
        <v>2300049.0</v>
      </c>
      <c r="C1590" s="7" t="s">
        <v>13480</v>
      </c>
      <c r="D1590" s="7" t="s">
        <v>13481</v>
      </c>
      <c r="E1590" s="7" t="s">
        <v>13482</v>
      </c>
      <c r="F1590" s="7" t="s">
        <v>13483</v>
      </c>
      <c r="G1590" s="7" t="s">
        <v>13484</v>
      </c>
      <c r="H1590" s="7" t="s">
        <v>13485</v>
      </c>
      <c r="I1590" s="119">
        <v>45292.0</v>
      </c>
      <c r="K1590" s="7" t="s">
        <v>3622</v>
      </c>
      <c r="L1590" s="7" t="s">
        <v>991</v>
      </c>
      <c r="M1590" s="7" t="s">
        <v>3531</v>
      </c>
      <c r="N1590" s="7" t="s">
        <v>3622</v>
      </c>
      <c r="O1590" s="7" t="s">
        <v>3622</v>
      </c>
      <c r="P1590" s="7" t="s">
        <v>19521</v>
      </c>
      <c r="T1590" s="7" t="s">
        <v>3624</v>
      </c>
      <c r="U1590" s="7" t="s">
        <v>3493</v>
      </c>
      <c r="V1590" s="7">
        <v>1.0</v>
      </c>
    </row>
    <row r="1591">
      <c r="A1591" s="7" t="s">
        <v>21500</v>
      </c>
      <c r="B1591" s="7">
        <v>2100151.0</v>
      </c>
      <c r="C1591" s="7" t="s">
        <v>13487</v>
      </c>
      <c r="D1591" s="7" t="s">
        <v>13488</v>
      </c>
      <c r="E1591" s="7" t="s">
        <v>13482</v>
      </c>
      <c r="F1591" s="7" t="s">
        <v>4144</v>
      </c>
      <c r="G1591" s="7" t="s">
        <v>13489</v>
      </c>
      <c r="H1591" s="7" t="s">
        <v>13490</v>
      </c>
      <c r="I1591" s="119">
        <v>45292.0</v>
      </c>
      <c r="K1591" s="7" t="s">
        <v>419</v>
      </c>
      <c r="L1591" s="7" t="s">
        <v>991</v>
      </c>
      <c r="M1591" s="7" t="s">
        <v>3501</v>
      </c>
      <c r="N1591" s="7" t="s">
        <v>419</v>
      </c>
      <c r="O1591" s="7" t="s">
        <v>19440</v>
      </c>
      <c r="P1591" s="7" t="s">
        <v>613</v>
      </c>
      <c r="Q1591" s="7" t="s">
        <v>104</v>
      </c>
      <c r="R1591" s="7" t="s">
        <v>19729</v>
      </c>
      <c r="S1591" s="7" t="s">
        <v>19519</v>
      </c>
      <c r="T1591" s="7" t="s">
        <v>12794</v>
      </c>
      <c r="U1591" s="7" t="s">
        <v>3493</v>
      </c>
      <c r="V1591" s="7">
        <v>1.0</v>
      </c>
    </row>
    <row r="1592">
      <c r="A1592" s="7" t="s">
        <v>21501</v>
      </c>
      <c r="B1592" s="7">
        <v>2200717.0</v>
      </c>
      <c r="C1592" s="7" t="s">
        <v>13493</v>
      </c>
      <c r="D1592" s="7" t="s">
        <v>9146</v>
      </c>
      <c r="E1592" s="7" t="s">
        <v>13494</v>
      </c>
      <c r="F1592" s="7" t="s">
        <v>4068</v>
      </c>
      <c r="G1592" s="7" t="s">
        <v>13495</v>
      </c>
      <c r="H1592" s="7" t="s">
        <v>13496</v>
      </c>
      <c r="I1592" s="119">
        <v>45292.0</v>
      </c>
      <c r="K1592" s="7" t="s">
        <v>4042</v>
      </c>
      <c r="L1592" s="7" t="s">
        <v>991</v>
      </c>
      <c r="M1592" s="7" t="s">
        <v>3501</v>
      </c>
      <c r="N1592" s="7" t="s">
        <v>4042</v>
      </c>
      <c r="O1592" s="7" t="s">
        <v>4042</v>
      </c>
      <c r="P1592" s="7" t="s">
        <v>19632</v>
      </c>
      <c r="T1592" s="7" t="s">
        <v>4044</v>
      </c>
      <c r="U1592" s="7" t="s">
        <v>3493</v>
      </c>
      <c r="V1592" s="7">
        <v>1.0</v>
      </c>
    </row>
    <row r="1593">
      <c r="A1593" s="7" t="s">
        <v>21502</v>
      </c>
      <c r="B1593" s="7">
        <v>11844.0</v>
      </c>
      <c r="C1593" s="7" t="s">
        <v>13493</v>
      </c>
      <c r="D1593" s="7" t="s">
        <v>13498</v>
      </c>
      <c r="E1593" s="7" t="s">
        <v>13494</v>
      </c>
      <c r="F1593" s="7" t="s">
        <v>13499</v>
      </c>
      <c r="G1593" s="7" t="s">
        <v>13500</v>
      </c>
      <c r="H1593" s="7" t="s">
        <v>13501</v>
      </c>
      <c r="I1593" s="119">
        <v>45292.0</v>
      </c>
      <c r="K1593" s="7" t="s">
        <v>419</v>
      </c>
      <c r="L1593" s="7" t="s">
        <v>991</v>
      </c>
      <c r="M1593" s="7" t="s">
        <v>3501</v>
      </c>
      <c r="N1593" s="7" t="s">
        <v>419</v>
      </c>
      <c r="O1593" s="7" t="s">
        <v>19433</v>
      </c>
      <c r="P1593" s="7" t="s">
        <v>648</v>
      </c>
      <c r="Q1593" s="7" t="s">
        <v>141</v>
      </c>
      <c r="R1593" s="7" t="s">
        <v>19696</v>
      </c>
      <c r="T1593" s="7" t="s">
        <v>4291</v>
      </c>
      <c r="U1593" s="7" t="s">
        <v>3493</v>
      </c>
      <c r="V1593" s="7">
        <v>1.0</v>
      </c>
    </row>
    <row r="1594">
      <c r="A1594" s="7" t="s">
        <v>21503</v>
      </c>
      <c r="B1594" s="7">
        <v>2200459.0</v>
      </c>
      <c r="C1594" s="7" t="s">
        <v>13503</v>
      </c>
      <c r="D1594" s="7" t="s">
        <v>7284</v>
      </c>
      <c r="E1594" s="7" t="s">
        <v>13504</v>
      </c>
      <c r="F1594" s="7" t="s">
        <v>4032</v>
      </c>
      <c r="G1594" s="7" t="s">
        <v>13505</v>
      </c>
      <c r="I1594" s="119">
        <v>45292.0</v>
      </c>
      <c r="K1594" s="7" t="s">
        <v>419</v>
      </c>
      <c r="L1594" s="7" t="s">
        <v>991</v>
      </c>
      <c r="M1594" s="7" t="s">
        <v>3531</v>
      </c>
      <c r="N1594" s="7" t="s">
        <v>419</v>
      </c>
      <c r="O1594" s="7" t="s">
        <v>19430</v>
      </c>
      <c r="P1594" s="7" t="s">
        <v>854</v>
      </c>
      <c r="Q1594" s="7" t="s">
        <v>859</v>
      </c>
      <c r="T1594" s="7" t="s">
        <v>3821</v>
      </c>
      <c r="U1594" s="7" t="s">
        <v>3493</v>
      </c>
      <c r="V1594" s="7">
        <v>1.0</v>
      </c>
    </row>
    <row r="1595">
      <c r="A1595" s="7" t="s">
        <v>21504</v>
      </c>
      <c r="B1595" s="7">
        <v>12760.0</v>
      </c>
      <c r="C1595" s="7" t="s">
        <v>13503</v>
      </c>
      <c r="D1595" s="7" t="s">
        <v>11227</v>
      </c>
      <c r="E1595" s="7" t="s">
        <v>13504</v>
      </c>
      <c r="F1595" s="7" t="s">
        <v>3549</v>
      </c>
      <c r="G1595" s="7" t="s">
        <v>13507</v>
      </c>
      <c r="H1595" s="7" t="s">
        <v>13508</v>
      </c>
      <c r="I1595" s="119">
        <v>45292.0</v>
      </c>
      <c r="K1595" s="7" t="s">
        <v>3885</v>
      </c>
      <c r="L1595" s="7" t="s">
        <v>3542</v>
      </c>
      <c r="M1595" s="7" t="s">
        <v>3563</v>
      </c>
      <c r="N1595" s="7" t="s">
        <v>419</v>
      </c>
      <c r="O1595" s="7" t="s">
        <v>19433</v>
      </c>
      <c r="P1595" s="7" t="s">
        <v>648</v>
      </c>
      <c r="Q1595" s="7" t="s">
        <v>651</v>
      </c>
      <c r="R1595" s="7" t="s">
        <v>19922</v>
      </c>
      <c r="T1595" s="7" t="s">
        <v>21505</v>
      </c>
      <c r="U1595" s="7" t="s">
        <v>3604</v>
      </c>
      <c r="V1595" s="7">
        <v>1.0</v>
      </c>
    </row>
    <row r="1596">
      <c r="A1596" s="7" t="s">
        <v>21506</v>
      </c>
      <c r="B1596" s="7">
        <v>2300203.0</v>
      </c>
      <c r="C1596" s="7" t="s">
        <v>13503</v>
      </c>
      <c r="D1596" s="7" t="s">
        <v>13512</v>
      </c>
      <c r="E1596" s="7" t="s">
        <v>13504</v>
      </c>
      <c r="F1596" s="7" t="s">
        <v>4518</v>
      </c>
      <c r="G1596" s="7" t="s">
        <v>13513</v>
      </c>
      <c r="H1596" s="7" t="s">
        <v>13514</v>
      </c>
      <c r="I1596" s="119">
        <v>45292.0</v>
      </c>
      <c r="K1596" s="7" t="s">
        <v>419</v>
      </c>
      <c r="L1596" s="7" t="s">
        <v>991</v>
      </c>
      <c r="M1596" s="7" t="s">
        <v>3501</v>
      </c>
      <c r="N1596" s="7" t="s">
        <v>419</v>
      </c>
      <c r="O1596" s="7" t="s">
        <v>19430</v>
      </c>
      <c r="P1596" s="7" t="s">
        <v>854</v>
      </c>
      <c r="Q1596" s="7" t="s">
        <v>861</v>
      </c>
      <c r="T1596" s="7" t="s">
        <v>4755</v>
      </c>
      <c r="U1596" s="7" t="s">
        <v>3493</v>
      </c>
      <c r="V1596" s="7">
        <v>1.0</v>
      </c>
    </row>
    <row r="1597">
      <c r="A1597" s="7" t="s">
        <v>21507</v>
      </c>
      <c r="B1597" s="7">
        <v>12727.0</v>
      </c>
      <c r="C1597" s="7" t="s">
        <v>13503</v>
      </c>
      <c r="D1597" s="7" t="s">
        <v>13516</v>
      </c>
      <c r="E1597" s="7" t="s">
        <v>13504</v>
      </c>
      <c r="F1597" s="7" t="s">
        <v>13517</v>
      </c>
      <c r="G1597" s="7" t="s">
        <v>13518</v>
      </c>
      <c r="H1597" s="7" t="s">
        <v>13519</v>
      </c>
      <c r="I1597" s="119">
        <v>45292.0</v>
      </c>
      <c r="K1597" s="7" t="s">
        <v>419</v>
      </c>
      <c r="L1597" s="7" t="s">
        <v>991</v>
      </c>
      <c r="M1597" s="7" t="s">
        <v>3501</v>
      </c>
      <c r="N1597" s="7" t="s">
        <v>419</v>
      </c>
      <c r="O1597" s="7" t="s">
        <v>19430</v>
      </c>
      <c r="P1597" s="7" t="s">
        <v>717</v>
      </c>
      <c r="Q1597" s="7" t="s">
        <v>725</v>
      </c>
      <c r="R1597" s="7" t="s">
        <v>19741</v>
      </c>
      <c r="T1597" s="7" t="s">
        <v>21508</v>
      </c>
      <c r="U1597" s="7" t="s">
        <v>3604</v>
      </c>
      <c r="V1597" s="7">
        <v>1.0</v>
      </c>
    </row>
    <row r="1598">
      <c r="A1598" s="7" t="s">
        <v>21509</v>
      </c>
      <c r="B1598" s="7">
        <v>12039.0</v>
      </c>
      <c r="C1598" s="7" t="s">
        <v>13523</v>
      </c>
      <c r="D1598" s="7" t="s">
        <v>13524</v>
      </c>
      <c r="E1598" s="7" t="s">
        <v>13525</v>
      </c>
      <c r="F1598" s="7" t="s">
        <v>4321</v>
      </c>
      <c r="G1598" s="7" t="s">
        <v>13526</v>
      </c>
      <c r="H1598" s="7" t="s">
        <v>13527</v>
      </c>
      <c r="I1598" s="119">
        <v>45292.0</v>
      </c>
      <c r="K1598" s="7" t="s">
        <v>419</v>
      </c>
      <c r="L1598" s="7" t="s">
        <v>991</v>
      </c>
      <c r="M1598" s="7" t="s">
        <v>3501</v>
      </c>
      <c r="N1598" s="7" t="s">
        <v>419</v>
      </c>
      <c r="O1598" s="7" t="s">
        <v>19440</v>
      </c>
      <c r="P1598" s="7" t="s">
        <v>613</v>
      </c>
      <c r="Q1598" s="7" t="s">
        <v>104</v>
      </c>
      <c r="R1598" s="7" t="s">
        <v>21510</v>
      </c>
      <c r="T1598" s="7" t="s">
        <v>13529</v>
      </c>
      <c r="U1598" s="7" t="s">
        <v>3604</v>
      </c>
      <c r="V1598" s="7">
        <v>1.0</v>
      </c>
    </row>
    <row r="1599">
      <c r="A1599" s="7" t="s">
        <v>21511</v>
      </c>
      <c r="B1599" s="7">
        <v>2100534.0</v>
      </c>
      <c r="C1599" s="7" t="s">
        <v>13531</v>
      </c>
      <c r="D1599" s="7" t="s">
        <v>13532</v>
      </c>
      <c r="E1599" s="7" t="s">
        <v>13533</v>
      </c>
      <c r="F1599" s="7" t="s">
        <v>13534</v>
      </c>
      <c r="G1599" s="7" t="s">
        <v>13535</v>
      </c>
      <c r="H1599" s="7" t="s">
        <v>13536</v>
      </c>
      <c r="I1599" s="119">
        <v>45292.0</v>
      </c>
      <c r="K1599" s="7" t="s">
        <v>419</v>
      </c>
      <c r="L1599" s="7" t="s">
        <v>991</v>
      </c>
      <c r="M1599" s="7" t="s">
        <v>3501</v>
      </c>
      <c r="N1599" s="7" t="s">
        <v>419</v>
      </c>
      <c r="O1599" s="7" t="s">
        <v>19432</v>
      </c>
      <c r="P1599" s="7" t="s">
        <v>391</v>
      </c>
      <c r="Q1599" s="7" t="s">
        <v>399</v>
      </c>
      <c r="R1599" s="7" t="s">
        <v>19508</v>
      </c>
      <c r="T1599" s="7" t="s">
        <v>7225</v>
      </c>
      <c r="U1599" s="7" t="s">
        <v>3493</v>
      </c>
      <c r="V1599" s="7">
        <v>1.0</v>
      </c>
    </row>
    <row r="1600">
      <c r="A1600" s="7" t="s">
        <v>21512</v>
      </c>
      <c r="B1600" s="7">
        <v>12640.0</v>
      </c>
      <c r="C1600" s="7" t="s">
        <v>13539</v>
      </c>
      <c r="D1600" s="7" t="s">
        <v>13540</v>
      </c>
      <c r="E1600" s="7" t="s">
        <v>13541</v>
      </c>
      <c r="F1600" s="7" t="s">
        <v>7673</v>
      </c>
      <c r="G1600" s="7" t="s">
        <v>13542</v>
      </c>
      <c r="H1600" s="7" t="s">
        <v>13543</v>
      </c>
      <c r="I1600" s="119">
        <v>45292.0</v>
      </c>
      <c r="K1600" s="7" t="s">
        <v>3885</v>
      </c>
      <c r="L1600" s="7" t="s">
        <v>3542</v>
      </c>
      <c r="M1600" s="7" t="s">
        <v>3543</v>
      </c>
      <c r="N1600" s="7" t="s">
        <v>419</v>
      </c>
      <c r="O1600" s="7" t="s">
        <v>19433</v>
      </c>
      <c r="P1600" s="7" t="s">
        <v>648</v>
      </c>
      <c r="Q1600" s="7" t="s">
        <v>651</v>
      </c>
      <c r="R1600" s="7" t="s">
        <v>19587</v>
      </c>
      <c r="S1600" s="7" t="s">
        <v>19611</v>
      </c>
      <c r="T1600" s="7" t="s">
        <v>19612</v>
      </c>
      <c r="U1600" s="7" t="s">
        <v>3843</v>
      </c>
      <c r="V1600" s="7">
        <v>1.0</v>
      </c>
    </row>
    <row r="1601">
      <c r="A1601" s="7" t="s">
        <v>1962</v>
      </c>
      <c r="B1601" s="7">
        <v>175.0</v>
      </c>
      <c r="C1601" s="7" t="s">
        <v>13544</v>
      </c>
      <c r="D1601" s="7" t="s">
        <v>8105</v>
      </c>
      <c r="E1601" s="7" t="s">
        <v>13545</v>
      </c>
      <c r="F1601" s="7" t="s">
        <v>7066</v>
      </c>
      <c r="G1601" s="7" t="s">
        <v>13546</v>
      </c>
      <c r="H1601" s="7" t="s">
        <v>13547</v>
      </c>
      <c r="I1601" s="119">
        <v>45292.0</v>
      </c>
      <c r="K1601" s="7" t="s">
        <v>419</v>
      </c>
      <c r="L1601" s="7" t="s">
        <v>991</v>
      </c>
      <c r="M1601" s="7" t="s">
        <v>3501</v>
      </c>
      <c r="N1601" s="7" t="s">
        <v>419</v>
      </c>
      <c r="O1601" s="7" t="s">
        <v>19430</v>
      </c>
      <c r="P1601" s="7" t="s">
        <v>717</v>
      </c>
      <c r="Q1601" s="7" t="s">
        <v>223</v>
      </c>
      <c r="R1601" s="7" t="s">
        <v>20821</v>
      </c>
      <c r="T1601" s="7" t="s">
        <v>9753</v>
      </c>
      <c r="U1601" s="7" t="s">
        <v>3604</v>
      </c>
      <c r="V1601" s="7">
        <v>1.0</v>
      </c>
    </row>
    <row r="1602">
      <c r="A1602" s="7" t="s">
        <v>21513</v>
      </c>
      <c r="B1602" s="7">
        <v>2400012.0</v>
      </c>
      <c r="C1602" s="7" t="s">
        <v>13544</v>
      </c>
      <c r="D1602" s="7" t="s">
        <v>13549</v>
      </c>
      <c r="E1602" s="7" t="s">
        <v>13545</v>
      </c>
      <c r="F1602" s="7" t="s">
        <v>4511</v>
      </c>
      <c r="G1602" s="7" t="s">
        <v>13550</v>
      </c>
      <c r="H1602" s="7" t="s">
        <v>13551</v>
      </c>
      <c r="I1602" s="119">
        <v>45292.0</v>
      </c>
      <c r="K1602" s="7" t="s">
        <v>419</v>
      </c>
      <c r="L1602" s="7" t="s">
        <v>991</v>
      </c>
      <c r="M1602" s="7" t="s">
        <v>5110</v>
      </c>
      <c r="N1602" s="7" t="s">
        <v>419</v>
      </c>
      <c r="O1602" s="7" t="s">
        <v>19443</v>
      </c>
      <c r="P1602" s="7" t="s">
        <v>323</v>
      </c>
      <c r="Q1602" s="7" t="s">
        <v>821</v>
      </c>
      <c r="R1602" s="7" t="s">
        <v>21514</v>
      </c>
      <c r="T1602" s="7" t="s">
        <v>21515</v>
      </c>
      <c r="U1602" s="7" t="s">
        <v>3493</v>
      </c>
      <c r="V1602" s="7">
        <v>1.0</v>
      </c>
    </row>
    <row r="1603">
      <c r="A1603" s="7" t="s">
        <v>21516</v>
      </c>
      <c r="B1603" s="7">
        <v>2200287.0</v>
      </c>
      <c r="C1603" s="7" t="s">
        <v>13555</v>
      </c>
      <c r="D1603" s="7" t="s">
        <v>4107</v>
      </c>
      <c r="E1603" s="7" t="s">
        <v>13545</v>
      </c>
      <c r="F1603" s="7" t="s">
        <v>4109</v>
      </c>
      <c r="G1603" s="7" t="s">
        <v>13556</v>
      </c>
      <c r="H1603" s="7" t="s">
        <v>13557</v>
      </c>
      <c r="I1603" s="119">
        <v>45292.0</v>
      </c>
      <c r="K1603" s="7" t="s">
        <v>419</v>
      </c>
      <c r="L1603" s="7" t="s">
        <v>991</v>
      </c>
      <c r="M1603" s="7" t="s">
        <v>3501</v>
      </c>
      <c r="N1603" s="7" t="s">
        <v>419</v>
      </c>
      <c r="O1603" s="7" t="s">
        <v>19432</v>
      </c>
      <c r="P1603" s="7" t="s">
        <v>693</v>
      </c>
      <c r="Q1603" s="7" t="s">
        <v>698</v>
      </c>
      <c r="R1603" s="7" t="s">
        <v>20444</v>
      </c>
      <c r="S1603" s="7" t="s">
        <v>20691</v>
      </c>
      <c r="T1603" s="7" t="s">
        <v>9073</v>
      </c>
      <c r="U1603" s="7" t="s">
        <v>3843</v>
      </c>
      <c r="V1603" s="7">
        <v>1.0</v>
      </c>
    </row>
    <row r="1604">
      <c r="A1604" s="7" t="s">
        <v>21517</v>
      </c>
      <c r="B1604" s="7">
        <v>12883.0</v>
      </c>
      <c r="C1604" s="7" t="s">
        <v>13544</v>
      </c>
      <c r="D1604" s="7" t="s">
        <v>13559</v>
      </c>
      <c r="E1604" s="7" t="s">
        <v>13545</v>
      </c>
      <c r="F1604" s="7" t="s">
        <v>13136</v>
      </c>
      <c r="G1604" s="7" t="s">
        <v>13560</v>
      </c>
      <c r="H1604" s="7" t="s">
        <v>13561</v>
      </c>
      <c r="I1604" s="119">
        <v>45292.0</v>
      </c>
      <c r="K1604" s="7" t="s">
        <v>419</v>
      </c>
      <c r="L1604" s="7" t="s">
        <v>991</v>
      </c>
      <c r="M1604" s="7" t="s">
        <v>3490</v>
      </c>
      <c r="N1604" s="7" t="s">
        <v>419</v>
      </c>
      <c r="O1604" s="7" t="s">
        <v>19440</v>
      </c>
      <c r="P1604" s="7" t="s">
        <v>3</v>
      </c>
      <c r="Q1604" s="7" t="s">
        <v>9</v>
      </c>
      <c r="R1604" s="7" t="s">
        <v>20413</v>
      </c>
      <c r="S1604" s="7" t="s">
        <v>19519</v>
      </c>
      <c r="T1604" s="7" t="s">
        <v>7663</v>
      </c>
      <c r="U1604" s="7" t="s">
        <v>3493</v>
      </c>
      <c r="V1604" s="7">
        <v>1.0</v>
      </c>
    </row>
    <row r="1605">
      <c r="A1605" s="7" t="s">
        <v>21518</v>
      </c>
      <c r="B1605" s="7">
        <v>2100405.0</v>
      </c>
      <c r="C1605" s="7" t="s">
        <v>13563</v>
      </c>
      <c r="D1605" s="7" t="s">
        <v>10826</v>
      </c>
      <c r="E1605" s="7" t="s">
        <v>13564</v>
      </c>
      <c r="F1605" s="7" t="s">
        <v>10491</v>
      </c>
      <c r="G1605" s="7" t="s">
        <v>13565</v>
      </c>
      <c r="H1605" s="7" t="s">
        <v>13566</v>
      </c>
      <c r="I1605" s="119">
        <v>45292.0</v>
      </c>
      <c r="K1605" s="7" t="s">
        <v>419</v>
      </c>
      <c r="L1605" s="7" t="s">
        <v>991</v>
      </c>
      <c r="M1605" s="7" t="s">
        <v>3501</v>
      </c>
      <c r="N1605" s="7" t="s">
        <v>419</v>
      </c>
      <c r="O1605" s="7" t="s">
        <v>19440</v>
      </c>
      <c r="P1605" s="7" t="s">
        <v>613</v>
      </c>
      <c r="Q1605" s="7" t="s">
        <v>104</v>
      </c>
      <c r="R1605" s="7" t="s">
        <v>19738</v>
      </c>
      <c r="S1605" s="7" t="s">
        <v>20767</v>
      </c>
      <c r="T1605" s="7" t="s">
        <v>13677</v>
      </c>
      <c r="U1605" s="7" t="s">
        <v>3843</v>
      </c>
      <c r="V1605" s="7">
        <v>1.0</v>
      </c>
    </row>
    <row r="1606">
      <c r="A1606" s="7" t="s">
        <v>21519</v>
      </c>
      <c r="B1606" s="7">
        <v>2200227.0</v>
      </c>
      <c r="C1606" s="7" t="s">
        <v>13569</v>
      </c>
      <c r="D1606" s="7" t="s">
        <v>13570</v>
      </c>
      <c r="E1606" s="7" t="s">
        <v>13571</v>
      </c>
      <c r="F1606" s="7" t="s">
        <v>13572</v>
      </c>
      <c r="G1606" s="7" t="s">
        <v>13573</v>
      </c>
      <c r="H1606" s="7" t="s">
        <v>13574</v>
      </c>
      <c r="I1606" s="119">
        <v>45292.0</v>
      </c>
      <c r="K1606" s="7" t="s">
        <v>419</v>
      </c>
      <c r="L1606" s="7" t="s">
        <v>991</v>
      </c>
      <c r="M1606" s="7" t="s">
        <v>3501</v>
      </c>
      <c r="N1606" s="7" t="s">
        <v>419</v>
      </c>
      <c r="O1606" s="7" t="s">
        <v>19432</v>
      </c>
      <c r="P1606" s="7" t="s">
        <v>391</v>
      </c>
      <c r="Q1606" s="7" t="s">
        <v>890</v>
      </c>
      <c r="R1606" s="7" t="s">
        <v>19744</v>
      </c>
      <c r="T1606" s="7" t="s">
        <v>7846</v>
      </c>
      <c r="U1606" s="7" t="s">
        <v>3493</v>
      </c>
      <c r="V1606" s="7">
        <v>1.0</v>
      </c>
    </row>
    <row r="1607">
      <c r="A1607" s="7" t="s">
        <v>21520</v>
      </c>
      <c r="B1607" s="7">
        <v>987.0</v>
      </c>
      <c r="C1607" s="7" t="s">
        <v>13576</v>
      </c>
      <c r="D1607" s="7" t="s">
        <v>5041</v>
      </c>
      <c r="E1607" s="7" t="s">
        <v>13577</v>
      </c>
      <c r="F1607" s="7" t="s">
        <v>5723</v>
      </c>
      <c r="G1607" s="7" t="s">
        <v>13578</v>
      </c>
      <c r="H1607" s="7" t="s">
        <v>13579</v>
      </c>
      <c r="I1607" s="119">
        <v>45292.0</v>
      </c>
      <c r="K1607" s="7" t="s">
        <v>419</v>
      </c>
      <c r="L1607" s="7" t="s">
        <v>991</v>
      </c>
      <c r="M1607" s="7" t="s">
        <v>3501</v>
      </c>
      <c r="N1607" s="7" t="s">
        <v>419</v>
      </c>
      <c r="O1607" s="7" t="s">
        <v>19433</v>
      </c>
      <c r="P1607" s="7" t="s">
        <v>648</v>
      </c>
      <c r="Q1607" s="7" t="s">
        <v>141</v>
      </c>
      <c r="R1607" s="7" t="s">
        <v>19886</v>
      </c>
      <c r="S1607" s="7" t="s">
        <v>20701</v>
      </c>
      <c r="T1607" s="7" t="s">
        <v>9138</v>
      </c>
      <c r="U1607" s="7" t="s">
        <v>3493</v>
      </c>
      <c r="V1607" s="7">
        <v>1.0</v>
      </c>
    </row>
    <row r="1608">
      <c r="A1608" s="7" t="s">
        <v>21521</v>
      </c>
      <c r="B1608" s="7">
        <v>2300426.0</v>
      </c>
      <c r="C1608" s="7" t="s">
        <v>13581</v>
      </c>
      <c r="D1608" s="7" t="s">
        <v>13582</v>
      </c>
      <c r="E1608" s="7" t="s">
        <v>13583</v>
      </c>
      <c r="F1608" s="7" t="s">
        <v>5132</v>
      </c>
      <c r="G1608" s="7" t="s">
        <v>13584</v>
      </c>
      <c r="H1608" s="7" t="s">
        <v>13585</v>
      </c>
      <c r="I1608" s="119">
        <v>45292.0</v>
      </c>
      <c r="K1608" s="7" t="s">
        <v>6439</v>
      </c>
      <c r="L1608" s="7" t="s">
        <v>991</v>
      </c>
      <c r="M1608" s="7" t="s">
        <v>3531</v>
      </c>
      <c r="N1608" s="7" t="s">
        <v>6439</v>
      </c>
      <c r="O1608" s="7" t="s">
        <v>6439</v>
      </c>
      <c r="P1608" s="7" t="s">
        <v>20181</v>
      </c>
      <c r="T1608" s="7" t="s">
        <v>6441</v>
      </c>
      <c r="U1608" s="7" t="s">
        <v>3493</v>
      </c>
      <c r="V1608" s="7">
        <v>1.0</v>
      </c>
    </row>
    <row r="1609">
      <c r="A1609" s="7" t="s">
        <v>21522</v>
      </c>
      <c r="B1609" s="7">
        <v>2200054.0</v>
      </c>
      <c r="C1609" s="7" t="s">
        <v>13581</v>
      </c>
      <c r="D1609" s="7" t="s">
        <v>13587</v>
      </c>
      <c r="E1609" s="7" t="s">
        <v>13583</v>
      </c>
      <c r="F1609" s="7" t="s">
        <v>5132</v>
      </c>
      <c r="G1609" s="7" t="s">
        <v>13588</v>
      </c>
      <c r="H1609" s="7" t="s">
        <v>13589</v>
      </c>
      <c r="I1609" s="119">
        <v>45292.0</v>
      </c>
      <c r="K1609" s="7" t="s">
        <v>419</v>
      </c>
      <c r="L1609" s="7" t="s">
        <v>991</v>
      </c>
      <c r="M1609" s="7" t="s">
        <v>3866</v>
      </c>
      <c r="N1609" s="7" t="s">
        <v>419</v>
      </c>
      <c r="O1609" s="7" t="s">
        <v>19433</v>
      </c>
      <c r="P1609" s="7" t="s">
        <v>587</v>
      </c>
      <c r="Q1609" s="7" t="s">
        <v>74</v>
      </c>
      <c r="T1609" s="7" t="s">
        <v>5112</v>
      </c>
      <c r="U1609" s="7" t="s">
        <v>3493</v>
      </c>
      <c r="V1609" s="7">
        <v>1.0</v>
      </c>
    </row>
    <row r="1610">
      <c r="A1610" s="7" t="s">
        <v>21523</v>
      </c>
      <c r="B1610" s="7">
        <v>13318.0</v>
      </c>
      <c r="C1610" s="7" t="s">
        <v>13591</v>
      </c>
      <c r="D1610" s="7" t="s">
        <v>13592</v>
      </c>
      <c r="E1610" s="7" t="s">
        <v>13593</v>
      </c>
      <c r="F1610" s="7" t="s">
        <v>3721</v>
      </c>
      <c r="G1610" s="7" t="s">
        <v>13594</v>
      </c>
      <c r="H1610" s="7" t="s">
        <v>13595</v>
      </c>
      <c r="I1610" s="119">
        <v>45292.0</v>
      </c>
      <c r="K1610" s="7" t="s">
        <v>419</v>
      </c>
      <c r="L1610" s="7" t="s">
        <v>991</v>
      </c>
      <c r="M1610" s="7" t="s">
        <v>3501</v>
      </c>
      <c r="N1610" s="7" t="s">
        <v>419</v>
      </c>
      <c r="O1610" s="7" t="s">
        <v>19430</v>
      </c>
      <c r="P1610" s="7" t="s">
        <v>717</v>
      </c>
      <c r="Q1610" s="7" t="s">
        <v>251</v>
      </c>
      <c r="R1610" s="7" t="s">
        <v>19716</v>
      </c>
      <c r="S1610" s="7" t="s">
        <v>19694</v>
      </c>
      <c r="T1610" s="7" t="s">
        <v>6603</v>
      </c>
      <c r="U1610" s="7" t="s">
        <v>3493</v>
      </c>
      <c r="V1610" s="7">
        <v>1.0</v>
      </c>
    </row>
    <row r="1611">
      <c r="A1611" s="7" t="s">
        <v>21524</v>
      </c>
      <c r="B1611" s="7">
        <v>13989.0</v>
      </c>
      <c r="C1611" s="7" t="s">
        <v>13598</v>
      </c>
      <c r="D1611" s="7" t="s">
        <v>13599</v>
      </c>
      <c r="E1611" s="7" t="s">
        <v>13600</v>
      </c>
      <c r="F1611" s="7" t="s">
        <v>13601</v>
      </c>
      <c r="G1611" s="7" t="s">
        <v>13602</v>
      </c>
      <c r="H1611" s="7" t="s">
        <v>13603</v>
      </c>
      <c r="I1611" s="119">
        <v>45292.0</v>
      </c>
      <c r="K1611" s="7" t="s">
        <v>3632</v>
      </c>
      <c r="L1611" s="7" t="s">
        <v>991</v>
      </c>
      <c r="M1611" s="7" t="s">
        <v>3501</v>
      </c>
      <c r="N1611" s="7" t="s">
        <v>3632</v>
      </c>
      <c r="O1611" s="7" t="s">
        <v>3632</v>
      </c>
      <c r="P1611" s="7" t="s">
        <v>19462</v>
      </c>
      <c r="Q1611" s="7" t="s">
        <v>19463</v>
      </c>
      <c r="R1611" s="7" t="s">
        <v>19883</v>
      </c>
      <c r="T1611" s="7" t="s">
        <v>15149</v>
      </c>
      <c r="U1611" s="7" t="s">
        <v>3493</v>
      </c>
      <c r="V1611" s="7">
        <v>1.0</v>
      </c>
    </row>
    <row r="1612">
      <c r="A1612" s="7" t="s">
        <v>21525</v>
      </c>
      <c r="B1612" s="7">
        <v>11759.0</v>
      </c>
      <c r="C1612" s="7" t="s">
        <v>13605</v>
      </c>
      <c r="D1612" s="7" t="s">
        <v>13606</v>
      </c>
      <c r="E1612" s="7" t="s">
        <v>13607</v>
      </c>
      <c r="F1612" s="7" t="s">
        <v>13059</v>
      </c>
      <c r="G1612" s="7" t="s">
        <v>13608</v>
      </c>
      <c r="H1612" s="7" t="s">
        <v>13609</v>
      </c>
      <c r="I1612" s="119">
        <v>45292.0</v>
      </c>
      <c r="K1612" s="7" t="s">
        <v>419</v>
      </c>
      <c r="L1612" s="7" t="s">
        <v>991</v>
      </c>
      <c r="M1612" s="7" t="s">
        <v>3501</v>
      </c>
      <c r="N1612" s="7" t="s">
        <v>419</v>
      </c>
      <c r="O1612" s="7" t="s">
        <v>19443</v>
      </c>
      <c r="P1612" s="7" t="s">
        <v>1242</v>
      </c>
      <c r="Q1612" s="7" t="s">
        <v>43</v>
      </c>
      <c r="R1612" s="7" t="s">
        <v>19847</v>
      </c>
      <c r="T1612" s="7" t="s">
        <v>5002</v>
      </c>
      <c r="U1612" s="7" t="s">
        <v>3493</v>
      </c>
      <c r="V1612" s="7">
        <v>1.0</v>
      </c>
    </row>
    <row r="1613">
      <c r="A1613" s="7" t="s">
        <v>21526</v>
      </c>
      <c r="B1613" s="7">
        <v>13581.0</v>
      </c>
      <c r="C1613" s="7" t="s">
        <v>13605</v>
      </c>
      <c r="D1613" s="7" t="s">
        <v>13611</v>
      </c>
      <c r="E1613" s="7" t="s">
        <v>13607</v>
      </c>
      <c r="F1613" s="7" t="s">
        <v>3692</v>
      </c>
      <c r="G1613" s="7" t="s">
        <v>13612</v>
      </c>
      <c r="H1613" s="7" t="s">
        <v>13613</v>
      </c>
      <c r="I1613" s="119">
        <v>45292.0</v>
      </c>
      <c r="K1613" s="7" t="s">
        <v>419</v>
      </c>
      <c r="L1613" s="7" t="s">
        <v>991</v>
      </c>
      <c r="M1613" s="7" t="s">
        <v>3501</v>
      </c>
      <c r="N1613" s="7" t="s">
        <v>419</v>
      </c>
      <c r="O1613" s="7" t="s">
        <v>19432</v>
      </c>
      <c r="P1613" s="7" t="s">
        <v>391</v>
      </c>
      <c r="Q1613" s="7" t="s">
        <v>399</v>
      </c>
      <c r="R1613" s="7" t="s">
        <v>20194</v>
      </c>
      <c r="T1613" s="7" t="s">
        <v>6534</v>
      </c>
      <c r="U1613" s="7" t="s">
        <v>3493</v>
      </c>
      <c r="V1613" s="7">
        <v>1.0</v>
      </c>
    </row>
    <row r="1614">
      <c r="A1614" s="7" t="s">
        <v>21527</v>
      </c>
      <c r="B1614" s="7">
        <v>2100156.0</v>
      </c>
      <c r="C1614" s="7" t="s">
        <v>13605</v>
      </c>
      <c r="D1614" s="7" t="s">
        <v>13616</v>
      </c>
      <c r="E1614" s="7" t="s">
        <v>13607</v>
      </c>
      <c r="F1614" s="7" t="s">
        <v>13617</v>
      </c>
      <c r="G1614" s="7" t="s">
        <v>13618</v>
      </c>
      <c r="H1614" s="7" t="s">
        <v>13619</v>
      </c>
      <c r="I1614" s="119">
        <v>45292.0</v>
      </c>
      <c r="K1614" s="7" t="s">
        <v>419</v>
      </c>
      <c r="L1614" s="7" t="s">
        <v>991</v>
      </c>
      <c r="M1614" s="7" t="s">
        <v>3531</v>
      </c>
      <c r="N1614" s="7" t="s">
        <v>419</v>
      </c>
      <c r="O1614" s="7" t="s">
        <v>19433</v>
      </c>
      <c r="P1614" s="7" t="s">
        <v>648</v>
      </c>
      <c r="Q1614" s="7" t="s">
        <v>143</v>
      </c>
      <c r="R1614" s="7" t="s">
        <v>20500</v>
      </c>
      <c r="T1614" s="7" t="s">
        <v>10303</v>
      </c>
      <c r="U1614" s="7" t="s">
        <v>3493</v>
      </c>
      <c r="V1614" s="7">
        <v>1.0</v>
      </c>
    </row>
    <row r="1615">
      <c r="A1615" s="7" t="s">
        <v>21528</v>
      </c>
      <c r="B1615" s="7">
        <v>2100547.0</v>
      </c>
      <c r="C1615" s="7" t="s">
        <v>13605</v>
      </c>
      <c r="D1615" s="7" t="s">
        <v>13620</v>
      </c>
      <c r="E1615" s="7" t="s">
        <v>13607</v>
      </c>
      <c r="F1615" s="7" t="s">
        <v>3792</v>
      </c>
      <c r="G1615" s="7" t="s">
        <v>13621</v>
      </c>
      <c r="H1615" s="7" t="s">
        <v>13622</v>
      </c>
      <c r="I1615" s="119">
        <v>45292.0</v>
      </c>
      <c r="K1615" s="7" t="s">
        <v>419</v>
      </c>
      <c r="L1615" s="7" t="s">
        <v>991</v>
      </c>
      <c r="M1615" s="7" t="s">
        <v>3501</v>
      </c>
      <c r="N1615" s="7" t="s">
        <v>419</v>
      </c>
      <c r="O1615" s="7" t="s">
        <v>19432</v>
      </c>
      <c r="P1615" s="7" t="s">
        <v>693</v>
      </c>
      <c r="Q1615" s="7" t="s">
        <v>698</v>
      </c>
      <c r="R1615" s="7" t="s">
        <v>20444</v>
      </c>
      <c r="T1615" s="7" t="s">
        <v>13624</v>
      </c>
      <c r="U1615" s="7" t="s">
        <v>3604</v>
      </c>
      <c r="V1615" s="7">
        <v>1.0</v>
      </c>
    </row>
    <row r="1616">
      <c r="A1616" s="7" t="s">
        <v>21529</v>
      </c>
      <c r="B1616" s="7">
        <v>13711.0</v>
      </c>
      <c r="C1616" s="7" t="s">
        <v>13605</v>
      </c>
      <c r="D1616" s="7" t="s">
        <v>13626</v>
      </c>
      <c r="E1616" s="7" t="s">
        <v>13607</v>
      </c>
      <c r="F1616" s="7" t="s">
        <v>3665</v>
      </c>
      <c r="G1616" s="7" t="s">
        <v>13627</v>
      </c>
      <c r="H1616" s="7" t="s">
        <v>13628</v>
      </c>
      <c r="I1616" s="119">
        <v>45292.0</v>
      </c>
      <c r="K1616" s="7" t="s">
        <v>3632</v>
      </c>
      <c r="L1616" s="7" t="s">
        <v>991</v>
      </c>
      <c r="M1616" s="7" t="s">
        <v>3531</v>
      </c>
      <c r="N1616" s="7" t="s">
        <v>3632</v>
      </c>
      <c r="O1616" s="7" t="s">
        <v>3632</v>
      </c>
      <c r="P1616" s="7" t="s">
        <v>625</v>
      </c>
      <c r="Q1616" s="7" t="s">
        <v>118</v>
      </c>
      <c r="R1616" s="7" t="s">
        <v>19768</v>
      </c>
      <c r="T1616" s="7" t="s">
        <v>4577</v>
      </c>
      <c r="U1616" s="7" t="s">
        <v>3493</v>
      </c>
      <c r="V1616" s="7">
        <v>1.0</v>
      </c>
    </row>
    <row r="1617">
      <c r="A1617" s="7" t="s">
        <v>21530</v>
      </c>
      <c r="B1617" s="7">
        <v>2300704.0</v>
      </c>
      <c r="C1617" s="7" t="s">
        <v>13630</v>
      </c>
      <c r="D1617" s="7" t="s">
        <v>13631</v>
      </c>
      <c r="E1617" s="7" t="s">
        <v>13632</v>
      </c>
      <c r="F1617" s="7" t="s">
        <v>6089</v>
      </c>
      <c r="G1617" s="7" t="s">
        <v>13633</v>
      </c>
      <c r="H1617" s="7" t="s">
        <v>13634</v>
      </c>
      <c r="I1617" s="119">
        <v>45292.0</v>
      </c>
      <c r="K1617" s="7" t="s">
        <v>419</v>
      </c>
      <c r="L1617" s="7" t="s">
        <v>991</v>
      </c>
      <c r="M1617" s="7" t="s">
        <v>3501</v>
      </c>
      <c r="N1617" s="7" t="s">
        <v>419</v>
      </c>
      <c r="O1617" s="7" t="s">
        <v>19440</v>
      </c>
      <c r="P1617" s="7" t="s">
        <v>613</v>
      </c>
      <c r="Q1617" s="7" t="s">
        <v>104</v>
      </c>
      <c r="R1617" s="7" t="s">
        <v>21531</v>
      </c>
      <c r="T1617" s="7" t="s">
        <v>13636</v>
      </c>
      <c r="U1617" s="7" t="s">
        <v>3493</v>
      </c>
      <c r="V1617" s="7">
        <v>1.0</v>
      </c>
    </row>
    <row r="1618">
      <c r="A1618" s="7" t="s">
        <v>21532</v>
      </c>
      <c r="B1618" s="7">
        <v>10748.0</v>
      </c>
      <c r="C1618" s="7" t="s">
        <v>13638</v>
      </c>
      <c r="D1618" s="7" t="s">
        <v>10692</v>
      </c>
      <c r="E1618" s="7" t="s">
        <v>13639</v>
      </c>
      <c r="F1618" s="7" t="s">
        <v>10694</v>
      </c>
      <c r="G1618" s="7" t="s">
        <v>13640</v>
      </c>
      <c r="H1618" s="7" t="s">
        <v>13641</v>
      </c>
      <c r="I1618" s="119">
        <v>45292.0</v>
      </c>
      <c r="K1618" s="7" t="s">
        <v>419</v>
      </c>
      <c r="L1618" s="7" t="s">
        <v>991</v>
      </c>
      <c r="M1618" s="7" t="s">
        <v>3531</v>
      </c>
      <c r="N1618" s="7" t="s">
        <v>419</v>
      </c>
      <c r="O1618" s="7" t="s">
        <v>19432</v>
      </c>
      <c r="P1618" s="7" t="s">
        <v>298</v>
      </c>
      <c r="Q1618" s="7" t="s">
        <v>802</v>
      </c>
      <c r="R1618" s="7" t="s">
        <v>20050</v>
      </c>
      <c r="S1618" s="7" t="s">
        <v>20051</v>
      </c>
      <c r="T1618" s="7" t="s">
        <v>5817</v>
      </c>
      <c r="U1618" s="7" t="s">
        <v>3493</v>
      </c>
      <c r="V1618" s="7">
        <v>1.0</v>
      </c>
    </row>
    <row r="1619">
      <c r="A1619" s="7" t="s">
        <v>21533</v>
      </c>
      <c r="B1619" s="7">
        <v>2100564.0</v>
      </c>
      <c r="C1619" s="7" t="s">
        <v>13643</v>
      </c>
      <c r="D1619" s="7" t="s">
        <v>13644</v>
      </c>
      <c r="E1619" s="7" t="s">
        <v>13645</v>
      </c>
      <c r="F1619" s="7" t="s">
        <v>3945</v>
      </c>
      <c r="G1619" s="7" t="s">
        <v>13646</v>
      </c>
      <c r="I1619" s="119">
        <v>45292.0</v>
      </c>
      <c r="K1619" s="7" t="s">
        <v>419</v>
      </c>
      <c r="L1619" s="7" t="s">
        <v>991</v>
      </c>
      <c r="M1619" s="7" t="s">
        <v>3531</v>
      </c>
      <c r="N1619" s="7" t="s">
        <v>419</v>
      </c>
      <c r="O1619" s="7" t="s">
        <v>19430</v>
      </c>
      <c r="P1619" s="7" t="s">
        <v>854</v>
      </c>
      <c r="Q1619" s="7" t="s">
        <v>857</v>
      </c>
      <c r="T1619" s="7" t="s">
        <v>4104</v>
      </c>
      <c r="U1619" s="7" t="s">
        <v>3493</v>
      </c>
      <c r="V1619" s="7">
        <v>1.0</v>
      </c>
    </row>
    <row r="1620">
      <c r="A1620" s="7" t="s">
        <v>21534</v>
      </c>
      <c r="B1620" s="7">
        <v>2300087.0</v>
      </c>
      <c r="C1620" s="7" t="s">
        <v>13643</v>
      </c>
      <c r="D1620" s="7" t="s">
        <v>7672</v>
      </c>
      <c r="E1620" s="7" t="s">
        <v>13645</v>
      </c>
      <c r="F1620" s="7" t="s">
        <v>7673</v>
      </c>
      <c r="G1620" s="7" t="s">
        <v>13648</v>
      </c>
      <c r="H1620" s="7" t="s">
        <v>13649</v>
      </c>
      <c r="I1620" s="119">
        <v>45292.0</v>
      </c>
      <c r="K1620" s="7" t="s">
        <v>419</v>
      </c>
      <c r="L1620" s="7" t="s">
        <v>991</v>
      </c>
      <c r="M1620" s="7" t="s">
        <v>3583</v>
      </c>
      <c r="N1620" s="7" t="s">
        <v>419</v>
      </c>
      <c r="O1620" s="7" t="s">
        <v>19437</v>
      </c>
      <c r="P1620" s="7" t="s">
        <v>603</v>
      </c>
      <c r="Q1620" s="7" t="s">
        <v>90</v>
      </c>
      <c r="R1620" s="7" t="s">
        <v>19973</v>
      </c>
      <c r="S1620" s="7" t="s">
        <v>19974</v>
      </c>
      <c r="T1620" s="7" t="s">
        <v>5470</v>
      </c>
      <c r="U1620" s="7" t="s">
        <v>3493</v>
      </c>
      <c r="V1620" s="7">
        <v>1.0</v>
      </c>
    </row>
    <row r="1621">
      <c r="A1621" s="7" t="s">
        <v>21535</v>
      </c>
      <c r="B1621" s="7">
        <v>978.0</v>
      </c>
      <c r="C1621" s="7" t="s">
        <v>13651</v>
      </c>
      <c r="D1621" s="7" t="s">
        <v>13652</v>
      </c>
      <c r="E1621" s="7" t="s">
        <v>13653</v>
      </c>
      <c r="F1621" s="7" t="s">
        <v>13654</v>
      </c>
      <c r="G1621" s="7" t="s">
        <v>13655</v>
      </c>
      <c r="H1621" s="7" t="s">
        <v>13656</v>
      </c>
      <c r="I1621" s="119">
        <v>45292.0</v>
      </c>
      <c r="K1621" s="7" t="s">
        <v>419</v>
      </c>
      <c r="L1621" s="7" t="s">
        <v>991</v>
      </c>
      <c r="M1621" s="7" t="s">
        <v>3501</v>
      </c>
      <c r="N1621" s="7" t="s">
        <v>419</v>
      </c>
      <c r="O1621" s="7" t="s">
        <v>19430</v>
      </c>
      <c r="P1621" s="7" t="s">
        <v>717</v>
      </c>
      <c r="Q1621" s="7" t="s">
        <v>223</v>
      </c>
      <c r="R1621" s="7" t="s">
        <v>19764</v>
      </c>
      <c r="S1621" s="7" t="s">
        <v>20036</v>
      </c>
      <c r="T1621" s="7" t="s">
        <v>5756</v>
      </c>
      <c r="U1621" s="7" t="s">
        <v>3493</v>
      </c>
      <c r="V1621" s="7">
        <v>1.0</v>
      </c>
    </row>
    <row r="1622">
      <c r="A1622" s="7" t="s">
        <v>1674</v>
      </c>
      <c r="B1622" s="7">
        <v>11112.0</v>
      </c>
      <c r="C1622" s="7" t="s">
        <v>13658</v>
      </c>
      <c r="D1622" s="7" t="s">
        <v>11667</v>
      </c>
      <c r="E1622" s="7" t="s">
        <v>13659</v>
      </c>
      <c r="F1622" s="7" t="s">
        <v>3549</v>
      </c>
      <c r="G1622" s="7" t="s">
        <v>13660</v>
      </c>
      <c r="H1622" s="7" t="s">
        <v>13661</v>
      </c>
      <c r="I1622" s="119">
        <v>45292.0</v>
      </c>
      <c r="K1622" s="7" t="s">
        <v>419</v>
      </c>
      <c r="L1622" s="7" t="s">
        <v>991</v>
      </c>
      <c r="M1622" s="7" t="s">
        <v>3501</v>
      </c>
      <c r="N1622" s="7" t="s">
        <v>419</v>
      </c>
      <c r="O1622" s="7" t="s">
        <v>19432</v>
      </c>
      <c r="P1622" s="7" t="s">
        <v>693</v>
      </c>
      <c r="Q1622" s="7" t="s">
        <v>701</v>
      </c>
      <c r="T1622" s="7" t="s">
        <v>10025</v>
      </c>
      <c r="U1622" s="7" t="s">
        <v>6078</v>
      </c>
      <c r="V1622" s="7">
        <v>1.0</v>
      </c>
    </row>
    <row r="1623">
      <c r="A1623" s="7" t="s">
        <v>21536</v>
      </c>
      <c r="B1623" s="7">
        <v>12460.0</v>
      </c>
      <c r="C1623" s="7" t="s">
        <v>13663</v>
      </c>
      <c r="D1623" s="7" t="s">
        <v>13664</v>
      </c>
      <c r="E1623" s="7" t="s">
        <v>13665</v>
      </c>
      <c r="F1623" s="7" t="s">
        <v>13666</v>
      </c>
      <c r="G1623" s="7" t="s">
        <v>13667</v>
      </c>
      <c r="H1623" s="7" t="s">
        <v>13668</v>
      </c>
      <c r="I1623" s="119">
        <v>45292.0</v>
      </c>
      <c r="K1623" s="7" t="s">
        <v>419</v>
      </c>
      <c r="L1623" s="7" t="s">
        <v>991</v>
      </c>
      <c r="M1623" s="7" t="s">
        <v>3501</v>
      </c>
      <c r="N1623" s="7" t="s">
        <v>419</v>
      </c>
      <c r="O1623" s="7" t="s">
        <v>19440</v>
      </c>
      <c r="P1623" s="7" t="s">
        <v>3</v>
      </c>
      <c r="Q1623" s="7" t="s">
        <v>9</v>
      </c>
      <c r="R1623" s="7" t="s">
        <v>20413</v>
      </c>
      <c r="T1623" s="7" t="s">
        <v>13670</v>
      </c>
      <c r="U1623" s="7" t="s">
        <v>3604</v>
      </c>
      <c r="V1623" s="7">
        <v>1.0</v>
      </c>
    </row>
    <row r="1624">
      <c r="A1624" s="7" t="s">
        <v>21537</v>
      </c>
      <c r="B1624" s="7">
        <v>2300389.0</v>
      </c>
      <c r="C1624" s="7" t="s">
        <v>13672</v>
      </c>
      <c r="D1624" s="7" t="s">
        <v>13673</v>
      </c>
      <c r="E1624" s="7" t="s">
        <v>13674</v>
      </c>
      <c r="F1624" s="7" t="s">
        <v>3792</v>
      </c>
      <c r="G1624" s="7" t="s">
        <v>13675</v>
      </c>
      <c r="H1624" s="7" t="s">
        <v>13676</v>
      </c>
      <c r="I1624" s="119">
        <v>45292.0</v>
      </c>
      <c r="K1624" s="7" t="s">
        <v>419</v>
      </c>
      <c r="L1624" s="7" t="s">
        <v>991</v>
      </c>
      <c r="M1624" s="7" t="s">
        <v>3501</v>
      </c>
      <c r="N1624" s="7" t="s">
        <v>419</v>
      </c>
      <c r="O1624" s="7" t="s">
        <v>19440</v>
      </c>
      <c r="P1624" s="7" t="s">
        <v>613</v>
      </c>
      <c r="Q1624" s="7" t="s">
        <v>104</v>
      </c>
      <c r="R1624" s="7" t="s">
        <v>19738</v>
      </c>
      <c r="S1624" s="7" t="s">
        <v>20767</v>
      </c>
      <c r="T1624" s="7" t="s">
        <v>13677</v>
      </c>
      <c r="U1624" s="7" t="s">
        <v>3493</v>
      </c>
      <c r="V1624" s="7">
        <v>1.0</v>
      </c>
    </row>
    <row r="1625">
      <c r="A1625" s="7" t="s">
        <v>21538</v>
      </c>
      <c r="B1625" s="7">
        <v>12416.0</v>
      </c>
      <c r="C1625" s="7" t="s">
        <v>13672</v>
      </c>
      <c r="D1625" s="7" t="s">
        <v>13678</v>
      </c>
      <c r="E1625" s="7" t="s">
        <v>13674</v>
      </c>
      <c r="F1625" s="7" t="s">
        <v>3486</v>
      </c>
      <c r="G1625" s="7" t="s">
        <v>13679</v>
      </c>
      <c r="H1625" s="7" t="s">
        <v>13680</v>
      </c>
      <c r="I1625" s="119">
        <v>45292.0</v>
      </c>
      <c r="K1625" s="7" t="s">
        <v>419</v>
      </c>
      <c r="L1625" s="7" t="s">
        <v>991</v>
      </c>
      <c r="M1625" s="7" t="s">
        <v>3501</v>
      </c>
      <c r="N1625" s="7" t="s">
        <v>419</v>
      </c>
      <c r="O1625" s="7" t="s">
        <v>19430</v>
      </c>
      <c r="P1625" s="7" t="s">
        <v>717</v>
      </c>
      <c r="Q1625" s="7" t="s">
        <v>730</v>
      </c>
      <c r="R1625" s="7" t="s">
        <v>20149</v>
      </c>
      <c r="T1625" s="7" t="s">
        <v>13682</v>
      </c>
      <c r="U1625" s="7" t="s">
        <v>3604</v>
      </c>
      <c r="V1625" s="7">
        <v>1.0</v>
      </c>
    </row>
    <row r="1626">
      <c r="A1626" s="7" t="s">
        <v>21539</v>
      </c>
      <c r="B1626" s="7">
        <v>11560.0</v>
      </c>
      <c r="C1626" s="7" t="s">
        <v>13684</v>
      </c>
      <c r="D1626" s="7" t="s">
        <v>11094</v>
      </c>
      <c r="E1626" s="7" t="s">
        <v>13685</v>
      </c>
      <c r="F1626" s="7" t="s">
        <v>8233</v>
      </c>
      <c r="G1626" s="7" t="s">
        <v>13686</v>
      </c>
      <c r="H1626" s="7" t="s">
        <v>13687</v>
      </c>
      <c r="I1626" s="119">
        <v>45292.0</v>
      </c>
      <c r="K1626" s="7" t="s">
        <v>419</v>
      </c>
      <c r="L1626" s="7" t="s">
        <v>991</v>
      </c>
      <c r="M1626" s="7" t="s">
        <v>3501</v>
      </c>
      <c r="N1626" s="7" t="s">
        <v>419</v>
      </c>
      <c r="O1626" s="7" t="s">
        <v>19432</v>
      </c>
      <c r="P1626" s="7" t="s">
        <v>298</v>
      </c>
      <c r="Q1626" s="7" t="s">
        <v>802</v>
      </c>
      <c r="R1626" s="7" t="s">
        <v>19604</v>
      </c>
      <c r="T1626" s="7" t="s">
        <v>3949</v>
      </c>
      <c r="U1626" s="7" t="s">
        <v>3604</v>
      </c>
      <c r="V1626" s="7">
        <v>1.0</v>
      </c>
    </row>
    <row r="1627">
      <c r="A1627" s="7" t="s">
        <v>21540</v>
      </c>
      <c r="B1627" s="7">
        <v>2200697.0</v>
      </c>
      <c r="C1627" s="7" t="s">
        <v>13689</v>
      </c>
      <c r="D1627" s="7" t="s">
        <v>7984</v>
      </c>
      <c r="E1627" s="7" t="s">
        <v>13690</v>
      </c>
      <c r="F1627" s="7" t="s">
        <v>4960</v>
      </c>
      <c r="G1627" s="7" t="s">
        <v>13691</v>
      </c>
      <c r="H1627" s="7" t="s">
        <v>13692</v>
      </c>
      <c r="I1627" s="119">
        <v>45292.0</v>
      </c>
      <c r="K1627" s="7" t="s">
        <v>13693</v>
      </c>
      <c r="L1627" s="7" t="s">
        <v>13694</v>
      </c>
      <c r="M1627" s="7" t="s">
        <v>13695</v>
      </c>
      <c r="N1627" s="7" t="s">
        <v>4042</v>
      </c>
      <c r="O1627" s="7" t="s">
        <v>4042</v>
      </c>
      <c r="P1627" s="7" t="s">
        <v>19632</v>
      </c>
      <c r="T1627" s="7" t="s">
        <v>4044</v>
      </c>
      <c r="U1627" s="7" t="s">
        <v>7953</v>
      </c>
      <c r="V1627" s="7">
        <v>1.0</v>
      </c>
    </row>
    <row r="1628">
      <c r="A1628" s="7" t="s">
        <v>21541</v>
      </c>
      <c r="B1628" s="7">
        <v>2200722.0</v>
      </c>
      <c r="C1628" s="7" t="s">
        <v>13689</v>
      </c>
      <c r="D1628" s="7" t="s">
        <v>13699</v>
      </c>
      <c r="E1628" s="7" t="s">
        <v>13690</v>
      </c>
      <c r="F1628" s="7" t="s">
        <v>3739</v>
      </c>
      <c r="G1628" s="7" t="s">
        <v>13700</v>
      </c>
      <c r="H1628" s="7" t="s">
        <v>13701</v>
      </c>
      <c r="I1628" s="119">
        <v>45292.0</v>
      </c>
      <c r="K1628" s="7" t="s">
        <v>4042</v>
      </c>
      <c r="L1628" s="7" t="s">
        <v>991</v>
      </c>
      <c r="M1628" s="7" t="s">
        <v>3531</v>
      </c>
      <c r="N1628" s="7" t="s">
        <v>4042</v>
      </c>
      <c r="O1628" s="7" t="s">
        <v>4042</v>
      </c>
      <c r="P1628" s="7" t="s">
        <v>19632</v>
      </c>
      <c r="T1628" s="7" t="s">
        <v>4044</v>
      </c>
      <c r="U1628" s="7" t="s">
        <v>3493</v>
      </c>
      <c r="V1628" s="7">
        <v>1.0</v>
      </c>
    </row>
    <row r="1629">
      <c r="A1629" s="7" t="s">
        <v>21542</v>
      </c>
      <c r="B1629" s="7">
        <v>2200192.0</v>
      </c>
      <c r="C1629" s="7" t="s">
        <v>13703</v>
      </c>
      <c r="D1629" s="7" t="s">
        <v>7508</v>
      </c>
      <c r="E1629" s="7" t="s">
        <v>13704</v>
      </c>
      <c r="F1629" s="7" t="s">
        <v>4478</v>
      </c>
      <c r="G1629" s="7" t="s">
        <v>13705</v>
      </c>
      <c r="H1629" s="7" t="s">
        <v>13706</v>
      </c>
      <c r="I1629" s="119">
        <v>45292.0</v>
      </c>
      <c r="K1629" s="7" t="s">
        <v>419</v>
      </c>
      <c r="L1629" s="7" t="s">
        <v>991</v>
      </c>
      <c r="M1629" s="7" t="s">
        <v>3501</v>
      </c>
      <c r="N1629" s="7" t="s">
        <v>419</v>
      </c>
      <c r="O1629" s="7" t="s">
        <v>19432</v>
      </c>
      <c r="P1629" s="7" t="s">
        <v>693</v>
      </c>
      <c r="Q1629" s="7" t="s">
        <v>698</v>
      </c>
      <c r="R1629" s="7" t="s">
        <v>19652</v>
      </c>
      <c r="S1629" s="7" t="s">
        <v>19843</v>
      </c>
      <c r="T1629" s="7" t="s">
        <v>4854</v>
      </c>
      <c r="U1629" s="7" t="s">
        <v>3493</v>
      </c>
      <c r="V1629" s="7">
        <v>1.0</v>
      </c>
    </row>
    <row r="1630">
      <c r="A1630" s="7" t="s">
        <v>21543</v>
      </c>
      <c r="B1630" s="7">
        <v>2200430.0</v>
      </c>
      <c r="C1630" s="7" t="s">
        <v>13708</v>
      </c>
      <c r="D1630" s="7" t="s">
        <v>13709</v>
      </c>
      <c r="E1630" s="7" t="s">
        <v>13710</v>
      </c>
      <c r="F1630" s="7" t="s">
        <v>3781</v>
      </c>
      <c r="G1630" s="7" t="s">
        <v>13711</v>
      </c>
      <c r="H1630" s="7" t="s">
        <v>13712</v>
      </c>
      <c r="I1630" s="119">
        <v>45292.0</v>
      </c>
      <c r="K1630" s="7" t="s">
        <v>419</v>
      </c>
      <c r="L1630" s="7" t="s">
        <v>991</v>
      </c>
      <c r="M1630" s="7" t="s">
        <v>3531</v>
      </c>
      <c r="N1630" s="7" t="s">
        <v>419</v>
      </c>
      <c r="O1630" s="7" t="s">
        <v>19432</v>
      </c>
      <c r="P1630" s="7" t="s">
        <v>298</v>
      </c>
      <c r="Q1630" s="7" t="s">
        <v>1284</v>
      </c>
      <c r="R1630" s="7" t="s">
        <v>20190</v>
      </c>
      <c r="S1630" s="7" t="s">
        <v>20220</v>
      </c>
      <c r="T1630" s="7" t="s">
        <v>9604</v>
      </c>
      <c r="U1630" s="7" t="s">
        <v>3493</v>
      </c>
      <c r="V1630" s="7">
        <v>1.0</v>
      </c>
    </row>
    <row r="1631">
      <c r="A1631" s="7" t="s">
        <v>21544</v>
      </c>
      <c r="B1631" s="7">
        <v>2300227.0</v>
      </c>
      <c r="C1631" s="7" t="s">
        <v>13714</v>
      </c>
      <c r="D1631" s="7" t="s">
        <v>13715</v>
      </c>
      <c r="E1631" s="7" t="s">
        <v>13716</v>
      </c>
      <c r="F1631" s="7" t="s">
        <v>3486</v>
      </c>
      <c r="G1631" s="7" t="s">
        <v>13717</v>
      </c>
      <c r="H1631" s="7" t="s">
        <v>13718</v>
      </c>
      <c r="I1631" s="119">
        <v>45292.0</v>
      </c>
      <c r="K1631" s="7" t="s">
        <v>3632</v>
      </c>
      <c r="L1631" s="7" t="s">
        <v>991</v>
      </c>
      <c r="M1631" s="7" t="s">
        <v>3501</v>
      </c>
      <c r="N1631" s="7" t="s">
        <v>3632</v>
      </c>
      <c r="O1631" s="7" t="s">
        <v>3632</v>
      </c>
      <c r="P1631" s="7" t="s">
        <v>625</v>
      </c>
      <c r="Q1631" s="7" t="s">
        <v>118</v>
      </c>
      <c r="R1631" s="7" t="s">
        <v>20202</v>
      </c>
      <c r="T1631" s="7" t="s">
        <v>12942</v>
      </c>
      <c r="U1631" s="7" t="s">
        <v>3493</v>
      </c>
      <c r="V1631" s="7">
        <v>1.0</v>
      </c>
    </row>
    <row r="1632">
      <c r="A1632" s="7" t="s">
        <v>21545</v>
      </c>
      <c r="B1632" s="7">
        <v>2300759.0</v>
      </c>
      <c r="C1632" s="7" t="s">
        <v>13720</v>
      </c>
      <c r="D1632" s="7" t="s">
        <v>13721</v>
      </c>
      <c r="E1632" s="7" t="s">
        <v>13722</v>
      </c>
      <c r="F1632" s="7" t="s">
        <v>8233</v>
      </c>
      <c r="G1632" s="7" t="s">
        <v>13723</v>
      </c>
      <c r="H1632" s="7" t="s">
        <v>13724</v>
      </c>
      <c r="I1632" s="119">
        <v>45292.0</v>
      </c>
      <c r="K1632" s="7" t="s">
        <v>419</v>
      </c>
      <c r="L1632" s="7" t="s">
        <v>991</v>
      </c>
      <c r="M1632" s="7" t="s">
        <v>3531</v>
      </c>
      <c r="N1632" s="7" t="s">
        <v>419</v>
      </c>
      <c r="O1632" s="7" t="s">
        <v>19430</v>
      </c>
      <c r="P1632" s="7" t="s">
        <v>717</v>
      </c>
      <c r="Q1632" s="7" t="s">
        <v>722</v>
      </c>
      <c r="R1632" s="7" t="s">
        <v>19703</v>
      </c>
      <c r="S1632" s="7" t="s">
        <v>19704</v>
      </c>
      <c r="T1632" s="7" t="s">
        <v>4311</v>
      </c>
      <c r="U1632" s="7" t="s">
        <v>3493</v>
      </c>
      <c r="V1632" s="7">
        <v>1.0</v>
      </c>
    </row>
    <row r="1633">
      <c r="A1633" s="7" t="s">
        <v>21546</v>
      </c>
      <c r="B1633" s="7">
        <v>2100582.0</v>
      </c>
      <c r="C1633" s="7" t="s">
        <v>13726</v>
      </c>
      <c r="D1633" s="7" t="s">
        <v>13727</v>
      </c>
      <c r="E1633" s="7" t="s">
        <v>13728</v>
      </c>
      <c r="F1633" s="7" t="s">
        <v>13729</v>
      </c>
      <c r="G1633" s="7" t="s">
        <v>13730</v>
      </c>
      <c r="H1633" s="7" t="s">
        <v>13731</v>
      </c>
      <c r="I1633" s="119">
        <v>45292.0</v>
      </c>
      <c r="K1633" s="7" t="s">
        <v>419</v>
      </c>
      <c r="L1633" s="7" t="s">
        <v>991</v>
      </c>
      <c r="M1633" s="7" t="s">
        <v>3501</v>
      </c>
      <c r="N1633" s="7" t="s">
        <v>419</v>
      </c>
      <c r="O1633" s="7" t="s">
        <v>19430</v>
      </c>
      <c r="P1633" s="7" t="s">
        <v>717</v>
      </c>
      <c r="Q1633" s="7" t="s">
        <v>738</v>
      </c>
      <c r="R1633" s="7" t="s">
        <v>20651</v>
      </c>
      <c r="T1633" s="7" t="s">
        <v>11929</v>
      </c>
      <c r="U1633" s="7" t="s">
        <v>3604</v>
      </c>
      <c r="V1633" s="7">
        <v>1.0</v>
      </c>
    </row>
    <row r="1634">
      <c r="A1634" s="7" t="s">
        <v>1525</v>
      </c>
      <c r="B1634" s="7">
        <v>331.0</v>
      </c>
      <c r="C1634" s="7" t="s">
        <v>13732</v>
      </c>
      <c r="D1634" s="7" t="s">
        <v>8565</v>
      </c>
      <c r="E1634" s="7" t="s">
        <v>13733</v>
      </c>
      <c r="F1634" s="7" t="s">
        <v>7066</v>
      </c>
      <c r="G1634" s="7" t="s">
        <v>13734</v>
      </c>
      <c r="H1634" s="7" t="s">
        <v>13735</v>
      </c>
      <c r="I1634" s="119">
        <v>45292.0</v>
      </c>
      <c r="K1634" s="7" t="s">
        <v>419</v>
      </c>
      <c r="L1634" s="7" t="s">
        <v>991</v>
      </c>
      <c r="M1634" s="7" t="s">
        <v>3501</v>
      </c>
      <c r="N1634" s="7" t="s">
        <v>419</v>
      </c>
      <c r="O1634" s="7" t="s">
        <v>19437</v>
      </c>
      <c r="P1634" s="7" t="s">
        <v>478</v>
      </c>
      <c r="Q1634" s="7" t="s">
        <v>479</v>
      </c>
      <c r="T1634" s="7" t="s">
        <v>19470</v>
      </c>
      <c r="U1634" s="7" t="s">
        <v>6078</v>
      </c>
      <c r="V1634" s="7">
        <v>1.0</v>
      </c>
    </row>
    <row r="1635">
      <c r="A1635" s="7" t="s">
        <v>21547</v>
      </c>
      <c r="B1635" s="7">
        <v>13582.0</v>
      </c>
      <c r="C1635" s="7" t="s">
        <v>13739</v>
      </c>
      <c r="D1635" s="7" t="s">
        <v>13740</v>
      </c>
      <c r="E1635" s="7" t="s">
        <v>13741</v>
      </c>
      <c r="F1635" s="7" t="s">
        <v>13742</v>
      </c>
      <c r="G1635" s="7" t="s">
        <v>13743</v>
      </c>
      <c r="H1635" s="7" t="s">
        <v>13744</v>
      </c>
      <c r="I1635" s="119">
        <v>45292.0</v>
      </c>
      <c r="J1635" s="7" t="s">
        <v>3929</v>
      </c>
      <c r="K1635" s="7" t="s">
        <v>419</v>
      </c>
      <c r="L1635" s="7" t="s">
        <v>991</v>
      </c>
      <c r="M1635" s="7" t="s">
        <v>3501</v>
      </c>
      <c r="N1635" s="7" t="s">
        <v>419</v>
      </c>
      <c r="O1635" s="7" t="s">
        <v>19430</v>
      </c>
      <c r="P1635" s="7" t="s">
        <v>717</v>
      </c>
      <c r="Q1635" s="7" t="s">
        <v>251</v>
      </c>
      <c r="R1635" s="7" t="s">
        <v>19513</v>
      </c>
      <c r="S1635" s="7" t="s">
        <v>20706</v>
      </c>
      <c r="T1635" s="7" t="s">
        <v>9162</v>
      </c>
      <c r="U1635" s="7" t="s">
        <v>3493</v>
      </c>
      <c r="V1635" s="7">
        <v>1.0</v>
      </c>
    </row>
    <row r="1636">
      <c r="A1636" s="7" t="s">
        <v>21548</v>
      </c>
      <c r="B1636" s="7">
        <v>2100515.0</v>
      </c>
      <c r="C1636" s="7" t="s">
        <v>13739</v>
      </c>
      <c r="D1636" s="7" t="s">
        <v>13746</v>
      </c>
      <c r="E1636" s="7" t="s">
        <v>13741</v>
      </c>
      <c r="F1636" s="7" t="s">
        <v>4172</v>
      </c>
      <c r="G1636" s="7" t="s">
        <v>13747</v>
      </c>
      <c r="H1636" s="7" t="s">
        <v>13748</v>
      </c>
      <c r="I1636" s="119">
        <v>45292.0</v>
      </c>
      <c r="K1636" s="7" t="s">
        <v>419</v>
      </c>
      <c r="L1636" s="7" t="s">
        <v>991</v>
      </c>
      <c r="M1636" s="7" t="s">
        <v>3531</v>
      </c>
      <c r="N1636" s="7" t="s">
        <v>419</v>
      </c>
      <c r="O1636" s="7" t="s">
        <v>19443</v>
      </c>
      <c r="P1636" s="7" t="s">
        <v>323</v>
      </c>
      <c r="Q1636" s="7" t="s">
        <v>324</v>
      </c>
      <c r="T1636" s="7" t="s">
        <v>7948</v>
      </c>
      <c r="U1636" s="7" t="s">
        <v>3493</v>
      </c>
      <c r="V1636" s="7">
        <v>1.0</v>
      </c>
    </row>
    <row r="1637">
      <c r="A1637" s="7" t="s">
        <v>21549</v>
      </c>
      <c r="B1637" s="7">
        <v>11850.0</v>
      </c>
      <c r="C1637" s="7" t="s">
        <v>13750</v>
      </c>
      <c r="D1637" s="7" t="s">
        <v>4100</v>
      </c>
      <c r="E1637" s="7" t="s">
        <v>13751</v>
      </c>
      <c r="F1637" s="7" t="s">
        <v>3486</v>
      </c>
      <c r="G1637" s="7" t="s">
        <v>13752</v>
      </c>
      <c r="H1637" s="7" t="s">
        <v>13753</v>
      </c>
      <c r="I1637" s="119">
        <v>45292.0</v>
      </c>
      <c r="K1637" s="7" t="s">
        <v>419</v>
      </c>
      <c r="L1637" s="7" t="s">
        <v>991</v>
      </c>
      <c r="M1637" s="7" t="s">
        <v>3531</v>
      </c>
      <c r="N1637" s="7" t="s">
        <v>419</v>
      </c>
      <c r="O1637" s="7" t="s">
        <v>19430</v>
      </c>
      <c r="P1637" s="7" t="s">
        <v>717</v>
      </c>
      <c r="Q1637" s="7" t="s">
        <v>720</v>
      </c>
      <c r="R1637" s="7" t="s">
        <v>19834</v>
      </c>
      <c r="S1637" s="7" t="s">
        <v>19835</v>
      </c>
      <c r="T1637" s="7" t="s">
        <v>4811</v>
      </c>
      <c r="U1637" s="7" t="s">
        <v>3493</v>
      </c>
      <c r="V1637" s="7">
        <v>1.0</v>
      </c>
    </row>
    <row r="1638">
      <c r="A1638" s="7" t="s">
        <v>2092</v>
      </c>
      <c r="B1638" s="7">
        <v>133.0</v>
      </c>
      <c r="C1638" s="7" t="s">
        <v>13755</v>
      </c>
      <c r="D1638" s="7" t="s">
        <v>13756</v>
      </c>
      <c r="E1638" s="7" t="s">
        <v>13757</v>
      </c>
      <c r="F1638" s="7" t="s">
        <v>11599</v>
      </c>
      <c r="G1638" s="7" t="s">
        <v>13758</v>
      </c>
      <c r="H1638" s="7" t="s">
        <v>13759</v>
      </c>
      <c r="I1638" s="119">
        <v>45292.0</v>
      </c>
      <c r="K1638" s="7" t="s">
        <v>419</v>
      </c>
      <c r="L1638" s="7" t="s">
        <v>991</v>
      </c>
      <c r="M1638" s="7" t="s">
        <v>3501</v>
      </c>
      <c r="N1638" s="7" t="s">
        <v>419</v>
      </c>
      <c r="O1638" s="7" t="s">
        <v>19432</v>
      </c>
      <c r="P1638" s="7" t="s">
        <v>391</v>
      </c>
      <c r="Q1638" s="7" t="s">
        <v>392</v>
      </c>
      <c r="T1638" s="7" t="s">
        <v>19471</v>
      </c>
      <c r="U1638" s="7" t="s">
        <v>6078</v>
      </c>
      <c r="V1638" s="7">
        <v>1.0</v>
      </c>
    </row>
    <row r="1639">
      <c r="A1639" s="7" t="s">
        <v>21550</v>
      </c>
      <c r="B1639" s="7">
        <v>319.0</v>
      </c>
      <c r="C1639" s="7" t="s">
        <v>13764</v>
      </c>
      <c r="D1639" s="7" t="s">
        <v>13765</v>
      </c>
      <c r="E1639" s="7" t="s">
        <v>13766</v>
      </c>
      <c r="F1639" s="7" t="s">
        <v>13767</v>
      </c>
      <c r="G1639" s="7" t="s">
        <v>13768</v>
      </c>
      <c r="H1639" s="7" t="s">
        <v>13769</v>
      </c>
      <c r="I1639" s="119">
        <v>45292.0</v>
      </c>
      <c r="K1639" s="7" t="s">
        <v>419</v>
      </c>
      <c r="L1639" s="7" t="s">
        <v>991</v>
      </c>
      <c r="M1639" s="7" t="s">
        <v>3501</v>
      </c>
      <c r="N1639" s="7" t="s">
        <v>419</v>
      </c>
      <c r="O1639" s="7" t="s">
        <v>19433</v>
      </c>
      <c r="P1639" s="7" t="s">
        <v>587</v>
      </c>
      <c r="Q1639" s="7" t="s">
        <v>72</v>
      </c>
      <c r="R1639" s="7" t="s">
        <v>19566</v>
      </c>
      <c r="T1639" s="7" t="s">
        <v>5672</v>
      </c>
      <c r="U1639" s="7" t="s">
        <v>3493</v>
      </c>
      <c r="V1639" s="7">
        <v>1.0</v>
      </c>
    </row>
    <row r="1640">
      <c r="A1640" s="7" t="s">
        <v>21551</v>
      </c>
      <c r="B1640" s="7">
        <v>2300298.0</v>
      </c>
      <c r="C1640" s="7" t="s">
        <v>13771</v>
      </c>
      <c r="D1640" s="7" t="s">
        <v>13772</v>
      </c>
      <c r="E1640" s="7" t="s">
        <v>13773</v>
      </c>
      <c r="F1640" s="7" t="s">
        <v>13774</v>
      </c>
      <c r="G1640" s="7" t="s">
        <v>13775</v>
      </c>
      <c r="H1640" s="7" t="s">
        <v>13776</v>
      </c>
      <c r="I1640" s="119">
        <v>45292.0</v>
      </c>
      <c r="K1640" s="7" t="s">
        <v>5973</v>
      </c>
      <c r="L1640" s="7" t="s">
        <v>3542</v>
      </c>
      <c r="M1640" s="7" t="s">
        <v>4383</v>
      </c>
      <c r="N1640" s="7" t="s">
        <v>419</v>
      </c>
      <c r="O1640" s="7" t="s">
        <v>19440</v>
      </c>
      <c r="P1640" s="7" t="s">
        <v>3</v>
      </c>
      <c r="Q1640" s="7" t="s">
        <v>4</v>
      </c>
      <c r="R1640" s="7" t="s">
        <v>19614</v>
      </c>
      <c r="S1640" s="7" t="s">
        <v>20454</v>
      </c>
      <c r="T1640" s="7" t="s">
        <v>7870</v>
      </c>
      <c r="U1640" s="7" t="s">
        <v>3493</v>
      </c>
      <c r="V1640" s="7">
        <v>1.0</v>
      </c>
    </row>
    <row r="1641">
      <c r="A1641" s="7" t="s">
        <v>21552</v>
      </c>
      <c r="B1641" s="7">
        <v>2300123.0</v>
      </c>
      <c r="C1641" s="7" t="s">
        <v>13771</v>
      </c>
      <c r="D1641" s="7" t="s">
        <v>13779</v>
      </c>
      <c r="E1641" s="7" t="s">
        <v>13773</v>
      </c>
      <c r="F1641" s="7" t="s">
        <v>3739</v>
      </c>
      <c r="G1641" s="7" t="s">
        <v>13780</v>
      </c>
      <c r="H1641" s="7" t="s">
        <v>13781</v>
      </c>
      <c r="I1641" s="119">
        <v>45292.0</v>
      </c>
      <c r="K1641" s="7" t="s">
        <v>3632</v>
      </c>
      <c r="L1641" s="7" t="s">
        <v>991</v>
      </c>
      <c r="M1641" s="7" t="s">
        <v>3501</v>
      </c>
      <c r="N1641" s="7" t="s">
        <v>3632</v>
      </c>
      <c r="O1641" s="7" t="s">
        <v>3632</v>
      </c>
      <c r="P1641" s="7" t="s">
        <v>3463</v>
      </c>
      <c r="Q1641" s="7" t="s">
        <v>356</v>
      </c>
      <c r="R1641" s="7" t="s">
        <v>19880</v>
      </c>
      <c r="T1641" s="7" t="s">
        <v>5038</v>
      </c>
      <c r="U1641" s="7" t="s">
        <v>3493</v>
      </c>
      <c r="V1641" s="7">
        <v>1.0</v>
      </c>
    </row>
    <row r="1642">
      <c r="A1642" s="7" t="s">
        <v>21553</v>
      </c>
      <c r="B1642" s="7">
        <v>13666.0</v>
      </c>
      <c r="C1642" s="7" t="s">
        <v>13783</v>
      </c>
      <c r="D1642" s="7" t="s">
        <v>13784</v>
      </c>
      <c r="E1642" s="7" t="s">
        <v>13785</v>
      </c>
      <c r="F1642" s="7" t="s">
        <v>3896</v>
      </c>
      <c r="G1642" s="7" t="s">
        <v>13786</v>
      </c>
      <c r="H1642" s="7" t="s">
        <v>13787</v>
      </c>
      <c r="I1642" s="119">
        <v>45292.0</v>
      </c>
      <c r="K1642" s="7" t="s">
        <v>3632</v>
      </c>
      <c r="L1642" s="7" t="s">
        <v>991</v>
      </c>
      <c r="M1642" s="7" t="s">
        <v>3501</v>
      </c>
      <c r="N1642" s="7" t="s">
        <v>3632</v>
      </c>
      <c r="O1642" s="7" t="s">
        <v>3632</v>
      </c>
      <c r="P1642" s="7" t="s">
        <v>625</v>
      </c>
      <c r="Q1642" s="7" t="s">
        <v>626</v>
      </c>
      <c r="R1642" s="7" t="s">
        <v>19672</v>
      </c>
      <c r="T1642" s="7" t="s">
        <v>4191</v>
      </c>
      <c r="U1642" s="7" t="s">
        <v>3493</v>
      </c>
      <c r="V1642" s="7">
        <v>1.0</v>
      </c>
    </row>
    <row r="1643">
      <c r="A1643" s="7" t="s">
        <v>21554</v>
      </c>
      <c r="B1643" s="7">
        <v>2300652.0</v>
      </c>
      <c r="C1643" s="7" t="s">
        <v>13783</v>
      </c>
      <c r="D1643" s="7" t="s">
        <v>13789</v>
      </c>
      <c r="E1643" s="7" t="s">
        <v>13785</v>
      </c>
      <c r="F1643" s="7" t="s">
        <v>13790</v>
      </c>
      <c r="G1643" s="7" t="s">
        <v>13791</v>
      </c>
      <c r="H1643" s="7" t="s">
        <v>13792</v>
      </c>
      <c r="I1643" s="119">
        <v>45292.0</v>
      </c>
      <c r="K1643" s="7" t="s">
        <v>419</v>
      </c>
      <c r="L1643" s="7" t="s">
        <v>991</v>
      </c>
      <c r="M1643" s="7" t="s">
        <v>3531</v>
      </c>
      <c r="N1643" s="7" t="s">
        <v>419</v>
      </c>
      <c r="O1643" s="7" t="s">
        <v>19430</v>
      </c>
      <c r="P1643" s="7" t="s">
        <v>717</v>
      </c>
      <c r="Q1643" s="7" t="s">
        <v>738</v>
      </c>
      <c r="R1643" s="7" t="s">
        <v>19818</v>
      </c>
      <c r="S1643" s="7" t="s">
        <v>19668</v>
      </c>
      <c r="T1643" s="7" t="s">
        <v>4739</v>
      </c>
      <c r="U1643" s="7" t="s">
        <v>3493</v>
      </c>
      <c r="V1643" s="7">
        <v>1.0</v>
      </c>
    </row>
    <row r="1644">
      <c r="A1644" s="7" t="s">
        <v>21555</v>
      </c>
      <c r="B1644" s="7">
        <v>11797.0</v>
      </c>
      <c r="C1644" s="7" t="s">
        <v>13794</v>
      </c>
      <c r="D1644" s="7" t="s">
        <v>13795</v>
      </c>
      <c r="E1644" s="7" t="s">
        <v>13796</v>
      </c>
      <c r="F1644" s="7" t="s">
        <v>13797</v>
      </c>
      <c r="G1644" s="7" t="s">
        <v>13798</v>
      </c>
      <c r="H1644" s="7" t="s">
        <v>13799</v>
      </c>
      <c r="I1644" s="119">
        <v>45292.0</v>
      </c>
      <c r="J1644" s="7" t="s">
        <v>3929</v>
      </c>
      <c r="K1644" s="7" t="s">
        <v>419</v>
      </c>
      <c r="L1644" s="7" t="s">
        <v>991</v>
      </c>
      <c r="M1644" s="7" t="s">
        <v>3501</v>
      </c>
      <c r="N1644" s="7" t="s">
        <v>419</v>
      </c>
      <c r="O1644" s="7" t="s">
        <v>19430</v>
      </c>
      <c r="P1644" s="7" t="s">
        <v>717</v>
      </c>
      <c r="Q1644" s="7" t="s">
        <v>1163</v>
      </c>
      <c r="R1644" s="7" t="s">
        <v>19608</v>
      </c>
      <c r="S1644" s="7" t="s">
        <v>20046</v>
      </c>
      <c r="T1644" s="7" t="s">
        <v>5796</v>
      </c>
      <c r="U1644" s="7" t="s">
        <v>3843</v>
      </c>
      <c r="V1644" s="7">
        <v>1.0</v>
      </c>
    </row>
    <row r="1645">
      <c r="A1645" s="7" t="s">
        <v>21556</v>
      </c>
      <c r="B1645" s="7">
        <v>2300696.0</v>
      </c>
      <c r="C1645" s="7" t="s">
        <v>13801</v>
      </c>
      <c r="D1645" s="7" t="s">
        <v>13802</v>
      </c>
      <c r="E1645" s="7" t="s">
        <v>13803</v>
      </c>
      <c r="F1645" s="7" t="s">
        <v>13804</v>
      </c>
      <c r="G1645" s="7" t="s">
        <v>13805</v>
      </c>
      <c r="H1645" s="7" t="s">
        <v>13806</v>
      </c>
      <c r="I1645" s="119">
        <v>45292.0</v>
      </c>
      <c r="K1645" s="7" t="s">
        <v>8491</v>
      </c>
      <c r="L1645" s="7" t="s">
        <v>991</v>
      </c>
      <c r="M1645" s="7" t="s">
        <v>3501</v>
      </c>
      <c r="N1645" s="7" t="s">
        <v>8491</v>
      </c>
      <c r="O1645" s="7" t="s">
        <v>8491</v>
      </c>
      <c r="P1645" s="7" t="s">
        <v>20584</v>
      </c>
      <c r="T1645" s="7" t="s">
        <v>8493</v>
      </c>
      <c r="U1645" s="7" t="s">
        <v>3493</v>
      </c>
      <c r="V1645" s="7">
        <v>1.0</v>
      </c>
    </row>
    <row r="1646">
      <c r="A1646" s="7" t="s">
        <v>21557</v>
      </c>
      <c r="B1646" s="7">
        <v>2200709.0</v>
      </c>
      <c r="C1646" s="7" t="s">
        <v>13801</v>
      </c>
      <c r="D1646" s="7" t="s">
        <v>13808</v>
      </c>
      <c r="E1646" s="7" t="s">
        <v>13803</v>
      </c>
      <c r="F1646" s="7" t="s">
        <v>3498</v>
      </c>
      <c r="G1646" s="7" t="s">
        <v>13809</v>
      </c>
      <c r="H1646" s="7" t="s">
        <v>13810</v>
      </c>
      <c r="I1646" s="119">
        <v>45292.0</v>
      </c>
      <c r="K1646" s="7" t="s">
        <v>4042</v>
      </c>
      <c r="L1646" s="7" t="s">
        <v>991</v>
      </c>
      <c r="M1646" s="7" t="s">
        <v>3501</v>
      </c>
      <c r="N1646" s="7" t="s">
        <v>4042</v>
      </c>
      <c r="O1646" s="7" t="s">
        <v>4042</v>
      </c>
      <c r="P1646" s="7" t="s">
        <v>19632</v>
      </c>
      <c r="T1646" s="7" t="s">
        <v>4044</v>
      </c>
      <c r="U1646" s="7" t="s">
        <v>3493</v>
      </c>
      <c r="V1646" s="7">
        <v>1.0</v>
      </c>
    </row>
    <row r="1647">
      <c r="A1647" s="7" t="s">
        <v>1501</v>
      </c>
      <c r="B1647" s="7">
        <v>12294.0</v>
      </c>
      <c r="C1647" s="7" t="s">
        <v>13801</v>
      </c>
      <c r="D1647" s="7" t="s">
        <v>5681</v>
      </c>
      <c r="E1647" s="7" t="s">
        <v>13803</v>
      </c>
      <c r="F1647" s="7" t="s">
        <v>6231</v>
      </c>
      <c r="G1647" s="7" t="s">
        <v>13811</v>
      </c>
      <c r="H1647" s="7" t="s">
        <v>13812</v>
      </c>
      <c r="I1647" s="119">
        <v>45292.0</v>
      </c>
      <c r="K1647" s="7" t="s">
        <v>419</v>
      </c>
      <c r="L1647" s="7" t="s">
        <v>991</v>
      </c>
      <c r="M1647" s="7" t="s">
        <v>3501</v>
      </c>
      <c r="N1647" s="7" t="s">
        <v>419</v>
      </c>
      <c r="O1647" s="7" t="s">
        <v>19430</v>
      </c>
      <c r="P1647" s="7" t="s">
        <v>854</v>
      </c>
      <c r="Q1647" s="7" t="s">
        <v>859</v>
      </c>
      <c r="R1647" s="7" t="s">
        <v>19566</v>
      </c>
      <c r="T1647" s="7" t="s">
        <v>8700</v>
      </c>
      <c r="U1647" s="7" t="s">
        <v>3493</v>
      </c>
      <c r="V1647" s="7">
        <v>1.0</v>
      </c>
    </row>
    <row r="1648">
      <c r="A1648" s="7" t="s">
        <v>21558</v>
      </c>
      <c r="B1648" s="7">
        <v>2200401.0</v>
      </c>
      <c r="C1648" s="7" t="s">
        <v>13801</v>
      </c>
      <c r="D1648" s="7" t="s">
        <v>13815</v>
      </c>
      <c r="E1648" s="7" t="s">
        <v>13803</v>
      </c>
      <c r="F1648" s="7" t="s">
        <v>13816</v>
      </c>
      <c r="G1648" s="7" t="s">
        <v>13817</v>
      </c>
      <c r="H1648" s="7" t="s">
        <v>13818</v>
      </c>
      <c r="I1648" s="119">
        <v>45292.0</v>
      </c>
      <c r="K1648" s="7" t="s">
        <v>419</v>
      </c>
      <c r="L1648" s="7" t="s">
        <v>991</v>
      </c>
      <c r="M1648" s="7" t="s">
        <v>3531</v>
      </c>
      <c r="N1648" s="7" t="s">
        <v>419</v>
      </c>
      <c r="O1648" s="7" t="s">
        <v>19430</v>
      </c>
      <c r="P1648" s="7" t="s">
        <v>854</v>
      </c>
      <c r="Q1648" s="7" t="s">
        <v>861</v>
      </c>
      <c r="R1648" s="7" t="s">
        <v>19664</v>
      </c>
      <c r="T1648" s="7" t="s">
        <v>9590</v>
      </c>
      <c r="U1648" s="7" t="s">
        <v>3493</v>
      </c>
      <c r="V1648" s="7">
        <v>1.0</v>
      </c>
    </row>
    <row r="1649">
      <c r="A1649" s="7" t="s">
        <v>21559</v>
      </c>
      <c r="B1649" s="7">
        <v>2200045.0</v>
      </c>
      <c r="C1649" s="7" t="s">
        <v>13801</v>
      </c>
      <c r="D1649" s="7" t="s">
        <v>13820</v>
      </c>
      <c r="E1649" s="7" t="s">
        <v>13803</v>
      </c>
      <c r="F1649" s="7" t="s">
        <v>9094</v>
      </c>
      <c r="G1649" s="7" t="s">
        <v>13821</v>
      </c>
      <c r="H1649" s="7" t="s">
        <v>13822</v>
      </c>
      <c r="I1649" s="119">
        <v>45307.0</v>
      </c>
      <c r="K1649" s="7" t="s">
        <v>13199</v>
      </c>
      <c r="L1649" s="7" t="s">
        <v>3542</v>
      </c>
      <c r="M1649" s="7" t="s">
        <v>3563</v>
      </c>
      <c r="N1649" s="7" t="s">
        <v>419</v>
      </c>
      <c r="O1649" s="7" t="s">
        <v>19433</v>
      </c>
      <c r="P1649" s="7" t="s">
        <v>587</v>
      </c>
      <c r="Q1649" s="7" t="s">
        <v>74</v>
      </c>
      <c r="R1649" s="7" t="s">
        <v>21220</v>
      </c>
      <c r="T1649" s="7" t="s">
        <v>13310</v>
      </c>
      <c r="U1649" s="7" t="s">
        <v>3493</v>
      </c>
      <c r="V1649" s="7">
        <v>1.0</v>
      </c>
    </row>
    <row r="1650">
      <c r="A1650" s="7" t="s">
        <v>1614</v>
      </c>
      <c r="B1650" s="7">
        <v>754.0</v>
      </c>
      <c r="C1650" s="7" t="s">
        <v>13801</v>
      </c>
      <c r="D1650" s="7" t="s">
        <v>13825</v>
      </c>
      <c r="E1650" s="7" t="s">
        <v>13803</v>
      </c>
      <c r="F1650" s="7" t="s">
        <v>9094</v>
      </c>
      <c r="G1650" s="7" t="s">
        <v>13826</v>
      </c>
      <c r="H1650" s="7" t="s">
        <v>13827</v>
      </c>
      <c r="I1650" s="119">
        <v>45292.0</v>
      </c>
      <c r="J1650" s="7" t="s">
        <v>3929</v>
      </c>
      <c r="K1650" s="7" t="s">
        <v>419</v>
      </c>
      <c r="L1650" s="7" t="s">
        <v>991</v>
      </c>
      <c r="M1650" s="7" t="s">
        <v>3501</v>
      </c>
      <c r="N1650" s="7" t="s">
        <v>419</v>
      </c>
      <c r="O1650" s="7" t="s">
        <v>19430</v>
      </c>
      <c r="P1650" s="7" t="s">
        <v>717</v>
      </c>
      <c r="Q1650" s="7" t="s">
        <v>722</v>
      </c>
      <c r="T1650" s="7" t="s">
        <v>19450</v>
      </c>
      <c r="U1650" s="7" t="s">
        <v>3493</v>
      </c>
      <c r="V1650" s="7">
        <v>1.0</v>
      </c>
    </row>
    <row r="1651">
      <c r="A1651" s="7" t="s">
        <v>21560</v>
      </c>
      <c r="B1651" s="7">
        <v>13659.0</v>
      </c>
      <c r="C1651" s="7" t="s">
        <v>13801</v>
      </c>
      <c r="D1651" s="7" t="s">
        <v>13831</v>
      </c>
      <c r="E1651" s="7" t="s">
        <v>13803</v>
      </c>
      <c r="F1651" s="7" t="s">
        <v>13832</v>
      </c>
      <c r="G1651" s="7" t="s">
        <v>13833</v>
      </c>
      <c r="H1651" s="7" t="s">
        <v>13834</v>
      </c>
      <c r="I1651" s="119">
        <v>45292.0</v>
      </c>
      <c r="K1651" s="7" t="s">
        <v>3632</v>
      </c>
      <c r="L1651" s="7" t="s">
        <v>991</v>
      </c>
      <c r="M1651" s="7" t="s">
        <v>3501</v>
      </c>
      <c r="N1651" s="7" t="s">
        <v>3632</v>
      </c>
      <c r="O1651" s="7" t="s">
        <v>3632</v>
      </c>
      <c r="P1651" s="7" t="s">
        <v>19462</v>
      </c>
      <c r="Q1651" s="7" t="s">
        <v>19463</v>
      </c>
      <c r="R1651" s="7" t="s">
        <v>19883</v>
      </c>
      <c r="T1651" s="7" t="s">
        <v>15149</v>
      </c>
      <c r="U1651" s="7" t="s">
        <v>3493</v>
      </c>
      <c r="V1651" s="7">
        <v>1.0</v>
      </c>
    </row>
    <row r="1652">
      <c r="A1652" s="7" t="s">
        <v>21561</v>
      </c>
      <c r="B1652" s="7">
        <v>2300796.0</v>
      </c>
      <c r="C1652" s="7" t="s">
        <v>13801</v>
      </c>
      <c r="D1652" s="7" t="s">
        <v>13836</v>
      </c>
      <c r="E1652" s="7" t="s">
        <v>13803</v>
      </c>
      <c r="F1652" s="7" t="s">
        <v>6902</v>
      </c>
      <c r="G1652" s="7" t="s">
        <v>13837</v>
      </c>
      <c r="H1652" s="7" t="s">
        <v>13838</v>
      </c>
      <c r="I1652" s="119">
        <v>45292.0</v>
      </c>
      <c r="K1652" s="7" t="s">
        <v>419</v>
      </c>
      <c r="L1652" s="7" t="s">
        <v>991</v>
      </c>
      <c r="M1652" s="7" t="s">
        <v>3501</v>
      </c>
      <c r="N1652" s="7" t="s">
        <v>419</v>
      </c>
      <c r="O1652" s="7" t="s">
        <v>19430</v>
      </c>
      <c r="P1652" s="7" t="s">
        <v>717</v>
      </c>
      <c r="Q1652" s="7" t="s">
        <v>738</v>
      </c>
      <c r="R1652" s="7" t="s">
        <v>20012</v>
      </c>
      <c r="S1652" s="7" t="s">
        <v>20068</v>
      </c>
      <c r="T1652" s="7" t="s">
        <v>5889</v>
      </c>
      <c r="U1652" s="7" t="s">
        <v>3493</v>
      </c>
      <c r="V1652" s="7">
        <v>1.0</v>
      </c>
    </row>
    <row r="1653">
      <c r="A1653" s="7" t="s">
        <v>21562</v>
      </c>
      <c r="B1653" s="7">
        <v>2100294.0</v>
      </c>
      <c r="C1653" s="7" t="s">
        <v>13840</v>
      </c>
      <c r="D1653" s="7" t="s">
        <v>11210</v>
      </c>
      <c r="E1653" s="7" t="s">
        <v>13841</v>
      </c>
      <c r="F1653" s="7" t="s">
        <v>5490</v>
      </c>
      <c r="G1653" s="7" t="s">
        <v>13842</v>
      </c>
      <c r="I1653" s="119">
        <v>45292.0</v>
      </c>
      <c r="K1653" s="7" t="s">
        <v>419</v>
      </c>
      <c r="L1653" s="7" t="s">
        <v>991</v>
      </c>
      <c r="M1653" s="7" t="s">
        <v>3531</v>
      </c>
      <c r="N1653" s="7" t="s">
        <v>419</v>
      </c>
      <c r="O1653" s="7" t="s">
        <v>19433</v>
      </c>
      <c r="P1653" s="7" t="s">
        <v>587</v>
      </c>
      <c r="Q1653" s="7" t="s">
        <v>74</v>
      </c>
      <c r="R1653" s="7" t="s">
        <v>19911</v>
      </c>
      <c r="T1653" s="7" t="s">
        <v>5198</v>
      </c>
      <c r="U1653" s="7" t="s">
        <v>3493</v>
      </c>
      <c r="V1653" s="7">
        <v>1.0</v>
      </c>
    </row>
    <row r="1654">
      <c r="A1654" s="7" t="s">
        <v>21563</v>
      </c>
      <c r="B1654" s="7">
        <v>10382.0</v>
      </c>
      <c r="C1654" s="7" t="s">
        <v>13844</v>
      </c>
      <c r="D1654" s="7" t="s">
        <v>13845</v>
      </c>
      <c r="E1654" s="7" t="s">
        <v>13846</v>
      </c>
      <c r="F1654" s="7" t="s">
        <v>13847</v>
      </c>
      <c r="G1654" s="7" t="s">
        <v>13848</v>
      </c>
      <c r="H1654" s="7" t="s">
        <v>13849</v>
      </c>
      <c r="I1654" s="119">
        <v>45292.0</v>
      </c>
      <c r="K1654" s="7" t="s">
        <v>419</v>
      </c>
      <c r="L1654" s="7" t="s">
        <v>991</v>
      </c>
      <c r="M1654" s="7" t="s">
        <v>3501</v>
      </c>
      <c r="N1654" s="7" t="s">
        <v>419</v>
      </c>
      <c r="O1654" s="7" t="s">
        <v>19443</v>
      </c>
      <c r="P1654" s="7" t="s">
        <v>1242</v>
      </c>
      <c r="Q1654" s="7" t="s">
        <v>48</v>
      </c>
      <c r="R1654" s="7" t="s">
        <v>19700</v>
      </c>
      <c r="S1654" s="7" t="s">
        <v>20039</v>
      </c>
      <c r="T1654" s="7" t="s">
        <v>5770</v>
      </c>
      <c r="U1654" s="7" t="s">
        <v>3493</v>
      </c>
      <c r="V1654" s="7">
        <v>1.0</v>
      </c>
    </row>
    <row r="1655">
      <c r="A1655" s="7" t="s">
        <v>21564</v>
      </c>
      <c r="B1655" s="7">
        <v>2300184.0</v>
      </c>
      <c r="C1655" s="7" t="s">
        <v>13851</v>
      </c>
      <c r="D1655" s="7" t="s">
        <v>13852</v>
      </c>
      <c r="E1655" s="7" t="s">
        <v>13853</v>
      </c>
      <c r="F1655" s="7" t="s">
        <v>7039</v>
      </c>
      <c r="G1655" s="7" t="s">
        <v>13854</v>
      </c>
      <c r="H1655" s="7" t="s">
        <v>13855</v>
      </c>
      <c r="I1655" s="119">
        <v>45292.0</v>
      </c>
      <c r="K1655" s="7" t="s">
        <v>4042</v>
      </c>
      <c r="L1655" s="7" t="s">
        <v>991</v>
      </c>
      <c r="M1655" s="7" t="s">
        <v>3501</v>
      </c>
      <c r="N1655" s="7" t="s">
        <v>4042</v>
      </c>
      <c r="O1655" s="7" t="s">
        <v>4042</v>
      </c>
      <c r="P1655" s="7" t="s">
        <v>19632</v>
      </c>
      <c r="T1655" s="7" t="s">
        <v>4044</v>
      </c>
      <c r="U1655" s="7" t="s">
        <v>3493</v>
      </c>
      <c r="V1655" s="7">
        <v>1.0</v>
      </c>
    </row>
    <row r="1656">
      <c r="A1656" s="7" t="s">
        <v>21565</v>
      </c>
      <c r="B1656" s="7">
        <v>12905.0</v>
      </c>
      <c r="C1656" s="7" t="s">
        <v>13857</v>
      </c>
      <c r="D1656" s="7" t="s">
        <v>13858</v>
      </c>
      <c r="E1656" s="7" t="s">
        <v>13853</v>
      </c>
      <c r="F1656" s="7" t="s">
        <v>7612</v>
      </c>
      <c r="G1656" s="7" t="s">
        <v>13859</v>
      </c>
      <c r="H1656" s="7" t="s">
        <v>13860</v>
      </c>
      <c r="I1656" s="119">
        <v>45292.0</v>
      </c>
      <c r="K1656" s="7" t="s">
        <v>419</v>
      </c>
      <c r="L1656" s="7" t="s">
        <v>991</v>
      </c>
      <c r="M1656" s="7" t="s">
        <v>3531</v>
      </c>
      <c r="N1656" s="7" t="s">
        <v>419</v>
      </c>
      <c r="O1656" s="7" t="s">
        <v>19437</v>
      </c>
      <c r="P1656" s="7" t="s">
        <v>440</v>
      </c>
      <c r="Q1656" s="7" t="s">
        <v>443</v>
      </c>
      <c r="T1656" s="7" t="s">
        <v>4845</v>
      </c>
      <c r="U1656" s="7" t="s">
        <v>3493</v>
      </c>
      <c r="V1656" s="7">
        <v>1.0</v>
      </c>
    </row>
    <row r="1657">
      <c r="A1657" s="7" t="s">
        <v>21566</v>
      </c>
      <c r="B1657" s="7">
        <v>2200742.0</v>
      </c>
      <c r="C1657" s="7" t="s">
        <v>13857</v>
      </c>
      <c r="D1657" s="7" t="s">
        <v>8660</v>
      </c>
      <c r="E1657" s="7" t="s">
        <v>13853</v>
      </c>
      <c r="F1657" s="7" t="s">
        <v>4234</v>
      </c>
      <c r="G1657" s="7" t="s">
        <v>13862</v>
      </c>
      <c r="H1657" s="7" t="s">
        <v>13863</v>
      </c>
      <c r="I1657" s="119">
        <v>45292.0</v>
      </c>
      <c r="K1657" s="7" t="s">
        <v>4206</v>
      </c>
      <c r="L1657" s="7" t="s">
        <v>3542</v>
      </c>
      <c r="M1657" s="7" t="s">
        <v>3543</v>
      </c>
      <c r="N1657" s="7" t="s">
        <v>419</v>
      </c>
      <c r="O1657" s="7" t="s">
        <v>19433</v>
      </c>
      <c r="P1657" s="7" t="s">
        <v>587</v>
      </c>
      <c r="Q1657" s="7" t="s">
        <v>72</v>
      </c>
      <c r="R1657" s="7" t="s">
        <v>19677</v>
      </c>
      <c r="S1657" s="7" t="s">
        <v>19678</v>
      </c>
      <c r="T1657" s="7" t="s">
        <v>19679</v>
      </c>
      <c r="U1657" s="7" t="s">
        <v>3493</v>
      </c>
      <c r="V1657" s="7">
        <v>1.0</v>
      </c>
    </row>
    <row r="1658">
      <c r="A1658" s="7" t="s">
        <v>21567</v>
      </c>
      <c r="B1658" s="7">
        <v>2400013.0</v>
      </c>
      <c r="C1658" s="7" t="s">
        <v>13857</v>
      </c>
      <c r="D1658" s="7" t="s">
        <v>13865</v>
      </c>
      <c r="E1658" s="7" t="s">
        <v>13853</v>
      </c>
      <c r="F1658" s="7" t="s">
        <v>9227</v>
      </c>
      <c r="G1658" s="7" t="s">
        <v>13866</v>
      </c>
      <c r="H1658" s="7" t="s">
        <v>13867</v>
      </c>
      <c r="I1658" s="119">
        <v>45292.0</v>
      </c>
      <c r="K1658" s="7" t="s">
        <v>3632</v>
      </c>
      <c r="L1658" s="7" t="s">
        <v>991</v>
      </c>
      <c r="M1658" s="7" t="s">
        <v>3531</v>
      </c>
      <c r="N1658" s="7" t="s">
        <v>3632</v>
      </c>
      <c r="O1658" s="7" t="s">
        <v>3632</v>
      </c>
      <c r="P1658" s="7" t="s">
        <v>625</v>
      </c>
      <c r="Q1658" s="7" t="s">
        <v>626</v>
      </c>
      <c r="R1658" s="7" t="s">
        <v>20083</v>
      </c>
      <c r="T1658" s="7" t="s">
        <v>13868</v>
      </c>
      <c r="U1658" s="7" t="s">
        <v>3493</v>
      </c>
      <c r="V1658" s="7">
        <v>1.0</v>
      </c>
    </row>
    <row r="1659">
      <c r="A1659" s="7" t="s">
        <v>21568</v>
      </c>
      <c r="B1659" s="7">
        <v>1054.0</v>
      </c>
      <c r="C1659" s="7" t="s">
        <v>13857</v>
      </c>
      <c r="D1659" s="7" t="s">
        <v>5962</v>
      </c>
      <c r="E1659" s="7" t="s">
        <v>13853</v>
      </c>
      <c r="F1659" s="7" t="s">
        <v>5723</v>
      </c>
      <c r="G1659" s="7" t="s">
        <v>13870</v>
      </c>
      <c r="H1659" s="7" t="s">
        <v>13871</v>
      </c>
      <c r="I1659" s="119">
        <v>45292.0</v>
      </c>
      <c r="K1659" s="7" t="s">
        <v>419</v>
      </c>
      <c r="L1659" s="7" t="s">
        <v>991</v>
      </c>
      <c r="M1659" s="7" t="s">
        <v>3501</v>
      </c>
      <c r="N1659" s="7" t="s">
        <v>419</v>
      </c>
      <c r="O1659" s="7" t="s">
        <v>19430</v>
      </c>
      <c r="P1659" s="7" t="s">
        <v>717</v>
      </c>
      <c r="Q1659" s="7" t="s">
        <v>720</v>
      </c>
      <c r="R1659" s="7" t="s">
        <v>19542</v>
      </c>
      <c r="S1659" s="7" t="s">
        <v>20910</v>
      </c>
      <c r="T1659" s="7" t="s">
        <v>10215</v>
      </c>
      <c r="U1659" s="7" t="s">
        <v>3843</v>
      </c>
      <c r="V1659" s="7">
        <v>1.0</v>
      </c>
    </row>
    <row r="1660">
      <c r="A1660" s="7" t="s">
        <v>21569</v>
      </c>
      <c r="B1660" s="7">
        <v>8190.0</v>
      </c>
      <c r="C1660" s="7" t="s">
        <v>13873</v>
      </c>
      <c r="D1660" s="7" t="s">
        <v>13874</v>
      </c>
      <c r="E1660" s="7" t="s">
        <v>13875</v>
      </c>
      <c r="F1660" s="7" t="s">
        <v>13876</v>
      </c>
      <c r="G1660" s="7" t="s">
        <v>13877</v>
      </c>
      <c r="H1660" s="7" t="s">
        <v>13878</v>
      </c>
      <c r="I1660" s="119">
        <v>45292.0</v>
      </c>
      <c r="K1660" s="7" t="s">
        <v>419</v>
      </c>
      <c r="L1660" s="7" t="s">
        <v>991</v>
      </c>
      <c r="M1660" s="7" t="s">
        <v>3531</v>
      </c>
      <c r="N1660" s="7" t="s">
        <v>419</v>
      </c>
      <c r="O1660" s="7" t="s">
        <v>19430</v>
      </c>
      <c r="P1660" s="7" t="s">
        <v>717</v>
      </c>
      <c r="Q1660" s="7" t="s">
        <v>720</v>
      </c>
      <c r="R1660" s="7" t="s">
        <v>19542</v>
      </c>
      <c r="T1660" s="7" t="s">
        <v>3725</v>
      </c>
      <c r="U1660" s="7" t="s">
        <v>3493</v>
      </c>
      <c r="V1660" s="7">
        <v>1.0</v>
      </c>
    </row>
    <row r="1661">
      <c r="A1661" s="7" t="s">
        <v>21570</v>
      </c>
      <c r="B1661" s="7">
        <v>2200001.0</v>
      </c>
      <c r="C1661" s="7" t="s">
        <v>13880</v>
      </c>
      <c r="D1661" s="7" t="s">
        <v>11710</v>
      </c>
      <c r="E1661" s="7" t="s">
        <v>13881</v>
      </c>
      <c r="F1661" s="7" t="s">
        <v>5441</v>
      </c>
      <c r="G1661" s="7" t="s">
        <v>13882</v>
      </c>
      <c r="H1661" s="7" t="s">
        <v>13883</v>
      </c>
      <c r="I1661" s="119">
        <v>45292.0</v>
      </c>
      <c r="K1661" s="7" t="s">
        <v>419</v>
      </c>
      <c r="L1661" s="7" t="s">
        <v>991</v>
      </c>
      <c r="M1661" s="7" t="s">
        <v>3501</v>
      </c>
      <c r="N1661" s="7" t="s">
        <v>419</v>
      </c>
      <c r="O1661" s="7" t="s">
        <v>19430</v>
      </c>
      <c r="P1661" s="7" t="s">
        <v>780</v>
      </c>
      <c r="Q1661" s="7" t="s">
        <v>786</v>
      </c>
      <c r="R1661" s="7" t="s">
        <v>19666</v>
      </c>
      <c r="T1661" s="7" t="s">
        <v>4169</v>
      </c>
      <c r="U1661" s="7" t="s">
        <v>3493</v>
      </c>
      <c r="V1661" s="7">
        <v>1.0</v>
      </c>
    </row>
    <row r="1662">
      <c r="A1662" s="7" t="s">
        <v>21571</v>
      </c>
      <c r="B1662" s="7">
        <v>12370.0</v>
      </c>
      <c r="C1662" s="7" t="s">
        <v>13880</v>
      </c>
      <c r="D1662" s="7" t="s">
        <v>13885</v>
      </c>
      <c r="E1662" s="7" t="s">
        <v>13881</v>
      </c>
      <c r="F1662" s="7" t="s">
        <v>4049</v>
      </c>
      <c r="G1662" s="7" t="s">
        <v>13886</v>
      </c>
      <c r="H1662" s="7" t="s">
        <v>13887</v>
      </c>
      <c r="I1662" s="119">
        <v>45292.0</v>
      </c>
      <c r="K1662" s="7" t="s">
        <v>419</v>
      </c>
      <c r="L1662" s="7" t="s">
        <v>991</v>
      </c>
      <c r="M1662" s="7" t="s">
        <v>3501</v>
      </c>
      <c r="N1662" s="7" t="s">
        <v>419</v>
      </c>
      <c r="O1662" s="7" t="s">
        <v>19438</v>
      </c>
      <c r="P1662" s="7" t="s">
        <v>19439</v>
      </c>
      <c r="Q1662" s="7" t="s">
        <v>475</v>
      </c>
      <c r="R1662" s="7" t="s">
        <v>21572</v>
      </c>
      <c r="T1662" s="7" t="s">
        <v>13889</v>
      </c>
      <c r="U1662" s="7" t="s">
        <v>3493</v>
      </c>
      <c r="V1662" s="7">
        <v>1.0</v>
      </c>
    </row>
    <row r="1663">
      <c r="A1663" s="7" t="s">
        <v>21573</v>
      </c>
      <c r="B1663" s="7">
        <v>2200206.0</v>
      </c>
      <c r="C1663" s="7" t="s">
        <v>13880</v>
      </c>
      <c r="D1663" s="7" t="s">
        <v>13891</v>
      </c>
      <c r="E1663" s="7" t="s">
        <v>13881</v>
      </c>
      <c r="F1663" s="7" t="s">
        <v>4525</v>
      </c>
      <c r="G1663" s="7" t="s">
        <v>13892</v>
      </c>
      <c r="H1663" s="7" t="s">
        <v>13893</v>
      </c>
      <c r="I1663" s="119">
        <v>45292.0</v>
      </c>
      <c r="J1663" s="7" t="s">
        <v>3929</v>
      </c>
      <c r="K1663" s="7" t="s">
        <v>419</v>
      </c>
      <c r="L1663" s="7" t="s">
        <v>991</v>
      </c>
      <c r="M1663" s="7" t="s">
        <v>3501</v>
      </c>
      <c r="N1663" s="7" t="s">
        <v>419</v>
      </c>
      <c r="O1663" s="7" t="s">
        <v>19433</v>
      </c>
      <c r="P1663" s="7" t="s">
        <v>648</v>
      </c>
      <c r="Q1663" s="7" t="s">
        <v>143</v>
      </c>
      <c r="R1663" s="7" t="s">
        <v>19712</v>
      </c>
      <c r="S1663" s="7" t="s">
        <v>19830</v>
      </c>
      <c r="T1663" s="7" t="s">
        <v>4797</v>
      </c>
      <c r="U1663" s="7" t="s">
        <v>3493</v>
      </c>
      <c r="V1663" s="7">
        <v>1.0</v>
      </c>
    </row>
    <row r="1664">
      <c r="A1664" s="7" t="s">
        <v>21574</v>
      </c>
      <c r="B1664" s="7">
        <v>2200049.0</v>
      </c>
      <c r="C1664" s="7" t="s">
        <v>13880</v>
      </c>
      <c r="D1664" s="7" t="s">
        <v>13772</v>
      </c>
      <c r="E1664" s="7" t="s">
        <v>13881</v>
      </c>
      <c r="F1664" s="7" t="s">
        <v>13774</v>
      </c>
      <c r="G1664" s="7" t="s">
        <v>13895</v>
      </c>
      <c r="H1664" s="7" t="s">
        <v>13896</v>
      </c>
      <c r="I1664" s="119">
        <v>45292.0</v>
      </c>
      <c r="K1664" s="7" t="s">
        <v>419</v>
      </c>
      <c r="L1664" s="7" t="s">
        <v>991</v>
      </c>
      <c r="M1664" s="7" t="s">
        <v>3501</v>
      </c>
      <c r="N1664" s="7" t="s">
        <v>419</v>
      </c>
      <c r="O1664" s="7" t="s">
        <v>19437</v>
      </c>
      <c r="P1664" s="7" t="s">
        <v>478</v>
      </c>
      <c r="Q1664" s="7" t="s">
        <v>487</v>
      </c>
      <c r="R1664" s="7" t="s">
        <v>19796</v>
      </c>
      <c r="S1664" s="7" t="s">
        <v>19797</v>
      </c>
      <c r="T1664" s="7" t="s">
        <v>4670</v>
      </c>
      <c r="U1664" s="7" t="s">
        <v>3493</v>
      </c>
      <c r="V1664" s="7">
        <v>1.0</v>
      </c>
    </row>
    <row r="1665">
      <c r="A1665" s="7" t="s">
        <v>21575</v>
      </c>
      <c r="B1665" s="7">
        <v>1099.0</v>
      </c>
      <c r="C1665" s="7" t="s">
        <v>13898</v>
      </c>
      <c r="D1665" s="7" t="s">
        <v>13899</v>
      </c>
      <c r="E1665" s="7" t="s">
        <v>13900</v>
      </c>
      <c r="F1665" s="7" t="s">
        <v>13901</v>
      </c>
      <c r="G1665" s="7" t="s">
        <v>13902</v>
      </c>
      <c r="H1665" s="7" t="s">
        <v>13903</v>
      </c>
      <c r="I1665" s="119">
        <v>45292.0</v>
      </c>
      <c r="K1665" s="7" t="s">
        <v>419</v>
      </c>
      <c r="L1665" s="7" t="s">
        <v>991</v>
      </c>
      <c r="M1665" s="7" t="s">
        <v>3501</v>
      </c>
      <c r="N1665" s="7" t="s">
        <v>419</v>
      </c>
      <c r="O1665" s="7" t="s">
        <v>19433</v>
      </c>
      <c r="P1665" s="7" t="s">
        <v>648</v>
      </c>
      <c r="Q1665" s="7" t="s">
        <v>143</v>
      </c>
      <c r="R1665" s="7" t="s">
        <v>19712</v>
      </c>
      <c r="S1665" s="7" t="s">
        <v>19987</v>
      </c>
      <c r="T1665" s="7" t="s">
        <v>5506</v>
      </c>
      <c r="U1665" s="7" t="s">
        <v>3493</v>
      </c>
      <c r="V1665" s="7">
        <v>1.0</v>
      </c>
    </row>
    <row r="1666">
      <c r="A1666" s="7" t="s">
        <v>21576</v>
      </c>
      <c r="B1666" s="7">
        <v>2300177.0</v>
      </c>
      <c r="C1666" s="7" t="s">
        <v>13898</v>
      </c>
      <c r="D1666" s="7" t="s">
        <v>11221</v>
      </c>
      <c r="E1666" s="7" t="s">
        <v>13900</v>
      </c>
      <c r="F1666" s="7" t="s">
        <v>11223</v>
      </c>
      <c r="G1666" s="7" t="s">
        <v>13905</v>
      </c>
      <c r="H1666" s="7" t="s">
        <v>13906</v>
      </c>
      <c r="I1666" s="119">
        <v>45292.0</v>
      </c>
      <c r="K1666" s="7" t="s">
        <v>419</v>
      </c>
      <c r="L1666" s="7" t="s">
        <v>991</v>
      </c>
      <c r="M1666" s="7" t="s">
        <v>3501</v>
      </c>
      <c r="N1666" s="7" t="s">
        <v>419</v>
      </c>
      <c r="O1666" s="7" t="s">
        <v>19432</v>
      </c>
      <c r="P1666" s="7" t="s">
        <v>391</v>
      </c>
      <c r="Q1666" s="7" t="s">
        <v>392</v>
      </c>
      <c r="R1666" s="7" t="s">
        <v>19534</v>
      </c>
      <c r="T1666" s="7" t="s">
        <v>5350</v>
      </c>
      <c r="U1666" s="7" t="s">
        <v>3493</v>
      </c>
      <c r="V1666" s="7">
        <v>1.0</v>
      </c>
    </row>
    <row r="1667">
      <c r="A1667" s="7" t="s">
        <v>21577</v>
      </c>
      <c r="B1667" s="7">
        <v>1049.0</v>
      </c>
      <c r="C1667" s="7" t="s">
        <v>13898</v>
      </c>
      <c r="D1667" s="7" t="s">
        <v>13908</v>
      </c>
      <c r="E1667" s="7" t="s">
        <v>13900</v>
      </c>
      <c r="F1667" s="7" t="s">
        <v>4960</v>
      </c>
      <c r="G1667" s="7" t="s">
        <v>13909</v>
      </c>
      <c r="H1667" s="7" t="s">
        <v>13910</v>
      </c>
      <c r="I1667" s="119">
        <v>45292.0</v>
      </c>
      <c r="K1667" s="7" t="s">
        <v>419</v>
      </c>
      <c r="L1667" s="7" t="s">
        <v>991</v>
      </c>
      <c r="M1667" s="7" t="s">
        <v>3501</v>
      </c>
      <c r="N1667" s="7" t="s">
        <v>419</v>
      </c>
      <c r="O1667" s="7" t="s">
        <v>19432</v>
      </c>
      <c r="P1667" s="7" t="s">
        <v>391</v>
      </c>
      <c r="Q1667" s="7" t="s">
        <v>392</v>
      </c>
      <c r="R1667" s="7" t="s">
        <v>19706</v>
      </c>
      <c r="T1667" s="7" t="s">
        <v>18578</v>
      </c>
      <c r="U1667" s="7" t="s">
        <v>3493</v>
      </c>
      <c r="V1667" s="7">
        <v>1.0</v>
      </c>
    </row>
    <row r="1668">
      <c r="A1668" s="7" t="s">
        <v>21578</v>
      </c>
      <c r="B1668" s="7">
        <v>2200013.0</v>
      </c>
      <c r="C1668" s="7" t="s">
        <v>13898</v>
      </c>
      <c r="D1668" s="7" t="s">
        <v>10153</v>
      </c>
      <c r="E1668" s="7" t="s">
        <v>13900</v>
      </c>
      <c r="F1668" s="7" t="s">
        <v>10155</v>
      </c>
      <c r="G1668" s="7" t="s">
        <v>13912</v>
      </c>
      <c r="H1668" s="7" t="s">
        <v>13913</v>
      </c>
      <c r="I1668" s="119">
        <v>45292.0</v>
      </c>
      <c r="K1668" s="7" t="s">
        <v>419</v>
      </c>
      <c r="L1668" s="7" t="s">
        <v>991</v>
      </c>
      <c r="M1668" s="7" t="s">
        <v>3501</v>
      </c>
      <c r="N1668" s="7" t="s">
        <v>419</v>
      </c>
      <c r="O1668" s="7" t="s">
        <v>19430</v>
      </c>
      <c r="P1668" s="7" t="s">
        <v>717</v>
      </c>
      <c r="Q1668" s="7" t="s">
        <v>251</v>
      </c>
      <c r="R1668" s="7" t="s">
        <v>19513</v>
      </c>
      <c r="S1668" s="7" t="s">
        <v>19514</v>
      </c>
      <c r="T1668" s="7" t="s">
        <v>3594</v>
      </c>
      <c r="U1668" s="7" t="s">
        <v>3493</v>
      </c>
      <c r="V1668" s="7">
        <v>1.0</v>
      </c>
    </row>
    <row r="1669">
      <c r="A1669" s="7" t="s">
        <v>21579</v>
      </c>
      <c r="B1669" s="7">
        <v>794.0</v>
      </c>
      <c r="C1669" s="7" t="s">
        <v>13898</v>
      </c>
      <c r="D1669" s="7" t="s">
        <v>3526</v>
      </c>
      <c r="E1669" s="7" t="s">
        <v>13900</v>
      </c>
      <c r="F1669" s="7" t="s">
        <v>3528</v>
      </c>
      <c r="G1669" s="7" t="s">
        <v>13915</v>
      </c>
      <c r="H1669" s="7" t="s">
        <v>13916</v>
      </c>
      <c r="I1669" s="119">
        <v>45292.0</v>
      </c>
      <c r="K1669" s="7" t="s">
        <v>419</v>
      </c>
      <c r="L1669" s="7" t="s">
        <v>991</v>
      </c>
      <c r="M1669" s="7" t="s">
        <v>3501</v>
      </c>
      <c r="N1669" s="7" t="s">
        <v>419</v>
      </c>
      <c r="O1669" s="7" t="s">
        <v>19443</v>
      </c>
      <c r="P1669" s="7" t="s">
        <v>1242</v>
      </c>
      <c r="Q1669" s="7" t="s">
        <v>51</v>
      </c>
      <c r="R1669" s="7" t="s">
        <v>19597</v>
      </c>
      <c r="S1669" s="7" t="s">
        <v>19830</v>
      </c>
      <c r="T1669" s="7" t="s">
        <v>7117</v>
      </c>
      <c r="U1669" s="7" t="s">
        <v>3493</v>
      </c>
      <c r="V1669" s="7">
        <v>1.0</v>
      </c>
    </row>
    <row r="1670">
      <c r="A1670" s="7" t="s">
        <v>21580</v>
      </c>
      <c r="B1670" s="7">
        <v>11798.0</v>
      </c>
      <c r="C1670" s="7" t="s">
        <v>13898</v>
      </c>
      <c r="D1670" s="7" t="s">
        <v>13845</v>
      </c>
      <c r="E1670" s="7" t="s">
        <v>13900</v>
      </c>
      <c r="F1670" s="7" t="s">
        <v>13918</v>
      </c>
      <c r="G1670" s="7" t="s">
        <v>13919</v>
      </c>
      <c r="H1670" s="7" t="s">
        <v>13920</v>
      </c>
      <c r="I1670" s="119">
        <v>45292.0</v>
      </c>
      <c r="K1670" s="7" t="s">
        <v>419</v>
      </c>
      <c r="L1670" s="7" t="s">
        <v>991</v>
      </c>
      <c r="M1670" s="7" t="s">
        <v>3501</v>
      </c>
      <c r="N1670" s="7" t="s">
        <v>419</v>
      </c>
      <c r="O1670" s="7" t="s">
        <v>19432</v>
      </c>
      <c r="P1670" s="7" t="s">
        <v>391</v>
      </c>
      <c r="Q1670" s="7" t="s">
        <v>890</v>
      </c>
      <c r="R1670" s="7" t="s">
        <v>19497</v>
      </c>
      <c r="T1670" s="7" t="s">
        <v>7757</v>
      </c>
      <c r="U1670" s="7" t="s">
        <v>3493</v>
      </c>
      <c r="V1670" s="7">
        <v>1.0</v>
      </c>
    </row>
    <row r="1671">
      <c r="A1671" s="7" t="s">
        <v>21581</v>
      </c>
      <c r="B1671" s="7">
        <v>10455.0</v>
      </c>
      <c r="C1671" s="7" t="s">
        <v>13898</v>
      </c>
      <c r="D1671" s="7" t="s">
        <v>13922</v>
      </c>
      <c r="E1671" s="7" t="s">
        <v>13900</v>
      </c>
      <c r="F1671" s="7" t="s">
        <v>4539</v>
      </c>
      <c r="G1671" s="7" t="s">
        <v>13923</v>
      </c>
      <c r="H1671" s="7" t="s">
        <v>13924</v>
      </c>
      <c r="I1671" s="119">
        <v>45292.0</v>
      </c>
      <c r="J1671" s="7" t="s">
        <v>3929</v>
      </c>
      <c r="K1671" s="7" t="s">
        <v>419</v>
      </c>
      <c r="L1671" s="7" t="s">
        <v>991</v>
      </c>
      <c r="M1671" s="7" t="s">
        <v>3501</v>
      </c>
      <c r="N1671" s="7" t="s">
        <v>419</v>
      </c>
      <c r="O1671" s="7" t="s">
        <v>19430</v>
      </c>
      <c r="P1671" s="7" t="s">
        <v>717</v>
      </c>
      <c r="Q1671" s="7" t="s">
        <v>730</v>
      </c>
      <c r="R1671" s="7" t="s">
        <v>20149</v>
      </c>
      <c r="S1671" s="7" t="s">
        <v>20313</v>
      </c>
      <c r="T1671" s="7" t="s">
        <v>7140</v>
      </c>
      <c r="U1671" s="7" t="s">
        <v>3493</v>
      </c>
      <c r="V1671" s="7">
        <v>1.0</v>
      </c>
    </row>
    <row r="1672">
      <c r="A1672" s="7" t="s">
        <v>21582</v>
      </c>
      <c r="B1672" s="7">
        <v>13855.0</v>
      </c>
      <c r="C1672" s="7" t="s">
        <v>13926</v>
      </c>
      <c r="D1672" s="7" t="s">
        <v>13927</v>
      </c>
      <c r="E1672" s="7" t="s">
        <v>13928</v>
      </c>
      <c r="F1672" s="7" t="s">
        <v>3656</v>
      </c>
      <c r="G1672" s="7" t="s">
        <v>13929</v>
      </c>
      <c r="H1672" s="7" t="s">
        <v>13930</v>
      </c>
      <c r="I1672" s="119">
        <v>45292.0</v>
      </c>
      <c r="K1672" s="7" t="s">
        <v>419</v>
      </c>
      <c r="L1672" s="7" t="s">
        <v>991</v>
      </c>
      <c r="M1672" s="7" t="s">
        <v>3501</v>
      </c>
      <c r="N1672" s="7" t="s">
        <v>419</v>
      </c>
      <c r="O1672" s="7" t="s">
        <v>19433</v>
      </c>
      <c r="P1672" s="7" t="s">
        <v>648</v>
      </c>
      <c r="Q1672" s="7" t="s">
        <v>143</v>
      </c>
      <c r="R1672" s="7" t="s">
        <v>19712</v>
      </c>
      <c r="S1672" s="7" t="s">
        <v>19830</v>
      </c>
      <c r="T1672" s="7" t="s">
        <v>4797</v>
      </c>
      <c r="U1672" s="7" t="s">
        <v>3843</v>
      </c>
      <c r="V1672" s="7">
        <v>1.0</v>
      </c>
    </row>
    <row r="1673">
      <c r="A1673" s="7" t="s">
        <v>21583</v>
      </c>
      <c r="B1673" s="7">
        <v>1211.0</v>
      </c>
      <c r="C1673" s="7" t="s">
        <v>13932</v>
      </c>
      <c r="D1673" s="7" t="s">
        <v>13933</v>
      </c>
      <c r="E1673" s="7" t="s">
        <v>13934</v>
      </c>
      <c r="F1673" s="7" t="s">
        <v>13935</v>
      </c>
      <c r="G1673" s="7" t="s">
        <v>13936</v>
      </c>
      <c r="H1673" s="7" t="s">
        <v>13937</v>
      </c>
      <c r="I1673" s="119">
        <v>45292.0</v>
      </c>
      <c r="K1673" s="7" t="s">
        <v>419</v>
      </c>
      <c r="L1673" s="7" t="s">
        <v>991</v>
      </c>
      <c r="M1673" s="7" t="s">
        <v>3501</v>
      </c>
      <c r="N1673" s="7" t="s">
        <v>419</v>
      </c>
      <c r="O1673" s="7" t="s">
        <v>19432</v>
      </c>
      <c r="P1673" s="7" t="s">
        <v>693</v>
      </c>
      <c r="Q1673" s="7" t="s">
        <v>696</v>
      </c>
      <c r="R1673" s="7" t="s">
        <v>20395</v>
      </c>
      <c r="S1673" s="7" t="s">
        <v>19739</v>
      </c>
      <c r="T1673" s="7" t="s">
        <v>7552</v>
      </c>
      <c r="U1673" s="7" t="s">
        <v>3493</v>
      </c>
      <c r="V1673" s="7">
        <v>1.0</v>
      </c>
    </row>
    <row r="1674">
      <c r="A1674" s="7" t="s">
        <v>21584</v>
      </c>
      <c r="B1674" s="7">
        <v>985.0</v>
      </c>
      <c r="C1674" s="7" t="s">
        <v>13932</v>
      </c>
      <c r="D1674" s="7" t="s">
        <v>11233</v>
      </c>
      <c r="E1674" s="7" t="s">
        <v>13934</v>
      </c>
      <c r="F1674" s="7" t="s">
        <v>11235</v>
      </c>
      <c r="G1674" s="7" t="s">
        <v>13940</v>
      </c>
      <c r="H1674" s="7" t="s">
        <v>13941</v>
      </c>
      <c r="I1674" s="119">
        <v>45292.0</v>
      </c>
      <c r="K1674" s="7" t="s">
        <v>419</v>
      </c>
      <c r="L1674" s="7" t="s">
        <v>991</v>
      </c>
      <c r="M1674" s="7" t="s">
        <v>3501</v>
      </c>
      <c r="N1674" s="7" t="s">
        <v>419</v>
      </c>
      <c r="O1674" s="7" t="s">
        <v>19443</v>
      </c>
      <c r="P1674" s="7" t="s">
        <v>1242</v>
      </c>
      <c r="Q1674" s="7" t="s">
        <v>48</v>
      </c>
      <c r="R1674" s="7" t="s">
        <v>19700</v>
      </c>
      <c r="S1674" s="7" t="s">
        <v>19701</v>
      </c>
      <c r="T1674" s="7" t="s">
        <v>4304</v>
      </c>
      <c r="U1674" s="7" t="s">
        <v>3493</v>
      </c>
      <c r="V1674" s="7">
        <v>1.0</v>
      </c>
    </row>
    <row r="1675">
      <c r="A1675" s="7" t="s">
        <v>21585</v>
      </c>
      <c r="B1675" s="7">
        <v>755.0</v>
      </c>
      <c r="C1675" s="7" t="s">
        <v>13943</v>
      </c>
      <c r="D1675" s="7" t="s">
        <v>13944</v>
      </c>
      <c r="E1675" s="7" t="s">
        <v>13945</v>
      </c>
      <c r="F1675" s="7" t="s">
        <v>13946</v>
      </c>
      <c r="G1675" s="7" t="s">
        <v>13947</v>
      </c>
      <c r="H1675" s="7" t="s">
        <v>13948</v>
      </c>
      <c r="I1675" s="119">
        <v>45292.0</v>
      </c>
      <c r="K1675" s="7" t="s">
        <v>419</v>
      </c>
      <c r="L1675" s="7" t="s">
        <v>991</v>
      </c>
      <c r="M1675" s="7" t="s">
        <v>3501</v>
      </c>
      <c r="N1675" s="7" t="s">
        <v>419</v>
      </c>
      <c r="O1675" s="7" t="s">
        <v>19430</v>
      </c>
      <c r="P1675" s="7" t="s">
        <v>717</v>
      </c>
      <c r="Q1675" s="7" t="s">
        <v>251</v>
      </c>
      <c r="R1675" s="7" t="s">
        <v>19513</v>
      </c>
      <c r="S1675" s="7" t="s">
        <v>20451</v>
      </c>
      <c r="T1675" s="7" t="s">
        <v>7858</v>
      </c>
      <c r="U1675" s="7" t="s">
        <v>3843</v>
      </c>
      <c r="V1675" s="7">
        <v>1.0</v>
      </c>
    </row>
    <row r="1676">
      <c r="A1676" s="7" t="s">
        <v>21586</v>
      </c>
      <c r="B1676" s="7">
        <v>2300194.0</v>
      </c>
      <c r="C1676" s="7" t="s">
        <v>13943</v>
      </c>
      <c r="D1676" s="7" t="s">
        <v>13950</v>
      </c>
      <c r="E1676" s="7" t="s">
        <v>13945</v>
      </c>
      <c r="F1676" s="7" t="s">
        <v>5759</v>
      </c>
      <c r="G1676" s="7" t="s">
        <v>13951</v>
      </c>
      <c r="H1676" s="7" t="s">
        <v>13952</v>
      </c>
      <c r="I1676" s="119">
        <v>45292.0</v>
      </c>
      <c r="K1676" s="7" t="s">
        <v>419</v>
      </c>
      <c r="L1676" s="7" t="s">
        <v>991</v>
      </c>
      <c r="M1676" s="7" t="s">
        <v>3501</v>
      </c>
      <c r="N1676" s="7" t="s">
        <v>419</v>
      </c>
      <c r="O1676" s="7" t="s">
        <v>19432</v>
      </c>
      <c r="P1676" s="7" t="s">
        <v>693</v>
      </c>
      <c r="Q1676" s="7" t="s">
        <v>698</v>
      </c>
      <c r="R1676" s="7" t="s">
        <v>20444</v>
      </c>
      <c r="S1676" s="7" t="s">
        <v>20445</v>
      </c>
      <c r="T1676" s="7" t="s">
        <v>7828</v>
      </c>
      <c r="U1676" s="7" t="s">
        <v>3493</v>
      </c>
      <c r="V1676" s="7">
        <v>1.0</v>
      </c>
    </row>
    <row r="1677">
      <c r="A1677" s="7" t="s">
        <v>21587</v>
      </c>
      <c r="B1677" s="7">
        <v>12546.0</v>
      </c>
      <c r="C1677" s="7" t="s">
        <v>13943</v>
      </c>
      <c r="D1677" s="7" t="s">
        <v>5722</v>
      </c>
      <c r="E1677" s="7" t="s">
        <v>13945</v>
      </c>
      <c r="F1677" s="7" t="s">
        <v>13954</v>
      </c>
      <c r="G1677" s="7" t="s">
        <v>13955</v>
      </c>
      <c r="H1677" s="7" t="s">
        <v>13956</v>
      </c>
      <c r="I1677" s="119">
        <v>45292.0</v>
      </c>
      <c r="K1677" s="7" t="s">
        <v>419</v>
      </c>
      <c r="L1677" s="7" t="s">
        <v>991</v>
      </c>
      <c r="M1677" s="7" t="s">
        <v>3531</v>
      </c>
      <c r="N1677" s="7" t="s">
        <v>419</v>
      </c>
      <c r="O1677" s="7" t="s">
        <v>19430</v>
      </c>
      <c r="P1677" s="7" t="s">
        <v>717</v>
      </c>
      <c r="Q1677" s="7" t="s">
        <v>725</v>
      </c>
      <c r="R1677" s="7" t="s">
        <v>19494</v>
      </c>
      <c r="S1677" s="7" t="s">
        <v>19742</v>
      </c>
      <c r="T1677" s="7" t="s">
        <v>4921</v>
      </c>
      <c r="U1677" s="7" t="s">
        <v>3493</v>
      </c>
      <c r="V1677" s="7">
        <v>1.0</v>
      </c>
    </row>
    <row r="1678">
      <c r="A1678" s="7" t="s">
        <v>21588</v>
      </c>
      <c r="B1678" s="7">
        <v>11475.0</v>
      </c>
      <c r="C1678" s="7" t="s">
        <v>13943</v>
      </c>
      <c r="D1678" s="7" t="s">
        <v>13957</v>
      </c>
      <c r="E1678" s="7" t="s">
        <v>13945</v>
      </c>
      <c r="F1678" s="7" t="s">
        <v>13958</v>
      </c>
      <c r="G1678" s="7" t="s">
        <v>13959</v>
      </c>
      <c r="H1678" s="7" t="s">
        <v>13960</v>
      </c>
      <c r="I1678" s="119">
        <v>45292.0</v>
      </c>
      <c r="K1678" s="7" t="s">
        <v>419</v>
      </c>
      <c r="L1678" s="7" t="s">
        <v>991</v>
      </c>
      <c r="M1678" s="7" t="s">
        <v>3501</v>
      </c>
      <c r="N1678" s="7" t="s">
        <v>419</v>
      </c>
      <c r="O1678" s="7" t="s">
        <v>19430</v>
      </c>
      <c r="P1678" s="7" t="s">
        <v>717</v>
      </c>
      <c r="Q1678" s="7" t="s">
        <v>730</v>
      </c>
      <c r="R1678" s="7" t="s">
        <v>19961</v>
      </c>
      <c r="T1678" s="7" t="s">
        <v>13962</v>
      </c>
      <c r="U1678" s="7" t="s">
        <v>3604</v>
      </c>
      <c r="V1678" s="7">
        <v>1.0</v>
      </c>
    </row>
    <row r="1679">
      <c r="A1679" s="7" t="s">
        <v>1710</v>
      </c>
      <c r="B1679" s="7">
        <v>962.0</v>
      </c>
      <c r="C1679" s="7" t="s">
        <v>13943</v>
      </c>
      <c r="D1679" s="7" t="s">
        <v>12916</v>
      </c>
      <c r="E1679" s="7" t="s">
        <v>13945</v>
      </c>
      <c r="F1679" s="7" t="s">
        <v>5155</v>
      </c>
      <c r="G1679" s="7" t="s">
        <v>13963</v>
      </c>
      <c r="H1679" s="7" t="s">
        <v>13964</v>
      </c>
      <c r="I1679" s="119">
        <v>45292.0</v>
      </c>
      <c r="K1679" s="7" t="s">
        <v>419</v>
      </c>
      <c r="L1679" s="7" t="s">
        <v>991</v>
      </c>
      <c r="M1679" s="7" t="s">
        <v>3501</v>
      </c>
      <c r="N1679" s="7" t="s">
        <v>419</v>
      </c>
      <c r="O1679" s="7" t="s">
        <v>19430</v>
      </c>
      <c r="P1679" s="7" t="s">
        <v>780</v>
      </c>
      <c r="Q1679" s="7" t="s">
        <v>284</v>
      </c>
      <c r="R1679" s="7" t="s">
        <v>19606</v>
      </c>
      <c r="T1679" s="7" t="s">
        <v>3958</v>
      </c>
      <c r="U1679" s="7" t="s">
        <v>3604</v>
      </c>
      <c r="V1679" s="7">
        <v>1.0</v>
      </c>
    </row>
    <row r="1680">
      <c r="A1680" s="7" t="s">
        <v>21589</v>
      </c>
      <c r="B1680" s="7">
        <v>13991.0</v>
      </c>
      <c r="C1680" s="7" t="s">
        <v>13943</v>
      </c>
      <c r="D1680" s="7" t="s">
        <v>13966</v>
      </c>
      <c r="E1680" s="7" t="s">
        <v>13945</v>
      </c>
      <c r="F1680" s="7" t="s">
        <v>4271</v>
      </c>
      <c r="G1680" s="7" t="s">
        <v>13967</v>
      </c>
      <c r="H1680" s="7" t="s">
        <v>13968</v>
      </c>
      <c r="I1680" s="119">
        <v>45292.0</v>
      </c>
      <c r="K1680" s="7" t="s">
        <v>3632</v>
      </c>
      <c r="L1680" s="7" t="s">
        <v>991</v>
      </c>
      <c r="M1680" s="7" t="s">
        <v>3501</v>
      </c>
      <c r="N1680" s="7" t="s">
        <v>3632</v>
      </c>
      <c r="O1680" s="7" t="s">
        <v>3632</v>
      </c>
      <c r="P1680" s="7" t="s">
        <v>22</v>
      </c>
      <c r="Q1680" s="7" t="s">
        <v>552</v>
      </c>
      <c r="T1680" s="7" t="s">
        <v>16888</v>
      </c>
      <c r="U1680" s="7" t="s">
        <v>3493</v>
      </c>
      <c r="V1680" s="7">
        <v>1.0</v>
      </c>
    </row>
    <row r="1681">
      <c r="A1681" s="7" t="s">
        <v>21590</v>
      </c>
      <c r="B1681" s="7">
        <v>2300536.0</v>
      </c>
      <c r="C1681" s="7" t="s">
        <v>13943</v>
      </c>
      <c r="D1681" s="7" t="s">
        <v>13970</v>
      </c>
      <c r="E1681" s="7" t="s">
        <v>13945</v>
      </c>
      <c r="F1681" s="7" t="s">
        <v>3909</v>
      </c>
      <c r="G1681" s="7" t="s">
        <v>13971</v>
      </c>
      <c r="H1681" s="7" t="s">
        <v>13972</v>
      </c>
      <c r="I1681" s="119">
        <v>45292.0</v>
      </c>
      <c r="K1681" s="7" t="s">
        <v>419</v>
      </c>
      <c r="L1681" s="7" t="s">
        <v>991</v>
      </c>
      <c r="M1681" s="7" t="s">
        <v>3531</v>
      </c>
      <c r="N1681" s="7" t="s">
        <v>419</v>
      </c>
      <c r="O1681" s="7" t="s">
        <v>19430</v>
      </c>
      <c r="P1681" s="7" t="s">
        <v>717</v>
      </c>
      <c r="Q1681" s="7" t="s">
        <v>725</v>
      </c>
      <c r="R1681" s="7" t="s">
        <v>19501</v>
      </c>
      <c r="S1681" s="7" t="s">
        <v>19726</v>
      </c>
      <c r="T1681" s="7" t="s">
        <v>4400</v>
      </c>
      <c r="U1681" s="7" t="s">
        <v>3493</v>
      </c>
      <c r="V1681" s="7">
        <v>1.0</v>
      </c>
    </row>
    <row r="1682">
      <c r="A1682" s="7" t="s">
        <v>21591</v>
      </c>
      <c r="B1682" s="7">
        <v>2200905.0</v>
      </c>
      <c r="C1682" s="7" t="s">
        <v>13943</v>
      </c>
      <c r="D1682" s="7" t="s">
        <v>13974</v>
      </c>
      <c r="E1682" s="7" t="s">
        <v>13945</v>
      </c>
      <c r="F1682" s="7" t="s">
        <v>13975</v>
      </c>
      <c r="G1682" s="7" t="s">
        <v>13976</v>
      </c>
      <c r="H1682" s="7" t="s">
        <v>13977</v>
      </c>
      <c r="I1682" s="119">
        <v>45292.0</v>
      </c>
      <c r="K1682" s="7" t="s">
        <v>10207</v>
      </c>
      <c r="L1682" s="7" t="s">
        <v>4406</v>
      </c>
      <c r="M1682" s="7" t="s">
        <v>7791</v>
      </c>
      <c r="N1682" s="7" t="s">
        <v>419</v>
      </c>
      <c r="O1682" s="7" t="s">
        <v>19433</v>
      </c>
      <c r="P1682" s="7" t="s">
        <v>648</v>
      </c>
      <c r="Q1682" s="7" t="s">
        <v>651</v>
      </c>
      <c r="R1682" s="7" t="s">
        <v>19587</v>
      </c>
      <c r="S1682" s="7" t="s">
        <v>19942</v>
      </c>
      <c r="T1682" s="7" t="s">
        <v>19943</v>
      </c>
      <c r="U1682" s="7" t="s">
        <v>3843</v>
      </c>
      <c r="V1682" s="7">
        <v>1.0</v>
      </c>
    </row>
    <row r="1683">
      <c r="A1683" s="7" t="s">
        <v>1523</v>
      </c>
      <c r="B1683" s="7">
        <v>10439.0</v>
      </c>
      <c r="C1683" s="7" t="s">
        <v>13943</v>
      </c>
      <c r="D1683" s="7" t="s">
        <v>13979</v>
      </c>
      <c r="E1683" s="7" t="s">
        <v>13945</v>
      </c>
      <c r="F1683" s="7" t="s">
        <v>3639</v>
      </c>
      <c r="G1683" s="7" t="s">
        <v>13980</v>
      </c>
      <c r="H1683" s="7" t="s">
        <v>13981</v>
      </c>
      <c r="I1683" s="119">
        <v>45292.0</v>
      </c>
      <c r="K1683" s="7" t="s">
        <v>419</v>
      </c>
      <c r="L1683" s="7" t="s">
        <v>991</v>
      </c>
      <c r="M1683" s="7" t="s">
        <v>3501</v>
      </c>
      <c r="N1683" s="7" t="s">
        <v>419</v>
      </c>
      <c r="O1683" s="7" t="s">
        <v>19437</v>
      </c>
      <c r="P1683" s="7" t="s">
        <v>478</v>
      </c>
      <c r="Q1683" s="7" t="s">
        <v>491</v>
      </c>
      <c r="T1683" s="7" t="s">
        <v>16463</v>
      </c>
      <c r="U1683" s="7" t="s">
        <v>5585</v>
      </c>
      <c r="V1683" s="7">
        <v>1.0</v>
      </c>
    </row>
    <row r="1684">
      <c r="A1684" s="7" t="s">
        <v>21592</v>
      </c>
      <c r="B1684" s="7">
        <v>12209.0</v>
      </c>
      <c r="C1684" s="7" t="s">
        <v>13985</v>
      </c>
      <c r="D1684" s="7" t="s">
        <v>13986</v>
      </c>
      <c r="E1684" s="7" t="s">
        <v>13987</v>
      </c>
      <c r="F1684" s="7" t="s">
        <v>10272</v>
      </c>
      <c r="G1684" s="7" t="s">
        <v>13988</v>
      </c>
      <c r="H1684" s="7" t="s">
        <v>13989</v>
      </c>
      <c r="I1684" s="119">
        <v>45292.0</v>
      </c>
      <c r="K1684" s="7" t="s">
        <v>419</v>
      </c>
      <c r="L1684" s="7" t="s">
        <v>991</v>
      </c>
      <c r="M1684" s="7" t="s">
        <v>3501</v>
      </c>
      <c r="N1684" s="7" t="s">
        <v>419</v>
      </c>
      <c r="O1684" s="7" t="s">
        <v>19432</v>
      </c>
      <c r="P1684" s="7" t="s">
        <v>391</v>
      </c>
      <c r="Q1684" s="7" t="s">
        <v>392</v>
      </c>
      <c r="R1684" s="7" t="s">
        <v>19661</v>
      </c>
      <c r="T1684" s="7" t="s">
        <v>19662</v>
      </c>
      <c r="U1684" s="7" t="s">
        <v>3493</v>
      </c>
      <c r="V1684" s="7">
        <v>1.0</v>
      </c>
    </row>
    <row r="1685">
      <c r="A1685" s="7" t="s">
        <v>21593</v>
      </c>
      <c r="B1685" s="7">
        <v>1166.0</v>
      </c>
      <c r="C1685" s="7" t="s">
        <v>13991</v>
      </c>
      <c r="D1685" s="7" t="s">
        <v>5047</v>
      </c>
      <c r="E1685" s="7" t="s">
        <v>13992</v>
      </c>
      <c r="F1685" s="7" t="s">
        <v>5312</v>
      </c>
      <c r="G1685" s="7" t="s">
        <v>13993</v>
      </c>
      <c r="H1685" s="7" t="s">
        <v>13994</v>
      </c>
      <c r="I1685" s="119">
        <v>45292.0</v>
      </c>
      <c r="K1685" s="7" t="s">
        <v>419</v>
      </c>
      <c r="L1685" s="7" t="s">
        <v>991</v>
      </c>
      <c r="M1685" s="7" t="s">
        <v>3501</v>
      </c>
      <c r="N1685" s="7" t="s">
        <v>419</v>
      </c>
      <c r="O1685" s="7" t="s">
        <v>19430</v>
      </c>
      <c r="P1685" s="7" t="s">
        <v>780</v>
      </c>
      <c r="Q1685" s="7" t="s">
        <v>786</v>
      </c>
      <c r="R1685" s="7" t="s">
        <v>19839</v>
      </c>
      <c r="T1685" s="7" t="s">
        <v>4835</v>
      </c>
      <c r="U1685" s="7" t="s">
        <v>3493</v>
      </c>
      <c r="V1685" s="7">
        <v>1.0</v>
      </c>
    </row>
    <row r="1686">
      <c r="A1686" s="7" t="s">
        <v>21594</v>
      </c>
      <c r="B1686" s="7">
        <v>13852.0</v>
      </c>
      <c r="C1686" s="7" t="s">
        <v>13996</v>
      </c>
      <c r="D1686" s="7" t="s">
        <v>13997</v>
      </c>
      <c r="E1686" s="7" t="s">
        <v>13998</v>
      </c>
      <c r="F1686" s="7" t="s">
        <v>13999</v>
      </c>
      <c r="G1686" s="7" t="s">
        <v>14000</v>
      </c>
      <c r="H1686" s="7" t="s">
        <v>14001</v>
      </c>
      <c r="I1686" s="119">
        <v>45292.0</v>
      </c>
      <c r="K1686" s="7" t="s">
        <v>419</v>
      </c>
      <c r="L1686" s="7" t="s">
        <v>991</v>
      </c>
      <c r="M1686" s="7" t="s">
        <v>3501</v>
      </c>
      <c r="N1686" s="7" t="s">
        <v>419</v>
      </c>
      <c r="O1686" s="7" t="s">
        <v>19430</v>
      </c>
      <c r="P1686" s="7" t="s">
        <v>717</v>
      </c>
      <c r="Q1686" s="7" t="s">
        <v>223</v>
      </c>
      <c r="R1686" s="7" t="s">
        <v>19764</v>
      </c>
      <c r="S1686" s="7" t="s">
        <v>20036</v>
      </c>
      <c r="T1686" s="7" t="s">
        <v>5756</v>
      </c>
      <c r="U1686" s="7" t="s">
        <v>3493</v>
      </c>
      <c r="V1686" s="7">
        <v>1.0</v>
      </c>
    </row>
    <row r="1687">
      <c r="A1687" s="7" t="s">
        <v>21595</v>
      </c>
      <c r="B1687" s="7">
        <v>2200640.0</v>
      </c>
      <c r="C1687" s="7" t="s">
        <v>14003</v>
      </c>
      <c r="D1687" s="7" t="s">
        <v>7508</v>
      </c>
      <c r="E1687" s="7" t="s">
        <v>14004</v>
      </c>
      <c r="F1687" s="7" t="s">
        <v>9094</v>
      </c>
      <c r="G1687" s="7" t="s">
        <v>14005</v>
      </c>
      <c r="H1687" s="7" t="s">
        <v>14006</v>
      </c>
      <c r="I1687" s="119">
        <v>45292.0</v>
      </c>
      <c r="K1687" s="7" t="s">
        <v>419</v>
      </c>
      <c r="L1687" s="7" t="s">
        <v>991</v>
      </c>
      <c r="M1687" s="7" t="s">
        <v>3501</v>
      </c>
      <c r="N1687" s="7" t="s">
        <v>419</v>
      </c>
      <c r="O1687" s="7" t="s">
        <v>19430</v>
      </c>
      <c r="P1687" s="7" t="s">
        <v>717</v>
      </c>
      <c r="Q1687" s="7" t="s">
        <v>738</v>
      </c>
      <c r="R1687" s="7" t="s">
        <v>19574</v>
      </c>
      <c r="S1687" s="7" t="s">
        <v>19920</v>
      </c>
      <c r="T1687" s="7" t="s">
        <v>10314</v>
      </c>
      <c r="U1687" s="7" t="s">
        <v>3493</v>
      </c>
      <c r="V1687" s="7">
        <v>1.0</v>
      </c>
    </row>
    <row r="1688">
      <c r="A1688" s="7" t="s">
        <v>21596</v>
      </c>
      <c r="B1688" s="7">
        <v>12527.0</v>
      </c>
      <c r="C1688" s="7" t="s">
        <v>14008</v>
      </c>
      <c r="D1688" s="7" t="s">
        <v>10384</v>
      </c>
      <c r="E1688" s="7" t="s">
        <v>14009</v>
      </c>
      <c r="F1688" s="7" t="s">
        <v>4049</v>
      </c>
      <c r="G1688" s="7" t="s">
        <v>14010</v>
      </c>
      <c r="H1688" s="7" t="s">
        <v>14011</v>
      </c>
      <c r="I1688" s="119">
        <v>45292.0</v>
      </c>
      <c r="K1688" s="7" t="s">
        <v>419</v>
      </c>
      <c r="L1688" s="7" t="s">
        <v>991</v>
      </c>
      <c r="M1688" s="7" t="s">
        <v>3501</v>
      </c>
      <c r="N1688" s="7" t="s">
        <v>419</v>
      </c>
      <c r="O1688" s="7" t="s">
        <v>19432</v>
      </c>
      <c r="P1688" s="7" t="s">
        <v>693</v>
      </c>
      <c r="T1688" s="7" t="s">
        <v>6972</v>
      </c>
      <c r="U1688" s="7" t="s">
        <v>3493</v>
      </c>
      <c r="V1688" s="7">
        <v>1.0</v>
      </c>
    </row>
    <row r="1689">
      <c r="A1689" s="7" t="s">
        <v>21597</v>
      </c>
      <c r="B1689" s="7">
        <v>11359.0</v>
      </c>
      <c r="C1689" s="7" t="s">
        <v>14014</v>
      </c>
      <c r="D1689" s="7" t="s">
        <v>7032</v>
      </c>
      <c r="E1689" s="7" t="s">
        <v>3909</v>
      </c>
      <c r="F1689" s="7" t="s">
        <v>7032</v>
      </c>
      <c r="G1689" s="7" t="s">
        <v>14015</v>
      </c>
      <c r="H1689" s="7" t="s">
        <v>14016</v>
      </c>
      <c r="I1689" s="119">
        <v>45292.0</v>
      </c>
      <c r="K1689" s="7" t="s">
        <v>419</v>
      </c>
      <c r="L1689" s="7" t="s">
        <v>991</v>
      </c>
      <c r="M1689" s="7" t="s">
        <v>3501</v>
      </c>
      <c r="N1689" s="7" t="s">
        <v>419</v>
      </c>
      <c r="O1689" s="7" t="s">
        <v>19443</v>
      </c>
      <c r="P1689" s="7" t="s">
        <v>1242</v>
      </c>
      <c r="Q1689" s="7" t="s">
        <v>39</v>
      </c>
      <c r="R1689" s="7" t="s">
        <v>19929</v>
      </c>
      <c r="S1689" s="7" t="s">
        <v>20299</v>
      </c>
      <c r="T1689" s="7" t="s">
        <v>7061</v>
      </c>
      <c r="U1689" s="7" t="s">
        <v>3843</v>
      </c>
      <c r="V1689" s="7">
        <v>1.0</v>
      </c>
    </row>
    <row r="1690">
      <c r="A1690" s="7" t="s">
        <v>21598</v>
      </c>
      <c r="B1690" s="7">
        <v>2200787.0</v>
      </c>
      <c r="C1690" s="7" t="s">
        <v>8629</v>
      </c>
      <c r="D1690" s="7" t="s">
        <v>14018</v>
      </c>
      <c r="E1690" s="7" t="s">
        <v>3909</v>
      </c>
      <c r="F1690" s="7" t="s">
        <v>14018</v>
      </c>
      <c r="G1690" s="7" t="s">
        <v>14019</v>
      </c>
      <c r="H1690" s="7" t="s">
        <v>14020</v>
      </c>
      <c r="I1690" s="119">
        <v>45292.0</v>
      </c>
      <c r="K1690" s="7" t="s">
        <v>419</v>
      </c>
      <c r="L1690" s="7" t="s">
        <v>991</v>
      </c>
      <c r="M1690" s="7" t="s">
        <v>3531</v>
      </c>
      <c r="N1690" s="7" t="s">
        <v>419</v>
      </c>
      <c r="O1690" s="7" t="s">
        <v>19430</v>
      </c>
      <c r="P1690" s="7" t="s">
        <v>717</v>
      </c>
      <c r="Q1690" s="7" t="s">
        <v>730</v>
      </c>
      <c r="R1690" s="7" t="s">
        <v>19979</v>
      </c>
      <c r="S1690" s="7" t="s">
        <v>19636</v>
      </c>
      <c r="T1690" s="7" t="s">
        <v>8584</v>
      </c>
      <c r="U1690" s="7" t="s">
        <v>3493</v>
      </c>
      <c r="V1690" s="7">
        <v>1.0</v>
      </c>
    </row>
    <row r="1691">
      <c r="A1691" s="7" t="s">
        <v>21599</v>
      </c>
      <c r="B1691" s="7">
        <v>2200595.0</v>
      </c>
      <c r="C1691" s="7" t="s">
        <v>14022</v>
      </c>
      <c r="D1691" s="7" t="s">
        <v>14023</v>
      </c>
      <c r="E1691" s="7" t="s">
        <v>14024</v>
      </c>
      <c r="F1691" s="7" t="s">
        <v>14025</v>
      </c>
      <c r="G1691" s="7" t="s">
        <v>14026</v>
      </c>
      <c r="H1691" s="7" t="s">
        <v>14027</v>
      </c>
      <c r="I1691" s="119">
        <v>45292.0</v>
      </c>
      <c r="K1691" s="7" t="s">
        <v>3622</v>
      </c>
      <c r="L1691" s="7" t="s">
        <v>991</v>
      </c>
      <c r="M1691" s="7" t="s">
        <v>3531</v>
      </c>
      <c r="N1691" s="7" t="s">
        <v>3622</v>
      </c>
      <c r="O1691" s="7" t="s">
        <v>3622</v>
      </c>
      <c r="P1691" s="7" t="s">
        <v>19521</v>
      </c>
      <c r="T1691" s="7" t="s">
        <v>3624</v>
      </c>
      <c r="U1691" s="7" t="s">
        <v>3493</v>
      </c>
      <c r="V1691" s="7">
        <v>1.0</v>
      </c>
    </row>
    <row r="1692">
      <c r="A1692" s="7" t="s">
        <v>21600</v>
      </c>
      <c r="B1692" s="7">
        <v>2200133.0</v>
      </c>
      <c r="C1692" s="7" t="s">
        <v>14029</v>
      </c>
      <c r="D1692" s="7" t="s">
        <v>14030</v>
      </c>
      <c r="E1692" s="7" t="s">
        <v>14031</v>
      </c>
      <c r="F1692" s="7" t="s">
        <v>4049</v>
      </c>
      <c r="G1692" s="7" t="s">
        <v>14032</v>
      </c>
      <c r="H1692" s="7" t="s">
        <v>14033</v>
      </c>
      <c r="I1692" s="119">
        <v>45292.0</v>
      </c>
      <c r="K1692" s="7" t="s">
        <v>419</v>
      </c>
      <c r="L1692" s="7" t="s">
        <v>991</v>
      </c>
      <c r="M1692" s="7" t="s">
        <v>3531</v>
      </c>
      <c r="N1692" s="7" t="s">
        <v>419</v>
      </c>
      <c r="O1692" s="7" t="s">
        <v>19430</v>
      </c>
      <c r="P1692" s="7" t="s">
        <v>717</v>
      </c>
      <c r="Q1692" s="7" t="s">
        <v>1163</v>
      </c>
      <c r="R1692" s="7" t="s">
        <v>19601</v>
      </c>
      <c r="S1692" s="7" t="s">
        <v>19811</v>
      </c>
      <c r="T1692" s="7" t="s">
        <v>4721</v>
      </c>
      <c r="U1692" s="7" t="s">
        <v>3493</v>
      </c>
      <c r="V1692" s="7">
        <v>1.0</v>
      </c>
    </row>
    <row r="1693">
      <c r="A1693" s="7" t="s">
        <v>21601</v>
      </c>
      <c r="B1693" s="7">
        <v>2300052.0</v>
      </c>
      <c r="C1693" s="7" t="s">
        <v>14029</v>
      </c>
      <c r="D1693" s="7" t="s">
        <v>14035</v>
      </c>
      <c r="E1693" s="7" t="s">
        <v>14031</v>
      </c>
      <c r="F1693" s="7" t="s">
        <v>4539</v>
      </c>
      <c r="G1693" s="7" t="s">
        <v>14036</v>
      </c>
      <c r="H1693" s="7" t="s">
        <v>14037</v>
      </c>
      <c r="I1693" s="119">
        <v>45292.0</v>
      </c>
      <c r="K1693" s="7" t="s">
        <v>3632</v>
      </c>
      <c r="L1693" s="7" t="s">
        <v>991</v>
      </c>
      <c r="M1693" s="7" t="s">
        <v>3583</v>
      </c>
      <c r="N1693" s="7" t="s">
        <v>3632</v>
      </c>
      <c r="O1693" s="7" t="s">
        <v>3632</v>
      </c>
      <c r="P1693" s="7" t="s">
        <v>429</v>
      </c>
      <c r="Q1693" s="7" t="s">
        <v>432</v>
      </c>
      <c r="T1693" s="7" t="s">
        <v>19446</v>
      </c>
      <c r="U1693" s="7" t="s">
        <v>3493</v>
      </c>
      <c r="V1693" s="7">
        <v>1.0</v>
      </c>
    </row>
    <row r="1694">
      <c r="A1694" s="7" t="s">
        <v>21602</v>
      </c>
      <c r="B1694" s="7">
        <v>2400023.0</v>
      </c>
      <c r="C1694" s="7" t="s">
        <v>14039</v>
      </c>
      <c r="D1694" s="7" t="s">
        <v>14040</v>
      </c>
      <c r="E1694" s="7" t="s">
        <v>14041</v>
      </c>
      <c r="F1694" s="7" t="s">
        <v>14042</v>
      </c>
      <c r="G1694" s="7" t="s">
        <v>14043</v>
      </c>
      <c r="H1694" s="7" t="s">
        <v>14044</v>
      </c>
      <c r="I1694" s="119">
        <v>45292.0</v>
      </c>
      <c r="J1694" s="7" t="s">
        <v>4216</v>
      </c>
      <c r="K1694" s="7" t="s">
        <v>419</v>
      </c>
      <c r="L1694" s="7" t="s">
        <v>991</v>
      </c>
      <c r="M1694" s="7" t="s">
        <v>3501</v>
      </c>
      <c r="N1694" s="7" t="s">
        <v>419</v>
      </c>
      <c r="O1694" s="7" t="s">
        <v>19432</v>
      </c>
      <c r="P1694" s="7" t="s">
        <v>693</v>
      </c>
      <c r="Q1694" s="7" t="s">
        <v>696</v>
      </c>
      <c r="R1694" s="7" t="s">
        <v>19563</v>
      </c>
      <c r="T1694" s="7" t="s">
        <v>9922</v>
      </c>
      <c r="U1694" s="7" t="s">
        <v>3493</v>
      </c>
      <c r="V1694" s="7">
        <v>1.0</v>
      </c>
    </row>
    <row r="1695">
      <c r="A1695" s="7" t="s">
        <v>21603</v>
      </c>
      <c r="B1695" s="7">
        <v>2300705.0</v>
      </c>
      <c r="C1695" s="7" t="s">
        <v>14046</v>
      </c>
      <c r="D1695" s="7" t="s">
        <v>14047</v>
      </c>
      <c r="E1695" s="7" t="s">
        <v>14048</v>
      </c>
      <c r="F1695" s="7" t="s">
        <v>14049</v>
      </c>
      <c r="G1695" s="7" t="s">
        <v>14050</v>
      </c>
      <c r="H1695" s="7" t="s">
        <v>14051</v>
      </c>
      <c r="I1695" s="119">
        <v>45292.0</v>
      </c>
      <c r="K1695" s="7" t="s">
        <v>419</v>
      </c>
      <c r="L1695" s="7" t="s">
        <v>991</v>
      </c>
      <c r="M1695" s="7" t="s">
        <v>3501</v>
      </c>
      <c r="N1695" s="7" t="s">
        <v>419</v>
      </c>
      <c r="O1695" s="7" t="s">
        <v>19443</v>
      </c>
      <c r="P1695" s="7" t="s">
        <v>323</v>
      </c>
      <c r="Q1695" s="7" t="s">
        <v>824</v>
      </c>
      <c r="R1695" s="7" t="s">
        <v>20553</v>
      </c>
      <c r="T1695" s="7" t="s">
        <v>20554</v>
      </c>
      <c r="U1695" s="7" t="s">
        <v>3493</v>
      </c>
      <c r="V1695" s="7">
        <v>1.0</v>
      </c>
    </row>
    <row r="1696">
      <c r="A1696" s="7" t="s">
        <v>21604</v>
      </c>
      <c r="B1696" s="7">
        <v>11934.0</v>
      </c>
      <c r="C1696" s="7" t="s">
        <v>14053</v>
      </c>
      <c r="D1696" s="7" t="s">
        <v>14054</v>
      </c>
      <c r="E1696" s="7" t="s">
        <v>9626</v>
      </c>
      <c r="F1696" s="7" t="s">
        <v>14055</v>
      </c>
      <c r="G1696" s="7" t="s">
        <v>14056</v>
      </c>
      <c r="H1696" s="7" t="s">
        <v>14057</v>
      </c>
      <c r="I1696" s="119">
        <v>45292.0</v>
      </c>
      <c r="K1696" s="7" t="s">
        <v>419</v>
      </c>
      <c r="L1696" s="7" t="s">
        <v>991</v>
      </c>
      <c r="M1696" s="7" t="s">
        <v>3501</v>
      </c>
      <c r="N1696" s="7" t="s">
        <v>419</v>
      </c>
      <c r="O1696" s="7" t="s">
        <v>19433</v>
      </c>
      <c r="P1696" s="7" t="s">
        <v>648</v>
      </c>
      <c r="Q1696" s="7" t="s">
        <v>141</v>
      </c>
      <c r="R1696" s="7" t="s">
        <v>19886</v>
      </c>
      <c r="S1696" s="7" t="s">
        <v>20638</v>
      </c>
      <c r="T1696" s="7" t="s">
        <v>8754</v>
      </c>
      <c r="U1696" s="7" t="s">
        <v>3493</v>
      </c>
      <c r="V1696" s="7">
        <v>1.0</v>
      </c>
    </row>
    <row r="1697">
      <c r="A1697" s="7" t="s">
        <v>21605</v>
      </c>
      <c r="B1697" s="7">
        <v>2100312.0</v>
      </c>
      <c r="C1697" s="7" t="s">
        <v>14059</v>
      </c>
      <c r="D1697" s="7" t="s">
        <v>3817</v>
      </c>
      <c r="E1697" s="7" t="s">
        <v>14060</v>
      </c>
      <c r="F1697" s="7" t="s">
        <v>3896</v>
      </c>
      <c r="G1697" s="7" t="s">
        <v>14061</v>
      </c>
      <c r="H1697" s="7" t="s">
        <v>14062</v>
      </c>
      <c r="I1697" s="119">
        <v>45292.0</v>
      </c>
      <c r="K1697" s="7" t="s">
        <v>419</v>
      </c>
      <c r="L1697" s="7" t="s">
        <v>991</v>
      </c>
      <c r="M1697" s="7" t="s">
        <v>3501</v>
      </c>
      <c r="N1697" s="7" t="s">
        <v>419</v>
      </c>
      <c r="O1697" s="7" t="s">
        <v>19443</v>
      </c>
      <c r="P1697" s="7" t="s">
        <v>1242</v>
      </c>
      <c r="Q1697" s="7" t="s">
        <v>51</v>
      </c>
      <c r="R1697" s="7" t="s">
        <v>19599</v>
      </c>
      <c r="S1697" s="7" t="s">
        <v>20161</v>
      </c>
      <c r="T1697" s="7" t="s">
        <v>6346</v>
      </c>
      <c r="U1697" s="7" t="s">
        <v>3493</v>
      </c>
      <c r="V1697" s="7">
        <v>1.0</v>
      </c>
    </row>
    <row r="1698">
      <c r="A1698" s="7" t="s">
        <v>2126</v>
      </c>
      <c r="B1698" s="7">
        <v>12419.0</v>
      </c>
      <c r="C1698" s="7" t="s">
        <v>14064</v>
      </c>
      <c r="D1698" s="7" t="s">
        <v>14065</v>
      </c>
      <c r="E1698" s="7" t="s">
        <v>14066</v>
      </c>
      <c r="F1698" s="7" t="s">
        <v>9184</v>
      </c>
      <c r="G1698" s="7" t="s">
        <v>14067</v>
      </c>
      <c r="H1698" s="7" t="s">
        <v>14068</v>
      </c>
      <c r="I1698" s="119">
        <v>45292.0</v>
      </c>
      <c r="K1698" s="7" t="s">
        <v>7069</v>
      </c>
      <c r="L1698" s="7" t="s">
        <v>4406</v>
      </c>
      <c r="M1698" s="7" t="s">
        <v>7070</v>
      </c>
      <c r="N1698" s="7" t="s">
        <v>419</v>
      </c>
      <c r="O1698" s="7" t="s">
        <v>19440</v>
      </c>
      <c r="P1698" s="7" t="s">
        <v>3</v>
      </c>
      <c r="Q1698" s="7" t="s">
        <v>4</v>
      </c>
      <c r="T1698" s="7" t="s">
        <v>19472</v>
      </c>
      <c r="U1698" s="7" t="s">
        <v>5585</v>
      </c>
      <c r="V1698" s="7">
        <v>1.0</v>
      </c>
    </row>
    <row r="1699">
      <c r="A1699" s="7" t="s">
        <v>21606</v>
      </c>
      <c r="B1699" s="7">
        <v>13648.0</v>
      </c>
      <c r="C1699" s="7" t="s">
        <v>14073</v>
      </c>
      <c r="D1699" s="7" t="s">
        <v>5234</v>
      </c>
      <c r="E1699" s="7" t="s">
        <v>14074</v>
      </c>
      <c r="F1699" s="7" t="s">
        <v>5235</v>
      </c>
      <c r="G1699" s="7" t="s">
        <v>14075</v>
      </c>
      <c r="H1699" s="7" t="s">
        <v>14076</v>
      </c>
      <c r="I1699" s="119">
        <v>45292.0</v>
      </c>
      <c r="K1699" s="7" t="s">
        <v>3632</v>
      </c>
      <c r="L1699" s="7" t="s">
        <v>991</v>
      </c>
      <c r="M1699" s="7" t="s">
        <v>3501</v>
      </c>
      <c r="N1699" s="7" t="s">
        <v>3632</v>
      </c>
      <c r="O1699" s="7" t="s">
        <v>3632</v>
      </c>
      <c r="P1699" s="7" t="s">
        <v>625</v>
      </c>
      <c r="Q1699" s="7" t="s">
        <v>118</v>
      </c>
      <c r="R1699" s="7" t="s">
        <v>20076</v>
      </c>
      <c r="T1699" s="7" t="s">
        <v>6924</v>
      </c>
      <c r="U1699" s="7" t="s">
        <v>3493</v>
      </c>
      <c r="V1699" s="7">
        <v>1.0</v>
      </c>
    </row>
    <row r="1700">
      <c r="A1700" s="7" t="s">
        <v>21607</v>
      </c>
      <c r="B1700" s="7">
        <v>1288.0</v>
      </c>
      <c r="C1700" s="7" t="s">
        <v>14078</v>
      </c>
      <c r="D1700" s="7" t="s">
        <v>14079</v>
      </c>
      <c r="E1700" s="7" t="s">
        <v>14080</v>
      </c>
      <c r="F1700" s="7" t="s">
        <v>6166</v>
      </c>
      <c r="G1700" s="7" t="s">
        <v>14081</v>
      </c>
      <c r="H1700" s="7" t="s">
        <v>14082</v>
      </c>
      <c r="I1700" s="119">
        <v>45292.0</v>
      </c>
      <c r="K1700" s="7" t="s">
        <v>419</v>
      </c>
      <c r="L1700" s="7" t="s">
        <v>991</v>
      </c>
      <c r="M1700" s="7" t="s">
        <v>3501</v>
      </c>
      <c r="N1700" s="7" t="s">
        <v>419</v>
      </c>
      <c r="O1700" s="7" t="s">
        <v>19430</v>
      </c>
      <c r="P1700" s="7" t="s">
        <v>717</v>
      </c>
      <c r="Q1700" s="7" t="s">
        <v>725</v>
      </c>
      <c r="R1700" s="7" t="s">
        <v>19501</v>
      </c>
      <c r="S1700" s="7" t="s">
        <v>19688</v>
      </c>
      <c r="T1700" s="7" t="s">
        <v>4257</v>
      </c>
      <c r="U1700" s="7" t="s">
        <v>3493</v>
      </c>
      <c r="V1700" s="7">
        <v>1.0</v>
      </c>
    </row>
    <row r="1701">
      <c r="A1701" s="7" t="s">
        <v>21608</v>
      </c>
      <c r="B1701" s="7">
        <v>11760.0</v>
      </c>
      <c r="C1701" s="7" t="s">
        <v>14084</v>
      </c>
      <c r="D1701" s="7" t="s">
        <v>8182</v>
      </c>
      <c r="E1701" s="7" t="s">
        <v>14085</v>
      </c>
      <c r="F1701" s="7" t="s">
        <v>8183</v>
      </c>
      <c r="G1701" s="7" t="s">
        <v>14086</v>
      </c>
      <c r="H1701" s="7" t="s">
        <v>14087</v>
      </c>
      <c r="I1701" s="119">
        <v>45292.0</v>
      </c>
      <c r="K1701" s="7" t="s">
        <v>419</v>
      </c>
      <c r="L1701" s="7" t="s">
        <v>991</v>
      </c>
      <c r="M1701" s="7" t="s">
        <v>3501</v>
      </c>
      <c r="N1701" s="7" t="s">
        <v>419</v>
      </c>
      <c r="O1701" s="7" t="s">
        <v>19430</v>
      </c>
      <c r="P1701" s="7" t="s">
        <v>717</v>
      </c>
      <c r="Q1701" s="7" t="s">
        <v>725</v>
      </c>
      <c r="R1701" s="7" t="s">
        <v>20253</v>
      </c>
      <c r="S1701" s="7" t="s">
        <v>19749</v>
      </c>
      <c r="T1701" s="7" t="s">
        <v>6815</v>
      </c>
      <c r="U1701" s="7" t="s">
        <v>3843</v>
      </c>
      <c r="V1701" s="7">
        <v>1.0</v>
      </c>
    </row>
    <row r="1702">
      <c r="A1702" s="7" t="s">
        <v>2094</v>
      </c>
      <c r="B1702" s="7">
        <v>12638.0</v>
      </c>
      <c r="C1702" s="7" t="s">
        <v>14084</v>
      </c>
      <c r="D1702" s="7" t="s">
        <v>14089</v>
      </c>
      <c r="E1702" s="7" t="s">
        <v>14085</v>
      </c>
      <c r="F1702" s="7" t="s">
        <v>6037</v>
      </c>
      <c r="G1702" s="7" t="s">
        <v>14090</v>
      </c>
      <c r="H1702" s="7" t="s">
        <v>14091</v>
      </c>
      <c r="I1702" s="119">
        <v>45292.0</v>
      </c>
      <c r="K1702" s="7" t="s">
        <v>419</v>
      </c>
      <c r="L1702" s="7" t="s">
        <v>991</v>
      </c>
      <c r="M1702" s="7" t="s">
        <v>3501</v>
      </c>
      <c r="N1702" s="7" t="s">
        <v>419</v>
      </c>
      <c r="O1702" s="7" t="s">
        <v>19432</v>
      </c>
      <c r="P1702" s="7" t="s">
        <v>693</v>
      </c>
      <c r="T1702" s="7" t="s">
        <v>6972</v>
      </c>
      <c r="U1702" s="7" t="s">
        <v>12935</v>
      </c>
      <c r="V1702" s="7">
        <v>1.0</v>
      </c>
    </row>
    <row r="1703">
      <c r="A1703" s="7" t="s">
        <v>21609</v>
      </c>
      <c r="B1703" s="7">
        <v>2200420.0</v>
      </c>
      <c r="C1703" s="7" t="s">
        <v>14084</v>
      </c>
      <c r="D1703" s="7" t="s">
        <v>14095</v>
      </c>
      <c r="E1703" s="7" t="s">
        <v>14085</v>
      </c>
      <c r="F1703" s="7" t="s">
        <v>3838</v>
      </c>
      <c r="G1703" s="7" t="s">
        <v>14096</v>
      </c>
      <c r="H1703" s="7" t="s">
        <v>14097</v>
      </c>
      <c r="I1703" s="119">
        <v>45292.0</v>
      </c>
      <c r="K1703" s="7" t="s">
        <v>3632</v>
      </c>
      <c r="L1703" s="7" t="s">
        <v>991</v>
      </c>
      <c r="M1703" s="7" t="s">
        <v>3531</v>
      </c>
      <c r="N1703" s="7" t="s">
        <v>3632</v>
      </c>
      <c r="O1703" s="7" t="s">
        <v>3632</v>
      </c>
      <c r="P1703" s="7" t="s">
        <v>22</v>
      </c>
      <c r="Q1703" s="7" t="s">
        <v>23</v>
      </c>
      <c r="T1703" s="7" t="s">
        <v>10846</v>
      </c>
      <c r="U1703" s="7" t="s">
        <v>3493</v>
      </c>
      <c r="V1703" s="7">
        <v>1.0</v>
      </c>
    </row>
    <row r="1704">
      <c r="A1704" s="7" t="s">
        <v>21610</v>
      </c>
      <c r="B1704" s="7">
        <v>878.0</v>
      </c>
      <c r="C1704" s="7" t="s">
        <v>14084</v>
      </c>
      <c r="D1704" s="7" t="s">
        <v>3837</v>
      </c>
      <c r="E1704" s="7" t="s">
        <v>14085</v>
      </c>
      <c r="F1704" s="7" t="s">
        <v>3838</v>
      </c>
      <c r="G1704" s="7" t="s">
        <v>14099</v>
      </c>
      <c r="H1704" s="7" t="s">
        <v>14100</v>
      </c>
      <c r="I1704" s="119">
        <v>45292.0</v>
      </c>
      <c r="K1704" s="7" t="s">
        <v>419</v>
      </c>
      <c r="L1704" s="7" t="s">
        <v>991</v>
      </c>
      <c r="M1704" s="7" t="s">
        <v>3501</v>
      </c>
      <c r="N1704" s="7" t="s">
        <v>419</v>
      </c>
      <c r="O1704" s="7" t="s">
        <v>19430</v>
      </c>
      <c r="P1704" s="7" t="s">
        <v>717</v>
      </c>
      <c r="Q1704" s="7" t="s">
        <v>251</v>
      </c>
      <c r="R1704" s="7" t="s">
        <v>20620</v>
      </c>
      <c r="T1704" s="7" t="s">
        <v>8648</v>
      </c>
      <c r="U1704" s="7" t="s">
        <v>3604</v>
      </c>
      <c r="V1704" s="7">
        <v>1.0</v>
      </c>
    </row>
    <row r="1705">
      <c r="A1705" s="7" t="s">
        <v>21611</v>
      </c>
      <c r="B1705" s="7">
        <v>2300432.0</v>
      </c>
      <c r="C1705" s="7" t="s">
        <v>14102</v>
      </c>
      <c r="D1705" s="7" t="s">
        <v>9805</v>
      </c>
      <c r="E1705" s="7" t="s">
        <v>14103</v>
      </c>
      <c r="F1705" s="7" t="s">
        <v>4598</v>
      </c>
      <c r="G1705" s="7" t="s">
        <v>14104</v>
      </c>
      <c r="H1705" s="7" t="s">
        <v>14105</v>
      </c>
      <c r="I1705" s="119">
        <v>45292.0</v>
      </c>
      <c r="K1705" s="7" t="s">
        <v>419</v>
      </c>
      <c r="L1705" s="7" t="s">
        <v>991</v>
      </c>
      <c r="M1705" s="7" t="s">
        <v>3501</v>
      </c>
      <c r="N1705" s="7" t="s">
        <v>419</v>
      </c>
      <c r="O1705" s="7" t="s">
        <v>19432</v>
      </c>
      <c r="P1705" s="7" t="s">
        <v>391</v>
      </c>
      <c r="Q1705" s="7" t="s">
        <v>399</v>
      </c>
      <c r="R1705" s="7" t="s">
        <v>20010</v>
      </c>
      <c r="T1705" s="7" t="s">
        <v>5638</v>
      </c>
      <c r="U1705" s="7" t="s">
        <v>3604</v>
      </c>
      <c r="V1705" s="7">
        <v>1.0</v>
      </c>
    </row>
    <row r="1706">
      <c r="A1706" s="7" t="s">
        <v>21612</v>
      </c>
      <c r="B1706" s="7">
        <v>1039.0</v>
      </c>
      <c r="C1706" s="7" t="s">
        <v>14107</v>
      </c>
      <c r="D1706" s="7" t="s">
        <v>14108</v>
      </c>
      <c r="E1706" s="7" t="s">
        <v>14109</v>
      </c>
      <c r="F1706" s="7" t="s">
        <v>14110</v>
      </c>
      <c r="G1706" s="7" t="s">
        <v>14111</v>
      </c>
      <c r="H1706" s="7" t="s">
        <v>14112</v>
      </c>
      <c r="I1706" s="119">
        <v>45292.0</v>
      </c>
      <c r="K1706" s="7" t="s">
        <v>419</v>
      </c>
      <c r="L1706" s="7" t="s">
        <v>991</v>
      </c>
      <c r="M1706" s="7" t="s">
        <v>3501</v>
      </c>
      <c r="N1706" s="7" t="s">
        <v>419</v>
      </c>
      <c r="O1706" s="7" t="s">
        <v>19440</v>
      </c>
      <c r="P1706" s="7" t="s">
        <v>3</v>
      </c>
      <c r="Q1706" s="7" t="s">
        <v>9</v>
      </c>
      <c r="R1706" s="7" t="s">
        <v>19871</v>
      </c>
      <c r="S1706" s="7" t="s">
        <v>20703</v>
      </c>
      <c r="T1706" s="7" t="s">
        <v>14113</v>
      </c>
      <c r="U1706" s="7" t="s">
        <v>3493</v>
      </c>
      <c r="V1706" s="7">
        <v>1.0</v>
      </c>
    </row>
    <row r="1707">
      <c r="A1707" s="7" t="s">
        <v>21613</v>
      </c>
      <c r="B1707" s="7">
        <v>2200396.0</v>
      </c>
      <c r="C1707" s="7" t="s">
        <v>14107</v>
      </c>
      <c r="D1707" s="7" t="s">
        <v>3780</v>
      </c>
      <c r="E1707" s="7" t="s">
        <v>14109</v>
      </c>
      <c r="F1707" s="7" t="s">
        <v>3781</v>
      </c>
      <c r="G1707" s="7" t="s">
        <v>14115</v>
      </c>
      <c r="H1707" s="7" t="s">
        <v>14116</v>
      </c>
      <c r="I1707" s="119">
        <v>45292.0</v>
      </c>
      <c r="K1707" s="7" t="s">
        <v>419</v>
      </c>
      <c r="L1707" s="7" t="s">
        <v>991</v>
      </c>
      <c r="M1707" s="7" t="s">
        <v>3501</v>
      </c>
      <c r="N1707" s="7" t="s">
        <v>419</v>
      </c>
      <c r="O1707" s="7" t="s">
        <v>19430</v>
      </c>
      <c r="P1707" s="7" t="s">
        <v>717</v>
      </c>
      <c r="Q1707" s="7" t="s">
        <v>722</v>
      </c>
      <c r="R1707" s="7" t="s">
        <v>20163</v>
      </c>
      <c r="T1707" s="7" t="s">
        <v>14638</v>
      </c>
      <c r="U1707" s="7" t="s">
        <v>3604</v>
      </c>
      <c r="V1707" s="7">
        <v>1.0</v>
      </c>
    </row>
    <row r="1708">
      <c r="A1708" s="7" t="s">
        <v>21614</v>
      </c>
      <c r="B1708" s="7">
        <v>13343.0</v>
      </c>
      <c r="C1708" s="7" t="s">
        <v>14107</v>
      </c>
      <c r="D1708" s="7" t="s">
        <v>14120</v>
      </c>
      <c r="E1708" s="7" t="s">
        <v>14109</v>
      </c>
      <c r="F1708" s="7" t="s">
        <v>3792</v>
      </c>
      <c r="G1708" s="7" t="s">
        <v>14121</v>
      </c>
      <c r="H1708" s="7" t="s">
        <v>14122</v>
      </c>
      <c r="I1708" s="119">
        <v>45292.0</v>
      </c>
      <c r="K1708" s="7" t="s">
        <v>419</v>
      </c>
      <c r="L1708" s="7" t="s">
        <v>991</v>
      </c>
      <c r="M1708" s="7" t="s">
        <v>3531</v>
      </c>
      <c r="N1708" s="7" t="s">
        <v>419</v>
      </c>
      <c r="O1708" s="7" t="s">
        <v>19430</v>
      </c>
      <c r="P1708" s="7" t="s">
        <v>717</v>
      </c>
      <c r="Q1708" s="7" t="s">
        <v>738</v>
      </c>
      <c r="R1708" s="7" t="s">
        <v>20383</v>
      </c>
      <c r="S1708" s="7" t="s">
        <v>21615</v>
      </c>
      <c r="T1708" s="7" t="s">
        <v>14124</v>
      </c>
      <c r="U1708" s="7" t="s">
        <v>3493</v>
      </c>
      <c r="V1708" s="7">
        <v>1.0</v>
      </c>
    </row>
    <row r="1709">
      <c r="A1709" s="7" t="s">
        <v>21616</v>
      </c>
      <c r="B1709" s="7">
        <v>91.0</v>
      </c>
      <c r="C1709" s="7" t="s">
        <v>14107</v>
      </c>
      <c r="D1709" s="7" t="s">
        <v>14126</v>
      </c>
      <c r="E1709" s="7" t="s">
        <v>14109</v>
      </c>
      <c r="F1709" s="7" t="s">
        <v>12435</v>
      </c>
      <c r="G1709" s="7" t="s">
        <v>14127</v>
      </c>
      <c r="H1709" s="7" t="s">
        <v>14128</v>
      </c>
      <c r="I1709" s="119">
        <v>45292.0</v>
      </c>
      <c r="K1709" s="7" t="s">
        <v>419</v>
      </c>
      <c r="L1709" s="7" t="s">
        <v>991</v>
      </c>
      <c r="M1709" s="7" t="s">
        <v>3501</v>
      </c>
      <c r="N1709" s="7" t="s">
        <v>419</v>
      </c>
      <c r="O1709" s="7" t="s">
        <v>19443</v>
      </c>
      <c r="P1709" s="7" t="s">
        <v>1242</v>
      </c>
      <c r="Q1709" s="7" t="s">
        <v>43</v>
      </c>
      <c r="R1709" s="7" t="s">
        <v>19847</v>
      </c>
      <c r="T1709" s="7" t="s">
        <v>5002</v>
      </c>
      <c r="U1709" s="7" t="s">
        <v>3493</v>
      </c>
      <c r="V1709" s="7">
        <v>1.0</v>
      </c>
    </row>
    <row r="1710">
      <c r="A1710" s="7" t="s">
        <v>21617</v>
      </c>
      <c r="B1710" s="7">
        <v>11761.0</v>
      </c>
      <c r="C1710" s="7" t="s">
        <v>14107</v>
      </c>
      <c r="D1710" s="7" t="s">
        <v>14130</v>
      </c>
      <c r="E1710" s="7" t="s">
        <v>14109</v>
      </c>
      <c r="F1710" s="7" t="s">
        <v>5203</v>
      </c>
      <c r="G1710" s="7" t="s">
        <v>14131</v>
      </c>
      <c r="H1710" s="7" t="s">
        <v>14132</v>
      </c>
      <c r="I1710" s="119">
        <v>45292.0</v>
      </c>
      <c r="K1710" s="7" t="s">
        <v>419</v>
      </c>
      <c r="L1710" s="7" t="s">
        <v>991</v>
      </c>
      <c r="M1710" s="7" t="s">
        <v>3501</v>
      </c>
      <c r="N1710" s="7" t="s">
        <v>419</v>
      </c>
      <c r="O1710" s="7" t="s">
        <v>19430</v>
      </c>
      <c r="P1710" s="7" t="s">
        <v>717</v>
      </c>
      <c r="Q1710" s="7" t="s">
        <v>1163</v>
      </c>
      <c r="R1710" s="7" t="s">
        <v>19546</v>
      </c>
      <c r="S1710" s="7" t="s">
        <v>19762</v>
      </c>
      <c r="T1710" s="7" t="s">
        <v>4558</v>
      </c>
      <c r="U1710" s="7" t="s">
        <v>3843</v>
      </c>
      <c r="V1710" s="7">
        <v>1.0</v>
      </c>
    </row>
    <row r="1711">
      <c r="A1711" s="7" t="s">
        <v>21618</v>
      </c>
      <c r="B1711" s="7">
        <v>13093.0</v>
      </c>
      <c r="C1711" s="7" t="s">
        <v>14135</v>
      </c>
      <c r="D1711" s="7" t="s">
        <v>12916</v>
      </c>
      <c r="E1711" s="7" t="s">
        <v>14136</v>
      </c>
      <c r="F1711" s="7" t="s">
        <v>5155</v>
      </c>
      <c r="G1711" s="7" t="s">
        <v>14137</v>
      </c>
      <c r="H1711" s="7" t="s">
        <v>14138</v>
      </c>
      <c r="I1711" s="119">
        <v>45292.0</v>
      </c>
      <c r="K1711" s="7" t="s">
        <v>419</v>
      </c>
      <c r="L1711" s="7" t="s">
        <v>991</v>
      </c>
      <c r="M1711" s="7" t="s">
        <v>3583</v>
      </c>
      <c r="N1711" s="7" t="s">
        <v>419</v>
      </c>
      <c r="O1711" s="7" t="s">
        <v>19430</v>
      </c>
      <c r="P1711" s="7" t="s">
        <v>717</v>
      </c>
      <c r="Q1711" s="7" t="s">
        <v>722</v>
      </c>
      <c r="R1711" s="7" t="s">
        <v>19655</v>
      </c>
      <c r="S1711" s="7" t="s">
        <v>20147</v>
      </c>
      <c r="T1711" s="7" t="s">
        <v>6266</v>
      </c>
      <c r="U1711" s="7" t="s">
        <v>3493</v>
      </c>
      <c r="V1711" s="7">
        <v>1.0</v>
      </c>
    </row>
    <row r="1712">
      <c r="A1712" s="7" t="s">
        <v>21619</v>
      </c>
      <c r="B1712" s="7">
        <v>2300016.0</v>
      </c>
      <c r="C1712" s="7" t="s">
        <v>14140</v>
      </c>
      <c r="D1712" s="7" t="s">
        <v>7644</v>
      </c>
      <c r="E1712" s="7" t="s">
        <v>14141</v>
      </c>
      <c r="F1712" s="7" t="s">
        <v>7645</v>
      </c>
      <c r="G1712" s="7" t="s">
        <v>14142</v>
      </c>
      <c r="H1712" s="7" t="s">
        <v>14143</v>
      </c>
      <c r="I1712" s="119">
        <v>45292.0</v>
      </c>
      <c r="K1712" s="7" t="s">
        <v>419</v>
      </c>
      <c r="L1712" s="7" t="s">
        <v>991</v>
      </c>
      <c r="M1712" s="7" t="s">
        <v>3531</v>
      </c>
      <c r="N1712" s="7" t="s">
        <v>419</v>
      </c>
      <c r="O1712" s="7" t="s">
        <v>19430</v>
      </c>
      <c r="P1712" s="7" t="s">
        <v>717</v>
      </c>
      <c r="Q1712" s="7" t="s">
        <v>720</v>
      </c>
      <c r="R1712" s="7" t="s">
        <v>19542</v>
      </c>
      <c r="T1712" s="7" t="s">
        <v>3725</v>
      </c>
      <c r="U1712" s="7" t="s">
        <v>3493</v>
      </c>
      <c r="V1712" s="7">
        <v>1.0</v>
      </c>
    </row>
    <row r="1713">
      <c r="A1713" s="7" t="s">
        <v>21620</v>
      </c>
      <c r="B1713" s="7">
        <v>2200522.0</v>
      </c>
      <c r="C1713" s="7" t="s">
        <v>14145</v>
      </c>
      <c r="D1713" s="7" t="s">
        <v>14146</v>
      </c>
      <c r="E1713" s="7" t="s">
        <v>14147</v>
      </c>
      <c r="F1713" s="7" t="s">
        <v>10272</v>
      </c>
      <c r="G1713" s="7" t="s">
        <v>14148</v>
      </c>
      <c r="H1713" s="7" t="s">
        <v>14149</v>
      </c>
      <c r="I1713" s="119">
        <v>45292.0</v>
      </c>
      <c r="K1713" s="7" t="s">
        <v>3632</v>
      </c>
      <c r="L1713" s="7" t="s">
        <v>991</v>
      </c>
      <c r="M1713" s="7" t="s">
        <v>3501</v>
      </c>
      <c r="N1713" s="7" t="s">
        <v>3632</v>
      </c>
      <c r="O1713" s="7" t="s">
        <v>3632</v>
      </c>
      <c r="P1713" s="7" t="s">
        <v>22</v>
      </c>
      <c r="Q1713" s="7" t="s">
        <v>23</v>
      </c>
      <c r="T1713" s="7" t="s">
        <v>10846</v>
      </c>
      <c r="U1713" s="7" t="s">
        <v>3493</v>
      </c>
      <c r="V1713" s="7">
        <v>1.0</v>
      </c>
    </row>
    <row r="1714">
      <c r="A1714" s="7" t="s">
        <v>21621</v>
      </c>
      <c r="B1714" s="7">
        <v>10659.0</v>
      </c>
      <c r="C1714" s="7" t="s">
        <v>14145</v>
      </c>
      <c r="D1714" s="7" t="s">
        <v>14150</v>
      </c>
      <c r="E1714" s="7" t="s">
        <v>14147</v>
      </c>
      <c r="F1714" s="7" t="s">
        <v>10272</v>
      </c>
      <c r="G1714" s="7" t="s">
        <v>14151</v>
      </c>
      <c r="H1714" s="7" t="s">
        <v>14152</v>
      </c>
      <c r="I1714" s="119">
        <v>45292.0</v>
      </c>
      <c r="K1714" s="7" t="s">
        <v>419</v>
      </c>
      <c r="L1714" s="7" t="s">
        <v>991</v>
      </c>
      <c r="M1714" s="7" t="s">
        <v>3501</v>
      </c>
      <c r="N1714" s="7" t="s">
        <v>419</v>
      </c>
      <c r="O1714" s="7" t="s">
        <v>19432</v>
      </c>
      <c r="P1714" s="7" t="s">
        <v>391</v>
      </c>
      <c r="Q1714" s="7" t="s">
        <v>399</v>
      </c>
      <c r="R1714" s="7" t="s">
        <v>19508</v>
      </c>
      <c r="T1714" s="7" t="s">
        <v>7225</v>
      </c>
      <c r="U1714" s="7" t="s">
        <v>3604</v>
      </c>
      <c r="V1714" s="7">
        <v>1.0</v>
      </c>
    </row>
    <row r="1715">
      <c r="A1715" s="7" t="s">
        <v>21622</v>
      </c>
      <c r="B1715" s="7">
        <v>11762.0</v>
      </c>
      <c r="C1715" s="7" t="s">
        <v>14145</v>
      </c>
      <c r="D1715" s="7" t="s">
        <v>14155</v>
      </c>
      <c r="E1715" s="7" t="s">
        <v>14147</v>
      </c>
      <c r="F1715" s="7" t="s">
        <v>14156</v>
      </c>
      <c r="G1715" s="7" t="s">
        <v>14157</v>
      </c>
      <c r="H1715" s="7" t="s">
        <v>14158</v>
      </c>
      <c r="I1715" s="119">
        <v>45292.0</v>
      </c>
      <c r="K1715" s="7" t="s">
        <v>419</v>
      </c>
      <c r="L1715" s="7" t="s">
        <v>991</v>
      </c>
      <c r="M1715" s="7" t="s">
        <v>3501</v>
      </c>
      <c r="N1715" s="7" t="s">
        <v>419</v>
      </c>
      <c r="O1715" s="7" t="s">
        <v>19443</v>
      </c>
      <c r="P1715" s="7" t="s">
        <v>1242</v>
      </c>
      <c r="Q1715" s="7" t="s">
        <v>51</v>
      </c>
      <c r="R1715" s="7" t="s">
        <v>19563</v>
      </c>
      <c r="S1715" s="7" t="s">
        <v>19564</v>
      </c>
      <c r="T1715" s="7" t="s">
        <v>3803</v>
      </c>
      <c r="U1715" s="7" t="s">
        <v>3493</v>
      </c>
      <c r="V1715" s="7">
        <v>1.0</v>
      </c>
    </row>
    <row r="1716">
      <c r="A1716" s="7" t="s">
        <v>21623</v>
      </c>
      <c r="B1716" s="7">
        <v>2200901.0</v>
      </c>
      <c r="C1716" s="7" t="s">
        <v>14145</v>
      </c>
      <c r="D1716" s="7" t="s">
        <v>14160</v>
      </c>
      <c r="E1716" s="7" t="s">
        <v>14147</v>
      </c>
      <c r="F1716" s="7" t="s">
        <v>3549</v>
      </c>
      <c r="G1716" s="7" t="s">
        <v>14161</v>
      </c>
      <c r="H1716" s="7" t="s">
        <v>14162</v>
      </c>
      <c r="I1716" s="119">
        <v>45292.0</v>
      </c>
      <c r="K1716" s="7" t="s">
        <v>419</v>
      </c>
      <c r="L1716" s="7" t="s">
        <v>991</v>
      </c>
      <c r="M1716" s="7" t="s">
        <v>3501</v>
      </c>
      <c r="N1716" s="7" t="s">
        <v>419</v>
      </c>
      <c r="O1716" s="7" t="s">
        <v>19432</v>
      </c>
      <c r="P1716" s="7" t="s">
        <v>391</v>
      </c>
      <c r="Q1716" s="7" t="s">
        <v>399</v>
      </c>
      <c r="R1716" s="7" t="s">
        <v>19732</v>
      </c>
      <c r="T1716" s="7" t="s">
        <v>4438</v>
      </c>
      <c r="U1716" s="7" t="s">
        <v>3493</v>
      </c>
      <c r="V1716" s="7">
        <v>1.0</v>
      </c>
    </row>
    <row r="1717">
      <c r="A1717" s="7" t="s">
        <v>2147</v>
      </c>
      <c r="B1717" s="7">
        <v>13701.0</v>
      </c>
      <c r="C1717" s="7" t="s">
        <v>14145</v>
      </c>
      <c r="D1717" s="7" t="s">
        <v>11667</v>
      </c>
      <c r="E1717" s="7" t="s">
        <v>14147</v>
      </c>
      <c r="F1717" s="7" t="s">
        <v>3549</v>
      </c>
      <c r="G1717" s="7" t="s">
        <v>14164</v>
      </c>
      <c r="H1717" s="7" t="s">
        <v>14165</v>
      </c>
      <c r="I1717" s="119">
        <v>45292.0</v>
      </c>
      <c r="K1717" s="7" t="s">
        <v>3632</v>
      </c>
      <c r="L1717" s="7" t="s">
        <v>991</v>
      </c>
      <c r="M1717" s="7" t="s">
        <v>3501</v>
      </c>
      <c r="N1717" s="7" t="s">
        <v>3632</v>
      </c>
      <c r="O1717" s="7" t="s">
        <v>3632</v>
      </c>
      <c r="P1717" s="7" t="s">
        <v>3463</v>
      </c>
      <c r="T1717" s="7" t="s">
        <v>19488</v>
      </c>
      <c r="U1717" s="7" t="s">
        <v>12011</v>
      </c>
      <c r="V1717" s="7">
        <v>1.0</v>
      </c>
    </row>
    <row r="1718">
      <c r="A1718" s="7" t="s">
        <v>21624</v>
      </c>
      <c r="B1718" s="7">
        <v>2200050.0</v>
      </c>
      <c r="C1718" s="7" t="s">
        <v>14145</v>
      </c>
      <c r="D1718" s="7" t="s">
        <v>14170</v>
      </c>
      <c r="E1718" s="7" t="s">
        <v>14147</v>
      </c>
      <c r="F1718" s="7" t="s">
        <v>11548</v>
      </c>
      <c r="G1718" s="7" t="s">
        <v>14171</v>
      </c>
      <c r="H1718" s="7" t="s">
        <v>14172</v>
      </c>
      <c r="I1718" s="119">
        <v>45292.0</v>
      </c>
      <c r="K1718" s="7" t="s">
        <v>3632</v>
      </c>
      <c r="L1718" s="7" t="s">
        <v>991</v>
      </c>
      <c r="M1718" s="7" t="s">
        <v>3583</v>
      </c>
      <c r="N1718" s="7" t="s">
        <v>3632</v>
      </c>
      <c r="O1718" s="7" t="s">
        <v>3632</v>
      </c>
      <c r="P1718" s="7" t="s">
        <v>625</v>
      </c>
      <c r="Q1718" s="7" t="s">
        <v>626</v>
      </c>
      <c r="R1718" s="7" t="s">
        <v>19599</v>
      </c>
      <c r="T1718" s="7" t="s">
        <v>14173</v>
      </c>
      <c r="U1718" s="7" t="s">
        <v>3493</v>
      </c>
      <c r="V1718" s="7">
        <v>1.0</v>
      </c>
    </row>
    <row r="1719">
      <c r="A1719" s="7" t="s">
        <v>21625</v>
      </c>
      <c r="B1719" s="7">
        <v>13512.0</v>
      </c>
      <c r="C1719" s="7" t="s">
        <v>14145</v>
      </c>
      <c r="D1719" s="7" t="s">
        <v>14175</v>
      </c>
      <c r="E1719" s="7" t="s">
        <v>14147</v>
      </c>
      <c r="F1719" s="7" t="s">
        <v>4441</v>
      </c>
      <c r="G1719" s="7" t="s">
        <v>14176</v>
      </c>
      <c r="H1719" s="7" t="s">
        <v>14177</v>
      </c>
      <c r="I1719" s="119">
        <v>45292.0</v>
      </c>
      <c r="K1719" s="7" t="s">
        <v>419</v>
      </c>
      <c r="L1719" s="7" t="s">
        <v>991</v>
      </c>
      <c r="M1719" s="7" t="s">
        <v>3501</v>
      </c>
      <c r="N1719" s="7" t="s">
        <v>419</v>
      </c>
      <c r="O1719" s="7" t="s">
        <v>19430</v>
      </c>
      <c r="P1719" s="7" t="s">
        <v>717</v>
      </c>
      <c r="Q1719" s="7" t="s">
        <v>725</v>
      </c>
      <c r="R1719" s="7" t="s">
        <v>19741</v>
      </c>
      <c r="S1719" s="7" t="s">
        <v>19495</v>
      </c>
      <c r="T1719" s="7" t="s">
        <v>10122</v>
      </c>
      <c r="U1719" s="7" t="s">
        <v>3843</v>
      </c>
      <c r="V1719" s="7">
        <v>1.0</v>
      </c>
    </row>
    <row r="1720">
      <c r="A1720" s="7" t="s">
        <v>21626</v>
      </c>
      <c r="B1720" s="7">
        <v>2400209.0</v>
      </c>
      <c r="C1720" s="7" t="s">
        <v>14145</v>
      </c>
      <c r="D1720" s="7" t="s">
        <v>14179</v>
      </c>
      <c r="E1720" s="7" t="s">
        <v>14147</v>
      </c>
      <c r="F1720" s="7" t="s">
        <v>14180</v>
      </c>
      <c r="G1720" s="7" t="s">
        <v>14181</v>
      </c>
      <c r="H1720" s="7" t="s">
        <v>14182</v>
      </c>
      <c r="I1720" s="119">
        <v>45383.0</v>
      </c>
      <c r="K1720" s="7" t="s">
        <v>419</v>
      </c>
      <c r="L1720" s="7" t="s">
        <v>991</v>
      </c>
      <c r="M1720" s="7" t="s">
        <v>3501</v>
      </c>
      <c r="N1720" s="7" t="s">
        <v>419</v>
      </c>
      <c r="O1720" s="7" t="s">
        <v>19443</v>
      </c>
      <c r="P1720" s="7" t="s">
        <v>1242</v>
      </c>
      <c r="Q1720" s="7" t="s">
        <v>51</v>
      </c>
      <c r="R1720" s="7" t="s">
        <v>20172</v>
      </c>
      <c r="T1720" s="7" t="s">
        <v>6403</v>
      </c>
      <c r="U1720" s="7" t="s">
        <v>3493</v>
      </c>
      <c r="V1720" s="7">
        <v>1.0</v>
      </c>
    </row>
    <row r="1721">
      <c r="A1721" s="7" t="s">
        <v>21627</v>
      </c>
      <c r="B1721" s="7">
        <v>10537.0</v>
      </c>
      <c r="C1721" s="7" t="s">
        <v>14145</v>
      </c>
      <c r="D1721" s="7" t="s">
        <v>12804</v>
      </c>
      <c r="E1721" s="7" t="s">
        <v>14147</v>
      </c>
      <c r="F1721" s="7" t="s">
        <v>3909</v>
      </c>
      <c r="G1721" s="7" t="s">
        <v>14184</v>
      </c>
      <c r="H1721" s="7" t="s">
        <v>14185</v>
      </c>
      <c r="I1721" s="119">
        <v>45292.0</v>
      </c>
      <c r="K1721" s="7" t="s">
        <v>419</v>
      </c>
      <c r="L1721" s="7" t="s">
        <v>991</v>
      </c>
      <c r="M1721" s="7" t="s">
        <v>3501</v>
      </c>
      <c r="N1721" s="7" t="s">
        <v>419</v>
      </c>
      <c r="O1721" s="7" t="s">
        <v>19443</v>
      </c>
      <c r="P1721" s="7" t="s">
        <v>323</v>
      </c>
      <c r="Q1721" s="7" t="s">
        <v>824</v>
      </c>
      <c r="R1721" s="7" t="s">
        <v>20228</v>
      </c>
      <c r="T1721" s="7" t="s">
        <v>20229</v>
      </c>
      <c r="U1721" s="7" t="s">
        <v>3493</v>
      </c>
      <c r="V1721" s="7">
        <v>1.0</v>
      </c>
    </row>
    <row r="1722">
      <c r="A1722" s="7" t="s">
        <v>21628</v>
      </c>
      <c r="B1722" s="7">
        <v>10858.0</v>
      </c>
      <c r="C1722" s="7" t="s">
        <v>14145</v>
      </c>
      <c r="D1722" s="7" t="s">
        <v>9683</v>
      </c>
      <c r="E1722" s="7" t="s">
        <v>14147</v>
      </c>
      <c r="F1722" s="7" t="s">
        <v>3486</v>
      </c>
      <c r="G1722" s="7" t="s">
        <v>14188</v>
      </c>
      <c r="H1722" s="7" t="s">
        <v>14189</v>
      </c>
      <c r="I1722" s="119">
        <v>45292.0</v>
      </c>
      <c r="K1722" s="7" t="s">
        <v>419</v>
      </c>
      <c r="L1722" s="7" t="s">
        <v>991</v>
      </c>
      <c r="M1722" s="7" t="s">
        <v>3531</v>
      </c>
      <c r="N1722" s="7" t="s">
        <v>419</v>
      </c>
      <c r="O1722" s="7" t="s">
        <v>19430</v>
      </c>
      <c r="P1722" s="7" t="s">
        <v>717</v>
      </c>
      <c r="Q1722" s="7" t="s">
        <v>738</v>
      </c>
      <c r="R1722" s="7" t="s">
        <v>19902</v>
      </c>
      <c r="S1722" s="7" t="s">
        <v>19903</v>
      </c>
      <c r="T1722" s="7" t="s">
        <v>5167</v>
      </c>
      <c r="U1722" s="7" t="s">
        <v>3493</v>
      </c>
      <c r="V1722" s="7">
        <v>1.0</v>
      </c>
    </row>
    <row r="1723">
      <c r="A1723" s="7" t="s">
        <v>21629</v>
      </c>
      <c r="B1723" s="7">
        <v>39.0</v>
      </c>
      <c r="C1723" s="7" t="s">
        <v>14145</v>
      </c>
      <c r="D1723" s="7" t="s">
        <v>5962</v>
      </c>
      <c r="E1723" s="7" t="s">
        <v>14147</v>
      </c>
      <c r="F1723" s="7" t="s">
        <v>5723</v>
      </c>
      <c r="G1723" s="7" t="s">
        <v>14191</v>
      </c>
      <c r="H1723" s="7" t="s">
        <v>14192</v>
      </c>
      <c r="I1723" s="119">
        <v>45292.0</v>
      </c>
      <c r="K1723" s="7" t="s">
        <v>419</v>
      </c>
      <c r="L1723" s="7" t="s">
        <v>991</v>
      </c>
      <c r="M1723" s="7" t="s">
        <v>3501</v>
      </c>
      <c r="N1723" s="7" t="s">
        <v>419</v>
      </c>
      <c r="O1723" s="7" t="s">
        <v>19440</v>
      </c>
      <c r="P1723" s="7" t="s">
        <v>3</v>
      </c>
      <c r="Q1723" s="7" t="s">
        <v>4</v>
      </c>
      <c r="R1723" s="7" t="s">
        <v>19614</v>
      </c>
      <c r="S1723" s="7" t="s">
        <v>19615</v>
      </c>
      <c r="T1723" s="7" t="s">
        <v>3981</v>
      </c>
      <c r="U1723" s="7" t="s">
        <v>3843</v>
      </c>
      <c r="V1723" s="7">
        <v>1.0</v>
      </c>
    </row>
    <row r="1724">
      <c r="A1724" s="7" t="s">
        <v>21630</v>
      </c>
      <c r="B1724" s="7">
        <v>2300674.0</v>
      </c>
      <c r="C1724" s="7" t="s">
        <v>14194</v>
      </c>
      <c r="D1724" s="7" t="s">
        <v>14195</v>
      </c>
      <c r="E1724" s="7" t="s">
        <v>14196</v>
      </c>
      <c r="F1724" s="7" t="s">
        <v>14197</v>
      </c>
      <c r="G1724" s="7" t="s">
        <v>14198</v>
      </c>
      <c r="H1724" s="7" t="s">
        <v>14199</v>
      </c>
      <c r="I1724" s="119">
        <v>45292.0</v>
      </c>
      <c r="K1724" s="7" t="s">
        <v>11974</v>
      </c>
      <c r="L1724" s="7" t="s">
        <v>991</v>
      </c>
      <c r="M1724" s="7" t="s">
        <v>4644</v>
      </c>
      <c r="N1724" s="7" t="s">
        <v>11974</v>
      </c>
      <c r="O1724" s="7" t="s">
        <v>11974</v>
      </c>
      <c r="P1724" s="7" t="s">
        <v>21631</v>
      </c>
      <c r="T1724" s="7" t="s">
        <v>14201</v>
      </c>
      <c r="U1724" s="7" t="s">
        <v>420</v>
      </c>
      <c r="V1724" s="7">
        <v>1.0</v>
      </c>
    </row>
    <row r="1725">
      <c r="A1725" s="7" t="s">
        <v>2154</v>
      </c>
      <c r="B1725" s="7">
        <v>756.0</v>
      </c>
      <c r="C1725" s="7" t="s">
        <v>14203</v>
      </c>
      <c r="D1725" s="7" t="s">
        <v>10581</v>
      </c>
      <c r="E1725" s="7" t="s">
        <v>14204</v>
      </c>
      <c r="F1725" s="7" t="s">
        <v>10583</v>
      </c>
      <c r="G1725" s="7" t="s">
        <v>14205</v>
      </c>
      <c r="H1725" s="7" t="s">
        <v>14206</v>
      </c>
      <c r="I1725" s="119">
        <v>45292.0</v>
      </c>
      <c r="K1725" s="7" t="s">
        <v>419</v>
      </c>
      <c r="L1725" s="7" t="s">
        <v>991</v>
      </c>
      <c r="M1725" s="7" t="s">
        <v>3501</v>
      </c>
      <c r="N1725" s="7" t="s">
        <v>419</v>
      </c>
      <c r="O1725" s="7" t="s">
        <v>19430</v>
      </c>
      <c r="P1725" s="7" t="s">
        <v>717</v>
      </c>
      <c r="Q1725" s="7" t="s">
        <v>730</v>
      </c>
      <c r="T1725" s="7" t="s">
        <v>14208</v>
      </c>
      <c r="U1725" s="7" t="s">
        <v>5585</v>
      </c>
      <c r="V1725" s="7">
        <v>1.0</v>
      </c>
    </row>
    <row r="1726">
      <c r="A1726" s="7" t="s">
        <v>2116</v>
      </c>
      <c r="B1726" s="7">
        <v>321.0</v>
      </c>
      <c r="C1726" s="7" t="s">
        <v>14210</v>
      </c>
      <c r="D1726" s="7" t="s">
        <v>5626</v>
      </c>
      <c r="E1726" s="7" t="s">
        <v>6499</v>
      </c>
      <c r="F1726" s="7" t="s">
        <v>5627</v>
      </c>
      <c r="G1726" s="7" t="s">
        <v>14211</v>
      </c>
      <c r="H1726" s="7" t="s">
        <v>14212</v>
      </c>
      <c r="I1726" s="119">
        <v>45292.0</v>
      </c>
      <c r="K1726" s="7" t="s">
        <v>419</v>
      </c>
      <c r="L1726" s="7" t="s">
        <v>991</v>
      </c>
      <c r="M1726" s="7" t="s">
        <v>3501</v>
      </c>
      <c r="N1726" s="7" t="s">
        <v>419</v>
      </c>
      <c r="O1726" s="7" t="s">
        <v>19432</v>
      </c>
      <c r="P1726" s="7" t="s">
        <v>391</v>
      </c>
      <c r="T1726" s="7" t="s">
        <v>9103</v>
      </c>
      <c r="U1726" s="7" t="s">
        <v>12935</v>
      </c>
      <c r="V1726" s="7">
        <v>1.0</v>
      </c>
    </row>
    <row r="1727">
      <c r="A1727" s="7" t="s">
        <v>21632</v>
      </c>
      <c r="B1727" s="7">
        <v>2300215.0</v>
      </c>
      <c r="C1727" s="7" t="s">
        <v>14210</v>
      </c>
      <c r="D1727" s="7" t="s">
        <v>14214</v>
      </c>
      <c r="E1727" s="7" t="s">
        <v>6499</v>
      </c>
      <c r="F1727" s="7" t="s">
        <v>9184</v>
      </c>
      <c r="G1727" s="7" t="s">
        <v>14215</v>
      </c>
      <c r="H1727" s="7" t="s">
        <v>14216</v>
      </c>
      <c r="I1727" s="119">
        <v>45292.0</v>
      </c>
      <c r="K1727" s="7" t="s">
        <v>419</v>
      </c>
      <c r="L1727" s="7" t="s">
        <v>991</v>
      </c>
      <c r="M1727" s="7" t="s">
        <v>3501</v>
      </c>
      <c r="N1727" s="7" t="s">
        <v>419</v>
      </c>
      <c r="O1727" s="7" t="s">
        <v>19443</v>
      </c>
      <c r="P1727" s="7" t="s">
        <v>323</v>
      </c>
      <c r="Q1727" s="7" t="s">
        <v>824</v>
      </c>
      <c r="R1727" s="7" t="s">
        <v>20541</v>
      </c>
      <c r="T1727" s="7" t="s">
        <v>20542</v>
      </c>
      <c r="U1727" s="7" t="s">
        <v>3493</v>
      </c>
      <c r="V1727" s="7">
        <v>1.0</v>
      </c>
    </row>
    <row r="1728">
      <c r="A1728" s="7" t="s">
        <v>21633</v>
      </c>
      <c r="B1728" s="7">
        <v>2100572.0</v>
      </c>
      <c r="C1728" s="7" t="s">
        <v>14210</v>
      </c>
      <c r="D1728" s="7" t="s">
        <v>14218</v>
      </c>
      <c r="E1728" s="7" t="s">
        <v>6499</v>
      </c>
      <c r="F1728" s="7" t="s">
        <v>3909</v>
      </c>
      <c r="G1728" s="7" t="s">
        <v>14219</v>
      </c>
      <c r="H1728" s="7" t="s">
        <v>14220</v>
      </c>
      <c r="I1728" s="119">
        <v>45292.0</v>
      </c>
      <c r="K1728" s="7" t="s">
        <v>419</v>
      </c>
      <c r="L1728" s="7" t="s">
        <v>991</v>
      </c>
      <c r="M1728" s="7" t="s">
        <v>3501</v>
      </c>
      <c r="N1728" s="7" t="s">
        <v>419</v>
      </c>
      <c r="O1728" s="7" t="s">
        <v>19430</v>
      </c>
      <c r="P1728" s="7" t="s">
        <v>717</v>
      </c>
      <c r="Q1728" s="7" t="s">
        <v>1163</v>
      </c>
      <c r="R1728" s="7" t="s">
        <v>19639</v>
      </c>
      <c r="S1728" s="7" t="s">
        <v>19971</v>
      </c>
      <c r="T1728" s="7" t="s">
        <v>8015</v>
      </c>
      <c r="U1728" s="7" t="s">
        <v>3493</v>
      </c>
      <c r="V1728" s="7">
        <v>1.0</v>
      </c>
    </row>
    <row r="1729">
      <c r="A1729" s="7" t="s">
        <v>21634</v>
      </c>
      <c r="B1729" s="7">
        <v>2200699.0</v>
      </c>
      <c r="C1729" s="7" t="s">
        <v>14210</v>
      </c>
      <c r="D1729" s="7" t="s">
        <v>3713</v>
      </c>
      <c r="E1729" s="7" t="s">
        <v>6499</v>
      </c>
      <c r="F1729" s="7" t="s">
        <v>3909</v>
      </c>
      <c r="G1729" s="7" t="s">
        <v>14222</v>
      </c>
      <c r="H1729" s="7" t="s">
        <v>14223</v>
      </c>
      <c r="I1729" s="119">
        <v>45292.0</v>
      </c>
      <c r="K1729" s="7" t="s">
        <v>4042</v>
      </c>
      <c r="L1729" s="7" t="s">
        <v>991</v>
      </c>
      <c r="M1729" s="7" t="s">
        <v>3501</v>
      </c>
      <c r="N1729" s="7" t="s">
        <v>4042</v>
      </c>
      <c r="O1729" s="7" t="s">
        <v>4042</v>
      </c>
      <c r="P1729" s="7" t="s">
        <v>19632</v>
      </c>
      <c r="T1729" s="7" t="s">
        <v>4044</v>
      </c>
      <c r="U1729" s="7" t="s">
        <v>3493</v>
      </c>
      <c r="V1729" s="7">
        <v>1.0</v>
      </c>
    </row>
    <row r="1730">
      <c r="A1730" s="7" t="s">
        <v>21635</v>
      </c>
      <c r="B1730" s="7">
        <v>10810.0</v>
      </c>
      <c r="C1730" s="7" t="s">
        <v>14210</v>
      </c>
      <c r="D1730" s="7" t="s">
        <v>14225</v>
      </c>
      <c r="E1730" s="7" t="s">
        <v>6499</v>
      </c>
      <c r="F1730" s="7" t="s">
        <v>4203</v>
      </c>
      <c r="G1730" s="7" t="s">
        <v>14226</v>
      </c>
      <c r="H1730" s="7" t="s">
        <v>14227</v>
      </c>
      <c r="I1730" s="119">
        <v>45292.0</v>
      </c>
      <c r="K1730" s="7" t="s">
        <v>419</v>
      </c>
      <c r="L1730" s="7" t="s">
        <v>991</v>
      </c>
      <c r="M1730" s="7" t="s">
        <v>3501</v>
      </c>
      <c r="N1730" s="7" t="s">
        <v>419</v>
      </c>
      <c r="O1730" s="7" t="s">
        <v>19430</v>
      </c>
      <c r="P1730" s="7" t="s">
        <v>717</v>
      </c>
      <c r="Q1730" s="7" t="s">
        <v>223</v>
      </c>
      <c r="R1730" s="7" t="s">
        <v>20315</v>
      </c>
      <c r="T1730" s="7" t="s">
        <v>14229</v>
      </c>
      <c r="U1730" s="7" t="s">
        <v>3604</v>
      </c>
      <c r="V1730" s="7">
        <v>1.0</v>
      </c>
    </row>
    <row r="1731">
      <c r="A1731" s="7" t="s">
        <v>21636</v>
      </c>
      <c r="B1731" s="7">
        <v>2200642.0</v>
      </c>
      <c r="C1731" s="7" t="s">
        <v>14231</v>
      </c>
      <c r="D1731" s="7" t="s">
        <v>14232</v>
      </c>
      <c r="E1731" s="7" t="s">
        <v>14233</v>
      </c>
      <c r="F1731" s="7" t="s">
        <v>4262</v>
      </c>
      <c r="G1731" s="7" t="s">
        <v>14234</v>
      </c>
      <c r="H1731" s="7" t="s">
        <v>14235</v>
      </c>
      <c r="I1731" s="119">
        <v>45292.0</v>
      </c>
      <c r="K1731" s="7" t="s">
        <v>419</v>
      </c>
      <c r="L1731" s="7" t="s">
        <v>991</v>
      </c>
      <c r="M1731" s="7" t="s">
        <v>3501</v>
      </c>
      <c r="N1731" s="7" t="s">
        <v>419</v>
      </c>
      <c r="O1731" s="7" t="s">
        <v>19430</v>
      </c>
      <c r="P1731" s="7" t="s">
        <v>717</v>
      </c>
      <c r="Q1731" s="7" t="s">
        <v>223</v>
      </c>
      <c r="R1731" s="7" t="s">
        <v>20315</v>
      </c>
      <c r="S1731" s="7" t="s">
        <v>20316</v>
      </c>
      <c r="T1731" s="7" t="s">
        <v>7148</v>
      </c>
      <c r="U1731" s="7" t="s">
        <v>3493</v>
      </c>
      <c r="V1731" s="7">
        <v>1.0</v>
      </c>
    </row>
    <row r="1732">
      <c r="A1732" s="7" t="s">
        <v>21637</v>
      </c>
      <c r="B1732" s="7">
        <v>2300569.0</v>
      </c>
      <c r="C1732" s="7" t="s">
        <v>14237</v>
      </c>
      <c r="D1732" s="7" t="s">
        <v>14238</v>
      </c>
      <c r="E1732" s="7" t="s">
        <v>14239</v>
      </c>
      <c r="F1732" s="7" t="s">
        <v>3986</v>
      </c>
      <c r="G1732" s="7" t="s">
        <v>14240</v>
      </c>
      <c r="H1732" s="7" t="s">
        <v>14241</v>
      </c>
      <c r="I1732" s="119">
        <v>45292.0</v>
      </c>
      <c r="K1732" s="7" t="s">
        <v>419</v>
      </c>
      <c r="L1732" s="7" t="s">
        <v>991</v>
      </c>
      <c r="M1732" s="7" t="s">
        <v>3501</v>
      </c>
      <c r="N1732" s="7" t="s">
        <v>419</v>
      </c>
      <c r="O1732" s="7" t="s">
        <v>19437</v>
      </c>
      <c r="P1732" s="7" t="s">
        <v>603</v>
      </c>
      <c r="Q1732" s="7" t="s">
        <v>97</v>
      </c>
      <c r="R1732" s="7" t="s">
        <v>21422</v>
      </c>
      <c r="T1732" s="7" t="s">
        <v>13049</v>
      </c>
      <c r="U1732" s="7" t="s">
        <v>3493</v>
      </c>
      <c r="V1732" s="7">
        <v>1.0</v>
      </c>
    </row>
    <row r="1733">
      <c r="A1733" s="7" t="s">
        <v>19473</v>
      </c>
      <c r="B1733" s="7">
        <v>13672.0</v>
      </c>
      <c r="C1733" s="7" t="s">
        <v>14243</v>
      </c>
      <c r="D1733" s="7" t="s">
        <v>14244</v>
      </c>
      <c r="E1733" s="7" t="s">
        <v>14245</v>
      </c>
      <c r="F1733" s="7" t="s">
        <v>14246</v>
      </c>
      <c r="G1733" s="7" t="s">
        <v>14247</v>
      </c>
      <c r="H1733" s="7" t="s">
        <v>14248</v>
      </c>
      <c r="I1733" s="119">
        <v>45292.0</v>
      </c>
      <c r="K1733" s="7" t="s">
        <v>3632</v>
      </c>
      <c r="L1733" s="7" t="s">
        <v>991</v>
      </c>
      <c r="M1733" s="7" t="s">
        <v>3501</v>
      </c>
      <c r="N1733" s="7" t="s">
        <v>3632</v>
      </c>
      <c r="O1733" s="7" t="s">
        <v>3632</v>
      </c>
      <c r="P1733" s="7" t="s">
        <v>22</v>
      </c>
      <c r="Q1733" s="7" t="s">
        <v>546</v>
      </c>
      <c r="T1733" s="7" t="s">
        <v>19474</v>
      </c>
      <c r="U1733" s="7" t="s">
        <v>5585</v>
      </c>
      <c r="V1733" s="7">
        <v>1.0</v>
      </c>
    </row>
    <row r="1734">
      <c r="A1734" s="7" t="s">
        <v>21638</v>
      </c>
      <c r="B1734" s="7">
        <v>10371.0</v>
      </c>
      <c r="C1734" s="7" t="s">
        <v>14253</v>
      </c>
      <c r="D1734" s="7" t="s">
        <v>6209</v>
      </c>
      <c r="E1734" s="7" t="s">
        <v>14254</v>
      </c>
      <c r="F1734" s="7" t="s">
        <v>6211</v>
      </c>
      <c r="G1734" s="7" t="s">
        <v>14255</v>
      </c>
      <c r="H1734" s="7" t="s">
        <v>14256</v>
      </c>
      <c r="I1734" s="119">
        <v>45292.0</v>
      </c>
      <c r="K1734" s="7" t="s">
        <v>419</v>
      </c>
      <c r="L1734" s="7" t="s">
        <v>991</v>
      </c>
      <c r="M1734" s="7" t="s">
        <v>3531</v>
      </c>
      <c r="N1734" s="7" t="s">
        <v>419</v>
      </c>
      <c r="O1734" s="7" t="s">
        <v>19430</v>
      </c>
      <c r="P1734" s="7" t="s">
        <v>717</v>
      </c>
      <c r="Q1734" s="7" t="s">
        <v>725</v>
      </c>
      <c r="R1734" s="7" t="s">
        <v>19501</v>
      </c>
      <c r="T1734" s="7" t="s">
        <v>14257</v>
      </c>
      <c r="U1734" s="7" t="s">
        <v>3493</v>
      </c>
      <c r="V1734" s="7">
        <v>1.0</v>
      </c>
    </row>
    <row r="1735">
      <c r="A1735" s="7" t="s">
        <v>21639</v>
      </c>
      <c r="B1735" s="7">
        <v>8543.0</v>
      </c>
      <c r="C1735" s="7" t="s">
        <v>14259</v>
      </c>
      <c r="D1735" s="7" t="s">
        <v>3727</v>
      </c>
      <c r="E1735" s="7" t="s">
        <v>14260</v>
      </c>
      <c r="F1735" s="7" t="s">
        <v>3729</v>
      </c>
      <c r="G1735" s="7" t="s">
        <v>14261</v>
      </c>
      <c r="H1735" s="7" t="s">
        <v>14262</v>
      </c>
      <c r="I1735" s="119">
        <v>45292.0</v>
      </c>
      <c r="K1735" s="7" t="s">
        <v>419</v>
      </c>
      <c r="L1735" s="7" t="s">
        <v>991</v>
      </c>
      <c r="M1735" s="7" t="s">
        <v>3531</v>
      </c>
      <c r="N1735" s="7" t="s">
        <v>419</v>
      </c>
      <c r="O1735" s="7" t="s">
        <v>19430</v>
      </c>
      <c r="P1735" s="7" t="s">
        <v>717</v>
      </c>
      <c r="Q1735" s="7" t="s">
        <v>1163</v>
      </c>
      <c r="R1735" s="7" t="s">
        <v>19546</v>
      </c>
      <c r="S1735" s="7" t="s">
        <v>19762</v>
      </c>
      <c r="T1735" s="7" t="s">
        <v>4558</v>
      </c>
      <c r="U1735" s="7" t="s">
        <v>3493</v>
      </c>
      <c r="V1735" s="7">
        <v>1.0</v>
      </c>
    </row>
    <row r="1736">
      <c r="A1736" s="7" t="s">
        <v>21640</v>
      </c>
      <c r="B1736" s="7">
        <v>994.0</v>
      </c>
      <c r="C1736" s="7" t="s">
        <v>7983</v>
      </c>
      <c r="D1736" s="7" t="s">
        <v>6575</v>
      </c>
      <c r="E1736" s="7" t="s">
        <v>14264</v>
      </c>
      <c r="F1736" s="7" t="s">
        <v>6576</v>
      </c>
      <c r="G1736" s="7" t="s">
        <v>14265</v>
      </c>
      <c r="H1736" s="7" t="s">
        <v>14266</v>
      </c>
      <c r="I1736" s="119">
        <v>45292.0</v>
      </c>
      <c r="K1736" s="7" t="s">
        <v>419</v>
      </c>
      <c r="L1736" s="7" t="s">
        <v>991</v>
      </c>
      <c r="M1736" s="7" t="s">
        <v>3501</v>
      </c>
      <c r="N1736" s="7" t="s">
        <v>419</v>
      </c>
      <c r="O1736" s="7" t="s">
        <v>19430</v>
      </c>
      <c r="P1736" s="7" t="s">
        <v>717</v>
      </c>
      <c r="Q1736" s="7" t="s">
        <v>730</v>
      </c>
      <c r="R1736" s="7" t="s">
        <v>20149</v>
      </c>
      <c r="S1736" s="7" t="s">
        <v>20313</v>
      </c>
      <c r="T1736" s="7" t="s">
        <v>7140</v>
      </c>
      <c r="U1736" s="7" t="s">
        <v>3493</v>
      </c>
      <c r="V1736" s="7">
        <v>1.0</v>
      </c>
    </row>
    <row r="1737">
      <c r="A1737" s="7" t="s">
        <v>21641</v>
      </c>
      <c r="B1737" s="7">
        <v>848.0</v>
      </c>
      <c r="C1737" s="7" t="s">
        <v>14268</v>
      </c>
      <c r="D1737" s="7" t="s">
        <v>13986</v>
      </c>
      <c r="E1737" s="7" t="s">
        <v>14269</v>
      </c>
      <c r="F1737" s="7" t="s">
        <v>10272</v>
      </c>
      <c r="G1737" s="7" t="s">
        <v>14270</v>
      </c>
      <c r="H1737" s="7" t="s">
        <v>14271</v>
      </c>
      <c r="I1737" s="119">
        <v>45292.0</v>
      </c>
      <c r="K1737" s="7" t="s">
        <v>419</v>
      </c>
      <c r="L1737" s="7" t="s">
        <v>991</v>
      </c>
      <c r="M1737" s="7" t="s">
        <v>3501</v>
      </c>
      <c r="N1737" s="7" t="s">
        <v>419</v>
      </c>
      <c r="O1737" s="7" t="s">
        <v>19440</v>
      </c>
      <c r="P1737" s="7" t="s">
        <v>3</v>
      </c>
      <c r="Q1737" s="7" t="s">
        <v>4</v>
      </c>
      <c r="R1737" s="7" t="s">
        <v>19614</v>
      </c>
      <c r="S1737" s="7" t="s">
        <v>19615</v>
      </c>
      <c r="T1737" s="7" t="s">
        <v>3981</v>
      </c>
      <c r="U1737" s="7" t="s">
        <v>3493</v>
      </c>
      <c r="V1737" s="7">
        <v>1.0</v>
      </c>
    </row>
    <row r="1738">
      <c r="A1738" s="7" t="s">
        <v>21642</v>
      </c>
      <c r="B1738" s="7">
        <v>2300542.0</v>
      </c>
      <c r="C1738" s="7" t="s">
        <v>14273</v>
      </c>
      <c r="D1738" s="7" t="s">
        <v>14274</v>
      </c>
      <c r="E1738" s="7" t="s">
        <v>14275</v>
      </c>
      <c r="F1738" s="7" t="s">
        <v>14276</v>
      </c>
      <c r="G1738" s="7" t="s">
        <v>14277</v>
      </c>
      <c r="H1738" s="7" t="s">
        <v>14278</v>
      </c>
      <c r="I1738" s="119">
        <v>45292.0</v>
      </c>
      <c r="K1738" s="7" t="s">
        <v>419</v>
      </c>
      <c r="L1738" s="7" t="s">
        <v>991</v>
      </c>
      <c r="M1738" s="7" t="s">
        <v>3501</v>
      </c>
      <c r="N1738" s="7" t="s">
        <v>419</v>
      </c>
      <c r="O1738" s="7" t="s">
        <v>19443</v>
      </c>
      <c r="P1738" s="7" t="s">
        <v>1242</v>
      </c>
      <c r="Q1738" s="7" t="s">
        <v>39</v>
      </c>
      <c r="R1738" s="7" t="s">
        <v>19712</v>
      </c>
      <c r="S1738" s="7" t="s">
        <v>20917</v>
      </c>
      <c r="T1738" s="7" t="s">
        <v>10259</v>
      </c>
      <c r="U1738" s="7" t="s">
        <v>3493</v>
      </c>
      <c r="V1738" s="7">
        <v>1.0</v>
      </c>
    </row>
    <row r="1739">
      <c r="A1739" s="7" t="s">
        <v>21643</v>
      </c>
      <c r="B1739" s="7">
        <v>10508.0</v>
      </c>
      <c r="C1739" s="7" t="s">
        <v>14280</v>
      </c>
      <c r="D1739" s="7" t="s">
        <v>14281</v>
      </c>
      <c r="E1739" s="7" t="s">
        <v>14282</v>
      </c>
      <c r="F1739" s="7" t="s">
        <v>14283</v>
      </c>
      <c r="G1739" s="7" t="s">
        <v>14284</v>
      </c>
      <c r="H1739" s="7" t="s">
        <v>14285</v>
      </c>
      <c r="I1739" s="119">
        <v>45292.0</v>
      </c>
      <c r="K1739" s="7" t="s">
        <v>419</v>
      </c>
      <c r="L1739" s="7" t="s">
        <v>991</v>
      </c>
      <c r="M1739" s="7" t="s">
        <v>3501</v>
      </c>
      <c r="N1739" s="7" t="s">
        <v>419</v>
      </c>
      <c r="O1739" s="7" t="s">
        <v>19430</v>
      </c>
      <c r="P1739" s="7" t="s">
        <v>717</v>
      </c>
      <c r="Q1739" s="7" t="s">
        <v>720</v>
      </c>
      <c r="R1739" s="7" t="s">
        <v>19823</v>
      </c>
      <c r="S1739" s="7" t="s">
        <v>21644</v>
      </c>
      <c r="T1739" s="7" t="s">
        <v>14287</v>
      </c>
      <c r="U1739" s="7" t="s">
        <v>3843</v>
      </c>
      <c r="V1739" s="7">
        <v>1.0</v>
      </c>
    </row>
    <row r="1740">
      <c r="A1740" s="7" t="s">
        <v>21645</v>
      </c>
      <c r="B1740" s="7">
        <v>1102.0</v>
      </c>
      <c r="C1740" s="7" t="s">
        <v>3990</v>
      </c>
      <c r="D1740" s="7" t="s">
        <v>14289</v>
      </c>
      <c r="E1740" s="7" t="s">
        <v>14290</v>
      </c>
      <c r="F1740" s="7" t="s">
        <v>14291</v>
      </c>
      <c r="G1740" s="7" t="s">
        <v>14292</v>
      </c>
      <c r="H1740" s="7" t="s">
        <v>14293</v>
      </c>
      <c r="I1740" s="119">
        <v>45292.0</v>
      </c>
      <c r="K1740" s="7" t="s">
        <v>419</v>
      </c>
      <c r="L1740" s="7" t="s">
        <v>991</v>
      </c>
      <c r="M1740" s="7" t="s">
        <v>3501</v>
      </c>
      <c r="N1740" s="7" t="s">
        <v>419</v>
      </c>
      <c r="O1740" s="7" t="s">
        <v>19432</v>
      </c>
      <c r="P1740" s="7" t="s">
        <v>298</v>
      </c>
      <c r="Q1740" s="7" t="s">
        <v>802</v>
      </c>
      <c r="R1740" s="7" t="s">
        <v>19827</v>
      </c>
      <c r="S1740" s="7" t="s">
        <v>20667</v>
      </c>
      <c r="T1740" s="7" t="s">
        <v>8934</v>
      </c>
      <c r="U1740" s="7" t="s">
        <v>3843</v>
      </c>
      <c r="V1740" s="7">
        <v>1.0</v>
      </c>
    </row>
    <row r="1741">
      <c r="A1741" s="7" t="s">
        <v>21646</v>
      </c>
      <c r="B1741" s="7">
        <v>2300086.0</v>
      </c>
      <c r="C1741" s="7" t="s">
        <v>14295</v>
      </c>
      <c r="D1741" s="7" t="s">
        <v>14296</v>
      </c>
      <c r="E1741" s="7" t="s">
        <v>14297</v>
      </c>
      <c r="F1741" s="7" t="s">
        <v>3580</v>
      </c>
      <c r="G1741" s="7" t="s">
        <v>14298</v>
      </c>
      <c r="H1741" s="7" t="s">
        <v>14299</v>
      </c>
      <c r="I1741" s="119">
        <v>45292.0</v>
      </c>
      <c r="K1741" s="7" t="s">
        <v>419</v>
      </c>
      <c r="L1741" s="7" t="s">
        <v>991</v>
      </c>
      <c r="M1741" s="7" t="s">
        <v>3531</v>
      </c>
      <c r="N1741" s="7" t="s">
        <v>419</v>
      </c>
      <c r="O1741" s="7" t="s">
        <v>19443</v>
      </c>
      <c r="P1741" s="7" t="s">
        <v>1242</v>
      </c>
      <c r="Q1741" s="7" t="s">
        <v>51</v>
      </c>
      <c r="R1741" s="7" t="s">
        <v>19574</v>
      </c>
      <c r="T1741" s="7" t="s">
        <v>10802</v>
      </c>
      <c r="U1741" s="7" t="s">
        <v>3493</v>
      </c>
      <c r="V1741" s="7">
        <v>1.0</v>
      </c>
    </row>
    <row r="1742">
      <c r="A1742" s="7" t="s">
        <v>21647</v>
      </c>
      <c r="B1742" s="7">
        <v>11422.0</v>
      </c>
      <c r="C1742" s="7" t="s">
        <v>14301</v>
      </c>
      <c r="D1742" s="7" t="s">
        <v>14302</v>
      </c>
      <c r="E1742" s="7" t="s">
        <v>6592</v>
      </c>
      <c r="F1742" s="7" t="s">
        <v>14303</v>
      </c>
      <c r="G1742" s="7" t="s">
        <v>14304</v>
      </c>
      <c r="H1742" s="7" t="s">
        <v>14305</v>
      </c>
      <c r="I1742" s="119">
        <v>45292.0</v>
      </c>
      <c r="K1742" s="7" t="s">
        <v>419</v>
      </c>
      <c r="L1742" s="7" t="s">
        <v>991</v>
      </c>
      <c r="M1742" s="7" t="s">
        <v>3501</v>
      </c>
      <c r="N1742" s="7" t="s">
        <v>419</v>
      </c>
      <c r="O1742" s="7" t="s">
        <v>19430</v>
      </c>
      <c r="P1742" s="7" t="s">
        <v>717</v>
      </c>
      <c r="Q1742" s="7" t="s">
        <v>720</v>
      </c>
      <c r="R1742" s="7" t="s">
        <v>19823</v>
      </c>
      <c r="S1742" s="7" t="s">
        <v>20106</v>
      </c>
      <c r="T1742" s="7" t="s">
        <v>6057</v>
      </c>
      <c r="U1742" s="7" t="s">
        <v>3493</v>
      </c>
      <c r="V1742" s="7">
        <v>1.0</v>
      </c>
    </row>
    <row r="1743">
      <c r="A1743" s="7" t="s">
        <v>21648</v>
      </c>
      <c r="B1743" s="7">
        <v>1282.0</v>
      </c>
      <c r="C1743" s="7" t="s">
        <v>11715</v>
      </c>
      <c r="D1743" s="7" t="s">
        <v>9656</v>
      </c>
      <c r="E1743" s="7" t="s">
        <v>6592</v>
      </c>
      <c r="F1743" s="7" t="s">
        <v>14307</v>
      </c>
      <c r="G1743" s="7" t="s">
        <v>14308</v>
      </c>
      <c r="H1743" s="7" t="s">
        <v>14309</v>
      </c>
      <c r="I1743" s="119">
        <v>45292.0</v>
      </c>
      <c r="K1743" s="7" t="s">
        <v>419</v>
      </c>
      <c r="L1743" s="7" t="s">
        <v>991</v>
      </c>
      <c r="M1743" s="7" t="s">
        <v>3501</v>
      </c>
      <c r="N1743" s="7" t="s">
        <v>419</v>
      </c>
      <c r="O1743" s="7" t="s">
        <v>19432</v>
      </c>
      <c r="P1743" s="7" t="s">
        <v>298</v>
      </c>
      <c r="Q1743" s="7" t="s">
        <v>802</v>
      </c>
      <c r="R1743" s="7" t="s">
        <v>19555</v>
      </c>
      <c r="T1743" s="7" t="s">
        <v>3778</v>
      </c>
      <c r="U1743" s="7" t="s">
        <v>3493</v>
      </c>
      <c r="V1743" s="7">
        <v>1.0</v>
      </c>
    </row>
    <row r="1744">
      <c r="A1744" s="7" t="s">
        <v>21649</v>
      </c>
      <c r="B1744" s="7">
        <v>13583.0</v>
      </c>
      <c r="C1744" s="7" t="s">
        <v>14311</v>
      </c>
      <c r="D1744" s="7" t="s">
        <v>14312</v>
      </c>
      <c r="E1744" s="7" t="s">
        <v>14313</v>
      </c>
      <c r="F1744" s="7" t="s">
        <v>14314</v>
      </c>
      <c r="G1744" s="7" t="s">
        <v>14315</v>
      </c>
      <c r="H1744" s="7" t="s">
        <v>14316</v>
      </c>
      <c r="I1744" s="119">
        <v>45292.0</v>
      </c>
      <c r="K1744" s="7" t="s">
        <v>419</v>
      </c>
      <c r="L1744" s="7" t="s">
        <v>991</v>
      </c>
      <c r="M1744" s="7" t="s">
        <v>3501</v>
      </c>
      <c r="N1744" s="7" t="s">
        <v>419</v>
      </c>
      <c r="O1744" s="7" t="s">
        <v>19430</v>
      </c>
      <c r="P1744" s="7" t="s">
        <v>717</v>
      </c>
      <c r="Q1744" s="7" t="s">
        <v>251</v>
      </c>
      <c r="R1744" s="7" t="s">
        <v>19530</v>
      </c>
      <c r="S1744" s="7" t="s">
        <v>19648</v>
      </c>
      <c r="T1744" s="7" t="s">
        <v>4121</v>
      </c>
      <c r="U1744" s="7" t="s">
        <v>3843</v>
      </c>
      <c r="V1744" s="7">
        <v>1.0</v>
      </c>
    </row>
    <row r="1745">
      <c r="A1745" s="7" t="s">
        <v>21650</v>
      </c>
      <c r="B1745" s="7">
        <v>2100681.0</v>
      </c>
      <c r="C1745" s="7" t="s">
        <v>14318</v>
      </c>
      <c r="D1745" s="7" t="s">
        <v>14319</v>
      </c>
      <c r="E1745" s="7" t="s">
        <v>14320</v>
      </c>
      <c r="F1745" s="7" t="s">
        <v>14321</v>
      </c>
      <c r="G1745" s="7" t="s">
        <v>14322</v>
      </c>
      <c r="H1745" s="7" t="s">
        <v>14323</v>
      </c>
      <c r="I1745" s="119">
        <v>45292.0</v>
      </c>
      <c r="K1745" s="7" t="s">
        <v>419</v>
      </c>
      <c r="L1745" s="7" t="s">
        <v>991</v>
      </c>
      <c r="M1745" s="7" t="s">
        <v>3531</v>
      </c>
      <c r="N1745" s="7" t="s">
        <v>419</v>
      </c>
      <c r="O1745" s="7" t="s">
        <v>19443</v>
      </c>
      <c r="P1745" s="7" t="s">
        <v>323</v>
      </c>
      <c r="Q1745" s="7" t="s">
        <v>324</v>
      </c>
      <c r="T1745" s="7" t="s">
        <v>7948</v>
      </c>
      <c r="U1745" s="7" t="s">
        <v>3493</v>
      </c>
      <c r="V1745" s="7">
        <v>1.0</v>
      </c>
    </row>
    <row r="1746">
      <c r="A1746" s="7" t="s">
        <v>21651</v>
      </c>
      <c r="B1746" s="7">
        <v>2300630.0</v>
      </c>
      <c r="C1746" s="7" t="s">
        <v>14325</v>
      </c>
      <c r="D1746" s="7" t="s">
        <v>8442</v>
      </c>
      <c r="E1746" s="7" t="s">
        <v>14326</v>
      </c>
      <c r="F1746" s="7" t="s">
        <v>4929</v>
      </c>
      <c r="G1746" s="7" t="s">
        <v>14327</v>
      </c>
      <c r="H1746" s="7" t="s">
        <v>14328</v>
      </c>
      <c r="I1746" s="119">
        <v>45292.0</v>
      </c>
      <c r="K1746" s="7" t="s">
        <v>419</v>
      </c>
      <c r="L1746" s="7" t="s">
        <v>991</v>
      </c>
      <c r="M1746" s="7" t="s">
        <v>3501</v>
      </c>
      <c r="N1746" s="7" t="s">
        <v>419</v>
      </c>
      <c r="O1746" s="7" t="s">
        <v>19432</v>
      </c>
      <c r="P1746" s="7" t="s">
        <v>693</v>
      </c>
      <c r="Q1746" s="7" t="s">
        <v>701</v>
      </c>
      <c r="R1746" s="7" t="s">
        <v>20244</v>
      </c>
      <c r="T1746" s="7" t="s">
        <v>6754</v>
      </c>
      <c r="U1746" s="7" t="s">
        <v>3604</v>
      </c>
      <c r="V1746" s="7">
        <v>1.0</v>
      </c>
    </row>
    <row r="1747">
      <c r="A1747" s="7" t="s">
        <v>21652</v>
      </c>
      <c r="B1747" s="7">
        <v>2200483.0</v>
      </c>
      <c r="C1747" s="7" t="s">
        <v>14330</v>
      </c>
      <c r="D1747" s="7" t="s">
        <v>10171</v>
      </c>
      <c r="E1747" s="7" t="s">
        <v>14331</v>
      </c>
      <c r="F1747" s="7" t="s">
        <v>10171</v>
      </c>
      <c r="G1747" s="7" t="s">
        <v>14332</v>
      </c>
      <c r="H1747" s="7" t="s">
        <v>14333</v>
      </c>
      <c r="I1747" s="119">
        <v>45292.0</v>
      </c>
      <c r="K1747" s="7" t="s">
        <v>419</v>
      </c>
      <c r="L1747" s="7" t="s">
        <v>991</v>
      </c>
      <c r="M1747" s="7" t="s">
        <v>3501</v>
      </c>
      <c r="N1747" s="7" t="s">
        <v>419</v>
      </c>
      <c r="O1747" s="7" t="s">
        <v>19430</v>
      </c>
      <c r="P1747" s="7" t="s">
        <v>717</v>
      </c>
      <c r="Q1747" s="7" t="s">
        <v>1163</v>
      </c>
      <c r="R1747" s="7" t="s">
        <v>20110</v>
      </c>
      <c r="S1747" s="7" t="s">
        <v>20111</v>
      </c>
      <c r="T1747" s="7" t="s">
        <v>6084</v>
      </c>
      <c r="U1747" s="7" t="s">
        <v>3493</v>
      </c>
      <c r="V1747" s="7">
        <v>1.0</v>
      </c>
    </row>
    <row r="1748">
      <c r="A1748" s="7" t="s">
        <v>21653</v>
      </c>
      <c r="B1748" s="7">
        <v>12845.0</v>
      </c>
      <c r="C1748" s="7" t="s">
        <v>14335</v>
      </c>
      <c r="D1748" s="7" t="s">
        <v>14336</v>
      </c>
      <c r="E1748" s="7" t="s">
        <v>14337</v>
      </c>
      <c r="F1748" s="7" t="s">
        <v>13027</v>
      </c>
      <c r="G1748" s="7" t="s">
        <v>14338</v>
      </c>
      <c r="H1748" s="7" t="s">
        <v>14339</v>
      </c>
      <c r="I1748" s="119">
        <v>45292.0</v>
      </c>
      <c r="K1748" s="7" t="s">
        <v>419</v>
      </c>
      <c r="L1748" s="7" t="s">
        <v>991</v>
      </c>
      <c r="M1748" s="7" t="s">
        <v>3501</v>
      </c>
      <c r="N1748" s="7" t="s">
        <v>419</v>
      </c>
      <c r="O1748" s="7" t="s">
        <v>19430</v>
      </c>
      <c r="P1748" s="7" t="s">
        <v>717</v>
      </c>
      <c r="Q1748" s="7" t="s">
        <v>223</v>
      </c>
      <c r="R1748" s="7" t="s">
        <v>19566</v>
      </c>
      <c r="S1748" s="7" t="s">
        <v>19588</v>
      </c>
      <c r="T1748" s="7" t="s">
        <v>20685</v>
      </c>
      <c r="U1748" s="7" t="s">
        <v>3493</v>
      </c>
      <c r="V1748" s="7">
        <v>1.0</v>
      </c>
    </row>
    <row r="1749">
      <c r="A1749" s="7" t="s">
        <v>21654</v>
      </c>
      <c r="B1749" s="7">
        <v>2300301.0</v>
      </c>
      <c r="C1749" s="7" t="s">
        <v>14341</v>
      </c>
      <c r="D1749" s="7" t="s">
        <v>14342</v>
      </c>
      <c r="E1749" s="7" t="s">
        <v>14343</v>
      </c>
      <c r="F1749" s="7" t="s">
        <v>9456</v>
      </c>
      <c r="G1749" s="7" t="s">
        <v>14344</v>
      </c>
      <c r="I1749" s="119">
        <v>45292.0</v>
      </c>
      <c r="K1749" s="7" t="s">
        <v>419</v>
      </c>
      <c r="L1749" s="7" t="s">
        <v>991</v>
      </c>
      <c r="M1749" s="7" t="s">
        <v>3531</v>
      </c>
      <c r="N1749" s="7" t="s">
        <v>419</v>
      </c>
      <c r="O1749" s="7" t="s">
        <v>19430</v>
      </c>
      <c r="P1749" s="7" t="s">
        <v>854</v>
      </c>
      <c r="Q1749" s="7" t="s">
        <v>859</v>
      </c>
      <c r="T1749" s="7" t="s">
        <v>3821</v>
      </c>
      <c r="U1749" s="7" t="s">
        <v>3493</v>
      </c>
      <c r="V1749" s="7">
        <v>1.0</v>
      </c>
    </row>
    <row r="1750">
      <c r="A1750" s="7" t="s">
        <v>21655</v>
      </c>
      <c r="B1750" s="7">
        <v>2300190.0</v>
      </c>
      <c r="C1750" s="7" t="s">
        <v>14346</v>
      </c>
      <c r="D1750" s="7" t="s">
        <v>14347</v>
      </c>
      <c r="E1750" s="7" t="s">
        <v>14348</v>
      </c>
      <c r="F1750" s="7" t="s">
        <v>14349</v>
      </c>
      <c r="G1750" s="7" t="s">
        <v>14350</v>
      </c>
      <c r="H1750" s="7" t="s">
        <v>14351</v>
      </c>
      <c r="I1750" s="119">
        <v>45292.0</v>
      </c>
      <c r="K1750" s="7" t="s">
        <v>419</v>
      </c>
      <c r="L1750" s="7" t="s">
        <v>991</v>
      </c>
      <c r="M1750" s="7" t="s">
        <v>3501</v>
      </c>
      <c r="N1750" s="7" t="s">
        <v>419</v>
      </c>
      <c r="O1750" s="7" t="s">
        <v>19432</v>
      </c>
      <c r="P1750" s="7" t="s">
        <v>391</v>
      </c>
      <c r="Q1750" s="7" t="s">
        <v>392</v>
      </c>
      <c r="R1750" s="7" t="s">
        <v>19552</v>
      </c>
      <c r="T1750" s="7" t="s">
        <v>6965</v>
      </c>
      <c r="U1750" s="7" t="s">
        <v>3493</v>
      </c>
      <c r="V1750" s="7">
        <v>1.0</v>
      </c>
    </row>
    <row r="1751">
      <c r="A1751" s="7" t="s">
        <v>21656</v>
      </c>
      <c r="B1751" s="7">
        <v>10317.0</v>
      </c>
      <c r="C1751" s="7" t="s">
        <v>14346</v>
      </c>
      <c r="D1751" s="7" t="s">
        <v>9805</v>
      </c>
      <c r="E1751" s="7" t="s">
        <v>14348</v>
      </c>
      <c r="F1751" s="7" t="s">
        <v>4598</v>
      </c>
      <c r="G1751" s="7" t="s">
        <v>14353</v>
      </c>
      <c r="H1751" s="7" t="s">
        <v>14354</v>
      </c>
      <c r="I1751" s="119">
        <v>45292.0</v>
      </c>
      <c r="K1751" s="7" t="s">
        <v>419</v>
      </c>
      <c r="L1751" s="7" t="s">
        <v>991</v>
      </c>
      <c r="M1751" s="7" t="s">
        <v>3501</v>
      </c>
      <c r="N1751" s="7" t="s">
        <v>419</v>
      </c>
      <c r="O1751" s="7" t="s">
        <v>19430</v>
      </c>
      <c r="P1751" s="7" t="s">
        <v>717</v>
      </c>
      <c r="Q1751" s="7" t="s">
        <v>722</v>
      </c>
      <c r="R1751" s="7" t="s">
        <v>19787</v>
      </c>
      <c r="S1751" s="7" t="s">
        <v>21228</v>
      </c>
      <c r="T1751" s="7" t="s">
        <v>21229</v>
      </c>
      <c r="U1751" s="7" t="s">
        <v>3843</v>
      </c>
      <c r="V1751" s="7">
        <v>1.0</v>
      </c>
    </row>
    <row r="1752">
      <c r="A1752" s="7" t="s">
        <v>21657</v>
      </c>
      <c r="B1752" s="7">
        <v>1041.0</v>
      </c>
      <c r="C1752" s="7" t="s">
        <v>14357</v>
      </c>
      <c r="D1752" s="7" t="s">
        <v>14358</v>
      </c>
      <c r="E1752" s="7" t="s">
        <v>14359</v>
      </c>
      <c r="F1752" s="7" t="s">
        <v>3909</v>
      </c>
      <c r="G1752" s="7" t="s">
        <v>14360</v>
      </c>
      <c r="H1752" s="7" t="s">
        <v>14361</v>
      </c>
      <c r="I1752" s="119">
        <v>45292.0</v>
      </c>
      <c r="K1752" s="7" t="s">
        <v>419</v>
      </c>
      <c r="L1752" s="7" t="s">
        <v>991</v>
      </c>
      <c r="M1752" s="7" t="s">
        <v>3501</v>
      </c>
      <c r="N1752" s="7" t="s">
        <v>419</v>
      </c>
      <c r="O1752" s="7" t="s">
        <v>19430</v>
      </c>
      <c r="P1752" s="7" t="s">
        <v>717</v>
      </c>
      <c r="Q1752" s="7" t="s">
        <v>223</v>
      </c>
      <c r="R1752" s="7" t="s">
        <v>19764</v>
      </c>
      <c r="S1752" s="7" t="s">
        <v>20036</v>
      </c>
      <c r="T1752" s="7" t="s">
        <v>5756</v>
      </c>
      <c r="U1752" s="7" t="s">
        <v>3493</v>
      </c>
      <c r="V1752" s="7">
        <v>1.0</v>
      </c>
    </row>
    <row r="1753">
      <c r="A1753" s="7" t="s">
        <v>21658</v>
      </c>
      <c r="B1753" s="7">
        <v>13814.0</v>
      </c>
      <c r="C1753" s="7" t="s">
        <v>14363</v>
      </c>
      <c r="D1753" s="7" t="s">
        <v>4943</v>
      </c>
      <c r="E1753" s="7" t="s">
        <v>14364</v>
      </c>
      <c r="F1753" s="7" t="s">
        <v>3792</v>
      </c>
      <c r="G1753" s="7" t="s">
        <v>14365</v>
      </c>
      <c r="H1753" s="7" t="s">
        <v>14366</v>
      </c>
      <c r="I1753" s="119">
        <v>45292.0</v>
      </c>
      <c r="K1753" s="7" t="s">
        <v>419</v>
      </c>
      <c r="L1753" s="7" t="s">
        <v>991</v>
      </c>
      <c r="M1753" s="7" t="s">
        <v>3501</v>
      </c>
      <c r="N1753" s="7" t="s">
        <v>419</v>
      </c>
      <c r="O1753" s="7" t="s">
        <v>19443</v>
      </c>
      <c r="P1753" s="7" t="s">
        <v>323</v>
      </c>
      <c r="Q1753" s="7" t="s">
        <v>824</v>
      </c>
      <c r="R1753" s="7" t="s">
        <v>20407</v>
      </c>
      <c r="T1753" s="7" t="s">
        <v>8908</v>
      </c>
      <c r="U1753" s="7" t="s">
        <v>3493</v>
      </c>
      <c r="V1753" s="7">
        <v>1.0</v>
      </c>
    </row>
    <row r="1754">
      <c r="A1754" s="7" t="s">
        <v>21659</v>
      </c>
      <c r="B1754" s="7">
        <v>2200428.0</v>
      </c>
      <c r="C1754" s="7" t="s">
        <v>14368</v>
      </c>
      <c r="D1754" s="7" t="s">
        <v>5041</v>
      </c>
      <c r="E1754" s="7" t="s">
        <v>14369</v>
      </c>
      <c r="F1754" s="7" t="s">
        <v>4314</v>
      </c>
      <c r="G1754" s="7" t="s">
        <v>14370</v>
      </c>
      <c r="H1754" s="7" t="s">
        <v>14371</v>
      </c>
      <c r="I1754" s="119">
        <v>45292.0</v>
      </c>
      <c r="K1754" s="7" t="s">
        <v>419</v>
      </c>
      <c r="L1754" s="7" t="s">
        <v>991</v>
      </c>
      <c r="M1754" s="7" t="s">
        <v>3531</v>
      </c>
      <c r="N1754" s="7" t="s">
        <v>419</v>
      </c>
      <c r="O1754" s="7" t="s">
        <v>19433</v>
      </c>
      <c r="P1754" s="7" t="s">
        <v>587</v>
      </c>
      <c r="Q1754" s="7" t="s">
        <v>74</v>
      </c>
      <c r="R1754" s="7" t="s">
        <v>19911</v>
      </c>
      <c r="T1754" s="7" t="s">
        <v>5198</v>
      </c>
      <c r="U1754" s="7" t="s">
        <v>3493</v>
      </c>
      <c r="V1754" s="7">
        <v>1.0</v>
      </c>
    </row>
    <row r="1755">
      <c r="A1755" s="7" t="s">
        <v>21660</v>
      </c>
      <c r="B1755" s="7">
        <v>2200613.0</v>
      </c>
      <c r="C1755" s="7" t="s">
        <v>14373</v>
      </c>
      <c r="D1755" s="7" t="s">
        <v>5284</v>
      </c>
      <c r="E1755" s="7" t="s">
        <v>14374</v>
      </c>
      <c r="F1755" s="7" t="s">
        <v>5286</v>
      </c>
      <c r="G1755" s="7" t="s">
        <v>14375</v>
      </c>
      <c r="H1755" s="7" t="s">
        <v>14376</v>
      </c>
      <c r="I1755" s="119">
        <v>45292.0</v>
      </c>
      <c r="K1755" s="7" t="s">
        <v>419</v>
      </c>
      <c r="L1755" s="7" t="s">
        <v>991</v>
      </c>
      <c r="M1755" s="7" t="s">
        <v>3531</v>
      </c>
      <c r="N1755" s="7" t="s">
        <v>419</v>
      </c>
      <c r="O1755" s="7" t="s">
        <v>19430</v>
      </c>
      <c r="P1755" s="7" t="s">
        <v>717</v>
      </c>
      <c r="Q1755" s="7" t="s">
        <v>1163</v>
      </c>
      <c r="R1755" s="7" t="s">
        <v>19608</v>
      </c>
      <c r="S1755" s="7" t="s">
        <v>19618</v>
      </c>
      <c r="T1755" s="7" t="s">
        <v>3997</v>
      </c>
      <c r="U1755" s="7" t="s">
        <v>3493</v>
      </c>
      <c r="V1755" s="7">
        <v>1.0</v>
      </c>
    </row>
    <row r="1756">
      <c r="A1756" s="7" t="s">
        <v>21661</v>
      </c>
      <c r="B1756" s="7">
        <v>348.0</v>
      </c>
      <c r="C1756" s="7" t="s">
        <v>14373</v>
      </c>
      <c r="D1756" s="7" t="s">
        <v>14378</v>
      </c>
      <c r="E1756" s="7" t="s">
        <v>14374</v>
      </c>
      <c r="F1756" s="7" t="s">
        <v>14379</v>
      </c>
      <c r="G1756" s="7" t="s">
        <v>14380</v>
      </c>
      <c r="H1756" s="7" t="s">
        <v>14381</v>
      </c>
      <c r="I1756" s="119">
        <v>45292.0</v>
      </c>
      <c r="K1756" s="7" t="s">
        <v>419</v>
      </c>
      <c r="L1756" s="7" t="s">
        <v>991</v>
      </c>
      <c r="M1756" s="7" t="s">
        <v>3501</v>
      </c>
      <c r="N1756" s="7" t="s">
        <v>419</v>
      </c>
      <c r="O1756" s="7" t="s">
        <v>19433</v>
      </c>
      <c r="P1756" s="7" t="s">
        <v>648</v>
      </c>
      <c r="Q1756" s="7" t="s">
        <v>141</v>
      </c>
      <c r="R1756" s="7" t="s">
        <v>19886</v>
      </c>
      <c r="S1756" s="7" t="s">
        <v>20331</v>
      </c>
      <c r="T1756" s="7" t="s">
        <v>7253</v>
      </c>
      <c r="U1756" s="7" t="s">
        <v>3493</v>
      </c>
      <c r="V1756" s="7">
        <v>1.0</v>
      </c>
    </row>
    <row r="1757">
      <c r="A1757" s="7" t="s">
        <v>21662</v>
      </c>
      <c r="B1757" s="7">
        <v>2300069.0</v>
      </c>
      <c r="C1757" s="7" t="s">
        <v>14373</v>
      </c>
      <c r="D1757" s="7" t="s">
        <v>14383</v>
      </c>
      <c r="E1757" s="7" t="s">
        <v>14374</v>
      </c>
      <c r="F1757" s="7" t="s">
        <v>9501</v>
      </c>
      <c r="G1757" s="7" t="s">
        <v>14384</v>
      </c>
      <c r="H1757" s="7" t="s">
        <v>14385</v>
      </c>
      <c r="I1757" s="119">
        <v>45292.0</v>
      </c>
      <c r="K1757" s="7" t="s">
        <v>419</v>
      </c>
      <c r="L1757" s="7" t="s">
        <v>991</v>
      </c>
      <c r="M1757" s="7" t="s">
        <v>3531</v>
      </c>
      <c r="N1757" s="7" t="s">
        <v>419</v>
      </c>
      <c r="O1757" s="7" t="s">
        <v>19430</v>
      </c>
      <c r="P1757" s="7" t="s">
        <v>717</v>
      </c>
      <c r="Q1757" s="7" t="s">
        <v>725</v>
      </c>
      <c r="R1757" s="7" t="s">
        <v>19501</v>
      </c>
      <c r="S1757" s="7" t="s">
        <v>19643</v>
      </c>
      <c r="T1757" s="7" t="s">
        <v>4097</v>
      </c>
      <c r="U1757" s="7" t="s">
        <v>3493</v>
      </c>
      <c r="V1757" s="7">
        <v>1.0</v>
      </c>
    </row>
    <row r="1758">
      <c r="A1758" s="7" t="s">
        <v>21663</v>
      </c>
      <c r="B1758" s="7">
        <v>11683.0</v>
      </c>
      <c r="C1758" s="7" t="s">
        <v>14387</v>
      </c>
      <c r="D1758" s="7" t="s">
        <v>9805</v>
      </c>
      <c r="E1758" s="7" t="s">
        <v>14388</v>
      </c>
      <c r="F1758" s="7" t="s">
        <v>4598</v>
      </c>
      <c r="G1758" s="7" t="s">
        <v>14389</v>
      </c>
      <c r="H1758" s="7" t="s">
        <v>14390</v>
      </c>
      <c r="I1758" s="119">
        <v>45292.0</v>
      </c>
      <c r="K1758" s="7" t="s">
        <v>419</v>
      </c>
      <c r="L1758" s="7" t="s">
        <v>991</v>
      </c>
      <c r="M1758" s="7" t="s">
        <v>3501</v>
      </c>
      <c r="N1758" s="7" t="s">
        <v>419</v>
      </c>
      <c r="O1758" s="7" t="s">
        <v>19430</v>
      </c>
      <c r="P1758" s="7" t="s">
        <v>717</v>
      </c>
      <c r="Q1758" s="7" t="s">
        <v>251</v>
      </c>
      <c r="R1758" s="7" t="s">
        <v>20620</v>
      </c>
      <c r="T1758" s="7" t="s">
        <v>8648</v>
      </c>
      <c r="U1758" s="7" t="s">
        <v>3493</v>
      </c>
      <c r="V1758" s="7">
        <v>1.0</v>
      </c>
    </row>
    <row r="1759">
      <c r="A1759" s="7" t="s">
        <v>21664</v>
      </c>
      <c r="B1759" s="7">
        <v>2200298.0</v>
      </c>
      <c r="C1759" s="7" t="s">
        <v>14392</v>
      </c>
      <c r="D1759" s="7" t="s">
        <v>14393</v>
      </c>
      <c r="E1759" s="7" t="s">
        <v>14394</v>
      </c>
      <c r="F1759" s="7" t="s">
        <v>4068</v>
      </c>
      <c r="G1759" s="7" t="s">
        <v>14395</v>
      </c>
      <c r="H1759" s="7" t="s">
        <v>14396</v>
      </c>
      <c r="I1759" s="119">
        <v>45292.0</v>
      </c>
      <c r="K1759" s="7" t="s">
        <v>419</v>
      </c>
      <c r="L1759" s="7" t="s">
        <v>991</v>
      </c>
      <c r="M1759" s="7" t="s">
        <v>3501</v>
      </c>
      <c r="N1759" s="7" t="s">
        <v>419</v>
      </c>
      <c r="O1759" s="7" t="s">
        <v>19430</v>
      </c>
      <c r="P1759" s="7" t="s">
        <v>717</v>
      </c>
      <c r="Q1759" s="7" t="s">
        <v>251</v>
      </c>
      <c r="R1759" s="7" t="s">
        <v>19513</v>
      </c>
      <c r="T1759" s="7" t="s">
        <v>21665</v>
      </c>
      <c r="U1759" s="7" t="s">
        <v>3604</v>
      </c>
      <c r="V1759" s="7">
        <v>1.0</v>
      </c>
    </row>
    <row r="1760">
      <c r="A1760" s="7" t="s">
        <v>2027</v>
      </c>
      <c r="B1760" s="7">
        <v>884.0</v>
      </c>
      <c r="C1760" s="7" t="s">
        <v>14399</v>
      </c>
      <c r="D1760" s="7" t="s">
        <v>8604</v>
      </c>
      <c r="E1760" s="7" t="s">
        <v>14394</v>
      </c>
      <c r="F1760" s="7" t="s">
        <v>8606</v>
      </c>
      <c r="G1760" s="7" t="s">
        <v>14400</v>
      </c>
      <c r="H1760" s="7" t="s">
        <v>14401</v>
      </c>
      <c r="I1760" s="119">
        <v>45292.0</v>
      </c>
      <c r="K1760" s="7" t="s">
        <v>14402</v>
      </c>
      <c r="L1760" s="7" t="s">
        <v>3542</v>
      </c>
      <c r="M1760" s="7" t="s">
        <v>3563</v>
      </c>
      <c r="N1760" s="7" t="s">
        <v>419</v>
      </c>
      <c r="O1760" s="7" t="s">
        <v>19440</v>
      </c>
      <c r="P1760" s="7" t="s">
        <v>613</v>
      </c>
      <c r="Q1760" s="7" t="s">
        <v>104</v>
      </c>
      <c r="T1760" s="7" t="s">
        <v>10667</v>
      </c>
      <c r="U1760" s="7" t="s">
        <v>5585</v>
      </c>
      <c r="V1760" s="7">
        <v>1.0</v>
      </c>
    </row>
    <row r="1761">
      <c r="A1761" s="7" t="s">
        <v>21666</v>
      </c>
      <c r="B1761" s="7">
        <v>13146.0</v>
      </c>
      <c r="C1761" s="7" t="s">
        <v>14406</v>
      </c>
      <c r="D1761" s="7" t="s">
        <v>14407</v>
      </c>
      <c r="E1761" s="7" t="s">
        <v>14394</v>
      </c>
      <c r="F1761" s="7" t="s">
        <v>6806</v>
      </c>
      <c r="G1761" s="7" t="s">
        <v>14408</v>
      </c>
      <c r="H1761" s="7" t="s">
        <v>14409</v>
      </c>
      <c r="I1761" s="119">
        <v>45292.0</v>
      </c>
      <c r="K1761" s="7" t="s">
        <v>419</v>
      </c>
      <c r="L1761" s="7" t="s">
        <v>991</v>
      </c>
      <c r="M1761" s="7" t="s">
        <v>3531</v>
      </c>
      <c r="N1761" s="7" t="s">
        <v>419</v>
      </c>
      <c r="O1761" s="7" t="s">
        <v>19432</v>
      </c>
      <c r="P1761" s="7" t="s">
        <v>298</v>
      </c>
      <c r="Q1761" s="7" t="s">
        <v>1284</v>
      </c>
      <c r="R1761" s="7" t="s">
        <v>20579</v>
      </c>
      <c r="S1761" s="7" t="s">
        <v>20580</v>
      </c>
      <c r="T1761" s="7" t="s">
        <v>11111</v>
      </c>
      <c r="U1761" s="7" t="s">
        <v>3493</v>
      </c>
      <c r="V1761" s="7">
        <v>1.0</v>
      </c>
    </row>
    <row r="1762">
      <c r="A1762" s="7" t="s">
        <v>21667</v>
      </c>
      <c r="B1762" s="7">
        <v>2100563.0</v>
      </c>
      <c r="C1762" s="7" t="s">
        <v>14411</v>
      </c>
      <c r="D1762" s="7" t="s">
        <v>14412</v>
      </c>
      <c r="E1762" s="7" t="s">
        <v>14394</v>
      </c>
      <c r="F1762" s="7" t="s">
        <v>6431</v>
      </c>
      <c r="G1762" s="7" t="s">
        <v>14413</v>
      </c>
      <c r="H1762" s="7" t="s">
        <v>14414</v>
      </c>
      <c r="I1762" s="119">
        <v>45292.0</v>
      </c>
      <c r="K1762" s="7" t="s">
        <v>419</v>
      </c>
      <c r="L1762" s="7" t="s">
        <v>991</v>
      </c>
      <c r="M1762" s="7" t="s">
        <v>3531</v>
      </c>
      <c r="N1762" s="7" t="s">
        <v>419</v>
      </c>
      <c r="O1762" s="7" t="s">
        <v>19443</v>
      </c>
      <c r="P1762" s="7" t="s">
        <v>323</v>
      </c>
      <c r="Q1762" s="7" t="s">
        <v>824</v>
      </c>
      <c r="R1762" s="7" t="s">
        <v>20407</v>
      </c>
      <c r="T1762" s="7" t="s">
        <v>8908</v>
      </c>
      <c r="U1762" s="7" t="s">
        <v>3493</v>
      </c>
      <c r="V1762" s="7">
        <v>1.0</v>
      </c>
    </row>
    <row r="1763">
      <c r="A1763" s="7" t="s">
        <v>21668</v>
      </c>
      <c r="B1763" s="7">
        <v>2300009.0</v>
      </c>
      <c r="C1763" s="7" t="s">
        <v>14399</v>
      </c>
      <c r="D1763" s="7" t="s">
        <v>14416</v>
      </c>
      <c r="E1763" s="7" t="s">
        <v>14394</v>
      </c>
      <c r="F1763" s="7" t="s">
        <v>14417</v>
      </c>
      <c r="G1763" s="7" t="s">
        <v>14418</v>
      </c>
      <c r="H1763" s="7" t="s">
        <v>14419</v>
      </c>
      <c r="I1763" s="119">
        <v>45292.0</v>
      </c>
      <c r="K1763" s="7" t="s">
        <v>419</v>
      </c>
      <c r="L1763" s="7" t="s">
        <v>991</v>
      </c>
      <c r="M1763" s="7" t="s">
        <v>3531</v>
      </c>
      <c r="N1763" s="7" t="s">
        <v>419</v>
      </c>
      <c r="O1763" s="7" t="s">
        <v>19432</v>
      </c>
      <c r="P1763" s="7" t="s">
        <v>693</v>
      </c>
      <c r="Q1763" s="7" t="s">
        <v>698</v>
      </c>
      <c r="R1763" s="7" t="s">
        <v>20444</v>
      </c>
      <c r="S1763" s="7" t="s">
        <v>20691</v>
      </c>
      <c r="T1763" s="7" t="s">
        <v>9073</v>
      </c>
      <c r="U1763" s="7" t="s">
        <v>3493</v>
      </c>
      <c r="V1763" s="7">
        <v>1.0</v>
      </c>
    </row>
    <row r="1764">
      <c r="A1764" s="7" t="s">
        <v>21669</v>
      </c>
      <c r="B1764" s="7">
        <v>13584.0</v>
      </c>
      <c r="C1764" s="7" t="s">
        <v>14399</v>
      </c>
      <c r="D1764" s="7" t="s">
        <v>14421</v>
      </c>
      <c r="E1764" s="7" t="s">
        <v>14394</v>
      </c>
      <c r="F1764" s="7" t="s">
        <v>14422</v>
      </c>
      <c r="G1764" s="7" t="s">
        <v>14423</v>
      </c>
      <c r="H1764" s="7" t="s">
        <v>14424</v>
      </c>
      <c r="I1764" s="119">
        <v>45292.0</v>
      </c>
      <c r="K1764" s="7" t="s">
        <v>419</v>
      </c>
      <c r="L1764" s="7" t="s">
        <v>991</v>
      </c>
      <c r="M1764" s="7" t="s">
        <v>3501</v>
      </c>
      <c r="N1764" s="7" t="s">
        <v>419</v>
      </c>
      <c r="O1764" s="7" t="s">
        <v>19430</v>
      </c>
      <c r="P1764" s="7" t="s">
        <v>717</v>
      </c>
      <c r="Q1764" s="7" t="s">
        <v>223</v>
      </c>
      <c r="R1764" s="7" t="s">
        <v>20315</v>
      </c>
      <c r="S1764" s="7" t="s">
        <v>20316</v>
      </c>
      <c r="T1764" s="7" t="s">
        <v>7148</v>
      </c>
      <c r="U1764" s="7" t="s">
        <v>3843</v>
      </c>
      <c r="V1764" s="7">
        <v>1.0</v>
      </c>
    </row>
    <row r="1765">
      <c r="A1765" s="7" t="s">
        <v>21670</v>
      </c>
      <c r="B1765" s="7">
        <v>1258.0</v>
      </c>
      <c r="C1765" s="7" t="s">
        <v>14392</v>
      </c>
      <c r="D1765" s="7" t="s">
        <v>5694</v>
      </c>
      <c r="E1765" s="7" t="s">
        <v>14394</v>
      </c>
      <c r="F1765" s="7" t="s">
        <v>4707</v>
      </c>
      <c r="G1765" s="7" t="s">
        <v>14426</v>
      </c>
      <c r="H1765" s="7" t="s">
        <v>14427</v>
      </c>
      <c r="I1765" s="119">
        <v>45292.0</v>
      </c>
      <c r="K1765" s="7" t="s">
        <v>419</v>
      </c>
      <c r="L1765" s="7" t="s">
        <v>991</v>
      </c>
      <c r="M1765" s="7" t="s">
        <v>3501</v>
      </c>
      <c r="N1765" s="7" t="s">
        <v>419</v>
      </c>
      <c r="O1765" s="7" t="s">
        <v>19433</v>
      </c>
      <c r="P1765" s="7" t="s">
        <v>648</v>
      </c>
      <c r="Q1765" s="7" t="s">
        <v>143</v>
      </c>
      <c r="R1765" s="7" t="s">
        <v>19563</v>
      </c>
      <c r="S1765" s="7" t="s">
        <v>21368</v>
      </c>
      <c r="T1765" s="7" t="s">
        <v>12769</v>
      </c>
      <c r="U1765" s="7" t="s">
        <v>3843</v>
      </c>
      <c r="V1765" s="7">
        <v>1.0</v>
      </c>
    </row>
    <row r="1766">
      <c r="A1766" s="7" t="s">
        <v>21671</v>
      </c>
      <c r="B1766" s="7">
        <v>13310.0</v>
      </c>
      <c r="C1766" s="7" t="s">
        <v>14399</v>
      </c>
      <c r="D1766" s="7" t="s">
        <v>10055</v>
      </c>
      <c r="E1766" s="7" t="s">
        <v>14394</v>
      </c>
      <c r="F1766" s="7" t="s">
        <v>10057</v>
      </c>
      <c r="G1766" s="7" t="s">
        <v>14429</v>
      </c>
      <c r="H1766" s="7" t="s">
        <v>14430</v>
      </c>
      <c r="I1766" s="119">
        <v>45292.0</v>
      </c>
      <c r="K1766" s="7" t="s">
        <v>3489</v>
      </c>
      <c r="L1766" s="7" t="s">
        <v>991</v>
      </c>
      <c r="M1766" s="7" t="s">
        <v>3490</v>
      </c>
      <c r="N1766" s="7" t="s">
        <v>3489</v>
      </c>
      <c r="O1766" s="7" t="s">
        <v>3489</v>
      </c>
      <c r="P1766" s="7" t="s">
        <v>19491</v>
      </c>
      <c r="Q1766" s="7" t="s">
        <v>169</v>
      </c>
      <c r="R1766" s="7" t="s">
        <v>19492</v>
      </c>
      <c r="T1766" s="7" t="s">
        <v>3492</v>
      </c>
      <c r="U1766" s="7" t="s">
        <v>3493</v>
      </c>
      <c r="V1766" s="7">
        <v>1.0</v>
      </c>
    </row>
    <row r="1767">
      <c r="A1767" s="7" t="s">
        <v>21672</v>
      </c>
      <c r="B1767" s="7">
        <v>895.0</v>
      </c>
      <c r="C1767" s="7" t="s">
        <v>14399</v>
      </c>
      <c r="D1767" s="7" t="s">
        <v>14432</v>
      </c>
      <c r="E1767" s="7" t="s">
        <v>14394</v>
      </c>
      <c r="F1767" s="7" t="s">
        <v>8877</v>
      </c>
      <c r="G1767" s="7" t="s">
        <v>14433</v>
      </c>
      <c r="H1767" s="7" t="s">
        <v>14434</v>
      </c>
      <c r="I1767" s="119">
        <v>45292.0</v>
      </c>
      <c r="K1767" s="7" t="s">
        <v>419</v>
      </c>
      <c r="L1767" s="7" t="s">
        <v>991</v>
      </c>
      <c r="M1767" s="7" t="s">
        <v>3501</v>
      </c>
      <c r="N1767" s="7" t="s">
        <v>419</v>
      </c>
      <c r="O1767" s="7" t="s">
        <v>19443</v>
      </c>
      <c r="P1767" s="7" t="s">
        <v>323</v>
      </c>
      <c r="Q1767" s="7" t="s">
        <v>824</v>
      </c>
      <c r="T1767" s="7" t="s">
        <v>19460</v>
      </c>
      <c r="U1767" s="7" t="s">
        <v>3493</v>
      </c>
      <c r="V1767" s="7">
        <v>1.0</v>
      </c>
    </row>
    <row r="1768">
      <c r="A1768" s="7" t="s">
        <v>21673</v>
      </c>
      <c r="B1768" s="7">
        <v>2100334.0</v>
      </c>
      <c r="C1768" s="7" t="s">
        <v>14406</v>
      </c>
      <c r="D1768" s="7" t="s">
        <v>14437</v>
      </c>
      <c r="E1768" s="7" t="s">
        <v>14394</v>
      </c>
      <c r="F1768" s="7" t="s">
        <v>14438</v>
      </c>
      <c r="G1768" s="7" t="s">
        <v>14439</v>
      </c>
      <c r="H1768" s="7" t="s">
        <v>14440</v>
      </c>
      <c r="I1768" s="119">
        <v>45292.0</v>
      </c>
      <c r="J1768" s="7" t="s">
        <v>3929</v>
      </c>
      <c r="K1768" s="7" t="s">
        <v>419</v>
      </c>
      <c r="L1768" s="7" t="s">
        <v>991</v>
      </c>
      <c r="M1768" s="7" t="s">
        <v>3501</v>
      </c>
      <c r="N1768" s="7" t="s">
        <v>419</v>
      </c>
      <c r="O1768" s="7" t="s">
        <v>19432</v>
      </c>
      <c r="P1768" s="7" t="s">
        <v>693</v>
      </c>
      <c r="Q1768" s="7" t="s">
        <v>698</v>
      </c>
      <c r="R1768" s="7" t="s">
        <v>19783</v>
      </c>
      <c r="S1768" s="7" t="s">
        <v>19874</v>
      </c>
      <c r="T1768" s="7" t="s">
        <v>4995</v>
      </c>
      <c r="U1768" s="7" t="s">
        <v>3493</v>
      </c>
      <c r="V1768" s="7">
        <v>1.0</v>
      </c>
    </row>
    <row r="1769">
      <c r="A1769" s="7" t="s">
        <v>21674</v>
      </c>
      <c r="B1769" s="7">
        <v>11955.0</v>
      </c>
      <c r="C1769" s="7" t="s">
        <v>14406</v>
      </c>
      <c r="D1769" s="7" t="s">
        <v>8796</v>
      </c>
      <c r="E1769" s="7" t="s">
        <v>14394</v>
      </c>
      <c r="F1769" s="7" t="s">
        <v>11585</v>
      </c>
      <c r="G1769" s="7" t="s">
        <v>14442</v>
      </c>
      <c r="H1769" s="7" t="s">
        <v>14443</v>
      </c>
      <c r="I1769" s="119">
        <v>45292.0</v>
      </c>
      <c r="K1769" s="7" t="s">
        <v>419</v>
      </c>
      <c r="L1769" s="7" t="s">
        <v>991</v>
      </c>
      <c r="M1769" s="7" t="s">
        <v>3501</v>
      </c>
      <c r="N1769" s="7" t="s">
        <v>419</v>
      </c>
      <c r="O1769" s="7" t="s">
        <v>19430</v>
      </c>
      <c r="P1769" s="7" t="s">
        <v>717</v>
      </c>
      <c r="Q1769" s="7" t="s">
        <v>1163</v>
      </c>
      <c r="R1769" s="7" t="s">
        <v>19601</v>
      </c>
      <c r="S1769" s="7" t="s">
        <v>19602</v>
      </c>
      <c r="T1769" s="7" t="s">
        <v>3931</v>
      </c>
      <c r="U1769" s="7" t="s">
        <v>3843</v>
      </c>
      <c r="V1769" s="7">
        <v>1.0</v>
      </c>
    </row>
    <row r="1770">
      <c r="A1770" s="7" t="s">
        <v>21675</v>
      </c>
      <c r="B1770" s="7">
        <v>12291.0</v>
      </c>
      <c r="C1770" s="7" t="s">
        <v>14392</v>
      </c>
      <c r="D1770" s="7" t="s">
        <v>14445</v>
      </c>
      <c r="E1770" s="7" t="s">
        <v>14394</v>
      </c>
      <c r="F1770" s="7" t="s">
        <v>9116</v>
      </c>
      <c r="G1770" s="7" t="s">
        <v>14446</v>
      </c>
      <c r="H1770" s="7" t="s">
        <v>14447</v>
      </c>
      <c r="I1770" s="119">
        <v>45292.0</v>
      </c>
      <c r="K1770" s="7" t="s">
        <v>419</v>
      </c>
      <c r="L1770" s="7" t="s">
        <v>991</v>
      </c>
      <c r="M1770" s="7" t="s">
        <v>3501</v>
      </c>
      <c r="N1770" s="7" t="s">
        <v>419</v>
      </c>
      <c r="O1770" s="7" t="s">
        <v>19430</v>
      </c>
      <c r="P1770" s="7" t="s">
        <v>717</v>
      </c>
      <c r="Q1770" s="7" t="s">
        <v>720</v>
      </c>
      <c r="R1770" s="7" t="s">
        <v>20223</v>
      </c>
      <c r="T1770" s="7" t="s">
        <v>6638</v>
      </c>
      <c r="U1770" s="7" t="s">
        <v>3493</v>
      </c>
      <c r="V1770" s="7">
        <v>1.0</v>
      </c>
    </row>
    <row r="1771">
      <c r="A1771" s="7" t="s">
        <v>21676</v>
      </c>
      <c r="B1771" s="7">
        <v>2100141.0</v>
      </c>
      <c r="C1771" s="7" t="s">
        <v>14399</v>
      </c>
      <c r="D1771" s="7" t="s">
        <v>14449</v>
      </c>
      <c r="E1771" s="7" t="s">
        <v>14394</v>
      </c>
      <c r="F1771" s="7" t="s">
        <v>7673</v>
      </c>
      <c r="G1771" s="7" t="s">
        <v>14450</v>
      </c>
      <c r="H1771" s="7" t="s">
        <v>14451</v>
      </c>
      <c r="I1771" s="119">
        <v>45292.0</v>
      </c>
      <c r="K1771" s="7" t="s">
        <v>419</v>
      </c>
      <c r="L1771" s="7" t="s">
        <v>991</v>
      </c>
      <c r="M1771" s="7" t="s">
        <v>3501</v>
      </c>
      <c r="N1771" s="7" t="s">
        <v>419</v>
      </c>
      <c r="O1771" s="7" t="s">
        <v>19443</v>
      </c>
      <c r="P1771" s="7" t="s">
        <v>323</v>
      </c>
      <c r="Q1771" s="7" t="s">
        <v>824</v>
      </c>
      <c r="R1771" s="7" t="s">
        <v>19698</v>
      </c>
      <c r="T1771" s="7" t="s">
        <v>4297</v>
      </c>
      <c r="U1771" s="7" t="s">
        <v>3493</v>
      </c>
      <c r="V1771" s="7">
        <v>1.0</v>
      </c>
    </row>
    <row r="1772">
      <c r="A1772" s="7" t="s">
        <v>1421</v>
      </c>
      <c r="B1772" s="7">
        <v>597.0</v>
      </c>
      <c r="C1772" s="7" t="s">
        <v>14411</v>
      </c>
      <c r="D1772" s="7" t="s">
        <v>14452</v>
      </c>
      <c r="E1772" s="7" t="s">
        <v>14394</v>
      </c>
      <c r="F1772" s="7" t="s">
        <v>3954</v>
      </c>
      <c r="G1772" s="7" t="s">
        <v>14453</v>
      </c>
      <c r="H1772" s="7" t="s">
        <v>14454</v>
      </c>
      <c r="I1772" s="119">
        <v>45292.0</v>
      </c>
      <c r="K1772" s="7" t="s">
        <v>419</v>
      </c>
      <c r="L1772" s="7" t="s">
        <v>991</v>
      </c>
      <c r="M1772" s="7" t="s">
        <v>3501</v>
      </c>
      <c r="N1772" s="7" t="s">
        <v>419</v>
      </c>
      <c r="O1772" s="7" t="s">
        <v>19443</v>
      </c>
      <c r="P1772" s="7" t="s">
        <v>1242</v>
      </c>
      <c r="Q1772" s="7" t="s">
        <v>48</v>
      </c>
      <c r="T1772" s="7" t="s">
        <v>10546</v>
      </c>
      <c r="U1772" s="7" t="s">
        <v>5585</v>
      </c>
      <c r="V1772" s="7">
        <v>1.0</v>
      </c>
    </row>
    <row r="1773">
      <c r="A1773" s="7" t="s">
        <v>21677</v>
      </c>
      <c r="B1773" s="7">
        <v>11841.0</v>
      </c>
      <c r="C1773" s="7" t="s">
        <v>14399</v>
      </c>
      <c r="D1773" s="7" t="s">
        <v>6059</v>
      </c>
      <c r="E1773" s="7" t="s">
        <v>14394</v>
      </c>
      <c r="F1773" s="7" t="s">
        <v>6061</v>
      </c>
      <c r="G1773" s="7" t="s">
        <v>14456</v>
      </c>
      <c r="H1773" s="7" t="s">
        <v>14457</v>
      </c>
      <c r="I1773" s="119">
        <v>45292.0</v>
      </c>
      <c r="K1773" s="7" t="s">
        <v>419</v>
      </c>
      <c r="L1773" s="7" t="s">
        <v>991</v>
      </c>
      <c r="M1773" s="7" t="s">
        <v>3501</v>
      </c>
      <c r="N1773" s="7" t="s">
        <v>419</v>
      </c>
      <c r="O1773" s="7" t="s">
        <v>19430</v>
      </c>
      <c r="P1773" s="7" t="s">
        <v>854</v>
      </c>
      <c r="Q1773" s="7" t="s">
        <v>173</v>
      </c>
      <c r="R1773" s="7" t="s">
        <v>19566</v>
      </c>
      <c r="T1773" s="7" t="s">
        <v>3810</v>
      </c>
      <c r="U1773" s="7" t="s">
        <v>3493</v>
      </c>
      <c r="V1773" s="7">
        <v>1.0</v>
      </c>
    </row>
    <row r="1774">
      <c r="A1774" s="7" t="s">
        <v>21678</v>
      </c>
      <c r="B1774" s="7">
        <v>11765.0</v>
      </c>
      <c r="C1774" s="7" t="s">
        <v>14399</v>
      </c>
      <c r="D1774" s="7" t="s">
        <v>14460</v>
      </c>
      <c r="E1774" s="7" t="s">
        <v>14394</v>
      </c>
      <c r="F1774" s="7" t="s">
        <v>14461</v>
      </c>
      <c r="G1774" s="7" t="s">
        <v>14462</v>
      </c>
      <c r="H1774" s="7" t="s">
        <v>14463</v>
      </c>
      <c r="I1774" s="119">
        <v>45292.0</v>
      </c>
      <c r="K1774" s="7" t="s">
        <v>419</v>
      </c>
      <c r="L1774" s="7" t="s">
        <v>991</v>
      </c>
      <c r="M1774" s="7" t="s">
        <v>3501</v>
      </c>
      <c r="N1774" s="7" t="s">
        <v>419</v>
      </c>
      <c r="O1774" s="7" t="s">
        <v>19432</v>
      </c>
      <c r="P1774" s="7" t="s">
        <v>391</v>
      </c>
      <c r="Q1774" s="7" t="s">
        <v>392</v>
      </c>
      <c r="R1774" s="7" t="s">
        <v>20982</v>
      </c>
      <c r="T1774" s="7" t="s">
        <v>11498</v>
      </c>
      <c r="U1774" s="7" t="s">
        <v>3604</v>
      </c>
      <c r="V1774" s="7">
        <v>1.0</v>
      </c>
    </row>
    <row r="1775">
      <c r="A1775" s="7" t="s">
        <v>21679</v>
      </c>
      <c r="B1775" s="7">
        <v>11688.0</v>
      </c>
      <c r="C1775" s="7" t="s">
        <v>14465</v>
      </c>
      <c r="D1775" s="7" t="s">
        <v>4320</v>
      </c>
      <c r="E1775" s="7" t="s">
        <v>14466</v>
      </c>
      <c r="F1775" s="7" t="s">
        <v>4321</v>
      </c>
      <c r="G1775" s="7" t="s">
        <v>14467</v>
      </c>
      <c r="H1775" s="7" t="s">
        <v>14468</v>
      </c>
      <c r="I1775" s="119">
        <v>45292.0</v>
      </c>
      <c r="K1775" s="7" t="s">
        <v>419</v>
      </c>
      <c r="L1775" s="7" t="s">
        <v>991</v>
      </c>
      <c r="M1775" s="7" t="s">
        <v>3501</v>
      </c>
      <c r="N1775" s="7" t="s">
        <v>419</v>
      </c>
      <c r="O1775" s="7" t="s">
        <v>19443</v>
      </c>
      <c r="P1775" s="7" t="s">
        <v>1242</v>
      </c>
      <c r="Q1775" s="7" t="s">
        <v>51</v>
      </c>
      <c r="R1775" s="7" t="s">
        <v>20172</v>
      </c>
      <c r="T1775" s="7" t="s">
        <v>6403</v>
      </c>
      <c r="U1775" s="7" t="s">
        <v>3604</v>
      </c>
      <c r="V1775" s="7">
        <v>1.0</v>
      </c>
    </row>
    <row r="1776">
      <c r="A1776" s="7" t="s">
        <v>21680</v>
      </c>
      <c r="B1776" s="7">
        <v>185.0</v>
      </c>
      <c r="C1776" s="7" t="s">
        <v>14411</v>
      </c>
      <c r="D1776" s="7" t="s">
        <v>14470</v>
      </c>
      <c r="E1776" s="7" t="s">
        <v>14471</v>
      </c>
      <c r="F1776" s="7" t="s">
        <v>6089</v>
      </c>
      <c r="G1776" s="7" t="s">
        <v>14472</v>
      </c>
      <c r="H1776" s="7" t="s">
        <v>14473</v>
      </c>
      <c r="I1776" s="119">
        <v>45292.0</v>
      </c>
      <c r="K1776" s="7" t="s">
        <v>419</v>
      </c>
      <c r="L1776" s="7" t="s">
        <v>991</v>
      </c>
      <c r="M1776" s="7" t="s">
        <v>3501</v>
      </c>
      <c r="N1776" s="7" t="s">
        <v>419</v>
      </c>
      <c r="O1776" s="7" t="s">
        <v>19443</v>
      </c>
      <c r="P1776" s="7" t="s">
        <v>1242</v>
      </c>
      <c r="Q1776" s="7" t="s">
        <v>48</v>
      </c>
      <c r="R1776" s="7" t="s">
        <v>19700</v>
      </c>
      <c r="S1776" s="7" t="s">
        <v>19701</v>
      </c>
      <c r="T1776" s="7" t="s">
        <v>4304</v>
      </c>
      <c r="U1776" s="7" t="s">
        <v>3493</v>
      </c>
      <c r="V1776" s="7">
        <v>1.0</v>
      </c>
    </row>
    <row r="1777">
      <c r="A1777" s="7" t="s">
        <v>21681</v>
      </c>
      <c r="B1777" s="7">
        <v>2200438.0</v>
      </c>
      <c r="C1777" s="7" t="s">
        <v>14411</v>
      </c>
      <c r="D1777" s="7" t="s">
        <v>14475</v>
      </c>
      <c r="E1777" s="7" t="s">
        <v>14471</v>
      </c>
      <c r="F1777" s="7" t="s">
        <v>4598</v>
      </c>
      <c r="G1777" s="7" t="s">
        <v>14476</v>
      </c>
      <c r="H1777" s="7" t="s">
        <v>14477</v>
      </c>
      <c r="I1777" s="119">
        <v>45292.0</v>
      </c>
      <c r="K1777" s="7" t="s">
        <v>419</v>
      </c>
      <c r="L1777" s="7" t="s">
        <v>991</v>
      </c>
      <c r="M1777" s="7" t="s">
        <v>3501</v>
      </c>
      <c r="N1777" s="7" t="s">
        <v>419</v>
      </c>
      <c r="O1777" s="7" t="s">
        <v>19430</v>
      </c>
      <c r="P1777" s="7" t="s">
        <v>717</v>
      </c>
      <c r="Q1777" s="7" t="s">
        <v>730</v>
      </c>
      <c r="R1777" s="7" t="s">
        <v>20097</v>
      </c>
      <c r="S1777" s="7" t="s">
        <v>21682</v>
      </c>
      <c r="T1777" s="7" t="s">
        <v>14479</v>
      </c>
      <c r="U1777" s="7" t="s">
        <v>3843</v>
      </c>
      <c r="V1777" s="7">
        <v>1.0</v>
      </c>
    </row>
    <row r="1778">
      <c r="A1778" s="7" t="s">
        <v>21683</v>
      </c>
      <c r="B1778" s="7">
        <v>2400072.0</v>
      </c>
      <c r="C1778" s="7" t="s">
        <v>3727</v>
      </c>
      <c r="D1778" s="7" t="s">
        <v>14481</v>
      </c>
      <c r="E1778" s="7" t="s">
        <v>3729</v>
      </c>
      <c r="F1778" s="7" t="s">
        <v>5514</v>
      </c>
      <c r="G1778" s="7" t="s">
        <v>14482</v>
      </c>
      <c r="I1778" s="119">
        <v>45307.0</v>
      </c>
      <c r="K1778" s="7" t="s">
        <v>419</v>
      </c>
      <c r="L1778" s="7" t="s">
        <v>991</v>
      </c>
      <c r="M1778" s="7" t="s">
        <v>3531</v>
      </c>
      <c r="N1778" s="7" t="s">
        <v>419</v>
      </c>
      <c r="O1778" s="7" t="s">
        <v>19432</v>
      </c>
      <c r="P1778" s="7" t="s">
        <v>391</v>
      </c>
      <c r="T1778" s="7" t="s">
        <v>9103</v>
      </c>
      <c r="U1778" s="7" t="s">
        <v>3493</v>
      </c>
      <c r="V1778" s="7">
        <v>1.0</v>
      </c>
    </row>
    <row r="1779">
      <c r="A1779" s="7" t="s">
        <v>21684</v>
      </c>
      <c r="B1779" s="7">
        <v>2400064.0</v>
      </c>
      <c r="C1779" s="7" t="s">
        <v>14484</v>
      </c>
      <c r="D1779" s="7" t="s">
        <v>4510</v>
      </c>
      <c r="E1779" s="7" t="s">
        <v>14485</v>
      </c>
      <c r="F1779" s="7" t="s">
        <v>4511</v>
      </c>
      <c r="G1779" s="7" t="s">
        <v>14486</v>
      </c>
      <c r="H1779" s="7" t="s">
        <v>14487</v>
      </c>
      <c r="I1779" s="119">
        <v>45307.0</v>
      </c>
      <c r="K1779" s="7" t="s">
        <v>419</v>
      </c>
      <c r="L1779" s="7" t="s">
        <v>991</v>
      </c>
      <c r="M1779" s="7" t="s">
        <v>3583</v>
      </c>
      <c r="N1779" s="7" t="s">
        <v>419</v>
      </c>
      <c r="O1779" s="7" t="s">
        <v>19440</v>
      </c>
      <c r="P1779" s="7" t="s">
        <v>613</v>
      </c>
      <c r="Q1779" s="7" t="s">
        <v>104</v>
      </c>
      <c r="R1779" s="7" t="s">
        <v>19738</v>
      </c>
      <c r="S1779" s="7" t="s">
        <v>20767</v>
      </c>
      <c r="T1779" s="7" t="s">
        <v>13677</v>
      </c>
      <c r="U1779" s="7" t="s">
        <v>3493</v>
      </c>
      <c r="V1779" s="7">
        <v>1.0</v>
      </c>
    </row>
    <row r="1780">
      <c r="A1780" s="7" t="s">
        <v>21685</v>
      </c>
      <c r="B1780" s="7">
        <v>2400058.0</v>
      </c>
      <c r="C1780" s="7" t="s">
        <v>14489</v>
      </c>
      <c r="D1780" s="7" t="s">
        <v>14490</v>
      </c>
      <c r="E1780" s="7" t="s">
        <v>14491</v>
      </c>
      <c r="F1780" s="7" t="s">
        <v>14492</v>
      </c>
      <c r="G1780" s="7" t="s">
        <v>14493</v>
      </c>
      <c r="H1780" s="7" t="s">
        <v>14494</v>
      </c>
      <c r="I1780" s="119">
        <v>45307.0</v>
      </c>
      <c r="K1780" s="7" t="s">
        <v>419</v>
      </c>
      <c r="L1780" s="7" t="s">
        <v>991</v>
      </c>
      <c r="M1780" s="7" t="s">
        <v>3501</v>
      </c>
      <c r="N1780" s="7" t="s">
        <v>419</v>
      </c>
      <c r="O1780" s="7" t="s">
        <v>19430</v>
      </c>
      <c r="P1780" s="7" t="s">
        <v>780</v>
      </c>
      <c r="Q1780" s="7" t="s">
        <v>284</v>
      </c>
      <c r="R1780" s="7" t="s">
        <v>19554</v>
      </c>
      <c r="T1780" s="7" t="s">
        <v>5454</v>
      </c>
      <c r="U1780" s="7" t="s">
        <v>3493</v>
      </c>
      <c r="V1780" s="7">
        <v>1.0</v>
      </c>
    </row>
    <row r="1781">
      <c r="A1781" s="7" t="s">
        <v>21686</v>
      </c>
      <c r="B1781" s="7">
        <v>2400041.0</v>
      </c>
      <c r="C1781" s="7" t="s">
        <v>14496</v>
      </c>
      <c r="D1781" s="7" t="s">
        <v>14497</v>
      </c>
      <c r="E1781" s="7" t="s">
        <v>14498</v>
      </c>
      <c r="F1781" s="7" t="s">
        <v>14499</v>
      </c>
      <c r="G1781" s="7" t="s">
        <v>14500</v>
      </c>
      <c r="H1781" s="7" t="s">
        <v>14501</v>
      </c>
      <c r="I1781" s="119">
        <v>45307.0</v>
      </c>
      <c r="K1781" s="7" t="s">
        <v>3642</v>
      </c>
      <c r="L1781" s="7" t="s">
        <v>991</v>
      </c>
      <c r="M1781" s="7" t="s">
        <v>3501</v>
      </c>
      <c r="N1781" s="7" t="s">
        <v>3642</v>
      </c>
      <c r="O1781" s="7" t="s">
        <v>3642</v>
      </c>
      <c r="P1781" s="7" t="s">
        <v>19524</v>
      </c>
      <c r="T1781" s="7" t="s">
        <v>3644</v>
      </c>
      <c r="U1781" s="7" t="s">
        <v>3493</v>
      </c>
      <c r="V1781" s="7">
        <v>1.0</v>
      </c>
    </row>
    <row r="1782">
      <c r="A1782" s="7" t="s">
        <v>21687</v>
      </c>
      <c r="B1782" s="7">
        <v>2400047.0</v>
      </c>
      <c r="C1782" s="7" t="s">
        <v>5976</v>
      </c>
      <c r="D1782" s="7" t="s">
        <v>13825</v>
      </c>
      <c r="E1782" s="7" t="s">
        <v>5977</v>
      </c>
      <c r="F1782" s="7" t="s">
        <v>14503</v>
      </c>
      <c r="G1782" s="7" t="s">
        <v>14504</v>
      </c>
      <c r="H1782" s="7" t="s">
        <v>14505</v>
      </c>
      <c r="I1782" s="119">
        <v>45307.0</v>
      </c>
      <c r="K1782" s="7" t="s">
        <v>3642</v>
      </c>
      <c r="L1782" s="7" t="s">
        <v>991</v>
      </c>
      <c r="M1782" s="7" t="s">
        <v>3501</v>
      </c>
      <c r="N1782" s="7" t="s">
        <v>3642</v>
      </c>
      <c r="O1782" s="7" t="s">
        <v>3642</v>
      </c>
      <c r="P1782" s="7" t="s">
        <v>19524</v>
      </c>
      <c r="T1782" s="7" t="s">
        <v>3644</v>
      </c>
      <c r="U1782" s="7" t="s">
        <v>3493</v>
      </c>
      <c r="V1782" s="7">
        <v>1.0</v>
      </c>
    </row>
    <row r="1783">
      <c r="A1783" s="7" t="s">
        <v>21688</v>
      </c>
      <c r="B1783" s="7">
        <v>2400060.0</v>
      </c>
      <c r="C1783" s="7" t="s">
        <v>14507</v>
      </c>
      <c r="D1783" s="7" t="s">
        <v>14508</v>
      </c>
      <c r="E1783" s="7" t="s">
        <v>14509</v>
      </c>
      <c r="F1783" s="7" t="s">
        <v>14510</v>
      </c>
      <c r="G1783" s="7" t="s">
        <v>14511</v>
      </c>
      <c r="H1783" s="7" t="s">
        <v>14512</v>
      </c>
      <c r="I1783" s="119">
        <v>45307.0</v>
      </c>
      <c r="K1783" s="7" t="s">
        <v>3632</v>
      </c>
      <c r="L1783" s="7" t="s">
        <v>991</v>
      </c>
      <c r="M1783" s="7" t="s">
        <v>3583</v>
      </c>
      <c r="N1783" s="7" t="s">
        <v>3632</v>
      </c>
      <c r="O1783" s="7" t="s">
        <v>3632</v>
      </c>
      <c r="P1783" s="7" t="s">
        <v>19462</v>
      </c>
      <c r="Q1783" s="7" t="s">
        <v>19463</v>
      </c>
      <c r="R1783" s="7" t="s">
        <v>19883</v>
      </c>
      <c r="T1783" s="7" t="s">
        <v>15149</v>
      </c>
      <c r="U1783" s="7" t="s">
        <v>3493</v>
      </c>
      <c r="V1783" s="7">
        <v>1.0</v>
      </c>
    </row>
    <row r="1784">
      <c r="A1784" s="7" t="s">
        <v>21689</v>
      </c>
      <c r="B1784" s="7">
        <v>2400049.0</v>
      </c>
      <c r="C1784" s="7" t="s">
        <v>14514</v>
      </c>
      <c r="D1784" s="7" t="s">
        <v>14515</v>
      </c>
      <c r="E1784" s="7" t="s">
        <v>14516</v>
      </c>
      <c r="F1784" s="7" t="s">
        <v>5312</v>
      </c>
      <c r="G1784" s="7" t="s">
        <v>14517</v>
      </c>
      <c r="H1784" s="7" t="s">
        <v>14518</v>
      </c>
      <c r="I1784" s="119">
        <v>45307.0</v>
      </c>
      <c r="K1784" s="7" t="s">
        <v>3642</v>
      </c>
      <c r="L1784" s="7" t="s">
        <v>991</v>
      </c>
      <c r="M1784" s="7" t="s">
        <v>3501</v>
      </c>
      <c r="N1784" s="7" t="s">
        <v>3642</v>
      </c>
      <c r="O1784" s="7" t="s">
        <v>3642</v>
      </c>
      <c r="P1784" s="7" t="s">
        <v>19524</v>
      </c>
      <c r="T1784" s="7" t="s">
        <v>3644</v>
      </c>
      <c r="U1784" s="7" t="s">
        <v>3493</v>
      </c>
      <c r="V1784" s="7">
        <v>1.0</v>
      </c>
    </row>
    <row r="1785">
      <c r="A1785" s="7" t="s">
        <v>21690</v>
      </c>
      <c r="B1785" s="7">
        <v>2400056.0</v>
      </c>
      <c r="C1785" s="7" t="s">
        <v>7234</v>
      </c>
      <c r="D1785" s="7" t="s">
        <v>3720</v>
      </c>
      <c r="E1785" s="7" t="s">
        <v>7236</v>
      </c>
      <c r="F1785" s="7" t="s">
        <v>3721</v>
      </c>
      <c r="G1785" s="7" t="s">
        <v>14520</v>
      </c>
      <c r="H1785" s="7" t="s">
        <v>14521</v>
      </c>
      <c r="I1785" s="119">
        <v>45307.0</v>
      </c>
      <c r="K1785" s="7" t="s">
        <v>3642</v>
      </c>
      <c r="L1785" s="7" t="s">
        <v>991</v>
      </c>
      <c r="M1785" s="7" t="s">
        <v>3501</v>
      </c>
      <c r="N1785" s="7" t="s">
        <v>3642</v>
      </c>
      <c r="O1785" s="7" t="s">
        <v>3642</v>
      </c>
      <c r="P1785" s="7" t="s">
        <v>19524</v>
      </c>
      <c r="T1785" s="7" t="s">
        <v>3644</v>
      </c>
      <c r="U1785" s="7" t="s">
        <v>3493</v>
      </c>
      <c r="V1785" s="7">
        <v>1.0</v>
      </c>
    </row>
    <row r="1786">
      <c r="A1786" s="7" t="s">
        <v>21691</v>
      </c>
      <c r="B1786" s="7">
        <v>2400053.0</v>
      </c>
      <c r="C1786" s="7" t="s">
        <v>14523</v>
      </c>
      <c r="D1786" s="7" t="s">
        <v>9960</v>
      </c>
      <c r="E1786" s="7" t="s">
        <v>7619</v>
      </c>
      <c r="F1786" s="7" t="s">
        <v>3656</v>
      </c>
      <c r="G1786" s="7" t="s">
        <v>14524</v>
      </c>
      <c r="H1786" s="7" t="s">
        <v>14525</v>
      </c>
      <c r="I1786" s="119">
        <v>45307.0</v>
      </c>
      <c r="K1786" s="7" t="s">
        <v>3642</v>
      </c>
      <c r="L1786" s="7" t="s">
        <v>991</v>
      </c>
      <c r="M1786" s="7" t="s">
        <v>3501</v>
      </c>
      <c r="N1786" s="7" t="s">
        <v>3642</v>
      </c>
      <c r="O1786" s="7" t="s">
        <v>3642</v>
      </c>
      <c r="P1786" s="7" t="s">
        <v>19524</v>
      </c>
      <c r="T1786" s="7" t="s">
        <v>3644</v>
      </c>
      <c r="U1786" s="7" t="s">
        <v>3493</v>
      </c>
      <c r="V1786" s="7">
        <v>1.0</v>
      </c>
    </row>
    <row r="1787">
      <c r="A1787" s="7" t="s">
        <v>21692</v>
      </c>
      <c r="B1787" s="7">
        <v>2400059.0</v>
      </c>
      <c r="C1787" s="7" t="s">
        <v>14527</v>
      </c>
      <c r="D1787" s="7" t="s">
        <v>14528</v>
      </c>
      <c r="E1787" s="7" t="s">
        <v>14529</v>
      </c>
      <c r="F1787" s="7" t="s">
        <v>3874</v>
      </c>
      <c r="G1787" s="7" t="s">
        <v>14530</v>
      </c>
      <c r="H1787" s="7" t="s">
        <v>14531</v>
      </c>
      <c r="I1787" s="119">
        <v>45307.0</v>
      </c>
      <c r="K1787" s="7" t="s">
        <v>419</v>
      </c>
      <c r="L1787" s="7" t="s">
        <v>991</v>
      </c>
      <c r="M1787" s="7" t="s">
        <v>3501</v>
      </c>
      <c r="N1787" s="7" t="s">
        <v>419</v>
      </c>
      <c r="O1787" s="7" t="s">
        <v>19430</v>
      </c>
      <c r="P1787" s="7" t="s">
        <v>780</v>
      </c>
      <c r="Q1787" s="7" t="s">
        <v>786</v>
      </c>
      <c r="R1787" s="7" t="s">
        <v>19559</v>
      </c>
      <c r="S1787" s="7" t="s">
        <v>20647</v>
      </c>
      <c r="T1787" s="7" t="s">
        <v>8809</v>
      </c>
      <c r="U1787" s="7" t="s">
        <v>3493</v>
      </c>
      <c r="V1787" s="7">
        <v>1.0</v>
      </c>
    </row>
    <row r="1788">
      <c r="A1788" s="7" t="s">
        <v>21693</v>
      </c>
      <c r="B1788" s="7">
        <v>2400061.0</v>
      </c>
      <c r="C1788" s="7" t="s">
        <v>8284</v>
      </c>
      <c r="D1788" s="7" t="s">
        <v>14534</v>
      </c>
      <c r="E1788" s="7" t="s">
        <v>8285</v>
      </c>
      <c r="F1788" s="7" t="s">
        <v>4357</v>
      </c>
      <c r="G1788" s="7" t="s">
        <v>14535</v>
      </c>
      <c r="H1788" s="7" t="s">
        <v>14536</v>
      </c>
      <c r="I1788" s="119">
        <v>45307.0</v>
      </c>
      <c r="K1788" s="7" t="s">
        <v>419</v>
      </c>
      <c r="L1788" s="7" t="s">
        <v>991</v>
      </c>
      <c r="M1788" s="7" t="s">
        <v>3501</v>
      </c>
      <c r="N1788" s="7" t="s">
        <v>419</v>
      </c>
      <c r="O1788" s="7" t="s">
        <v>19443</v>
      </c>
      <c r="P1788" s="7" t="s">
        <v>323</v>
      </c>
      <c r="Q1788" s="7" t="s">
        <v>819</v>
      </c>
      <c r="R1788" s="7" t="s">
        <v>19778</v>
      </c>
      <c r="S1788" s="7" t="s">
        <v>20387</v>
      </c>
      <c r="T1788" s="7" t="s">
        <v>20388</v>
      </c>
      <c r="U1788" s="7" t="s">
        <v>3493</v>
      </c>
      <c r="V1788" s="7">
        <v>1.0</v>
      </c>
    </row>
    <row r="1789">
      <c r="A1789" s="7" t="s">
        <v>21694</v>
      </c>
      <c r="B1789" s="7">
        <v>2400063.0</v>
      </c>
      <c r="C1789" s="7" t="s">
        <v>14538</v>
      </c>
      <c r="D1789" s="7" t="s">
        <v>14539</v>
      </c>
      <c r="E1789" s="7" t="s">
        <v>14540</v>
      </c>
      <c r="F1789" s="7" t="s">
        <v>12081</v>
      </c>
      <c r="G1789" s="7" t="s">
        <v>14541</v>
      </c>
      <c r="H1789" s="7" t="s">
        <v>14542</v>
      </c>
      <c r="I1789" s="119">
        <v>45307.0</v>
      </c>
      <c r="K1789" s="7" t="s">
        <v>3642</v>
      </c>
      <c r="L1789" s="7" t="s">
        <v>991</v>
      </c>
      <c r="M1789" s="7" t="s">
        <v>3501</v>
      </c>
      <c r="N1789" s="7" t="s">
        <v>3642</v>
      </c>
      <c r="O1789" s="7" t="s">
        <v>3642</v>
      </c>
      <c r="P1789" s="7" t="s">
        <v>19524</v>
      </c>
      <c r="T1789" s="7" t="s">
        <v>3644</v>
      </c>
      <c r="U1789" s="7" t="s">
        <v>3493</v>
      </c>
      <c r="V1789" s="7">
        <v>1.0</v>
      </c>
    </row>
    <row r="1790">
      <c r="A1790" s="7" t="s">
        <v>21695</v>
      </c>
      <c r="B1790" s="7">
        <v>2400073.0</v>
      </c>
      <c r="C1790" s="7" t="s">
        <v>14544</v>
      </c>
      <c r="D1790" s="7" t="s">
        <v>14545</v>
      </c>
      <c r="E1790" s="7" t="s">
        <v>14546</v>
      </c>
      <c r="F1790" s="7" t="s">
        <v>9614</v>
      </c>
      <c r="G1790" s="7" t="s">
        <v>14547</v>
      </c>
      <c r="I1790" s="119">
        <v>45307.0</v>
      </c>
      <c r="K1790" s="7" t="s">
        <v>419</v>
      </c>
      <c r="L1790" s="7" t="s">
        <v>991</v>
      </c>
      <c r="M1790" s="7" t="s">
        <v>3531</v>
      </c>
      <c r="N1790" s="7" t="s">
        <v>419</v>
      </c>
      <c r="O1790" s="7" t="s">
        <v>19430</v>
      </c>
      <c r="P1790" s="7" t="s">
        <v>854</v>
      </c>
      <c r="Q1790" s="7" t="s">
        <v>859</v>
      </c>
      <c r="T1790" s="7" t="s">
        <v>3821</v>
      </c>
      <c r="U1790" s="7" t="s">
        <v>3493</v>
      </c>
      <c r="V1790" s="7">
        <v>1.0</v>
      </c>
    </row>
    <row r="1791">
      <c r="A1791" s="7" t="s">
        <v>21696</v>
      </c>
      <c r="B1791" s="7">
        <v>2400065.0</v>
      </c>
      <c r="C1791" s="7" t="s">
        <v>14549</v>
      </c>
      <c r="D1791" s="7" t="s">
        <v>14550</v>
      </c>
      <c r="E1791" s="7" t="s">
        <v>14551</v>
      </c>
      <c r="F1791" s="7" t="s">
        <v>3580</v>
      </c>
      <c r="G1791" s="7" t="s">
        <v>14552</v>
      </c>
      <c r="H1791" s="7" t="s">
        <v>14553</v>
      </c>
      <c r="I1791" s="119">
        <v>45307.0</v>
      </c>
      <c r="K1791" s="7" t="s">
        <v>419</v>
      </c>
      <c r="L1791" s="7" t="s">
        <v>991</v>
      </c>
      <c r="M1791" s="7" t="s">
        <v>3531</v>
      </c>
      <c r="N1791" s="7" t="s">
        <v>419</v>
      </c>
      <c r="O1791" s="7" t="s">
        <v>19432</v>
      </c>
      <c r="P1791" s="7" t="s">
        <v>693</v>
      </c>
      <c r="Q1791" s="7" t="s">
        <v>703</v>
      </c>
      <c r="R1791" s="7" t="s">
        <v>19945</v>
      </c>
      <c r="S1791" s="7" t="s">
        <v>21190</v>
      </c>
      <c r="T1791" s="7" t="s">
        <v>11785</v>
      </c>
      <c r="U1791" s="7" t="s">
        <v>3493</v>
      </c>
      <c r="V1791" s="7">
        <v>1.0</v>
      </c>
    </row>
    <row r="1792">
      <c r="A1792" s="7" t="s">
        <v>21697</v>
      </c>
      <c r="B1792" s="7">
        <v>2400052.0</v>
      </c>
      <c r="C1792" s="7" t="s">
        <v>9907</v>
      </c>
      <c r="D1792" s="7" t="s">
        <v>14555</v>
      </c>
      <c r="E1792" s="7" t="s">
        <v>9909</v>
      </c>
      <c r="F1792" s="7" t="s">
        <v>14556</v>
      </c>
      <c r="G1792" s="7" t="s">
        <v>14557</v>
      </c>
      <c r="H1792" s="7" t="s">
        <v>14558</v>
      </c>
      <c r="I1792" s="119">
        <v>45307.0</v>
      </c>
      <c r="K1792" s="7" t="s">
        <v>3642</v>
      </c>
      <c r="L1792" s="7" t="s">
        <v>991</v>
      </c>
      <c r="M1792" s="7" t="s">
        <v>3501</v>
      </c>
      <c r="N1792" s="7" t="s">
        <v>3642</v>
      </c>
      <c r="O1792" s="7" t="s">
        <v>3642</v>
      </c>
      <c r="P1792" s="7" t="s">
        <v>19524</v>
      </c>
      <c r="T1792" s="7" t="s">
        <v>3644</v>
      </c>
      <c r="U1792" s="7" t="s">
        <v>3493</v>
      </c>
      <c r="V1792" s="7">
        <v>1.0</v>
      </c>
    </row>
    <row r="1793">
      <c r="A1793" s="7" t="s">
        <v>21698</v>
      </c>
      <c r="B1793" s="7">
        <v>2400040.0</v>
      </c>
      <c r="C1793" s="7" t="s">
        <v>14560</v>
      </c>
      <c r="D1793" s="7" t="s">
        <v>14561</v>
      </c>
      <c r="E1793" s="7" t="s">
        <v>14562</v>
      </c>
      <c r="F1793" s="7" t="s">
        <v>14563</v>
      </c>
      <c r="G1793" s="7" t="s">
        <v>14564</v>
      </c>
      <c r="H1793" s="7" t="s">
        <v>14565</v>
      </c>
      <c r="I1793" s="119">
        <v>45307.0</v>
      </c>
      <c r="K1793" s="7" t="s">
        <v>3642</v>
      </c>
      <c r="L1793" s="7" t="s">
        <v>991</v>
      </c>
      <c r="M1793" s="7" t="s">
        <v>3501</v>
      </c>
      <c r="N1793" s="7" t="s">
        <v>3642</v>
      </c>
      <c r="O1793" s="7" t="s">
        <v>3642</v>
      </c>
      <c r="P1793" s="7" t="s">
        <v>19524</v>
      </c>
      <c r="T1793" s="7" t="s">
        <v>3644</v>
      </c>
      <c r="U1793" s="7" t="s">
        <v>3493</v>
      </c>
      <c r="V1793" s="7">
        <v>1.0</v>
      </c>
    </row>
    <row r="1794">
      <c r="A1794" s="7" t="s">
        <v>21699</v>
      </c>
      <c r="B1794" s="7">
        <v>2400046.0</v>
      </c>
      <c r="C1794" s="7" t="s">
        <v>14567</v>
      </c>
      <c r="D1794" s="7" t="s">
        <v>14568</v>
      </c>
      <c r="E1794" s="7" t="s">
        <v>14569</v>
      </c>
      <c r="F1794" s="7" t="s">
        <v>14568</v>
      </c>
      <c r="G1794" s="7" t="s">
        <v>14570</v>
      </c>
      <c r="H1794" s="7" t="s">
        <v>14571</v>
      </c>
      <c r="I1794" s="119">
        <v>45307.0</v>
      </c>
      <c r="K1794" s="7" t="s">
        <v>3642</v>
      </c>
      <c r="L1794" s="7" t="s">
        <v>991</v>
      </c>
      <c r="M1794" s="7" t="s">
        <v>3501</v>
      </c>
      <c r="N1794" s="7" t="s">
        <v>3642</v>
      </c>
      <c r="O1794" s="7" t="s">
        <v>3642</v>
      </c>
      <c r="P1794" s="7" t="s">
        <v>19524</v>
      </c>
      <c r="T1794" s="7" t="s">
        <v>3644</v>
      </c>
      <c r="U1794" s="7" t="s">
        <v>3493</v>
      </c>
      <c r="V1794" s="7">
        <v>1.0</v>
      </c>
    </row>
    <row r="1795">
      <c r="A1795" s="7" t="s">
        <v>21700</v>
      </c>
      <c r="B1795" s="7">
        <v>2400051.0</v>
      </c>
      <c r="C1795" s="7" t="s">
        <v>14573</v>
      </c>
      <c r="D1795" s="7" t="s">
        <v>14574</v>
      </c>
      <c r="E1795" s="7" t="s">
        <v>14575</v>
      </c>
      <c r="F1795" s="7" t="s">
        <v>5347</v>
      </c>
      <c r="G1795" s="7" t="s">
        <v>14576</v>
      </c>
      <c r="H1795" s="7" t="s">
        <v>14577</v>
      </c>
      <c r="I1795" s="119">
        <v>45307.0</v>
      </c>
      <c r="K1795" s="7" t="s">
        <v>3642</v>
      </c>
      <c r="L1795" s="7" t="s">
        <v>991</v>
      </c>
      <c r="M1795" s="7" t="s">
        <v>3501</v>
      </c>
      <c r="N1795" s="7" t="s">
        <v>3642</v>
      </c>
      <c r="O1795" s="7" t="s">
        <v>3642</v>
      </c>
      <c r="P1795" s="7" t="s">
        <v>19524</v>
      </c>
      <c r="T1795" s="7" t="s">
        <v>3644</v>
      </c>
      <c r="U1795" s="7" t="s">
        <v>3493</v>
      </c>
      <c r="V1795" s="7">
        <v>1.0</v>
      </c>
    </row>
    <row r="1796">
      <c r="A1796" s="7" t="s">
        <v>21701</v>
      </c>
      <c r="B1796" s="7">
        <v>2400057.0</v>
      </c>
      <c r="C1796" s="7" t="s">
        <v>14579</v>
      </c>
      <c r="D1796" s="7" t="s">
        <v>4826</v>
      </c>
      <c r="E1796" s="7" t="s">
        <v>12386</v>
      </c>
      <c r="F1796" s="7" t="s">
        <v>3609</v>
      </c>
      <c r="G1796" s="7" t="s">
        <v>14580</v>
      </c>
      <c r="H1796" s="7" t="s">
        <v>14581</v>
      </c>
      <c r="I1796" s="119">
        <v>45307.0</v>
      </c>
      <c r="K1796" s="7" t="s">
        <v>3642</v>
      </c>
      <c r="L1796" s="7" t="s">
        <v>991</v>
      </c>
      <c r="M1796" s="7" t="s">
        <v>3501</v>
      </c>
      <c r="N1796" s="7" t="s">
        <v>3642</v>
      </c>
      <c r="O1796" s="7" t="s">
        <v>3642</v>
      </c>
      <c r="P1796" s="7" t="s">
        <v>19524</v>
      </c>
      <c r="T1796" s="7" t="s">
        <v>3644</v>
      </c>
      <c r="U1796" s="7" t="s">
        <v>3493</v>
      </c>
      <c r="V1796" s="7">
        <v>1.0</v>
      </c>
    </row>
    <row r="1797">
      <c r="A1797" s="7" t="s">
        <v>21702</v>
      </c>
      <c r="B1797" s="7">
        <v>2400042.0</v>
      </c>
      <c r="C1797" s="7" t="s">
        <v>14583</v>
      </c>
      <c r="D1797" s="7" t="s">
        <v>14584</v>
      </c>
      <c r="E1797" s="7" t="s">
        <v>12489</v>
      </c>
      <c r="F1797" s="7" t="s">
        <v>3896</v>
      </c>
      <c r="G1797" s="7" t="s">
        <v>14585</v>
      </c>
      <c r="H1797" s="7" t="s">
        <v>14586</v>
      </c>
      <c r="I1797" s="119">
        <v>45307.0</v>
      </c>
      <c r="K1797" s="7" t="s">
        <v>3642</v>
      </c>
      <c r="L1797" s="7" t="s">
        <v>991</v>
      </c>
      <c r="M1797" s="7" t="s">
        <v>3531</v>
      </c>
      <c r="N1797" s="7" t="s">
        <v>3642</v>
      </c>
      <c r="O1797" s="7" t="s">
        <v>3642</v>
      </c>
      <c r="P1797" s="7" t="s">
        <v>19524</v>
      </c>
      <c r="T1797" s="7" t="s">
        <v>3644</v>
      </c>
      <c r="U1797" s="7" t="s">
        <v>3493</v>
      </c>
      <c r="V1797" s="7">
        <v>1.0</v>
      </c>
    </row>
    <row r="1798">
      <c r="A1798" s="7" t="s">
        <v>21703</v>
      </c>
      <c r="B1798" s="7">
        <v>2400043.0</v>
      </c>
      <c r="C1798" s="7" t="s">
        <v>14588</v>
      </c>
      <c r="D1798" s="7" t="s">
        <v>14589</v>
      </c>
      <c r="E1798" s="7" t="s">
        <v>14590</v>
      </c>
      <c r="F1798" s="7" t="s">
        <v>14591</v>
      </c>
      <c r="G1798" s="7" t="s">
        <v>14592</v>
      </c>
      <c r="H1798" s="7" t="s">
        <v>14593</v>
      </c>
      <c r="I1798" s="119">
        <v>45307.0</v>
      </c>
      <c r="K1798" s="7" t="s">
        <v>3642</v>
      </c>
      <c r="L1798" s="7" t="s">
        <v>991</v>
      </c>
      <c r="M1798" s="7" t="s">
        <v>3501</v>
      </c>
      <c r="N1798" s="7" t="s">
        <v>3642</v>
      </c>
      <c r="O1798" s="7" t="s">
        <v>3642</v>
      </c>
      <c r="P1798" s="7" t="s">
        <v>19524</v>
      </c>
      <c r="T1798" s="7" t="s">
        <v>3644</v>
      </c>
      <c r="U1798" s="7" t="s">
        <v>3493</v>
      </c>
      <c r="V1798" s="7">
        <v>1.0</v>
      </c>
    </row>
    <row r="1799">
      <c r="A1799" s="7" t="s">
        <v>21704</v>
      </c>
      <c r="B1799" s="7">
        <v>2400045.0</v>
      </c>
      <c r="C1799" s="7" t="s">
        <v>13294</v>
      </c>
      <c r="D1799" s="7" t="s">
        <v>14595</v>
      </c>
      <c r="E1799" s="7" t="s">
        <v>13295</v>
      </c>
      <c r="F1799" s="7" t="s">
        <v>5569</v>
      </c>
      <c r="G1799" s="7" t="s">
        <v>14596</v>
      </c>
      <c r="H1799" s="7" t="s">
        <v>14597</v>
      </c>
      <c r="I1799" s="119">
        <v>45307.0</v>
      </c>
      <c r="K1799" s="7" t="s">
        <v>3642</v>
      </c>
      <c r="L1799" s="7" t="s">
        <v>991</v>
      </c>
      <c r="M1799" s="7" t="s">
        <v>3501</v>
      </c>
      <c r="N1799" s="7" t="s">
        <v>3642</v>
      </c>
      <c r="O1799" s="7" t="s">
        <v>3642</v>
      </c>
      <c r="P1799" s="7" t="s">
        <v>19524</v>
      </c>
      <c r="T1799" s="7" t="s">
        <v>3644</v>
      </c>
      <c r="U1799" s="7" t="s">
        <v>3493</v>
      </c>
      <c r="V1799" s="7">
        <v>1.0</v>
      </c>
    </row>
    <row r="1800">
      <c r="A1800" s="7" t="s">
        <v>21705</v>
      </c>
      <c r="B1800" s="7">
        <v>2400050.0</v>
      </c>
      <c r="C1800" s="7" t="s">
        <v>13294</v>
      </c>
      <c r="D1800" s="7" t="s">
        <v>3915</v>
      </c>
      <c r="E1800" s="7" t="s">
        <v>13295</v>
      </c>
      <c r="F1800" s="7" t="s">
        <v>3917</v>
      </c>
      <c r="G1800" s="7" t="s">
        <v>14599</v>
      </c>
      <c r="H1800" s="7" t="s">
        <v>14600</v>
      </c>
      <c r="I1800" s="119">
        <v>45307.0</v>
      </c>
      <c r="K1800" s="7" t="s">
        <v>3642</v>
      </c>
      <c r="L1800" s="7" t="s">
        <v>991</v>
      </c>
      <c r="M1800" s="7" t="s">
        <v>3501</v>
      </c>
      <c r="N1800" s="7" t="s">
        <v>3642</v>
      </c>
      <c r="O1800" s="7" t="s">
        <v>3642</v>
      </c>
      <c r="P1800" s="7" t="s">
        <v>19524</v>
      </c>
      <c r="T1800" s="7" t="s">
        <v>3644</v>
      </c>
      <c r="U1800" s="7" t="s">
        <v>3493</v>
      </c>
      <c r="V1800" s="7">
        <v>1.0</v>
      </c>
    </row>
    <row r="1801">
      <c r="A1801" s="7" t="s">
        <v>21706</v>
      </c>
      <c r="B1801" s="7">
        <v>2400055.0</v>
      </c>
      <c r="C1801" s="7" t="s">
        <v>13367</v>
      </c>
      <c r="D1801" s="7" t="s">
        <v>14602</v>
      </c>
      <c r="E1801" s="7" t="s">
        <v>13369</v>
      </c>
      <c r="F1801" s="7" t="s">
        <v>8949</v>
      </c>
      <c r="G1801" s="7" t="s">
        <v>14603</v>
      </c>
      <c r="H1801" s="7" t="s">
        <v>14604</v>
      </c>
      <c r="I1801" s="119">
        <v>45307.0</v>
      </c>
      <c r="K1801" s="7" t="s">
        <v>3642</v>
      </c>
      <c r="L1801" s="7" t="s">
        <v>991</v>
      </c>
      <c r="M1801" s="7" t="s">
        <v>3501</v>
      </c>
      <c r="N1801" s="7" t="s">
        <v>3642</v>
      </c>
      <c r="O1801" s="7" t="s">
        <v>3642</v>
      </c>
      <c r="P1801" s="7" t="s">
        <v>19524</v>
      </c>
      <c r="T1801" s="7" t="s">
        <v>3644</v>
      </c>
      <c r="U1801" s="7" t="s">
        <v>3493</v>
      </c>
      <c r="V1801" s="7">
        <v>1.0</v>
      </c>
    </row>
    <row r="1802">
      <c r="A1802" s="7" t="s">
        <v>21707</v>
      </c>
      <c r="B1802" s="7">
        <v>2400062.0</v>
      </c>
      <c r="C1802" s="7" t="s">
        <v>14606</v>
      </c>
      <c r="D1802" s="7" t="s">
        <v>14607</v>
      </c>
      <c r="E1802" s="7" t="s">
        <v>14608</v>
      </c>
      <c r="F1802" s="7" t="s">
        <v>9013</v>
      </c>
      <c r="G1802" s="7" t="s">
        <v>14609</v>
      </c>
      <c r="I1802" s="119">
        <v>45307.0</v>
      </c>
      <c r="K1802" s="7" t="s">
        <v>4042</v>
      </c>
      <c r="L1802" s="7" t="s">
        <v>991</v>
      </c>
      <c r="M1802" s="7" t="s">
        <v>3531</v>
      </c>
      <c r="N1802" s="7" t="s">
        <v>4042</v>
      </c>
      <c r="O1802" s="7" t="s">
        <v>4042</v>
      </c>
      <c r="P1802" s="7" t="s">
        <v>19632</v>
      </c>
      <c r="T1802" s="7" t="s">
        <v>4044</v>
      </c>
      <c r="U1802" s="7" t="s">
        <v>3493</v>
      </c>
      <c r="V1802" s="7">
        <v>1.0</v>
      </c>
    </row>
    <row r="1803">
      <c r="A1803" s="7" t="s">
        <v>21708</v>
      </c>
      <c r="B1803" s="7">
        <v>2400066.0</v>
      </c>
      <c r="C1803" s="7" t="s">
        <v>14611</v>
      </c>
      <c r="D1803" s="7" t="s">
        <v>5675</v>
      </c>
      <c r="E1803" s="7" t="s">
        <v>14612</v>
      </c>
      <c r="F1803" s="7" t="s">
        <v>4539</v>
      </c>
      <c r="G1803" s="7" t="s">
        <v>14613</v>
      </c>
      <c r="H1803" s="7" t="s">
        <v>14614</v>
      </c>
      <c r="I1803" s="119">
        <v>45307.0</v>
      </c>
      <c r="K1803" s="7" t="s">
        <v>4042</v>
      </c>
      <c r="L1803" s="7" t="s">
        <v>991</v>
      </c>
      <c r="M1803" s="7" t="s">
        <v>3501</v>
      </c>
      <c r="N1803" s="7" t="s">
        <v>4042</v>
      </c>
      <c r="O1803" s="7" t="s">
        <v>4042</v>
      </c>
      <c r="P1803" s="7" t="s">
        <v>19632</v>
      </c>
      <c r="T1803" s="7" t="s">
        <v>4044</v>
      </c>
      <c r="U1803" s="7" t="s">
        <v>3493</v>
      </c>
      <c r="V1803" s="7">
        <v>1.0</v>
      </c>
    </row>
    <row r="1804">
      <c r="A1804" s="7" t="s">
        <v>21709</v>
      </c>
      <c r="B1804" s="7">
        <v>2400100.0</v>
      </c>
      <c r="C1804" s="7" t="s">
        <v>14616</v>
      </c>
      <c r="D1804" s="7" t="s">
        <v>14617</v>
      </c>
      <c r="E1804" s="7" t="s">
        <v>14618</v>
      </c>
      <c r="F1804" s="7" t="s">
        <v>14619</v>
      </c>
      <c r="G1804" s="7" t="s">
        <v>14620</v>
      </c>
      <c r="H1804" s="7" t="s">
        <v>14621</v>
      </c>
      <c r="I1804" s="119">
        <v>45323.0</v>
      </c>
      <c r="K1804" s="7" t="s">
        <v>419</v>
      </c>
      <c r="L1804" s="7" t="s">
        <v>991</v>
      </c>
      <c r="M1804" s="7" t="s">
        <v>3501</v>
      </c>
      <c r="N1804" s="7" t="s">
        <v>419</v>
      </c>
      <c r="O1804" s="7" t="s">
        <v>19438</v>
      </c>
      <c r="P1804" s="7" t="s">
        <v>19439</v>
      </c>
      <c r="Q1804" s="7" t="s">
        <v>475</v>
      </c>
      <c r="R1804" s="7" t="s">
        <v>21510</v>
      </c>
      <c r="T1804" s="7" t="s">
        <v>16903</v>
      </c>
      <c r="U1804" s="7" t="s">
        <v>3493</v>
      </c>
      <c r="V1804" s="7">
        <v>1.0</v>
      </c>
    </row>
    <row r="1805">
      <c r="A1805" s="7" t="s">
        <v>21710</v>
      </c>
      <c r="B1805" s="7">
        <v>2400097.0</v>
      </c>
      <c r="C1805" s="7" t="s">
        <v>4502</v>
      </c>
      <c r="D1805" s="7" t="s">
        <v>14625</v>
      </c>
      <c r="E1805" s="7" t="s">
        <v>4504</v>
      </c>
      <c r="F1805" s="7" t="s">
        <v>4632</v>
      </c>
      <c r="G1805" s="7" t="s">
        <v>14626</v>
      </c>
      <c r="I1805" s="119">
        <v>45323.0</v>
      </c>
      <c r="K1805" s="7" t="s">
        <v>3489</v>
      </c>
      <c r="L1805" s="7" t="s">
        <v>991</v>
      </c>
      <c r="M1805" s="7" t="s">
        <v>3490</v>
      </c>
      <c r="N1805" s="7" t="s">
        <v>3489</v>
      </c>
      <c r="O1805" s="7" t="s">
        <v>3489</v>
      </c>
      <c r="P1805" s="7" t="s">
        <v>19491</v>
      </c>
      <c r="Q1805" s="7" t="s">
        <v>169</v>
      </c>
      <c r="R1805" s="7" t="s">
        <v>19492</v>
      </c>
      <c r="T1805" s="7" t="s">
        <v>3492</v>
      </c>
      <c r="U1805" s="7" t="s">
        <v>3493</v>
      </c>
      <c r="V1805" s="7">
        <v>1.0</v>
      </c>
    </row>
    <row r="1806">
      <c r="A1806" s="7" t="s">
        <v>21711</v>
      </c>
      <c r="B1806" s="7">
        <v>2400110.0</v>
      </c>
      <c r="C1806" s="7" t="s">
        <v>14628</v>
      </c>
      <c r="D1806" s="7" t="s">
        <v>14629</v>
      </c>
      <c r="E1806" s="7" t="s">
        <v>14630</v>
      </c>
      <c r="F1806" s="7" t="s">
        <v>6806</v>
      </c>
      <c r="G1806" s="7" t="s">
        <v>14631</v>
      </c>
      <c r="H1806" s="7" t="s">
        <v>14632</v>
      </c>
      <c r="I1806" s="119">
        <v>45323.0</v>
      </c>
      <c r="K1806" s="7" t="s">
        <v>419</v>
      </c>
      <c r="L1806" s="7" t="s">
        <v>991</v>
      </c>
      <c r="M1806" s="7" t="s">
        <v>3531</v>
      </c>
      <c r="N1806" s="7" t="s">
        <v>419</v>
      </c>
      <c r="O1806" s="7" t="s">
        <v>19430</v>
      </c>
      <c r="P1806" s="7" t="s">
        <v>717</v>
      </c>
      <c r="Q1806" s="7" t="s">
        <v>725</v>
      </c>
      <c r="R1806" s="7" t="s">
        <v>19501</v>
      </c>
      <c r="S1806" s="7" t="s">
        <v>19643</v>
      </c>
      <c r="T1806" s="7" t="s">
        <v>4097</v>
      </c>
      <c r="U1806" s="7" t="s">
        <v>3493</v>
      </c>
      <c r="V1806" s="7">
        <v>1.0</v>
      </c>
    </row>
    <row r="1807">
      <c r="A1807" s="7" t="s">
        <v>21712</v>
      </c>
      <c r="B1807" s="7">
        <v>2400117.0</v>
      </c>
      <c r="C1807" s="7" t="s">
        <v>14634</v>
      </c>
      <c r="D1807" s="7" t="s">
        <v>14635</v>
      </c>
      <c r="E1807" s="7" t="s">
        <v>5179</v>
      </c>
      <c r="F1807" s="7" t="s">
        <v>4068</v>
      </c>
      <c r="G1807" s="7" t="s">
        <v>14636</v>
      </c>
      <c r="H1807" s="7" t="s">
        <v>14637</v>
      </c>
      <c r="I1807" s="119">
        <v>45323.0</v>
      </c>
      <c r="K1807" s="7" t="s">
        <v>419</v>
      </c>
      <c r="L1807" s="7" t="s">
        <v>991</v>
      </c>
      <c r="M1807" s="7" t="s">
        <v>3531</v>
      </c>
      <c r="N1807" s="7" t="s">
        <v>419</v>
      </c>
      <c r="O1807" s="7" t="s">
        <v>19430</v>
      </c>
      <c r="P1807" s="7" t="s">
        <v>717</v>
      </c>
      <c r="Q1807" s="7" t="s">
        <v>722</v>
      </c>
      <c r="R1807" s="7" t="s">
        <v>20163</v>
      </c>
      <c r="T1807" s="7" t="s">
        <v>14638</v>
      </c>
      <c r="U1807" s="7" t="s">
        <v>3493</v>
      </c>
      <c r="V1807" s="7">
        <v>1.0</v>
      </c>
    </row>
    <row r="1808">
      <c r="A1808" s="7" t="s">
        <v>21713</v>
      </c>
      <c r="B1808" s="7">
        <v>2400080.0</v>
      </c>
      <c r="C1808" s="7" t="s">
        <v>5763</v>
      </c>
      <c r="D1808" s="7" t="s">
        <v>14640</v>
      </c>
      <c r="E1808" s="7" t="s">
        <v>5765</v>
      </c>
      <c r="F1808" s="7" t="s">
        <v>8319</v>
      </c>
      <c r="G1808" s="7" t="s">
        <v>14641</v>
      </c>
      <c r="H1808" s="7" t="s">
        <v>14642</v>
      </c>
      <c r="I1808" s="119">
        <v>45323.0</v>
      </c>
      <c r="K1808" s="7" t="s">
        <v>14643</v>
      </c>
      <c r="L1808" s="7" t="s">
        <v>13694</v>
      </c>
      <c r="M1808" s="7" t="s">
        <v>13695</v>
      </c>
      <c r="N1808" s="7" t="s">
        <v>3642</v>
      </c>
      <c r="O1808" s="7" t="s">
        <v>3642</v>
      </c>
      <c r="P1808" s="7" t="s">
        <v>19524</v>
      </c>
      <c r="T1808" s="7" t="s">
        <v>3644</v>
      </c>
      <c r="U1808" s="7" t="s">
        <v>420</v>
      </c>
      <c r="V1808" s="7">
        <v>1.0</v>
      </c>
    </row>
    <row r="1809">
      <c r="A1809" s="7" t="s">
        <v>21714</v>
      </c>
      <c r="B1809" s="7">
        <v>2400078.0</v>
      </c>
      <c r="C1809" s="7" t="s">
        <v>14647</v>
      </c>
      <c r="D1809" s="7" t="s">
        <v>14648</v>
      </c>
      <c r="E1809" s="7" t="s">
        <v>14649</v>
      </c>
      <c r="F1809" s="7" t="s">
        <v>3806</v>
      </c>
      <c r="G1809" s="7" t="s">
        <v>14650</v>
      </c>
      <c r="H1809" s="7" t="s">
        <v>14651</v>
      </c>
      <c r="I1809" s="119">
        <v>45323.0</v>
      </c>
      <c r="K1809" s="7" t="s">
        <v>3642</v>
      </c>
      <c r="L1809" s="7" t="s">
        <v>991</v>
      </c>
      <c r="M1809" s="7" t="s">
        <v>3501</v>
      </c>
      <c r="N1809" s="7" t="s">
        <v>3642</v>
      </c>
      <c r="O1809" s="7" t="s">
        <v>3642</v>
      </c>
      <c r="P1809" s="7" t="s">
        <v>19524</v>
      </c>
      <c r="T1809" s="7" t="s">
        <v>3644</v>
      </c>
      <c r="U1809" s="7" t="s">
        <v>3493</v>
      </c>
      <c r="V1809" s="7">
        <v>1.0</v>
      </c>
    </row>
    <row r="1810">
      <c r="A1810" s="7" t="s">
        <v>21715</v>
      </c>
      <c r="B1810" s="7">
        <v>2400118.0</v>
      </c>
      <c r="C1810" s="7" t="s">
        <v>14653</v>
      </c>
      <c r="D1810" s="7" t="s">
        <v>14654</v>
      </c>
      <c r="E1810" s="7" t="s">
        <v>7229</v>
      </c>
      <c r="F1810" s="7" t="s">
        <v>14655</v>
      </c>
      <c r="G1810" s="7" t="s">
        <v>14656</v>
      </c>
      <c r="H1810" s="7" t="s">
        <v>14657</v>
      </c>
      <c r="I1810" s="119">
        <v>45323.0</v>
      </c>
      <c r="K1810" s="7" t="s">
        <v>419</v>
      </c>
      <c r="L1810" s="7" t="s">
        <v>991</v>
      </c>
      <c r="M1810" s="7" t="s">
        <v>3531</v>
      </c>
      <c r="N1810" s="7" t="s">
        <v>419</v>
      </c>
      <c r="O1810" s="7" t="s">
        <v>19430</v>
      </c>
      <c r="P1810" s="7" t="s">
        <v>717</v>
      </c>
      <c r="Q1810" s="7" t="s">
        <v>722</v>
      </c>
      <c r="R1810" s="7" t="s">
        <v>20163</v>
      </c>
      <c r="T1810" s="7" t="s">
        <v>14638</v>
      </c>
      <c r="U1810" s="7" t="s">
        <v>3493</v>
      </c>
      <c r="V1810" s="7">
        <v>1.0</v>
      </c>
    </row>
    <row r="1811">
      <c r="A1811" s="7" t="s">
        <v>21716</v>
      </c>
      <c r="B1811" s="7">
        <v>2400115.0</v>
      </c>
      <c r="C1811" s="7" t="s">
        <v>14659</v>
      </c>
      <c r="D1811" s="7" t="s">
        <v>5885</v>
      </c>
      <c r="E1811" s="7" t="s">
        <v>14660</v>
      </c>
      <c r="F1811" s="7" t="s">
        <v>3766</v>
      </c>
      <c r="G1811" s="7" t="s">
        <v>14661</v>
      </c>
      <c r="H1811" s="7" t="s">
        <v>14662</v>
      </c>
      <c r="I1811" s="119">
        <v>45323.0</v>
      </c>
      <c r="K1811" s="7" t="s">
        <v>419</v>
      </c>
      <c r="L1811" s="7" t="s">
        <v>991</v>
      </c>
      <c r="M1811" s="7" t="s">
        <v>3531</v>
      </c>
      <c r="N1811" s="7" t="s">
        <v>419</v>
      </c>
      <c r="O1811" s="7" t="s">
        <v>19432</v>
      </c>
      <c r="P1811" s="7" t="s">
        <v>298</v>
      </c>
      <c r="Q1811" s="7" t="s">
        <v>1284</v>
      </c>
      <c r="R1811" s="7" t="s">
        <v>20190</v>
      </c>
      <c r="S1811" s="7" t="s">
        <v>21097</v>
      </c>
      <c r="T1811" s="7" t="s">
        <v>14663</v>
      </c>
      <c r="U1811" s="7" t="s">
        <v>3493</v>
      </c>
      <c r="V1811" s="7">
        <v>1.0</v>
      </c>
    </row>
    <row r="1812">
      <c r="A1812" s="7" t="s">
        <v>21717</v>
      </c>
      <c r="B1812" s="7">
        <v>2400094.0</v>
      </c>
      <c r="C1812" s="7" t="s">
        <v>7599</v>
      </c>
      <c r="D1812" s="7" t="s">
        <v>14665</v>
      </c>
      <c r="E1812" s="7" t="s">
        <v>7601</v>
      </c>
      <c r="F1812" s="7" t="s">
        <v>14666</v>
      </c>
      <c r="G1812" s="7" t="s">
        <v>14667</v>
      </c>
      <c r="I1812" s="119">
        <v>45323.0</v>
      </c>
      <c r="K1812" s="7" t="s">
        <v>3489</v>
      </c>
      <c r="L1812" s="7" t="s">
        <v>991</v>
      </c>
      <c r="M1812" s="7" t="s">
        <v>3490</v>
      </c>
      <c r="N1812" s="7" t="s">
        <v>3489</v>
      </c>
      <c r="O1812" s="7" t="s">
        <v>3489</v>
      </c>
      <c r="P1812" s="7" t="s">
        <v>19491</v>
      </c>
      <c r="Q1812" s="7" t="s">
        <v>169</v>
      </c>
      <c r="R1812" s="7" t="s">
        <v>19492</v>
      </c>
      <c r="T1812" s="7" t="s">
        <v>3492</v>
      </c>
      <c r="U1812" s="7" t="s">
        <v>3493</v>
      </c>
      <c r="V1812" s="7">
        <v>1.0</v>
      </c>
    </row>
    <row r="1813">
      <c r="A1813" s="7" t="s">
        <v>21718</v>
      </c>
      <c r="B1813" s="7">
        <v>2400101.0</v>
      </c>
      <c r="C1813" s="7" t="s">
        <v>7649</v>
      </c>
      <c r="D1813" s="7" t="s">
        <v>14669</v>
      </c>
      <c r="E1813" s="7" t="s">
        <v>7651</v>
      </c>
      <c r="F1813" s="7" t="s">
        <v>4241</v>
      </c>
      <c r="G1813" s="7" t="s">
        <v>14670</v>
      </c>
      <c r="H1813" s="7" t="s">
        <v>14671</v>
      </c>
      <c r="I1813" s="119">
        <v>45323.0</v>
      </c>
      <c r="K1813" s="7" t="s">
        <v>419</v>
      </c>
      <c r="L1813" s="7" t="s">
        <v>991</v>
      </c>
      <c r="M1813" s="7" t="s">
        <v>3531</v>
      </c>
      <c r="N1813" s="7" t="s">
        <v>419</v>
      </c>
      <c r="O1813" s="7" t="s">
        <v>19432</v>
      </c>
      <c r="P1813" s="7" t="s">
        <v>1433</v>
      </c>
      <c r="Q1813" s="7" t="s">
        <v>644</v>
      </c>
      <c r="R1813" s="7" t="s">
        <v>21485</v>
      </c>
      <c r="T1813" s="7" t="s">
        <v>14672</v>
      </c>
      <c r="U1813" s="7" t="s">
        <v>3493</v>
      </c>
      <c r="V1813" s="7">
        <v>1.0</v>
      </c>
    </row>
    <row r="1814">
      <c r="A1814" s="7" t="s">
        <v>2224</v>
      </c>
      <c r="B1814" s="7">
        <v>2400093.0</v>
      </c>
      <c r="C1814" s="7" t="s">
        <v>7853</v>
      </c>
      <c r="D1814" s="7" t="s">
        <v>14674</v>
      </c>
      <c r="E1814" s="7" t="s">
        <v>7854</v>
      </c>
      <c r="F1814" s="7" t="s">
        <v>14675</v>
      </c>
      <c r="G1814" s="7" t="s">
        <v>14676</v>
      </c>
      <c r="H1814" s="7" t="s">
        <v>14677</v>
      </c>
      <c r="I1814" s="119">
        <v>45323.0</v>
      </c>
      <c r="K1814" s="7" t="s">
        <v>419</v>
      </c>
      <c r="L1814" s="7" t="s">
        <v>991</v>
      </c>
      <c r="M1814" s="7" t="s">
        <v>3501</v>
      </c>
      <c r="N1814" s="7" t="s">
        <v>419</v>
      </c>
      <c r="O1814" s="7" t="s">
        <v>19438</v>
      </c>
      <c r="P1814" s="7" t="s">
        <v>19475</v>
      </c>
      <c r="Q1814" s="7" t="s">
        <v>188</v>
      </c>
      <c r="T1814" s="7" t="s">
        <v>17399</v>
      </c>
      <c r="U1814" s="7" t="s">
        <v>6078</v>
      </c>
      <c r="V1814" s="7">
        <v>1.0</v>
      </c>
    </row>
    <row r="1815">
      <c r="A1815" s="7" t="s">
        <v>21719</v>
      </c>
      <c r="B1815" s="7">
        <v>2400107.0</v>
      </c>
      <c r="C1815" s="7" t="s">
        <v>8072</v>
      </c>
      <c r="D1815" s="7" t="s">
        <v>14682</v>
      </c>
      <c r="E1815" s="7" t="s">
        <v>8074</v>
      </c>
      <c r="F1815" s="7" t="s">
        <v>4314</v>
      </c>
      <c r="G1815" s="7" t="s">
        <v>14683</v>
      </c>
      <c r="H1815" s="7" t="s">
        <v>14684</v>
      </c>
      <c r="I1815" s="119">
        <v>45323.0</v>
      </c>
      <c r="K1815" s="7" t="s">
        <v>419</v>
      </c>
      <c r="L1815" s="7" t="s">
        <v>991</v>
      </c>
      <c r="M1815" s="7" t="s">
        <v>3501</v>
      </c>
      <c r="N1815" s="7" t="s">
        <v>419</v>
      </c>
      <c r="O1815" s="7" t="s">
        <v>19432</v>
      </c>
      <c r="P1815" s="7" t="s">
        <v>298</v>
      </c>
      <c r="Q1815" s="7" t="s">
        <v>1284</v>
      </c>
      <c r="R1815" s="7" t="s">
        <v>20190</v>
      </c>
      <c r="S1815" s="7" t="s">
        <v>20191</v>
      </c>
      <c r="T1815" s="7" t="s">
        <v>6474</v>
      </c>
      <c r="U1815" s="7" t="s">
        <v>3843</v>
      </c>
      <c r="V1815" s="7">
        <v>1.0</v>
      </c>
    </row>
    <row r="1816">
      <c r="A1816" s="7" t="s">
        <v>21720</v>
      </c>
      <c r="B1816" s="7">
        <v>2400085.0</v>
      </c>
      <c r="C1816" s="7" t="s">
        <v>8352</v>
      </c>
      <c r="D1816" s="7" t="s">
        <v>14687</v>
      </c>
      <c r="E1816" s="7" t="s">
        <v>8354</v>
      </c>
      <c r="F1816" s="7" t="s">
        <v>4084</v>
      </c>
      <c r="G1816" s="7" t="s">
        <v>14688</v>
      </c>
      <c r="H1816" s="7" t="s">
        <v>14689</v>
      </c>
      <c r="I1816" s="119">
        <v>45323.0</v>
      </c>
      <c r="K1816" s="7" t="s">
        <v>3642</v>
      </c>
      <c r="L1816" s="7" t="s">
        <v>991</v>
      </c>
      <c r="M1816" s="7" t="s">
        <v>3501</v>
      </c>
      <c r="N1816" s="7" t="s">
        <v>3642</v>
      </c>
      <c r="O1816" s="7" t="s">
        <v>3642</v>
      </c>
      <c r="P1816" s="7" t="s">
        <v>19524</v>
      </c>
      <c r="T1816" s="7" t="s">
        <v>3644</v>
      </c>
      <c r="U1816" s="7" t="s">
        <v>3493</v>
      </c>
      <c r="V1816" s="7">
        <v>1.0</v>
      </c>
    </row>
    <row r="1817">
      <c r="A1817" s="7" t="s">
        <v>21721</v>
      </c>
      <c r="B1817" s="7">
        <v>2400084.0</v>
      </c>
      <c r="C1817" s="7" t="s">
        <v>8429</v>
      </c>
      <c r="D1817" s="7" t="s">
        <v>12130</v>
      </c>
      <c r="E1817" s="7" t="s">
        <v>8431</v>
      </c>
      <c r="F1817" s="7" t="s">
        <v>12031</v>
      </c>
      <c r="G1817" s="7" t="s">
        <v>14691</v>
      </c>
      <c r="H1817" s="7" t="s">
        <v>14692</v>
      </c>
      <c r="I1817" s="119">
        <v>45323.0</v>
      </c>
      <c r="K1817" s="7" t="s">
        <v>3642</v>
      </c>
      <c r="L1817" s="7" t="s">
        <v>991</v>
      </c>
      <c r="M1817" s="7" t="s">
        <v>3501</v>
      </c>
      <c r="N1817" s="7" t="s">
        <v>3642</v>
      </c>
      <c r="O1817" s="7" t="s">
        <v>3642</v>
      </c>
      <c r="P1817" s="7" t="s">
        <v>19524</v>
      </c>
      <c r="T1817" s="7" t="s">
        <v>3644</v>
      </c>
      <c r="U1817" s="7" t="s">
        <v>3493</v>
      </c>
      <c r="V1817" s="7">
        <v>1.0</v>
      </c>
    </row>
    <row r="1818">
      <c r="A1818" s="7" t="s">
        <v>21722</v>
      </c>
      <c r="B1818" s="7">
        <v>2400116.0</v>
      </c>
      <c r="C1818" s="7" t="s">
        <v>8429</v>
      </c>
      <c r="D1818" s="7" t="s">
        <v>14694</v>
      </c>
      <c r="E1818" s="7" t="s">
        <v>8431</v>
      </c>
      <c r="F1818" s="7" t="s">
        <v>14695</v>
      </c>
      <c r="G1818" s="7" t="s">
        <v>14696</v>
      </c>
      <c r="H1818" s="7" t="s">
        <v>14697</v>
      </c>
      <c r="I1818" s="119">
        <v>45323.0</v>
      </c>
      <c r="K1818" s="7" t="s">
        <v>419</v>
      </c>
      <c r="L1818" s="7" t="s">
        <v>991</v>
      </c>
      <c r="M1818" s="7" t="s">
        <v>3531</v>
      </c>
      <c r="N1818" s="7" t="s">
        <v>419</v>
      </c>
      <c r="O1818" s="7" t="s">
        <v>19430</v>
      </c>
      <c r="P1818" s="7" t="s">
        <v>717</v>
      </c>
      <c r="Q1818" s="7" t="s">
        <v>722</v>
      </c>
      <c r="R1818" s="7" t="s">
        <v>19703</v>
      </c>
      <c r="S1818" s="7" t="s">
        <v>19704</v>
      </c>
      <c r="T1818" s="7" t="s">
        <v>4311</v>
      </c>
      <c r="U1818" s="7" t="s">
        <v>3493</v>
      </c>
      <c r="V1818" s="7">
        <v>1.0</v>
      </c>
    </row>
    <row r="1819">
      <c r="A1819" s="7" t="s">
        <v>21723</v>
      </c>
      <c r="B1819" s="7">
        <v>2400106.0</v>
      </c>
      <c r="C1819" s="7" t="s">
        <v>8852</v>
      </c>
      <c r="D1819" s="7" t="s">
        <v>14699</v>
      </c>
      <c r="E1819" s="7" t="s">
        <v>8854</v>
      </c>
      <c r="F1819" s="7" t="s">
        <v>3517</v>
      </c>
      <c r="G1819" s="7" t="s">
        <v>14700</v>
      </c>
      <c r="H1819" s="7" t="s">
        <v>14701</v>
      </c>
      <c r="I1819" s="119">
        <v>45323.0</v>
      </c>
      <c r="K1819" s="7" t="s">
        <v>419</v>
      </c>
      <c r="L1819" s="7" t="s">
        <v>991</v>
      </c>
      <c r="M1819" s="7" t="s">
        <v>3531</v>
      </c>
      <c r="N1819" s="7" t="s">
        <v>419</v>
      </c>
      <c r="O1819" s="7" t="s">
        <v>19430</v>
      </c>
      <c r="P1819" s="7" t="s">
        <v>717</v>
      </c>
      <c r="Q1819" s="7" t="s">
        <v>1163</v>
      </c>
      <c r="R1819" s="7" t="s">
        <v>19608</v>
      </c>
      <c r="S1819" s="7" t="s">
        <v>20046</v>
      </c>
      <c r="T1819" s="7" t="s">
        <v>5796</v>
      </c>
      <c r="U1819" s="7" t="s">
        <v>3493</v>
      </c>
      <c r="V1819" s="7">
        <v>1.0</v>
      </c>
    </row>
    <row r="1820">
      <c r="A1820" s="7" t="s">
        <v>21724</v>
      </c>
      <c r="B1820" s="7">
        <v>2400099.0</v>
      </c>
      <c r="C1820" s="7" t="s">
        <v>14703</v>
      </c>
      <c r="D1820" s="7" t="s">
        <v>8734</v>
      </c>
      <c r="E1820" s="7" t="s">
        <v>14704</v>
      </c>
      <c r="F1820" s="7" t="s">
        <v>8734</v>
      </c>
      <c r="G1820" s="7" t="s">
        <v>14705</v>
      </c>
      <c r="H1820" s="7" t="s">
        <v>14706</v>
      </c>
      <c r="I1820" s="119">
        <v>45323.0</v>
      </c>
      <c r="K1820" s="7" t="s">
        <v>419</v>
      </c>
      <c r="L1820" s="7" t="s">
        <v>991</v>
      </c>
      <c r="M1820" s="7" t="s">
        <v>3583</v>
      </c>
      <c r="N1820" s="7" t="s">
        <v>419</v>
      </c>
      <c r="O1820" s="7" t="s">
        <v>19437</v>
      </c>
      <c r="P1820" s="7" t="s">
        <v>478</v>
      </c>
      <c r="Q1820" s="7" t="s">
        <v>487</v>
      </c>
      <c r="R1820" s="7" t="s">
        <v>19796</v>
      </c>
      <c r="S1820" s="7" t="s">
        <v>19797</v>
      </c>
      <c r="T1820" s="7" t="s">
        <v>4670</v>
      </c>
      <c r="U1820" s="7" t="s">
        <v>3493</v>
      </c>
      <c r="V1820" s="7">
        <v>1.0</v>
      </c>
    </row>
    <row r="1821">
      <c r="A1821" s="7" t="s">
        <v>21725</v>
      </c>
      <c r="B1821" s="7">
        <v>2400091.0</v>
      </c>
      <c r="C1821" s="7" t="s">
        <v>10459</v>
      </c>
      <c r="D1821" s="7" t="s">
        <v>14708</v>
      </c>
      <c r="E1821" s="7" t="s">
        <v>10461</v>
      </c>
      <c r="F1821" s="7" t="s">
        <v>5229</v>
      </c>
      <c r="G1821" s="7" t="s">
        <v>14709</v>
      </c>
      <c r="H1821" s="7" t="s">
        <v>14710</v>
      </c>
      <c r="I1821" s="119">
        <v>45323.0</v>
      </c>
      <c r="K1821" s="7" t="s">
        <v>419</v>
      </c>
      <c r="L1821" s="7" t="s">
        <v>991</v>
      </c>
      <c r="M1821" s="7" t="s">
        <v>3501</v>
      </c>
      <c r="N1821" s="7" t="s">
        <v>419</v>
      </c>
      <c r="O1821" s="7" t="s">
        <v>19430</v>
      </c>
      <c r="P1821" s="7" t="s">
        <v>717</v>
      </c>
      <c r="Q1821" s="7" t="s">
        <v>251</v>
      </c>
      <c r="R1821" s="7" t="s">
        <v>19513</v>
      </c>
      <c r="S1821" s="7" t="s">
        <v>19514</v>
      </c>
      <c r="T1821" s="7" t="s">
        <v>3594</v>
      </c>
      <c r="U1821" s="7" t="s">
        <v>3843</v>
      </c>
      <c r="V1821" s="7">
        <v>1.0</v>
      </c>
    </row>
    <row r="1822">
      <c r="A1822" s="7" t="s">
        <v>21726</v>
      </c>
      <c r="B1822" s="7">
        <v>2400082.0</v>
      </c>
      <c r="C1822" s="7" t="s">
        <v>10604</v>
      </c>
      <c r="D1822" s="7" t="s">
        <v>14712</v>
      </c>
      <c r="E1822" s="7" t="s">
        <v>10606</v>
      </c>
      <c r="F1822" s="7" t="s">
        <v>11089</v>
      </c>
      <c r="G1822" s="7" t="s">
        <v>14713</v>
      </c>
      <c r="H1822" s="7" t="s">
        <v>14714</v>
      </c>
      <c r="I1822" s="119">
        <v>45323.0</v>
      </c>
      <c r="K1822" s="7" t="s">
        <v>3642</v>
      </c>
      <c r="L1822" s="7" t="s">
        <v>991</v>
      </c>
      <c r="M1822" s="7" t="s">
        <v>3583</v>
      </c>
      <c r="N1822" s="7" t="s">
        <v>3642</v>
      </c>
      <c r="O1822" s="7" t="s">
        <v>3642</v>
      </c>
      <c r="P1822" s="7" t="s">
        <v>19524</v>
      </c>
      <c r="T1822" s="7" t="s">
        <v>3644</v>
      </c>
      <c r="U1822" s="7" t="s">
        <v>3493</v>
      </c>
      <c r="V1822" s="7">
        <v>1.0</v>
      </c>
    </row>
    <row r="1823">
      <c r="A1823" s="7" t="s">
        <v>21727</v>
      </c>
      <c r="B1823" s="7">
        <v>2400096.0</v>
      </c>
      <c r="C1823" s="7" t="s">
        <v>14716</v>
      </c>
      <c r="D1823" s="7" t="s">
        <v>11547</v>
      </c>
      <c r="E1823" s="7" t="s">
        <v>10784</v>
      </c>
      <c r="F1823" s="7" t="s">
        <v>11548</v>
      </c>
      <c r="G1823" s="7" t="s">
        <v>14717</v>
      </c>
      <c r="I1823" s="119">
        <v>45323.0</v>
      </c>
      <c r="K1823" s="7" t="s">
        <v>3489</v>
      </c>
      <c r="L1823" s="7" t="s">
        <v>991</v>
      </c>
      <c r="M1823" s="7" t="s">
        <v>3866</v>
      </c>
      <c r="N1823" s="7" t="s">
        <v>3489</v>
      </c>
      <c r="O1823" s="7" t="s">
        <v>3489</v>
      </c>
      <c r="P1823" s="7" t="s">
        <v>19491</v>
      </c>
      <c r="Q1823" s="7" t="s">
        <v>169</v>
      </c>
      <c r="R1823" s="7" t="s">
        <v>19492</v>
      </c>
      <c r="T1823" s="7" t="s">
        <v>3492</v>
      </c>
      <c r="U1823" s="7" t="s">
        <v>3493</v>
      </c>
      <c r="V1823" s="7">
        <v>1.0</v>
      </c>
    </row>
    <row r="1824">
      <c r="A1824" s="7" t="s">
        <v>21728</v>
      </c>
      <c r="B1824" s="7">
        <v>2400095.0</v>
      </c>
      <c r="C1824" s="7" t="s">
        <v>10885</v>
      </c>
      <c r="D1824" s="7" t="s">
        <v>8674</v>
      </c>
      <c r="E1824" s="7" t="s">
        <v>10901</v>
      </c>
      <c r="F1824" s="7" t="s">
        <v>5074</v>
      </c>
      <c r="G1824" s="7" t="s">
        <v>14719</v>
      </c>
      <c r="I1824" s="119">
        <v>45323.0</v>
      </c>
      <c r="K1824" s="7" t="s">
        <v>3489</v>
      </c>
      <c r="L1824" s="7" t="s">
        <v>991</v>
      </c>
      <c r="M1824" s="7" t="s">
        <v>3490</v>
      </c>
      <c r="N1824" s="7" t="s">
        <v>3489</v>
      </c>
      <c r="O1824" s="7" t="s">
        <v>3489</v>
      </c>
      <c r="P1824" s="7" t="s">
        <v>19491</v>
      </c>
      <c r="Q1824" s="7" t="s">
        <v>169</v>
      </c>
      <c r="R1824" s="7" t="s">
        <v>19492</v>
      </c>
      <c r="T1824" s="7" t="s">
        <v>3492</v>
      </c>
      <c r="U1824" s="7" t="s">
        <v>3493</v>
      </c>
      <c r="V1824" s="7">
        <v>1.0</v>
      </c>
    </row>
    <row r="1825">
      <c r="A1825" s="7" t="s">
        <v>21729</v>
      </c>
      <c r="B1825" s="7">
        <v>2400203.0</v>
      </c>
      <c r="C1825" s="7" t="s">
        <v>10957</v>
      </c>
      <c r="D1825" s="7" t="s">
        <v>14721</v>
      </c>
      <c r="E1825" s="7" t="s">
        <v>10959</v>
      </c>
      <c r="F1825" s="7" t="s">
        <v>14722</v>
      </c>
      <c r="G1825" s="7" t="s">
        <v>14723</v>
      </c>
      <c r="H1825" s="7" t="s">
        <v>14724</v>
      </c>
      <c r="I1825" s="119">
        <v>45383.0</v>
      </c>
      <c r="K1825" s="7" t="s">
        <v>419</v>
      </c>
      <c r="L1825" s="7" t="s">
        <v>991</v>
      </c>
      <c r="M1825" s="7" t="s">
        <v>3501</v>
      </c>
      <c r="N1825" s="7" t="s">
        <v>419</v>
      </c>
      <c r="O1825" s="7" t="s">
        <v>19443</v>
      </c>
      <c r="P1825" s="7" t="s">
        <v>323</v>
      </c>
      <c r="Q1825" s="7" t="s">
        <v>824</v>
      </c>
      <c r="R1825" s="7" t="s">
        <v>19582</v>
      </c>
      <c r="T1825" s="7" t="s">
        <v>11951</v>
      </c>
      <c r="U1825" s="7" t="s">
        <v>3493</v>
      </c>
      <c r="V1825" s="7">
        <v>1.0</v>
      </c>
    </row>
    <row r="1826">
      <c r="A1826" s="7" t="s">
        <v>21730</v>
      </c>
      <c r="B1826" s="7">
        <v>2400090.0</v>
      </c>
      <c r="C1826" s="7" t="s">
        <v>11500</v>
      </c>
      <c r="D1826" s="7" t="s">
        <v>4082</v>
      </c>
      <c r="E1826" s="7" t="s">
        <v>11502</v>
      </c>
      <c r="F1826" s="7" t="s">
        <v>3549</v>
      </c>
      <c r="G1826" s="7" t="s">
        <v>14726</v>
      </c>
      <c r="H1826" s="7" t="s">
        <v>14727</v>
      </c>
      <c r="I1826" s="119">
        <v>45323.0</v>
      </c>
      <c r="K1826" s="7" t="s">
        <v>419</v>
      </c>
      <c r="L1826" s="7" t="s">
        <v>991</v>
      </c>
      <c r="M1826" s="7" t="s">
        <v>3501</v>
      </c>
      <c r="N1826" s="7" t="s">
        <v>419</v>
      </c>
      <c r="O1826" s="7" t="s">
        <v>19443</v>
      </c>
      <c r="P1826" s="7" t="s">
        <v>323</v>
      </c>
      <c r="Q1826" s="7" t="s">
        <v>824</v>
      </c>
      <c r="R1826" s="7" t="s">
        <v>20553</v>
      </c>
      <c r="T1826" s="7" t="s">
        <v>20554</v>
      </c>
      <c r="U1826" s="7" t="s">
        <v>3604</v>
      </c>
      <c r="V1826" s="7">
        <v>1.0</v>
      </c>
    </row>
    <row r="1827">
      <c r="A1827" s="7" t="s">
        <v>21731</v>
      </c>
      <c r="B1827" s="7">
        <v>2400088.0</v>
      </c>
      <c r="C1827" s="7" t="s">
        <v>14730</v>
      </c>
      <c r="D1827" s="7" t="s">
        <v>6879</v>
      </c>
      <c r="E1827" s="7" t="s">
        <v>14731</v>
      </c>
      <c r="F1827" s="7" t="s">
        <v>4321</v>
      </c>
      <c r="G1827" s="7" t="s">
        <v>14732</v>
      </c>
      <c r="H1827" s="7" t="s">
        <v>14733</v>
      </c>
      <c r="I1827" s="119">
        <v>45323.0</v>
      </c>
      <c r="K1827" s="7" t="s">
        <v>3642</v>
      </c>
      <c r="L1827" s="7" t="s">
        <v>991</v>
      </c>
      <c r="M1827" s="7" t="s">
        <v>3501</v>
      </c>
      <c r="N1827" s="7" t="s">
        <v>3642</v>
      </c>
      <c r="O1827" s="7" t="s">
        <v>3642</v>
      </c>
      <c r="P1827" s="7" t="s">
        <v>19524</v>
      </c>
      <c r="T1827" s="7" t="s">
        <v>3644</v>
      </c>
      <c r="U1827" s="7" t="s">
        <v>3493</v>
      </c>
      <c r="V1827" s="7">
        <v>1.0</v>
      </c>
    </row>
    <row r="1828">
      <c r="A1828" s="7" t="s">
        <v>21732</v>
      </c>
      <c r="B1828" s="7">
        <v>2400089.0</v>
      </c>
      <c r="C1828" s="7" t="s">
        <v>12078</v>
      </c>
      <c r="D1828" s="7" t="s">
        <v>14735</v>
      </c>
      <c r="E1828" s="7" t="s">
        <v>12080</v>
      </c>
      <c r="F1828" s="7" t="s">
        <v>3806</v>
      </c>
      <c r="G1828" s="7" t="s">
        <v>14736</v>
      </c>
      <c r="H1828" s="7" t="s">
        <v>14737</v>
      </c>
      <c r="I1828" s="119">
        <v>45323.0</v>
      </c>
      <c r="K1828" s="7" t="s">
        <v>3642</v>
      </c>
      <c r="L1828" s="7" t="s">
        <v>991</v>
      </c>
      <c r="M1828" s="7" t="s">
        <v>3583</v>
      </c>
      <c r="N1828" s="7" t="s">
        <v>3642</v>
      </c>
      <c r="O1828" s="7" t="s">
        <v>3642</v>
      </c>
      <c r="P1828" s="7" t="s">
        <v>19524</v>
      </c>
      <c r="T1828" s="7" t="s">
        <v>3644</v>
      </c>
      <c r="U1828" s="7" t="s">
        <v>3493</v>
      </c>
      <c r="V1828" s="7">
        <v>1.0</v>
      </c>
    </row>
    <row r="1829">
      <c r="A1829" s="7" t="s">
        <v>21733</v>
      </c>
      <c r="B1829" s="7">
        <v>2400086.0</v>
      </c>
      <c r="C1829" s="7" t="s">
        <v>12140</v>
      </c>
      <c r="D1829" s="7" t="s">
        <v>14739</v>
      </c>
      <c r="E1829" s="7" t="s">
        <v>12142</v>
      </c>
      <c r="F1829" s="7" t="s">
        <v>14740</v>
      </c>
      <c r="G1829" s="7" t="s">
        <v>14741</v>
      </c>
      <c r="H1829" s="7" t="s">
        <v>14742</v>
      </c>
      <c r="I1829" s="119">
        <v>45323.0</v>
      </c>
      <c r="K1829" s="7" t="s">
        <v>3642</v>
      </c>
      <c r="L1829" s="7" t="s">
        <v>991</v>
      </c>
      <c r="M1829" s="7" t="s">
        <v>3501</v>
      </c>
      <c r="N1829" s="7" t="s">
        <v>3642</v>
      </c>
      <c r="O1829" s="7" t="s">
        <v>3642</v>
      </c>
      <c r="P1829" s="7" t="s">
        <v>19524</v>
      </c>
      <c r="T1829" s="7" t="s">
        <v>3644</v>
      </c>
      <c r="U1829" s="7" t="s">
        <v>3493</v>
      </c>
      <c r="V1829" s="7">
        <v>1.0</v>
      </c>
    </row>
    <row r="1830">
      <c r="A1830" s="7" t="s">
        <v>21734</v>
      </c>
      <c r="B1830" s="7">
        <v>2400092.0</v>
      </c>
      <c r="C1830" s="7" t="s">
        <v>12170</v>
      </c>
      <c r="D1830" s="7" t="s">
        <v>4699</v>
      </c>
      <c r="E1830" s="7" t="s">
        <v>12172</v>
      </c>
      <c r="F1830" s="7" t="s">
        <v>4700</v>
      </c>
      <c r="G1830" s="7" t="s">
        <v>14744</v>
      </c>
      <c r="H1830" s="7" t="s">
        <v>14745</v>
      </c>
      <c r="I1830" s="119">
        <v>45323.0</v>
      </c>
      <c r="K1830" s="7" t="s">
        <v>3642</v>
      </c>
      <c r="L1830" s="7" t="s">
        <v>991</v>
      </c>
      <c r="M1830" s="7" t="s">
        <v>3501</v>
      </c>
      <c r="N1830" s="7" t="s">
        <v>3642</v>
      </c>
      <c r="O1830" s="7" t="s">
        <v>3642</v>
      </c>
      <c r="P1830" s="7" t="s">
        <v>19524</v>
      </c>
      <c r="T1830" s="7" t="s">
        <v>3644</v>
      </c>
      <c r="U1830" s="7" t="s">
        <v>3493</v>
      </c>
      <c r="V1830" s="7">
        <v>1.0</v>
      </c>
    </row>
    <row r="1831">
      <c r="A1831" s="7" t="s">
        <v>21735</v>
      </c>
      <c r="B1831" s="7">
        <v>2400079.0</v>
      </c>
      <c r="C1831" s="7" t="s">
        <v>14747</v>
      </c>
      <c r="D1831" s="7" t="s">
        <v>14748</v>
      </c>
      <c r="E1831" s="7" t="s">
        <v>14749</v>
      </c>
      <c r="F1831" s="7" t="s">
        <v>5049</v>
      </c>
      <c r="G1831" s="7" t="s">
        <v>14750</v>
      </c>
      <c r="H1831" s="7" t="s">
        <v>14751</v>
      </c>
      <c r="I1831" s="119">
        <v>45323.0</v>
      </c>
      <c r="K1831" s="7" t="s">
        <v>3642</v>
      </c>
      <c r="L1831" s="7" t="s">
        <v>991</v>
      </c>
      <c r="M1831" s="7" t="s">
        <v>3501</v>
      </c>
      <c r="N1831" s="7" t="s">
        <v>3642</v>
      </c>
      <c r="O1831" s="7" t="s">
        <v>3642</v>
      </c>
      <c r="P1831" s="7" t="s">
        <v>19524</v>
      </c>
      <c r="T1831" s="7" t="s">
        <v>3644</v>
      </c>
      <c r="U1831" s="7" t="s">
        <v>3493</v>
      </c>
      <c r="V1831" s="7">
        <v>1.0</v>
      </c>
    </row>
    <row r="1832">
      <c r="A1832" s="7" t="s">
        <v>21736</v>
      </c>
      <c r="B1832" s="7">
        <v>2400120.0</v>
      </c>
      <c r="C1832" s="7" t="s">
        <v>14753</v>
      </c>
      <c r="D1832" s="7" t="s">
        <v>14754</v>
      </c>
      <c r="E1832" s="7" t="s">
        <v>14755</v>
      </c>
      <c r="F1832" s="7" t="s">
        <v>4271</v>
      </c>
      <c r="G1832" s="7" t="s">
        <v>14756</v>
      </c>
      <c r="I1832" s="119">
        <v>45323.0</v>
      </c>
      <c r="K1832" s="7" t="s">
        <v>419</v>
      </c>
      <c r="L1832" s="7" t="s">
        <v>991</v>
      </c>
      <c r="M1832" s="7" t="s">
        <v>3531</v>
      </c>
      <c r="N1832" s="7" t="s">
        <v>419</v>
      </c>
      <c r="O1832" s="7" t="s">
        <v>19433</v>
      </c>
      <c r="P1832" s="7" t="s">
        <v>587</v>
      </c>
      <c r="Q1832" s="7" t="s">
        <v>74</v>
      </c>
      <c r="R1832" s="7" t="s">
        <v>19911</v>
      </c>
      <c r="T1832" s="7" t="s">
        <v>5198</v>
      </c>
      <c r="U1832" s="7" t="s">
        <v>3493</v>
      </c>
      <c r="V1832" s="7">
        <v>1.0</v>
      </c>
    </row>
    <row r="1833">
      <c r="A1833" s="7" t="s">
        <v>21737</v>
      </c>
      <c r="B1833" s="7">
        <v>2400098.0</v>
      </c>
      <c r="C1833" s="7" t="s">
        <v>14758</v>
      </c>
      <c r="D1833" s="7" t="s">
        <v>5513</v>
      </c>
      <c r="E1833" s="7" t="s">
        <v>12579</v>
      </c>
      <c r="F1833" s="7" t="s">
        <v>5514</v>
      </c>
      <c r="G1833" s="7" t="s">
        <v>14759</v>
      </c>
      <c r="H1833" s="7" t="s">
        <v>14760</v>
      </c>
      <c r="I1833" s="119">
        <v>45323.0</v>
      </c>
      <c r="K1833" s="7" t="s">
        <v>419</v>
      </c>
      <c r="L1833" s="7" t="s">
        <v>991</v>
      </c>
      <c r="M1833" s="7" t="s">
        <v>3501</v>
      </c>
      <c r="N1833" s="7" t="s">
        <v>419</v>
      </c>
      <c r="O1833" s="7" t="s">
        <v>19437</v>
      </c>
      <c r="P1833" s="7" t="s">
        <v>478</v>
      </c>
      <c r="Q1833" s="7" t="s">
        <v>487</v>
      </c>
      <c r="R1833" s="7" t="s">
        <v>19796</v>
      </c>
      <c r="S1833" s="7" t="s">
        <v>19797</v>
      </c>
      <c r="T1833" s="7" t="s">
        <v>4670</v>
      </c>
      <c r="U1833" s="7" t="s">
        <v>3493</v>
      </c>
      <c r="V1833" s="7">
        <v>1.0</v>
      </c>
    </row>
    <row r="1834">
      <c r="A1834" s="7" t="s">
        <v>21738</v>
      </c>
      <c r="B1834" s="7">
        <v>2400077.0</v>
      </c>
      <c r="C1834" s="7" t="s">
        <v>12623</v>
      </c>
      <c r="D1834" s="7" t="s">
        <v>14762</v>
      </c>
      <c r="E1834" s="7" t="s">
        <v>12625</v>
      </c>
      <c r="F1834" s="7" t="s">
        <v>14763</v>
      </c>
      <c r="G1834" s="7" t="s">
        <v>14764</v>
      </c>
      <c r="H1834" s="7" t="s">
        <v>14765</v>
      </c>
      <c r="I1834" s="119">
        <v>45323.0</v>
      </c>
      <c r="K1834" s="7" t="s">
        <v>3642</v>
      </c>
      <c r="L1834" s="7" t="s">
        <v>991</v>
      </c>
      <c r="M1834" s="7" t="s">
        <v>3501</v>
      </c>
      <c r="N1834" s="7" t="s">
        <v>3642</v>
      </c>
      <c r="O1834" s="7" t="s">
        <v>3642</v>
      </c>
      <c r="P1834" s="7" t="s">
        <v>19524</v>
      </c>
      <c r="T1834" s="7" t="s">
        <v>3644</v>
      </c>
      <c r="U1834" s="7" t="s">
        <v>3493</v>
      </c>
      <c r="V1834" s="7">
        <v>1.0</v>
      </c>
    </row>
    <row r="1835">
      <c r="A1835" s="7" t="s">
        <v>21739</v>
      </c>
      <c r="B1835" s="7">
        <v>2400111.0</v>
      </c>
      <c r="C1835" s="7" t="s">
        <v>13794</v>
      </c>
      <c r="D1835" s="7" t="s">
        <v>14767</v>
      </c>
      <c r="E1835" s="7" t="s">
        <v>13796</v>
      </c>
      <c r="F1835" s="7" t="s">
        <v>14768</v>
      </c>
      <c r="G1835" s="7" t="s">
        <v>14769</v>
      </c>
      <c r="H1835" s="7" t="s">
        <v>14770</v>
      </c>
      <c r="I1835" s="119">
        <v>45323.0</v>
      </c>
      <c r="K1835" s="7" t="s">
        <v>419</v>
      </c>
      <c r="L1835" s="7" t="s">
        <v>991</v>
      </c>
      <c r="M1835" s="7" t="s">
        <v>3531</v>
      </c>
      <c r="N1835" s="7" t="s">
        <v>419</v>
      </c>
      <c r="O1835" s="7" t="s">
        <v>19432</v>
      </c>
      <c r="P1835" s="7" t="s">
        <v>693</v>
      </c>
      <c r="Q1835" s="7" t="s">
        <v>703</v>
      </c>
      <c r="R1835" s="7" t="s">
        <v>19945</v>
      </c>
      <c r="S1835" s="7" t="s">
        <v>19946</v>
      </c>
      <c r="T1835" s="7" t="s">
        <v>5342</v>
      </c>
      <c r="U1835" s="7" t="s">
        <v>3493</v>
      </c>
      <c r="V1835" s="7">
        <v>1.0</v>
      </c>
    </row>
    <row r="1836">
      <c r="A1836" s="7" t="s">
        <v>21740</v>
      </c>
      <c r="B1836" s="7">
        <v>2400081.0</v>
      </c>
      <c r="C1836" s="7" t="s">
        <v>14392</v>
      </c>
      <c r="D1836" s="7" t="s">
        <v>14772</v>
      </c>
      <c r="E1836" s="7" t="s">
        <v>14394</v>
      </c>
      <c r="F1836" s="7" t="s">
        <v>14666</v>
      </c>
      <c r="G1836" s="7" t="s">
        <v>14773</v>
      </c>
      <c r="H1836" s="7" t="s">
        <v>14774</v>
      </c>
      <c r="I1836" s="119">
        <v>45323.0</v>
      </c>
      <c r="K1836" s="7" t="s">
        <v>3642</v>
      </c>
      <c r="L1836" s="7" t="s">
        <v>991</v>
      </c>
      <c r="M1836" s="7" t="s">
        <v>3501</v>
      </c>
      <c r="N1836" s="7" t="s">
        <v>3642</v>
      </c>
      <c r="O1836" s="7" t="s">
        <v>3642</v>
      </c>
      <c r="P1836" s="7" t="s">
        <v>19524</v>
      </c>
      <c r="T1836" s="7" t="s">
        <v>3644</v>
      </c>
      <c r="U1836" s="7" t="s">
        <v>3493</v>
      </c>
      <c r="V1836" s="7">
        <v>1.0</v>
      </c>
    </row>
    <row r="1837">
      <c r="A1837" s="7" t="s">
        <v>21741</v>
      </c>
      <c r="B1837" s="7">
        <v>2400133.0</v>
      </c>
      <c r="C1837" s="7" t="s">
        <v>14776</v>
      </c>
      <c r="D1837" s="7" t="s">
        <v>14777</v>
      </c>
      <c r="E1837" s="7" t="s">
        <v>14778</v>
      </c>
      <c r="F1837" s="7" t="s">
        <v>3848</v>
      </c>
      <c r="G1837" s="7" t="s">
        <v>14779</v>
      </c>
      <c r="H1837" s="7" t="s">
        <v>14780</v>
      </c>
      <c r="I1837" s="119">
        <v>45338.0</v>
      </c>
      <c r="K1837" s="7" t="s">
        <v>3642</v>
      </c>
      <c r="L1837" s="7" t="s">
        <v>991</v>
      </c>
      <c r="M1837" s="7" t="s">
        <v>3501</v>
      </c>
      <c r="N1837" s="7" t="s">
        <v>3642</v>
      </c>
      <c r="O1837" s="7" t="s">
        <v>3642</v>
      </c>
      <c r="P1837" s="7" t="s">
        <v>19524</v>
      </c>
      <c r="T1837" s="7" t="s">
        <v>3644</v>
      </c>
      <c r="U1837" s="7" t="s">
        <v>3493</v>
      </c>
      <c r="V1837" s="7">
        <v>1.0</v>
      </c>
    </row>
    <row r="1838">
      <c r="A1838" s="7" t="s">
        <v>21742</v>
      </c>
      <c r="B1838" s="7">
        <v>2400149.0</v>
      </c>
      <c r="C1838" s="7" t="s">
        <v>14782</v>
      </c>
      <c r="D1838" s="7" t="s">
        <v>14783</v>
      </c>
      <c r="E1838" s="7" t="s">
        <v>14784</v>
      </c>
      <c r="F1838" s="7" t="s">
        <v>3818</v>
      </c>
      <c r="G1838" s="7" t="s">
        <v>14785</v>
      </c>
      <c r="H1838" s="7" t="s">
        <v>14786</v>
      </c>
      <c r="I1838" s="119">
        <v>45338.0</v>
      </c>
      <c r="K1838" s="7" t="s">
        <v>3622</v>
      </c>
      <c r="L1838" s="7" t="s">
        <v>991</v>
      </c>
      <c r="M1838" s="7" t="s">
        <v>3531</v>
      </c>
      <c r="N1838" s="7" t="s">
        <v>3622</v>
      </c>
      <c r="O1838" s="7" t="s">
        <v>3622</v>
      </c>
      <c r="P1838" s="7" t="s">
        <v>19521</v>
      </c>
      <c r="T1838" s="7" t="s">
        <v>3624</v>
      </c>
      <c r="U1838" s="7" t="s">
        <v>3493</v>
      </c>
      <c r="V1838" s="7">
        <v>1.0</v>
      </c>
    </row>
    <row r="1839">
      <c r="A1839" s="7" t="s">
        <v>21743</v>
      </c>
      <c r="B1839" s="7">
        <v>2400142.0</v>
      </c>
      <c r="C1839" s="7" t="s">
        <v>4502</v>
      </c>
      <c r="D1839" s="7" t="s">
        <v>5284</v>
      </c>
      <c r="E1839" s="7" t="s">
        <v>4504</v>
      </c>
      <c r="F1839" s="7" t="s">
        <v>5286</v>
      </c>
      <c r="G1839" s="7" t="s">
        <v>14788</v>
      </c>
      <c r="H1839" s="7" t="s">
        <v>14789</v>
      </c>
      <c r="I1839" s="119">
        <v>45338.0</v>
      </c>
      <c r="K1839" s="7" t="s">
        <v>419</v>
      </c>
      <c r="L1839" s="7" t="s">
        <v>991</v>
      </c>
      <c r="M1839" s="7" t="s">
        <v>3531</v>
      </c>
      <c r="N1839" s="7" t="s">
        <v>419</v>
      </c>
      <c r="O1839" s="7" t="s">
        <v>19430</v>
      </c>
      <c r="P1839" s="7" t="s">
        <v>717</v>
      </c>
      <c r="Q1839" s="7" t="s">
        <v>1163</v>
      </c>
      <c r="R1839" s="7" t="s">
        <v>19601</v>
      </c>
      <c r="S1839" s="7" t="s">
        <v>19811</v>
      </c>
      <c r="T1839" s="7" t="s">
        <v>4721</v>
      </c>
      <c r="U1839" s="7" t="s">
        <v>3493</v>
      </c>
      <c r="V1839" s="7">
        <v>1.0</v>
      </c>
    </row>
    <row r="1840">
      <c r="A1840" s="7" t="s">
        <v>21744</v>
      </c>
      <c r="B1840" s="7">
        <v>2400138.0</v>
      </c>
      <c r="C1840" s="7" t="s">
        <v>4663</v>
      </c>
      <c r="D1840" s="7" t="s">
        <v>14791</v>
      </c>
      <c r="E1840" s="7" t="s">
        <v>4665</v>
      </c>
      <c r="F1840" s="7" t="s">
        <v>13229</v>
      </c>
      <c r="G1840" s="7" t="s">
        <v>14792</v>
      </c>
      <c r="H1840" s="7" t="s">
        <v>14793</v>
      </c>
      <c r="I1840" s="119">
        <v>45338.0</v>
      </c>
      <c r="K1840" s="7" t="s">
        <v>419</v>
      </c>
      <c r="L1840" s="7" t="s">
        <v>991</v>
      </c>
      <c r="M1840" s="7" t="s">
        <v>3501</v>
      </c>
      <c r="N1840" s="7" t="s">
        <v>419</v>
      </c>
      <c r="O1840" s="7" t="s">
        <v>19443</v>
      </c>
      <c r="P1840" s="7" t="s">
        <v>1242</v>
      </c>
      <c r="Q1840" s="7" t="s">
        <v>51</v>
      </c>
      <c r="R1840" s="7" t="s">
        <v>19563</v>
      </c>
      <c r="S1840" s="7" t="s">
        <v>19564</v>
      </c>
      <c r="T1840" s="7" t="s">
        <v>3803</v>
      </c>
      <c r="U1840" s="7" t="s">
        <v>3493</v>
      </c>
      <c r="V1840" s="7">
        <v>1.0</v>
      </c>
    </row>
    <row r="1841">
      <c r="A1841" s="7" t="s">
        <v>21745</v>
      </c>
      <c r="B1841" s="7">
        <v>2400122.0</v>
      </c>
      <c r="C1841" s="7" t="s">
        <v>14795</v>
      </c>
      <c r="D1841" s="7" t="s">
        <v>14796</v>
      </c>
      <c r="E1841" s="7" t="s">
        <v>14797</v>
      </c>
      <c r="F1841" s="7" t="s">
        <v>14798</v>
      </c>
      <c r="G1841" s="7" t="s">
        <v>14799</v>
      </c>
      <c r="H1841" s="7" t="s">
        <v>14800</v>
      </c>
      <c r="I1841" s="119">
        <v>45338.0</v>
      </c>
      <c r="K1841" s="7" t="s">
        <v>3642</v>
      </c>
      <c r="L1841" s="7" t="s">
        <v>991</v>
      </c>
      <c r="M1841" s="7" t="s">
        <v>3501</v>
      </c>
      <c r="N1841" s="7" t="s">
        <v>3642</v>
      </c>
      <c r="O1841" s="7" t="s">
        <v>3642</v>
      </c>
      <c r="P1841" s="7" t="s">
        <v>19524</v>
      </c>
      <c r="T1841" s="7" t="s">
        <v>3644</v>
      </c>
      <c r="U1841" s="7" t="s">
        <v>3493</v>
      </c>
      <c r="V1841" s="7">
        <v>1.0</v>
      </c>
    </row>
    <row r="1842">
      <c r="A1842" s="7" t="s">
        <v>21746</v>
      </c>
      <c r="B1842" s="7">
        <v>2400129.0</v>
      </c>
      <c r="C1842" s="7" t="s">
        <v>14802</v>
      </c>
      <c r="D1842" s="7" t="s">
        <v>14803</v>
      </c>
      <c r="E1842" s="7" t="s">
        <v>14804</v>
      </c>
      <c r="F1842" s="7" t="s">
        <v>14805</v>
      </c>
      <c r="G1842" s="7" t="s">
        <v>14806</v>
      </c>
      <c r="H1842" s="7" t="s">
        <v>14807</v>
      </c>
      <c r="I1842" s="119">
        <v>45338.0</v>
      </c>
      <c r="K1842" s="7" t="s">
        <v>3642</v>
      </c>
      <c r="L1842" s="7" t="s">
        <v>991</v>
      </c>
      <c r="M1842" s="7" t="s">
        <v>3501</v>
      </c>
      <c r="N1842" s="7" t="s">
        <v>3642</v>
      </c>
      <c r="O1842" s="7" t="s">
        <v>3642</v>
      </c>
      <c r="P1842" s="7" t="s">
        <v>19524</v>
      </c>
      <c r="T1842" s="7" t="s">
        <v>3644</v>
      </c>
      <c r="U1842" s="7" t="s">
        <v>3493</v>
      </c>
      <c r="V1842" s="7">
        <v>1.0</v>
      </c>
    </row>
    <row r="1843">
      <c r="A1843" s="7" t="s">
        <v>21747</v>
      </c>
      <c r="B1843" s="7">
        <v>2400147.0</v>
      </c>
      <c r="C1843" s="7" t="s">
        <v>14809</v>
      </c>
      <c r="D1843" s="7" t="s">
        <v>14810</v>
      </c>
      <c r="E1843" s="7" t="s">
        <v>14811</v>
      </c>
      <c r="F1843" s="7" t="s">
        <v>14812</v>
      </c>
      <c r="G1843" s="7" t="s">
        <v>14813</v>
      </c>
      <c r="H1843" s="7" t="s">
        <v>14814</v>
      </c>
      <c r="I1843" s="119">
        <v>45338.0</v>
      </c>
      <c r="K1843" s="7" t="s">
        <v>3642</v>
      </c>
      <c r="L1843" s="7" t="s">
        <v>991</v>
      </c>
      <c r="M1843" s="7" t="s">
        <v>3531</v>
      </c>
      <c r="N1843" s="7" t="s">
        <v>3642</v>
      </c>
      <c r="O1843" s="7" t="s">
        <v>3642</v>
      </c>
      <c r="P1843" s="7" t="s">
        <v>19524</v>
      </c>
      <c r="T1843" s="7" t="s">
        <v>3644</v>
      </c>
      <c r="U1843" s="7" t="s">
        <v>3493</v>
      </c>
      <c r="V1843" s="7">
        <v>1.0</v>
      </c>
    </row>
    <row r="1844">
      <c r="A1844" s="7" t="s">
        <v>21748</v>
      </c>
      <c r="B1844" s="7">
        <v>2400134.0</v>
      </c>
      <c r="C1844" s="7" t="s">
        <v>6765</v>
      </c>
      <c r="D1844" s="7" t="s">
        <v>14816</v>
      </c>
      <c r="E1844" s="7" t="s">
        <v>6766</v>
      </c>
      <c r="F1844" s="7" t="s">
        <v>3739</v>
      </c>
      <c r="G1844" s="7" t="s">
        <v>14817</v>
      </c>
      <c r="H1844" s="7" t="s">
        <v>14818</v>
      </c>
      <c r="I1844" s="119">
        <v>45338.0</v>
      </c>
      <c r="K1844" s="7" t="s">
        <v>3642</v>
      </c>
      <c r="L1844" s="7" t="s">
        <v>991</v>
      </c>
      <c r="M1844" s="7" t="s">
        <v>3501</v>
      </c>
      <c r="N1844" s="7" t="s">
        <v>3642</v>
      </c>
      <c r="O1844" s="7" t="s">
        <v>3642</v>
      </c>
      <c r="P1844" s="7" t="s">
        <v>19524</v>
      </c>
      <c r="T1844" s="7" t="s">
        <v>3644</v>
      </c>
      <c r="U1844" s="7" t="s">
        <v>3493</v>
      </c>
      <c r="V1844" s="7">
        <v>1.0</v>
      </c>
    </row>
    <row r="1845">
      <c r="A1845" s="7" t="s">
        <v>21749</v>
      </c>
      <c r="B1845" s="7">
        <v>2400137.0</v>
      </c>
      <c r="C1845" s="7" t="s">
        <v>14820</v>
      </c>
      <c r="D1845" s="7" t="s">
        <v>14821</v>
      </c>
      <c r="E1845" s="7" t="s">
        <v>7144</v>
      </c>
      <c r="F1845" s="7" t="s">
        <v>7014</v>
      </c>
      <c r="G1845" s="7" t="s">
        <v>14822</v>
      </c>
      <c r="H1845" s="7" t="s">
        <v>14823</v>
      </c>
      <c r="I1845" s="119">
        <v>45338.0</v>
      </c>
      <c r="K1845" s="7" t="s">
        <v>419</v>
      </c>
      <c r="L1845" s="7" t="s">
        <v>991</v>
      </c>
      <c r="M1845" s="7" t="s">
        <v>3501</v>
      </c>
      <c r="N1845" s="7" t="s">
        <v>419</v>
      </c>
      <c r="O1845" s="7" t="s">
        <v>19443</v>
      </c>
      <c r="P1845" s="7" t="s">
        <v>323</v>
      </c>
      <c r="Q1845" s="7" t="s">
        <v>824</v>
      </c>
      <c r="R1845" s="7" t="s">
        <v>19582</v>
      </c>
      <c r="T1845" s="7" t="s">
        <v>11951</v>
      </c>
      <c r="U1845" s="7" t="s">
        <v>3493</v>
      </c>
      <c r="V1845" s="7">
        <v>1.0</v>
      </c>
    </row>
    <row r="1846">
      <c r="A1846" s="7" t="s">
        <v>21750</v>
      </c>
      <c r="B1846" s="7">
        <v>2400150.0</v>
      </c>
      <c r="C1846" s="7" t="s">
        <v>8743</v>
      </c>
      <c r="D1846" s="7" t="s">
        <v>14825</v>
      </c>
      <c r="E1846" s="7" t="s">
        <v>8745</v>
      </c>
      <c r="F1846" s="7" t="s">
        <v>8756</v>
      </c>
      <c r="G1846" s="7" t="s">
        <v>14826</v>
      </c>
      <c r="H1846" s="7" t="s">
        <v>14827</v>
      </c>
      <c r="I1846" s="119">
        <v>45338.0</v>
      </c>
      <c r="K1846" s="7" t="s">
        <v>6439</v>
      </c>
      <c r="L1846" s="7" t="s">
        <v>991</v>
      </c>
      <c r="M1846" s="7" t="s">
        <v>3501</v>
      </c>
      <c r="N1846" s="7" t="s">
        <v>6439</v>
      </c>
      <c r="O1846" s="7" t="s">
        <v>6439</v>
      </c>
      <c r="P1846" s="7" t="s">
        <v>20181</v>
      </c>
      <c r="T1846" s="7" t="s">
        <v>6441</v>
      </c>
      <c r="U1846" s="7" t="s">
        <v>3493</v>
      </c>
      <c r="V1846" s="7">
        <v>1.0</v>
      </c>
    </row>
    <row r="1847">
      <c r="A1847" s="7" t="s">
        <v>21751</v>
      </c>
      <c r="B1847" s="7">
        <v>2400123.0</v>
      </c>
      <c r="C1847" s="7" t="s">
        <v>14829</v>
      </c>
      <c r="D1847" s="7" t="s">
        <v>14830</v>
      </c>
      <c r="E1847" s="7" t="s">
        <v>8778</v>
      </c>
      <c r="F1847" s="7" t="s">
        <v>4271</v>
      </c>
      <c r="G1847" s="7" t="s">
        <v>14831</v>
      </c>
      <c r="H1847" s="7" t="s">
        <v>14832</v>
      </c>
      <c r="I1847" s="119">
        <v>45338.0</v>
      </c>
      <c r="K1847" s="7" t="s">
        <v>3642</v>
      </c>
      <c r="L1847" s="7" t="s">
        <v>991</v>
      </c>
      <c r="M1847" s="7" t="s">
        <v>3501</v>
      </c>
      <c r="N1847" s="7" t="s">
        <v>3642</v>
      </c>
      <c r="O1847" s="7" t="s">
        <v>3642</v>
      </c>
      <c r="P1847" s="7" t="s">
        <v>19524</v>
      </c>
      <c r="T1847" s="7" t="s">
        <v>3644</v>
      </c>
      <c r="U1847" s="7" t="s">
        <v>3493</v>
      </c>
      <c r="V1847" s="7">
        <v>1.0</v>
      </c>
    </row>
    <row r="1848">
      <c r="A1848" s="7" t="s">
        <v>21752</v>
      </c>
      <c r="B1848" s="7">
        <v>2400151.0</v>
      </c>
      <c r="C1848" s="7" t="s">
        <v>9505</v>
      </c>
      <c r="D1848" s="7" t="s">
        <v>7205</v>
      </c>
      <c r="E1848" s="7" t="s">
        <v>9500</v>
      </c>
      <c r="F1848" s="7" t="s">
        <v>7574</v>
      </c>
      <c r="G1848" s="7" t="s">
        <v>14834</v>
      </c>
      <c r="I1848" s="119">
        <v>45338.0</v>
      </c>
      <c r="K1848" s="7" t="s">
        <v>3632</v>
      </c>
      <c r="L1848" s="7" t="s">
        <v>991</v>
      </c>
      <c r="M1848" s="7" t="s">
        <v>3531</v>
      </c>
      <c r="N1848" s="7" t="s">
        <v>3632</v>
      </c>
      <c r="O1848" s="7" t="s">
        <v>3632</v>
      </c>
      <c r="P1848" s="7" t="s">
        <v>429</v>
      </c>
      <c r="Q1848" s="7" t="s">
        <v>436</v>
      </c>
      <c r="T1848" s="7" t="s">
        <v>14836</v>
      </c>
      <c r="U1848" s="7" t="s">
        <v>3493</v>
      </c>
      <c r="V1848" s="7">
        <v>1.0</v>
      </c>
    </row>
    <row r="1849">
      <c r="A1849" s="7" t="s">
        <v>21753</v>
      </c>
      <c r="B1849" s="7">
        <v>2400140.0</v>
      </c>
      <c r="C1849" s="7" t="s">
        <v>9570</v>
      </c>
      <c r="D1849" s="7" t="s">
        <v>14838</v>
      </c>
      <c r="E1849" s="7" t="s">
        <v>9572</v>
      </c>
      <c r="F1849" s="7" t="s">
        <v>14839</v>
      </c>
      <c r="G1849" s="7" t="s">
        <v>14840</v>
      </c>
      <c r="H1849" s="7" t="s">
        <v>14841</v>
      </c>
      <c r="I1849" s="119">
        <v>45338.0</v>
      </c>
      <c r="K1849" s="7" t="s">
        <v>419</v>
      </c>
      <c r="L1849" s="7" t="s">
        <v>991</v>
      </c>
      <c r="M1849" s="7" t="s">
        <v>3583</v>
      </c>
      <c r="N1849" s="7" t="s">
        <v>419</v>
      </c>
      <c r="O1849" s="7" t="s">
        <v>19443</v>
      </c>
      <c r="P1849" s="7" t="s">
        <v>1242</v>
      </c>
      <c r="Q1849" s="7" t="s">
        <v>39</v>
      </c>
      <c r="R1849" s="7" t="s">
        <v>19757</v>
      </c>
      <c r="T1849" s="7" t="s">
        <v>4536</v>
      </c>
      <c r="U1849" s="7" t="s">
        <v>3493</v>
      </c>
      <c r="V1849" s="7">
        <v>1.0</v>
      </c>
    </row>
    <row r="1850">
      <c r="A1850" s="7" t="s">
        <v>21754</v>
      </c>
      <c r="B1850" s="7">
        <v>2400131.0</v>
      </c>
      <c r="C1850" s="7" t="s">
        <v>11019</v>
      </c>
      <c r="D1850" s="7" t="s">
        <v>8260</v>
      </c>
      <c r="E1850" s="7" t="s">
        <v>11020</v>
      </c>
      <c r="F1850" s="7" t="s">
        <v>8261</v>
      </c>
      <c r="G1850" s="7" t="s">
        <v>14843</v>
      </c>
      <c r="H1850" s="7" t="s">
        <v>14844</v>
      </c>
      <c r="I1850" s="119">
        <v>45338.0</v>
      </c>
      <c r="K1850" s="7" t="s">
        <v>3642</v>
      </c>
      <c r="L1850" s="7" t="s">
        <v>991</v>
      </c>
      <c r="M1850" s="7" t="s">
        <v>3501</v>
      </c>
      <c r="N1850" s="7" t="s">
        <v>3642</v>
      </c>
      <c r="O1850" s="7" t="s">
        <v>3642</v>
      </c>
      <c r="P1850" s="7" t="s">
        <v>19524</v>
      </c>
      <c r="T1850" s="7" t="s">
        <v>3644</v>
      </c>
      <c r="U1850" s="7" t="s">
        <v>3493</v>
      </c>
      <c r="V1850" s="7">
        <v>1.0</v>
      </c>
    </row>
    <row r="1851">
      <c r="A1851" s="7" t="s">
        <v>21755</v>
      </c>
      <c r="B1851" s="7">
        <v>2400126.0</v>
      </c>
      <c r="C1851" s="7" t="s">
        <v>11184</v>
      </c>
      <c r="D1851" s="7" t="s">
        <v>7284</v>
      </c>
      <c r="E1851" s="7" t="s">
        <v>11186</v>
      </c>
      <c r="F1851" s="7" t="s">
        <v>4032</v>
      </c>
      <c r="G1851" s="7" t="s">
        <v>14846</v>
      </c>
      <c r="H1851" s="7" t="s">
        <v>14847</v>
      </c>
      <c r="I1851" s="119">
        <v>45338.0</v>
      </c>
      <c r="K1851" s="7" t="s">
        <v>3642</v>
      </c>
      <c r="L1851" s="7" t="s">
        <v>991</v>
      </c>
      <c r="M1851" s="7" t="s">
        <v>3501</v>
      </c>
      <c r="N1851" s="7" t="s">
        <v>3642</v>
      </c>
      <c r="O1851" s="7" t="s">
        <v>3642</v>
      </c>
      <c r="P1851" s="7" t="s">
        <v>19524</v>
      </c>
      <c r="T1851" s="7" t="s">
        <v>3644</v>
      </c>
      <c r="U1851" s="7" t="s">
        <v>3493</v>
      </c>
      <c r="V1851" s="7">
        <v>1.0</v>
      </c>
    </row>
    <row r="1852">
      <c r="A1852" s="7" t="s">
        <v>21756</v>
      </c>
      <c r="B1852" s="7">
        <v>2400139.0</v>
      </c>
      <c r="C1852" s="7" t="s">
        <v>14849</v>
      </c>
      <c r="D1852" s="7" t="s">
        <v>12030</v>
      </c>
      <c r="E1852" s="7" t="s">
        <v>14850</v>
      </c>
      <c r="F1852" s="7" t="s">
        <v>12031</v>
      </c>
      <c r="G1852" s="7" t="s">
        <v>14851</v>
      </c>
      <c r="H1852" s="7" t="s">
        <v>14852</v>
      </c>
      <c r="I1852" s="119">
        <v>45338.0</v>
      </c>
      <c r="K1852" s="7" t="s">
        <v>3642</v>
      </c>
      <c r="L1852" s="7" t="s">
        <v>991</v>
      </c>
      <c r="M1852" s="7" t="s">
        <v>3501</v>
      </c>
      <c r="N1852" s="7" t="s">
        <v>3642</v>
      </c>
      <c r="O1852" s="7" t="s">
        <v>3642</v>
      </c>
      <c r="P1852" s="7" t="s">
        <v>19524</v>
      </c>
      <c r="T1852" s="7" t="s">
        <v>3644</v>
      </c>
      <c r="U1852" s="7" t="s">
        <v>3493</v>
      </c>
      <c r="V1852" s="7">
        <v>1.0</v>
      </c>
    </row>
    <row r="1853">
      <c r="A1853" s="7" t="s">
        <v>21757</v>
      </c>
      <c r="B1853" s="7">
        <v>2400128.0</v>
      </c>
      <c r="C1853" s="7" t="s">
        <v>14854</v>
      </c>
      <c r="D1853" s="7" t="s">
        <v>5269</v>
      </c>
      <c r="E1853" s="7" t="s">
        <v>14855</v>
      </c>
      <c r="F1853" s="7" t="s">
        <v>3889</v>
      </c>
      <c r="G1853" s="7" t="s">
        <v>14856</v>
      </c>
      <c r="H1853" s="7" t="s">
        <v>14857</v>
      </c>
      <c r="I1853" s="119">
        <v>45338.0</v>
      </c>
      <c r="K1853" s="7" t="s">
        <v>3642</v>
      </c>
      <c r="L1853" s="7" t="s">
        <v>991</v>
      </c>
      <c r="M1853" s="7" t="s">
        <v>3501</v>
      </c>
      <c r="N1853" s="7" t="s">
        <v>3642</v>
      </c>
      <c r="O1853" s="7" t="s">
        <v>3642</v>
      </c>
      <c r="P1853" s="7" t="s">
        <v>19524</v>
      </c>
      <c r="T1853" s="7" t="s">
        <v>3644</v>
      </c>
      <c r="U1853" s="7" t="s">
        <v>3493</v>
      </c>
      <c r="V1853" s="7">
        <v>1.0</v>
      </c>
    </row>
    <row r="1854">
      <c r="A1854" s="7" t="s">
        <v>21758</v>
      </c>
      <c r="B1854" s="7">
        <v>2400132.0</v>
      </c>
      <c r="C1854" s="7" t="s">
        <v>13898</v>
      </c>
      <c r="D1854" s="7" t="s">
        <v>14859</v>
      </c>
      <c r="E1854" s="7" t="s">
        <v>13900</v>
      </c>
      <c r="F1854" s="7" t="s">
        <v>14860</v>
      </c>
      <c r="G1854" s="7" t="s">
        <v>14861</v>
      </c>
      <c r="H1854" s="7" t="s">
        <v>14862</v>
      </c>
      <c r="I1854" s="119">
        <v>45338.0</v>
      </c>
      <c r="K1854" s="7" t="s">
        <v>3642</v>
      </c>
      <c r="L1854" s="7" t="s">
        <v>991</v>
      </c>
      <c r="M1854" s="7" t="s">
        <v>3501</v>
      </c>
      <c r="N1854" s="7" t="s">
        <v>3642</v>
      </c>
      <c r="O1854" s="7" t="s">
        <v>3642</v>
      </c>
      <c r="P1854" s="7" t="s">
        <v>19524</v>
      </c>
      <c r="T1854" s="7" t="s">
        <v>3644</v>
      </c>
      <c r="U1854" s="7" t="s">
        <v>3493</v>
      </c>
      <c r="V1854" s="7">
        <v>1.0</v>
      </c>
    </row>
    <row r="1855">
      <c r="A1855" s="7" t="s">
        <v>21759</v>
      </c>
      <c r="B1855" s="7">
        <v>2400124.0</v>
      </c>
      <c r="C1855" s="7" t="s">
        <v>14864</v>
      </c>
      <c r="D1855" s="7" t="s">
        <v>14865</v>
      </c>
      <c r="E1855" s="7" t="s">
        <v>14866</v>
      </c>
      <c r="F1855" s="7" t="s">
        <v>4478</v>
      </c>
      <c r="G1855" s="7" t="s">
        <v>14867</v>
      </c>
      <c r="H1855" s="7" t="s">
        <v>14868</v>
      </c>
      <c r="I1855" s="119">
        <v>45338.0</v>
      </c>
      <c r="K1855" s="7" t="s">
        <v>3642</v>
      </c>
      <c r="L1855" s="7" t="s">
        <v>991</v>
      </c>
      <c r="M1855" s="7" t="s">
        <v>3501</v>
      </c>
      <c r="N1855" s="7" t="s">
        <v>3642</v>
      </c>
      <c r="O1855" s="7" t="s">
        <v>3642</v>
      </c>
      <c r="P1855" s="7" t="s">
        <v>19524</v>
      </c>
      <c r="T1855" s="7" t="s">
        <v>3644</v>
      </c>
      <c r="U1855" s="7" t="s">
        <v>3493</v>
      </c>
      <c r="V1855" s="7">
        <v>1.0</v>
      </c>
    </row>
    <row r="1856">
      <c r="A1856" s="7" t="s">
        <v>21760</v>
      </c>
      <c r="B1856" s="7">
        <v>2400145.0</v>
      </c>
      <c r="C1856" s="7" t="s">
        <v>14406</v>
      </c>
      <c r="D1856" s="7" t="s">
        <v>14421</v>
      </c>
      <c r="E1856" s="7" t="s">
        <v>14394</v>
      </c>
      <c r="F1856" s="7" t="s">
        <v>9094</v>
      </c>
      <c r="G1856" s="7" t="s">
        <v>14870</v>
      </c>
      <c r="H1856" s="7" t="s">
        <v>14871</v>
      </c>
      <c r="I1856" s="119">
        <v>45338.0</v>
      </c>
      <c r="K1856" s="7" t="s">
        <v>3642</v>
      </c>
      <c r="L1856" s="7" t="s">
        <v>991</v>
      </c>
      <c r="M1856" s="7" t="s">
        <v>3501</v>
      </c>
      <c r="N1856" s="7" t="s">
        <v>3642</v>
      </c>
      <c r="O1856" s="7" t="s">
        <v>3642</v>
      </c>
      <c r="P1856" s="7" t="s">
        <v>19524</v>
      </c>
      <c r="T1856" s="7" t="s">
        <v>3644</v>
      </c>
      <c r="U1856" s="7" t="s">
        <v>3493</v>
      </c>
      <c r="V1856" s="7">
        <v>1.0</v>
      </c>
    </row>
    <row r="1857">
      <c r="A1857" s="7" t="s">
        <v>21761</v>
      </c>
      <c r="B1857" s="7">
        <v>2400148.0</v>
      </c>
      <c r="C1857" s="7" t="s">
        <v>14399</v>
      </c>
      <c r="D1857" s="7" t="s">
        <v>14873</v>
      </c>
      <c r="E1857" s="7" t="s">
        <v>14394</v>
      </c>
      <c r="F1857" s="7" t="s">
        <v>14874</v>
      </c>
      <c r="G1857" s="7" t="s">
        <v>14875</v>
      </c>
      <c r="H1857" s="7" t="s">
        <v>14876</v>
      </c>
      <c r="I1857" s="119">
        <v>45338.0</v>
      </c>
      <c r="K1857" s="7" t="s">
        <v>419</v>
      </c>
      <c r="L1857" s="7" t="s">
        <v>991</v>
      </c>
      <c r="M1857" s="7" t="s">
        <v>3501</v>
      </c>
      <c r="N1857" s="7" t="s">
        <v>419</v>
      </c>
      <c r="O1857" s="7" t="s">
        <v>19433</v>
      </c>
      <c r="P1857" s="7" t="s">
        <v>648</v>
      </c>
      <c r="Q1857" s="7" t="s">
        <v>148</v>
      </c>
      <c r="R1857" s="7" t="s">
        <v>19501</v>
      </c>
      <c r="T1857" s="7" t="s">
        <v>4445</v>
      </c>
      <c r="U1857" s="7" t="s">
        <v>3493</v>
      </c>
      <c r="V1857" s="7">
        <v>1.0</v>
      </c>
    </row>
    <row r="1858">
      <c r="A1858" s="7" t="s">
        <v>21762</v>
      </c>
      <c r="B1858" s="7">
        <v>2400162.0</v>
      </c>
      <c r="C1858" s="7" t="s">
        <v>14879</v>
      </c>
      <c r="D1858" s="7" t="s">
        <v>9665</v>
      </c>
      <c r="E1858" s="7" t="s">
        <v>14880</v>
      </c>
      <c r="F1858" s="7" t="s">
        <v>4641</v>
      </c>
      <c r="G1858" s="7" t="s">
        <v>14881</v>
      </c>
      <c r="I1858" s="119">
        <v>45352.0</v>
      </c>
      <c r="K1858" s="7" t="s">
        <v>419</v>
      </c>
      <c r="L1858" s="7" t="s">
        <v>991</v>
      </c>
      <c r="M1858" s="7" t="s">
        <v>3531</v>
      </c>
      <c r="N1858" s="7" t="s">
        <v>419</v>
      </c>
      <c r="O1858" s="7" t="s">
        <v>19430</v>
      </c>
      <c r="P1858" s="7" t="s">
        <v>854</v>
      </c>
      <c r="Q1858" s="7" t="s">
        <v>857</v>
      </c>
      <c r="T1858" s="7" t="s">
        <v>4104</v>
      </c>
      <c r="U1858" s="7" t="s">
        <v>3493</v>
      </c>
      <c r="V1858" s="7">
        <v>1.0</v>
      </c>
    </row>
    <row r="1859">
      <c r="A1859" s="7" t="s">
        <v>21763</v>
      </c>
      <c r="B1859" s="7">
        <v>2400183.0</v>
      </c>
      <c r="C1859" s="7" t="s">
        <v>14883</v>
      </c>
      <c r="D1859" s="7" t="s">
        <v>14884</v>
      </c>
      <c r="E1859" s="7" t="s">
        <v>14885</v>
      </c>
      <c r="F1859" s="7" t="s">
        <v>14886</v>
      </c>
      <c r="G1859" s="7" t="s">
        <v>14887</v>
      </c>
      <c r="H1859" s="7" t="s">
        <v>14888</v>
      </c>
      <c r="I1859" s="119">
        <v>45352.0</v>
      </c>
      <c r="K1859" s="7" t="s">
        <v>419</v>
      </c>
      <c r="L1859" s="7" t="s">
        <v>991</v>
      </c>
      <c r="M1859" s="7" t="s">
        <v>3531</v>
      </c>
      <c r="N1859" s="7" t="s">
        <v>419</v>
      </c>
      <c r="O1859" s="7" t="s">
        <v>19432</v>
      </c>
      <c r="P1859" s="7" t="s">
        <v>298</v>
      </c>
      <c r="Q1859" s="7" t="s">
        <v>798</v>
      </c>
      <c r="R1859" s="7" t="s">
        <v>19526</v>
      </c>
      <c r="T1859" s="7" t="s">
        <v>3653</v>
      </c>
      <c r="U1859" s="7" t="s">
        <v>3493</v>
      </c>
      <c r="V1859" s="7">
        <v>1.0</v>
      </c>
    </row>
    <row r="1860">
      <c r="A1860" s="7" t="s">
        <v>21764</v>
      </c>
      <c r="B1860" s="7">
        <v>2400173.0</v>
      </c>
      <c r="C1860" s="7" t="s">
        <v>14890</v>
      </c>
      <c r="D1860" s="7" t="s">
        <v>12026</v>
      </c>
      <c r="E1860" s="7" t="s">
        <v>14891</v>
      </c>
      <c r="F1860" s="7" t="s">
        <v>3508</v>
      </c>
      <c r="G1860" s="7" t="s">
        <v>14892</v>
      </c>
      <c r="H1860" s="7" t="s">
        <v>14893</v>
      </c>
      <c r="I1860" s="119">
        <v>45352.0</v>
      </c>
      <c r="K1860" s="7" t="s">
        <v>3642</v>
      </c>
      <c r="L1860" s="7" t="s">
        <v>991</v>
      </c>
      <c r="M1860" s="7" t="s">
        <v>3583</v>
      </c>
      <c r="N1860" s="7" t="s">
        <v>3642</v>
      </c>
      <c r="O1860" s="7" t="s">
        <v>3642</v>
      </c>
      <c r="P1860" s="7" t="s">
        <v>19524</v>
      </c>
      <c r="T1860" s="7" t="s">
        <v>3644</v>
      </c>
      <c r="U1860" s="7" t="s">
        <v>3493</v>
      </c>
      <c r="V1860" s="7">
        <v>1.0</v>
      </c>
    </row>
    <row r="1861">
      <c r="A1861" s="7" t="s">
        <v>21765</v>
      </c>
      <c r="B1861" s="7">
        <v>2400168.0</v>
      </c>
      <c r="C1861" s="7" t="s">
        <v>6559</v>
      </c>
      <c r="D1861" s="7" t="s">
        <v>14895</v>
      </c>
      <c r="E1861" s="7" t="s">
        <v>6561</v>
      </c>
      <c r="F1861" s="7" t="s">
        <v>11235</v>
      </c>
      <c r="G1861" s="7" t="s">
        <v>14896</v>
      </c>
      <c r="H1861" s="7" t="s">
        <v>14897</v>
      </c>
      <c r="I1861" s="119">
        <v>45352.0</v>
      </c>
      <c r="K1861" s="7" t="s">
        <v>419</v>
      </c>
      <c r="L1861" s="7" t="s">
        <v>991</v>
      </c>
      <c r="M1861" s="7" t="s">
        <v>3531</v>
      </c>
      <c r="N1861" s="7" t="s">
        <v>419</v>
      </c>
      <c r="O1861" s="7" t="s">
        <v>19430</v>
      </c>
      <c r="P1861" s="7" t="s">
        <v>717</v>
      </c>
      <c r="Q1861" s="7" t="s">
        <v>722</v>
      </c>
      <c r="R1861" s="7" t="s">
        <v>19703</v>
      </c>
      <c r="S1861" s="7" t="s">
        <v>19704</v>
      </c>
      <c r="T1861" s="7" t="s">
        <v>4311</v>
      </c>
      <c r="U1861" s="7" t="s">
        <v>3493</v>
      </c>
      <c r="V1861" s="7">
        <v>1.0</v>
      </c>
    </row>
    <row r="1862">
      <c r="A1862" s="7" t="s">
        <v>21766</v>
      </c>
      <c r="B1862" s="7">
        <v>2400171.0</v>
      </c>
      <c r="C1862" s="7" t="s">
        <v>14899</v>
      </c>
      <c r="D1862" s="7" t="s">
        <v>5153</v>
      </c>
      <c r="E1862" s="7" t="s">
        <v>14900</v>
      </c>
      <c r="F1862" s="7" t="s">
        <v>5155</v>
      </c>
      <c r="G1862" s="7" t="s">
        <v>14901</v>
      </c>
      <c r="H1862" s="7" t="s">
        <v>14902</v>
      </c>
      <c r="I1862" s="119">
        <v>45352.0</v>
      </c>
      <c r="K1862" s="7" t="s">
        <v>3642</v>
      </c>
      <c r="L1862" s="7" t="s">
        <v>991</v>
      </c>
      <c r="M1862" s="7" t="s">
        <v>3501</v>
      </c>
      <c r="N1862" s="7" t="s">
        <v>3642</v>
      </c>
      <c r="O1862" s="7" t="s">
        <v>3642</v>
      </c>
      <c r="P1862" s="7" t="s">
        <v>19524</v>
      </c>
      <c r="T1862" s="7" t="s">
        <v>3644</v>
      </c>
      <c r="U1862" s="7" t="s">
        <v>3493</v>
      </c>
      <c r="V1862" s="7">
        <v>1.0</v>
      </c>
    </row>
    <row r="1863">
      <c r="A1863" s="7" t="s">
        <v>21767</v>
      </c>
      <c r="B1863" s="7">
        <v>2400156.0</v>
      </c>
      <c r="C1863" s="7" t="s">
        <v>14904</v>
      </c>
      <c r="D1863" s="7" t="s">
        <v>4597</v>
      </c>
      <c r="E1863" s="7" t="s">
        <v>14905</v>
      </c>
      <c r="F1863" s="7" t="s">
        <v>4598</v>
      </c>
      <c r="G1863" s="7" t="s">
        <v>14906</v>
      </c>
      <c r="H1863" s="7" t="s">
        <v>14907</v>
      </c>
      <c r="I1863" s="119">
        <v>45352.0</v>
      </c>
      <c r="K1863" s="7" t="s">
        <v>419</v>
      </c>
      <c r="L1863" s="7" t="s">
        <v>991</v>
      </c>
      <c r="M1863" s="7" t="s">
        <v>3501</v>
      </c>
      <c r="N1863" s="7" t="s">
        <v>419</v>
      </c>
      <c r="O1863" s="7" t="s">
        <v>19443</v>
      </c>
      <c r="P1863" s="7" t="s">
        <v>323</v>
      </c>
      <c r="Q1863" s="7" t="s">
        <v>821</v>
      </c>
      <c r="R1863" s="7" t="s">
        <v>19858</v>
      </c>
      <c r="T1863" s="7" t="s">
        <v>21768</v>
      </c>
      <c r="U1863" s="7" t="s">
        <v>3493</v>
      </c>
      <c r="V1863" s="7">
        <v>1.0</v>
      </c>
    </row>
    <row r="1864">
      <c r="A1864" s="7" t="s">
        <v>21769</v>
      </c>
      <c r="B1864" s="7">
        <v>2400185.0</v>
      </c>
      <c r="C1864" s="7" t="s">
        <v>14911</v>
      </c>
      <c r="D1864" s="7" t="s">
        <v>14912</v>
      </c>
      <c r="E1864" s="7" t="s">
        <v>14913</v>
      </c>
      <c r="F1864" s="7" t="s">
        <v>10155</v>
      </c>
      <c r="G1864" s="7" t="s">
        <v>14914</v>
      </c>
      <c r="H1864" s="7" t="s">
        <v>14915</v>
      </c>
      <c r="I1864" s="119">
        <v>45352.0</v>
      </c>
      <c r="K1864" s="7" t="s">
        <v>419</v>
      </c>
      <c r="L1864" s="7" t="s">
        <v>991</v>
      </c>
      <c r="M1864" s="7" t="s">
        <v>3531</v>
      </c>
      <c r="N1864" s="7" t="s">
        <v>419</v>
      </c>
      <c r="O1864" s="7" t="s">
        <v>19443</v>
      </c>
      <c r="P1864" s="7" t="s">
        <v>1242</v>
      </c>
      <c r="Q1864" s="7" t="s">
        <v>51</v>
      </c>
      <c r="R1864" s="7" t="s">
        <v>19510</v>
      </c>
      <c r="T1864" s="7" t="s">
        <v>6387</v>
      </c>
      <c r="U1864" s="7" t="s">
        <v>3493</v>
      </c>
      <c r="V1864" s="7">
        <v>1.0</v>
      </c>
    </row>
    <row r="1865">
      <c r="A1865" s="7" t="s">
        <v>21770</v>
      </c>
      <c r="B1865" s="7">
        <v>2400159.0</v>
      </c>
      <c r="C1865" s="7" t="s">
        <v>7853</v>
      </c>
      <c r="D1865" s="7" t="s">
        <v>7508</v>
      </c>
      <c r="E1865" s="7" t="s">
        <v>7854</v>
      </c>
      <c r="F1865" s="7" t="s">
        <v>4478</v>
      </c>
      <c r="G1865" s="7" t="s">
        <v>14917</v>
      </c>
      <c r="H1865" s="7" t="s">
        <v>14918</v>
      </c>
      <c r="I1865" s="119">
        <v>45352.0</v>
      </c>
      <c r="K1865" s="7" t="s">
        <v>419</v>
      </c>
      <c r="L1865" s="7" t="s">
        <v>991</v>
      </c>
      <c r="M1865" s="7" t="s">
        <v>3501</v>
      </c>
      <c r="N1865" s="7" t="s">
        <v>419</v>
      </c>
      <c r="O1865" s="7" t="s">
        <v>19433</v>
      </c>
      <c r="P1865" s="7" t="s">
        <v>648</v>
      </c>
      <c r="Q1865" s="7" t="s">
        <v>155</v>
      </c>
      <c r="R1865" s="7" t="s">
        <v>19566</v>
      </c>
      <c r="T1865" s="7" t="s">
        <v>7179</v>
      </c>
      <c r="U1865" s="7" t="s">
        <v>3493</v>
      </c>
      <c r="V1865" s="7">
        <v>1.0</v>
      </c>
    </row>
    <row r="1866">
      <c r="A1866" s="7" t="s">
        <v>21771</v>
      </c>
      <c r="B1866" s="7">
        <v>2400169.0</v>
      </c>
      <c r="C1866" s="7" t="s">
        <v>14920</v>
      </c>
      <c r="D1866" s="7" t="s">
        <v>14921</v>
      </c>
      <c r="E1866" s="7" t="s">
        <v>14922</v>
      </c>
      <c r="F1866" s="7" t="s">
        <v>4707</v>
      </c>
      <c r="G1866" s="7" t="s">
        <v>14923</v>
      </c>
      <c r="H1866" s="7" t="s">
        <v>14924</v>
      </c>
      <c r="I1866" s="119">
        <v>45352.0</v>
      </c>
      <c r="K1866" s="7" t="s">
        <v>3642</v>
      </c>
      <c r="L1866" s="7" t="s">
        <v>991</v>
      </c>
      <c r="M1866" s="7" t="s">
        <v>3501</v>
      </c>
      <c r="N1866" s="7" t="s">
        <v>3642</v>
      </c>
      <c r="O1866" s="7" t="s">
        <v>3642</v>
      </c>
      <c r="P1866" s="7" t="s">
        <v>19524</v>
      </c>
      <c r="T1866" s="7" t="s">
        <v>3644</v>
      </c>
      <c r="U1866" s="7" t="s">
        <v>3493</v>
      </c>
      <c r="V1866" s="7">
        <v>1.0</v>
      </c>
    </row>
    <row r="1867">
      <c r="A1867" s="7" t="s">
        <v>21772</v>
      </c>
      <c r="B1867" s="7">
        <v>2400155.0</v>
      </c>
      <c r="C1867" s="7" t="s">
        <v>8743</v>
      </c>
      <c r="D1867" s="7" t="s">
        <v>14926</v>
      </c>
      <c r="E1867" s="7" t="s">
        <v>8745</v>
      </c>
      <c r="F1867" s="7" t="s">
        <v>10866</v>
      </c>
      <c r="G1867" s="7" t="s">
        <v>14927</v>
      </c>
      <c r="H1867" s="7" t="s">
        <v>14928</v>
      </c>
      <c r="I1867" s="119">
        <v>45352.0</v>
      </c>
      <c r="K1867" s="7" t="s">
        <v>419</v>
      </c>
      <c r="L1867" s="7" t="s">
        <v>991</v>
      </c>
      <c r="M1867" s="7" t="s">
        <v>3501</v>
      </c>
      <c r="N1867" s="7" t="s">
        <v>419</v>
      </c>
      <c r="O1867" s="7" t="s">
        <v>19432</v>
      </c>
      <c r="P1867" s="7" t="s">
        <v>693</v>
      </c>
      <c r="Q1867" s="7" t="s">
        <v>701</v>
      </c>
      <c r="R1867" s="7" t="s">
        <v>19563</v>
      </c>
      <c r="T1867" s="7" t="s">
        <v>7727</v>
      </c>
      <c r="U1867" s="7" t="s">
        <v>3493</v>
      </c>
      <c r="V1867" s="7">
        <v>1.0</v>
      </c>
    </row>
    <row r="1868">
      <c r="A1868" s="7" t="s">
        <v>21773</v>
      </c>
      <c r="B1868" s="7">
        <v>2400157.0</v>
      </c>
      <c r="C1868" s="7" t="s">
        <v>14930</v>
      </c>
      <c r="D1868" s="7" t="s">
        <v>14931</v>
      </c>
      <c r="E1868" s="7" t="s">
        <v>14932</v>
      </c>
      <c r="F1868" s="7" t="s">
        <v>14933</v>
      </c>
      <c r="G1868" s="7" t="s">
        <v>14934</v>
      </c>
      <c r="H1868" s="7" t="s">
        <v>14935</v>
      </c>
      <c r="I1868" s="119">
        <v>45352.0</v>
      </c>
      <c r="K1868" s="7" t="s">
        <v>419</v>
      </c>
      <c r="L1868" s="7" t="s">
        <v>991</v>
      </c>
      <c r="M1868" s="7" t="s">
        <v>3501</v>
      </c>
      <c r="N1868" s="7" t="s">
        <v>419</v>
      </c>
      <c r="O1868" s="7" t="s">
        <v>19432</v>
      </c>
      <c r="P1868" s="7" t="s">
        <v>298</v>
      </c>
      <c r="Q1868" s="7" t="s">
        <v>798</v>
      </c>
      <c r="R1868" s="7" t="s">
        <v>19526</v>
      </c>
      <c r="T1868" s="7" t="s">
        <v>3653</v>
      </c>
      <c r="U1868" s="7" t="s">
        <v>3493</v>
      </c>
      <c r="V1868" s="7">
        <v>1.0</v>
      </c>
    </row>
    <row r="1869">
      <c r="A1869" s="7" t="s">
        <v>21774</v>
      </c>
      <c r="B1869" s="7">
        <v>2400170.0</v>
      </c>
      <c r="C1869" s="7" t="s">
        <v>8852</v>
      </c>
      <c r="D1869" s="7" t="s">
        <v>14937</v>
      </c>
      <c r="E1869" s="7" t="s">
        <v>8854</v>
      </c>
      <c r="F1869" s="7" t="s">
        <v>4371</v>
      </c>
      <c r="G1869" s="7" t="s">
        <v>14938</v>
      </c>
      <c r="H1869" s="7" t="s">
        <v>14939</v>
      </c>
      <c r="I1869" s="119">
        <v>45352.0</v>
      </c>
      <c r="K1869" s="7" t="s">
        <v>3642</v>
      </c>
      <c r="L1869" s="7" t="s">
        <v>991</v>
      </c>
      <c r="M1869" s="7" t="s">
        <v>3501</v>
      </c>
      <c r="N1869" s="7" t="s">
        <v>3642</v>
      </c>
      <c r="O1869" s="7" t="s">
        <v>3642</v>
      </c>
      <c r="P1869" s="7" t="s">
        <v>19524</v>
      </c>
      <c r="T1869" s="7" t="s">
        <v>3644</v>
      </c>
      <c r="U1869" s="7" t="s">
        <v>3493</v>
      </c>
      <c r="V1869" s="7">
        <v>1.0</v>
      </c>
    </row>
    <row r="1870">
      <c r="A1870" s="7" t="s">
        <v>21775</v>
      </c>
      <c r="B1870" s="7">
        <v>2400181.0</v>
      </c>
      <c r="C1870" s="7" t="s">
        <v>9713</v>
      </c>
      <c r="D1870" s="7" t="s">
        <v>13927</v>
      </c>
      <c r="E1870" s="7" t="s">
        <v>9715</v>
      </c>
      <c r="F1870" s="7" t="s">
        <v>3656</v>
      </c>
      <c r="G1870" s="7" t="s">
        <v>14941</v>
      </c>
      <c r="H1870" s="7" t="s">
        <v>14942</v>
      </c>
      <c r="I1870" s="119">
        <v>45352.0</v>
      </c>
      <c r="K1870" s="7" t="s">
        <v>3642</v>
      </c>
      <c r="L1870" s="7" t="s">
        <v>991</v>
      </c>
      <c r="M1870" s="7" t="s">
        <v>3501</v>
      </c>
      <c r="N1870" s="7" t="s">
        <v>3642</v>
      </c>
      <c r="O1870" s="7" t="s">
        <v>3642</v>
      </c>
      <c r="P1870" s="7" t="s">
        <v>19524</v>
      </c>
      <c r="T1870" s="7" t="s">
        <v>3644</v>
      </c>
      <c r="U1870" s="7" t="s">
        <v>3493</v>
      </c>
      <c r="V1870" s="7">
        <v>1.0</v>
      </c>
    </row>
    <row r="1871">
      <c r="A1871" s="7" t="s">
        <v>21776</v>
      </c>
      <c r="B1871" s="7">
        <v>2400172.0</v>
      </c>
      <c r="C1871" s="7" t="s">
        <v>14944</v>
      </c>
      <c r="D1871" s="7" t="s">
        <v>5743</v>
      </c>
      <c r="E1871" s="7" t="s">
        <v>9779</v>
      </c>
      <c r="F1871" s="7" t="s">
        <v>5058</v>
      </c>
      <c r="G1871" s="7" t="s">
        <v>14945</v>
      </c>
      <c r="H1871" s="7" t="s">
        <v>14946</v>
      </c>
      <c r="I1871" s="119">
        <v>45352.0</v>
      </c>
      <c r="K1871" s="7" t="s">
        <v>3642</v>
      </c>
      <c r="L1871" s="7" t="s">
        <v>991</v>
      </c>
      <c r="M1871" s="7" t="s">
        <v>3501</v>
      </c>
      <c r="N1871" s="7" t="s">
        <v>3642</v>
      </c>
      <c r="O1871" s="7" t="s">
        <v>3642</v>
      </c>
      <c r="P1871" s="7" t="s">
        <v>19524</v>
      </c>
      <c r="T1871" s="7" t="s">
        <v>3644</v>
      </c>
      <c r="U1871" s="7" t="s">
        <v>3493</v>
      </c>
      <c r="V1871" s="7">
        <v>1.0</v>
      </c>
    </row>
    <row r="1872">
      <c r="A1872" s="7" t="s">
        <v>21777</v>
      </c>
      <c r="B1872" s="7">
        <v>2400178.0</v>
      </c>
      <c r="C1872" s="7" t="s">
        <v>9907</v>
      </c>
      <c r="D1872" s="7" t="s">
        <v>14948</v>
      </c>
      <c r="E1872" s="7" t="s">
        <v>9909</v>
      </c>
      <c r="F1872" s="7" t="s">
        <v>14949</v>
      </c>
      <c r="G1872" s="7" t="s">
        <v>14950</v>
      </c>
      <c r="H1872" s="7" t="s">
        <v>14951</v>
      </c>
      <c r="I1872" s="119">
        <v>45352.0</v>
      </c>
      <c r="K1872" s="7" t="s">
        <v>419</v>
      </c>
      <c r="L1872" s="7" t="s">
        <v>991</v>
      </c>
      <c r="M1872" s="7" t="s">
        <v>3501</v>
      </c>
      <c r="N1872" s="7" t="s">
        <v>419</v>
      </c>
      <c r="O1872" s="7" t="s">
        <v>19432</v>
      </c>
      <c r="P1872" s="7" t="s">
        <v>391</v>
      </c>
      <c r="Q1872" s="7" t="s">
        <v>392</v>
      </c>
      <c r="R1872" s="7" t="s">
        <v>20982</v>
      </c>
      <c r="T1872" s="7" t="s">
        <v>11498</v>
      </c>
      <c r="U1872" s="7" t="s">
        <v>3493</v>
      </c>
      <c r="V1872" s="7">
        <v>1.0</v>
      </c>
    </row>
    <row r="1873">
      <c r="A1873" s="7" t="s">
        <v>21778</v>
      </c>
      <c r="B1873" s="7">
        <v>2400182.0</v>
      </c>
      <c r="C1873" s="7" t="s">
        <v>10957</v>
      </c>
      <c r="D1873" s="7" t="s">
        <v>12194</v>
      </c>
      <c r="E1873" s="7" t="s">
        <v>10959</v>
      </c>
      <c r="F1873" s="7" t="s">
        <v>8724</v>
      </c>
      <c r="G1873" s="7" t="s">
        <v>14953</v>
      </c>
      <c r="H1873" s="7" t="s">
        <v>14954</v>
      </c>
      <c r="I1873" s="119">
        <v>45352.0</v>
      </c>
      <c r="K1873" s="7" t="s">
        <v>419</v>
      </c>
      <c r="L1873" s="7" t="s">
        <v>991</v>
      </c>
      <c r="M1873" s="7" t="s">
        <v>3531</v>
      </c>
      <c r="N1873" s="7" t="s">
        <v>419</v>
      </c>
      <c r="O1873" s="7" t="s">
        <v>19432</v>
      </c>
      <c r="P1873" s="7" t="s">
        <v>298</v>
      </c>
      <c r="Q1873" s="7" t="s">
        <v>798</v>
      </c>
      <c r="R1873" s="7" t="s">
        <v>19526</v>
      </c>
      <c r="T1873" s="7" t="s">
        <v>3653</v>
      </c>
      <c r="U1873" s="7" t="s">
        <v>3493</v>
      </c>
      <c r="V1873" s="7">
        <v>1.0</v>
      </c>
    </row>
    <row r="1874">
      <c r="A1874" s="7" t="s">
        <v>21779</v>
      </c>
      <c r="B1874" s="7">
        <v>2400164.0</v>
      </c>
      <c r="C1874" s="7" t="s">
        <v>11755</v>
      </c>
      <c r="D1874" s="7" t="s">
        <v>14956</v>
      </c>
      <c r="E1874" s="7" t="s">
        <v>11757</v>
      </c>
      <c r="F1874" s="7" t="s">
        <v>3656</v>
      </c>
      <c r="G1874" s="7" t="s">
        <v>14957</v>
      </c>
      <c r="H1874" s="7" t="s">
        <v>14958</v>
      </c>
      <c r="I1874" s="119">
        <v>45352.0</v>
      </c>
      <c r="K1874" s="7" t="s">
        <v>419</v>
      </c>
      <c r="L1874" s="7" t="s">
        <v>991</v>
      </c>
      <c r="M1874" s="7" t="s">
        <v>3531</v>
      </c>
      <c r="N1874" s="7" t="s">
        <v>419</v>
      </c>
      <c r="O1874" s="7" t="s">
        <v>19432</v>
      </c>
      <c r="P1874" s="7" t="s">
        <v>693</v>
      </c>
      <c r="Q1874" s="7" t="s">
        <v>698</v>
      </c>
      <c r="R1874" s="7" t="s">
        <v>20004</v>
      </c>
      <c r="S1874" s="7" t="s">
        <v>19820</v>
      </c>
      <c r="T1874" s="7" t="s">
        <v>5606</v>
      </c>
      <c r="U1874" s="7" t="s">
        <v>3493</v>
      </c>
      <c r="V1874" s="7">
        <v>1.0</v>
      </c>
    </row>
    <row r="1875">
      <c r="A1875" s="7" t="s">
        <v>21780</v>
      </c>
      <c r="B1875" s="7">
        <v>2400158.0</v>
      </c>
      <c r="C1875" s="7" t="s">
        <v>14960</v>
      </c>
      <c r="D1875" s="7" t="s">
        <v>8988</v>
      </c>
      <c r="E1875" s="7" t="s">
        <v>14961</v>
      </c>
      <c r="F1875" s="7" t="s">
        <v>3656</v>
      </c>
      <c r="G1875" s="7" t="s">
        <v>14962</v>
      </c>
      <c r="H1875" s="7" t="s">
        <v>14963</v>
      </c>
      <c r="I1875" s="119">
        <v>45352.0</v>
      </c>
      <c r="K1875" s="7" t="s">
        <v>419</v>
      </c>
      <c r="L1875" s="7" t="s">
        <v>991</v>
      </c>
      <c r="M1875" s="7" t="s">
        <v>3501</v>
      </c>
      <c r="N1875" s="7" t="s">
        <v>419</v>
      </c>
      <c r="O1875" s="7" t="s">
        <v>19433</v>
      </c>
      <c r="P1875" s="7" t="s">
        <v>587</v>
      </c>
      <c r="Q1875" s="7" t="s">
        <v>81</v>
      </c>
      <c r="T1875" s="7" t="s">
        <v>15610</v>
      </c>
      <c r="U1875" s="7" t="s">
        <v>3493</v>
      </c>
      <c r="V1875" s="7">
        <v>1.0</v>
      </c>
    </row>
    <row r="1876">
      <c r="A1876" s="7" t="s">
        <v>21781</v>
      </c>
      <c r="B1876" s="7">
        <v>2400154.0</v>
      </c>
      <c r="C1876" s="7" t="s">
        <v>12735</v>
      </c>
      <c r="D1876" s="7" t="s">
        <v>14967</v>
      </c>
      <c r="E1876" s="7" t="s">
        <v>12736</v>
      </c>
      <c r="F1876" s="7" t="s">
        <v>14968</v>
      </c>
      <c r="G1876" s="7" t="s">
        <v>14969</v>
      </c>
      <c r="H1876" s="7" t="s">
        <v>14970</v>
      </c>
      <c r="I1876" s="119">
        <v>45352.0</v>
      </c>
      <c r="K1876" s="7" t="s">
        <v>419</v>
      </c>
      <c r="L1876" s="7" t="s">
        <v>991</v>
      </c>
      <c r="M1876" s="7" t="s">
        <v>3501</v>
      </c>
      <c r="N1876" s="7" t="s">
        <v>419</v>
      </c>
      <c r="O1876" s="7" t="s">
        <v>19432</v>
      </c>
      <c r="P1876" s="7" t="s">
        <v>693</v>
      </c>
      <c r="Q1876" s="7" t="s">
        <v>701</v>
      </c>
      <c r="R1876" s="7" t="s">
        <v>19563</v>
      </c>
      <c r="T1876" s="7" t="s">
        <v>7727</v>
      </c>
      <c r="U1876" s="7" t="s">
        <v>3493</v>
      </c>
      <c r="V1876" s="7">
        <v>1.0</v>
      </c>
    </row>
    <row r="1877">
      <c r="A1877" s="7" t="s">
        <v>21782</v>
      </c>
      <c r="B1877" s="7">
        <v>2400175.0</v>
      </c>
      <c r="C1877" s="7" t="s">
        <v>13031</v>
      </c>
      <c r="D1877" s="7" t="s">
        <v>4453</v>
      </c>
      <c r="E1877" s="7" t="s">
        <v>13033</v>
      </c>
      <c r="F1877" s="7" t="s">
        <v>4455</v>
      </c>
      <c r="G1877" s="7" t="s">
        <v>14972</v>
      </c>
      <c r="H1877" s="7" t="s">
        <v>14973</v>
      </c>
      <c r="I1877" s="119">
        <v>45352.0</v>
      </c>
      <c r="K1877" s="7" t="s">
        <v>3642</v>
      </c>
      <c r="L1877" s="7" t="s">
        <v>991</v>
      </c>
      <c r="M1877" s="7" t="s">
        <v>3501</v>
      </c>
      <c r="N1877" s="7" t="s">
        <v>3642</v>
      </c>
      <c r="O1877" s="7" t="s">
        <v>3642</v>
      </c>
      <c r="P1877" s="7" t="s">
        <v>19524</v>
      </c>
      <c r="T1877" s="7" t="s">
        <v>3644</v>
      </c>
      <c r="U1877" s="7" t="s">
        <v>3493</v>
      </c>
      <c r="V1877" s="7">
        <v>1.0</v>
      </c>
    </row>
    <row r="1878">
      <c r="A1878" s="7" t="s">
        <v>21783</v>
      </c>
      <c r="B1878" s="7">
        <v>2400177.0</v>
      </c>
      <c r="C1878" s="7" t="s">
        <v>13217</v>
      </c>
      <c r="D1878" s="7" t="s">
        <v>14975</v>
      </c>
      <c r="E1878" s="7" t="s">
        <v>13219</v>
      </c>
      <c r="F1878" s="7" t="s">
        <v>11508</v>
      </c>
      <c r="G1878" s="7" t="s">
        <v>14976</v>
      </c>
      <c r="H1878" s="7" t="s">
        <v>14977</v>
      </c>
      <c r="I1878" s="119">
        <v>45352.0</v>
      </c>
      <c r="K1878" s="7" t="s">
        <v>5973</v>
      </c>
      <c r="L1878" s="7" t="s">
        <v>3542</v>
      </c>
      <c r="M1878" s="7" t="s">
        <v>3543</v>
      </c>
      <c r="N1878" s="7" t="s">
        <v>419</v>
      </c>
      <c r="O1878" s="7" t="s">
        <v>19433</v>
      </c>
      <c r="P1878" s="7" t="s">
        <v>648</v>
      </c>
      <c r="Q1878" s="7" t="s">
        <v>141</v>
      </c>
      <c r="R1878" s="7" t="s">
        <v>19696</v>
      </c>
      <c r="T1878" s="7" t="s">
        <v>4291</v>
      </c>
      <c r="U1878" s="7" t="s">
        <v>3493</v>
      </c>
      <c r="V1878" s="7">
        <v>1.0</v>
      </c>
    </row>
    <row r="1879">
      <c r="A1879" s="7" t="s">
        <v>21784</v>
      </c>
      <c r="B1879" s="7">
        <v>2400174.0</v>
      </c>
      <c r="C1879" s="7" t="s">
        <v>13426</v>
      </c>
      <c r="D1879" s="7" t="s">
        <v>14980</v>
      </c>
      <c r="E1879" s="7" t="s">
        <v>14981</v>
      </c>
      <c r="F1879" s="7" t="s">
        <v>14982</v>
      </c>
      <c r="G1879" s="7" t="s">
        <v>14983</v>
      </c>
      <c r="H1879" s="7" t="s">
        <v>14984</v>
      </c>
      <c r="I1879" s="119">
        <v>45352.0</v>
      </c>
      <c r="K1879" s="7" t="s">
        <v>3642</v>
      </c>
      <c r="L1879" s="7" t="s">
        <v>991</v>
      </c>
      <c r="M1879" s="7" t="s">
        <v>3501</v>
      </c>
      <c r="N1879" s="7" t="s">
        <v>3642</v>
      </c>
      <c r="O1879" s="7" t="s">
        <v>3642</v>
      </c>
      <c r="P1879" s="7" t="s">
        <v>19524</v>
      </c>
      <c r="T1879" s="7" t="s">
        <v>3644</v>
      </c>
      <c r="U1879" s="7" t="s">
        <v>3493</v>
      </c>
      <c r="V1879" s="7">
        <v>1.0</v>
      </c>
    </row>
    <row r="1880">
      <c r="A1880" s="7" t="s">
        <v>21785</v>
      </c>
      <c r="B1880" s="7">
        <v>2400196.0</v>
      </c>
      <c r="C1880" s="7" t="s">
        <v>4115</v>
      </c>
      <c r="D1880" s="7" t="s">
        <v>14986</v>
      </c>
      <c r="E1880" s="7" t="s">
        <v>4117</v>
      </c>
      <c r="F1880" s="7" t="s">
        <v>9307</v>
      </c>
      <c r="G1880" s="7" t="s">
        <v>14987</v>
      </c>
      <c r="H1880" s="7" t="s">
        <v>14988</v>
      </c>
      <c r="I1880" s="119">
        <v>45367.0</v>
      </c>
      <c r="K1880" s="7" t="s">
        <v>419</v>
      </c>
      <c r="L1880" s="7" t="s">
        <v>991</v>
      </c>
      <c r="M1880" s="7" t="s">
        <v>3531</v>
      </c>
      <c r="N1880" s="7" t="s">
        <v>419</v>
      </c>
      <c r="O1880" s="7" t="s">
        <v>19432</v>
      </c>
      <c r="P1880" s="7" t="s">
        <v>298</v>
      </c>
      <c r="Q1880" s="7" t="s">
        <v>1284</v>
      </c>
      <c r="R1880" s="7" t="s">
        <v>20190</v>
      </c>
      <c r="S1880" s="7" t="s">
        <v>20220</v>
      </c>
      <c r="T1880" s="7" t="s">
        <v>9604</v>
      </c>
      <c r="U1880" s="7" t="s">
        <v>3493</v>
      </c>
      <c r="V1880" s="7">
        <v>1.0</v>
      </c>
    </row>
    <row r="1881">
      <c r="A1881" s="7" t="s">
        <v>21786</v>
      </c>
      <c r="B1881" s="7">
        <v>2400194.0</v>
      </c>
      <c r="C1881" s="7" t="s">
        <v>14990</v>
      </c>
      <c r="D1881" s="7" t="s">
        <v>14991</v>
      </c>
      <c r="E1881" s="7" t="s">
        <v>14992</v>
      </c>
      <c r="F1881" s="7" t="s">
        <v>4068</v>
      </c>
      <c r="G1881" s="7" t="s">
        <v>14993</v>
      </c>
      <c r="H1881" s="7" t="s">
        <v>14994</v>
      </c>
      <c r="I1881" s="119">
        <v>45367.0</v>
      </c>
      <c r="K1881" s="7" t="s">
        <v>419</v>
      </c>
      <c r="L1881" s="7" t="s">
        <v>991</v>
      </c>
      <c r="M1881" s="7" t="s">
        <v>3501</v>
      </c>
      <c r="N1881" s="7" t="s">
        <v>419</v>
      </c>
      <c r="O1881" s="7" t="s">
        <v>19443</v>
      </c>
      <c r="P1881" s="7" t="s">
        <v>1242</v>
      </c>
      <c r="Q1881" s="7" t="s">
        <v>51</v>
      </c>
      <c r="R1881" s="7" t="s">
        <v>19574</v>
      </c>
      <c r="T1881" s="7" t="s">
        <v>10802</v>
      </c>
      <c r="U1881" s="7" t="s">
        <v>3493</v>
      </c>
      <c r="V1881" s="7">
        <v>1.0</v>
      </c>
    </row>
    <row r="1882">
      <c r="A1882" s="7" t="s">
        <v>21787</v>
      </c>
      <c r="B1882" s="7">
        <v>2400195.0</v>
      </c>
      <c r="C1882" s="7" t="s">
        <v>14996</v>
      </c>
      <c r="D1882" s="7" t="s">
        <v>14997</v>
      </c>
      <c r="E1882" s="7" t="s">
        <v>14998</v>
      </c>
      <c r="F1882" s="7" t="s">
        <v>14997</v>
      </c>
      <c r="G1882" s="7" t="s">
        <v>14999</v>
      </c>
      <c r="H1882" s="7" t="s">
        <v>15000</v>
      </c>
      <c r="I1882" s="119">
        <v>45292.0</v>
      </c>
      <c r="K1882" s="7" t="s">
        <v>419</v>
      </c>
      <c r="L1882" s="7" t="s">
        <v>991</v>
      </c>
      <c r="M1882" s="7" t="s">
        <v>3501</v>
      </c>
      <c r="N1882" s="7" t="s">
        <v>419</v>
      </c>
      <c r="O1882" s="7" t="s">
        <v>19432</v>
      </c>
      <c r="P1882" s="7" t="s">
        <v>391</v>
      </c>
      <c r="Q1882" s="7" t="s">
        <v>392</v>
      </c>
      <c r="R1882" s="7" t="s">
        <v>19706</v>
      </c>
      <c r="T1882" s="7" t="s">
        <v>18578</v>
      </c>
      <c r="U1882" s="7" t="s">
        <v>3493</v>
      </c>
      <c r="V1882" s="7">
        <v>1.0</v>
      </c>
    </row>
    <row r="1883">
      <c r="A1883" s="7" t="s">
        <v>21788</v>
      </c>
      <c r="B1883" s="7">
        <v>2400186.0</v>
      </c>
      <c r="C1883" s="7" t="s">
        <v>15002</v>
      </c>
      <c r="D1883" s="7" t="s">
        <v>15003</v>
      </c>
      <c r="E1883" s="7" t="s">
        <v>15004</v>
      </c>
      <c r="F1883" s="7" t="s">
        <v>15005</v>
      </c>
      <c r="G1883" s="7" t="s">
        <v>15006</v>
      </c>
      <c r="H1883" s="7" t="s">
        <v>15007</v>
      </c>
      <c r="I1883" s="119">
        <v>45367.0</v>
      </c>
      <c r="K1883" s="7" t="s">
        <v>3642</v>
      </c>
      <c r="L1883" s="7" t="s">
        <v>991</v>
      </c>
      <c r="M1883" s="7" t="s">
        <v>3501</v>
      </c>
      <c r="N1883" s="7" t="s">
        <v>3642</v>
      </c>
      <c r="O1883" s="7" t="s">
        <v>3642</v>
      </c>
      <c r="P1883" s="7" t="s">
        <v>19524</v>
      </c>
      <c r="T1883" s="7" t="s">
        <v>3644</v>
      </c>
      <c r="U1883" s="7" t="s">
        <v>3493</v>
      </c>
      <c r="V1883" s="7">
        <v>1.0</v>
      </c>
    </row>
    <row r="1884">
      <c r="A1884" s="7" t="s">
        <v>21789</v>
      </c>
      <c r="B1884" s="7">
        <v>2400193.0</v>
      </c>
      <c r="C1884" s="7" t="s">
        <v>8429</v>
      </c>
      <c r="D1884" s="7" t="s">
        <v>15009</v>
      </c>
      <c r="E1884" s="7" t="s">
        <v>8431</v>
      </c>
      <c r="F1884" s="7" t="s">
        <v>4478</v>
      </c>
      <c r="G1884" s="7" t="s">
        <v>15010</v>
      </c>
      <c r="I1884" s="119">
        <v>45367.0</v>
      </c>
      <c r="K1884" s="7" t="s">
        <v>419</v>
      </c>
      <c r="L1884" s="7" t="s">
        <v>991</v>
      </c>
      <c r="M1884" s="7" t="s">
        <v>3531</v>
      </c>
      <c r="N1884" s="7" t="s">
        <v>419</v>
      </c>
      <c r="O1884" s="7" t="s">
        <v>19430</v>
      </c>
      <c r="P1884" s="7" t="s">
        <v>854</v>
      </c>
      <c r="Q1884" s="7" t="s">
        <v>857</v>
      </c>
      <c r="T1884" s="7" t="s">
        <v>4104</v>
      </c>
      <c r="U1884" s="7" t="s">
        <v>3493</v>
      </c>
      <c r="V1884" s="7">
        <v>1.0</v>
      </c>
    </row>
    <row r="1885">
      <c r="A1885" s="7" t="s">
        <v>21790</v>
      </c>
      <c r="B1885" s="7">
        <v>2400187.0</v>
      </c>
      <c r="C1885" s="7" t="s">
        <v>10299</v>
      </c>
      <c r="D1885" s="7" t="s">
        <v>8988</v>
      </c>
      <c r="E1885" s="7" t="s">
        <v>10300</v>
      </c>
      <c r="F1885" s="7" t="s">
        <v>3656</v>
      </c>
      <c r="G1885" s="7" t="s">
        <v>15012</v>
      </c>
      <c r="H1885" s="7" t="s">
        <v>15013</v>
      </c>
      <c r="I1885" s="119">
        <v>45367.0</v>
      </c>
      <c r="K1885" s="7" t="s">
        <v>3642</v>
      </c>
      <c r="L1885" s="7" t="s">
        <v>991</v>
      </c>
      <c r="M1885" s="7" t="s">
        <v>3501</v>
      </c>
      <c r="N1885" s="7" t="s">
        <v>3642</v>
      </c>
      <c r="O1885" s="7" t="s">
        <v>3642</v>
      </c>
      <c r="P1885" s="7" t="s">
        <v>19524</v>
      </c>
      <c r="T1885" s="7" t="s">
        <v>3644</v>
      </c>
      <c r="U1885" s="7" t="s">
        <v>3493</v>
      </c>
      <c r="V1885" s="7">
        <v>1.0</v>
      </c>
    </row>
    <row r="1886">
      <c r="A1886" s="7" t="s">
        <v>21791</v>
      </c>
      <c r="B1886" s="7">
        <v>2400189.0</v>
      </c>
      <c r="C1886" s="7" t="s">
        <v>12221</v>
      </c>
      <c r="D1886" s="7" t="s">
        <v>15015</v>
      </c>
      <c r="E1886" s="7" t="s">
        <v>12223</v>
      </c>
      <c r="F1886" s="7" t="s">
        <v>4287</v>
      </c>
      <c r="G1886" s="7" t="s">
        <v>15016</v>
      </c>
      <c r="H1886" s="7" t="s">
        <v>15017</v>
      </c>
      <c r="I1886" s="119">
        <v>45367.0</v>
      </c>
      <c r="K1886" s="7" t="s">
        <v>419</v>
      </c>
      <c r="L1886" s="7" t="s">
        <v>991</v>
      </c>
      <c r="M1886" s="7" t="s">
        <v>3501</v>
      </c>
      <c r="N1886" s="7" t="s">
        <v>419</v>
      </c>
      <c r="O1886" s="7" t="s">
        <v>19432</v>
      </c>
      <c r="P1886" s="7" t="s">
        <v>1433</v>
      </c>
      <c r="Q1886" s="7" t="s">
        <v>644</v>
      </c>
      <c r="R1886" s="7" t="s">
        <v>21485</v>
      </c>
      <c r="T1886" s="7" t="s">
        <v>14672</v>
      </c>
      <c r="U1886" s="7" t="s">
        <v>3493</v>
      </c>
      <c r="V1886" s="7">
        <v>1.0</v>
      </c>
    </row>
    <row r="1887">
      <c r="A1887" s="7" t="s">
        <v>21792</v>
      </c>
      <c r="B1887" s="7">
        <v>2400188.0</v>
      </c>
      <c r="C1887" s="7" t="s">
        <v>15019</v>
      </c>
      <c r="D1887" s="7" t="s">
        <v>15020</v>
      </c>
      <c r="E1887" s="7" t="s">
        <v>15021</v>
      </c>
      <c r="F1887" s="7" t="s">
        <v>3909</v>
      </c>
      <c r="G1887" s="7" t="s">
        <v>15022</v>
      </c>
      <c r="H1887" s="7" t="s">
        <v>15023</v>
      </c>
      <c r="I1887" s="119">
        <v>45367.0</v>
      </c>
      <c r="K1887" s="7" t="s">
        <v>3642</v>
      </c>
      <c r="L1887" s="7" t="s">
        <v>991</v>
      </c>
      <c r="M1887" s="7" t="s">
        <v>3501</v>
      </c>
      <c r="N1887" s="7" t="s">
        <v>3642</v>
      </c>
      <c r="O1887" s="7" t="s">
        <v>3642</v>
      </c>
      <c r="P1887" s="7" t="s">
        <v>19524</v>
      </c>
      <c r="T1887" s="7" t="s">
        <v>3644</v>
      </c>
      <c r="U1887" s="7" t="s">
        <v>3493</v>
      </c>
      <c r="V1887" s="7">
        <v>1.0</v>
      </c>
    </row>
    <row r="1888">
      <c r="A1888" s="7" t="s">
        <v>21793</v>
      </c>
      <c r="B1888" s="7">
        <v>2400192.0</v>
      </c>
      <c r="C1888" s="7" t="s">
        <v>14392</v>
      </c>
      <c r="D1888" s="7" t="s">
        <v>15025</v>
      </c>
      <c r="E1888" s="7" t="s">
        <v>14394</v>
      </c>
      <c r="F1888" s="7" t="s">
        <v>4109</v>
      </c>
      <c r="G1888" s="7" t="s">
        <v>15026</v>
      </c>
      <c r="H1888" s="7" t="s">
        <v>15027</v>
      </c>
      <c r="I1888" s="119">
        <v>45367.0</v>
      </c>
      <c r="K1888" s="7" t="s">
        <v>419</v>
      </c>
      <c r="L1888" s="7" t="s">
        <v>991</v>
      </c>
      <c r="M1888" s="7" t="s">
        <v>3531</v>
      </c>
      <c r="N1888" s="7" t="s">
        <v>419</v>
      </c>
      <c r="O1888" s="7" t="s">
        <v>19430</v>
      </c>
      <c r="P1888" s="7" t="s">
        <v>717</v>
      </c>
      <c r="Q1888" s="7" t="s">
        <v>1163</v>
      </c>
      <c r="R1888" s="7" t="s">
        <v>19546</v>
      </c>
      <c r="S1888" s="7" t="s">
        <v>19684</v>
      </c>
      <c r="T1888" s="7" t="s">
        <v>4238</v>
      </c>
      <c r="U1888" s="7" t="s">
        <v>3493</v>
      </c>
      <c r="V1888" s="7">
        <v>1.0</v>
      </c>
    </row>
    <row r="1889">
      <c r="A1889" s="7" t="s">
        <v>21794</v>
      </c>
      <c r="B1889" s="7">
        <v>2400250.0</v>
      </c>
      <c r="C1889" s="7" t="s">
        <v>3771</v>
      </c>
      <c r="D1889" s="7" t="s">
        <v>6628</v>
      </c>
      <c r="E1889" s="7" t="s">
        <v>3773</v>
      </c>
      <c r="F1889" s="7" t="s">
        <v>6630</v>
      </c>
      <c r="G1889" s="7" t="s">
        <v>15029</v>
      </c>
      <c r="H1889" s="7" t="s">
        <v>15030</v>
      </c>
      <c r="I1889" s="119">
        <v>45383.0</v>
      </c>
      <c r="K1889" s="7" t="s">
        <v>3489</v>
      </c>
      <c r="L1889" s="7" t="s">
        <v>991</v>
      </c>
      <c r="M1889" s="7" t="s">
        <v>3490</v>
      </c>
      <c r="N1889" s="7" t="s">
        <v>3489</v>
      </c>
      <c r="O1889" s="7" t="s">
        <v>3489</v>
      </c>
      <c r="P1889" s="7" t="s">
        <v>19491</v>
      </c>
      <c r="Q1889" s="7" t="s">
        <v>169</v>
      </c>
      <c r="R1889" s="7" t="s">
        <v>19492</v>
      </c>
      <c r="T1889" s="7" t="s">
        <v>3492</v>
      </c>
      <c r="U1889" s="7" t="s">
        <v>3493</v>
      </c>
      <c r="V1889" s="7">
        <v>1.0</v>
      </c>
    </row>
    <row r="1890">
      <c r="A1890" s="7" t="s">
        <v>21795</v>
      </c>
      <c r="B1890" s="7">
        <v>2400267.0</v>
      </c>
      <c r="C1890" s="7" t="s">
        <v>4006</v>
      </c>
      <c r="D1890" s="7" t="s">
        <v>5056</v>
      </c>
      <c r="E1890" s="7" t="s">
        <v>4008</v>
      </c>
      <c r="F1890" s="7" t="s">
        <v>5058</v>
      </c>
      <c r="G1890" s="7" t="s">
        <v>15032</v>
      </c>
      <c r="H1890" s="7" t="s">
        <v>15033</v>
      </c>
      <c r="I1890" s="119">
        <v>45383.0</v>
      </c>
      <c r="K1890" s="7" t="s">
        <v>419</v>
      </c>
      <c r="L1890" s="7" t="s">
        <v>991</v>
      </c>
      <c r="M1890" s="7" t="s">
        <v>3531</v>
      </c>
      <c r="N1890" s="7" t="s">
        <v>419</v>
      </c>
      <c r="O1890" s="7" t="s">
        <v>19432</v>
      </c>
      <c r="P1890" s="7" t="s">
        <v>298</v>
      </c>
      <c r="Q1890" s="7" t="s">
        <v>798</v>
      </c>
      <c r="R1890" s="7" t="s">
        <v>19526</v>
      </c>
      <c r="T1890" s="7" t="s">
        <v>3653</v>
      </c>
      <c r="U1890" s="7" t="s">
        <v>3493</v>
      </c>
      <c r="V1890" s="7">
        <v>1.0</v>
      </c>
    </row>
    <row r="1891">
      <c r="A1891" s="7" t="s">
        <v>21796</v>
      </c>
      <c r="B1891" s="7">
        <v>2400244.0</v>
      </c>
      <c r="C1891" s="7" t="s">
        <v>4421</v>
      </c>
      <c r="D1891" s="7" t="s">
        <v>15035</v>
      </c>
      <c r="E1891" s="7" t="s">
        <v>4423</v>
      </c>
      <c r="F1891" s="7" t="s">
        <v>15036</v>
      </c>
      <c r="G1891" s="7" t="s">
        <v>15037</v>
      </c>
      <c r="H1891" s="7" t="s">
        <v>15038</v>
      </c>
      <c r="I1891" s="119">
        <v>45383.0</v>
      </c>
      <c r="K1891" s="7" t="s">
        <v>3632</v>
      </c>
      <c r="L1891" s="7" t="s">
        <v>991</v>
      </c>
      <c r="M1891" s="7" t="s">
        <v>3501</v>
      </c>
      <c r="N1891" s="7" t="s">
        <v>3632</v>
      </c>
      <c r="O1891" s="7" t="s">
        <v>3632</v>
      </c>
      <c r="P1891" s="7" t="s">
        <v>22</v>
      </c>
      <c r="Q1891" s="7" t="s">
        <v>552</v>
      </c>
      <c r="T1891" s="7" t="s">
        <v>16888</v>
      </c>
      <c r="U1891" s="7" t="s">
        <v>3493</v>
      </c>
      <c r="V1891" s="7">
        <v>1.0</v>
      </c>
    </row>
    <row r="1892">
      <c r="A1892" s="7" t="s">
        <v>21797</v>
      </c>
      <c r="B1892" s="7">
        <v>2400247.0</v>
      </c>
      <c r="C1892" s="7" t="s">
        <v>15040</v>
      </c>
      <c r="D1892" s="7" t="s">
        <v>15041</v>
      </c>
      <c r="E1892" s="7" t="s">
        <v>15042</v>
      </c>
      <c r="F1892" s="7" t="s">
        <v>5034</v>
      </c>
      <c r="G1892" s="7" t="s">
        <v>15043</v>
      </c>
      <c r="H1892" s="7" t="s">
        <v>15044</v>
      </c>
      <c r="I1892" s="119">
        <v>45383.0</v>
      </c>
      <c r="K1892" s="7" t="s">
        <v>3489</v>
      </c>
      <c r="L1892" s="7" t="s">
        <v>991</v>
      </c>
      <c r="M1892" s="7" t="s">
        <v>3490</v>
      </c>
      <c r="N1892" s="7" t="s">
        <v>3489</v>
      </c>
      <c r="O1892" s="7" t="s">
        <v>3489</v>
      </c>
      <c r="P1892" s="7" t="s">
        <v>19491</v>
      </c>
      <c r="Q1892" s="7" t="s">
        <v>169</v>
      </c>
      <c r="R1892" s="7" t="s">
        <v>19492</v>
      </c>
      <c r="T1892" s="7" t="s">
        <v>3492</v>
      </c>
      <c r="U1892" s="7" t="s">
        <v>3493</v>
      </c>
      <c r="V1892" s="7">
        <v>1.0</v>
      </c>
    </row>
    <row r="1893">
      <c r="A1893" s="7" t="s">
        <v>21798</v>
      </c>
      <c r="B1893" s="7">
        <v>2400236.0</v>
      </c>
      <c r="C1893" s="7" t="s">
        <v>15046</v>
      </c>
      <c r="D1893" s="7" t="s">
        <v>15047</v>
      </c>
      <c r="E1893" s="7" t="s">
        <v>15048</v>
      </c>
      <c r="F1893" s="7" t="s">
        <v>15049</v>
      </c>
      <c r="G1893" s="7" t="s">
        <v>15050</v>
      </c>
      <c r="H1893" s="7" t="s">
        <v>15051</v>
      </c>
      <c r="I1893" s="119">
        <v>45383.0</v>
      </c>
      <c r="K1893" s="7" t="s">
        <v>419</v>
      </c>
      <c r="L1893" s="7" t="s">
        <v>991</v>
      </c>
      <c r="M1893" s="7" t="s">
        <v>3531</v>
      </c>
      <c r="N1893" s="7" t="s">
        <v>419</v>
      </c>
      <c r="O1893" s="7" t="s">
        <v>19443</v>
      </c>
      <c r="P1893" s="7" t="s">
        <v>1242</v>
      </c>
      <c r="Q1893" s="7" t="s">
        <v>43</v>
      </c>
      <c r="T1893" s="7" t="s">
        <v>15052</v>
      </c>
      <c r="U1893" s="7" t="s">
        <v>3493</v>
      </c>
      <c r="V1893" s="7">
        <v>1.0</v>
      </c>
    </row>
    <row r="1894">
      <c r="A1894" s="7" t="s">
        <v>21799</v>
      </c>
      <c r="B1894" s="7">
        <v>2400219.0</v>
      </c>
      <c r="C1894" s="7" t="s">
        <v>15054</v>
      </c>
      <c r="D1894" s="7" t="s">
        <v>10170</v>
      </c>
      <c r="E1894" s="7" t="s">
        <v>15055</v>
      </c>
      <c r="F1894" s="7" t="s">
        <v>10171</v>
      </c>
      <c r="G1894" s="7" t="s">
        <v>15056</v>
      </c>
      <c r="H1894" s="7" t="s">
        <v>15057</v>
      </c>
      <c r="I1894" s="119">
        <v>45383.0</v>
      </c>
      <c r="K1894" s="7" t="s">
        <v>419</v>
      </c>
      <c r="L1894" s="7" t="s">
        <v>991</v>
      </c>
      <c r="M1894" s="7" t="s">
        <v>3501</v>
      </c>
      <c r="N1894" s="7" t="s">
        <v>419</v>
      </c>
      <c r="O1894" s="7" t="s">
        <v>19443</v>
      </c>
      <c r="P1894" s="7" t="s">
        <v>323</v>
      </c>
      <c r="Q1894" s="7" t="s">
        <v>819</v>
      </c>
      <c r="R1894" s="7" t="s">
        <v>19778</v>
      </c>
      <c r="S1894" s="7" t="s">
        <v>19779</v>
      </c>
      <c r="T1894" s="7" t="s">
        <v>19780</v>
      </c>
      <c r="U1894" s="7" t="s">
        <v>3493</v>
      </c>
      <c r="V1894" s="7">
        <v>1.0</v>
      </c>
    </row>
    <row r="1895">
      <c r="A1895" s="7" t="s">
        <v>21800</v>
      </c>
      <c r="B1895" s="7">
        <v>2400241.0</v>
      </c>
      <c r="C1895" s="7" t="s">
        <v>15059</v>
      </c>
      <c r="D1895" s="7" t="s">
        <v>15060</v>
      </c>
      <c r="E1895" s="7" t="s">
        <v>15061</v>
      </c>
      <c r="F1895" s="7" t="s">
        <v>8855</v>
      </c>
      <c r="G1895" s="7" t="s">
        <v>15062</v>
      </c>
      <c r="H1895" s="7" t="s">
        <v>15063</v>
      </c>
      <c r="I1895" s="119">
        <v>45383.0</v>
      </c>
      <c r="K1895" s="7" t="s">
        <v>419</v>
      </c>
      <c r="L1895" s="7" t="s">
        <v>991</v>
      </c>
      <c r="M1895" s="7" t="s">
        <v>3531</v>
      </c>
      <c r="N1895" s="7" t="s">
        <v>419</v>
      </c>
      <c r="O1895" s="7" t="s">
        <v>19440</v>
      </c>
      <c r="P1895" s="7" t="s">
        <v>613</v>
      </c>
      <c r="Q1895" s="7" t="s">
        <v>104</v>
      </c>
      <c r="T1895" s="7" t="s">
        <v>10667</v>
      </c>
      <c r="U1895" s="7" t="s">
        <v>3493</v>
      </c>
      <c r="V1895" s="7">
        <v>1.0</v>
      </c>
    </row>
    <row r="1896">
      <c r="A1896" s="7" t="s">
        <v>21801</v>
      </c>
      <c r="B1896" s="7">
        <v>2400249.0</v>
      </c>
      <c r="C1896" s="7" t="s">
        <v>15065</v>
      </c>
      <c r="D1896" s="7" t="s">
        <v>14948</v>
      </c>
      <c r="E1896" s="7" t="s">
        <v>15066</v>
      </c>
      <c r="F1896" s="7" t="s">
        <v>14949</v>
      </c>
      <c r="G1896" s="7" t="s">
        <v>15067</v>
      </c>
      <c r="H1896" s="7" t="s">
        <v>15068</v>
      </c>
      <c r="I1896" s="119">
        <v>45383.0</v>
      </c>
      <c r="K1896" s="7" t="s">
        <v>3489</v>
      </c>
      <c r="L1896" s="7" t="s">
        <v>991</v>
      </c>
      <c r="M1896" s="7" t="s">
        <v>3490</v>
      </c>
      <c r="N1896" s="7" t="s">
        <v>3489</v>
      </c>
      <c r="O1896" s="7" t="s">
        <v>3489</v>
      </c>
      <c r="P1896" s="7" t="s">
        <v>19491</v>
      </c>
      <c r="Q1896" s="7" t="s">
        <v>169</v>
      </c>
      <c r="R1896" s="7" t="s">
        <v>19492</v>
      </c>
      <c r="T1896" s="7" t="s">
        <v>3492</v>
      </c>
      <c r="U1896" s="7" t="s">
        <v>3493</v>
      </c>
      <c r="V1896" s="7">
        <v>1.0</v>
      </c>
    </row>
    <row r="1897">
      <c r="A1897" s="7" t="s">
        <v>21802</v>
      </c>
      <c r="B1897" s="7">
        <v>2400199.0</v>
      </c>
      <c r="C1897" s="7" t="s">
        <v>5481</v>
      </c>
      <c r="D1897" s="7" t="s">
        <v>15070</v>
      </c>
      <c r="E1897" s="7" t="s">
        <v>5483</v>
      </c>
      <c r="F1897" s="7" t="s">
        <v>15071</v>
      </c>
      <c r="G1897" s="7" t="s">
        <v>15072</v>
      </c>
      <c r="H1897" s="7" t="s">
        <v>15073</v>
      </c>
      <c r="I1897" s="119">
        <v>45383.0</v>
      </c>
      <c r="K1897" s="7" t="s">
        <v>419</v>
      </c>
      <c r="L1897" s="7" t="s">
        <v>991</v>
      </c>
      <c r="M1897" s="7" t="s">
        <v>3501</v>
      </c>
      <c r="N1897" s="7" t="s">
        <v>419</v>
      </c>
      <c r="O1897" s="7" t="s">
        <v>19430</v>
      </c>
      <c r="P1897" s="7" t="s">
        <v>717</v>
      </c>
      <c r="Q1897" s="7" t="s">
        <v>725</v>
      </c>
      <c r="R1897" s="7" t="s">
        <v>19741</v>
      </c>
      <c r="S1897" s="7" t="s">
        <v>19495</v>
      </c>
      <c r="T1897" s="7" t="s">
        <v>10122</v>
      </c>
      <c r="U1897" s="7" t="s">
        <v>3493</v>
      </c>
      <c r="V1897" s="7">
        <v>1.0</v>
      </c>
    </row>
    <row r="1898">
      <c r="A1898" s="7" t="s">
        <v>21803</v>
      </c>
      <c r="B1898" s="7">
        <v>2400255.0</v>
      </c>
      <c r="C1898" s="7" t="s">
        <v>5712</v>
      </c>
      <c r="D1898" s="7" t="s">
        <v>15075</v>
      </c>
      <c r="E1898" s="7" t="s">
        <v>5714</v>
      </c>
      <c r="F1898" s="7" t="s">
        <v>5132</v>
      </c>
      <c r="G1898" s="7" t="s">
        <v>15076</v>
      </c>
      <c r="H1898" s="7" t="s">
        <v>15077</v>
      </c>
      <c r="I1898" s="119">
        <v>45383.0</v>
      </c>
      <c r="K1898" s="7" t="s">
        <v>419</v>
      </c>
      <c r="L1898" s="7" t="s">
        <v>991</v>
      </c>
      <c r="M1898" s="7" t="s">
        <v>3490</v>
      </c>
      <c r="N1898" s="7" t="s">
        <v>419</v>
      </c>
      <c r="O1898" s="7" t="s">
        <v>19440</v>
      </c>
      <c r="P1898" s="7" t="s">
        <v>3</v>
      </c>
      <c r="Q1898" s="7" t="s">
        <v>9</v>
      </c>
      <c r="R1898" s="7" t="s">
        <v>20413</v>
      </c>
      <c r="S1898" s="7" t="s">
        <v>19519</v>
      </c>
      <c r="T1898" s="7" t="s">
        <v>7663</v>
      </c>
      <c r="U1898" s="7" t="s">
        <v>3493</v>
      </c>
      <c r="V1898" s="7">
        <v>1.0</v>
      </c>
    </row>
    <row r="1899">
      <c r="A1899" s="7" t="s">
        <v>21804</v>
      </c>
      <c r="B1899" s="7">
        <v>2400213.0</v>
      </c>
      <c r="C1899" s="7" t="s">
        <v>15079</v>
      </c>
      <c r="D1899" s="7" t="s">
        <v>15080</v>
      </c>
      <c r="E1899" s="7" t="s">
        <v>15081</v>
      </c>
      <c r="F1899" s="7" t="s">
        <v>4695</v>
      </c>
      <c r="G1899" s="7" t="s">
        <v>15082</v>
      </c>
      <c r="H1899" s="7" t="s">
        <v>15083</v>
      </c>
      <c r="I1899" s="119">
        <v>45383.0</v>
      </c>
      <c r="J1899" s="7" t="s">
        <v>4216</v>
      </c>
      <c r="K1899" s="7" t="s">
        <v>419</v>
      </c>
      <c r="L1899" s="7" t="s">
        <v>991</v>
      </c>
      <c r="M1899" s="7" t="s">
        <v>3501</v>
      </c>
      <c r="N1899" s="7" t="s">
        <v>419</v>
      </c>
      <c r="O1899" s="7" t="s">
        <v>19430</v>
      </c>
      <c r="P1899" s="7" t="s">
        <v>717</v>
      </c>
      <c r="Q1899" s="7" t="s">
        <v>720</v>
      </c>
      <c r="R1899" s="7" t="s">
        <v>19658</v>
      </c>
      <c r="S1899" s="7" t="s">
        <v>19659</v>
      </c>
      <c r="T1899" s="7" t="s">
        <v>4148</v>
      </c>
      <c r="U1899" s="7" t="s">
        <v>3493</v>
      </c>
      <c r="V1899" s="7">
        <v>1.0</v>
      </c>
    </row>
    <row r="1900">
      <c r="A1900" s="7" t="s">
        <v>21805</v>
      </c>
      <c r="B1900" s="7">
        <v>2400257.0</v>
      </c>
      <c r="C1900" s="7" t="s">
        <v>15085</v>
      </c>
      <c r="D1900" s="7" t="s">
        <v>7540</v>
      </c>
      <c r="E1900" s="7" t="s">
        <v>6634</v>
      </c>
      <c r="F1900" s="7" t="s">
        <v>7542</v>
      </c>
      <c r="G1900" s="7" t="s">
        <v>15086</v>
      </c>
      <c r="H1900" s="7" t="s">
        <v>15087</v>
      </c>
      <c r="I1900" s="119">
        <v>45383.0</v>
      </c>
      <c r="K1900" s="7" t="s">
        <v>3632</v>
      </c>
      <c r="L1900" s="7" t="s">
        <v>991</v>
      </c>
      <c r="M1900" s="7" t="s">
        <v>3866</v>
      </c>
      <c r="N1900" s="7" t="s">
        <v>3632</v>
      </c>
      <c r="O1900" s="7" t="s">
        <v>3632</v>
      </c>
      <c r="P1900" s="7" t="s">
        <v>625</v>
      </c>
      <c r="Q1900" s="7" t="s">
        <v>626</v>
      </c>
      <c r="R1900" s="7" t="s">
        <v>19672</v>
      </c>
      <c r="T1900" s="7" t="s">
        <v>4191</v>
      </c>
      <c r="U1900" s="7" t="s">
        <v>3493</v>
      </c>
      <c r="V1900" s="7">
        <v>1.0</v>
      </c>
    </row>
    <row r="1901">
      <c r="A1901" s="7" t="s">
        <v>21806</v>
      </c>
      <c r="B1901" s="7">
        <v>2400214.0</v>
      </c>
      <c r="C1901" s="7" t="s">
        <v>15089</v>
      </c>
      <c r="D1901" s="7" t="s">
        <v>7559</v>
      </c>
      <c r="E1901" s="7" t="s">
        <v>6668</v>
      </c>
      <c r="F1901" s="7" t="s">
        <v>3909</v>
      </c>
      <c r="G1901" s="7" t="s">
        <v>15090</v>
      </c>
      <c r="H1901" s="7" t="s">
        <v>15091</v>
      </c>
      <c r="I1901" s="119">
        <v>45383.0</v>
      </c>
      <c r="K1901" s="7" t="s">
        <v>419</v>
      </c>
      <c r="L1901" s="7" t="s">
        <v>991</v>
      </c>
      <c r="M1901" s="7" t="s">
        <v>3501</v>
      </c>
      <c r="N1901" s="7" t="s">
        <v>419</v>
      </c>
      <c r="O1901" s="7" t="s">
        <v>19443</v>
      </c>
      <c r="P1901" s="7" t="s">
        <v>1242</v>
      </c>
      <c r="Q1901" s="7" t="s">
        <v>51</v>
      </c>
      <c r="R1901" s="7" t="s">
        <v>19597</v>
      </c>
      <c r="S1901" s="7" t="s">
        <v>19650</v>
      </c>
      <c r="T1901" s="7" t="s">
        <v>4128</v>
      </c>
      <c r="U1901" s="7" t="s">
        <v>3493</v>
      </c>
      <c r="V1901" s="7">
        <v>1.0</v>
      </c>
    </row>
    <row r="1902">
      <c r="A1902" s="7" t="s">
        <v>21807</v>
      </c>
      <c r="B1902" s="7">
        <v>2400218.0</v>
      </c>
      <c r="C1902" s="7" t="s">
        <v>15093</v>
      </c>
      <c r="D1902" s="7" t="s">
        <v>15094</v>
      </c>
      <c r="E1902" s="7" t="s">
        <v>6910</v>
      </c>
      <c r="F1902" s="7" t="s">
        <v>5759</v>
      </c>
      <c r="G1902" s="7" t="s">
        <v>15095</v>
      </c>
      <c r="H1902" s="7" t="s">
        <v>15096</v>
      </c>
      <c r="I1902" s="119">
        <v>45383.0</v>
      </c>
      <c r="K1902" s="7" t="s">
        <v>3622</v>
      </c>
      <c r="L1902" s="7" t="s">
        <v>991</v>
      </c>
      <c r="M1902" s="7" t="s">
        <v>3501</v>
      </c>
      <c r="N1902" s="7" t="s">
        <v>3622</v>
      </c>
      <c r="O1902" s="7" t="s">
        <v>3622</v>
      </c>
      <c r="P1902" s="7" t="s">
        <v>19521</v>
      </c>
      <c r="T1902" s="7" t="s">
        <v>3624</v>
      </c>
      <c r="U1902" s="7" t="s">
        <v>3493</v>
      </c>
      <c r="V1902" s="7">
        <v>1.0</v>
      </c>
    </row>
    <row r="1903">
      <c r="A1903" s="7" t="s">
        <v>21808</v>
      </c>
      <c r="B1903" s="7">
        <v>3000001.0</v>
      </c>
      <c r="C1903" s="7" t="s">
        <v>6974</v>
      </c>
      <c r="D1903" s="7" t="s">
        <v>15098</v>
      </c>
      <c r="E1903" s="7" t="s">
        <v>6976</v>
      </c>
      <c r="F1903" s="7" t="s">
        <v>15099</v>
      </c>
      <c r="G1903" s="7" t="s">
        <v>15100</v>
      </c>
      <c r="H1903" s="7" t="s">
        <v>15101</v>
      </c>
      <c r="I1903" s="119">
        <v>45413.0</v>
      </c>
      <c r="K1903" s="7" t="s">
        <v>419</v>
      </c>
      <c r="L1903" s="7" t="s">
        <v>991</v>
      </c>
      <c r="M1903" s="7" t="s">
        <v>3501</v>
      </c>
      <c r="N1903" s="7" t="s">
        <v>419</v>
      </c>
      <c r="O1903" s="7" t="s">
        <v>19433</v>
      </c>
      <c r="P1903" s="7" t="s">
        <v>648</v>
      </c>
      <c r="Q1903" s="7" t="s">
        <v>141</v>
      </c>
      <c r="T1903" s="7" t="s">
        <v>4500</v>
      </c>
      <c r="U1903" s="7" t="s">
        <v>3493</v>
      </c>
      <c r="V1903" s="7">
        <v>1.0</v>
      </c>
    </row>
    <row r="1904">
      <c r="A1904" s="7" t="s">
        <v>21809</v>
      </c>
      <c r="B1904" s="7">
        <v>2400201.0</v>
      </c>
      <c r="C1904" s="7" t="s">
        <v>15103</v>
      </c>
      <c r="D1904" s="7" t="s">
        <v>15104</v>
      </c>
      <c r="E1904" s="7" t="s">
        <v>15105</v>
      </c>
      <c r="F1904" s="7" t="s">
        <v>3748</v>
      </c>
      <c r="G1904" s="7" t="s">
        <v>15106</v>
      </c>
      <c r="H1904" s="7" t="s">
        <v>15107</v>
      </c>
      <c r="I1904" s="119">
        <v>45383.0</v>
      </c>
      <c r="K1904" s="7" t="s">
        <v>419</v>
      </c>
      <c r="L1904" s="7" t="s">
        <v>991</v>
      </c>
      <c r="M1904" s="7" t="s">
        <v>3501</v>
      </c>
      <c r="N1904" s="7" t="s">
        <v>419</v>
      </c>
      <c r="O1904" s="7" t="s">
        <v>19443</v>
      </c>
      <c r="P1904" s="7" t="s">
        <v>323</v>
      </c>
      <c r="Q1904" s="7" t="s">
        <v>824</v>
      </c>
      <c r="R1904" s="7" t="s">
        <v>20541</v>
      </c>
      <c r="T1904" s="7" t="s">
        <v>20542</v>
      </c>
      <c r="U1904" s="7" t="s">
        <v>3493</v>
      </c>
      <c r="V1904" s="7">
        <v>1.0</v>
      </c>
    </row>
    <row r="1905">
      <c r="A1905" s="7" t="s">
        <v>21810</v>
      </c>
      <c r="B1905" s="7">
        <v>2400204.0</v>
      </c>
      <c r="C1905" s="7" t="s">
        <v>7411</v>
      </c>
      <c r="D1905" s="7" t="s">
        <v>15109</v>
      </c>
      <c r="E1905" s="7" t="s">
        <v>7413</v>
      </c>
      <c r="F1905" s="7" t="s">
        <v>3909</v>
      </c>
      <c r="G1905" s="7" t="s">
        <v>15110</v>
      </c>
      <c r="H1905" s="7" t="s">
        <v>15111</v>
      </c>
      <c r="I1905" s="119">
        <v>45383.0</v>
      </c>
      <c r="K1905" s="7" t="s">
        <v>419</v>
      </c>
      <c r="L1905" s="7" t="s">
        <v>991</v>
      </c>
      <c r="M1905" s="7" t="s">
        <v>3501</v>
      </c>
      <c r="N1905" s="7" t="s">
        <v>419</v>
      </c>
      <c r="O1905" s="7" t="s">
        <v>19432</v>
      </c>
      <c r="P1905" s="7" t="s">
        <v>693</v>
      </c>
      <c r="Q1905" s="7" t="s">
        <v>696</v>
      </c>
      <c r="R1905" s="7" t="s">
        <v>19934</v>
      </c>
      <c r="S1905" s="7" t="s">
        <v>20767</v>
      </c>
      <c r="T1905" s="7" t="s">
        <v>11675</v>
      </c>
      <c r="U1905" s="7" t="s">
        <v>3493</v>
      </c>
      <c r="V1905" s="7">
        <v>1.0</v>
      </c>
    </row>
    <row r="1906">
      <c r="A1906" s="7" t="s">
        <v>21811</v>
      </c>
      <c r="B1906" s="7">
        <v>2400259.0</v>
      </c>
      <c r="C1906" s="7" t="s">
        <v>15113</v>
      </c>
      <c r="D1906" s="7" t="s">
        <v>15114</v>
      </c>
      <c r="E1906" s="7" t="s">
        <v>15115</v>
      </c>
      <c r="F1906" s="7" t="s">
        <v>13059</v>
      </c>
      <c r="G1906" s="7" t="s">
        <v>15116</v>
      </c>
      <c r="H1906" s="7" t="s">
        <v>15117</v>
      </c>
      <c r="I1906" s="119">
        <v>45383.0</v>
      </c>
      <c r="K1906" s="7" t="s">
        <v>419</v>
      </c>
      <c r="L1906" s="7" t="s">
        <v>991</v>
      </c>
      <c r="M1906" s="7" t="s">
        <v>3583</v>
      </c>
      <c r="N1906" s="7" t="s">
        <v>419</v>
      </c>
      <c r="O1906" s="7" t="s">
        <v>19432</v>
      </c>
      <c r="P1906" s="7" t="s">
        <v>298</v>
      </c>
      <c r="Q1906" s="7" t="s">
        <v>1284</v>
      </c>
      <c r="R1906" s="7" t="s">
        <v>20033</v>
      </c>
      <c r="S1906" s="7" t="s">
        <v>20034</v>
      </c>
      <c r="T1906" s="7" t="s">
        <v>5747</v>
      </c>
      <c r="U1906" s="7" t="s">
        <v>3493</v>
      </c>
      <c r="V1906" s="7">
        <v>1.0</v>
      </c>
    </row>
    <row r="1907">
      <c r="A1907" s="7" t="s">
        <v>19489</v>
      </c>
      <c r="B1907" s="7">
        <v>2400278.0</v>
      </c>
      <c r="C1907" s="7" t="s">
        <v>15119</v>
      </c>
      <c r="D1907" s="7" t="s">
        <v>15120</v>
      </c>
      <c r="E1907" s="7" t="s">
        <v>15121</v>
      </c>
      <c r="F1907" s="7" t="s">
        <v>6977</v>
      </c>
      <c r="G1907" s="7" t="s">
        <v>15122</v>
      </c>
      <c r="H1907" s="7" t="s">
        <v>15123</v>
      </c>
      <c r="I1907" s="119">
        <v>45383.0</v>
      </c>
      <c r="K1907" s="7" t="s">
        <v>11974</v>
      </c>
      <c r="L1907" s="7" t="s">
        <v>991</v>
      </c>
      <c r="M1907" s="7" t="s">
        <v>3501</v>
      </c>
      <c r="N1907" s="7" t="s">
        <v>11974</v>
      </c>
      <c r="O1907" s="7" t="s">
        <v>11974</v>
      </c>
      <c r="P1907" s="7" t="s">
        <v>386</v>
      </c>
      <c r="T1907" s="7" t="s">
        <v>15125</v>
      </c>
      <c r="U1907" s="7" t="s">
        <v>12011</v>
      </c>
      <c r="V1907" s="7">
        <v>1.0</v>
      </c>
    </row>
    <row r="1908">
      <c r="A1908" s="7" t="s">
        <v>21812</v>
      </c>
      <c r="B1908" s="7">
        <v>2400228.0</v>
      </c>
      <c r="C1908" s="7" t="s">
        <v>8352</v>
      </c>
      <c r="D1908" s="7" t="s">
        <v>4620</v>
      </c>
      <c r="E1908" s="7" t="s">
        <v>8354</v>
      </c>
      <c r="F1908" s="7" t="s">
        <v>3792</v>
      </c>
      <c r="G1908" s="7" t="s">
        <v>15127</v>
      </c>
      <c r="H1908" s="7" t="s">
        <v>15128</v>
      </c>
      <c r="I1908" s="119">
        <v>45383.0</v>
      </c>
      <c r="K1908" s="7" t="s">
        <v>419</v>
      </c>
      <c r="L1908" s="7" t="s">
        <v>991</v>
      </c>
      <c r="M1908" s="7" t="s">
        <v>3501</v>
      </c>
      <c r="N1908" s="7" t="s">
        <v>419</v>
      </c>
      <c r="O1908" s="7" t="s">
        <v>19443</v>
      </c>
      <c r="P1908" s="7" t="s">
        <v>323</v>
      </c>
      <c r="Q1908" s="7" t="s">
        <v>821</v>
      </c>
      <c r="R1908" s="7" t="s">
        <v>19858</v>
      </c>
      <c r="T1908" s="7" t="s">
        <v>21768</v>
      </c>
      <c r="U1908" s="7" t="s">
        <v>3493</v>
      </c>
      <c r="V1908" s="7">
        <v>1.0</v>
      </c>
    </row>
    <row r="1909">
      <c r="A1909" s="7" t="s">
        <v>21813</v>
      </c>
      <c r="B1909" s="7">
        <v>2400251.0</v>
      </c>
      <c r="C1909" s="7" t="s">
        <v>8429</v>
      </c>
      <c r="D1909" s="7" t="s">
        <v>8881</v>
      </c>
      <c r="E1909" s="7" t="s">
        <v>8431</v>
      </c>
      <c r="F1909" s="7" t="s">
        <v>4321</v>
      </c>
      <c r="G1909" s="7" t="s">
        <v>15130</v>
      </c>
      <c r="H1909" s="7" t="s">
        <v>15131</v>
      </c>
      <c r="I1909" s="119">
        <v>45383.0</v>
      </c>
      <c r="K1909" s="7" t="s">
        <v>3489</v>
      </c>
      <c r="L1909" s="7" t="s">
        <v>991</v>
      </c>
      <c r="M1909" s="7" t="s">
        <v>3490</v>
      </c>
      <c r="N1909" s="7" t="s">
        <v>3489</v>
      </c>
      <c r="O1909" s="7" t="s">
        <v>3489</v>
      </c>
      <c r="P1909" s="7" t="s">
        <v>19491</v>
      </c>
      <c r="Q1909" s="7" t="s">
        <v>169</v>
      </c>
      <c r="R1909" s="7" t="s">
        <v>19492</v>
      </c>
      <c r="T1909" s="7" t="s">
        <v>3492</v>
      </c>
      <c r="U1909" s="7" t="s">
        <v>3493</v>
      </c>
      <c r="V1909" s="7">
        <v>1.0</v>
      </c>
    </row>
    <row r="1910">
      <c r="A1910" s="7" t="s">
        <v>21814</v>
      </c>
      <c r="B1910" s="7">
        <v>2400234.0</v>
      </c>
      <c r="C1910" s="7" t="s">
        <v>15133</v>
      </c>
      <c r="D1910" s="7" t="s">
        <v>15134</v>
      </c>
      <c r="E1910" s="7" t="s">
        <v>15135</v>
      </c>
      <c r="F1910" s="7" t="s">
        <v>10612</v>
      </c>
      <c r="G1910" s="7" t="s">
        <v>15136</v>
      </c>
      <c r="H1910" s="7" t="s">
        <v>15137</v>
      </c>
      <c r="I1910" s="119">
        <v>45383.0</v>
      </c>
      <c r="K1910" s="7" t="s">
        <v>419</v>
      </c>
      <c r="L1910" s="7" t="s">
        <v>991</v>
      </c>
      <c r="M1910" s="7" t="s">
        <v>3501</v>
      </c>
      <c r="N1910" s="7" t="s">
        <v>419</v>
      </c>
      <c r="O1910" s="7" t="s">
        <v>19443</v>
      </c>
      <c r="P1910" s="7" t="s">
        <v>1242</v>
      </c>
      <c r="Q1910" s="7" t="s">
        <v>39</v>
      </c>
      <c r="R1910" s="7" t="s">
        <v>19929</v>
      </c>
      <c r="S1910" s="7" t="s">
        <v>19930</v>
      </c>
      <c r="T1910" s="7" t="s">
        <v>5290</v>
      </c>
      <c r="U1910" s="7" t="s">
        <v>3843</v>
      </c>
      <c r="V1910" s="7">
        <v>1.0</v>
      </c>
    </row>
    <row r="1911">
      <c r="A1911" s="7" t="s">
        <v>21815</v>
      </c>
      <c r="B1911" s="7">
        <v>2400252.0</v>
      </c>
      <c r="C1911" s="7" t="s">
        <v>15139</v>
      </c>
      <c r="D1911" s="7" t="s">
        <v>15140</v>
      </c>
      <c r="E1911" s="7" t="s">
        <v>15141</v>
      </c>
      <c r="F1911" s="7" t="s">
        <v>9819</v>
      </c>
      <c r="G1911" s="7" t="s">
        <v>15142</v>
      </c>
      <c r="H1911" s="7" t="s">
        <v>15143</v>
      </c>
      <c r="I1911" s="119">
        <v>45383.0</v>
      </c>
      <c r="K1911" s="7" t="s">
        <v>419</v>
      </c>
      <c r="L1911" s="7" t="s">
        <v>991</v>
      </c>
      <c r="M1911" s="7" t="s">
        <v>3490</v>
      </c>
      <c r="N1911" s="7" t="s">
        <v>419</v>
      </c>
      <c r="O1911" s="7" t="s">
        <v>19440</v>
      </c>
      <c r="P1911" s="7" t="s">
        <v>3</v>
      </c>
      <c r="Q1911" s="7" t="s">
        <v>9</v>
      </c>
      <c r="R1911" s="7" t="s">
        <v>20413</v>
      </c>
      <c r="S1911" s="7" t="s">
        <v>19519</v>
      </c>
      <c r="T1911" s="7" t="s">
        <v>7663</v>
      </c>
      <c r="U1911" s="7" t="s">
        <v>3493</v>
      </c>
      <c r="V1911" s="7">
        <v>1.0</v>
      </c>
    </row>
    <row r="1912">
      <c r="A1912" s="7" t="s">
        <v>21816</v>
      </c>
      <c r="B1912" s="7">
        <v>2400237.0</v>
      </c>
      <c r="C1912" s="7" t="s">
        <v>15145</v>
      </c>
      <c r="D1912" s="7" t="s">
        <v>15146</v>
      </c>
      <c r="E1912" s="7" t="s">
        <v>14932</v>
      </c>
      <c r="F1912" s="7" t="s">
        <v>3692</v>
      </c>
      <c r="G1912" s="7" t="s">
        <v>15147</v>
      </c>
      <c r="H1912" s="7" t="s">
        <v>15148</v>
      </c>
      <c r="I1912" s="119">
        <v>45383.0</v>
      </c>
      <c r="K1912" s="7" t="s">
        <v>3632</v>
      </c>
      <c r="L1912" s="7" t="s">
        <v>991</v>
      </c>
      <c r="M1912" s="7" t="s">
        <v>3531</v>
      </c>
      <c r="N1912" s="7" t="s">
        <v>3632</v>
      </c>
      <c r="O1912" s="7" t="s">
        <v>3632</v>
      </c>
      <c r="P1912" s="7" t="s">
        <v>19462</v>
      </c>
      <c r="Q1912" s="7" t="s">
        <v>19463</v>
      </c>
      <c r="R1912" s="7" t="s">
        <v>19883</v>
      </c>
      <c r="T1912" s="7" t="s">
        <v>15149</v>
      </c>
      <c r="U1912" s="7" t="s">
        <v>3493</v>
      </c>
      <c r="V1912" s="7">
        <v>1.0</v>
      </c>
    </row>
    <row r="1913">
      <c r="A1913" s="7" t="s">
        <v>21817</v>
      </c>
      <c r="B1913" s="7">
        <v>2400220.0</v>
      </c>
      <c r="C1913" s="7" t="s">
        <v>15151</v>
      </c>
      <c r="D1913" s="7" t="s">
        <v>15152</v>
      </c>
      <c r="E1913" s="7" t="s">
        <v>15153</v>
      </c>
      <c r="F1913" s="7" t="s">
        <v>14461</v>
      </c>
      <c r="G1913" s="7" t="s">
        <v>15154</v>
      </c>
      <c r="H1913" s="7" t="s">
        <v>15155</v>
      </c>
      <c r="I1913" s="119">
        <v>45383.0</v>
      </c>
      <c r="K1913" s="7" t="s">
        <v>419</v>
      </c>
      <c r="L1913" s="7" t="s">
        <v>991</v>
      </c>
      <c r="M1913" s="7" t="s">
        <v>3531</v>
      </c>
      <c r="N1913" s="7" t="s">
        <v>419</v>
      </c>
      <c r="O1913" s="7" t="s">
        <v>19430</v>
      </c>
      <c r="P1913" s="7" t="s">
        <v>717</v>
      </c>
      <c r="Q1913" s="7" t="s">
        <v>720</v>
      </c>
      <c r="R1913" s="7" t="s">
        <v>19542</v>
      </c>
      <c r="T1913" s="7" t="s">
        <v>3725</v>
      </c>
      <c r="U1913" s="7" t="s">
        <v>3493</v>
      </c>
      <c r="V1913" s="7">
        <v>1.0</v>
      </c>
    </row>
    <row r="1914">
      <c r="A1914" s="7" t="s">
        <v>21818</v>
      </c>
      <c r="B1914" s="7">
        <v>2400223.0</v>
      </c>
      <c r="C1914" s="7" t="s">
        <v>9145</v>
      </c>
      <c r="D1914" s="7" t="s">
        <v>15157</v>
      </c>
      <c r="E1914" s="7" t="s">
        <v>9147</v>
      </c>
      <c r="F1914" s="7" t="s">
        <v>4960</v>
      </c>
      <c r="G1914" s="7" t="s">
        <v>15158</v>
      </c>
      <c r="H1914" s="7" t="s">
        <v>15159</v>
      </c>
      <c r="I1914" s="119">
        <v>45383.0</v>
      </c>
      <c r="K1914" s="7" t="s">
        <v>3642</v>
      </c>
      <c r="L1914" s="7" t="s">
        <v>991</v>
      </c>
      <c r="M1914" s="7" t="s">
        <v>3501</v>
      </c>
      <c r="N1914" s="7" t="s">
        <v>3642</v>
      </c>
      <c r="O1914" s="7" t="s">
        <v>3642</v>
      </c>
      <c r="P1914" s="7" t="s">
        <v>19524</v>
      </c>
      <c r="T1914" s="7" t="s">
        <v>3644</v>
      </c>
      <c r="U1914" s="7" t="s">
        <v>3493</v>
      </c>
      <c r="V1914" s="7">
        <v>1.0</v>
      </c>
    </row>
    <row r="1915">
      <c r="A1915" s="7" t="s">
        <v>21819</v>
      </c>
      <c r="B1915" s="7">
        <v>2400215.0</v>
      </c>
      <c r="C1915" s="7" t="s">
        <v>9606</v>
      </c>
      <c r="D1915" s="7" t="s">
        <v>15161</v>
      </c>
      <c r="E1915" s="7" t="s">
        <v>9572</v>
      </c>
      <c r="F1915" s="7" t="s">
        <v>12201</v>
      </c>
      <c r="G1915" s="7" t="s">
        <v>15162</v>
      </c>
      <c r="H1915" s="7" t="s">
        <v>15163</v>
      </c>
      <c r="I1915" s="119">
        <v>45383.0</v>
      </c>
      <c r="K1915" s="7" t="s">
        <v>419</v>
      </c>
      <c r="L1915" s="7" t="s">
        <v>991</v>
      </c>
      <c r="M1915" s="7" t="s">
        <v>3501</v>
      </c>
      <c r="N1915" s="7" t="s">
        <v>419</v>
      </c>
      <c r="O1915" s="7" t="s">
        <v>19430</v>
      </c>
      <c r="P1915" s="7" t="s">
        <v>717</v>
      </c>
      <c r="Q1915" s="7" t="s">
        <v>730</v>
      </c>
      <c r="R1915" s="7" t="s">
        <v>20097</v>
      </c>
      <c r="S1915" s="7" t="s">
        <v>20098</v>
      </c>
      <c r="T1915" s="7" t="s">
        <v>6028</v>
      </c>
      <c r="U1915" s="7" t="s">
        <v>3493</v>
      </c>
      <c r="V1915" s="7">
        <v>1.0</v>
      </c>
    </row>
    <row r="1916">
      <c r="A1916" s="7" t="s">
        <v>21820</v>
      </c>
      <c r="B1916" s="7">
        <v>2400226.0</v>
      </c>
      <c r="C1916" s="7" t="s">
        <v>9570</v>
      </c>
      <c r="D1916" s="7" t="s">
        <v>14589</v>
      </c>
      <c r="E1916" s="7" t="s">
        <v>9572</v>
      </c>
      <c r="F1916" s="7" t="s">
        <v>14591</v>
      </c>
      <c r="G1916" s="7" t="s">
        <v>15165</v>
      </c>
      <c r="H1916" s="7" t="s">
        <v>15166</v>
      </c>
      <c r="I1916" s="119">
        <v>45383.0</v>
      </c>
      <c r="K1916" s="7" t="s">
        <v>419</v>
      </c>
      <c r="L1916" s="7" t="s">
        <v>991</v>
      </c>
      <c r="M1916" s="7" t="s">
        <v>3501</v>
      </c>
      <c r="N1916" s="7" t="s">
        <v>419</v>
      </c>
      <c r="O1916" s="7" t="s">
        <v>19433</v>
      </c>
      <c r="P1916" s="7" t="s">
        <v>587</v>
      </c>
      <c r="Q1916" s="7" t="s">
        <v>74</v>
      </c>
      <c r="R1916" s="7" t="s">
        <v>21220</v>
      </c>
      <c r="S1916" s="7" t="s">
        <v>21821</v>
      </c>
      <c r="T1916" s="7" t="s">
        <v>21822</v>
      </c>
      <c r="U1916" s="7" t="s">
        <v>3843</v>
      </c>
      <c r="V1916" s="7">
        <v>1.0</v>
      </c>
    </row>
    <row r="1917">
      <c r="A1917" s="7" t="s">
        <v>21823</v>
      </c>
      <c r="B1917" s="7">
        <v>2400211.0</v>
      </c>
      <c r="C1917" s="7" t="s">
        <v>10269</v>
      </c>
      <c r="D1917" s="7" t="s">
        <v>15170</v>
      </c>
      <c r="E1917" s="7" t="s">
        <v>10271</v>
      </c>
      <c r="F1917" s="7" t="s">
        <v>3508</v>
      </c>
      <c r="G1917" s="7" t="s">
        <v>15171</v>
      </c>
      <c r="H1917" s="7" t="s">
        <v>15172</v>
      </c>
      <c r="I1917" s="119">
        <v>45383.0</v>
      </c>
      <c r="K1917" s="7" t="s">
        <v>419</v>
      </c>
      <c r="L1917" s="7" t="s">
        <v>991</v>
      </c>
      <c r="M1917" s="7" t="s">
        <v>3501</v>
      </c>
      <c r="N1917" s="7" t="s">
        <v>419</v>
      </c>
      <c r="O1917" s="7" t="s">
        <v>19443</v>
      </c>
      <c r="P1917" s="7" t="s">
        <v>323</v>
      </c>
      <c r="Q1917" s="7" t="s">
        <v>324</v>
      </c>
      <c r="R1917" s="7" t="s">
        <v>20997</v>
      </c>
      <c r="T1917" s="7" t="s">
        <v>11045</v>
      </c>
      <c r="U1917" s="7" t="s">
        <v>3493</v>
      </c>
      <c r="V1917" s="7">
        <v>1.0</v>
      </c>
    </row>
    <row r="1918">
      <c r="A1918" s="7" t="s">
        <v>21824</v>
      </c>
      <c r="B1918" s="7">
        <v>2400208.0</v>
      </c>
      <c r="C1918" s="7" t="s">
        <v>15174</v>
      </c>
      <c r="D1918" s="7" t="s">
        <v>15175</v>
      </c>
      <c r="E1918" s="7" t="s">
        <v>15176</v>
      </c>
      <c r="F1918" s="7" t="s">
        <v>6279</v>
      </c>
      <c r="G1918" s="7" t="s">
        <v>15177</v>
      </c>
      <c r="H1918" s="7" t="s">
        <v>15178</v>
      </c>
      <c r="I1918" s="119">
        <v>45383.0</v>
      </c>
      <c r="K1918" s="7" t="s">
        <v>419</v>
      </c>
      <c r="L1918" s="7" t="s">
        <v>991</v>
      </c>
      <c r="M1918" s="7" t="s">
        <v>3501</v>
      </c>
      <c r="N1918" s="7" t="s">
        <v>419</v>
      </c>
      <c r="O1918" s="7" t="s">
        <v>19433</v>
      </c>
      <c r="P1918" s="7" t="s">
        <v>587</v>
      </c>
      <c r="Q1918" s="7" t="s">
        <v>74</v>
      </c>
      <c r="R1918" s="7" t="s">
        <v>21220</v>
      </c>
      <c r="T1918" s="7" t="s">
        <v>13310</v>
      </c>
      <c r="U1918" s="7" t="s">
        <v>3493</v>
      </c>
      <c r="V1918" s="7">
        <v>1.0</v>
      </c>
    </row>
    <row r="1919">
      <c r="A1919" s="7" t="s">
        <v>21825</v>
      </c>
      <c r="B1919" s="7">
        <v>2400280.0</v>
      </c>
      <c r="C1919" s="7" t="s">
        <v>15181</v>
      </c>
      <c r="D1919" s="7" t="s">
        <v>15182</v>
      </c>
      <c r="E1919" s="7" t="s">
        <v>15183</v>
      </c>
      <c r="F1919" s="7" t="s">
        <v>10306</v>
      </c>
      <c r="G1919" s="7" t="s">
        <v>15184</v>
      </c>
      <c r="H1919" s="7" t="s">
        <v>15185</v>
      </c>
      <c r="I1919" s="119">
        <v>45383.0</v>
      </c>
      <c r="K1919" s="7" t="s">
        <v>11974</v>
      </c>
      <c r="L1919" s="7" t="s">
        <v>991</v>
      </c>
      <c r="M1919" s="7" t="s">
        <v>3501</v>
      </c>
      <c r="N1919" s="7" t="s">
        <v>11974</v>
      </c>
      <c r="O1919" s="7" t="s">
        <v>11974</v>
      </c>
      <c r="P1919" s="7" t="s">
        <v>429</v>
      </c>
      <c r="Q1919" s="7" t="s">
        <v>430</v>
      </c>
      <c r="T1919" s="7" t="s">
        <v>15187</v>
      </c>
      <c r="U1919" s="7" t="s">
        <v>3493</v>
      </c>
      <c r="V1919" s="7">
        <v>1.0</v>
      </c>
    </row>
    <row r="1920">
      <c r="A1920" s="7" t="s">
        <v>21826</v>
      </c>
      <c r="B1920" s="7">
        <v>2400279.0</v>
      </c>
      <c r="C1920" s="7" t="s">
        <v>15189</v>
      </c>
      <c r="D1920" s="7" t="s">
        <v>15190</v>
      </c>
      <c r="E1920" s="7" t="s">
        <v>15191</v>
      </c>
      <c r="F1920" s="7" t="s">
        <v>15192</v>
      </c>
      <c r="G1920" s="7" t="s">
        <v>15193</v>
      </c>
      <c r="H1920" s="7" t="s">
        <v>15194</v>
      </c>
      <c r="I1920" s="119">
        <v>45383.0</v>
      </c>
      <c r="K1920" s="7" t="s">
        <v>11974</v>
      </c>
      <c r="L1920" s="7" t="s">
        <v>991</v>
      </c>
      <c r="M1920" s="7" t="s">
        <v>3501</v>
      </c>
      <c r="N1920" s="7" t="s">
        <v>11974</v>
      </c>
      <c r="O1920" s="7" t="s">
        <v>11974</v>
      </c>
      <c r="P1920" s="7" t="s">
        <v>386</v>
      </c>
      <c r="Q1920" s="7" t="s">
        <v>387</v>
      </c>
      <c r="T1920" s="7" t="s">
        <v>11976</v>
      </c>
      <c r="U1920" s="7" t="s">
        <v>3493</v>
      </c>
      <c r="V1920" s="7">
        <v>1.0</v>
      </c>
    </row>
    <row r="1921">
      <c r="A1921" s="7" t="s">
        <v>21827</v>
      </c>
      <c r="B1921" s="7">
        <v>2400224.0</v>
      </c>
      <c r="C1921" s="7" t="s">
        <v>15196</v>
      </c>
      <c r="D1921" s="7" t="s">
        <v>15197</v>
      </c>
      <c r="E1921" s="7" t="s">
        <v>10920</v>
      </c>
      <c r="F1921" s="7" t="s">
        <v>9116</v>
      </c>
      <c r="G1921" s="7" t="s">
        <v>15198</v>
      </c>
      <c r="H1921" s="7" t="s">
        <v>15199</v>
      </c>
      <c r="I1921" s="119">
        <v>45383.0</v>
      </c>
      <c r="K1921" s="7" t="s">
        <v>419</v>
      </c>
      <c r="L1921" s="7" t="s">
        <v>991</v>
      </c>
      <c r="M1921" s="7" t="s">
        <v>3501</v>
      </c>
      <c r="N1921" s="7" t="s">
        <v>419</v>
      </c>
      <c r="O1921" s="7" t="s">
        <v>19443</v>
      </c>
      <c r="P1921" s="7" t="s">
        <v>1242</v>
      </c>
      <c r="Q1921" s="7" t="s">
        <v>39</v>
      </c>
      <c r="R1921" s="7" t="s">
        <v>19757</v>
      </c>
      <c r="T1921" s="7" t="s">
        <v>4536</v>
      </c>
      <c r="U1921" s="7" t="s">
        <v>3493</v>
      </c>
      <c r="V1921" s="7">
        <v>1.0</v>
      </c>
    </row>
    <row r="1922">
      <c r="A1922" s="7" t="s">
        <v>21828</v>
      </c>
      <c r="B1922" s="7">
        <v>2400207.0</v>
      </c>
      <c r="C1922" s="7" t="s">
        <v>15201</v>
      </c>
      <c r="D1922" s="7" t="s">
        <v>15202</v>
      </c>
      <c r="E1922" s="7" t="s">
        <v>15203</v>
      </c>
      <c r="F1922" s="7" t="s">
        <v>10843</v>
      </c>
      <c r="G1922" s="7" t="s">
        <v>15204</v>
      </c>
      <c r="H1922" s="7" t="s">
        <v>15205</v>
      </c>
      <c r="I1922" s="119">
        <v>45383.0</v>
      </c>
      <c r="K1922" s="7" t="s">
        <v>13199</v>
      </c>
      <c r="L1922" s="7" t="s">
        <v>3542</v>
      </c>
      <c r="M1922" s="7" t="s">
        <v>3543</v>
      </c>
      <c r="N1922" s="7" t="s">
        <v>419</v>
      </c>
      <c r="O1922" s="7" t="s">
        <v>19433</v>
      </c>
      <c r="P1922" s="7" t="s">
        <v>587</v>
      </c>
      <c r="Q1922" s="7" t="s">
        <v>72</v>
      </c>
      <c r="R1922" s="7" t="s">
        <v>19566</v>
      </c>
      <c r="T1922" s="7" t="s">
        <v>5672</v>
      </c>
      <c r="U1922" s="7" t="s">
        <v>3493</v>
      </c>
      <c r="V1922" s="7">
        <v>1.0</v>
      </c>
    </row>
    <row r="1923">
      <c r="A1923" s="7" t="s">
        <v>21829</v>
      </c>
      <c r="B1923" s="7">
        <v>2400222.0</v>
      </c>
      <c r="C1923" s="7" t="s">
        <v>11354</v>
      </c>
      <c r="D1923" s="7" t="s">
        <v>15207</v>
      </c>
      <c r="E1923" s="7" t="s">
        <v>11356</v>
      </c>
      <c r="F1923" s="7" t="s">
        <v>15208</v>
      </c>
      <c r="G1923" s="7" t="s">
        <v>15209</v>
      </c>
      <c r="H1923" s="7" t="s">
        <v>15210</v>
      </c>
      <c r="I1923" s="119">
        <v>45383.0</v>
      </c>
      <c r="K1923" s="7" t="s">
        <v>3632</v>
      </c>
      <c r="L1923" s="7" t="s">
        <v>991</v>
      </c>
      <c r="M1923" s="7" t="s">
        <v>3866</v>
      </c>
      <c r="N1923" s="7" t="s">
        <v>3632</v>
      </c>
      <c r="O1923" s="7" t="s">
        <v>3632</v>
      </c>
      <c r="P1923" s="7" t="s">
        <v>625</v>
      </c>
      <c r="Q1923" s="7" t="s">
        <v>626</v>
      </c>
      <c r="R1923" s="7" t="s">
        <v>19672</v>
      </c>
      <c r="T1923" s="7" t="s">
        <v>4191</v>
      </c>
      <c r="U1923" s="7" t="s">
        <v>3493</v>
      </c>
      <c r="V1923" s="7">
        <v>1.0</v>
      </c>
    </row>
    <row r="1924">
      <c r="A1924" s="7" t="s">
        <v>2297</v>
      </c>
      <c r="B1924" s="7">
        <v>2400253.0</v>
      </c>
      <c r="C1924" s="7" t="s">
        <v>11662</v>
      </c>
      <c r="D1924" s="7" t="s">
        <v>15212</v>
      </c>
      <c r="E1924" s="7" t="s">
        <v>11663</v>
      </c>
      <c r="F1924" s="7" t="s">
        <v>9094</v>
      </c>
      <c r="G1924" s="7" t="s">
        <v>15213</v>
      </c>
      <c r="H1924" s="7" t="s">
        <v>15214</v>
      </c>
      <c r="I1924" s="119">
        <v>45383.0</v>
      </c>
      <c r="K1924" s="7" t="s">
        <v>419</v>
      </c>
      <c r="L1924" s="7" t="s">
        <v>991</v>
      </c>
      <c r="M1924" s="7" t="s">
        <v>3501</v>
      </c>
      <c r="N1924" s="7" t="s">
        <v>419</v>
      </c>
      <c r="O1924" s="7" t="s">
        <v>19433</v>
      </c>
      <c r="P1924" s="7" t="s">
        <v>648</v>
      </c>
      <c r="Q1924" s="7" t="s">
        <v>155</v>
      </c>
      <c r="T1924" s="7" t="s">
        <v>19476</v>
      </c>
      <c r="U1924" s="7" t="s">
        <v>6078</v>
      </c>
      <c r="V1924" s="7">
        <v>1.0</v>
      </c>
    </row>
    <row r="1925">
      <c r="A1925" s="7" t="s">
        <v>21830</v>
      </c>
      <c r="B1925" s="7">
        <v>2400243.0</v>
      </c>
      <c r="C1925" s="7" t="s">
        <v>15219</v>
      </c>
      <c r="D1925" s="7" t="s">
        <v>15220</v>
      </c>
      <c r="E1925" s="7" t="s">
        <v>15221</v>
      </c>
      <c r="F1925" s="7" t="s">
        <v>15222</v>
      </c>
      <c r="G1925" s="7" t="s">
        <v>15223</v>
      </c>
      <c r="H1925" s="7" t="s">
        <v>15224</v>
      </c>
      <c r="I1925" s="119">
        <v>45383.0</v>
      </c>
      <c r="K1925" s="7" t="s">
        <v>3632</v>
      </c>
      <c r="L1925" s="7" t="s">
        <v>991</v>
      </c>
      <c r="M1925" s="7" t="s">
        <v>3501</v>
      </c>
      <c r="N1925" s="7" t="s">
        <v>3632</v>
      </c>
      <c r="O1925" s="7" t="s">
        <v>3632</v>
      </c>
      <c r="P1925" s="7" t="s">
        <v>625</v>
      </c>
      <c r="Q1925" s="7" t="s">
        <v>118</v>
      </c>
      <c r="R1925" s="7" t="s">
        <v>20076</v>
      </c>
      <c r="T1925" s="7" t="s">
        <v>6924</v>
      </c>
      <c r="U1925" s="7" t="s">
        <v>3493</v>
      </c>
      <c r="V1925" s="7">
        <v>1.0</v>
      </c>
    </row>
    <row r="1926">
      <c r="A1926" s="7" t="s">
        <v>21831</v>
      </c>
      <c r="B1926" s="7">
        <v>2400281.0</v>
      </c>
      <c r="C1926" s="7" t="s">
        <v>15226</v>
      </c>
      <c r="D1926" s="7" t="s">
        <v>15227</v>
      </c>
      <c r="E1926" s="7" t="s">
        <v>15228</v>
      </c>
      <c r="F1926" s="7" t="s">
        <v>13935</v>
      </c>
      <c r="G1926" s="7" t="s">
        <v>15229</v>
      </c>
      <c r="I1926" s="119">
        <v>45383.0</v>
      </c>
      <c r="K1926" s="7" t="s">
        <v>3489</v>
      </c>
      <c r="L1926" s="7" t="s">
        <v>991</v>
      </c>
      <c r="M1926" s="7" t="s">
        <v>3866</v>
      </c>
      <c r="N1926" s="7" t="s">
        <v>3489</v>
      </c>
      <c r="O1926" s="7" t="s">
        <v>3489</v>
      </c>
      <c r="P1926" s="7" t="s">
        <v>19491</v>
      </c>
      <c r="Q1926" s="7" t="s">
        <v>169</v>
      </c>
      <c r="R1926" s="7" t="s">
        <v>19492</v>
      </c>
      <c r="T1926" s="7" t="s">
        <v>3492</v>
      </c>
      <c r="U1926" s="7" t="s">
        <v>3493</v>
      </c>
      <c r="V1926" s="7">
        <v>1.0</v>
      </c>
    </row>
    <row r="1927">
      <c r="A1927" s="7" t="s">
        <v>21832</v>
      </c>
      <c r="B1927" s="7">
        <v>2400210.0</v>
      </c>
      <c r="C1927" s="7" t="s">
        <v>12321</v>
      </c>
      <c r="D1927" s="7" t="s">
        <v>15231</v>
      </c>
      <c r="E1927" s="7" t="s">
        <v>15232</v>
      </c>
      <c r="F1927" s="7" t="s">
        <v>8311</v>
      </c>
      <c r="G1927" s="7" t="s">
        <v>15233</v>
      </c>
      <c r="H1927" s="7" t="s">
        <v>15234</v>
      </c>
      <c r="I1927" s="119">
        <v>45383.0</v>
      </c>
      <c r="K1927" s="7" t="s">
        <v>419</v>
      </c>
      <c r="L1927" s="7" t="s">
        <v>991</v>
      </c>
      <c r="M1927" s="7" t="s">
        <v>3501</v>
      </c>
      <c r="N1927" s="7" t="s">
        <v>419</v>
      </c>
      <c r="O1927" s="7" t="s">
        <v>19433</v>
      </c>
      <c r="P1927" s="7" t="s">
        <v>648</v>
      </c>
      <c r="Q1927" s="7" t="s">
        <v>143</v>
      </c>
      <c r="R1927" s="7" t="s">
        <v>19672</v>
      </c>
      <c r="S1927" s="7" t="s">
        <v>20371</v>
      </c>
      <c r="T1927" s="7" t="s">
        <v>7434</v>
      </c>
      <c r="U1927" s="7" t="s">
        <v>3493</v>
      </c>
      <c r="V1927" s="7">
        <v>1.0</v>
      </c>
    </row>
    <row r="1928">
      <c r="A1928" s="7" t="s">
        <v>21833</v>
      </c>
      <c r="B1928" s="7">
        <v>2400240.0</v>
      </c>
      <c r="C1928" s="7" t="s">
        <v>14579</v>
      </c>
      <c r="D1928" s="7" t="s">
        <v>15236</v>
      </c>
      <c r="E1928" s="7" t="s">
        <v>12386</v>
      </c>
      <c r="F1928" s="7" t="s">
        <v>8756</v>
      </c>
      <c r="G1928" s="7" t="s">
        <v>15237</v>
      </c>
      <c r="H1928" s="7" t="s">
        <v>15238</v>
      </c>
      <c r="I1928" s="119">
        <v>45383.0</v>
      </c>
      <c r="K1928" s="7" t="s">
        <v>3642</v>
      </c>
      <c r="L1928" s="7" t="s">
        <v>991</v>
      </c>
      <c r="M1928" s="7" t="s">
        <v>3501</v>
      </c>
      <c r="N1928" s="7" t="s">
        <v>3642</v>
      </c>
      <c r="O1928" s="7" t="s">
        <v>3642</v>
      </c>
      <c r="P1928" s="7" t="s">
        <v>19524</v>
      </c>
      <c r="T1928" s="7" t="s">
        <v>3644</v>
      </c>
      <c r="U1928" s="7" t="s">
        <v>3493</v>
      </c>
      <c r="V1928" s="7">
        <v>1.0</v>
      </c>
    </row>
    <row r="1929">
      <c r="A1929" s="7" t="s">
        <v>21834</v>
      </c>
      <c r="B1929" s="7">
        <v>2400229.0</v>
      </c>
      <c r="C1929" s="7" t="s">
        <v>12410</v>
      </c>
      <c r="D1929" s="7" t="s">
        <v>15240</v>
      </c>
      <c r="E1929" s="7" t="s">
        <v>12412</v>
      </c>
      <c r="F1929" s="7" t="s">
        <v>8814</v>
      </c>
      <c r="G1929" s="7" t="s">
        <v>15241</v>
      </c>
      <c r="H1929" s="7" t="s">
        <v>15242</v>
      </c>
      <c r="I1929" s="119">
        <v>45383.0</v>
      </c>
      <c r="K1929" s="7" t="s">
        <v>419</v>
      </c>
      <c r="L1929" s="7" t="s">
        <v>991</v>
      </c>
      <c r="M1929" s="7" t="s">
        <v>3501</v>
      </c>
      <c r="N1929" s="7" t="s">
        <v>419</v>
      </c>
      <c r="O1929" s="7" t="s">
        <v>19443</v>
      </c>
      <c r="P1929" s="7" t="s">
        <v>323</v>
      </c>
      <c r="Q1929" s="7" t="s">
        <v>821</v>
      </c>
      <c r="R1929" s="7" t="s">
        <v>19858</v>
      </c>
      <c r="T1929" s="7" t="s">
        <v>21768</v>
      </c>
      <c r="U1929" s="7" t="s">
        <v>3604</v>
      </c>
      <c r="V1929" s="7">
        <v>1.0</v>
      </c>
    </row>
    <row r="1930">
      <c r="A1930" s="7" t="s">
        <v>21835</v>
      </c>
      <c r="B1930" s="7">
        <v>2400235.0</v>
      </c>
      <c r="C1930" s="7" t="s">
        <v>15244</v>
      </c>
      <c r="D1930" s="7" t="s">
        <v>15245</v>
      </c>
      <c r="E1930" s="7" t="s">
        <v>15246</v>
      </c>
      <c r="F1930" s="7" t="s">
        <v>6253</v>
      </c>
      <c r="G1930" s="7" t="s">
        <v>15247</v>
      </c>
      <c r="H1930" s="7" t="s">
        <v>15248</v>
      </c>
      <c r="I1930" s="119">
        <v>45383.0</v>
      </c>
      <c r="K1930" s="7" t="s">
        <v>3642</v>
      </c>
      <c r="L1930" s="7" t="s">
        <v>991</v>
      </c>
      <c r="M1930" s="7" t="s">
        <v>3501</v>
      </c>
      <c r="N1930" s="7" t="s">
        <v>3642</v>
      </c>
      <c r="O1930" s="7" t="s">
        <v>3642</v>
      </c>
      <c r="P1930" s="7" t="s">
        <v>19524</v>
      </c>
      <c r="T1930" s="7" t="s">
        <v>3644</v>
      </c>
      <c r="U1930" s="7" t="s">
        <v>3493</v>
      </c>
      <c r="V1930" s="7">
        <v>1.0</v>
      </c>
    </row>
    <row r="1931">
      <c r="A1931" s="7" t="s">
        <v>21836</v>
      </c>
      <c r="B1931" s="7">
        <v>2400205.0</v>
      </c>
      <c r="C1931" s="7" t="s">
        <v>12862</v>
      </c>
      <c r="D1931" s="7" t="s">
        <v>15250</v>
      </c>
      <c r="E1931" s="7" t="s">
        <v>12864</v>
      </c>
      <c r="F1931" s="7" t="s">
        <v>11382</v>
      </c>
      <c r="G1931" s="7" t="s">
        <v>15251</v>
      </c>
      <c r="H1931" s="7" t="s">
        <v>15252</v>
      </c>
      <c r="I1931" s="119">
        <v>45383.0</v>
      </c>
      <c r="K1931" s="7" t="s">
        <v>419</v>
      </c>
      <c r="L1931" s="7" t="s">
        <v>991</v>
      </c>
      <c r="M1931" s="7" t="s">
        <v>3501</v>
      </c>
      <c r="N1931" s="7" t="s">
        <v>419</v>
      </c>
      <c r="O1931" s="7" t="s">
        <v>19430</v>
      </c>
      <c r="P1931" s="7" t="s">
        <v>717</v>
      </c>
      <c r="Q1931" s="7" t="s">
        <v>720</v>
      </c>
      <c r="R1931" s="7" t="s">
        <v>19626</v>
      </c>
      <c r="S1931" s="7" t="s">
        <v>19718</v>
      </c>
      <c r="T1931" s="7" t="s">
        <v>4368</v>
      </c>
      <c r="U1931" s="7" t="s">
        <v>3493</v>
      </c>
      <c r="V1931" s="7">
        <v>1.0</v>
      </c>
    </row>
    <row r="1932">
      <c r="A1932" s="7" t="s">
        <v>21837</v>
      </c>
      <c r="B1932" s="7">
        <v>2400227.0</v>
      </c>
      <c r="C1932" s="7" t="s">
        <v>15254</v>
      </c>
      <c r="D1932" s="7" t="s">
        <v>5130</v>
      </c>
      <c r="E1932" s="7" t="s">
        <v>13564</v>
      </c>
      <c r="F1932" s="7" t="s">
        <v>5132</v>
      </c>
      <c r="G1932" s="7" t="s">
        <v>15255</v>
      </c>
      <c r="H1932" s="7" t="s">
        <v>15256</v>
      </c>
      <c r="I1932" s="119">
        <v>45383.0</v>
      </c>
      <c r="K1932" s="7" t="s">
        <v>419</v>
      </c>
      <c r="L1932" s="7" t="s">
        <v>991</v>
      </c>
      <c r="M1932" s="7" t="s">
        <v>3501</v>
      </c>
      <c r="N1932" s="7" t="s">
        <v>419</v>
      </c>
      <c r="O1932" s="7" t="s">
        <v>19438</v>
      </c>
      <c r="P1932" s="7" t="s">
        <v>19465</v>
      </c>
      <c r="Q1932" s="7" t="s">
        <v>186</v>
      </c>
      <c r="R1932" s="7" t="s">
        <v>21335</v>
      </c>
      <c r="T1932" s="7" t="s">
        <v>15257</v>
      </c>
      <c r="U1932" s="7" t="s">
        <v>3493</v>
      </c>
      <c r="V1932" s="7">
        <v>1.0</v>
      </c>
    </row>
    <row r="1933">
      <c r="A1933" s="7" t="s">
        <v>21838</v>
      </c>
      <c r="B1933" s="7">
        <v>2400230.0</v>
      </c>
      <c r="C1933" s="7" t="s">
        <v>13569</v>
      </c>
      <c r="D1933" s="7" t="s">
        <v>11678</v>
      </c>
      <c r="E1933" s="7" t="s">
        <v>13571</v>
      </c>
      <c r="F1933" s="7" t="s">
        <v>4068</v>
      </c>
      <c r="G1933" s="7" t="s">
        <v>15259</v>
      </c>
      <c r="H1933" s="7" t="s">
        <v>15260</v>
      </c>
      <c r="I1933" s="119">
        <v>45383.0</v>
      </c>
      <c r="K1933" s="7" t="s">
        <v>419</v>
      </c>
      <c r="L1933" s="7" t="s">
        <v>991</v>
      </c>
      <c r="M1933" s="7" t="s">
        <v>3501</v>
      </c>
      <c r="N1933" s="7" t="s">
        <v>419</v>
      </c>
      <c r="O1933" s="7" t="s">
        <v>19437</v>
      </c>
      <c r="P1933" s="7" t="s">
        <v>603</v>
      </c>
      <c r="Q1933" s="7" t="s">
        <v>90</v>
      </c>
      <c r="R1933" s="7" t="s">
        <v>19973</v>
      </c>
      <c r="S1933" s="7" t="s">
        <v>19974</v>
      </c>
      <c r="T1933" s="7" t="s">
        <v>5470</v>
      </c>
      <c r="U1933" s="7" t="s">
        <v>3493</v>
      </c>
      <c r="V1933" s="7">
        <v>1.0</v>
      </c>
    </row>
    <row r="1934">
      <c r="A1934" s="7" t="s">
        <v>21839</v>
      </c>
      <c r="B1934" s="7">
        <v>2400260.0</v>
      </c>
      <c r="C1934" s="7" t="s">
        <v>13672</v>
      </c>
      <c r="D1934" s="7" t="s">
        <v>14699</v>
      </c>
      <c r="E1934" s="7" t="s">
        <v>13674</v>
      </c>
      <c r="F1934" s="7" t="s">
        <v>3517</v>
      </c>
      <c r="G1934" s="7" t="s">
        <v>15262</v>
      </c>
      <c r="H1934" s="7" t="s">
        <v>15263</v>
      </c>
      <c r="I1934" s="119">
        <v>45383.0</v>
      </c>
      <c r="K1934" s="7" t="s">
        <v>419</v>
      </c>
      <c r="L1934" s="7" t="s">
        <v>991</v>
      </c>
      <c r="M1934" s="7" t="s">
        <v>3583</v>
      </c>
      <c r="N1934" s="7" t="s">
        <v>419</v>
      </c>
      <c r="O1934" s="7" t="s">
        <v>19430</v>
      </c>
      <c r="P1934" s="7" t="s">
        <v>717</v>
      </c>
      <c r="Q1934" s="7" t="s">
        <v>1163</v>
      </c>
      <c r="R1934" s="7" t="s">
        <v>19639</v>
      </c>
      <c r="S1934" s="7" t="s">
        <v>20600</v>
      </c>
      <c r="T1934" s="7" t="s">
        <v>8551</v>
      </c>
      <c r="U1934" s="7" t="s">
        <v>3493</v>
      </c>
      <c r="V1934" s="7">
        <v>1.0</v>
      </c>
    </row>
    <row r="1935">
      <c r="A1935" s="7" t="s">
        <v>21840</v>
      </c>
      <c r="B1935" s="7">
        <v>2400246.0</v>
      </c>
      <c r="C1935" s="7" t="s">
        <v>13739</v>
      </c>
      <c r="D1935" s="7" t="s">
        <v>10937</v>
      </c>
      <c r="E1935" s="7" t="s">
        <v>13741</v>
      </c>
      <c r="F1935" s="7" t="s">
        <v>10938</v>
      </c>
      <c r="G1935" s="7" t="s">
        <v>15265</v>
      </c>
      <c r="H1935" s="7" t="s">
        <v>15266</v>
      </c>
      <c r="I1935" s="119">
        <v>45383.0</v>
      </c>
      <c r="K1935" s="7" t="s">
        <v>419</v>
      </c>
      <c r="L1935" s="7" t="s">
        <v>991</v>
      </c>
      <c r="M1935" s="7" t="s">
        <v>3531</v>
      </c>
      <c r="N1935" s="7" t="s">
        <v>419</v>
      </c>
      <c r="O1935" s="7" t="s">
        <v>19432</v>
      </c>
      <c r="P1935" s="7" t="s">
        <v>693</v>
      </c>
      <c r="Q1935" s="7" t="s">
        <v>696</v>
      </c>
      <c r="R1935" s="7" t="s">
        <v>19563</v>
      </c>
      <c r="T1935" s="7" t="s">
        <v>9922</v>
      </c>
      <c r="U1935" s="7" t="s">
        <v>3493</v>
      </c>
      <c r="V1935" s="7">
        <v>1.0</v>
      </c>
    </row>
    <row r="1936">
      <c r="A1936" s="7" t="s">
        <v>21841</v>
      </c>
      <c r="B1936" s="7">
        <v>2400206.0</v>
      </c>
      <c r="C1936" s="7" t="s">
        <v>13898</v>
      </c>
      <c r="D1936" s="7" t="s">
        <v>15269</v>
      </c>
      <c r="E1936" s="7" t="s">
        <v>13900</v>
      </c>
      <c r="F1936" s="7" t="s">
        <v>15270</v>
      </c>
      <c r="G1936" s="7" t="s">
        <v>15271</v>
      </c>
      <c r="H1936" s="7" t="s">
        <v>15272</v>
      </c>
      <c r="I1936" s="119">
        <v>45383.0</v>
      </c>
      <c r="K1936" s="7" t="s">
        <v>419</v>
      </c>
      <c r="L1936" s="7" t="s">
        <v>991</v>
      </c>
      <c r="M1936" s="7" t="s">
        <v>3501</v>
      </c>
      <c r="N1936" s="7" t="s">
        <v>419</v>
      </c>
      <c r="O1936" s="7" t="s">
        <v>19432</v>
      </c>
      <c r="P1936" s="7" t="s">
        <v>693</v>
      </c>
      <c r="Q1936" s="7" t="s">
        <v>698</v>
      </c>
      <c r="R1936" s="7" t="s">
        <v>20004</v>
      </c>
      <c r="S1936" s="7" t="s">
        <v>19820</v>
      </c>
      <c r="T1936" s="7" t="s">
        <v>5606</v>
      </c>
      <c r="U1936" s="7" t="s">
        <v>3493</v>
      </c>
      <c r="V1936" s="7">
        <v>1.0</v>
      </c>
    </row>
    <row r="1937">
      <c r="A1937" s="7" t="s">
        <v>21842</v>
      </c>
      <c r="B1937" s="7">
        <v>2400202.0</v>
      </c>
      <c r="C1937" s="7" t="s">
        <v>14053</v>
      </c>
      <c r="D1937" s="7" t="s">
        <v>14407</v>
      </c>
      <c r="E1937" s="7" t="s">
        <v>9626</v>
      </c>
      <c r="F1937" s="7" t="s">
        <v>6806</v>
      </c>
      <c r="G1937" s="7" t="s">
        <v>15274</v>
      </c>
      <c r="H1937" s="7" t="s">
        <v>15275</v>
      </c>
      <c r="I1937" s="119">
        <v>45383.0</v>
      </c>
      <c r="K1937" s="7" t="s">
        <v>419</v>
      </c>
      <c r="L1937" s="7" t="s">
        <v>991</v>
      </c>
      <c r="M1937" s="7" t="s">
        <v>3501</v>
      </c>
      <c r="N1937" s="7" t="s">
        <v>419</v>
      </c>
      <c r="O1937" s="7" t="s">
        <v>19432</v>
      </c>
      <c r="P1937" s="7" t="s">
        <v>391</v>
      </c>
      <c r="Q1937" s="7" t="s">
        <v>392</v>
      </c>
      <c r="R1937" s="7" t="s">
        <v>20982</v>
      </c>
      <c r="T1937" s="7" t="s">
        <v>11498</v>
      </c>
      <c r="U1937" s="7" t="s">
        <v>3493</v>
      </c>
      <c r="V1937" s="7">
        <v>1.0</v>
      </c>
    </row>
    <row r="1938">
      <c r="A1938" s="7" t="s">
        <v>21843</v>
      </c>
      <c r="B1938" s="7">
        <v>2400233.0</v>
      </c>
      <c r="C1938" s="7" t="s">
        <v>15277</v>
      </c>
      <c r="D1938" s="7" t="s">
        <v>14470</v>
      </c>
      <c r="E1938" s="7" t="s">
        <v>15278</v>
      </c>
      <c r="F1938" s="7" t="s">
        <v>6089</v>
      </c>
      <c r="G1938" s="7" t="s">
        <v>15279</v>
      </c>
      <c r="H1938" s="7" t="s">
        <v>15280</v>
      </c>
      <c r="I1938" s="119">
        <v>45383.0</v>
      </c>
      <c r="K1938" s="7" t="s">
        <v>3632</v>
      </c>
      <c r="L1938" s="7" t="s">
        <v>991</v>
      </c>
      <c r="M1938" s="7" t="s">
        <v>3583</v>
      </c>
      <c r="N1938" s="7" t="s">
        <v>3632</v>
      </c>
      <c r="O1938" s="7" t="s">
        <v>3632</v>
      </c>
      <c r="P1938" s="7" t="s">
        <v>22</v>
      </c>
      <c r="Q1938" s="7" t="s">
        <v>23</v>
      </c>
      <c r="T1938" s="7" t="s">
        <v>10846</v>
      </c>
      <c r="U1938" s="7" t="s">
        <v>3493</v>
      </c>
      <c r="V1938" s="7">
        <v>1.0</v>
      </c>
    </row>
    <row r="1939">
      <c r="A1939" s="7" t="s">
        <v>21844</v>
      </c>
      <c r="B1939" s="7">
        <v>2400268.0</v>
      </c>
      <c r="C1939" s="7" t="s">
        <v>14341</v>
      </c>
      <c r="D1939" s="7" t="s">
        <v>15282</v>
      </c>
      <c r="E1939" s="7" t="s">
        <v>14343</v>
      </c>
      <c r="F1939" s="7" t="s">
        <v>6806</v>
      </c>
      <c r="G1939" s="7" t="s">
        <v>15283</v>
      </c>
      <c r="H1939" s="7" t="s">
        <v>15284</v>
      </c>
      <c r="I1939" s="119">
        <v>45383.0</v>
      </c>
      <c r="K1939" s="7" t="s">
        <v>419</v>
      </c>
      <c r="L1939" s="7" t="s">
        <v>991</v>
      </c>
      <c r="M1939" s="7" t="s">
        <v>3531</v>
      </c>
      <c r="N1939" s="7" t="s">
        <v>419</v>
      </c>
      <c r="O1939" s="7" t="s">
        <v>19432</v>
      </c>
      <c r="P1939" s="7" t="s">
        <v>298</v>
      </c>
      <c r="Q1939" s="7" t="s">
        <v>798</v>
      </c>
      <c r="R1939" s="7" t="s">
        <v>19526</v>
      </c>
      <c r="T1939" s="7" t="s">
        <v>3653</v>
      </c>
      <c r="U1939" s="7" t="s">
        <v>3493</v>
      </c>
      <c r="V1939" s="7">
        <v>1.0</v>
      </c>
    </row>
    <row r="1940">
      <c r="A1940" s="7" t="s">
        <v>21845</v>
      </c>
      <c r="B1940" s="7">
        <v>2400248.0</v>
      </c>
      <c r="C1940" s="7" t="s">
        <v>14406</v>
      </c>
      <c r="D1940" s="7" t="s">
        <v>5032</v>
      </c>
      <c r="E1940" s="7" t="s">
        <v>14394</v>
      </c>
      <c r="F1940" s="7" t="s">
        <v>5034</v>
      </c>
      <c r="G1940" s="7" t="s">
        <v>15286</v>
      </c>
      <c r="H1940" s="7" t="s">
        <v>15287</v>
      </c>
      <c r="I1940" s="119">
        <v>45383.0</v>
      </c>
      <c r="K1940" s="7" t="s">
        <v>3489</v>
      </c>
      <c r="L1940" s="7" t="s">
        <v>991</v>
      </c>
      <c r="M1940" s="7" t="s">
        <v>3490</v>
      </c>
      <c r="N1940" s="7" t="s">
        <v>3489</v>
      </c>
      <c r="O1940" s="7" t="s">
        <v>3489</v>
      </c>
      <c r="P1940" s="7" t="s">
        <v>19491</v>
      </c>
      <c r="Q1940" s="7" t="s">
        <v>169</v>
      </c>
      <c r="R1940" s="7" t="s">
        <v>19492</v>
      </c>
      <c r="T1940" s="7" t="s">
        <v>3492</v>
      </c>
      <c r="U1940" s="7" t="s">
        <v>3493</v>
      </c>
      <c r="V1940" s="7">
        <v>1.0</v>
      </c>
    </row>
    <row r="1941">
      <c r="A1941" s="7" t="s">
        <v>21846</v>
      </c>
      <c r="B1941" s="7">
        <v>2400293.0</v>
      </c>
      <c r="C1941" s="7" t="s">
        <v>15289</v>
      </c>
      <c r="D1941" s="7" t="s">
        <v>15290</v>
      </c>
      <c r="E1941" s="7" t="s">
        <v>15291</v>
      </c>
      <c r="F1941" s="7" t="s">
        <v>9561</v>
      </c>
      <c r="G1941" s="7" t="s">
        <v>15292</v>
      </c>
      <c r="H1941" s="7" t="s">
        <v>15293</v>
      </c>
      <c r="I1941" s="119">
        <v>45398.0</v>
      </c>
      <c r="K1941" s="7" t="s">
        <v>3632</v>
      </c>
      <c r="L1941" s="7" t="s">
        <v>991</v>
      </c>
      <c r="M1941" s="7" t="s">
        <v>3583</v>
      </c>
      <c r="N1941" s="7" t="s">
        <v>3632</v>
      </c>
      <c r="O1941" s="7" t="s">
        <v>3632</v>
      </c>
      <c r="P1941" s="7" t="s">
        <v>625</v>
      </c>
      <c r="Q1941" s="7" t="s">
        <v>626</v>
      </c>
      <c r="R1941" s="7" t="s">
        <v>19672</v>
      </c>
      <c r="T1941" s="7" t="s">
        <v>4191</v>
      </c>
      <c r="U1941" s="7" t="s">
        <v>3493</v>
      </c>
      <c r="V1941" s="7">
        <v>1.0</v>
      </c>
    </row>
    <row r="1942">
      <c r="A1942" s="7" t="s">
        <v>21847</v>
      </c>
      <c r="B1942" s="7">
        <v>2400287.0</v>
      </c>
      <c r="C1942" s="7" t="s">
        <v>15295</v>
      </c>
      <c r="D1942" s="7" t="s">
        <v>15296</v>
      </c>
      <c r="E1942" s="7" t="s">
        <v>15297</v>
      </c>
      <c r="F1942" s="7" t="s">
        <v>3739</v>
      </c>
      <c r="G1942" s="7" t="s">
        <v>15298</v>
      </c>
      <c r="I1942" s="119">
        <v>45398.0</v>
      </c>
      <c r="K1942" s="7" t="s">
        <v>419</v>
      </c>
      <c r="L1942" s="7" t="s">
        <v>991</v>
      </c>
      <c r="M1942" s="7" t="s">
        <v>3531</v>
      </c>
      <c r="N1942" s="7" t="s">
        <v>419</v>
      </c>
      <c r="O1942" s="7" t="s">
        <v>19430</v>
      </c>
      <c r="P1942" s="7" t="s">
        <v>854</v>
      </c>
      <c r="Q1942" s="7" t="s">
        <v>859</v>
      </c>
      <c r="T1942" s="7" t="s">
        <v>3821</v>
      </c>
      <c r="U1942" s="7" t="s">
        <v>3493</v>
      </c>
      <c r="V1942" s="7">
        <v>1.0</v>
      </c>
    </row>
    <row r="1943">
      <c r="A1943" s="7" t="s">
        <v>21848</v>
      </c>
      <c r="B1943" s="7">
        <v>2400291.0</v>
      </c>
      <c r="C1943" s="7" t="s">
        <v>15300</v>
      </c>
      <c r="D1943" s="7" t="s">
        <v>5527</v>
      </c>
      <c r="E1943" s="7" t="s">
        <v>9500</v>
      </c>
      <c r="F1943" s="7" t="s">
        <v>5529</v>
      </c>
      <c r="G1943" s="7" t="s">
        <v>15301</v>
      </c>
      <c r="H1943" s="7" t="s">
        <v>15302</v>
      </c>
      <c r="I1943" s="119">
        <v>45398.0</v>
      </c>
      <c r="K1943" s="7" t="s">
        <v>3632</v>
      </c>
      <c r="L1943" s="7" t="s">
        <v>991</v>
      </c>
      <c r="M1943" s="7" t="s">
        <v>3531</v>
      </c>
      <c r="N1943" s="7" t="s">
        <v>3632</v>
      </c>
      <c r="O1943" s="7" t="s">
        <v>3632</v>
      </c>
      <c r="P1943" s="7" t="s">
        <v>625</v>
      </c>
      <c r="Q1943" s="7" t="s">
        <v>124</v>
      </c>
      <c r="R1943" s="7" t="s">
        <v>19646</v>
      </c>
      <c r="T1943" s="7" t="s">
        <v>11150</v>
      </c>
      <c r="U1943" s="7" t="s">
        <v>3493</v>
      </c>
      <c r="V1943" s="7">
        <v>1.0</v>
      </c>
    </row>
    <row r="1944">
      <c r="A1944" s="7" t="s">
        <v>21849</v>
      </c>
      <c r="B1944" s="7">
        <v>2400294.0</v>
      </c>
      <c r="C1944" s="7" t="s">
        <v>10328</v>
      </c>
      <c r="D1944" s="7" t="s">
        <v>15304</v>
      </c>
      <c r="E1944" s="7" t="s">
        <v>10330</v>
      </c>
      <c r="F1944" s="7" t="s">
        <v>10306</v>
      </c>
      <c r="G1944" s="7" t="s">
        <v>15305</v>
      </c>
      <c r="H1944" s="7" t="s">
        <v>15306</v>
      </c>
      <c r="I1944" s="119">
        <v>45398.0</v>
      </c>
      <c r="K1944" s="7" t="s">
        <v>419</v>
      </c>
      <c r="L1944" s="7" t="s">
        <v>991</v>
      </c>
      <c r="M1944" s="7" t="s">
        <v>3531</v>
      </c>
      <c r="N1944" s="7" t="s">
        <v>419</v>
      </c>
      <c r="O1944" s="7" t="s">
        <v>19432</v>
      </c>
      <c r="P1944" s="7" t="s">
        <v>298</v>
      </c>
      <c r="Q1944" s="7" t="s">
        <v>1284</v>
      </c>
      <c r="R1944" s="7" t="s">
        <v>20190</v>
      </c>
      <c r="S1944" s="7" t="s">
        <v>20191</v>
      </c>
      <c r="T1944" s="7" t="s">
        <v>6474</v>
      </c>
      <c r="U1944" s="7" t="s">
        <v>3493</v>
      </c>
      <c r="V1944" s="7">
        <v>1.0</v>
      </c>
    </row>
    <row r="1945">
      <c r="A1945" s="7" t="s">
        <v>21850</v>
      </c>
      <c r="B1945" s="7">
        <v>2400296.0</v>
      </c>
      <c r="C1945" s="7" t="s">
        <v>10733</v>
      </c>
      <c r="D1945" s="7" t="s">
        <v>15308</v>
      </c>
      <c r="E1945" s="7" t="s">
        <v>10735</v>
      </c>
      <c r="F1945" s="7" t="s">
        <v>15309</v>
      </c>
      <c r="G1945" s="7" t="s">
        <v>15310</v>
      </c>
      <c r="H1945" s="7" t="s">
        <v>15311</v>
      </c>
      <c r="I1945" s="119">
        <v>45398.0</v>
      </c>
      <c r="K1945" s="7" t="s">
        <v>3622</v>
      </c>
      <c r="L1945" s="7" t="s">
        <v>991</v>
      </c>
      <c r="M1945" s="7" t="s">
        <v>3531</v>
      </c>
      <c r="N1945" s="7" t="s">
        <v>3622</v>
      </c>
      <c r="O1945" s="7" t="s">
        <v>3622</v>
      </c>
      <c r="P1945" s="7" t="s">
        <v>19521</v>
      </c>
      <c r="T1945" s="7" t="s">
        <v>3624</v>
      </c>
      <c r="U1945" s="7" t="s">
        <v>3493</v>
      </c>
      <c r="V1945" s="7">
        <v>1.0</v>
      </c>
    </row>
    <row r="1946">
      <c r="A1946" s="7" t="s">
        <v>21851</v>
      </c>
      <c r="B1946" s="7">
        <v>2400295.0</v>
      </c>
      <c r="C1946" s="7" t="s">
        <v>11691</v>
      </c>
      <c r="D1946" s="7" t="s">
        <v>5713</v>
      </c>
      <c r="E1946" s="7" t="s">
        <v>11693</v>
      </c>
      <c r="F1946" s="7" t="s">
        <v>5715</v>
      </c>
      <c r="G1946" s="7" t="s">
        <v>15313</v>
      </c>
      <c r="I1946" s="119">
        <v>45398.0</v>
      </c>
      <c r="K1946" s="7" t="s">
        <v>419</v>
      </c>
      <c r="L1946" s="7" t="s">
        <v>991</v>
      </c>
      <c r="M1946" s="7" t="s">
        <v>3531</v>
      </c>
      <c r="N1946" s="7" t="s">
        <v>419</v>
      </c>
      <c r="O1946" s="7" t="s">
        <v>19433</v>
      </c>
      <c r="P1946" s="7" t="s">
        <v>587</v>
      </c>
      <c r="Q1946" s="7" t="s">
        <v>74</v>
      </c>
      <c r="R1946" s="7" t="s">
        <v>19911</v>
      </c>
      <c r="T1946" s="7" t="s">
        <v>5198</v>
      </c>
      <c r="U1946" s="7" t="s">
        <v>3493</v>
      </c>
      <c r="V1946" s="7">
        <v>1.0</v>
      </c>
    </row>
    <row r="1947">
      <c r="A1947" s="7" t="s">
        <v>21852</v>
      </c>
      <c r="B1947" s="7">
        <v>2400288.0</v>
      </c>
      <c r="C1947" s="7" t="s">
        <v>15315</v>
      </c>
      <c r="D1947" s="7" t="s">
        <v>15316</v>
      </c>
      <c r="E1947" s="7" t="s">
        <v>15317</v>
      </c>
      <c r="F1947" s="7" t="s">
        <v>9910</v>
      </c>
      <c r="G1947" s="7" t="s">
        <v>15318</v>
      </c>
      <c r="H1947" s="7" t="s">
        <v>15319</v>
      </c>
      <c r="I1947" s="119">
        <v>45398.0</v>
      </c>
      <c r="K1947" s="7" t="s">
        <v>419</v>
      </c>
      <c r="L1947" s="7" t="s">
        <v>991</v>
      </c>
      <c r="M1947" s="7" t="s">
        <v>3531</v>
      </c>
      <c r="N1947" s="7" t="s">
        <v>419</v>
      </c>
      <c r="O1947" s="7" t="s">
        <v>19432</v>
      </c>
      <c r="P1947" s="7" t="s">
        <v>693</v>
      </c>
      <c r="Q1947" s="7" t="s">
        <v>696</v>
      </c>
      <c r="R1947" s="7" t="s">
        <v>19813</v>
      </c>
      <c r="S1947" s="7" t="s">
        <v>19739</v>
      </c>
      <c r="T1947" s="7" t="s">
        <v>4728</v>
      </c>
      <c r="U1947" s="7" t="s">
        <v>3493</v>
      </c>
      <c r="V1947" s="7">
        <v>1.0</v>
      </c>
    </row>
    <row r="1948">
      <c r="A1948" s="7" t="s">
        <v>21853</v>
      </c>
      <c r="B1948" s="7">
        <v>3000019.0</v>
      </c>
      <c r="C1948" s="7" t="s">
        <v>15321</v>
      </c>
      <c r="D1948" s="7" t="s">
        <v>8452</v>
      </c>
      <c r="E1948" s="7" t="s">
        <v>15322</v>
      </c>
      <c r="F1948" s="7" t="s">
        <v>6089</v>
      </c>
      <c r="G1948" s="7" t="s">
        <v>15323</v>
      </c>
      <c r="H1948" s="7" t="s">
        <v>15324</v>
      </c>
      <c r="I1948" s="119">
        <v>45413.0</v>
      </c>
      <c r="K1948" s="7" t="s">
        <v>3622</v>
      </c>
      <c r="L1948" s="7" t="s">
        <v>991</v>
      </c>
      <c r="M1948" s="7" t="s">
        <v>3531</v>
      </c>
      <c r="N1948" s="7" t="s">
        <v>3622</v>
      </c>
      <c r="O1948" s="7" t="s">
        <v>3622</v>
      </c>
      <c r="P1948" s="7" t="s">
        <v>19521</v>
      </c>
      <c r="T1948" s="7" t="s">
        <v>3624</v>
      </c>
      <c r="U1948" s="7" t="s">
        <v>3493</v>
      </c>
      <c r="V1948" s="7">
        <v>1.0</v>
      </c>
    </row>
    <row r="1949">
      <c r="A1949" s="7" t="s">
        <v>21854</v>
      </c>
      <c r="B1949" s="7">
        <v>3000024.0</v>
      </c>
      <c r="C1949" s="7" t="s">
        <v>15326</v>
      </c>
      <c r="D1949" s="7" t="s">
        <v>8565</v>
      </c>
      <c r="E1949" s="7" t="s">
        <v>15327</v>
      </c>
      <c r="F1949" s="7" t="s">
        <v>7066</v>
      </c>
      <c r="G1949" s="7" t="s">
        <v>15328</v>
      </c>
      <c r="H1949" s="7" t="s">
        <v>15329</v>
      </c>
      <c r="I1949" s="119">
        <v>45413.0</v>
      </c>
      <c r="K1949" s="7" t="s">
        <v>3642</v>
      </c>
      <c r="L1949" s="7" t="s">
        <v>991</v>
      </c>
      <c r="M1949" s="7" t="s">
        <v>3501</v>
      </c>
      <c r="N1949" s="7" t="s">
        <v>3642</v>
      </c>
      <c r="O1949" s="7" t="s">
        <v>3642</v>
      </c>
      <c r="P1949" s="7" t="s">
        <v>19524</v>
      </c>
      <c r="T1949" s="7" t="s">
        <v>3644</v>
      </c>
      <c r="U1949" s="7" t="s">
        <v>3493</v>
      </c>
      <c r="V1949" s="7">
        <v>1.0</v>
      </c>
    </row>
    <row r="1950">
      <c r="A1950" s="7" t="s">
        <v>21855</v>
      </c>
      <c r="B1950" s="7">
        <v>3000023.0</v>
      </c>
      <c r="C1950" s="7" t="s">
        <v>15331</v>
      </c>
      <c r="D1950" s="7" t="s">
        <v>10287</v>
      </c>
      <c r="E1950" s="7" t="s">
        <v>15332</v>
      </c>
      <c r="F1950" s="7" t="s">
        <v>4751</v>
      </c>
      <c r="G1950" s="7" t="s">
        <v>15333</v>
      </c>
      <c r="H1950" s="7" t="s">
        <v>15334</v>
      </c>
      <c r="I1950" s="119">
        <v>45413.0</v>
      </c>
      <c r="K1950" s="7" t="s">
        <v>3642</v>
      </c>
      <c r="L1950" s="7" t="s">
        <v>991</v>
      </c>
      <c r="M1950" s="7" t="s">
        <v>3501</v>
      </c>
      <c r="N1950" s="7" t="s">
        <v>3642</v>
      </c>
      <c r="O1950" s="7" t="s">
        <v>3642</v>
      </c>
      <c r="P1950" s="7" t="s">
        <v>19524</v>
      </c>
      <c r="T1950" s="7" t="s">
        <v>3644</v>
      </c>
      <c r="U1950" s="7" t="s">
        <v>3493</v>
      </c>
      <c r="V1950" s="7">
        <v>1.0</v>
      </c>
    </row>
    <row r="1951">
      <c r="A1951" s="7" t="s">
        <v>21856</v>
      </c>
      <c r="B1951" s="7">
        <v>3000021.0</v>
      </c>
      <c r="C1951" s="7" t="s">
        <v>15336</v>
      </c>
      <c r="D1951" s="7" t="s">
        <v>5153</v>
      </c>
      <c r="E1951" s="7" t="s">
        <v>15337</v>
      </c>
      <c r="F1951" s="7" t="s">
        <v>5155</v>
      </c>
      <c r="G1951" s="7" t="s">
        <v>15338</v>
      </c>
      <c r="H1951" s="7" t="s">
        <v>15339</v>
      </c>
      <c r="I1951" s="119">
        <v>45413.0</v>
      </c>
      <c r="K1951" s="7" t="s">
        <v>3642</v>
      </c>
      <c r="L1951" s="7" t="s">
        <v>991</v>
      </c>
      <c r="M1951" s="7" t="s">
        <v>3501</v>
      </c>
      <c r="N1951" s="7" t="s">
        <v>3642</v>
      </c>
      <c r="O1951" s="7" t="s">
        <v>3642</v>
      </c>
      <c r="P1951" s="7" t="s">
        <v>19524</v>
      </c>
      <c r="T1951" s="7" t="s">
        <v>3644</v>
      </c>
      <c r="U1951" s="7" t="s">
        <v>3493</v>
      </c>
      <c r="V1951" s="7">
        <v>1.0</v>
      </c>
    </row>
    <row r="1952">
      <c r="A1952" s="7" t="s">
        <v>21857</v>
      </c>
      <c r="B1952" s="7">
        <v>3000011.0</v>
      </c>
      <c r="C1952" s="7" t="s">
        <v>7853</v>
      </c>
      <c r="D1952" s="7" t="s">
        <v>15341</v>
      </c>
      <c r="E1952" s="7" t="s">
        <v>7854</v>
      </c>
      <c r="F1952" s="7" t="s">
        <v>5229</v>
      </c>
      <c r="G1952" s="7" t="s">
        <v>15342</v>
      </c>
      <c r="H1952" s="7" t="s">
        <v>15343</v>
      </c>
      <c r="I1952" s="119">
        <v>45413.0</v>
      </c>
      <c r="K1952" s="7" t="s">
        <v>419</v>
      </c>
      <c r="L1952" s="7" t="s">
        <v>991</v>
      </c>
      <c r="M1952" s="7" t="s">
        <v>3501</v>
      </c>
      <c r="N1952" s="7" t="s">
        <v>419</v>
      </c>
      <c r="O1952" s="7" t="s">
        <v>19430</v>
      </c>
      <c r="P1952" s="7" t="s">
        <v>717</v>
      </c>
      <c r="Q1952" s="7" t="s">
        <v>720</v>
      </c>
      <c r="R1952" s="7" t="s">
        <v>19626</v>
      </c>
      <c r="S1952" s="7" t="s">
        <v>20561</v>
      </c>
      <c r="T1952" s="7" t="s">
        <v>8391</v>
      </c>
      <c r="U1952" s="7" t="s">
        <v>3493</v>
      </c>
      <c r="V1952" s="7">
        <v>1.0</v>
      </c>
    </row>
    <row r="1953">
      <c r="A1953" s="7" t="s">
        <v>21858</v>
      </c>
      <c r="B1953" s="7">
        <v>3000018.0</v>
      </c>
      <c r="C1953" s="7" t="s">
        <v>8089</v>
      </c>
      <c r="D1953" s="7" t="s">
        <v>15345</v>
      </c>
      <c r="E1953" s="7" t="s">
        <v>8074</v>
      </c>
      <c r="F1953" s="7" t="s">
        <v>15346</v>
      </c>
      <c r="G1953" s="7" t="s">
        <v>15347</v>
      </c>
      <c r="H1953" s="7" t="s">
        <v>15348</v>
      </c>
      <c r="I1953" s="119">
        <v>45413.0</v>
      </c>
      <c r="K1953" s="7" t="s">
        <v>419</v>
      </c>
      <c r="L1953" s="7" t="s">
        <v>991</v>
      </c>
      <c r="M1953" s="7" t="s">
        <v>3531</v>
      </c>
      <c r="N1953" s="7" t="s">
        <v>419</v>
      </c>
      <c r="O1953" s="7" t="s">
        <v>19430</v>
      </c>
      <c r="P1953" s="7" t="s">
        <v>717</v>
      </c>
      <c r="Q1953" s="7" t="s">
        <v>1163</v>
      </c>
      <c r="R1953" s="7" t="s">
        <v>19546</v>
      </c>
      <c r="S1953" s="7" t="s">
        <v>20497</v>
      </c>
      <c r="T1953" s="7" t="s">
        <v>8103</v>
      </c>
      <c r="U1953" s="7" t="s">
        <v>3493</v>
      </c>
      <c r="V1953" s="7">
        <v>1.0</v>
      </c>
    </row>
    <row r="1954">
      <c r="A1954" s="7" t="s">
        <v>21859</v>
      </c>
      <c r="B1954" s="7">
        <v>3000022.0</v>
      </c>
      <c r="C1954" s="7" t="s">
        <v>11787</v>
      </c>
      <c r="D1954" s="7" t="s">
        <v>15350</v>
      </c>
      <c r="E1954" s="7" t="s">
        <v>11789</v>
      </c>
      <c r="F1954" s="7" t="s">
        <v>3799</v>
      </c>
      <c r="G1954" s="7" t="s">
        <v>15351</v>
      </c>
      <c r="H1954" s="7" t="s">
        <v>15352</v>
      </c>
      <c r="I1954" s="119">
        <v>45413.0</v>
      </c>
      <c r="K1954" s="7" t="s">
        <v>3642</v>
      </c>
      <c r="L1954" s="7" t="s">
        <v>991</v>
      </c>
      <c r="M1954" s="7" t="s">
        <v>3501</v>
      </c>
      <c r="N1954" s="7" t="s">
        <v>3642</v>
      </c>
      <c r="O1954" s="7" t="s">
        <v>3642</v>
      </c>
      <c r="P1954" s="7" t="s">
        <v>19524</v>
      </c>
      <c r="T1954" s="7" t="s">
        <v>3644</v>
      </c>
      <c r="U1954" s="7" t="s">
        <v>3493</v>
      </c>
      <c r="V1954" s="7">
        <v>1.0</v>
      </c>
    </row>
    <row r="1955">
      <c r="A1955" s="7" t="s">
        <v>21860</v>
      </c>
      <c r="B1955" s="7">
        <v>3000020.0</v>
      </c>
      <c r="C1955" s="7" t="s">
        <v>12078</v>
      </c>
      <c r="D1955" s="7" t="s">
        <v>15354</v>
      </c>
      <c r="E1955" s="7" t="s">
        <v>12080</v>
      </c>
      <c r="F1955" s="7" t="s">
        <v>15355</v>
      </c>
      <c r="G1955" s="7" t="s">
        <v>15356</v>
      </c>
      <c r="H1955" s="7" t="s">
        <v>15357</v>
      </c>
      <c r="I1955" s="119">
        <v>45413.0</v>
      </c>
      <c r="K1955" s="7" t="s">
        <v>3642</v>
      </c>
      <c r="L1955" s="7" t="s">
        <v>991</v>
      </c>
      <c r="M1955" s="7" t="s">
        <v>3501</v>
      </c>
      <c r="N1955" s="7" t="s">
        <v>3642</v>
      </c>
      <c r="O1955" s="7" t="s">
        <v>3642</v>
      </c>
      <c r="P1955" s="7" t="s">
        <v>19524</v>
      </c>
      <c r="T1955" s="7" t="s">
        <v>3644</v>
      </c>
      <c r="U1955" s="7" t="s">
        <v>3493</v>
      </c>
      <c r="V1955" s="7">
        <v>1.0</v>
      </c>
    </row>
    <row r="1956">
      <c r="A1956" s="7" t="s">
        <v>21861</v>
      </c>
      <c r="B1956" s="7">
        <v>3000026.0</v>
      </c>
      <c r="C1956" s="7" t="s">
        <v>15359</v>
      </c>
      <c r="D1956" s="7" t="s">
        <v>15360</v>
      </c>
      <c r="E1956" s="7" t="s">
        <v>9626</v>
      </c>
      <c r="F1956" s="7" t="s">
        <v>15361</v>
      </c>
      <c r="G1956" s="7" t="s">
        <v>15362</v>
      </c>
      <c r="H1956" s="7" t="s">
        <v>15363</v>
      </c>
      <c r="I1956" s="119">
        <v>45413.0</v>
      </c>
      <c r="K1956" s="7" t="s">
        <v>419</v>
      </c>
      <c r="L1956" s="7" t="s">
        <v>991</v>
      </c>
      <c r="M1956" s="7" t="s">
        <v>3531</v>
      </c>
      <c r="N1956" s="7" t="s">
        <v>419</v>
      </c>
      <c r="O1956" s="7" t="s">
        <v>19430</v>
      </c>
      <c r="P1956" s="7" t="s">
        <v>717</v>
      </c>
      <c r="Q1956" s="7" t="s">
        <v>720</v>
      </c>
      <c r="R1956" s="7" t="s">
        <v>19823</v>
      </c>
      <c r="S1956" s="7" t="s">
        <v>21644</v>
      </c>
      <c r="T1956" s="7" t="s">
        <v>14287</v>
      </c>
      <c r="U1956" s="7" t="s">
        <v>3493</v>
      </c>
      <c r="V1956" s="7">
        <v>1.0</v>
      </c>
    </row>
    <row r="1957">
      <c r="A1957" s="7" t="s">
        <v>21862</v>
      </c>
      <c r="B1957" s="7">
        <v>3000036.0</v>
      </c>
      <c r="C1957" s="7" t="s">
        <v>15365</v>
      </c>
      <c r="D1957" s="7" t="s">
        <v>15366</v>
      </c>
      <c r="E1957" s="7" t="s">
        <v>15367</v>
      </c>
      <c r="F1957" s="7" t="s">
        <v>15368</v>
      </c>
      <c r="G1957" s="7" t="s">
        <v>15369</v>
      </c>
      <c r="H1957" s="7" t="s">
        <v>15370</v>
      </c>
      <c r="I1957" s="119">
        <v>45428.0</v>
      </c>
      <c r="K1957" s="7" t="s">
        <v>3642</v>
      </c>
      <c r="L1957" s="7" t="s">
        <v>991</v>
      </c>
      <c r="M1957" s="7" t="s">
        <v>3501</v>
      </c>
      <c r="N1957" s="7" t="s">
        <v>3642</v>
      </c>
      <c r="O1957" s="7" t="s">
        <v>3642</v>
      </c>
      <c r="P1957" s="7" t="s">
        <v>19524</v>
      </c>
      <c r="T1957" s="7" t="s">
        <v>3644</v>
      </c>
      <c r="U1957" s="7" t="s">
        <v>3493</v>
      </c>
      <c r="V1957" s="7">
        <v>1.0</v>
      </c>
    </row>
    <row r="1958">
      <c r="A1958" s="7" t="s">
        <v>21863</v>
      </c>
      <c r="B1958" s="7">
        <v>3000039.0</v>
      </c>
      <c r="C1958" s="7" t="s">
        <v>7853</v>
      </c>
      <c r="D1958" s="7" t="s">
        <v>15372</v>
      </c>
      <c r="E1958" s="7" t="s">
        <v>7854</v>
      </c>
      <c r="F1958" s="7" t="s">
        <v>15373</v>
      </c>
      <c r="G1958" s="7" t="s">
        <v>15374</v>
      </c>
      <c r="H1958" s="7" t="s">
        <v>15375</v>
      </c>
      <c r="I1958" s="119">
        <v>45428.0</v>
      </c>
      <c r="K1958" s="7" t="s">
        <v>3642</v>
      </c>
      <c r="L1958" s="7" t="s">
        <v>991</v>
      </c>
      <c r="M1958" s="7" t="s">
        <v>3583</v>
      </c>
      <c r="N1958" s="7" t="s">
        <v>3642</v>
      </c>
      <c r="O1958" s="7" t="s">
        <v>3642</v>
      </c>
      <c r="P1958" s="7" t="s">
        <v>19524</v>
      </c>
      <c r="T1958" s="7" t="s">
        <v>3644</v>
      </c>
      <c r="U1958" s="7" t="s">
        <v>3493</v>
      </c>
      <c r="V1958" s="7">
        <v>1.0</v>
      </c>
    </row>
    <row r="1959">
      <c r="A1959" s="7" t="s">
        <v>21864</v>
      </c>
      <c r="B1959" s="7">
        <v>3000041.0</v>
      </c>
      <c r="C1959" s="7" t="s">
        <v>8766</v>
      </c>
      <c r="D1959" s="7" t="s">
        <v>15377</v>
      </c>
      <c r="E1959" s="7" t="s">
        <v>8768</v>
      </c>
      <c r="F1959" s="7" t="s">
        <v>15378</v>
      </c>
      <c r="G1959" s="7" t="s">
        <v>15379</v>
      </c>
      <c r="H1959" s="7" t="s">
        <v>15380</v>
      </c>
      <c r="I1959" s="119">
        <v>45428.0</v>
      </c>
      <c r="K1959" s="7" t="s">
        <v>15381</v>
      </c>
      <c r="L1959" s="7" t="s">
        <v>991</v>
      </c>
      <c r="M1959" s="7" t="s">
        <v>4644</v>
      </c>
      <c r="N1959" s="7" t="s">
        <v>15381</v>
      </c>
      <c r="O1959" s="7" t="s">
        <v>15381</v>
      </c>
      <c r="P1959" s="7" t="s">
        <v>21865</v>
      </c>
      <c r="T1959" s="7" t="s">
        <v>15383</v>
      </c>
      <c r="U1959" s="7" t="s">
        <v>420</v>
      </c>
      <c r="V1959" s="7">
        <v>1.0</v>
      </c>
    </row>
    <row r="1960">
      <c r="A1960" s="7" t="s">
        <v>21866</v>
      </c>
      <c r="B1960" s="7">
        <v>3000042.0</v>
      </c>
      <c r="C1960" s="7" t="s">
        <v>9833</v>
      </c>
      <c r="D1960" s="7" t="s">
        <v>15385</v>
      </c>
      <c r="E1960" s="7" t="s">
        <v>9834</v>
      </c>
      <c r="F1960" s="7" t="s">
        <v>15386</v>
      </c>
      <c r="G1960" s="7" t="s">
        <v>15387</v>
      </c>
      <c r="H1960" s="7" t="s">
        <v>15388</v>
      </c>
      <c r="I1960" s="119">
        <v>45428.0</v>
      </c>
      <c r="K1960" s="7" t="s">
        <v>15381</v>
      </c>
      <c r="L1960" s="7" t="s">
        <v>991</v>
      </c>
      <c r="M1960" s="7" t="s">
        <v>3501</v>
      </c>
      <c r="N1960" s="7" t="s">
        <v>15381</v>
      </c>
      <c r="O1960" s="7" t="s">
        <v>15381</v>
      </c>
      <c r="P1960" s="7" t="s">
        <v>21865</v>
      </c>
      <c r="T1960" s="7" t="s">
        <v>15383</v>
      </c>
      <c r="U1960" s="7" t="s">
        <v>3493</v>
      </c>
      <c r="V1960" s="7">
        <v>1.0</v>
      </c>
    </row>
    <row r="1961">
      <c r="A1961" s="7" t="s">
        <v>21867</v>
      </c>
      <c r="B1961" s="7">
        <v>3000008.0</v>
      </c>
      <c r="C1961" s="7" t="s">
        <v>15390</v>
      </c>
      <c r="D1961" s="7" t="s">
        <v>15391</v>
      </c>
      <c r="E1961" s="7" t="s">
        <v>15392</v>
      </c>
      <c r="F1961" s="7" t="s">
        <v>15393</v>
      </c>
      <c r="G1961" s="7" t="s">
        <v>15394</v>
      </c>
      <c r="H1961" s="7" t="s">
        <v>15395</v>
      </c>
      <c r="I1961" s="119">
        <v>45428.0</v>
      </c>
      <c r="K1961" s="7" t="s">
        <v>419</v>
      </c>
      <c r="L1961" s="7" t="s">
        <v>991</v>
      </c>
      <c r="M1961" s="7" t="s">
        <v>3501</v>
      </c>
      <c r="N1961" s="7" t="s">
        <v>419</v>
      </c>
      <c r="O1961" s="7" t="s">
        <v>19433</v>
      </c>
      <c r="P1961" s="7" t="s">
        <v>648</v>
      </c>
      <c r="Q1961" s="7" t="s">
        <v>143</v>
      </c>
      <c r="R1961" s="7" t="s">
        <v>19563</v>
      </c>
      <c r="S1961" s="7" t="s">
        <v>21368</v>
      </c>
      <c r="T1961" s="7" t="s">
        <v>12769</v>
      </c>
      <c r="U1961" s="7" t="s">
        <v>3493</v>
      </c>
      <c r="V1961" s="7">
        <v>1.0</v>
      </c>
    </row>
    <row r="1962">
      <c r="A1962" s="7" t="s">
        <v>21868</v>
      </c>
      <c r="B1962" s="7">
        <v>3000040.0</v>
      </c>
      <c r="C1962" s="7" t="s">
        <v>13801</v>
      </c>
      <c r="D1962" s="7" t="s">
        <v>15398</v>
      </c>
      <c r="E1962" s="7" t="s">
        <v>13803</v>
      </c>
      <c r="F1962" s="7" t="s">
        <v>15399</v>
      </c>
      <c r="G1962" s="7" t="s">
        <v>15400</v>
      </c>
      <c r="H1962" s="7" t="s">
        <v>15401</v>
      </c>
      <c r="I1962" s="119">
        <v>45428.0</v>
      </c>
      <c r="K1962" s="7" t="s">
        <v>15381</v>
      </c>
      <c r="L1962" s="7" t="s">
        <v>991</v>
      </c>
      <c r="M1962" s="7" t="s">
        <v>4644</v>
      </c>
      <c r="N1962" s="7" t="s">
        <v>15381</v>
      </c>
      <c r="O1962" s="7" t="s">
        <v>15381</v>
      </c>
      <c r="P1962" s="7" t="s">
        <v>21865</v>
      </c>
      <c r="T1962" s="7" t="s">
        <v>15383</v>
      </c>
      <c r="U1962" s="7" t="s">
        <v>7953</v>
      </c>
      <c r="V1962" s="7">
        <v>1.0</v>
      </c>
    </row>
    <row r="1963">
      <c r="A1963" s="7" t="s">
        <v>21869</v>
      </c>
      <c r="B1963" s="7">
        <v>3000060.0</v>
      </c>
      <c r="C1963" s="7" t="s">
        <v>15403</v>
      </c>
      <c r="D1963" s="7" t="s">
        <v>15404</v>
      </c>
      <c r="E1963" s="7" t="s">
        <v>15405</v>
      </c>
      <c r="F1963" s="7" t="s">
        <v>15406</v>
      </c>
      <c r="G1963" s="7" t="s">
        <v>15407</v>
      </c>
      <c r="H1963" s="7" t="s">
        <v>15408</v>
      </c>
      <c r="I1963" s="119">
        <v>45444.0</v>
      </c>
      <c r="K1963" s="7" t="s">
        <v>3632</v>
      </c>
      <c r="L1963" s="7" t="s">
        <v>991</v>
      </c>
      <c r="M1963" s="7" t="s">
        <v>3583</v>
      </c>
      <c r="N1963" s="7" t="s">
        <v>3632</v>
      </c>
      <c r="O1963" s="7" t="s">
        <v>3632</v>
      </c>
      <c r="P1963" s="7" t="s">
        <v>3463</v>
      </c>
      <c r="Q1963" s="7" t="s">
        <v>359</v>
      </c>
      <c r="R1963" s="7" t="s">
        <v>20723</v>
      </c>
      <c r="T1963" s="7" t="s">
        <v>20724</v>
      </c>
      <c r="U1963" s="7" t="s">
        <v>3493</v>
      </c>
      <c r="V1963" s="7">
        <v>1.0</v>
      </c>
    </row>
    <row r="1964">
      <c r="A1964" s="7" t="s">
        <v>21870</v>
      </c>
      <c r="B1964" s="7">
        <v>3000006.0</v>
      </c>
      <c r="C1964" s="7" t="s">
        <v>5976</v>
      </c>
      <c r="D1964" s="7" t="s">
        <v>15411</v>
      </c>
      <c r="E1964" s="7" t="s">
        <v>5977</v>
      </c>
      <c r="F1964" s="7" t="s">
        <v>5049</v>
      </c>
      <c r="G1964" s="7" t="s">
        <v>15412</v>
      </c>
      <c r="H1964" s="7" t="s">
        <v>15413</v>
      </c>
      <c r="I1964" s="119">
        <v>45444.0</v>
      </c>
      <c r="K1964" s="7" t="s">
        <v>419</v>
      </c>
      <c r="L1964" s="7" t="s">
        <v>991</v>
      </c>
      <c r="M1964" s="7" t="s">
        <v>3501</v>
      </c>
      <c r="N1964" s="7" t="s">
        <v>419</v>
      </c>
      <c r="O1964" s="7" t="s">
        <v>19437</v>
      </c>
      <c r="P1964" s="7" t="s">
        <v>440</v>
      </c>
      <c r="Q1964" s="7" t="s">
        <v>924</v>
      </c>
      <c r="R1964" s="7" t="s">
        <v>20135</v>
      </c>
      <c r="T1964" s="7" t="s">
        <v>15414</v>
      </c>
      <c r="U1964" s="7" t="s">
        <v>3493</v>
      </c>
      <c r="V1964" s="7">
        <v>1.0</v>
      </c>
    </row>
    <row r="1965">
      <c r="A1965" s="7" t="s">
        <v>21871</v>
      </c>
      <c r="B1965" s="7">
        <v>3000234.0</v>
      </c>
      <c r="C1965" s="7" t="s">
        <v>15416</v>
      </c>
      <c r="D1965" s="7" t="s">
        <v>9805</v>
      </c>
      <c r="E1965" s="7" t="s">
        <v>15417</v>
      </c>
      <c r="F1965" s="7" t="s">
        <v>4598</v>
      </c>
      <c r="G1965" s="7" t="s">
        <v>15418</v>
      </c>
      <c r="H1965" s="7" t="s">
        <v>15419</v>
      </c>
      <c r="I1965" s="119">
        <v>45536.0</v>
      </c>
      <c r="K1965" s="7" t="s">
        <v>11974</v>
      </c>
      <c r="L1965" s="7" t="s">
        <v>991</v>
      </c>
      <c r="M1965" s="7" t="s">
        <v>3501</v>
      </c>
      <c r="N1965" s="7" t="s">
        <v>11974</v>
      </c>
      <c r="O1965" s="7" t="s">
        <v>11974</v>
      </c>
      <c r="P1965" s="7" t="s">
        <v>386</v>
      </c>
      <c r="Q1965" s="7" t="s">
        <v>387</v>
      </c>
      <c r="T1965" s="7" t="s">
        <v>11976</v>
      </c>
      <c r="U1965" s="7" t="s">
        <v>3493</v>
      </c>
      <c r="V1965" s="7">
        <v>1.0</v>
      </c>
    </row>
    <row r="1966">
      <c r="A1966" s="7" t="s">
        <v>21872</v>
      </c>
      <c r="B1966" s="7">
        <v>3000043.0</v>
      </c>
      <c r="C1966" s="7" t="s">
        <v>15421</v>
      </c>
      <c r="D1966" s="7" t="s">
        <v>15422</v>
      </c>
      <c r="E1966" s="7" t="s">
        <v>6806</v>
      </c>
      <c r="F1966" s="7" t="s">
        <v>10131</v>
      </c>
      <c r="G1966" s="7" t="s">
        <v>15423</v>
      </c>
      <c r="H1966" s="7" t="s">
        <v>15424</v>
      </c>
      <c r="I1966" s="119">
        <v>45444.0</v>
      </c>
      <c r="K1966" s="7" t="s">
        <v>419</v>
      </c>
      <c r="L1966" s="7" t="s">
        <v>991</v>
      </c>
      <c r="M1966" s="7" t="s">
        <v>3501</v>
      </c>
      <c r="N1966" s="7" t="s">
        <v>419</v>
      </c>
      <c r="O1966" s="7" t="s">
        <v>19430</v>
      </c>
      <c r="P1966" s="7" t="s">
        <v>717</v>
      </c>
      <c r="Q1966" s="7" t="s">
        <v>251</v>
      </c>
      <c r="R1966" s="7" t="s">
        <v>19593</v>
      </c>
      <c r="S1966" s="7" t="s">
        <v>20664</v>
      </c>
      <c r="T1966" s="7" t="s">
        <v>8920</v>
      </c>
      <c r="U1966" s="7" t="s">
        <v>3493</v>
      </c>
      <c r="V1966" s="7">
        <v>1.0</v>
      </c>
    </row>
    <row r="1967">
      <c r="A1967" s="7" t="s">
        <v>21873</v>
      </c>
      <c r="B1967" s="7">
        <v>3000062.0</v>
      </c>
      <c r="C1967" s="7" t="s">
        <v>7626</v>
      </c>
      <c r="D1967" s="7" t="s">
        <v>15426</v>
      </c>
      <c r="E1967" s="7" t="s">
        <v>7628</v>
      </c>
      <c r="F1967" s="7" t="s">
        <v>8129</v>
      </c>
      <c r="G1967" s="7" t="s">
        <v>15427</v>
      </c>
      <c r="H1967" s="7" t="s">
        <v>15428</v>
      </c>
      <c r="I1967" s="119">
        <v>45444.0</v>
      </c>
      <c r="K1967" s="7" t="s">
        <v>3622</v>
      </c>
      <c r="L1967" s="7" t="s">
        <v>991</v>
      </c>
      <c r="M1967" s="7" t="s">
        <v>3531</v>
      </c>
      <c r="N1967" s="7" t="s">
        <v>3622</v>
      </c>
      <c r="O1967" s="7" t="s">
        <v>3622</v>
      </c>
      <c r="P1967" s="7" t="s">
        <v>19521</v>
      </c>
      <c r="T1967" s="7" t="s">
        <v>3624</v>
      </c>
      <c r="U1967" s="7" t="s">
        <v>3493</v>
      </c>
      <c r="V1967" s="7">
        <v>1.0</v>
      </c>
    </row>
    <row r="1968">
      <c r="A1968" s="7" t="s">
        <v>21874</v>
      </c>
      <c r="B1968" s="7">
        <v>3000005.0</v>
      </c>
      <c r="C1968" s="7" t="s">
        <v>8564</v>
      </c>
      <c r="D1968" s="7" t="s">
        <v>15430</v>
      </c>
      <c r="E1968" s="7" t="s">
        <v>8566</v>
      </c>
      <c r="F1968" s="7" t="s">
        <v>13059</v>
      </c>
      <c r="G1968" s="7" t="s">
        <v>15431</v>
      </c>
      <c r="H1968" s="7" t="s">
        <v>15432</v>
      </c>
      <c r="I1968" s="119">
        <v>45444.0</v>
      </c>
      <c r="K1968" s="7" t="s">
        <v>419</v>
      </c>
      <c r="L1968" s="7" t="s">
        <v>991</v>
      </c>
      <c r="M1968" s="7" t="s">
        <v>3501</v>
      </c>
      <c r="N1968" s="7" t="s">
        <v>419</v>
      </c>
      <c r="O1968" s="7" t="s">
        <v>19432</v>
      </c>
      <c r="P1968" s="7" t="s">
        <v>693</v>
      </c>
      <c r="Q1968" s="7" t="s">
        <v>696</v>
      </c>
      <c r="R1968" s="7" t="s">
        <v>19813</v>
      </c>
      <c r="S1968" s="7" t="s">
        <v>20767</v>
      </c>
      <c r="T1968" s="7" t="s">
        <v>13337</v>
      </c>
      <c r="U1968" s="7" t="s">
        <v>3843</v>
      </c>
      <c r="V1968" s="7">
        <v>1.0</v>
      </c>
    </row>
    <row r="1969">
      <c r="A1969" s="7" t="s">
        <v>21875</v>
      </c>
      <c r="B1969" s="7">
        <v>3000004.0</v>
      </c>
      <c r="C1969" s="7" t="s">
        <v>10957</v>
      </c>
      <c r="D1969" s="7" t="s">
        <v>15434</v>
      </c>
      <c r="E1969" s="7" t="s">
        <v>10959</v>
      </c>
      <c r="F1969" s="7" t="s">
        <v>3498</v>
      </c>
      <c r="G1969" s="7" t="s">
        <v>15435</v>
      </c>
      <c r="H1969" s="7" t="s">
        <v>15436</v>
      </c>
      <c r="I1969" s="119">
        <v>45444.0</v>
      </c>
      <c r="K1969" s="7" t="s">
        <v>419</v>
      </c>
      <c r="L1969" s="7" t="s">
        <v>991</v>
      </c>
      <c r="M1969" s="7" t="s">
        <v>3501</v>
      </c>
      <c r="N1969" s="7" t="s">
        <v>419</v>
      </c>
      <c r="O1969" s="7" t="s">
        <v>19443</v>
      </c>
      <c r="P1969" s="7" t="s">
        <v>323</v>
      </c>
      <c r="Q1969" s="7" t="s">
        <v>824</v>
      </c>
      <c r="R1969" s="7" t="s">
        <v>20407</v>
      </c>
      <c r="T1969" s="7" t="s">
        <v>8908</v>
      </c>
      <c r="U1969" s="7" t="s">
        <v>3604</v>
      </c>
      <c r="V1969" s="7">
        <v>1.0</v>
      </c>
    </row>
    <row r="1970">
      <c r="A1970" s="7" t="s">
        <v>21876</v>
      </c>
      <c r="B1970" s="7">
        <v>3000017.0</v>
      </c>
      <c r="C1970" s="7" t="s">
        <v>15439</v>
      </c>
      <c r="D1970" s="7" t="s">
        <v>15440</v>
      </c>
      <c r="E1970" s="7" t="s">
        <v>15441</v>
      </c>
      <c r="F1970" s="7" t="s">
        <v>5417</v>
      </c>
      <c r="G1970" s="7" t="s">
        <v>15442</v>
      </c>
      <c r="H1970" s="7" t="s">
        <v>15443</v>
      </c>
      <c r="I1970" s="119">
        <v>45444.0</v>
      </c>
      <c r="K1970" s="7" t="s">
        <v>419</v>
      </c>
      <c r="L1970" s="7" t="s">
        <v>991</v>
      </c>
      <c r="M1970" s="7" t="s">
        <v>3501</v>
      </c>
      <c r="N1970" s="7" t="s">
        <v>419</v>
      </c>
      <c r="O1970" s="7" t="s">
        <v>19432</v>
      </c>
      <c r="P1970" s="7" t="s">
        <v>1433</v>
      </c>
      <c r="Q1970" s="7" t="s">
        <v>644</v>
      </c>
      <c r="R1970" s="7" t="s">
        <v>21485</v>
      </c>
      <c r="T1970" s="7" t="s">
        <v>14672</v>
      </c>
      <c r="U1970" s="7" t="s">
        <v>3493</v>
      </c>
      <c r="V1970" s="7">
        <v>1.0</v>
      </c>
    </row>
    <row r="1971">
      <c r="A1971" s="7" t="s">
        <v>21877</v>
      </c>
      <c r="B1971" s="7">
        <v>3000012.0</v>
      </c>
      <c r="C1971" s="7" t="s">
        <v>15445</v>
      </c>
      <c r="D1971" s="7" t="s">
        <v>9271</v>
      </c>
      <c r="E1971" s="7" t="s">
        <v>15446</v>
      </c>
      <c r="F1971" s="7" t="s">
        <v>9273</v>
      </c>
      <c r="G1971" s="7" t="s">
        <v>15447</v>
      </c>
      <c r="H1971" s="7" t="s">
        <v>15448</v>
      </c>
      <c r="I1971" s="119">
        <v>45444.0</v>
      </c>
      <c r="K1971" s="7" t="s">
        <v>419</v>
      </c>
      <c r="L1971" s="7" t="s">
        <v>991</v>
      </c>
      <c r="M1971" s="7" t="s">
        <v>3501</v>
      </c>
      <c r="N1971" s="7" t="s">
        <v>419</v>
      </c>
      <c r="O1971" s="7" t="s">
        <v>19443</v>
      </c>
      <c r="P1971" s="7" t="s">
        <v>323</v>
      </c>
      <c r="Q1971" s="7" t="s">
        <v>324</v>
      </c>
      <c r="R1971" s="7" t="s">
        <v>20997</v>
      </c>
      <c r="T1971" s="7" t="s">
        <v>11045</v>
      </c>
      <c r="U1971" s="7" t="s">
        <v>3493</v>
      </c>
      <c r="V1971" s="7">
        <v>1.0</v>
      </c>
    </row>
    <row r="1972">
      <c r="A1972" s="7" t="s">
        <v>21878</v>
      </c>
      <c r="B1972" s="7">
        <v>3000056.0</v>
      </c>
      <c r="C1972" s="7" t="s">
        <v>13898</v>
      </c>
      <c r="D1972" s="7" t="s">
        <v>15451</v>
      </c>
      <c r="E1972" s="7" t="s">
        <v>13900</v>
      </c>
      <c r="F1972" s="7" t="s">
        <v>15452</v>
      </c>
      <c r="G1972" s="7" t="s">
        <v>15453</v>
      </c>
      <c r="H1972" s="7" t="s">
        <v>15454</v>
      </c>
      <c r="I1972" s="119">
        <v>45444.0</v>
      </c>
      <c r="K1972" s="7" t="s">
        <v>419</v>
      </c>
      <c r="L1972" s="7" t="s">
        <v>991</v>
      </c>
      <c r="M1972" s="7" t="s">
        <v>3531</v>
      </c>
      <c r="N1972" s="7" t="s">
        <v>419</v>
      </c>
      <c r="O1972" s="7" t="s">
        <v>19430</v>
      </c>
      <c r="P1972" s="7" t="s">
        <v>717</v>
      </c>
      <c r="Q1972" s="7" t="s">
        <v>738</v>
      </c>
      <c r="R1972" s="7" t="s">
        <v>19818</v>
      </c>
      <c r="S1972" s="7" t="s">
        <v>19668</v>
      </c>
      <c r="T1972" s="7" t="s">
        <v>4739</v>
      </c>
      <c r="U1972" s="7" t="s">
        <v>3493</v>
      </c>
      <c r="V1972" s="7">
        <v>1.0</v>
      </c>
    </row>
    <row r="1973">
      <c r="A1973" s="7" t="s">
        <v>21879</v>
      </c>
      <c r="B1973" s="7">
        <v>3000071.0</v>
      </c>
      <c r="C1973" s="7" t="s">
        <v>15456</v>
      </c>
      <c r="D1973" s="7" t="s">
        <v>15457</v>
      </c>
      <c r="E1973" s="7" t="s">
        <v>15458</v>
      </c>
      <c r="F1973" s="7" t="s">
        <v>15459</v>
      </c>
      <c r="G1973" s="7" t="s">
        <v>15460</v>
      </c>
      <c r="H1973" s="7" t="s">
        <v>15461</v>
      </c>
      <c r="I1973" s="119">
        <v>45444.0</v>
      </c>
      <c r="K1973" s="7" t="s">
        <v>3632</v>
      </c>
      <c r="L1973" s="7" t="s">
        <v>991</v>
      </c>
      <c r="M1973" s="7" t="s">
        <v>3531</v>
      </c>
      <c r="N1973" s="7" t="s">
        <v>3632</v>
      </c>
      <c r="O1973" s="7" t="s">
        <v>3632</v>
      </c>
      <c r="P1973" s="7" t="s">
        <v>22</v>
      </c>
      <c r="Q1973" s="7" t="s">
        <v>549</v>
      </c>
      <c r="R1973" s="7" t="s">
        <v>19809</v>
      </c>
      <c r="T1973" s="7" t="s">
        <v>15462</v>
      </c>
      <c r="U1973" s="7" t="s">
        <v>3493</v>
      </c>
      <c r="V1973" s="7">
        <v>1.0</v>
      </c>
    </row>
    <row r="1974">
      <c r="A1974" s="7" t="s">
        <v>21880</v>
      </c>
      <c r="B1974" s="7">
        <v>3000015.0</v>
      </c>
      <c r="C1974" s="7" t="s">
        <v>15464</v>
      </c>
      <c r="D1974" s="7" t="s">
        <v>9183</v>
      </c>
      <c r="E1974" s="7" t="s">
        <v>15465</v>
      </c>
      <c r="F1974" s="7" t="s">
        <v>7477</v>
      </c>
      <c r="G1974" s="7" t="s">
        <v>15466</v>
      </c>
      <c r="H1974" s="7" t="s">
        <v>15467</v>
      </c>
      <c r="I1974" s="119">
        <v>45459.0</v>
      </c>
      <c r="K1974" s="7" t="s">
        <v>419</v>
      </c>
      <c r="L1974" s="7" t="s">
        <v>991</v>
      </c>
      <c r="M1974" s="7" t="s">
        <v>3501</v>
      </c>
      <c r="N1974" s="7" t="s">
        <v>419</v>
      </c>
      <c r="O1974" s="7" t="s">
        <v>19443</v>
      </c>
      <c r="P1974" s="7" t="s">
        <v>323</v>
      </c>
      <c r="Q1974" s="7" t="s">
        <v>824</v>
      </c>
      <c r="R1974" s="7" t="s">
        <v>21881</v>
      </c>
      <c r="T1974" s="7" t="s">
        <v>21882</v>
      </c>
      <c r="U1974" s="7" t="s">
        <v>3493</v>
      </c>
      <c r="V1974" s="7">
        <v>1.0</v>
      </c>
    </row>
    <row r="1975">
      <c r="A1975" s="7" t="s">
        <v>21883</v>
      </c>
      <c r="B1975" s="7">
        <v>3000080.0</v>
      </c>
      <c r="C1975" s="7" t="s">
        <v>15471</v>
      </c>
      <c r="D1975" s="7" t="s">
        <v>3780</v>
      </c>
      <c r="E1975" s="7" t="s">
        <v>15472</v>
      </c>
      <c r="F1975" s="7" t="s">
        <v>3781</v>
      </c>
      <c r="G1975" s="7" t="s">
        <v>15473</v>
      </c>
      <c r="H1975" s="7" t="s">
        <v>15474</v>
      </c>
      <c r="I1975" s="119">
        <v>45459.0</v>
      </c>
      <c r="K1975" s="7" t="s">
        <v>419</v>
      </c>
      <c r="L1975" s="7" t="s">
        <v>991</v>
      </c>
      <c r="M1975" s="7" t="s">
        <v>3583</v>
      </c>
      <c r="N1975" s="7" t="s">
        <v>419</v>
      </c>
      <c r="O1975" s="7" t="s">
        <v>19430</v>
      </c>
      <c r="P1975" s="7" t="s">
        <v>717</v>
      </c>
      <c r="Q1975" s="7" t="s">
        <v>223</v>
      </c>
      <c r="R1975" s="7" t="s">
        <v>19764</v>
      </c>
      <c r="S1975" s="7" t="s">
        <v>20036</v>
      </c>
      <c r="T1975" s="7" t="s">
        <v>5756</v>
      </c>
      <c r="U1975" s="7" t="s">
        <v>3493</v>
      </c>
      <c r="V1975" s="7">
        <v>1.0</v>
      </c>
    </row>
    <row r="1976">
      <c r="A1976" s="7" t="s">
        <v>21884</v>
      </c>
      <c r="B1976" s="7">
        <v>3000007.0</v>
      </c>
      <c r="C1976" s="7" t="s">
        <v>5414</v>
      </c>
      <c r="D1976" s="7" t="s">
        <v>15476</v>
      </c>
      <c r="E1976" s="7" t="s">
        <v>5416</v>
      </c>
      <c r="F1976" s="7" t="s">
        <v>15477</v>
      </c>
      <c r="G1976" s="7" t="s">
        <v>15478</v>
      </c>
      <c r="H1976" s="7" t="s">
        <v>15479</v>
      </c>
      <c r="I1976" s="119">
        <v>45459.0</v>
      </c>
      <c r="K1976" s="7" t="s">
        <v>419</v>
      </c>
      <c r="L1976" s="7" t="s">
        <v>991</v>
      </c>
      <c r="M1976" s="7" t="s">
        <v>3501</v>
      </c>
      <c r="N1976" s="7" t="s">
        <v>419</v>
      </c>
      <c r="O1976" s="7" t="s">
        <v>19443</v>
      </c>
      <c r="P1976" s="7" t="s">
        <v>1242</v>
      </c>
      <c r="Q1976" s="7" t="s">
        <v>51</v>
      </c>
      <c r="R1976" s="7" t="s">
        <v>19574</v>
      </c>
      <c r="T1976" s="7" t="s">
        <v>10802</v>
      </c>
      <c r="U1976" s="7" t="s">
        <v>3493</v>
      </c>
      <c r="V1976" s="7">
        <v>1.0</v>
      </c>
    </row>
    <row r="1977">
      <c r="A1977" s="7" t="s">
        <v>21885</v>
      </c>
      <c r="B1977" s="7">
        <v>3000196.0</v>
      </c>
      <c r="C1977" s="7" t="s">
        <v>5680</v>
      </c>
      <c r="D1977" s="7" t="s">
        <v>15481</v>
      </c>
      <c r="E1977" s="7" t="s">
        <v>5682</v>
      </c>
      <c r="F1977" s="7" t="s">
        <v>15482</v>
      </c>
      <c r="G1977" s="7" t="s">
        <v>15483</v>
      </c>
      <c r="H1977" s="7" t="s">
        <v>15484</v>
      </c>
      <c r="I1977" s="119">
        <v>45505.0</v>
      </c>
      <c r="K1977" s="7" t="s">
        <v>15381</v>
      </c>
      <c r="L1977" s="7" t="s">
        <v>991</v>
      </c>
      <c r="M1977" s="7" t="s">
        <v>3490</v>
      </c>
      <c r="N1977" s="7" t="s">
        <v>15381</v>
      </c>
      <c r="O1977" s="7" t="s">
        <v>15381</v>
      </c>
      <c r="P1977" s="7" t="s">
        <v>21865</v>
      </c>
      <c r="T1977" s="7" t="s">
        <v>15383</v>
      </c>
      <c r="U1977" s="7" t="s">
        <v>3493</v>
      </c>
      <c r="V1977" s="7">
        <v>1.0</v>
      </c>
    </row>
    <row r="1978">
      <c r="A1978" s="7" t="s">
        <v>21886</v>
      </c>
      <c r="B1978" s="7">
        <v>3000092.0</v>
      </c>
      <c r="C1978" s="7" t="s">
        <v>15486</v>
      </c>
      <c r="D1978" s="7" t="s">
        <v>4247</v>
      </c>
      <c r="E1978" s="7" t="s">
        <v>15487</v>
      </c>
      <c r="F1978" s="7" t="s">
        <v>3818</v>
      </c>
      <c r="G1978" s="7" t="s">
        <v>15488</v>
      </c>
      <c r="H1978" s="7" t="s">
        <v>15489</v>
      </c>
      <c r="I1978" s="119">
        <v>45459.0</v>
      </c>
      <c r="K1978" s="7" t="s">
        <v>419</v>
      </c>
      <c r="L1978" s="7" t="s">
        <v>991</v>
      </c>
      <c r="M1978" s="7" t="s">
        <v>3531</v>
      </c>
      <c r="N1978" s="7" t="s">
        <v>419</v>
      </c>
      <c r="O1978" s="7" t="s">
        <v>19432</v>
      </c>
      <c r="P1978" s="7" t="s">
        <v>693</v>
      </c>
      <c r="Q1978" s="7" t="s">
        <v>696</v>
      </c>
      <c r="R1978" s="7" t="s">
        <v>19813</v>
      </c>
      <c r="S1978" s="7" t="s">
        <v>20767</v>
      </c>
      <c r="T1978" s="7" t="s">
        <v>13337</v>
      </c>
      <c r="U1978" s="7" t="s">
        <v>3493</v>
      </c>
      <c r="V1978" s="7">
        <v>1.0</v>
      </c>
    </row>
    <row r="1979">
      <c r="A1979" s="7" t="s">
        <v>21887</v>
      </c>
      <c r="B1979" s="7">
        <v>3000055.0</v>
      </c>
      <c r="C1979" s="7" t="s">
        <v>15491</v>
      </c>
      <c r="D1979" s="7" t="s">
        <v>6685</v>
      </c>
      <c r="E1979" s="7" t="s">
        <v>15492</v>
      </c>
      <c r="F1979" s="7" t="s">
        <v>3977</v>
      </c>
      <c r="G1979" s="7" t="s">
        <v>15493</v>
      </c>
      <c r="H1979" s="7" t="s">
        <v>15494</v>
      </c>
      <c r="I1979" s="119">
        <v>45459.0</v>
      </c>
      <c r="K1979" s="7" t="s">
        <v>419</v>
      </c>
      <c r="L1979" s="7" t="s">
        <v>991</v>
      </c>
      <c r="M1979" s="7" t="s">
        <v>3501</v>
      </c>
      <c r="N1979" s="7" t="s">
        <v>419</v>
      </c>
      <c r="O1979" s="7" t="s">
        <v>19443</v>
      </c>
      <c r="P1979" s="7" t="s">
        <v>1242</v>
      </c>
      <c r="Q1979" s="7" t="s">
        <v>51</v>
      </c>
      <c r="R1979" s="7" t="s">
        <v>20172</v>
      </c>
      <c r="T1979" s="7" t="s">
        <v>6403</v>
      </c>
      <c r="U1979" s="7" t="s">
        <v>3493</v>
      </c>
      <c r="V1979" s="7">
        <v>1.0</v>
      </c>
    </row>
    <row r="1980">
      <c r="A1980" s="7" t="s">
        <v>21888</v>
      </c>
      <c r="B1980" s="7">
        <v>3000077.0</v>
      </c>
      <c r="C1980" s="7" t="s">
        <v>8429</v>
      </c>
      <c r="D1980" s="7" t="s">
        <v>15496</v>
      </c>
      <c r="E1980" s="7" t="s">
        <v>8431</v>
      </c>
      <c r="F1980" s="7" t="s">
        <v>5987</v>
      </c>
      <c r="G1980" s="7" t="s">
        <v>15497</v>
      </c>
      <c r="H1980" s="7" t="s">
        <v>15498</v>
      </c>
      <c r="I1980" s="119">
        <v>45459.0</v>
      </c>
      <c r="K1980" s="7" t="s">
        <v>419</v>
      </c>
      <c r="L1980" s="7" t="s">
        <v>991</v>
      </c>
      <c r="M1980" s="7" t="s">
        <v>3583</v>
      </c>
      <c r="N1980" s="7" t="s">
        <v>419</v>
      </c>
      <c r="O1980" s="7" t="s">
        <v>19432</v>
      </c>
      <c r="P1980" s="7" t="s">
        <v>391</v>
      </c>
      <c r="Q1980" s="7" t="s">
        <v>392</v>
      </c>
      <c r="R1980" s="7" t="s">
        <v>20356</v>
      </c>
      <c r="T1980" s="7" t="s">
        <v>20357</v>
      </c>
      <c r="U1980" s="7" t="s">
        <v>3493</v>
      </c>
      <c r="V1980" s="7">
        <v>1.0</v>
      </c>
    </row>
    <row r="1981">
      <c r="A1981" s="7" t="s">
        <v>21889</v>
      </c>
      <c r="B1981" s="7">
        <v>3000090.0</v>
      </c>
      <c r="C1981" s="7" t="s">
        <v>8564</v>
      </c>
      <c r="D1981" s="7" t="s">
        <v>15500</v>
      </c>
      <c r="E1981" s="7" t="s">
        <v>8566</v>
      </c>
      <c r="F1981" s="7" t="s">
        <v>5522</v>
      </c>
      <c r="G1981" s="7" t="s">
        <v>15501</v>
      </c>
      <c r="H1981" s="7" t="s">
        <v>15502</v>
      </c>
      <c r="I1981" s="119">
        <v>45459.0</v>
      </c>
      <c r="K1981" s="7" t="s">
        <v>3622</v>
      </c>
      <c r="L1981" s="7" t="s">
        <v>991</v>
      </c>
      <c r="M1981" s="7" t="s">
        <v>3531</v>
      </c>
      <c r="N1981" s="7" t="s">
        <v>3622</v>
      </c>
      <c r="O1981" s="7" t="s">
        <v>3622</v>
      </c>
      <c r="P1981" s="7" t="s">
        <v>19521</v>
      </c>
      <c r="T1981" s="7" t="s">
        <v>3624</v>
      </c>
      <c r="U1981" s="7" t="s">
        <v>3493</v>
      </c>
      <c r="V1981" s="7">
        <v>1.0</v>
      </c>
    </row>
    <row r="1982">
      <c r="A1982" s="7" t="s">
        <v>21890</v>
      </c>
      <c r="B1982" s="7">
        <v>3000009.0</v>
      </c>
      <c r="C1982" s="7" t="s">
        <v>15504</v>
      </c>
      <c r="D1982" s="7" t="s">
        <v>15505</v>
      </c>
      <c r="E1982" s="7" t="s">
        <v>15506</v>
      </c>
      <c r="F1982" s="7" t="s">
        <v>15507</v>
      </c>
      <c r="G1982" s="7" t="s">
        <v>15508</v>
      </c>
      <c r="H1982" s="7" t="s">
        <v>15509</v>
      </c>
      <c r="I1982" s="119">
        <v>45459.0</v>
      </c>
      <c r="K1982" s="7" t="s">
        <v>419</v>
      </c>
      <c r="L1982" s="7" t="s">
        <v>991</v>
      </c>
      <c r="M1982" s="7" t="s">
        <v>3501</v>
      </c>
      <c r="N1982" s="7" t="s">
        <v>419</v>
      </c>
      <c r="O1982" s="7" t="s">
        <v>19443</v>
      </c>
      <c r="P1982" s="7" t="s">
        <v>1242</v>
      </c>
      <c r="Q1982" s="7" t="s">
        <v>51</v>
      </c>
      <c r="R1982" s="7" t="s">
        <v>19549</v>
      </c>
      <c r="S1982" s="7" t="s">
        <v>19550</v>
      </c>
      <c r="T1982" s="7" t="s">
        <v>3752</v>
      </c>
      <c r="U1982" s="7" t="s">
        <v>3493</v>
      </c>
      <c r="V1982" s="7">
        <v>1.0</v>
      </c>
    </row>
    <row r="1983">
      <c r="A1983" s="7" t="s">
        <v>21891</v>
      </c>
      <c r="B1983" s="7">
        <v>3000049.0</v>
      </c>
      <c r="C1983" s="7" t="s">
        <v>15511</v>
      </c>
      <c r="D1983" s="7" t="s">
        <v>15512</v>
      </c>
      <c r="E1983" s="7" t="s">
        <v>9679</v>
      </c>
      <c r="F1983" s="7" t="s">
        <v>15513</v>
      </c>
      <c r="G1983" s="7" t="s">
        <v>15514</v>
      </c>
      <c r="I1983" s="119">
        <v>45459.0</v>
      </c>
      <c r="K1983" s="7" t="s">
        <v>419</v>
      </c>
      <c r="L1983" s="7" t="s">
        <v>991</v>
      </c>
      <c r="M1983" s="7" t="s">
        <v>4644</v>
      </c>
      <c r="N1983" s="7" t="s">
        <v>419</v>
      </c>
      <c r="O1983" s="7" t="s">
        <v>19438</v>
      </c>
      <c r="P1983" s="7" t="s">
        <v>424</v>
      </c>
      <c r="T1983" s="7" t="s">
        <v>4907</v>
      </c>
      <c r="U1983" s="7" t="s">
        <v>4908</v>
      </c>
      <c r="V1983" s="7">
        <v>1.0</v>
      </c>
    </row>
    <row r="1984">
      <c r="A1984" s="7" t="s">
        <v>21892</v>
      </c>
      <c r="B1984" s="7">
        <v>3000076.0</v>
      </c>
      <c r="C1984" s="7" t="s">
        <v>15516</v>
      </c>
      <c r="D1984" s="7" t="s">
        <v>15517</v>
      </c>
      <c r="E1984" s="7" t="s">
        <v>15518</v>
      </c>
      <c r="F1984" s="7" t="s">
        <v>4627</v>
      </c>
      <c r="G1984" s="7" t="s">
        <v>15519</v>
      </c>
      <c r="H1984" s="7" t="s">
        <v>15520</v>
      </c>
      <c r="I1984" s="119">
        <v>45459.0</v>
      </c>
      <c r="K1984" s="7" t="s">
        <v>419</v>
      </c>
      <c r="L1984" s="7" t="s">
        <v>991</v>
      </c>
      <c r="M1984" s="7" t="s">
        <v>3501</v>
      </c>
      <c r="N1984" s="7" t="s">
        <v>419</v>
      </c>
      <c r="O1984" s="7" t="s">
        <v>19440</v>
      </c>
      <c r="P1984" s="7" t="s">
        <v>613</v>
      </c>
      <c r="Q1984" s="7" t="s">
        <v>106</v>
      </c>
      <c r="R1984" s="7" t="s">
        <v>19993</v>
      </c>
      <c r="T1984" s="7" t="s">
        <v>5540</v>
      </c>
      <c r="U1984" s="7" t="s">
        <v>3493</v>
      </c>
      <c r="V1984" s="7">
        <v>1.0</v>
      </c>
    </row>
    <row r="1985">
      <c r="A1985" s="7" t="s">
        <v>21893</v>
      </c>
      <c r="B1985" s="7">
        <v>3000075.0</v>
      </c>
      <c r="C1985" s="7" t="s">
        <v>15522</v>
      </c>
      <c r="D1985" s="7" t="s">
        <v>15523</v>
      </c>
      <c r="E1985" s="7" t="s">
        <v>15524</v>
      </c>
      <c r="F1985" s="7" t="s">
        <v>15525</v>
      </c>
      <c r="G1985" s="7" t="s">
        <v>15526</v>
      </c>
      <c r="H1985" s="7" t="s">
        <v>15527</v>
      </c>
      <c r="I1985" s="119">
        <v>45459.0</v>
      </c>
      <c r="K1985" s="7" t="s">
        <v>419</v>
      </c>
      <c r="L1985" s="7" t="s">
        <v>991</v>
      </c>
      <c r="M1985" s="7" t="s">
        <v>3531</v>
      </c>
      <c r="N1985" s="7" t="s">
        <v>419</v>
      </c>
      <c r="O1985" s="7" t="s">
        <v>19430</v>
      </c>
      <c r="P1985" s="7" t="s">
        <v>717</v>
      </c>
      <c r="Q1985" s="7" t="s">
        <v>1163</v>
      </c>
      <c r="R1985" s="7" t="s">
        <v>20110</v>
      </c>
      <c r="S1985" s="7" t="s">
        <v>20111</v>
      </c>
      <c r="T1985" s="7" t="s">
        <v>6084</v>
      </c>
      <c r="U1985" s="7" t="s">
        <v>3493</v>
      </c>
      <c r="V1985" s="7">
        <v>1.0</v>
      </c>
    </row>
    <row r="1986">
      <c r="A1986" s="7" t="s">
        <v>21894</v>
      </c>
      <c r="B1986" s="7">
        <v>3000084.0</v>
      </c>
      <c r="C1986" s="7" t="s">
        <v>15529</v>
      </c>
      <c r="D1986" s="7" t="s">
        <v>15530</v>
      </c>
      <c r="E1986" s="7" t="s">
        <v>15531</v>
      </c>
      <c r="F1986" s="7" t="s">
        <v>4241</v>
      </c>
      <c r="G1986" s="7" t="s">
        <v>15532</v>
      </c>
      <c r="H1986" s="7" t="s">
        <v>15533</v>
      </c>
      <c r="I1986" s="119">
        <v>45459.0</v>
      </c>
      <c r="K1986" s="7" t="s">
        <v>419</v>
      </c>
      <c r="L1986" s="7" t="s">
        <v>991</v>
      </c>
      <c r="M1986" s="7" t="s">
        <v>3531</v>
      </c>
      <c r="N1986" s="7" t="s">
        <v>419</v>
      </c>
      <c r="O1986" s="7" t="s">
        <v>19430</v>
      </c>
      <c r="P1986" s="7" t="s">
        <v>717</v>
      </c>
      <c r="Q1986" s="7" t="s">
        <v>1163</v>
      </c>
      <c r="R1986" s="7" t="s">
        <v>19608</v>
      </c>
      <c r="S1986" s="7" t="s">
        <v>19618</v>
      </c>
      <c r="T1986" s="7" t="s">
        <v>3997</v>
      </c>
      <c r="U1986" s="7" t="s">
        <v>3493</v>
      </c>
      <c r="V1986" s="7">
        <v>1.0</v>
      </c>
    </row>
    <row r="1987">
      <c r="A1987" s="7" t="s">
        <v>21895</v>
      </c>
      <c r="B1987" s="7">
        <v>3000048.0</v>
      </c>
      <c r="C1987" s="7" t="s">
        <v>15535</v>
      </c>
      <c r="D1987" s="7" t="s">
        <v>5074</v>
      </c>
      <c r="E1987" s="7" t="s">
        <v>15536</v>
      </c>
      <c r="F1987" s="7" t="s">
        <v>5074</v>
      </c>
      <c r="G1987" s="7" t="s">
        <v>15537</v>
      </c>
      <c r="I1987" s="119">
        <v>45459.0</v>
      </c>
      <c r="K1987" s="7" t="s">
        <v>419</v>
      </c>
      <c r="L1987" s="7" t="s">
        <v>991</v>
      </c>
      <c r="M1987" s="7" t="s">
        <v>4644</v>
      </c>
      <c r="N1987" s="7" t="s">
        <v>419</v>
      </c>
      <c r="O1987" s="7" t="s">
        <v>19438</v>
      </c>
      <c r="P1987" s="7" t="s">
        <v>420</v>
      </c>
      <c r="T1987" s="7" t="s">
        <v>12210</v>
      </c>
      <c r="U1987" s="7" t="s">
        <v>4908</v>
      </c>
      <c r="V1987" s="7">
        <v>1.0</v>
      </c>
    </row>
    <row r="1988">
      <c r="A1988" s="7" t="s">
        <v>21896</v>
      </c>
      <c r="B1988" s="7">
        <v>3000109.0</v>
      </c>
      <c r="C1988" s="7" t="s">
        <v>3525</v>
      </c>
      <c r="D1988" s="7" t="s">
        <v>15539</v>
      </c>
      <c r="E1988" s="7" t="s">
        <v>3527</v>
      </c>
      <c r="F1988" s="7" t="s">
        <v>6288</v>
      </c>
      <c r="G1988" s="7" t="s">
        <v>15540</v>
      </c>
      <c r="H1988" s="7" t="s">
        <v>15541</v>
      </c>
      <c r="I1988" s="119">
        <v>45474.0</v>
      </c>
      <c r="K1988" s="7" t="s">
        <v>3642</v>
      </c>
      <c r="L1988" s="7" t="s">
        <v>991</v>
      </c>
      <c r="M1988" s="7" t="s">
        <v>3501</v>
      </c>
      <c r="N1988" s="7" t="s">
        <v>3642</v>
      </c>
      <c r="O1988" s="7" t="s">
        <v>3642</v>
      </c>
      <c r="P1988" s="7" t="s">
        <v>19524</v>
      </c>
      <c r="T1988" s="7" t="s">
        <v>3644</v>
      </c>
      <c r="U1988" s="7" t="s">
        <v>3493</v>
      </c>
      <c r="V1988" s="7">
        <v>1.0</v>
      </c>
    </row>
    <row r="1989">
      <c r="A1989" s="7" t="s">
        <v>21897</v>
      </c>
      <c r="B1989" s="7">
        <v>3000132.0</v>
      </c>
      <c r="C1989" s="7" t="s">
        <v>15543</v>
      </c>
      <c r="D1989" s="7" t="s">
        <v>15544</v>
      </c>
      <c r="E1989" s="7" t="s">
        <v>15545</v>
      </c>
      <c r="F1989" s="7" t="s">
        <v>12459</v>
      </c>
      <c r="G1989" s="7" t="s">
        <v>15546</v>
      </c>
      <c r="H1989" s="7" t="s">
        <v>15547</v>
      </c>
      <c r="I1989" s="119">
        <v>45474.0</v>
      </c>
      <c r="K1989" s="7" t="s">
        <v>419</v>
      </c>
      <c r="L1989" s="7" t="s">
        <v>991</v>
      </c>
      <c r="M1989" s="7" t="s">
        <v>3531</v>
      </c>
      <c r="N1989" s="7" t="s">
        <v>419</v>
      </c>
      <c r="O1989" s="7" t="s">
        <v>19432</v>
      </c>
      <c r="P1989" s="7" t="s">
        <v>693</v>
      </c>
      <c r="Q1989" s="7" t="s">
        <v>698</v>
      </c>
      <c r="R1989" s="7" t="s">
        <v>19563</v>
      </c>
      <c r="S1989" s="7" t="s">
        <v>19971</v>
      </c>
      <c r="T1989" s="7" t="s">
        <v>5462</v>
      </c>
      <c r="U1989" s="7" t="s">
        <v>3493</v>
      </c>
      <c r="V1989" s="7">
        <v>1.0</v>
      </c>
    </row>
    <row r="1990">
      <c r="A1990" s="7" t="s">
        <v>21898</v>
      </c>
      <c r="B1990" s="7">
        <v>3000122.0</v>
      </c>
      <c r="C1990" s="7" t="s">
        <v>6098</v>
      </c>
      <c r="D1990" s="7" t="s">
        <v>15549</v>
      </c>
      <c r="E1990" s="7" t="s">
        <v>6100</v>
      </c>
      <c r="F1990" s="7" t="s">
        <v>8243</v>
      </c>
      <c r="G1990" s="7" t="s">
        <v>15550</v>
      </c>
      <c r="H1990" s="7" t="s">
        <v>15551</v>
      </c>
      <c r="I1990" s="119">
        <v>45474.0</v>
      </c>
      <c r="K1990" s="7" t="s">
        <v>4042</v>
      </c>
      <c r="L1990" s="7" t="s">
        <v>991</v>
      </c>
      <c r="M1990" s="7" t="s">
        <v>3531</v>
      </c>
      <c r="N1990" s="7" t="s">
        <v>4042</v>
      </c>
      <c r="O1990" s="7" t="s">
        <v>4042</v>
      </c>
      <c r="P1990" s="7" t="s">
        <v>19632</v>
      </c>
      <c r="T1990" s="7" t="s">
        <v>4044</v>
      </c>
      <c r="U1990" s="7" t="s">
        <v>3493</v>
      </c>
      <c r="V1990" s="7">
        <v>1.0</v>
      </c>
    </row>
    <row r="1991">
      <c r="A1991" s="7" t="s">
        <v>21899</v>
      </c>
      <c r="B1991" s="7">
        <v>3000131.0</v>
      </c>
      <c r="C1991" s="7" t="s">
        <v>15553</v>
      </c>
      <c r="D1991" s="7" t="s">
        <v>5722</v>
      </c>
      <c r="E1991" s="7" t="s">
        <v>15554</v>
      </c>
      <c r="F1991" s="7" t="s">
        <v>13954</v>
      </c>
      <c r="G1991" s="7" t="s">
        <v>15555</v>
      </c>
      <c r="H1991" s="7" t="s">
        <v>15556</v>
      </c>
      <c r="I1991" s="119">
        <v>45474.0</v>
      </c>
      <c r="J1991" s="7" t="s">
        <v>4216</v>
      </c>
      <c r="K1991" s="7" t="s">
        <v>419</v>
      </c>
      <c r="L1991" s="7" t="s">
        <v>991</v>
      </c>
      <c r="M1991" s="7" t="s">
        <v>3501</v>
      </c>
      <c r="N1991" s="7" t="s">
        <v>419</v>
      </c>
      <c r="O1991" s="7" t="s">
        <v>19430</v>
      </c>
      <c r="P1991" s="7" t="s">
        <v>780</v>
      </c>
      <c r="Q1991" s="7" t="s">
        <v>786</v>
      </c>
      <c r="R1991" s="7" t="s">
        <v>19666</v>
      </c>
      <c r="T1991" s="7" t="s">
        <v>4169</v>
      </c>
      <c r="U1991" s="7" t="s">
        <v>3493</v>
      </c>
      <c r="V1991" s="7">
        <v>1.0</v>
      </c>
    </row>
    <row r="1992">
      <c r="A1992" s="7" t="s">
        <v>21900</v>
      </c>
      <c r="B1992" s="7">
        <v>3000101.0</v>
      </c>
      <c r="C1992" s="7" t="s">
        <v>7481</v>
      </c>
      <c r="D1992" s="7" t="s">
        <v>15558</v>
      </c>
      <c r="E1992" s="7" t="s">
        <v>15559</v>
      </c>
      <c r="F1992" s="7" t="s">
        <v>10740</v>
      </c>
      <c r="G1992" s="7" t="s">
        <v>15560</v>
      </c>
      <c r="H1992" s="7" t="s">
        <v>15561</v>
      </c>
      <c r="I1992" s="119">
        <v>45474.0</v>
      </c>
      <c r="K1992" s="7" t="s">
        <v>3622</v>
      </c>
      <c r="L1992" s="7" t="s">
        <v>991</v>
      </c>
      <c r="M1992" s="7" t="s">
        <v>3531</v>
      </c>
      <c r="N1992" s="7" t="s">
        <v>3622</v>
      </c>
      <c r="O1992" s="7" t="s">
        <v>3622</v>
      </c>
      <c r="P1992" s="7" t="s">
        <v>19521</v>
      </c>
      <c r="T1992" s="7" t="s">
        <v>3624</v>
      </c>
      <c r="U1992" s="7" t="s">
        <v>3493</v>
      </c>
      <c r="V1992" s="7">
        <v>1.0</v>
      </c>
    </row>
    <row r="1993">
      <c r="A1993" s="7" t="s">
        <v>21901</v>
      </c>
      <c r="B1993" s="7">
        <v>3000099.0</v>
      </c>
      <c r="C1993" s="7" t="s">
        <v>8127</v>
      </c>
      <c r="D1993" s="7" t="s">
        <v>3506</v>
      </c>
      <c r="E1993" s="7" t="s">
        <v>8074</v>
      </c>
      <c r="F1993" s="7" t="s">
        <v>3508</v>
      </c>
      <c r="G1993" s="7" t="s">
        <v>15563</v>
      </c>
      <c r="H1993" s="7" t="s">
        <v>15564</v>
      </c>
      <c r="I1993" s="119">
        <v>45474.0</v>
      </c>
      <c r="K1993" s="7" t="s">
        <v>419</v>
      </c>
      <c r="L1993" s="7" t="s">
        <v>991</v>
      </c>
      <c r="M1993" s="7" t="s">
        <v>3583</v>
      </c>
      <c r="N1993" s="7" t="s">
        <v>419</v>
      </c>
      <c r="O1993" s="7" t="s">
        <v>19430</v>
      </c>
      <c r="P1993" s="7" t="s">
        <v>717</v>
      </c>
      <c r="Q1993" s="7" t="s">
        <v>725</v>
      </c>
      <c r="R1993" s="7" t="s">
        <v>19501</v>
      </c>
      <c r="S1993" s="7" t="s">
        <v>19726</v>
      </c>
      <c r="T1993" s="7" t="s">
        <v>4400</v>
      </c>
      <c r="U1993" s="7" t="s">
        <v>3493</v>
      </c>
      <c r="V1993" s="7">
        <v>1.0</v>
      </c>
    </row>
    <row r="1994">
      <c r="A1994" s="7" t="s">
        <v>21902</v>
      </c>
      <c r="B1994" s="7">
        <v>3000035.0</v>
      </c>
      <c r="C1994" s="7" t="s">
        <v>8558</v>
      </c>
      <c r="D1994" s="7" t="s">
        <v>15566</v>
      </c>
      <c r="E1994" s="7" t="s">
        <v>8560</v>
      </c>
      <c r="F1994" s="7" t="s">
        <v>11827</v>
      </c>
      <c r="G1994" s="7" t="s">
        <v>15567</v>
      </c>
      <c r="H1994" s="7" t="s">
        <v>15568</v>
      </c>
      <c r="I1994" s="119">
        <v>45474.0</v>
      </c>
      <c r="K1994" s="7" t="s">
        <v>419</v>
      </c>
      <c r="L1994" s="7" t="s">
        <v>991</v>
      </c>
      <c r="M1994" s="7" t="s">
        <v>3501</v>
      </c>
      <c r="N1994" s="7" t="s">
        <v>419</v>
      </c>
      <c r="O1994" s="7" t="s">
        <v>19432</v>
      </c>
      <c r="P1994" s="7" t="s">
        <v>298</v>
      </c>
      <c r="Q1994" s="7" t="s">
        <v>802</v>
      </c>
      <c r="R1994" s="7" t="s">
        <v>21338</v>
      </c>
      <c r="T1994" s="7" t="s">
        <v>12602</v>
      </c>
      <c r="U1994" s="7" t="s">
        <v>3493</v>
      </c>
      <c r="V1994" s="7">
        <v>1.0</v>
      </c>
    </row>
    <row r="1995">
      <c r="A1995" s="7" t="s">
        <v>21903</v>
      </c>
      <c r="B1995" s="7">
        <v>3000106.0</v>
      </c>
      <c r="C1995" s="7" t="s">
        <v>15145</v>
      </c>
      <c r="D1995" s="7" t="s">
        <v>14432</v>
      </c>
      <c r="E1995" s="7" t="s">
        <v>14932</v>
      </c>
      <c r="F1995" s="7" t="s">
        <v>8877</v>
      </c>
      <c r="G1995" s="7" t="s">
        <v>15570</v>
      </c>
      <c r="H1995" s="7" t="s">
        <v>15571</v>
      </c>
      <c r="I1995" s="119">
        <v>45474.0</v>
      </c>
      <c r="K1995" s="7" t="s">
        <v>3642</v>
      </c>
      <c r="L1995" s="7" t="s">
        <v>991</v>
      </c>
      <c r="M1995" s="7" t="s">
        <v>3501</v>
      </c>
      <c r="N1995" s="7" t="s">
        <v>3642</v>
      </c>
      <c r="O1995" s="7" t="s">
        <v>3642</v>
      </c>
      <c r="P1995" s="7" t="s">
        <v>19524</v>
      </c>
      <c r="T1995" s="7" t="s">
        <v>3644</v>
      </c>
      <c r="U1995" s="7" t="s">
        <v>3493</v>
      </c>
      <c r="V1995" s="7">
        <v>1.0</v>
      </c>
    </row>
    <row r="1996">
      <c r="A1996" s="7" t="s">
        <v>21904</v>
      </c>
      <c r="B1996" s="7">
        <v>3000120.0</v>
      </c>
      <c r="C1996" s="7" t="s">
        <v>9078</v>
      </c>
      <c r="D1996" s="7" t="s">
        <v>4982</v>
      </c>
      <c r="E1996" s="7" t="s">
        <v>15573</v>
      </c>
      <c r="F1996" s="7" t="s">
        <v>4984</v>
      </c>
      <c r="G1996" s="7" t="s">
        <v>15574</v>
      </c>
      <c r="H1996" s="7" t="s">
        <v>15575</v>
      </c>
      <c r="I1996" s="119">
        <v>45474.0</v>
      </c>
      <c r="K1996" s="7" t="s">
        <v>419</v>
      </c>
      <c r="L1996" s="7" t="s">
        <v>991</v>
      </c>
      <c r="M1996" s="7" t="s">
        <v>3531</v>
      </c>
      <c r="N1996" s="7" t="s">
        <v>419</v>
      </c>
      <c r="O1996" s="7" t="s">
        <v>19430</v>
      </c>
      <c r="P1996" s="7" t="s">
        <v>717</v>
      </c>
      <c r="Q1996" s="7" t="s">
        <v>720</v>
      </c>
      <c r="R1996" s="7" t="s">
        <v>19626</v>
      </c>
      <c r="S1996" s="7" t="s">
        <v>20158</v>
      </c>
      <c r="T1996" s="7" t="s">
        <v>6330</v>
      </c>
      <c r="U1996" s="7" t="s">
        <v>3493</v>
      </c>
      <c r="V1996" s="7">
        <v>1.0</v>
      </c>
    </row>
    <row r="1997">
      <c r="A1997" s="7" t="s">
        <v>21905</v>
      </c>
      <c r="B1997" s="7">
        <v>3000102.0</v>
      </c>
      <c r="C1997" s="7" t="s">
        <v>15577</v>
      </c>
      <c r="D1997" s="7" t="s">
        <v>15578</v>
      </c>
      <c r="E1997" s="7" t="s">
        <v>15579</v>
      </c>
      <c r="F1997" s="7" t="s">
        <v>15580</v>
      </c>
      <c r="G1997" s="7" t="s">
        <v>15581</v>
      </c>
      <c r="H1997" s="7" t="s">
        <v>15582</v>
      </c>
      <c r="I1997" s="119">
        <v>45474.0</v>
      </c>
      <c r="K1997" s="7" t="s">
        <v>3622</v>
      </c>
      <c r="L1997" s="7" t="s">
        <v>991</v>
      </c>
      <c r="M1997" s="7" t="s">
        <v>3531</v>
      </c>
      <c r="N1997" s="7" t="s">
        <v>3622</v>
      </c>
      <c r="O1997" s="7" t="s">
        <v>3622</v>
      </c>
      <c r="P1997" s="7" t="s">
        <v>19521</v>
      </c>
      <c r="T1997" s="7" t="s">
        <v>3624</v>
      </c>
      <c r="U1997" s="7" t="s">
        <v>3493</v>
      </c>
      <c r="V1997" s="7">
        <v>1.0</v>
      </c>
    </row>
    <row r="1998">
      <c r="A1998" s="7" t="s">
        <v>21906</v>
      </c>
      <c r="B1998" s="7">
        <v>3000127.0</v>
      </c>
      <c r="C1998" s="7" t="s">
        <v>9833</v>
      </c>
      <c r="D1998" s="7" t="s">
        <v>15584</v>
      </c>
      <c r="E1998" s="7" t="s">
        <v>9834</v>
      </c>
      <c r="F1998" s="7" t="s">
        <v>9205</v>
      </c>
      <c r="G1998" s="7" t="s">
        <v>15585</v>
      </c>
      <c r="H1998" s="7" t="s">
        <v>15586</v>
      </c>
      <c r="I1998" s="119">
        <v>45474.0</v>
      </c>
      <c r="K1998" s="7" t="s">
        <v>419</v>
      </c>
      <c r="L1998" s="7" t="s">
        <v>991</v>
      </c>
      <c r="M1998" s="7" t="s">
        <v>3531</v>
      </c>
      <c r="N1998" s="7" t="s">
        <v>419</v>
      </c>
      <c r="O1998" s="7" t="s">
        <v>19443</v>
      </c>
      <c r="P1998" s="7" t="s">
        <v>1242</v>
      </c>
      <c r="Q1998" s="7" t="s">
        <v>51</v>
      </c>
      <c r="R1998" s="7" t="s">
        <v>19549</v>
      </c>
      <c r="S1998" s="7" t="s">
        <v>19668</v>
      </c>
      <c r="T1998" s="7" t="s">
        <v>4176</v>
      </c>
      <c r="U1998" s="7" t="s">
        <v>3493</v>
      </c>
      <c r="V1998" s="7">
        <v>1.0</v>
      </c>
    </row>
    <row r="1999">
      <c r="A1999" s="7" t="s">
        <v>21907</v>
      </c>
      <c r="B1999" s="7">
        <v>3000100.0</v>
      </c>
      <c r="C1999" s="7" t="s">
        <v>15588</v>
      </c>
      <c r="D1999" s="7" t="s">
        <v>15589</v>
      </c>
      <c r="E1999" s="7" t="s">
        <v>15590</v>
      </c>
      <c r="F1999" s="7" t="s">
        <v>4203</v>
      </c>
      <c r="G1999" s="7" t="s">
        <v>15591</v>
      </c>
      <c r="H1999" s="7" t="s">
        <v>15592</v>
      </c>
      <c r="I1999" s="119">
        <v>45474.0</v>
      </c>
      <c r="K1999" s="7" t="s">
        <v>419</v>
      </c>
      <c r="L1999" s="7" t="s">
        <v>991</v>
      </c>
      <c r="M1999" s="7" t="s">
        <v>3501</v>
      </c>
      <c r="N1999" s="7" t="s">
        <v>419</v>
      </c>
      <c r="O1999" s="7" t="s">
        <v>19443</v>
      </c>
      <c r="P1999" s="7" t="s">
        <v>1242</v>
      </c>
      <c r="Q1999" s="7" t="s">
        <v>43</v>
      </c>
      <c r="R1999" s="7" t="s">
        <v>19847</v>
      </c>
      <c r="T1999" s="7" t="s">
        <v>5002</v>
      </c>
      <c r="U1999" s="7" t="s">
        <v>3493</v>
      </c>
      <c r="V1999" s="7">
        <v>1.0</v>
      </c>
    </row>
    <row r="2000">
      <c r="A2000" s="7" t="s">
        <v>21908</v>
      </c>
      <c r="B2000" s="7">
        <v>3000107.0</v>
      </c>
      <c r="C2000" s="7" t="s">
        <v>15595</v>
      </c>
      <c r="D2000" s="7" t="s">
        <v>15596</v>
      </c>
      <c r="E2000" s="7" t="s">
        <v>10092</v>
      </c>
      <c r="F2000" s="7" t="s">
        <v>5155</v>
      </c>
      <c r="G2000" s="7" t="s">
        <v>15597</v>
      </c>
      <c r="H2000" s="7" t="s">
        <v>15598</v>
      </c>
      <c r="I2000" s="119">
        <v>45474.0</v>
      </c>
      <c r="K2000" s="7" t="s">
        <v>3642</v>
      </c>
      <c r="L2000" s="7" t="s">
        <v>991</v>
      </c>
      <c r="M2000" s="7" t="s">
        <v>3501</v>
      </c>
      <c r="N2000" s="7" t="s">
        <v>3642</v>
      </c>
      <c r="O2000" s="7" t="s">
        <v>3642</v>
      </c>
      <c r="P2000" s="7" t="s">
        <v>19524</v>
      </c>
      <c r="T2000" s="7" t="s">
        <v>3644</v>
      </c>
      <c r="U2000" s="7" t="s">
        <v>3493</v>
      </c>
      <c r="V2000" s="7">
        <v>1.0</v>
      </c>
    </row>
    <row r="2001">
      <c r="A2001" s="7" t="s">
        <v>21909</v>
      </c>
      <c r="B2001" s="7">
        <v>3000108.0</v>
      </c>
      <c r="C2001" s="7" t="s">
        <v>15600</v>
      </c>
      <c r="D2001" s="7" t="s">
        <v>15601</v>
      </c>
      <c r="E2001" s="7" t="s">
        <v>15602</v>
      </c>
      <c r="F2001" s="7" t="s">
        <v>15603</v>
      </c>
      <c r="G2001" s="7" t="s">
        <v>15604</v>
      </c>
      <c r="H2001" s="7" t="s">
        <v>15605</v>
      </c>
      <c r="I2001" s="119">
        <v>45474.0</v>
      </c>
      <c r="K2001" s="7" t="s">
        <v>3642</v>
      </c>
      <c r="L2001" s="7" t="s">
        <v>991</v>
      </c>
      <c r="M2001" s="7" t="s">
        <v>3583</v>
      </c>
      <c r="N2001" s="7" t="s">
        <v>3642</v>
      </c>
      <c r="O2001" s="7" t="s">
        <v>3642</v>
      </c>
      <c r="P2001" s="7" t="s">
        <v>19524</v>
      </c>
      <c r="T2001" s="7" t="s">
        <v>3644</v>
      </c>
      <c r="U2001" s="7" t="s">
        <v>3493</v>
      </c>
      <c r="V2001" s="7">
        <v>1.0</v>
      </c>
    </row>
    <row r="2002">
      <c r="A2002" s="7" t="s">
        <v>21910</v>
      </c>
      <c r="B2002" s="7">
        <v>3000124.0</v>
      </c>
      <c r="C2002" s="7" t="s">
        <v>10316</v>
      </c>
      <c r="D2002" s="7" t="s">
        <v>15607</v>
      </c>
      <c r="E2002" s="7" t="s">
        <v>10318</v>
      </c>
      <c r="F2002" s="7" t="s">
        <v>8129</v>
      </c>
      <c r="G2002" s="7" t="s">
        <v>15608</v>
      </c>
      <c r="H2002" s="7" t="s">
        <v>15609</v>
      </c>
      <c r="I2002" s="119">
        <v>45474.0</v>
      </c>
      <c r="K2002" s="7" t="s">
        <v>419</v>
      </c>
      <c r="L2002" s="7" t="s">
        <v>991</v>
      </c>
      <c r="M2002" s="7" t="s">
        <v>3531</v>
      </c>
      <c r="N2002" s="7" t="s">
        <v>419</v>
      </c>
      <c r="O2002" s="7" t="s">
        <v>19433</v>
      </c>
      <c r="P2002" s="7" t="s">
        <v>587</v>
      </c>
      <c r="Q2002" s="7" t="s">
        <v>81</v>
      </c>
      <c r="T2002" s="7" t="s">
        <v>15610</v>
      </c>
      <c r="U2002" s="7" t="s">
        <v>3493</v>
      </c>
      <c r="V2002" s="7">
        <v>1.0</v>
      </c>
    </row>
    <row r="2003">
      <c r="A2003" s="7" t="s">
        <v>21911</v>
      </c>
      <c r="B2003" s="7">
        <v>3000105.0</v>
      </c>
      <c r="C2003" s="7" t="s">
        <v>10548</v>
      </c>
      <c r="D2003" s="7" t="s">
        <v>15612</v>
      </c>
      <c r="E2003" s="7" t="s">
        <v>10550</v>
      </c>
      <c r="F2003" s="7" t="s">
        <v>4032</v>
      </c>
      <c r="G2003" s="7" t="s">
        <v>15613</v>
      </c>
      <c r="H2003" s="7" t="s">
        <v>15614</v>
      </c>
      <c r="I2003" s="119">
        <v>45474.0</v>
      </c>
      <c r="K2003" s="7" t="s">
        <v>3632</v>
      </c>
      <c r="L2003" s="7" t="s">
        <v>991</v>
      </c>
      <c r="M2003" s="7" t="s">
        <v>3531</v>
      </c>
      <c r="N2003" s="7" t="s">
        <v>3632</v>
      </c>
      <c r="O2003" s="7" t="s">
        <v>3632</v>
      </c>
      <c r="P2003" s="7" t="s">
        <v>625</v>
      </c>
      <c r="Q2003" s="7" t="s">
        <v>118</v>
      </c>
      <c r="R2003" s="7" t="s">
        <v>19540</v>
      </c>
      <c r="T2003" s="7" t="s">
        <v>3718</v>
      </c>
      <c r="U2003" s="7" t="s">
        <v>3493</v>
      </c>
      <c r="V2003" s="7">
        <v>1.0</v>
      </c>
    </row>
    <row r="2004">
      <c r="A2004" s="7" t="s">
        <v>21912</v>
      </c>
      <c r="B2004" s="7">
        <v>3000133.0</v>
      </c>
      <c r="C2004" s="7" t="s">
        <v>11019</v>
      </c>
      <c r="D2004" s="7" t="s">
        <v>15616</v>
      </c>
      <c r="E2004" s="7" t="s">
        <v>11020</v>
      </c>
      <c r="F2004" s="7" t="s">
        <v>4084</v>
      </c>
      <c r="G2004" s="7" t="s">
        <v>15617</v>
      </c>
      <c r="H2004" s="7" t="s">
        <v>15618</v>
      </c>
      <c r="I2004" s="119">
        <v>45474.0</v>
      </c>
      <c r="K2004" s="7" t="s">
        <v>419</v>
      </c>
      <c r="L2004" s="7" t="s">
        <v>991</v>
      </c>
      <c r="M2004" s="7" t="s">
        <v>3531</v>
      </c>
      <c r="N2004" s="7" t="s">
        <v>419</v>
      </c>
      <c r="O2004" s="7" t="s">
        <v>19443</v>
      </c>
      <c r="P2004" s="7" t="s">
        <v>1242</v>
      </c>
      <c r="Q2004" s="7" t="s">
        <v>43</v>
      </c>
      <c r="R2004" s="7" t="s">
        <v>19566</v>
      </c>
      <c r="S2004" s="7" t="s">
        <v>19668</v>
      </c>
      <c r="T2004" s="7" t="s">
        <v>13224</v>
      </c>
      <c r="U2004" s="7" t="s">
        <v>3493</v>
      </c>
      <c r="V2004" s="7">
        <v>1.0</v>
      </c>
    </row>
    <row r="2005">
      <c r="A2005" s="7" t="s">
        <v>21913</v>
      </c>
      <c r="B2005" s="7">
        <v>3000093.0</v>
      </c>
      <c r="C2005" s="7" t="s">
        <v>11071</v>
      </c>
      <c r="D2005" s="7" t="s">
        <v>15620</v>
      </c>
      <c r="E2005" s="7" t="s">
        <v>11072</v>
      </c>
      <c r="F2005" s="7" t="s">
        <v>11116</v>
      </c>
      <c r="G2005" s="7" t="s">
        <v>15621</v>
      </c>
      <c r="H2005" s="7" t="s">
        <v>15622</v>
      </c>
      <c r="I2005" s="119">
        <v>45474.0</v>
      </c>
      <c r="K2005" s="7" t="s">
        <v>419</v>
      </c>
      <c r="L2005" s="7" t="s">
        <v>991</v>
      </c>
      <c r="M2005" s="7" t="s">
        <v>3583</v>
      </c>
      <c r="N2005" s="7" t="s">
        <v>419</v>
      </c>
      <c r="O2005" s="7" t="s">
        <v>19430</v>
      </c>
      <c r="P2005" s="7" t="s">
        <v>717</v>
      </c>
      <c r="Q2005" s="7" t="s">
        <v>722</v>
      </c>
      <c r="R2005" s="7" t="s">
        <v>19787</v>
      </c>
      <c r="S2005" s="7" t="s">
        <v>21228</v>
      </c>
      <c r="T2005" s="7" t="s">
        <v>21229</v>
      </c>
      <c r="U2005" s="7" t="s">
        <v>3493</v>
      </c>
      <c r="V2005" s="7">
        <v>1.0</v>
      </c>
    </row>
    <row r="2006">
      <c r="A2006" s="7" t="s">
        <v>21914</v>
      </c>
      <c r="B2006" s="7">
        <v>3000079.0</v>
      </c>
      <c r="C2006" s="7" t="s">
        <v>15624</v>
      </c>
      <c r="D2006" s="7" t="s">
        <v>15625</v>
      </c>
      <c r="E2006" s="7" t="s">
        <v>15626</v>
      </c>
      <c r="F2006" s="7" t="s">
        <v>3656</v>
      </c>
      <c r="G2006" s="7" t="s">
        <v>15627</v>
      </c>
      <c r="H2006" s="7" t="s">
        <v>15628</v>
      </c>
      <c r="I2006" s="119">
        <v>45474.0</v>
      </c>
      <c r="K2006" s="7" t="s">
        <v>419</v>
      </c>
      <c r="L2006" s="7" t="s">
        <v>991</v>
      </c>
      <c r="M2006" s="7" t="s">
        <v>3501</v>
      </c>
      <c r="N2006" s="7" t="s">
        <v>419</v>
      </c>
      <c r="O2006" s="7" t="s">
        <v>19430</v>
      </c>
      <c r="P2006" s="7" t="s">
        <v>780</v>
      </c>
      <c r="Q2006" s="7" t="s">
        <v>786</v>
      </c>
      <c r="R2006" s="7" t="s">
        <v>19666</v>
      </c>
      <c r="T2006" s="7" t="s">
        <v>4169</v>
      </c>
      <c r="U2006" s="7" t="s">
        <v>3493</v>
      </c>
      <c r="V2006" s="7">
        <v>1.0</v>
      </c>
    </row>
    <row r="2007">
      <c r="A2007" s="7" t="s">
        <v>21915</v>
      </c>
      <c r="B2007" s="7">
        <v>3000070.0</v>
      </c>
      <c r="C2007" s="7" t="s">
        <v>15630</v>
      </c>
      <c r="D2007" s="7" t="s">
        <v>15631</v>
      </c>
      <c r="E2007" s="7" t="s">
        <v>15632</v>
      </c>
      <c r="F2007" s="7" t="s">
        <v>11202</v>
      </c>
      <c r="G2007" s="7" t="s">
        <v>15633</v>
      </c>
      <c r="H2007" s="7" t="s">
        <v>15634</v>
      </c>
      <c r="I2007" s="119">
        <v>45474.0</v>
      </c>
      <c r="K2007" s="7" t="s">
        <v>419</v>
      </c>
      <c r="L2007" s="7" t="s">
        <v>991</v>
      </c>
      <c r="M2007" s="7" t="s">
        <v>3501</v>
      </c>
      <c r="N2007" s="7" t="s">
        <v>419</v>
      </c>
      <c r="O2007" s="7" t="s">
        <v>19430</v>
      </c>
      <c r="P2007" s="7" t="s">
        <v>717</v>
      </c>
      <c r="Q2007" s="7" t="s">
        <v>730</v>
      </c>
      <c r="R2007" s="7" t="s">
        <v>20097</v>
      </c>
      <c r="S2007" s="7" t="s">
        <v>20098</v>
      </c>
      <c r="T2007" s="7" t="s">
        <v>6028</v>
      </c>
      <c r="U2007" s="7" t="s">
        <v>3493</v>
      </c>
      <c r="V2007" s="7">
        <v>1.0</v>
      </c>
    </row>
    <row r="2008">
      <c r="A2008" s="7" t="s">
        <v>21916</v>
      </c>
      <c r="B2008" s="7">
        <v>3000121.0</v>
      </c>
      <c r="C2008" s="7" t="s">
        <v>15637</v>
      </c>
      <c r="D2008" s="7" t="s">
        <v>15638</v>
      </c>
      <c r="E2008" s="7" t="s">
        <v>15639</v>
      </c>
      <c r="F2008" s="7" t="s">
        <v>7014</v>
      </c>
      <c r="G2008" s="7" t="s">
        <v>15640</v>
      </c>
      <c r="H2008" s="7" t="s">
        <v>15641</v>
      </c>
      <c r="I2008" s="119">
        <v>45474.0</v>
      </c>
      <c r="K2008" s="7" t="s">
        <v>4042</v>
      </c>
      <c r="L2008" s="7" t="s">
        <v>991</v>
      </c>
      <c r="M2008" s="7" t="s">
        <v>3501</v>
      </c>
      <c r="N2008" s="7" t="s">
        <v>4042</v>
      </c>
      <c r="O2008" s="7" t="s">
        <v>4042</v>
      </c>
      <c r="P2008" s="7" t="s">
        <v>19632</v>
      </c>
      <c r="T2008" s="7" t="s">
        <v>4044</v>
      </c>
      <c r="U2008" s="7" t="s">
        <v>3493</v>
      </c>
      <c r="V2008" s="7">
        <v>1.0</v>
      </c>
    </row>
    <row r="2009">
      <c r="A2009" s="7" t="s">
        <v>21917</v>
      </c>
      <c r="B2009" s="7">
        <v>3000114.0</v>
      </c>
      <c r="C2009" s="7" t="s">
        <v>15643</v>
      </c>
      <c r="D2009" s="7" t="s">
        <v>15644</v>
      </c>
      <c r="E2009" s="7" t="s">
        <v>15645</v>
      </c>
      <c r="F2009" s="7" t="s">
        <v>15646</v>
      </c>
      <c r="G2009" s="7" t="s">
        <v>15647</v>
      </c>
      <c r="H2009" s="7" t="s">
        <v>15648</v>
      </c>
      <c r="I2009" s="119">
        <v>45474.0</v>
      </c>
      <c r="K2009" s="7" t="s">
        <v>419</v>
      </c>
      <c r="L2009" s="7" t="s">
        <v>991</v>
      </c>
      <c r="M2009" s="7" t="s">
        <v>3531</v>
      </c>
      <c r="N2009" s="7" t="s">
        <v>419</v>
      </c>
      <c r="O2009" s="7" t="s">
        <v>19440</v>
      </c>
      <c r="P2009" s="7" t="s">
        <v>3</v>
      </c>
      <c r="T2009" s="7" t="s">
        <v>11515</v>
      </c>
      <c r="U2009" s="7" t="s">
        <v>3493</v>
      </c>
      <c r="V2009" s="7">
        <v>1.0</v>
      </c>
    </row>
    <row r="2010">
      <c r="A2010" s="7" t="s">
        <v>21918</v>
      </c>
      <c r="B2010" s="7">
        <v>3000136.0</v>
      </c>
      <c r="C2010" s="7" t="s">
        <v>12065</v>
      </c>
      <c r="D2010" s="7" t="s">
        <v>5987</v>
      </c>
      <c r="E2010" s="7" t="s">
        <v>12067</v>
      </c>
      <c r="F2010" s="7" t="s">
        <v>5987</v>
      </c>
      <c r="G2010" s="7" t="s">
        <v>15650</v>
      </c>
      <c r="H2010" s="7" t="s">
        <v>15651</v>
      </c>
      <c r="I2010" s="119">
        <v>45474.0</v>
      </c>
      <c r="K2010" s="7" t="s">
        <v>419</v>
      </c>
      <c r="L2010" s="7" t="s">
        <v>991</v>
      </c>
      <c r="M2010" s="7" t="s">
        <v>3583</v>
      </c>
      <c r="N2010" s="7" t="s">
        <v>419</v>
      </c>
      <c r="O2010" s="7" t="s">
        <v>19432</v>
      </c>
      <c r="P2010" s="7" t="s">
        <v>298</v>
      </c>
      <c r="Q2010" s="7" t="s">
        <v>1284</v>
      </c>
      <c r="R2010" s="7" t="s">
        <v>20190</v>
      </c>
      <c r="S2010" s="7" t="s">
        <v>20191</v>
      </c>
      <c r="T2010" s="7" t="s">
        <v>6474</v>
      </c>
      <c r="U2010" s="7" t="s">
        <v>3493</v>
      </c>
      <c r="V2010" s="7">
        <v>1.0</v>
      </c>
    </row>
    <row r="2011">
      <c r="A2011" s="7" t="s">
        <v>21919</v>
      </c>
      <c r="B2011" s="7">
        <v>3000118.0</v>
      </c>
      <c r="C2011" s="7" t="s">
        <v>15654</v>
      </c>
      <c r="D2011" s="7" t="s">
        <v>15655</v>
      </c>
      <c r="E2011" s="7" t="s">
        <v>15656</v>
      </c>
      <c r="F2011" s="7" t="s">
        <v>15657</v>
      </c>
      <c r="G2011" s="7" t="s">
        <v>15658</v>
      </c>
      <c r="H2011" s="7" t="s">
        <v>15659</v>
      </c>
      <c r="I2011" s="119">
        <v>45474.0</v>
      </c>
      <c r="K2011" s="7" t="s">
        <v>419</v>
      </c>
      <c r="L2011" s="7" t="s">
        <v>991</v>
      </c>
      <c r="M2011" s="7" t="s">
        <v>3531</v>
      </c>
      <c r="N2011" s="7" t="s">
        <v>419</v>
      </c>
      <c r="O2011" s="7" t="s">
        <v>19430</v>
      </c>
      <c r="P2011" s="7" t="s">
        <v>717</v>
      </c>
      <c r="Q2011" s="7" t="s">
        <v>722</v>
      </c>
      <c r="R2011" s="7" t="s">
        <v>20209</v>
      </c>
      <c r="S2011" s="7" t="s">
        <v>20210</v>
      </c>
      <c r="T2011" s="7" t="s">
        <v>6569</v>
      </c>
      <c r="U2011" s="7" t="s">
        <v>3493</v>
      </c>
      <c r="V2011" s="7">
        <v>1.0</v>
      </c>
    </row>
    <row r="2012">
      <c r="A2012" s="7" t="s">
        <v>21920</v>
      </c>
      <c r="B2012" s="7">
        <v>3000044.0</v>
      </c>
      <c r="C2012" s="7" t="s">
        <v>15661</v>
      </c>
      <c r="D2012" s="7" t="s">
        <v>15662</v>
      </c>
      <c r="E2012" s="7" t="s">
        <v>15663</v>
      </c>
      <c r="F2012" s="7" t="s">
        <v>15664</v>
      </c>
      <c r="G2012" s="7" t="s">
        <v>15665</v>
      </c>
      <c r="H2012" s="7" t="s">
        <v>15666</v>
      </c>
      <c r="I2012" s="119">
        <v>45474.0</v>
      </c>
      <c r="K2012" s="7" t="s">
        <v>419</v>
      </c>
      <c r="L2012" s="7" t="s">
        <v>991</v>
      </c>
      <c r="M2012" s="7" t="s">
        <v>3501</v>
      </c>
      <c r="N2012" s="7" t="s">
        <v>419</v>
      </c>
      <c r="O2012" s="7" t="s">
        <v>19430</v>
      </c>
      <c r="P2012" s="7" t="s">
        <v>717</v>
      </c>
      <c r="Q2012" s="7" t="s">
        <v>251</v>
      </c>
      <c r="R2012" s="7" t="s">
        <v>19513</v>
      </c>
      <c r="S2012" s="7" t="s">
        <v>20451</v>
      </c>
      <c r="T2012" s="7" t="s">
        <v>7858</v>
      </c>
      <c r="U2012" s="7" t="s">
        <v>3493</v>
      </c>
      <c r="V2012" s="7">
        <v>1.0</v>
      </c>
    </row>
    <row r="2013">
      <c r="A2013" s="7" t="s">
        <v>21921</v>
      </c>
      <c r="B2013" s="7">
        <v>3000112.0</v>
      </c>
      <c r="C2013" s="7" t="s">
        <v>13133</v>
      </c>
      <c r="D2013" s="7" t="s">
        <v>5881</v>
      </c>
      <c r="E2013" s="7" t="s">
        <v>13135</v>
      </c>
      <c r="F2013" s="7" t="s">
        <v>4546</v>
      </c>
      <c r="G2013" s="7" t="s">
        <v>15668</v>
      </c>
      <c r="H2013" s="7" t="s">
        <v>15669</v>
      </c>
      <c r="I2013" s="119">
        <v>45474.0</v>
      </c>
      <c r="K2013" s="7" t="s">
        <v>419</v>
      </c>
      <c r="L2013" s="7" t="s">
        <v>991</v>
      </c>
      <c r="M2013" s="7" t="s">
        <v>3501</v>
      </c>
      <c r="N2013" s="7" t="s">
        <v>419</v>
      </c>
      <c r="O2013" s="7" t="s">
        <v>19440</v>
      </c>
      <c r="P2013" s="7" t="s">
        <v>3</v>
      </c>
      <c r="Q2013" s="7" t="s">
        <v>9</v>
      </c>
      <c r="R2013" s="7" t="s">
        <v>19871</v>
      </c>
      <c r="S2013" s="7" t="s">
        <v>19872</v>
      </c>
      <c r="T2013" s="7" t="s">
        <v>4988</v>
      </c>
      <c r="U2013" s="7" t="s">
        <v>3843</v>
      </c>
      <c r="V2013" s="7">
        <v>1.0</v>
      </c>
    </row>
    <row r="2014">
      <c r="A2014" s="7" t="s">
        <v>21922</v>
      </c>
      <c r="B2014" s="7">
        <v>3000154.0</v>
      </c>
      <c r="C2014" s="7" t="s">
        <v>4452</v>
      </c>
      <c r="D2014" s="7" t="s">
        <v>15672</v>
      </c>
      <c r="E2014" s="7" t="s">
        <v>4454</v>
      </c>
      <c r="F2014" s="7" t="s">
        <v>5203</v>
      </c>
      <c r="G2014" s="7" t="s">
        <v>15673</v>
      </c>
      <c r="H2014" s="7" t="s">
        <v>15674</v>
      </c>
      <c r="I2014" s="119">
        <v>45489.0</v>
      </c>
      <c r="K2014" s="7" t="s">
        <v>4042</v>
      </c>
      <c r="L2014" s="7" t="s">
        <v>991</v>
      </c>
      <c r="M2014" s="7" t="s">
        <v>3866</v>
      </c>
      <c r="N2014" s="7" t="s">
        <v>4042</v>
      </c>
      <c r="O2014" s="7" t="s">
        <v>4042</v>
      </c>
      <c r="P2014" s="7" t="s">
        <v>19632</v>
      </c>
      <c r="T2014" s="7" t="s">
        <v>4044</v>
      </c>
      <c r="U2014" s="7" t="s">
        <v>3493</v>
      </c>
      <c r="V2014" s="7">
        <v>1.0</v>
      </c>
    </row>
    <row r="2015">
      <c r="A2015" s="7" t="s">
        <v>21923</v>
      </c>
      <c r="B2015" s="7">
        <v>3000157.0</v>
      </c>
      <c r="C2015" s="7" t="s">
        <v>15676</v>
      </c>
      <c r="D2015" s="7" t="s">
        <v>13587</v>
      </c>
      <c r="E2015" s="7" t="s">
        <v>15677</v>
      </c>
      <c r="F2015" s="7" t="s">
        <v>5132</v>
      </c>
      <c r="G2015" s="7" t="s">
        <v>15678</v>
      </c>
      <c r="H2015" s="7" t="s">
        <v>15679</v>
      </c>
      <c r="I2015" s="119">
        <v>45489.0</v>
      </c>
      <c r="K2015" s="7" t="s">
        <v>3622</v>
      </c>
      <c r="L2015" s="7" t="s">
        <v>991</v>
      </c>
      <c r="M2015" s="7" t="s">
        <v>3531</v>
      </c>
      <c r="N2015" s="7" t="s">
        <v>3622</v>
      </c>
      <c r="O2015" s="7" t="s">
        <v>3622</v>
      </c>
      <c r="P2015" s="7" t="s">
        <v>19521</v>
      </c>
      <c r="T2015" s="7" t="s">
        <v>3624</v>
      </c>
      <c r="U2015" s="7" t="s">
        <v>3493</v>
      </c>
      <c r="V2015" s="7">
        <v>1.0</v>
      </c>
    </row>
    <row r="2016">
      <c r="A2016" s="7" t="s">
        <v>21924</v>
      </c>
      <c r="B2016" s="7">
        <v>3000142.0</v>
      </c>
      <c r="C2016" s="7" t="s">
        <v>8352</v>
      </c>
      <c r="D2016" s="7" t="s">
        <v>9683</v>
      </c>
      <c r="E2016" s="7" t="s">
        <v>8354</v>
      </c>
      <c r="F2016" s="7" t="s">
        <v>3486</v>
      </c>
      <c r="G2016" s="7" t="s">
        <v>15681</v>
      </c>
      <c r="H2016" s="7" t="s">
        <v>15682</v>
      </c>
      <c r="I2016" s="119">
        <v>45489.0</v>
      </c>
      <c r="K2016" s="7" t="s">
        <v>419</v>
      </c>
      <c r="L2016" s="7" t="s">
        <v>991</v>
      </c>
      <c r="M2016" s="7" t="s">
        <v>3501</v>
      </c>
      <c r="N2016" s="7" t="s">
        <v>419</v>
      </c>
      <c r="O2016" s="7" t="s">
        <v>19432</v>
      </c>
      <c r="P2016" s="7" t="s">
        <v>693</v>
      </c>
      <c r="Q2016" s="7" t="s">
        <v>701</v>
      </c>
      <c r="R2016" s="7" t="s">
        <v>20587</v>
      </c>
      <c r="T2016" s="7" t="s">
        <v>21925</v>
      </c>
      <c r="U2016" s="7" t="s">
        <v>3604</v>
      </c>
      <c r="V2016" s="7">
        <v>1.0</v>
      </c>
    </row>
    <row r="2017">
      <c r="A2017" s="7" t="s">
        <v>21926</v>
      </c>
      <c r="B2017" s="7">
        <v>3000146.0</v>
      </c>
      <c r="C2017" s="7" t="s">
        <v>15686</v>
      </c>
      <c r="D2017" s="7" t="s">
        <v>15687</v>
      </c>
      <c r="E2017" s="7" t="s">
        <v>15688</v>
      </c>
      <c r="F2017" s="7" t="s">
        <v>15689</v>
      </c>
      <c r="G2017" s="7" t="s">
        <v>15690</v>
      </c>
      <c r="H2017" s="7" t="s">
        <v>15691</v>
      </c>
      <c r="I2017" s="119">
        <v>45489.0</v>
      </c>
      <c r="K2017" s="7" t="s">
        <v>419</v>
      </c>
      <c r="L2017" s="7" t="s">
        <v>991</v>
      </c>
      <c r="M2017" s="7" t="s">
        <v>3531</v>
      </c>
      <c r="N2017" s="7" t="s">
        <v>419</v>
      </c>
      <c r="O2017" s="7" t="s">
        <v>19432</v>
      </c>
      <c r="P2017" s="7" t="s">
        <v>391</v>
      </c>
      <c r="Q2017" s="7" t="s">
        <v>399</v>
      </c>
      <c r="R2017" s="7" t="s">
        <v>20194</v>
      </c>
      <c r="T2017" s="7" t="s">
        <v>6534</v>
      </c>
      <c r="U2017" s="7" t="s">
        <v>3493</v>
      </c>
      <c r="V2017" s="7">
        <v>1.0</v>
      </c>
    </row>
    <row r="2018">
      <c r="A2018" s="7" t="s">
        <v>21927</v>
      </c>
      <c r="B2018" s="7">
        <v>3000014.0</v>
      </c>
      <c r="C2018" s="7" t="s">
        <v>9145</v>
      </c>
      <c r="D2018" s="7" t="s">
        <v>15693</v>
      </c>
      <c r="E2018" s="7" t="s">
        <v>9147</v>
      </c>
      <c r="F2018" s="7" t="s">
        <v>5074</v>
      </c>
      <c r="G2018" s="7" t="s">
        <v>15694</v>
      </c>
      <c r="H2018" s="7" t="s">
        <v>15695</v>
      </c>
      <c r="I2018" s="119">
        <v>45489.0</v>
      </c>
      <c r="K2018" s="7" t="s">
        <v>419</v>
      </c>
      <c r="L2018" s="7" t="s">
        <v>991</v>
      </c>
      <c r="M2018" s="7" t="s">
        <v>3490</v>
      </c>
      <c r="N2018" s="7" t="s">
        <v>419</v>
      </c>
      <c r="O2018" s="7" t="s">
        <v>19440</v>
      </c>
      <c r="P2018" s="7" t="s">
        <v>613</v>
      </c>
      <c r="Q2018" s="7" t="s">
        <v>104</v>
      </c>
      <c r="R2018" s="7" t="s">
        <v>19729</v>
      </c>
      <c r="S2018" s="7" t="s">
        <v>19519</v>
      </c>
      <c r="T2018" s="7" t="s">
        <v>12794</v>
      </c>
      <c r="U2018" s="7" t="s">
        <v>3493</v>
      </c>
      <c r="V2018" s="7">
        <v>1.0</v>
      </c>
    </row>
    <row r="2019">
      <c r="A2019" s="7" t="s">
        <v>21928</v>
      </c>
      <c r="B2019" s="7">
        <v>3000156.0</v>
      </c>
      <c r="C2019" s="7" t="s">
        <v>10832</v>
      </c>
      <c r="D2019" s="7" t="s">
        <v>15697</v>
      </c>
      <c r="E2019" s="7" t="s">
        <v>10834</v>
      </c>
      <c r="F2019" s="7" t="s">
        <v>15698</v>
      </c>
      <c r="G2019" s="7" t="s">
        <v>15699</v>
      </c>
      <c r="H2019" s="7" t="s">
        <v>15700</v>
      </c>
      <c r="I2019" s="119">
        <v>45489.0</v>
      </c>
      <c r="K2019" s="7" t="s">
        <v>3642</v>
      </c>
      <c r="L2019" s="7" t="s">
        <v>991</v>
      </c>
      <c r="M2019" s="7" t="s">
        <v>3501</v>
      </c>
      <c r="N2019" s="7" t="s">
        <v>3642</v>
      </c>
      <c r="O2019" s="7" t="s">
        <v>3642</v>
      </c>
      <c r="P2019" s="7" t="s">
        <v>19524</v>
      </c>
      <c r="T2019" s="7" t="s">
        <v>3644</v>
      </c>
      <c r="U2019" s="7" t="s">
        <v>3493</v>
      </c>
      <c r="V2019" s="7">
        <v>1.0</v>
      </c>
    </row>
    <row r="2020">
      <c r="A2020" s="7" t="s">
        <v>21929</v>
      </c>
      <c r="B2020" s="7">
        <v>3000150.0</v>
      </c>
      <c r="C2020" s="7" t="s">
        <v>15702</v>
      </c>
      <c r="D2020" s="7" t="s">
        <v>15703</v>
      </c>
      <c r="E2020" s="7" t="s">
        <v>15704</v>
      </c>
      <c r="F2020" s="7" t="s">
        <v>15705</v>
      </c>
      <c r="G2020" s="7" t="s">
        <v>15706</v>
      </c>
      <c r="H2020" s="7" t="s">
        <v>15707</v>
      </c>
      <c r="I2020" s="119">
        <v>45489.0</v>
      </c>
      <c r="K2020" s="7" t="s">
        <v>419</v>
      </c>
      <c r="L2020" s="7" t="s">
        <v>991</v>
      </c>
      <c r="M2020" s="7" t="s">
        <v>3531</v>
      </c>
      <c r="N2020" s="7" t="s">
        <v>419</v>
      </c>
      <c r="O2020" s="7" t="s">
        <v>19430</v>
      </c>
      <c r="P2020" s="7" t="s">
        <v>717</v>
      </c>
      <c r="Q2020" s="7" t="s">
        <v>720</v>
      </c>
      <c r="R2020" s="7" t="s">
        <v>19834</v>
      </c>
      <c r="S2020" s="7" t="s">
        <v>19835</v>
      </c>
      <c r="T2020" s="7" t="s">
        <v>4811</v>
      </c>
      <c r="U2020" s="7" t="s">
        <v>3493</v>
      </c>
      <c r="V2020" s="7">
        <v>1.0</v>
      </c>
    </row>
    <row r="2021">
      <c r="A2021" s="7" t="s">
        <v>21930</v>
      </c>
      <c r="B2021" s="7">
        <v>3000158.0</v>
      </c>
      <c r="C2021" s="7" t="s">
        <v>15709</v>
      </c>
      <c r="D2021" s="7" t="s">
        <v>5948</v>
      </c>
      <c r="E2021" s="7" t="s">
        <v>15710</v>
      </c>
      <c r="F2021" s="7" t="s">
        <v>4511</v>
      </c>
      <c r="G2021" s="7" t="s">
        <v>15711</v>
      </c>
      <c r="H2021" s="7" t="s">
        <v>15712</v>
      </c>
      <c r="I2021" s="119">
        <v>45489.0</v>
      </c>
      <c r="K2021" s="7" t="s">
        <v>419</v>
      </c>
      <c r="L2021" s="7" t="s">
        <v>991</v>
      </c>
      <c r="M2021" s="7" t="s">
        <v>3531</v>
      </c>
      <c r="N2021" s="7" t="s">
        <v>419</v>
      </c>
      <c r="O2021" s="7" t="s">
        <v>19432</v>
      </c>
      <c r="P2021" s="7" t="s">
        <v>298</v>
      </c>
      <c r="Q2021" s="7" t="s">
        <v>1284</v>
      </c>
      <c r="R2021" s="7" t="s">
        <v>20579</v>
      </c>
      <c r="S2021" s="7" t="s">
        <v>21362</v>
      </c>
      <c r="T2021" s="7" t="s">
        <v>12740</v>
      </c>
      <c r="U2021" s="7" t="s">
        <v>3493</v>
      </c>
      <c r="V2021" s="7">
        <v>1.0</v>
      </c>
    </row>
    <row r="2022">
      <c r="A2022" s="7" t="s">
        <v>21931</v>
      </c>
      <c r="B2022" s="7">
        <v>3000078.0</v>
      </c>
      <c r="C2022" s="7" t="s">
        <v>15714</v>
      </c>
      <c r="D2022" s="7" t="s">
        <v>3578</v>
      </c>
      <c r="E2022" s="7" t="s">
        <v>15715</v>
      </c>
      <c r="F2022" s="7" t="s">
        <v>3580</v>
      </c>
      <c r="G2022" s="7" t="s">
        <v>15716</v>
      </c>
      <c r="H2022" s="7" t="s">
        <v>15717</v>
      </c>
      <c r="I2022" s="119">
        <v>45505.0</v>
      </c>
      <c r="K2022" s="7" t="s">
        <v>419</v>
      </c>
      <c r="L2022" s="7" t="s">
        <v>991</v>
      </c>
      <c r="M2022" s="7" t="s">
        <v>3501</v>
      </c>
      <c r="N2022" s="7" t="s">
        <v>419</v>
      </c>
      <c r="O2022" s="7" t="s">
        <v>19437</v>
      </c>
      <c r="P2022" s="7" t="s">
        <v>478</v>
      </c>
      <c r="Q2022" s="7" t="s">
        <v>487</v>
      </c>
      <c r="R2022" s="7" t="s">
        <v>19982</v>
      </c>
      <c r="S2022" s="7" t="s">
        <v>21498</v>
      </c>
      <c r="T2022" s="7" t="s">
        <v>13478</v>
      </c>
      <c r="U2022" s="7" t="s">
        <v>3843</v>
      </c>
      <c r="V2022" s="7">
        <v>1.0</v>
      </c>
    </row>
    <row r="2023">
      <c r="A2023" s="7" t="s">
        <v>21932</v>
      </c>
      <c r="B2023" s="7">
        <v>3000198.0</v>
      </c>
      <c r="C2023" s="7" t="s">
        <v>15719</v>
      </c>
      <c r="D2023" s="7" t="s">
        <v>15720</v>
      </c>
      <c r="E2023" s="7" t="s">
        <v>3962</v>
      </c>
      <c r="F2023" s="7" t="s">
        <v>15721</v>
      </c>
      <c r="G2023" s="7" t="s">
        <v>15722</v>
      </c>
      <c r="H2023" s="7" t="s">
        <v>15723</v>
      </c>
      <c r="I2023" s="119">
        <v>45505.0</v>
      </c>
      <c r="K2023" s="7" t="s">
        <v>3622</v>
      </c>
      <c r="L2023" s="7" t="s">
        <v>991</v>
      </c>
      <c r="M2023" s="7" t="s">
        <v>3531</v>
      </c>
      <c r="N2023" s="7" t="s">
        <v>3622</v>
      </c>
      <c r="O2023" s="7" t="s">
        <v>3622</v>
      </c>
      <c r="P2023" s="7" t="s">
        <v>19521</v>
      </c>
      <c r="T2023" s="7" t="s">
        <v>3624</v>
      </c>
      <c r="U2023" s="7" t="s">
        <v>3493</v>
      </c>
      <c r="V2023" s="7">
        <v>1.0</v>
      </c>
    </row>
    <row r="2024">
      <c r="A2024" s="7" t="s">
        <v>21933</v>
      </c>
      <c r="B2024" s="7">
        <v>3000194.0</v>
      </c>
      <c r="C2024" s="7" t="s">
        <v>15725</v>
      </c>
      <c r="D2024" s="7" t="s">
        <v>12194</v>
      </c>
      <c r="E2024" s="7" t="s">
        <v>15726</v>
      </c>
      <c r="F2024" s="7" t="s">
        <v>9012</v>
      </c>
      <c r="G2024" s="7" t="s">
        <v>15727</v>
      </c>
      <c r="H2024" s="7" t="s">
        <v>15728</v>
      </c>
      <c r="I2024" s="119">
        <v>45505.0</v>
      </c>
      <c r="K2024" s="7" t="s">
        <v>419</v>
      </c>
      <c r="L2024" s="7" t="s">
        <v>991</v>
      </c>
      <c r="M2024" s="7" t="s">
        <v>3531</v>
      </c>
      <c r="N2024" s="7" t="s">
        <v>419</v>
      </c>
      <c r="O2024" s="7" t="s">
        <v>19430</v>
      </c>
      <c r="P2024" s="7" t="s">
        <v>717</v>
      </c>
      <c r="Q2024" s="7" t="s">
        <v>223</v>
      </c>
      <c r="R2024" s="7" t="s">
        <v>20821</v>
      </c>
      <c r="T2024" s="7" t="s">
        <v>9753</v>
      </c>
      <c r="U2024" s="7" t="s">
        <v>3493</v>
      </c>
      <c r="V2024" s="7">
        <v>1.0</v>
      </c>
    </row>
    <row r="2025">
      <c r="A2025" s="7" t="s">
        <v>21934</v>
      </c>
      <c r="B2025" s="7">
        <v>3000177.0</v>
      </c>
      <c r="C2025" s="7" t="s">
        <v>6188</v>
      </c>
      <c r="D2025" s="7" t="s">
        <v>6571</v>
      </c>
      <c r="E2025" s="7" t="s">
        <v>5752</v>
      </c>
      <c r="F2025" s="7" t="s">
        <v>3909</v>
      </c>
      <c r="G2025" s="7" t="s">
        <v>15730</v>
      </c>
      <c r="H2025" s="7" t="s">
        <v>15731</v>
      </c>
      <c r="I2025" s="119">
        <v>45505.0</v>
      </c>
      <c r="K2025" s="7" t="s">
        <v>3632</v>
      </c>
      <c r="L2025" s="7" t="s">
        <v>991</v>
      </c>
      <c r="M2025" s="7" t="s">
        <v>3501</v>
      </c>
      <c r="N2025" s="7" t="s">
        <v>3632</v>
      </c>
      <c r="O2025" s="7" t="s">
        <v>3632</v>
      </c>
      <c r="P2025" s="7" t="s">
        <v>22</v>
      </c>
      <c r="Q2025" s="7" t="s">
        <v>544</v>
      </c>
      <c r="T2025" s="7" t="s">
        <v>7472</v>
      </c>
      <c r="U2025" s="7" t="s">
        <v>3493</v>
      </c>
      <c r="V2025" s="7">
        <v>1.0</v>
      </c>
    </row>
    <row r="2026">
      <c r="A2026" s="7" t="s">
        <v>21935</v>
      </c>
      <c r="B2026" s="7">
        <v>3000165.0</v>
      </c>
      <c r="C2026" s="7" t="s">
        <v>15734</v>
      </c>
      <c r="D2026" s="7" t="s">
        <v>8812</v>
      </c>
      <c r="E2026" s="7" t="s">
        <v>15735</v>
      </c>
      <c r="F2026" s="7" t="s">
        <v>8278</v>
      </c>
      <c r="G2026" s="7" t="s">
        <v>15736</v>
      </c>
      <c r="H2026" s="7" t="s">
        <v>15737</v>
      </c>
      <c r="I2026" s="119">
        <v>45505.0</v>
      </c>
      <c r="K2026" s="7" t="s">
        <v>419</v>
      </c>
      <c r="L2026" s="7" t="s">
        <v>991</v>
      </c>
      <c r="M2026" s="7" t="s">
        <v>3501</v>
      </c>
      <c r="N2026" s="7" t="s">
        <v>419</v>
      </c>
      <c r="O2026" s="7" t="s">
        <v>19443</v>
      </c>
      <c r="P2026" s="7" t="s">
        <v>323</v>
      </c>
      <c r="Q2026" s="7" t="s">
        <v>819</v>
      </c>
      <c r="R2026" s="7" t="s">
        <v>19778</v>
      </c>
      <c r="S2026" s="7" t="s">
        <v>20387</v>
      </c>
      <c r="T2026" s="7" t="s">
        <v>20388</v>
      </c>
      <c r="U2026" s="7" t="s">
        <v>3493</v>
      </c>
      <c r="V2026" s="7">
        <v>1.0</v>
      </c>
    </row>
    <row r="2027">
      <c r="A2027" s="7" t="s">
        <v>21936</v>
      </c>
      <c r="B2027" s="7">
        <v>3000186.0</v>
      </c>
      <c r="C2027" s="7" t="s">
        <v>7104</v>
      </c>
      <c r="D2027" s="7" t="s">
        <v>15739</v>
      </c>
      <c r="E2027" s="7" t="s">
        <v>7106</v>
      </c>
      <c r="F2027" s="7" t="s">
        <v>12152</v>
      </c>
      <c r="G2027" s="7" t="s">
        <v>15740</v>
      </c>
      <c r="H2027" s="7" t="s">
        <v>15741</v>
      </c>
      <c r="I2027" s="119">
        <v>45505.0</v>
      </c>
      <c r="K2027" s="7" t="s">
        <v>419</v>
      </c>
      <c r="L2027" s="7" t="s">
        <v>991</v>
      </c>
      <c r="M2027" s="7" t="s">
        <v>3531</v>
      </c>
      <c r="N2027" s="7" t="s">
        <v>419</v>
      </c>
      <c r="O2027" s="7" t="s">
        <v>19430</v>
      </c>
      <c r="P2027" s="7" t="s">
        <v>717</v>
      </c>
      <c r="Q2027" s="7" t="s">
        <v>738</v>
      </c>
      <c r="R2027" s="7" t="s">
        <v>19574</v>
      </c>
      <c r="S2027" s="7" t="s">
        <v>19920</v>
      </c>
      <c r="T2027" s="7" t="s">
        <v>10314</v>
      </c>
      <c r="U2027" s="7" t="s">
        <v>3493</v>
      </c>
      <c r="V2027" s="7">
        <v>1.0</v>
      </c>
    </row>
    <row r="2028">
      <c r="A2028" s="7" t="s">
        <v>21937</v>
      </c>
      <c r="B2028" s="7">
        <v>3000180.0</v>
      </c>
      <c r="C2028" s="7" t="s">
        <v>7368</v>
      </c>
      <c r="D2028" s="7" t="s">
        <v>15743</v>
      </c>
      <c r="E2028" s="7" t="s">
        <v>7370</v>
      </c>
      <c r="F2028" s="7" t="s">
        <v>4158</v>
      </c>
      <c r="G2028" s="7" t="s">
        <v>15744</v>
      </c>
      <c r="H2028" s="7" t="s">
        <v>15745</v>
      </c>
      <c r="I2028" s="119">
        <v>45505.0</v>
      </c>
      <c r="K2028" s="7" t="s">
        <v>3632</v>
      </c>
      <c r="L2028" s="7" t="s">
        <v>991</v>
      </c>
      <c r="M2028" s="7" t="s">
        <v>3531</v>
      </c>
      <c r="N2028" s="7" t="s">
        <v>3632</v>
      </c>
      <c r="O2028" s="7" t="s">
        <v>3632</v>
      </c>
      <c r="P2028" s="7" t="s">
        <v>625</v>
      </c>
      <c r="Q2028" s="7" t="s">
        <v>118</v>
      </c>
      <c r="R2028" s="7" t="s">
        <v>20202</v>
      </c>
      <c r="T2028" s="7" t="s">
        <v>12942</v>
      </c>
      <c r="U2028" s="7" t="s">
        <v>3493</v>
      </c>
      <c r="V2028" s="7">
        <v>1.0</v>
      </c>
    </row>
    <row r="2029">
      <c r="A2029" s="7" t="s">
        <v>21938</v>
      </c>
      <c r="B2029" s="7">
        <v>3000185.0</v>
      </c>
      <c r="C2029" s="7" t="s">
        <v>7853</v>
      </c>
      <c r="D2029" s="7" t="s">
        <v>15747</v>
      </c>
      <c r="E2029" s="7" t="s">
        <v>7854</v>
      </c>
      <c r="F2029" s="7" t="s">
        <v>9205</v>
      </c>
      <c r="G2029" s="7" t="s">
        <v>15748</v>
      </c>
      <c r="H2029" s="7" t="s">
        <v>15749</v>
      </c>
      <c r="I2029" s="119">
        <v>45505.0</v>
      </c>
      <c r="K2029" s="7" t="s">
        <v>419</v>
      </c>
      <c r="L2029" s="7" t="s">
        <v>991</v>
      </c>
      <c r="M2029" s="7" t="s">
        <v>3531</v>
      </c>
      <c r="N2029" s="7" t="s">
        <v>419</v>
      </c>
      <c r="O2029" s="7" t="s">
        <v>19430</v>
      </c>
      <c r="P2029" s="7" t="s">
        <v>717</v>
      </c>
      <c r="Q2029" s="7" t="s">
        <v>730</v>
      </c>
      <c r="R2029" s="7" t="s">
        <v>19979</v>
      </c>
      <c r="S2029" s="7" t="s">
        <v>19636</v>
      </c>
      <c r="T2029" s="7" t="s">
        <v>8584</v>
      </c>
      <c r="U2029" s="7" t="s">
        <v>3493</v>
      </c>
      <c r="V2029" s="7">
        <v>1.0</v>
      </c>
    </row>
    <row r="2030">
      <c r="A2030" s="7" t="s">
        <v>21939</v>
      </c>
      <c r="B2030" s="7">
        <v>3000082.0</v>
      </c>
      <c r="C2030" s="7" t="s">
        <v>8336</v>
      </c>
      <c r="D2030" s="7" t="s">
        <v>15751</v>
      </c>
      <c r="E2030" s="7" t="s">
        <v>8338</v>
      </c>
      <c r="F2030" s="7" t="s">
        <v>8194</v>
      </c>
      <c r="G2030" s="7" t="s">
        <v>15752</v>
      </c>
      <c r="H2030" s="7" t="s">
        <v>15753</v>
      </c>
      <c r="I2030" s="119">
        <v>45505.0</v>
      </c>
      <c r="K2030" s="7" t="s">
        <v>419</v>
      </c>
      <c r="L2030" s="7" t="s">
        <v>991</v>
      </c>
      <c r="M2030" s="7" t="s">
        <v>3490</v>
      </c>
      <c r="N2030" s="7" t="s">
        <v>419</v>
      </c>
      <c r="O2030" s="7" t="s">
        <v>19440</v>
      </c>
      <c r="P2030" s="7" t="s">
        <v>3</v>
      </c>
      <c r="Q2030" s="7" t="s">
        <v>4</v>
      </c>
      <c r="R2030" s="7" t="s">
        <v>20991</v>
      </c>
      <c r="S2030" s="7" t="s">
        <v>21283</v>
      </c>
      <c r="T2030" s="7" t="s">
        <v>12312</v>
      </c>
      <c r="U2030" s="7" t="s">
        <v>3493</v>
      </c>
      <c r="V2030" s="7">
        <v>1.0</v>
      </c>
    </row>
    <row r="2031">
      <c r="A2031" s="7" t="s">
        <v>21940</v>
      </c>
      <c r="B2031" s="7">
        <v>3000181.0</v>
      </c>
      <c r="C2031" s="7" t="s">
        <v>8429</v>
      </c>
      <c r="D2031" s="7" t="s">
        <v>15755</v>
      </c>
      <c r="E2031" s="7" t="s">
        <v>8431</v>
      </c>
      <c r="F2031" s="7" t="s">
        <v>15756</v>
      </c>
      <c r="G2031" s="7" t="s">
        <v>15757</v>
      </c>
      <c r="H2031" s="7" t="s">
        <v>15758</v>
      </c>
      <c r="I2031" s="119">
        <v>45505.0</v>
      </c>
      <c r="K2031" s="7" t="s">
        <v>419</v>
      </c>
      <c r="L2031" s="7" t="s">
        <v>991</v>
      </c>
      <c r="M2031" s="7" t="s">
        <v>3531</v>
      </c>
      <c r="N2031" s="7" t="s">
        <v>419</v>
      </c>
      <c r="O2031" s="7" t="s">
        <v>19432</v>
      </c>
      <c r="P2031" s="7" t="s">
        <v>298</v>
      </c>
      <c r="Q2031" s="7" t="s">
        <v>1284</v>
      </c>
      <c r="R2031" s="7" t="s">
        <v>20190</v>
      </c>
      <c r="S2031" s="7" t="s">
        <v>20220</v>
      </c>
      <c r="T2031" s="7" t="s">
        <v>9604</v>
      </c>
      <c r="U2031" s="7" t="s">
        <v>3493</v>
      </c>
      <c r="V2031" s="7">
        <v>1.0</v>
      </c>
    </row>
    <row r="2032">
      <c r="A2032" s="7" t="s">
        <v>21941</v>
      </c>
      <c r="B2032" s="7">
        <v>3000179.0</v>
      </c>
      <c r="C2032" s="7" t="s">
        <v>15760</v>
      </c>
      <c r="D2032" s="7" t="s">
        <v>5383</v>
      </c>
      <c r="E2032" s="7" t="s">
        <v>15761</v>
      </c>
      <c r="F2032" s="7" t="s">
        <v>3486</v>
      </c>
      <c r="G2032" s="7" t="s">
        <v>15762</v>
      </c>
      <c r="H2032" s="7" t="s">
        <v>15763</v>
      </c>
      <c r="I2032" s="119">
        <v>45505.0</v>
      </c>
      <c r="K2032" s="7" t="s">
        <v>3632</v>
      </c>
      <c r="L2032" s="7" t="s">
        <v>991</v>
      </c>
      <c r="M2032" s="7" t="s">
        <v>3501</v>
      </c>
      <c r="N2032" s="7" t="s">
        <v>3632</v>
      </c>
      <c r="O2032" s="7" t="s">
        <v>3632</v>
      </c>
      <c r="P2032" s="7" t="s">
        <v>625</v>
      </c>
      <c r="Q2032" s="7" t="s">
        <v>118</v>
      </c>
      <c r="R2032" s="7" t="s">
        <v>19768</v>
      </c>
      <c r="T2032" s="7" t="s">
        <v>4577</v>
      </c>
      <c r="U2032" s="7" t="s">
        <v>3493</v>
      </c>
      <c r="V2032" s="7">
        <v>1.0</v>
      </c>
    </row>
    <row r="2033">
      <c r="A2033" s="7" t="s">
        <v>21942</v>
      </c>
      <c r="B2033" s="7">
        <v>3000134.0</v>
      </c>
      <c r="C2033" s="7" t="s">
        <v>9606</v>
      </c>
      <c r="D2033" s="7" t="s">
        <v>15765</v>
      </c>
      <c r="E2033" s="7" t="s">
        <v>9572</v>
      </c>
      <c r="F2033" s="7" t="s">
        <v>6859</v>
      </c>
      <c r="G2033" s="7" t="s">
        <v>15766</v>
      </c>
      <c r="H2033" s="7" t="s">
        <v>15767</v>
      </c>
      <c r="I2033" s="119">
        <v>45505.0</v>
      </c>
      <c r="K2033" s="7" t="s">
        <v>419</v>
      </c>
      <c r="L2033" s="7" t="s">
        <v>991</v>
      </c>
      <c r="M2033" s="7" t="s">
        <v>3501</v>
      </c>
      <c r="N2033" s="7" t="s">
        <v>419</v>
      </c>
      <c r="O2033" s="7" t="s">
        <v>19430</v>
      </c>
      <c r="P2033" s="7" t="s">
        <v>780</v>
      </c>
      <c r="Q2033" s="7" t="s">
        <v>786</v>
      </c>
      <c r="R2033" s="7" t="s">
        <v>19666</v>
      </c>
      <c r="T2033" s="7" t="s">
        <v>4169</v>
      </c>
      <c r="U2033" s="7" t="s">
        <v>3493</v>
      </c>
      <c r="V2033" s="7">
        <v>1.0</v>
      </c>
    </row>
    <row r="2034">
      <c r="A2034" s="7" t="s">
        <v>21943</v>
      </c>
      <c r="B2034" s="7">
        <v>3000138.0</v>
      </c>
      <c r="C2034" s="7" t="s">
        <v>10164</v>
      </c>
      <c r="D2034" s="7" t="s">
        <v>15769</v>
      </c>
      <c r="E2034" s="7" t="s">
        <v>10166</v>
      </c>
      <c r="F2034" s="7" t="s">
        <v>15770</v>
      </c>
      <c r="G2034" s="7" t="s">
        <v>15771</v>
      </c>
      <c r="H2034" s="7" t="s">
        <v>15772</v>
      </c>
      <c r="I2034" s="119">
        <v>45505.0</v>
      </c>
      <c r="K2034" s="7" t="s">
        <v>3622</v>
      </c>
      <c r="L2034" s="7" t="s">
        <v>991</v>
      </c>
      <c r="M2034" s="7" t="s">
        <v>3501</v>
      </c>
      <c r="N2034" s="7" t="s">
        <v>3622</v>
      </c>
      <c r="O2034" s="7" t="s">
        <v>3622</v>
      </c>
      <c r="P2034" s="7" t="s">
        <v>19521</v>
      </c>
      <c r="T2034" s="7" t="s">
        <v>3624</v>
      </c>
      <c r="U2034" s="7" t="s">
        <v>3493</v>
      </c>
      <c r="V2034" s="7">
        <v>1.0</v>
      </c>
    </row>
    <row r="2035">
      <c r="A2035" s="7" t="s">
        <v>21944</v>
      </c>
      <c r="B2035" s="7">
        <v>3000164.0</v>
      </c>
      <c r="C2035" s="7" t="s">
        <v>12410</v>
      </c>
      <c r="D2035" s="7" t="s">
        <v>15774</v>
      </c>
      <c r="E2035" s="7" t="s">
        <v>12412</v>
      </c>
      <c r="F2035" s="7" t="s">
        <v>4960</v>
      </c>
      <c r="G2035" s="7" t="s">
        <v>15775</v>
      </c>
      <c r="H2035" s="7" t="s">
        <v>15776</v>
      </c>
      <c r="I2035" s="119">
        <v>45505.0</v>
      </c>
      <c r="K2035" s="7" t="s">
        <v>419</v>
      </c>
      <c r="L2035" s="7" t="s">
        <v>991</v>
      </c>
      <c r="M2035" s="7" t="s">
        <v>3501</v>
      </c>
      <c r="N2035" s="7" t="s">
        <v>419</v>
      </c>
      <c r="O2035" s="7" t="s">
        <v>19437</v>
      </c>
      <c r="P2035" s="7" t="s">
        <v>478</v>
      </c>
      <c r="Q2035" s="7" t="s">
        <v>491</v>
      </c>
      <c r="R2035" s="7" t="s">
        <v>20339</v>
      </c>
      <c r="T2035" s="7" t="s">
        <v>15801</v>
      </c>
      <c r="U2035" s="7" t="s">
        <v>3493</v>
      </c>
      <c r="V2035" s="7">
        <v>1.0</v>
      </c>
    </row>
    <row r="2036">
      <c r="A2036" s="7" t="s">
        <v>21945</v>
      </c>
      <c r="B2036" s="7">
        <v>3000187.0</v>
      </c>
      <c r="C2036" s="7" t="s">
        <v>15779</v>
      </c>
      <c r="D2036" s="7" t="s">
        <v>5956</v>
      </c>
      <c r="E2036" s="7" t="s">
        <v>3714</v>
      </c>
      <c r="F2036" s="7" t="s">
        <v>4687</v>
      </c>
      <c r="G2036" s="7" t="s">
        <v>15780</v>
      </c>
      <c r="H2036" s="7" t="s">
        <v>15781</v>
      </c>
      <c r="I2036" s="119">
        <v>45505.0</v>
      </c>
      <c r="K2036" s="7" t="s">
        <v>3642</v>
      </c>
      <c r="L2036" s="7" t="s">
        <v>991</v>
      </c>
      <c r="M2036" s="7" t="s">
        <v>3501</v>
      </c>
      <c r="N2036" s="7" t="s">
        <v>3642</v>
      </c>
      <c r="O2036" s="7" t="s">
        <v>3642</v>
      </c>
      <c r="P2036" s="7" t="s">
        <v>19524</v>
      </c>
      <c r="T2036" s="7" t="s">
        <v>3644</v>
      </c>
      <c r="U2036" s="7" t="s">
        <v>3493</v>
      </c>
      <c r="V2036" s="7">
        <v>1.0</v>
      </c>
    </row>
    <row r="2037">
      <c r="A2037" s="7" t="s">
        <v>21946</v>
      </c>
      <c r="B2037" s="7">
        <v>3000183.0</v>
      </c>
      <c r="C2037" s="7" t="s">
        <v>15783</v>
      </c>
      <c r="D2037" s="7" t="s">
        <v>8975</v>
      </c>
      <c r="E2037" s="7" t="s">
        <v>15784</v>
      </c>
      <c r="F2037" s="7" t="s">
        <v>4967</v>
      </c>
      <c r="G2037" s="7" t="s">
        <v>15785</v>
      </c>
      <c r="H2037" s="7" t="s">
        <v>15786</v>
      </c>
      <c r="I2037" s="119">
        <v>45505.0</v>
      </c>
      <c r="K2037" s="7" t="s">
        <v>3622</v>
      </c>
      <c r="L2037" s="7" t="s">
        <v>991</v>
      </c>
      <c r="M2037" s="7" t="s">
        <v>3531</v>
      </c>
      <c r="N2037" s="7" t="s">
        <v>3622</v>
      </c>
      <c r="O2037" s="7" t="s">
        <v>3622</v>
      </c>
      <c r="P2037" s="7" t="s">
        <v>19521</v>
      </c>
      <c r="T2037" s="7" t="s">
        <v>3624</v>
      </c>
      <c r="U2037" s="7" t="s">
        <v>3493</v>
      </c>
      <c r="V2037" s="7">
        <v>1.0</v>
      </c>
    </row>
    <row r="2038">
      <c r="A2038" s="7" t="s">
        <v>21947</v>
      </c>
      <c r="B2038" s="7">
        <v>3000192.0</v>
      </c>
      <c r="C2038" s="7" t="s">
        <v>12965</v>
      </c>
      <c r="D2038" s="7" t="s">
        <v>15788</v>
      </c>
      <c r="E2038" s="7" t="s">
        <v>12966</v>
      </c>
      <c r="F2038" s="7" t="s">
        <v>15789</v>
      </c>
      <c r="G2038" s="7" t="s">
        <v>15790</v>
      </c>
      <c r="H2038" s="7" t="s">
        <v>15791</v>
      </c>
      <c r="I2038" s="119">
        <v>45505.0</v>
      </c>
      <c r="K2038" s="7" t="s">
        <v>419</v>
      </c>
      <c r="L2038" s="7" t="s">
        <v>991</v>
      </c>
      <c r="M2038" s="7" t="s">
        <v>3531</v>
      </c>
      <c r="N2038" s="7" t="s">
        <v>419</v>
      </c>
      <c r="O2038" s="7" t="s">
        <v>19432</v>
      </c>
      <c r="P2038" s="7" t="s">
        <v>298</v>
      </c>
      <c r="Q2038" s="7" t="s">
        <v>798</v>
      </c>
      <c r="T2038" s="7" t="s">
        <v>5274</v>
      </c>
      <c r="U2038" s="7" t="s">
        <v>3493</v>
      </c>
      <c r="V2038" s="7">
        <v>1.0</v>
      </c>
    </row>
    <row r="2039">
      <c r="A2039" s="7" t="s">
        <v>21948</v>
      </c>
      <c r="B2039" s="7">
        <v>3000184.0</v>
      </c>
      <c r="C2039" s="7" t="s">
        <v>13569</v>
      </c>
      <c r="D2039" s="7" t="s">
        <v>15793</v>
      </c>
      <c r="E2039" s="7" t="s">
        <v>13571</v>
      </c>
      <c r="F2039" s="7" t="s">
        <v>5514</v>
      </c>
      <c r="G2039" s="7" t="s">
        <v>15794</v>
      </c>
      <c r="H2039" s="7" t="s">
        <v>15795</v>
      </c>
      <c r="I2039" s="119">
        <v>45505.0</v>
      </c>
      <c r="K2039" s="7" t="s">
        <v>419</v>
      </c>
      <c r="L2039" s="7" t="s">
        <v>991</v>
      </c>
      <c r="M2039" s="7" t="s">
        <v>3531</v>
      </c>
      <c r="N2039" s="7" t="s">
        <v>419</v>
      </c>
      <c r="O2039" s="7" t="s">
        <v>19432</v>
      </c>
      <c r="P2039" s="7" t="s">
        <v>693</v>
      </c>
      <c r="Q2039" s="7" t="s">
        <v>698</v>
      </c>
      <c r="R2039" s="7" t="s">
        <v>20004</v>
      </c>
      <c r="S2039" s="7" t="s">
        <v>19820</v>
      </c>
      <c r="T2039" s="7" t="s">
        <v>5606</v>
      </c>
      <c r="U2039" s="7" t="s">
        <v>3493</v>
      </c>
      <c r="V2039" s="7">
        <v>1.0</v>
      </c>
    </row>
    <row r="2040">
      <c r="A2040" s="7" t="s">
        <v>21949</v>
      </c>
      <c r="B2040" s="7">
        <v>3000129.0</v>
      </c>
      <c r="C2040" s="7" t="s">
        <v>13605</v>
      </c>
      <c r="D2040" s="7" t="s">
        <v>15797</v>
      </c>
      <c r="E2040" s="7" t="s">
        <v>13607</v>
      </c>
      <c r="F2040" s="7" t="s">
        <v>15798</v>
      </c>
      <c r="G2040" s="7" t="s">
        <v>15799</v>
      </c>
      <c r="H2040" s="7" t="s">
        <v>15800</v>
      </c>
      <c r="I2040" s="119">
        <v>45505.0</v>
      </c>
      <c r="K2040" s="7" t="s">
        <v>419</v>
      </c>
      <c r="L2040" s="7" t="s">
        <v>991</v>
      </c>
      <c r="M2040" s="7" t="s">
        <v>3501</v>
      </c>
      <c r="N2040" s="7" t="s">
        <v>419</v>
      </c>
      <c r="O2040" s="7" t="s">
        <v>19437</v>
      </c>
      <c r="P2040" s="7" t="s">
        <v>478</v>
      </c>
      <c r="Q2040" s="7" t="s">
        <v>491</v>
      </c>
      <c r="R2040" s="7" t="s">
        <v>20339</v>
      </c>
      <c r="T2040" s="7" t="s">
        <v>15801</v>
      </c>
      <c r="U2040" s="7" t="s">
        <v>3493</v>
      </c>
      <c r="V2040" s="7">
        <v>1.0</v>
      </c>
    </row>
    <row r="2041">
      <c r="A2041" s="7" t="s">
        <v>21950</v>
      </c>
      <c r="B2041" s="7">
        <v>3000215.0</v>
      </c>
      <c r="C2041" s="7" t="s">
        <v>13801</v>
      </c>
      <c r="D2041" s="7" t="s">
        <v>15803</v>
      </c>
      <c r="E2041" s="7" t="s">
        <v>13803</v>
      </c>
      <c r="F2041" s="7" t="s">
        <v>15803</v>
      </c>
      <c r="G2041" s="7" t="s">
        <v>15804</v>
      </c>
      <c r="H2041" s="7" t="s">
        <v>15805</v>
      </c>
      <c r="I2041" s="119">
        <v>45536.0</v>
      </c>
      <c r="K2041" s="7" t="s">
        <v>419</v>
      </c>
      <c r="L2041" s="7" t="s">
        <v>991</v>
      </c>
      <c r="M2041" s="7" t="s">
        <v>3501</v>
      </c>
      <c r="N2041" s="7" t="s">
        <v>419</v>
      </c>
      <c r="O2041" s="7" t="s">
        <v>19430</v>
      </c>
      <c r="P2041" s="7" t="s">
        <v>780</v>
      </c>
      <c r="Q2041" s="7" t="s">
        <v>284</v>
      </c>
      <c r="R2041" s="7" t="s">
        <v>19606</v>
      </c>
      <c r="T2041" s="7" t="s">
        <v>3958</v>
      </c>
      <c r="U2041" s="7" t="s">
        <v>3493</v>
      </c>
      <c r="V2041" s="7">
        <v>1.0</v>
      </c>
    </row>
    <row r="2042">
      <c r="A2042" s="7" t="s">
        <v>21951</v>
      </c>
      <c r="B2042" s="7">
        <v>3000193.0</v>
      </c>
      <c r="C2042" s="7" t="s">
        <v>13857</v>
      </c>
      <c r="D2042" s="7" t="s">
        <v>15808</v>
      </c>
      <c r="E2042" s="7" t="s">
        <v>13853</v>
      </c>
      <c r="F2042" s="7" t="s">
        <v>14591</v>
      </c>
      <c r="G2042" s="7" t="s">
        <v>15809</v>
      </c>
      <c r="H2042" s="7" t="s">
        <v>15810</v>
      </c>
      <c r="I2042" s="119">
        <v>45505.0</v>
      </c>
      <c r="K2042" s="7" t="s">
        <v>419</v>
      </c>
      <c r="L2042" s="7" t="s">
        <v>991</v>
      </c>
      <c r="M2042" s="7" t="s">
        <v>3531</v>
      </c>
      <c r="N2042" s="7" t="s">
        <v>419</v>
      </c>
      <c r="O2042" s="7" t="s">
        <v>19432</v>
      </c>
      <c r="P2042" s="7" t="s">
        <v>298</v>
      </c>
      <c r="Q2042" s="7" t="s">
        <v>1284</v>
      </c>
      <c r="T2042" s="7" t="s">
        <v>15811</v>
      </c>
      <c r="U2042" s="7" t="s">
        <v>3493</v>
      </c>
      <c r="V2042" s="7">
        <v>1.0</v>
      </c>
    </row>
    <row r="2043">
      <c r="A2043" s="7" t="s">
        <v>21952</v>
      </c>
      <c r="B2043" s="7">
        <v>3000211.0</v>
      </c>
      <c r="C2043" s="7" t="s">
        <v>3969</v>
      </c>
      <c r="D2043" s="7" t="s">
        <v>15282</v>
      </c>
      <c r="E2043" s="7" t="s">
        <v>3970</v>
      </c>
      <c r="F2043" s="7" t="s">
        <v>6806</v>
      </c>
      <c r="G2043" s="7" t="s">
        <v>15813</v>
      </c>
      <c r="H2043" s="7" t="s">
        <v>15814</v>
      </c>
      <c r="I2043" s="119">
        <v>45520.0</v>
      </c>
      <c r="K2043" s="7" t="s">
        <v>3642</v>
      </c>
      <c r="L2043" s="7" t="s">
        <v>991</v>
      </c>
      <c r="M2043" s="7" t="s">
        <v>3501</v>
      </c>
      <c r="N2043" s="7" t="s">
        <v>3642</v>
      </c>
      <c r="O2043" s="7" t="s">
        <v>3642</v>
      </c>
      <c r="P2043" s="7" t="s">
        <v>19524</v>
      </c>
      <c r="T2043" s="7" t="s">
        <v>3644</v>
      </c>
      <c r="U2043" s="7" t="s">
        <v>3493</v>
      </c>
      <c r="V2043" s="7">
        <v>1.0</v>
      </c>
    </row>
    <row r="2044">
      <c r="A2044" s="7" t="s">
        <v>21953</v>
      </c>
      <c r="B2044" s="7">
        <v>3000170.0</v>
      </c>
      <c r="C2044" s="7" t="s">
        <v>4502</v>
      </c>
      <c r="D2044" s="7" t="s">
        <v>15816</v>
      </c>
      <c r="E2044" s="7" t="s">
        <v>4504</v>
      </c>
      <c r="F2044" s="7" t="s">
        <v>6467</v>
      </c>
      <c r="G2044" s="7" t="s">
        <v>15817</v>
      </c>
      <c r="H2044" s="7" t="s">
        <v>15818</v>
      </c>
      <c r="I2044" s="119">
        <v>45520.0</v>
      </c>
      <c r="K2044" s="7" t="s">
        <v>419</v>
      </c>
      <c r="L2044" s="7" t="s">
        <v>991</v>
      </c>
      <c r="M2044" s="7" t="s">
        <v>3501</v>
      </c>
      <c r="N2044" s="7" t="s">
        <v>419</v>
      </c>
      <c r="O2044" s="7" t="s">
        <v>19433</v>
      </c>
      <c r="P2044" s="7" t="s">
        <v>587</v>
      </c>
      <c r="Q2044" s="7" t="s">
        <v>74</v>
      </c>
      <c r="R2044" s="7" t="s">
        <v>19721</v>
      </c>
      <c r="T2044" s="7" t="s">
        <v>10691</v>
      </c>
      <c r="U2044" s="7" t="s">
        <v>3493</v>
      </c>
      <c r="V2044" s="7">
        <v>1.0</v>
      </c>
    </row>
    <row r="2045">
      <c r="A2045" s="7" t="s">
        <v>21954</v>
      </c>
      <c r="B2045" s="7">
        <v>3000160.0</v>
      </c>
      <c r="C2045" s="7" t="s">
        <v>15821</v>
      </c>
      <c r="D2045" s="7" t="s">
        <v>15822</v>
      </c>
      <c r="E2045" s="7" t="s">
        <v>15823</v>
      </c>
      <c r="F2045" s="7" t="s">
        <v>8834</v>
      </c>
      <c r="G2045" s="7" t="s">
        <v>15824</v>
      </c>
      <c r="H2045" s="7" t="s">
        <v>15825</v>
      </c>
      <c r="I2045" s="119">
        <v>45520.0</v>
      </c>
      <c r="K2045" s="7" t="s">
        <v>419</v>
      </c>
      <c r="L2045" s="7" t="s">
        <v>991</v>
      </c>
      <c r="M2045" s="7" t="s">
        <v>3501</v>
      </c>
      <c r="N2045" s="7" t="s">
        <v>419</v>
      </c>
      <c r="O2045" s="7" t="s">
        <v>19430</v>
      </c>
      <c r="P2045" s="7" t="s">
        <v>780</v>
      </c>
      <c r="Q2045" s="7" t="s">
        <v>786</v>
      </c>
      <c r="R2045" s="7" t="s">
        <v>20558</v>
      </c>
      <c r="T2045" s="7" t="s">
        <v>16162</v>
      </c>
      <c r="U2045" s="7" t="s">
        <v>3493</v>
      </c>
      <c r="V2045" s="7">
        <v>1.0</v>
      </c>
    </row>
    <row r="2046">
      <c r="A2046" s="7" t="s">
        <v>21955</v>
      </c>
      <c r="B2046" s="7">
        <v>3000203.0</v>
      </c>
      <c r="C2046" s="7" t="s">
        <v>15827</v>
      </c>
      <c r="D2046" s="7" t="s">
        <v>15828</v>
      </c>
      <c r="E2046" s="7" t="s">
        <v>15829</v>
      </c>
      <c r="F2046" s="7" t="s">
        <v>3889</v>
      </c>
      <c r="G2046" s="7" t="s">
        <v>15830</v>
      </c>
      <c r="H2046" s="7" t="s">
        <v>15831</v>
      </c>
      <c r="I2046" s="119">
        <v>45520.0</v>
      </c>
      <c r="K2046" s="7" t="s">
        <v>419</v>
      </c>
      <c r="L2046" s="7" t="s">
        <v>991</v>
      </c>
      <c r="M2046" s="7" t="s">
        <v>3501</v>
      </c>
      <c r="N2046" s="7" t="s">
        <v>419</v>
      </c>
      <c r="O2046" s="7" t="s">
        <v>19430</v>
      </c>
      <c r="P2046" s="7" t="s">
        <v>717</v>
      </c>
      <c r="Q2046" s="7" t="s">
        <v>251</v>
      </c>
      <c r="R2046" s="7" t="s">
        <v>19513</v>
      </c>
      <c r="S2046" s="7" t="s">
        <v>19514</v>
      </c>
      <c r="T2046" s="7" t="s">
        <v>3594</v>
      </c>
      <c r="U2046" s="7" t="s">
        <v>3493</v>
      </c>
      <c r="V2046" s="7">
        <v>1.0</v>
      </c>
    </row>
    <row r="2047">
      <c r="A2047" s="7" t="s">
        <v>21956</v>
      </c>
      <c r="B2047" s="7">
        <v>3000212.0</v>
      </c>
      <c r="C2047" s="7" t="s">
        <v>8429</v>
      </c>
      <c r="D2047" s="7" t="s">
        <v>15833</v>
      </c>
      <c r="E2047" s="7" t="s">
        <v>8431</v>
      </c>
      <c r="F2047" s="7" t="s">
        <v>12435</v>
      </c>
      <c r="G2047" s="7" t="s">
        <v>15834</v>
      </c>
      <c r="H2047" s="7" t="s">
        <v>15835</v>
      </c>
      <c r="I2047" s="119">
        <v>45520.0</v>
      </c>
      <c r="K2047" s="7" t="s">
        <v>419</v>
      </c>
      <c r="L2047" s="7" t="s">
        <v>991</v>
      </c>
      <c r="M2047" s="7" t="s">
        <v>3531</v>
      </c>
      <c r="N2047" s="7" t="s">
        <v>419</v>
      </c>
      <c r="O2047" s="7" t="s">
        <v>19430</v>
      </c>
      <c r="P2047" s="7" t="s">
        <v>717</v>
      </c>
      <c r="Q2047" s="7" t="s">
        <v>223</v>
      </c>
      <c r="R2047" s="7" t="s">
        <v>19764</v>
      </c>
      <c r="S2047" s="7" t="s">
        <v>20036</v>
      </c>
      <c r="T2047" s="7" t="s">
        <v>5756</v>
      </c>
      <c r="U2047" s="7" t="s">
        <v>3493</v>
      </c>
      <c r="V2047" s="7">
        <v>1.0</v>
      </c>
    </row>
    <row r="2048">
      <c r="A2048" s="7" t="s">
        <v>21957</v>
      </c>
      <c r="B2048" s="7">
        <v>3000207.0</v>
      </c>
      <c r="C2048" s="7" t="s">
        <v>15837</v>
      </c>
      <c r="D2048" s="7" t="s">
        <v>15838</v>
      </c>
      <c r="E2048" s="7" t="s">
        <v>8294</v>
      </c>
      <c r="F2048" s="7" t="s">
        <v>4144</v>
      </c>
      <c r="G2048" s="7" t="s">
        <v>15839</v>
      </c>
      <c r="H2048" s="7" t="s">
        <v>15840</v>
      </c>
      <c r="I2048" s="119">
        <v>45520.0</v>
      </c>
      <c r="K2048" s="7" t="s">
        <v>3632</v>
      </c>
      <c r="L2048" s="7" t="s">
        <v>991</v>
      </c>
      <c r="M2048" s="7" t="s">
        <v>3583</v>
      </c>
      <c r="N2048" s="7" t="s">
        <v>3632</v>
      </c>
      <c r="O2048" s="7" t="s">
        <v>3632</v>
      </c>
      <c r="P2048" s="7" t="s">
        <v>429</v>
      </c>
      <c r="Q2048" s="7" t="s">
        <v>436</v>
      </c>
      <c r="R2048" s="7" t="s">
        <v>19708</v>
      </c>
      <c r="T2048" s="7" t="s">
        <v>4325</v>
      </c>
      <c r="U2048" s="7" t="s">
        <v>3493</v>
      </c>
      <c r="V2048" s="7">
        <v>1.0</v>
      </c>
    </row>
    <row r="2049">
      <c r="A2049" s="7" t="s">
        <v>21958</v>
      </c>
      <c r="B2049" s="7">
        <v>3000218.0</v>
      </c>
      <c r="C2049" s="7" t="s">
        <v>15843</v>
      </c>
      <c r="D2049" s="7" t="s">
        <v>15844</v>
      </c>
      <c r="E2049" s="7" t="s">
        <v>15845</v>
      </c>
      <c r="F2049" s="7" t="s">
        <v>15846</v>
      </c>
      <c r="G2049" s="7" t="s">
        <v>15847</v>
      </c>
      <c r="H2049" s="7" t="s">
        <v>15848</v>
      </c>
      <c r="I2049" s="119">
        <v>45520.0</v>
      </c>
      <c r="K2049" s="7" t="s">
        <v>6439</v>
      </c>
      <c r="L2049" s="7" t="s">
        <v>991</v>
      </c>
      <c r="M2049" s="7" t="s">
        <v>3531</v>
      </c>
      <c r="N2049" s="7" t="s">
        <v>6439</v>
      </c>
      <c r="O2049" s="7" t="s">
        <v>6439</v>
      </c>
      <c r="P2049" s="7" t="s">
        <v>20181</v>
      </c>
      <c r="T2049" s="7" t="s">
        <v>6441</v>
      </c>
      <c r="U2049" s="7" t="s">
        <v>3493</v>
      </c>
      <c r="V2049" s="7">
        <v>1.0</v>
      </c>
    </row>
    <row r="2050">
      <c r="A2050" s="7" t="s">
        <v>21959</v>
      </c>
      <c r="B2050" s="7">
        <v>3000219.0</v>
      </c>
      <c r="C2050" s="7" t="s">
        <v>15843</v>
      </c>
      <c r="D2050" s="7" t="s">
        <v>15850</v>
      </c>
      <c r="E2050" s="7" t="s">
        <v>15845</v>
      </c>
      <c r="F2050" s="7" t="s">
        <v>15846</v>
      </c>
      <c r="G2050" s="7" t="s">
        <v>15851</v>
      </c>
      <c r="H2050" s="7" t="s">
        <v>15852</v>
      </c>
      <c r="I2050" s="119">
        <v>45520.0</v>
      </c>
      <c r="K2050" s="7" t="s">
        <v>419</v>
      </c>
      <c r="L2050" s="7" t="s">
        <v>991</v>
      </c>
      <c r="M2050" s="7" t="s">
        <v>3531</v>
      </c>
      <c r="N2050" s="7" t="s">
        <v>419</v>
      </c>
      <c r="O2050" s="7" t="s">
        <v>19443</v>
      </c>
      <c r="P2050" s="7" t="s">
        <v>323</v>
      </c>
      <c r="Q2050" s="7" t="s">
        <v>324</v>
      </c>
      <c r="T2050" s="7" t="s">
        <v>7948</v>
      </c>
      <c r="U2050" s="7" t="s">
        <v>3493</v>
      </c>
      <c r="V2050" s="7">
        <v>1.0</v>
      </c>
    </row>
    <row r="2051">
      <c r="A2051" s="7" t="s">
        <v>21960</v>
      </c>
      <c r="B2051" s="7">
        <v>3000216.0</v>
      </c>
      <c r="C2051" s="7" t="s">
        <v>13801</v>
      </c>
      <c r="D2051" s="7" t="s">
        <v>6650</v>
      </c>
      <c r="E2051" s="7" t="s">
        <v>13803</v>
      </c>
      <c r="F2051" s="7" t="s">
        <v>3909</v>
      </c>
      <c r="G2051" s="7" t="s">
        <v>15854</v>
      </c>
      <c r="H2051" s="7" t="s">
        <v>15855</v>
      </c>
      <c r="I2051" s="119">
        <v>45520.0</v>
      </c>
      <c r="K2051" s="7" t="s">
        <v>3642</v>
      </c>
      <c r="L2051" s="7" t="s">
        <v>991</v>
      </c>
      <c r="M2051" s="7" t="s">
        <v>3583</v>
      </c>
      <c r="N2051" s="7" t="s">
        <v>3642</v>
      </c>
      <c r="O2051" s="7" t="s">
        <v>3642</v>
      </c>
      <c r="P2051" s="7" t="s">
        <v>19524</v>
      </c>
      <c r="T2051" s="7" t="s">
        <v>3644</v>
      </c>
      <c r="U2051" s="7" t="s">
        <v>3493</v>
      </c>
      <c r="V2051" s="7">
        <v>1.0</v>
      </c>
    </row>
    <row r="2052">
      <c r="A2052" s="7" t="s">
        <v>21961</v>
      </c>
      <c r="B2052" s="7">
        <v>3000244.0</v>
      </c>
      <c r="C2052" s="7" t="s">
        <v>15040</v>
      </c>
      <c r="D2052" s="7" t="s">
        <v>15857</v>
      </c>
      <c r="E2052" s="7" t="s">
        <v>15042</v>
      </c>
      <c r="F2052" s="7" t="s">
        <v>3869</v>
      </c>
      <c r="G2052" s="7" t="s">
        <v>15858</v>
      </c>
      <c r="H2052" s="7" t="s">
        <v>15859</v>
      </c>
      <c r="I2052" s="119">
        <v>45536.0</v>
      </c>
      <c r="K2052" s="7" t="s">
        <v>419</v>
      </c>
      <c r="L2052" s="7" t="s">
        <v>991</v>
      </c>
      <c r="M2052" s="7" t="s">
        <v>3531</v>
      </c>
      <c r="N2052" s="7" t="s">
        <v>419</v>
      </c>
      <c r="O2052" s="7" t="s">
        <v>19433</v>
      </c>
      <c r="P2052" s="7" t="s">
        <v>648</v>
      </c>
      <c r="Q2052" s="7" t="s">
        <v>143</v>
      </c>
      <c r="R2052" s="7" t="s">
        <v>19563</v>
      </c>
      <c r="S2052" s="7" t="s">
        <v>21368</v>
      </c>
      <c r="T2052" s="7" t="s">
        <v>12769</v>
      </c>
      <c r="U2052" s="7" t="s">
        <v>3493</v>
      </c>
      <c r="V2052" s="7">
        <v>1.0</v>
      </c>
    </row>
    <row r="2053">
      <c r="A2053" s="7" t="s">
        <v>21962</v>
      </c>
      <c r="B2053" s="7">
        <v>3000139.0</v>
      </c>
      <c r="C2053" s="7" t="s">
        <v>15861</v>
      </c>
      <c r="D2053" s="7" t="s">
        <v>14555</v>
      </c>
      <c r="E2053" s="7" t="s">
        <v>15862</v>
      </c>
      <c r="F2053" s="7" t="s">
        <v>3714</v>
      </c>
      <c r="G2053" s="7" t="s">
        <v>15863</v>
      </c>
      <c r="H2053" s="7" t="s">
        <v>15864</v>
      </c>
      <c r="I2053" s="119">
        <v>45536.0</v>
      </c>
      <c r="K2053" s="7" t="s">
        <v>419</v>
      </c>
      <c r="L2053" s="7" t="s">
        <v>991</v>
      </c>
      <c r="M2053" s="7" t="s">
        <v>3501</v>
      </c>
      <c r="N2053" s="7" t="s">
        <v>419</v>
      </c>
      <c r="O2053" s="7" t="s">
        <v>19430</v>
      </c>
      <c r="P2053" s="7" t="s">
        <v>717</v>
      </c>
      <c r="Q2053" s="7" t="s">
        <v>730</v>
      </c>
      <c r="R2053" s="7" t="s">
        <v>19961</v>
      </c>
      <c r="S2053" s="7" t="s">
        <v>19962</v>
      </c>
      <c r="T2053" s="7" t="s">
        <v>5412</v>
      </c>
      <c r="U2053" s="7" t="s">
        <v>3493</v>
      </c>
      <c r="V2053" s="7">
        <v>1.0</v>
      </c>
    </row>
    <row r="2054">
      <c r="A2054" s="7" t="s">
        <v>21963</v>
      </c>
      <c r="B2054" s="7">
        <v>3000233.0</v>
      </c>
      <c r="C2054" s="7" t="s">
        <v>8247</v>
      </c>
      <c r="D2054" s="7" t="s">
        <v>15866</v>
      </c>
      <c r="E2054" s="7" t="s">
        <v>8249</v>
      </c>
      <c r="F2054" s="7" t="s">
        <v>15867</v>
      </c>
      <c r="G2054" s="7" t="s">
        <v>15868</v>
      </c>
      <c r="H2054" s="7" t="s">
        <v>15869</v>
      </c>
      <c r="I2054" s="119">
        <v>45536.0</v>
      </c>
      <c r="K2054" s="7" t="s">
        <v>11974</v>
      </c>
      <c r="L2054" s="7" t="s">
        <v>991</v>
      </c>
      <c r="M2054" s="7" t="s">
        <v>3583</v>
      </c>
      <c r="N2054" s="7" t="s">
        <v>11974</v>
      </c>
      <c r="O2054" s="7" t="s">
        <v>11974</v>
      </c>
      <c r="P2054" s="7" t="s">
        <v>465</v>
      </c>
      <c r="Q2054" s="7" t="s">
        <v>466</v>
      </c>
      <c r="T2054" s="7" t="s">
        <v>17097</v>
      </c>
      <c r="U2054" s="7" t="s">
        <v>3493</v>
      </c>
      <c r="V2054" s="7">
        <v>1.0</v>
      </c>
    </row>
    <row r="2055">
      <c r="A2055" s="7" t="s">
        <v>21964</v>
      </c>
      <c r="B2055" s="7">
        <v>3000243.0</v>
      </c>
      <c r="C2055" s="7" t="s">
        <v>15873</v>
      </c>
      <c r="D2055" s="7" t="s">
        <v>15874</v>
      </c>
      <c r="E2055" s="7" t="s">
        <v>15875</v>
      </c>
      <c r="F2055" s="7" t="s">
        <v>15876</v>
      </c>
      <c r="G2055" s="7" t="s">
        <v>15877</v>
      </c>
      <c r="H2055" s="7" t="s">
        <v>15878</v>
      </c>
      <c r="I2055" s="119">
        <v>45536.0</v>
      </c>
      <c r="K2055" s="7" t="s">
        <v>419</v>
      </c>
      <c r="L2055" s="7" t="s">
        <v>991</v>
      </c>
      <c r="M2055" s="7" t="s">
        <v>3531</v>
      </c>
      <c r="N2055" s="7" t="s">
        <v>419</v>
      </c>
      <c r="O2055" s="7" t="s">
        <v>19440</v>
      </c>
      <c r="P2055" s="7" t="s">
        <v>613</v>
      </c>
      <c r="Q2055" s="7" t="s">
        <v>104</v>
      </c>
      <c r="R2055" s="7" t="s">
        <v>21531</v>
      </c>
      <c r="T2055" s="7" t="s">
        <v>13636</v>
      </c>
      <c r="U2055" s="7" t="s">
        <v>3493</v>
      </c>
      <c r="V2055" s="7">
        <v>1.0</v>
      </c>
    </row>
    <row r="2056">
      <c r="A2056" s="7" t="s">
        <v>21965</v>
      </c>
      <c r="B2056" s="7">
        <v>3000225.0</v>
      </c>
      <c r="C2056" s="7" t="s">
        <v>15880</v>
      </c>
      <c r="D2056" s="7" t="s">
        <v>15881</v>
      </c>
      <c r="E2056" s="7" t="s">
        <v>15882</v>
      </c>
      <c r="F2056" s="7" t="s">
        <v>5683</v>
      </c>
      <c r="G2056" s="7" t="s">
        <v>15883</v>
      </c>
      <c r="H2056" s="7" t="s">
        <v>15884</v>
      </c>
      <c r="I2056" s="119">
        <v>45536.0</v>
      </c>
      <c r="K2056" s="7" t="s">
        <v>419</v>
      </c>
      <c r="L2056" s="7" t="s">
        <v>991</v>
      </c>
      <c r="M2056" s="7" t="s">
        <v>3583</v>
      </c>
      <c r="N2056" s="7" t="s">
        <v>419</v>
      </c>
      <c r="O2056" s="7" t="s">
        <v>19430</v>
      </c>
      <c r="P2056" s="7" t="s">
        <v>717</v>
      </c>
      <c r="Q2056" s="7" t="s">
        <v>725</v>
      </c>
      <c r="R2056" s="7" t="s">
        <v>19501</v>
      </c>
      <c r="S2056" s="7" t="s">
        <v>19502</v>
      </c>
      <c r="T2056" s="7" t="s">
        <v>3533</v>
      </c>
      <c r="U2056" s="7" t="s">
        <v>3493</v>
      </c>
      <c r="V2056" s="7">
        <v>1.0</v>
      </c>
    </row>
    <row r="2057">
      <c r="A2057" s="7" t="s">
        <v>21966</v>
      </c>
      <c r="B2057" s="7">
        <v>3000241.0</v>
      </c>
      <c r="C2057" s="7" t="s">
        <v>9570</v>
      </c>
      <c r="D2057" s="7" t="s">
        <v>15886</v>
      </c>
      <c r="E2057" s="7" t="s">
        <v>9572</v>
      </c>
      <c r="F2057" s="7" t="s">
        <v>15887</v>
      </c>
      <c r="G2057" s="7" t="s">
        <v>15888</v>
      </c>
      <c r="H2057" s="7" t="s">
        <v>15889</v>
      </c>
      <c r="I2057" s="119">
        <v>45536.0</v>
      </c>
      <c r="K2057" s="7" t="s">
        <v>15381</v>
      </c>
      <c r="L2057" s="7" t="s">
        <v>991</v>
      </c>
      <c r="M2057" s="7" t="s">
        <v>3531</v>
      </c>
      <c r="N2057" s="7" t="s">
        <v>15381</v>
      </c>
      <c r="O2057" s="7" t="s">
        <v>15381</v>
      </c>
      <c r="P2057" s="7" t="s">
        <v>21865</v>
      </c>
      <c r="T2057" s="7" t="s">
        <v>15383</v>
      </c>
      <c r="U2057" s="7" t="s">
        <v>3493</v>
      </c>
      <c r="V2057" s="7">
        <v>1.0</v>
      </c>
    </row>
    <row r="2058">
      <c r="A2058" s="7" t="s">
        <v>21967</v>
      </c>
      <c r="B2058" s="7">
        <v>3000209.0</v>
      </c>
      <c r="C2058" s="7" t="s">
        <v>9648</v>
      </c>
      <c r="D2058" s="7" t="s">
        <v>15891</v>
      </c>
      <c r="E2058" s="7" t="s">
        <v>9649</v>
      </c>
      <c r="F2058" s="7" t="s">
        <v>8119</v>
      </c>
      <c r="G2058" s="7" t="s">
        <v>15892</v>
      </c>
      <c r="H2058" s="7" t="s">
        <v>15893</v>
      </c>
      <c r="I2058" s="119">
        <v>45520.0</v>
      </c>
      <c r="K2058" s="7" t="s">
        <v>3632</v>
      </c>
      <c r="L2058" s="7" t="s">
        <v>991</v>
      </c>
      <c r="M2058" s="7" t="s">
        <v>3501</v>
      </c>
      <c r="N2058" s="7" t="s">
        <v>3632</v>
      </c>
      <c r="O2058" s="7" t="s">
        <v>3632</v>
      </c>
      <c r="P2058" s="7" t="s">
        <v>625</v>
      </c>
      <c r="Q2058" s="7" t="s">
        <v>118</v>
      </c>
      <c r="R2058" s="7" t="s">
        <v>19768</v>
      </c>
      <c r="T2058" s="7" t="s">
        <v>4577</v>
      </c>
      <c r="U2058" s="7" t="s">
        <v>3493</v>
      </c>
      <c r="V2058" s="7">
        <v>1.0</v>
      </c>
    </row>
    <row r="2059">
      <c r="A2059" s="7" t="s">
        <v>21968</v>
      </c>
      <c r="B2059" s="7">
        <v>3000237.0</v>
      </c>
      <c r="C2059" s="7" t="s">
        <v>15895</v>
      </c>
      <c r="D2059" s="7" t="s">
        <v>15896</v>
      </c>
      <c r="E2059" s="7" t="s">
        <v>15897</v>
      </c>
      <c r="F2059" s="7" t="s">
        <v>4616</v>
      </c>
      <c r="G2059" s="7" t="s">
        <v>15898</v>
      </c>
      <c r="H2059" s="7" t="s">
        <v>15899</v>
      </c>
      <c r="I2059" s="119">
        <v>45536.0</v>
      </c>
      <c r="K2059" s="7" t="s">
        <v>3642</v>
      </c>
      <c r="L2059" s="7" t="s">
        <v>991</v>
      </c>
      <c r="M2059" s="7" t="s">
        <v>3501</v>
      </c>
      <c r="N2059" s="7" t="s">
        <v>3642</v>
      </c>
      <c r="O2059" s="7" t="s">
        <v>3642</v>
      </c>
      <c r="P2059" s="7" t="s">
        <v>19524</v>
      </c>
      <c r="T2059" s="7" t="s">
        <v>3644</v>
      </c>
      <c r="U2059" s="7" t="s">
        <v>3493</v>
      </c>
      <c r="V2059" s="7">
        <v>1.0</v>
      </c>
    </row>
    <row r="2060">
      <c r="A2060" s="7" t="s">
        <v>21969</v>
      </c>
      <c r="B2060" s="7">
        <v>3000239.0</v>
      </c>
      <c r="C2060" s="7" t="s">
        <v>15901</v>
      </c>
      <c r="D2060" s="7" t="s">
        <v>13044</v>
      </c>
      <c r="E2060" s="7" t="s">
        <v>15902</v>
      </c>
      <c r="F2060" s="7" t="s">
        <v>4213</v>
      </c>
      <c r="G2060" s="7" t="s">
        <v>15903</v>
      </c>
      <c r="H2060" s="7" t="s">
        <v>15904</v>
      </c>
      <c r="I2060" s="119">
        <v>45536.0</v>
      </c>
      <c r="K2060" s="7" t="s">
        <v>3642</v>
      </c>
      <c r="L2060" s="7" t="s">
        <v>991</v>
      </c>
      <c r="M2060" s="7" t="s">
        <v>3501</v>
      </c>
      <c r="N2060" s="7" t="s">
        <v>3642</v>
      </c>
      <c r="O2060" s="7" t="s">
        <v>3642</v>
      </c>
      <c r="P2060" s="7" t="s">
        <v>19524</v>
      </c>
      <c r="T2060" s="7" t="s">
        <v>3644</v>
      </c>
      <c r="U2060" s="7" t="s">
        <v>3493</v>
      </c>
      <c r="V2060" s="7">
        <v>1.0</v>
      </c>
    </row>
    <row r="2061">
      <c r="A2061" s="7" t="s">
        <v>21970</v>
      </c>
      <c r="B2061" s="7">
        <v>3000232.0</v>
      </c>
      <c r="C2061" s="7" t="s">
        <v>10782</v>
      </c>
      <c r="D2061" s="7" t="s">
        <v>5962</v>
      </c>
      <c r="E2061" s="7" t="s">
        <v>10784</v>
      </c>
      <c r="F2061" s="7" t="s">
        <v>5723</v>
      </c>
      <c r="G2061" s="7" t="s">
        <v>15906</v>
      </c>
      <c r="H2061" s="7" t="s">
        <v>15907</v>
      </c>
      <c r="I2061" s="119">
        <v>45536.0</v>
      </c>
      <c r="K2061" s="7" t="s">
        <v>4042</v>
      </c>
      <c r="L2061" s="7" t="s">
        <v>991</v>
      </c>
      <c r="M2061" s="7" t="s">
        <v>3501</v>
      </c>
      <c r="N2061" s="7" t="s">
        <v>4042</v>
      </c>
      <c r="O2061" s="7" t="s">
        <v>4042</v>
      </c>
      <c r="P2061" s="7" t="s">
        <v>19632</v>
      </c>
      <c r="T2061" s="7" t="s">
        <v>4044</v>
      </c>
      <c r="U2061" s="7" t="s">
        <v>3493</v>
      </c>
      <c r="V2061" s="7">
        <v>1.0</v>
      </c>
    </row>
    <row r="2062">
      <c r="A2062" s="7" t="s">
        <v>21971</v>
      </c>
      <c r="B2062" s="7">
        <v>3000201.0</v>
      </c>
      <c r="C2062" s="7" t="s">
        <v>15909</v>
      </c>
      <c r="D2062" s="7" t="s">
        <v>15910</v>
      </c>
      <c r="E2062" s="7" t="s">
        <v>15911</v>
      </c>
      <c r="F2062" s="7" t="s">
        <v>15912</v>
      </c>
      <c r="G2062" s="7" t="s">
        <v>15913</v>
      </c>
      <c r="H2062" s="7" t="s">
        <v>15914</v>
      </c>
      <c r="I2062" s="119">
        <v>45536.0</v>
      </c>
      <c r="J2062" s="7" t="s">
        <v>3929</v>
      </c>
      <c r="K2062" s="7" t="s">
        <v>419</v>
      </c>
      <c r="L2062" s="7" t="s">
        <v>991</v>
      </c>
      <c r="M2062" s="7" t="s">
        <v>3501</v>
      </c>
      <c r="N2062" s="7" t="s">
        <v>419</v>
      </c>
      <c r="O2062" s="7" t="s">
        <v>19430</v>
      </c>
      <c r="P2062" s="7" t="s">
        <v>717</v>
      </c>
      <c r="Q2062" s="7" t="s">
        <v>738</v>
      </c>
      <c r="R2062" s="7" t="s">
        <v>19574</v>
      </c>
      <c r="S2062" s="7" t="s">
        <v>19920</v>
      </c>
      <c r="T2062" s="7" t="s">
        <v>10314</v>
      </c>
      <c r="U2062" s="7" t="s">
        <v>3493</v>
      </c>
      <c r="V2062" s="7">
        <v>1.0</v>
      </c>
    </row>
    <row r="2063">
      <c r="A2063" s="7" t="s">
        <v>21972</v>
      </c>
      <c r="B2063" s="7">
        <v>3000240.0</v>
      </c>
      <c r="C2063" s="7" t="s">
        <v>11715</v>
      </c>
      <c r="D2063" s="7" t="s">
        <v>15916</v>
      </c>
      <c r="E2063" s="7" t="s">
        <v>11717</v>
      </c>
      <c r="F2063" s="7" t="s">
        <v>3649</v>
      </c>
      <c r="G2063" s="7" t="s">
        <v>15917</v>
      </c>
      <c r="H2063" s="7" t="s">
        <v>15918</v>
      </c>
      <c r="I2063" s="119">
        <v>45536.0</v>
      </c>
      <c r="K2063" s="7" t="s">
        <v>3642</v>
      </c>
      <c r="L2063" s="7" t="s">
        <v>991</v>
      </c>
      <c r="M2063" s="7" t="s">
        <v>3531</v>
      </c>
      <c r="N2063" s="7" t="s">
        <v>3642</v>
      </c>
      <c r="O2063" s="7" t="s">
        <v>3642</v>
      </c>
      <c r="P2063" s="7" t="s">
        <v>19524</v>
      </c>
      <c r="T2063" s="7" t="s">
        <v>3644</v>
      </c>
      <c r="U2063" s="7" t="s">
        <v>3493</v>
      </c>
      <c r="V2063" s="7">
        <v>1.0</v>
      </c>
    </row>
    <row r="2064">
      <c r="A2064" s="7" t="s">
        <v>21973</v>
      </c>
      <c r="B2064" s="7">
        <v>3000228.0</v>
      </c>
      <c r="C2064" s="7" t="s">
        <v>15920</v>
      </c>
      <c r="D2064" s="7" t="s">
        <v>15921</v>
      </c>
      <c r="E2064" s="7" t="s">
        <v>15922</v>
      </c>
      <c r="F2064" s="7" t="s">
        <v>11599</v>
      </c>
      <c r="G2064" s="7" t="s">
        <v>15923</v>
      </c>
      <c r="H2064" s="7" t="s">
        <v>15924</v>
      </c>
      <c r="I2064" s="119">
        <v>45536.0</v>
      </c>
      <c r="K2064" s="7" t="s">
        <v>3632</v>
      </c>
      <c r="L2064" s="7" t="s">
        <v>991</v>
      </c>
      <c r="M2064" s="7" t="s">
        <v>3531</v>
      </c>
      <c r="N2064" s="7" t="s">
        <v>3632</v>
      </c>
      <c r="O2064" s="7" t="s">
        <v>3632</v>
      </c>
      <c r="P2064" s="7" t="s">
        <v>22</v>
      </c>
      <c r="Q2064" s="7" t="s">
        <v>546</v>
      </c>
      <c r="R2064" s="7" t="s">
        <v>20870</v>
      </c>
      <c r="T2064" s="7" t="s">
        <v>12879</v>
      </c>
      <c r="U2064" s="7" t="s">
        <v>3493</v>
      </c>
      <c r="V2064" s="7">
        <v>1.0</v>
      </c>
    </row>
    <row r="2065">
      <c r="A2065" s="7" t="s">
        <v>21974</v>
      </c>
      <c r="B2065" s="7">
        <v>3000238.0</v>
      </c>
      <c r="C2065" s="7" t="s">
        <v>15019</v>
      </c>
      <c r="D2065" s="7" t="s">
        <v>4676</v>
      </c>
      <c r="E2065" s="7" t="s">
        <v>15021</v>
      </c>
      <c r="F2065" s="7" t="s">
        <v>4677</v>
      </c>
      <c r="G2065" s="7" t="s">
        <v>15926</v>
      </c>
      <c r="H2065" s="7" t="s">
        <v>15927</v>
      </c>
      <c r="I2065" s="119">
        <v>45536.0</v>
      </c>
      <c r="K2065" s="7" t="s">
        <v>3642</v>
      </c>
      <c r="L2065" s="7" t="s">
        <v>991</v>
      </c>
      <c r="M2065" s="7" t="s">
        <v>3501</v>
      </c>
      <c r="N2065" s="7" t="s">
        <v>3642</v>
      </c>
      <c r="O2065" s="7" t="s">
        <v>3642</v>
      </c>
      <c r="P2065" s="7" t="s">
        <v>19524</v>
      </c>
      <c r="T2065" s="7" t="s">
        <v>3644</v>
      </c>
      <c r="U2065" s="7" t="s">
        <v>3493</v>
      </c>
      <c r="V2065" s="7">
        <v>1.0</v>
      </c>
    </row>
    <row r="2066">
      <c r="A2066" s="7" t="s">
        <v>21975</v>
      </c>
      <c r="B2066" s="7">
        <v>3000130.0</v>
      </c>
      <c r="C2066" s="7" t="s">
        <v>15929</v>
      </c>
      <c r="D2066" s="7" t="s">
        <v>15930</v>
      </c>
      <c r="E2066" s="7" t="s">
        <v>15931</v>
      </c>
      <c r="F2066" s="7" t="s">
        <v>13666</v>
      </c>
      <c r="G2066" s="7" t="s">
        <v>15932</v>
      </c>
      <c r="H2066" s="7" t="s">
        <v>15933</v>
      </c>
      <c r="I2066" s="119">
        <v>45536.0</v>
      </c>
      <c r="K2066" s="7" t="s">
        <v>419</v>
      </c>
      <c r="L2066" s="7" t="s">
        <v>991</v>
      </c>
      <c r="M2066" s="7" t="s">
        <v>3501</v>
      </c>
      <c r="N2066" s="7" t="s">
        <v>419</v>
      </c>
      <c r="O2066" s="7" t="s">
        <v>19437</v>
      </c>
      <c r="P2066" s="7" t="s">
        <v>440</v>
      </c>
      <c r="Q2066" s="7" t="s">
        <v>443</v>
      </c>
      <c r="R2066" s="7" t="s">
        <v>21976</v>
      </c>
      <c r="T2066" s="7" t="s">
        <v>19359</v>
      </c>
      <c r="U2066" s="7" t="s">
        <v>3493</v>
      </c>
      <c r="V2066" s="7">
        <v>1.0</v>
      </c>
    </row>
    <row r="2067">
      <c r="A2067" s="7" t="s">
        <v>21977</v>
      </c>
      <c r="B2067" s="7">
        <v>3000230.0</v>
      </c>
      <c r="C2067" s="7" t="s">
        <v>15937</v>
      </c>
      <c r="D2067" s="7" t="s">
        <v>15938</v>
      </c>
      <c r="E2067" s="7" t="s">
        <v>15939</v>
      </c>
      <c r="F2067" s="7" t="s">
        <v>15940</v>
      </c>
      <c r="G2067" s="7" t="s">
        <v>15941</v>
      </c>
      <c r="H2067" s="7" t="s">
        <v>15942</v>
      </c>
      <c r="I2067" s="119">
        <v>45536.0</v>
      </c>
      <c r="K2067" s="7" t="s">
        <v>15381</v>
      </c>
      <c r="L2067" s="7" t="s">
        <v>991</v>
      </c>
      <c r="M2067" s="7" t="s">
        <v>3531</v>
      </c>
      <c r="N2067" s="7" t="s">
        <v>15381</v>
      </c>
      <c r="O2067" s="7" t="s">
        <v>15381</v>
      </c>
      <c r="P2067" s="7" t="s">
        <v>21865</v>
      </c>
      <c r="T2067" s="7" t="s">
        <v>15383</v>
      </c>
      <c r="U2067" s="7" t="s">
        <v>3493</v>
      </c>
      <c r="V2067" s="7">
        <v>1.0</v>
      </c>
    </row>
    <row r="2068">
      <c r="A2068" s="7" t="s">
        <v>21978</v>
      </c>
      <c r="B2068" s="7">
        <v>3000171.0</v>
      </c>
      <c r="C2068" s="7" t="s">
        <v>13898</v>
      </c>
      <c r="D2068" s="7" t="s">
        <v>12892</v>
      </c>
      <c r="E2068" s="7" t="s">
        <v>13900</v>
      </c>
      <c r="F2068" s="7" t="s">
        <v>9184</v>
      </c>
      <c r="G2068" s="7" t="s">
        <v>15944</v>
      </c>
      <c r="H2068" s="7" t="s">
        <v>15945</v>
      </c>
      <c r="I2068" s="119">
        <v>45536.0</v>
      </c>
      <c r="K2068" s="7" t="s">
        <v>419</v>
      </c>
      <c r="L2068" s="7" t="s">
        <v>991</v>
      </c>
      <c r="M2068" s="7" t="s">
        <v>3501</v>
      </c>
      <c r="N2068" s="7" t="s">
        <v>419</v>
      </c>
      <c r="O2068" s="7" t="s">
        <v>19430</v>
      </c>
      <c r="P2068" s="7" t="s">
        <v>717</v>
      </c>
      <c r="Q2068" s="7" t="s">
        <v>725</v>
      </c>
      <c r="R2068" s="7" t="s">
        <v>19621</v>
      </c>
      <c r="S2068" s="7" t="s">
        <v>20968</v>
      </c>
      <c r="T2068" s="7" t="s">
        <v>10578</v>
      </c>
      <c r="U2068" s="7" t="s">
        <v>3493</v>
      </c>
      <c r="V2068" s="7">
        <v>1.0</v>
      </c>
    </row>
    <row r="2069">
      <c r="A2069" s="7" t="s">
        <v>21979</v>
      </c>
      <c r="B2069" s="7">
        <v>3000249.0</v>
      </c>
      <c r="C2069" s="7" t="s">
        <v>15947</v>
      </c>
      <c r="D2069" s="7" t="s">
        <v>7089</v>
      </c>
      <c r="E2069" s="7" t="s">
        <v>15948</v>
      </c>
      <c r="F2069" s="7" t="s">
        <v>6262</v>
      </c>
      <c r="G2069" s="7" t="s">
        <v>15949</v>
      </c>
      <c r="H2069" s="7" t="s">
        <v>15950</v>
      </c>
      <c r="I2069" s="119">
        <v>45551.0</v>
      </c>
      <c r="K2069" s="7" t="s">
        <v>3622</v>
      </c>
      <c r="L2069" s="7" t="s">
        <v>991</v>
      </c>
      <c r="M2069" s="7" t="s">
        <v>3866</v>
      </c>
      <c r="N2069" s="7" t="s">
        <v>3622</v>
      </c>
      <c r="O2069" s="7" t="s">
        <v>3622</v>
      </c>
      <c r="P2069" s="7" t="s">
        <v>19521</v>
      </c>
      <c r="T2069" s="7" t="s">
        <v>3624</v>
      </c>
      <c r="U2069" s="7" t="s">
        <v>3493</v>
      </c>
      <c r="V2069" s="7">
        <v>1.0</v>
      </c>
    </row>
    <row r="2070">
      <c r="A2070" s="7" t="s">
        <v>21980</v>
      </c>
      <c r="B2070" s="7">
        <v>3000255.0</v>
      </c>
      <c r="C2070" s="7" t="s">
        <v>4268</v>
      </c>
      <c r="D2070" s="7" t="s">
        <v>15952</v>
      </c>
      <c r="E2070" s="7" t="s">
        <v>4270</v>
      </c>
      <c r="F2070" s="7" t="s">
        <v>8949</v>
      </c>
      <c r="G2070" s="7" t="s">
        <v>15953</v>
      </c>
      <c r="H2070" s="7" t="s">
        <v>15954</v>
      </c>
      <c r="I2070" s="119">
        <v>45551.0</v>
      </c>
      <c r="K2070" s="7" t="s">
        <v>419</v>
      </c>
      <c r="L2070" s="7" t="s">
        <v>991</v>
      </c>
      <c r="M2070" s="7" t="s">
        <v>3531</v>
      </c>
      <c r="N2070" s="7" t="s">
        <v>419</v>
      </c>
      <c r="O2070" s="7" t="s">
        <v>19430</v>
      </c>
      <c r="P2070" s="7" t="s">
        <v>717</v>
      </c>
      <c r="Q2070" s="7" t="s">
        <v>223</v>
      </c>
      <c r="R2070" s="7" t="s">
        <v>19764</v>
      </c>
      <c r="S2070" s="7" t="s">
        <v>20036</v>
      </c>
      <c r="T2070" s="7" t="s">
        <v>5756</v>
      </c>
      <c r="U2070" s="7" t="s">
        <v>3493</v>
      </c>
      <c r="V2070" s="7">
        <v>1.0</v>
      </c>
    </row>
    <row r="2071">
      <c r="A2071" s="7" t="s">
        <v>21981</v>
      </c>
      <c r="B2071" s="7">
        <v>3000254.0</v>
      </c>
      <c r="C2071" s="7" t="s">
        <v>4387</v>
      </c>
      <c r="D2071" s="7" t="s">
        <v>15956</v>
      </c>
      <c r="E2071" s="7" t="s">
        <v>4389</v>
      </c>
      <c r="F2071" s="7" t="s">
        <v>15957</v>
      </c>
      <c r="G2071" s="7" t="s">
        <v>15958</v>
      </c>
      <c r="H2071" s="7" t="s">
        <v>15959</v>
      </c>
      <c r="I2071" s="119">
        <v>45551.0</v>
      </c>
      <c r="K2071" s="7" t="s">
        <v>419</v>
      </c>
      <c r="L2071" s="7" t="s">
        <v>991</v>
      </c>
      <c r="M2071" s="7" t="s">
        <v>3531</v>
      </c>
      <c r="N2071" s="7" t="s">
        <v>419</v>
      </c>
      <c r="O2071" s="7" t="s">
        <v>19433</v>
      </c>
      <c r="P2071" s="7" t="s">
        <v>648</v>
      </c>
      <c r="Q2071" s="7" t="s">
        <v>148</v>
      </c>
      <c r="R2071" s="7" t="s">
        <v>19544</v>
      </c>
      <c r="T2071" s="7" t="s">
        <v>3734</v>
      </c>
      <c r="U2071" s="7" t="s">
        <v>3493</v>
      </c>
      <c r="V2071" s="7">
        <v>1.0</v>
      </c>
    </row>
    <row r="2072">
      <c r="A2072" s="7" t="s">
        <v>21982</v>
      </c>
      <c r="B2072" s="7">
        <v>3000253.0</v>
      </c>
      <c r="C2072" s="7" t="s">
        <v>4663</v>
      </c>
      <c r="D2072" s="7" t="s">
        <v>15961</v>
      </c>
      <c r="E2072" s="7" t="s">
        <v>4665</v>
      </c>
      <c r="F2072" s="7" t="s">
        <v>10071</v>
      </c>
      <c r="G2072" s="7" t="s">
        <v>15962</v>
      </c>
      <c r="H2072" s="7" t="s">
        <v>15963</v>
      </c>
      <c r="I2072" s="119">
        <v>45551.0</v>
      </c>
      <c r="K2072" s="7" t="s">
        <v>3632</v>
      </c>
      <c r="L2072" s="7" t="s">
        <v>991</v>
      </c>
      <c r="M2072" s="7" t="s">
        <v>3531</v>
      </c>
      <c r="N2072" s="7" t="s">
        <v>3632</v>
      </c>
      <c r="O2072" s="7" t="s">
        <v>3632</v>
      </c>
      <c r="P2072" s="7" t="s">
        <v>625</v>
      </c>
      <c r="Q2072" s="7" t="s">
        <v>626</v>
      </c>
      <c r="R2072" s="7" t="s">
        <v>20083</v>
      </c>
      <c r="T2072" s="7" t="s">
        <v>13868</v>
      </c>
      <c r="U2072" s="7" t="s">
        <v>3493</v>
      </c>
      <c r="V2072" s="7">
        <v>1.0</v>
      </c>
    </row>
    <row r="2073">
      <c r="A2073" s="7" t="s">
        <v>21983</v>
      </c>
      <c r="B2073" s="7">
        <v>3000213.0</v>
      </c>
      <c r="C2073" s="7" t="s">
        <v>15965</v>
      </c>
      <c r="D2073" s="7" t="s">
        <v>3873</v>
      </c>
      <c r="E2073" s="7" t="s">
        <v>15966</v>
      </c>
      <c r="F2073" s="7" t="s">
        <v>3874</v>
      </c>
      <c r="G2073" s="7" t="s">
        <v>15967</v>
      </c>
      <c r="H2073" s="7" t="s">
        <v>15968</v>
      </c>
      <c r="I2073" s="119">
        <v>45551.0</v>
      </c>
      <c r="K2073" s="7" t="s">
        <v>419</v>
      </c>
      <c r="L2073" s="7" t="s">
        <v>991</v>
      </c>
      <c r="M2073" s="7" t="s">
        <v>3501</v>
      </c>
      <c r="N2073" s="7" t="s">
        <v>419</v>
      </c>
      <c r="O2073" s="7" t="s">
        <v>19430</v>
      </c>
      <c r="P2073" s="7" t="s">
        <v>717</v>
      </c>
      <c r="Q2073" s="7" t="s">
        <v>223</v>
      </c>
      <c r="R2073" s="7" t="s">
        <v>20799</v>
      </c>
      <c r="S2073" s="7" t="s">
        <v>20936</v>
      </c>
      <c r="T2073" s="7" t="s">
        <v>10371</v>
      </c>
      <c r="U2073" s="7" t="s">
        <v>3493</v>
      </c>
      <c r="V2073" s="7">
        <v>1.0</v>
      </c>
    </row>
    <row r="2074">
      <c r="A2074" s="7" t="s">
        <v>21984</v>
      </c>
      <c r="B2074" s="7">
        <v>3000251.0</v>
      </c>
      <c r="C2074" s="7" t="s">
        <v>15970</v>
      </c>
      <c r="D2074" s="7" t="s">
        <v>12141</v>
      </c>
      <c r="E2074" s="7" t="s">
        <v>15971</v>
      </c>
      <c r="F2074" s="7" t="s">
        <v>4598</v>
      </c>
      <c r="G2074" s="7" t="s">
        <v>15972</v>
      </c>
      <c r="H2074" s="7" t="s">
        <v>15973</v>
      </c>
      <c r="I2074" s="119">
        <v>45551.0</v>
      </c>
      <c r="K2074" s="7" t="s">
        <v>419</v>
      </c>
      <c r="L2074" s="7" t="s">
        <v>991</v>
      </c>
      <c r="M2074" s="7" t="s">
        <v>3531</v>
      </c>
      <c r="N2074" s="7" t="s">
        <v>419</v>
      </c>
      <c r="O2074" s="7" t="s">
        <v>19430</v>
      </c>
      <c r="P2074" s="7" t="s">
        <v>717</v>
      </c>
      <c r="Q2074" s="7" t="s">
        <v>730</v>
      </c>
      <c r="R2074" s="7" t="s">
        <v>20097</v>
      </c>
      <c r="S2074" s="7" t="s">
        <v>21682</v>
      </c>
      <c r="T2074" s="7" t="s">
        <v>14479</v>
      </c>
      <c r="U2074" s="7" t="s">
        <v>3493</v>
      </c>
      <c r="V2074" s="7">
        <v>1.0</v>
      </c>
    </row>
    <row r="2075">
      <c r="A2075" s="7" t="s">
        <v>21985</v>
      </c>
      <c r="B2075" s="7">
        <v>3000260.0</v>
      </c>
      <c r="C2075" s="7" t="s">
        <v>15975</v>
      </c>
      <c r="D2075" s="7" t="s">
        <v>15976</v>
      </c>
      <c r="E2075" s="7" t="s">
        <v>15977</v>
      </c>
      <c r="F2075" s="7" t="s">
        <v>5155</v>
      </c>
      <c r="G2075" s="7" t="s">
        <v>15978</v>
      </c>
      <c r="H2075" s="7" t="s">
        <v>15979</v>
      </c>
      <c r="I2075" s="119">
        <v>45551.0</v>
      </c>
      <c r="K2075" s="7" t="s">
        <v>419</v>
      </c>
      <c r="L2075" s="7" t="s">
        <v>991</v>
      </c>
      <c r="M2075" s="7" t="s">
        <v>3531</v>
      </c>
      <c r="N2075" s="7" t="s">
        <v>419</v>
      </c>
      <c r="O2075" s="7" t="s">
        <v>19432</v>
      </c>
      <c r="P2075" s="7" t="s">
        <v>298</v>
      </c>
      <c r="Q2075" s="7" t="s">
        <v>1284</v>
      </c>
      <c r="R2075" s="7" t="s">
        <v>20033</v>
      </c>
      <c r="S2075" s="7" t="s">
        <v>20456</v>
      </c>
      <c r="T2075" s="7" t="s">
        <v>7884</v>
      </c>
      <c r="U2075" s="7" t="s">
        <v>3493</v>
      </c>
      <c r="V2075" s="7">
        <v>1.0</v>
      </c>
    </row>
    <row r="2076">
      <c r="A2076" s="7" t="s">
        <v>21986</v>
      </c>
      <c r="B2076" s="7">
        <v>3000264.0</v>
      </c>
      <c r="C2076" s="7" t="s">
        <v>15981</v>
      </c>
      <c r="D2076" s="7" t="s">
        <v>15982</v>
      </c>
      <c r="E2076" s="7" t="s">
        <v>15983</v>
      </c>
      <c r="F2076" s="7" t="s">
        <v>9799</v>
      </c>
      <c r="G2076" s="7" t="s">
        <v>15984</v>
      </c>
      <c r="H2076" s="7" t="s">
        <v>15985</v>
      </c>
      <c r="I2076" s="119">
        <v>45551.0</v>
      </c>
      <c r="K2076" s="7" t="s">
        <v>419</v>
      </c>
      <c r="L2076" s="7" t="s">
        <v>991</v>
      </c>
      <c r="M2076" s="7" t="s">
        <v>3531</v>
      </c>
      <c r="N2076" s="7" t="s">
        <v>419</v>
      </c>
      <c r="O2076" s="7" t="s">
        <v>19432</v>
      </c>
      <c r="P2076" s="7" t="s">
        <v>298</v>
      </c>
      <c r="Q2076" s="7" t="s">
        <v>1284</v>
      </c>
      <c r="R2076" s="7" t="s">
        <v>20190</v>
      </c>
      <c r="S2076" s="7" t="s">
        <v>20220</v>
      </c>
      <c r="T2076" s="7" t="s">
        <v>9604</v>
      </c>
      <c r="U2076" s="7" t="s">
        <v>3493</v>
      </c>
      <c r="V2076" s="7">
        <v>1.0</v>
      </c>
    </row>
    <row r="2077">
      <c r="A2077" s="7" t="s">
        <v>21987</v>
      </c>
      <c r="B2077" s="7">
        <v>3000261.0</v>
      </c>
      <c r="C2077" s="7" t="s">
        <v>15987</v>
      </c>
      <c r="D2077" s="7" t="s">
        <v>15988</v>
      </c>
      <c r="E2077" s="7" t="s">
        <v>15989</v>
      </c>
      <c r="F2077" s="7" t="s">
        <v>15990</v>
      </c>
      <c r="G2077" s="7" t="s">
        <v>15991</v>
      </c>
      <c r="H2077" s="7" t="s">
        <v>15992</v>
      </c>
      <c r="I2077" s="119">
        <v>45551.0</v>
      </c>
      <c r="K2077" s="7" t="s">
        <v>419</v>
      </c>
      <c r="L2077" s="7" t="s">
        <v>991</v>
      </c>
      <c r="M2077" s="7" t="s">
        <v>3583</v>
      </c>
      <c r="N2077" s="7" t="s">
        <v>419</v>
      </c>
      <c r="O2077" s="7" t="s">
        <v>19440</v>
      </c>
      <c r="P2077" s="7" t="s">
        <v>613</v>
      </c>
      <c r="Q2077" s="7" t="s">
        <v>104</v>
      </c>
      <c r="R2077" s="7" t="s">
        <v>19738</v>
      </c>
      <c r="T2077" s="7" t="s">
        <v>6707</v>
      </c>
      <c r="U2077" s="7" t="s">
        <v>3493</v>
      </c>
      <c r="V2077" s="7">
        <v>1.0</v>
      </c>
    </row>
    <row r="2078">
      <c r="A2078" s="7" t="s">
        <v>21988</v>
      </c>
      <c r="B2078" s="7">
        <v>3000265.0</v>
      </c>
      <c r="C2078" s="7" t="s">
        <v>13943</v>
      </c>
      <c r="D2078" s="7" t="s">
        <v>15994</v>
      </c>
      <c r="E2078" s="7" t="s">
        <v>13945</v>
      </c>
      <c r="F2078" s="7" t="s">
        <v>15995</v>
      </c>
      <c r="G2078" s="7" t="s">
        <v>15996</v>
      </c>
      <c r="H2078" s="7" t="s">
        <v>15997</v>
      </c>
      <c r="I2078" s="119">
        <v>45551.0</v>
      </c>
      <c r="K2078" s="7" t="s">
        <v>419</v>
      </c>
      <c r="L2078" s="7" t="s">
        <v>991</v>
      </c>
      <c r="M2078" s="7" t="s">
        <v>3531</v>
      </c>
      <c r="N2078" s="7" t="s">
        <v>419</v>
      </c>
      <c r="O2078" s="7" t="s">
        <v>19432</v>
      </c>
      <c r="P2078" s="7" t="s">
        <v>298</v>
      </c>
      <c r="Q2078" s="7" t="s">
        <v>1284</v>
      </c>
      <c r="R2078" s="7" t="s">
        <v>20190</v>
      </c>
      <c r="S2078" s="7" t="s">
        <v>20191</v>
      </c>
      <c r="T2078" s="7" t="s">
        <v>6474</v>
      </c>
      <c r="U2078" s="7" t="s">
        <v>3493</v>
      </c>
      <c r="V2078" s="7">
        <v>1.0</v>
      </c>
    </row>
    <row r="2079">
      <c r="A2079" s="7" t="s">
        <v>21989</v>
      </c>
      <c r="B2079" s="7">
        <v>3000285.0</v>
      </c>
      <c r="C2079" s="7" t="s">
        <v>15999</v>
      </c>
      <c r="D2079" s="7" t="s">
        <v>16000</v>
      </c>
      <c r="E2079" s="7" t="s">
        <v>16001</v>
      </c>
      <c r="F2079" s="7" t="s">
        <v>15513</v>
      </c>
      <c r="G2079" s="7" t="s">
        <v>16002</v>
      </c>
      <c r="H2079" s="7" t="s">
        <v>16003</v>
      </c>
      <c r="I2079" s="119">
        <v>45566.0</v>
      </c>
      <c r="K2079" s="7" t="s">
        <v>3642</v>
      </c>
      <c r="L2079" s="7" t="s">
        <v>991</v>
      </c>
      <c r="M2079" s="7" t="s">
        <v>3583</v>
      </c>
      <c r="N2079" s="7" t="s">
        <v>3642</v>
      </c>
      <c r="O2079" s="7" t="s">
        <v>3642</v>
      </c>
      <c r="P2079" s="7" t="s">
        <v>19524</v>
      </c>
      <c r="T2079" s="7" t="s">
        <v>3644</v>
      </c>
      <c r="U2079" s="7" t="s">
        <v>3493</v>
      </c>
      <c r="V2079" s="7">
        <v>1.0</v>
      </c>
    </row>
    <row r="2080">
      <c r="A2080" s="7" t="s">
        <v>21990</v>
      </c>
      <c r="B2080" s="7">
        <v>3000297.0</v>
      </c>
      <c r="C2080" s="7" t="s">
        <v>16005</v>
      </c>
      <c r="D2080" s="7" t="s">
        <v>8529</v>
      </c>
      <c r="E2080" s="7" t="s">
        <v>16006</v>
      </c>
      <c r="F2080" s="7" t="s">
        <v>3909</v>
      </c>
      <c r="G2080" s="7" t="s">
        <v>16007</v>
      </c>
      <c r="H2080" s="7" t="s">
        <v>16008</v>
      </c>
      <c r="I2080" s="119">
        <v>45566.0</v>
      </c>
      <c r="K2080" s="7" t="s">
        <v>3632</v>
      </c>
      <c r="L2080" s="7" t="s">
        <v>991</v>
      </c>
      <c r="M2080" s="7" t="s">
        <v>3501</v>
      </c>
      <c r="N2080" s="7" t="s">
        <v>3632</v>
      </c>
      <c r="O2080" s="7" t="s">
        <v>3632</v>
      </c>
      <c r="P2080" s="7" t="s">
        <v>3463</v>
      </c>
      <c r="Q2080" s="7" t="s">
        <v>356</v>
      </c>
      <c r="R2080" s="7" t="s">
        <v>19880</v>
      </c>
      <c r="T2080" s="7" t="s">
        <v>5038</v>
      </c>
      <c r="U2080" s="7" t="s">
        <v>3493</v>
      </c>
      <c r="V2080" s="7">
        <v>1.0</v>
      </c>
    </row>
    <row r="2081">
      <c r="A2081" s="7" t="s">
        <v>21991</v>
      </c>
      <c r="B2081" s="7">
        <v>3000279.0</v>
      </c>
      <c r="C2081" s="7" t="s">
        <v>5247</v>
      </c>
      <c r="D2081" s="7" t="s">
        <v>14859</v>
      </c>
      <c r="E2081" s="7" t="s">
        <v>5249</v>
      </c>
      <c r="F2081" s="7" t="s">
        <v>14860</v>
      </c>
      <c r="G2081" s="7" t="s">
        <v>16010</v>
      </c>
      <c r="H2081" s="7" t="s">
        <v>16011</v>
      </c>
      <c r="I2081" s="119">
        <v>45566.0</v>
      </c>
      <c r="K2081" s="7" t="s">
        <v>419</v>
      </c>
      <c r="L2081" s="7" t="s">
        <v>991</v>
      </c>
      <c r="M2081" s="7" t="s">
        <v>3531</v>
      </c>
      <c r="N2081" s="7" t="s">
        <v>419</v>
      </c>
      <c r="O2081" s="7" t="s">
        <v>19430</v>
      </c>
      <c r="P2081" s="7" t="s">
        <v>717</v>
      </c>
      <c r="Q2081" s="7" t="s">
        <v>1163</v>
      </c>
      <c r="R2081" s="7" t="s">
        <v>19608</v>
      </c>
      <c r="S2081" s="7" t="s">
        <v>19609</v>
      </c>
      <c r="T2081" s="7" t="s">
        <v>3967</v>
      </c>
      <c r="U2081" s="7" t="s">
        <v>3493</v>
      </c>
      <c r="V2081" s="7">
        <v>1.0</v>
      </c>
    </row>
    <row r="2082">
      <c r="A2082" s="7" t="s">
        <v>21992</v>
      </c>
      <c r="B2082" s="7">
        <v>3000290.0</v>
      </c>
      <c r="C2082" s="7" t="s">
        <v>16013</v>
      </c>
      <c r="D2082" s="7" t="s">
        <v>7359</v>
      </c>
      <c r="E2082" s="7" t="s">
        <v>16014</v>
      </c>
      <c r="F2082" s="7" t="s">
        <v>7361</v>
      </c>
      <c r="G2082" s="7" t="s">
        <v>16015</v>
      </c>
      <c r="H2082" s="7" t="s">
        <v>16016</v>
      </c>
      <c r="I2082" s="119">
        <v>45566.0</v>
      </c>
      <c r="K2082" s="7" t="s">
        <v>419</v>
      </c>
      <c r="L2082" s="7" t="s">
        <v>991</v>
      </c>
      <c r="M2082" s="7" t="s">
        <v>3531</v>
      </c>
      <c r="N2082" s="7" t="s">
        <v>419</v>
      </c>
      <c r="O2082" s="7" t="s">
        <v>19437</v>
      </c>
      <c r="P2082" s="7" t="s">
        <v>440</v>
      </c>
      <c r="Q2082" s="7" t="s">
        <v>443</v>
      </c>
      <c r="T2082" s="7" t="s">
        <v>4845</v>
      </c>
      <c r="U2082" s="7" t="s">
        <v>3493</v>
      </c>
      <c r="V2082" s="7">
        <v>1.0</v>
      </c>
    </row>
    <row r="2083">
      <c r="A2083" s="7" t="s">
        <v>21993</v>
      </c>
      <c r="B2083" s="7">
        <v>3000258.0</v>
      </c>
      <c r="C2083" s="7" t="s">
        <v>16018</v>
      </c>
      <c r="D2083" s="7" t="s">
        <v>11227</v>
      </c>
      <c r="E2083" s="7" t="s">
        <v>16019</v>
      </c>
      <c r="F2083" s="7" t="s">
        <v>3549</v>
      </c>
      <c r="G2083" s="7" t="s">
        <v>16020</v>
      </c>
      <c r="H2083" s="7" t="s">
        <v>16021</v>
      </c>
      <c r="I2083" s="119">
        <v>45566.0</v>
      </c>
      <c r="K2083" s="7" t="s">
        <v>419</v>
      </c>
      <c r="L2083" s="7" t="s">
        <v>991</v>
      </c>
      <c r="M2083" s="7" t="s">
        <v>3501</v>
      </c>
      <c r="N2083" s="7" t="s">
        <v>419</v>
      </c>
      <c r="O2083" s="7" t="s">
        <v>19443</v>
      </c>
      <c r="P2083" s="7" t="s">
        <v>323</v>
      </c>
      <c r="Q2083" s="7" t="s">
        <v>824</v>
      </c>
      <c r="R2083" s="7" t="s">
        <v>19570</v>
      </c>
      <c r="S2083" s="7" t="s">
        <v>19571</v>
      </c>
      <c r="T2083" s="7" t="s">
        <v>19572</v>
      </c>
      <c r="U2083" s="7" t="s">
        <v>3493</v>
      </c>
      <c r="V2083" s="7">
        <v>1.0</v>
      </c>
    </row>
    <row r="2084">
      <c r="A2084" s="7" t="s">
        <v>21994</v>
      </c>
      <c r="B2084" s="7">
        <v>3000271.0</v>
      </c>
      <c r="C2084" s="7" t="s">
        <v>6559</v>
      </c>
      <c r="D2084" s="7" t="s">
        <v>5400</v>
      </c>
      <c r="E2084" s="7" t="s">
        <v>6561</v>
      </c>
      <c r="F2084" s="7" t="s">
        <v>4546</v>
      </c>
      <c r="G2084" s="7" t="s">
        <v>16023</v>
      </c>
      <c r="H2084" s="7" t="s">
        <v>16024</v>
      </c>
      <c r="I2084" s="119">
        <v>45566.0</v>
      </c>
      <c r="K2084" s="7" t="s">
        <v>419</v>
      </c>
      <c r="L2084" s="7" t="s">
        <v>991</v>
      </c>
      <c r="M2084" s="7" t="s">
        <v>3583</v>
      </c>
      <c r="N2084" s="7" t="s">
        <v>419</v>
      </c>
      <c r="O2084" s="7" t="s">
        <v>19430</v>
      </c>
      <c r="P2084" s="7" t="s">
        <v>717</v>
      </c>
      <c r="Q2084" s="7" t="s">
        <v>725</v>
      </c>
      <c r="R2084" s="7" t="s">
        <v>19501</v>
      </c>
      <c r="T2084" s="7" t="s">
        <v>14257</v>
      </c>
      <c r="U2084" s="7" t="s">
        <v>3493</v>
      </c>
      <c r="V2084" s="7">
        <v>1.0</v>
      </c>
    </row>
    <row r="2085">
      <c r="A2085" s="7" t="s">
        <v>21995</v>
      </c>
      <c r="B2085" s="7">
        <v>3000272.0</v>
      </c>
      <c r="C2085" s="7" t="s">
        <v>16027</v>
      </c>
      <c r="D2085" s="7" t="s">
        <v>9805</v>
      </c>
      <c r="E2085" s="7" t="s">
        <v>16028</v>
      </c>
      <c r="F2085" s="7" t="s">
        <v>4598</v>
      </c>
      <c r="G2085" s="7" t="s">
        <v>16029</v>
      </c>
      <c r="H2085" s="7" t="s">
        <v>16030</v>
      </c>
      <c r="I2085" s="119">
        <v>45566.0</v>
      </c>
      <c r="K2085" s="7" t="s">
        <v>419</v>
      </c>
      <c r="L2085" s="7" t="s">
        <v>991</v>
      </c>
      <c r="M2085" s="7" t="s">
        <v>3583</v>
      </c>
      <c r="N2085" s="7" t="s">
        <v>419</v>
      </c>
      <c r="O2085" s="7" t="s">
        <v>19430</v>
      </c>
      <c r="P2085" s="7" t="s">
        <v>717</v>
      </c>
      <c r="Q2085" s="7" t="s">
        <v>725</v>
      </c>
      <c r="R2085" s="7" t="s">
        <v>19501</v>
      </c>
      <c r="T2085" s="7" t="s">
        <v>14257</v>
      </c>
      <c r="U2085" s="7" t="s">
        <v>3493</v>
      </c>
      <c r="V2085" s="7">
        <v>1.0</v>
      </c>
    </row>
    <row r="2086">
      <c r="A2086" s="7" t="s">
        <v>21996</v>
      </c>
      <c r="B2086" s="7">
        <v>3000291.0</v>
      </c>
      <c r="C2086" s="7" t="s">
        <v>7204</v>
      </c>
      <c r="D2086" s="7" t="s">
        <v>16032</v>
      </c>
      <c r="E2086" s="7" t="s">
        <v>7206</v>
      </c>
      <c r="F2086" s="7" t="s">
        <v>16033</v>
      </c>
      <c r="G2086" s="7" t="s">
        <v>16034</v>
      </c>
      <c r="H2086" s="7" t="s">
        <v>16035</v>
      </c>
      <c r="I2086" s="119">
        <v>45566.0</v>
      </c>
      <c r="K2086" s="7" t="s">
        <v>419</v>
      </c>
      <c r="L2086" s="7" t="s">
        <v>991</v>
      </c>
      <c r="M2086" s="7" t="s">
        <v>3531</v>
      </c>
      <c r="N2086" s="7" t="s">
        <v>419</v>
      </c>
      <c r="O2086" s="7" t="s">
        <v>19437</v>
      </c>
      <c r="P2086" s="7" t="s">
        <v>440</v>
      </c>
      <c r="Q2086" s="7" t="s">
        <v>443</v>
      </c>
      <c r="T2086" s="7" t="s">
        <v>4845</v>
      </c>
      <c r="U2086" s="7" t="s">
        <v>3493</v>
      </c>
      <c r="V2086" s="7">
        <v>1.0</v>
      </c>
    </row>
    <row r="2087">
      <c r="A2087" s="7" t="s">
        <v>21997</v>
      </c>
      <c r="B2087" s="7">
        <v>3000282.0</v>
      </c>
      <c r="C2087" s="7" t="s">
        <v>16037</v>
      </c>
      <c r="D2087" s="7" t="s">
        <v>16038</v>
      </c>
      <c r="E2087" s="7" t="s">
        <v>16039</v>
      </c>
      <c r="F2087" s="7" t="s">
        <v>3692</v>
      </c>
      <c r="G2087" s="7" t="s">
        <v>16040</v>
      </c>
      <c r="H2087" s="7" t="s">
        <v>16041</v>
      </c>
      <c r="I2087" s="119">
        <v>45566.0</v>
      </c>
      <c r="K2087" s="7" t="s">
        <v>419</v>
      </c>
      <c r="L2087" s="7" t="s">
        <v>991</v>
      </c>
      <c r="M2087" s="7" t="s">
        <v>3531</v>
      </c>
      <c r="N2087" s="7" t="s">
        <v>419</v>
      </c>
      <c r="O2087" s="7" t="s">
        <v>19433</v>
      </c>
      <c r="P2087" s="7" t="s">
        <v>648</v>
      </c>
      <c r="Q2087" s="7" t="s">
        <v>148</v>
      </c>
      <c r="R2087" s="7" t="s">
        <v>19544</v>
      </c>
      <c r="T2087" s="7" t="s">
        <v>3734</v>
      </c>
      <c r="U2087" s="7" t="s">
        <v>3493</v>
      </c>
      <c r="V2087" s="7">
        <v>1.0</v>
      </c>
    </row>
    <row r="2088">
      <c r="A2088" s="7" t="s">
        <v>21998</v>
      </c>
      <c r="B2088" s="7">
        <v>3000298.0</v>
      </c>
      <c r="C2088" s="7" t="s">
        <v>8336</v>
      </c>
      <c r="D2088" s="7" t="s">
        <v>14432</v>
      </c>
      <c r="E2088" s="7" t="s">
        <v>8338</v>
      </c>
      <c r="F2088" s="7" t="s">
        <v>8877</v>
      </c>
      <c r="G2088" s="7" t="s">
        <v>16043</v>
      </c>
      <c r="H2088" s="7" t="s">
        <v>16044</v>
      </c>
      <c r="I2088" s="119">
        <v>45566.0</v>
      </c>
      <c r="K2088" s="7" t="s">
        <v>419</v>
      </c>
      <c r="L2088" s="7" t="s">
        <v>991</v>
      </c>
      <c r="M2088" s="7" t="s">
        <v>3531</v>
      </c>
      <c r="N2088" s="7" t="s">
        <v>419</v>
      </c>
      <c r="O2088" s="7" t="s">
        <v>19430</v>
      </c>
      <c r="P2088" s="7" t="s">
        <v>717</v>
      </c>
      <c r="Q2088" s="7" t="s">
        <v>725</v>
      </c>
      <c r="R2088" s="7" t="s">
        <v>19501</v>
      </c>
      <c r="S2088" s="7" t="s">
        <v>19688</v>
      </c>
      <c r="T2088" s="7" t="s">
        <v>4257</v>
      </c>
      <c r="U2088" s="7" t="s">
        <v>3493</v>
      </c>
      <c r="V2088" s="7">
        <v>1.0</v>
      </c>
    </row>
    <row r="2089">
      <c r="A2089" s="7" t="s">
        <v>21999</v>
      </c>
      <c r="B2089" s="7">
        <v>3000289.0</v>
      </c>
      <c r="C2089" s="7" t="s">
        <v>8429</v>
      </c>
      <c r="D2089" s="7" t="s">
        <v>13874</v>
      </c>
      <c r="E2089" s="7" t="s">
        <v>8431</v>
      </c>
      <c r="F2089" s="7" t="s">
        <v>13876</v>
      </c>
      <c r="G2089" s="7" t="s">
        <v>16046</v>
      </c>
      <c r="H2089" s="7" t="s">
        <v>16047</v>
      </c>
      <c r="I2089" s="119">
        <v>45566.0</v>
      </c>
      <c r="K2089" s="7" t="s">
        <v>419</v>
      </c>
      <c r="L2089" s="7" t="s">
        <v>991</v>
      </c>
      <c r="M2089" s="7" t="s">
        <v>3531</v>
      </c>
      <c r="N2089" s="7" t="s">
        <v>419</v>
      </c>
      <c r="O2089" s="7" t="s">
        <v>19430</v>
      </c>
      <c r="P2089" s="7" t="s">
        <v>717</v>
      </c>
      <c r="Q2089" s="7" t="s">
        <v>738</v>
      </c>
      <c r="R2089" s="7" t="s">
        <v>19818</v>
      </c>
      <c r="S2089" s="7" t="s">
        <v>19668</v>
      </c>
      <c r="T2089" s="7" t="s">
        <v>4739</v>
      </c>
      <c r="U2089" s="7" t="s">
        <v>3493</v>
      </c>
      <c r="V2089" s="7">
        <v>1.0</v>
      </c>
    </row>
    <row r="2090">
      <c r="A2090" s="7" t="s">
        <v>22000</v>
      </c>
      <c r="B2090" s="7">
        <v>3000300.0</v>
      </c>
      <c r="C2090" s="7" t="s">
        <v>8728</v>
      </c>
      <c r="D2090" s="7" t="s">
        <v>16049</v>
      </c>
      <c r="E2090" s="7" t="s">
        <v>8729</v>
      </c>
      <c r="F2090" s="7" t="s">
        <v>16050</v>
      </c>
      <c r="G2090" s="7" t="s">
        <v>16051</v>
      </c>
      <c r="H2090" s="7" t="s">
        <v>16052</v>
      </c>
      <c r="I2090" s="119">
        <v>45566.0</v>
      </c>
      <c r="K2090" s="7" t="s">
        <v>419</v>
      </c>
      <c r="L2090" s="7" t="s">
        <v>991</v>
      </c>
      <c r="M2090" s="7" t="s">
        <v>3531</v>
      </c>
      <c r="N2090" s="7" t="s">
        <v>419</v>
      </c>
      <c r="O2090" s="7" t="s">
        <v>19433</v>
      </c>
      <c r="P2090" s="7" t="s">
        <v>648</v>
      </c>
      <c r="Q2090" s="7" t="s">
        <v>141</v>
      </c>
      <c r="R2090" s="7" t="s">
        <v>19886</v>
      </c>
      <c r="T2090" s="7" t="s">
        <v>5078</v>
      </c>
      <c r="U2090" s="7" t="s">
        <v>3493</v>
      </c>
      <c r="V2090" s="7">
        <v>1.0</v>
      </c>
    </row>
    <row r="2091">
      <c r="A2091" s="7" t="s">
        <v>22001</v>
      </c>
      <c r="B2091" s="7">
        <v>3000205.0</v>
      </c>
      <c r="C2091" s="7" t="s">
        <v>16054</v>
      </c>
      <c r="D2091" s="7" t="s">
        <v>16055</v>
      </c>
      <c r="E2091" s="7" t="s">
        <v>16056</v>
      </c>
      <c r="F2091" s="7" t="s">
        <v>16057</v>
      </c>
      <c r="G2091" s="7" t="s">
        <v>16058</v>
      </c>
      <c r="H2091" s="7" t="s">
        <v>16059</v>
      </c>
      <c r="I2091" s="119">
        <v>45566.0</v>
      </c>
      <c r="K2091" s="7" t="s">
        <v>419</v>
      </c>
      <c r="L2091" s="7" t="s">
        <v>991</v>
      </c>
      <c r="M2091" s="7" t="s">
        <v>3501</v>
      </c>
      <c r="N2091" s="7" t="s">
        <v>419</v>
      </c>
      <c r="O2091" s="7" t="s">
        <v>19433</v>
      </c>
      <c r="P2091" s="7" t="s">
        <v>587</v>
      </c>
      <c r="Q2091" s="7" t="s">
        <v>74</v>
      </c>
      <c r="R2091" s="7" t="s">
        <v>21220</v>
      </c>
      <c r="T2091" s="7" t="s">
        <v>13310</v>
      </c>
      <c r="U2091" s="7" t="s">
        <v>3493</v>
      </c>
      <c r="V2091" s="7">
        <v>1.0</v>
      </c>
    </row>
    <row r="2092">
      <c r="A2092" s="7" t="s">
        <v>22002</v>
      </c>
      <c r="B2092" s="7">
        <v>3000246.0</v>
      </c>
      <c r="C2092" s="7" t="s">
        <v>9078</v>
      </c>
      <c r="D2092" s="7" t="s">
        <v>14432</v>
      </c>
      <c r="E2092" s="7" t="s">
        <v>15573</v>
      </c>
      <c r="F2092" s="7" t="s">
        <v>8877</v>
      </c>
      <c r="G2092" s="7" t="s">
        <v>16061</v>
      </c>
      <c r="H2092" s="7" t="s">
        <v>16062</v>
      </c>
      <c r="I2092" s="119">
        <v>45566.0</v>
      </c>
      <c r="K2092" s="7" t="s">
        <v>419</v>
      </c>
      <c r="L2092" s="7" t="s">
        <v>991</v>
      </c>
      <c r="M2092" s="7" t="s">
        <v>3501</v>
      </c>
      <c r="N2092" s="7" t="s">
        <v>419</v>
      </c>
      <c r="O2092" s="7" t="s">
        <v>19432</v>
      </c>
      <c r="P2092" s="7" t="s">
        <v>693</v>
      </c>
      <c r="Q2092" s="7" t="s">
        <v>696</v>
      </c>
      <c r="R2092" s="7" t="s">
        <v>19934</v>
      </c>
      <c r="S2092" s="7" t="s">
        <v>20767</v>
      </c>
      <c r="T2092" s="7" t="s">
        <v>11675</v>
      </c>
      <c r="U2092" s="7" t="s">
        <v>3843</v>
      </c>
      <c r="V2092" s="7">
        <v>1.0</v>
      </c>
    </row>
    <row r="2093">
      <c r="A2093" s="7" t="s">
        <v>22003</v>
      </c>
      <c r="B2093" s="7">
        <v>3000257.0</v>
      </c>
      <c r="C2093" s="7" t="s">
        <v>16064</v>
      </c>
      <c r="D2093" s="7" t="s">
        <v>16065</v>
      </c>
      <c r="E2093" s="7" t="s">
        <v>9248</v>
      </c>
      <c r="F2093" s="7" t="s">
        <v>4234</v>
      </c>
      <c r="G2093" s="7" t="s">
        <v>16066</v>
      </c>
      <c r="H2093" s="7" t="s">
        <v>16067</v>
      </c>
      <c r="I2093" s="119">
        <v>45566.0</v>
      </c>
      <c r="K2093" s="7" t="s">
        <v>419</v>
      </c>
      <c r="L2093" s="7" t="s">
        <v>991</v>
      </c>
      <c r="M2093" s="7" t="s">
        <v>3501</v>
      </c>
      <c r="N2093" s="7" t="s">
        <v>419</v>
      </c>
      <c r="O2093" s="7" t="s">
        <v>19432</v>
      </c>
      <c r="P2093" s="7" t="s">
        <v>391</v>
      </c>
      <c r="Q2093" s="7" t="s">
        <v>392</v>
      </c>
      <c r="R2093" s="7" t="s">
        <v>19534</v>
      </c>
      <c r="T2093" s="7" t="s">
        <v>5350</v>
      </c>
      <c r="U2093" s="7" t="s">
        <v>3493</v>
      </c>
      <c r="V2093" s="7">
        <v>1.0</v>
      </c>
    </row>
    <row r="2094">
      <c r="A2094" s="7" t="s">
        <v>22004</v>
      </c>
      <c r="B2094" s="7">
        <v>3000295.0</v>
      </c>
      <c r="C2094" s="7" t="s">
        <v>16069</v>
      </c>
      <c r="D2094" s="7" t="s">
        <v>16070</v>
      </c>
      <c r="E2094" s="7" t="s">
        <v>16071</v>
      </c>
      <c r="F2094" s="7" t="s">
        <v>5569</v>
      </c>
      <c r="G2094" s="7" t="s">
        <v>16072</v>
      </c>
      <c r="H2094" s="7" t="s">
        <v>16073</v>
      </c>
      <c r="I2094" s="119">
        <v>45566.0</v>
      </c>
      <c r="K2094" s="7" t="s">
        <v>419</v>
      </c>
      <c r="L2094" s="7" t="s">
        <v>991</v>
      </c>
      <c r="M2094" s="7" t="s">
        <v>3531</v>
      </c>
      <c r="N2094" s="7" t="s">
        <v>419</v>
      </c>
      <c r="O2094" s="7" t="s">
        <v>19432</v>
      </c>
      <c r="P2094" s="7" t="s">
        <v>298</v>
      </c>
      <c r="Q2094" s="7" t="s">
        <v>798</v>
      </c>
      <c r="R2094" s="7" t="s">
        <v>19526</v>
      </c>
      <c r="T2094" s="7" t="s">
        <v>3653</v>
      </c>
      <c r="U2094" s="7" t="s">
        <v>3493</v>
      </c>
      <c r="V2094" s="7">
        <v>1.0</v>
      </c>
    </row>
    <row r="2095">
      <c r="A2095" s="7" t="s">
        <v>22005</v>
      </c>
      <c r="B2095" s="7">
        <v>3000275.0</v>
      </c>
      <c r="C2095" s="7" t="s">
        <v>10459</v>
      </c>
      <c r="D2095" s="7" t="s">
        <v>16075</v>
      </c>
      <c r="E2095" s="7" t="s">
        <v>10461</v>
      </c>
      <c r="F2095" s="7" t="s">
        <v>5987</v>
      </c>
      <c r="G2095" s="7" t="s">
        <v>16076</v>
      </c>
      <c r="H2095" s="7" t="s">
        <v>16077</v>
      </c>
      <c r="I2095" s="119">
        <v>45566.0</v>
      </c>
      <c r="K2095" s="7" t="s">
        <v>419</v>
      </c>
      <c r="L2095" s="7" t="s">
        <v>991</v>
      </c>
      <c r="M2095" s="7" t="s">
        <v>3531</v>
      </c>
      <c r="N2095" s="7" t="s">
        <v>419</v>
      </c>
      <c r="O2095" s="7" t="s">
        <v>19432</v>
      </c>
      <c r="P2095" s="7" t="s">
        <v>298</v>
      </c>
      <c r="Q2095" s="7" t="s">
        <v>802</v>
      </c>
      <c r="R2095" s="7" t="s">
        <v>20050</v>
      </c>
      <c r="S2095" s="7" t="s">
        <v>20051</v>
      </c>
      <c r="T2095" s="7" t="s">
        <v>5817</v>
      </c>
      <c r="U2095" s="7" t="s">
        <v>3493</v>
      </c>
      <c r="V2095" s="7">
        <v>1.0</v>
      </c>
    </row>
    <row r="2096">
      <c r="A2096" s="7" t="s">
        <v>22006</v>
      </c>
      <c r="B2096" s="7">
        <v>3000284.0</v>
      </c>
      <c r="C2096" s="7" t="s">
        <v>16079</v>
      </c>
      <c r="D2096" s="7" t="s">
        <v>5743</v>
      </c>
      <c r="E2096" s="7" t="s">
        <v>16080</v>
      </c>
      <c r="F2096" s="7" t="s">
        <v>5058</v>
      </c>
      <c r="G2096" s="7" t="s">
        <v>16081</v>
      </c>
      <c r="H2096" s="7" t="s">
        <v>16082</v>
      </c>
      <c r="I2096" s="119">
        <v>45566.0</v>
      </c>
      <c r="K2096" s="7" t="s">
        <v>3642</v>
      </c>
      <c r="L2096" s="7" t="s">
        <v>991</v>
      </c>
      <c r="M2096" s="7" t="s">
        <v>3501</v>
      </c>
      <c r="N2096" s="7" t="s">
        <v>3642</v>
      </c>
      <c r="O2096" s="7" t="s">
        <v>3642</v>
      </c>
      <c r="P2096" s="7" t="s">
        <v>19524</v>
      </c>
      <c r="T2096" s="7" t="s">
        <v>3644</v>
      </c>
      <c r="U2096" s="7" t="s">
        <v>3493</v>
      </c>
      <c r="V2096" s="7">
        <v>1.0</v>
      </c>
    </row>
    <row r="2097">
      <c r="A2097" s="7" t="s">
        <v>22007</v>
      </c>
      <c r="B2097" s="7">
        <v>3000276.0</v>
      </c>
      <c r="C2097" s="7" t="s">
        <v>16084</v>
      </c>
      <c r="D2097" s="7" t="s">
        <v>8506</v>
      </c>
      <c r="E2097" s="7" t="s">
        <v>16085</v>
      </c>
      <c r="F2097" s="7" t="s">
        <v>5250</v>
      </c>
      <c r="G2097" s="7" t="s">
        <v>16086</v>
      </c>
      <c r="H2097" s="7" t="s">
        <v>16087</v>
      </c>
      <c r="I2097" s="119">
        <v>45566.0</v>
      </c>
      <c r="K2097" s="7" t="s">
        <v>419</v>
      </c>
      <c r="L2097" s="7" t="s">
        <v>991</v>
      </c>
      <c r="M2097" s="7" t="s">
        <v>3531</v>
      </c>
      <c r="N2097" s="7" t="s">
        <v>419</v>
      </c>
      <c r="O2097" s="7" t="s">
        <v>19430</v>
      </c>
      <c r="P2097" s="7" t="s">
        <v>717</v>
      </c>
      <c r="Q2097" s="7" t="s">
        <v>738</v>
      </c>
      <c r="R2097" s="7" t="s">
        <v>19818</v>
      </c>
      <c r="S2097" s="7" t="s">
        <v>19668</v>
      </c>
      <c r="T2097" s="7" t="s">
        <v>4739</v>
      </c>
      <c r="U2097" s="7" t="s">
        <v>3493</v>
      </c>
      <c r="V2097" s="7">
        <v>1.0</v>
      </c>
    </row>
    <row r="2098">
      <c r="A2098" s="7" t="s">
        <v>22008</v>
      </c>
      <c r="B2098" s="7">
        <v>3000197.0</v>
      </c>
      <c r="C2098" s="7" t="s">
        <v>16089</v>
      </c>
      <c r="D2098" s="7" t="s">
        <v>5513</v>
      </c>
      <c r="E2098" s="7" t="s">
        <v>16090</v>
      </c>
      <c r="F2098" s="7" t="s">
        <v>5514</v>
      </c>
      <c r="G2098" s="7" t="s">
        <v>16091</v>
      </c>
      <c r="H2098" s="7" t="s">
        <v>16092</v>
      </c>
      <c r="I2098" s="119">
        <v>45566.0</v>
      </c>
      <c r="K2098" s="7" t="s">
        <v>419</v>
      </c>
      <c r="L2098" s="7" t="s">
        <v>991</v>
      </c>
      <c r="M2098" s="7" t="s">
        <v>3501</v>
      </c>
      <c r="N2098" s="7" t="s">
        <v>419</v>
      </c>
      <c r="O2098" s="7" t="s">
        <v>19443</v>
      </c>
      <c r="P2098" s="7" t="s">
        <v>1242</v>
      </c>
      <c r="Q2098" s="7" t="s">
        <v>39</v>
      </c>
      <c r="R2098" s="7" t="s">
        <v>19712</v>
      </c>
      <c r="S2098" s="7" t="s">
        <v>20187</v>
      </c>
      <c r="T2098" s="7" t="s">
        <v>6459</v>
      </c>
      <c r="U2098" s="7" t="s">
        <v>3493</v>
      </c>
      <c r="V2098" s="7">
        <v>1.0</v>
      </c>
    </row>
    <row r="2099">
      <c r="A2099" s="7" t="s">
        <v>22009</v>
      </c>
      <c r="B2099" s="7">
        <v>3000269.0</v>
      </c>
      <c r="C2099" s="7" t="s">
        <v>16094</v>
      </c>
      <c r="D2099" s="7" t="s">
        <v>4260</v>
      </c>
      <c r="E2099" s="7" t="s">
        <v>16095</v>
      </c>
      <c r="F2099" s="7" t="s">
        <v>4262</v>
      </c>
      <c r="G2099" s="7" t="s">
        <v>16096</v>
      </c>
      <c r="H2099" s="7" t="s">
        <v>16097</v>
      </c>
      <c r="I2099" s="119">
        <v>45566.0</v>
      </c>
      <c r="K2099" s="7" t="s">
        <v>419</v>
      </c>
      <c r="L2099" s="7" t="s">
        <v>991</v>
      </c>
      <c r="M2099" s="7" t="s">
        <v>3501</v>
      </c>
      <c r="N2099" s="7" t="s">
        <v>419</v>
      </c>
      <c r="O2099" s="7" t="s">
        <v>19432</v>
      </c>
      <c r="P2099" s="7" t="s">
        <v>298</v>
      </c>
      <c r="Q2099" s="7" t="s">
        <v>1284</v>
      </c>
      <c r="R2099" s="7" t="s">
        <v>20190</v>
      </c>
      <c r="S2099" s="7" t="s">
        <v>20220</v>
      </c>
      <c r="T2099" s="7" t="s">
        <v>9604</v>
      </c>
      <c r="U2099" s="7" t="s">
        <v>3493</v>
      </c>
      <c r="V2099" s="7">
        <v>1.0</v>
      </c>
    </row>
    <row r="2100">
      <c r="A2100" s="7" t="s">
        <v>22010</v>
      </c>
      <c r="B2100" s="7">
        <v>3000281.0</v>
      </c>
      <c r="C2100" s="7" t="s">
        <v>13943</v>
      </c>
      <c r="D2100" s="7" t="s">
        <v>16099</v>
      </c>
      <c r="E2100" s="7" t="s">
        <v>13945</v>
      </c>
      <c r="F2100" s="7" t="s">
        <v>12970</v>
      </c>
      <c r="G2100" s="7" t="s">
        <v>16100</v>
      </c>
      <c r="H2100" s="7" t="s">
        <v>16101</v>
      </c>
      <c r="I2100" s="119">
        <v>45566.0</v>
      </c>
      <c r="K2100" s="7" t="s">
        <v>419</v>
      </c>
      <c r="L2100" s="7" t="s">
        <v>991</v>
      </c>
      <c r="M2100" s="7" t="s">
        <v>3531</v>
      </c>
      <c r="N2100" s="7" t="s">
        <v>419</v>
      </c>
      <c r="O2100" s="7" t="s">
        <v>19432</v>
      </c>
      <c r="P2100" s="7" t="s">
        <v>298</v>
      </c>
      <c r="Q2100" s="7" t="s">
        <v>798</v>
      </c>
      <c r="R2100" s="7" t="s">
        <v>19526</v>
      </c>
      <c r="T2100" s="7" t="s">
        <v>3653</v>
      </c>
      <c r="U2100" s="7" t="s">
        <v>3493</v>
      </c>
      <c r="V2100" s="7">
        <v>1.0</v>
      </c>
    </row>
    <row r="2101">
      <c r="A2101" s="7" t="s">
        <v>22011</v>
      </c>
      <c r="B2101" s="7">
        <v>3000308.0</v>
      </c>
      <c r="C2101" s="7" t="s">
        <v>3771</v>
      </c>
      <c r="D2101" s="7" t="s">
        <v>16103</v>
      </c>
      <c r="E2101" s="7" t="s">
        <v>3773</v>
      </c>
      <c r="F2101" s="7" t="s">
        <v>15525</v>
      </c>
      <c r="G2101" s="7" t="s">
        <v>16104</v>
      </c>
      <c r="H2101" s="7" t="s">
        <v>16105</v>
      </c>
      <c r="I2101" s="119">
        <v>45581.0</v>
      </c>
      <c r="K2101" s="7" t="s">
        <v>3622</v>
      </c>
      <c r="L2101" s="7" t="s">
        <v>991</v>
      </c>
      <c r="M2101" s="7" t="s">
        <v>3531</v>
      </c>
      <c r="N2101" s="7" t="s">
        <v>3622</v>
      </c>
      <c r="O2101" s="7" t="s">
        <v>3622</v>
      </c>
      <c r="P2101" s="7" t="s">
        <v>19521</v>
      </c>
      <c r="T2101" s="7" t="s">
        <v>3624</v>
      </c>
      <c r="U2101" s="7" t="s">
        <v>3493</v>
      </c>
      <c r="V2101" s="7">
        <v>1.0</v>
      </c>
    </row>
    <row r="2102">
      <c r="A2102" s="7" t="s">
        <v>22012</v>
      </c>
      <c r="B2102" s="7">
        <v>3000317.0</v>
      </c>
      <c r="C2102" s="7" t="s">
        <v>8429</v>
      </c>
      <c r="D2102" s="7" t="s">
        <v>11825</v>
      </c>
      <c r="E2102" s="7" t="s">
        <v>8431</v>
      </c>
      <c r="F2102" s="7" t="s">
        <v>11827</v>
      </c>
      <c r="G2102" s="7" t="s">
        <v>16107</v>
      </c>
      <c r="H2102" s="7" t="s">
        <v>16108</v>
      </c>
      <c r="I2102" s="119">
        <v>45581.0</v>
      </c>
      <c r="K2102" s="7" t="s">
        <v>419</v>
      </c>
      <c r="L2102" s="7" t="s">
        <v>991</v>
      </c>
      <c r="M2102" s="7" t="s">
        <v>3531</v>
      </c>
      <c r="N2102" s="7" t="s">
        <v>419</v>
      </c>
      <c r="O2102" s="7" t="s">
        <v>19430</v>
      </c>
      <c r="P2102" s="7" t="s">
        <v>717</v>
      </c>
      <c r="Q2102" s="7" t="s">
        <v>738</v>
      </c>
      <c r="R2102" s="7" t="s">
        <v>19902</v>
      </c>
      <c r="S2102" s="7" t="s">
        <v>20062</v>
      </c>
      <c r="T2102" s="7" t="s">
        <v>5869</v>
      </c>
      <c r="U2102" s="7" t="s">
        <v>3493</v>
      </c>
      <c r="V2102" s="7">
        <v>1.0</v>
      </c>
    </row>
    <row r="2103">
      <c r="A2103" s="7" t="s">
        <v>22013</v>
      </c>
      <c r="B2103" s="7">
        <v>3000318.0</v>
      </c>
      <c r="C2103" s="7" t="s">
        <v>16110</v>
      </c>
      <c r="D2103" s="7" t="s">
        <v>7406</v>
      </c>
      <c r="E2103" s="7" t="s">
        <v>16111</v>
      </c>
      <c r="F2103" s="7" t="s">
        <v>4598</v>
      </c>
      <c r="G2103" s="7" t="s">
        <v>16112</v>
      </c>
      <c r="H2103" s="7" t="s">
        <v>16113</v>
      </c>
      <c r="I2103" s="119">
        <v>45581.0</v>
      </c>
      <c r="K2103" s="7" t="s">
        <v>419</v>
      </c>
      <c r="L2103" s="7" t="s">
        <v>991</v>
      </c>
      <c r="M2103" s="7" t="s">
        <v>3501</v>
      </c>
      <c r="N2103" s="7" t="s">
        <v>419</v>
      </c>
      <c r="O2103" s="7" t="s">
        <v>19432</v>
      </c>
      <c r="P2103" s="7" t="s">
        <v>693</v>
      </c>
      <c r="Q2103" s="7" t="s">
        <v>696</v>
      </c>
      <c r="R2103" s="7" t="s">
        <v>19813</v>
      </c>
      <c r="S2103" s="7" t="s">
        <v>20767</v>
      </c>
      <c r="T2103" s="7" t="s">
        <v>13337</v>
      </c>
      <c r="U2103" s="7" t="s">
        <v>3493</v>
      </c>
      <c r="V2103" s="7">
        <v>1.0</v>
      </c>
    </row>
    <row r="2104">
      <c r="A2104" s="7" t="s">
        <v>22014</v>
      </c>
      <c r="B2104" s="7">
        <v>3000312.0</v>
      </c>
      <c r="C2104" s="7" t="s">
        <v>16115</v>
      </c>
      <c r="D2104" s="7" t="s">
        <v>16116</v>
      </c>
      <c r="E2104" s="7" t="s">
        <v>16117</v>
      </c>
      <c r="F2104" s="7" t="s">
        <v>16118</v>
      </c>
      <c r="G2104" s="7" t="s">
        <v>16119</v>
      </c>
      <c r="H2104" s="7" t="s">
        <v>16120</v>
      </c>
      <c r="I2104" s="119">
        <v>45581.0</v>
      </c>
      <c r="K2104" s="7" t="s">
        <v>419</v>
      </c>
      <c r="L2104" s="7" t="s">
        <v>991</v>
      </c>
      <c r="M2104" s="7" t="s">
        <v>3531</v>
      </c>
      <c r="N2104" s="7" t="s">
        <v>419</v>
      </c>
      <c r="O2104" s="7" t="s">
        <v>19437</v>
      </c>
      <c r="P2104" s="7" t="s">
        <v>603</v>
      </c>
      <c r="Q2104" s="7" t="s">
        <v>90</v>
      </c>
      <c r="R2104" s="7" t="s">
        <v>19690</v>
      </c>
      <c r="S2104" s="7" t="s">
        <v>20268</v>
      </c>
      <c r="T2104" s="7" t="s">
        <v>6897</v>
      </c>
      <c r="U2104" s="7" t="s">
        <v>3493</v>
      </c>
      <c r="V2104" s="7">
        <v>1.0</v>
      </c>
    </row>
    <row r="2105">
      <c r="A2105" s="7" t="s">
        <v>22015</v>
      </c>
      <c r="B2105" s="7">
        <v>3000307.0</v>
      </c>
      <c r="C2105" s="7" t="s">
        <v>8967</v>
      </c>
      <c r="D2105" s="7" t="s">
        <v>16122</v>
      </c>
      <c r="E2105" s="7" t="s">
        <v>8969</v>
      </c>
      <c r="F2105" s="7" t="s">
        <v>13001</v>
      </c>
      <c r="G2105" s="7" t="s">
        <v>16123</v>
      </c>
      <c r="H2105" s="7" t="s">
        <v>16124</v>
      </c>
      <c r="I2105" s="119">
        <v>45581.0</v>
      </c>
      <c r="K2105" s="7" t="s">
        <v>419</v>
      </c>
      <c r="L2105" s="7" t="s">
        <v>991</v>
      </c>
      <c r="M2105" s="7" t="s">
        <v>3531</v>
      </c>
      <c r="N2105" s="7" t="s">
        <v>419</v>
      </c>
      <c r="O2105" s="7" t="s">
        <v>19443</v>
      </c>
      <c r="P2105" s="7" t="s">
        <v>323</v>
      </c>
      <c r="Q2105" s="7" t="s">
        <v>819</v>
      </c>
      <c r="R2105" s="7" t="s">
        <v>19716</v>
      </c>
      <c r="S2105" s="7" t="s">
        <v>20258</v>
      </c>
      <c r="T2105" s="7" t="s">
        <v>16125</v>
      </c>
      <c r="U2105" s="7" t="s">
        <v>3493</v>
      </c>
      <c r="V2105" s="7">
        <v>1.0</v>
      </c>
    </row>
    <row r="2106">
      <c r="A2106" s="7" t="s">
        <v>22016</v>
      </c>
      <c r="B2106" s="7">
        <v>3000301.0</v>
      </c>
      <c r="C2106" s="7" t="s">
        <v>9104</v>
      </c>
      <c r="D2106" s="7" t="s">
        <v>16127</v>
      </c>
      <c r="E2106" s="7" t="s">
        <v>9105</v>
      </c>
      <c r="F2106" s="7" t="s">
        <v>8877</v>
      </c>
      <c r="G2106" s="7" t="s">
        <v>16128</v>
      </c>
      <c r="H2106" s="7" t="s">
        <v>16129</v>
      </c>
      <c r="I2106" s="119">
        <v>45581.0</v>
      </c>
      <c r="K2106" s="7" t="s">
        <v>419</v>
      </c>
      <c r="L2106" s="7" t="s">
        <v>991</v>
      </c>
      <c r="M2106" s="7" t="s">
        <v>3501</v>
      </c>
      <c r="N2106" s="7" t="s">
        <v>419</v>
      </c>
      <c r="O2106" s="7" t="s">
        <v>19432</v>
      </c>
      <c r="P2106" s="7" t="s">
        <v>298</v>
      </c>
      <c r="Q2106" s="7" t="s">
        <v>1284</v>
      </c>
      <c r="R2106" s="7" t="s">
        <v>20033</v>
      </c>
      <c r="S2106" s="7" t="s">
        <v>20456</v>
      </c>
      <c r="T2106" s="7" t="s">
        <v>7884</v>
      </c>
      <c r="U2106" s="7" t="s">
        <v>3493</v>
      </c>
      <c r="V2106" s="7">
        <v>1.0</v>
      </c>
    </row>
    <row r="2107">
      <c r="A2107" s="7" t="s">
        <v>22017</v>
      </c>
      <c r="B2107" s="7">
        <v>3000303.0</v>
      </c>
      <c r="C2107" s="7" t="s">
        <v>16131</v>
      </c>
      <c r="D2107" s="7" t="s">
        <v>12926</v>
      </c>
      <c r="E2107" s="7" t="s">
        <v>16132</v>
      </c>
      <c r="F2107" s="7" t="s">
        <v>4929</v>
      </c>
      <c r="G2107" s="7" t="s">
        <v>16133</v>
      </c>
      <c r="H2107" s="7" t="s">
        <v>16134</v>
      </c>
      <c r="I2107" s="119">
        <v>45581.0</v>
      </c>
      <c r="K2107" s="7" t="s">
        <v>419</v>
      </c>
      <c r="L2107" s="7" t="s">
        <v>991</v>
      </c>
      <c r="M2107" s="7" t="s">
        <v>3866</v>
      </c>
      <c r="N2107" s="7" t="s">
        <v>419</v>
      </c>
      <c r="O2107" s="7" t="s">
        <v>19443</v>
      </c>
      <c r="P2107" s="7" t="s">
        <v>323</v>
      </c>
      <c r="Q2107" s="7" t="s">
        <v>324</v>
      </c>
      <c r="R2107" s="7" t="s">
        <v>20130</v>
      </c>
      <c r="T2107" s="7" t="s">
        <v>16135</v>
      </c>
      <c r="U2107" s="7" t="s">
        <v>3493</v>
      </c>
      <c r="V2107" s="7">
        <v>1.0</v>
      </c>
    </row>
    <row r="2108">
      <c r="A2108" s="7" t="s">
        <v>22018</v>
      </c>
      <c r="B2108" s="7">
        <v>3000316.0</v>
      </c>
      <c r="C2108" s="7" t="s">
        <v>16137</v>
      </c>
      <c r="D2108" s="7" t="s">
        <v>16138</v>
      </c>
      <c r="E2108" s="7" t="s">
        <v>16139</v>
      </c>
      <c r="F2108" s="7" t="s">
        <v>5569</v>
      </c>
      <c r="G2108" s="7" t="s">
        <v>16140</v>
      </c>
      <c r="H2108" s="7" t="s">
        <v>16141</v>
      </c>
      <c r="I2108" s="119">
        <v>45581.0</v>
      </c>
      <c r="K2108" s="7" t="s">
        <v>419</v>
      </c>
      <c r="L2108" s="7" t="s">
        <v>991</v>
      </c>
      <c r="M2108" s="7" t="s">
        <v>3531</v>
      </c>
      <c r="N2108" s="7" t="s">
        <v>419</v>
      </c>
      <c r="O2108" s="7" t="s">
        <v>19430</v>
      </c>
      <c r="P2108" s="7" t="s">
        <v>717</v>
      </c>
      <c r="Q2108" s="7" t="s">
        <v>725</v>
      </c>
      <c r="R2108" s="7" t="s">
        <v>19741</v>
      </c>
      <c r="S2108" s="7" t="s">
        <v>19742</v>
      </c>
      <c r="T2108" s="7" t="s">
        <v>4482</v>
      </c>
      <c r="U2108" s="7" t="s">
        <v>3493</v>
      </c>
      <c r="V2108" s="7">
        <v>1.0</v>
      </c>
    </row>
    <row r="2109">
      <c r="A2109" s="7" t="s">
        <v>22019</v>
      </c>
      <c r="B2109" s="7">
        <v>3000310.0</v>
      </c>
      <c r="C2109" s="7" t="s">
        <v>11985</v>
      </c>
      <c r="D2109" s="7" t="s">
        <v>16143</v>
      </c>
      <c r="E2109" s="7" t="s">
        <v>11986</v>
      </c>
      <c r="F2109" s="7" t="s">
        <v>16144</v>
      </c>
      <c r="G2109" s="7" t="s">
        <v>16145</v>
      </c>
      <c r="H2109" s="7" t="s">
        <v>16146</v>
      </c>
      <c r="I2109" s="119">
        <v>45581.0</v>
      </c>
      <c r="K2109" s="7" t="s">
        <v>419</v>
      </c>
      <c r="L2109" s="7" t="s">
        <v>991</v>
      </c>
      <c r="M2109" s="7" t="s">
        <v>3531</v>
      </c>
      <c r="N2109" s="7" t="s">
        <v>419</v>
      </c>
      <c r="O2109" s="7" t="s">
        <v>19437</v>
      </c>
      <c r="P2109" s="7" t="s">
        <v>603</v>
      </c>
      <c r="Q2109" s="7" t="s">
        <v>90</v>
      </c>
      <c r="R2109" s="7" t="s">
        <v>19690</v>
      </c>
      <c r="S2109" s="7" t="s">
        <v>20268</v>
      </c>
      <c r="T2109" s="7" t="s">
        <v>6897</v>
      </c>
      <c r="U2109" s="7" t="s">
        <v>3493</v>
      </c>
      <c r="V2109" s="7">
        <v>1.0</v>
      </c>
    </row>
    <row r="2110">
      <c r="A2110" s="7" t="s">
        <v>22020</v>
      </c>
      <c r="B2110" s="7">
        <v>3000315.0</v>
      </c>
      <c r="C2110" s="7" t="s">
        <v>16148</v>
      </c>
      <c r="D2110" s="7" t="s">
        <v>16149</v>
      </c>
      <c r="E2110" s="7" t="s">
        <v>16150</v>
      </c>
      <c r="F2110" s="7" t="s">
        <v>13239</v>
      </c>
      <c r="G2110" s="7" t="s">
        <v>16151</v>
      </c>
      <c r="H2110" s="7" t="s">
        <v>16152</v>
      </c>
      <c r="I2110" s="119">
        <v>45581.0</v>
      </c>
      <c r="K2110" s="7" t="s">
        <v>419</v>
      </c>
      <c r="L2110" s="7" t="s">
        <v>991</v>
      </c>
      <c r="M2110" s="7" t="s">
        <v>3531</v>
      </c>
      <c r="N2110" s="7" t="s">
        <v>419</v>
      </c>
      <c r="O2110" s="7" t="s">
        <v>19430</v>
      </c>
      <c r="P2110" s="7" t="s">
        <v>717</v>
      </c>
      <c r="Q2110" s="7" t="s">
        <v>725</v>
      </c>
      <c r="R2110" s="7" t="s">
        <v>19501</v>
      </c>
      <c r="S2110" s="7" t="s">
        <v>19502</v>
      </c>
      <c r="T2110" s="7" t="s">
        <v>3533</v>
      </c>
      <c r="U2110" s="7" t="s">
        <v>3493</v>
      </c>
      <c r="V2110" s="7">
        <v>1.0</v>
      </c>
    </row>
    <row r="2111">
      <c r="A2111" s="7" t="s">
        <v>22021</v>
      </c>
      <c r="B2111" s="7">
        <v>3000311.0</v>
      </c>
      <c r="C2111" s="7" t="s">
        <v>14399</v>
      </c>
      <c r="D2111" s="7" t="s">
        <v>16154</v>
      </c>
      <c r="E2111" s="7" t="s">
        <v>14394</v>
      </c>
      <c r="F2111" s="7" t="s">
        <v>16155</v>
      </c>
      <c r="G2111" s="7" t="s">
        <v>16156</v>
      </c>
      <c r="H2111" s="7" t="s">
        <v>16157</v>
      </c>
      <c r="I2111" s="119">
        <v>45581.0</v>
      </c>
      <c r="K2111" s="7" t="s">
        <v>419</v>
      </c>
      <c r="L2111" s="7" t="s">
        <v>991</v>
      </c>
      <c r="M2111" s="7" t="s">
        <v>3531</v>
      </c>
      <c r="N2111" s="7" t="s">
        <v>419</v>
      </c>
      <c r="O2111" s="7" t="s">
        <v>19437</v>
      </c>
      <c r="P2111" s="7" t="s">
        <v>603</v>
      </c>
      <c r="Q2111" s="7" t="s">
        <v>90</v>
      </c>
      <c r="R2111" s="7" t="s">
        <v>19690</v>
      </c>
      <c r="S2111" s="7" t="s">
        <v>20268</v>
      </c>
      <c r="T2111" s="7" t="s">
        <v>6897</v>
      </c>
      <c r="U2111" s="7" t="s">
        <v>3493</v>
      </c>
      <c r="V2111" s="7">
        <v>1.0</v>
      </c>
    </row>
    <row r="2112">
      <c r="A2112" s="7" t="s">
        <v>22022</v>
      </c>
      <c r="B2112" s="7">
        <v>3000345.0</v>
      </c>
      <c r="C2112" s="7" t="s">
        <v>3923</v>
      </c>
      <c r="D2112" s="7" t="s">
        <v>16159</v>
      </c>
      <c r="E2112" s="7" t="s">
        <v>3925</v>
      </c>
      <c r="F2112" s="7" t="s">
        <v>5788</v>
      </c>
      <c r="G2112" s="7" t="s">
        <v>16160</v>
      </c>
      <c r="H2112" s="7" t="s">
        <v>16161</v>
      </c>
      <c r="I2112" s="119">
        <v>45597.0</v>
      </c>
      <c r="K2112" s="7" t="s">
        <v>419</v>
      </c>
      <c r="L2112" s="7" t="s">
        <v>991</v>
      </c>
      <c r="M2112" s="7" t="s">
        <v>3531</v>
      </c>
      <c r="N2112" s="7" t="s">
        <v>419</v>
      </c>
      <c r="O2112" s="7" t="s">
        <v>19430</v>
      </c>
      <c r="P2112" s="7" t="s">
        <v>780</v>
      </c>
      <c r="Q2112" s="7" t="s">
        <v>786</v>
      </c>
      <c r="R2112" s="7" t="s">
        <v>20558</v>
      </c>
      <c r="T2112" s="7" t="s">
        <v>16162</v>
      </c>
      <c r="U2112" s="7" t="s">
        <v>3493</v>
      </c>
      <c r="V2112" s="7">
        <v>1.0</v>
      </c>
    </row>
    <row r="2113">
      <c r="A2113" s="7" t="s">
        <v>22023</v>
      </c>
      <c r="B2113" s="7">
        <v>3000305.0</v>
      </c>
      <c r="C2113" s="7" t="s">
        <v>16164</v>
      </c>
      <c r="D2113" s="7" t="s">
        <v>16165</v>
      </c>
      <c r="E2113" s="7" t="s">
        <v>16166</v>
      </c>
      <c r="F2113" s="7" t="s">
        <v>10740</v>
      </c>
      <c r="G2113" s="7" t="s">
        <v>16167</v>
      </c>
      <c r="H2113" s="7" t="s">
        <v>16168</v>
      </c>
      <c r="I2113" s="119">
        <v>45597.0</v>
      </c>
      <c r="K2113" s="7" t="s">
        <v>419</v>
      </c>
      <c r="L2113" s="7" t="s">
        <v>991</v>
      </c>
      <c r="M2113" s="7" t="s">
        <v>3583</v>
      </c>
      <c r="N2113" s="7" t="s">
        <v>419</v>
      </c>
      <c r="O2113" s="7" t="s">
        <v>19437</v>
      </c>
      <c r="P2113" s="7" t="s">
        <v>478</v>
      </c>
      <c r="Q2113" s="7" t="s">
        <v>487</v>
      </c>
      <c r="R2113" s="7" t="s">
        <v>19796</v>
      </c>
      <c r="S2113" s="7" t="s">
        <v>19797</v>
      </c>
      <c r="T2113" s="7" t="s">
        <v>4670</v>
      </c>
      <c r="U2113" s="7" t="s">
        <v>3493</v>
      </c>
      <c r="V2113" s="7">
        <v>1.0</v>
      </c>
    </row>
    <row r="2114">
      <c r="A2114" s="7" t="s">
        <v>22024</v>
      </c>
      <c r="B2114" s="7">
        <v>3000357.0</v>
      </c>
      <c r="C2114" s="7" t="s">
        <v>16170</v>
      </c>
      <c r="D2114" s="7" t="s">
        <v>16171</v>
      </c>
      <c r="E2114" s="7" t="s">
        <v>16172</v>
      </c>
      <c r="F2114" s="7" t="s">
        <v>15368</v>
      </c>
      <c r="G2114" s="7" t="s">
        <v>16173</v>
      </c>
      <c r="H2114" s="7" t="s">
        <v>16174</v>
      </c>
      <c r="I2114" s="119">
        <v>45597.0</v>
      </c>
      <c r="K2114" s="7" t="s">
        <v>419</v>
      </c>
      <c r="L2114" s="7" t="s">
        <v>991</v>
      </c>
      <c r="M2114" s="7" t="s">
        <v>3501</v>
      </c>
      <c r="N2114" s="7" t="s">
        <v>419</v>
      </c>
      <c r="O2114" s="7" t="s">
        <v>19437</v>
      </c>
      <c r="P2114" s="7" t="s">
        <v>440</v>
      </c>
      <c r="Q2114" s="7" t="s">
        <v>924</v>
      </c>
      <c r="R2114" s="7" t="s">
        <v>20135</v>
      </c>
      <c r="S2114" s="7" t="s">
        <v>20279</v>
      </c>
      <c r="T2114" s="7" t="s">
        <v>6950</v>
      </c>
      <c r="U2114" s="7" t="s">
        <v>3493</v>
      </c>
      <c r="V2114" s="7">
        <v>1.0</v>
      </c>
    </row>
    <row r="2115">
      <c r="A2115" s="7" t="s">
        <v>22025</v>
      </c>
      <c r="B2115" s="7">
        <v>3000334.0</v>
      </c>
      <c r="C2115" s="7" t="s">
        <v>4887</v>
      </c>
      <c r="D2115" s="7" t="s">
        <v>16176</v>
      </c>
      <c r="E2115" s="7" t="s">
        <v>4888</v>
      </c>
      <c r="F2115" s="7" t="s">
        <v>10848</v>
      </c>
      <c r="G2115" s="7" t="s">
        <v>16177</v>
      </c>
      <c r="H2115" s="7" t="s">
        <v>16178</v>
      </c>
      <c r="I2115" s="119">
        <v>45597.0</v>
      </c>
      <c r="K2115" s="7" t="s">
        <v>3632</v>
      </c>
      <c r="L2115" s="7" t="s">
        <v>991</v>
      </c>
      <c r="M2115" s="7" t="s">
        <v>3531</v>
      </c>
      <c r="N2115" s="7" t="s">
        <v>3632</v>
      </c>
      <c r="O2115" s="7" t="s">
        <v>3632</v>
      </c>
      <c r="P2115" s="7" t="s">
        <v>3463</v>
      </c>
      <c r="Q2115" s="7" t="s">
        <v>356</v>
      </c>
      <c r="R2115" s="7" t="s">
        <v>19880</v>
      </c>
      <c r="T2115" s="7" t="s">
        <v>5038</v>
      </c>
      <c r="U2115" s="7" t="s">
        <v>3493</v>
      </c>
      <c r="V2115" s="7">
        <v>1.0</v>
      </c>
    </row>
    <row r="2116">
      <c r="A2116" s="7" t="s">
        <v>22026</v>
      </c>
      <c r="B2116" s="7">
        <v>3000324.0</v>
      </c>
      <c r="C2116" s="7" t="s">
        <v>16180</v>
      </c>
      <c r="D2116" s="7" t="s">
        <v>16181</v>
      </c>
      <c r="E2116" s="7" t="s">
        <v>16182</v>
      </c>
      <c r="F2116" s="7" t="s">
        <v>4039</v>
      </c>
      <c r="G2116" s="7" t="s">
        <v>16183</v>
      </c>
      <c r="H2116" s="7" t="s">
        <v>16184</v>
      </c>
      <c r="I2116" s="119">
        <v>45597.0</v>
      </c>
      <c r="K2116" s="7" t="s">
        <v>419</v>
      </c>
      <c r="L2116" s="7" t="s">
        <v>991</v>
      </c>
      <c r="M2116" s="7" t="s">
        <v>3501</v>
      </c>
      <c r="N2116" s="7" t="s">
        <v>419</v>
      </c>
      <c r="O2116" s="7" t="s">
        <v>19430</v>
      </c>
      <c r="P2116" s="7" t="s">
        <v>717</v>
      </c>
      <c r="Q2116" s="7" t="s">
        <v>730</v>
      </c>
      <c r="R2116" s="7" t="s">
        <v>20149</v>
      </c>
      <c r="S2116" s="7" t="s">
        <v>20420</v>
      </c>
      <c r="T2116" s="7" t="s">
        <v>7695</v>
      </c>
      <c r="U2116" s="7" t="s">
        <v>3493</v>
      </c>
      <c r="V2116" s="7">
        <v>1.0</v>
      </c>
    </row>
    <row r="2117">
      <c r="A2117" s="7" t="s">
        <v>2199</v>
      </c>
      <c r="B2117" s="7">
        <v>3000299.0</v>
      </c>
      <c r="C2117" s="7" t="s">
        <v>16186</v>
      </c>
      <c r="D2117" s="7" t="s">
        <v>9298</v>
      </c>
      <c r="E2117" s="7" t="s">
        <v>16187</v>
      </c>
      <c r="F2117" s="7" t="s">
        <v>12777</v>
      </c>
      <c r="G2117" s="7" t="s">
        <v>16188</v>
      </c>
      <c r="H2117" s="7" t="s">
        <v>16189</v>
      </c>
      <c r="I2117" s="119">
        <v>45597.0</v>
      </c>
      <c r="K2117" s="7" t="s">
        <v>419</v>
      </c>
      <c r="L2117" s="7" t="s">
        <v>991</v>
      </c>
      <c r="M2117" s="7" t="s">
        <v>3501</v>
      </c>
      <c r="N2117" s="7" t="s">
        <v>419</v>
      </c>
      <c r="O2117" s="7" t="s">
        <v>19433</v>
      </c>
      <c r="P2117" s="7" t="s">
        <v>587</v>
      </c>
      <c r="Q2117" s="7" t="s">
        <v>81</v>
      </c>
      <c r="T2117" s="7" t="s">
        <v>15610</v>
      </c>
      <c r="U2117" s="7" t="s">
        <v>5585</v>
      </c>
      <c r="V2117" s="7">
        <v>1.0</v>
      </c>
    </row>
    <row r="2118">
      <c r="A2118" s="7" t="s">
        <v>22027</v>
      </c>
      <c r="B2118" s="7">
        <v>3000364.0</v>
      </c>
      <c r="C2118" s="7" t="s">
        <v>16192</v>
      </c>
      <c r="D2118" s="7" t="s">
        <v>16193</v>
      </c>
      <c r="E2118" s="7" t="s">
        <v>16194</v>
      </c>
      <c r="F2118" s="7" t="s">
        <v>16195</v>
      </c>
      <c r="G2118" s="7" t="s">
        <v>16196</v>
      </c>
      <c r="H2118" s="7" t="s">
        <v>16197</v>
      </c>
      <c r="I2118" s="119">
        <v>45597.0</v>
      </c>
      <c r="K2118" s="7" t="s">
        <v>3642</v>
      </c>
      <c r="L2118" s="7" t="s">
        <v>991</v>
      </c>
      <c r="M2118" s="7" t="s">
        <v>3531</v>
      </c>
      <c r="N2118" s="7" t="s">
        <v>3642</v>
      </c>
      <c r="O2118" s="7" t="s">
        <v>3642</v>
      </c>
      <c r="P2118" s="7" t="s">
        <v>19524</v>
      </c>
      <c r="T2118" s="7" t="s">
        <v>3644</v>
      </c>
      <c r="U2118" s="7" t="s">
        <v>3493</v>
      </c>
      <c r="V2118" s="7">
        <v>1.0</v>
      </c>
    </row>
    <row r="2119">
      <c r="A2119" s="7" t="s">
        <v>22028</v>
      </c>
      <c r="B2119" s="7">
        <v>3000322.0</v>
      </c>
      <c r="C2119" s="7" t="s">
        <v>16199</v>
      </c>
      <c r="D2119" s="7" t="s">
        <v>16200</v>
      </c>
      <c r="E2119" s="7" t="s">
        <v>16201</v>
      </c>
      <c r="F2119" s="7" t="s">
        <v>6253</v>
      </c>
      <c r="G2119" s="7" t="s">
        <v>16202</v>
      </c>
      <c r="H2119" s="7" t="s">
        <v>16203</v>
      </c>
      <c r="I2119" s="119">
        <v>45597.0</v>
      </c>
      <c r="K2119" s="7" t="s">
        <v>419</v>
      </c>
      <c r="L2119" s="7" t="s">
        <v>991</v>
      </c>
      <c r="M2119" s="7" t="s">
        <v>3583</v>
      </c>
      <c r="N2119" s="7" t="s">
        <v>419</v>
      </c>
      <c r="O2119" s="7" t="s">
        <v>19440</v>
      </c>
      <c r="P2119" s="7" t="s">
        <v>613</v>
      </c>
      <c r="Q2119" s="7" t="s">
        <v>104</v>
      </c>
      <c r="R2119" s="7" t="s">
        <v>19738</v>
      </c>
      <c r="T2119" s="7" t="s">
        <v>6707</v>
      </c>
      <c r="U2119" s="7" t="s">
        <v>3493</v>
      </c>
      <c r="V2119" s="7">
        <v>1.0</v>
      </c>
    </row>
    <row r="2120">
      <c r="A2120" s="7" t="s">
        <v>22029</v>
      </c>
      <c r="B2120" s="7">
        <v>3000356.0</v>
      </c>
      <c r="C2120" s="7" t="s">
        <v>7968</v>
      </c>
      <c r="D2120" s="7" t="s">
        <v>16205</v>
      </c>
      <c r="E2120" s="7" t="s">
        <v>7970</v>
      </c>
      <c r="F2120" s="7" t="s">
        <v>3517</v>
      </c>
      <c r="G2120" s="7" t="s">
        <v>16206</v>
      </c>
      <c r="H2120" s="7" t="s">
        <v>16207</v>
      </c>
      <c r="I2120" s="119">
        <v>45597.0</v>
      </c>
      <c r="K2120" s="7" t="s">
        <v>419</v>
      </c>
      <c r="L2120" s="7" t="s">
        <v>991</v>
      </c>
      <c r="M2120" s="7" t="s">
        <v>3501</v>
      </c>
      <c r="N2120" s="7" t="s">
        <v>419</v>
      </c>
      <c r="O2120" s="7" t="s">
        <v>19437</v>
      </c>
      <c r="P2120" s="7" t="s">
        <v>603</v>
      </c>
      <c r="Q2120" s="7" t="s">
        <v>90</v>
      </c>
      <c r="R2120" s="7" t="s">
        <v>19973</v>
      </c>
      <c r="S2120" s="7" t="s">
        <v>19974</v>
      </c>
      <c r="T2120" s="7" t="s">
        <v>5470</v>
      </c>
      <c r="U2120" s="7" t="s">
        <v>3493</v>
      </c>
      <c r="V2120" s="7">
        <v>1.0</v>
      </c>
    </row>
    <row r="2121">
      <c r="A2121" s="7" t="s">
        <v>22030</v>
      </c>
      <c r="B2121" s="7">
        <v>3000362.0</v>
      </c>
      <c r="C2121" s="7" t="s">
        <v>8004</v>
      </c>
      <c r="D2121" s="7" t="s">
        <v>16209</v>
      </c>
      <c r="E2121" s="7" t="s">
        <v>8006</v>
      </c>
      <c r="F2121" s="7" t="s">
        <v>8007</v>
      </c>
      <c r="G2121" s="7" t="s">
        <v>16210</v>
      </c>
      <c r="H2121" s="7" t="s">
        <v>16211</v>
      </c>
      <c r="I2121" s="119">
        <v>45597.0</v>
      </c>
      <c r="K2121" s="7" t="s">
        <v>419</v>
      </c>
      <c r="L2121" s="7" t="s">
        <v>991</v>
      </c>
      <c r="M2121" s="7" t="s">
        <v>16212</v>
      </c>
      <c r="N2121" s="7" t="s">
        <v>419</v>
      </c>
      <c r="O2121" s="7" t="s">
        <v>19433</v>
      </c>
      <c r="P2121" s="7" t="s">
        <v>587</v>
      </c>
      <c r="Q2121" s="7" t="s">
        <v>74</v>
      </c>
      <c r="R2121" s="7" t="s">
        <v>19536</v>
      </c>
      <c r="T2121" s="7" t="s">
        <v>16213</v>
      </c>
      <c r="U2121" s="7" t="s">
        <v>3493</v>
      </c>
      <c r="V2121" s="7">
        <v>1.0</v>
      </c>
    </row>
    <row r="2122">
      <c r="A2122" s="7" t="s">
        <v>22031</v>
      </c>
      <c r="B2122" s="7">
        <v>3000302.0</v>
      </c>
      <c r="C2122" s="7" t="s">
        <v>16215</v>
      </c>
      <c r="D2122" s="7" t="s">
        <v>16216</v>
      </c>
      <c r="E2122" s="7" t="s">
        <v>16217</v>
      </c>
      <c r="F2122" s="7" t="s">
        <v>16218</v>
      </c>
      <c r="G2122" s="7" t="s">
        <v>16219</v>
      </c>
      <c r="H2122" s="7" t="s">
        <v>16220</v>
      </c>
      <c r="I2122" s="119">
        <v>45597.0</v>
      </c>
      <c r="K2122" s="7" t="s">
        <v>419</v>
      </c>
      <c r="L2122" s="7" t="s">
        <v>991</v>
      </c>
      <c r="M2122" s="7" t="s">
        <v>3501</v>
      </c>
      <c r="N2122" s="7" t="s">
        <v>419</v>
      </c>
      <c r="O2122" s="7" t="s">
        <v>19433</v>
      </c>
      <c r="P2122" s="7" t="s">
        <v>648</v>
      </c>
      <c r="Q2122" s="7" t="s">
        <v>141</v>
      </c>
      <c r="T2122" s="7" t="s">
        <v>4500</v>
      </c>
      <c r="U2122" s="7" t="s">
        <v>3493</v>
      </c>
      <c r="V2122" s="7">
        <v>1.0</v>
      </c>
    </row>
    <row r="2123">
      <c r="A2123" s="7" t="s">
        <v>22032</v>
      </c>
      <c r="B2123" s="7">
        <v>3000351.0</v>
      </c>
      <c r="C2123" s="7" t="s">
        <v>8247</v>
      </c>
      <c r="D2123" s="7" t="s">
        <v>16222</v>
      </c>
      <c r="E2123" s="7" t="s">
        <v>8249</v>
      </c>
      <c r="F2123" s="7" t="s">
        <v>16223</v>
      </c>
      <c r="G2123" s="7" t="s">
        <v>16224</v>
      </c>
      <c r="H2123" s="7" t="s">
        <v>16225</v>
      </c>
      <c r="I2123" s="119">
        <v>45597.0</v>
      </c>
      <c r="K2123" s="7" t="s">
        <v>419</v>
      </c>
      <c r="L2123" s="7" t="s">
        <v>991</v>
      </c>
      <c r="M2123" s="7" t="s">
        <v>3531</v>
      </c>
      <c r="N2123" s="7" t="s">
        <v>419</v>
      </c>
      <c r="O2123" s="7" t="s">
        <v>19432</v>
      </c>
      <c r="P2123" s="7" t="s">
        <v>298</v>
      </c>
      <c r="Q2123" s="7" t="s">
        <v>1284</v>
      </c>
      <c r="R2123" s="7" t="s">
        <v>20579</v>
      </c>
      <c r="S2123" s="7" t="s">
        <v>20580</v>
      </c>
      <c r="T2123" s="7" t="s">
        <v>11111</v>
      </c>
      <c r="U2123" s="7" t="s">
        <v>3493</v>
      </c>
      <c r="V2123" s="7">
        <v>1.0</v>
      </c>
    </row>
    <row r="2124">
      <c r="A2124" s="7" t="s">
        <v>22033</v>
      </c>
      <c r="B2124" s="7">
        <v>3000327.0</v>
      </c>
      <c r="C2124" s="7" t="s">
        <v>9570</v>
      </c>
      <c r="D2124" s="7" t="s">
        <v>16227</v>
      </c>
      <c r="E2124" s="7" t="s">
        <v>9572</v>
      </c>
      <c r="F2124" s="7" t="s">
        <v>16228</v>
      </c>
      <c r="G2124" s="7" t="s">
        <v>16229</v>
      </c>
      <c r="H2124" s="7" t="s">
        <v>16230</v>
      </c>
      <c r="I2124" s="119">
        <v>45597.0</v>
      </c>
      <c r="K2124" s="7" t="s">
        <v>419</v>
      </c>
      <c r="L2124" s="7" t="s">
        <v>991</v>
      </c>
      <c r="M2124" s="7" t="s">
        <v>3583</v>
      </c>
      <c r="N2124" s="7" t="s">
        <v>419</v>
      </c>
      <c r="O2124" s="7" t="s">
        <v>19443</v>
      </c>
      <c r="P2124" s="7" t="s">
        <v>323</v>
      </c>
      <c r="Q2124" s="7" t="s">
        <v>324</v>
      </c>
      <c r="R2124" s="7" t="s">
        <v>20130</v>
      </c>
      <c r="T2124" s="7" t="s">
        <v>16135</v>
      </c>
      <c r="U2124" s="7" t="s">
        <v>3493</v>
      </c>
      <c r="V2124" s="7">
        <v>1.0</v>
      </c>
    </row>
    <row r="2125">
      <c r="A2125" s="7" t="s">
        <v>22034</v>
      </c>
      <c r="B2125" s="7">
        <v>3000353.0</v>
      </c>
      <c r="C2125" s="7" t="s">
        <v>16232</v>
      </c>
      <c r="D2125" s="7" t="s">
        <v>16233</v>
      </c>
      <c r="E2125" s="7" t="s">
        <v>16234</v>
      </c>
      <c r="F2125" s="7" t="s">
        <v>4677</v>
      </c>
      <c r="G2125" s="7" t="s">
        <v>16235</v>
      </c>
      <c r="H2125" s="7" t="s">
        <v>16236</v>
      </c>
      <c r="I2125" s="119">
        <v>45597.0</v>
      </c>
      <c r="K2125" s="7" t="s">
        <v>419</v>
      </c>
      <c r="L2125" s="7" t="s">
        <v>991</v>
      </c>
      <c r="M2125" s="7" t="s">
        <v>3501</v>
      </c>
      <c r="N2125" s="7" t="s">
        <v>419</v>
      </c>
      <c r="O2125" s="7" t="s">
        <v>19443</v>
      </c>
      <c r="P2125" s="7" t="s">
        <v>1242</v>
      </c>
      <c r="Q2125" s="7" t="s">
        <v>39</v>
      </c>
      <c r="R2125" s="7" t="s">
        <v>19712</v>
      </c>
      <c r="S2125" s="7" t="s">
        <v>20187</v>
      </c>
      <c r="T2125" s="7" t="s">
        <v>6459</v>
      </c>
      <c r="U2125" s="7" t="s">
        <v>3493</v>
      </c>
      <c r="V2125" s="7">
        <v>1.0</v>
      </c>
    </row>
    <row r="2126">
      <c r="A2126" s="7" t="s">
        <v>22035</v>
      </c>
      <c r="B2126" s="7">
        <v>3000304.0</v>
      </c>
      <c r="C2126" s="7" t="s">
        <v>8954</v>
      </c>
      <c r="D2126" s="7" t="s">
        <v>16238</v>
      </c>
      <c r="E2126" s="7" t="s">
        <v>16239</v>
      </c>
      <c r="F2126" s="7" t="s">
        <v>16240</v>
      </c>
      <c r="G2126" s="7" t="s">
        <v>16241</v>
      </c>
      <c r="H2126" s="7" t="s">
        <v>16242</v>
      </c>
      <c r="I2126" s="119">
        <v>45597.0</v>
      </c>
      <c r="K2126" s="7" t="s">
        <v>419</v>
      </c>
      <c r="L2126" s="7" t="s">
        <v>991</v>
      </c>
      <c r="M2126" s="7" t="s">
        <v>3501</v>
      </c>
      <c r="N2126" s="7" t="s">
        <v>419</v>
      </c>
      <c r="O2126" s="7" t="s">
        <v>19432</v>
      </c>
      <c r="P2126" s="7" t="s">
        <v>391</v>
      </c>
      <c r="Q2126" s="7" t="s">
        <v>392</v>
      </c>
      <c r="R2126" s="7" t="s">
        <v>19706</v>
      </c>
      <c r="T2126" s="7" t="s">
        <v>18578</v>
      </c>
      <c r="U2126" s="7" t="s">
        <v>3493</v>
      </c>
      <c r="V2126" s="7">
        <v>1.0</v>
      </c>
    </row>
    <row r="2127">
      <c r="A2127" s="7" t="s">
        <v>22036</v>
      </c>
      <c r="B2127" s="7">
        <v>3000343.0</v>
      </c>
      <c r="C2127" s="7" t="s">
        <v>16244</v>
      </c>
      <c r="D2127" s="7" t="s">
        <v>16245</v>
      </c>
      <c r="E2127" s="7" t="s">
        <v>16246</v>
      </c>
      <c r="F2127" s="7" t="s">
        <v>16247</v>
      </c>
      <c r="G2127" s="7" t="s">
        <v>16248</v>
      </c>
      <c r="H2127" s="7" t="s">
        <v>16249</v>
      </c>
      <c r="I2127" s="119">
        <v>45597.0</v>
      </c>
      <c r="K2127" s="7" t="s">
        <v>419</v>
      </c>
      <c r="L2127" s="7" t="s">
        <v>991</v>
      </c>
      <c r="M2127" s="7" t="s">
        <v>3531</v>
      </c>
      <c r="N2127" s="7" t="s">
        <v>419</v>
      </c>
      <c r="O2127" s="7" t="s">
        <v>19430</v>
      </c>
      <c r="P2127" s="7" t="s">
        <v>780</v>
      </c>
      <c r="Q2127" s="7" t="s">
        <v>786</v>
      </c>
      <c r="R2127" s="7" t="s">
        <v>20558</v>
      </c>
      <c r="T2127" s="7" t="s">
        <v>16162</v>
      </c>
      <c r="U2127" s="7" t="s">
        <v>3493</v>
      </c>
      <c r="V2127" s="7">
        <v>1.0</v>
      </c>
    </row>
    <row r="2128">
      <c r="A2128" s="7" t="s">
        <v>22037</v>
      </c>
      <c r="B2128" s="7">
        <v>3000340.0</v>
      </c>
      <c r="C2128" s="7" t="s">
        <v>16251</v>
      </c>
      <c r="D2128" s="7" t="s">
        <v>15584</v>
      </c>
      <c r="E2128" s="7" t="s">
        <v>16252</v>
      </c>
      <c r="F2128" s="7" t="s">
        <v>9205</v>
      </c>
      <c r="G2128" s="7" t="s">
        <v>16253</v>
      </c>
      <c r="H2128" s="7" t="s">
        <v>16254</v>
      </c>
      <c r="I2128" s="119">
        <v>45597.0</v>
      </c>
      <c r="K2128" s="7" t="s">
        <v>3632</v>
      </c>
      <c r="L2128" s="7" t="s">
        <v>991</v>
      </c>
      <c r="M2128" s="7" t="s">
        <v>3583</v>
      </c>
      <c r="N2128" s="7" t="s">
        <v>3632</v>
      </c>
      <c r="O2128" s="7" t="s">
        <v>3632</v>
      </c>
      <c r="P2128" s="7" t="s">
        <v>3463</v>
      </c>
      <c r="Q2128" s="7" t="s">
        <v>356</v>
      </c>
      <c r="R2128" s="7" t="s">
        <v>19880</v>
      </c>
      <c r="T2128" s="7" t="s">
        <v>5038</v>
      </c>
      <c r="U2128" s="7" t="s">
        <v>3493</v>
      </c>
      <c r="V2128" s="7">
        <v>1.0</v>
      </c>
    </row>
    <row r="2129">
      <c r="A2129" s="7" t="s">
        <v>22038</v>
      </c>
      <c r="B2129" s="7">
        <v>3000361.0</v>
      </c>
      <c r="C2129" s="7" t="s">
        <v>10654</v>
      </c>
      <c r="D2129" s="7" t="s">
        <v>5969</v>
      </c>
      <c r="E2129" s="7" t="s">
        <v>10656</v>
      </c>
      <c r="F2129" s="7" t="s">
        <v>3909</v>
      </c>
      <c r="G2129" s="7" t="s">
        <v>16256</v>
      </c>
      <c r="H2129" s="7" t="s">
        <v>16257</v>
      </c>
      <c r="I2129" s="119">
        <v>45597.0</v>
      </c>
      <c r="K2129" s="7" t="s">
        <v>4042</v>
      </c>
      <c r="L2129" s="7" t="s">
        <v>991</v>
      </c>
      <c r="M2129" s="7" t="s">
        <v>3501</v>
      </c>
      <c r="N2129" s="7" t="s">
        <v>4042</v>
      </c>
      <c r="O2129" s="7" t="s">
        <v>4042</v>
      </c>
      <c r="P2129" s="7" t="s">
        <v>19632</v>
      </c>
      <c r="T2129" s="7" t="s">
        <v>4044</v>
      </c>
      <c r="U2129" s="7" t="s">
        <v>3493</v>
      </c>
      <c r="V2129" s="7">
        <v>1.0</v>
      </c>
    </row>
    <row r="2130">
      <c r="A2130" s="7" t="s">
        <v>22039</v>
      </c>
      <c r="B2130" s="7">
        <v>3000342.0</v>
      </c>
      <c r="C2130" s="7" t="s">
        <v>10900</v>
      </c>
      <c r="D2130" s="7" t="s">
        <v>16259</v>
      </c>
      <c r="E2130" s="7" t="s">
        <v>10901</v>
      </c>
      <c r="F2130" s="7" t="s">
        <v>3909</v>
      </c>
      <c r="G2130" s="7" t="s">
        <v>16260</v>
      </c>
      <c r="H2130" s="7" t="s">
        <v>16261</v>
      </c>
      <c r="I2130" s="119">
        <v>45597.0</v>
      </c>
      <c r="K2130" s="7" t="s">
        <v>419</v>
      </c>
      <c r="L2130" s="7" t="s">
        <v>991</v>
      </c>
      <c r="M2130" s="7" t="s">
        <v>3531</v>
      </c>
      <c r="N2130" s="7" t="s">
        <v>419</v>
      </c>
      <c r="O2130" s="7" t="s">
        <v>19430</v>
      </c>
      <c r="P2130" s="7" t="s">
        <v>780</v>
      </c>
      <c r="Q2130" s="7" t="s">
        <v>786</v>
      </c>
      <c r="R2130" s="7" t="s">
        <v>19839</v>
      </c>
      <c r="T2130" s="7" t="s">
        <v>4835</v>
      </c>
      <c r="U2130" s="7" t="s">
        <v>3493</v>
      </c>
      <c r="V2130" s="7">
        <v>1.0</v>
      </c>
    </row>
    <row r="2131">
      <c r="A2131" s="7" t="s">
        <v>22040</v>
      </c>
      <c r="B2131" s="7">
        <v>3000337.0</v>
      </c>
      <c r="C2131" s="7" t="s">
        <v>16263</v>
      </c>
      <c r="D2131" s="7" t="s">
        <v>16264</v>
      </c>
      <c r="E2131" s="7" t="s">
        <v>16265</v>
      </c>
      <c r="F2131" s="7" t="s">
        <v>16266</v>
      </c>
      <c r="G2131" s="7" t="s">
        <v>16267</v>
      </c>
      <c r="H2131" s="7" t="s">
        <v>16268</v>
      </c>
      <c r="I2131" s="119">
        <v>45597.0</v>
      </c>
      <c r="K2131" s="7" t="s">
        <v>419</v>
      </c>
      <c r="L2131" s="7" t="s">
        <v>991</v>
      </c>
      <c r="M2131" s="7" t="s">
        <v>3531</v>
      </c>
      <c r="N2131" s="7" t="s">
        <v>419</v>
      </c>
      <c r="O2131" s="7" t="s">
        <v>19430</v>
      </c>
      <c r="P2131" s="7" t="s">
        <v>717</v>
      </c>
      <c r="Q2131" s="7" t="s">
        <v>725</v>
      </c>
      <c r="R2131" s="7" t="s">
        <v>19494</v>
      </c>
      <c r="S2131" s="7" t="s">
        <v>19495</v>
      </c>
      <c r="T2131" s="7" t="s">
        <v>3503</v>
      </c>
      <c r="U2131" s="7" t="s">
        <v>3493</v>
      </c>
      <c r="V2131" s="7">
        <v>1.0</v>
      </c>
    </row>
    <row r="2132">
      <c r="A2132" s="7" t="s">
        <v>22041</v>
      </c>
      <c r="B2132" s="7">
        <v>3000349.0</v>
      </c>
      <c r="C2132" s="7" t="s">
        <v>16270</v>
      </c>
      <c r="D2132" s="7" t="s">
        <v>16271</v>
      </c>
      <c r="E2132" s="7" t="s">
        <v>16272</v>
      </c>
      <c r="F2132" s="7" t="s">
        <v>6101</v>
      </c>
      <c r="G2132" s="7" t="s">
        <v>16273</v>
      </c>
      <c r="H2132" s="7" t="s">
        <v>16274</v>
      </c>
      <c r="I2132" s="119">
        <v>45597.0</v>
      </c>
      <c r="K2132" s="7" t="s">
        <v>419</v>
      </c>
      <c r="L2132" s="7" t="s">
        <v>991</v>
      </c>
      <c r="M2132" s="7" t="s">
        <v>3531</v>
      </c>
      <c r="N2132" s="7" t="s">
        <v>419</v>
      </c>
      <c r="O2132" s="7" t="s">
        <v>19432</v>
      </c>
      <c r="P2132" s="7" t="s">
        <v>298</v>
      </c>
      <c r="Q2132" s="7" t="s">
        <v>1284</v>
      </c>
      <c r="R2132" s="7" t="s">
        <v>20033</v>
      </c>
      <c r="S2132" s="7" t="s">
        <v>20456</v>
      </c>
      <c r="T2132" s="7" t="s">
        <v>7884</v>
      </c>
      <c r="U2132" s="7" t="s">
        <v>3493</v>
      </c>
      <c r="V2132" s="7">
        <v>1.0</v>
      </c>
    </row>
    <row r="2133">
      <c r="A2133" s="7" t="s">
        <v>22042</v>
      </c>
      <c r="B2133" s="7">
        <v>3000348.0</v>
      </c>
      <c r="C2133" s="7" t="s">
        <v>16276</v>
      </c>
      <c r="D2133" s="7" t="s">
        <v>16277</v>
      </c>
      <c r="E2133" s="7" t="s">
        <v>16278</v>
      </c>
      <c r="F2133" s="7" t="s">
        <v>16279</v>
      </c>
      <c r="G2133" s="7" t="s">
        <v>16280</v>
      </c>
      <c r="H2133" s="7" t="s">
        <v>16281</v>
      </c>
      <c r="I2133" s="119">
        <v>45597.0</v>
      </c>
      <c r="K2133" s="7" t="s">
        <v>419</v>
      </c>
      <c r="L2133" s="7" t="s">
        <v>991</v>
      </c>
      <c r="M2133" s="7" t="s">
        <v>3531</v>
      </c>
      <c r="N2133" s="7" t="s">
        <v>419</v>
      </c>
      <c r="O2133" s="7" t="s">
        <v>19432</v>
      </c>
      <c r="P2133" s="7" t="s">
        <v>298</v>
      </c>
      <c r="Q2133" s="7" t="s">
        <v>1284</v>
      </c>
      <c r="R2133" s="7" t="s">
        <v>20033</v>
      </c>
      <c r="S2133" s="7" t="s">
        <v>20456</v>
      </c>
      <c r="T2133" s="7" t="s">
        <v>7884</v>
      </c>
      <c r="U2133" s="7" t="s">
        <v>3493</v>
      </c>
      <c r="V2133" s="7">
        <v>1.0</v>
      </c>
    </row>
    <row r="2134">
      <c r="A2134" s="7" t="s">
        <v>22043</v>
      </c>
      <c r="B2134" s="7">
        <v>3000363.0</v>
      </c>
      <c r="C2134" s="7" t="s">
        <v>13857</v>
      </c>
      <c r="D2134" s="7" t="s">
        <v>16283</v>
      </c>
      <c r="E2134" s="7" t="s">
        <v>13853</v>
      </c>
      <c r="F2134" s="7" t="s">
        <v>12086</v>
      </c>
      <c r="G2134" s="7" t="s">
        <v>16284</v>
      </c>
      <c r="I2134" s="119">
        <v>45597.0</v>
      </c>
      <c r="K2134" s="7" t="s">
        <v>419</v>
      </c>
      <c r="L2134" s="7" t="s">
        <v>991</v>
      </c>
      <c r="M2134" s="7" t="s">
        <v>3531</v>
      </c>
      <c r="N2134" s="7" t="s">
        <v>419</v>
      </c>
      <c r="O2134" s="7" t="s">
        <v>19430</v>
      </c>
      <c r="P2134" s="7" t="s">
        <v>854</v>
      </c>
      <c r="Q2134" s="7" t="s">
        <v>859</v>
      </c>
      <c r="R2134" s="7" t="s">
        <v>20616</v>
      </c>
      <c r="T2134" s="7" t="s">
        <v>9219</v>
      </c>
      <c r="U2134" s="7" t="s">
        <v>3493</v>
      </c>
      <c r="V2134" s="7">
        <v>1.0</v>
      </c>
    </row>
    <row r="2135">
      <c r="A2135" s="7" t="s">
        <v>22044</v>
      </c>
      <c r="B2135" s="7">
        <v>3000226.0</v>
      </c>
      <c r="C2135" s="7" t="s">
        <v>14135</v>
      </c>
      <c r="D2135" s="7" t="s">
        <v>16286</v>
      </c>
      <c r="E2135" s="7" t="s">
        <v>14136</v>
      </c>
      <c r="F2135" s="7" t="s">
        <v>16287</v>
      </c>
      <c r="G2135" s="7" t="s">
        <v>16288</v>
      </c>
      <c r="H2135" s="7" t="s">
        <v>16289</v>
      </c>
      <c r="I2135" s="119">
        <v>45597.0</v>
      </c>
      <c r="K2135" s="7" t="s">
        <v>419</v>
      </c>
      <c r="L2135" s="7" t="s">
        <v>991</v>
      </c>
      <c r="M2135" s="7" t="s">
        <v>3501</v>
      </c>
      <c r="N2135" s="7" t="s">
        <v>419</v>
      </c>
      <c r="O2135" s="7" t="s">
        <v>19433</v>
      </c>
      <c r="P2135" s="7" t="s">
        <v>587</v>
      </c>
      <c r="Q2135" s="7" t="s">
        <v>74</v>
      </c>
      <c r="R2135" s="7" t="s">
        <v>19911</v>
      </c>
      <c r="S2135" s="7" t="s">
        <v>20593</v>
      </c>
      <c r="T2135" s="7" t="s">
        <v>16290</v>
      </c>
      <c r="U2135" s="7" t="s">
        <v>3843</v>
      </c>
      <c r="V2135" s="7">
        <v>1.0</v>
      </c>
    </row>
    <row r="2136">
      <c r="A2136" s="7" t="s">
        <v>22045</v>
      </c>
      <c r="B2136" s="7">
        <v>3000496.0</v>
      </c>
      <c r="C2136" s="7" t="s">
        <v>14341</v>
      </c>
      <c r="D2136" s="7" t="s">
        <v>16292</v>
      </c>
      <c r="E2136" s="7" t="s">
        <v>14343</v>
      </c>
      <c r="F2136" s="7" t="s">
        <v>16293</v>
      </c>
      <c r="G2136" s="7" t="s">
        <v>16294</v>
      </c>
      <c r="H2136" s="7" t="s">
        <v>16295</v>
      </c>
      <c r="I2136" s="119">
        <v>45689.0</v>
      </c>
      <c r="K2136" s="7" t="s">
        <v>419</v>
      </c>
      <c r="L2136" s="7" t="s">
        <v>991</v>
      </c>
      <c r="M2136" s="7" t="s">
        <v>3501</v>
      </c>
      <c r="N2136" s="7" t="s">
        <v>419</v>
      </c>
      <c r="O2136" s="7" t="s">
        <v>19430</v>
      </c>
      <c r="P2136" s="7" t="s">
        <v>780</v>
      </c>
      <c r="Q2136" s="7" t="s">
        <v>786</v>
      </c>
      <c r="R2136" s="7" t="s">
        <v>20558</v>
      </c>
      <c r="T2136" s="7" t="s">
        <v>16162</v>
      </c>
      <c r="U2136" s="7" t="s">
        <v>3493</v>
      </c>
      <c r="V2136" s="7">
        <v>1.0</v>
      </c>
    </row>
    <row r="2137">
      <c r="A2137" s="7" t="s">
        <v>22046</v>
      </c>
      <c r="B2137" s="7">
        <v>3000369.0</v>
      </c>
      <c r="C2137" s="7" t="s">
        <v>3999</v>
      </c>
      <c r="D2137" s="7" t="s">
        <v>16297</v>
      </c>
      <c r="E2137" s="7" t="s">
        <v>4001</v>
      </c>
      <c r="F2137" s="7" t="s">
        <v>4262</v>
      </c>
      <c r="G2137" s="7" t="s">
        <v>16298</v>
      </c>
      <c r="H2137" s="7" t="s">
        <v>16299</v>
      </c>
      <c r="I2137" s="119">
        <v>45612.0</v>
      </c>
      <c r="K2137" s="7" t="s">
        <v>419</v>
      </c>
      <c r="L2137" s="7" t="s">
        <v>991</v>
      </c>
      <c r="M2137" s="7" t="s">
        <v>3531</v>
      </c>
      <c r="N2137" s="7" t="s">
        <v>419</v>
      </c>
      <c r="O2137" s="7" t="s">
        <v>19430</v>
      </c>
      <c r="P2137" s="7" t="s">
        <v>717</v>
      </c>
      <c r="Q2137" s="7" t="s">
        <v>725</v>
      </c>
      <c r="R2137" s="7" t="s">
        <v>19501</v>
      </c>
      <c r="S2137" s="7" t="s">
        <v>19726</v>
      </c>
      <c r="T2137" s="7" t="s">
        <v>4400</v>
      </c>
      <c r="U2137" s="7" t="s">
        <v>3493</v>
      </c>
      <c r="V2137" s="7">
        <v>1.0</v>
      </c>
    </row>
    <row r="2138">
      <c r="A2138" s="7" t="s">
        <v>22047</v>
      </c>
      <c r="B2138" s="7">
        <v>3000380.0</v>
      </c>
      <c r="C2138" s="7" t="s">
        <v>16301</v>
      </c>
      <c r="D2138" s="7" t="s">
        <v>16302</v>
      </c>
      <c r="E2138" s="7" t="s">
        <v>16303</v>
      </c>
      <c r="F2138" s="7" t="s">
        <v>16304</v>
      </c>
      <c r="G2138" s="7" t="s">
        <v>16305</v>
      </c>
      <c r="H2138" s="7" t="s">
        <v>16306</v>
      </c>
      <c r="I2138" s="119">
        <v>45612.0</v>
      </c>
      <c r="K2138" s="7" t="s">
        <v>3622</v>
      </c>
      <c r="L2138" s="7" t="s">
        <v>991</v>
      </c>
      <c r="M2138" s="7" t="s">
        <v>3866</v>
      </c>
      <c r="N2138" s="7" t="s">
        <v>3622</v>
      </c>
      <c r="O2138" s="7" t="s">
        <v>3622</v>
      </c>
      <c r="P2138" s="7" t="s">
        <v>19521</v>
      </c>
      <c r="T2138" s="7" t="s">
        <v>3624</v>
      </c>
      <c r="U2138" s="7" t="s">
        <v>3493</v>
      </c>
      <c r="V2138" s="7">
        <v>1.0</v>
      </c>
    </row>
    <row r="2139">
      <c r="A2139" s="7" t="s">
        <v>22048</v>
      </c>
      <c r="B2139" s="7">
        <v>3000375.0</v>
      </c>
      <c r="C2139" s="7" t="s">
        <v>7075</v>
      </c>
      <c r="D2139" s="7" t="s">
        <v>16308</v>
      </c>
      <c r="E2139" s="7" t="s">
        <v>7077</v>
      </c>
      <c r="F2139" s="7" t="s">
        <v>7078</v>
      </c>
      <c r="G2139" s="7" t="s">
        <v>16309</v>
      </c>
      <c r="H2139" s="7" t="s">
        <v>16310</v>
      </c>
      <c r="I2139" s="119">
        <v>45612.0</v>
      </c>
      <c r="K2139" s="7" t="s">
        <v>3632</v>
      </c>
      <c r="L2139" s="7" t="s">
        <v>991</v>
      </c>
      <c r="M2139" s="7" t="s">
        <v>3531</v>
      </c>
      <c r="N2139" s="7" t="s">
        <v>3632</v>
      </c>
      <c r="O2139" s="7" t="s">
        <v>3632</v>
      </c>
      <c r="P2139" s="7" t="s">
        <v>429</v>
      </c>
      <c r="Q2139" s="7" t="s">
        <v>432</v>
      </c>
      <c r="T2139" s="7" t="s">
        <v>19446</v>
      </c>
      <c r="U2139" s="7" t="s">
        <v>3493</v>
      </c>
      <c r="V2139" s="7">
        <v>1.0</v>
      </c>
    </row>
    <row r="2140">
      <c r="A2140" s="7" t="s">
        <v>22049</v>
      </c>
      <c r="B2140" s="7">
        <v>3000372.0</v>
      </c>
      <c r="C2140" s="7" t="s">
        <v>16312</v>
      </c>
      <c r="D2140" s="7" t="s">
        <v>11522</v>
      </c>
      <c r="E2140" s="7" t="s">
        <v>16313</v>
      </c>
      <c r="F2140" s="7" t="s">
        <v>9001</v>
      </c>
      <c r="G2140" s="7" t="s">
        <v>16314</v>
      </c>
      <c r="H2140" s="7" t="s">
        <v>16315</v>
      </c>
      <c r="I2140" s="119">
        <v>45612.0</v>
      </c>
      <c r="K2140" s="7" t="s">
        <v>419</v>
      </c>
      <c r="L2140" s="7" t="s">
        <v>991</v>
      </c>
      <c r="M2140" s="7" t="s">
        <v>3531</v>
      </c>
      <c r="N2140" s="7" t="s">
        <v>419</v>
      </c>
      <c r="O2140" s="7" t="s">
        <v>19430</v>
      </c>
      <c r="P2140" s="7" t="s">
        <v>854</v>
      </c>
      <c r="Q2140" s="7" t="s">
        <v>861</v>
      </c>
      <c r="T2140" s="7" t="s">
        <v>4755</v>
      </c>
      <c r="U2140" s="7" t="s">
        <v>3493</v>
      </c>
      <c r="V2140" s="7">
        <v>1.0</v>
      </c>
    </row>
    <row r="2141">
      <c r="A2141" s="7" t="s">
        <v>22050</v>
      </c>
      <c r="B2141" s="7">
        <v>3000358.0</v>
      </c>
      <c r="C2141" s="7" t="s">
        <v>16317</v>
      </c>
      <c r="D2141" s="7" t="s">
        <v>16318</v>
      </c>
      <c r="E2141" s="7" t="s">
        <v>16319</v>
      </c>
      <c r="F2141" s="7" t="s">
        <v>16320</v>
      </c>
      <c r="G2141" s="7" t="s">
        <v>16321</v>
      </c>
      <c r="H2141" s="7" t="s">
        <v>16322</v>
      </c>
      <c r="I2141" s="119">
        <v>45612.0</v>
      </c>
      <c r="K2141" s="7" t="s">
        <v>419</v>
      </c>
      <c r="L2141" s="7" t="s">
        <v>991</v>
      </c>
      <c r="M2141" s="7" t="s">
        <v>3501</v>
      </c>
      <c r="N2141" s="7" t="s">
        <v>419</v>
      </c>
      <c r="O2141" s="7" t="s">
        <v>19437</v>
      </c>
      <c r="P2141" s="7" t="s">
        <v>440</v>
      </c>
      <c r="Q2141" s="7" t="s">
        <v>924</v>
      </c>
      <c r="R2141" s="7" t="s">
        <v>19793</v>
      </c>
      <c r="S2141" s="7" t="s">
        <v>19794</v>
      </c>
      <c r="T2141" s="7" t="s">
        <v>4661</v>
      </c>
      <c r="U2141" s="7" t="s">
        <v>3493</v>
      </c>
      <c r="V2141" s="7">
        <v>1.0</v>
      </c>
    </row>
    <row r="2142">
      <c r="A2142" s="7" t="s">
        <v>22051</v>
      </c>
      <c r="B2142" s="7">
        <v>3000368.0</v>
      </c>
      <c r="C2142" s="7" t="s">
        <v>9991</v>
      </c>
      <c r="D2142" s="7" t="s">
        <v>16324</v>
      </c>
      <c r="E2142" s="7" t="s">
        <v>9993</v>
      </c>
      <c r="F2142" s="7" t="s">
        <v>7637</v>
      </c>
      <c r="G2142" s="7" t="s">
        <v>16325</v>
      </c>
      <c r="H2142" s="7" t="s">
        <v>16326</v>
      </c>
      <c r="I2142" s="119">
        <v>45612.0</v>
      </c>
      <c r="K2142" s="7" t="s">
        <v>419</v>
      </c>
      <c r="L2142" s="7" t="s">
        <v>991</v>
      </c>
      <c r="M2142" s="7" t="s">
        <v>3866</v>
      </c>
      <c r="N2142" s="7" t="s">
        <v>419</v>
      </c>
      <c r="O2142" s="7" t="s">
        <v>19437</v>
      </c>
      <c r="P2142" s="7" t="s">
        <v>478</v>
      </c>
      <c r="Q2142" s="7" t="s">
        <v>508</v>
      </c>
      <c r="T2142" s="7" t="s">
        <v>22052</v>
      </c>
      <c r="U2142" s="7" t="s">
        <v>3493</v>
      </c>
      <c r="V2142" s="7">
        <v>1.0</v>
      </c>
    </row>
    <row r="2143">
      <c r="A2143" s="7" t="s">
        <v>22053</v>
      </c>
      <c r="B2143" s="7">
        <v>3000365.0</v>
      </c>
      <c r="C2143" s="7" t="s">
        <v>16330</v>
      </c>
      <c r="D2143" s="7" t="s">
        <v>8554</v>
      </c>
      <c r="E2143" s="7" t="s">
        <v>10926</v>
      </c>
      <c r="F2143" s="7" t="s">
        <v>8554</v>
      </c>
      <c r="G2143" s="7" t="s">
        <v>16331</v>
      </c>
      <c r="H2143" s="7" t="s">
        <v>16332</v>
      </c>
      <c r="I2143" s="119">
        <v>45612.0</v>
      </c>
      <c r="K2143" s="7" t="s">
        <v>419</v>
      </c>
      <c r="L2143" s="7" t="s">
        <v>991</v>
      </c>
      <c r="M2143" s="7" t="s">
        <v>3501</v>
      </c>
      <c r="N2143" s="7" t="s">
        <v>419</v>
      </c>
      <c r="O2143" s="7" t="s">
        <v>19432</v>
      </c>
      <c r="P2143" s="7" t="s">
        <v>298</v>
      </c>
      <c r="Q2143" s="7" t="s">
        <v>304</v>
      </c>
      <c r="R2143" s="7" t="s">
        <v>19905</v>
      </c>
      <c r="S2143" s="7" t="s">
        <v>19906</v>
      </c>
      <c r="T2143" s="7" t="s">
        <v>5175</v>
      </c>
      <c r="U2143" s="7" t="s">
        <v>3493</v>
      </c>
      <c r="V2143" s="7">
        <v>1.0</v>
      </c>
    </row>
    <row r="2144">
      <c r="A2144" s="7" t="s">
        <v>22054</v>
      </c>
      <c r="B2144" s="7">
        <v>3000370.0</v>
      </c>
      <c r="C2144" s="7" t="s">
        <v>15970</v>
      </c>
      <c r="D2144" s="7" t="s">
        <v>13891</v>
      </c>
      <c r="E2144" s="7" t="s">
        <v>15971</v>
      </c>
      <c r="F2144" s="7" t="s">
        <v>4525</v>
      </c>
      <c r="G2144" s="7" t="s">
        <v>16334</v>
      </c>
      <c r="H2144" s="7" t="s">
        <v>16335</v>
      </c>
      <c r="I2144" s="119">
        <v>45612.0</v>
      </c>
      <c r="K2144" s="7" t="s">
        <v>419</v>
      </c>
      <c r="L2144" s="7" t="s">
        <v>991</v>
      </c>
      <c r="M2144" s="7" t="s">
        <v>3531</v>
      </c>
      <c r="N2144" s="7" t="s">
        <v>419</v>
      </c>
      <c r="O2144" s="7" t="s">
        <v>19430</v>
      </c>
      <c r="P2144" s="7" t="s">
        <v>717</v>
      </c>
      <c r="Q2144" s="7" t="s">
        <v>738</v>
      </c>
      <c r="R2144" s="7" t="s">
        <v>20012</v>
      </c>
      <c r="S2144" s="7" t="s">
        <v>20392</v>
      </c>
      <c r="T2144" s="7" t="s">
        <v>7537</v>
      </c>
      <c r="U2144" s="7" t="s">
        <v>3493</v>
      </c>
      <c r="V2144" s="7">
        <v>1.0</v>
      </c>
    </row>
    <row r="2145">
      <c r="A2145" s="7" t="s">
        <v>22055</v>
      </c>
      <c r="B2145" s="7">
        <v>3000374.0</v>
      </c>
      <c r="C2145" s="7" t="s">
        <v>16337</v>
      </c>
      <c r="D2145" s="7" t="s">
        <v>11729</v>
      </c>
      <c r="E2145" s="7" t="s">
        <v>16338</v>
      </c>
      <c r="F2145" s="7" t="s">
        <v>4751</v>
      </c>
      <c r="G2145" s="7" t="s">
        <v>16339</v>
      </c>
      <c r="H2145" s="7" t="s">
        <v>16340</v>
      </c>
      <c r="I2145" s="119">
        <v>45612.0</v>
      </c>
      <c r="K2145" s="7" t="s">
        <v>419</v>
      </c>
      <c r="L2145" s="7" t="s">
        <v>991</v>
      </c>
      <c r="M2145" s="7" t="s">
        <v>3531</v>
      </c>
      <c r="N2145" s="7" t="s">
        <v>419</v>
      </c>
      <c r="O2145" s="7" t="s">
        <v>19432</v>
      </c>
      <c r="P2145" s="7" t="s">
        <v>298</v>
      </c>
      <c r="Q2145" s="7" t="s">
        <v>304</v>
      </c>
      <c r="T2145" s="7" t="s">
        <v>7374</v>
      </c>
      <c r="U2145" s="7" t="s">
        <v>3493</v>
      </c>
      <c r="V2145" s="7">
        <v>1.0</v>
      </c>
    </row>
    <row r="2146">
      <c r="A2146" s="7" t="s">
        <v>22056</v>
      </c>
      <c r="B2146" s="7">
        <v>3000359.0</v>
      </c>
      <c r="C2146" s="7" t="s">
        <v>16342</v>
      </c>
      <c r="D2146" s="7" t="s">
        <v>5301</v>
      </c>
      <c r="E2146" s="7" t="s">
        <v>16343</v>
      </c>
      <c r="F2146" s="7" t="s">
        <v>5295</v>
      </c>
      <c r="G2146" s="7" t="s">
        <v>16344</v>
      </c>
      <c r="H2146" s="7" t="s">
        <v>16345</v>
      </c>
      <c r="I2146" s="119">
        <v>45612.0</v>
      </c>
      <c r="K2146" s="7" t="s">
        <v>419</v>
      </c>
      <c r="L2146" s="7" t="s">
        <v>991</v>
      </c>
      <c r="M2146" s="7" t="s">
        <v>3501</v>
      </c>
      <c r="N2146" s="7" t="s">
        <v>419</v>
      </c>
      <c r="O2146" s="7" t="s">
        <v>19432</v>
      </c>
      <c r="P2146" s="7" t="s">
        <v>693</v>
      </c>
      <c r="Q2146" s="7" t="s">
        <v>701</v>
      </c>
      <c r="R2146" s="7" t="s">
        <v>20587</v>
      </c>
      <c r="S2146" s="7" t="s">
        <v>19611</v>
      </c>
      <c r="T2146" s="7" t="s">
        <v>8504</v>
      </c>
      <c r="U2146" s="7" t="s">
        <v>3493</v>
      </c>
      <c r="V2146" s="7">
        <v>1.0</v>
      </c>
    </row>
    <row r="2147">
      <c r="A2147" s="7" t="s">
        <v>22057</v>
      </c>
      <c r="B2147" s="7">
        <v>3000378.0</v>
      </c>
      <c r="C2147" s="7" t="s">
        <v>13801</v>
      </c>
      <c r="D2147" s="7" t="s">
        <v>15765</v>
      </c>
      <c r="E2147" s="7" t="s">
        <v>13803</v>
      </c>
      <c r="F2147" s="7" t="s">
        <v>6859</v>
      </c>
      <c r="G2147" s="7" t="s">
        <v>16347</v>
      </c>
      <c r="H2147" s="7" t="s">
        <v>16348</v>
      </c>
      <c r="I2147" s="119">
        <v>45612.0</v>
      </c>
      <c r="K2147" s="7" t="s">
        <v>3642</v>
      </c>
      <c r="L2147" s="7" t="s">
        <v>991</v>
      </c>
      <c r="M2147" s="7" t="s">
        <v>3490</v>
      </c>
      <c r="N2147" s="7" t="s">
        <v>3642</v>
      </c>
      <c r="O2147" s="7" t="s">
        <v>3642</v>
      </c>
      <c r="P2147" s="7" t="s">
        <v>19524</v>
      </c>
      <c r="T2147" s="7" t="s">
        <v>3644</v>
      </c>
      <c r="U2147" s="7" t="s">
        <v>3493</v>
      </c>
      <c r="V2147" s="7">
        <v>1.0</v>
      </c>
    </row>
    <row r="2148">
      <c r="A2148" s="7" t="s">
        <v>22058</v>
      </c>
      <c r="B2148" s="7">
        <v>3000398.0</v>
      </c>
      <c r="C2148" s="7" t="s">
        <v>4115</v>
      </c>
      <c r="D2148" s="7" t="s">
        <v>16350</v>
      </c>
      <c r="E2148" s="7" t="s">
        <v>4117</v>
      </c>
      <c r="F2148" s="7" t="s">
        <v>16050</v>
      </c>
      <c r="G2148" s="7" t="s">
        <v>16351</v>
      </c>
      <c r="H2148" s="7" t="s">
        <v>16352</v>
      </c>
      <c r="I2148" s="119">
        <v>45627.0</v>
      </c>
      <c r="K2148" s="7" t="s">
        <v>419</v>
      </c>
      <c r="L2148" s="7" t="s">
        <v>991</v>
      </c>
      <c r="M2148" s="7" t="s">
        <v>3531</v>
      </c>
      <c r="N2148" s="7" t="s">
        <v>419</v>
      </c>
      <c r="O2148" s="7" t="s">
        <v>19430</v>
      </c>
      <c r="P2148" s="7" t="s">
        <v>780</v>
      </c>
      <c r="Q2148" s="7" t="s">
        <v>786</v>
      </c>
      <c r="R2148" s="7" t="s">
        <v>19666</v>
      </c>
      <c r="T2148" s="7" t="s">
        <v>4169</v>
      </c>
      <c r="U2148" s="7" t="s">
        <v>3493</v>
      </c>
      <c r="V2148" s="7">
        <v>1.0</v>
      </c>
    </row>
    <row r="2149">
      <c r="A2149" s="7" t="s">
        <v>22059</v>
      </c>
      <c r="B2149" s="7">
        <v>3000406.0</v>
      </c>
      <c r="C2149" s="7" t="s">
        <v>16354</v>
      </c>
      <c r="D2149" s="7" t="s">
        <v>16355</v>
      </c>
      <c r="E2149" s="7" t="s">
        <v>16356</v>
      </c>
      <c r="F2149" s="7" t="s">
        <v>8194</v>
      </c>
      <c r="G2149" s="7" t="s">
        <v>16357</v>
      </c>
      <c r="H2149" s="7" t="s">
        <v>16358</v>
      </c>
      <c r="I2149" s="119">
        <v>45627.0</v>
      </c>
      <c r="K2149" s="7" t="s">
        <v>3642</v>
      </c>
      <c r="L2149" s="7" t="s">
        <v>991</v>
      </c>
      <c r="M2149" s="7" t="s">
        <v>3531</v>
      </c>
      <c r="N2149" s="7" t="s">
        <v>3642</v>
      </c>
      <c r="O2149" s="7" t="s">
        <v>3642</v>
      </c>
      <c r="P2149" s="7" t="s">
        <v>19524</v>
      </c>
      <c r="T2149" s="7" t="s">
        <v>3644</v>
      </c>
      <c r="U2149" s="7" t="s">
        <v>3493</v>
      </c>
      <c r="V2149" s="7">
        <v>1.0</v>
      </c>
    </row>
    <row r="2150">
      <c r="A2150" s="7" t="s">
        <v>22060</v>
      </c>
      <c r="B2150" s="7">
        <v>3000395.0</v>
      </c>
      <c r="C2150" s="7" t="s">
        <v>4596</v>
      </c>
      <c r="D2150" s="7" t="s">
        <v>16360</v>
      </c>
      <c r="E2150" s="7" t="s">
        <v>4504</v>
      </c>
      <c r="F2150" s="7" t="s">
        <v>16361</v>
      </c>
      <c r="G2150" s="7" t="s">
        <v>16362</v>
      </c>
      <c r="H2150" s="7" t="s">
        <v>16363</v>
      </c>
      <c r="I2150" s="119">
        <v>45627.0</v>
      </c>
      <c r="K2150" s="7" t="s">
        <v>3642</v>
      </c>
      <c r="L2150" s="7" t="s">
        <v>991</v>
      </c>
      <c r="M2150" s="7" t="s">
        <v>3501</v>
      </c>
      <c r="N2150" s="7" t="s">
        <v>3642</v>
      </c>
      <c r="O2150" s="7" t="s">
        <v>3642</v>
      </c>
      <c r="P2150" s="7" t="s">
        <v>19524</v>
      </c>
      <c r="T2150" s="7" t="s">
        <v>3644</v>
      </c>
      <c r="U2150" s="7" t="s">
        <v>3493</v>
      </c>
      <c r="V2150" s="7">
        <v>1.0</v>
      </c>
    </row>
    <row r="2151">
      <c r="A2151" s="7" t="s">
        <v>22061</v>
      </c>
      <c r="B2151" s="7">
        <v>3000402.0</v>
      </c>
      <c r="C2151" s="7" t="s">
        <v>16365</v>
      </c>
      <c r="D2151" s="7" t="s">
        <v>4109</v>
      </c>
      <c r="E2151" s="7" t="s">
        <v>16366</v>
      </c>
      <c r="F2151" s="7" t="s">
        <v>4109</v>
      </c>
      <c r="G2151" s="7" t="s">
        <v>16367</v>
      </c>
      <c r="H2151" s="7" t="s">
        <v>16368</v>
      </c>
      <c r="I2151" s="119">
        <v>45627.0</v>
      </c>
      <c r="K2151" s="7" t="s">
        <v>419</v>
      </c>
      <c r="L2151" s="7" t="s">
        <v>991</v>
      </c>
      <c r="M2151" s="7" t="s">
        <v>3531</v>
      </c>
      <c r="N2151" s="7" t="s">
        <v>419</v>
      </c>
      <c r="O2151" s="7" t="s">
        <v>19443</v>
      </c>
      <c r="P2151" s="7" t="s">
        <v>1242</v>
      </c>
      <c r="Q2151" s="7" t="s">
        <v>43</v>
      </c>
      <c r="R2151" s="7" t="s">
        <v>19566</v>
      </c>
      <c r="S2151" s="7" t="s">
        <v>19668</v>
      </c>
      <c r="T2151" s="7" t="s">
        <v>13224</v>
      </c>
      <c r="U2151" s="7" t="s">
        <v>3493</v>
      </c>
      <c r="V2151" s="7">
        <v>1.0</v>
      </c>
    </row>
    <row r="2152">
      <c r="A2152" s="7" t="s">
        <v>22062</v>
      </c>
      <c r="B2152" s="7">
        <v>3000399.0</v>
      </c>
      <c r="C2152" s="7" t="s">
        <v>5830</v>
      </c>
      <c r="D2152" s="7" t="s">
        <v>16370</v>
      </c>
      <c r="E2152" s="7" t="s">
        <v>5832</v>
      </c>
      <c r="F2152" s="7" t="s">
        <v>3486</v>
      </c>
      <c r="G2152" s="7" t="s">
        <v>16371</v>
      </c>
      <c r="H2152" s="7" t="s">
        <v>16372</v>
      </c>
      <c r="I2152" s="119">
        <v>45627.0</v>
      </c>
      <c r="K2152" s="7" t="s">
        <v>419</v>
      </c>
      <c r="L2152" s="7" t="s">
        <v>991</v>
      </c>
      <c r="M2152" s="7" t="s">
        <v>3531</v>
      </c>
      <c r="N2152" s="7" t="s">
        <v>419</v>
      </c>
      <c r="O2152" s="7" t="s">
        <v>19430</v>
      </c>
      <c r="P2152" s="7" t="s">
        <v>780</v>
      </c>
      <c r="Q2152" s="7" t="s">
        <v>786</v>
      </c>
      <c r="R2152" s="7" t="s">
        <v>20558</v>
      </c>
      <c r="T2152" s="7" t="s">
        <v>16162</v>
      </c>
      <c r="U2152" s="7" t="s">
        <v>3493</v>
      </c>
      <c r="V2152" s="7">
        <v>1.0</v>
      </c>
    </row>
    <row r="2153">
      <c r="A2153" s="7" t="s">
        <v>22063</v>
      </c>
      <c r="B2153" s="7">
        <v>3000390.0</v>
      </c>
      <c r="C2153" s="7" t="s">
        <v>16374</v>
      </c>
      <c r="D2153" s="7" t="s">
        <v>16375</v>
      </c>
      <c r="E2153" s="7" t="s">
        <v>16376</v>
      </c>
      <c r="F2153" s="7" t="s">
        <v>7401</v>
      </c>
      <c r="G2153" s="7" t="s">
        <v>16377</v>
      </c>
      <c r="H2153" s="7" t="s">
        <v>16378</v>
      </c>
      <c r="I2153" s="119">
        <v>45627.0</v>
      </c>
      <c r="K2153" s="7" t="s">
        <v>419</v>
      </c>
      <c r="L2153" s="7" t="s">
        <v>991</v>
      </c>
      <c r="M2153" s="7" t="s">
        <v>3501</v>
      </c>
      <c r="N2153" s="7" t="s">
        <v>419</v>
      </c>
      <c r="O2153" s="7" t="s">
        <v>19430</v>
      </c>
      <c r="P2153" s="7" t="s">
        <v>717</v>
      </c>
      <c r="Q2153" s="7" t="s">
        <v>223</v>
      </c>
      <c r="R2153" s="7" t="s">
        <v>20799</v>
      </c>
      <c r="S2153" s="7" t="s">
        <v>20874</v>
      </c>
      <c r="T2153" s="7" t="s">
        <v>10019</v>
      </c>
      <c r="U2153" s="7" t="s">
        <v>3493</v>
      </c>
      <c r="V2153" s="7">
        <v>1.0</v>
      </c>
    </row>
    <row r="2154">
      <c r="A2154" s="7" t="s">
        <v>22064</v>
      </c>
      <c r="B2154" s="7">
        <v>3000325.0</v>
      </c>
      <c r="C2154" s="7" t="s">
        <v>7411</v>
      </c>
      <c r="D2154" s="7" t="s">
        <v>16380</v>
      </c>
      <c r="E2154" s="7" t="s">
        <v>7413</v>
      </c>
      <c r="F2154" s="7" t="s">
        <v>7007</v>
      </c>
      <c r="G2154" s="7" t="s">
        <v>16381</v>
      </c>
      <c r="H2154" s="7" t="s">
        <v>16382</v>
      </c>
      <c r="I2154" s="119">
        <v>45627.0</v>
      </c>
      <c r="K2154" s="7" t="s">
        <v>419</v>
      </c>
      <c r="L2154" s="7" t="s">
        <v>991</v>
      </c>
      <c r="M2154" s="7" t="s">
        <v>3501</v>
      </c>
      <c r="N2154" s="7" t="s">
        <v>419</v>
      </c>
      <c r="O2154" s="7" t="s">
        <v>19437</v>
      </c>
      <c r="P2154" s="7" t="s">
        <v>478</v>
      </c>
      <c r="Q2154" s="7" t="s">
        <v>484</v>
      </c>
      <c r="R2154" s="7" t="s">
        <v>19624</v>
      </c>
      <c r="T2154" s="7" t="s">
        <v>7835</v>
      </c>
      <c r="U2154" s="7" t="s">
        <v>3493</v>
      </c>
      <c r="V2154" s="7">
        <v>1.0</v>
      </c>
    </row>
    <row r="2155">
      <c r="A2155" s="7" t="s">
        <v>22065</v>
      </c>
      <c r="B2155" s="7">
        <v>3000366.0</v>
      </c>
      <c r="C2155" s="7" t="s">
        <v>8089</v>
      </c>
      <c r="D2155" s="7" t="s">
        <v>6164</v>
      </c>
      <c r="E2155" s="7" t="s">
        <v>8074</v>
      </c>
      <c r="F2155" s="7" t="s">
        <v>6166</v>
      </c>
      <c r="G2155" s="7" t="s">
        <v>16384</v>
      </c>
      <c r="H2155" s="7" t="s">
        <v>16385</v>
      </c>
      <c r="I2155" s="119">
        <v>45627.0</v>
      </c>
      <c r="K2155" s="7" t="s">
        <v>419</v>
      </c>
      <c r="L2155" s="7" t="s">
        <v>991</v>
      </c>
      <c r="M2155" s="7" t="s">
        <v>3583</v>
      </c>
      <c r="N2155" s="7" t="s">
        <v>419</v>
      </c>
      <c r="O2155" s="7" t="s">
        <v>19437</v>
      </c>
      <c r="P2155" s="7" t="s">
        <v>603</v>
      </c>
      <c r="Q2155" s="7" t="s">
        <v>97</v>
      </c>
      <c r="R2155" s="7" t="s">
        <v>19985</v>
      </c>
      <c r="T2155" s="7" t="s">
        <v>5501</v>
      </c>
      <c r="U2155" s="7" t="s">
        <v>3493</v>
      </c>
      <c r="V2155" s="7">
        <v>1.0</v>
      </c>
    </row>
    <row r="2156">
      <c r="A2156" s="7" t="s">
        <v>22066</v>
      </c>
      <c r="B2156" s="7">
        <v>3000392.0</v>
      </c>
      <c r="C2156" s="7" t="s">
        <v>8247</v>
      </c>
      <c r="D2156" s="7" t="s">
        <v>7097</v>
      </c>
      <c r="E2156" s="7" t="s">
        <v>8249</v>
      </c>
      <c r="F2156" s="7" t="s">
        <v>7099</v>
      </c>
      <c r="G2156" s="7" t="s">
        <v>16387</v>
      </c>
      <c r="H2156" s="7" t="s">
        <v>16388</v>
      </c>
      <c r="I2156" s="119">
        <v>45627.0</v>
      </c>
      <c r="K2156" s="7" t="s">
        <v>3632</v>
      </c>
      <c r="L2156" s="7" t="s">
        <v>991</v>
      </c>
      <c r="M2156" s="7" t="s">
        <v>3501</v>
      </c>
      <c r="N2156" s="7" t="s">
        <v>3632</v>
      </c>
      <c r="O2156" s="7" t="s">
        <v>3632</v>
      </c>
      <c r="P2156" s="7" t="s">
        <v>22</v>
      </c>
      <c r="Q2156" s="7" t="s">
        <v>552</v>
      </c>
      <c r="T2156" s="7" t="s">
        <v>16888</v>
      </c>
      <c r="U2156" s="7" t="s">
        <v>3493</v>
      </c>
      <c r="V2156" s="7">
        <v>1.0</v>
      </c>
    </row>
    <row r="2157">
      <c r="A2157" s="7" t="s">
        <v>22067</v>
      </c>
      <c r="B2157" s="7">
        <v>3000306.0</v>
      </c>
      <c r="C2157" s="7" t="s">
        <v>16390</v>
      </c>
      <c r="D2157" s="7" t="s">
        <v>14358</v>
      </c>
      <c r="E2157" s="7" t="s">
        <v>8820</v>
      </c>
      <c r="F2157" s="7" t="s">
        <v>3909</v>
      </c>
      <c r="G2157" s="7" t="s">
        <v>16391</v>
      </c>
      <c r="H2157" s="7" t="s">
        <v>16392</v>
      </c>
      <c r="I2157" s="119">
        <v>45627.0</v>
      </c>
      <c r="K2157" s="7" t="s">
        <v>419</v>
      </c>
      <c r="L2157" s="7" t="s">
        <v>991</v>
      </c>
      <c r="M2157" s="7" t="s">
        <v>3501</v>
      </c>
      <c r="N2157" s="7" t="s">
        <v>419</v>
      </c>
      <c r="O2157" s="7" t="s">
        <v>19443</v>
      </c>
      <c r="P2157" s="7" t="s">
        <v>323</v>
      </c>
      <c r="Q2157" s="7" t="s">
        <v>324</v>
      </c>
      <c r="R2157" s="7" t="s">
        <v>20352</v>
      </c>
      <c r="T2157" s="7" t="s">
        <v>7344</v>
      </c>
      <c r="U2157" s="7" t="s">
        <v>3493</v>
      </c>
      <c r="V2157" s="7">
        <v>1.0</v>
      </c>
    </row>
    <row r="2158">
      <c r="A2158" s="7" t="s">
        <v>22068</v>
      </c>
      <c r="B2158" s="7">
        <v>3000360.0</v>
      </c>
      <c r="C2158" s="7" t="s">
        <v>8818</v>
      </c>
      <c r="D2158" s="7" t="s">
        <v>16394</v>
      </c>
      <c r="E2158" s="7" t="s">
        <v>8820</v>
      </c>
      <c r="F2158" s="7" t="s">
        <v>16395</v>
      </c>
      <c r="G2158" s="7" t="s">
        <v>16396</v>
      </c>
      <c r="H2158" s="7" t="s">
        <v>16397</v>
      </c>
      <c r="I2158" s="119">
        <v>45627.0</v>
      </c>
      <c r="K2158" s="7" t="s">
        <v>419</v>
      </c>
      <c r="L2158" s="7" t="s">
        <v>991</v>
      </c>
      <c r="M2158" s="7" t="s">
        <v>3501</v>
      </c>
      <c r="N2158" s="7" t="s">
        <v>419</v>
      </c>
      <c r="O2158" s="7" t="s">
        <v>19430</v>
      </c>
      <c r="P2158" s="7" t="s">
        <v>780</v>
      </c>
      <c r="Q2158" s="7" t="s">
        <v>786</v>
      </c>
      <c r="R2158" s="7" t="s">
        <v>20558</v>
      </c>
      <c r="T2158" s="7" t="s">
        <v>16162</v>
      </c>
      <c r="U2158" s="7" t="s">
        <v>3493</v>
      </c>
      <c r="V2158" s="7">
        <v>1.0</v>
      </c>
    </row>
    <row r="2159">
      <c r="A2159" s="7" t="s">
        <v>22069</v>
      </c>
      <c r="B2159" s="7">
        <v>3000387.0</v>
      </c>
      <c r="C2159" s="7" t="s">
        <v>9517</v>
      </c>
      <c r="D2159" s="7" t="s">
        <v>16400</v>
      </c>
      <c r="E2159" s="7" t="s">
        <v>9519</v>
      </c>
      <c r="F2159" s="7" t="s">
        <v>15452</v>
      </c>
      <c r="G2159" s="7" t="s">
        <v>16401</v>
      </c>
      <c r="H2159" s="7" t="s">
        <v>16402</v>
      </c>
      <c r="I2159" s="119">
        <v>45627.0</v>
      </c>
      <c r="K2159" s="7" t="s">
        <v>419</v>
      </c>
      <c r="L2159" s="7" t="s">
        <v>991</v>
      </c>
      <c r="M2159" s="7" t="s">
        <v>3501</v>
      </c>
      <c r="N2159" s="7" t="s">
        <v>419</v>
      </c>
      <c r="O2159" s="7" t="s">
        <v>19430</v>
      </c>
      <c r="P2159" s="7" t="s">
        <v>717</v>
      </c>
      <c r="Q2159" s="7" t="s">
        <v>251</v>
      </c>
      <c r="R2159" s="7" t="s">
        <v>19530</v>
      </c>
      <c r="S2159" s="7" t="s">
        <v>19648</v>
      </c>
      <c r="T2159" s="7" t="s">
        <v>4121</v>
      </c>
      <c r="U2159" s="7" t="s">
        <v>3493</v>
      </c>
      <c r="V2159" s="7">
        <v>1.0</v>
      </c>
    </row>
    <row r="2160">
      <c r="A2160" s="7" t="s">
        <v>22070</v>
      </c>
      <c r="B2160" s="7">
        <v>3000391.0</v>
      </c>
      <c r="C2160" s="7" t="s">
        <v>9713</v>
      </c>
      <c r="D2160" s="7" t="s">
        <v>16404</v>
      </c>
      <c r="E2160" s="7" t="s">
        <v>9715</v>
      </c>
      <c r="F2160" s="7" t="s">
        <v>16405</v>
      </c>
      <c r="G2160" s="7" t="s">
        <v>16406</v>
      </c>
      <c r="H2160" s="7" t="s">
        <v>16407</v>
      </c>
      <c r="I2160" s="119">
        <v>45627.0</v>
      </c>
      <c r="K2160" s="7" t="s">
        <v>419</v>
      </c>
      <c r="L2160" s="7" t="s">
        <v>991</v>
      </c>
      <c r="M2160" s="7" t="s">
        <v>3583</v>
      </c>
      <c r="N2160" s="7" t="s">
        <v>419</v>
      </c>
      <c r="O2160" s="7" t="s">
        <v>19432</v>
      </c>
      <c r="P2160" s="7" t="s">
        <v>298</v>
      </c>
      <c r="Q2160" s="7" t="s">
        <v>1284</v>
      </c>
      <c r="R2160" s="7" t="s">
        <v>19845</v>
      </c>
      <c r="T2160" s="7" t="s">
        <v>4863</v>
      </c>
      <c r="U2160" s="7" t="s">
        <v>3493</v>
      </c>
      <c r="V2160" s="7">
        <v>1.0</v>
      </c>
    </row>
    <row r="2161">
      <c r="A2161" s="7" t="s">
        <v>22071</v>
      </c>
      <c r="B2161" s="7">
        <v>3000404.0</v>
      </c>
      <c r="C2161" s="7" t="s">
        <v>11787</v>
      </c>
      <c r="D2161" s="7" t="s">
        <v>4699</v>
      </c>
      <c r="E2161" s="7" t="s">
        <v>11789</v>
      </c>
      <c r="F2161" s="7" t="s">
        <v>4700</v>
      </c>
      <c r="G2161" s="7" t="s">
        <v>16409</v>
      </c>
      <c r="H2161" s="7" t="s">
        <v>16410</v>
      </c>
      <c r="I2161" s="119">
        <v>45627.0</v>
      </c>
      <c r="K2161" s="7" t="s">
        <v>3642</v>
      </c>
      <c r="L2161" s="7" t="s">
        <v>991</v>
      </c>
      <c r="M2161" s="7" t="s">
        <v>3531</v>
      </c>
      <c r="N2161" s="7" t="s">
        <v>3642</v>
      </c>
      <c r="O2161" s="7" t="s">
        <v>3642</v>
      </c>
      <c r="P2161" s="7" t="s">
        <v>19524</v>
      </c>
      <c r="T2161" s="7" t="s">
        <v>3644</v>
      </c>
      <c r="U2161" s="7" t="s">
        <v>3493</v>
      </c>
      <c r="V2161" s="7">
        <v>1.0</v>
      </c>
    </row>
    <row r="2162">
      <c r="A2162" s="7" t="s">
        <v>22072</v>
      </c>
      <c r="B2162" s="7">
        <v>3000401.0</v>
      </c>
      <c r="C2162" s="7" t="s">
        <v>12537</v>
      </c>
      <c r="D2162" s="7" t="s">
        <v>16412</v>
      </c>
      <c r="E2162" s="7" t="s">
        <v>12539</v>
      </c>
      <c r="F2162" s="7" t="s">
        <v>5235</v>
      </c>
      <c r="G2162" s="7" t="s">
        <v>16413</v>
      </c>
      <c r="H2162" s="7" t="s">
        <v>16414</v>
      </c>
      <c r="I2162" s="119">
        <v>45627.0</v>
      </c>
      <c r="K2162" s="7" t="s">
        <v>419</v>
      </c>
      <c r="L2162" s="7" t="s">
        <v>991</v>
      </c>
      <c r="M2162" s="7" t="s">
        <v>3531</v>
      </c>
      <c r="N2162" s="7" t="s">
        <v>419</v>
      </c>
      <c r="O2162" s="7" t="s">
        <v>19430</v>
      </c>
      <c r="P2162" s="7" t="s">
        <v>854</v>
      </c>
      <c r="Q2162" s="7" t="s">
        <v>861</v>
      </c>
      <c r="R2162" s="7" t="s">
        <v>19800</v>
      </c>
      <c r="T2162" s="7" t="s">
        <v>16415</v>
      </c>
      <c r="U2162" s="7" t="s">
        <v>3493</v>
      </c>
      <c r="V2162" s="7">
        <v>1.0</v>
      </c>
    </row>
    <row r="2163">
      <c r="A2163" s="7" t="s">
        <v>22073</v>
      </c>
      <c r="B2163" s="7">
        <v>3000396.0</v>
      </c>
      <c r="C2163" s="7" t="s">
        <v>13007</v>
      </c>
      <c r="D2163" s="7" t="s">
        <v>4676</v>
      </c>
      <c r="E2163" s="7" t="s">
        <v>13008</v>
      </c>
      <c r="F2163" s="7" t="s">
        <v>4677</v>
      </c>
      <c r="G2163" s="7" t="s">
        <v>16417</v>
      </c>
      <c r="H2163" s="7" t="s">
        <v>16418</v>
      </c>
      <c r="I2163" s="119">
        <v>45627.0</v>
      </c>
      <c r="K2163" s="7" t="s">
        <v>3642</v>
      </c>
      <c r="L2163" s="7" t="s">
        <v>991</v>
      </c>
      <c r="M2163" s="7" t="s">
        <v>3501</v>
      </c>
      <c r="N2163" s="7" t="s">
        <v>3642</v>
      </c>
      <c r="O2163" s="7" t="s">
        <v>3642</v>
      </c>
      <c r="P2163" s="7" t="s">
        <v>19524</v>
      </c>
      <c r="T2163" s="7" t="s">
        <v>3644</v>
      </c>
      <c r="U2163" s="7" t="s">
        <v>3493</v>
      </c>
      <c r="V2163" s="7">
        <v>1.0</v>
      </c>
    </row>
    <row r="2164">
      <c r="A2164" s="7" t="s">
        <v>22074</v>
      </c>
      <c r="B2164" s="7">
        <v>3000405.0</v>
      </c>
      <c r="C2164" s="7" t="s">
        <v>13217</v>
      </c>
      <c r="D2164" s="7" t="s">
        <v>16420</v>
      </c>
      <c r="E2164" s="7" t="s">
        <v>13219</v>
      </c>
      <c r="F2164" s="7" t="s">
        <v>4677</v>
      </c>
      <c r="G2164" s="7" t="s">
        <v>16421</v>
      </c>
      <c r="H2164" s="7" t="s">
        <v>16422</v>
      </c>
      <c r="I2164" s="119">
        <v>45627.0</v>
      </c>
      <c r="K2164" s="7" t="s">
        <v>3642</v>
      </c>
      <c r="L2164" s="7" t="s">
        <v>991</v>
      </c>
      <c r="M2164" s="7" t="s">
        <v>3531</v>
      </c>
      <c r="N2164" s="7" t="s">
        <v>3642</v>
      </c>
      <c r="O2164" s="7" t="s">
        <v>3642</v>
      </c>
      <c r="P2164" s="7" t="s">
        <v>19524</v>
      </c>
      <c r="T2164" s="7" t="s">
        <v>3644</v>
      </c>
      <c r="U2164" s="7" t="s">
        <v>3493</v>
      </c>
      <c r="V2164" s="7">
        <v>1.0</v>
      </c>
    </row>
    <row r="2165">
      <c r="A2165" s="7" t="s">
        <v>22075</v>
      </c>
      <c r="B2165" s="7">
        <v>3000385.0</v>
      </c>
      <c r="C2165" s="7" t="s">
        <v>16424</v>
      </c>
      <c r="D2165" s="7" t="s">
        <v>16425</v>
      </c>
      <c r="E2165" s="7" t="s">
        <v>16426</v>
      </c>
      <c r="F2165" s="7" t="s">
        <v>4539</v>
      </c>
      <c r="G2165" s="7" t="s">
        <v>16427</v>
      </c>
      <c r="H2165" s="7" t="s">
        <v>16428</v>
      </c>
      <c r="I2165" s="119">
        <v>45627.0</v>
      </c>
      <c r="K2165" s="7" t="s">
        <v>419</v>
      </c>
      <c r="L2165" s="7" t="s">
        <v>991</v>
      </c>
      <c r="M2165" s="7" t="s">
        <v>3501</v>
      </c>
      <c r="N2165" s="7" t="s">
        <v>419</v>
      </c>
      <c r="O2165" s="7" t="s">
        <v>19430</v>
      </c>
      <c r="P2165" s="7" t="s">
        <v>717</v>
      </c>
      <c r="Q2165" s="7" t="s">
        <v>725</v>
      </c>
      <c r="R2165" s="7" t="s">
        <v>19494</v>
      </c>
      <c r="S2165" s="7" t="s">
        <v>19791</v>
      </c>
      <c r="T2165" s="7" t="s">
        <v>4652</v>
      </c>
      <c r="U2165" s="7" t="s">
        <v>3493</v>
      </c>
      <c r="V2165" s="7">
        <v>1.0</v>
      </c>
    </row>
    <row r="2166">
      <c r="A2166" s="7" t="s">
        <v>22076</v>
      </c>
      <c r="B2166" s="7">
        <v>3000321.0</v>
      </c>
      <c r="C2166" s="7" t="s">
        <v>16430</v>
      </c>
      <c r="D2166" s="7" t="s">
        <v>5153</v>
      </c>
      <c r="E2166" s="7" t="s">
        <v>16431</v>
      </c>
      <c r="F2166" s="7" t="s">
        <v>5155</v>
      </c>
      <c r="G2166" s="7" t="s">
        <v>16432</v>
      </c>
      <c r="H2166" s="7" t="s">
        <v>16433</v>
      </c>
      <c r="I2166" s="119">
        <v>45627.0</v>
      </c>
      <c r="K2166" s="7" t="s">
        <v>419</v>
      </c>
      <c r="L2166" s="7" t="s">
        <v>991</v>
      </c>
      <c r="M2166" s="7" t="s">
        <v>3501</v>
      </c>
      <c r="N2166" s="7" t="s">
        <v>419</v>
      </c>
      <c r="O2166" s="7" t="s">
        <v>19430</v>
      </c>
      <c r="P2166" s="7" t="s">
        <v>780</v>
      </c>
      <c r="Q2166" s="7" t="s">
        <v>786</v>
      </c>
      <c r="R2166" s="7" t="s">
        <v>19666</v>
      </c>
      <c r="T2166" s="7" t="s">
        <v>4169</v>
      </c>
      <c r="U2166" s="7" t="s">
        <v>3493</v>
      </c>
      <c r="V2166" s="7">
        <v>1.0</v>
      </c>
    </row>
    <row r="2167">
      <c r="A2167" s="7" t="s">
        <v>22077</v>
      </c>
      <c r="B2167" s="7">
        <v>3000418.0</v>
      </c>
      <c r="C2167" s="7" t="s">
        <v>16435</v>
      </c>
      <c r="D2167" s="7" t="s">
        <v>16436</v>
      </c>
      <c r="E2167" s="7" t="s">
        <v>16437</v>
      </c>
      <c r="F2167" s="7" t="s">
        <v>16438</v>
      </c>
      <c r="G2167" s="7" t="s">
        <v>16439</v>
      </c>
      <c r="H2167" s="7" t="s">
        <v>16440</v>
      </c>
      <c r="I2167" s="119">
        <v>45642.0</v>
      </c>
      <c r="K2167" s="7" t="s">
        <v>3632</v>
      </c>
      <c r="L2167" s="7" t="s">
        <v>991</v>
      </c>
      <c r="M2167" s="7" t="s">
        <v>3583</v>
      </c>
      <c r="N2167" s="7" t="s">
        <v>3632</v>
      </c>
      <c r="O2167" s="7" t="s">
        <v>3632</v>
      </c>
      <c r="P2167" s="7" t="s">
        <v>429</v>
      </c>
      <c r="Q2167" s="7" t="s">
        <v>432</v>
      </c>
      <c r="T2167" s="7" t="s">
        <v>19446</v>
      </c>
      <c r="U2167" s="7" t="s">
        <v>3493</v>
      </c>
      <c r="V2167" s="7">
        <v>1.0</v>
      </c>
    </row>
    <row r="2168">
      <c r="A2168" s="7" t="s">
        <v>22078</v>
      </c>
      <c r="B2168" s="7">
        <v>3000419.0</v>
      </c>
      <c r="C2168" s="7" t="s">
        <v>4218</v>
      </c>
      <c r="D2168" s="7" t="s">
        <v>16442</v>
      </c>
      <c r="E2168" s="7" t="s">
        <v>4220</v>
      </c>
      <c r="F2168" s="7" t="s">
        <v>5860</v>
      </c>
      <c r="G2168" s="7" t="s">
        <v>16443</v>
      </c>
      <c r="H2168" s="7" t="s">
        <v>16444</v>
      </c>
      <c r="I2168" s="119">
        <v>45642.0</v>
      </c>
      <c r="K2168" s="7" t="s">
        <v>3632</v>
      </c>
      <c r="L2168" s="7" t="s">
        <v>991</v>
      </c>
      <c r="M2168" s="7" t="s">
        <v>3531</v>
      </c>
      <c r="N2168" s="7" t="s">
        <v>3632</v>
      </c>
      <c r="O2168" s="7" t="s">
        <v>3632</v>
      </c>
      <c r="P2168" s="7" t="s">
        <v>625</v>
      </c>
      <c r="Q2168" s="7" t="s">
        <v>118</v>
      </c>
      <c r="R2168" s="7" t="s">
        <v>20076</v>
      </c>
      <c r="T2168" s="7" t="s">
        <v>6924</v>
      </c>
      <c r="U2168" s="7" t="s">
        <v>3493</v>
      </c>
      <c r="V2168" s="7">
        <v>1.0</v>
      </c>
    </row>
    <row r="2169">
      <c r="A2169" s="7" t="s">
        <v>22079</v>
      </c>
      <c r="B2169" s="7">
        <v>3000424.0</v>
      </c>
      <c r="C2169" s="7" t="s">
        <v>16446</v>
      </c>
      <c r="D2169" s="7" t="s">
        <v>16447</v>
      </c>
      <c r="E2169" s="7" t="s">
        <v>16448</v>
      </c>
      <c r="F2169" s="7" t="s">
        <v>6262</v>
      </c>
      <c r="G2169" s="7" t="s">
        <v>16449</v>
      </c>
      <c r="H2169" s="7" t="s">
        <v>16450</v>
      </c>
      <c r="I2169" s="119">
        <v>45642.0</v>
      </c>
      <c r="K2169" s="7" t="s">
        <v>419</v>
      </c>
      <c r="L2169" s="7" t="s">
        <v>991</v>
      </c>
      <c r="M2169" s="7" t="s">
        <v>3531</v>
      </c>
      <c r="N2169" s="7" t="s">
        <v>419</v>
      </c>
      <c r="O2169" s="7" t="s">
        <v>19432</v>
      </c>
      <c r="P2169" s="7" t="s">
        <v>693</v>
      </c>
      <c r="Q2169" s="7" t="s">
        <v>698</v>
      </c>
      <c r="R2169" s="7" t="s">
        <v>20004</v>
      </c>
      <c r="S2169" s="7" t="s">
        <v>19820</v>
      </c>
      <c r="T2169" s="7" t="s">
        <v>5606</v>
      </c>
      <c r="U2169" s="7" t="s">
        <v>3493</v>
      </c>
      <c r="V2169" s="7">
        <v>1.0</v>
      </c>
    </row>
    <row r="2170">
      <c r="A2170" s="7" t="s">
        <v>22080</v>
      </c>
      <c r="B2170" s="7">
        <v>3000417.0</v>
      </c>
      <c r="C2170" s="7" t="s">
        <v>16452</v>
      </c>
      <c r="D2170" s="7" t="s">
        <v>16453</v>
      </c>
      <c r="E2170" s="7" t="s">
        <v>4687</v>
      </c>
      <c r="F2170" s="7" t="s">
        <v>11599</v>
      </c>
      <c r="G2170" s="7" t="s">
        <v>16454</v>
      </c>
      <c r="H2170" s="7" t="s">
        <v>16455</v>
      </c>
      <c r="I2170" s="119">
        <v>45642.0</v>
      </c>
      <c r="K2170" s="7" t="s">
        <v>419</v>
      </c>
      <c r="L2170" s="7" t="s">
        <v>991</v>
      </c>
      <c r="M2170" s="7" t="s">
        <v>3531</v>
      </c>
      <c r="N2170" s="7" t="s">
        <v>419</v>
      </c>
      <c r="O2170" s="7" t="s">
        <v>19443</v>
      </c>
      <c r="P2170" s="7" t="s">
        <v>323</v>
      </c>
      <c r="Q2170" s="7" t="s">
        <v>824</v>
      </c>
      <c r="R2170" s="7" t="s">
        <v>19570</v>
      </c>
      <c r="T2170" s="7" t="s">
        <v>8116</v>
      </c>
      <c r="U2170" s="7" t="s">
        <v>3493</v>
      </c>
      <c r="V2170" s="7">
        <v>1.0</v>
      </c>
    </row>
    <row r="2171">
      <c r="A2171" s="7" t="s">
        <v>22081</v>
      </c>
      <c r="B2171" s="7">
        <v>3000430.0</v>
      </c>
      <c r="C2171" s="7" t="s">
        <v>16457</v>
      </c>
      <c r="D2171" s="7" t="s">
        <v>16458</v>
      </c>
      <c r="E2171" s="7" t="s">
        <v>16459</v>
      </c>
      <c r="F2171" s="7" t="s">
        <v>16460</v>
      </c>
      <c r="G2171" s="7" t="s">
        <v>16461</v>
      </c>
      <c r="H2171" s="7" t="s">
        <v>16462</v>
      </c>
      <c r="I2171" s="119">
        <v>45642.0</v>
      </c>
      <c r="K2171" s="7" t="s">
        <v>419</v>
      </c>
      <c r="L2171" s="7" t="s">
        <v>991</v>
      </c>
      <c r="M2171" s="7" t="s">
        <v>3531</v>
      </c>
      <c r="N2171" s="7" t="s">
        <v>419</v>
      </c>
      <c r="O2171" s="7" t="s">
        <v>19437</v>
      </c>
      <c r="P2171" s="7" t="s">
        <v>478</v>
      </c>
      <c r="Q2171" s="7" t="s">
        <v>491</v>
      </c>
      <c r="T2171" s="7" t="s">
        <v>16463</v>
      </c>
      <c r="U2171" s="7" t="s">
        <v>3493</v>
      </c>
      <c r="V2171" s="7">
        <v>1.0</v>
      </c>
    </row>
    <row r="2172">
      <c r="A2172" s="7" t="s">
        <v>22082</v>
      </c>
      <c r="B2172" s="7">
        <v>3000421.0</v>
      </c>
      <c r="C2172" s="7" t="s">
        <v>16465</v>
      </c>
      <c r="D2172" s="7" t="s">
        <v>9683</v>
      </c>
      <c r="E2172" s="7" t="s">
        <v>16466</v>
      </c>
      <c r="F2172" s="7" t="s">
        <v>3486</v>
      </c>
      <c r="G2172" s="7" t="s">
        <v>16467</v>
      </c>
      <c r="H2172" s="7" t="s">
        <v>16468</v>
      </c>
      <c r="I2172" s="119">
        <v>45642.0</v>
      </c>
      <c r="K2172" s="7" t="s">
        <v>3632</v>
      </c>
      <c r="L2172" s="7" t="s">
        <v>991</v>
      </c>
      <c r="M2172" s="7" t="s">
        <v>3583</v>
      </c>
      <c r="N2172" s="7" t="s">
        <v>3632</v>
      </c>
      <c r="O2172" s="7" t="s">
        <v>3632</v>
      </c>
      <c r="P2172" s="7" t="s">
        <v>625</v>
      </c>
      <c r="Q2172" s="7" t="s">
        <v>626</v>
      </c>
      <c r="R2172" s="7" t="s">
        <v>19672</v>
      </c>
      <c r="T2172" s="7" t="s">
        <v>4191</v>
      </c>
      <c r="U2172" s="7" t="s">
        <v>3493</v>
      </c>
      <c r="V2172" s="7">
        <v>1.0</v>
      </c>
    </row>
    <row r="2173">
      <c r="A2173" s="7" t="s">
        <v>22083</v>
      </c>
      <c r="B2173" s="7">
        <v>3000422.0</v>
      </c>
      <c r="C2173" s="7" t="s">
        <v>12771</v>
      </c>
      <c r="D2173" s="7" t="s">
        <v>3837</v>
      </c>
      <c r="E2173" s="7" t="s">
        <v>12765</v>
      </c>
      <c r="F2173" s="7" t="s">
        <v>3838</v>
      </c>
      <c r="G2173" s="7" t="s">
        <v>16470</v>
      </c>
      <c r="H2173" s="7" t="s">
        <v>16471</v>
      </c>
      <c r="I2173" s="119">
        <v>45642.0</v>
      </c>
      <c r="K2173" s="7" t="s">
        <v>3632</v>
      </c>
      <c r="L2173" s="7" t="s">
        <v>991</v>
      </c>
      <c r="M2173" s="7" t="s">
        <v>3583</v>
      </c>
      <c r="N2173" s="7" t="s">
        <v>3632</v>
      </c>
      <c r="O2173" s="7" t="s">
        <v>3632</v>
      </c>
      <c r="P2173" s="7" t="s">
        <v>625</v>
      </c>
      <c r="Q2173" s="7" t="s">
        <v>626</v>
      </c>
      <c r="R2173" s="7" t="s">
        <v>19672</v>
      </c>
      <c r="T2173" s="7" t="s">
        <v>4191</v>
      </c>
      <c r="U2173" s="7" t="s">
        <v>3493</v>
      </c>
      <c r="V2173" s="7">
        <v>1.0</v>
      </c>
    </row>
    <row r="2174">
      <c r="A2174" s="7" t="s">
        <v>22084</v>
      </c>
      <c r="B2174" s="7">
        <v>3000409.0</v>
      </c>
      <c r="C2174" s="7" t="s">
        <v>12862</v>
      </c>
      <c r="D2174" s="7" t="s">
        <v>16473</v>
      </c>
      <c r="E2174" s="7" t="s">
        <v>12864</v>
      </c>
      <c r="F2174" s="7" t="s">
        <v>16474</v>
      </c>
      <c r="G2174" s="7" t="s">
        <v>16475</v>
      </c>
      <c r="H2174" s="7" t="s">
        <v>16476</v>
      </c>
      <c r="I2174" s="119">
        <v>45642.0</v>
      </c>
      <c r="K2174" s="7" t="s">
        <v>419</v>
      </c>
      <c r="L2174" s="7" t="s">
        <v>991</v>
      </c>
      <c r="M2174" s="7" t="s">
        <v>3583</v>
      </c>
      <c r="N2174" s="7" t="s">
        <v>419</v>
      </c>
      <c r="O2174" s="7" t="s">
        <v>19440</v>
      </c>
      <c r="P2174" s="7" t="s">
        <v>613</v>
      </c>
      <c r="Q2174" s="7" t="s">
        <v>104</v>
      </c>
      <c r="R2174" s="7" t="s">
        <v>19729</v>
      </c>
      <c r="S2174" s="7" t="s">
        <v>19519</v>
      </c>
      <c r="T2174" s="7" t="s">
        <v>12794</v>
      </c>
      <c r="U2174" s="7" t="s">
        <v>3493</v>
      </c>
      <c r="V2174" s="7">
        <v>1.0</v>
      </c>
    </row>
    <row r="2175">
      <c r="A2175" s="7" t="s">
        <v>22085</v>
      </c>
      <c r="B2175" s="7">
        <v>3000415.0</v>
      </c>
      <c r="C2175" s="7" t="s">
        <v>14373</v>
      </c>
      <c r="D2175" s="7" t="s">
        <v>16478</v>
      </c>
      <c r="E2175" s="7" t="s">
        <v>14374</v>
      </c>
      <c r="F2175" s="7" t="s">
        <v>14949</v>
      </c>
      <c r="G2175" s="7" t="s">
        <v>16479</v>
      </c>
      <c r="H2175" s="7" t="s">
        <v>16480</v>
      </c>
      <c r="I2175" s="119">
        <v>45642.0</v>
      </c>
      <c r="K2175" s="7" t="s">
        <v>419</v>
      </c>
      <c r="L2175" s="7" t="s">
        <v>991</v>
      </c>
      <c r="M2175" s="7" t="s">
        <v>3583</v>
      </c>
      <c r="N2175" s="7" t="s">
        <v>419</v>
      </c>
      <c r="O2175" s="7" t="s">
        <v>19430</v>
      </c>
      <c r="P2175" s="7" t="s">
        <v>780</v>
      </c>
      <c r="Q2175" s="7" t="s">
        <v>786</v>
      </c>
      <c r="R2175" s="7" t="s">
        <v>19666</v>
      </c>
      <c r="T2175" s="7" t="s">
        <v>4169</v>
      </c>
      <c r="U2175" s="7" t="s">
        <v>3493</v>
      </c>
      <c r="V2175" s="7">
        <v>1.0</v>
      </c>
    </row>
    <row r="2176">
      <c r="A2176" s="7" t="s">
        <v>22086</v>
      </c>
      <c r="B2176" s="7">
        <v>3000435.0</v>
      </c>
      <c r="C2176" s="7" t="s">
        <v>16482</v>
      </c>
      <c r="D2176" s="7" t="s">
        <v>16483</v>
      </c>
      <c r="E2176" s="7" t="s">
        <v>16484</v>
      </c>
      <c r="F2176" s="7" t="s">
        <v>3656</v>
      </c>
      <c r="G2176" s="7" t="s">
        <v>16485</v>
      </c>
      <c r="H2176" s="7" t="s">
        <v>16486</v>
      </c>
      <c r="I2176" s="119">
        <v>45658.0</v>
      </c>
      <c r="K2176" s="7" t="s">
        <v>419</v>
      </c>
      <c r="L2176" s="7" t="s">
        <v>991</v>
      </c>
      <c r="M2176" s="7" t="s">
        <v>3501</v>
      </c>
      <c r="N2176" s="7" t="s">
        <v>419</v>
      </c>
      <c r="O2176" s="7" t="s">
        <v>19430</v>
      </c>
      <c r="P2176" s="7" t="s">
        <v>717</v>
      </c>
      <c r="Q2176" s="7" t="s">
        <v>1163</v>
      </c>
      <c r="R2176" s="7" t="s">
        <v>20110</v>
      </c>
      <c r="S2176" s="7" t="s">
        <v>20111</v>
      </c>
      <c r="T2176" s="7" t="s">
        <v>6084</v>
      </c>
      <c r="U2176" s="7" t="s">
        <v>3493</v>
      </c>
      <c r="V2176" s="7">
        <v>1.0</v>
      </c>
    </row>
    <row r="2177">
      <c r="A2177" s="7" t="s">
        <v>22087</v>
      </c>
      <c r="B2177" s="7">
        <v>3000444.0</v>
      </c>
      <c r="C2177" s="7" t="s">
        <v>4268</v>
      </c>
      <c r="D2177" s="7" t="s">
        <v>16488</v>
      </c>
      <c r="E2177" s="7" t="s">
        <v>4270</v>
      </c>
      <c r="F2177" s="7" t="s">
        <v>4271</v>
      </c>
      <c r="G2177" s="7" t="s">
        <v>16489</v>
      </c>
      <c r="H2177" s="7" t="s">
        <v>16490</v>
      </c>
      <c r="I2177" s="119">
        <v>45658.0</v>
      </c>
      <c r="K2177" s="7" t="s">
        <v>419</v>
      </c>
      <c r="L2177" s="7" t="s">
        <v>991</v>
      </c>
      <c r="M2177" s="7" t="s">
        <v>16212</v>
      </c>
      <c r="N2177" s="7" t="s">
        <v>419</v>
      </c>
      <c r="O2177" s="7" t="s">
        <v>19433</v>
      </c>
      <c r="P2177" s="7" t="s">
        <v>648</v>
      </c>
      <c r="Q2177" s="7" t="s">
        <v>155</v>
      </c>
      <c r="T2177" s="7" t="s">
        <v>19476</v>
      </c>
      <c r="U2177" s="7" t="s">
        <v>3493</v>
      </c>
      <c r="V2177" s="7">
        <v>1.0</v>
      </c>
    </row>
    <row r="2178">
      <c r="A2178" s="7" t="s">
        <v>22088</v>
      </c>
      <c r="B2178" s="7">
        <v>3000439.0</v>
      </c>
      <c r="C2178" s="7" t="s">
        <v>16493</v>
      </c>
      <c r="D2178" s="7" t="s">
        <v>16494</v>
      </c>
      <c r="E2178" s="7" t="s">
        <v>16495</v>
      </c>
      <c r="F2178" s="7" t="s">
        <v>14024</v>
      </c>
      <c r="G2178" s="7" t="s">
        <v>16496</v>
      </c>
      <c r="H2178" s="7" t="s">
        <v>16497</v>
      </c>
      <c r="I2178" s="119">
        <v>45658.0</v>
      </c>
      <c r="K2178" s="7" t="s">
        <v>419</v>
      </c>
      <c r="L2178" s="7" t="s">
        <v>991</v>
      </c>
      <c r="M2178" s="7" t="s">
        <v>3866</v>
      </c>
      <c r="N2178" s="7" t="s">
        <v>419</v>
      </c>
      <c r="O2178" s="7" t="s">
        <v>19437</v>
      </c>
      <c r="P2178" s="7" t="s">
        <v>478</v>
      </c>
      <c r="Q2178" s="7" t="s">
        <v>508</v>
      </c>
      <c r="T2178" s="7" t="s">
        <v>22052</v>
      </c>
      <c r="U2178" s="7" t="s">
        <v>3493</v>
      </c>
      <c r="V2178" s="7">
        <v>1.0</v>
      </c>
    </row>
    <row r="2179">
      <c r="A2179" s="7" t="s">
        <v>22089</v>
      </c>
      <c r="B2179" s="7">
        <v>3000449.0</v>
      </c>
      <c r="C2179" s="7" t="s">
        <v>5701</v>
      </c>
      <c r="D2179" s="7" t="s">
        <v>4219</v>
      </c>
      <c r="E2179" s="7" t="s">
        <v>5703</v>
      </c>
      <c r="F2179" s="7" t="s">
        <v>4221</v>
      </c>
      <c r="G2179" s="7" t="s">
        <v>16500</v>
      </c>
      <c r="H2179" s="7" t="s">
        <v>16501</v>
      </c>
      <c r="I2179" s="119">
        <v>45658.0</v>
      </c>
      <c r="K2179" s="7" t="s">
        <v>419</v>
      </c>
      <c r="L2179" s="7" t="s">
        <v>991</v>
      </c>
      <c r="M2179" s="7" t="s">
        <v>3583</v>
      </c>
      <c r="N2179" s="7" t="s">
        <v>419</v>
      </c>
      <c r="O2179" s="7" t="s">
        <v>19437</v>
      </c>
      <c r="P2179" s="7" t="s">
        <v>478</v>
      </c>
      <c r="Q2179" s="7" t="s">
        <v>487</v>
      </c>
      <c r="R2179" s="7" t="s">
        <v>19499</v>
      </c>
      <c r="T2179" s="7" t="s">
        <v>8093</v>
      </c>
      <c r="U2179" s="7" t="s">
        <v>3493</v>
      </c>
      <c r="V2179" s="7">
        <v>1.0</v>
      </c>
    </row>
    <row r="2180">
      <c r="A2180" s="7" t="s">
        <v>22090</v>
      </c>
      <c r="B2180" s="7">
        <v>3000453.0</v>
      </c>
      <c r="C2180" s="7" t="s">
        <v>6098</v>
      </c>
      <c r="D2180" s="7" t="s">
        <v>5248</v>
      </c>
      <c r="E2180" s="7" t="s">
        <v>6100</v>
      </c>
      <c r="F2180" s="7" t="s">
        <v>5250</v>
      </c>
      <c r="G2180" s="7" t="s">
        <v>16505</v>
      </c>
      <c r="H2180" s="7" t="s">
        <v>16506</v>
      </c>
      <c r="I2180" s="119">
        <v>45658.0</v>
      </c>
      <c r="K2180" s="7" t="s">
        <v>419</v>
      </c>
      <c r="L2180" s="7" t="s">
        <v>991</v>
      </c>
      <c r="M2180" s="7" t="s">
        <v>3531</v>
      </c>
      <c r="N2180" s="7" t="s">
        <v>419</v>
      </c>
      <c r="O2180" s="7" t="s">
        <v>19432</v>
      </c>
      <c r="P2180" s="7" t="s">
        <v>298</v>
      </c>
      <c r="Q2180" s="7" t="s">
        <v>1284</v>
      </c>
      <c r="R2180" s="7" t="s">
        <v>20190</v>
      </c>
      <c r="S2180" s="7" t="s">
        <v>21097</v>
      </c>
      <c r="T2180" s="7" t="s">
        <v>14663</v>
      </c>
      <c r="U2180" s="7" t="s">
        <v>3493</v>
      </c>
      <c r="V2180" s="7">
        <v>1.0</v>
      </c>
    </row>
    <row r="2181">
      <c r="A2181" s="7" t="s">
        <v>22091</v>
      </c>
      <c r="B2181" s="7">
        <v>3000320.0</v>
      </c>
      <c r="C2181" s="7" t="s">
        <v>16508</v>
      </c>
      <c r="D2181" s="7" t="s">
        <v>16509</v>
      </c>
      <c r="E2181" s="7" t="s">
        <v>16510</v>
      </c>
      <c r="F2181" s="7" t="s">
        <v>7414</v>
      </c>
      <c r="G2181" s="7" t="s">
        <v>16511</v>
      </c>
      <c r="H2181" s="7" t="s">
        <v>16512</v>
      </c>
      <c r="I2181" s="119">
        <v>45658.0</v>
      </c>
      <c r="K2181" s="7" t="s">
        <v>419</v>
      </c>
      <c r="L2181" s="7" t="s">
        <v>991</v>
      </c>
      <c r="M2181" s="7" t="s">
        <v>3501</v>
      </c>
      <c r="N2181" s="7" t="s">
        <v>419</v>
      </c>
      <c r="O2181" s="7" t="s">
        <v>19443</v>
      </c>
      <c r="P2181" s="7" t="s">
        <v>323</v>
      </c>
      <c r="Q2181" s="7" t="s">
        <v>824</v>
      </c>
      <c r="R2181" s="7" t="s">
        <v>19698</v>
      </c>
      <c r="T2181" s="7" t="s">
        <v>4297</v>
      </c>
      <c r="U2181" s="7" t="s">
        <v>3604</v>
      </c>
      <c r="V2181" s="7">
        <v>1.0</v>
      </c>
    </row>
    <row r="2182">
      <c r="A2182" s="7" t="s">
        <v>22092</v>
      </c>
      <c r="B2182" s="7">
        <v>3000443.0</v>
      </c>
      <c r="C2182" s="7" t="s">
        <v>8429</v>
      </c>
      <c r="D2182" s="7" t="s">
        <v>16514</v>
      </c>
      <c r="E2182" s="7" t="s">
        <v>8431</v>
      </c>
      <c r="F2182" s="7" t="s">
        <v>16515</v>
      </c>
      <c r="G2182" s="7" t="s">
        <v>16516</v>
      </c>
      <c r="H2182" s="7" t="s">
        <v>16517</v>
      </c>
      <c r="I2182" s="119">
        <v>45658.0</v>
      </c>
      <c r="K2182" s="7" t="s">
        <v>3622</v>
      </c>
      <c r="L2182" s="7" t="s">
        <v>991</v>
      </c>
      <c r="M2182" s="7" t="s">
        <v>3866</v>
      </c>
      <c r="N2182" s="7" t="s">
        <v>3622</v>
      </c>
      <c r="O2182" s="7" t="s">
        <v>3622</v>
      </c>
      <c r="P2182" s="7" t="s">
        <v>19521</v>
      </c>
      <c r="T2182" s="7" t="s">
        <v>3624</v>
      </c>
      <c r="U2182" s="7" t="s">
        <v>3493</v>
      </c>
      <c r="V2182" s="7">
        <v>1.0</v>
      </c>
    </row>
    <row r="2183">
      <c r="A2183" s="7" t="s">
        <v>22093</v>
      </c>
      <c r="B2183" s="7">
        <v>3000381.0</v>
      </c>
      <c r="C2183" s="7" t="s">
        <v>9606</v>
      </c>
      <c r="D2183" s="7" t="s">
        <v>16519</v>
      </c>
      <c r="E2183" s="7" t="s">
        <v>9572</v>
      </c>
      <c r="F2183" s="7" t="s">
        <v>3909</v>
      </c>
      <c r="G2183" s="7" t="s">
        <v>16520</v>
      </c>
      <c r="H2183" s="7" t="s">
        <v>16521</v>
      </c>
      <c r="I2183" s="119">
        <v>45658.0</v>
      </c>
      <c r="K2183" s="7" t="s">
        <v>419</v>
      </c>
      <c r="L2183" s="7" t="s">
        <v>991</v>
      </c>
      <c r="M2183" s="7" t="s">
        <v>3501</v>
      </c>
      <c r="N2183" s="7" t="s">
        <v>419</v>
      </c>
      <c r="O2183" s="7" t="s">
        <v>19443</v>
      </c>
      <c r="P2183" s="7" t="s">
        <v>323</v>
      </c>
      <c r="Q2183" s="7" t="s">
        <v>821</v>
      </c>
      <c r="R2183" s="7" t="s">
        <v>20103</v>
      </c>
      <c r="T2183" s="7" t="s">
        <v>20104</v>
      </c>
      <c r="U2183" s="7" t="s">
        <v>3493</v>
      </c>
      <c r="V2183" s="7">
        <v>1.0</v>
      </c>
    </row>
    <row r="2184">
      <c r="A2184" s="7" t="s">
        <v>22094</v>
      </c>
      <c r="B2184" s="7">
        <v>3000448.0</v>
      </c>
      <c r="C2184" s="7" t="s">
        <v>16523</v>
      </c>
      <c r="D2184" s="7" t="s">
        <v>16524</v>
      </c>
      <c r="E2184" s="7" t="s">
        <v>16525</v>
      </c>
      <c r="F2184" s="7" t="s">
        <v>8256</v>
      </c>
      <c r="G2184" s="7" t="s">
        <v>16526</v>
      </c>
      <c r="H2184" s="7" t="s">
        <v>16527</v>
      </c>
      <c r="I2184" s="119">
        <v>45658.0</v>
      </c>
      <c r="K2184" s="7" t="s">
        <v>419</v>
      </c>
      <c r="L2184" s="7" t="s">
        <v>991</v>
      </c>
      <c r="M2184" s="7" t="s">
        <v>3531</v>
      </c>
      <c r="N2184" s="7" t="s">
        <v>419</v>
      </c>
      <c r="O2184" s="7" t="s">
        <v>19430</v>
      </c>
      <c r="P2184" s="7" t="s">
        <v>717</v>
      </c>
      <c r="Q2184" s="7" t="s">
        <v>725</v>
      </c>
      <c r="R2184" s="7" t="s">
        <v>19741</v>
      </c>
      <c r="S2184" s="7" t="s">
        <v>19495</v>
      </c>
      <c r="T2184" s="7" t="s">
        <v>10122</v>
      </c>
      <c r="U2184" s="7" t="s">
        <v>3493</v>
      </c>
      <c r="V2184" s="7">
        <v>1.0</v>
      </c>
    </row>
    <row r="2185">
      <c r="A2185" s="7" t="s">
        <v>22095</v>
      </c>
      <c r="B2185" s="7">
        <v>3000462.0</v>
      </c>
      <c r="C2185" s="7" t="s">
        <v>10005</v>
      </c>
      <c r="D2185" s="7" t="s">
        <v>16529</v>
      </c>
      <c r="E2185" s="7" t="s">
        <v>10006</v>
      </c>
      <c r="F2185" s="7" t="s">
        <v>11382</v>
      </c>
      <c r="G2185" s="7" t="s">
        <v>16530</v>
      </c>
      <c r="H2185" s="7" t="s">
        <v>16531</v>
      </c>
      <c r="I2185" s="119">
        <v>45658.0</v>
      </c>
      <c r="K2185" s="7" t="s">
        <v>4042</v>
      </c>
      <c r="L2185" s="7" t="s">
        <v>991</v>
      </c>
      <c r="M2185" s="7" t="s">
        <v>3501</v>
      </c>
      <c r="N2185" s="7" t="s">
        <v>4042</v>
      </c>
      <c r="O2185" s="7" t="s">
        <v>4042</v>
      </c>
      <c r="P2185" s="7" t="s">
        <v>19632</v>
      </c>
      <c r="T2185" s="7" t="s">
        <v>4044</v>
      </c>
      <c r="U2185" s="7" t="s">
        <v>3493</v>
      </c>
      <c r="V2185" s="7">
        <v>1.0</v>
      </c>
    </row>
    <row r="2186">
      <c r="A2186" s="7" t="s">
        <v>22096</v>
      </c>
      <c r="B2186" s="7">
        <v>3000326.0</v>
      </c>
      <c r="C2186" s="7" t="s">
        <v>16533</v>
      </c>
      <c r="D2186" s="7" t="s">
        <v>16534</v>
      </c>
      <c r="E2186" s="7" t="s">
        <v>16535</v>
      </c>
      <c r="F2186" s="7" t="s">
        <v>5849</v>
      </c>
      <c r="G2186" s="7" t="s">
        <v>16536</v>
      </c>
      <c r="H2186" s="7" t="s">
        <v>16537</v>
      </c>
      <c r="I2186" s="119">
        <v>45658.0</v>
      </c>
      <c r="K2186" s="7" t="s">
        <v>419</v>
      </c>
      <c r="L2186" s="7" t="s">
        <v>991</v>
      </c>
      <c r="M2186" s="7" t="s">
        <v>3501</v>
      </c>
      <c r="N2186" s="7" t="s">
        <v>419</v>
      </c>
      <c r="O2186" s="7" t="s">
        <v>19437</v>
      </c>
      <c r="P2186" s="7" t="s">
        <v>478</v>
      </c>
      <c r="Q2186" s="7" t="s">
        <v>482</v>
      </c>
      <c r="R2186" s="7" t="s">
        <v>20526</v>
      </c>
      <c r="T2186" s="7" t="s">
        <v>20527</v>
      </c>
      <c r="U2186" s="7" t="s">
        <v>3493</v>
      </c>
      <c r="V2186" s="7">
        <v>1.0</v>
      </c>
    </row>
    <row r="2187">
      <c r="A2187" s="7" t="s">
        <v>22097</v>
      </c>
      <c r="B2187" s="7">
        <v>3000447.0</v>
      </c>
      <c r="C2187" s="7" t="s">
        <v>15970</v>
      </c>
      <c r="D2187" s="7" t="s">
        <v>16539</v>
      </c>
      <c r="E2187" s="7" t="s">
        <v>15971</v>
      </c>
      <c r="F2187" s="7" t="s">
        <v>16540</v>
      </c>
      <c r="G2187" s="7" t="s">
        <v>16541</v>
      </c>
      <c r="I2187" s="119">
        <v>45658.0</v>
      </c>
      <c r="K2187" s="7" t="s">
        <v>419</v>
      </c>
      <c r="L2187" s="7" t="s">
        <v>991</v>
      </c>
      <c r="M2187" s="7" t="s">
        <v>3531</v>
      </c>
      <c r="N2187" s="7" t="s">
        <v>419</v>
      </c>
      <c r="O2187" s="7" t="s">
        <v>19432</v>
      </c>
      <c r="P2187" s="7" t="s">
        <v>391</v>
      </c>
      <c r="T2187" s="7" t="s">
        <v>9103</v>
      </c>
      <c r="U2187" s="7" t="s">
        <v>3493</v>
      </c>
      <c r="V2187" s="7">
        <v>1.0</v>
      </c>
    </row>
    <row r="2188">
      <c r="A2188" s="7" t="s">
        <v>22098</v>
      </c>
      <c r="B2188" s="7">
        <v>3000446.0</v>
      </c>
      <c r="C2188" s="7" t="s">
        <v>16543</v>
      </c>
      <c r="D2188" s="7" t="s">
        <v>12868</v>
      </c>
      <c r="E2188" s="7" t="s">
        <v>16544</v>
      </c>
      <c r="F2188" s="7" t="s">
        <v>12459</v>
      </c>
      <c r="G2188" s="7" t="s">
        <v>16545</v>
      </c>
      <c r="H2188" s="7" t="s">
        <v>16546</v>
      </c>
      <c r="I2188" s="119">
        <v>45658.0</v>
      </c>
      <c r="K2188" s="7" t="s">
        <v>419</v>
      </c>
      <c r="L2188" s="7" t="s">
        <v>991</v>
      </c>
      <c r="M2188" s="7" t="s">
        <v>3583</v>
      </c>
      <c r="N2188" s="7" t="s">
        <v>419</v>
      </c>
      <c r="O2188" s="7" t="s">
        <v>19437</v>
      </c>
      <c r="P2188" s="7" t="s">
        <v>478</v>
      </c>
      <c r="Q2188" s="7" t="s">
        <v>484</v>
      </c>
      <c r="R2188" s="7" t="s">
        <v>20354</v>
      </c>
      <c r="S2188" s="7" t="s">
        <v>20355</v>
      </c>
      <c r="T2188" s="7" t="s">
        <v>7349</v>
      </c>
      <c r="U2188" s="7" t="s">
        <v>3493</v>
      </c>
      <c r="V2188" s="7">
        <v>1.0</v>
      </c>
    </row>
    <row r="2189">
      <c r="A2189" s="7" t="s">
        <v>22099</v>
      </c>
      <c r="B2189" s="7">
        <v>3000412.0</v>
      </c>
      <c r="C2189" s="7" t="s">
        <v>16548</v>
      </c>
      <c r="D2189" s="7" t="s">
        <v>16549</v>
      </c>
      <c r="E2189" s="7" t="s">
        <v>16550</v>
      </c>
      <c r="F2189" s="7" t="s">
        <v>16551</v>
      </c>
      <c r="G2189" s="7" t="s">
        <v>16552</v>
      </c>
      <c r="H2189" s="7" t="s">
        <v>16553</v>
      </c>
      <c r="I2189" s="119">
        <v>45658.0</v>
      </c>
      <c r="K2189" s="7" t="s">
        <v>419</v>
      </c>
      <c r="L2189" s="7" t="s">
        <v>991</v>
      </c>
      <c r="M2189" s="7" t="s">
        <v>3501</v>
      </c>
      <c r="N2189" s="7" t="s">
        <v>419</v>
      </c>
      <c r="O2189" s="7" t="s">
        <v>19443</v>
      </c>
      <c r="P2189" s="7" t="s">
        <v>323</v>
      </c>
      <c r="Q2189" s="7" t="s">
        <v>819</v>
      </c>
      <c r="R2189" s="7" t="s">
        <v>19778</v>
      </c>
      <c r="S2189" s="7" t="s">
        <v>19779</v>
      </c>
      <c r="T2189" s="7" t="s">
        <v>19780</v>
      </c>
      <c r="U2189" s="7" t="s">
        <v>3493</v>
      </c>
      <c r="V2189" s="7">
        <v>1.0</v>
      </c>
    </row>
    <row r="2190">
      <c r="A2190" s="7" t="s">
        <v>22100</v>
      </c>
      <c r="B2190" s="7">
        <v>3000451.0</v>
      </c>
      <c r="C2190" s="7" t="s">
        <v>11468</v>
      </c>
      <c r="D2190" s="7" t="s">
        <v>16555</v>
      </c>
      <c r="E2190" s="7" t="s">
        <v>11475</v>
      </c>
      <c r="F2190" s="7" t="s">
        <v>5627</v>
      </c>
      <c r="G2190" s="7" t="s">
        <v>16556</v>
      </c>
      <c r="H2190" s="7" t="s">
        <v>16557</v>
      </c>
      <c r="I2190" s="119">
        <v>45658.0</v>
      </c>
      <c r="K2190" s="7" t="s">
        <v>419</v>
      </c>
      <c r="L2190" s="7" t="s">
        <v>991</v>
      </c>
      <c r="M2190" s="7" t="s">
        <v>3531</v>
      </c>
      <c r="N2190" s="7" t="s">
        <v>419</v>
      </c>
      <c r="O2190" s="7" t="s">
        <v>19430</v>
      </c>
      <c r="P2190" s="7" t="s">
        <v>717</v>
      </c>
      <c r="Q2190" s="7" t="s">
        <v>1163</v>
      </c>
      <c r="R2190" s="7" t="s">
        <v>19601</v>
      </c>
      <c r="S2190" s="7" t="s">
        <v>20281</v>
      </c>
      <c r="T2190" s="7" t="s">
        <v>6958</v>
      </c>
      <c r="U2190" s="7" t="s">
        <v>3493</v>
      </c>
      <c r="V2190" s="7">
        <v>1.0</v>
      </c>
    </row>
    <row r="2191">
      <c r="A2191" s="7" t="s">
        <v>22101</v>
      </c>
      <c r="B2191" s="7">
        <v>3000427.0</v>
      </c>
      <c r="C2191" s="7" t="s">
        <v>16559</v>
      </c>
      <c r="D2191" s="7" t="s">
        <v>16560</v>
      </c>
      <c r="E2191" s="7" t="s">
        <v>16561</v>
      </c>
      <c r="F2191" s="7" t="s">
        <v>4213</v>
      </c>
      <c r="G2191" s="7" t="s">
        <v>16562</v>
      </c>
      <c r="H2191" s="7" t="s">
        <v>16563</v>
      </c>
      <c r="I2191" s="119">
        <v>45658.0</v>
      </c>
      <c r="K2191" s="7" t="s">
        <v>419</v>
      </c>
      <c r="L2191" s="7" t="s">
        <v>991</v>
      </c>
      <c r="M2191" s="7" t="s">
        <v>3501</v>
      </c>
      <c r="N2191" s="7" t="s">
        <v>419</v>
      </c>
      <c r="O2191" s="7" t="s">
        <v>19433</v>
      </c>
      <c r="P2191" s="7" t="s">
        <v>648</v>
      </c>
      <c r="Q2191" s="7" t="s">
        <v>143</v>
      </c>
      <c r="R2191" s="7" t="s">
        <v>19723</v>
      </c>
      <c r="S2191" s="7" t="s">
        <v>19749</v>
      </c>
      <c r="T2191" s="7" t="s">
        <v>8265</v>
      </c>
      <c r="U2191" s="7" t="s">
        <v>3493</v>
      </c>
      <c r="V2191" s="7">
        <v>1.0</v>
      </c>
    </row>
    <row r="2192">
      <c r="A2192" s="7" t="s">
        <v>22102</v>
      </c>
      <c r="B2192" s="7">
        <v>3000442.0</v>
      </c>
      <c r="C2192" s="7" t="s">
        <v>12228</v>
      </c>
      <c r="D2192" s="7" t="s">
        <v>13243</v>
      </c>
      <c r="E2192" s="7" t="s">
        <v>16566</v>
      </c>
      <c r="F2192" s="7" t="s">
        <v>6175</v>
      </c>
      <c r="G2192" s="7" t="s">
        <v>16567</v>
      </c>
      <c r="H2192" s="7" t="s">
        <v>16568</v>
      </c>
      <c r="I2192" s="119">
        <v>45658.0</v>
      </c>
      <c r="K2192" s="7" t="s">
        <v>419</v>
      </c>
      <c r="L2192" s="7" t="s">
        <v>991</v>
      </c>
      <c r="M2192" s="7" t="s">
        <v>3531</v>
      </c>
      <c r="N2192" s="7" t="s">
        <v>419</v>
      </c>
      <c r="O2192" s="7" t="s">
        <v>19443</v>
      </c>
      <c r="P2192" s="7" t="s">
        <v>1242</v>
      </c>
      <c r="Q2192" s="7" t="s">
        <v>51</v>
      </c>
      <c r="R2192" s="7" t="s">
        <v>19597</v>
      </c>
      <c r="S2192" s="7" t="s">
        <v>19830</v>
      </c>
      <c r="T2192" s="7" t="s">
        <v>7117</v>
      </c>
      <c r="U2192" s="7" t="s">
        <v>3493</v>
      </c>
      <c r="V2192" s="7">
        <v>1.0</v>
      </c>
    </row>
    <row r="2193">
      <c r="A2193" s="7" t="s">
        <v>22103</v>
      </c>
      <c r="B2193" s="7">
        <v>3000441.0</v>
      </c>
      <c r="C2193" s="7" t="s">
        <v>12347</v>
      </c>
      <c r="D2193" s="7" t="s">
        <v>4597</v>
      </c>
      <c r="E2193" s="7" t="s">
        <v>12349</v>
      </c>
      <c r="F2193" s="7" t="s">
        <v>4598</v>
      </c>
      <c r="G2193" s="7" t="s">
        <v>16570</v>
      </c>
      <c r="H2193" s="7" t="s">
        <v>16571</v>
      </c>
      <c r="I2193" s="119">
        <v>45658.0</v>
      </c>
      <c r="K2193" s="7" t="s">
        <v>3642</v>
      </c>
      <c r="L2193" s="7" t="s">
        <v>991</v>
      </c>
      <c r="M2193" s="7" t="s">
        <v>3501</v>
      </c>
      <c r="N2193" s="7" t="s">
        <v>3642</v>
      </c>
      <c r="O2193" s="7" t="s">
        <v>3642</v>
      </c>
      <c r="P2193" s="7" t="s">
        <v>19524</v>
      </c>
      <c r="T2193" s="7" t="s">
        <v>3644</v>
      </c>
      <c r="U2193" s="7" t="s">
        <v>3493</v>
      </c>
      <c r="V2193" s="7">
        <v>1.0</v>
      </c>
    </row>
    <row r="2194">
      <c r="A2194" s="7" t="s">
        <v>22104</v>
      </c>
      <c r="B2194" s="7">
        <v>3000328.0</v>
      </c>
      <c r="C2194" s="7" t="s">
        <v>12862</v>
      </c>
      <c r="D2194" s="7" t="s">
        <v>8353</v>
      </c>
      <c r="E2194" s="7" t="s">
        <v>12864</v>
      </c>
      <c r="F2194" s="7" t="s">
        <v>6800</v>
      </c>
      <c r="G2194" s="7" t="s">
        <v>16573</v>
      </c>
      <c r="H2194" s="7" t="s">
        <v>16574</v>
      </c>
      <c r="I2194" s="119">
        <v>45658.0</v>
      </c>
      <c r="K2194" s="7" t="s">
        <v>419</v>
      </c>
      <c r="L2194" s="7" t="s">
        <v>991</v>
      </c>
      <c r="M2194" s="7" t="s">
        <v>3501</v>
      </c>
      <c r="N2194" s="7" t="s">
        <v>419</v>
      </c>
      <c r="O2194" s="7" t="s">
        <v>19437</v>
      </c>
      <c r="P2194" s="7" t="s">
        <v>440</v>
      </c>
      <c r="Q2194" s="7" t="s">
        <v>19453</v>
      </c>
      <c r="R2194" s="7" t="s">
        <v>20376</v>
      </c>
      <c r="T2194" s="7" t="s">
        <v>9355</v>
      </c>
      <c r="U2194" s="7" t="s">
        <v>3493</v>
      </c>
      <c r="V2194" s="7">
        <v>1.0</v>
      </c>
    </row>
    <row r="2195">
      <c r="A2195" s="7" t="s">
        <v>22105</v>
      </c>
      <c r="B2195" s="7">
        <v>3000323.0</v>
      </c>
      <c r="C2195" s="7" t="s">
        <v>13379</v>
      </c>
      <c r="D2195" s="7" t="s">
        <v>3739</v>
      </c>
      <c r="E2195" s="7" t="s">
        <v>13381</v>
      </c>
      <c r="F2195" s="7" t="s">
        <v>3739</v>
      </c>
      <c r="G2195" s="7" t="s">
        <v>16576</v>
      </c>
      <c r="H2195" s="7" t="s">
        <v>16577</v>
      </c>
      <c r="I2195" s="119">
        <v>45658.0</v>
      </c>
      <c r="K2195" s="7" t="s">
        <v>419</v>
      </c>
      <c r="L2195" s="7" t="s">
        <v>991</v>
      </c>
      <c r="M2195" s="7" t="s">
        <v>3501</v>
      </c>
      <c r="N2195" s="7" t="s">
        <v>419</v>
      </c>
      <c r="O2195" s="7" t="s">
        <v>19443</v>
      </c>
      <c r="P2195" s="7" t="s">
        <v>323</v>
      </c>
      <c r="Q2195" s="7" t="s">
        <v>324</v>
      </c>
      <c r="R2195" s="7" t="s">
        <v>20352</v>
      </c>
      <c r="T2195" s="7" t="s">
        <v>7344</v>
      </c>
      <c r="U2195" s="7" t="s">
        <v>3493</v>
      </c>
      <c r="V2195" s="7">
        <v>1.0</v>
      </c>
    </row>
    <row r="2196">
      <c r="A2196" s="7" t="s">
        <v>22106</v>
      </c>
      <c r="B2196" s="7">
        <v>3000455.0</v>
      </c>
      <c r="C2196" s="7" t="s">
        <v>16579</v>
      </c>
      <c r="D2196" s="7" t="s">
        <v>16580</v>
      </c>
      <c r="E2196" s="7" t="s">
        <v>16581</v>
      </c>
      <c r="F2196" s="7" t="s">
        <v>16582</v>
      </c>
      <c r="G2196" s="7" t="s">
        <v>16583</v>
      </c>
      <c r="H2196" s="7" t="s">
        <v>16584</v>
      </c>
      <c r="I2196" s="119">
        <v>45658.0</v>
      </c>
      <c r="K2196" s="7" t="s">
        <v>3622</v>
      </c>
      <c r="L2196" s="7" t="s">
        <v>991</v>
      </c>
      <c r="M2196" s="7" t="s">
        <v>3501</v>
      </c>
      <c r="N2196" s="7" t="s">
        <v>3622</v>
      </c>
      <c r="O2196" s="7" t="s">
        <v>3622</v>
      </c>
      <c r="P2196" s="7" t="s">
        <v>19521</v>
      </c>
      <c r="T2196" s="7" t="s">
        <v>3624</v>
      </c>
      <c r="U2196" s="7" t="s">
        <v>3493</v>
      </c>
      <c r="V2196" s="7">
        <v>1.0</v>
      </c>
    </row>
    <row r="2197">
      <c r="A2197" s="7" t="s">
        <v>22107</v>
      </c>
      <c r="B2197" s="7">
        <v>3000413.0</v>
      </c>
      <c r="C2197" s="7" t="s">
        <v>16586</v>
      </c>
      <c r="D2197" s="7" t="s">
        <v>16587</v>
      </c>
      <c r="E2197" s="7" t="s">
        <v>16588</v>
      </c>
      <c r="F2197" s="7" t="s">
        <v>4321</v>
      </c>
      <c r="G2197" s="7" t="s">
        <v>16589</v>
      </c>
      <c r="H2197" s="7" t="s">
        <v>16590</v>
      </c>
      <c r="I2197" s="119">
        <v>45658.0</v>
      </c>
      <c r="K2197" s="7" t="s">
        <v>419</v>
      </c>
      <c r="L2197" s="7" t="s">
        <v>991</v>
      </c>
      <c r="M2197" s="7" t="s">
        <v>3501</v>
      </c>
      <c r="N2197" s="7" t="s">
        <v>419</v>
      </c>
      <c r="O2197" s="7" t="s">
        <v>19430</v>
      </c>
      <c r="P2197" s="7" t="s">
        <v>717</v>
      </c>
      <c r="Q2197" s="7" t="s">
        <v>730</v>
      </c>
      <c r="R2197" s="7" t="s">
        <v>20097</v>
      </c>
      <c r="S2197" s="7" t="s">
        <v>21682</v>
      </c>
      <c r="T2197" s="7" t="s">
        <v>14479</v>
      </c>
      <c r="U2197" s="7" t="s">
        <v>3493</v>
      </c>
      <c r="V2197" s="7">
        <v>1.0</v>
      </c>
    </row>
    <row r="2198">
      <c r="A2198" s="7" t="s">
        <v>22108</v>
      </c>
      <c r="B2198" s="7">
        <v>3000452.0</v>
      </c>
      <c r="C2198" s="7" t="s">
        <v>13581</v>
      </c>
      <c r="D2198" s="7" t="s">
        <v>3933</v>
      </c>
      <c r="E2198" s="7" t="s">
        <v>13583</v>
      </c>
      <c r="F2198" s="7" t="s">
        <v>5235</v>
      </c>
      <c r="G2198" s="7" t="s">
        <v>16592</v>
      </c>
      <c r="H2198" s="7" t="s">
        <v>16593</v>
      </c>
      <c r="I2198" s="119">
        <v>45658.0</v>
      </c>
      <c r="K2198" s="7" t="s">
        <v>3642</v>
      </c>
      <c r="L2198" s="7" t="s">
        <v>991</v>
      </c>
      <c r="M2198" s="7" t="s">
        <v>3583</v>
      </c>
      <c r="N2198" s="7" t="s">
        <v>3642</v>
      </c>
      <c r="O2198" s="7" t="s">
        <v>3642</v>
      </c>
      <c r="P2198" s="7" t="s">
        <v>19524</v>
      </c>
      <c r="T2198" s="7" t="s">
        <v>3644</v>
      </c>
      <c r="U2198" s="7" t="s">
        <v>3493</v>
      </c>
      <c r="V2198" s="7">
        <v>1.0</v>
      </c>
    </row>
    <row r="2199">
      <c r="A2199" s="7" t="s">
        <v>22109</v>
      </c>
      <c r="B2199" s="7">
        <v>3000440.0</v>
      </c>
      <c r="C2199" s="7" t="s">
        <v>16595</v>
      </c>
      <c r="D2199" s="7" t="s">
        <v>16596</v>
      </c>
      <c r="E2199" s="7" t="s">
        <v>3517</v>
      </c>
      <c r="F2199" s="7" t="s">
        <v>16597</v>
      </c>
      <c r="G2199" s="7" t="s">
        <v>16598</v>
      </c>
      <c r="H2199" s="7" t="s">
        <v>16599</v>
      </c>
      <c r="I2199" s="119">
        <v>45658.0</v>
      </c>
      <c r="K2199" s="7" t="s">
        <v>3622</v>
      </c>
      <c r="L2199" s="7" t="s">
        <v>991</v>
      </c>
      <c r="M2199" s="7" t="s">
        <v>3501</v>
      </c>
      <c r="N2199" s="7" t="s">
        <v>3622</v>
      </c>
      <c r="O2199" s="7" t="s">
        <v>3622</v>
      </c>
      <c r="P2199" s="7" t="s">
        <v>19521</v>
      </c>
      <c r="T2199" s="7" t="s">
        <v>3624</v>
      </c>
      <c r="U2199" s="7" t="s">
        <v>3493</v>
      </c>
      <c r="V2199" s="7">
        <v>1.0</v>
      </c>
    </row>
    <row r="2200">
      <c r="A2200" s="7" t="s">
        <v>22110</v>
      </c>
      <c r="B2200" s="7">
        <v>3000445.0</v>
      </c>
      <c r="C2200" s="7" t="s">
        <v>14399</v>
      </c>
      <c r="D2200" s="7" t="s">
        <v>16601</v>
      </c>
      <c r="E2200" s="7" t="s">
        <v>14394</v>
      </c>
      <c r="F2200" s="7" t="s">
        <v>6669</v>
      </c>
      <c r="G2200" s="7" t="s">
        <v>16602</v>
      </c>
      <c r="H2200" s="7" t="s">
        <v>16603</v>
      </c>
      <c r="I2200" s="119">
        <v>45658.0</v>
      </c>
      <c r="K2200" s="7" t="s">
        <v>419</v>
      </c>
      <c r="L2200" s="7" t="s">
        <v>991</v>
      </c>
      <c r="M2200" s="7" t="s">
        <v>3531</v>
      </c>
      <c r="N2200" s="7" t="s">
        <v>419</v>
      </c>
      <c r="O2200" s="7" t="s">
        <v>19430</v>
      </c>
      <c r="P2200" s="7" t="s">
        <v>717</v>
      </c>
      <c r="Q2200" s="7" t="s">
        <v>720</v>
      </c>
      <c r="R2200" s="7" t="s">
        <v>19542</v>
      </c>
      <c r="T2200" s="7" t="s">
        <v>3725</v>
      </c>
      <c r="U2200" s="7" t="s">
        <v>3493</v>
      </c>
      <c r="V2200" s="7">
        <v>1.0</v>
      </c>
    </row>
    <row r="2201">
      <c r="A2201" s="7" t="s">
        <v>22111</v>
      </c>
      <c r="B2201" s="7">
        <v>3000450.0</v>
      </c>
      <c r="C2201" s="7" t="s">
        <v>14399</v>
      </c>
      <c r="D2201" s="7" t="s">
        <v>13772</v>
      </c>
      <c r="E2201" s="7" t="s">
        <v>14394</v>
      </c>
      <c r="F2201" s="7" t="s">
        <v>13774</v>
      </c>
      <c r="G2201" s="7" t="s">
        <v>16605</v>
      </c>
      <c r="H2201" s="7" t="s">
        <v>16606</v>
      </c>
      <c r="I2201" s="119">
        <v>45658.0</v>
      </c>
      <c r="K2201" s="7" t="s">
        <v>3632</v>
      </c>
      <c r="L2201" s="7" t="s">
        <v>991</v>
      </c>
      <c r="M2201" s="7" t="s">
        <v>3583</v>
      </c>
      <c r="N2201" s="7" t="s">
        <v>3632</v>
      </c>
      <c r="O2201" s="7" t="s">
        <v>3632</v>
      </c>
      <c r="P2201" s="7" t="s">
        <v>19462</v>
      </c>
      <c r="Q2201" s="7" t="s">
        <v>19463</v>
      </c>
      <c r="R2201" s="7" t="s">
        <v>19883</v>
      </c>
      <c r="T2201" s="7" t="s">
        <v>15149</v>
      </c>
      <c r="U2201" s="7" t="s">
        <v>3493</v>
      </c>
      <c r="V2201" s="7">
        <v>1.0</v>
      </c>
    </row>
    <row r="2202">
      <c r="A2202" s="7" t="s">
        <v>22112</v>
      </c>
      <c r="B2202" s="7">
        <v>3000478.0</v>
      </c>
      <c r="C2202" s="7" t="s">
        <v>16608</v>
      </c>
      <c r="D2202" s="7" t="s">
        <v>16609</v>
      </c>
      <c r="E2202" s="7" t="s">
        <v>16610</v>
      </c>
      <c r="F2202" s="7" t="s">
        <v>16611</v>
      </c>
      <c r="G2202" s="7" t="s">
        <v>16612</v>
      </c>
      <c r="H2202" s="7" t="s">
        <v>16613</v>
      </c>
      <c r="I2202" s="119">
        <v>45673.0</v>
      </c>
      <c r="K2202" s="7" t="s">
        <v>419</v>
      </c>
      <c r="L2202" s="7" t="s">
        <v>991</v>
      </c>
      <c r="M2202" s="7" t="s">
        <v>3531</v>
      </c>
      <c r="N2202" s="7" t="s">
        <v>419</v>
      </c>
      <c r="O2202" s="7" t="s">
        <v>19440</v>
      </c>
      <c r="P2202" s="7" t="s">
        <v>613</v>
      </c>
      <c r="Q2202" s="7" t="s">
        <v>106</v>
      </c>
      <c r="R2202" s="7" t="s">
        <v>19528</v>
      </c>
      <c r="T2202" s="7" t="s">
        <v>3660</v>
      </c>
      <c r="U2202" s="7" t="s">
        <v>3493</v>
      </c>
      <c r="V2202" s="7">
        <v>1.0</v>
      </c>
    </row>
    <row r="2203">
      <c r="A2203" s="7" t="s">
        <v>22113</v>
      </c>
      <c r="B2203" s="7">
        <v>3000469.0</v>
      </c>
      <c r="C2203" s="7" t="s">
        <v>4502</v>
      </c>
      <c r="D2203" s="7" t="s">
        <v>16615</v>
      </c>
      <c r="E2203" s="7" t="s">
        <v>4504</v>
      </c>
      <c r="F2203" s="7" t="s">
        <v>16616</v>
      </c>
      <c r="G2203" s="7" t="s">
        <v>16617</v>
      </c>
      <c r="H2203" s="7" t="s">
        <v>16618</v>
      </c>
      <c r="I2203" s="119">
        <v>45673.0</v>
      </c>
      <c r="K2203" s="7" t="s">
        <v>419</v>
      </c>
      <c r="L2203" s="7" t="s">
        <v>991</v>
      </c>
      <c r="M2203" s="7" t="s">
        <v>3531</v>
      </c>
      <c r="N2203" s="7" t="s">
        <v>419</v>
      </c>
      <c r="O2203" s="7" t="s">
        <v>19430</v>
      </c>
      <c r="P2203" s="7" t="s">
        <v>717</v>
      </c>
      <c r="Q2203" s="7" t="s">
        <v>1163</v>
      </c>
      <c r="R2203" s="7" t="s">
        <v>19601</v>
      </c>
      <c r="S2203" s="7" t="s">
        <v>19811</v>
      </c>
      <c r="T2203" s="7" t="s">
        <v>4721</v>
      </c>
      <c r="U2203" s="7" t="s">
        <v>3493</v>
      </c>
      <c r="V2203" s="7">
        <v>1.0</v>
      </c>
    </row>
    <row r="2204">
      <c r="A2204" s="7" t="s">
        <v>22114</v>
      </c>
      <c r="B2204" s="7">
        <v>3000484.0</v>
      </c>
      <c r="C2204" s="7" t="s">
        <v>4663</v>
      </c>
      <c r="D2204" s="7" t="s">
        <v>12687</v>
      </c>
      <c r="E2204" s="7" t="s">
        <v>4665</v>
      </c>
      <c r="F2204" s="7" t="s">
        <v>3748</v>
      </c>
      <c r="G2204" s="7" t="s">
        <v>16620</v>
      </c>
      <c r="I2204" s="119">
        <v>45673.0</v>
      </c>
      <c r="K2204" s="7" t="s">
        <v>419</v>
      </c>
      <c r="L2204" s="7" t="s">
        <v>991</v>
      </c>
      <c r="M2204" s="7" t="s">
        <v>3531</v>
      </c>
      <c r="N2204" s="7" t="s">
        <v>419</v>
      </c>
      <c r="O2204" s="7" t="s">
        <v>19440</v>
      </c>
      <c r="P2204" s="7" t="s">
        <v>613</v>
      </c>
      <c r="Q2204" s="7" t="s">
        <v>106</v>
      </c>
      <c r="R2204" s="7" t="s">
        <v>19528</v>
      </c>
      <c r="T2204" s="7" t="s">
        <v>3660</v>
      </c>
      <c r="U2204" s="7" t="s">
        <v>3493</v>
      </c>
      <c r="V2204" s="7">
        <v>1.0</v>
      </c>
    </row>
    <row r="2205">
      <c r="A2205" s="7" t="s">
        <v>22115</v>
      </c>
      <c r="B2205" s="7">
        <v>3000479.0</v>
      </c>
      <c r="C2205" s="7" t="s">
        <v>16622</v>
      </c>
      <c r="D2205" s="7" t="s">
        <v>4676</v>
      </c>
      <c r="E2205" s="7" t="s">
        <v>16623</v>
      </c>
      <c r="F2205" s="7" t="s">
        <v>4677</v>
      </c>
      <c r="G2205" s="7" t="s">
        <v>16624</v>
      </c>
      <c r="H2205" s="7" t="s">
        <v>16625</v>
      </c>
      <c r="I2205" s="119">
        <v>45673.0</v>
      </c>
      <c r="K2205" s="7" t="s">
        <v>419</v>
      </c>
      <c r="L2205" s="7" t="s">
        <v>991</v>
      </c>
      <c r="M2205" s="7" t="s">
        <v>3531</v>
      </c>
      <c r="N2205" s="7" t="s">
        <v>419</v>
      </c>
      <c r="O2205" s="7" t="s">
        <v>19440</v>
      </c>
      <c r="P2205" s="7" t="s">
        <v>613</v>
      </c>
      <c r="Q2205" s="7" t="s">
        <v>106</v>
      </c>
      <c r="R2205" s="7" t="s">
        <v>19528</v>
      </c>
      <c r="T2205" s="7" t="s">
        <v>3660</v>
      </c>
      <c r="U2205" s="7" t="s">
        <v>3493</v>
      </c>
      <c r="V2205" s="7">
        <v>1.0</v>
      </c>
    </row>
    <row r="2206">
      <c r="A2206" s="7" t="s">
        <v>22116</v>
      </c>
      <c r="B2206" s="7">
        <v>3000473.0</v>
      </c>
      <c r="C2206" s="7" t="s">
        <v>7563</v>
      </c>
      <c r="D2206" s="7" t="s">
        <v>16627</v>
      </c>
      <c r="E2206" s="7" t="s">
        <v>7565</v>
      </c>
      <c r="F2206" s="7" t="s">
        <v>5369</v>
      </c>
      <c r="G2206" s="7" t="s">
        <v>16628</v>
      </c>
      <c r="H2206" s="7" t="s">
        <v>16629</v>
      </c>
      <c r="I2206" s="119">
        <v>45673.0</v>
      </c>
      <c r="K2206" s="7" t="s">
        <v>419</v>
      </c>
      <c r="L2206" s="7" t="s">
        <v>991</v>
      </c>
      <c r="M2206" s="7" t="s">
        <v>3531</v>
      </c>
      <c r="N2206" s="7" t="s">
        <v>419</v>
      </c>
      <c r="O2206" s="7" t="s">
        <v>19443</v>
      </c>
      <c r="P2206" s="7" t="s">
        <v>323</v>
      </c>
      <c r="Q2206" s="7" t="s">
        <v>324</v>
      </c>
      <c r="R2206" s="7" t="s">
        <v>20367</v>
      </c>
      <c r="T2206" s="7" t="s">
        <v>7418</v>
      </c>
      <c r="U2206" s="7" t="s">
        <v>3493</v>
      </c>
      <c r="V2206" s="7">
        <v>1.0</v>
      </c>
    </row>
    <row r="2207">
      <c r="A2207" s="7" t="s">
        <v>22117</v>
      </c>
      <c r="B2207" s="7">
        <v>3000483.0</v>
      </c>
      <c r="C2207" s="7" t="s">
        <v>16631</v>
      </c>
      <c r="D2207" s="7" t="s">
        <v>16632</v>
      </c>
      <c r="E2207" s="7" t="s">
        <v>16633</v>
      </c>
      <c r="F2207" s="7" t="s">
        <v>16634</v>
      </c>
      <c r="G2207" s="7" t="s">
        <v>16635</v>
      </c>
      <c r="I2207" s="119">
        <v>45673.0</v>
      </c>
      <c r="K2207" s="7" t="s">
        <v>419</v>
      </c>
      <c r="L2207" s="7" t="s">
        <v>991</v>
      </c>
      <c r="M2207" s="7" t="s">
        <v>3531</v>
      </c>
      <c r="N2207" s="7" t="s">
        <v>419</v>
      </c>
      <c r="O2207" s="7" t="s">
        <v>19440</v>
      </c>
      <c r="P2207" s="7" t="s">
        <v>613</v>
      </c>
      <c r="Q2207" s="7" t="s">
        <v>106</v>
      </c>
      <c r="R2207" s="7" t="s">
        <v>19528</v>
      </c>
      <c r="T2207" s="7" t="s">
        <v>3660</v>
      </c>
      <c r="U2207" s="7" t="s">
        <v>3493</v>
      </c>
      <c r="V2207" s="7">
        <v>1.0</v>
      </c>
    </row>
    <row r="2208">
      <c r="A2208" s="7" t="s">
        <v>22118</v>
      </c>
      <c r="B2208" s="7">
        <v>3000470.0</v>
      </c>
      <c r="C2208" s="7" t="s">
        <v>16637</v>
      </c>
      <c r="D2208" s="7" t="s">
        <v>16638</v>
      </c>
      <c r="E2208" s="7" t="s">
        <v>16639</v>
      </c>
      <c r="F2208" s="7" t="s">
        <v>16640</v>
      </c>
      <c r="G2208" s="7" t="s">
        <v>16641</v>
      </c>
      <c r="H2208" s="7" t="s">
        <v>16642</v>
      </c>
      <c r="I2208" s="119">
        <v>45673.0</v>
      </c>
      <c r="K2208" s="7" t="s">
        <v>419</v>
      </c>
      <c r="L2208" s="7" t="s">
        <v>991</v>
      </c>
      <c r="M2208" s="7" t="s">
        <v>3531</v>
      </c>
      <c r="N2208" s="7" t="s">
        <v>419</v>
      </c>
      <c r="O2208" s="7" t="s">
        <v>19443</v>
      </c>
      <c r="P2208" s="7" t="s">
        <v>1242</v>
      </c>
      <c r="Q2208" s="7" t="s">
        <v>51</v>
      </c>
      <c r="R2208" s="7" t="s">
        <v>19597</v>
      </c>
      <c r="S2208" s="7" t="s">
        <v>19650</v>
      </c>
      <c r="T2208" s="7" t="s">
        <v>4128</v>
      </c>
      <c r="U2208" s="7" t="s">
        <v>3493</v>
      </c>
      <c r="V2208" s="7">
        <v>1.0</v>
      </c>
    </row>
    <row r="2209">
      <c r="A2209" s="7" t="s">
        <v>22119</v>
      </c>
      <c r="B2209" s="7">
        <v>3000481.0</v>
      </c>
      <c r="C2209" s="7" t="s">
        <v>9145</v>
      </c>
      <c r="D2209" s="7" t="s">
        <v>16644</v>
      </c>
      <c r="E2209" s="7" t="s">
        <v>9147</v>
      </c>
      <c r="F2209" s="7" t="s">
        <v>4546</v>
      </c>
      <c r="G2209" s="7" t="s">
        <v>16645</v>
      </c>
      <c r="H2209" s="7" t="s">
        <v>16646</v>
      </c>
      <c r="I2209" s="119">
        <v>45673.0</v>
      </c>
      <c r="K2209" s="7" t="s">
        <v>419</v>
      </c>
      <c r="L2209" s="7" t="s">
        <v>991</v>
      </c>
      <c r="M2209" s="7" t="s">
        <v>3531</v>
      </c>
      <c r="N2209" s="7" t="s">
        <v>419</v>
      </c>
      <c r="O2209" s="7" t="s">
        <v>19440</v>
      </c>
      <c r="P2209" s="7" t="s">
        <v>613</v>
      </c>
      <c r="Q2209" s="7" t="s">
        <v>106</v>
      </c>
      <c r="R2209" s="7" t="s">
        <v>19528</v>
      </c>
      <c r="T2209" s="7" t="s">
        <v>3660</v>
      </c>
      <c r="U2209" s="7" t="s">
        <v>3493</v>
      </c>
      <c r="V2209" s="7">
        <v>1.0</v>
      </c>
    </row>
    <row r="2210">
      <c r="A2210" s="7" t="s">
        <v>22120</v>
      </c>
      <c r="B2210" s="7">
        <v>3000480.0</v>
      </c>
      <c r="C2210" s="7" t="s">
        <v>16648</v>
      </c>
      <c r="D2210" s="7" t="s">
        <v>16649</v>
      </c>
      <c r="E2210" s="7" t="s">
        <v>16650</v>
      </c>
      <c r="F2210" s="7" t="s">
        <v>3571</v>
      </c>
      <c r="G2210" s="7" t="s">
        <v>16651</v>
      </c>
      <c r="H2210" s="7" t="s">
        <v>16652</v>
      </c>
      <c r="I2210" s="119">
        <v>45673.0</v>
      </c>
      <c r="K2210" s="7" t="s">
        <v>419</v>
      </c>
      <c r="L2210" s="7" t="s">
        <v>991</v>
      </c>
      <c r="M2210" s="7" t="s">
        <v>3531</v>
      </c>
      <c r="N2210" s="7" t="s">
        <v>419</v>
      </c>
      <c r="O2210" s="7" t="s">
        <v>19440</v>
      </c>
      <c r="P2210" s="7" t="s">
        <v>613</v>
      </c>
      <c r="Q2210" s="7" t="s">
        <v>106</v>
      </c>
      <c r="R2210" s="7" t="s">
        <v>19528</v>
      </c>
      <c r="T2210" s="7" t="s">
        <v>3660</v>
      </c>
      <c r="U2210" s="7" t="s">
        <v>3493</v>
      </c>
      <c r="V2210" s="7">
        <v>1.0</v>
      </c>
    </row>
    <row r="2211">
      <c r="A2211" s="7" t="s">
        <v>22121</v>
      </c>
      <c r="B2211" s="7">
        <v>3000471.0</v>
      </c>
      <c r="C2211" s="7" t="s">
        <v>16654</v>
      </c>
      <c r="D2211" s="7" t="s">
        <v>8767</v>
      </c>
      <c r="E2211" s="7" t="s">
        <v>16655</v>
      </c>
      <c r="F2211" s="7" t="s">
        <v>4032</v>
      </c>
      <c r="G2211" s="7" t="s">
        <v>16656</v>
      </c>
      <c r="H2211" s="7" t="s">
        <v>16657</v>
      </c>
      <c r="I2211" s="119">
        <v>45673.0</v>
      </c>
      <c r="K2211" s="7" t="s">
        <v>3632</v>
      </c>
      <c r="L2211" s="7" t="s">
        <v>991</v>
      </c>
      <c r="M2211" s="7" t="s">
        <v>3583</v>
      </c>
      <c r="N2211" s="7" t="s">
        <v>3632</v>
      </c>
      <c r="O2211" s="7" t="s">
        <v>3632</v>
      </c>
      <c r="P2211" s="7" t="s">
        <v>625</v>
      </c>
      <c r="Q2211" s="7" t="s">
        <v>626</v>
      </c>
      <c r="R2211" s="7" t="s">
        <v>19672</v>
      </c>
      <c r="T2211" s="7" t="s">
        <v>4191</v>
      </c>
      <c r="U2211" s="7" t="s">
        <v>3493</v>
      </c>
      <c r="V2211" s="7">
        <v>1.0</v>
      </c>
    </row>
    <row r="2212">
      <c r="A2212" s="7" t="s">
        <v>22122</v>
      </c>
      <c r="B2212" s="7">
        <v>3000476.0</v>
      </c>
      <c r="C2212" s="7" t="s">
        <v>16659</v>
      </c>
      <c r="D2212" s="7" t="s">
        <v>16447</v>
      </c>
      <c r="E2212" s="7" t="s">
        <v>16660</v>
      </c>
      <c r="F2212" s="7" t="s">
        <v>6262</v>
      </c>
      <c r="G2212" s="7" t="s">
        <v>16661</v>
      </c>
      <c r="H2212" s="7" t="s">
        <v>16662</v>
      </c>
      <c r="I2212" s="119">
        <v>45673.0</v>
      </c>
      <c r="K2212" s="7" t="s">
        <v>419</v>
      </c>
      <c r="L2212" s="7" t="s">
        <v>991</v>
      </c>
      <c r="M2212" s="7" t="s">
        <v>3531</v>
      </c>
      <c r="N2212" s="7" t="s">
        <v>419</v>
      </c>
      <c r="O2212" s="7" t="s">
        <v>19443</v>
      </c>
      <c r="P2212" s="7" t="s">
        <v>323</v>
      </c>
      <c r="Q2212" s="7" t="s">
        <v>824</v>
      </c>
      <c r="R2212" s="7" t="s">
        <v>19771</v>
      </c>
      <c r="T2212" s="7" t="s">
        <v>12660</v>
      </c>
      <c r="U2212" s="7" t="s">
        <v>3493</v>
      </c>
      <c r="V2212" s="7">
        <v>1.0</v>
      </c>
    </row>
    <row r="2213">
      <c r="A2213" s="7" t="s">
        <v>22123</v>
      </c>
      <c r="B2213" s="7">
        <v>3000472.0</v>
      </c>
      <c r="C2213" s="7" t="s">
        <v>16664</v>
      </c>
      <c r="D2213" s="7" t="s">
        <v>16665</v>
      </c>
      <c r="E2213" s="7" t="s">
        <v>13504</v>
      </c>
      <c r="F2213" s="7" t="s">
        <v>5514</v>
      </c>
      <c r="G2213" s="7" t="s">
        <v>16666</v>
      </c>
      <c r="H2213" s="7" t="s">
        <v>16667</v>
      </c>
      <c r="I2213" s="119">
        <v>45673.0</v>
      </c>
      <c r="K2213" s="7" t="s">
        <v>419</v>
      </c>
      <c r="L2213" s="7" t="s">
        <v>991</v>
      </c>
      <c r="M2213" s="7" t="s">
        <v>3531</v>
      </c>
      <c r="N2213" s="7" t="s">
        <v>419</v>
      </c>
      <c r="O2213" s="7" t="s">
        <v>19432</v>
      </c>
      <c r="P2213" s="7" t="s">
        <v>298</v>
      </c>
      <c r="Q2213" s="7" t="s">
        <v>798</v>
      </c>
      <c r="T2213" s="7" t="s">
        <v>5274</v>
      </c>
      <c r="U2213" s="7" t="s">
        <v>3493</v>
      </c>
      <c r="V2213" s="7">
        <v>1.0</v>
      </c>
    </row>
    <row r="2214">
      <c r="A2214" s="7" t="s">
        <v>22124</v>
      </c>
      <c r="B2214" s="7">
        <v>3000513.0</v>
      </c>
      <c r="C2214" s="7" t="s">
        <v>3771</v>
      </c>
      <c r="D2214" s="7" t="s">
        <v>16669</v>
      </c>
      <c r="E2214" s="7" t="s">
        <v>3773</v>
      </c>
      <c r="F2214" s="7" t="s">
        <v>9950</v>
      </c>
      <c r="G2214" s="7" t="s">
        <v>16670</v>
      </c>
      <c r="H2214" s="7" t="s">
        <v>16671</v>
      </c>
      <c r="I2214" s="119">
        <v>45689.0</v>
      </c>
      <c r="K2214" s="7" t="s">
        <v>419</v>
      </c>
      <c r="L2214" s="7" t="s">
        <v>991</v>
      </c>
      <c r="M2214" s="7" t="s">
        <v>3531</v>
      </c>
      <c r="N2214" s="7" t="s">
        <v>419</v>
      </c>
      <c r="O2214" s="7" t="s">
        <v>19433</v>
      </c>
      <c r="P2214" s="7" t="s">
        <v>648</v>
      </c>
      <c r="Q2214" s="7" t="s">
        <v>148</v>
      </c>
      <c r="R2214" s="7" t="s">
        <v>19501</v>
      </c>
      <c r="T2214" s="7" t="s">
        <v>4445</v>
      </c>
      <c r="U2214" s="7" t="s">
        <v>3493</v>
      </c>
      <c r="V2214" s="7">
        <v>1.0</v>
      </c>
    </row>
    <row r="2215">
      <c r="A2215" s="7" t="s">
        <v>22125</v>
      </c>
      <c r="B2215" s="7">
        <v>3000491.0</v>
      </c>
      <c r="C2215" s="7" t="s">
        <v>4218</v>
      </c>
      <c r="D2215" s="7" t="s">
        <v>16673</v>
      </c>
      <c r="E2215" s="7" t="s">
        <v>4220</v>
      </c>
      <c r="F2215" s="7" t="s">
        <v>16674</v>
      </c>
      <c r="G2215" s="7" t="s">
        <v>16675</v>
      </c>
      <c r="H2215" s="7" t="s">
        <v>16676</v>
      </c>
      <c r="I2215" s="119">
        <v>45689.0</v>
      </c>
      <c r="K2215" s="7" t="s">
        <v>419</v>
      </c>
      <c r="L2215" s="7" t="s">
        <v>991</v>
      </c>
      <c r="M2215" s="7" t="s">
        <v>3501</v>
      </c>
      <c r="N2215" s="7" t="s">
        <v>419</v>
      </c>
      <c r="O2215" s="7" t="s">
        <v>19432</v>
      </c>
      <c r="P2215" s="7" t="s">
        <v>391</v>
      </c>
      <c r="T2215" s="7" t="s">
        <v>9103</v>
      </c>
      <c r="U2215" s="7" t="s">
        <v>3493</v>
      </c>
      <c r="V2215" s="7">
        <v>1.0</v>
      </c>
    </row>
    <row r="2216">
      <c r="A2216" s="7" t="s">
        <v>22126</v>
      </c>
      <c r="B2216" s="7">
        <v>3000512.0</v>
      </c>
      <c r="C2216" s="7" t="s">
        <v>16678</v>
      </c>
      <c r="D2216" s="7" t="s">
        <v>16679</v>
      </c>
      <c r="E2216" s="7" t="s">
        <v>16680</v>
      </c>
      <c r="F2216" s="7" t="s">
        <v>16681</v>
      </c>
      <c r="G2216" s="7" t="s">
        <v>16682</v>
      </c>
      <c r="H2216" s="7" t="s">
        <v>16683</v>
      </c>
      <c r="I2216" s="119">
        <v>45689.0</v>
      </c>
      <c r="K2216" s="7" t="s">
        <v>419</v>
      </c>
      <c r="L2216" s="7" t="s">
        <v>991</v>
      </c>
      <c r="M2216" s="7" t="s">
        <v>3531</v>
      </c>
      <c r="N2216" s="7" t="s">
        <v>419</v>
      </c>
      <c r="O2216" s="7" t="s">
        <v>19432</v>
      </c>
      <c r="P2216" s="7" t="s">
        <v>298</v>
      </c>
      <c r="Q2216" s="7" t="s">
        <v>304</v>
      </c>
      <c r="T2216" s="7" t="s">
        <v>7374</v>
      </c>
      <c r="U2216" s="7" t="s">
        <v>3493</v>
      </c>
      <c r="V2216" s="7">
        <v>1.0</v>
      </c>
    </row>
    <row r="2217">
      <c r="A2217" s="7" t="s">
        <v>22127</v>
      </c>
      <c r="B2217" s="7">
        <v>3000515.0</v>
      </c>
      <c r="C2217" s="7" t="s">
        <v>16685</v>
      </c>
      <c r="D2217" s="7" t="s">
        <v>16686</v>
      </c>
      <c r="E2217" s="7" t="s">
        <v>16687</v>
      </c>
      <c r="F2217" s="7" t="s">
        <v>7771</v>
      </c>
      <c r="G2217" s="7" t="s">
        <v>16688</v>
      </c>
      <c r="H2217" s="7" t="s">
        <v>16689</v>
      </c>
      <c r="I2217" s="119">
        <v>45689.0</v>
      </c>
      <c r="K2217" s="7" t="s">
        <v>419</v>
      </c>
      <c r="L2217" s="7" t="s">
        <v>991</v>
      </c>
      <c r="M2217" s="7" t="s">
        <v>3531</v>
      </c>
      <c r="N2217" s="7" t="s">
        <v>419</v>
      </c>
      <c r="O2217" s="7" t="s">
        <v>19432</v>
      </c>
      <c r="P2217" s="7" t="s">
        <v>298</v>
      </c>
      <c r="Q2217" s="7" t="s">
        <v>1284</v>
      </c>
      <c r="R2217" s="7" t="s">
        <v>20033</v>
      </c>
      <c r="S2217" s="7" t="s">
        <v>20034</v>
      </c>
      <c r="T2217" s="7" t="s">
        <v>5747</v>
      </c>
      <c r="U2217" s="7" t="s">
        <v>3493</v>
      </c>
      <c r="V2217" s="7">
        <v>1.0</v>
      </c>
    </row>
    <row r="2218">
      <c r="A2218" s="7" t="s">
        <v>22128</v>
      </c>
      <c r="B2218" s="7">
        <v>3000438.0</v>
      </c>
      <c r="C2218" s="7" t="s">
        <v>16691</v>
      </c>
      <c r="D2218" s="7" t="s">
        <v>5153</v>
      </c>
      <c r="E2218" s="7" t="s">
        <v>16692</v>
      </c>
      <c r="F2218" s="7" t="s">
        <v>5155</v>
      </c>
      <c r="G2218" s="7" t="s">
        <v>16693</v>
      </c>
      <c r="H2218" s="7" t="s">
        <v>16694</v>
      </c>
      <c r="I2218" s="119">
        <v>45689.0</v>
      </c>
      <c r="K2218" s="7" t="s">
        <v>419</v>
      </c>
      <c r="L2218" s="7" t="s">
        <v>991</v>
      </c>
      <c r="M2218" s="7" t="s">
        <v>3501</v>
      </c>
      <c r="N2218" s="7" t="s">
        <v>419</v>
      </c>
      <c r="O2218" s="7" t="s">
        <v>19443</v>
      </c>
      <c r="P2218" s="7" t="s">
        <v>323</v>
      </c>
      <c r="Q2218" s="7" t="s">
        <v>824</v>
      </c>
      <c r="R2218" s="7" t="s">
        <v>19570</v>
      </c>
      <c r="S2218" s="7" t="s">
        <v>19571</v>
      </c>
      <c r="T2218" s="7" t="s">
        <v>19572</v>
      </c>
      <c r="U2218" s="7" t="s">
        <v>3493</v>
      </c>
      <c r="V2218" s="7">
        <v>1.0</v>
      </c>
    </row>
    <row r="2219">
      <c r="A2219" s="7" t="s">
        <v>22129</v>
      </c>
      <c r="B2219" s="7">
        <v>3000465.0</v>
      </c>
      <c r="C2219" s="7" t="s">
        <v>16696</v>
      </c>
      <c r="D2219" s="7" t="s">
        <v>16697</v>
      </c>
      <c r="E2219" s="7" t="s">
        <v>6073</v>
      </c>
      <c r="F2219" s="7" t="s">
        <v>8199</v>
      </c>
      <c r="G2219" s="7" t="s">
        <v>16698</v>
      </c>
      <c r="H2219" s="7" t="s">
        <v>16699</v>
      </c>
      <c r="I2219" s="119">
        <v>45689.0</v>
      </c>
      <c r="K2219" s="7" t="s">
        <v>419</v>
      </c>
      <c r="L2219" s="7" t="s">
        <v>991</v>
      </c>
      <c r="M2219" s="7" t="s">
        <v>3501</v>
      </c>
      <c r="N2219" s="7" t="s">
        <v>419</v>
      </c>
      <c r="O2219" s="7" t="s">
        <v>19437</v>
      </c>
      <c r="P2219" s="7" t="s">
        <v>478</v>
      </c>
      <c r="Q2219" s="7" t="s">
        <v>484</v>
      </c>
      <c r="R2219" s="7" t="s">
        <v>20354</v>
      </c>
      <c r="S2219" s="7" t="s">
        <v>22130</v>
      </c>
      <c r="T2219" s="7" t="s">
        <v>16701</v>
      </c>
      <c r="U2219" s="7" t="s">
        <v>3493</v>
      </c>
      <c r="V2219" s="7">
        <v>1.0</v>
      </c>
    </row>
    <row r="2220">
      <c r="A2220" s="7" t="s">
        <v>22131</v>
      </c>
      <c r="B2220" s="7">
        <v>3000501.0</v>
      </c>
      <c r="C2220" s="7" t="s">
        <v>6098</v>
      </c>
      <c r="D2220" s="7" t="s">
        <v>16703</v>
      </c>
      <c r="E2220" s="7" t="s">
        <v>6100</v>
      </c>
      <c r="F2220" s="7" t="s">
        <v>8605</v>
      </c>
      <c r="G2220" s="7" t="s">
        <v>16704</v>
      </c>
      <c r="H2220" s="7" t="s">
        <v>16705</v>
      </c>
      <c r="I2220" s="119">
        <v>45689.0</v>
      </c>
      <c r="K2220" s="7" t="s">
        <v>419</v>
      </c>
      <c r="L2220" s="7" t="s">
        <v>991</v>
      </c>
      <c r="M2220" s="7" t="s">
        <v>3583</v>
      </c>
      <c r="N2220" s="7" t="s">
        <v>419</v>
      </c>
      <c r="O2220" s="7" t="s">
        <v>19432</v>
      </c>
      <c r="P2220" s="7" t="s">
        <v>298</v>
      </c>
      <c r="Q2220" s="7" t="s">
        <v>1284</v>
      </c>
      <c r="R2220" s="7" t="s">
        <v>19845</v>
      </c>
      <c r="T2220" s="7" t="s">
        <v>4863</v>
      </c>
      <c r="U2220" s="7" t="s">
        <v>3493</v>
      </c>
      <c r="V2220" s="7">
        <v>1.0</v>
      </c>
    </row>
    <row r="2221">
      <c r="A2221" s="7" t="s">
        <v>22132</v>
      </c>
      <c r="B2221" s="7">
        <v>3000514.0</v>
      </c>
      <c r="C2221" s="7" t="s">
        <v>16707</v>
      </c>
      <c r="D2221" s="7" t="s">
        <v>11554</v>
      </c>
      <c r="E2221" s="7" t="s">
        <v>16708</v>
      </c>
      <c r="F2221" s="7" t="s">
        <v>11555</v>
      </c>
      <c r="G2221" s="7" t="s">
        <v>16709</v>
      </c>
      <c r="H2221" s="7" t="s">
        <v>16710</v>
      </c>
      <c r="I2221" s="119">
        <v>45689.0</v>
      </c>
      <c r="K2221" s="7" t="s">
        <v>419</v>
      </c>
      <c r="L2221" s="7" t="s">
        <v>991</v>
      </c>
      <c r="M2221" s="7" t="s">
        <v>3531</v>
      </c>
      <c r="N2221" s="7" t="s">
        <v>419</v>
      </c>
      <c r="O2221" s="7" t="s">
        <v>19432</v>
      </c>
      <c r="P2221" s="7" t="s">
        <v>298</v>
      </c>
      <c r="Q2221" s="7" t="s">
        <v>1284</v>
      </c>
      <c r="R2221" s="7" t="s">
        <v>20033</v>
      </c>
      <c r="S2221" s="7" t="s">
        <v>20456</v>
      </c>
      <c r="T2221" s="7" t="s">
        <v>7884</v>
      </c>
      <c r="U2221" s="7" t="s">
        <v>3493</v>
      </c>
      <c r="V2221" s="7">
        <v>1.0</v>
      </c>
    </row>
    <row r="2222">
      <c r="A2222" s="7" t="s">
        <v>22133</v>
      </c>
      <c r="B2222" s="7">
        <v>3000508.0</v>
      </c>
      <c r="C2222" s="7" t="s">
        <v>6598</v>
      </c>
      <c r="D2222" s="7" t="s">
        <v>16712</v>
      </c>
      <c r="E2222" s="7" t="s">
        <v>6599</v>
      </c>
      <c r="F2222" s="7" t="s">
        <v>16713</v>
      </c>
      <c r="G2222" s="7" t="s">
        <v>16714</v>
      </c>
      <c r="H2222" s="7" t="s">
        <v>16715</v>
      </c>
      <c r="I2222" s="119">
        <v>45689.0</v>
      </c>
      <c r="K2222" s="7" t="s">
        <v>3642</v>
      </c>
      <c r="L2222" s="7" t="s">
        <v>991</v>
      </c>
      <c r="M2222" s="7" t="s">
        <v>3501</v>
      </c>
      <c r="N2222" s="7" t="s">
        <v>3642</v>
      </c>
      <c r="O2222" s="7" t="s">
        <v>3642</v>
      </c>
      <c r="P2222" s="7" t="s">
        <v>19524</v>
      </c>
      <c r="T2222" s="7" t="s">
        <v>3644</v>
      </c>
      <c r="U2222" s="7" t="s">
        <v>3493</v>
      </c>
      <c r="V2222" s="7">
        <v>1.0</v>
      </c>
    </row>
    <row r="2223">
      <c r="A2223" s="7" t="s">
        <v>22134</v>
      </c>
      <c r="B2223" s="7">
        <v>3000433.0</v>
      </c>
      <c r="C2223" s="7" t="s">
        <v>16717</v>
      </c>
      <c r="D2223" s="7" t="s">
        <v>16718</v>
      </c>
      <c r="E2223" s="7" t="s">
        <v>16719</v>
      </c>
      <c r="F2223" s="7" t="s">
        <v>4917</v>
      </c>
      <c r="G2223" s="7" t="s">
        <v>16720</v>
      </c>
      <c r="H2223" s="7" t="s">
        <v>16721</v>
      </c>
      <c r="I2223" s="119">
        <v>45689.0</v>
      </c>
      <c r="K2223" s="7" t="s">
        <v>419</v>
      </c>
      <c r="L2223" s="7" t="s">
        <v>991</v>
      </c>
      <c r="M2223" s="7" t="s">
        <v>3501</v>
      </c>
      <c r="N2223" s="7" t="s">
        <v>419</v>
      </c>
      <c r="O2223" s="7" t="s">
        <v>19430</v>
      </c>
      <c r="P2223" s="7" t="s">
        <v>854</v>
      </c>
      <c r="Q2223" s="7" t="s">
        <v>857</v>
      </c>
      <c r="T2223" s="7" t="s">
        <v>4104</v>
      </c>
      <c r="U2223" s="7" t="s">
        <v>3493</v>
      </c>
      <c r="V2223" s="7">
        <v>1.0</v>
      </c>
    </row>
    <row r="2224">
      <c r="A2224" s="7" t="s">
        <v>22135</v>
      </c>
      <c r="B2224" s="7">
        <v>3000507.0</v>
      </c>
      <c r="C2224" s="7" t="s">
        <v>8429</v>
      </c>
      <c r="D2224" s="7" t="s">
        <v>16723</v>
      </c>
      <c r="E2224" s="7" t="s">
        <v>8431</v>
      </c>
      <c r="F2224" s="7" t="s">
        <v>3909</v>
      </c>
      <c r="G2224" s="7" t="s">
        <v>16724</v>
      </c>
      <c r="H2224" s="7" t="s">
        <v>16725</v>
      </c>
      <c r="I2224" s="119">
        <v>45689.0</v>
      </c>
      <c r="K2224" s="7" t="s">
        <v>3642</v>
      </c>
      <c r="L2224" s="7" t="s">
        <v>991</v>
      </c>
      <c r="M2224" s="7" t="s">
        <v>3501</v>
      </c>
      <c r="N2224" s="7" t="s">
        <v>3642</v>
      </c>
      <c r="O2224" s="7" t="s">
        <v>3642</v>
      </c>
      <c r="P2224" s="7" t="s">
        <v>19524</v>
      </c>
      <c r="T2224" s="7" t="s">
        <v>3644</v>
      </c>
      <c r="U2224" s="7" t="s">
        <v>3493</v>
      </c>
      <c r="V2224" s="7">
        <v>1.0</v>
      </c>
    </row>
    <row r="2225">
      <c r="A2225" s="7" t="s">
        <v>22136</v>
      </c>
      <c r="B2225" s="7">
        <v>3000467.0</v>
      </c>
      <c r="C2225" s="7" t="s">
        <v>9334</v>
      </c>
      <c r="D2225" s="7" t="s">
        <v>14926</v>
      </c>
      <c r="E2225" s="7" t="s">
        <v>9335</v>
      </c>
      <c r="F2225" s="7" t="s">
        <v>10866</v>
      </c>
      <c r="G2225" s="7" t="s">
        <v>16727</v>
      </c>
      <c r="H2225" s="7" t="s">
        <v>16728</v>
      </c>
      <c r="I2225" s="119">
        <v>45689.0</v>
      </c>
      <c r="K2225" s="7" t="s">
        <v>419</v>
      </c>
      <c r="L2225" s="7" t="s">
        <v>991</v>
      </c>
      <c r="M2225" s="7" t="s">
        <v>3501</v>
      </c>
      <c r="N2225" s="7" t="s">
        <v>419</v>
      </c>
      <c r="O2225" s="7" t="s">
        <v>19437</v>
      </c>
      <c r="P2225" s="7" t="s">
        <v>478</v>
      </c>
      <c r="Q2225" s="7" t="s">
        <v>487</v>
      </c>
      <c r="R2225" s="7" t="s">
        <v>19796</v>
      </c>
      <c r="S2225" s="7" t="s">
        <v>19940</v>
      </c>
      <c r="T2225" s="7" t="s">
        <v>5327</v>
      </c>
      <c r="U2225" s="7" t="s">
        <v>3493</v>
      </c>
      <c r="V2225" s="7">
        <v>1.0</v>
      </c>
    </row>
    <row r="2226">
      <c r="A2226" s="7" t="s">
        <v>22137</v>
      </c>
      <c r="B2226" s="7">
        <v>3000505.0</v>
      </c>
      <c r="C2226" s="7" t="s">
        <v>9549</v>
      </c>
      <c r="D2226" s="7" t="s">
        <v>10344</v>
      </c>
      <c r="E2226" s="7" t="s">
        <v>9551</v>
      </c>
      <c r="F2226" s="7" t="s">
        <v>6806</v>
      </c>
      <c r="G2226" s="7" t="s">
        <v>16730</v>
      </c>
      <c r="H2226" s="7" t="s">
        <v>16731</v>
      </c>
      <c r="I2226" s="119">
        <v>45689.0</v>
      </c>
      <c r="K2226" s="7" t="s">
        <v>3642</v>
      </c>
      <c r="L2226" s="7" t="s">
        <v>991</v>
      </c>
      <c r="M2226" s="7" t="s">
        <v>3501</v>
      </c>
      <c r="N2226" s="7" t="s">
        <v>3642</v>
      </c>
      <c r="O2226" s="7" t="s">
        <v>3642</v>
      </c>
      <c r="P2226" s="7" t="s">
        <v>19524</v>
      </c>
      <c r="T2226" s="7" t="s">
        <v>3644</v>
      </c>
      <c r="U2226" s="7" t="s">
        <v>3493</v>
      </c>
      <c r="V2226" s="7">
        <v>1.0</v>
      </c>
    </row>
    <row r="2227">
      <c r="A2227" s="7" t="s">
        <v>22138</v>
      </c>
      <c r="B2227" s="7">
        <v>3000510.0</v>
      </c>
      <c r="C2227" s="7" t="s">
        <v>9570</v>
      </c>
      <c r="D2227" s="7" t="s">
        <v>4892</v>
      </c>
      <c r="E2227" s="7" t="s">
        <v>9572</v>
      </c>
      <c r="F2227" s="7" t="s">
        <v>4893</v>
      </c>
      <c r="G2227" s="7" t="s">
        <v>16733</v>
      </c>
      <c r="H2227" s="7" t="s">
        <v>16734</v>
      </c>
      <c r="I2227" s="119">
        <v>45689.0</v>
      </c>
      <c r="K2227" s="7" t="s">
        <v>419</v>
      </c>
      <c r="L2227" s="7" t="s">
        <v>991</v>
      </c>
      <c r="M2227" s="7" t="s">
        <v>3531</v>
      </c>
      <c r="N2227" s="7" t="s">
        <v>419</v>
      </c>
      <c r="O2227" s="7" t="s">
        <v>19430</v>
      </c>
      <c r="P2227" s="7" t="s">
        <v>780</v>
      </c>
      <c r="Q2227" s="7" t="s">
        <v>786</v>
      </c>
      <c r="R2227" s="7" t="s">
        <v>19839</v>
      </c>
      <c r="T2227" s="7" t="s">
        <v>4835</v>
      </c>
      <c r="U2227" s="7" t="s">
        <v>3493</v>
      </c>
      <c r="V2227" s="7">
        <v>1.0</v>
      </c>
    </row>
    <row r="2228">
      <c r="A2228" s="7" t="s">
        <v>22139</v>
      </c>
      <c r="B2228" s="7">
        <v>3000506.0</v>
      </c>
      <c r="C2228" s="7" t="s">
        <v>16736</v>
      </c>
      <c r="D2228" s="7" t="s">
        <v>4247</v>
      </c>
      <c r="E2228" s="7" t="s">
        <v>9974</v>
      </c>
      <c r="F2228" s="7" t="s">
        <v>3818</v>
      </c>
      <c r="G2228" s="7" t="s">
        <v>16737</v>
      </c>
      <c r="H2228" s="7" t="s">
        <v>16738</v>
      </c>
      <c r="I2228" s="119">
        <v>45689.0</v>
      </c>
      <c r="K2228" s="7" t="s">
        <v>3642</v>
      </c>
      <c r="L2228" s="7" t="s">
        <v>991</v>
      </c>
      <c r="M2228" s="7" t="s">
        <v>3583</v>
      </c>
      <c r="N2228" s="7" t="s">
        <v>3642</v>
      </c>
      <c r="O2228" s="7" t="s">
        <v>3642</v>
      </c>
      <c r="P2228" s="7" t="s">
        <v>19524</v>
      </c>
      <c r="T2228" s="7" t="s">
        <v>3644</v>
      </c>
      <c r="U2228" s="7" t="s">
        <v>3493</v>
      </c>
      <c r="V2228" s="7">
        <v>1.0</v>
      </c>
    </row>
    <row r="2229">
      <c r="A2229" s="7" t="s">
        <v>22140</v>
      </c>
      <c r="B2229" s="7">
        <v>3000500.0</v>
      </c>
      <c r="C2229" s="7" t="s">
        <v>16740</v>
      </c>
      <c r="D2229" s="7" t="s">
        <v>16741</v>
      </c>
      <c r="E2229" s="7" t="s">
        <v>16740</v>
      </c>
      <c r="F2229" s="7" t="s">
        <v>16741</v>
      </c>
      <c r="G2229" s="7" t="s">
        <v>16742</v>
      </c>
      <c r="H2229" s="7" t="s">
        <v>16743</v>
      </c>
      <c r="I2229" s="119">
        <v>45689.0</v>
      </c>
      <c r="K2229" s="7" t="s">
        <v>419</v>
      </c>
      <c r="L2229" s="7" t="s">
        <v>991</v>
      </c>
      <c r="M2229" s="7" t="s">
        <v>3583</v>
      </c>
      <c r="N2229" s="7" t="s">
        <v>419</v>
      </c>
      <c r="O2229" s="7" t="s">
        <v>19432</v>
      </c>
      <c r="P2229" s="7" t="s">
        <v>298</v>
      </c>
      <c r="Q2229" s="7" t="s">
        <v>1284</v>
      </c>
      <c r="R2229" s="7" t="s">
        <v>19845</v>
      </c>
      <c r="T2229" s="7" t="s">
        <v>4863</v>
      </c>
      <c r="U2229" s="7" t="s">
        <v>3493</v>
      </c>
      <c r="V2229" s="7">
        <v>1.0</v>
      </c>
    </row>
    <row r="2230">
      <c r="A2230" s="7" t="s">
        <v>22141</v>
      </c>
      <c r="B2230" s="7">
        <v>3000434.0</v>
      </c>
      <c r="C2230" s="7" t="s">
        <v>10594</v>
      </c>
      <c r="D2230" s="7" t="s">
        <v>16745</v>
      </c>
      <c r="E2230" s="7" t="s">
        <v>10595</v>
      </c>
      <c r="F2230" s="7" t="s">
        <v>8877</v>
      </c>
      <c r="G2230" s="7" t="s">
        <v>16746</v>
      </c>
      <c r="H2230" s="7" t="s">
        <v>16747</v>
      </c>
      <c r="I2230" s="119">
        <v>45689.0</v>
      </c>
      <c r="K2230" s="7" t="s">
        <v>419</v>
      </c>
      <c r="L2230" s="7" t="s">
        <v>991</v>
      </c>
      <c r="M2230" s="7" t="s">
        <v>3501</v>
      </c>
      <c r="N2230" s="7" t="s">
        <v>419</v>
      </c>
      <c r="O2230" s="7" t="s">
        <v>19437</v>
      </c>
      <c r="P2230" s="7" t="s">
        <v>603</v>
      </c>
      <c r="Q2230" s="7" t="s">
        <v>90</v>
      </c>
      <c r="R2230" s="7" t="s">
        <v>19938</v>
      </c>
      <c r="T2230" s="7" t="s">
        <v>5321</v>
      </c>
      <c r="U2230" s="7" t="s">
        <v>3493</v>
      </c>
      <c r="V2230" s="7">
        <v>1.0</v>
      </c>
    </row>
    <row r="2231">
      <c r="A2231" s="7" t="s">
        <v>22142</v>
      </c>
      <c r="B2231" s="7">
        <v>3000386.0</v>
      </c>
      <c r="C2231" s="7" t="s">
        <v>16749</v>
      </c>
      <c r="D2231" s="7" t="s">
        <v>16750</v>
      </c>
      <c r="E2231" s="7" t="s">
        <v>16751</v>
      </c>
      <c r="F2231" s="7" t="s">
        <v>3739</v>
      </c>
      <c r="G2231" s="7" t="s">
        <v>16752</v>
      </c>
      <c r="H2231" s="7" t="s">
        <v>16753</v>
      </c>
      <c r="I2231" s="119">
        <v>45689.0</v>
      </c>
      <c r="K2231" s="7" t="s">
        <v>419</v>
      </c>
      <c r="L2231" s="7" t="s">
        <v>991</v>
      </c>
      <c r="M2231" s="7" t="s">
        <v>3490</v>
      </c>
      <c r="N2231" s="7" t="s">
        <v>419</v>
      </c>
      <c r="O2231" s="7" t="s">
        <v>19440</v>
      </c>
      <c r="P2231" s="7" t="s">
        <v>3</v>
      </c>
      <c r="Q2231" s="7" t="s">
        <v>9</v>
      </c>
      <c r="R2231" s="7" t="s">
        <v>20413</v>
      </c>
      <c r="S2231" s="7" t="s">
        <v>19519</v>
      </c>
      <c r="T2231" s="7" t="s">
        <v>7663</v>
      </c>
      <c r="U2231" s="7" t="s">
        <v>3493</v>
      </c>
      <c r="V2231" s="7">
        <v>1.0</v>
      </c>
    </row>
    <row r="2232">
      <c r="A2232" s="7" t="s">
        <v>22143</v>
      </c>
      <c r="B2232" s="7">
        <v>3000498.0</v>
      </c>
      <c r="C2232" s="7" t="s">
        <v>16755</v>
      </c>
      <c r="D2232" s="7" t="s">
        <v>16756</v>
      </c>
      <c r="E2232" s="7" t="s">
        <v>16757</v>
      </c>
      <c r="F2232" s="7" t="s">
        <v>16758</v>
      </c>
      <c r="G2232" s="7" t="s">
        <v>16759</v>
      </c>
      <c r="H2232" s="7" t="s">
        <v>16760</v>
      </c>
      <c r="I2232" s="119">
        <v>45689.0</v>
      </c>
      <c r="K2232" s="7" t="s">
        <v>419</v>
      </c>
      <c r="L2232" s="7" t="s">
        <v>991</v>
      </c>
      <c r="M2232" s="7" t="s">
        <v>3583</v>
      </c>
      <c r="N2232" s="7" t="s">
        <v>419</v>
      </c>
      <c r="O2232" s="7" t="s">
        <v>19437</v>
      </c>
      <c r="P2232" s="7" t="s">
        <v>478</v>
      </c>
      <c r="Q2232" s="7" t="s">
        <v>484</v>
      </c>
      <c r="R2232" s="7" t="s">
        <v>19624</v>
      </c>
      <c r="T2232" s="7" t="s">
        <v>7835</v>
      </c>
      <c r="U2232" s="7" t="s">
        <v>3493</v>
      </c>
      <c r="V2232" s="7">
        <v>1.0</v>
      </c>
    </row>
    <row r="2233">
      <c r="A2233" s="7" t="s">
        <v>22144</v>
      </c>
      <c r="B2233" s="7">
        <v>3000497.0</v>
      </c>
      <c r="C2233" s="7" t="s">
        <v>16763</v>
      </c>
      <c r="D2233" s="7" t="s">
        <v>16764</v>
      </c>
      <c r="E2233" s="7" t="s">
        <v>16765</v>
      </c>
      <c r="F2233" s="7" t="s">
        <v>4478</v>
      </c>
      <c r="G2233" s="7" t="s">
        <v>16766</v>
      </c>
      <c r="H2233" s="7" t="s">
        <v>16767</v>
      </c>
      <c r="I2233" s="119">
        <v>45689.0</v>
      </c>
      <c r="K2233" s="7" t="s">
        <v>419</v>
      </c>
      <c r="L2233" s="7" t="s">
        <v>991</v>
      </c>
      <c r="M2233" s="7" t="s">
        <v>3501</v>
      </c>
      <c r="N2233" s="7" t="s">
        <v>419</v>
      </c>
      <c r="O2233" s="7" t="s">
        <v>19430</v>
      </c>
      <c r="P2233" s="7" t="s">
        <v>717</v>
      </c>
      <c r="Q2233" s="7" t="s">
        <v>725</v>
      </c>
      <c r="R2233" s="7" t="s">
        <v>19501</v>
      </c>
      <c r="S2233" s="7" t="s">
        <v>19643</v>
      </c>
      <c r="T2233" s="7" t="s">
        <v>4097</v>
      </c>
      <c r="U2233" s="7" t="s">
        <v>3493</v>
      </c>
      <c r="V2233" s="7">
        <v>1.0</v>
      </c>
    </row>
    <row r="2234">
      <c r="A2234" s="7" t="s">
        <v>22145</v>
      </c>
      <c r="B2234" s="7">
        <v>3000494.0</v>
      </c>
      <c r="C2234" s="7" t="s">
        <v>16769</v>
      </c>
      <c r="D2234" s="7" t="s">
        <v>16770</v>
      </c>
      <c r="E2234" s="7" t="s">
        <v>13141</v>
      </c>
      <c r="F2234" s="7" t="s">
        <v>4917</v>
      </c>
      <c r="G2234" s="7" t="s">
        <v>16771</v>
      </c>
      <c r="H2234" s="7" t="s">
        <v>16772</v>
      </c>
      <c r="I2234" s="119">
        <v>45689.0</v>
      </c>
      <c r="K2234" s="7" t="s">
        <v>419</v>
      </c>
      <c r="L2234" s="7" t="s">
        <v>991</v>
      </c>
      <c r="M2234" s="7" t="s">
        <v>3501</v>
      </c>
      <c r="N2234" s="7" t="s">
        <v>419</v>
      </c>
      <c r="O2234" s="7" t="s">
        <v>19430</v>
      </c>
      <c r="P2234" s="7" t="s">
        <v>717</v>
      </c>
      <c r="Q2234" s="7" t="s">
        <v>730</v>
      </c>
      <c r="R2234" s="7" t="s">
        <v>20149</v>
      </c>
      <c r="S2234" s="7" t="s">
        <v>20313</v>
      </c>
      <c r="T2234" s="7" t="s">
        <v>7140</v>
      </c>
      <c r="U2234" s="7" t="s">
        <v>3493</v>
      </c>
      <c r="V2234" s="7">
        <v>1.0</v>
      </c>
    </row>
    <row r="2235">
      <c r="A2235" s="7" t="s">
        <v>22146</v>
      </c>
      <c r="B2235" s="7">
        <v>3000534.0</v>
      </c>
      <c r="C2235" s="7" t="s">
        <v>6804</v>
      </c>
      <c r="D2235" s="7" t="s">
        <v>10195</v>
      </c>
      <c r="E2235" s="7" t="s">
        <v>6799</v>
      </c>
      <c r="F2235" s="7" t="s">
        <v>3874</v>
      </c>
      <c r="G2235" s="7" t="s">
        <v>16774</v>
      </c>
      <c r="I2235" s="119">
        <v>45704.0</v>
      </c>
      <c r="K2235" s="7" t="s">
        <v>419</v>
      </c>
      <c r="L2235" s="7" t="s">
        <v>991</v>
      </c>
      <c r="M2235" s="7" t="s">
        <v>3531</v>
      </c>
      <c r="N2235" s="7" t="s">
        <v>419</v>
      </c>
      <c r="O2235" s="7" t="s">
        <v>19432</v>
      </c>
      <c r="P2235" s="7" t="s">
        <v>391</v>
      </c>
      <c r="T2235" s="7" t="s">
        <v>9103</v>
      </c>
      <c r="U2235" s="7" t="s">
        <v>3493</v>
      </c>
      <c r="V2235" s="7">
        <v>1.0</v>
      </c>
    </row>
    <row r="2236">
      <c r="A2236" s="7" t="s">
        <v>22147</v>
      </c>
      <c r="B2236" s="7">
        <v>3000538.0</v>
      </c>
      <c r="C2236" s="7" t="s">
        <v>16776</v>
      </c>
      <c r="D2236" s="7" t="s">
        <v>16777</v>
      </c>
      <c r="E2236" s="7" t="s">
        <v>16778</v>
      </c>
      <c r="F2236" s="7" t="s">
        <v>16779</v>
      </c>
      <c r="G2236" s="7" t="s">
        <v>16780</v>
      </c>
      <c r="H2236" s="7" t="s">
        <v>16781</v>
      </c>
      <c r="I2236" s="119">
        <v>45704.0</v>
      </c>
      <c r="K2236" s="7" t="s">
        <v>3622</v>
      </c>
      <c r="L2236" s="7" t="s">
        <v>991</v>
      </c>
      <c r="M2236" s="7" t="s">
        <v>3531</v>
      </c>
      <c r="N2236" s="7" t="s">
        <v>3622</v>
      </c>
      <c r="O2236" s="7" t="s">
        <v>3622</v>
      </c>
      <c r="P2236" s="7" t="s">
        <v>19521</v>
      </c>
      <c r="T2236" s="7" t="s">
        <v>3624</v>
      </c>
      <c r="U2236" s="7" t="s">
        <v>3493</v>
      </c>
      <c r="V2236" s="7">
        <v>1.0</v>
      </c>
    </row>
    <row r="2237">
      <c r="A2237" s="7" t="s">
        <v>22148</v>
      </c>
      <c r="B2237" s="7">
        <v>3000410.0</v>
      </c>
      <c r="C2237" s="7" t="s">
        <v>8429</v>
      </c>
      <c r="D2237" s="7" t="s">
        <v>16783</v>
      </c>
      <c r="E2237" s="7" t="s">
        <v>8431</v>
      </c>
      <c r="F2237" s="7" t="s">
        <v>5049</v>
      </c>
      <c r="G2237" s="7" t="s">
        <v>16784</v>
      </c>
      <c r="H2237" s="7" t="s">
        <v>16785</v>
      </c>
      <c r="I2237" s="119">
        <v>45704.0</v>
      </c>
      <c r="K2237" s="7" t="s">
        <v>419</v>
      </c>
      <c r="L2237" s="7" t="s">
        <v>991</v>
      </c>
      <c r="M2237" s="7" t="s">
        <v>3501</v>
      </c>
      <c r="N2237" s="7" t="s">
        <v>419</v>
      </c>
      <c r="O2237" s="7" t="s">
        <v>19443</v>
      </c>
      <c r="P2237" s="7" t="s">
        <v>323</v>
      </c>
      <c r="Q2237" s="7" t="s">
        <v>824</v>
      </c>
      <c r="R2237" s="7" t="s">
        <v>20407</v>
      </c>
      <c r="T2237" s="7" t="s">
        <v>8908</v>
      </c>
      <c r="U2237" s="7" t="s">
        <v>3493</v>
      </c>
      <c r="V2237" s="7">
        <v>1.0</v>
      </c>
    </row>
    <row r="2238">
      <c r="A2238" s="7" t="s">
        <v>22149</v>
      </c>
      <c r="B2238" s="7">
        <v>3000490.0</v>
      </c>
      <c r="C2238" s="7" t="s">
        <v>8429</v>
      </c>
      <c r="D2238" s="7" t="s">
        <v>16787</v>
      </c>
      <c r="E2238" s="7" t="s">
        <v>8431</v>
      </c>
      <c r="F2238" s="7" t="s">
        <v>16788</v>
      </c>
      <c r="G2238" s="7" t="s">
        <v>16789</v>
      </c>
      <c r="H2238" s="7" t="s">
        <v>16790</v>
      </c>
      <c r="I2238" s="119">
        <v>45704.0</v>
      </c>
      <c r="K2238" s="7" t="s">
        <v>419</v>
      </c>
      <c r="L2238" s="7" t="s">
        <v>991</v>
      </c>
      <c r="M2238" s="7" t="s">
        <v>3501</v>
      </c>
      <c r="N2238" s="7" t="s">
        <v>419</v>
      </c>
      <c r="O2238" s="7" t="s">
        <v>19443</v>
      </c>
      <c r="P2238" s="7" t="s">
        <v>1242</v>
      </c>
      <c r="Q2238" s="7" t="s">
        <v>51</v>
      </c>
      <c r="R2238" s="7" t="s">
        <v>19549</v>
      </c>
      <c r="S2238" s="7" t="s">
        <v>20042</v>
      </c>
      <c r="T2238" s="7" t="s">
        <v>5781</v>
      </c>
      <c r="U2238" s="7" t="s">
        <v>3493</v>
      </c>
      <c r="V2238" s="7">
        <v>1.0</v>
      </c>
    </row>
    <row r="2239">
      <c r="A2239" s="7" t="s">
        <v>22150</v>
      </c>
      <c r="B2239" s="7">
        <v>3000540.0</v>
      </c>
      <c r="C2239" s="7" t="s">
        <v>9339</v>
      </c>
      <c r="D2239" s="7" t="s">
        <v>16792</v>
      </c>
      <c r="E2239" s="7" t="s">
        <v>9341</v>
      </c>
      <c r="F2239" s="7" t="s">
        <v>9975</v>
      </c>
      <c r="G2239" s="7" t="s">
        <v>16793</v>
      </c>
      <c r="H2239" s="7" t="s">
        <v>16794</v>
      </c>
      <c r="I2239" s="119">
        <v>45704.0</v>
      </c>
      <c r="K2239" s="7" t="s">
        <v>419</v>
      </c>
      <c r="L2239" s="7" t="s">
        <v>991</v>
      </c>
      <c r="M2239" s="7" t="s">
        <v>3531</v>
      </c>
      <c r="N2239" s="7" t="s">
        <v>419</v>
      </c>
      <c r="O2239" s="7" t="s">
        <v>19430</v>
      </c>
      <c r="P2239" s="7" t="s">
        <v>780</v>
      </c>
      <c r="Q2239" s="7" t="s">
        <v>786</v>
      </c>
      <c r="R2239" s="7" t="s">
        <v>19839</v>
      </c>
      <c r="T2239" s="7" t="s">
        <v>4835</v>
      </c>
      <c r="U2239" s="7" t="s">
        <v>3493</v>
      </c>
      <c r="V2239" s="7">
        <v>1.0</v>
      </c>
    </row>
    <row r="2240">
      <c r="A2240" s="7" t="s">
        <v>22151</v>
      </c>
      <c r="B2240" s="7">
        <v>3000543.0</v>
      </c>
      <c r="C2240" s="7" t="s">
        <v>16796</v>
      </c>
      <c r="D2240" s="7" t="s">
        <v>16797</v>
      </c>
      <c r="E2240" s="7" t="s">
        <v>16798</v>
      </c>
      <c r="F2240" s="7" t="s">
        <v>9672</v>
      </c>
      <c r="G2240" s="7" t="s">
        <v>16799</v>
      </c>
      <c r="H2240" s="7" t="s">
        <v>16800</v>
      </c>
      <c r="I2240" s="119">
        <v>45704.0</v>
      </c>
      <c r="K2240" s="7" t="s">
        <v>419</v>
      </c>
      <c r="L2240" s="7" t="s">
        <v>991</v>
      </c>
      <c r="M2240" s="7" t="s">
        <v>3531</v>
      </c>
      <c r="N2240" s="7" t="s">
        <v>419</v>
      </c>
      <c r="O2240" s="7" t="s">
        <v>19437</v>
      </c>
      <c r="P2240" s="7" t="s">
        <v>478</v>
      </c>
      <c r="Q2240" s="7" t="s">
        <v>482</v>
      </c>
      <c r="T2240" s="7" t="s">
        <v>16801</v>
      </c>
      <c r="U2240" s="7" t="s">
        <v>3493</v>
      </c>
      <c r="V2240" s="7">
        <v>1.0</v>
      </c>
    </row>
    <row r="2241">
      <c r="A2241" s="7" t="s">
        <v>22152</v>
      </c>
      <c r="B2241" s="7">
        <v>3000541.0</v>
      </c>
      <c r="C2241" s="7" t="s">
        <v>16457</v>
      </c>
      <c r="D2241" s="7" t="s">
        <v>16803</v>
      </c>
      <c r="E2241" s="7" t="s">
        <v>16459</v>
      </c>
      <c r="F2241" s="7" t="s">
        <v>8036</v>
      </c>
      <c r="G2241" s="7" t="s">
        <v>16804</v>
      </c>
      <c r="H2241" s="7" t="s">
        <v>16805</v>
      </c>
      <c r="I2241" s="119">
        <v>45704.0</v>
      </c>
      <c r="K2241" s="7" t="s">
        <v>3642</v>
      </c>
      <c r="L2241" s="7" t="s">
        <v>991</v>
      </c>
      <c r="M2241" s="7" t="s">
        <v>3531</v>
      </c>
      <c r="N2241" s="7" t="s">
        <v>3642</v>
      </c>
      <c r="O2241" s="7" t="s">
        <v>3642</v>
      </c>
      <c r="P2241" s="7" t="s">
        <v>19524</v>
      </c>
      <c r="T2241" s="7" t="s">
        <v>3644</v>
      </c>
      <c r="U2241" s="7" t="s">
        <v>3493</v>
      </c>
      <c r="V2241" s="7">
        <v>1.0</v>
      </c>
    </row>
    <row r="2242">
      <c r="A2242" s="7" t="s">
        <v>22153</v>
      </c>
      <c r="B2242" s="7">
        <v>3000542.0</v>
      </c>
      <c r="C2242" s="7" t="s">
        <v>16807</v>
      </c>
      <c r="D2242" s="7" t="s">
        <v>16808</v>
      </c>
      <c r="E2242" s="7" t="s">
        <v>16809</v>
      </c>
      <c r="F2242" s="7" t="s">
        <v>5849</v>
      </c>
      <c r="G2242" s="7" t="s">
        <v>16810</v>
      </c>
      <c r="H2242" s="7" t="s">
        <v>16811</v>
      </c>
      <c r="I2242" s="119">
        <v>45704.0</v>
      </c>
      <c r="K2242" s="7" t="s">
        <v>3642</v>
      </c>
      <c r="L2242" s="7" t="s">
        <v>991</v>
      </c>
      <c r="M2242" s="7" t="s">
        <v>3501</v>
      </c>
      <c r="N2242" s="7" t="s">
        <v>3642</v>
      </c>
      <c r="O2242" s="7" t="s">
        <v>3642</v>
      </c>
      <c r="P2242" s="7" t="s">
        <v>19524</v>
      </c>
      <c r="T2242" s="7" t="s">
        <v>3644</v>
      </c>
      <c r="U2242" s="7" t="s">
        <v>3493</v>
      </c>
      <c r="V2242" s="7">
        <v>1.0</v>
      </c>
    </row>
    <row r="2243">
      <c r="A2243" s="7" t="s">
        <v>22154</v>
      </c>
      <c r="B2243" s="7">
        <v>3000530.0</v>
      </c>
      <c r="C2243" s="7" t="s">
        <v>13898</v>
      </c>
      <c r="D2243" s="7" t="s">
        <v>10965</v>
      </c>
      <c r="E2243" s="7" t="s">
        <v>13900</v>
      </c>
      <c r="F2243" s="7" t="s">
        <v>5312</v>
      </c>
      <c r="G2243" s="7" t="s">
        <v>16813</v>
      </c>
      <c r="H2243" s="7" t="s">
        <v>16814</v>
      </c>
      <c r="I2243" s="119">
        <v>45704.0</v>
      </c>
      <c r="K2243" s="7" t="s">
        <v>419</v>
      </c>
      <c r="L2243" s="7" t="s">
        <v>991</v>
      </c>
      <c r="M2243" s="7" t="s">
        <v>3531</v>
      </c>
      <c r="N2243" s="7" t="s">
        <v>419</v>
      </c>
      <c r="O2243" s="7" t="s">
        <v>19430</v>
      </c>
      <c r="P2243" s="7" t="s">
        <v>717</v>
      </c>
      <c r="Q2243" s="7" t="s">
        <v>720</v>
      </c>
      <c r="R2243" s="7" t="s">
        <v>19626</v>
      </c>
      <c r="S2243" s="7" t="s">
        <v>20561</v>
      </c>
      <c r="T2243" s="7" t="s">
        <v>8391</v>
      </c>
      <c r="U2243" s="7" t="s">
        <v>3493</v>
      </c>
      <c r="V2243" s="7">
        <v>1.0</v>
      </c>
    </row>
    <row r="2244">
      <c r="A2244" s="7" t="s">
        <v>22155</v>
      </c>
      <c r="B2244" s="7">
        <v>3000545.0</v>
      </c>
      <c r="C2244" s="7" t="s">
        <v>14145</v>
      </c>
      <c r="D2244" s="7" t="s">
        <v>16816</v>
      </c>
      <c r="E2244" s="7" t="s">
        <v>14147</v>
      </c>
      <c r="F2244" s="7" t="s">
        <v>5908</v>
      </c>
      <c r="G2244" s="7" t="s">
        <v>16817</v>
      </c>
      <c r="H2244" s="7" t="s">
        <v>16818</v>
      </c>
      <c r="I2244" s="119">
        <v>45704.0</v>
      </c>
      <c r="K2244" s="7" t="s">
        <v>3642</v>
      </c>
      <c r="L2244" s="7" t="s">
        <v>991</v>
      </c>
      <c r="M2244" s="7" t="s">
        <v>3501</v>
      </c>
      <c r="N2244" s="7" t="s">
        <v>3642</v>
      </c>
      <c r="O2244" s="7" t="s">
        <v>3642</v>
      </c>
      <c r="P2244" s="7" t="s">
        <v>19524</v>
      </c>
      <c r="T2244" s="7" t="s">
        <v>3644</v>
      </c>
      <c r="U2244" s="7" t="s">
        <v>3493</v>
      </c>
      <c r="V2244" s="7">
        <v>1.0</v>
      </c>
    </row>
    <row r="2245">
      <c r="A2245" s="7" t="s">
        <v>22156</v>
      </c>
      <c r="B2245" s="7">
        <v>3000569.0</v>
      </c>
      <c r="C2245" s="7" t="s">
        <v>16820</v>
      </c>
      <c r="D2245" s="7" t="s">
        <v>4260</v>
      </c>
      <c r="E2245" s="7" t="s">
        <v>16821</v>
      </c>
      <c r="F2245" s="7" t="s">
        <v>4262</v>
      </c>
      <c r="G2245" s="7" t="s">
        <v>16822</v>
      </c>
      <c r="H2245" s="7" t="s">
        <v>16823</v>
      </c>
      <c r="I2245" s="119">
        <v>45717.0</v>
      </c>
      <c r="K2245" s="7" t="s">
        <v>3632</v>
      </c>
      <c r="L2245" s="7" t="s">
        <v>991</v>
      </c>
      <c r="M2245" s="7" t="s">
        <v>3531</v>
      </c>
      <c r="N2245" s="7" t="s">
        <v>3632</v>
      </c>
      <c r="O2245" s="7" t="s">
        <v>3632</v>
      </c>
      <c r="P2245" s="7" t="s">
        <v>625</v>
      </c>
      <c r="Q2245" s="7" t="s">
        <v>118</v>
      </c>
      <c r="R2245" s="7" t="s">
        <v>20138</v>
      </c>
      <c r="T2245" s="7" t="s">
        <v>12840</v>
      </c>
      <c r="U2245" s="7" t="s">
        <v>3493</v>
      </c>
      <c r="V2245" s="7">
        <v>1.0</v>
      </c>
    </row>
    <row r="2246">
      <c r="A2246" s="7" t="s">
        <v>22157</v>
      </c>
      <c r="B2246" s="7">
        <v>3000414.0</v>
      </c>
      <c r="C2246" s="7" t="s">
        <v>16825</v>
      </c>
      <c r="D2246" s="7" t="s">
        <v>16826</v>
      </c>
      <c r="E2246" s="7" t="s">
        <v>16827</v>
      </c>
      <c r="F2246" s="7" t="s">
        <v>9975</v>
      </c>
      <c r="G2246" s="7" t="s">
        <v>16828</v>
      </c>
      <c r="H2246" s="7" t="s">
        <v>16829</v>
      </c>
      <c r="I2246" s="119">
        <v>45717.0</v>
      </c>
      <c r="K2246" s="7" t="s">
        <v>419</v>
      </c>
      <c r="L2246" s="7" t="s">
        <v>991</v>
      </c>
      <c r="M2246" s="7" t="s">
        <v>3501</v>
      </c>
      <c r="N2246" s="7" t="s">
        <v>419</v>
      </c>
      <c r="O2246" s="7" t="s">
        <v>19430</v>
      </c>
      <c r="P2246" s="7" t="s">
        <v>780</v>
      </c>
      <c r="Q2246" s="7" t="s">
        <v>786</v>
      </c>
      <c r="R2246" s="7" t="s">
        <v>19574</v>
      </c>
      <c r="T2246" s="7" t="s">
        <v>22158</v>
      </c>
      <c r="U2246" s="7" t="s">
        <v>3604</v>
      </c>
      <c r="V2246" s="7">
        <v>1.0</v>
      </c>
    </row>
    <row r="2247">
      <c r="A2247" s="7" t="s">
        <v>22159</v>
      </c>
      <c r="B2247" s="7">
        <v>3000575.0</v>
      </c>
      <c r="C2247" s="7" t="s">
        <v>16833</v>
      </c>
      <c r="D2247" s="7" t="s">
        <v>16834</v>
      </c>
      <c r="E2247" s="7" t="s">
        <v>16835</v>
      </c>
      <c r="F2247" s="7" t="s">
        <v>16836</v>
      </c>
      <c r="G2247" s="7" t="s">
        <v>16837</v>
      </c>
      <c r="H2247" s="7" t="s">
        <v>16838</v>
      </c>
      <c r="I2247" s="119">
        <v>45717.0</v>
      </c>
      <c r="K2247" s="7" t="s">
        <v>419</v>
      </c>
      <c r="L2247" s="7" t="s">
        <v>991</v>
      </c>
      <c r="M2247" s="7" t="s">
        <v>3531</v>
      </c>
      <c r="N2247" s="7" t="s">
        <v>419</v>
      </c>
      <c r="O2247" s="7" t="s">
        <v>19443</v>
      </c>
      <c r="P2247" s="7" t="s">
        <v>1242</v>
      </c>
      <c r="Q2247" s="7" t="s">
        <v>51</v>
      </c>
      <c r="R2247" s="7" t="s">
        <v>19549</v>
      </c>
      <c r="S2247" s="7" t="s">
        <v>20042</v>
      </c>
      <c r="T2247" s="7" t="s">
        <v>5781</v>
      </c>
      <c r="U2247" s="7" t="s">
        <v>3493</v>
      </c>
      <c r="V2247" s="7">
        <v>1.0</v>
      </c>
    </row>
    <row r="2248">
      <c r="A2248" s="7" t="s">
        <v>22160</v>
      </c>
      <c r="B2248" s="7">
        <v>3000565.0</v>
      </c>
      <c r="C2248" s="7" t="s">
        <v>16840</v>
      </c>
      <c r="D2248" s="7" t="s">
        <v>16841</v>
      </c>
      <c r="E2248" s="7" t="s">
        <v>16842</v>
      </c>
      <c r="F2248" s="7" t="s">
        <v>16843</v>
      </c>
      <c r="G2248" s="7" t="s">
        <v>16844</v>
      </c>
      <c r="H2248" s="7" t="s">
        <v>16845</v>
      </c>
      <c r="I2248" s="119">
        <v>45717.0</v>
      </c>
      <c r="K2248" s="7" t="s">
        <v>419</v>
      </c>
      <c r="L2248" s="7" t="s">
        <v>991</v>
      </c>
      <c r="M2248" s="7" t="s">
        <v>3531</v>
      </c>
      <c r="N2248" s="7" t="s">
        <v>419</v>
      </c>
      <c r="O2248" s="7" t="s">
        <v>19430</v>
      </c>
      <c r="P2248" s="7" t="s">
        <v>780</v>
      </c>
      <c r="Q2248" s="7" t="s">
        <v>786</v>
      </c>
      <c r="R2248" s="7" t="s">
        <v>19839</v>
      </c>
      <c r="T2248" s="7" t="s">
        <v>4835</v>
      </c>
      <c r="U2248" s="7" t="s">
        <v>3493</v>
      </c>
      <c r="V2248" s="7">
        <v>1.0</v>
      </c>
    </row>
    <row r="2249">
      <c r="A2249" s="7" t="s">
        <v>22161</v>
      </c>
      <c r="B2249" s="7">
        <v>3000561.0</v>
      </c>
      <c r="C2249" s="7" t="s">
        <v>16847</v>
      </c>
      <c r="D2249" s="7" t="s">
        <v>16848</v>
      </c>
      <c r="E2249" s="7" t="s">
        <v>16849</v>
      </c>
      <c r="F2249" s="7" t="s">
        <v>9380</v>
      </c>
      <c r="G2249" s="7" t="s">
        <v>16850</v>
      </c>
      <c r="H2249" s="7" t="s">
        <v>16851</v>
      </c>
      <c r="I2249" s="119">
        <v>45717.0</v>
      </c>
      <c r="K2249" s="7" t="s">
        <v>3642</v>
      </c>
      <c r="L2249" s="7" t="s">
        <v>991</v>
      </c>
      <c r="M2249" s="7" t="s">
        <v>3501</v>
      </c>
      <c r="N2249" s="7" t="s">
        <v>3642</v>
      </c>
      <c r="O2249" s="7" t="s">
        <v>3642</v>
      </c>
      <c r="P2249" s="7" t="s">
        <v>19524</v>
      </c>
      <c r="T2249" s="7" t="s">
        <v>3644</v>
      </c>
      <c r="U2249" s="7" t="s">
        <v>3493</v>
      </c>
      <c r="V2249" s="7">
        <v>1.0</v>
      </c>
    </row>
    <row r="2250">
      <c r="A2250" s="7" t="s">
        <v>22162</v>
      </c>
      <c r="B2250" s="7">
        <v>3000551.0</v>
      </c>
      <c r="C2250" s="7" t="s">
        <v>5292</v>
      </c>
      <c r="D2250" s="7" t="s">
        <v>16853</v>
      </c>
      <c r="E2250" s="7" t="s">
        <v>5294</v>
      </c>
      <c r="F2250" s="7" t="s">
        <v>3721</v>
      </c>
      <c r="G2250" s="7" t="s">
        <v>16854</v>
      </c>
      <c r="I2250" s="119">
        <v>45717.0</v>
      </c>
      <c r="K2250" s="7" t="s">
        <v>419</v>
      </c>
      <c r="L2250" s="7" t="s">
        <v>991</v>
      </c>
      <c r="M2250" s="7" t="s">
        <v>3531</v>
      </c>
      <c r="N2250" s="7" t="s">
        <v>419</v>
      </c>
      <c r="O2250" s="7" t="s">
        <v>19432</v>
      </c>
      <c r="P2250" s="7" t="s">
        <v>298</v>
      </c>
      <c r="Q2250" s="7" t="s">
        <v>1284</v>
      </c>
      <c r="R2250" s="7" t="s">
        <v>20033</v>
      </c>
      <c r="S2250" s="7" t="s">
        <v>20456</v>
      </c>
      <c r="T2250" s="7" t="s">
        <v>7884</v>
      </c>
      <c r="U2250" s="7" t="s">
        <v>3493</v>
      </c>
      <c r="V2250" s="7">
        <v>1.0</v>
      </c>
    </row>
    <row r="2251">
      <c r="A2251" s="7" t="s">
        <v>22163</v>
      </c>
      <c r="B2251" s="7">
        <v>3000550.0</v>
      </c>
      <c r="C2251" s="7" t="s">
        <v>16856</v>
      </c>
      <c r="D2251" s="7" t="s">
        <v>13474</v>
      </c>
      <c r="E2251" s="7" t="s">
        <v>16857</v>
      </c>
      <c r="F2251" s="7" t="s">
        <v>5369</v>
      </c>
      <c r="G2251" s="7" t="s">
        <v>16858</v>
      </c>
      <c r="H2251" s="7" t="s">
        <v>16859</v>
      </c>
      <c r="I2251" s="119">
        <v>45717.0</v>
      </c>
      <c r="K2251" s="7" t="s">
        <v>3632</v>
      </c>
      <c r="L2251" s="7" t="s">
        <v>991</v>
      </c>
      <c r="M2251" s="7" t="s">
        <v>3583</v>
      </c>
      <c r="N2251" s="7" t="s">
        <v>3632</v>
      </c>
      <c r="O2251" s="7" t="s">
        <v>3632</v>
      </c>
      <c r="P2251" s="7" t="s">
        <v>625</v>
      </c>
      <c r="Q2251" s="7" t="s">
        <v>626</v>
      </c>
      <c r="R2251" s="7" t="s">
        <v>19672</v>
      </c>
      <c r="T2251" s="7" t="s">
        <v>4191</v>
      </c>
      <c r="U2251" s="7" t="s">
        <v>3493</v>
      </c>
      <c r="V2251" s="7">
        <v>1.0</v>
      </c>
    </row>
    <row r="2252">
      <c r="A2252" s="7" t="s">
        <v>22164</v>
      </c>
      <c r="B2252" s="7">
        <v>3000552.0</v>
      </c>
      <c r="C2252" s="7" t="s">
        <v>6991</v>
      </c>
      <c r="D2252" s="7" t="s">
        <v>16861</v>
      </c>
      <c r="E2252" s="7" t="s">
        <v>6993</v>
      </c>
      <c r="F2252" s="7" t="s">
        <v>5522</v>
      </c>
      <c r="G2252" s="7" t="s">
        <v>16862</v>
      </c>
      <c r="H2252" s="7" t="s">
        <v>16863</v>
      </c>
      <c r="I2252" s="119">
        <v>45717.0</v>
      </c>
      <c r="K2252" s="7" t="s">
        <v>3632</v>
      </c>
      <c r="L2252" s="7" t="s">
        <v>991</v>
      </c>
      <c r="M2252" s="7" t="s">
        <v>3583</v>
      </c>
      <c r="N2252" s="7" t="s">
        <v>3632</v>
      </c>
      <c r="O2252" s="7" t="s">
        <v>3632</v>
      </c>
      <c r="P2252" s="7" t="s">
        <v>429</v>
      </c>
      <c r="Q2252" s="7" t="s">
        <v>436</v>
      </c>
      <c r="R2252" s="7" t="s">
        <v>20088</v>
      </c>
      <c r="T2252" s="7" t="s">
        <v>20089</v>
      </c>
      <c r="U2252" s="7" t="s">
        <v>3493</v>
      </c>
      <c r="V2252" s="7">
        <v>1.0</v>
      </c>
    </row>
    <row r="2253">
      <c r="A2253" s="7" t="s">
        <v>22165</v>
      </c>
      <c r="B2253" s="7">
        <v>3000574.0</v>
      </c>
      <c r="C2253" s="7" t="s">
        <v>7031</v>
      </c>
      <c r="D2253" s="7" t="s">
        <v>8437</v>
      </c>
      <c r="E2253" s="7" t="s">
        <v>7033</v>
      </c>
      <c r="F2253" s="7" t="s">
        <v>5441</v>
      </c>
      <c r="G2253" s="7" t="s">
        <v>16866</v>
      </c>
      <c r="H2253" s="7" t="s">
        <v>16867</v>
      </c>
      <c r="I2253" s="119">
        <v>45717.0</v>
      </c>
      <c r="K2253" s="7" t="s">
        <v>419</v>
      </c>
      <c r="L2253" s="7" t="s">
        <v>991</v>
      </c>
      <c r="M2253" s="7" t="s">
        <v>3531</v>
      </c>
      <c r="N2253" s="7" t="s">
        <v>419</v>
      </c>
      <c r="O2253" s="7" t="s">
        <v>19443</v>
      </c>
      <c r="P2253" s="7" t="s">
        <v>1242</v>
      </c>
      <c r="Q2253" s="7" t="s">
        <v>51</v>
      </c>
      <c r="R2253" s="7" t="s">
        <v>19549</v>
      </c>
      <c r="S2253" s="7" t="s">
        <v>20042</v>
      </c>
      <c r="T2253" s="7" t="s">
        <v>5781</v>
      </c>
      <c r="U2253" s="7" t="s">
        <v>3493</v>
      </c>
      <c r="V2253" s="7">
        <v>1.0</v>
      </c>
    </row>
    <row r="2254">
      <c r="A2254" s="7" t="s">
        <v>22166</v>
      </c>
      <c r="B2254" s="7">
        <v>3000585.0</v>
      </c>
      <c r="C2254" s="7" t="s">
        <v>7126</v>
      </c>
      <c r="D2254" s="7" t="s">
        <v>16869</v>
      </c>
      <c r="E2254" s="7" t="s">
        <v>7128</v>
      </c>
      <c r="F2254" s="7" t="s">
        <v>5441</v>
      </c>
      <c r="G2254" s="7" t="s">
        <v>16870</v>
      </c>
      <c r="H2254" s="7" t="s">
        <v>16871</v>
      </c>
      <c r="I2254" s="119">
        <v>45717.0</v>
      </c>
      <c r="K2254" s="7" t="s">
        <v>419</v>
      </c>
      <c r="L2254" s="7" t="s">
        <v>991</v>
      </c>
      <c r="M2254" s="7" t="s">
        <v>3531</v>
      </c>
      <c r="N2254" s="7" t="s">
        <v>419</v>
      </c>
      <c r="O2254" s="7" t="s">
        <v>19432</v>
      </c>
      <c r="P2254" s="7" t="s">
        <v>693</v>
      </c>
      <c r="Q2254" s="7" t="s">
        <v>696</v>
      </c>
      <c r="R2254" s="7" t="s">
        <v>20395</v>
      </c>
      <c r="S2254" s="7" t="s">
        <v>19739</v>
      </c>
      <c r="T2254" s="7" t="s">
        <v>7552</v>
      </c>
      <c r="U2254" s="7" t="s">
        <v>3493</v>
      </c>
      <c r="V2254" s="7">
        <v>1.0</v>
      </c>
    </row>
    <row r="2255">
      <c r="A2255" s="7" t="s">
        <v>22167</v>
      </c>
      <c r="B2255" s="7">
        <v>3000516.0</v>
      </c>
      <c r="C2255" s="7" t="s">
        <v>7554</v>
      </c>
      <c r="D2255" s="7" t="s">
        <v>8716</v>
      </c>
      <c r="E2255" s="7" t="s">
        <v>16873</v>
      </c>
      <c r="F2255" s="7" t="s">
        <v>5132</v>
      </c>
      <c r="G2255" s="7" t="s">
        <v>16874</v>
      </c>
      <c r="H2255" s="7" t="s">
        <v>16875</v>
      </c>
      <c r="I2255" s="119">
        <v>45717.0</v>
      </c>
      <c r="K2255" s="7" t="s">
        <v>419</v>
      </c>
      <c r="L2255" s="7" t="s">
        <v>991</v>
      </c>
      <c r="M2255" s="7" t="s">
        <v>3501</v>
      </c>
      <c r="N2255" s="7" t="s">
        <v>419</v>
      </c>
      <c r="O2255" s="7" t="s">
        <v>19432</v>
      </c>
      <c r="P2255" s="7" t="s">
        <v>298</v>
      </c>
      <c r="Q2255" s="7" t="s">
        <v>1284</v>
      </c>
      <c r="R2255" s="7" t="s">
        <v>20579</v>
      </c>
      <c r="S2255" s="7" t="s">
        <v>20580</v>
      </c>
      <c r="T2255" s="7" t="s">
        <v>11111</v>
      </c>
      <c r="U2255" s="7" t="s">
        <v>3493</v>
      </c>
      <c r="V2255" s="7">
        <v>1.0</v>
      </c>
    </row>
    <row r="2256">
      <c r="A2256" s="7" t="s">
        <v>22168</v>
      </c>
      <c r="B2256" s="7">
        <v>3000556.0</v>
      </c>
      <c r="C2256" s="7" t="s">
        <v>16877</v>
      </c>
      <c r="D2256" s="7" t="s">
        <v>16878</v>
      </c>
      <c r="E2256" s="7" t="s">
        <v>16879</v>
      </c>
      <c r="F2256" s="7" t="s">
        <v>16293</v>
      </c>
      <c r="G2256" s="7" t="s">
        <v>16880</v>
      </c>
      <c r="H2256" s="7" t="s">
        <v>16881</v>
      </c>
      <c r="I2256" s="119">
        <v>45717.0</v>
      </c>
      <c r="K2256" s="7" t="s">
        <v>419</v>
      </c>
      <c r="L2256" s="7" t="s">
        <v>991</v>
      </c>
      <c r="M2256" s="7" t="s">
        <v>3531</v>
      </c>
      <c r="N2256" s="7" t="s">
        <v>419</v>
      </c>
      <c r="O2256" s="7" t="s">
        <v>19443</v>
      </c>
      <c r="P2256" s="7" t="s">
        <v>1242</v>
      </c>
      <c r="Q2256" s="7" t="s">
        <v>51</v>
      </c>
      <c r="R2256" s="7" t="s">
        <v>19574</v>
      </c>
      <c r="T2256" s="7" t="s">
        <v>10802</v>
      </c>
      <c r="U2256" s="7" t="s">
        <v>3493</v>
      </c>
      <c r="V2256" s="7">
        <v>1.0</v>
      </c>
    </row>
    <row r="2257">
      <c r="A2257" s="7" t="s">
        <v>22169</v>
      </c>
      <c r="B2257" s="7">
        <v>3000557.0</v>
      </c>
      <c r="C2257" s="7" t="s">
        <v>16883</v>
      </c>
      <c r="D2257" s="7" t="s">
        <v>16884</v>
      </c>
      <c r="E2257" s="7" t="s">
        <v>7854</v>
      </c>
      <c r="F2257" s="7" t="s">
        <v>16885</v>
      </c>
      <c r="G2257" s="7" t="s">
        <v>16886</v>
      </c>
      <c r="H2257" s="7" t="s">
        <v>16887</v>
      </c>
      <c r="I2257" s="119">
        <v>45717.0</v>
      </c>
      <c r="K2257" s="7" t="s">
        <v>3632</v>
      </c>
      <c r="L2257" s="7" t="s">
        <v>991</v>
      </c>
      <c r="M2257" s="7" t="s">
        <v>3531</v>
      </c>
      <c r="N2257" s="7" t="s">
        <v>3632</v>
      </c>
      <c r="O2257" s="7" t="s">
        <v>3632</v>
      </c>
      <c r="P2257" s="7" t="s">
        <v>22</v>
      </c>
      <c r="Q2257" s="7" t="s">
        <v>552</v>
      </c>
      <c r="T2257" s="7" t="s">
        <v>16888</v>
      </c>
      <c r="U2257" s="7" t="s">
        <v>3493</v>
      </c>
      <c r="V2257" s="7">
        <v>1.0</v>
      </c>
    </row>
    <row r="2258">
      <c r="A2258" s="7" t="s">
        <v>22170</v>
      </c>
      <c r="B2258" s="7">
        <v>3000573.0</v>
      </c>
      <c r="C2258" s="7" t="s">
        <v>8352</v>
      </c>
      <c r="D2258" s="7" t="s">
        <v>16890</v>
      </c>
      <c r="E2258" s="7" t="s">
        <v>8354</v>
      </c>
      <c r="F2258" s="7" t="s">
        <v>3692</v>
      </c>
      <c r="G2258" s="7" t="s">
        <v>16891</v>
      </c>
      <c r="H2258" s="7" t="s">
        <v>16892</v>
      </c>
      <c r="I2258" s="119">
        <v>45717.0</v>
      </c>
      <c r="K2258" s="7" t="s">
        <v>419</v>
      </c>
      <c r="L2258" s="7" t="s">
        <v>991</v>
      </c>
      <c r="M2258" s="7" t="s">
        <v>3531</v>
      </c>
      <c r="N2258" s="7" t="s">
        <v>419</v>
      </c>
      <c r="O2258" s="7" t="s">
        <v>19443</v>
      </c>
      <c r="P2258" s="7" t="s">
        <v>1242</v>
      </c>
      <c r="Q2258" s="7" t="s">
        <v>51</v>
      </c>
      <c r="R2258" s="7" t="s">
        <v>19549</v>
      </c>
      <c r="S2258" s="7" t="s">
        <v>20042</v>
      </c>
      <c r="T2258" s="7" t="s">
        <v>5781</v>
      </c>
      <c r="U2258" s="7" t="s">
        <v>3493</v>
      </c>
      <c r="V2258" s="7">
        <v>1.0</v>
      </c>
    </row>
    <row r="2259">
      <c r="A2259" s="7" t="s">
        <v>22171</v>
      </c>
      <c r="B2259" s="7">
        <v>3000546.0</v>
      </c>
      <c r="C2259" s="7" t="s">
        <v>8852</v>
      </c>
      <c r="D2259" s="7" t="s">
        <v>16894</v>
      </c>
      <c r="E2259" s="7" t="s">
        <v>8854</v>
      </c>
      <c r="F2259" s="7" t="s">
        <v>16895</v>
      </c>
      <c r="G2259" s="7" t="s">
        <v>16896</v>
      </c>
      <c r="H2259" s="7" t="s">
        <v>16897</v>
      </c>
      <c r="I2259" s="119">
        <v>45717.0</v>
      </c>
      <c r="K2259" s="7" t="s">
        <v>419</v>
      </c>
      <c r="L2259" s="7" t="s">
        <v>991</v>
      </c>
      <c r="M2259" s="7" t="s">
        <v>3501</v>
      </c>
      <c r="N2259" s="7" t="s">
        <v>419</v>
      </c>
      <c r="O2259" s="7" t="s">
        <v>19430</v>
      </c>
      <c r="P2259" s="7" t="s">
        <v>780</v>
      </c>
      <c r="Q2259" s="7" t="s">
        <v>786</v>
      </c>
      <c r="R2259" s="7" t="s">
        <v>19666</v>
      </c>
      <c r="T2259" s="7" t="s">
        <v>4169</v>
      </c>
      <c r="U2259" s="7" t="s">
        <v>3493</v>
      </c>
      <c r="V2259" s="7">
        <v>1.0</v>
      </c>
    </row>
    <row r="2260">
      <c r="A2260" s="7" t="s">
        <v>22172</v>
      </c>
      <c r="B2260" s="7">
        <v>3000489.0</v>
      </c>
      <c r="C2260" s="7" t="s">
        <v>8961</v>
      </c>
      <c r="D2260" s="7" t="s">
        <v>16899</v>
      </c>
      <c r="E2260" s="7" t="s">
        <v>8963</v>
      </c>
      <c r="F2260" s="7" t="s">
        <v>16900</v>
      </c>
      <c r="G2260" s="7" t="s">
        <v>16901</v>
      </c>
      <c r="H2260" s="7" t="s">
        <v>16902</v>
      </c>
      <c r="I2260" s="119">
        <v>45717.0</v>
      </c>
      <c r="K2260" s="7" t="s">
        <v>419</v>
      </c>
      <c r="L2260" s="7" t="s">
        <v>991</v>
      </c>
      <c r="M2260" s="7" t="s">
        <v>3501</v>
      </c>
      <c r="N2260" s="7" t="s">
        <v>419</v>
      </c>
      <c r="O2260" s="7" t="s">
        <v>19438</v>
      </c>
      <c r="P2260" s="7" t="s">
        <v>19439</v>
      </c>
      <c r="Q2260" s="7" t="s">
        <v>475</v>
      </c>
      <c r="R2260" s="7" t="s">
        <v>21510</v>
      </c>
      <c r="T2260" s="7" t="s">
        <v>16903</v>
      </c>
      <c r="U2260" s="7" t="s">
        <v>3604</v>
      </c>
      <c r="V2260" s="7">
        <v>1.0</v>
      </c>
    </row>
    <row r="2261">
      <c r="A2261" s="7" t="s">
        <v>22173</v>
      </c>
      <c r="B2261" s="7">
        <v>3000577.0</v>
      </c>
      <c r="C2261" s="7" t="s">
        <v>8967</v>
      </c>
      <c r="D2261" s="7" t="s">
        <v>7644</v>
      </c>
      <c r="E2261" s="7" t="s">
        <v>8969</v>
      </c>
      <c r="F2261" s="7" t="s">
        <v>7645</v>
      </c>
      <c r="G2261" s="7" t="s">
        <v>16905</v>
      </c>
      <c r="H2261" s="7" t="s">
        <v>16906</v>
      </c>
      <c r="I2261" s="119">
        <v>45717.0</v>
      </c>
      <c r="K2261" s="7" t="s">
        <v>419</v>
      </c>
      <c r="L2261" s="7" t="s">
        <v>991</v>
      </c>
      <c r="M2261" s="7" t="s">
        <v>3531</v>
      </c>
      <c r="N2261" s="7" t="s">
        <v>419</v>
      </c>
      <c r="O2261" s="7" t="s">
        <v>19430</v>
      </c>
      <c r="P2261" s="7" t="s">
        <v>780</v>
      </c>
      <c r="Q2261" s="7" t="s">
        <v>786</v>
      </c>
      <c r="T2261" s="7" t="s">
        <v>16907</v>
      </c>
      <c r="U2261" s="7" t="s">
        <v>3493</v>
      </c>
      <c r="V2261" s="7">
        <v>1.0</v>
      </c>
    </row>
    <row r="2262">
      <c r="A2262" s="7" t="s">
        <v>22174</v>
      </c>
      <c r="B2262" s="7">
        <v>3000566.0</v>
      </c>
      <c r="C2262" s="7" t="s">
        <v>9735</v>
      </c>
      <c r="D2262" s="7" t="s">
        <v>16909</v>
      </c>
      <c r="E2262" s="7" t="s">
        <v>9736</v>
      </c>
      <c r="F2262" s="7" t="s">
        <v>15036</v>
      </c>
      <c r="G2262" s="7" t="s">
        <v>16910</v>
      </c>
      <c r="H2262" s="7" t="s">
        <v>16911</v>
      </c>
      <c r="I2262" s="119">
        <v>45717.0</v>
      </c>
      <c r="K2262" s="7" t="s">
        <v>3632</v>
      </c>
      <c r="L2262" s="7" t="s">
        <v>991</v>
      </c>
      <c r="M2262" s="7" t="s">
        <v>3501</v>
      </c>
      <c r="N2262" s="7" t="s">
        <v>3632</v>
      </c>
      <c r="O2262" s="7" t="s">
        <v>3632</v>
      </c>
      <c r="P2262" s="7" t="s">
        <v>625</v>
      </c>
      <c r="Q2262" s="7" t="s">
        <v>118</v>
      </c>
      <c r="R2262" s="7" t="s">
        <v>20202</v>
      </c>
      <c r="T2262" s="7" t="s">
        <v>12942</v>
      </c>
      <c r="U2262" s="7" t="s">
        <v>3493</v>
      </c>
      <c r="V2262" s="7">
        <v>1.0</v>
      </c>
    </row>
    <row r="2263">
      <c r="A2263" s="7" t="s">
        <v>22175</v>
      </c>
      <c r="B2263" s="7">
        <v>3000564.0</v>
      </c>
      <c r="C2263" s="7" t="s">
        <v>9735</v>
      </c>
      <c r="D2263" s="7" t="s">
        <v>16913</v>
      </c>
      <c r="E2263" s="7" t="s">
        <v>9736</v>
      </c>
      <c r="F2263" s="7" t="s">
        <v>16914</v>
      </c>
      <c r="G2263" s="7" t="s">
        <v>16915</v>
      </c>
      <c r="H2263" s="7" t="s">
        <v>16916</v>
      </c>
      <c r="I2263" s="119">
        <v>45717.0</v>
      </c>
      <c r="K2263" s="7" t="s">
        <v>3642</v>
      </c>
      <c r="L2263" s="7" t="s">
        <v>991</v>
      </c>
      <c r="M2263" s="7" t="s">
        <v>3501</v>
      </c>
      <c r="N2263" s="7" t="s">
        <v>3642</v>
      </c>
      <c r="O2263" s="7" t="s">
        <v>3642</v>
      </c>
      <c r="P2263" s="7" t="s">
        <v>19524</v>
      </c>
      <c r="T2263" s="7" t="s">
        <v>3644</v>
      </c>
      <c r="U2263" s="7" t="s">
        <v>3493</v>
      </c>
      <c r="V2263" s="7">
        <v>1.0</v>
      </c>
    </row>
    <row r="2264">
      <c r="A2264" s="7" t="s">
        <v>22176</v>
      </c>
      <c r="B2264" s="7">
        <v>3000554.0</v>
      </c>
      <c r="C2264" s="7" t="s">
        <v>16918</v>
      </c>
      <c r="D2264" s="7" t="s">
        <v>16919</v>
      </c>
      <c r="E2264" s="7" t="s">
        <v>16920</v>
      </c>
      <c r="F2264" s="7" t="s">
        <v>16921</v>
      </c>
      <c r="G2264" s="7" t="s">
        <v>16922</v>
      </c>
      <c r="I2264" s="119">
        <v>45717.0</v>
      </c>
      <c r="K2264" s="7" t="s">
        <v>419</v>
      </c>
      <c r="L2264" s="7" t="s">
        <v>991</v>
      </c>
      <c r="M2264" s="7" t="s">
        <v>3531</v>
      </c>
      <c r="N2264" s="7" t="s">
        <v>419</v>
      </c>
      <c r="O2264" s="7" t="s">
        <v>19433</v>
      </c>
      <c r="P2264" s="7" t="s">
        <v>587</v>
      </c>
      <c r="Q2264" s="7" t="s">
        <v>74</v>
      </c>
      <c r="T2264" s="7" t="s">
        <v>5112</v>
      </c>
      <c r="U2264" s="7" t="s">
        <v>3493</v>
      </c>
      <c r="V2264" s="7">
        <v>1.0</v>
      </c>
    </row>
    <row r="2265">
      <c r="A2265" s="7" t="s">
        <v>22177</v>
      </c>
      <c r="B2265" s="7">
        <v>3000495.0</v>
      </c>
      <c r="C2265" s="7" t="s">
        <v>16924</v>
      </c>
      <c r="D2265" s="7" t="s">
        <v>16925</v>
      </c>
      <c r="E2265" s="7" t="s">
        <v>16926</v>
      </c>
      <c r="F2265" s="7" t="s">
        <v>16927</v>
      </c>
      <c r="G2265" s="7" t="s">
        <v>16928</v>
      </c>
      <c r="H2265" s="7" t="s">
        <v>16929</v>
      </c>
      <c r="I2265" s="119">
        <v>45717.0</v>
      </c>
      <c r="K2265" s="7" t="s">
        <v>419</v>
      </c>
      <c r="L2265" s="7" t="s">
        <v>991</v>
      </c>
      <c r="M2265" s="7" t="s">
        <v>3501</v>
      </c>
      <c r="N2265" s="7" t="s">
        <v>419</v>
      </c>
      <c r="O2265" s="7" t="s">
        <v>19430</v>
      </c>
      <c r="P2265" s="7" t="s">
        <v>717</v>
      </c>
      <c r="Q2265" s="7" t="s">
        <v>1163</v>
      </c>
      <c r="R2265" s="7" t="s">
        <v>20110</v>
      </c>
      <c r="S2265" s="7" t="s">
        <v>20213</v>
      </c>
      <c r="T2265" s="7" t="s">
        <v>6580</v>
      </c>
      <c r="U2265" s="7" t="s">
        <v>3493</v>
      </c>
      <c r="V2265" s="7">
        <v>1.0</v>
      </c>
    </row>
    <row r="2266">
      <c r="A2266" s="7" t="s">
        <v>22178</v>
      </c>
      <c r="B2266" s="7">
        <v>3000562.0</v>
      </c>
      <c r="C2266" s="7" t="s">
        <v>16931</v>
      </c>
      <c r="D2266" s="7" t="s">
        <v>16932</v>
      </c>
      <c r="E2266" s="7" t="s">
        <v>16933</v>
      </c>
      <c r="F2266" s="7" t="s">
        <v>16934</v>
      </c>
      <c r="G2266" s="7" t="s">
        <v>16935</v>
      </c>
      <c r="H2266" s="7" t="s">
        <v>16936</v>
      </c>
      <c r="I2266" s="119">
        <v>45717.0</v>
      </c>
      <c r="K2266" s="7" t="s">
        <v>3642</v>
      </c>
      <c r="L2266" s="7" t="s">
        <v>991</v>
      </c>
      <c r="M2266" s="7" t="s">
        <v>3501</v>
      </c>
      <c r="N2266" s="7" t="s">
        <v>3642</v>
      </c>
      <c r="O2266" s="7" t="s">
        <v>3642</v>
      </c>
      <c r="P2266" s="7" t="s">
        <v>19524</v>
      </c>
      <c r="T2266" s="7" t="s">
        <v>3644</v>
      </c>
      <c r="U2266" s="7" t="s">
        <v>3493</v>
      </c>
      <c r="V2266" s="7">
        <v>1.0</v>
      </c>
    </row>
    <row r="2267">
      <c r="A2267" s="7" t="s">
        <v>22179</v>
      </c>
      <c r="B2267" s="7">
        <v>3000436.0</v>
      </c>
      <c r="C2267" s="7" t="s">
        <v>16938</v>
      </c>
      <c r="D2267" s="7" t="s">
        <v>3655</v>
      </c>
      <c r="E2267" s="7" t="s">
        <v>16939</v>
      </c>
      <c r="F2267" s="7" t="s">
        <v>3656</v>
      </c>
      <c r="G2267" s="7" t="s">
        <v>16940</v>
      </c>
      <c r="H2267" s="7" t="s">
        <v>16941</v>
      </c>
      <c r="I2267" s="119">
        <v>45717.0</v>
      </c>
      <c r="K2267" s="7" t="s">
        <v>419</v>
      </c>
      <c r="L2267" s="7" t="s">
        <v>991</v>
      </c>
      <c r="M2267" s="7" t="s">
        <v>3501</v>
      </c>
      <c r="N2267" s="7" t="s">
        <v>419</v>
      </c>
      <c r="O2267" s="7" t="s">
        <v>19438</v>
      </c>
      <c r="P2267" s="7" t="s">
        <v>19475</v>
      </c>
      <c r="Q2267" s="7" t="s">
        <v>188</v>
      </c>
      <c r="R2267" s="7" t="s">
        <v>21299</v>
      </c>
      <c r="T2267" s="7" t="s">
        <v>12408</v>
      </c>
      <c r="U2267" s="7" t="s">
        <v>3493</v>
      </c>
      <c r="V2267" s="7">
        <v>1.0</v>
      </c>
    </row>
    <row r="2268">
      <c r="A2268" s="7" t="s">
        <v>22180</v>
      </c>
      <c r="B2268" s="7">
        <v>3000568.0</v>
      </c>
      <c r="C2268" s="7" t="s">
        <v>11019</v>
      </c>
      <c r="D2268" s="7" t="s">
        <v>16943</v>
      </c>
      <c r="E2268" s="7" t="s">
        <v>11020</v>
      </c>
      <c r="F2268" s="7" t="s">
        <v>9944</v>
      </c>
      <c r="G2268" s="7" t="s">
        <v>16944</v>
      </c>
      <c r="H2268" s="7" t="s">
        <v>16945</v>
      </c>
      <c r="I2268" s="119">
        <v>45717.0</v>
      </c>
      <c r="K2268" s="7" t="s">
        <v>3632</v>
      </c>
      <c r="L2268" s="7" t="s">
        <v>991</v>
      </c>
      <c r="M2268" s="7" t="s">
        <v>3583</v>
      </c>
      <c r="N2268" s="7" t="s">
        <v>3632</v>
      </c>
      <c r="O2268" s="7" t="s">
        <v>3632</v>
      </c>
      <c r="P2268" s="7" t="s">
        <v>625</v>
      </c>
      <c r="Q2268" s="7" t="s">
        <v>626</v>
      </c>
      <c r="R2268" s="7" t="s">
        <v>19672</v>
      </c>
      <c r="T2268" s="7" t="s">
        <v>4191</v>
      </c>
      <c r="U2268" s="7" t="s">
        <v>3493</v>
      </c>
      <c r="V2268" s="7">
        <v>1.0</v>
      </c>
    </row>
    <row r="2269">
      <c r="A2269" s="7" t="s">
        <v>22181</v>
      </c>
      <c r="B2269" s="7">
        <v>3000570.0</v>
      </c>
      <c r="C2269" s="7" t="s">
        <v>16947</v>
      </c>
      <c r="D2269" s="7" t="s">
        <v>10496</v>
      </c>
      <c r="E2269" s="7" t="s">
        <v>16948</v>
      </c>
      <c r="F2269" s="7" t="s">
        <v>10498</v>
      </c>
      <c r="G2269" s="7" t="s">
        <v>16949</v>
      </c>
      <c r="H2269" s="7" t="s">
        <v>16950</v>
      </c>
      <c r="I2269" s="119">
        <v>45717.0</v>
      </c>
      <c r="K2269" s="7" t="s">
        <v>419</v>
      </c>
      <c r="L2269" s="7" t="s">
        <v>991</v>
      </c>
      <c r="M2269" s="7" t="s">
        <v>3531</v>
      </c>
      <c r="N2269" s="7" t="s">
        <v>419</v>
      </c>
      <c r="O2269" s="7" t="s">
        <v>19433</v>
      </c>
      <c r="P2269" s="7" t="s">
        <v>648</v>
      </c>
      <c r="Q2269" s="7" t="s">
        <v>148</v>
      </c>
      <c r="R2269" s="7" t="s">
        <v>19544</v>
      </c>
      <c r="T2269" s="7" t="s">
        <v>3734</v>
      </c>
      <c r="U2269" s="7" t="s">
        <v>3493</v>
      </c>
      <c r="V2269" s="7">
        <v>1.0</v>
      </c>
    </row>
    <row r="2270">
      <c r="A2270" s="7" t="s">
        <v>22182</v>
      </c>
      <c r="B2270" s="7">
        <v>3000468.0</v>
      </c>
      <c r="C2270" s="7" t="s">
        <v>16952</v>
      </c>
      <c r="D2270" s="7" t="s">
        <v>16953</v>
      </c>
      <c r="E2270" s="7" t="s">
        <v>16954</v>
      </c>
      <c r="F2270" s="7" t="s">
        <v>6335</v>
      </c>
      <c r="G2270" s="7" t="s">
        <v>16955</v>
      </c>
      <c r="H2270" s="7" t="s">
        <v>16956</v>
      </c>
      <c r="I2270" s="119">
        <v>45717.0</v>
      </c>
      <c r="K2270" s="7" t="s">
        <v>419</v>
      </c>
      <c r="L2270" s="7" t="s">
        <v>991</v>
      </c>
      <c r="M2270" s="7" t="s">
        <v>3501</v>
      </c>
      <c r="N2270" s="7" t="s">
        <v>419</v>
      </c>
      <c r="O2270" s="7" t="s">
        <v>19437</v>
      </c>
      <c r="P2270" s="7" t="s">
        <v>478</v>
      </c>
      <c r="Q2270" s="7" t="s">
        <v>482</v>
      </c>
      <c r="R2270" s="7" t="s">
        <v>20184</v>
      </c>
      <c r="T2270" s="7" t="s">
        <v>20185</v>
      </c>
      <c r="U2270" s="7" t="s">
        <v>3493</v>
      </c>
      <c r="V2270" s="7">
        <v>1.0</v>
      </c>
    </row>
    <row r="2271">
      <c r="A2271" s="7" t="s">
        <v>22183</v>
      </c>
      <c r="B2271" s="7">
        <v>3000525.0</v>
      </c>
      <c r="C2271" s="7" t="s">
        <v>12189</v>
      </c>
      <c r="D2271" s="7" t="s">
        <v>5675</v>
      </c>
      <c r="E2271" s="7" t="s">
        <v>12184</v>
      </c>
      <c r="F2271" s="7" t="s">
        <v>4539</v>
      </c>
      <c r="G2271" s="7" t="s">
        <v>16959</v>
      </c>
      <c r="H2271" s="7" t="s">
        <v>16960</v>
      </c>
      <c r="I2271" s="119">
        <v>45717.0</v>
      </c>
      <c r="K2271" s="7" t="s">
        <v>419</v>
      </c>
      <c r="L2271" s="7" t="s">
        <v>991</v>
      </c>
      <c r="M2271" s="7" t="s">
        <v>3501</v>
      </c>
      <c r="N2271" s="7" t="s">
        <v>419</v>
      </c>
      <c r="O2271" s="7" t="s">
        <v>19440</v>
      </c>
      <c r="P2271" s="7" t="s">
        <v>3</v>
      </c>
      <c r="Q2271" s="7" t="s">
        <v>4</v>
      </c>
      <c r="R2271" s="7" t="s">
        <v>19858</v>
      </c>
      <c r="S2271" s="7" t="s">
        <v>19859</v>
      </c>
      <c r="T2271" s="7" t="s">
        <v>4934</v>
      </c>
      <c r="U2271" s="7" t="s">
        <v>3493</v>
      </c>
      <c r="V2271" s="7">
        <v>1.0</v>
      </c>
    </row>
    <row r="2272">
      <c r="A2272" s="7" t="s">
        <v>22184</v>
      </c>
      <c r="B2272" s="7">
        <v>3000571.0</v>
      </c>
      <c r="C2272" s="7" t="s">
        <v>16962</v>
      </c>
      <c r="D2272" s="7" t="s">
        <v>16963</v>
      </c>
      <c r="E2272" s="7" t="s">
        <v>16964</v>
      </c>
      <c r="F2272" s="7" t="s">
        <v>6335</v>
      </c>
      <c r="G2272" s="7" t="s">
        <v>16965</v>
      </c>
      <c r="H2272" s="7" t="s">
        <v>16966</v>
      </c>
      <c r="I2272" s="119">
        <v>45717.0</v>
      </c>
      <c r="K2272" s="7" t="s">
        <v>419</v>
      </c>
      <c r="L2272" s="7" t="s">
        <v>991</v>
      </c>
      <c r="M2272" s="7" t="s">
        <v>3531</v>
      </c>
      <c r="N2272" s="7" t="s">
        <v>419</v>
      </c>
      <c r="O2272" s="7" t="s">
        <v>19443</v>
      </c>
      <c r="P2272" s="7" t="s">
        <v>1242</v>
      </c>
      <c r="Q2272" s="7" t="s">
        <v>51</v>
      </c>
      <c r="R2272" s="7" t="s">
        <v>19549</v>
      </c>
      <c r="S2272" s="7" t="s">
        <v>20042</v>
      </c>
      <c r="T2272" s="7" t="s">
        <v>5781</v>
      </c>
      <c r="U2272" s="7" t="s">
        <v>3493</v>
      </c>
      <c r="V2272" s="7">
        <v>1.0</v>
      </c>
    </row>
    <row r="2273">
      <c r="A2273" s="7" t="s">
        <v>22185</v>
      </c>
      <c r="B2273" s="7">
        <v>3000567.0</v>
      </c>
      <c r="C2273" s="7" t="s">
        <v>12771</v>
      </c>
      <c r="D2273" s="7" t="s">
        <v>16968</v>
      </c>
      <c r="E2273" s="7" t="s">
        <v>12765</v>
      </c>
      <c r="F2273" s="7" t="s">
        <v>16969</v>
      </c>
      <c r="G2273" s="7" t="s">
        <v>16970</v>
      </c>
      <c r="H2273" s="7" t="s">
        <v>16971</v>
      </c>
      <c r="I2273" s="119">
        <v>45717.0</v>
      </c>
      <c r="K2273" s="7" t="s">
        <v>3632</v>
      </c>
      <c r="L2273" s="7" t="s">
        <v>991</v>
      </c>
      <c r="M2273" s="7" t="s">
        <v>3583</v>
      </c>
      <c r="N2273" s="7" t="s">
        <v>3632</v>
      </c>
      <c r="O2273" s="7" t="s">
        <v>3632</v>
      </c>
      <c r="P2273" s="7" t="s">
        <v>429</v>
      </c>
      <c r="Q2273" s="7" t="s">
        <v>432</v>
      </c>
      <c r="T2273" s="7" t="s">
        <v>19446</v>
      </c>
      <c r="U2273" s="7" t="s">
        <v>3493</v>
      </c>
      <c r="V2273" s="7">
        <v>1.0</v>
      </c>
    </row>
    <row r="2274">
      <c r="A2274" s="7" t="s">
        <v>22186</v>
      </c>
      <c r="B2274" s="7">
        <v>3000560.0</v>
      </c>
      <c r="C2274" s="7" t="s">
        <v>16973</v>
      </c>
      <c r="D2274" s="7" t="s">
        <v>16974</v>
      </c>
      <c r="E2274" s="7" t="s">
        <v>16975</v>
      </c>
      <c r="F2274" s="7" t="s">
        <v>16976</v>
      </c>
      <c r="G2274" s="7" t="s">
        <v>16977</v>
      </c>
      <c r="H2274" s="7" t="s">
        <v>16978</v>
      </c>
      <c r="I2274" s="119">
        <v>45717.0</v>
      </c>
      <c r="K2274" s="7" t="s">
        <v>419</v>
      </c>
      <c r="L2274" s="7" t="s">
        <v>991</v>
      </c>
      <c r="M2274" s="7" t="s">
        <v>3531</v>
      </c>
      <c r="N2274" s="7" t="s">
        <v>419</v>
      </c>
      <c r="O2274" s="7" t="s">
        <v>19430</v>
      </c>
      <c r="P2274" s="7" t="s">
        <v>717</v>
      </c>
      <c r="Q2274" s="7" t="s">
        <v>251</v>
      </c>
      <c r="R2274" s="7" t="s">
        <v>19716</v>
      </c>
      <c r="S2274" s="7" t="s">
        <v>19694</v>
      </c>
      <c r="T2274" s="7" t="s">
        <v>6603</v>
      </c>
      <c r="U2274" s="7" t="s">
        <v>3493</v>
      </c>
      <c r="V2274" s="7">
        <v>1.0</v>
      </c>
    </row>
    <row r="2275">
      <c r="A2275" s="7" t="s">
        <v>22187</v>
      </c>
      <c r="B2275" s="7">
        <v>3000547.0</v>
      </c>
      <c r="C2275" s="7" t="s">
        <v>16980</v>
      </c>
      <c r="D2275" s="7" t="s">
        <v>16981</v>
      </c>
      <c r="E2275" s="7" t="s">
        <v>16982</v>
      </c>
      <c r="F2275" s="7" t="s">
        <v>4441</v>
      </c>
      <c r="G2275" s="7" t="s">
        <v>16983</v>
      </c>
      <c r="H2275" s="7" t="s">
        <v>16984</v>
      </c>
      <c r="I2275" s="119">
        <v>45717.0</v>
      </c>
      <c r="K2275" s="7" t="s">
        <v>419</v>
      </c>
      <c r="L2275" s="7" t="s">
        <v>991</v>
      </c>
      <c r="M2275" s="7" t="s">
        <v>3501</v>
      </c>
      <c r="N2275" s="7" t="s">
        <v>419</v>
      </c>
      <c r="O2275" s="7" t="s">
        <v>19432</v>
      </c>
      <c r="P2275" s="7" t="s">
        <v>298</v>
      </c>
      <c r="Q2275" s="7" t="s">
        <v>1284</v>
      </c>
      <c r="R2275" s="7" t="s">
        <v>20033</v>
      </c>
      <c r="S2275" s="7" t="s">
        <v>20034</v>
      </c>
      <c r="T2275" s="7" t="s">
        <v>5747</v>
      </c>
      <c r="U2275" s="7" t="s">
        <v>3493</v>
      </c>
      <c r="V2275" s="7">
        <v>1.0</v>
      </c>
    </row>
    <row r="2276">
      <c r="A2276" s="7" t="s">
        <v>22188</v>
      </c>
      <c r="B2276" s="7">
        <v>3000553.0</v>
      </c>
      <c r="C2276" s="7" t="s">
        <v>13460</v>
      </c>
      <c r="D2276" s="7" t="s">
        <v>16986</v>
      </c>
      <c r="E2276" s="7" t="s">
        <v>13462</v>
      </c>
      <c r="F2276" s="7" t="s">
        <v>7451</v>
      </c>
      <c r="G2276" s="7" t="s">
        <v>16987</v>
      </c>
      <c r="H2276" s="7" t="s">
        <v>16988</v>
      </c>
      <c r="I2276" s="119">
        <v>45717.0</v>
      </c>
      <c r="K2276" s="7" t="s">
        <v>419</v>
      </c>
      <c r="L2276" s="7" t="s">
        <v>991</v>
      </c>
      <c r="M2276" s="7" t="s">
        <v>3531</v>
      </c>
      <c r="N2276" s="7" t="s">
        <v>419</v>
      </c>
      <c r="O2276" s="7" t="s">
        <v>19432</v>
      </c>
      <c r="P2276" s="7" t="s">
        <v>391</v>
      </c>
      <c r="Q2276" s="7" t="s">
        <v>399</v>
      </c>
      <c r="R2276" s="7" t="s">
        <v>20194</v>
      </c>
      <c r="T2276" s="7" t="s">
        <v>6534</v>
      </c>
      <c r="U2276" s="7" t="s">
        <v>3493</v>
      </c>
      <c r="V2276" s="7">
        <v>1.0</v>
      </c>
    </row>
    <row r="2277">
      <c r="A2277" s="7" t="s">
        <v>22189</v>
      </c>
      <c r="B2277" s="7">
        <v>3000563.0</v>
      </c>
      <c r="C2277" s="7" t="s">
        <v>13801</v>
      </c>
      <c r="D2277" s="7" t="s">
        <v>16990</v>
      </c>
      <c r="E2277" s="7" t="s">
        <v>13803</v>
      </c>
      <c r="F2277" s="7" t="s">
        <v>14510</v>
      </c>
      <c r="G2277" s="7" t="s">
        <v>16991</v>
      </c>
      <c r="H2277" s="7" t="s">
        <v>16992</v>
      </c>
      <c r="I2277" s="119">
        <v>45717.0</v>
      </c>
      <c r="K2277" s="7" t="s">
        <v>3642</v>
      </c>
      <c r="L2277" s="7" t="s">
        <v>991</v>
      </c>
      <c r="M2277" s="7" t="s">
        <v>3583</v>
      </c>
      <c r="N2277" s="7" t="s">
        <v>3642</v>
      </c>
      <c r="O2277" s="7" t="s">
        <v>3642</v>
      </c>
      <c r="P2277" s="7" t="s">
        <v>19524</v>
      </c>
      <c r="T2277" s="7" t="s">
        <v>3644</v>
      </c>
      <c r="U2277" s="7" t="s">
        <v>3493</v>
      </c>
      <c r="V2277" s="7">
        <v>1.0</v>
      </c>
    </row>
    <row r="2278">
      <c r="A2278" s="7" t="s">
        <v>22190</v>
      </c>
      <c r="B2278" s="7">
        <v>3000559.0</v>
      </c>
      <c r="C2278" s="7" t="s">
        <v>13898</v>
      </c>
      <c r="D2278" s="7" t="s">
        <v>16994</v>
      </c>
      <c r="E2278" s="7" t="s">
        <v>13900</v>
      </c>
      <c r="F2278" s="7" t="s">
        <v>6703</v>
      </c>
      <c r="G2278" s="7" t="s">
        <v>16995</v>
      </c>
      <c r="H2278" s="7" t="s">
        <v>16996</v>
      </c>
      <c r="I2278" s="119">
        <v>45717.0</v>
      </c>
      <c r="K2278" s="7" t="s">
        <v>4042</v>
      </c>
      <c r="L2278" s="7" t="s">
        <v>991</v>
      </c>
      <c r="M2278" s="7" t="s">
        <v>3531</v>
      </c>
      <c r="N2278" s="7" t="s">
        <v>4042</v>
      </c>
      <c r="O2278" s="7" t="s">
        <v>4042</v>
      </c>
      <c r="P2278" s="7" t="s">
        <v>19632</v>
      </c>
      <c r="T2278" s="7" t="s">
        <v>4044</v>
      </c>
      <c r="U2278" s="7" t="s">
        <v>3493</v>
      </c>
      <c r="V2278" s="7">
        <v>1.0</v>
      </c>
    </row>
    <row r="2279">
      <c r="A2279" s="7" t="s">
        <v>22191</v>
      </c>
      <c r="B2279" s="7">
        <v>3000555.0</v>
      </c>
      <c r="C2279" s="7" t="s">
        <v>14864</v>
      </c>
      <c r="D2279" s="7" t="s">
        <v>3837</v>
      </c>
      <c r="E2279" s="7" t="s">
        <v>14866</v>
      </c>
      <c r="F2279" s="7" t="s">
        <v>3838</v>
      </c>
      <c r="G2279" s="7" t="s">
        <v>16998</v>
      </c>
      <c r="H2279" s="7" t="s">
        <v>16999</v>
      </c>
      <c r="I2279" s="119">
        <v>45717.0</v>
      </c>
      <c r="K2279" s="7" t="s">
        <v>419</v>
      </c>
      <c r="L2279" s="7" t="s">
        <v>991</v>
      </c>
      <c r="M2279" s="7" t="s">
        <v>3531</v>
      </c>
      <c r="N2279" s="7" t="s">
        <v>419</v>
      </c>
      <c r="O2279" s="7" t="s">
        <v>19443</v>
      </c>
      <c r="P2279" s="7" t="s">
        <v>1242</v>
      </c>
      <c r="Q2279" s="7" t="s">
        <v>51</v>
      </c>
      <c r="R2279" s="7" t="s">
        <v>19574</v>
      </c>
      <c r="T2279" s="7" t="s">
        <v>10802</v>
      </c>
      <c r="U2279" s="7" t="s">
        <v>3493</v>
      </c>
      <c r="V2279" s="7">
        <v>1.0</v>
      </c>
    </row>
    <row r="2280">
      <c r="A2280" s="7" t="s">
        <v>22192</v>
      </c>
      <c r="B2280" s="7">
        <v>3000595.0</v>
      </c>
      <c r="C2280" s="7" t="s">
        <v>5608</v>
      </c>
      <c r="D2280" s="7" t="s">
        <v>17001</v>
      </c>
      <c r="E2280" s="7" t="s">
        <v>5609</v>
      </c>
      <c r="F2280" s="7" t="s">
        <v>17001</v>
      </c>
      <c r="G2280" s="7" t="s">
        <v>17002</v>
      </c>
      <c r="H2280" s="7" t="s">
        <v>17003</v>
      </c>
      <c r="I2280" s="119">
        <v>45732.0</v>
      </c>
      <c r="K2280" s="7" t="s">
        <v>3632</v>
      </c>
      <c r="L2280" s="7" t="s">
        <v>991</v>
      </c>
      <c r="M2280" s="7" t="s">
        <v>3866</v>
      </c>
      <c r="N2280" s="7" t="s">
        <v>3632</v>
      </c>
      <c r="O2280" s="7" t="s">
        <v>3632</v>
      </c>
      <c r="P2280" s="7" t="s">
        <v>22</v>
      </c>
      <c r="Q2280" s="7" t="s">
        <v>23</v>
      </c>
      <c r="T2280" s="7" t="s">
        <v>10846</v>
      </c>
      <c r="U2280" s="7" t="s">
        <v>3493</v>
      </c>
      <c r="V2280" s="7">
        <v>1.0</v>
      </c>
    </row>
    <row r="2281">
      <c r="A2281" s="7" t="s">
        <v>22193</v>
      </c>
      <c r="B2281" s="7">
        <v>3000599.0</v>
      </c>
      <c r="C2281" s="7" t="s">
        <v>6380</v>
      </c>
      <c r="D2281" s="7" t="s">
        <v>17005</v>
      </c>
      <c r="E2281" s="7" t="s">
        <v>6382</v>
      </c>
      <c r="F2281" s="7" t="s">
        <v>17006</v>
      </c>
      <c r="G2281" s="7" t="s">
        <v>17007</v>
      </c>
      <c r="H2281" s="7" t="s">
        <v>17008</v>
      </c>
      <c r="I2281" s="119">
        <v>45732.0</v>
      </c>
      <c r="K2281" s="7" t="s">
        <v>3642</v>
      </c>
      <c r="L2281" s="7" t="s">
        <v>991</v>
      </c>
      <c r="M2281" s="7" t="s">
        <v>3501</v>
      </c>
      <c r="N2281" s="7" t="s">
        <v>3642</v>
      </c>
      <c r="O2281" s="7" t="s">
        <v>3642</v>
      </c>
      <c r="P2281" s="7" t="s">
        <v>19524</v>
      </c>
      <c r="T2281" s="7" t="s">
        <v>3644</v>
      </c>
      <c r="U2281" s="7" t="s">
        <v>3493</v>
      </c>
      <c r="V2281" s="7">
        <v>1.0</v>
      </c>
    </row>
    <row r="2282">
      <c r="A2282" s="7" t="s">
        <v>22194</v>
      </c>
      <c r="B2282" s="7">
        <v>3000548.0</v>
      </c>
      <c r="C2282" s="7" t="s">
        <v>7554</v>
      </c>
      <c r="D2282" s="7" t="s">
        <v>17010</v>
      </c>
      <c r="E2282" s="7" t="s">
        <v>7555</v>
      </c>
      <c r="F2282" s="7" t="s">
        <v>8606</v>
      </c>
      <c r="G2282" s="7" t="s">
        <v>17011</v>
      </c>
      <c r="H2282" s="7" t="s">
        <v>17012</v>
      </c>
      <c r="I2282" s="119">
        <v>45732.0</v>
      </c>
      <c r="K2282" s="7" t="s">
        <v>419</v>
      </c>
      <c r="L2282" s="7" t="s">
        <v>991</v>
      </c>
      <c r="M2282" s="7" t="s">
        <v>3501</v>
      </c>
      <c r="N2282" s="7" t="s">
        <v>419</v>
      </c>
      <c r="O2282" s="7" t="s">
        <v>19430</v>
      </c>
      <c r="P2282" s="7" t="s">
        <v>717</v>
      </c>
      <c r="Q2282" s="7" t="s">
        <v>725</v>
      </c>
      <c r="R2282" s="7" t="s">
        <v>19494</v>
      </c>
      <c r="S2282" s="7" t="s">
        <v>19791</v>
      </c>
      <c r="T2282" s="7" t="s">
        <v>4652</v>
      </c>
      <c r="U2282" s="7" t="s">
        <v>3493</v>
      </c>
      <c r="V2282" s="7">
        <v>1.0</v>
      </c>
    </row>
    <row r="2283">
      <c r="A2283" s="7" t="s">
        <v>22195</v>
      </c>
      <c r="B2283" s="7">
        <v>3000584.0</v>
      </c>
      <c r="C2283" s="7" t="s">
        <v>17014</v>
      </c>
      <c r="D2283" s="7" t="s">
        <v>17015</v>
      </c>
      <c r="E2283" s="7" t="s">
        <v>17016</v>
      </c>
      <c r="F2283" s="7" t="s">
        <v>17017</v>
      </c>
      <c r="G2283" s="7" t="s">
        <v>17018</v>
      </c>
      <c r="H2283" s="7" t="s">
        <v>17019</v>
      </c>
      <c r="I2283" s="119">
        <v>45732.0</v>
      </c>
      <c r="K2283" s="7" t="s">
        <v>419</v>
      </c>
      <c r="L2283" s="7" t="s">
        <v>991</v>
      </c>
      <c r="M2283" s="7" t="s">
        <v>3501</v>
      </c>
      <c r="N2283" s="7" t="s">
        <v>419</v>
      </c>
      <c r="O2283" s="7" t="s">
        <v>19430</v>
      </c>
      <c r="P2283" s="7" t="s">
        <v>717</v>
      </c>
      <c r="Q2283" s="7" t="s">
        <v>730</v>
      </c>
      <c r="R2283" s="7" t="s">
        <v>20285</v>
      </c>
      <c r="T2283" s="7" t="s">
        <v>6981</v>
      </c>
      <c r="U2283" s="7" t="s">
        <v>3493</v>
      </c>
      <c r="V2283" s="7">
        <v>1.0</v>
      </c>
    </row>
    <row r="2284">
      <c r="A2284" s="7" t="s">
        <v>22196</v>
      </c>
      <c r="B2284" s="7">
        <v>3000428.0</v>
      </c>
      <c r="C2284" s="7" t="s">
        <v>17021</v>
      </c>
      <c r="D2284" s="7" t="s">
        <v>17022</v>
      </c>
      <c r="E2284" s="7" t="s">
        <v>17023</v>
      </c>
      <c r="F2284" s="7" t="s">
        <v>3739</v>
      </c>
      <c r="G2284" s="7" t="s">
        <v>17024</v>
      </c>
      <c r="H2284" s="7" t="s">
        <v>17025</v>
      </c>
      <c r="I2284" s="119">
        <v>45732.0</v>
      </c>
      <c r="K2284" s="7" t="s">
        <v>419</v>
      </c>
      <c r="L2284" s="7" t="s">
        <v>991</v>
      </c>
      <c r="M2284" s="7" t="s">
        <v>3501</v>
      </c>
      <c r="N2284" s="7" t="s">
        <v>419</v>
      </c>
      <c r="O2284" s="7" t="s">
        <v>19432</v>
      </c>
      <c r="P2284" s="7" t="s">
        <v>298</v>
      </c>
      <c r="Q2284" s="7" t="s">
        <v>304</v>
      </c>
      <c r="R2284" s="7" t="s">
        <v>20334</v>
      </c>
      <c r="S2284" s="7" t="s">
        <v>20335</v>
      </c>
      <c r="T2284" s="7" t="s">
        <v>7263</v>
      </c>
      <c r="U2284" s="7" t="s">
        <v>3493</v>
      </c>
      <c r="V2284" s="7">
        <v>1.0</v>
      </c>
    </row>
    <row r="2285">
      <c r="A2285" s="7" t="s">
        <v>22197</v>
      </c>
      <c r="B2285" s="7">
        <v>3000594.0</v>
      </c>
      <c r="C2285" s="7" t="s">
        <v>15909</v>
      </c>
      <c r="D2285" s="7" t="s">
        <v>17027</v>
      </c>
      <c r="E2285" s="7" t="s">
        <v>15911</v>
      </c>
      <c r="F2285" s="7" t="s">
        <v>17028</v>
      </c>
      <c r="G2285" s="7" t="s">
        <v>17029</v>
      </c>
      <c r="H2285" s="7" t="s">
        <v>17030</v>
      </c>
      <c r="I2285" s="119">
        <v>45732.0</v>
      </c>
      <c r="K2285" s="7" t="s">
        <v>3622</v>
      </c>
      <c r="L2285" s="7" t="s">
        <v>991</v>
      </c>
      <c r="M2285" s="7" t="s">
        <v>3531</v>
      </c>
      <c r="N2285" s="7" t="s">
        <v>3622</v>
      </c>
      <c r="O2285" s="7" t="s">
        <v>3622</v>
      </c>
      <c r="P2285" s="7" t="s">
        <v>19521</v>
      </c>
      <c r="T2285" s="7" t="s">
        <v>3624</v>
      </c>
      <c r="U2285" s="7" t="s">
        <v>3493</v>
      </c>
      <c r="V2285" s="7">
        <v>1.0</v>
      </c>
    </row>
    <row r="2286">
      <c r="A2286" s="7" t="s">
        <v>22198</v>
      </c>
      <c r="B2286" s="7">
        <v>3000597.0</v>
      </c>
      <c r="C2286" s="7" t="s">
        <v>11019</v>
      </c>
      <c r="D2286" s="7" t="s">
        <v>5713</v>
      </c>
      <c r="E2286" s="7" t="s">
        <v>11020</v>
      </c>
      <c r="F2286" s="7" t="s">
        <v>5715</v>
      </c>
      <c r="G2286" s="7" t="s">
        <v>17032</v>
      </c>
      <c r="H2286" s="7" t="s">
        <v>17033</v>
      </c>
      <c r="I2286" s="119">
        <v>45732.0</v>
      </c>
      <c r="K2286" s="7" t="s">
        <v>3642</v>
      </c>
      <c r="L2286" s="7" t="s">
        <v>991</v>
      </c>
      <c r="M2286" s="7" t="s">
        <v>3583</v>
      </c>
      <c r="N2286" s="7" t="s">
        <v>3642</v>
      </c>
      <c r="O2286" s="7" t="s">
        <v>3642</v>
      </c>
      <c r="P2286" s="7" t="s">
        <v>19524</v>
      </c>
      <c r="T2286" s="7" t="s">
        <v>3644</v>
      </c>
      <c r="U2286" s="7" t="s">
        <v>3493</v>
      </c>
      <c r="V2286" s="7">
        <v>1.0</v>
      </c>
    </row>
    <row r="2287">
      <c r="A2287" s="7" t="s">
        <v>22199</v>
      </c>
      <c r="B2287" s="7">
        <v>3000589.0</v>
      </c>
      <c r="C2287" s="7" t="s">
        <v>11019</v>
      </c>
      <c r="D2287" s="7" t="s">
        <v>17035</v>
      </c>
      <c r="E2287" s="7" t="s">
        <v>11020</v>
      </c>
      <c r="F2287" s="7" t="s">
        <v>3896</v>
      </c>
      <c r="G2287" s="7" t="s">
        <v>17036</v>
      </c>
      <c r="H2287" s="7" t="s">
        <v>17037</v>
      </c>
      <c r="I2287" s="119">
        <v>45732.0</v>
      </c>
      <c r="K2287" s="7" t="s">
        <v>419</v>
      </c>
      <c r="L2287" s="7" t="s">
        <v>991</v>
      </c>
      <c r="M2287" s="7" t="s">
        <v>3501</v>
      </c>
      <c r="N2287" s="7" t="s">
        <v>419</v>
      </c>
      <c r="O2287" s="7" t="s">
        <v>19430</v>
      </c>
      <c r="P2287" s="7" t="s">
        <v>717</v>
      </c>
      <c r="Q2287" s="7" t="s">
        <v>720</v>
      </c>
      <c r="R2287" s="7" t="s">
        <v>19626</v>
      </c>
      <c r="S2287" s="7" t="s">
        <v>22200</v>
      </c>
      <c r="T2287" s="7" t="s">
        <v>17039</v>
      </c>
      <c r="U2287" s="7" t="s">
        <v>3843</v>
      </c>
      <c r="V2287" s="7">
        <v>1.0</v>
      </c>
    </row>
    <row r="2288">
      <c r="A2288" s="7" t="s">
        <v>22201</v>
      </c>
      <c r="B2288" s="7">
        <v>3000592.0</v>
      </c>
      <c r="C2288" s="7" t="s">
        <v>7708</v>
      </c>
      <c r="D2288" s="7" t="s">
        <v>11289</v>
      </c>
      <c r="E2288" s="7" t="s">
        <v>12304</v>
      </c>
      <c r="F2288" s="7" t="s">
        <v>7007</v>
      </c>
      <c r="G2288" s="7" t="s">
        <v>17041</v>
      </c>
      <c r="H2288" s="7" t="s">
        <v>17042</v>
      </c>
      <c r="I2288" s="119">
        <v>45732.0</v>
      </c>
      <c r="K2288" s="7" t="s">
        <v>419</v>
      </c>
      <c r="L2288" s="7" t="s">
        <v>991</v>
      </c>
      <c r="M2288" s="7" t="s">
        <v>3501</v>
      </c>
      <c r="N2288" s="7" t="s">
        <v>419</v>
      </c>
      <c r="O2288" s="7" t="s">
        <v>19443</v>
      </c>
      <c r="P2288" s="7" t="s">
        <v>1242</v>
      </c>
      <c r="Q2288" s="7" t="s">
        <v>51</v>
      </c>
      <c r="R2288" s="7" t="s">
        <v>19599</v>
      </c>
      <c r="S2288" s="7" t="s">
        <v>20161</v>
      </c>
      <c r="T2288" s="7" t="s">
        <v>6346</v>
      </c>
      <c r="U2288" s="7" t="s">
        <v>3493</v>
      </c>
      <c r="V2288" s="7">
        <v>1.0</v>
      </c>
    </row>
    <row r="2289">
      <c r="A2289" s="7" t="s">
        <v>22202</v>
      </c>
      <c r="B2289" s="7">
        <v>3000590.0</v>
      </c>
      <c r="C2289" s="7" t="s">
        <v>17044</v>
      </c>
      <c r="D2289" s="7" t="s">
        <v>8169</v>
      </c>
      <c r="E2289" s="7" t="s">
        <v>17045</v>
      </c>
      <c r="F2289" s="7" t="s">
        <v>3691</v>
      </c>
      <c r="G2289" s="7" t="s">
        <v>17046</v>
      </c>
      <c r="H2289" s="7" t="s">
        <v>17047</v>
      </c>
      <c r="I2289" s="119">
        <v>45732.0</v>
      </c>
      <c r="K2289" s="7" t="s">
        <v>419</v>
      </c>
      <c r="L2289" s="7" t="s">
        <v>991</v>
      </c>
      <c r="M2289" s="7" t="s">
        <v>3501</v>
      </c>
      <c r="N2289" s="7" t="s">
        <v>419</v>
      </c>
      <c r="O2289" s="7" t="s">
        <v>19437</v>
      </c>
      <c r="P2289" s="7" t="s">
        <v>478</v>
      </c>
      <c r="Q2289" s="7" t="s">
        <v>491</v>
      </c>
      <c r="R2289" s="7" t="s">
        <v>20577</v>
      </c>
      <c r="T2289" s="7" t="s">
        <v>9794</v>
      </c>
      <c r="U2289" s="7" t="s">
        <v>3493</v>
      </c>
      <c r="V2289" s="7">
        <v>1.0</v>
      </c>
    </row>
    <row r="2290">
      <c r="A2290" s="7" t="s">
        <v>22203</v>
      </c>
      <c r="B2290" s="7">
        <v>3000665.0</v>
      </c>
      <c r="C2290" s="7" t="s">
        <v>17049</v>
      </c>
      <c r="D2290" s="7" t="s">
        <v>17050</v>
      </c>
      <c r="E2290" s="7" t="s">
        <v>17051</v>
      </c>
      <c r="F2290" s="7" t="s">
        <v>5295</v>
      </c>
      <c r="G2290" s="7" t="s">
        <v>17052</v>
      </c>
      <c r="H2290" s="7" t="s">
        <v>17053</v>
      </c>
      <c r="I2290" s="119">
        <v>45748.0</v>
      </c>
      <c r="K2290" s="7" t="s">
        <v>419</v>
      </c>
      <c r="L2290" s="7" t="s">
        <v>991</v>
      </c>
      <c r="M2290" s="7" t="s">
        <v>3531</v>
      </c>
      <c r="N2290" s="7" t="s">
        <v>419</v>
      </c>
      <c r="O2290" s="7" t="s">
        <v>19430</v>
      </c>
      <c r="P2290" s="7" t="s">
        <v>717</v>
      </c>
      <c r="Q2290" s="7" t="s">
        <v>720</v>
      </c>
      <c r="R2290" s="7" t="s">
        <v>19626</v>
      </c>
      <c r="S2290" s="7" t="s">
        <v>22200</v>
      </c>
      <c r="T2290" s="7" t="s">
        <v>17039</v>
      </c>
      <c r="U2290" s="7" t="s">
        <v>3493</v>
      </c>
      <c r="V2290" s="7">
        <v>1.0</v>
      </c>
    </row>
    <row r="2291">
      <c r="A2291" s="7" t="s">
        <v>22204</v>
      </c>
      <c r="B2291" s="7">
        <v>3000670.0</v>
      </c>
      <c r="C2291" s="7" t="s">
        <v>4218</v>
      </c>
      <c r="D2291" s="7" t="s">
        <v>5269</v>
      </c>
      <c r="E2291" s="7" t="s">
        <v>4220</v>
      </c>
      <c r="F2291" s="7" t="s">
        <v>3889</v>
      </c>
      <c r="G2291" s="7" t="s">
        <v>17055</v>
      </c>
      <c r="H2291" s="7" t="s">
        <v>17056</v>
      </c>
      <c r="I2291" s="119">
        <v>45748.0</v>
      </c>
      <c r="K2291" s="7" t="s">
        <v>419</v>
      </c>
      <c r="L2291" s="7" t="s">
        <v>991</v>
      </c>
      <c r="M2291" s="7" t="s">
        <v>3583</v>
      </c>
      <c r="N2291" s="7" t="s">
        <v>419</v>
      </c>
      <c r="O2291" s="7" t="s">
        <v>19440</v>
      </c>
      <c r="P2291" s="7" t="s">
        <v>613</v>
      </c>
      <c r="Q2291" s="7" t="s">
        <v>104</v>
      </c>
      <c r="R2291" s="7" t="s">
        <v>19738</v>
      </c>
      <c r="T2291" s="7" t="s">
        <v>6707</v>
      </c>
      <c r="U2291" s="7" t="s">
        <v>3493</v>
      </c>
      <c r="V2291" s="7">
        <v>1.0</v>
      </c>
    </row>
    <row r="2292">
      <c r="A2292" s="7" t="s">
        <v>22205</v>
      </c>
      <c r="B2292" s="7">
        <v>3000643.0</v>
      </c>
      <c r="C2292" s="7" t="s">
        <v>4277</v>
      </c>
      <c r="D2292" s="7" t="s">
        <v>17058</v>
      </c>
      <c r="E2292" s="7" t="s">
        <v>4279</v>
      </c>
      <c r="F2292" s="7" t="s">
        <v>3748</v>
      </c>
      <c r="G2292" s="7" t="s">
        <v>17059</v>
      </c>
      <c r="H2292" s="7" t="s">
        <v>17060</v>
      </c>
      <c r="I2292" s="119">
        <v>45748.0</v>
      </c>
      <c r="K2292" s="7" t="s">
        <v>3489</v>
      </c>
      <c r="L2292" s="7" t="s">
        <v>991</v>
      </c>
      <c r="M2292" s="7" t="s">
        <v>3490</v>
      </c>
      <c r="N2292" s="7" t="s">
        <v>3489</v>
      </c>
      <c r="O2292" s="7" t="s">
        <v>3489</v>
      </c>
      <c r="P2292" s="7" t="s">
        <v>19491</v>
      </c>
      <c r="Q2292" s="7" t="s">
        <v>169</v>
      </c>
      <c r="R2292" s="7" t="s">
        <v>19492</v>
      </c>
      <c r="T2292" s="7" t="s">
        <v>3492</v>
      </c>
      <c r="U2292" s="7" t="s">
        <v>3493</v>
      </c>
      <c r="V2292" s="7">
        <v>1.0</v>
      </c>
    </row>
    <row r="2293">
      <c r="A2293" s="7" t="s">
        <v>22206</v>
      </c>
      <c r="B2293" s="7">
        <v>3000626.0</v>
      </c>
      <c r="C2293" s="7" t="s">
        <v>4277</v>
      </c>
      <c r="D2293" s="7" t="s">
        <v>17062</v>
      </c>
      <c r="E2293" s="7" t="s">
        <v>4279</v>
      </c>
      <c r="F2293" s="7" t="s">
        <v>17063</v>
      </c>
      <c r="G2293" s="7" t="s">
        <v>17064</v>
      </c>
      <c r="H2293" s="7" t="s">
        <v>17065</v>
      </c>
      <c r="I2293" s="119">
        <v>45748.0</v>
      </c>
      <c r="K2293" s="7" t="s">
        <v>419</v>
      </c>
      <c r="L2293" s="7" t="s">
        <v>991</v>
      </c>
      <c r="M2293" s="7" t="s">
        <v>3501</v>
      </c>
      <c r="N2293" s="7" t="s">
        <v>419</v>
      </c>
      <c r="O2293" s="7" t="s">
        <v>19443</v>
      </c>
      <c r="P2293" s="7" t="s">
        <v>323</v>
      </c>
      <c r="Q2293" s="7" t="s">
        <v>324</v>
      </c>
      <c r="R2293" s="7" t="s">
        <v>20367</v>
      </c>
      <c r="T2293" s="7" t="s">
        <v>7418</v>
      </c>
      <c r="U2293" s="7" t="s">
        <v>3493</v>
      </c>
      <c r="V2293" s="7">
        <v>1.0</v>
      </c>
    </row>
    <row r="2294">
      <c r="A2294" s="7" t="s">
        <v>22207</v>
      </c>
      <c r="B2294" s="7">
        <v>3000640.0</v>
      </c>
      <c r="C2294" s="7" t="s">
        <v>4277</v>
      </c>
      <c r="D2294" s="7" t="s">
        <v>17067</v>
      </c>
      <c r="E2294" s="7" t="s">
        <v>4279</v>
      </c>
      <c r="F2294" s="7" t="s">
        <v>4478</v>
      </c>
      <c r="G2294" s="7" t="s">
        <v>17068</v>
      </c>
      <c r="H2294" s="7" t="s">
        <v>17069</v>
      </c>
      <c r="I2294" s="119">
        <v>45748.0</v>
      </c>
      <c r="K2294" s="7" t="s">
        <v>3489</v>
      </c>
      <c r="L2294" s="7" t="s">
        <v>991</v>
      </c>
      <c r="M2294" s="7" t="s">
        <v>3490</v>
      </c>
      <c r="N2294" s="7" t="s">
        <v>3489</v>
      </c>
      <c r="O2294" s="7" t="s">
        <v>3489</v>
      </c>
      <c r="P2294" s="7" t="s">
        <v>19491</v>
      </c>
      <c r="Q2294" s="7" t="s">
        <v>169</v>
      </c>
      <c r="R2294" s="7" t="s">
        <v>19492</v>
      </c>
      <c r="T2294" s="7" t="s">
        <v>3492</v>
      </c>
      <c r="U2294" s="7" t="s">
        <v>3493</v>
      </c>
      <c r="V2294" s="7">
        <v>1.0</v>
      </c>
    </row>
    <row r="2295">
      <c r="A2295" s="7" t="s">
        <v>22208</v>
      </c>
      <c r="B2295" s="7">
        <v>3000613.0</v>
      </c>
      <c r="C2295" s="7" t="s">
        <v>17071</v>
      </c>
      <c r="D2295" s="7" t="s">
        <v>15720</v>
      </c>
      <c r="E2295" s="7" t="s">
        <v>17072</v>
      </c>
      <c r="F2295" s="7" t="s">
        <v>4598</v>
      </c>
      <c r="G2295" s="7" t="s">
        <v>17073</v>
      </c>
      <c r="H2295" s="7" t="s">
        <v>17074</v>
      </c>
      <c r="I2295" s="119">
        <v>45748.0</v>
      </c>
      <c r="K2295" s="7" t="s">
        <v>419</v>
      </c>
      <c r="L2295" s="7" t="s">
        <v>991</v>
      </c>
      <c r="M2295" s="7" t="s">
        <v>3501</v>
      </c>
      <c r="N2295" s="7" t="s">
        <v>419</v>
      </c>
      <c r="O2295" s="7" t="s">
        <v>19430</v>
      </c>
      <c r="P2295" s="7" t="s">
        <v>717</v>
      </c>
      <c r="Q2295" s="7" t="s">
        <v>730</v>
      </c>
      <c r="R2295" s="7" t="s">
        <v>20285</v>
      </c>
      <c r="T2295" s="7" t="s">
        <v>6981</v>
      </c>
      <c r="U2295" s="7" t="s">
        <v>3493</v>
      </c>
      <c r="V2295" s="7">
        <v>1.0</v>
      </c>
    </row>
    <row r="2296">
      <c r="A2296" s="7" t="s">
        <v>22209</v>
      </c>
      <c r="B2296" s="7">
        <v>3000611.0</v>
      </c>
      <c r="C2296" s="7" t="s">
        <v>17076</v>
      </c>
      <c r="D2296" s="7" t="s">
        <v>17077</v>
      </c>
      <c r="E2296" s="7" t="s">
        <v>17078</v>
      </c>
      <c r="F2296" s="7" t="s">
        <v>17079</v>
      </c>
      <c r="G2296" s="7" t="s">
        <v>17080</v>
      </c>
      <c r="H2296" s="7" t="s">
        <v>17081</v>
      </c>
      <c r="I2296" s="119">
        <v>45748.0</v>
      </c>
      <c r="K2296" s="7" t="s">
        <v>419</v>
      </c>
      <c r="L2296" s="7" t="s">
        <v>991</v>
      </c>
      <c r="M2296" s="7" t="s">
        <v>3501</v>
      </c>
      <c r="N2296" s="7" t="s">
        <v>419</v>
      </c>
      <c r="O2296" s="7" t="s">
        <v>19433</v>
      </c>
      <c r="P2296" s="7" t="s">
        <v>648</v>
      </c>
      <c r="Q2296" s="7" t="s">
        <v>143</v>
      </c>
      <c r="R2296" s="7" t="s">
        <v>19723</v>
      </c>
      <c r="S2296" s="7" t="s">
        <v>19749</v>
      </c>
      <c r="T2296" s="7" t="s">
        <v>8265</v>
      </c>
      <c r="U2296" s="7" t="s">
        <v>3493</v>
      </c>
      <c r="V2296" s="7">
        <v>1.0</v>
      </c>
    </row>
    <row r="2297">
      <c r="A2297" s="7" t="s">
        <v>22210</v>
      </c>
      <c r="B2297" s="7">
        <v>3000676.0</v>
      </c>
      <c r="C2297" s="7" t="s">
        <v>5018</v>
      </c>
      <c r="D2297" s="7" t="s">
        <v>17083</v>
      </c>
      <c r="E2297" s="7" t="s">
        <v>5019</v>
      </c>
      <c r="F2297" s="7" t="s">
        <v>4700</v>
      </c>
      <c r="G2297" s="7" t="s">
        <v>17084</v>
      </c>
      <c r="H2297" s="7" t="s">
        <v>17085</v>
      </c>
      <c r="I2297" s="119">
        <v>45748.0</v>
      </c>
      <c r="K2297" s="7" t="s">
        <v>15381</v>
      </c>
      <c r="L2297" s="7" t="s">
        <v>991</v>
      </c>
      <c r="M2297" s="7" t="s">
        <v>3531</v>
      </c>
      <c r="N2297" s="7" t="s">
        <v>15381</v>
      </c>
      <c r="O2297" s="7" t="s">
        <v>15381</v>
      </c>
      <c r="P2297" s="7" t="s">
        <v>21865</v>
      </c>
      <c r="T2297" s="7" t="s">
        <v>15383</v>
      </c>
      <c r="U2297" s="7" t="s">
        <v>3493</v>
      </c>
      <c r="V2297" s="7">
        <v>1.0</v>
      </c>
    </row>
    <row r="2298">
      <c r="A2298" s="7" t="s">
        <v>22211</v>
      </c>
      <c r="B2298" s="7">
        <v>3000582.0</v>
      </c>
      <c r="C2298" s="7" t="s">
        <v>5018</v>
      </c>
      <c r="D2298" s="7" t="s">
        <v>17087</v>
      </c>
      <c r="E2298" s="7" t="s">
        <v>5019</v>
      </c>
      <c r="F2298" s="7" t="s">
        <v>5203</v>
      </c>
      <c r="G2298" s="7" t="s">
        <v>17088</v>
      </c>
      <c r="H2298" s="7" t="s">
        <v>17089</v>
      </c>
      <c r="I2298" s="119">
        <v>45748.0</v>
      </c>
      <c r="K2298" s="7" t="s">
        <v>419</v>
      </c>
      <c r="L2298" s="7" t="s">
        <v>991</v>
      </c>
      <c r="M2298" s="7" t="s">
        <v>3490</v>
      </c>
      <c r="N2298" s="7" t="s">
        <v>419</v>
      </c>
      <c r="O2298" s="7" t="s">
        <v>19437</v>
      </c>
      <c r="P2298" s="7" t="s">
        <v>478</v>
      </c>
      <c r="Q2298" s="7" t="s">
        <v>484</v>
      </c>
      <c r="R2298" s="7" t="s">
        <v>20513</v>
      </c>
      <c r="S2298" s="7" t="s">
        <v>20514</v>
      </c>
      <c r="T2298" s="7" t="s">
        <v>8179</v>
      </c>
      <c r="U2298" s="7" t="s">
        <v>3493</v>
      </c>
      <c r="V2298" s="7">
        <v>1.0</v>
      </c>
    </row>
    <row r="2299">
      <c r="A2299" s="7" t="s">
        <v>22212</v>
      </c>
      <c r="B2299" s="7">
        <v>3000657.0</v>
      </c>
      <c r="C2299" s="7" t="s">
        <v>17092</v>
      </c>
      <c r="D2299" s="7" t="s">
        <v>17093</v>
      </c>
      <c r="E2299" s="7" t="s">
        <v>17094</v>
      </c>
      <c r="F2299" s="7" t="s">
        <v>8256</v>
      </c>
      <c r="G2299" s="7" t="s">
        <v>17095</v>
      </c>
      <c r="H2299" s="7" t="s">
        <v>17096</v>
      </c>
      <c r="I2299" s="119">
        <v>45748.0</v>
      </c>
      <c r="K2299" s="7" t="s">
        <v>11974</v>
      </c>
      <c r="L2299" s="7" t="s">
        <v>991</v>
      </c>
      <c r="M2299" s="7" t="s">
        <v>3501</v>
      </c>
      <c r="N2299" s="7" t="s">
        <v>11974</v>
      </c>
      <c r="O2299" s="7" t="s">
        <v>11974</v>
      </c>
      <c r="P2299" s="7" t="s">
        <v>465</v>
      </c>
      <c r="Q2299" s="7" t="s">
        <v>466</v>
      </c>
      <c r="T2299" s="7" t="s">
        <v>17097</v>
      </c>
      <c r="U2299" s="7" t="s">
        <v>3493</v>
      </c>
      <c r="V2299" s="7">
        <v>1.0</v>
      </c>
    </row>
    <row r="2300">
      <c r="A2300" s="7" t="s">
        <v>22213</v>
      </c>
      <c r="B2300" s="7">
        <v>3000653.0</v>
      </c>
      <c r="C2300" s="7" t="s">
        <v>5561</v>
      </c>
      <c r="D2300" s="7" t="s">
        <v>17099</v>
      </c>
      <c r="E2300" s="7" t="s">
        <v>5563</v>
      </c>
      <c r="F2300" s="7" t="s">
        <v>9561</v>
      </c>
      <c r="G2300" s="7" t="s">
        <v>17100</v>
      </c>
      <c r="H2300" s="7" t="s">
        <v>17101</v>
      </c>
      <c r="I2300" s="119">
        <v>45748.0</v>
      </c>
      <c r="K2300" s="7" t="s">
        <v>419</v>
      </c>
      <c r="L2300" s="7" t="s">
        <v>991</v>
      </c>
      <c r="M2300" s="7" t="s">
        <v>3531</v>
      </c>
      <c r="N2300" s="7" t="s">
        <v>419</v>
      </c>
      <c r="O2300" s="7" t="s">
        <v>19432</v>
      </c>
      <c r="P2300" s="7" t="s">
        <v>298</v>
      </c>
      <c r="Q2300" s="7" t="s">
        <v>798</v>
      </c>
      <c r="R2300" s="7" t="s">
        <v>19526</v>
      </c>
      <c r="T2300" s="7" t="s">
        <v>3653</v>
      </c>
      <c r="U2300" s="7" t="s">
        <v>3493</v>
      </c>
      <c r="V2300" s="7">
        <v>1.0</v>
      </c>
    </row>
    <row r="2301">
      <c r="A2301" s="7" t="s">
        <v>22214</v>
      </c>
      <c r="B2301" s="7">
        <v>3000608.0</v>
      </c>
      <c r="C2301" s="7" t="s">
        <v>17103</v>
      </c>
      <c r="D2301" s="7" t="s">
        <v>17104</v>
      </c>
      <c r="E2301" s="7" t="s">
        <v>17105</v>
      </c>
      <c r="F2301" s="7" t="s">
        <v>17106</v>
      </c>
      <c r="G2301" s="7" t="s">
        <v>17107</v>
      </c>
      <c r="H2301" s="7" t="s">
        <v>17108</v>
      </c>
      <c r="I2301" s="119">
        <v>45748.0</v>
      </c>
      <c r="K2301" s="7" t="s">
        <v>419</v>
      </c>
      <c r="L2301" s="7" t="s">
        <v>991</v>
      </c>
      <c r="M2301" s="7" t="s">
        <v>3501</v>
      </c>
      <c r="N2301" s="7" t="s">
        <v>419</v>
      </c>
      <c r="O2301" s="7" t="s">
        <v>19432</v>
      </c>
      <c r="P2301" s="7" t="s">
        <v>693</v>
      </c>
      <c r="Q2301" s="7" t="s">
        <v>696</v>
      </c>
      <c r="R2301" s="7" t="s">
        <v>19934</v>
      </c>
      <c r="S2301" s="7" t="s">
        <v>20767</v>
      </c>
      <c r="T2301" s="7" t="s">
        <v>11675</v>
      </c>
      <c r="U2301" s="7" t="s">
        <v>3493</v>
      </c>
      <c r="V2301" s="7">
        <v>1.0</v>
      </c>
    </row>
    <row r="2302">
      <c r="A2302" s="7" t="s">
        <v>22215</v>
      </c>
      <c r="B2302" s="7">
        <v>3000669.0</v>
      </c>
      <c r="C2302" s="7" t="s">
        <v>17110</v>
      </c>
      <c r="D2302" s="7" t="s">
        <v>17111</v>
      </c>
      <c r="E2302" s="7" t="s">
        <v>5800</v>
      </c>
      <c r="F2302" s="7" t="s">
        <v>4371</v>
      </c>
      <c r="G2302" s="7" t="s">
        <v>17112</v>
      </c>
      <c r="H2302" s="7" t="s">
        <v>17113</v>
      </c>
      <c r="I2302" s="119">
        <v>45748.0</v>
      </c>
      <c r="K2302" s="7" t="s">
        <v>3632</v>
      </c>
      <c r="L2302" s="7" t="s">
        <v>991</v>
      </c>
      <c r="M2302" s="7" t="s">
        <v>3531</v>
      </c>
      <c r="N2302" s="7" t="s">
        <v>3632</v>
      </c>
      <c r="O2302" s="7" t="s">
        <v>3632</v>
      </c>
      <c r="P2302" s="7" t="s">
        <v>625</v>
      </c>
      <c r="Q2302" s="7" t="s">
        <v>118</v>
      </c>
      <c r="R2302" s="7" t="s">
        <v>20076</v>
      </c>
      <c r="T2302" s="7" t="s">
        <v>6924</v>
      </c>
      <c r="U2302" s="7" t="s">
        <v>3493</v>
      </c>
      <c r="V2302" s="7">
        <v>1.0</v>
      </c>
    </row>
    <row r="2303">
      <c r="A2303" s="7" t="s">
        <v>22216</v>
      </c>
      <c r="B2303" s="7">
        <v>3000663.0</v>
      </c>
      <c r="C2303" s="7" t="s">
        <v>5830</v>
      </c>
      <c r="D2303" s="7" t="s">
        <v>17115</v>
      </c>
      <c r="E2303" s="7" t="s">
        <v>5832</v>
      </c>
      <c r="F2303" s="7" t="s">
        <v>8007</v>
      </c>
      <c r="G2303" s="7" t="s">
        <v>17116</v>
      </c>
      <c r="H2303" s="7" t="s">
        <v>17117</v>
      </c>
      <c r="I2303" s="119">
        <v>45748.0</v>
      </c>
      <c r="K2303" s="7" t="s">
        <v>3642</v>
      </c>
      <c r="L2303" s="7" t="s">
        <v>991</v>
      </c>
      <c r="M2303" s="7" t="s">
        <v>3501</v>
      </c>
      <c r="N2303" s="7" t="s">
        <v>3642</v>
      </c>
      <c r="O2303" s="7" t="s">
        <v>3642</v>
      </c>
      <c r="P2303" s="7" t="s">
        <v>19524</v>
      </c>
      <c r="T2303" s="7" t="s">
        <v>3644</v>
      </c>
      <c r="U2303" s="7" t="s">
        <v>3493</v>
      </c>
      <c r="V2303" s="7">
        <v>1.0</v>
      </c>
    </row>
    <row r="2304">
      <c r="A2304" s="7" t="s">
        <v>22217</v>
      </c>
      <c r="B2304" s="7">
        <v>3000642.0</v>
      </c>
      <c r="C2304" s="7" t="s">
        <v>6112</v>
      </c>
      <c r="D2304" s="7" t="s">
        <v>17119</v>
      </c>
      <c r="E2304" s="7" t="s">
        <v>6114</v>
      </c>
      <c r="F2304" s="7" t="s">
        <v>5058</v>
      </c>
      <c r="G2304" s="7" t="s">
        <v>17120</v>
      </c>
      <c r="H2304" s="7" t="s">
        <v>17121</v>
      </c>
      <c r="I2304" s="119">
        <v>45748.0</v>
      </c>
      <c r="K2304" s="7" t="s">
        <v>3489</v>
      </c>
      <c r="L2304" s="7" t="s">
        <v>991</v>
      </c>
      <c r="M2304" s="7" t="s">
        <v>3490</v>
      </c>
      <c r="N2304" s="7" t="s">
        <v>3489</v>
      </c>
      <c r="O2304" s="7" t="s">
        <v>3489</v>
      </c>
      <c r="P2304" s="7" t="s">
        <v>19491</v>
      </c>
      <c r="Q2304" s="7" t="s">
        <v>169</v>
      </c>
      <c r="R2304" s="7" t="s">
        <v>19492</v>
      </c>
      <c r="T2304" s="7" t="s">
        <v>3492</v>
      </c>
      <c r="U2304" s="7" t="s">
        <v>3493</v>
      </c>
      <c r="V2304" s="7">
        <v>1.0</v>
      </c>
    </row>
    <row r="2305">
      <c r="A2305" s="7" t="s">
        <v>22218</v>
      </c>
      <c r="B2305" s="7">
        <v>3000625.0</v>
      </c>
      <c r="C2305" s="7" t="s">
        <v>17123</v>
      </c>
      <c r="D2305" s="7" t="s">
        <v>17124</v>
      </c>
      <c r="E2305" s="7" t="s">
        <v>17125</v>
      </c>
      <c r="F2305" s="7" t="s">
        <v>5417</v>
      </c>
      <c r="G2305" s="7" t="s">
        <v>17126</v>
      </c>
      <c r="H2305" s="7" t="s">
        <v>17127</v>
      </c>
      <c r="I2305" s="119">
        <v>45748.0</v>
      </c>
      <c r="K2305" s="7" t="s">
        <v>419</v>
      </c>
      <c r="L2305" s="7" t="s">
        <v>991</v>
      </c>
      <c r="M2305" s="7" t="s">
        <v>3501</v>
      </c>
      <c r="N2305" s="7" t="s">
        <v>419</v>
      </c>
      <c r="O2305" s="7" t="s">
        <v>19430</v>
      </c>
      <c r="P2305" s="7" t="s">
        <v>717</v>
      </c>
      <c r="Q2305" s="7" t="s">
        <v>725</v>
      </c>
      <c r="R2305" s="7" t="s">
        <v>19741</v>
      </c>
      <c r="S2305" s="7" t="s">
        <v>19742</v>
      </c>
      <c r="T2305" s="7" t="s">
        <v>4482</v>
      </c>
      <c r="U2305" s="7" t="s">
        <v>3493</v>
      </c>
      <c r="V2305" s="7">
        <v>1.0</v>
      </c>
    </row>
    <row r="2306">
      <c r="A2306" s="7" t="s">
        <v>22219</v>
      </c>
      <c r="B2306" s="7">
        <v>3000529.0</v>
      </c>
      <c r="C2306" s="7" t="s">
        <v>17129</v>
      </c>
      <c r="D2306" s="7" t="s">
        <v>5047</v>
      </c>
      <c r="E2306" s="7" t="s">
        <v>17130</v>
      </c>
      <c r="F2306" s="7" t="s">
        <v>8194</v>
      </c>
      <c r="G2306" s="7" t="s">
        <v>17131</v>
      </c>
      <c r="H2306" s="7" t="s">
        <v>17132</v>
      </c>
      <c r="I2306" s="119">
        <v>45748.0</v>
      </c>
      <c r="K2306" s="7" t="s">
        <v>419</v>
      </c>
      <c r="L2306" s="7" t="s">
        <v>991</v>
      </c>
      <c r="M2306" s="7" t="s">
        <v>3501</v>
      </c>
      <c r="N2306" s="7" t="s">
        <v>419</v>
      </c>
      <c r="O2306" s="7" t="s">
        <v>19432</v>
      </c>
      <c r="P2306" s="7" t="s">
        <v>391</v>
      </c>
      <c r="Q2306" s="7" t="s">
        <v>392</v>
      </c>
      <c r="R2306" s="7" t="s">
        <v>19661</v>
      </c>
      <c r="T2306" s="7" t="s">
        <v>19662</v>
      </c>
      <c r="U2306" s="7" t="s">
        <v>3493</v>
      </c>
      <c r="V2306" s="7">
        <v>1.0</v>
      </c>
    </row>
    <row r="2307">
      <c r="A2307" s="7" t="s">
        <v>22220</v>
      </c>
      <c r="B2307" s="7">
        <v>3000617.0</v>
      </c>
      <c r="C2307" s="7" t="s">
        <v>17134</v>
      </c>
      <c r="D2307" s="7" t="s">
        <v>17135</v>
      </c>
      <c r="E2307" s="7" t="s">
        <v>17136</v>
      </c>
      <c r="F2307" s="7" t="s">
        <v>13059</v>
      </c>
      <c r="G2307" s="7" t="s">
        <v>17137</v>
      </c>
      <c r="H2307" s="7" t="s">
        <v>17138</v>
      </c>
      <c r="I2307" s="119">
        <v>45748.0</v>
      </c>
      <c r="K2307" s="7" t="s">
        <v>419</v>
      </c>
      <c r="L2307" s="7" t="s">
        <v>991</v>
      </c>
      <c r="M2307" s="7" t="s">
        <v>3583</v>
      </c>
      <c r="N2307" s="7" t="s">
        <v>419</v>
      </c>
      <c r="O2307" s="7" t="s">
        <v>19437</v>
      </c>
      <c r="P2307" s="7" t="s">
        <v>478</v>
      </c>
      <c r="Q2307" s="7" t="s">
        <v>491</v>
      </c>
      <c r="R2307" s="7" t="s">
        <v>20505</v>
      </c>
      <c r="T2307" s="7" t="s">
        <v>20506</v>
      </c>
      <c r="U2307" s="7" t="s">
        <v>3493</v>
      </c>
      <c r="V2307" s="7">
        <v>1.0</v>
      </c>
    </row>
    <row r="2308">
      <c r="A2308" s="7" t="s">
        <v>22221</v>
      </c>
      <c r="B2308" s="7">
        <v>3000631.0</v>
      </c>
      <c r="C2308" s="7" t="s">
        <v>6380</v>
      </c>
      <c r="D2308" s="7" t="s">
        <v>17140</v>
      </c>
      <c r="E2308" s="7" t="s">
        <v>6382</v>
      </c>
      <c r="F2308" s="7" t="s">
        <v>5433</v>
      </c>
      <c r="G2308" s="7" t="s">
        <v>17141</v>
      </c>
      <c r="I2308" s="119">
        <v>45748.0</v>
      </c>
      <c r="K2308" s="7" t="s">
        <v>11974</v>
      </c>
      <c r="L2308" s="7" t="s">
        <v>991</v>
      </c>
      <c r="M2308" s="7" t="s">
        <v>4644</v>
      </c>
      <c r="N2308" s="7" t="s">
        <v>11974</v>
      </c>
      <c r="O2308" s="7" t="s">
        <v>11974</v>
      </c>
      <c r="P2308" s="7" t="s">
        <v>21631</v>
      </c>
      <c r="T2308" s="7" t="s">
        <v>14201</v>
      </c>
      <c r="U2308" s="7" t="s">
        <v>424</v>
      </c>
      <c r="V2308" s="7">
        <v>1.0</v>
      </c>
    </row>
    <row r="2309">
      <c r="A2309" s="7" t="s">
        <v>22222</v>
      </c>
      <c r="B2309" s="7">
        <v>3000603.0</v>
      </c>
      <c r="C2309" s="7" t="s">
        <v>6405</v>
      </c>
      <c r="D2309" s="7" t="s">
        <v>17143</v>
      </c>
      <c r="E2309" s="7" t="s">
        <v>6407</v>
      </c>
      <c r="F2309" s="7" t="s">
        <v>17144</v>
      </c>
      <c r="G2309" s="7" t="s">
        <v>17145</v>
      </c>
      <c r="H2309" s="7" t="s">
        <v>17146</v>
      </c>
      <c r="I2309" s="119">
        <v>45748.0</v>
      </c>
      <c r="K2309" s="7" t="s">
        <v>419</v>
      </c>
      <c r="L2309" s="7" t="s">
        <v>991</v>
      </c>
      <c r="M2309" s="7" t="s">
        <v>3501</v>
      </c>
      <c r="N2309" s="7" t="s">
        <v>419</v>
      </c>
      <c r="O2309" s="7" t="s">
        <v>19433</v>
      </c>
      <c r="P2309" s="7" t="s">
        <v>648</v>
      </c>
      <c r="Q2309" s="7" t="s">
        <v>143</v>
      </c>
      <c r="R2309" s="7" t="s">
        <v>19712</v>
      </c>
      <c r="S2309" s="7" t="s">
        <v>19830</v>
      </c>
      <c r="T2309" s="7" t="s">
        <v>4797</v>
      </c>
      <c r="U2309" s="7" t="s">
        <v>3493</v>
      </c>
      <c r="V2309" s="7">
        <v>1.0</v>
      </c>
    </row>
    <row r="2310">
      <c r="A2310" s="7" t="s">
        <v>2311</v>
      </c>
      <c r="B2310" s="7">
        <v>3000587.0</v>
      </c>
      <c r="C2310" s="7" t="s">
        <v>17148</v>
      </c>
      <c r="D2310" s="7" t="s">
        <v>17149</v>
      </c>
      <c r="E2310" s="7" t="s">
        <v>17150</v>
      </c>
      <c r="F2310" s="7" t="s">
        <v>17151</v>
      </c>
      <c r="G2310" s="7" t="s">
        <v>17152</v>
      </c>
      <c r="H2310" s="7" t="s">
        <v>17153</v>
      </c>
      <c r="I2310" s="119">
        <v>45748.0</v>
      </c>
      <c r="K2310" s="7" t="s">
        <v>419</v>
      </c>
      <c r="L2310" s="7" t="s">
        <v>991</v>
      </c>
      <c r="M2310" s="7" t="s">
        <v>3501</v>
      </c>
      <c r="N2310" s="7" t="s">
        <v>419</v>
      </c>
      <c r="O2310" s="7" t="s">
        <v>19430</v>
      </c>
      <c r="P2310" s="7" t="s">
        <v>22223</v>
      </c>
      <c r="T2310" s="7" t="s">
        <v>22224</v>
      </c>
      <c r="U2310" s="7" t="s">
        <v>12935</v>
      </c>
      <c r="V2310" s="7">
        <v>1.0</v>
      </c>
    </row>
    <row r="2311">
      <c r="A2311" s="7" t="s">
        <v>22225</v>
      </c>
      <c r="B2311" s="7">
        <v>3000641.0</v>
      </c>
      <c r="C2311" s="7" t="s">
        <v>6598</v>
      </c>
      <c r="D2311" s="7" t="s">
        <v>17157</v>
      </c>
      <c r="E2311" s="7" t="s">
        <v>6599</v>
      </c>
      <c r="F2311" s="7" t="s">
        <v>12081</v>
      </c>
      <c r="G2311" s="7" t="s">
        <v>17158</v>
      </c>
      <c r="H2311" s="7" t="s">
        <v>17159</v>
      </c>
      <c r="I2311" s="119">
        <v>45748.0</v>
      </c>
      <c r="K2311" s="7" t="s">
        <v>3489</v>
      </c>
      <c r="L2311" s="7" t="s">
        <v>991</v>
      </c>
      <c r="M2311" s="7" t="s">
        <v>3490</v>
      </c>
      <c r="N2311" s="7" t="s">
        <v>3489</v>
      </c>
      <c r="O2311" s="7" t="s">
        <v>3489</v>
      </c>
      <c r="P2311" s="7" t="s">
        <v>19491</v>
      </c>
      <c r="Q2311" s="7" t="s">
        <v>169</v>
      </c>
      <c r="R2311" s="7" t="s">
        <v>19492</v>
      </c>
      <c r="T2311" s="7" t="s">
        <v>3492</v>
      </c>
      <c r="U2311" s="7" t="s">
        <v>3493</v>
      </c>
      <c r="V2311" s="7">
        <v>1.0</v>
      </c>
    </row>
    <row r="2312">
      <c r="A2312" s="7" t="s">
        <v>22226</v>
      </c>
      <c r="B2312" s="7">
        <v>3000679.0</v>
      </c>
      <c r="C2312" s="7" t="s">
        <v>6765</v>
      </c>
      <c r="D2312" s="7" t="s">
        <v>17161</v>
      </c>
      <c r="E2312" s="7" t="s">
        <v>6766</v>
      </c>
      <c r="F2312" s="7" t="s">
        <v>5661</v>
      </c>
      <c r="G2312" s="7" t="s">
        <v>17162</v>
      </c>
      <c r="H2312" s="7" t="s">
        <v>17163</v>
      </c>
      <c r="I2312" s="119">
        <v>45748.0</v>
      </c>
      <c r="K2312" s="7" t="s">
        <v>419</v>
      </c>
      <c r="L2312" s="7" t="s">
        <v>991</v>
      </c>
      <c r="M2312" s="7" t="s">
        <v>3531</v>
      </c>
      <c r="N2312" s="7" t="s">
        <v>419</v>
      </c>
      <c r="O2312" s="7" t="s">
        <v>19430</v>
      </c>
      <c r="P2312" s="7" t="s">
        <v>717</v>
      </c>
      <c r="Q2312" s="7" t="s">
        <v>738</v>
      </c>
      <c r="R2312" s="7" t="s">
        <v>20012</v>
      </c>
      <c r="S2312" s="7" t="s">
        <v>20392</v>
      </c>
      <c r="T2312" s="7" t="s">
        <v>7537</v>
      </c>
      <c r="U2312" s="7" t="s">
        <v>3493</v>
      </c>
      <c r="V2312" s="7">
        <v>1.0</v>
      </c>
    </row>
    <row r="2313">
      <c r="A2313" s="7" t="s">
        <v>22227</v>
      </c>
      <c r="B2313" s="7">
        <v>3000614.0</v>
      </c>
      <c r="C2313" s="7" t="s">
        <v>17165</v>
      </c>
      <c r="D2313" s="7" t="s">
        <v>17166</v>
      </c>
      <c r="E2313" s="7" t="s">
        <v>17167</v>
      </c>
      <c r="F2313" s="7" t="s">
        <v>17168</v>
      </c>
      <c r="G2313" s="7" t="s">
        <v>17169</v>
      </c>
      <c r="H2313" s="7" t="s">
        <v>17170</v>
      </c>
      <c r="I2313" s="119">
        <v>45748.0</v>
      </c>
      <c r="K2313" s="7" t="s">
        <v>419</v>
      </c>
      <c r="L2313" s="7" t="s">
        <v>991</v>
      </c>
      <c r="M2313" s="7" t="s">
        <v>3501</v>
      </c>
      <c r="N2313" s="7" t="s">
        <v>419</v>
      </c>
      <c r="O2313" s="7" t="s">
        <v>19433</v>
      </c>
      <c r="P2313" s="7" t="s">
        <v>587</v>
      </c>
      <c r="Q2313" s="7" t="s">
        <v>74</v>
      </c>
      <c r="R2313" s="7" t="s">
        <v>21220</v>
      </c>
      <c r="T2313" s="7" t="s">
        <v>13310</v>
      </c>
      <c r="U2313" s="7" t="s">
        <v>3493</v>
      </c>
      <c r="V2313" s="7">
        <v>1.0</v>
      </c>
    </row>
    <row r="2314">
      <c r="A2314" s="7" t="s">
        <v>22228</v>
      </c>
      <c r="B2314" s="7">
        <v>3000681.0</v>
      </c>
      <c r="C2314" s="7" t="s">
        <v>6878</v>
      </c>
      <c r="D2314" s="7" t="s">
        <v>17172</v>
      </c>
      <c r="E2314" s="7" t="s">
        <v>6880</v>
      </c>
      <c r="F2314" s="7" t="s">
        <v>14812</v>
      </c>
      <c r="G2314" s="7" t="s">
        <v>17173</v>
      </c>
      <c r="H2314" s="7" t="s">
        <v>17174</v>
      </c>
      <c r="I2314" s="119">
        <v>45748.0</v>
      </c>
      <c r="K2314" s="7" t="s">
        <v>419</v>
      </c>
      <c r="L2314" s="7" t="s">
        <v>991</v>
      </c>
      <c r="M2314" s="7" t="s">
        <v>3501</v>
      </c>
      <c r="N2314" s="7" t="s">
        <v>419</v>
      </c>
      <c r="O2314" s="7" t="s">
        <v>19438</v>
      </c>
      <c r="P2314" s="7" t="s">
        <v>19475</v>
      </c>
      <c r="Q2314" s="7" t="s">
        <v>188</v>
      </c>
      <c r="R2314" s="7" t="s">
        <v>19955</v>
      </c>
      <c r="T2314" s="7" t="s">
        <v>5380</v>
      </c>
      <c r="U2314" s="7" t="s">
        <v>3604</v>
      </c>
      <c r="V2314" s="7">
        <v>1.0</v>
      </c>
    </row>
    <row r="2315">
      <c r="A2315" s="7" t="s">
        <v>22229</v>
      </c>
      <c r="B2315" s="7">
        <v>3000618.0</v>
      </c>
      <c r="C2315" s="7" t="s">
        <v>17176</v>
      </c>
      <c r="D2315" s="7" t="s">
        <v>17177</v>
      </c>
      <c r="E2315" s="7" t="s">
        <v>17178</v>
      </c>
      <c r="F2315" s="7" t="s">
        <v>10848</v>
      </c>
      <c r="G2315" s="7" t="s">
        <v>17179</v>
      </c>
      <c r="H2315" s="7" t="s">
        <v>17180</v>
      </c>
      <c r="I2315" s="119">
        <v>45748.0</v>
      </c>
      <c r="K2315" s="7" t="s">
        <v>419</v>
      </c>
      <c r="L2315" s="7" t="s">
        <v>991</v>
      </c>
      <c r="M2315" s="7" t="s">
        <v>3583</v>
      </c>
      <c r="N2315" s="7" t="s">
        <v>419</v>
      </c>
      <c r="O2315" s="7" t="s">
        <v>19443</v>
      </c>
      <c r="P2315" s="7" t="s">
        <v>1242</v>
      </c>
      <c r="Q2315" s="7" t="s">
        <v>43</v>
      </c>
      <c r="R2315" s="7" t="s">
        <v>19566</v>
      </c>
      <c r="S2315" s="7" t="s">
        <v>19976</v>
      </c>
      <c r="T2315" s="7" t="s">
        <v>19977</v>
      </c>
      <c r="U2315" s="7" t="s">
        <v>3493</v>
      </c>
      <c r="V2315" s="7">
        <v>1.0</v>
      </c>
    </row>
    <row r="2316">
      <c r="A2316" s="7" t="s">
        <v>22230</v>
      </c>
      <c r="B2316" s="7">
        <v>3000602.0</v>
      </c>
      <c r="C2316" s="7" t="s">
        <v>7212</v>
      </c>
      <c r="D2316" s="7" t="s">
        <v>17183</v>
      </c>
      <c r="E2316" s="7" t="s">
        <v>7214</v>
      </c>
      <c r="F2316" s="7" t="s">
        <v>17184</v>
      </c>
      <c r="G2316" s="7" t="s">
        <v>17185</v>
      </c>
      <c r="H2316" s="7" t="s">
        <v>17186</v>
      </c>
      <c r="I2316" s="119">
        <v>45748.0</v>
      </c>
      <c r="K2316" s="7" t="s">
        <v>419</v>
      </c>
      <c r="L2316" s="7" t="s">
        <v>991</v>
      </c>
      <c r="M2316" s="7" t="s">
        <v>3501</v>
      </c>
      <c r="N2316" s="7" t="s">
        <v>419</v>
      </c>
      <c r="O2316" s="7" t="s">
        <v>19437</v>
      </c>
      <c r="P2316" s="7" t="s">
        <v>478</v>
      </c>
      <c r="Q2316" s="7" t="s">
        <v>484</v>
      </c>
      <c r="R2316" s="7" t="s">
        <v>20354</v>
      </c>
      <c r="S2316" s="7" t="s">
        <v>22130</v>
      </c>
      <c r="T2316" s="7" t="s">
        <v>16701</v>
      </c>
      <c r="U2316" s="7" t="s">
        <v>3843</v>
      </c>
      <c r="V2316" s="7">
        <v>1.0</v>
      </c>
    </row>
    <row r="2317">
      <c r="A2317" s="7" t="s">
        <v>22231</v>
      </c>
      <c r="B2317" s="7">
        <v>3000527.0</v>
      </c>
      <c r="C2317" s="7" t="s">
        <v>17188</v>
      </c>
      <c r="D2317" s="7" t="s">
        <v>17189</v>
      </c>
      <c r="E2317" s="7" t="s">
        <v>17190</v>
      </c>
      <c r="F2317" s="7" t="s">
        <v>17189</v>
      </c>
      <c r="G2317" s="7" t="s">
        <v>17191</v>
      </c>
      <c r="H2317" s="7" t="s">
        <v>17192</v>
      </c>
      <c r="I2317" s="119">
        <v>45748.0</v>
      </c>
      <c r="K2317" s="7" t="s">
        <v>419</v>
      </c>
      <c r="L2317" s="7" t="s">
        <v>991</v>
      </c>
      <c r="M2317" s="7" t="s">
        <v>3501</v>
      </c>
      <c r="N2317" s="7" t="s">
        <v>419</v>
      </c>
      <c r="O2317" s="7" t="s">
        <v>19443</v>
      </c>
      <c r="P2317" s="7" t="s">
        <v>1242</v>
      </c>
      <c r="Q2317" s="7" t="s">
        <v>51</v>
      </c>
      <c r="R2317" s="7" t="s">
        <v>19574</v>
      </c>
      <c r="T2317" s="7" t="s">
        <v>10802</v>
      </c>
      <c r="U2317" s="7" t="s">
        <v>3493</v>
      </c>
      <c r="V2317" s="7">
        <v>1.0</v>
      </c>
    </row>
    <row r="2318">
      <c r="A2318" s="7" t="s">
        <v>22232</v>
      </c>
      <c r="B2318" s="7">
        <v>3000605.0</v>
      </c>
      <c r="C2318" s="7" t="s">
        <v>17194</v>
      </c>
      <c r="D2318" s="7" t="s">
        <v>17195</v>
      </c>
      <c r="E2318" s="7" t="s">
        <v>17196</v>
      </c>
      <c r="F2318" s="7" t="s">
        <v>17197</v>
      </c>
      <c r="G2318" s="7" t="s">
        <v>17198</v>
      </c>
      <c r="H2318" s="7" t="s">
        <v>17199</v>
      </c>
      <c r="I2318" s="119">
        <v>45748.0</v>
      </c>
      <c r="K2318" s="7" t="s">
        <v>419</v>
      </c>
      <c r="L2318" s="7" t="s">
        <v>991</v>
      </c>
      <c r="M2318" s="7" t="s">
        <v>3501</v>
      </c>
      <c r="N2318" s="7" t="s">
        <v>419</v>
      </c>
      <c r="O2318" s="7" t="s">
        <v>19432</v>
      </c>
      <c r="P2318" s="7" t="s">
        <v>391</v>
      </c>
      <c r="Q2318" s="7" t="s">
        <v>392</v>
      </c>
      <c r="R2318" s="7" t="s">
        <v>19661</v>
      </c>
      <c r="T2318" s="7" t="s">
        <v>19662</v>
      </c>
      <c r="U2318" s="7" t="s">
        <v>3493</v>
      </c>
      <c r="V2318" s="7">
        <v>1.0</v>
      </c>
    </row>
    <row r="2319">
      <c r="A2319" s="7" t="s">
        <v>22233</v>
      </c>
      <c r="B2319" s="7">
        <v>3000576.0</v>
      </c>
      <c r="C2319" s="7" t="s">
        <v>7368</v>
      </c>
      <c r="D2319" s="7" t="s">
        <v>17201</v>
      </c>
      <c r="E2319" s="7" t="s">
        <v>7370</v>
      </c>
      <c r="F2319" s="7" t="s">
        <v>17202</v>
      </c>
      <c r="G2319" s="7" t="s">
        <v>17203</v>
      </c>
      <c r="H2319" s="7" t="s">
        <v>17204</v>
      </c>
      <c r="I2319" s="119">
        <v>45748.0</v>
      </c>
      <c r="K2319" s="7" t="s">
        <v>419</v>
      </c>
      <c r="L2319" s="7" t="s">
        <v>991</v>
      </c>
      <c r="M2319" s="7" t="s">
        <v>3501</v>
      </c>
      <c r="N2319" s="7" t="s">
        <v>419</v>
      </c>
      <c r="O2319" s="7" t="s">
        <v>19433</v>
      </c>
      <c r="P2319" s="7" t="s">
        <v>648</v>
      </c>
      <c r="Q2319" s="7" t="s">
        <v>143</v>
      </c>
      <c r="R2319" s="7" t="s">
        <v>19712</v>
      </c>
      <c r="S2319" s="7" t="s">
        <v>19830</v>
      </c>
      <c r="T2319" s="7" t="s">
        <v>4797</v>
      </c>
      <c r="U2319" s="7" t="s">
        <v>3493</v>
      </c>
      <c r="V2319" s="7">
        <v>1.0</v>
      </c>
    </row>
    <row r="2320">
      <c r="A2320" s="7" t="s">
        <v>22234</v>
      </c>
      <c r="B2320" s="7">
        <v>3000651.0</v>
      </c>
      <c r="C2320" s="7" t="s">
        <v>17206</v>
      </c>
      <c r="D2320" s="7" t="s">
        <v>17207</v>
      </c>
      <c r="E2320" s="7" t="s">
        <v>17208</v>
      </c>
      <c r="F2320" s="7" t="s">
        <v>8668</v>
      </c>
      <c r="G2320" s="7" t="s">
        <v>17209</v>
      </c>
      <c r="H2320" s="7" t="s">
        <v>17210</v>
      </c>
      <c r="I2320" s="119">
        <v>45748.0</v>
      </c>
      <c r="K2320" s="7" t="s">
        <v>419</v>
      </c>
      <c r="L2320" s="7" t="s">
        <v>991</v>
      </c>
      <c r="M2320" s="7" t="s">
        <v>3531</v>
      </c>
      <c r="N2320" s="7" t="s">
        <v>419</v>
      </c>
      <c r="O2320" s="7" t="s">
        <v>19443</v>
      </c>
      <c r="P2320" s="7" t="s">
        <v>323</v>
      </c>
      <c r="Q2320" s="7" t="s">
        <v>824</v>
      </c>
      <c r="R2320" s="7" t="s">
        <v>20311</v>
      </c>
      <c r="T2320" s="7" t="s">
        <v>7132</v>
      </c>
      <c r="U2320" s="7" t="s">
        <v>3493</v>
      </c>
      <c r="V2320" s="7">
        <v>1.0</v>
      </c>
    </row>
    <row r="2321">
      <c r="A2321" s="7" t="s">
        <v>22235</v>
      </c>
      <c r="B2321" s="7">
        <v>3000662.0</v>
      </c>
      <c r="C2321" s="7" t="s">
        <v>17212</v>
      </c>
      <c r="D2321" s="7" t="s">
        <v>8988</v>
      </c>
      <c r="E2321" s="7" t="s">
        <v>17213</v>
      </c>
      <c r="F2321" s="7" t="s">
        <v>3656</v>
      </c>
      <c r="G2321" s="7" t="s">
        <v>17214</v>
      </c>
      <c r="H2321" s="7" t="s">
        <v>17215</v>
      </c>
      <c r="I2321" s="119">
        <v>45748.0</v>
      </c>
      <c r="K2321" s="7" t="s">
        <v>3642</v>
      </c>
      <c r="L2321" s="7" t="s">
        <v>991</v>
      </c>
      <c r="M2321" s="7" t="s">
        <v>3501</v>
      </c>
      <c r="N2321" s="7" t="s">
        <v>3642</v>
      </c>
      <c r="O2321" s="7" t="s">
        <v>3642</v>
      </c>
      <c r="P2321" s="7" t="s">
        <v>19524</v>
      </c>
      <c r="T2321" s="7" t="s">
        <v>3644</v>
      </c>
      <c r="U2321" s="7" t="s">
        <v>3493</v>
      </c>
      <c r="V2321" s="7">
        <v>1.0</v>
      </c>
    </row>
    <row r="2322">
      <c r="A2322" s="7" t="s">
        <v>19477</v>
      </c>
      <c r="B2322" s="7">
        <v>3000623.0</v>
      </c>
      <c r="C2322" s="7" t="s">
        <v>7649</v>
      </c>
      <c r="D2322" s="7" t="s">
        <v>17217</v>
      </c>
      <c r="E2322" s="7" t="s">
        <v>7651</v>
      </c>
      <c r="F2322" s="7" t="s">
        <v>4687</v>
      </c>
      <c r="G2322" s="7" t="s">
        <v>17218</v>
      </c>
      <c r="H2322" s="7" t="s">
        <v>17219</v>
      </c>
      <c r="I2322" s="119">
        <v>45748.0</v>
      </c>
      <c r="K2322" s="7" t="s">
        <v>3632</v>
      </c>
      <c r="L2322" s="7" t="s">
        <v>991</v>
      </c>
      <c r="M2322" s="7" t="s">
        <v>3501</v>
      </c>
      <c r="N2322" s="7" t="s">
        <v>3632</v>
      </c>
      <c r="O2322" s="7" t="s">
        <v>3632</v>
      </c>
      <c r="P2322" s="7" t="s">
        <v>19456</v>
      </c>
      <c r="Q2322" s="7" t="s">
        <v>691</v>
      </c>
      <c r="T2322" s="7" t="s">
        <v>19478</v>
      </c>
      <c r="U2322" s="7" t="s">
        <v>6078</v>
      </c>
      <c r="V2322" s="7">
        <v>1.0</v>
      </c>
    </row>
    <row r="2323">
      <c r="A2323" s="7" t="s">
        <v>22236</v>
      </c>
      <c r="B2323" s="7">
        <v>3000695.0</v>
      </c>
      <c r="C2323" s="7" t="s">
        <v>17224</v>
      </c>
      <c r="D2323" s="7" t="s">
        <v>17225</v>
      </c>
      <c r="E2323" s="7" t="s">
        <v>17226</v>
      </c>
      <c r="F2323" s="7" t="s">
        <v>4371</v>
      </c>
      <c r="G2323" s="7" t="s">
        <v>17227</v>
      </c>
      <c r="H2323" s="7" t="s">
        <v>17228</v>
      </c>
      <c r="I2323" s="119">
        <v>45748.0</v>
      </c>
      <c r="K2323" s="7" t="s">
        <v>15381</v>
      </c>
      <c r="L2323" s="7" t="s">
        <v>991</v>
      </c>
      <c r="M2323" s="7" t="s">
        <v>3531</v>
      </c>
      <c r="N2323" s="7" t="s">
        <v>15381</v>
      </c>
      <c r="O2323" s="7" t="s">
        <v>15381</v>
      </c>
      <c r="P2323" s="7" t="s">
        <v>21865</v>
      </c>
      <c r="T2323" s="7" t="s">
        <v>15383</v>
      </c>
      <c r="U2323" s="7" t="s">
        <v>3493</v>
      </c>
      <c r="V2323" s="7">
        <v>1.0</v>
      </c>
    </row>
    <row r="2324">
      <c r="A2324" s="7" t="s">
        <v>22237</v>
      </c>
      <c r="B2324" s="7">
        <v>3000628.0</v>
      </c>
      <c r="C2324" s="7" t="s">
        <v>7853</v>
      </c>
      <c r="D2324" s="7" t="s">
        <v>17230</v>
      </c>
      <c r="E2324" s="7" t="s">
        <v>7854</v>
      </c>
      <c r="F2324" s="7" t="s">
        <v>4172</v>
      </c>
      <c r="G2324" s="7" t="s">
        <v>17231</v>
      </c>
      <c r="H2324" s="7" t="s">
        <v>17232</v>
      </c>
      <c r="I2324" s="119">
        <v>45748.0</v>
      </c>
      <c r="K2324" s="7" t="s">
        <v>419</v>
      </c>
      <c r="L2324" s="7" t="s">
        <v>991</v>
      </c>
      <c r="M2324" s="7" t="s">
        <v>3490</v>
      </c>
      <c r="N2324" s="7" t="s">
        <v>419</v>
      </c>
      <c r="O2324" s="7" t="s">
        <v>19437</v>
      </c>
      <c r="P2324" s="7" t="s">
        <v>478</v>
      </c>
      <c r="Q2324" s="7" t="s">
        <v>487</v>
      </c>
      <c r="R2324" s="7" t="s">
        <v>19499</v>
      </c>
      <c r="T2324" s="7" t="s">
        <v>8093</v>
      </c>
      <c r="U2324" s="7" t="s">
        <v>3493</v>
      </c>
      <c r="V2324" s="7">
        <v>1.0</v>
      </c>
    </row>
    <row r="2325">
      <c r="A2325" s="7" t="s">
        <v>22238</v>
      </c>
      <c r="B2325" s="7">
        <v>3000588.0</v>
      </c>
      <c r="C2325" s="7" t="s">
        <v>8082</v>
      </c>
      <c r="D2325" s="7" t="s">
        <v>17236</v>
      </c>
      <c r="E2325" s="7" t="s">
        <v>8074</v>
      </c>
      <c r="F2325" s="7" t="s">
        <v>4068</v>
      </c>
      <c r="G2325" s="7" t="s">
        <v>17237</v>
      </c>
      <c r="H2325" s="7" t="s">
        <v>17238</v>
      </c>
      <c r="I2325" s="119">
        <v>45748.0</v>
      </c>
      <c r="K2325" s="7" t="s">
        <v>17239</v>
      </c>
      <c r="L2325" s="7" t="s">
        <v>6655</v>
      </c>
      <c r="M2325" s="7" t="s">
        <v>17240</v>
      </c>
      <c r="N2325" s="7" t="s">
        <v>419</v>
      </c>
      <c r="O2325" s="7" t="s">
        <v>19433</v>
      </c>
      <c r="P2325" s="7" t="s">
        <v>587</v>
      </c>
      <c r="Q2325" s="7" t="s">
        <v>74</v>
      </c>
      <c r="R2325" s="7" t="s">
        <v>19911</v>
      </c>
      <c r="T2325" s="7" t="s">
        <v>5198</v>
      </c>
      <c r="U2325" s="7" t="s">
        <v>3493</v>
      </c>
      <c r="V2325" s="7">
        <v>1.0</v>
      </c>
    </row>
    <row r="2326">
      <c r="A2326" s="7" t="s">
        <v>22239</v>
      </c>
      <c r="B2326" s="7">
        <v>3000655.0</v>
      </c>
      <c r="C2326" s="7" t="s">
        <v>8082</v>
      </c>
      <c r="D2326" s="7" t="s">
        <v>6009</v>
      </c>
      <c r="E2326" s="7" t="s">
        <v>8074</v>
      </c>
      <c r="F2326" s="7" t="s">
        <v>6011</v>
      </c>
      <c r="G2326" s="7" t="s">
        <v>17244</v>
      </c>
      <c r="H2326" s="7" t="s">
        <v>17245</v>
      </c>
      <c r="I2326" s="119">
        <v>45748.0</v>
      </c>
      <c r="K2326" s="7" t="s">
        <v>11974</v>
      </c>
      <c r="L2326" s="7" t="s">
        <v>991</v>
      </c>
      <c r="M2326" s="7" t="s">
        <v>3501</v>
      </c>
      <c r="N2326" s="7" t="s">
        <v>11974</v>
      </c>
      <c r="O2326" s="7" t="s">
        <v>11974</v>
      </c>
      <c r="P2326" s="7" t="s">
        <v>386</v>
      </c>
      <c r="Q2326" s="7" t="s">
        <v>387</v>
      </c>
      <c r="T2326" s="7" t="s">
        <v>11976</v>
      </c>
      <c r="U2326" s="7" t="s">
        <v>3493</v>
      </c>
      <c r="V2326" s="7">
        <v>1.0</v>
      </c>
    </row>
    <row r="2327">
      <c r="A2327" s="7" t="s">
        <v>22240</v>
      </c>
      <c r="B2327" s="7">
        <v>3000649.0</v>
      </c>
      <c r="C2327" s="7" t="s">
        <v>8247</v>
      </c>
      <c r="D2327" s="7" t="s">
        <v>17248</v>
      </c>
      <c r="E2327" s="7" t="s">
        <v>8249</v>
      </c>
      <c r="F2327" s="7" t="s">
        <v>17249</v>
      </c>
      <c r="G2327" s="7" t="s">
        <v>17250</v>
      </c>
      <c r="H2327" s="7" t="s">
        <v>17251</v>
      </c>
      <c r="I2327" s="119">
        <v>45748.0</v>
      </c>
      <c r="K2327" s="7" t="s">
        <v>419</v>
      </c>
      <c r="L2327" s="7" t="s">
        <v>991</v>
      </c>
      <c r="M2327" s="7" t="s">
        <v>3531</v>
      </c>
      <c r="N2327" s="7" t="s">
        <v>419</v>
      </c>
      <c r="O2327" s="7" t="s">
        <v>19430</v>
      </c>
      <c r="P2327" s="7" t="s">
        <v>717</v>
      </c>
      <c r="Q2327" s="7" t="s">
        <v>730</v>
      </c>
      <c r="R2327" s="7" t="s">
        <v>19979</v>
      </c>
      <c r="S2327" s="7" t="s">
        <v>19980</v>
      </c>
      <c r="T2327" s="7" t="s">
        <v>5487</v>
      </c>
      <c r="U2327" s="7" t="s">
        <v>3493</v>
      </c>
      <c r="V2327" s="7">
        <v>1.0</v>
      </c>
    </row>
    <row r="2328">
      <c r="A2328" s="7" t="s">
        <v>22241</v>
      </c>
      <c r="B2328" s="7">
        <v>3000639.0</v>
      </c>
      <c r="C2328" s="7" t="s">
        <v>8429</v>
      </c>
      <c r="D2328" s="7" t="s">
        <v>17253</v>
      </c>
      <c r="E2328" s="7" t="s">
        <v>8431</v>
      </c>
      <c r="F2328" s="7" t="s">
        <v>5987</v>
      </c>
      <c r="G2328" s="7" t="s">
        <v>17254</v>
      </c>
      <c r="H2328" s="7" t="s">
        <v>17255</v>
      </c>
      <c r="I2328" s="119">
        <v>45748.0</v>
      </c>
      <c r="K2328" s="7" t="s">
        <v>3489</v>
      </c>
      <c r="L2328" s="7" t="s">
        <v>991</v>
      </c>
      <c r="M2328" s="7" t="s">
        <v>3490</v>
      </c>
      <c r="N2328" s="7" t="s">
        <v>3489</v>
      </c>
      <c r="O2328" s="7" t="s">
        <v>3489</v>
      </c>
      <c r="P2328" s="7" t="s">
        <v>19491</v>
      </c>
      <c r="Q2328" s="7" t="s">
        <v>169</v>
      </c>
      <c r="R2328" s="7" t="s">
        <v>19492</v>
      </c>
      <c r="T2328" s="7" t="s">
        <v>3492</v>
      </c>
      <c r="U2328" s="7" t="s">
        <v>3493</v>
      </c>
      <c r="V2328" s="7">
        <v>1.0</v>
      </c>
    </row>
    <row r="2329">
      <c r="A2329" s="7" t="s">
        <v>22242</v>
      </c>
      <c r="B2329" s="7">
        <v>3000674.0</v>
      </c>
      <c r="C2329" s="7" t="s">
        <v>8429</v>
      </c>
      <c r="D2329" s="7" t="s">
        <v>17257</v>
      </c>
      <c r="E2329" s="7" t="s">
        <v>8431</v>
      </c>
      <c r="F2329" s="7" t="s">
        <v>11235</v>
      </c>
      <c r="G2329" s="7" t="s">
        <v>17258</v>
      </c>
      <c r="H2329" s="7" t="s">
        <v>17259</v>
      </c>
      <c r="I2329" s="119">
        <v>45748.0</v>
      </c>
      <c r="K2329" s="7" t="s">
        <v>3642</v>
      </c>
      <c r="L2329" s="7" t="s">
        <v>991</v>
      </c>
      <c r="M2329" s="7" t="s">
        <v>3501</v>
      </c>
      <c r="N2329" s="7" t="s">
        <v>3642</v>
      </c>
      <c r="O2329" s="7" t="s">
        <v>3642</v>
      </c>
      <c r="P2329" s="7" t="s">
        <v>19524</v>
      </c>
      <c r="T2329" s="7" t="s">
        <v>3644</v>
      </c>
      <c r="U2329" s="7" t="s">
        <v>3493</v>
      </c>
      <c r="V2329" s="7">
        <v>1.0</v>
      </c>
    </row>
    <row r="2330">
      <c r="A2330" s="7" t="s">
        <v>22243</v>
      </c>
      <c r="B2330" s="7">
        <v>3000635.0</v>
      </c>
      <c r="C2330" s="7" t="s">
        <v>17261</v>
      </c>
      <c r="D2330" s="7" t="s">
        <v>17262</v>
      </c>
      <c r="E2330" s="7" t="s">
        <v>8566</v>
      </c>
      <c r="F2330" s="7" t="s">
        <v>3609</v>
      </c>
      <c r="G2330" s="7" t="s">
        <v>17263</v>
      </c>
      <c r="H2330" s="7" t="s">
        <v>17264</v>
      </c>
      <c r="I2330" s="119">
        <v>45748.0</v>
      </c>
      <c r="K2330" s="7" t="s">
        <v>419</v>
      </c>
      <c r="L2330" s="7" t="s">
        <v>991</v>
      </c>
      <c r="M2330" s="7" t="s">
        <v>3531</v>
      </c>
      <c r="N2330" s="7" t="s">
        <v>419</v>
      </c>
      <c r="O2330" s="7" t="s">
        <v>19430</v>
      </c>
      <c r="P2330" s="7" t="s">
        <v>717</v>
      </c>
      <c r="Q2330" s="7" t="s">
        <v>223</v>
      </c>
      <c r="R2330" s="7" t="s">
        <v>20315</v>
      </c>
      <c r="S2330" s="7" t="s">
        <v>20316</v>
      </c>
      <c r="T2330" s="7" t="s">
        <v>7148</v>
      </c>
      <c r="U2330" s="7" t="s">
        <v>3493</v>
      </c>
      <c r="V2330" s="7">
        <v>1.0</v>
      </c>
    </row>
    <row r="2331">
      <c r="A2331" s="7" t="s">
        <v>22244</v>
      </c>
      <c r="B2331" s="7">
        <v>3000622.0</v>
      </c>
      <c r="C2331" s="7" t="s">
        <v>16390</v>
      </c>
      <c r="D2331" s="7" t="s">
        <v>17266</v>
      </c>
      <c r="E2331" s="7" t="s">
        <v>8820</v>
      </c>
      <c r="F2331" s="7" t="s">
        <v>13098</v>
      </c>
      <c r="G2331" s="7" t="s">
        <v>17267</v>
      </c>
      <c r="H2331" s="7" t="s">
        <v>17268</v>
      </c>
      <c r="I2331" s="119">
        <v>45748.0</v>
      </c>
      <c r="K2331" s="7" t="s">
        <v>419</v>
      </c>
      <c r="L2331" s="7" t="s">
        <v>991</v>
      </c>
      <c r="M2331" s="7" t="s">
        <v>3583</v>
      </c>
      <c r="N2331" s="7" t="s">
        <v>419</v>
      </c>
      <c r="O2331" s="7" t="s">
        <v>19433</v>
      </c>
      <c r="P2331" s="7" t="s">
        <v>648</v>
      </c>
      <c r="Q2331" s="7" t="s">
        <v>141</v>
      </c>
      <c r="T2331" s="7" t="s">
        <v>4500</v>
      </c>
      <c r="U2331" s="7" t="s">
        <v>3493</v>
      </c>
      <c r="V2331" s="7">
        <v>1.0</v>
      </c>
    </row>
    <row r="2332">
      <c r="A2332" s="7" t="s">
        <v>22245</v>
      </c>
      <c r="B2332" s="7">
        <v>3000656.0</v>
      </c>
      <c r="C2332" s="7" t="s">
        <v>17271</v>
      </c>
      <c r="D2332" s="7" t="s">
        <v>17272</v>
      </c>
      <c r="E2332" s="7" t="s">
        <v>8848</v>
      </c>
      <c r="F2332" s="7" t="s">
        <v>17273</v>
      </c>
      <c r="G2332" s="7" t="s">
        <v>17274</v>
      </c>
      <c r="H2332" s="7" t="s">
        <v>17275</v>
      </c>
      <c r="I2332" s="119">
        <v>45748.0</v>
      </c>
      <c r="K2332" s="7" t="s">
        <v>11974</v>
      </c>
      <c r="L2332" s="7" t="s">
        <v>991</v>
      </c>
      <c r="M2332" s="7" t="s">
        <v>3501</v>
      </c>
      <c r="N2332" s="7" t="s">
        <v>11974</v>
      </c>
      <c r="O2332" s="7" t="s">
        <v>11974</v>
      </c>
      <c r="P2332" s="7" t="s">
        <v>386</v>
      </c>
      <c r="Q2332" s="7" t="s">
        <v>387</v>
      </c>
      <c r="T2332" s="7" t="s">
        <v>11976</v>
      </c>
      <c r="U2332" s="7" t="s">
        <v>3493</v>
      </c>
      <c r="V2332" s="7">
        <v>1.0</v>
      </c>
    </row>
    <row r="2333">
      <c r="A2333" s="7" t="s">
        <v>22246</v>
      </c>
      <c r="B2333" s="7">
        <v>3000671.0</v>
      </c>
      <c r="C2333" s="7" t="s">
        <v>17277</v>
      </c>
      <c r="D2333" s="7" t="s">
        <v>17278</v>
      </c>
      <c r="E2333" s="7" t="s">
        <v>17279</v>
      </c>
      <c r="F2333" s="7" t="s">
        <v>17280</v>
      </c>
      <c r="G2333" s="7" t="s">
        <v>17281</v>
      </c>
      <c r="H2333" s="7" t="s">
        <v>17282</v>
      </c>
      <c r="I2333" s="119">
        <v>45748.0</v>
      </c>
      <c r="K2333" s="7" t="s">
        <v>419</v>
      </c>
      <c r="L2333" s="7" t="s">
        <v>991</v>
      </c>
      <c r="M2333" s="7" t="s">
        <v>3501</v>
      </c>
      <c r="N2333" s="7" t="s">
        <v>419</v>
      </c>
      <c r="O2333" s="7" t="s">
        <v>19443</v>
      </c>
      <c r="P2333" s="7" t="s">
        <v>323</v>
      </c>
      <c r="Q2333" s="7" t="s">
        <v>824</v>
      </c>
      <c r="R2333" s="7" t="s">
        <v>19771</v>
      </c>
      <c r="T2333" s="7" t="s">
        <v>12660</v>
      </c>
      <c r="U2333" s="7" t="s">
        <v>3493</v>
      </c>
      <c r="V2333" s="7">
        <v>1.0</v>
      </c>
    </row>
    <row r="2334">
      <c r="A2334" s="7" t="s">
        <v>22247</v>
      </c>
      <c r="B2334" s="7">
        <v>3000612.0</v>
      </c>
      <c r="C2334" s="7" t="s">
        <v>8961</v>
      </c>
      <c r="D2334" s="7" t="s">
        <v>17284</v>
      </c>
      <c r="E2334" s="7" t="s">
        <v>8963</v>
      </c>
      <c r="F2334" s="7" t="s">
        <v>10102</v>
      </c>
      <c r="G2334" s="7" t="s">
        <v>17285</v>
      </c>
      <c r="H2334" s="7" t="s">
        <v>17286</v>
      </c>
      <c r="I2334" s="119">
        <v>45748.0</v>
      </c>
      <c r="K2334" s="7" t="s">
        <v>419</v>
      </c>
      <c r="L2334" s="7" t="s">
        <v>991</v>
      </c>
      <c r="M2334" s="7" t="s">
        <v>3501</v>
      </c>
      <c r="N2334" s="7" t="s">
        <v>419</v>
      </c>
      <c r="O2334" s="7" t="s">
        <v>19430</v>
      </c>
      <c r="P2334" s="7" t="s">
        <v>717</v>
      </c>
      <c r="Q2334" s="7" t="s">
        <v>720</v>
      </c>
      <c r="R2334" s="7" t="s">
        <v>19658</v>
      </c>
      <c r="S2334" s="7" t="s">
        <v>19659</v>
      </c>
      <c r="T2334" s="7" t="s">
        <v>4148</v>
      </c>
      <c r="U2334" s="7" t="s">
        <v>3493</v>
      </c>
      <c r="V2334" s="7">
        <v>1.0</v>
      </c>
    </row>
    <row r="2335">
      <c r="A2335" s="7" t="s">
        <v>22248</v>
      </c>
      <c r="B2335" s="7">
        <v>3000581.0</v>
      </c>
      <c r="C2335" s="7" t="s">
        <v>17288</v>
      </c>
      <c r="D2335" s="7" t="s">
        <v>17289</v>
      </c>
      <c r="E2335" s="7" t="s">
        <v>9033</v>
      </c>
      <c r="F2335" s="7" t="s">
        <v>7099</v>
      </c>
      <c r="G2335" s="7" t="s">
        <v>17290</v>
      </c>
      <c r="H2335" s="7" t="s">
        <v>17291</v>
      </c>
      <c r="I2335" s="119">
        <v>45748.0</v>
      </c>
      <c r="K2335" s="7" t="s">
        <v>419</v>
      </c>
      <c r="L2335" s="7" t="s">
        <v>991</v>
      </c>
      <c r="M2335" s="7" t="s">
        <v>3501</v>
      </c>
      <c r="N2335" s="7" t="s">
        <v>419</v>
      </c>
      <c r="O2335" s="7" t="s">
        <v>19443</v>
      </c>
      <c r="P2335" s="7" t="s">
        <v>1242</v>
      </c>
      <c r="Q2335" s="7" t="s">
        <v>51</v>
      </c>
      <c r="R2335" s="7" t="s">
        <v>20172</v>
      </c>
      <c r="T2335" s="7" t="s">
        <v>6403</v>
      </c>
      <c r="U2335" s="7" t="s">
        <v>3493</v>
      </c>
      <c r="V2335" s="7">
        <v>1.0</v>
      </c>
    </row>
    <row r="2336">
      <c r="A2336" s="7" t="s">
        <v>22249</v>
      </c>
      <c r="B2336" s="7">
        <v>3000615.0</v>
      </c>
      <c r="C2336" s="7" t="s">
        <v>9113</v>
      </c>
      <c r="D2336" s="7" t="s">
        <v>12983</v>
      </c>
      <c r="E2336" s="7" t="s">
        <v>9115</v>
      </c>
      <c r="F2336" s="7" t="s">
        <v>9380</v>
      </c>
      <c r="G2336" s="7" t="s">
        <v>17293</v>
      </c>
      <c r="H2336" s="7" t="s">
        <v>17294</v>
      </c>
      <c r="I2336" s="119">
        <v>45748.0</v>
      </c>
      <c r="K2336" s="7" t="s">
        <v>419</v>
      </c>
      <c r="L2336" s="7" t="s">
        <v>991</v>
      </c>
      <c r="M2336" s="7" t="s">
        <v>3501</v>
      </c>
      <c r="N2336" s="7" t="s">
        <v>419</v>
      </c>
      <c r="O2336" s="7" t="s">
        <v>19430</v>
      </c>
      <c r="P2336" s="7" t="s">
        <v>717</v>
      </c>
      <c r="Q2336" s="7" t="s">
        <v>251</v>
      </c>
      <c r="R2336" s="7" t="s">
        <v>19593</v>
      </c>
      <c r="S2336" s="7" t="s">
        <v>19594</v>
      </c>
      <c r="T2336" s="7" t="s">
        <v>3900</v>
      </c>
      <c r="U2336" s="7" t="s">
        <v>3493</v>
      </c>
      <c r="V2336" s="7">
        <v>1.0</v>
      </c>
    </row>
    <row r="2337">
      <c r="A2337" s="7" t="s">
        <v>22250</v>
      </c>
      <c r="B2337" s="7">
        <v>3000637.0</v>
      </c>
      <c r="C2337" s="7" t="s">
        <v>9145</v>
      </c>
      <c r="D2337" s="7" t="s">
        <v>17297</v>
      </c>
      <c r="E2337" s="7" t="s">
        <v>9147</v>
      </c>
      <c r="F2337" s="7" t="s">
        <v>5987</v>
      </c>
      <c r="G2337" s="7" t="s">
        <v>17298</v>
      </c>
      <c r="H2337" s="7" t="s">
        <v>17299</v>
      </c>
      <c r="I2337" s="119">
        <v>45748.0</v>
      </c>
      <c r="K2337" s="7" t="s">
        <v>3622</v>
      </c>
      <c r="L2337" s="7" t="s">
        <v>991</v>
      </c>
      <c r="M2337" s="7" t="s">
        <v>3501</v>
      </c>
      <c r="N2337" s="7" t="s">
        <v>3622</v>
      </c>
      <c r="O2337" s="7" t="s">
        <v>3622</v>
      </c>
      <c r="P2337" s="7" t="s">
        <v>19521</v>
      </c>
      <c r="T2337" s="7" t="s">
        <v>3624</v>
      </c>
      <c r="U2337" s="7" t="s">
        <v>3493</v>
      </c>
      <c r="V2337" s="7">
        <v>1.0</v>
      </c>
    </row>
    <row r="2338">
      <c r="A2338" s="7" t="s">
        <v>22251</v>
      </c>
      <c r="B2338" s="7">
        <v>3000677.0</v>
      </c>
      <c r="C2338" s="7" t="s">
        <v>9145</v>
      </c>
      <c r="D2338" s="7" t="s">
        <v>17301</v>
      </c>
      <c r="E2338" s="7" t="s">
        <v>9147</v>
      </c>
      <c r="F2338" s="7" t="s">
        <v>10155</v>
      </c>
      <c r="G2338" s="7" t="s">
        <v>17302</v>
      </c>
      <c r="H2338" s="7" t="s">
        <v>17303</v>
      </c>
      <c r="I2338" s="119">
        <v>45748.0</v>
      </c>
      <c r="K2338" s="7" t="s">
        <v>419</v>
      </c>
      <c r="L2338" s="7" t="s">
        <v>991</v>
      </c>
      <c r="M2338" s="7" t="s">
        <v>3531</v>
      </c>
      <c r="N2338" s="7" t="s">
        <v>419</v>
      </c>
      <c r="O2338" s="7" t="s">
        <v>19432</v>
      </c>
      <c r="P2338" s="7" t="s">
        <v>693</v>
      </c>
      <c r="Q2338" s="7" t="s">
        <v>701</v>
      </c>
      <c r="R2338" s="7" t="s">
        <v>20244</v>
      </c>
      <c r="T2338" s="7" t="s">
        <v>6754</v>
      </c>
      <c r="U2338" s="7" t="s">
        <v>3493</v>
      </c>
      <c r="V2338" s="7">
        <v>1.0</v>
      </c>
    </row>
    <row r="2339">
      <c r="A2339" s="7" t="s">
        <v>22252</v>
      </c>
      <c r="B2339" s="7">
        <v>3000634.0</v>
      </c>
      <c r="C2339" s="7" t="s">
        <v>9145</v>
      </c>
      <c r="D2339" s="7" t="s">
        <v>12130</v>
      </c>
      <c r="E2339" s="7" t="s">
        <v>9147</v>
      </c>
      <c r="F2339" s="7" t="s">
        <v>12031</v>
      </c>
      <c r="G2339" s="7" t="s">
        <v>17305</v>
      </c>
      <c r="H2339" s="7" t="s">
        <v>17306</v>
      </c>
      <c r="I2339" s="119">
        <v>45748.0</v>
      </c>
      <c r="K2339" s="7" t="s">
        <v>419</v>
      </c>
      <c r="L2339" s="7" t="s">
        <v>991</v>
      </c>
      <c r="M2339" s="7" t="s">
        <v>3531</v>
      </c>
      <c r="N2339" s="7" t="s">
        <v>419</v>
      </c>
      <c r="O2339" s="7" t="s">
        <v>19430</v>
      </c>
      <c r="P2339" s="7" t="s">
        <v>717</v>
      </c>
      <c r="Q2339" s="7" t="s">
        <v>720</v>
      </c>
      <c r="R2339" s="7" t="s">
        <v>19626</v>
      </c>
      <c r="S2339" s="7" t="s">
        <v>19627</v>
      </c>
      <c r="T2339" s="7" t="s">
        <v>4029</v>
      </c>
      <c r="U2339" s="7" t="s">
        <v>3493</v>
      </c>
      <c r="V2339" s="7">
        <v>1.0</v>
      </c>
    </row>
    <row r="2340">
      <c r="A2340" s="7" t="s">
        <v>22253</v>
      </c>
      <c r="B2340" s="7">
        <v>3000633.0</v>
      </c>
      <c r="C2340" s="7" t="s">
        <v>9145</v>
      </c>
      <c r="D2340" s="7" t="s">
        <v>17308</v>
      </c>
      <c r="E2340" s="7" t="s">
        <v>9147</v>
      </c>
      <c r="F2340" s="7" t="s">
        <v>15192</v>
      </c>
      <c r="G2340" s="7" t="s">
        <v>17309</v>
      </c>
      <c r="H2340" s="7" t="s">
        <v>17310</v>
      </c>
      <c r="I2340" s="119">
        <v>45748.0</v>
      </c>
      <c r="K2340" s="7" t="s">
        <v>419</v>
      </c>
      <c r="L2340" s="7" t="s">
        <v>991</v>
      </c>
      <c r="M2340" s="7" t="s">
        <v>3531</v>
      </c>
      <c r="N2340" s="7" t="s">
        <v>419</v>
      </c>
      <c r="O2340" s="7" t="s">
        <v>19430</v>
      </c>
      <c r="P2340" s="7" t="s">
        <v>717</v>
      </c>
      <c r="Q2340" s="7" t="s">
        <v>720</v>
      </c>
      <c r="R2340" s="7" t="s">
        <v>19626</v>
      </c>
      <c r="S2340" s="7" t="s">
        <v>19627</v>
      </c>
      <c r="T2340" s="7" t="s">
        <v>4029</v>
      </c>
      <c r="U2340" s="7" t="s">
        <v>3493</v>
      </c>
      <c r="V2340" s="7">
        <v>1.0</v>
      </c>
    </row>
    <row r="2341">
      <c r="A2341" s="7" t="s">
        <v>22254</v>
      </c>
      <c r="B2341" s="7">
        <v>3000644.0</v>
      </c>
      <c r="C2341" s="7" t="s">
        <v>9321</v>
      </c>
      <c r="D2341" s="7" t="s">
        <v>11861</v>
      </c>
      <c r="E2341" s="7" t="s">
        <v>9322</v>
      </c>
      <c r="F2341" s="7" t="s">
        <v>3869</v>
      </c>
      <c r="G2341" s="7" t="s">
        <v>17312</v>
      </c>
      <c r="H2341" s="7" t="s">
        <v>17313</v>
      </c>
      <c r="I2341" s="119">
        <v>45748.0</v>
      </c>
      <c r="K2341" s="7" t="s">
        <v>419</v>
      </c>
      <c r="L2341" s="7" t="s">
        <v>991</v>
      </c>
      <c r="M2341" s="7" t="s">
        <v>3531</v>
      </c>
      <c r="N2341" s="7" t="s">
        <v>419</v>
      </c>
      <c r="O2341" s="7" t="s">
        <v>19440</v>
      </c>
      <c r="P2341" s="7" t="s">
        <v>613</v>
      </c>
      <c r="Q2341" s="7" t="s">
        <v>104</v>
      </c>
      <c r="R2341" s="7" t="s">
        <v>21531</v>
      </c>
      <c r="T2341" s="7" t="s">
        <v>13636</v>
      </c>
      <c r="U2341" s="7" t="s">
        <v>3493</v>
      </c>
      <c r="V2341" s="7">
        <v>1.0</v>
      </c>
    </row>
    <row r="2342">
      <c r="A2342" s="7" t="s">
        <v>22255</v>
      </c>
      <c r="B2342" s="7">
        <v>3000629.0</v>
      </c>
      <c r="C2342" s="7" t="s">
        <v>9321</v>
      </c>
      <c r="D2342" s="7" t="s">
        <v>17315</v>
      </c>
      <c r="E2342" s="7" t="s">
        <v>9322</v>
      </c>
      <c r="F2342" s="7" t="s">
        <v>17316</v>
      </c>
      <c r="G2342" s="7" t="s">
        <v>17317</v>
      </c>
      <c r="H2342" s="7" t="s">
        <v>17318</v>
      </c>
      <c r="I2342" s="119">
        <v>45748.0</v>
      </c>
      <c r="K2342" s="7" t="s">
        <v>419</v>
      </c>
      <c r="L2342" s="7" t="s">
        <v>991</v>
      </c>
      <c r="M2342" s="7" t="s">
        <v>3583</v>
      </c>
      <c r="N2342" s="7" t="s">
        <v>419</v>
      </c>
      <c r="O2342" s="7" t="s">
        <v>19430</v>
      </c>
      <c r="P2342" s="7" t="s">
        <v>717</v>
      </c>
      <c r="Q2342" s="7" t="s">
        <v>725</v>
      </c>
      <c r="R2342" s="7" t="s">
        <v>19501</v>
      </c>
      <c r="S2342" s="7" t="s">
        <v>19688</v>
      </c>
      <c r="T2342" s="7" t="s">
        <v>4257</v>
      </c>
      <c r="U2342" s="7" t="s">
        <v>3493</v>
      </c>
      <c r="V2342" s="7">
        <v>1.0</v>
      </c>
    </row>
    <row r="2343">
      <c r="A2343" s="7" t="s">
        <v>22256</v>
      </c>
      <c r="B2343" s="7">
        <v>3000686.0</v>
      </c>
      <c r="C2343" s="7" t="s">
        <v>17320</v>
      </c>
      <c r="D2343" s="7" t="s">
        <v>17321</v>
      </c>
      <c r="E2343" s="7" t="s">
        <v>17322</v>
      </c>
      <c r="F2343" s="7" t="s">
        <v>4371</v>
      </c>
      <c r="G2343" s="7" t="s">
        <v>17323</v>
      </c>
      <c r="H2343" s="7" t="s">
        <v>17324</v>
      </c>
      <c r="I2343" s="119">
        <v>45748.0</v>
      </c>
      <c r="K2343" s="7" t="s">
        <v>3632</v>
      </c>
      <c r="L2343" s="7" t="s">
        <v>991</v>
      </c>
      <c r="M2343" s="7" t="s">
        <v>3531</v>
      </c>
      <c r="N2343" s="7" t="s">
        <v>3632</v>
      </c>
      <c r="O2343" s="7" t="s">
        <v>3632</v>
      </c>
      <c r="P2343" s="7" t="s">
        <v>625</v>
      </c>
      <c r="Q2343" s="7" t="s">
        <v>118</v>
      </c>
      <c r="R2343" s="7" t="s">
        <v>20076</v>
      </c>
      <c r="T2343" s="7" t="s">
        <v>6924</v>
      </c>
      <c r="U2343" s="7" t="s">
        <v>3493</v>
      </c>
      <c r="V2343" s="7">
        <v>1.0</v>
      </c>
    </row>
    <row r="2344">
      <c r="A2344" s="7" t="s">
        <v>22257</v>
      </c>
      <c r="B2344" s="7">
        <v>3000646.0</v>
      </c>
      <c r="C2344" s="7" t="s">
        <v>17326</v>
      </c>
      <c r="D2344" s="7" t="s">
        <v>17327</v>
      </c>
      <c r="E2344" s="7" t="s">
        <v>17328</v>
      </c>
      <c r="F2344" s="7" t="s">
        <v>17329</v>
      </c>
      <c r="G2344" s="7" t="s">
        <v>17330</v>
      </c>
      <c r="H2344" s="7" t="s">
        <v>17331</v>
      </c>
      <c r="I2344" s="119">
        <v>45748.0</v>
      </c>
      <c r="K2344" s="7" t="s">
        <v>419</v>
      </c>
      <c r="L2344" s="7" t="s">
        <v>991</v>
      </c>
      <c r="M2344" s="7" t="s">
        <v>3531</v>
      </c>
      <c r="N2344" s="7" t="s">
        <v>419</v>
      </c>
      <c r="O2344" s="7" t="s">
        <v>19440</v>
      </c>
      <c r="P2344" s="7" t="s">
        <v>613</v>
      </c>
      <c r="Q2344" s="7" t="s">
        <v>104</v>
      </c>
      <c r="R2344" s="7" t="s">
        <v>21531</v>
      </c>
      <c r="T2344" s="7" t="s">
        <v>13636</v>
      </c>
      <c r="U2344" s="7" t="s">
        <v>3493</v>
      </c>
      <c r="V2344" s="7">
        <v>1.0</v>
      </c>
    </row>
    <row r="2345">
      <c r="A2345" s="7" t="s">
        <v>22258</v>
      </c>
      <c r="B2345" s="7">
        <v>3000666.0</v>
      </c>
      <c r="C2345" s="7" t="s">
        <v>9730</v>
      </c>
      <c r="D2345" s="7" t="s">
        <v>17333</v>
      </c>
      <c r="E2345" s="7" t="s">
        <v>9731</v>
      </c>
      <c r="F2345" s="7" t="s">
        <v>16616</v>
      </c>
      <c r="G2345" s="7" t="s">
        <v>17334</v>
      </c>
      <c r="H2345" s="7" t="s">
        <v>17335</v>
      </c>
      <c r="I2345" s="119">
        <v>45748.0</v>
      </c>
      <c r="K2345" s="7" t="s">
        <v>419</v>
      </c>
      <c r="L2345" s="7" t="s">
        <v>991</v>
      </c>
      <c r="M2345" s="7" t="s">
        <v>3531</v>
      </c>
      <c r="N2345" s="7" t="s">
        <v>419</v>
      </c>
      <c r="O2345" s="7" t="s">
        <v>19430</v>
      </c>
      <c r="P2345" s="7" t="s">
        <v>717</v>
      </c>
      <c r="Q2345" s="7" t="s">
        <v>720</v>
      </c>
      <c r="R2345" s="7" t="s">
        <v>19626</v>
      </c>
      <c r="S2345" s="7" t="s">
        <v>22200</v>
      </c>
      <c r="T2345" s="7" t="s">
        <v>17039</v>
      </c>
      <c r="U2345" s="7" t="s">
        <v>3493</v>
      </c>
      <c r="V2345" s="7">
        <v>1.0</v>
      </c>
    </row>
    <row r="2346">
      <c r="A2346" s="7" t="s">
        <v>22259</v>
      </c>
      <c r="B2346" s="7">
        <v>3000624.0</v>
      </c>
      <c r="C2346" s="7" t="s">
        <v>9851</v>
      </c>
      <c r="D2346" s="7" t="s">
        <v>10847</v>
      </c>
      <c r="E2346" s="7" t="s">
        <v>9853</v>
      </c>
      <c r="F2346" s="7" t="s">
        <v>10848</v>
      </c>
      <c r="G2346" s="7" t="s">
        <v>17337</v>
      </c>
      <c r="H2346" s="7" t="s">
        <v>17338</v>
      </c>
      <c r="I2346" s="119">
        <v>45748.0</v>
      </c>
      <c r="K2346" s="7" t="s">
        <v>419</v>
      </c>
      <c r="L2346" s="7" t="s">
        <v>991</v>
      </c>
      <c r="M2346" s="7" t="s">
        <v>3501</v>
      </c>
      <c r="N2346" s="7" t="s">
        <v>419</v>
      </c>
      <c r="O2346" s="7" t="s">
        <v>19438</v>
      </c>
      <c r="P2346" s="7" t="s">
        <v>19439</v>
      </c>
      <c r="Q2346" s="7" t="s">
        <v>475</v>
      </c>
      <c r="R2346" s="7" t="s">
        <v>21572</v>
      </c>
      <c r="T2346" s="7" t="s">
        <v>13889</v>
      </c>
      <c r="U2346" s="7" t="s">
        <v>3493</v>
      </c>
      <c r="V2346" s="7">
        <v>1.0</v>
      </c>
    </row>
    <row r="2347">
      <c r="A2347" s="7" t="s">
        <v>22260</v>
      </c>
      <c r="B2347" s="7">
        <v>3000607.0</v>
      </c>
      <c r="C2347" s="7" t="s">
        <v>17340</v>
      </c>
      <c r="D2347" s="7" t="s">
        <v>17341</v>
      </c>
      <c r="E2347" s="7" t="s">
        <v>17342</v>
      </c>
      <c r="F2347" s="7" t="s">
        <v>17343</v>
      </c>
      <c r="G2347" s="7" t="s">
        <v>17344</v>
      </c>
      <c r="H2347" s="7" t="s">
        <v>17345</v>
      </c>
      <c r="I2347" s="119">
        <v>45748.0</v>
      </c>
      <c r="K2347" s="7" t="s">
        <v>419</v>
      </c>
      <c r="L2347" s="7" t="s">
        <v>991</v>
      </c>
      <c r="M2347" s="7" t="s">
        <v>3501</v>
      </c>
      <c r="N2347" s="7" t="s">
        <v>419</v>
      </c>
      <c r="O2347" s="7" t="s">
        <v>19433</v>
      </c>
      <c r="P2347" s="7" t="s">
        <v>648</v>
      </c>
      <c r="Q2347" s="7" t="s">
        <v>143</v>
      </c>
      <c r="R2347" s="7" t="s">
        <v>19563</v>
      </c>
      <c r="S2347" s="7" t="s">
        <v>21014</v>
      </c>
      <c r="T2347" s="7" t="s">
        <v>10830</v>
      </c>
      <c r="U2347" s="7" t="s">
        <v>3493</v>
      </c>
      <c r="V2347" s="7">
        <v>1.0</v>
      </c>
    </row>
    <row r="2348">
      <c r="A2348" s="7" t="s">
        <v>22261</v>
      </c>
      <c r="B2348" s="7">
        <v>3000647.0</v>
      </c>
      <c r="C2348" s="7" t="s">
        <v>9907</v>
      </c>
      <c r="D2348" s="7" t="s">
        <v>17347</v>
      </c>
      <c r="E2348" s="7" t="s">
        <v>9909</v>
      </c>
      <c r="F2348" s="7" t="s">
        <v>5264</v>
      </c>
      <c r="G2348" s="7" t="s">
        <v>17348</v>
      </c>
      <c r="H2348" s="7" t="s">
        <v>17349</v>
      </c>
      <c r="I2348" s="119">
        <v>45748.0</v>
      </c>
      <c r="K2348" s="7" t="s">
        <v>3632</v>
      </c>
      <c r="L2348" s="7" t="s">
        <v>991</v>
      </c>
      <c r="M2348" s="7" t="s">
        <v>3501</v>
      </c>
      <c r="N2348" s="7" t="s">
        <v>3632</v>
      </c>
      <c r="O2348" s="7" t="s">
        <v>3632</v>
      </c>
      <c r="P2348" s="7" t="s">
        <v>22</v>
      </c>
      <c r="Q2348" s="7" t="s">
        <v>546</v>
      </c>
      <c r="R2348" s="7" t="s">
        <v>20870</v>
      </c>
      <c r="T2348" s="7" t="s">
        <v>12879</v>
      </c>
      <c r="U2348" s="7" t="s">
        <v>3493</v>
      </c>
      <c r="V2348" s="7">
        <v>1.0</v>
      </c>
    </row>
    <row r="2349">
      <c r="A2349" s="7" t="s">
        <v>22262</v>
      </c>
      <c r="B2349" s="7">
        <v>3000675.0</v>
      </c>
      <c r="C2349" s="7" t="s">
        <v>10090</v>
      </c>
      <c r="D2349" s="7" t="s">
        <v>17352</v>
      </c>
      <c r="E2349" s="7" t="s">
        <v>10092</v>
      </c>
      <c r="F2349" s="7" t="s">
        <v>5752</v>
      </c>
      <c r="G2349" s="7" t="s">
        <v>17353</v>
      </c>
      <c r="H2349" s="7" t="s">
        <v>17354</v>
      </c>
      <c r="I2349" s="119">
        <v>45748.0</v>
      </c>
      <c r="K2349" s="7" t="s">
        <v>419</v>
      </c>
      <c r="L2349" s="7" t="s">
        <v>991</v>
      </c>
      <c r="M2349" s="7" t="s">
        <v>3531</v>
      </c>
      <c r="N2349" s="7" t="s">
        <v>419</v>
      </c>
      <c r="O2349" s="7" t="s">
        <v>19430</v>
      </c>
      <c r="P2349" s="7" t="s">
        <v>717</v>
      </c>
      <c r="Q2349" s="7" t="s">
        <v>738</v>
      </c>
      <c r="R2349" s="7" t="s">
        <v>19723</v>
      </c>
      <c r="S2349" s="7" t="s">
        <v>20031</v>
      </c>
      <c r="T2349" s="7" t="s">
        <v>5741</v>
      </c>
      <c r="U2349" s="7" t="s">
        <v>3493</v>
      </c>
      <c r="V2349" s="7">
        <v>1.0</v>
      </c>
    </row>
    <row r="2350">
      <c r="A2350" s="7" t="s">
        <v>22263</v>
      </c>
      <c r="B2350" s="7">
        <v>3000685.0</v>
      </c>
      <c r="C2350" s="7" t="s">
        <v>17356</v>
      </c>
      <c r="D2350" s="7" t="s">
        <v>17357</v>
      </c>
      <c r="E2350" s="7" t="s">
        <v>10247</v>
      </c>
      <c r="F2350" s="7" t="s">
        <v>17358</v>
      </c>
      <c r="G2350" s="7" t="s">
        <v>17359</v>
      </c>
      <c r="H2350" s="7" t="s">
        <v>17360</v>
      </c>
      <c r="I2350" s="119">
        <v>45748.0</v>
      </c>
      <c r="K2350" s="7" t="s">
        <v>419</v>
      </c>
      <c r="L2350" s="7" t="s">
        <v>991</v>
      </c>
      <c r="M2350" s="7" t="s">
        <v>3531</v>
      </c>
      <c r="N2350" s="7" t="s">
        <v>419</v>
      </c>
      <c r="O2350" s="7" t="s">
        <v>19433</v>
      </c>
      <c r="P2350" s="7" t="s">
        <v>648</v>
      </c>
      <c r="Q2350" s="7" t="s">
        <v>143</v>
      </c>
      <c r="R2350" s="7" t="s">
        <v>19563</v>
      </c>
      <c r="S2350" s="7" t="s">
        <v>21368</v>
      </c>
      <c r="T2350" s="7" t="s">
        <v>12769</v>
      </c>
      <c r="U2350" s="7" t="s">
        <v>3493</v>
      </c>
      <c r="V2350" s="7">
        <v>1.0</v>
      </c>
    </row>
    <row r="2351">
      <c r="A2351" s="7" t="s">
        <v>22264</v>
      </c>
      <c r="B2351" s="7">
        <v>3000650.0</v>
      </c>
      <c r="C2351" s="7" t="s">
        <v>17362</v>
      </c>
      <c r="D2351" s="7" t="s">
        <v>4676</v>
      </c>
      <c r="E2351" s="7" t="s">
        <v>17363</v>
      </c>
      <c r="F2351" s="7" t="s">
        <v>4677</v>
      </c>
      <c r="G2351" s="7" t="s">
        <v>17364</v>
      </c>
      <c r="H2351" s="7" t="s">
        <v>17365</v>
      </c>
      <c r="I2351" s="119">
        <v>45748.0</v>
      </c>
      <c r="K2351" s="7" t="s">
        <v>419</v>
      </c>
      <c r="L2351" s="7" t="s">
        <v>991</v>
      </c>
      <c r="M2351" s="7" t="s">
        <v>3531</v>
      </c>
      <c r="N2351" s="7" t="s">
        <v>419</v>
      </c>
      <c r="O2351" s="7" t="s">
        <v>19437</v>
      </c>
      <c r="P2351" s="7" t="s">
        <v>478</v>
      </c>
      <c r="Q2351" s="7" t="s">
        <v>491</v>
      </c>
      <c r="T2351" s="7" t="s">
        <v>16463</v>
      </c>
      <c r="U2351" s="7" t="s">
        <v>3493</v>
      </c>
      <c r="V2351" s="7">
        <v>1.0</v>
      </c>
    </row>
    <row r="2352">
      <c r="A2352" s="7" t="s">
        <v>22265</v>
      </c>
      <c r="B2352" s="7">
        <v>3000591.0</v>
      </c>
      <c r="C2352" s="7" t="s">
        <v>10930</v>
      </c>
      <c r="D2352" s="7" t="s">
        <v>17367</v>
      </c>
      <c r="E2352" s="7" t="s">
        <v>10932</v>
      </c>
      <c r="F2352" s="7" t="s">
        <v>6859</v>
      </c>
      <c r="G2352" s="7" t="s">
        <v>17368</v>
      </c>
      <c r="H2352" s="7" t="s">
        <v>17369</v>
      </c>
      <c r="I2352" s="119">
        <v>45748.0</v>
      </c>
      <c r="K2352" s="7" t="s">
        <v>419</v>
      </c>
      <c r="L2352" s="7" t="s">
        <v>991</v>
      </c>
      <c r="M2352" s="7" t="s">
        <v>3501</v>
      </c>
      <c r="N2352" s="7" t="s">
        <v>419</v>
      </c>
      <c r="O2352" s="7" t="s">
        <v>19430</v>
      </c>
      <c r="P2352" s="7" t="s">
        <v>717</v>
      </c>
      <c r="Q2352" s="7" t="s">
        <v>725</v>
      </c>
      <c r="R2352" s="7" t="s">
        <v>19501</v>
      </c>
      <c r="S2352" s="7" t="s">
        <v>19502</v>
      </c>
      <c r="T2352" s="7" t="s">
        <v>3533</v>
      </c>
      <c r="U2352" s="7" t="s">
        <v>3493</v>
      </c>
      <c r="V2352" s="7">
        <v>1.0</v>
      </c>
    </row>
    <row r="2353">
      <c r="A2353" s="7" t="s">
        <v>22266</v>
      </c>
      <c r="B2353" s="7">
        <v>3000610.0</v>
      </c>
      <c r="C2353" s="7" t="s">
        <v>17371</v>
      </c>
      <c r="D2353" s="7" t="s">
        <v>17372</v>
      </c>
      <c r="E2353" s="7" t="s">
        <v>17373</v>
      </c>
      <c r="F2353" s="7" t="s">
        <v>17374</v>
      </c>
      <c r="G2353" s="7" t="s">
        <v>17375</v>
      </c>
      <c r="H2353" s="7" t="s">
        <v>17376</v>
      </c>
      <c r="I2353" s="119">
        <v>45748.0</v>
      </c>
      <c r="K2353" s="7" t="s">
        <v>419</v>
      </c>
      <c r="L2353" s="7" t="s">
        <v>991</v>
      </c>
      <c r="M2353" s="7" t="s">
        <v>3501</v>
      </c>
      <c r="N2353" s="7" t="s">
        <v>419</v>
      </c>
      <c r="O2353" s="7" t="s">
        <v>19432</v>
      </c>
      <c r="P2353" s="7" t="s">
        <v>693</v>
      </c>
      <c r="Q2353" s="7" t="s">
        <v>696</v>
      </c>
      <c r="R2353" s="7" t="s">
        <v>19934</v>
      </c>
      <c r="S2353" s="7" t="s">
        <v>19739</v>
      </c>
      <c r="T2353" s="7" t="s">
        <v>11449</v>
      </c>
      <c r="U2353" s="7" t="s">
        <v>3493</v>
      </c>
      <c r="V2353" s="7">
        <v>1.0</v>
      </c>
    </row>
    <row r="2354">
      <c r="A2354" s="7" t="s">
        <v>22267</v>
      </c>
      <c r="B2354" s="7">
        <v>3000583.0</v>
      </c>
      <c r="C2354" s="7" t="s">
        <v>17378</v>
      </c>
      <c r="D2354" s="7" t="s">
        <v>17379</v>
      </c>
      <c r="E2354" s="7" t="s">
        <v>17380</v>
      </c>
      <c r="F2354" s="7" t="s">
        <v>17381</v>
      </c>
      <c r="G2354" s="7" t="s">
        <v>17382</v>
      </c>
      <c r="H2354" s="7" t="s">
        <v>17383</v>
      </c>
      <c r="I2354" s="119">
        <v>45748.0</v>
      </c>
      <c r="K2354" s="7" t="s">
        <v>419</v>
      </c>
      <c r="L2354" s="7" t="s">
        <v>991</v>
      </c>
      <c r="M2354" s="7" t="s">
        <v>3501</v>
      </c>
      <c r="N2354" s="7" t="s">
        <v>419</v>
      </c>
      <c r="O2354" s="7" t="s">
        <v>19430</v>
      </c>
      <c r="P2354" s="7" t="s">
        <v>717</v>
      </c>
      <c r="Q2354" s="7" t="s">
        <v>251</v>
      </c>
      <c r="R2354" s="7" t="s">
        <v>19716</v>
      </c>
      <c r="S2354" s="7" t="s">
        <v>19694</v>
      </c>
      <c r="T2354" s="7" t="s">
        <v>6603</v>
      </c>
      <c r="U2354" s="7" t="s">
        <v>3493</v>
      </c>
      <c r="V2354" s="7">
        <v>1.0</v>
      </c>
    </row>
    <row r="2355">
      <c r="A2355" s="7" t="s">
        <v>22268</v>
      </c>
      <c r="B2355" s="7">
        <v>3000660.0</v>
      </c>
      <c r="C2355" s="7" t="s">
        <v>17385</v>
      </c>
      <c r="D2355" s="7" t="s">
        <v>17386</v>
      </c>
      <c r="E2355" s="7" t="s">
        <v>17387</v>
      </c>
      <c r="F2355" s="7" t="s">
        <v>3963</v>
      </c>
      <c r="G2355" s="7" t="s">
        <v>17388</v>
      </c>
      <c r="H2355" s="7" t="s">
        <v>17389</v>
      </c>
      <c r="I2355" s="119">
        <v>45748.0</v>
      </c>
      <c r="K2355" s="7" t="s">
        <v>3642</v>
      </c>
      <c r="L2355" s="7" t="s">
        <v>991</v>
      </c>
      <c r="M2355" s="7" t="s">
        <v>3501</v>
      </c>
      <c r="N2355" s="7" t="s">
        <v>3642</v>
      </c>
      <c r="O2355" s="7" t="s">
        <v>3642</v>
      </c>
      <c r="P2355" s="7" t="s">
        <v>19524</v>
      </c>
      <c r="T2355" s="7" t="s">
        <v>3644</v>
      </c>
      <c r="U2355" s="7" t="s">
        <v>3493</v>
      </c>
      <c r="V2355" s="7">
        <v>1.0</v>
      </c>
    </row>
    <row r="2356">
      <c r="A2356" s="7" t="s">
        <v>22269</v>
      </c>
      <c r="B2356" s="7">
        <v>3000616.0</v>
      </c>
      <c r="C2356" s="7" t="s">
        <v>14960</v>
      </c>
      <c r="D2356" s="7" t="s">
        <v>17391</v>
      </c>
      <c r="E2356" s="7" t="s">
        <v>14961</v>
      </c>
      <c r="F2356" s="7" t="s">
        <v>10071</v>
      </c>
      <c r="G2356" s="7" t="s">
        <v>17392</v>
      </c>
      <c r="H2356" s="7" t="s">
        <v>17393</v>
      </c>
      <c r="I2356" s="119">
        <v>45748.0</v>
      </c>
      <c r="K2356" s="7" t="s">
        <v>419</v>
      </c>
      <c r="L2356" s="7" t="s">
        <v>991</v>
      </c>
      <c r="M2356" s="7" t="s">
        <v>3501</v>
      </c>
      <c r="N2356" s="7" t="s">
        <v>419</v>
      </c>
      <c r="O2356" s="7" t="s">
        <v>19432</v>
      </c>
      <c r="P2356" s="7" t="s">
        <v>391</v>
      </c>
      <c r="Q2356" s="7" t="s">
        <v>392</v>
      </c>
      <c r="R2356" s="7" t="s">
        <v>20982</v>
      </c>
      <c r="T2356" s="7" t="s">
        <v>11498</v>
      </c>
      <c r="U2356" s="7" t="s">
        <v>3493</v>
      </c>
      <c r="V2356" s="7">
        <v>1.0</v>
      </c>
    </row>
    <row r="2357">
      <c r="A2357" s="7" t="s">
        <v>22270</v>
      </c>
      <c r="B2357" s="7">
        <v>3000680.0</v>
      </c>
      <c r="C2357" s="7" t="s">
        <v>14758</v>
      </c>
      <c r="D2357" s="7" t="s">
        <v>17395</v>
      </c>
      <c r="E2357" s="7" t="s">
        <v>12579</v>
      </c>
      <c r="F2357" s="7" t="s">
        <v>17396</v>
      </c>
      <c r="G2357" s="7" t="s">
        <v>17397</v>
      </c>
      <c r="H2357" s="7" t="s">
        <v>17398</v>
      </c>
      <c r="I2357" s="119">
        <v>45748.0</v>
      </c>
      <c r="K2357" s="7" t="s">
        <v>419</v>
      </c>
      <c r="L2357" s="7" t="s">
        <v>991</v>
      </c>
      <c r="M2357" s="7" t="s">
        <v>3501</v>
      </c>
      <c r="N2357" s="7" t="s">
        <v>419</v>
      </c>
      <c r="O2357" s="7" t="s">
        <v>19438</v>
      </c>
      <c r="P2357" s="7" t="s">
        <v>19475</v>
      </c>
      <c r="Q2357" s="7" t="s">
        <v>188</v>
      </c>
      <c r="T2357" s="7" t="s">
        <v>17399</v>
      </c>
      <c r="U2357" s="7" t="s">
        <v>3493</v>
      </c>
      <c r="V2357" s="7">
        <v>1.0</v>
      </c>
    </row>
    <row r="2358">
      <c r="A2358" s="7" t="s">
        <v>22271</v>
      </c>
      <c r="B2358" s="7">
        <v>3000630.0</v>
      </c>
      <c r="C2358" s="7" t="s">
        <v>12735</v>
      </c>
      <c r="D2358" s="7" t="s">
        <v>5772</v>
      </c>
      <c r="E2358" s="7" t="s">
        <v>12736</v>
      </c>
      <c r="F2358" s="7" t="s">
        <v>5107</v>
      </c>
      <c r="G2358" s="7" t="s">
        <v>17401</v>
      </c>
      <c r="I2358" s="119">
        <v>45748.0</v>
      </c>
      <c r="K2358" s="7" t="s">
        <v>11974</v>
      </c>
      <c r="L2358" s="7" t="s">
        <v>991</v>
      </c>
      <c r="M2358" s="7" t="s">
        <v>4644</v>
      </c>
      <c r="N2358" s="7" t="s">
        <v>11974</v>
      </c>
      <c r="O2358" s="7" t="s">
        <v>11974</v>
      </c>
      <c r="P2358" s="7" t="s">
        <v>21631</v>
      </c>
      <c r="T2358" s="7" t="s">
        <v>14201</v>
      </c>
      <c r="U2358" s="7" t="s">
        <v>420</v>
      </c>
      <c r="V2358" s="7">
        <v>1.0</v>
      </c>
    </row>
    <row r="2359">
      <c r="A2359" s="7" t="s">
        <v>22272</v>
      </c>
      <c r="B2359" s="7">
        <v>3000609.0</v>
      </c>
      <c r="C2359" s="7" t="s">
        <v>17403</v>
      </c>
      <c r="D2359" s="7" t="s">
        <v>13644</v>
      </c>
      <c r="E2359" s="7" t="s">
        <v>17404</v>
      </c>
      <c r="F2359" s="7" t="s">
        <v>3945</v>
      </c>
      <c r="G2359" s="7" t="s">
        <v>17405</v>
      </c>
      <c r="H2359" s="7" t="s">
        <v>17406</v>
      </c>
      <c r="I2359" s="119">
        <v>45748.0</v>
      </c>
      <c r="K2359" s="7" t="s">
        <v>419</v>
      </c>
      <c r="L2359" s="7" t="s">
        <v>991</v>
      </c>
      <c r="M2359" s="7" t="s">
        <v>3501</v>
      </c>
      <c r="N2359" s="7" t="s">
        <v>419</v>
      </c>
      <c r="O2359" s="7" t="s">
        <v>19432</v>
      </c>
      <c r="P2359" s="7" t="s">
        <v>693</v>
      </c>
      <c r="Q2359" s="7" t="s">
        <v>698</v>
      </c>
      <c r="R2359" s="7" t="s">
        <v>20444</v>
      </c>
      <c r="S2359" s="7" t="s">
        <v>20860</v>
      </c>
      <c r="T2359" s="7" t="s">
        <v>9954</v>
      </c>
      <c r="U2359" s="7" t="s">
        <v>3493</v>
      </c>
      <c r="V2359" s="7">
        <v>1.0</v>
      </c>
    </row>
    <row r="2360">
      <c r="A2360" s="7" t="s">
        <v>22273</v>
      </c>
      <c r="B2360" s="7">
        <v>3000606.0</v>
      </c>
      <c r="C2360" s="7" t="s">
        <v>17408</v>
      </c>
      <c r="D2360" s="7" t="s">
        <v>5772</v>
      </c>
      <c r="E2360" s="7" t="s">
        <v>5132</v>
      </c>
      <c r="F2360" s="7" t="s">
        <v>5107</v>
      </c>
      <c r="G2360" s="7" t="s">
        <v>17409</v>
      </c>
      <c r="H2360" s="7" t="s">
        <v>17410</v>
      </c>
      <c r="I2360" s="119">
        <v>45748.0</v>
      </c>
      <c r="K2360" s="7" t="s">
        <v>419</v>
      </c>
      <c r="L2360" s="7" t="s">
        <v>991</v>
      </c>
      <c r="M2360" s="7" t="s">
        <v>3501</v>
      </c>
      <c r="N2360" s="7" t="s">
        <v>419</v>
      </c>
      <c r="O2360" s="7" t="s">
        <v>19432</v>
      </c>
      <c r="P2360" s="7" t="s">
        <v>391</v>
      </c>
      <c r="Q2360" s="7" t="s">
        <v>392</v>
      </c>
      <c r="R2360" s="7" t="s">
        <v>19661</v>
      </c>
      <c r="T2360" s="7" t="s">
        <v>19662</v>
      </c>
      <c r="U2360" s="7" t="s">
        <v>3493</v>
      </c>
      <c r="V2360" s="7">
        <v>1.0</v>
      </c>
    </row>
    <row r="2361">
      <c r="A2361" s="7" t="s">
        <v>22274</v>
      </c>
      <c r="B2361" s="7">
        <v>3000601.0</v>
      </c>
      <c r="C2361" s="7" t="s">
        <v>17412</v>
      </c>
      <c r="D2361" s="7" t="s">
        <v>17413</v>
      </c>
      <c r="E2361" s="7" t="s">
        <v>17414</v>
      </c>
      <c r="F2361" s="7" t="s">
        <v>4525</v>
      </c>
      <c r="G2361" s="7" t="s">
        <v>17415</v>
      </c>
      <c r="H2361" s="7" t="s">
        <v>17416</v>
      </c>
      <c r="I2361" s="119">
        <v>45748.0</v>
      </c>
      <c r="K2361" s="7" t="s">
        <v>419</v>
      </c>
      <c r="L2361" s="7" t="s">
        <v>991</v>
      </c>
      <c r="M2361" s="7" t="s">
        <v>3583</v>
      </c>
      <c r="N2361" s="7" t="s">
        <v>419</v>
      </c>
      <c r="O2361" s="7" t="s">
        <v>19443</v>
      </c>
      <c r="P2361" s="7" t="s">
        <v>323</v>
      </c>
      <c r="Q2361" s="7" t="s">
        <v>324</v>
      </c>
      <c r="R2361" s="7" t="s">
        <v>20130</v>
      </c>
      <c r="T2361" s="7" t="s">
        <v>16135</v>
      </c>
      <c r="U2361" s="7" t="s">
        <v>3493</v>
      </c>
      <c r="V2361" s="7">
        <v>1.0</v>
      </c>
    </row>
    <row r="2362">
      <c r="A2362" s="7" t="s">
        <v>22275</v>
      </c>
      <c r="B2362" s="7">
        <v>3000678.0</v>
      </c>
      <c r="C2362" s="7" t="s">
        <v>17418</v>
      </c>
      <c r="D2362" s="7" t="s">
        <v>17419</v>
      </c>
      <c r="E2362" s="7" t="s">
        <v>17420</v>
      </c>
      <c r="F2362" s="7" t="s">
        <v>6436</v>
      </c>
      <c r="G2362" s="7" t="s">
        <v>17421</v>
      </c>
      <c r="H2362" s="7" t="s">
        <v>17422</v>
      </c>
      <c r="I2362" s="119">
        <v>45748.0</v>
      </c>
      <c r="K2362" s="7" t="s">
        <v>3632</v>
      </c>
      <c r="L2362" s="7" t="s">
        <v>991</v>
      </c>
      <c r="M2362" s="7" t="s">
        <v>3583</v>
      </c>
      <c r="N2362" s="7" t="s">
        <v>3632</v>
      </c>
      <c r="O2362" s="7" t="s">
        <v>3632</v>
      </c>
      <c r="P2362" s="7" t="s">
        <v>625</v>
      </c>
      <c r="Q2362" s="7" t="s">
        <v>626</v>
      </c>
      <c r="R2362" s="7" t="s">
        <v>19672</v>
      </c>
      <c r="T2362" s="7" t="s">
        <v>4191</v>
      </c>
      <c r="U2362" s="7" t="s">
        <v>3493</v>
      </c>
      <c r="V2362" s="7">
        <v>1.0</v>
      </c>
    </row>
    <row r="2363">
      <c r="A2363" s="7" t="s">
        <v>22276</v>
      </c>
      <c r="B2363" s="7">
        <v>3000667.0</v>
      </c>
      <c r="C2363" s="7" t="s">
        <v>17424</v>
      </c>
      <c r="D2363" s="7" t="s">
        <v>17425</v>
      </c>
      <c r="E2363" s="7" t="s">
        <v>17426</v>
      </c>
      <c r="F2363" s="7" t="s">
        <v>16969</v>
      </c>
      <c r="G2363" s="7" t="s">
        <v>17427</v>
      </c>
      <c r="H2363" s="7" t="s">
        <v>17428</v>
      </c>
      <c r="I2363" s="119">
        <v>45748.0</v>
      </c>
      <c r="K2363" s="7" t="s">
        <v>419</v>
      </c>
      <c r="L2363" s="7" t="s">
        <v>991</v>
      </c>
      <c r="M2363" s="7" t="s">
        <v>3531</v>
      </c>
      <c r="N2363" s="7" t="s">
        <v>419</v>
      </c>
      <c r="O2363" s="7" t="s">
        <v>19430</v>
      </c>
      <c r="P2363" s="7" t="s">
        <v>717</v>
      </c>
      <c r="Q2363" s="7" t="s">
        <v>720</v>
      </c>
      <c r="R2363" s="7" t="s">
        <v>19626</v>
      </c>
      <c r="S2363" s="7" t="s">
        <v>22200</v>
      </c>
      <c r="T2363" s="7" t="s">
        <v>17039</v>
      </c>
      <c r="U2363" s="7" t="s">
        <v>3493</v>
      </c>
      <c r="V2363" s="7">
        <v>1.0</v>
      </c>
    </row>
    <row r="2364">
      <c r="A2364" s="7" t="s">
        <v>22277</v>
      </c>
      <c r="B2364" s="7">
        <v>3000549.0</v>
      </c>
      <c r="C2364" s="7" t="s">
        <v>13133</v>
      </c>
      <c r="D2364" s="7" t="s">
        <v>17430</v>
      </c>
      <c r="E2364" s="7" t="s">
        <v>13135</v>
      </c>
      <c r="F2364" s="7" t="s">
        <v>16247</v>
      </c>
      <c r="G2364" s="7" t="s">
        <v>17431</v>
      </c>
      <c r="H2364" s="7" t="s">
        <v>17432</v>
      </c>
      <c r="I2364" s="119">
        <v>45748.0</v>
      </c>
      <c r="K2364" s="7" t="s">
        <v>419</v>
      </c>
      <c r="L2364" s="7" t="s">
        <v>991</v>
      </c>
      <c r="M2364" s="7" t="s">
        <v>3501</v>
      </c>
      <c r="N2364" s="7" t="s">
        <v>419</v>
      </c>
      <c r="O2364" s="7" t="s">
        <v>19433</v>
      </c>
      <c r="P2364" s="7" t="s">
        <v>648</v>
      </c>
      <c r="Q2364" s="7" t="s">
        <v>143</v>
      </c>
      <c r="R2364" s="7" t="s">
        <v>19723</v>
      </c>
      <c r="S2364" s="7" t="s">
        <v>19724</v>
      </c>
      <c r="T2364" s="7" t="s">
        <v>4394</v>
      </c>
      <c r="U2364" s="7" t="s">
        <v>3493</v>
      </c>
      <c r="V2364" s="7">
        <v>1.0</v>
      </c>
    </row>
    <row r="2365">
      <c r="A2365" s="7" t="s">
        <v>22278</v>
      </c>
      <c r="B2365" s="7">
        <v>3000672.0</v>
      </c>
      <c r="C2365" s="7" t="s">
        <v>17434</v>
      </c>
      <c r="D2365" s="7" t="s">
        <v>17435</v>
      </c>
      <c r="E2365" s="7" t="s">
        <v>13254</v>
      </c>
      <c r="F2365" s="7" t="s">
        <v>17436</v>
      </c>
      <c r="G2365" s="7" t="s">
        <v>17437</v>
      </c>
      <c r="H2365" s="7" t="s">
        <v>17438</v>
      </c>
      <c r="I2365" s="119">
        <v>45748.0</v>
      </c>
      <c r="K2365" s="7" t="s">
        <v>419</v>
      </c>
      <c r="L2365" s="7" t="s">
        <v>991</v>
      </c>
      <c r="M2365" s="7" t="s">
        <v>3501</v>
      </c>
      <c r="N2365" s="7" t="s">
        <v>419</v>
      </c>
      <c r="O2365" s="7" t="s">
        <v>19443</v>
      </c>
      <c r="P2365" s="7" t="s">
        <v>1242</v>
      </c>
      <c r="Q2365" s="7" t="s">
        <v>51</v>
      </c>
      <c r="R2365" s="7" t="s">
        <v>19549</v>
      </c>
      <c r="S2365" s="7" t="s">
        <v>19550</v>
      </c>
      <c r="T2365" s="7" t="s">
        <v>3752</v>
      </c>
      <c r="U2365" s="7" t="s">
        <v>3843</v>
      </c>
      <c r="V2365" s="7">
        <v>1.0</v>
      </c>
    </row>
    <row r="2366">
      <c r="A2366" s="7" t="s">
        <v>2296</v>
      </c>
      <c r="B2366" s="7">
        <v>3000620.0</v>
      </c>
      <c r="C2366" s="7" t="s">
        <v>13263</v>
      </c>
      <c r="D2366" s="7" t="s">
        <v>17440</v>
      </c>
      <c r="E2366" s="7" t="s">
        <v>13265</v>
      </c>
      <c r="F2366" s="7" t="s">
        <v>10093</v>
      </c>
      <c r="G2366" s="7" t="s">
        <v>17441</v>
      </c>
      <c r="H2366" s="7" t="s">
        <v>17442</v>
      </c>
      <c r="I2366" s="119">
        <v>45748.0</v>
      </c>
      <c r="K2366" s="7" t="s">
        <v>419</v>
      </c>
      <c r="L2366" s="7" t="s">
        <v>991</v>
      </c>
      <c r="M2366" s="7" t="s">
        <v>3501</v>
      </c>
      <c r="N2366" s="7" t="s">
        <v>419</v>
      </c>
      <c r="O2366" s="7" t="s">
        <v>19433</v>
      </c>
      <c r="P2366" s="7" t="s">
        <v>648</v>
      </c>
      <c r="Q2366" s="7" t="s">
        <v>662</v>
      </c>
      <c r="T2366" s="7" t="s">
        <v>19479</v>
      </c>
      <c r="U2366" s="7" t="s">
        <v>5585</v>
      </c>
      <c r="V2366" s="7">
        <v>1.0</v>
      </c>
    </row>
    <row r="2367">
      <c r="A2367" s="7" t="s">
        <v>22279</v>
      </c>
      <c r="B2367" s="7">
        <v>3000645.0</v>
      </c>
      <c r="C2367" s="7" t="s">
        <v>13801</v>
      </c>
      <c r="D2367" s="7" t="s">
        <v>3607</v>
      </c>
      <c r="E2367" s="7" t="s">
        <v>13803</v>
      </c>
      <c r="F2367" s="7" t="s">
        <v>3609</v>
      </c>
      <c r="G2367" s="7" t="s">
        <v>17447</v>
      </c>
      <c r="H2367" s="7" t="s">
        <v>17448</v>
      </c>
      <c r="I2367" s="119">
        <v>45748.0</v>
      </c>
      <c r="K2367" s="7" t="s">
        <v>419</v>
      </c>
      <c r="L2367" s="7" t="s">
        <v>991</v>
      </c>
      <c r="M2367" s="7" t="s">
        <v>3531</v>
      </c>
      <c r="N2367" s="7" t="s">
        <v>419</v>
      </c>
      <c r="O2367" s="7" t="s">
        <v>19430</v>
      </c>
      <c r="P2367" s="7" t="s">
        <v>717</v>
      </c>
      <c r="Q2367" s="7" t="s">
        <v>1163</v>
      </c>
      <c r="R2367" s="7" t="s">
        <v>19639</v>
      </c>
      <c r="S2367" s="7" t="s">
        <v>19971</v>
      </c>
      <c r="T2367" s="7" t="s">
        <v>8015</v>
      </c>
      <c r="U2367" s="7" t="s">
        <v>3493</v>
      </c>
      <c r="V2367" s="7">
        <v>1.0</v>
      </c>
    </row>
    <row r="2368">
      <c r="A2368" s="7" t="s">
        <v>22280</v>
      </c>
      <c r="B2368" s="7">
        <v>3000696.0</v>
      </c>
      <c r="C2368" s="7" t="s">
        <v>13898</v>
      </c>
      <c r="D2368" s="7" t="s">
        <v>17450</v>
      </c>
      <c r="E2368" s="7" t="s">
        <v>13900</v>
      </c>
      <c r="F2368" s="7" t="s">
        <v>14619</v>
      </c>
      <c r="G2368" s="7" t="s">
        <v>17451</v>
      </c>
      <c r="H2368" s="7" t="s">
        <v>17452</v>
      </c>
      <c r="I2368" s="119">
        <v>45748.0</v>
      </c>
      <c r="K2368" s="7" t="s">
        <v>419</v>
      </c>
      <c r="L2368" s="7" t="s">
        <v>991</v>
      </c>
      <c r="M2368" s="7" t="s">
        <v>3531</v>
      </c>
      <c r="N2368" s="7" t="s">
        <v>419</v>
      </c>
      <c r="O2368" s="7" t="s">
        <v>19443</v>
      </c>
      <c r="P2368" s="7" t="s">
        <v>1242</v>
      </c>
      <c r="Q2368" s="7" t="s">
        <v>51</v>
      </c>
      <c r="R2368" s="7" t="s">
        <v>19549</v>
      </c>
      <c r="S2368" s="7" t="s">
        <v>19668</v>
      </c>
      <c r="T2368" s="7" t="s">
        <v>4176</v>
      </c>
      <c r="U2368" s="7" t="s">
        <v>3493</v>
      </c>
      <c r="V2368" s="7">
        <v>1.0</v>
      </c>
    </row>
    <row r="2369">
      <c r="A2369" s="7" t="s">
        <v>22281</v>
      </c>
      <c r="B2369" s="7">
        <v>3000632.0</v>
      </c>
      <c r="C2369" s="7" t="s">
        <v>17454</v>
      </c>
      <c r="D2369" s="7" t="s">
        <v>17455</v>
      </c>
      <c r="E2369" s="7" t="s">
        <v>17456</v>
      </c>
      <c r="F2369" s="7" t="s">
        <v>4561</v>
      </c>
      <c r="G2369" s="7" t="s">
        <v>17457</v>
      </c>
      <c r="H2369" s="7" t="s">
        <v>17458</v>
      </c>
      <c r="I2369" s="119">
        <v>45748.0</v>
      </c>
      <c r="K2369" s="7" t="s">
        <v>3632</v>
      </c>
      <c r="L2369" s="7" t="s">
        <v>991</v>
      </c>
      <c r="M2369" s="7" t="s">
        <v>3501</v>
      </c>
      <c r="N2369" s="7" t="s">
        <v>3632</v>
      </c>
      <c r="O2369" s="7" t="s">
        <v>3632</v>
      </c>
      <c r="P2369" s="7" t="s">
        <v>625</v>
      </c>
      <c r="Q2369" s="7" t="s">
        <v>118</v>
      </c>
      <c r="R2369" s="7" t="s">
        <v>19540</v>
      </c>
      <c r="T2369" s="7" t="s">
        <v>3718</v>
      </c>
      <c r="U2369" s="7" t="s">
        <v>3493</v>
      </c>
      <c r="V2369" s="7">
        <v>1.0</v>
      </c>
    </row>
    <row r="2370">
      <c r="A2370" s="7" t="s">
        <v>22282</v>
      </c>
      <c r="B2370" s="7">
        <v>3000688.0</v>
      </c>
      <c r="C2370" s="7" t="s">
        <v>13943</v>
      </c>
      <c r="D2370" s="7" t="s">
        <v>17460</v>
      </c>
      <c r="E2370" s="7" t="s">
        <v>13945</v>
      </c>
      <c r="F2370" s="7" t="s">
        <v>17461</v>
      </c>
      <c r="G2370" s="7" t="s">
        <v>17462</v>
      </c>
      <c r="H2370" s="7" t="s">
        <v>17463</v>
      </c>
      <c r="I2370" s="119">
        <v>45748.0</v>
      </c>
      <c r="K2370" s="7" t="s">
        <v>419</v>
      </c>
      <c r="L2370" s="7" t="s">
        <v>991</v>
      </c>
      <c r="M2370" s="7" t="s">
        <v>3531</v>
      </c>
      <c r="N2370" s="7" t="s">
        <v>419</v>
      </c>
      <c r="O2370" s="7" t="s">
        <v>19430</v>
      </c>
      <c r="P2370" s="7" t="s">
        <v>780</v>
      </c>
      <c r="Q2370" s="7" t="s">
        <v>786</v>
      </c>
      <c r="R2370" s="7" t="s">
        <v>19666</v>
      </c>
      <c r="T2370" s="7" t="s">
        <v>4169</v>
      </c>
      <c r="U2370" s="7" t="s">
        <v>3493</v>
      </c>
      <c r="V2370" s="7">
        <v>1.0</v>
      </c>
    </row>
    <row r="2371">
      <c r="A2371" s="7" t="s">
        <v>22283</v>
      </c>
      <c r="B2371" s="7">
        <v>3000604.0</v>
      </c>
      <c r="C2371" s="7" t="s">
        <v>13943</v>
      </c>
      <c r="D2371" s="7" t="s">
        <v>4073</v>
      </c>
      <c r="E2371" s="7" t="s">
        <v>13945</v>
      </c>
      <c r="F2371" s="7" t="s">
        <v>4075</v>
      </c>
      <c r="G2371" s="7" t="s">
        <v>17465</v>
      </c>
      <c r="H2371" s="7" t="s">
        <v>17466</v>
      </c>
      <c r="I2371" s="119">
        <v>45748.0</v>
      </c>
      <c r="K2371" s="7" t="s">
        <v>419</v>
      </c>
      <c r="L2371" s="7" t="s">
        <v>991</v>
      </c>
      <c r="M2371" s="7" t="s">
        <v>3501</v>
      </c>
      <c r="N2371" s="7" t="s">
        <v>419</v>
      </c>
      <c r="O2371" s="7" t="s">
        <v>19433</v>
      </c>
      <c r="P2371" s="7" t="s">
        <v>648</v>
      </c>
      <c r="Q2371" s="7" t="s">
        <v>143</v>
      </c>
      <c r="R2371" s="7" t="s">
        <v>19712</v>
      </c>
      <c r="S2371" s="7" t="s">
        <v>19830</v>
      </c>
      <c r="T2371" s="7" t="s">
        <v>4797</v>
      </c>
      <c r="U2371" s="7" t="s">
        <v>3493</v>
      </c>
      <c r="V2371" s="7">
        <v>1.0</v>
      </c>
    </row>
    <row r="2372">
      <c r="A2372" s="7" t="s">
        <v>22284</v>
      </c>
      <c r="B2372" s="7">
        <v>3000668.0</v>
      </c>
      <c r="C2372" s="7" t="s">
        <v>13943</v>
      </c>
      <c r="D2372" s="7" t="s">
        <v>17468</v>
      </c>
      <c r="E2372" s="7" t="s">
        <v>13945</v>
      </c>
      <c r="F2372" s="7" t="s">
        <v>5034</v>
      </c>
      <c r="G2372" s="7" t="s">
        <v>17469</v>
      </c>
      <c r="H2372" s="7" t="s">
        <v>17470</v>
      </c>
      <c r="I2372" s="119">
        <v>45748.0</v>
      </c>
      <c r="K2372" s="7" t="s">
        <v>419</v>
      </c>
      <c r="L2372" s="7" t="s">
        <v>991</v>
      </c>
      <c r="M2372" s="7" t="s">
        <v>3531</v>
      </c>
      <c r="N2372" s="7" t="s">
        <v>419</v>
      </c>
      <c r="O2372" s="7" t="s">
        <v>19430</v>
      </c>
      <c r="P2372" s="7" t="s">
        <v>717</v>
      </c>
      <c r="Q2372" s="7" t="s">
        <v>720</v>
      </c>
      <c r="R2372" s="7" t="s">
        <v>19626</v>
      </c>
      <c r="S2372" s="7" t="s">
        <v>22200</v>
      </c>
      <c r="T2372" s="7" t="s">
        <v>17039</v>
      </c>
      <c r="U2372" s="7" t="s">
        <v>3493</v>
      </c>
      <c r="V2372" s="7">
        <v>1.0</v>
      </c>
    </row>
    <row r="2373">
      <c r="A2373" s="7" t="s">
        <v>22285</v>
      </c>
      <c r="B2373" s="7">
        <v>3000648.0</v>
      </c>
      <c r="C2373" s="7" t="s">
        <v>17472</v>
      </c>
      <c r="D2373" s="7" t="s">
        <v>17473</v>
      </c>
      <c r="E2373" s="7" t="s">
        <v>17474</v>
      </c>
      <c r="F2373" s="7" t="s">
        <v>5514</v>
      </c>
      <c r="G2373" s="7" t="s">
        <v>17475</v>
      </c>
      <c r="H2373" s="7" t="s">
        <v>17476</v>
      </c>
      <c r="I2373" s="119">
        <v>45748.0</v>
      </c>
      <c r="K2373" s="7" t="s">
        <v>3622</v>
      </c>
      <c r="L2373" s="7" t="s">
        <v>991</v>
      </c>
      <c r="M2373" s="7" t="s">
        <v>3531</v>
      </c>
      <c r="N2373" s="7" t="s">
        <v>3622</v>
      </c>
      <c r="O2373" s="7" t="s">
        <v>3622</v>
      </c>
      <c r="P2373" s="7" t="s">
        <v>19521</v>
      </c>
      <c r="T2373" s="7" t="s">
        <v>3624</v>
      </c>
      <c r="U2373" s="7" t="s">
        <v>3493</v>
      </c>
      <c r="V2373" s="7">
        <v>1.0</v>
      </c>
    </row>
    <row r="2374">
      <c r="A2374" s="7" t="s">
        <v>22286</v>
      </c>
      <c r="B2374" s="7">
        <v>3000664.0</v>
      </c>
      <c r="C2374" s="7" t="s">
        <v>14084</v>
      </c>
      <c r="D2374" s="7" t="s">
        <v>8674</v>
      </c>
      <c r="E2374" s="7" t="s">
        <v>14085</v>
      </c>
      <c r="F2374" s="7" t="s">
        <v>5074</v>
      </c>
      <c r="G2374" s="7" t="s">
        <v>17478</v>
      </c>
      <c r="H2374" s="7" t="s">
        <v>17479</v>
      </c>
      <c r="I2374" s="119">
        <v>45748.0</v>
      </c>
      <c r="K2374" s="7" t="s">
        <v>3642</v>
      </c>
      <c r="L2374" s="7" t="s">
        <v>991</v>
      </c>
      <c r="M2374" s="7" t="s">
        <v>3501</v>
      </c>
      <c r="N2374" s="7" t="s">
        <v>3642</v>
      </c>
      <c r="O2374" s="7" t="s">
        <v>3642</v>
      </c>
      <c r="P2374" s="7" t="s">
        <v>19524</v>
      </c>
      <c r="T2374" s="7" t="s">
        <v>3644</v>
      </c>
      <c r="U2374" s="7" t="s">
        <v>3493</v>
      </c>
      <c r="V2374" s="7">
        <v>1.0</v>
      </c>
    </row>
    <row r="2375">
      <c r="A2375" s="7" t="s">
        <v>22287</v>
      </c>
      <c r="B2375" s="7">
        <v>3000687.0</v>
      </c>
      <c r="C2375" s="7" t="s">
        <v>17481</v>
      </c>
      <c r="D2375" s="7" t="s">
        <v>17482</v>
      </c>
      <c r="E2375" s="7" t="s">
        <v>17483</v>
      </c>
      <c r="F2375" s="7" t="s">
        <v>17484</v>
      </c>
      <c r="G2375" s="7" t="s">
        <v>17485</v>
      </c>
      <c r="H2375" s="7" t="s">
        <v>17486</v>
      </c>
      <c r="I2375" s="119">
        <v>45748.0</v>
      </c>
      <c r="K2375" s="7" t="s">
        <v>15381</v>
      </c>
      <c r="L2375" s="7" t="s">
        <v>991</v>
      </c>
      <c r="M2375" s="7" t="s">
        <v>3531</v>
      </c>
      <c r="N2375" s="7" t="s">
        <v>15381</v>
      </c>
      <c r="O2375" s="7" t="s">
        <v>15381</v>
      </c>
      <c r="P2375" s="7" t="s">
        <v>21865</v>
      </c>
      <c r="T2375" s="7" t="s">
        <v>15383</v>
      </c>
      <c r="U2375" s="7" t="s">
        <v>3493</v>
      </c>
      <c r="V2375" s="7">
        <v>1.0</v>
      </c>
    </row>
    <row r="2376">
      <c r="A2376" s="7" t="s">
        <v>22288</v>
      </c>
      <c r="B2376" s="7">
        <v>3000652.0</v>
      </c>
      <c r="C2376" s="7" t="s">
        <v>14231</v>
      </c>
      <c r="D2376" s="7" t="s">
        <v>17488</v>
      </c>
      <c r="E2376" s="7" t="s">
        <v>14233</v>
      </c>
      <c r="F2376" s="7" t="s">
        <v>10542</v>
      </c>
      <c r="G2376" s="7" t="s">
        <v>17489</v>
      </c>
      <c r="H2376" s="7" t="s">
        <v>17490</v>
      </c>
      <c r="I2376" s="119">
        <v>45748.0</v>
      </c>
      <c r="K2376" s="7" t="s">
        <v>3632</v>
      </c>
      <c r="L2376" s="7" t="s">
        <v>991</v>
      </c>
      <c r="M2376" s="7" t="s">
        <v>3531</v>
      </c>
      <c r="N2376" s="7" t="s">
        <v>3632</v>
      </c>
      <c r="O2376" s="7" t="s">
        <v>3632</v>
      </c>
      <c r="P2376" s="7" t="s">
        <v>625</v>
      </c>
      <c r="Q2376" s="7" t="s">
        <v>124</v>
      </c>
      <c r="R2376" s="7" t="s">
        <v>19563</v>
      </c>
      <c r="T2376" s="7" t="s">
        <v>10625</v>
      </c>
      <c r="U2376" s="7" t="s">
        <v>3493</v>
      </c>
      <c r="V2376" s="7">
        <v>1.0</v>
      </c>
    </row>
    <row r="2377">
      <c r="A2377" s="7" t="s">
        <v>22289</v>
      </c>
      <c r="B2377" s="7">
        <v>3000689.0</v>
      </c>
      <c r="C2377" s="7" t="s">
        <v>14392</v>
      </c>
      <c r="D2377" s="7" t="s">
        <v>17492</v>
      </c>
      <c r="E2377" s="7" t="s">
        <v>14394</v>
      </c>
      <c r="F2377" s="7" t="s">
        <v>17493</v>
      </c>
      <c r="G2377" s="7" t="s">
        <v>17494</v>
      </c>
      <c r="H2377" s="7" t="s">
        <v>17495</v>
      </c>
      <c r="I2377" s="119">
        <v>45748.0</v>
      </c>
      <c r="K2377" s="7" t="s">
        <v>3632</v>
      </c>
      <c r="L2377" s="7" t="s">
        <v>991</v>
      </c>
      <c r="M2377" s="7" t="s">
        <v>3866</v>
      </c>
      <c r="N2377" s="7" t="s">
        <v>3632</v>
      </c>
      <c r="O2377" s="7" t="s">
        <v>3632</v>
      </c>
      <c r="P2377" s="7" t="s">
        <v>22</v>
      </c>
      <c r="Q2377" s="7" t="s">
        <v>552</v>
      </c>
      <c r="T2377" s="7" t="s">
        <v>16888</v>
      </c>
      <c r="U2377" s="7" t="s">
        <v>3493</v>
      </c>
      <c r="V2377" s="7">
        <v>1.0</v>
      </c>
    </row>
    <row r="2378">
      <c r="A2378" s="7" t="s">
        <v>22290</v>
      </c>
      <c r="B2378" s="7">
        <v>3000661.0</v>
      </c>
      <c r="C2378" s="7" t="s">
        <v>14399</v>
      </c>
      <c r="D2378" s="7" t="s">
        <v>17497</v>
      </c>
      <c r="E2378" s="7" t="s">
        <v>14394</v>
      </c>
      <c r="F2378" s="7" t="s">
        <v>4075</v>
      </c>
      <c r="G2378" s="7" t="s">
        <v>17498</v>
      </c>
      <c r="H2378" s="7" t="s">
        <v>17499</v>
      </c>
      <c r="I2378" s="119">
        <v>45748.0</v>
      </c>
      <c r="K2378" s="7" t="s">
        <v>3642</v>
      </c>
      <c r="L2378" s="7" t="s">
        <v>991</v>
      </c>
      <c r="M2378" s="7" t="s">
        <v>3866</v>
      </c>
      <c r="N2378" s="7" t="s">
        <v>3642</v>
      </c>
      <c r="O2378" s="7" t="s">
        <v>3642</v>
      </c>
      <c r="P2378" s="7" t="s">
        <v>19524</v>
      </c>
      <c r="T2378" s="7" t="s">
        <v>3644</v>
      </c>
      <c r="U2378" s="7" t="s">
        <v>3493</v>
      </c>
      <c r="V2378" s="7">
        <v>1.0</v>
      </c>
    </row>
    <row r="2379">
      <c r="A2379" s="7" t="s">
        <v>22291</v>
      </c>
      <c r="B2379" s="7">
        <v>3000723.0</v>
      </c>
      <c r="C2379" s="7" t="s">
        <v>17501</v>
      </c>
      <c r="D2379" s="7" t="s">
        <v>4364</v>
      </c>
      <c r="E2379" s="7" t="s">
        <v>17502</v>
      </c>
      <c r="F2379" s="7" t="s">
        <v>4364</v>
      </c>
      <c r="G2379" s="7" t="s">
        <v>17503</v>
      </c>
      <c r="H2379" s="7" t="s">
        <v>17504</v>
      </c>
      <c r="I2379" s="119">
        <v>45763.0</v>
      </c>
      <c r="K2379" s="7" t="s">
        <v>419</v>
      </c>
      <c r="L2379" s="7" t="s">
        <v>991</v>
      </c>
      <c r="M2379" s="7" t="s">
        <v>3531</v>
      </c>
      <c r="N2379" s="7" t="s">
        <v>419</v>
      </c>
      <c r="O2379" s="7" t="s">
        <v>19443</v>
      </c>
      <c r="P2379" s="7" t="s">
        <v>1242</v>
      </c>
      <c r="Q2379" s="7" t="s">
        <v>51</v>
      </c>
      <c r="R2379" s="7" t="s">
        <v>19563</v>
      </c>
      <c r="S2379" s="7" t="s">
        <v>19564</v>
      </c>
      <c r="T2379" s="7" t="s">
        <v>3803</v>
      </c>
      <c r="U2379" s="7" t="s">
        <v>3493</v>
      </c>
      <c r="V2379" s="7">
        <v>1.0</v>
      </c>
    </row>
    <row r="2380">
      <c r="A2380" s="7" t="s">
        <v>22292</v>
      </c>
      <c r="B2380" s="7">
        <v>3000718.0</v>
      </c>
      <c r="C2380" s="7" t="s">
        <v>4277</v>
      </c>
      <c r="D2380" s="7" t="s">
        <v>17506</v>
      </c>
      <c r="E2380" s="7" t="s">
        <v>4279</v>
      </c>
      <c r="F2380" s="7" t="s">
        <v>17507</v>
      </c>
      <c r="G2380" s="7" t="s">
        <v>17508</v>
      </c>
      <c r="H2380" s="7" t="s">
        <v>17509</v>
      </c>
      <c r="I2380" s="119">
        <v>45763.0</v>
      </c>
      <c r="K2380" s="7" t="s">
        <v>419</v>
      </c>
      <c r="L2380" s="7" t="s">
        <v>991</v>
      </c>
      <c r="M2380" s="7" t="s">
        <v>3531</v>
      </c>
      <c r="N2380" s="7" t="s">
        <v>419</v>
      </c>
      <c r="O2380" s="7" t="s">
        <v>19432</v>
      </c>
      <c r="P2380" s="7" t="s">
        <v>298</v>
      </c>
      <c r="Q2380" s="7" t="s">
        <v>798</v>
      </c>
      <c r="T2380" s="7" t="s">
        <v>5274</v>
      </c>
      <c r="U2380" s="7" t="s">
        <v>3493</v>
      </c>
      <c r="V2380" s="7">
        <v>1.0</v>
      </c>
    </row>
    <row r="2381">
      <c r="A2381" s="7" t="s">
        <v>22293</v>
      </c>
      <c r="B2381" s="7">
        <v>3000716.0</v>
      </c>
      <c r="C2381" s="7" t="s">
        <v>14879</v>
      </c>
      <c r="D2381" s="7" t="s">
        <v>5513</v>
      </c>
      <c r="E2381" s="7" t="s">
        <v>14880</v>
      </c>
      <c r="F2381" s="7" t="s">
        <v>5514</v>
      </c>
      <c r="G2381" s="7" t="s">
        <v>17511</v>
      </c>
      <c r="I2381" s="119">
        <v>45763.0</v>
      </c>
      <c r="K2381" s="7" t="s">
        <v>419</v>
      </c>
      <c r="L2381" s="7" t="s">
        <v>991</v>
      </c>
      <c r="M2381" s="7" t="s">
        <v>3531</v>
      </c>
      <c r="N2381" s="7" t="s">
        <v>419</v>
      </c>
      <c r="O2381" s="7" t="s">
        <v>19430</v>
      </c>
      <c r="P2381" s="7" t="s">
        <v>854</v>
      </c>
      <c r="Q2381" s="7" t="s">
        <v>859</v>
      </c>
      <c r="T2381" s="7" t="s">
        <v>3821</v>
      </c>
      <c r="U2381" s="7" t="s">
        <v>3493</v>
      </c>
      <c r="V2381" s="7">
        <v>1.0</v>
      </c>
    </row>
    <row r="2382">
      <c r="A2382" s="7" t="s">
        <v>22294</v>
      </c>
      <c r="B2382" s="7">
        <v>3000706.0</v>
      </c>
      <c r="C2382" s="7" t="s">
        <v>17513</v>
      </c>
      <c r="D2382" s="7" t="s">
        <v>17514</v>
      </c>
      <c r="E2382" s="7" t="s">
        <v>6130</v>
      </c>
      <c r="F2382" s="7" t="s">
        <v>5034</v>
      </c>
      <c r="G2382" s="7" t="s">
        <v>17515</v>
      </c>
      <c r="H2382" s="7" t="s">
        <v>17516</v>
      </c>
      <c r="I2382" s="119">
        <v>45763.0</v>
      </c>
      <c r="K2382" s="7" t="s">
        <v>15381</v>
      </c>
      <c r="L2382" s="7" t="s">
        <v>991</v>
      </c>
      <c r="M2382" s="7" t="s">
        <v>3501</v>
      </c>
      <c r="N2382" s="7" t="s">
        <v>15381</v>
      </c>
      <c r="O2382" s="7" t="s">
        <v>15381</v>
      </c>
      <c r="P2382" s="7" t="s">
        <v>21865</v>
      </c>
      <c r="T2382" s="7" t="s">
        <v>15383</v>
      </c>
      <c r="U2382" s="7" t="s">
        <v>3493</v>
      </c>
      <c r="V2382" s="7">
        <v>1.0</v>
      </c>
    </row>
    <row r="2383">
      <c r="A2383" s="7" t="s">
        <v>22295</v>
      </c>
      <c r="B2383" s="7">
        <v>3000710.0</v>
      </c>
      <c r="C2383" s="7" t="s">
        <v>6675</v>
      </c>
      <c r="D2383" s="7" t="s">
        <v>17518</v>
      </c>
      <c r="E2383" s="7" t="s">
        <v>6677</v>
      </c>
      <c r="F2383" s="7" t="s">
        <v>17519</v>
      </c>
      <c r="G2383" s="7" t="s">
        <v>17520</v>
      </c>
      <c r="H2383" s="7" t="s">
        <v>17521</v>
      </c>
      <c r="I2383" s="119">
        <v>45763.0</v>
      </c>
      <c r="K2383" s="7" t="s">
        <v>419</v>
      </c>
      <c r="L2383" s="7" t="s">
        <v>991</v>
      </c>
      <c r="M2383" s="7" t="s">
        <v>3531</v>
      </c>
      <c r="N2383" s="7" t="s">
        <v>419</v>
      </c>
      <c r="O2383" s="7" t="s">
        <v>19430</v>
      </c>
      <c r="P2383" s="7" t="s">
        <v>717</v>
      </c>
      <c r="Q2383" s="7" t="s">
        <v>1163</v>
      </c>
      <c r="R2383" s="7" t="s">
        <v>19608</v>
      </c>
      <c r="S2383" s="7" t="s">
        <v>20046</v>
      </c>
      <c r="T2383" s="7" t="s">
        <v>5796</v>
      </c>
      <c r="U2383" s="7" t="s">
        <v>3493</v>
      </c>
      <c r="V2383" s="7">
        <v>1.0</v>
      </c>
    </row>
    <row r="2384">
      <c r="A2384" s="7" t="s">
        <v>22296</v>
      </c>
      <c r="B2384" s="7">
        <v>3000729.0</v>
      </c>
      <c r="C2384" s="7" t="s">
        <v>6850</v>
      </c>
      <c r="D2384" s="7" t="s">
        <v>17523</v>
      </c>
      <c r="E2384" s="7" t="s">
        <v>6852</v>
      </c>
      <c r="F2384" s="7" t="s">
        <v>4677</v>
      </c>
      <c r="G2384" s="7" t="s">
        <v>17524</v>
      </c>
      <c r="H2384" s="7" t="s">
        <v>17525</v>
      </c>
      <c r="I2384" s="119">
        <v>45763.0</v>
      </c>
      <c r="K2384" s="7" t="s">
        <v>3642</v>
      </c>
      <c r="L2384" s="7" t="s">
        <v>991</v>
      </c>
      <c r="M2384" s="7" t="s">
        <v>3531</v>
      </c>
      <c r="N2384" s="7" t="s">
        <v>3642</v>
      </c>
      <c r="O2384" s="7" t="s">
        <v>3642</v>
      </c>
      <c r="P2384" s="7" t="s">
        <v>19524</v>
      </c>
      <c r="T2384" s="7" t="s">
        <v>3644</v>
      </c>
      <c r="U2384" s="7" t="s">
        <v>3493</v>
      </c>
      <c r="V2384" s="7">
        <v>1.0</v>
      </c>
    </row>
    <row r="2385">
      <c r="A2385" s="7" t="s">
        <v>22297</v>
      </c>
      <c r="B2385" s="7">
        <v>3000708.0</v>
      </c>
      <c r="C2385" s="7" t="s">
        <v>17527</v>
      </c>
      <c r="D2385" s="7" t="s">
        <v>17528</v>
      </c>
      <c r="E2385" s="7" t="s">
        <v>17529</v>
      </c>
      <c r="F2385" s="7" t="s">
        <v>4009</v>
      </c>
      <c r="G2385" s="7" t="s">
        <v>17530</v>
      </c>
      <c r="H2385" s="7" t="s">
        <v>17531</v>
      </c>
      <c r="I2385" s="119">
        <v>45763.0</v>
      </c>
      <c r="K2385" s="7" t="s">
        <v>419</v>
      </c>
      <c r="L2385" s="7" t="s">
        <v>991</v>
      </c>
      <c r="M2385" s="7" t="s">
        <v>3531</v>
      </c>
      <c r="N2385" s="7" t="s">
        <v>419</v>
      </c>
      <c r="O2385" s="7" t="s">
        <v>19440</v>
      </c>
      <c r="P2385" s="7" t="s">
        <v>613</v>
      </c>
      <c r="Q2385" s="7" t="s">
        <v>106</v>
      </c>
      <c r="R2385" s="7" t="s">
        <v>19528</v>
      </c>
      <c r="T2385" s="7" t="s">
        <v>3660</v>
      </c>
      <c r="U2385" s="7" t="s">
        <v>3493</v>
      </c>
      <c r="V2385" s="7">
        <v>1.0</v>
      </c>
    </row>
    <row r="2386">
      <c r="A2386" s="7" t="s">
        <v>22298</v>
      </c>
      <c r="B2386" s="7">
        <v>3000715.0</v>
      </c>
      <c r="C2386" s="7" t="s">
        <v>6235</v>
      </c>
      <c r="D2386" s="7" t="s">
        <v>17533</v>
      </c>
      <c r="E2386" s="7" t="s">
        <v>17534</v>
      </c>
      <c r="F2386" s="7" t="s">
        <v>17535</v>
      </c>
      <c r="G2386" s="7" t="s">
        <v>17536</v>
      </c>
      <c r="H2386" s="7" t="s">
        <v>17537</v>
      </c>
      <c r="I2386" s="119">
        <v>45763.0</v>
      </c>
      <c r="K2386" s="7" t="s">
        <v>419</v>
      </c>
      <c r="L2386" s="7" t="s">
        <v>991</v>
      </c>
      <c r="M2386" s="7" t="s">
        <v>3531</v>
      </c>
      <c r="N2386" s="7" t="s">
        <v>419</v>
      </c>
      <c r="O2386" s="7" t="s">
        <v>19432</v>
      </c>
      <c r="P2386" s="7" t="s">
        <v>298</v>
      </c>
      <c r="Q2386" s="7" t="s">
        <v>802</v>
      </c>
      <c r="R2386" s="7" t="s">
        <v>19827</v>
      </c>
      <c r="S2386" s="7" t="s">
        <v>20667</v>
      </c>
      <c r="T2386" s="7" t="s">
        <v>8934</v>
      </c>
      <c r="U2386" s="7" t="s">
        <v>3493</v>
      </c>
      <c r="V2386" s="7">
        <v>1.0</v>
      </c>
    </row>
    <row r="2387">
      <c r="A2387" s="7" t="s">
        <v>22299</v>
      </c>
      <c r="B2387" s="7">
        <v>3000713.0</v>
      </c>
      <c r="C2387" s="7" t="s">
        <v>17539</v>
      </c>
      <c r="D2387" s="7" t="s">
        <v>9057</v>
      </c>
      <c r="E2387" s="7" t="s">
        <v>17540</v>
      </c>
      <c r="F2387" s="7" t="s">
        <v>5497</v>
      </c>
      <c r="G2387" s="7" t="s">
        <v>17541</v>
      </c>
      <c r="H2387" s="7" t="s">
        <v>17542</v>
      </c>
      <c r="I2387" s="119">
        <v>45763.0</v>
      </c>
      <c r="K2387" s="7" t="s">
        <v>419</v>
      </c>
      <c r="L2387" s="7" t="s">
        <v>991</v>
      </c>
      <c r="M2387" s="7" t="s">
        <v>3531</v>
      </c>
      <c r="N2387" s="7" t="s">
        <v>419</v>
      </c>
      <c r="O2387" s="7" t="s">
        <v>19443</v>
      </c>
      <c r="P2387" s="7" t="s">
        <v>323</v>
      </c>
      <c r="Q2387" s="7" t="s">
        <v>824</v>
      </c>
      <c r="R2387" s="7" t="s">
        <v>19698</v>
      </c>
      <c r="T2387" s="7" t="s">
        <v>4297</v>
      </c>
      <c r="U2387" s="7" t="s">
        <v>3493</v>
      </c>
      <c r="V2387" s="7">
        <v>1.0</v>
      </c>
    </row>
    <row r="2388">
      <c r="A2388" s="7" t="s">
        <v>22300</v>
      </c>
      <c r="B2388" s="7">
        <v>3000720.0</v>
      </c>
      <c r="C2388" s="7" t="s">
        <v>17544</v>
      </c>
      <c r="D2388" s="7" t="s">
        <v>17545</v>
      </c>
      <c r="E2388" s="7" t="s">
        <v>17546</v>
      </c>
      <c r="F2388" s="7" t="s">
        <v>17547</v>
      </c>
      <c r="G2388" s="7" t="s">
        <v>17548</v>
      </c>
      <c r="H2388" s="7" t="s">
        <v>17549</v>
      </c>
      <c r="I2388" s="119">
        <v>45763.0</v>
      </c>
      <c r="K2388" s="7" t="s">
        <v>419</v>
      </c>
      <c r="L2388" s="7" t="s">
        <v>991</v>
      </c>
      <c r="M2388" s="7" t="s">
        <v>3531</v>
      </c>
      <c r="N2388" s="7" t="s">
        <v>419</v>
      </c>
      <c r="O2388" s="7" t="s">
        <v>19430</v>
      </c>
      <c r="P2388" s="7" t="s">
        <v>717</v>
      </c>
      <c r="Q2388" s="7" t="s">
        <v>1163</v>
      </c>
      <c r="R2388" s="7" t="s">
        <v>19546</v>
      </c>
      <c r="S2388" s="7" t="s">
        <v>19762</v>
      </c>
      <c r="T2388" s="7" t="s">
        <v>4558</v>
      </c>
      <c r="U2388" s="7" t="s">
        <v>3493</v>
      </c>
      <c r="V2388" s="7">
        <v>1.0</v>
      </c>
    </row>
    <row r="2389">
      <c r="A2389" s="7" t="s">
        <v>22301</v>
      </c>
      <c r="B2389" s="7">
        <v>3000728.0</v>
      </c>
      <c r="C2389" s="7" t="s">
        <v>17551</v>
      </c>
      <c r="D2389" s="7" t="s">
        <v>17552</v>
      </c>
      <c r="E2389" s="7" t="s">
        <v>7781</v>
      </c>
      <c r="F2389" s="7" t="s">
        <v>17553</v>
      </c>
      <c r="G2389" s="7" t="s">
        <v>17554</v>
      </c>
      <c r="H2389" s="7" t="s">
        <v>17555</v>
      </c>
      <c r="I2389" s="119">
        <v>45763.0</v>
      </c>
      <c r="K2389" s="7" t="s">
        <v>3642</v>
      </c>
      <c r="L2389" s="7" t="s">
        <v>991</v>
      </c>
      <c r="M2389" s="7" t="s">
        <v>3531</v>
      </c>
      <c r="N2389" s="7" t="s">
        <v>3642</v>
      </c>
      <c r="O2389" s="7" t="s">
        <v>3642</v>
      </c>
      <c r="P2389" s="7" t="s">
        <v>19524</v>
      </c>
      <c r="T2389" s="7" t="s">
        <v>3644</v>
      </c>
      <c r="U2389" s="7" t="s">
        <v>3493</v>
      </c>
      <c r="V2389" s="7">
        <v>1.0</v>
      </c>
    </row>
    <row r="2390">
      <c r="A2390" s="7" t="s">
        <v>22302</v>
      </c>
      <c r="B2390" s="7">
        <v>3000722.0</v>
      </c>
      <c r="C2390" s="7" t="s">
        <v>17557</v>
      </c>
      <c r="D2390" s="7" t="s">
        <v>17558</v>
      </c>
      <c r="E2390" s="7" t="s">
        <v>17559</v>
      </c>
      <c r="F2390" s="7" t="s">
        <v>11544</v>
      </c>
      <c r="G2390" s="7" t="s">
        <v>17560</v>
      </c>
      <c r="H2390" s="7" t="s">
        <v>17561</v>
      </c>
      <c r="I2390" s="119">
        <v>45763.0</v>
      </c>
      <c r="K2390" s="7" t="s">
        <v>419</v>
      </c>
      <c r="L2390" s="7" t="s">
        <v>991</v>
      </c>
      <c r="M2390" s="7" t="s">
        <v>3531</v>
      </c>
      <c r="N2390" s="7" t="s">
        <v>419</v>
      </c>
      <c r="O2390" s="7" t="s">
        <v>19443</v>
      </c>
      <c r="P2390" s="7" t="s">
        <v>323</v>
      </c>
      <c r="Q2390" s="7" t="s">
        <v>824</v>
      </c>
      <c r="R2390" s="7" t="s">
        <v>19771</v>
      </c>
      <c r="T2390" s="7" t="s">
        <v>12660</v>
      </c>
      <c r="U2390" s="7" t="s">
        <v>3493</v>
      </c>
      <c r="V2390" s="7">
        <v>1.0</v>
      </c>
    </row>
    <row r="2391">
      <c r="A2391" s="7" t="s">
        <v>22303</v>
      </c>
      <c r="B2391" s="7">
        <v>3000714.0</v>
      </c>
      <c r="C2391" s="7" t="s">
        <v>9145</v>
      </c>
      <c r="D2391" s="7" t="s">
        <v>17563</v>
      </c>
      <c r="E2391" s="7" t="s">
        <v>9147</v>
      </c>
      <c r="F2391" s="7" t="s">
        <v>3692</v>
      </c>
      <c r="G2391" s="7" t="s">
        <v>17564</v>
      </c>
      <c r="H2391" s="7" t="s">
        <v>17565</v>
      </c>
      <c r="I2391" s="119">
        <v>45763.0</v>
      </c>
      <c r="K2391" s="7" t="s">
        <v>3632</v>
      </c>
      <c r="L2391" s="7" t="s">
        <v>991</v>
      </c>
      <c r="M2391" s="7" t="s">
        <v>3531</v>
      </c>
      <c r="N2391" s="7" t="s">
        <v>3632</v>
      </c>
      <c r="O2391" s="7" t="s">
        <v>3632</v>
      </c>
      <c r="P2391" s="7" t="s">
        <v>625</v>
      </c>
      <c r="Q2391" s="7" t="s">
        <v>118</v>
      </c>
      <c r="R2391" s="7" t="s">
        <v>20138</v>
      </c>
      <c r="T2391" s="7" t="s">
        <v>12840</v>
      </c>
      <c r="U2391" s="7" t="s">
        <v>3493</v>
      </c>
      <c r="V2391" s="7">
        <v>1.0</v>
      </c>
    </row>
    <row r="2392">
      <c r="A2392" s="7" t="s">
        <v>22304</v>
      </c>
      <c r="B2392" s="7">
        <v>3000699.0</v>
      </c>
      <c r="C2392" s="7" t="s">
        <v>9606</v>
      </c>
      <c r="D2392" s="7" t="s">
        <v>5497</v>
      </c>
      <c r="E2392" s="7" t="s">
        <v>9572</v>
      </c>
      <c r="F2392" s="7" t="s">
        <v>5497</v>
      </c>
      <c r="G2392" s="7" t="s">
        <v>17567</v>
      </c>
      <c r="H2392" s="7" t="s">
        <v>17568</v>
      </c>
      <c r="I2392" s="119">
        <v>45763.0</v>
      </c>
      <c r="K2392" s="7" t="s">
        <v>419</v>
      </c>
      <c r="L2392" s="7" t="s">
        <v>991</v>
      </c>
      <c r="M2392" s="7" t="s">
        <v>3583</v>
      </c>
      <c r="N2392" s="7" t="s">
        <v>419</v>
      </c>
      <c r="O2392" s="7" t="s">
        <v>19430</v>
      </c>
      <c r="P2392" s="7" t="s">
        <v>717</v>
      </c>
      <c r="Q2392" s="7" t="s">
        <v>1163</v>
      </c>
      <c r="R2392" s="7" t="s">
        <v>19608</v>
      </c>
      <c r="S2392" s="7" t="s">
        <v>19618</v>
      </c>
      <c r="T2392" s="7" t="s">
        <v>3997</v>
      </c>
      <c r="U2392" s="7" t="s">
        <v>3493</v>
      </c>
      <c r="V2392" s="7">
        <v>1.0</v>
      </c>
    </row>
    <row r="2393">
      <c r="A2393" s="7" t="s">
        <v>22305</v>
      </c>
      <c r="B2393" s="7">
        <v>3000711.0</v>
      </c>
      <c r="C2393" s="7" t="s">
        <v>17570</v>
      </c>
      <c r="D2393" s="7" t="s">
        <v>17571</v>
      </c>
      <c r="E2393" s="7" t="s">
        <v>17572</v>
      </c>
      <c r="F2393" s="7" t="s">
        <v>14461</v>
      </c>
      <c r="G2393" s="7" t="s">
        <v>17573</v>
      </c>
      <c r="H2393" s="7" t="s">
        <v>17574</v>
      </c>
      <c r="I2393" s="119">
        <v>45763.0</v>
      </c>
      <c r="K2393" s="7" t="s">
        <v>419</v>
      </c>
      <c r="L2393" s="7" t="s">
        <v>991</v>
      </c>
      <c r="M2393" s="7" t="s">
        <v>3531</v>
      </c>
      <c r="N2393" s="7" t="s">
        <v>419</v>
      </c>
      <c r="O2393" s="7" t="s">
        <v>19432</v>
      </c>
      <c r="P2393" s="7" t="s">
        <v>693</v>
      </c>
      <c r="Q2393" s="7" t="s">
        <v>701</v>
      </c>
      <c r="R2393" s="7" t="s">
        <v>20244</v>
      </c>
      <c r="T2393" s="7" t="s">
        <v>6754</v>
      </c>
      <c r="U2393" s="7" t="s">
        <v>3493</v>
      </c>
      <c r="V2393" s="7">
        <v>1.0</v>
      </c>
    </row>
    <row r="2394">
      <c r="A2394" s="7" t="s">
        <v>22306</v>
      </c>
      <c r="B2394" s="7">
        <v>3000499.0</v>
      </c>
      <c r="C2394" s="7" t="s">
        <v>17576</v>
      </c>
      <c r="D2394" s="7" t="s">
        <v>17577</v>
      </c>
      <c r="E2394" s="7" t="s">
        <v>17578</v>
      </c>
      <c r="F2394" s="7" t="s">
        <v>3508</v>
      </c>
      <c r="G2394" s="7" t="s">
        <v>17579</v>
      </c>
      <c r="H2394" s="7" t="s">
        <v>17580</v>
      </c>
      <c r="I2394" s="119">
        <v>45763.0</v>
      </c>
      <c r="K2394" s="7" t="s">
        <v>419</v>
      </c>
      <c r="L2394" s="7" t="s">
        <v>991</v>
      </c>
      <c r="M2394" s="7" t="s">
        <v>3501</v>
      </c>
      <c r="N2394" s="7" t="s">
        <v>419</v>
      </c>
      <c r="O2394" s="7" t="s">
        <v>19443</v>
      </c>
      <c r="P2394" s="7" t="s">
        <v>323</v>
      </c>
      <c r="Q2394" s="7" t="s">
        <v>824</v>
      </c>
      <c r="R2394" s="7" t="s">
        <v>20590</v>
      </c>
      <c r="T2394" s="7" t="s">
        <v>20591</v>
      </c>
      <c r="U2394" s="7" t="s">
        <v>3493</v>
      </c>
      <c r="V2394" s="7">
        <v>1.0</v>
      </c>
    </row>
    <row r="2395">
      <c r="A2395" s="7" t="s">
        <v>22307</v>
      </c>
      <c r="B2395" s="7">
        <v>3000719.0</v>
      </c>
      <c r="C2395" s="7" t="s">
        <v>10495</v>
      </c>
      <c r="D2395" s="7" t="s">
        <v>17582</v>
      </c>
      <c r="E2395" s="7" t="s">
        <v>10497</v>
      </c>
      <c r="F2395" s="7" t="s">
        <v>17583</v>
      </c>
      <c r="G2395" s="7" t="s">
        <v>17584</v>
      </c>
      <c r="H2395" s="7" t="s">
        <v>17585</v>
      </c>
      <c r="I2395" s="119">
        <v>45763.0</v>
      </c>
      <c r="K2395" s="7" t="s">
        <v>419</v>
      </c>
      <c r="L2395" s="7" t="s">
        <v>991</v>
      </c>
      <c r="M2395" s="7" t="s">
        <v>3531</v>
      </c>
      <c r="N2395" s="7" t="s">
        <v>419</v>
      </c>
      <c r="O2395" s="7" t="s">
        <v>19440</v>
      </c>
      <c r="P2395" s="7" t="s">
        <v>3</v>
      </c>
      <c r="Q2395" s="7" t="s">
        <v>4</v>
      </c>
      <c r="R2395" s="7" t="s">
        <v>19858</v>
      </c>
      <c r="S2395" s="7" t="s">
        <v>19859</v>
      </c>
      <c r="T2395" s="7" t="s">
        <v>4934</v>
      </c>
      <c r="U2395" s="7" t="s">
        <v>3493</v>
      </c>
      <c r="V2395" s="7">
        <v>1.0</v>
      </c>
    </row>
    <row r="2396">
      <c r="A2396" s="7" t="s">
        <v>22308</v>
      </c>
      <c r="B2396" s="7">
        <v>3000709.0</v>
      </c>
      <c r="C2396" s="7" t="s">
        <v>11019</v>
      </c>
      <c r="D2396" s="7" t="s">
        <v>17587</v>
      </c>
      <c r="E2396" s="7" t="s">
        <v>11020</v>
      </c>
      <c r="F2396" s="7" t="s">
        <v>3656</v>
      </c>
      <c r="G2396" s="7" t="s">
        <v>17588</v>
      </c>
      <c r="H2396" s="7" t="s">
        <v>17589</v>
      </c>
      <c r="I2396" s="119">
        <v>45763.0</v>
      </c>
      <c r="K2396" s="7" t="s">
        <v>419</v>
      </c>
      <c r="L2396" s="7" t="s">
        <v>991</v>
      </c>
      <c r="M2396" s="7" t="s">
        <v>3531</v>
      </c>
      <c r="N2396" s="7" t="s">
        <v>419</v>
      </c>
      <c r="O2396" s="7" t="s">
        <v>19440</v>
      </c>
      <c r="P2396" s="7" t="s">
        <v>613</v>
      </c>
      <c r="Q2396" s="7" t="s">
        <v>106</v>
      </c>
      <c r="R2396" s="7" t="s">
        <v>19528</v>
      </c>
      <c r="T2396" s="7" t="s">
        <v>3660</v>
      </c>
      <c r="U2396" s="7" t="s">
        <v>3493</v>
      </c>
      <c r="V2396" s="7">
        <v>1.0</v>
      </c>
    </row>
    <row r="2397">
      <c r="A2397" s="7" t="s">
        <v>22309</v>
      </c>
      <c r="B2397" s="7">
        <v>3000725.0</v>
      </c>
      <c r="C2397" s="7" t="s">
        <v>11953</v>
      </c>
      <c r="D2397" s="7" t="s">
        <v>3772</v>
      </c>
      <c r="E2397" s="7" t="s">
        <v>11954</v>
      </c>
      <c r="F2397" s="7" t="s">
        <v>3774</v>
      </c>
      <c r="G2397" s="7" t="s">
        <v>17591</v>
      </c>
      <c r="H2397" s="7" t="s">
        <v>17592</v>
      </c>
      <c r="I2397" s="119">
        <v>45763.0</v>
      </c>
      <c r="K2397" s="7" t="s">
        <v>419</v>
      </c>
      <c r="L2397" s="7" t="s">
        <v>991</v>
      </c>
      <c r="M2397" s="7" t="s">
        <v>3531</v>
      </c>
      <c r="N2397" s="7" t="s">
        <v>419</v>
      </c>
      <c r="O2397" s="7" t="s">
        <v>19443</v>
      </c>
      <c r="P2397" s="7" t="s">
        <v>1242</v>
      </c>
      <c r="Q2397" s="7" t="s">
        <v>51</v>
      </c>
      <c r="R2397" s="7" t="s">
        <v>19563</v>
      </c>
      <c r="S2397" s="7" t="s">
        <v>19564</v>
      </c>
      <c r="T2397" s="7" t="s">
        <v>3803</v>
      </c>
      <c r="U2397" s="7" t="s">
        <v>3493</v>
      </c>
      <c r="V2397" s="7">
        <v>1.0</v>
      </c>
    </row>
    <row r="2398">
      <c r="A2398" s="7" t="s">
        <v>22310</v>
      </c>
      <c r="B2398" s="7">
        <v>3000721.0</v>
      </c>
      <c r="C2398" s="7" t="s">
        <v>12410</v>
      </c>
      <c r="D2398" s="7" t="s">
        <v>17594</v>
      </c>
      <c r="E2398" s="7" t="s">
        <v>12412</v>
      </c>
      <c r="F2398" s="7" t="s">
        <v>3517</v>
      </c>
      <c r="G2398" s="7" t="s">
        <v>17595</v>
      </c>
      <c r="H2398" s="7" t="s">
        <v>17596</v>
      </c>
      <c r="I2398" s="119">
        <v>45763.0</v>
      </c>
      <c r="K2398" s="7" t="s">
        <v>419</v>
      </c>
      <c r="L2398" s="7" t="s">
        <v>991</v>
      </c>
      <c r="M2398" s="7" t="s">
        <v>3531</v>
      </c>
      <c r="N2398" s="7" t="s">
        <v>419</v>
      </c>
      <c r="O2398" s="7" t="s">
        <v>19443</v>
      </c>
      <c r="P2398" s="7" t="s">
        <v>1242</v>
      </c>
      <c r="Q2398" s="7" t="s">
        <v>51</v>
      </c>
      <c r="R2398" s="7" t="s">
        <v>19563</v>
      </c>
      <c r="S2398" s="7" t="s">
        <v>19564</v>
      </c>
      <c r="T2398" s="7" t="s">
        <v>3803</v>
      </c>
      <c r="U2398" s="7" t="s">
        <v>3493</v>
      </c>
      <c r="V2398" s="7">
        <v>1.0</v>
      </c>
    </row>
    <row r="2399">
      <c r="A2399" s="7" t="s">
        <v>22311</v>
      </c>
      <c r="B2399" s="7">
        <v>3000698.0</v>
      </c>
      <c r="C2399" s="7" t="s">
        <v>14864</v>
      </c>
      <c r="D2399" s="7" t="s">
        <v>17598</v>
      </c>
      <c r="E2399" s="7" t="s">
        <v>14866</v>
      </c>
      <c r="F2399" s="7" t="s">
        <v>17599</v>
      </c>
      <c r="G2399" s="7" t="s">
        <v>17600</v>
      </c>
      <c r="H2399" s="7" t="s">
        <v>17601</v>
      </c>
      <c r="I2399" s="119">
        <v>45763.0</v>
      </c>
      <c r="K2399" s="7" t="s">
        <v>419</v>
      </c>
      <c r="L2399" s="7" t="s">
        <v>991</v>
      </c>
      <c r="M2399" s="7" t="s">
        <v>3866</v>
      </c>
      <c r="N2399" s="7" t="s">
        <v>419</v>
      </c>
      <c r="O2399" s="7" t="s">
        <v>19437</v>
      </c>
      <c r="P2399" s="7" t="s">
        <v>478</v>
      </c>
      <c r="Q2399" s="7" t="s">
        <v>508</v>
      </c>
      <c r="T2399" s="7" t="s">
        <v>22052</v>
      </c>
      <c r="U2399" s="7" t="s">
        <v>3493</v>
      </c>
      <c r="V2399" s="7">
        <v>1.0</v>
      </c>
    </row>
    <row r="2400">
      <c r="A2400" s="7" t="s">
        <v>22312</v>
      </c>
      <c r="B2400" s="7">
        <v>3000717.0</v>
      </c>
      <c r="C2400" s="7" t="s">
        <v>14145</v>
      </c>
      <c r="D2400" s="7" t="s">
        <v>17604</v>
      </c>
      <c r="E2400" s="7" t="s">
        <v>14147</v>
      </c>
      <c r="F2400" s="7" t="s">
        <v>5490</v>
      </c>
      <c r="G2400" s="7" t="s">
        <v>17605</v>
      </c>
      <c r="H2400" s="7" t="s">
        <v>17606</v>
      </c>
      <c r="I2400" s="119">
        <v>45763.0</v>
      </c>
      <c r="K2400" s="7" t="s">
        <v>419</v>
      </c>
      <c r="L2400" s="7" t="s">
        <v>991</v>
      </c>
      <c r="M2400" s="7" t="s">
        <v>3531</v>
      </c>
      <c r="N2400" s="7" t="s">
        <v>419</v>
      </c>
      <c r="O2400" s="7" t="s">
        <v>19430</v>
      </c>
      <c r="P2400" s="7" t="s">
        <v>780</v>
      </c>
      <c r="Q2400" s="7" t="s">
        <v>286</v>
      </c>
      <c r="R2400" s="7" t="s">
        <v>19914</v>
      </c>
      <c r="T2400" s="7" t="s">
        <v>18038</v>
      </c>
      <c r="U2400" s="7" t="s">
        <v>3493</v>
      </c>
      <c r="V2400" s="7">
        <v>1.0</v>
      </c>
    </row>
    <row r="2401">
      <c r="A2401" s="7" t="s">
        <v>22313</v>
      </c>
      <c r="B2401" s="7">
        <v>3000753.0</v>
      </c>
      <c r="C2401" s="7" t="s">
        <v>4277</v>
      </c>
      <c r="D2401" s="7" t="s">
        <v>14805</v>
      </c>
      <c r="E2401" s="7" t="s">
        <v>4279</v>
      </c>
      <c r="F2401" s="7" t="s">
        <v>14805</v>
      </c>
      <c r="G2401" s="7" t="s">
        <v>17609</v>
      </c>
      <c r="H2401" s="7" t="s">
        <v>17610</v>
      </c>
      <c r="I2401" s="119">
        <v>45778.0</v>
      </c>
      <c r="K2401" s="7" t="s">
        <v>419</v>
      </c>
      <c r="L2401" s="7" t="s">
        <v>991</v>
      </c>
      <c r="M2401" s="7" t="s">
        <v>3490</v>
      </c>
      <c r="N2401" s="7" t="s">
        <v>419</v>
      </c>
      <c r="O2401" s="7" t="s">
        <v>19440</v>
      </c>
      <c r="P2401" s="7" t="s">
        <v>3</v>
      </c>
      <c r="Q2401" s="7" t="s">
        <v>9</v>
      </c>
      <c r="R2401" s="7" t="s">
        <v>20413</v>
      </c>
      <c r="S2401" s="7" t="s">
        <v>19519</v>
      </c>
      <c r="T2401" s="7" t="s">
        <v>7663</v>
      </c>
      <c r="U2401" s="7" t="s">
        <v>3493</v>
      </c>
      <c r="V2401" s="7">
        <v>1.0</v>
      </c>
    </row>
    <row r="2402">
      <c r="A2402" s="7" t="s">
        <v>22314</v>
      </c>
      <c r="B2402" s="7">
        <v>3000756.0</v>
      </c>
      <c r="C2402" s="7" t="s">
        <v>4447</v>
      </c>
      <c r="D2402" s="7" t="s">
        <v>17612</v>
      </c>
      <c r="E2402" s="7" t="s">
        <v>4449</v>
      </c>
      <c r="F2402" s="7" t="s">
        <v>10583</v>
      </c>
      <c r="G2402" s="7" t="s">
        <v>17613</v>
      </c>
      <c r="H2402" s="7" t="s">
        <v>17614</v>
      </c>
      <c r="I2402" s="119">
        <v>45778.0</v>
      </c>
      <c r="K2402" s="7" t="s">
        <v>3632</v>
      </c>
      <c r="L2402" s="7" t="s">
        <v>991</v>
      </c>
      <c r="M2402" s="7" t="s">
        <v>3583</v>
      </c>
      <c r="N2402" s="7" t="s">
        <v>3632</v>
      </c>
      <c r="O2402" s="7" t="s">
        <v>3632</v>
      </c>
      <c r="P2402" s="7" t="s">
        <v>625</v>
      </c>
      <c r="Q2402" s="7" t="s">
        <v>626</v>
      </c>
      <c r="R2402" s="7" t="s">
        <v>19672</v>
      </c>
      <c r="T2402" s="7" t="s">
        <v>4191</v>
      </c>
      <c r="U2402" s="7" t="s">
        <v>3493</v>
      </c>
      <c r="V2402" s="7">
        <v>1.0</v>
      </c>
    </row>
    <row r="2403">
      <c r="A2403" s="7" t="s">
        <v>22315</v>
      </c>
      <c r="B2403" s="7">
        <v>3000697.0</v>
      </c>
      <c r="C2403" s="7" t="s">
        <v>17616</v>
      </c>
      <c r="D2403" s="7" t="s">
        <v>17617</v>
      </c>
      <c r="E2403" s="7" t="s">
        <v>17618</v>
      </c>
      <c r="F2403" s="7" t="s">
        <v>5426</v>
      </c>
      <c r="G2403" s="7" t="s">
        <v>17619</v>
      </c>
      <c r="H2403" s="7" t="s">
        <v>17620</v>
      </c>
      <c r="I2403" s="119">
        <v>45778.0</v>
      </c>
      <c r="K2403" s="7" t="s">
        <v>419</v>
      </c>
      <c r="L2403" s="7" t="s">
        <v>991</v>
      </c>
      <c r="M2403" s="7" t="s">
        <v>3501</v>
      </c>
      <c r="N2403" s="7" t="s">
        <v>419</v>
      </c>
      <c r="O2403" s="7" t="s">
        <v>19433</v>
      </c>
      <c r="P2403" s="7" t="s">
        <v>587</v>
      </c>
      <c r="Q2403" s="7" t="s">
        <v>74</v>
      </c>
      <c r="R2403" s="7" t="s">
        <v>19721</v>
      </c>
      <c r="T2403" s="7" t="s">
        <v>10691</v>
      </c>
      <c r="U2403" s="7" t="s">
        <v>3493</v>
      </c>
      <c r="V2403" s="7">
        <v>1.0</v>
      </c>
    </row>
    <row r="2404">
      <c r="A2404" s="7" t="s">
        <v>22316</v>
      </c>
      <c r="B2404" s="7">
        <v>3000743.0</v>
      </c>
      <c r="C2404" s="7" t="s">
        <v>5423</v>
      </c>
      <c r="D2404" s="7" t="s">
        <v>17622</v>
      </c>
      <c r="E2404" s="7" t="s">
        <v>5425</v>
      </c>
      <c r="F2404" s="7" t="s">
        <v>9094</v>
      </c>
      <c r="G2404" s="7" t="s">
        <v>17623</v>
      </c>
      <c r="H2404" s="7" t="s">
        <v>17624</v>
      </c>
      <c r="I2404" s="119">
        <v>45778.0</v>
      </c>
      <c r="K2404" s="7" t="s">
        <v>419</v>
      </c>
      <c r="L2404" s="7" t="s">
        <v>991</v>
      </c>
      <c r="M2404" s="7" t="s">
        <v>3531</v>
      </c>
      <c r="N2404" s="7" t="s">
        <v>419</v>
      </c>
      <c r="O2404" s="7" t="s">
        <v>19430</v>
      </c>
      <c r="P2404" s="7" t="s">
        <v>717</v>
      </c>
      <c r="Q2404" s="7" t="s">
        <v>738</v>
      </c>
      <c r="R2404" s="7" t="s">
        <v>20012</v>
      </c>
      <c r="S2404" s="7" t="s">
        <v>20068</v>
      </c>
      <c r="T2404" s="7" t="s">
        <v>5889</v>
      </c>
      <c r="U2404" s="7" t="s">
        <v>3493</v>
      </c>
      <c r="V2404" s="7">
        <v>1.0</v>
      </c>
    </row>
    <row r="2405">
      <c r="A2405" s="7" t="s">
        <v>22317</v>
      </c>
      <c r="B2405" s="7">
        <v>3000742.0</v>
      </c>
      <c r="C2405" s="7" t="s">
        <v>5763</v>
      </c>
      <c r="D2405" s="7" t="s">
        <v>17626</v>
      </c>
      <c r="E2405" s="7" t="s">
        <v>5765</v>
      </c>
      <c r="F2405" s="7" t="s">
        <v>17627</v>
      </c>
      <c r="G2405" s="7" t="s">
        <v>17628</v>
      </c>
      <c r="H2405" s="7" t="s">
        <v>17629</v>
      </c>
      <c r="I2405" s="119">
        <v>45778.0</v>
      </c>
      <c r="K2405" s="7" t="s">
        <v>419</v>
      </c>
      <c r="L2405" s="7" t="s">
        <v>991</v>
      </c>
      <c r="M2405" s="7" t="s">
        <v>3531</v>
      </c>
      <c r="N2405" s="7" t="s">
        <v>419</v>
      </c>
      <c r="O2405" s="7" t="s">
        <v>19437</v>
      </c>
      <c r="P2405" s="7" t="s">
        <v>440</v>
      </c>
      <c r="Q2405" s="7" t="s">
        <v>19453</v>
      </c>
      <c r="T2405" s="7" t="s">
        <v>17630</v>
      </c>
      <c r="U2405" s="7" t="s">
        <v>3493</v>
      </c>
      <c r="V2405" s="7">
        <v>1.0</v>
      </c>
    </row>
    <row r="2406">
      <c r="A2406" s="7" t="s">
        <v>22318</v>
      </c>
      <c r="B2406" s="7">
        <v>3000754.0</v>
      </c>
      <c r="C2406" s="7" t="s">
        <v>17632</v>
      </c>
      <c r="D2406" s="7" t="s">
        <v>8353</v>
      </c>
      <c r="E2406" s="7" t="s">
        <v>17633</v>
      </c>
      <c r="F2406" s="7" t="s">
        <v>6800</v>
      </c>
      <c r="G2406" s="7" t="s">
        <v>17634</v>
      </c>
      <c r="H2406" s="7" t="s">
        <v>17635</v>
      </c>
      <c r="I2406" s="119">
        <v>45778.0</v>
      </c>
      <c r="K2406" s="7" t="s">
        <v>3642</v>
      </c>
      <c r="L2406" s="7" t="s">
        <v>991</v>
      </c>
      <c r="M2406" s="7" t="s">
        <v>3501</v>
      </c>
      <c r="N2406" s="7" t="s">
        <v>3642</v>
      </c>
      <c r="O2406" s="7" t="s">
        <v>3642</v>
      </c>
      <c r="P2406" s="7" t="s">
        <v>19524</v>
      </c>
      <c r="T2406" s="7" t="s">
        <v>3644</v>
      </c>
      <c r="U2406" s="7" t="s">
        <v>3493</v>
      </c>
      <c r="V2406" s="7">
        <v>1.0</v>
      </c>
    </row>
    <row r="2407">
      <c r="A2407" s="7" t="s">
        <v>22319</v>
      </c>
      <c r="B2407" s="7">
        <v>3000691.0</v>
      </c>
      <c r="C2407" s="7" t="s">
        <v>5853</v>
      </c>
      <c r="D2407" s="7" t="s">
        <v>7586</v>
      </c>
      <c r="E2407" s="7" t="s">
        <v>5855</v>
      </c>
      <c r="F2407" s="7" t="s">
        <v>5426</v>
      </c>
      <c r="G2407" s="7" t="s">
        <v>17637</v>
      </c>
      <c r="H2407" s="7" t="s">
        <v>17638</v>
      </c>
      <c r="I2407" s="119">
        <v>45778.0</v>
      </c>
      <c r="K2407" s="7" t="s">
        <v>419</v>
      </c>
      <c r="L2407" s="7" t="s">
        <v>991</v>
      </c>
      <c r="M2407" s="7" t="s">
        <v>3501</v>
      </c>
      <c r="N2407" s="7" t="s">
        <v>419</v>
      </c>
      <c r="O2407" s="7" t="s">
        <v>19430</v>
      </c>
      <c r="P2407" s="7" t="s">
        <v>717</v>
      </c>
      <c r="Q2407" s="7" t="s">
        <v>730</v>
      </c>
      <c r="R2407" s="7" t="s">
        <v>19979</v>
      </c>
      <c r="S2407" s="7" t="s">
        <v>19636</v>
      </c>
      <c r="T2407" s="7" t="s">
        <v>8584</v>
      </c>
      <c r="U2407" s="7" t="s">
        <v>3493</v>
      </c>
      <c r="V2407" s="7">
        <v>1.0</v>
      </c>
    </row>
    <row r="2408">
      <c r="A2408" s="7" t="s">
        <v>22320</v>
      </c>
      <c r="B2408" s="7">
        <v>3000703.0</v>
      </c>
      <c r="C2408" s="7" t="s">
        <v>6285</v>
      </c>
      <c r="D2408" s="7" t="s">
        <v>17640</v>
      </c>
      <c r="E2408" s="7" t="s">
        <v>6287</v>
      </c>
      <c r="F2408" s="7" t="s">
        <v>11089</v>
      </c>
      <c r="G2408" s="7" t="s">
        <v>17641</v>
      </c>
      <c r="H2408" s="7" t="s">
        <v>17642</v>
      </c>
      <c r="I2408" s="119">
        <v>45778.0</v>
      </c>
      <c r="K2408" s="7" t="s">
        <v>419</v>
      </c>
      <c r="L2408" s="7" t="s">
        <v>991</v>
      </c>
      <c r="M2408" s="7" t="s">
        <v>3501</v>
      </c>
      <c r="N2408" s="7" t="s">
        <v>419</v>
      </c>
      <c r="O2408" s="7" t="s">
        <v>19433</v>
      </c>
      <c r="P2408" s="7" t="s">
        <v>587</v>
      </c>
      <c r="Q2408" s="7" t="s">
        <v>81</v>
      </c>
      <c r="T2408" s="7" t="s">
        <v>15610</v>
      </c>
      <c r="U2408" s="7" t="s">
        <v>3493</v>
      </c>
      <c r="V2408" s="7">
        <v>1.0</v>
      </c>
    </row>
    <row r="2409">
      <c r="A2409" s="7" t="s">
        <v>22321</v>
      </c>
      <c r="B2409" s="7">
        <v>3000749.0</v>
      </c>
      <c r="C2409" s="7" t="s">
        <v>17644</v>
      </c>
      <c r="D2409" s="7" t="s">
        <v>17645</v>
      </c>
      <c r="E2409" s="7" t="s">
        <v>6786</v>
      </c>
      <c r="F2409" s="7" t="s">
        <v>5723</v>
      </c>
      <c r="G2409" s="7" t="s">
        <v>17646</v>
      </c>
      <c r="H2409" s="7" t="s">
        <v>17647</v>
      </c>
      <c r="I2409" s="119">
        <v>45778.0</v>
      </c>
      <c r="K2409" s="7" t="s">
        <v>419</v>
      </c>
      <c r="L2409" s="7" t="s">
        <v>991</v>
      </c>
      <c r="M2409" s="7" t="s">
        <v>3531</v>
      </c>
      <c r="N2409" s="7" t="s">
        <v>419</v>
      </c>
      <c r="O2409" s="7" t="s">
        <v>19430</v>
      </c>
      <c r="P2409" s="7" t="s">
        <v>717</v>
      </c>
      <c r="Q2409" s="7" t="s">
        <v>1163</v>
      </c>
      <c r="R2409" s="7" t="s">
        <v>20110</v>
      </c>
      <c r="S2409" s="7" t="s">
        <v>20213</v>
      </c>
      <c r="T2409" s="7" t="s">
        <v>6580</v>
      </c>
      <c r="U2409" s="7" t="s">
        <v>3493</v>
      </c>
      <c r="V2409" s="7">
        <v>1.0</v>
      </c>
    </row>
    <row r="2410">
      <c r="A2410" s="7" t="s">
        <v>22322</v>
      </c>
      <c r="B2410" s="7">
        <v>3000748.0</v>
      </c>
      <c r="C2410" s="7" t="s">
        <v>7599</v>
      </c>
      <c r="D2410" s="7" t="s">
        <v>17649</v>
      </c>
      <c r="E2410" s="7" t="s">
        <v>7601</v>
      </c>
      <c r="F2410" s="7" t="s">
        <v>3909</v>
      </c>
      <c r="G2410" s="7" t="s">
        <v>17650</v>
      </c>
      <c r="H2410" s="7" t="s">
        <v>17651</v>
      </c>
      <c r="I2410" s="119">
        <v>45778.0</v>
      </c>
      <c r="K2410" s="7" t="s">
        <v>419</v>
      </c>
      <c r="L2410" s="7" t="s">
        <v>991</v>
      </c>
      <c r="M2410" s="7" t="s">
        <v>3531</v>
      </c>
      <c r="N2410" s="7" t="s">
        <v>419</v>
      </c>
      <c r="O2410" s="7" t="s">
        <v>19432</v>
      </c>
      <c r="P2410" s="7" t="s">
        <v>391</v>
      </c>
      <c r="Q2410" s="7" t="s">
        <v>399</v>
      </c>
      <c r="R2410" s="7" t="s">
        <v>20194</v>
      </c>
      <c r="T2410" s="7" t="s">
        <v>6534</v>
      </c>
      <c r="U2410" s="7" t="s">
        <v>3493</v>
      </c>
      <c r="V2410" s="7">
        <v>1.0</v>
      </c>
    </row>
    <row r="2411">
      <c r="A2411" s="7" t="s">
        <v>22323</v>
      </c>
      <c r="B2411" s="7">
        <v>3000704.0</v>
      </c>
      <c r="C2411" s="7" t="s">
        <v>7649</v>
      </c>
      <c r="D2411" s="7" t="s">
        <v>17653</v>
      </c>
      <c r="E2411" s="7" t="s">
        <v>7651</v>
      </c>
      <c r="F2411" s="7" t="s">
        <v>4109</v>
      </c>
      <c r="G2411" s="7" t="s">
        <v>17654</v>
      </c>
      <c r="H2411" s="7" t="s">
        <v>17655</v>
      </c>
      <c r="I2411" s="119">
        <v>45778.0</v>
      </c>
      <c r="K2411" s="7" t="s">
        <v>419</v>
      </c>
      <c r="L2411" s="7" t="s">
        <v>991</v>
      </c>
      <c r="M2411" s="7" t="s">
        <v>3501</v>
      </c>
      <c r="N2411" s="7" t="s">
        <v>419</v>
      </c>
      <c r="O2411" s="7" t="s">
        <v>19437</v>
      </c>
      <c r="P2411" s="7" t="s">
        <v>478</v>
      </c>
      <c r="Q2411" s="7" t="s">
        <v>491</v>
      </c>
      <c r="R2411" s="7" t="s">
        <v>19887</v>
      </c>
      <c r="T2411" s="7" t="s">
        <v>5086</v>
      </c>
      <c r="U2411" s="7" t="s">
        <v>3493</v>
      </c>
      <c r="V2411" s="7">
        <v>1.0</v>
      </c>
    </row>
    <row r="2412">
      <c r="A2412" s="7" t="s">
        <v>22324</v>
      </c>
      <c r="B2412" s="7">
        <v>3000627.0</v>
      </c>
      <c r="C2412" s="7" t="s">
        <v>6850</v>
      </c>
      <c r="D2412" s="7" t="s">
        <v>17657</v>
      </c>
      <c r="E2412" s="7" t="s">
        <v>7691</v>
      </c>
      <c r="F2412" s="7" t="s">
        <v>3721</v>
      </c>
      <c r="G2412" s="7" t="s">
        <v>17658</v>
      </c>
      <c r="H2412" s="7" t="s">
        <v>17659</v>
      </c>
      <c r="I2412" s="119">
        <v>45778.0</v>
      </c>
      <c r="K2412" s="7" t="s">
        <v>419</v>
      </c>
      <c r="L2412" s="7" t="s">
        <v>991</v>
      </c>
      <c r="M2412" s="7" t="s">
        <v>3501</v>
      </c>
      <c r="N2412" s="7" t="s">
        <v>419</v>
      </c>
      <c r="O2412" s="7" t="s">
        <v>19443</v>
      </c>
      <c r="P2412" s="7" t="s">
        <v>323</v>
      </c>
      <c r="Q2412" s="7" t="s">
        <v>324</v>
      </c>
      <c r="R2412" s="7" t="s">
        <v>20367</v>
      </c>
      <c r="T2412" s="7" t="s">
        <v>7418</v>
      </c>
      <c r="U2412" s="7" t="s">
        <v>3493</v>
      </c>
      <c r="V2412" s="7">
        <v>1.0</v>
      </c>
    </row>
    <row r="2413">
      <c r="A2413" s="7" t="s">
        <v>22325</v>
      </c>
      <c r="B2413" s="7">
        <v>3000740.0</v>
      </c>
      <c r="C2413" s="7" t="s">
        <v>17661</v>
      </c>
      <c r="D2413" s="7" t="s">
        <v>17662</v>
      </c>
      <c r="E2413" s="7" t="s">
        <v>17663</v>
      </c>
      <c r="F2413" s="7" t="s">
        <v>4937</v>
      </c>
      <c r="G2413" s="7" t="s">
        <v>17664</v>
      </c>
      <c r="H2413" s="7" t="s">
        <v>17665</v>
      </c>
      <c r="I2413" s="119">
        <v>45778.0</v>
      </c>
      <c r="K2413" s="7" t="s">
        <v>419</v>
      </c>
      <c r="L2413" s="7" t="s">
        <v>991</v>
      </c>
      <c r="M2413" s="7" t="s">
        <v>3531</v>
      </c>
      <c r="N2413" s="7" t="s">
        <v>419</v>
      </c>
      <c r="O2413" s="7" t="s">
        <v>19433</v>
      </c>
      <c r="P2413" s="7" t="s">
        <v>587</v>
      </c>
      <c r="Q2413" s="7" t="s">
        <v>81</v>
      </c>
      <c r="T2413" s="7" t="s">
        <v>15610</v>
      </c>
      <c r="U2413" s="7" t="s">
        <v>3493</v>
      </c>
      <c r="V2413" s="7">
        <v>1.0</v>
      </c>
    </row>
    <row r="2414">
      <c r="A2414" s="7" t="s">
        <v>22326</v>
      </c>
      <c r="B2414" s="7">
        <v>3000694.0</v>
      </c>
      <c r="C2414" s="7" t="s">
        <v>7830</v>
      </c>
      <c r="D2414" s="7" t="s">
        <v>17667</v>
      </c>
      <c r="E2414" s="7" t="s">
        <v>7832</v>
      </c>
      <c r="F2414" s="7" t="s">
        <v>3721</v>
      </c>
      <c r="G2414" s="7" t="s">
        <v>17668</v>
      </c>
      <c r="H2414" s="7" t="s">
        <v>17669</v>
      </c>
      <c r="I2414" s="119">
        <v>45778.0</v>
      </c>
      <c r="K2414" s="7" t="s">
        <v>419</v>
      </c>
      <c r="L2414" s="7" t="s">
        <v>991</v>
      </c>
      <c r="M2414" s="7" t="s">
        <v>3501</v>
      </c>
      <c r="N2414" s="7" t="s">
        <v>419</v>
      </c>
      <c r="O2414" s="7" t="s">
        <v>19437</v>
      </c>
      <c r="P2414" s="7" t="s">
        <v>440</v>
      </c>
      <c r="Q2414" s="7" t="s">
        <v>19453</v>
      </c>
      <c r="R2414" s="7" t="s">
        <v>20401</v>
      </c>
      <c r="T2414" s="7" t="s">
        <v>7591</v>
      </c>
      <c r="U2414" s="7" t="s">
        <v>3493</v>
      </c>
      <c r="V2414" s="7">
        <v>1.0</v>
      </c>
    </row>
    <row r="2415">
      <c r="A2415" s="7" t="s">
        <v>22327</v>
      </c>
      <c r="B2415" s="7">
        <v>3000751.0</v>
      </c>
      <c r="C2415" s="7" t="s">
        <v>7991</v>
      </c>
      <c r="D2415" s="7" t="s">
        <v>7559</v>
      </c>
      <c r="E2415" s="7" t="s">
        <v>7993</v>
      </c>
      <c r="F2415" s="7" t="s">
        <v>3909</v>
      </c>
      <c r="G2415" s="7" t="s">
        <v>17671</v>
      </c>
      <c r="H2415" s="7" t="s">
        <v>17672</v>
      </c>
      <c r="I2415" s="119">
        <v>45778.0</v>
      </c>
      <c r="K2415" s="7" t="s">
        <v>419</v>
      </c>
      <c r="L2415" s="7" t="s">
        <v>991</v>
      </c>
      <c r="M2415" s="7" t="s">
        <v>3531</v>
      </c>
      <c r="N2415" s="7" t="s">
        <v>419</v>
      </c>
      <c r="O2415" s="7" t="s">
        <v>19432</v>
      </c>
      <c r="P2415" s="7" t="s">
        <v>693</v>
      </c>
      <c r="Q2415" s="7" t="s">
        <v>698</v>
      </c>
      <c r="R2415" s="7" t="s">
        <v>19563</v>
      </c>
      <c r="S2415" s="7" t="s">
        <v>19971</v>
      </c>
      <c r="T2415" s="7" t="s">
        <v>5462</v>
      </c>
      <c r="U2415" s="7" t="s">
        <v>3493</v>
      </c>
      <c r="V2415" s="7">
        <v>1.0</v>
      </c>
    </row>
    <row r="2416">
      <c r="A2416" s="7" t="s">
        <v>22328</v>
      </c>
      <c r="B2416" s="7">
        <v>3000755.0</v>
      </c>
      <c r="C2416" s="7" t="s">
        <v>8174</v>
      </c>
      <c r="D2416" s="7" t="s">
        <v>17674</v>
      </c>
      <c r="E2416" s="7" t="s">
        <v>8170</v>
      </c>
      <c r="F2416" s="7" t="s">
        <v>4814</v>
      </c>
      <c r="G2416" s="7" t="s">
        <v>17675</v>
      </c>
      <c r="H2416" s="7" t="s">
        <v>17676</v>
      </c>
      <c r="I2416" s="119">
        <v>45778.0</v>
      </c>
      <c r="K2416" s="7" t="s">
        <v>3642</v>
      </c>
      <c r="L2416" s="7" t="s">
        <v>991</v>
      </c>
      <c r="M2416" s="7" t="s">
        <v>3501</v>
      </c>
      <c r="N2416" s="7" t="s">
        <v>3642</v>
      </c>
      <c r="O2416" s="7" t="s">
        <v>3642</v>
      </c>
      <c r="P2416" s="7" t="s">
        <v>19524</v>
      </c>
      <c r="T2416" s="7" t="s">
        <v>3644</v>
      </c>
      <c r="U2416" s="7" t="s">
        <v>3493</v>
      </c>
      <c r="V2416" s="7">
        <v>1.0</v>
      </c>
    </row>
    <row r="2417">
      <c r="A2417" s="7" t="s">
        <v>22329</v>
      </c>
      <c r="B2417" s="7">
        <v>3000745.0</v>
      </c>
      <c r="C2417" s="7" t="s">
        <v>17678</v>
      </c>
      <c r="D2417" s="7" t="s">
        <v>17679</v>
      </c>
      <c r="E2417" s="7" t="s">
        <v>17680</v>
      </c>
      <c r="F2417" s="7" t="s">
        <v>3498</v>
      </c>
      <c r="G2417" s="7" t="s">
        <v>17681</v>
      </c>
      <c r="H2417" s="7" t="s">
        <v>17682</v>
      </c>
      <c r="I2417" s="119">
        <v>45778.0</v>
      </c>
      <c r="K2417" s="7" t="s">
        <v>419</v>
      </c>
      <c r="L2417" s="7" t="s">
        <v>991</v>
      </c>
      <c r="M2417" s="7" t="s">
        <v>3531</v>
      </c>
      <c r="N2417" s="7" t="s">
        <v>419</v>
      </c>
      <c r="O2417" s="7" t="s">
        <v>19443</v>
      </c>
      <c r="P2417" s="7" t="s">
        <v>1242</v>
      </c>
      <c r="Q2417" s="7" t="s">
        <v>51</v>
      </c>
      <c r="R2417" s="7" t="s">
        <v>19549</v>
      </c>
      <c r="S2417" s="7" t="s">
        <v>19550</v>
      </c>
      <c r="T2417" s="7" t="s">
        <v>3752</v>
      </c>
      <c r="U2417" s="7" t="s">
        <v>3493</v>
      </c>
      <c r="V2417" s="7">
        <v>1.0</v>
      </c>
    </row>
    <row r="2418">
      <c r="A2418" s="7" t="s">
        <v>22330</v>
      </c>
      <c r="B2418" s="7">
        <v>3000736.0</v>
      </c>
      <c r="C2418" s="7" t="s">
        <v>8743</v>
      </c>
      <c r="D2418" s="7" t="s">
        <v>13014</v>
      </c>
      <c r="E2418" s="7" t="s">
        <v>8745</v>
      </c>
      <c r="F2418" s="7" t="s">
        <v>9490</v>
      </c>
      <c r="G2418" s="7" t="s">
        <v>17684</v>
      </c>
      <c r="H2418" s="7" t="s">
        <v>17685</v>
      </c>
      <c r="I2418" s="119">
        <v>45778.0</v>
      </c>
      <c r="K2418" s="7" t="s">
        <v>419</v>
      </c>
      <c r="L2418" s="7" t="s">
        <v>991</v>
      </c>
      <c r="M2418" s="7" t="s">
        <v>3531</v>
      </c>
      <c r="N2418" s="7" t="s">
        <v>419</v>
      </c>
      <c r="O2418" s="7" t="s">
        <v>19443</v>
      </c>
      <c r="P2418" s="7" t="s">
        <v>1242</v>
      </c>
      <c r="Q2418" s="7" t="s">
        <v>51</v>
      </c>
      <c r="R2418" s="7" t="s">
        <v>19563</v>
      </c>
      <c r="S2418" s="7" t="s">
        <v>19564</v>
      </c>
      <c r="T2418" s="7" t="s">
        <v>3803</v>
      </c>
      <c r="U2418" s="7" t="s">
        <v>3493</v>
      </c>
      <c r="V2418" s="7">
        <v>1.0</v>
      </c>
    </row>
    <row r="2419">
      <c r="A2419" s="7" t="s">
        <v>22331</v>
      </c>
      <c r="B2419" s="7">
        <v>3000750.0</v>
      </c>
      <c r="C2419" s="7" t="s">
        <v>17687</v>
      </c>
      <c r="D2419" s="7" t="s">
        <v>17688</v>
      </c>
      <c r="E2419" s="7" t="s">
        <v>17689</v>
      </c>
      <c r="F2419" s="7" t="s">
        <v>7477</v>
      </c>
      <c r="G2419" s="7" t="s">
        <v>17690</v>
      </c>
      <c r="H2419" s="7" t="s">
        <v>17691</v>
      </c>
      <c r="I2419" s="119">
        <v>45778.0</v>
      </c>
      <c r="K2419" s="7" t="s">
        <v>419</v>
      </c>
      <c r="L2419" s="7" t="s">
        <v>991</v>
      </c>
      <c r="M2419" s="7" t="s">
        <v>3531</v>
      </c>
      <c r="N2419" s="7" t="s">
        <v>419</v>
      </c>
      <c r="O2419" s="7" t="s">
        <v>19443</v>
      </c>
      <c r="P2419" s="7" t="s">
        <v>1242</v>
      </c>
      <c r="Q2419" s="7" t="s">
        <v>51</v>
      </c>
      <c r="R2419" s="7" t="s">
        <v>19563</v>
      </c>
      <c r="S2419" s="7" t="s">
        <v>19564</v>
      </c>
      <c r="T2419" s="7" t="s">
        <v>3803</v>
      </c>
      <c r="U2419" s="7" t="s">
        <v>3493</v>
      </c>
      <c r="V2419" s="7">
        <v>1.0</v>
      </c>
    </row>
    <row r="2420">
      <c r="A2420" s="7" t="s">
        <v>22332</v>
      </c>
      <c r="B2420" s="7">
        <v>3000737.0</v>
      </c>
      <c r="C2420" s="7" t="s">
        <v>17693</v>
      </c>
      <c r="D2420" s="7" t="s">
        <v>17694</v>
      </c>
      <c r="E2420" s="7" t="s">
        <v>17695</v>
      </c>
      <c r="F2420" s="7" t="s">
        <v>17696</v>
      </c>
      <c r="G2420" s="7" t="s">
        <v>17697</v>
      </c>
      <c r="H2420" s="7" t="s">
        <v>17698</v>
      </c>
      <c r="I2420" s="119">
        <v>45778.0</v>
      </c>
      <c r="K2420" s="7" t="s">
        <v>419</v>
      </c>
      <c r="L2420" s="7" t="s">
        <v>991</v>
      </c>
      <c r="M2420" s="7" t="s">
        <v>3531</v>
      </c>
      <c r="N2420" s="7" t="s">
        <v>419</v>
      </c>
      <c r="O2420" s="7" t="s">
        <v>19437</v>
      </c>
      <c r="P2420" s="7" t="s">
        <v>478</v>
      </c>
      <c r="Q2420" s="7" t="s">
        <v>491</v>
      </c>
      <c r="T2420" s="7" t="s">
        <v>16463</v>
      </c>
      <c r="U2420" s="7" t="s">
        <v>3493</v>
      </c>
      <c r="V2420" s="7">
        <v>1.0</v>
      </c>
    </row>
    <row r="2421">
      <c r="A2421" s="7" t="s">
        <v>22333</v>
      </c>
      <c r="B2421" s="7">
        <v>3000702.0</v>
      </c>
      <c r="C2421" s="7" t="s">
        <v>11019</v>
      </c>
      <c r="D2421" s="7" t="s">
        <v>17700</v>
      </c>
      <c r="E2421" s="7" t="s">
        <v>11020</v>
      </c>
      <c r="F2421" s="7" t="s">
        <v>3517</v>
      </c>
      <c r="G2421" s="7" t="s">
        <v>17701</v>
      </c>
      <c r="H2421" s="7" t="s">
        <v>17702</v>
      </c>
      <c r="I2421" s="119">
        <v>45778.0</v>
      </c>
      <c r="K2421" s="7" t="s">
        <v>419</v>
      </c>
      <c r="L2421" s="7" t="s">
        <v>991</v>
      </c>
      <c r="M2421" s="7" t="s">
        <v>3501</v>
      </c>
      <c r="N2421" s="7" t="s">
        <v>419</v>
      </c>
      <c r="O2421" s="7" t="s">
        <v>19443</v>
      </c>
      <c r="P2421" s="7" t="s">
        <v>1242</v>
      </c>
      <c r="Q2421" s="7" t="s">
        <v>43</v>
      </c>
      <c r="R2421" s="7" t="s">
        <v>19847</v>
      </c>
      <c r="T2421" s="7" t="s">
        <v>5002</v>
      </c>
      <c r="U2421" s="7" t="s">
        <v>3493</v>
      </c>
      <c r="V2421" s="7">
        <v>1.0</v>
      </c>
    </row>
    <row r="2422">
      <c r="A2422" s="7" t="s">
        <v>22334</v>
      </c>
      <c r="B2422" s="7">
        <v>3000731.0</v>
      </c>
      <c r="C2422" s="7" t="s">
        <v>17704</v>
      </c>
      <c r="D2422" s="7" t="s">
        <v>17705</v>
      </c>
      <c r="E2422" s="7" t="s">
        <v>17706</v>
      </c>
      <c r="F2422" s="7" t="s">
        <v>11235</v>
      </c>
      <c r="G2422" s="7" t="s">
        <v>17707</v>
      </c>
      <c r="H2422" s="7" t="s">
        <v>17708</v>
      </c>
      <c r="I2422" s="119">
        <v>45778.0</v>
      </c>
      <c r="K2422" s="7" t="s">
        <v>419</v>
      </c>
      <c r="L2422" s="7" t="s">
        <v>991</v>
      </c>
      <c r="M2422" s="7" t="s">
        <v>3583</v>
      </c>
      <c r="N2422" s="7" t="s">
        <v>419</v>
      </c>
      <c r="O2422" s="7" t="s">
        <v>19430</v>
      </c>
      <c r="P2422" s="7" t="s">
        <v>780</v>
      </c>
      <c r="Q2422" s="7" t="s">
        <v>786</v>
      </c>
      <c r="R2422" s="7" t="s">
        <v>20558</v>
      </c>
      <c r="T2422" s="7" t="s">
        <v>16162</v>
      </c>
      <c r="U2422" s="7" t="s">
        <v>3493</v>
      </c>
      <c r="V2422" s="7">
        <v>1.0</v>
      </c>
    </row>
    <row r="2423">
      <c r="A2423" s="7" t="s">
        <v>22335</v>
      </c>
      <c r="B2423" s="7">
        <v>3000747.0</v>
      </c>
      <c r="C2423" s="7" t="s">
        <v>17710</v>
      </c>
      <c r="D2423" s="7" t="s">
        <v>10165</v>
      </c>
      <c r="E2423" s="7" t="s">
        <v>17711</v>
      </c>
      <c r="F2423" s="7" t="s">
        <v>5595</v>
      </c>
      <c r="G2423" s="7" t="s">
        <v>17712</v>
      </c>
      <c r="H2423" s="7" t="s">
        <v>17713</v>
      </c>
      <c r="I2423" s="119">
        <v>45778.0</v>
      </c>
      <c r="K2423" s="7" t="s">
        <v>419</v>
      </c>
      <c r="L2423" s="7" t="s">
        <v>991</v>
      </c>
      <c r="M2423" s="7" t="s">
        <v>3531</v>
      </c>
      <c r="N2423" s="7" t="s">
        <v>419</v>
      </c>
      <c r="O2423" s="7" t="s">
        <v>19433</v>
      </c>
      <c r="P2423" s="7" t="s">
        <v>648</v>
      </c>
      <c r="Q2423" s="7" t="s">
        <v>148</v>
      </c>
      <c r="R2423" s="7" t="s">
        <v>19501</v>
      </c>
      <c r="T2423" s="7" t="s">
        <v>4445</v>
      </c>
      <c r="U2423" s="7" t="s">
        <v>3493</v>
      </c>
      <c r="V2423" s="7">
        <v>1.0</v>
      </c>
    </row>
    <row r="2424">
      <c r="A2424" s="7" t="s">
        <v>22336</v>
      </c>
      <c r="B2424" s="7">
        <v>3000744.0</v>
      </c>
      <c r="C2424" s="7" t="s">
        <v>11541</v>
      </c>
      <c r="D2424" s="7" t="s">
        <v>6406</v>
      </c>
      <c r="E2424" s="7" t="s">
        <v>11543</v>
      </c>
      <c r="F2424" s="7" t="s">
        <v>6408</v>
      </c>
      <c r="G2424" s="7" t="s">
        <v>17715</v>
      </c>
      <c r="H2424" s="7" t="s">
        <v>17716</v>
      </c>
      <c r="I2424" s="119">
        <v>45778.0</v>
      </c>
      <c r="K2424" s="7" t="s">
        <v>419</v>
      </c>
      <c r="L2424" s="7" t="s">
        <v>991</v>
      </c>
      <c r="M2424" s="7" t="s">
        <v>3531</v>
      </c>
      <c r="N2424" s="7" t="s">
        <v>419</v>
      </c>
      <c r="O2424" s="7" t="s">
        <v>19432</v>
      </c>
      <c r="P2424" s="7" t="s">
        <v>391</v>
      </c>
      <c r="Q2424" s="7" t="s">
        <v>399</v>
      </c>
      <c r="R2424" s="7" t="s">
        <v>20194</v>
      </c>
      <c r="T2424" s="7" t="s">
        <v>6534</v>
      </c>
      <c r="U2424" s="7" t="s">
        <v>3493</v>
      </c>
      <c r="V2424" s="7">
        <v>1.0</v>
      </c>
    </row>
    <row r="2425">
      <c r="A2425" s="7" t="s">
        <v>22337</v>
      </c>
      <c r="B2425" s="7">
        <v>3000741.0</v>
      </c>
      <c r="C2425" s="7" t="s">
        <v>12668</v>
      </c>
      <c r="D2425" s="7" t="s">
        <v>17718</v>
      </c>
      <c r="E2425" s="7" t="s">
        <v>12669</v>
      </c>
      <c r="F2425" s="7" t="s">
        <v>17719</v>
      </c>
      <c r="G2425" s="7" t="s">
        <v>17720</v>
      </c>
      <c r="H2425" s="7" t="s">
        <v>17721</v>
      </c>
      <c r="I2425" s="119">
        <v>45778.0</v>
      </c>
      <c r="K2425" s="7" t="s">
        <v>419</v>
      </c>
      <c r="L2425" s="7" t="s">
        <v>991</v>
      </c>
      <c r="M2425" s="7" t="s">
        <v>3531</v>
      </c>
      <c r="N2425" s="7" t="s">
        <v>419</v>
      </c>
      <c r="O2425" s="7" t="s">
        <v>19437</v>
      </c>
      <c r="P2425" s="7" t="s">
        <v>440</v>
      </c>
      <c r="Q2425" s="7" t="s">
        <v>19453</v>
      </c>
      <c r="T2425" s="7" t="s">
        <v>17630</v>
      </c>
      <c r="U2425" s="7" t="s">
        <v>3493</v>
      </c>
      <c r="V2425" s="7">
        <v>1.0</v>
      </c>
    </row>
    <row r="2426">
      <c r="A2426" s="7" t="s">
        <v>22338</v>
      </c>
      <c r="B2426" s="7">
        <v>3000739.0</v>
      </c>
      <c r="C2426" s="7" t="s">
        <v>12771</v>
      </c>
      <c r="D2426" s="7" t="s">
        <v>17723</v>
      </c>
      <c r="E2426" s="7" t="s">
        <v>12765</v>
      </c>
      <c r="F2426" s="7" t="s">
        <v>17724</v>
      </c>
      <c r="G2426" s="7" t="s">
        <v>17725</v>
      </c>
      <c r="H2426" s="7" t="s">
        <v>17726</v>
      </c>
      <c r="I2426" s="119">
        <v>45778.0</v>
      </c>
      <c r="K2426" s="7" t="s">
        <v>419</v>
      </c>
      <c r="L2426" s="7" t="s">
        <v>991</v>
      </c>
      <c r="M2426" s="7" t="s">
        <v>3531</v>
      </c>
      <c r="N2426" s="7" t="s">
        <v>419</v>
      </c>
      <c r="O2426" s="7" t="s">
        <v>19437</v>
      </c>
      <c r="P2426" s="7" t="s">
        <v>478</v>
      </c>
      <c r="Q2426" s="7" t="s">
        <v>491</v>
      </c>
      <c r="T2426" s="7" t="s">
        <v>16463</v>
      </c>
      <c r="U2426" s="7" t="s">
        <v>3493</v>
      </c>
      <c r="V2426" s="7">
        <v>1.0</v>
      </c>
    </row>
    <row r="2427">
      <c r="A2427" s="7" t="s">
        <v>22339</v>
      </c>
      <c r="B2427" s="7">
        <v>3000759.0</v>
      </c>
      <c r="C2427" s="7" t="s">
        <v>15702</v>
      </c>
      <c r="D2427" s="7" t="s">
        <v>17728</v>
      </c>
      <c r="E2427" s="7" t="s">
        <v>15704</v>
      </c>
      <c r="F2427" s="7" t="s">
        <v>3806</v>
      </c>
      <c r="G2427" s="7" t="s">
        <v>17729</v>
      </c>
      <c r="H2427" s="7" t="s">
        <v>17730</v>
      </c>
      <c r="I2427" s="119">
        <v>45778.0</v>
      </c>
      <c r="K2427" s="7" t="s">
        <v>419</v>
      </c>
      <c r="L2427" s="7" t="s">
        <v>991</v>
      </c>
      <c r="M2427" s="7" t="s">
        <v>3531</v>
      </c>
      <c r="N2427" s="7" t="s">
        <v>419</v>
      </c>
      <c r="O2427" s="7" t="s">
        <v>19430</v>
      </c>
      <c r="P2427" s="7" t="s">
        <v>780</v>
      </c>
      <c r="Q2427" s="7" t="s">
        <v>786</v>
      </c>
      <c r="R2427" s="7" t="s">
        <v>19666</v>
      </c>
      <c r="T2427" s="7" t="s">
        <v>4169</v>
      </c>
      <c r="U2427" s="7" t="s">
        <v>3493</v>
      </c>
      <c r="V2427" s="7">
        <v>1.0</v>
      </c>
    </row>
    <row r="2428">
      <c r="A2428" s="7" t="s">
        <v>22340</v>
      </c>
      <c r="B2428" s="7">
        <v>3000586.0</v>
      </c>
      <c r="C2428" s="7" t="s">
        <v>13217</v>
      </c>
      <c r="D2428" s="7" t="s">
        <v>14708</v>
      </c>
      <c r="E2428" s="7" t="s">
        <v>13219</v>
      </c>
      <c r="F2428" s="7" t="s">
        <v>14510</v>
      </c>
      <c r="G2428" s="7" t="s">
        <v>17732</v>
      </c>
      <c r="H2428" s="7" t="s">
        <v>17733</v>
      </c>
      <c r="I2428" s="119">
        <v>45778.0</v>
      </c>
      <c r="K2428" s="7" t="s">
        <v>419</v>
      </c>
      <c r="L2428" s="7" t="s">
        <v>991</v>
      </c>
      <c r="M2428" s="7" t="s">
        <v>3501</v>
      </c>
      <c r="N2428" s="7" t="s">
        <v>419</v>
      </c>
      <c r="O2428" s="7" t="s">
        <v>19443</v>
      </c>
      <c r="P2428" s="7" t="s">
        <v>1242</v>
      </c>
      <c r="Q2428" s="7" t="s">
        <v>51</v>
      </c>
      <c r="R2428" s="7" t="s">
        <v>19549</v>
      </c>
      <c r="S2428" s="7" t="s">
        <v>20042</v>
      </c>
      <c r="T2428" s="7" t="s">
        <v>5781</v>
      </c>
      <c r="U2428" s="7" t="s">
        <v>3493</v>
      </c>
      <c r="V2428" s="7">
        <v>1.0</v>
      </c>
    </row>
    <row r="2429">
      <c r="A2429" s="7" t="s">
        <v>22341</v>
      </c>
      <c r="B2429" s="7">
        <v>3000760.0</v>
      </c>
      <c r="C2429" s="7" t="s">
        <v>17735</v>
      </c>
      <c r="D2429" s="7" t="s">
        <v>12194</v>
      </c>
      <c r="E2429" s="7" t="s">
        <v>17736</v>
      </c>
      <c r="F2429" s="7" t="s">
        <v>12970</v>
      </c>
      <c r="G2429" s="7" t="s">
        <v>17737</v>
      </c>
      <c r="H2429" s="7" t="s">
        <v>17738</v>
      </c>
      <c r="I2429" s="119">
        <v>45778.0</v>
      </c>
      <c r="K2429" s="7" t="s">
        <v>15381</v>
      </c>
      <c r="L2429" s="7" t="s">
        <v>991</v>
      </c>
      <c r="M2429" s="7" t="s">
        <v>3531</v>
      </c>
      <c r="N2429" s="7" t="s">
        <v>15381</v>
      </c>
      <c r="O2429" s="7" t="s">
        <v>15381</v>
      </c>
      <c r="P2429" s="7" t="s">
        <v>21865</v>
      </c>
      <c r="T2429" s="7" t="s">
        <v>15383</v>
      </c>
      <c r="U2429" s="7" t="s">
        <v>3493</v>
      </c>
      <c r="V2429" s="7">
        <v>1.0</v>
      </c>
    </row>
    <row r="2430">
      <c r="A2430" s="7" t="s">
        <v>22342</v>
      </c>
      <c r="B2430" s="7">
        <v>3000735.0</v>
      </c>
      <c r="C2430" s="7" t="s">
        <v>14145</v>
      </c>
      <c r="D2430" s="7" t="s">
        <v>17740</v>
      </c>
      <c r="E2430" s="7" t="s">
        <v>14147</v>
      </c>
      <c r="F2430" s="7" t="s">
        <v>7361</v>
      </c>
      <c r="G2430" s="7" t="s">
        <v>17741</v>
      </c>
      <c r="H2430" s="7" t="s">
        <v>17742</v>
      </c>
      <c r="I2430" s="119">
        <v>45778.0</v>
      </c>
      <c r="K2430" s="7" t="s">
        <v>419</v>
      </c>
      <c r="L2430" s="7" t="s">
        <v>991</v>
      </c>
      <c r="M2430" s="7" t="s">
        <v>3531</v>
      </c>
      <c r="N2430" s="7" t="s">
        <v>419</v>
      </c>
      <c r="O2430" s="7" t="s">
        <v>19430</v>
      </c>
      <c r="P2430" s="7" t="s">
        <v>717</v>
      </c>
      <c r="Q2430" s="7" t="s">
        <v>720</v>
      </c>
      <c r="R2430" s="7" t="s">
        <v>19542</v>
      </c>
      <c r="T2430" s="7" t="s">
        <v>3725</v>
      </c>
      <c r="U2430" s="7" t="s">
        <v>3493</v>
      </c>
      <c r="V2430" s="7">
        <v>1.0</v>
      </c>
    </row>
    <row r="2431">
      <c r="A2431" s="7" t="s">
        <v>22343</v>
      </c>
      <c r="B2431" s="7">
        <v>3000727.0</v>
      </c>
      <c r="C2431" s="7" t="s">
        <v>4663</v>
      </c>
      <c r="D2431" s="7" t="s">
        <v>17744</v>
      </c>
      <c r="E2431" s="7" t="s">
        <v>4665</v>
      </c>
      <c r="F2431" s="7" t="s">
        <v>4203</v>
      </c>
      <c r="G2431" s="7" t="s">
        <v>17745</v>
      </c>
      <c r="H2431" s="7" t="s">
        <v>17746</v>
      </c>
      <c r="I2431" s="119">
        <v>45793.0</v>
      </c>
      <c r="K2431" s="7" t="s">
        <v>419</v>
      </c>
      <c r="L2431" s="7" t="s">
        <v>991</v>
      </c>
      <c r="M2431" s="7" t="s">
        <v>3501</v>
      </c>
      <c r="N2431" s="7" t="s">
        <v>419</v>
      </c>
      <c r="O2431" s="7" t="s">
        <v>19443</v>
      </c>
      <c r="P2431" s="7" t="s">
        <v>323</v>
      </c>
      <c r="Q2431" s="7" t="s">
        <v>324</v>
      </c>
      <c r="R2431" s="7" t="s">
        <v>20367</v>
      </c>
      <c r="T2431" s="7" t="s">
        <v>7418</v>
      </c>
      <c r="U2431" s="7" t="s">
        <v>3493</v>
      </c>
      <c r="V2431" s="7">
        <v>1.0</v>
      </c>
    </row>
    <row r="2432">
      <c r="A2432" s="7" t="s">
        <v>22344</v>
      </c>
      <c r="B2432" s="7">
        <v>3000733.0</v>
      </c>
      <c r="C2432" s="7" t="s">
        <v>17748</v>
      </c>
      <c r="D2432" s="7" t="s">
        <v>17749</v>
      </c>
      <c r="E2432" s="7" t="s">
        <v>17750</v>
      </c>
      <c r="F2432" s="7" t="s">
        <v>6231</v>
      </c>
      <c r="G2432" s="7" t="s">
        <v>17751</v>
      </c>
      <c r="H2432" s="7" t="s">
        <v>17752</v>
      </c>
      <c r="I2432" s="119">
        <v>45793.0</v>
      </c>
      <c r="K2432" s="7" t="s">
        <v>419</v>
      </c>
      <c r="L2432" s="7" t="s">
        <v>991</v>
      </c>
      <c r="M2432" s="7" t="s">
        <v>3501</v>
      </c>
      <c r="N2432" s="7" t="s">
        <v>419</v>
      </c>
      <c r="O2432" s="7" t="s">
        <v>19438</v>
      </c>
      <c r="P2432" s="7" t="s">
        <v>19465</v>
      </c>
      <c r="Q2432" s="7" t="s">
        <v>186</v>
      </c>
      <c r="R2432" s="7" t="s">
        <v>20121</v>
      </c>
      <c r="T2432" s="7" t="s">
        <v>6596</v>
      </c>
      <c r="U2432" s="7" t="s">
        <v>3493</v>
      </c>
      <c r="V2432" s="7">
        <v>1.0</v>
      </c>
    </row>
    <row r="2433">
      <c r="A2433" s="7" t="s">
        <v>22345</v>
      </c>
      <c r="B2433" s="7">
        <v>3000772.0</v>
      </c>
      <c r="C2433" s="7" t="s">
        <v>5853</v>
      </c>
      <c r="D2433" s="7" t="s">
        <v>17754</v>
      </c>
      <c r="E2433" s="7" t="s">
        <v>5855</v>
      </c>
      <c r="F2433" s="7" t="s">
        <v>17755</v>
      </c>
      <c r="G2433" s="7" t="s">
        <v>17756</v>
      </c>
      <c r="H2433" s="7" t="s">
        <v>17757</v>
      </c>
      <c r="I2433" s="119">
        <v>45793.0</v>
      </c>
      <c r="K2433" s="7" t="s">
        <v>419</v>
      </c>
      <c r="L2433" s="7" t="s">
        <v>991</v>
      </c>
      <c r="M2433" s="7" t="s">
        <v>3531</v>
      </c>
      <c r="N2433" s="7" t="s">
        <v>419</v>
      </c>
      <c r="O2433" s="7" t="s">
        <v>19430</v>
      </c>
      <c r="P2433" s="7" t="s">
        <v>780</v>
      </c>
      <c r="Q2433" s="7" t="s">
        <v>284</v>
      </c>
      <c r="R2433" s="7" t="s">
        <v>19554</v>
      </c>
      <c r="T2433" s="7" t="s">
        <v>5454</v>
      </c>
      <c r="U2433" s="7" t="s">
        <v>3493</v>
      </c>
      <c r="V2433" s="7">
        <v>1.0</v>
      </c>
    </row>
    <row r="2434">
      <c r="A2434" s="7" t="s">
        <v>22346</v>
      </c>
      <c r="B2434" s="7">
        <v>3000775.0</v>
      </c>
      <c r="C2434" s="7" t="s">
        <v>17759</v>
      </c>
      <c r="D2434" s="7" t="s">
        <v>17760</v>
      </c>
      <c r="E2434" s="7" t="s">
        <v>8285</v>
      </c>
      <c r="F2434" s="7" t="s">
        <v>6408</v>
      </c>
      <c r="G2434" s="7" t="s">
        <v>17761</v>
      </c>
      <c r="H2434" s="7" t="s">
        <v>17762</v>
      </c>
      <c r="I2434" s="119">
        <v>45793.0</v>
      </c>
      <c r="K2434" s="7" t="s">
        <v>419</v>
      </c>
      <c r="L2434" s="7" t="s">
        <v>991</v>
      </c>
      <c r="M2434" s="7" t="s">
        <v>3531</v>
      </c>
      <c r="N2434" s="7" t="s">
        <v>419</v>
      </c>
      <c r="O2434" s="7" t="s">
        <v>19433</v>
      </c>
      <c r="P2434" s="7" t="s">
        <v>587</v>
      </c>
      <c r="Q2434" s="7" t="s">
        <v>74</v>
      </c>
      <c r="T2434" s="7" t="s">
        <v>5112</v>
      </c>
      <c r="U2434" s="7" t="s">
        <v>3493</v>
      </c>
      <c r="V2434" s="7">
        <v>1.0</v>
      </c>
    </row>
    <row r="2435">
      <c r="A2435" s="7" t="s">
        <v>22347</v>
      </c>
      <c r="B2435" s="7">
        <v>3000788.0</v>
      </c>
      <c r="C2435" s="7" t="s">
        <v>8284</v>
      </c>
      <c r="D2435" s="7" t="s">
        <v>17764</v>
      </c>
      <c r="E2435" s="7" t="s">
        <v>8285</v>
      </c>
      <c r="F2435" s="7" t="s">
        <v>17765</v>
      </c>
      <c r="G2435" s="7" t="s">
        <v>17766</v>
      </c>
      <c r="H2435" s="7" t="s">
        <v>17767</v>
      </c>
      <c r="I2435" s="119">
        <v>45793.0</v>
      </c>
      <c r="K2435" s="7" t="s">
        <v>419</v>
      </c>
      <c r="L2435" s="7" t="s">
        <v>991</v>
      </c>
      <c r="M2435" s="7" t="s">
        <v>3531</v>
      </c>
      <c r="N2435" s="7" t="s">
        <v>419</v>
      </c>
      <c r="O2435" s="7" t="s">
        <v>19432</v>
      </c>
      <c r="P2435" s="7" t="s">
        <v>298</v>
      </c>
      <c r="Q2435" s="7" t="s">
        <v>1284</v>
      </c>
      <c r="R2435" s="7" t="s">
        <v>20033</v>
      </c>
      <c r="S2435" s="7" t="s">
        <v>20034</v>
      </c>
      <c r="T2435" s="7" t="s">
        <v>5747</v>
      </c>
      <c r="U2435" s="7" t="s">
        <v>3493</v>
      </c>
      <c r="V2435" s="7">
        <v>1.0</v>
      </c>
    </row>
    <row r="2436">
      <c r="A2436" s="7" t="s">
        <v>22348</v>
      </c>
      <c r="B2436" s="7">
        <v>3000777.0</v>
      </c>
      <c r="C2436" s="7" t="s">
        <v>14829</v>
      </c>
      <c r="D2436" s="7" t="s">
        <v>17769</v>
      </c>
      <c r="E2436" s="7" t="s">
        <v>8778</v>
      </c>
      <c r="F2436" s="7" t="s">
        <v>3748</v>
      </c>
      <c r="G2436" s="7" t="s">
        <v>17770</v>
      </c>
      <c r="H2436" s="7" t="s">
        <v>17771</v>
      </c>
      <c r="I2436" s="119">
        <v>45793.0</v>
      </c>
      <c r="K2436" s="7" t="s">
        <v>419</v>
      </c>
      <c r="L2436" s="7" t="s">
        <v>991</v>
      </c>
      <c r="M2436" s="7" t="s">
        <v>3531</v>
      </c>
      <c r="N2436" s="7" t="s">
        <v>419</v>
      </c>
      <c r="O2436" s="7" t="s">
        <v>19432</v>
      </c>
      <c r="P2436" s="7" t="s">
        <v>298</v>
      </c>
      <c r="Q2436" s="7" t="s">
        <v>1284</v>
      </c>
      <c r="R2436" s="7" t="s">
        <v>20579</v>
      </c>
      <c r="S2436" s="7" t="s">
        <v>21362</v>
      </c>
      <c r="T2436" s="7" t="s">
        <v>12740</v>
      </c>
      <c r="U2436" s="7" t="s">
        <v>3493</v>
      </c>
      <c r="V2436" s="7">
        <v>1.0</v>
      </c>
    </row>
    <row r="2437">
      <c r="A2437" s="7" t="s">
        <v>22349</v>
      </c>
      <c r="B2437" s="7">
        <v>3000773.0</v>
      </c>
      <c r="C2437" s="7" t="s">
        <v>9461</v>
      </c>
      <c r="D2437" s="7" t="s">
        <v>17773</v>
      </c>
      <c r="E2437" s="7" t="s">
        <v>9463</v>
      </c>
      <c r="F2437" s="7" t="s">
        <v>13666</v>
      </c>
      <c r="G2437" s="7" t="s">
        <v>17774</v>
      </c>
      <c r="H2437" s="7" t="s">
        <v>17775</v>
      </c>
      <c r="I2437" s="119">
        <v>45793.0</v>
      </c>
      <c r="K2437" s="7" t="s">
        <v>419</v>
      </c>
      <c r="L2437" s="7" t="s">
        <v>991</v>
      </c>
      <c r="M2437" s="7" t="s">
        <v>3531</v>
      </c>
      <c r="N2437" s="7" t="s">
        <v>419</v>
      </c>
      <c r="O2437" s="7" t="s">
        <v>19430</v>
      </c>
      <c r="P2437" s="7" t="s">
        <v>717</v>
      </c>
      <c r="Q2437" s="7" t="s">
        <v>722</v>
      </c>
      <c r="R2437" s="7" t="s">
        <v>20163</v>
      </c>
      <c r="S2437" s="7" t="s">
        <v>20729</v>
      </c>
      <c r="T2437" s="7" t="s">
        <v>17776</v>
      </c>
      <c r="U2437" s="7" t="s">
        <v>3493</v>
      </c>
      <c r="V2437" s="7">
        <v>1.0</v>
      </c>
    </row>
    <row r="2438">
      <c r="A2438" s="7" t="s">
        <v>22350</v>
      </c>
      <c r="B2438" s="7">
        <v>3000774.0</v>
      </c>
      <c r="C2438" s="7" t="s">
        <v>13182</v>
      </c>
      <c r="D2438" s="7" t="s">
        <v>17778</v>
      </c>
      <c r="E2438" s="7" t="s">
        <v>17779</v>
      </c>
      <c r="F2438" s="7" t="s">
        <v>5058</v>
      </c>
      <c r="G2438" s="7" t="s">
        <v>17780</v>
      </c>
      <c r="H2438" s="7" t="s">
        <v>17781</v>
      </c>
      <c r="I2438" s="119">
        <v>45793.0</v>
      </c>
      <c r="K2438" s="7" t="s">
        <v>3632</v>
      </c>
      <c r="L2438" s="7" t="s">
        <v>991</v>
      </c>
      <c r="M2438" s="7" t="s">
        <v>3866</v>
      </c>
      <c r="N2438" s="7" t="s">
        <v>3632</v>
      </c>
      <c r="O2438" s="7" t="s">
        <v>3632</v>
      </c>
      <c r="P2438" s="7" t="s">
        <v>625</v>
      </c>
      <c r="Q2438" s="7" t="s">
        <v>118</v>
      </c>
      <c r="R2438" s="7" t="s">
        <v>19768</v>
      </c>
      <c r="T2438" s="7" t="s">
        <v>4577</v>
      </c>
      <c r="U2438" s="7" t="s">
        <v>3493</v>
      </c>
      <c r="V2438" s="7">
        <v>1.0</v>
      </c>
    </row>
    <row r="2439">
      <c r="A2439" s="7" t="s">
        <v>22351</v>
      </c>
      <c r="B2439" s="7">
        <v>3000767.0</v>
      </c>
      <c r="C2439" s="7" t="s">
        <v>13851</v>
      </c>
      <c r="D2439" s="7" t="s">
        <v>17784</v>
      </c>
      <c r="E2439" s="7" t="s">
        <v>13853</v>
      </c>
      <c r="F2439" s="7" t="s">
        <v>9902</v>
      </c>
      <c r="G2439" s="7" t="s">
        <v>17785</v>
      </c>
      <c r="H2439" s="7" t="s">
        <v>17786</v>
      </c>
      <c r="I2439" s="119">
        <v>45793.0</v>
      </c>
      <c r="K2439" s="7" t="s">
        <v>419</v>
      </c>
      <c r="L2439" s="7" t="s">
        <v>991</v>
      </c>
      <c r="M2439" s="7" t="s">
        <v>3583</v>
      </c>
      <c r="N2439" s="7" t="s">
        <v>419</v>
      </c>
      <c r="O2439" s="7" t="s">
        <v>19443</v>
      </c>
      <c r="P2439" s="7" t="s">
        <v>1242</v>
      </c>
      <c r="Q2439" s="7" t="s">
        <v>39</v>
      </c>
      <c r="R2439" s="7" t="s">
        <v>19929</v>
      </c>
      <c r="T2439" s="7" t="s">
        <v>10819</v>
      </c>
      <c r="U2439" s="7" t="s">
        <v>3493</v>
      </c>
      <c r="V2439" s="7">
        <v>1.0</v>
      </c>
    </row>
    <row r="2440">
      <c r="A2440" s="7" t="s">
        <v>22352</v>
      </c>
      <c r="B2440" s="7">
        <v>3000770.0</v>
      </c>
      <c r="C2440" s="7" t="s">
        <v>17788</v>
      </c>
      <c r="D2440" s="7" t="s">
        <v>17789</v>
      </c>
      <c r="E2440" s="7" t="s">
        <v>17790</v>
      </c>
      <c r="F2440" s="7" t="s">
        <v>17791</v>
      </c>
      <c r="G2440" s="7" t="s">
        <v>17792</v>
      </c>
      <c r="H2440" s="7" t="s">
        <v>17793</v>
      </c>
      <c r="I2440" s="119">
        <v>45793.0</v>
      </c>
      <c r="K2440" s="7" t="s">
        <v>3632</v>
      </c>
      <c r="L2440" s="7" t="s">
        <v>991</v>
      </c>
      <c r="M2440" s="7" t="s">
        <v>3531</v>
      </c>
      <c r="N2440" s="7" t="s">
        <v>3632</v>
      </c>
      <c r="O2440" s="7" t="s">
        <v>3632</v>
      </c>
      <c r="P2440" s="7" t="s">
        <v>19462</v>
      </c>
      <c r="Q2440" s="7" t="s">
        <v>19463</v>
      </c>
      <c r="R2440" s="7" t="s">
        <v>19587</v>
      </c>
      <c r="T2440" s="7" t="s">
        <v>17794</v>
      </c>
      <c r="U2440" s="7" t="s">
        <v>3493</v>
      </c>
      <c r="V2440" s="7">
        <v>1.0</v>
      </c>
    </row>
    <row r="2441">
      <c r="A2441" s="7" t="s">
        <v>22353</v>
      </c>
      <c r="B2441" s="7">
        <v>3000807.0</v>
      </c>
      <c r="C2441" s="7" t="s">
        <v>17796</v>
      </c>
      <c r="D2441" s="7" t="s">
        <v>17797</v>
      </c>
      <c r="E2441" s="7" t="s">
        <v>17798</v>
      </c>
      <c r="F2441" s="7" t="s">
        <v>5514</v>
      </c>
      <c r="G2441" s="7" t="s">
        <v>17799</v>
      </c>
      <c r="H2441" s="7" t="s">
        <v>17800</v>
      </c>
      <c r="I2441" s="119">
        <v>45809.0</v>
      </c>
      <c r="K2441" s="7" t="s">
        <v>419</v>
      </c>
      <c r="L2441" s="7" t="s">
        <v>991</v>
      </c>
      <c r="M2441" s="7" t="s">
        <v>3531</v>
      </c>
      <c r="N2441" s="7" t="s">
        <v>419</v>
      </c>
      <c r="O2441" s="7" t="s">
        <v>19437</v>
      </c>
      <c r="P2441" s="7" t="s">
        <v>603</v>
      </c>
      <c r="Q2441" s="7" t="s">
        <v>90</v>
      </c>
      <c r="R2441" s="7" t="s">
        <v>19690</v>
      </c>
      <c r="S2441" s="7" t="s">
        <v>19691</v>
      </c>
      <c r="T2441" s="7" t="s">
        <v>4266</v>
      </c>
      <c r="U2441" s="7" t="s">
        <v>3493</v>
      </c>
      <c r="V2441" s="7">
        <v>1.0</v>
      </c>
    </row>
    <row r="2442">
      <c r="A2442" s="7" t="s">
        <v>22354</v>
      </c>
      <c r="B2442" s="7">
        <v>3000765.0</v>
      </c>
      <c r="C2442" s="7" t="s">
        <v>3861</v>
      </c>
      <c r="D2442" s="7" t="s">
        <v>17802</v>
      </c>
      <c r="E2442" s="7" t="s">
        <v>3863</v>
      </c>
      <c r="F2442" s="7" t="s">
        <v>7492</v>
      </c>
      <c r="G2442" s="7" t="s">
        <v>17803</v>
      </c>
      <c r="H2442" s="7" t="s">
        <v>17804</v>
      </c>
      <c r="I2442" s="119">
        <v>45809.0</v>
      </c>
      <c r="K2442" s="7" t="s">
        <v>419</v>
      </c>
      <c r="L2442" s="7" t="s">
        <v>991</v>
      </c>
      <c r="M2442" s="7" t="s">
        <v>3501</v>
      </c>
      <c r="N2442" s="7" t="s">
        <v>419</v>
      </c>
      <c r="O2442" s="7" t="s">
        <v>19433</v>
      </c>
      <c r="P2442" s="7" t="s">
        <v>648</v>
      </c>
      <c r="Q2442" s="7" t="s">
        <v>143</v>
      </c>
      <c r="R2442" s="7" t="s">
        <v>19712</v>
      </c>
      <c r="S2442" s="7" t="s">
        <v>19987</v>
      </c>
      <c r="T2442" s="7" t="s">
        <v>5506</v>
      </c>
      <c r="U2442" s="7" t="s">
        <v>3493</v>
      </c>
      <c r="V2442" s="7">
        <v>1.0</v>
      </c>
    </row>
    <row r="2443">
      <c r="A2443" s="7" t="s">
        <v>22355</v>
      </c>
      <c r="B2443" s="7">
        <v>3000818.0</v>
      </c>
      <c r="C2443" s="7" t="s">
        <v>17806</v>
      </c>
      <c r="D2443" s="7" t="s">
        <v>4699</v>
      </c>
      <c r="E2443" s="7" t="s">
        <v>17807</v>
      </c>
      <c r="F2443" s="7" t="s">
        <v>4700</v>
      </c>
      <c r="G2443" s="7" t="s">
        <v>17808</v>
      </c>
      <c r="H2443" s="7" t="s">
        <v>17809</v>
      </c>
      <c r="I2443" s="119">
        <v>45809.0</v>
      </c>
      <c r="K2443" s="7" t="s">
        <v>419</v>
      </c>
      <c r="L2443" s="7" t="s">
        <v>991</v>
      </c>
      <c r="M2443" s="7" t="s">
        <v>3531</v>
      </c>
      <c r="N2443" s="7" t="s">
        <v>419</v>
      </c>
      <c r="O2443" s="7" t="s">
        <v>19443</v>
      </c>
      <c r="P2443" s="7" t="s">
        <v>1242</v>
      </c>
      <c r="Q2443" s="7" t="s">
        <v>51</v>
      </c>
      <c r="R2443" s="7" t="s">
        <v>19549</v>
      </c>
      <c r="S2443" s="7" t="s">
        <v>20042</v>
      </c>
      <c r="T2443" s="7" t="s">
        <v>5781</v>
      </c>
      <c r="U2443" s="7" t="s">
        <v>3493</v>
      </c>
      <c r="V2443" s="7">
        <v>1.0</v>
      </c>
    </row>
    <row r="2444">
      <c r="A2444" s="7" t="s">
        <v>22356</v>
      </c>
      <c r="B2444" s="7">
        <v>3000800.0</v>
      </c>
      <c r="C2444" s="7" t="s">
        <v>4887</v>
      </c>
      <c r="D2444" s="7" t="s">
        <v>17811</v>
      </c>
      <c r="E2444" s="7" t="s">
        <v>4888</v>
      </c>
      <c r="F2444" s="7" t="s">
        <v>4172</v>
      </c>
      <c r="G2444" s="7" t="s">
        <v>17812</v>
      </c>
      <c r="H2444" s="7" t="s">
        <v>17813</v>
      </c>
      <c r="I2444" s="119">
        <v>45809.0</v>
      </c>
      <c r="K2444" s="7" t="s">
        <v>419</v>
      </c>
      <c r="L2444" s="7" t="s">
        <v>991</v>
      </c>
      <c r="M2444" s="7" t="s">
        <v>3531</v>
      </c>
      <c r="N2444" s="7" t="s">
        <v>419</v>
      </c>
      <c r="O2444" s="7" t="s">
        <v>19430</v>
      </c>
      <c r="P2444" s="7" t="s">
        <v>717</v>
      </c>
      <c r="Q2444" s="7" t="s">
        <v>730</v>
      </c>
      <c r="R2444" s="7" t="s">
        <v>20097</v>
      </c>
      <c r="S2444" s="7" t="s">
        <v>21682</v>
      </c>
      <c r="T2444" s="7" t="s">
        <v>14479</v>
      </c>
      <c r="U2444" s="7" t="s">
        <v>3493</v>
      </c>
      <c r="V2444" s="7">
        <v>1.0</v>
      </c>
    </row>
    <row r="2445">
      <c r="A2445" s="7" t="s">
        <v>22357</v>
      </c>
      <c r="B2445" s="7">
        <v>3000796.0</v>
      </c>
      <c r="C2445" s="7" t="s">
        <v>17815</v>
      </c>
      <c r="D2445" s="7" t="s">
        <v>17816</v>
      </c>
      <c r="E2445" s="7" t="s">
        <v>6024</v>
      </c>
      <c r="F2445" s="7" t="s">
        <v>17817</v>
      </c>
      <c r="G2445" s="7" t="s">
        <v>17818</v>
      </c>
      <c r="H2445" s="7" t="s">
        <v>17819</v>
      </c>
      <c r="I2445" s="119">
        <v>45809.0</v>
      </c>
      <c r="K2445" s="7" t="s">
        <v>419</v>
      </c>
      <c r="L2445" s="7" t="s">
        <v>991</v>
      </c>
      <c r="M2445" s="7" t="s">
        <v>3583</v>
      </c>
      <c r="N2445" s="7" t="s">
        <v>419</v>
      </c>
      <c r="O2445" s="7" t="s">
        <v>19432</v>
      </c>
      <c r="P2445" s="7" t="s">
        <v>298</v>
      </c>
      <c r="Q2445" s="7" t="s">
        <v>1284</v>
      </c>
      <c r="R2445" s="7" t="s">
        <v>19845</v>
      </c>
      <c r="T2445" s="7" t="s">
        <v>4863</v>
      </c>
      <c r="U2445" s="7" t="s">
        <v>3493</v>
      </c>
      <c r="V2445" s="7">
        <v>1.0</v>
      </c>
    </row>
    <row r="2446">
      <c r="A2446" s="7" t="s">
        <v>22358</v>
      </c>
      <c r="B2446" s="7">
        <v>3000700.0</v>
      </c>
      <c r="C2446" s="7" t="s">
        <v>6598</v>
      </c>
      <c r="D2446" s="7" t="s">
        <v>4626</v>
      </c>
      <c r="E2446" s="7" t="s">
        <v>6611</v>
      </c>
      <c r="F2446" s="7" t="s">
        <v>8682</v>
      </c>
      <c r="G2446" s="7" t="s">
        <v>17821</v>
      </c>
      <c r="H2446" s="7" t="s">
        <v>17822</v>
      </c>
      <c r="I2446" s="119">
        <v>45809.0</v>
      </c>
      <c r="K2446" s="7" t="s">
        <v>419</v>
      </c>
      <c r="L2446" s="7" t="s">
        <v>991</v>
      </c>
      <c r="M2446" s="7" t="s">
        <v>3501</v>
      </c>
      <c r="N2446" s="7" t="s">
        <v>419</v>
      </c>
      <c r="O2446" s="7" t="s">
        <v>19432</v>
      </c>
      <c r="P2446" s="7" t="s">
        <v>391</v>
      </c>
      <c r="Q2446" s="7" t="s">
        <v>392</v>
      </c>
      <c r="R2446" s="7" t="s">
        <v>20982</v>
      </c>
      <c r="T2446" s="7" t="s">
        <v>11498</v>
      </c>
      <c r="U2446" s="7" t="s">
        <v>3493</v>
      </c>
      <c r="V2446" s="7">
        <v>1.0</v>
      </c>
    </row>
    <row r="2447">
      <c r="A2447" s="7" t="s">
        <v>22359</v>
      </c>
      <c r="B2447" s="7">
        <v>3000811.0</v>
      </c>
      <c r="C2447" s="7" t="s">
        <v>7368</v>
      </c>
      <c r="D2447" s="7" t="s">
        <v>17824</v>
      </c>
      <c r="E2447" s="7" t="s">
        <v>7370</v>
      </c>
      <c r="F2447" s="7" t="s">
        <v>17696</v>
      </c>
      <c r="G2447" s="7" t="s">
        <v>17825</v>
      </c>
      <c r="H2447" s="7" t="s">
        <v>17826</v>
      </c>
      <c r="I2447" s="119">
        <v>45809.0</v>
      </c>
      <c r="K2447" s="7" t="s">
        <v>3642</v>
      </c>
      <c r="L2447" s="7" t="s">
        <v>991</v>
      </c>
      <c r="M2447" s="7" t="s">
        <v>3501</v>
      </c>
      <c r="N2447" s="7" t="s">
        <v>3642</v>
      </c>
      <c r="O2447" s="7" t="s">
        <v>3642</v>
      </c>
      <c r="P2447" s="7" t="s">
        <v>19524</v>
      </c>
      <c r="T2447" s="7" t="s">
        <v>3644</v>
      </c>
      <c r="U2447" s="7" t="s">
        <v>3493</v>
      </c>
      <c r="V2447" s="7">
        <v>1.0</v>
      </c>
    </row>
    <row r="2448">
      <c r="A2448" s="7" t="s">
        <v>22360</v>
      </c>
      <c r="B2448" s="7">
        <v>3000790.0</v>
      </c>
      <c r="C2448" s="7" t="s">
        <v>17828</v>
      </c>
      <c r="D2448" s="7" t="s">
        <v>8975</v>
      </c>
      <c r="E2448" s="7" t="s">
        <v>17829</v>
      </c>
      <c r="F2448" s="7" t="s">
        <v>4967</v>
      </c>
      <c r="G2448" s="7" t="s">
        <v>17830</v>
      </c>
      <c r="H2448" s="7" t="s">
        <v>17831</v>
      </c>
      <c r="I2448" s="119">
        <v>45809.0</v>
      </c>
      <c r="K2448" s="7" t="s">
        <v>419</v>
      </c>
      <c r="L2448" s="7" t="s">
        <v>991</v>
      </c>
      <c r="M2448" s="7" t="s">
        <v>3583</v>
      </c>
      <c r="N2448" s="7" t="s">
        <v>419</v>
      </c>
      <c r="O2448" s="7" t="s">
        <v>19437</v>
      </c>
      <c r="P2448" s="7" t="s">
        <v>478</v>
      </c>
      <c r="Q2448" s="7" t="s">
        <v>958</v>
      </c>
      <c r="R2448" s="7" t="s">
        <v>19708</v>
      </c>
      <c r="T2448" s="7" t="s">
        <v>20807</v>
      </c>
      <c r="U2448" s="7" t="s">
        <v>3493</v>
      </c>
      <c r="V2448" s="7">
        <v>1.0</v>
      </c>
    </row>
    <row r="2449">
      <c r="A2449" s="7" t="s">
        <v>22361</v>
      </c>
      <c r="B2449" s="7">
        <v>3000805.0</v>
      </c>
      <c r="C2449" s="7" t="s">
        <v>7848</v>
      </c>
      <c r="D2449" s="7" t="s">
        <v>14120</v>
      </c>
      <c r="E2449" s="7" t="s">
        <v>7849</v>
      </c>
      <c r="F2449" s="7" t="s">
        <v>3792</v>
      </c>
      <c r="G2449" s="7" t="s">
        <v>17835</v>
      </c>
      <c r="H2449" s="7" t="s">
        <v>17836</v>
      </c>
      <c r="I2449" s="119">
        <v>45809.0</v>
      </c>
      <c r="K2449" s="7" t="s">
        <v>419</v>
      </c>
      <c r="L2449" s="7" t="s">
        <v>991</v>
      </c>
      <c r="M2449" s="7" t="s">
        <v>3531</v>
      </c>
      <c r="N2449" s="7" t="s">
        <v>419</v>
      </c>
      <c r="O2449" s="7" t="s">
        <v>19437</v>
      </c>
      <c r="P2449" s="7" t="s">
        <v>603</v>
      </c>
      <c r="Q2449" s="7" t="s">
        <v>90</v>
      </c>
      <c r="R2449" s="7" t="s">
        <v>19690</v>
      </c>
      <c r="S2449" s="7" t="s">
        <v>19691</v>
      </c>
      <c r="T2449" s="7" t="s">
        <v>4266</v>
      </c>
      <c r="U2449" s="7" t="s">
        <v>3493</v>
      </c>
      <c r="V2449" s="7">
        <v>1.0</v>
      </c>
    </row>
    <row r="2450">
      <c r="A2450" s="7" t="s">
        <v>22362</v>
      </c>
      <c r="B2450" s="7">
        <v>3000823.0</v>
      </c>
      <c r="C2450" s="7" t="s">
        <v>8082</v>
      </c>
      <c r="D2450" s="7" t="s">
        <v>17838</v>
      </c>
      <c r="E2450" s="7" t="s">
        <v>8074</v>
      </c>
      <c r="F2450" s="7" t="s">
        <v>12435</v>
      </c>
      <c r="G2450" s="7" t="s">
        <v>17839</v>
      </c>
      <c r="H2450" s="7" t="s">
        <v>17840</v>
      </c>
      <c r="I2450" s="119">
        <v>45809.0</v>
      </c>
      <c r="K2450" s="7" t="s">
        <v>419</v>
      </c>
      <c r="L2450" s="7" t="s">
        <v>991</v>
      </c>
      <c r="M2450" s="7" t="s">
        <v>3531</v>
      </c>
      <c r="N2450" s="7" t="s">
        <v>419</v>
      </c>
      <c r="O2450" s="7" t="s">
        <v>19437</v>
      </c>
      <c r="P2450" s="7" t="s">
        <v>440</v>
      </c>
      <c r="Q2450" s="7" t="s">
        <v>19453</v>
      </c>
      <c r="T2450" s="7" t="s">
        <v>17630</v>
      </c>
      <c r="U2450" s="7" t="s">
        <v>3493</v>
      </c>
      <c r="V2450" s="7">
        <v>1.0</v>
      </c>
    </row>
    <row r="2451">
      <c r="A2451" s="7" t="s">
        <v>22363</v>
      </c>
      <c r="B2451" s="7">
        <v>3000797.0</v>
      </c>
      <c r="C2451" s="7" t="s">
        <v>8089</v>
      </c>
      <c r="D2451" s="7" t="s">
        <v>17842</v>
      </c>
      <c r="E2451" s="7" t="s">
        <v>8074</v>
      </c>
      <c r="F2451" s="7" t="s">
        <v>11235</v>
      </c>
      <c r="G2451" s="7" t="s">
        <v>17843</v>
      </c>
      <c r="H2451" s="7" t="s">
        <v>17844</v>
      </c>
      <c r="I2451" s="119">
        <v>45809.0</v>
      </c>
      <c r="K2451" s="7" t="s">
        <v>419</v>
      </c>
      <c r="L2451" s="7" t="s">
        <v>991</v>
      </c>
      <c r="M2451" s="7" t="s">
        <v>3583</v>
      </c>
      <c r="N2451" s="7" t="s">
        <v>419</v>
      </c>
      <c r="O2451" s="7" t="s">
        <v>19433</v>
      </c>
      <c r="P2451" s="7" t="s">
        <v>587</v>
      </c>
      <c r="Q2451" s="7" t="s">
        <v>81</v>
      </c>
      <c r="T2451" s="7" t="s">
        <v>15610</v>
      </c>
      <c r="U2451" s="7" t="s">
        <v>3493</v>
      </c>
      <c r="V2451" s="7">
        <v>1.0</v>
      </c>
    </row>
    <row r="2452">
      <c r="A2452" s="7" t="s">
        <v>22364</v>
      </c>
      <c r="B2452" s="7">
        <v>3000822.0</v>
      </c>
      <c r="C2452" s="7" t="s">
        <v>8284</v>
      </c>
      <c r="D2452" s="7" t="s">
        <v>17847</v>
      </c>
      <c r="E2452" s="7" t="s">
        <v>8285</v>
      </c>
      <c r="F2452" s="7" t="s">
        <v>6509</v>
      </c>
      <c r="G2452" s="7" t="s">
        <v>17848</v>
      </c>
      <c r="H2452" s="7" t="s">
        <v>17849</v>
      </c>
      <c r="I2452" s="119">
        <v>45809.0</v>
      </c>
      <c r="K2452" s="7" t="s">
        <v>419</v>
      </c>
      <c r="L2452" s="7" t="s">
        <v>991</v>
      </c>
      <c r="M2452" s="7" t="s">
        <v>3531</v>
      </c>
      <c r="N2452" s="7" t="s">
        <v>419</v>
      </c>
      <c r="O2452" s="7" t="s">
        <v>19437</v>
      </c>
      <c r="P2452" s="7" t="s">
        <v>440</v>
      </c>
      <c r="Q2452" s="7" t="s">
        <v>19453</v>
      </c>
      <c r="T2452" s="7" t="s">
        <v>17630</v>
      </c>
      <c r="U2452" s="7" t="s">
        <v>3493</v>
      </c>
      <c r="V2452" s="7">
        <v>1.0</v>
      </c>
    </row>
    <row r="2453">
      <c r="A2453" s="7" t="s">
        <v>22365</v>
      </c>
      <c r="B2453" s="7">
        <v>3000732.0</v>
      </c>
      <c r="C2453" s="7" t="s">
        <v>8429</v>
      </c>
      <c r="D2453" s="7" t="s">
        <v>17851</v>
      </c>
      <c r="E2453" s="7" t="s">
        <v>8431</v>
      </c>
      <c r="F2453" s="7" t="s">
        <v>9975</v>
      </c>
      <c r="G2453" s="7" t="s">
        <v>17852</v>
      </c>
      <c r="H2453" s="7" t="s">
        <v>17853</v>
      </c>
      <c r="I2453" s="119">
        <v>45809.0</v>
      </c>
      <c r="K2453" s="7" t="s">
        <v>3541</v>
      </c>
      <c r="L2453" s="7" t="s">
        <v>3542</v>
      </c>
      <c r="M2453" s="7" t="s">
        <v>3543</v>
      </c>
      <c r="N2453" s="7" t="s">
        <v>419</v>
      </c>
      <c r="O2453" s="7" t="s">
        <v>19430</v>
      </c>
      <c r="P2453" s="7" t="s">
        <v>854</v>
      </c>
      <c r="Q2453" s="7" t="s">
        <v>864</v>
      </c>
      <c r="R2453" s="7" t="s">
        <v>19504</v>
      </c>
      <c r="T2453" s="7" t="s">
        <v>19505</v>
      </c>
      <c r="U2453" s="7" t="s">
        <v>3493</v>
      </c>
      <c r="V2453" s="7">
        <v>1.0</v>
      </c>
    </row>
    <row r="2454">
      <c r="A2454" s="7" t="s">
        <v>22366</v>
      </c>
      <c r="B2454" s="7">
        <v>3000791.0</v>
      </c>
      <c r="C2454" s="7" t="s">
        <v>8429</v>
      </c>
      <c r="D2454" s="7" t="s">
        <v>17856</v>
      </c>
      <c r="E2454" s="7" t="s">
        <v>8431</v>
      </c>
      <c r="F2454" s="7" t="s">
        <v>8668</v>
      </c>
      <c r="G2454" s="7" t="s">
        <v>17857</v>
      </c>
      <c r="H2454" s="7" t="s">
        <v>17858</v>
      </c>
      <c r="I2454" s="119">
        <v>45809.0</v>
      </c>
      <c r="K2454" s="7" t="s">
        <v>419</v>
      </c>
      <c r="L2454" s="7" t="s">
        <v>991</v>
      </c>
      <c r="M2454" s="7" t="s">
        <v>3490</v>
      </c>
      <c r="N2454" s="7" t="s">
        <v>419</v>
      </c>
      <c r="O2454" s="7" t="s">
        <v>19440</v>
      </c>
      <c r="P2454" s="7" t="s">
        <v>3</v>
      </c>
      <c r="Q2454" s="7" t="s">
        <v>9</v>
      </c>
      <c r="R2454" s="7" t="s">
        <v>20413</v>
      </c>
      <c r="S2454" s="7" t="s">
        <v>19519</v>
      </c>
      <c r="T2454" s="7" t="s">
        <v>7663</v>
      </c>
      <c r="U2454" s="7" t="s">
        <v>3493</v>
      </c>
      <c r="V2454" s="7">
        <v>1.0</v>
      </c>
    </row>
    <row r="2455">
      <c r="A2455" s="7" t="s">
        <v>22367</v>
      </c>
      <c r="B2455" s="7">
        <v>3000808.0</v>
      </c>
      <c r="C2455" s="7" t="s">
        <v>17860</v>
      </c>
      <c r="D2455" s="7" t="s">
        <v>17861</v>
      </c>
      <c r="E2455" s="7" t="s">
        <v>17862</v>
      </c>
      <c r="F2455" s="7" t="s">
        <v>4109</v>
      </c>
      <c r="G2455" s="7" t="s">
        <v>17863</v>
      </c>
      <c r="H2455" s="7" t="s">
        <v>17864</v>
      </c>
      <c r="I2455" s="119">
        <v>45809.0</v>
      </c>
      <c r="K2455" s="7" t="s">
        <v>419</v>
      </c>
      <c r="L2455" s="7" t="s">
        <v>991</v>
      </c>
      <c r="M2455" s="7" t="s">
        <v>3531</v>
      </c>
      <c r="N2455" s="7" t="s">
        <v>419</v>
      </c>
      <c r="O2455" s="7" t="s">
        <v>19443</v>
      </c>
      <c r="P2455" s="7" t="s">
        <v>323</v>
      </c>
      <c r="Q2455" s="7" t="s">
        <v>824</v>
      </c>
      <c r="R2455" s="7" t="s">
        <v>20311</v>
      </c>
      <c r="T2455" s="7" t="s">
        <v>7132</v>
      </c>
      <c r="U2455" s="7" t="s">
        <v>3493</v>
      </c>
      <c r="V2455" s="7">
        <v>1.0</v>
      </c>
    </row>
    <row r="2456">
      <c r="A2456" s="7" t="s">
        <v>22368</v>
      </c>
      <c r="B2456" s="7">
        <v>3000826.0</v>
      </c>
      <c r="C2456" s="7" t="s">
        <v>17866</v>
      </c>
      <c r="D2456" s="7" t="s">
        <v>17867</v>
      </c>
      <c r="E2456" s="7" t="s">
        <v>8183</v>
      </c>
      <c r="F2456" s="7" t="s">
        <v>17868</v>
      </c>
      <c r="G2456" s="7" t="s">
        <v>17869</v>
      </c>
      <c r="H2456" s="7" t="s">
        <v>17870</v>
      </c>
      <c r="I2456" s="119">
        <v>45809.0</v>
      </c>
      <c r="K2456" s="7" t="s">
        <v>419</v>
      </c>
      <c r="L2456" s="7" t="s">
        <v>991</v>
      </c>
      <c r="M2456" s="7" t="s">
        <v>3531</v>
      </c>
      <c r="N2456" s="7" t="s">
        <v>419</v>
      </c>
      <c r="O2456" s="7" t="s">
        <v>19430</v>
      </c>
      <c r="P2456" s="7" t="s">
        <v>780</v>
      </c>
      <c r="Q2456" s="7" t="s">
        <v>786</v>
      </c>
      <c r="R2456" s="7" t="s">
        <v>20558</v>
      </c>
      <c r="T2456" s="7" t="s">
        <v>16162</v>
      </c>
      <c r="U2456" s="7" t="s">
        <v>3493</v>
      </c>
      <c r="V2456" s="7">
        <v>1.0</v>
      </c>
    </row>
    <row r="2457">
      <c r="A2457" s="7" t="s">
        <v>22369</v>
      </c>
      <c r="B2457" s="7">
        <v>3000825.0</v>
      </c>
      <c r="C2457" s="7" t="s">
        <v>17872</v>
      </c>
      <c r="D2457" s="7" t="s">
        <v>17873</v>
      </c>
      <c r="E2457" s="7" t="s">
        <v>17874</v>
      </c>
      <c r="F2457" s="7" t="s">
        <v>9116</v>
      </c>
      <c r="G2457" s="7" t="s">
        <v>17875</v>
      </c>
      <c r="H2457" s="7" t="s">
        <v>17876</v>
      </c>
      <c r="I2457" s="119">
        <v>45809.0</v>
      </c>
      <c r="K2457" s="7" t="s">
        <v>419</v>
      </c>
      <c r="L2457" s="7" t="s">
        <v>991</v>
      </c>
      <c r="M2457" s="7" t="s">
        <v>3531</v>
      </c>
      <c r="N2457" s="7" t="s">
        <v>419</v>
      </c>
      <c r="O2457" s="7" t="s">
        <v>19430</v>
      </c>
      <c r="P2457" s="7" t="s">
        <v>780</v>
      </c>
      <c r="Q2457" s="7" t="s">
        <v>786</v>
      </c>
      <c r="R2457" s="7" t="s">
        <v>20558</v>
      </c>
      <c r="T2457" s="7" t="s">
        <v>16162</v>
      </c>
      <c r="U2457" s="7" t="s">
        <v>3493</v>
      </c>
      <c r="V2457" s="7">
        <v>1.0</v>
      </c>
    </row>
    <row r="2458">
      <c r="A2458" s="7" t="s">
        <v>22370</v>
      </c>
      <c r="B2458" s="7">
        <v>3000809.0</v>
      </c>
      <c r="C2458" s="7" t="s">
        <v>17878</v>
      </c>
      <c r="D2458" s="7" t="s">
        <v>17879</v>
      </c>
      <c r="E2458" s="7" t="s">
        <v>9313</v>
      </c>
      <c r="F2458" s="7" t="s">
        <v>17880</v>
      </c>
      <c r="G2458" s="7" t="s">
        <v>17881</v>
      </c>
      <c r="H2458" s="7" t="s">
        <v>17882</v>
      </c>
      <c r="I2458" s="119">
        <v>45809.0</v>
      </c>
      <c r="K2458" s="7" t="s">
        <v>419</v>
      </c>
      <c r="L2458" s="7" t="s">
        <v>991</v>
      </c>
      <c r="M2458" s="7" t="s">
        <v>3531</v>
      </c>
      <c r="N2458" s="7" t="s">
        <v>419</v>
      </c>
      <c r="O2458" s="7" t="s">
        <v>19430</v>
      </c>
      <c r="P2458" s="7" t="s">
        <v>780</v>
      </c>
      <c r="Q2458" s="7" t="s">
        <v>786</v>
      </c>
      <c r="R2458" s="7" t="s">
        <v>20558</v>
      </c>
      <c r="T2458" s="7" t="s">
        <v>16162</v>
      </c>
      <c r="U2458" s="7" t="s">
        <v>3493</v>
      </c>
      <c r="V2458" s="7">
        <v>1.0</v>
      </c>
    </row>
    <row r="2459">
      <c r="A2459" s="7" t="s">
        <v>22371</v>
      </c>
      <c r="B2459" s="7">
        <v>3000817.0</v>
      </c>
      <c r="C2459" s="7" t="s">
        <v>17884</v>
      </c>
      <c r="D2459" s="7" t="s">
        <v>4965</v>
      </c>
      <c r="E2459" s="7" t="s">
        <v>17885</v>
      </c>
      <c r="F2459" s="7" t="s">
        <v>4967</v>
      </c>
      <c r="G2459" s="7" t="s">
        <v>17886</v>
      </c>
      <c r="H2459" s="7" t="s">
        <v>17887</v>
      </c>
      <c r="I2459" s="119">
        <v>45809.0</v>
      </c>
      <c r="K2459" s="7" t="s">
        <v>3642</v>
      </c>
      <c r="L2459" s="7" t="s">
        <v>991</v>
      </c>
      <c r="M2459" s="7" t="s">
        <v>3531</v>
      </c>
      <c r="N2459" s="7" t="s">
        <v>3642</v>
      </c>
      <c r="O2459" s="7" t="s">
        <v>3642</v>
      </c>
      <c r="P2459" s="7" t="s">
        <v>19524</v>
      </c>
      <c r="T2459" s="7" t="s">
        <v>3644</v>
      </c>
      <c r="U2459" s="7" t="s">
        <v>3493</v>
      </c>
      <c r="V2459" s="7">
        <v>1.0</v>
      </c>
    </row>
    <row r="2460">
      <c r="A2460" s="7" t="s">
        <v>22372</v>
      </c>
      <c r="B2460" s="7">
        <v>3000798.0</v>
      </c>
      <c r="C2460" s="7" t="s">
        <v>17889</v>
      </c>
      <c r="D2460" s="7" t="s">
        <v>10287</v>
      </c>
      <c r="E2460" s="7" t="s">
        <v>17890</v>
      </c>
      <c r="F2460" s="7" t="s">
        <v>4751</v>
      </c>
      <c r="G2460" s="7" t="s">
        <v>17891</v>
      </c>
      <c r="H2460" s="7" t="s">
        <v>17892</v>
      </c>
      <c r="I2460" s="119">
        <v>45809.0</v>
      </c>
      <c r="K2460" s="7" t="s">
        <v>419</v>
      </c>
      <c r="L2460" s="7" t="s">
        <v>991</v>
      </c>
      <c r="M2460" s="7" t="s">
        <v>3531</v>
      </c>
      <c r="N2460" s="7" t="s">
        <v>419</v>
      </c>
      <c r="O2460" s="7" t="s">
        <v>19433</v>
      </c>
      <c r="P2460" s="7" t="s">
        <v>648</v>
      </c>
      <c r="Q2460" s="7" t="s">
        <v>148</v>
      </c>
      <c r="R2460" s="7" t="s">
        <v>19501</v>
      </c>
      <c r="T2460" s="7" t="s">
        <v>4445</v>
      </c>
      <c r="U2460" s="7" t="s">
        <v>3493</v>
      </c>
      <c r="V2460" s="7">
        <v>1.0</v>
      </c>
    </row>
    <row r="2461">
      <c r="A2461" s="7" t="s">
        <v>22373</v>
      </c>
      <c r="B2461" s="7">
        <v>3000813.0</v>
      </c>
      <c r="C2461" s="7" t="s">
        <v>17894</v>
      </c>
      <c r="D2461" s="7" t="s">
        <v>17895</v>
      </c>
      <c r="E2461" s="7" t="s">
        <v>17896</v>
      </c>
      <c r="F2461" s="7" t="s">
        <v>5683</v>
      </c>
      <c r="G2461" s="7" t="s">
        <v>17897</v>
      </c>
      <c r="H2461" s="7" t="s">
        <v>17898</v>
      </c>
      <c r="I2461" s="119">
        <v>45809.0</v>
      </c>
      <c r="K2461" s="7" t="s">
        <v>3632</v>
      </c>
      <c r="L2461" s="7" t="s">
        <v>991</v>
      </c>
      <c r="M2461" s="7" t="s">
        <v>3531</v>
      </c>
      <c r="N2461" s="7" t="s">
        <v>3632</v>
      </c>
      <c r="O2461" s="7" t="s">
        <v>3632</v>
      </c>
      <c r="P2461" s="7" t="s">
        <v>429</v>
      </c>
      <c r="Q2461" s="7" t="s">
        <v>436</v>
      </c>
      <c r="R2461" s="7" t="s">
        <v>20088</v>
      </c>
      <c r="T2461" s="7" t="s">
        <v>20089</v>
      </c>
      <c r="U2461" s="7" t="s">
        <v>3493</v>
      </c>
      <c r="V2461" s="7">
        <v>1.0</v>
      </c>
    </row>
    <row r="2462">
      <c r="A2462" s="7" t="s">
        <v>22374</v>
      </c>
      <c r="B2462" s="7">
        <v>3000824.0</v>
      </c>
      <c r="C2462" s="7" t="s">
        <v>17900</v>
      </c>
      <c r="D2462" s="7" t="s">
        <v>17901</v>
      </c>
      <c r="E2462" s="7" t="s">
        <v>17902</v>
      </c>
      <c r="F2462" s="7" t="s">
        <v>3549</v>
      </c>
      <c r="G2462" s="7" t="s">
        <v>17903</v>
      </c>
      <c r="H2462" s="7" t="s">
        <v>17904</v>
      </c>
      <c r="I2462" s="119">
        <v>45809.0</v>
      </c>
      <c r="K2462" s="7" t="s">
        <v>419</v>
      </c>
      <c r="L2462" s="7" t="s">
        <v>991</v>
      </c>
      <c r="M2462" s="7" t="s">
        <v>3531</v>
      </c>
      <c r="N2462" s="7" t="s">
        <v>419</v>
      </c>
      <c r="O2462" s="7" t="s">
        <v>19443</v>
      </c>
      <c r="P2462" s="7" t="s">
        <v>323</v>
      </c>
      <c r="Q2462" s="7" t="s">
        <v>324</v>
      </c>
      <c r="T2462" s="7" t="s">
        <v>7948</v>
      </c>
      <c r="U2462" s="7" t="s">
        <v>3493</v>
      </c>
      <c r="V2462" s="7">
        <v>1.0</v>
      </c>
    </row>
    <row r="2463">
      <c r="A2463" s="7" t="s">
        <v>22375</v>
      </c>
      <c r="B2463" s="7">
        <v>3000799.0</v>
      </c>
      <c r="C2463" s="7" t="s">
        <v>17900</v>
      </c>
      <c r="D2463" s="7" t="s">
        <v>17906</v>
      </c>
      <c r="E2463" s="7" t="s">
        <v>17902</v>
      </c>
      <c r="F2463" s="7" t="s">
        <v>3549</v>
      </c>
      <c r="G2463" s="7" t="s">
        <v>17907</v>
      </c>
      <c r="H2463" s="7" t="s">
        <v>17908</v>
      </c>
      <c r="I2463" s="119">
        <v>45809.0</v>
      </c>
      <c r="K2463" s="7" t="s">
        <v>6439</v>
      </c>
      <c r="L2463" s="7" t="s">
        <v>991</v>
      </c>
      <c r="M2463" s="7" t="s">
        <v>3501</v>
      </c>
      <c r="N2463" s="7" t="s">
        <v>6439</v>
      </c>
      <c r="O2463" s="7" t="s">
        <v>6439</v>
      </c>
      <c r="P2463" s="7" t="s">
        <v>20181</v>
      </c>
      <c r="T2463" s="7" t="s">
        <v>6441</v>
      </c>
      <c r="U2463" s="7" t="s">
        <v>3493</v>
      </c>
      <c r="V2463" s="7">
        <v>1.0</v>
      </c>
    </row>
    <row r="2464">
      <c r="A2464" s="7" t="s">
        <v>22376</v>
      </c>
      <c r="B2464" s="7">
        <v>3000820.0</v>
      </c>
      <c r="C2464" s="7" t="s">
        <v>17910</v>
      </c>
      <c r="D2464" s="7" t="s">
        <v>17911</v>
      </c>
      <c r="E2464" s="7" t="s">
        <v>15639</v>
      </c>
      <c r="F2464" s="7" t="s">
        <v>7971</v>
      </c>
      <c r="G2464" s="7" t="s">
        <v>17912</v>
      </c>
      <c r="H2464" s="7" t="s">
        <v>17913</v>
      </c>
      <c r="I2464" s="119">
        <v>45809.0</v>
      </c>
      <c r="K2464" s="7" t="s">
        <v>419</v>
      </c>
      <c r="L2464" s="7" t="s">
        <v>991</v>
      </c>
      <c r="M2464" s="7" t="s">
        <v>3501</v>
      </c>
      <c r="N2464" s="7" t="s">
        <v>419</v>
      </c>
      <c r="O2464" s="7" t="s">
        <v>19437</v>
      </c>
      <c r="P2464" s="7" t="s">
        <v>440</v>
      </c>
      <c r="Q2464" s="7" t="s">
        <v>441</v>
      </c>
      <c r="R2464" s="7" t="s">
        <v>20471</v>
      </c>
      <c r="S2464" s="7" t="s">
        <v>20472</v>
      </c>
      <c r="T2464" s="7" t="s">
        <v>7966</v>
      </c>
      <c r="U2464" s="7" t="s">
        <v>3843</v>
      </c>
      <c r="V2464" s="7">
        <v>1.0</v>
      </c>
    </row>
    <row r="2465">
      <c r="A2465" s="7" t="s">
        <v>22377</v>
      </c>
      <c r="B2465" s="7">
        <v>3000803.0</v>
      </c>
      <c r="C2465" s="7" t="s">
        <v>11220</v>
      </c>
      <c r="D2465" s="7" t="s">
        <v>17915</v>
      </c>
      <c r="E2465" s="7" t="s">
        <v>11222</v>
      </c>
      <c r="F2465" s="7" t="s">
        <v>3748</v>
      </c>
      <c r="G2465" s="7" t="s">
        <v>17916</v>
      </c>
      <c r="H2465" s="7" t="s">
        <v>17917</v>
      </c>
      <c r="I2465" s="119">
        <v>45809.0</v>
      </c>
      <c r="K2465" s="7" t="s">
        <v>419</v>
      </c>
      <c r="L2465" s="7" t="s">
        <v>991</v>
      </c>
      <c r="M2465" s="7" t="s">
        <v>3531</v>
      </c>
      <c r="N2465" s="7" t="s">
        <v>419</v>
      </c>
      <c r="O2465" s="7" t="s">
        <v>19437</v>
      </c>
      <c r="P2465" s="7" t="s">
        <v>478</v>
      </c>
      <c r="Q2465" s="7" t="s">
        <v>484</v>
      </c>
      <c r="R2465" s="7" t="s">
        <v>19751</v>
      </c>
      <c r="S2465" s="7" t="s">
        <v>20341</v>
      </c>
      <c r="T2465" s="7" t="s">
        <v>17918</v>
      </c>
      <c r="U2465" s="7" t="s">
        <v>3493</v>
      </c>
      <c r="V2465" s="7">
        <v>1.0</v>
      </c>
    </row>
    <row r="2466">
      <c r="A2466" s="7" t="s">
        <v>22378</v>
      </c>
      <c r="B2466" s="7">
        <v>3000815.0</v>
      </c>
      <c r="C2466" s="7" t="s">
        <v>11354</v>
      </c>
      <c r="D2466" s="7" t="s">
        <v>17367</v>
      </c>
      <c r="E2466" s="7" t="s">
        <v>11356</v>
      </c>
      <c r="F2466" s="7" t="s">
        <v>6859</v>
      </c>
      <c r="G2466" s="7" t="s">
        <v>17920</v>
      </c>
      <c r="H2466" s="7" t="s">
        <v>17921</v>
      </c>
      <c r="I2466" s="119">
        <v>45809.0</v>
      </c>
      <c r="K2466" s="7" t="s">
        <v>3642</v>
      </c>
      <c r="L2466" s="7" t="s">
        <v>991</v>
      </c>
      <c r="M2466" s="7" t="s">
        <v>3531</v>
      </c>
      <c r="N2466" s="7" t="s">
        <v>3642</v>
      </c>
      <c r="O2466" s="7" t="s">
        <v>3642</v>
      </c>
      <c r="P2466" s="7" t="s">
        <v>19524</v>
      </c>
      <c r="T2466" s="7" t="s">
        <v>3644</v>
      </c>
      <c r="U2466" s="7" t="s">
        <v>3493</v>
      </c>
      <c r="V2466" s="7">
        <v>1.0</v>
      </c>
    </row>
    <row r="2467">
      <c r="A2467" s="7" t="s">
        <v>22379</v>
      </c>
      <c r="B2467" s="7">
        <v>3000814.0</v>
      </c>
      <c r="C2467" s="7" t="s">
        <v>17923</v>
      </c>
      <c r="D2467" s="7" t="s">
        <v>17924</v>
      </c>
      <c r="E2467" s="7" t="s">
        <v>17925</v>
      </c>
      <c r="F2467" s="7" t="s">
        <v>8256</v>
      </c>
      <c r="G2467" s="7" t="s">
        <v>17926</v>
      </c>
      <c r="H2467" s="7" t="s">
        <v>17927</v>
      </c>
      <c r="I2467" s="119">
        <v>45809.0</v>
      </c>
      <c r="K2467" s="7" t="s">
        <v>3642</v>
      </c>
      <c r="L2467" s="7" t="s">
        <v>991</v>
      </c>
      <c r="M2467" s="7" t="s">
        <v>3501</v>
      </c>
      <c r="N2467" s="7" t="s">
        <v>3642</v>
      </c>
      <c r="O2467" s="7" t="s">
        <v>3642</v>
      </c>
      <c r="P2467" s="7" t="s">
        <v>19524</v>
      </c>
      <c r="T2467" s="7" t="s">
        <v>3644</v>
      </c>
      <c r="U2467" s="7" t="s">
        <v>3493</v>
      </c>
      <c r="V2467" s="7">
        <v>1.0</v>
      </c>
    </row>
    <row r="2468">
      <c r="A2468" s="7" t="s">
        <v>22380</v>
      </c>
      <c r="B2468" s="7">
        <v>3000730.0</v>
      </c>
      <c r="C2468" s="7" t="s">
        <v>16952</v>
      </c>
      <c r="D2468" s="7" t="s">
        <v>15231</v>
      </c>
      <c r="E2468" s="7" t="s">
        <v>16954</v>
      </c>
      <c r="F2468" s="7" t="s">
        <v>3580</v>
      </c>
      <c r="G2468" s="7" t="s">
        <v>17929</v>
      </c>
      <c r="H2468" s="7" t="s">
        <v>17930</v>
      </c>
      <c r="I2468" s="119">
        <v>45809.0</v>
      </c>
      <c r="K2468" s="7" t="s">
        <v>419</v>
      </c>
      <c r="L2468" s="7" t="s">
        <v>991</v>
      </c>
      <c r="M2468" s="7" t="s">
        <v>3501</v>
      </c>
      <c r="N2468" s="7" t="s">
        <v>419</v>
      </c>
      <c r="O2468" s="7" t="s">
        <v>19443</v>
      </c>
      <c r="P2468" s="7" t="s">
        <v>1242</v>
      </c>
      <c r="Q2468" s="7" t="s">
        <v>51</v>
      </c>
      <c r="R2468" s="7" t="s">
        <v>19563</v>
      </c>
      <c r="S2468" s="7" t="s">
        <v>19564</v>
      </c>
      <c r="T2468" s="7" t="s">
        <v>3803</v>
      </c>
      <c r="U2468" s="7" t="s">
        <v>3493</v>
      </c>
      <c r="V2468" s="7">
        <v>1.0</v>
      </c>
    </row>
    <row r="2469">
      <c r="A2469" s="7" t="s">
        <v>22381</v>
      </c>
      <c r="B2469" s="7">
        <v>3000801.0</v>
      </c>
      <c r="C2469" s="7" t="s">
        <v>12065</v>
      </c>
      <c r="D2469" s="7" t="s">
        <v>15476</v>
      </c>
      <c r="E2469" s="7" t="s">
        <v>12067</v>
      </c>
      <c r="F2469" s="7" t="s">
        <v>15477</v>
      </c>
      <c r="G2469" s="7" t="s">
        <v>17932</v>
      </c>
      <c r="H2469" s="7" t="s">
        <v>17933</v>
      </c>
      <c r="I2469" s="119">
        <v>45809.0</v>
      </c>
      <c r="K2469" s="7" t="s">
        <v>419</v>
      </c>
      <c r="L2469" s="7" t="s">
        <v>991</v>
      </c>
      <c r="M2469" s="7" t="s">
        <v>3531</v>
      </c>
      <c r="N2469" s="7" t="s">
        <v>419</v>
      </c>
      <c r="O2469" s="7" t="s">
        <v>19430</v>
      </c>
      <c r="P2469" s="7" t="s">
        <v>717</v>
      </c>
      <c r="Q2469" s="7" t="s">
        <v>730</v>
      </c>
      <c r="R2469" s="7" t="s">
        <v>19979</v>
      </c>
      <c r="S2469" s="7" t="s">
        <v>19636</v>
      </c>
      <c r="T2469" s="7" t="s">
        <v>8584</v>
      </c>
      <c r="U2469" s="7" t="s">
        <v>3493</v>
      </c>
      <c r="V2469" s="7">
        <v>1.0</v>
      </c>
    </row>
    <row r="2470">
      <c r="A2470" s="7" t="s">
        <v>22382</v>
      </c>
      <c r="B2470" s="7">
        <v>3000761.0</v>
      </c>
      <c r="C2470" s="7" t="s">
        <v>17935</v>
      </c>
      <c r="D2470" s="7" t="s">
        <v>17936</v>
      </c>
      <c r="E2470" s="7" t="s">
        <v>17937</v>
      </c>
      <c r="F2470" s="7" t="s">
        <v>12724</v>
      </c>
      <c r="G2470" s="7" t="s">
        <v>17938</v>
      </c>
      <c r="H2470" s="7" t="s">
        <v>17939</v>
      </c>
      <c r="I2470" s="119">
        <v>45809.0</v>
      </c>
      <c r="K2470" s="7" t="s">
        <v>419</v>
      </c>
      <c r="L2470" s="7" t="s">
        <v>991</v>
      </c>
      <c r="M2470" s="7" t="s">
        <v>3501</v>
      </c>
      <c r="N2470" s="7" t="s">
        <v>419</v>
      </c>
      <c r="O2470" s="7" t="s">
        <v>19440</v>
      </c>
      <c r="P2470" s="7" t="s">
        <v>613</v>
      </c>
      <c r="Q2470" s="7" t="s">
        <v>104</v>
      </c>
      <c r="R2470" s="7" t="s">
        <v>19591</v>
      </c>
      <c r="T2470" s="7" t="s">
        <v>17940</v>
      </c>
      <c r="U2470" s="7" t="s">
        <v>3493</v>
      </c>
      <c r="V2470" s="7">
        <v>1.0</v>
      </c>
    </row>
    <row r="2471">
      <c r="A2471" s="7" t="s">
        <v>22383</v>
      </c>
      <c r="B2471" s="7">
        <v>3000802.0</v>
      </c>
      <c r="C2471" s="7" t="s">
        <v>12494</v>
      </c>
      <c r="D2471" s="7" t="s">
        <v>3526</v>
      </c>
      <c r="E2471" s="7" t="s">
        <v>12495</v>
      </c>
      <c r="F2471" s="7" t="s">
        <v>3528</v>
      </c>
      <c r="G2471" s="7" t="s">
        <v>17942</v>
      </c>
      <c r="H2471" s="7" t="s">
        <v>17943</v>
      </c>
      <c r="I2471" s="119">
        <v>45809.0</v>
      </c>
      <c r="K2471" s="7" t="s">
        <v>419</v>
      </c>
      <c r="L2471" s="7" t="s">
        <v>991</v>
      </c>
      <c r="M2471" s="7" t="s">
        <v>3531</v>
      </c>
      <c r="N2471" s="7" t="s">
        <v>419</v>
      </c>
      <c r="O2471" s="7" t="s">
        <v>19437</v>
      </c>
      <c r="P2471" s="7" t="s">
        <v>603</v>
      </c>
      <c r="Q2471" s="7" t="s">
        <v>90</v>
      </c>
      <c r="R2471" s="7" t="s">
        <v>19690</v>
      </c>
      <c r="S2471" s="7" t="s">
        <v>19691</v>
      </c>
      <c r="T2471" s="7" t="s">
        <v>4266</v>
      </c>
      <c r="U2471" s="7" t="s">
        <v>3493</v>
      </c>
      <c r="V2471" s="7">
        <v>1.0</v>
      </c>
    </row>
    <row r="2472">
      <c r="A2472" s="7" t="s">
        <v>22384</v>
      </c>
      <c r="B2472" s="7">
        <v>3000819.0</v>
      </c>
      <c r="C2472" s="7" t="s">
        <v>15779</v>
      </c>
      <c r="D2472" s="7" t="s">
        <v>7586</v>
      </c>
      <c r="E2472" s="7" t="s">
        <v>3714</v>
      </c>
      <c r="F2472" s="7" t="s">
        <v>5426</v>
      </c>
      <c r="G2472" s="7" t="s">
        <v>17945</v>
      </c>
      <c r="H2472" s="7" t="s">
        <v>17946</v>
      </c>
      <c r="I2472" s="119">
        <v>45809.0</v>
      </c>
      <c r="K2472" s="7" t="s">
        <v>419</v>
      </c>
      <c r="L2472" s="7" t="s">
        <v>991</v>
      </c>
      <c r="M2472" s="7" t="s">
        <v>3531</v>
      </c>
      <c r="N2472" s="7" t="s">
        <v>419</v>
      </c>
      <c r="O2472" s="7" t="s">
        <v>19443</v>
      </c>
      <c r="P2472" s="7" t="s">
        <v>1242</v>
      </c>
      <c r="Q2472" s="7" t="s">
        <v>51</v>
      </c>
      <c r="R2472" s="7" t="s">
        <v>19597</v>
      </c>
      <c r="S2472" s="7" t="s">
        <v>19650</v>
      </c>
      <c r="T2472" s="7" t="s">
        <v>4128</v>
      </c>
      <c r="U2472" s="7" t="s">
        <v>3493</v>
      </c>
      <c r="V2472" s="7">
        <v>1.0</v>
      </c>
    </row>
    <row r="2473">
      <c r="A2473" s="7" t="s">
        <v>22385</v>
      </c>
      <c r="B2473" s="7">
        <v>3000812.0</v>
      </c>
      <c r="C2473" s="7" t="s">
        <v>12686</v>
      </c>
      <c r="D2473" s="7" t="s">
        <v>17948</v>
      </c>
      <c r="E2473" s="7" t="s">
        <v>12681</v>
      </c>
      <c r="F2473" s="7" t="s">
        <v>5860</v>
      </c>
      <c r="G2473" s="7" t="s">
        <v>17949</v>
      </c>
      <c r="H2473" s="7" t="s">
        <v>17950</v>
      </c>
      <c r="I2473" s="119">
        <v>45809.0</v>
      </c>
      <c r="K2473" s="7" t="s">
        <v>3642</v>
      </c>
      <c r="L2473" s="7" t="s">
        <v>991</v>
      </c>
      <c r="M2473" s="7" t="s">
        <v>3501</v>
      </c>
      <c r="N2473" s="7" t="s">
        <v>3642</v>
      </c>
      <c r="O2473" s="7" t="s">
        <v>3642</v>
      </c>
      <c r="P2473" s="7" t="s">
        <v>19524</v>
      </c>
      <c r="T2473" s="7" t="s">
        <v>3644</v>
      </c>
      <c r="U2473" s="7" t="s">
        <v>3493</v>
      </c>
      <c r="V2473" s="7">
        <v>1.0</v>
      </c>
    </row>
    <row r="2474">
      <c r="A2474" s="7" t="s">
        <v>22386</v>
      </c>
      <c r="B2474" s="7">
        <v>3000804.0</v>
      </c>
      <c r="C2474" s="7" t="s">
        <v>12747</v>
      </c>
      <c r="D2474" s="7" t="s">
        <v>17952</v>
      </c>
      <c r="E2474" s="7" t="s">
        <v>12748</v>
      </c>
      <c r="F2474" s="7" t="s">
        <v>17953</v>
      </c>
      <c r="G2474" s="7" t="s">
        <v>17954</v>
      </c>
      <c r="H2474" s="7" t="s">
        <v>17955</v>
      </c>
      <c r="I2474" s="119">
        <v>45809.0</v>
      </c>
      <c r="K2474" s="7" t="s">
        <v>419</v>
      </c>
      <c r="L2474" s="7" t="s">
        <v>991</v>
      </c>
      <c r="M2474" s="7" t="s">
        <v>3531</v>
      </c>
      <c r="N2474" s="7" t="s">
        <v>419</v>
      </c>
      <c r="O2474" s="7" t="s">
        <v>19437</v>
      </c>
      <c r="P2474" s="7" t="s">
        <v>603</v>
      </c>
      <c r="Q2474" s="7" t="s">
        <v>90</v>
      </c>
      <c r="R2474" s="7" t="s">
        <v>19690</v>
      </c>
      <c r="S2474" s="7" t="s">
        <v>19691</v>
      </c>
      <c r="T2474" s="7" t="s">
        <v>4266</v>
      </c>
      <c r="U2474" s="7" t="s">
        <v>3493</v>
      </c>
      <c r="V2474" s="7">
        <v>1.0</v>
      </c>
    </row>
    <row r="2475">
      <c r="A2475" s="7" t="s">
        <v>22387</v>
      </c>
      <c r="B2475" s="7">
        <v>3000762.0</v>
      </c>
      <c r="C2475" s="7" t="s">
        <v>17957</v>
      </c>
      <c r="D2475" s="7" t="s">
        <v>12799</v>
      </c>
      <c r="E2475" s="7" t="s">
        <v>17958</v>
      </c>
      <c r="F2475" s="7" t="s">
        <v>12800</v>
      </c>
      <c r="G2475" s="7" t="s">
        <v>17959</v>
      </c>
      <c r="H2475" s="7" t="s">
        <v>17960</v>
      </c>
      <c r="I2475" s="119">
        <v>45809.0</v>
      </c>
      <c r="K2475" s="7" t="s">
        <v>419</v>
      </c>
      <c r="L2475" s="7" t="s">
        <v>991</v>
      </c>
      <c r="M2475" s="7" t="s">
        <v>3583</v>
      </c>
      <c r="N2475" s="7" t="s">
        <v>419</v>
      </c>
      <c r="O2475" s="7" t="s">
        <v>19443</v>
      </c>
      <c r="P2475" s="7" t="s">
        <v>1242</v>
      </c>
      <c r="Q2475" s="7" t="s">
        <v>51</v>
      </c>
      <c r="R2475" s="7" t="s">
        <v>19510</v>
      </c>
      <c r="S2475" s="7" t="s">
        <v>19511</v>
      </c>
      <c r="T2475" s="7" t="s">
        <v>3585</v>
      </c>
      <c r="U2475" s="7" t="s">
        <v>3493</v>
      </c>
      <c r="V2475" s="7">
        <v>1.0</v>
      </c>
    </row>
    <row r="2476">
      <c r="A2476" s="7" t="s">
        <v>22388</v>
      </c>
      <c r="B2476" s="7">
        <v>3000789.0</v>
      </c>
      <c r="C2476" s="7" t="s">
        <v>17963</v>
      </c>
      <c r="D2476" s="7" t="s">
        <v>6087</v>
      </c>
      <c r="E2476" s="7" t="s">
        <v>17964</v>
      </c>
      <c r="F2476" s="7" t="s">
        <v>6089</v>
      </c>
      <c r="G2476" s="7" t="s">
        <v>17965</v>
      </c>
      <c r="H2476" s="7" t="s">
        <v>17966</v>
      </c>
      <c r="I2476" s="119">
        <v>45809.0</v>
      </c>
      <c r="K2476" s="7" t="s">
        <v>419</v>
      </c>
      <c r="L2476" s="7" t="s">
        <v>991</v>
      </c>
      <c r="M2476" s="7" t="s">
        <v>3501</v>
      </c>
      <c r="N2476" s="7" t="s">
        <v>419</v>
      </c>
      <c r="O2476" s="7" t="s">
        <v>19430</v>
      </c>
      <c r="P2476" s="7" t="s">
        <v>780</v>
      </c>
      <c r="Q2476" s="7" t="s">
        <v>786</v>
      </c>
      <c r="R2476" s="7" t="s">
        <v>19574</v>
      </c>
      <c r="S2476" s="7" t="s">
        <v>22389</v>
      </c>
      <c r="T2476" s="7" t="s">
        <v>17968</v>
      </c>
      <c r="U2476" s="7" t="s">
        <v>3493</v>
      </c>
      <c r="V2476" s="7">
        <v>1.0</v>
      </c>
    </row>
    <row r="2477">
      <c r="A2477" s="7" t="s">
        <v>22390</v>
      </c>
      <c r="B2477" s="7">
        <v>3000821.0</v>
      </c>
      <c r="C2477" s="7" t="s">
        <v>13217</v>
      </c>
      <c r="D2477" s="7" t="s">
        <v>17970</v>
      </c>
      <c r="E2477" s="7" t="s">
        <v>13219</v>
      </c>
      <c r="F2477" s="7" t="s">
        <v>17971</v>
      </c>
      <c r="G2477" s="7" t="s">
        <v>17972</v>
      </c>
      <c r="H2477" s="7" t="s">
        <v>17973</v>
      </c>
      <c r="I2477" s="119">
        <v>45809.0</v>
      </c>
      <c r="K2477" s="7" t="s">
        <v>419</v>
      </c>
      <c r="L2477" s="7" t="s">
        <v>991</v>
      </c>
      <c r="M2477" s="7" t="s">
        <v>3531</v>
      </c>
      <c r="N2477" s="7" t="s">
        <v>419</v>
      </c>
      <c r="O2477" s="7" t="s">
        <v>19430</v>
      </c>
      <c r="P2477" s="7" t="s">
        <v>717</v>
      </c>
      <c r="Q2477" s="7" t="s">
        <v>720</v>
      </c>
      <c r="R2477" s="7" t="s">
        <v>19626</v>
      </c>
      <c r="S2477" s="7" t="s">
        <v>20561</v>
      </c>
      <c r="T2477" s="7" t="s">
        <v>8391</v>
      </c>
      <c r="U2477" s="7" t="s">
        <v>3493</v>
      </c>
      <c r="V2477" s="7">
        <v>1.0</v>
      </c>
    </row>
    <row r="2478">
      <c r="A2478" s="7" t="s">
        <v>22391</v>
      </c>
      <c r="B2478" s="7">
        <v>3000816.0</v>
      </c>
      <c r="C2478" s="7" t="s">
        <v>17975</v>
      </c>
      <c r="D2478" s="7" t="s">
        <v>17976</v>
      </c>
      <c r="E2478" s="7" t="s">
        <v>17977</v>
      </c>
      <c r="F2478" s="7" t="s">
        <v>8036</v>
      </c>
      <c r="G2478" s="7" t="s">
        <v>17978</v>
      </c>
      <c r="H2478" s="7" t="s">
        <v>17979</v>
      </c>
      <c r="I2478" s="119">
        <v>45809.0</v>
      </c>
      <c r="K2478" s="7" t="s">
        <v>3642</v>
      </c>
      <c r="L2478" s="7" t="s">
        <v>991</v>
      </c>
      <c r="M2478" s="7" t="s">
        <v>3531</v>
      </c>
      <c r="N2478" s="7" t="s">
        <v>3642</v>
      </c>
      <c r="O2478" s="7" t="s">
        <v>3642</v>
      </c>
      <c r="P2478" s="7" t="s">
        <v>19524</v>
      </c>
      <c r="T2478" s="7" t="s">
        <v>3644</v>
      </c>
      <c r="U2478" s="7" t="s">
        <v>3493</v>
      </c>
      <c r="V2478" s="7">
        <v>1.0</v>
      </c>
    </row>
    <row r="2479">
      <c r="A2479" s="7" t="s">
        <v>22392</v>
      </c>
      <c r="B2479" s="7">
        <v>3000758.0</v>
      </c>
      <c r="C2479" s="7" t="s">
        <v>13898</v>
      </c>
      <c r="D2479" s="7" t="s">
        <v>17981</v>
      </c>
      <c r="E2479" s="7" t="s">
        <v>13900</v>
      </c>
      <c r="F2479" s="7" t="s">
        <v>9134</v>
      </c>
      <c r="G2479" s="7" t="s">
        <v>17982</v>
      </c>
      <c r="H2479" s="7" t="s">
        <v>17983</v>
      </c>
      <c r="I2479" s="119">
        <v>45809.0</v>
      </c>
      <c r="K2479" s="7" t="s">
        <v>419</v>
      </c>
      <c r="L2479" s="7" t="s">
        <v>991</v>
      </c>
      <c r="M2479" s="7" t="s">
        <v>3501</v>
      </c>
      <c r="N2479" s="7" t="s">
        <v>419</v>
      </c>
      <c r="O2479" s="7" t="s">
        <v>19430</v>
      </c>
      <c r="P2479" s="7" t="s">
        <v>717</v>
      </c>
      <c r="Q2479" s="7" t="s">
        <v>223</v>
      </c>
      <c r="R2479" s="7" t="s">
        <v>20821</v>
      </c>
      <c r="T2479" s="7" t="s">
        <v>9753</v>
      </c>
      <c r="U2479" s="7" t="s">
        <v>3493</v>
      </c>
      <c r="V2479" s="7">
        <v>1.0</v>
      </c>
    </row>
    <row r="2480">
      <c r="A2480" s="7" t="s">
        <v>22393</v>
      </c>
      <c r="B2480" s="7">
        <v>3000845.0</v>
      </c>
      <c r="C2480" s="7" t="s">
        <v>6598</v>
      </c>
      <c r="D2480" s="7" t="s">
        <v>17985</v>
      </c>
      <c r="E2480" s="7" t="s">
        <v>6599</v>
      </c>
      <c r="F2480" s="7" t="s">
        <v>16713</v>
      </c>
      <c r="G2480" s="7" t="s">
        <v>17986</v>
      </c>
      <c r="H2480" s="7" t="s">
        <v>17987</v>
      </c>
      <c r="I2480" s="119">
        <v>45824.0</v>
      </c>
      <c r="K2480" s="7" t="s">
        <v>17988</v>
      </c>
      <c r="L2480" s="7" t="s">
        <v>991</v>
      </c>
      <c r="M2480" s="7" t="s">
        <v>3501</v>
      </c>
      <c r="N2480" s="7" t="s">
        <v>17988</v>
      </c>
      <c r="O2480" s="7" t="s">
        <v>17988</v>
      </c>
      <c r="P2480" s="7" t="s">
        <v>22394</v>
      </c>
      <c r="T2480" s="7" t="s">
        <v>17990</v>
      </c>
      <c r="U2480" s="7" t="s">
        <v>3493</v>
      </c>
      <c r="V2480" s="7">
        <v>1.0</v>
      </c>
    </row>
    <row r="2481">
      <c r="A2481" s="7" t="s">
        <v>22395</v>
      </c>
      <c r="B2481" s="7">
        <v>3000834.0</v>
      </c>
      <c r="C2481" s="7" t="s">
        <v>14653</v>
      </c>
      <c r="D2481" s="7" t="s">
        <v>17992</v>
      </c>
      <c r="E2481" s="7" t="s">
        <v>7229</v>
      </c>
      <c r="F2481" s="7" t="s">
        <v>17993</v>
      </c>
      <c r="G2481" s="7" t="s">
        <v>17994</v>
      </c>
      <c r="H2481" s="7" t="s">
        <v>17995</v>
      </c>
      <c r="I2481" s="119">
        <v>45824.0</v>
      </c>
      <c r="K2481" s="7" t="s">
        <v>419</v>
      </c>
      <c r="L2481" s="7" t="s">
        <v>991</v>
      </c>
      <c r="M2481" s="7" t="s">
        <v>3531</v>
      </c>
      <c r="N2481" s="7" t="s">
        <v>419</v>
      </c>
      <c r="O2481" s="7" t="s">
        <v>19430</v>
      </c>
      <c r="P2481" s="7" t="s">
        <v>717</v>
      </c>
      <c r="Q2481" s="7" t="s">
        <v>720</v>
      </c>
      <c r="R2481" s="7" t="s">
        <v>19626</v>
      </c>
      <c r="S2481" s="7" t="s">
        <v>20561</v>
      </c>
      <c r="T2481" s="7" t="s">
        <v>8391</v>
      </c>
      <c r="U2481" s="7" t="s">
        <v>3493</v>
      </c>
      <c r="V2481" s="7">
        <v>1.0</v>
      </c>
    </row>
    <row r="2482">
      <c r="A2482" s="7" t="s">
        <v>22396</v>
      </c>
      <c r="B2482" s="7">
        <v>3000844.0</v>
      </c>
      <c r="C2482" s="7" t="s">
        <v>7234</v>
      </c>
      <c r="D2482" s="7" t="s">
        <v>17997</v>
      </c>
      <c r="E2482" s="7" t="s">
        <v>7236</v>
      </c>
      <c r="F2482" s="7" t="s">
        <v>3721</v>
      </c>
      <c r="G2482" s="7" t="s">
        <v>17998</v>
      </c>
      <c r="H2482" s="7" t="s">
        <v>17999</v>
      </c>
      <c r="I2482" s="119">
        <v>45824.0</v>
      </c>
      <c r="K2482" s="7" t="s">
        <v>17988</v>
      </c>
      <c r="L2482" s="7" t="s">
        <v>991</v>
      </c>
      <c r="M2482" s="7" t="s">
        <v>3501</v>
      </c>
      <c r="N2482" s="7" t="s">
        <v>17988</v>
      </c>
      <c r="O2482" s="7" t="s">
        <v>17988</v>
      </c>
      <c r="P2482" s="7" t="s">
        <v>22394</v>
      </c>
      <c r="T2482" s="7" t="s">
        <v>17990</v>
      </c>
      <c r="U2482" s="7" t="s">
        <v>3493</v>
      </c>
      <c r="V2482" s="7">
        <v>1.0</v>
      </c>
    </row>
    <row r="2483">
      <c r="A2483" s="7" t="s">
        <v>22397</v>
      </c>
      <c r="B2483" s="7">
        <v>3000837.0</v>
      </c>
      <c r="C2483" s="7" t="s">
        <v>18001</v>
      </c>
      <c r="D2483" s="7" t="s">
        <v>4260</v>
      </c>
      <c r="E2483" s="7" t="s">
        <v>18002</v>
      </c>
      <c r="F2483" s="7" t="s">
        <v>4262</v>
      </c>
      <c r="G2483" s="7" t="s">
        <v>18003</v>
      </c>
      <c r="H2483" s="7" t="s">
        <v>18004</v>
      </c>
      <c r="I2483" s="119">
        <v>45824.0</v>
      </c>
      <c r="K2483" s="7" t="s">
        <v>17988</v>
      </c>
      <c r="L2483" s="7" t="s">
        <v>991</v>
      </c>
      <c r="M2483" s="7" t="s">
        <v>3501</v>
      </c>
      <c r="N2483" s="7" t="s">
        <v>17988</v>
      </c>
      <c r="O2483" s="7" t="s">
        <v>17988</v>
      </c>
      <c r="P2483" s="7" t="s">
        <v>22394</v>
      </c>
      <c r="T2483" s="7" t="s">
        <v>17990</v>
      </c>
      <c r="U2483" s="7" t="s">
        <v>3493</v>
      </c>
      <c r="V2483" s="7">
        <v>1.0</v>
      </c>
    </row>
    <row r="2484">
      <c r="A2484" s="7" t="s">
        <v>22398</v>
      </c>
      <c r="B2484" s="7">
        <v>3000836.0</v>
      </c>
      <c r="C2484" s="7" t="s">
        <v>18006</v>
      </c>
      <c r="D2484" s="7" t="s">
        <v>18007</v>
      </c>
      <c r="E2484" s="7" t="s">
        <v>18008</v>
      </c>
      <c r="F2484" s="7" t="s">
        <v>18009</v>
      </c>
      <c r="G2484" s="7" t="s">
        <v>18010</v>
      </c>
      <c r="H2484" s="7" t="s">
        <v>18011</v>
      </c>
      <c r="I2484" s="119">
        <v>45824.0</v>
      </c>
      <c r="K2484" s="7" t="s">
        <v>419</v>
      </c>
      <c r="L2484" s="7" t="s">
        <v>991</v>
      </c>
      <c r="M2484" s="7" t="s">
        <v>3531</v>
      </c>
      <c r="N2484" s="7" t="s">
        <v>419</v>
      </c>
      <c r="O2484" s="7" t="s">
        <v>19433</v>
      </c>
      <c r="P2484" s="7" t="s">
        <v>648</v>
      </c>
      <c r="Q2484" s="7" t="s">
        <v>148</v>
      </c>
      <c r="R2484" s="7" t="s">
        <v>19544</v>
      </c>
      <c r="T2484" s="7" t="s">
        <v>3734</v>
      </c>
      <c r="U2484" s="7" t="s">
        <v>3493</v>
      </c>
      <c r="V2484" s="7">
        <v>1.0</v>
      </c>
    </row>
    <row r="2485">
      <c r="A2485" s="7" t="s">
        <v>22399</v>
      </c>
      <c r="B2485" s="7">
        <v>3000838.0</v>
      </c>
      <c r="C2485" s="7" t="s">
        <v>18013</v>
      </c>
      <c r="D2485" s="7" t="s">
        <v>18014</v>
      </c>
      <c r="E2485" s="7" t="s">
        <v>18015</v>
      </c>
      <c r="F2485" s="7" t="s">
        <v>5545</v>
      </c>
      <c r="G2485" s="7" t="s">
        <v>18016</v>
      </c>
      <c r="H2485" s="7" t="s">
        <v>18017</v>
      </c>
      <c r="I2485" s="119">
        <v>45824.0</v>
      </c>
      <c r="K2485" s="7" t="s">
        <v>3632</v>
      </c>
      <c r="L2485" s="7" t="s">
        <v>991</v>
      </c>
      <c r="M2485" s="7" t="s">
        <v>3583</v>
      </c>
      <c r="N2485" s="7" t="s">
        <v>3632</v>
      </c>
      <c r="O2485" s="7" t="s">
        <v>3632</v>
      </c>
      <c r="P2485" s="7" t="s">
        <v>625</v>
      </c>
      <c r="Q2485" s="7" t="s">
        <v>626</v>
      </c>
      <c r="R2485" s="7" t="s">
        <v>19672</v>
      </c>
      <c r="T2485" s="7" t="s">
        <v>4191</v>
      </c>
      <c r="U2485" s="7" t="s">
        <v>3493</v>
      </c>
      <c r="V2485" s="7">
        <v>1.0</v>
      </c>
    </row>
    <row r="2486">
      <c r="A2486" s="7" t="s">
        <v>22400</v>
      </c>
      <c r="B2486" s="7">
        <v>3000833.0</v>
      </c>
      <c r="C2486" s="7" t="s">
        <v>18019</v>
      </c>
      <c r="D2486" s="7" t="s">
        <v>18020</v>
      </c>
      <c r="E2486" s="7" t="s">
        <v>18021</v>
      </c>
      <c r="F2486" s="7" t="s">
        <v>18022</v>
      </c>
      <c r="G2486" s="7" t="s">
        <v>18023</v>
      </c>
      <c r="H2486" s="7" t="s">
        <v>18024</v>
      </c>
      <c r="I2486" s="119">
        <v>45824.0</v>
      </c>
      <c r="K2486" s="7" t="s">
        <v>419</v>
      </c>
      <c r="L2486" s="7" t="s">
        <v>991</v>
      </c>
      <c r="M2486" s="7" t="s">
        <v>3531</v>
      </c>
      <c r="N2486" s="7" t="s">
        <v>419</v>
      </c>
      <c r="O2486" s="7" t="s">
        <v>19430</v>
      </c>
      <c r="P2486" s="7" t="s">
        <v>717</v>
      </c>
      <c r="Q2486" s="7" t="s">
        <v>1163</v>
      </c>
      <c r="R2486" s="7" t="s">
        <v>19608</v>
      </c>
      <c r="S2486" s="7" t="s">
        <v>19618</v>
      </c>
      <c r="T2486" s="7" t="s">
        <v>3997</v>
      </c>
      <c r="U2486" s="7" t="s">
        <v>3493</v>
      </c>
      <c r="V2486" s="7">
        <v>1.0</v>
      </c>
    </row>
    <row r="2487">
      <c r="A2487" s="7" t="s">
        <v>22401</v>
      </c>
      <c r="B2487" s="7">
        <v>3000841.0</v>
      </c>
      <c r="C2487" s="7" t="s">
        <v>10885</v>
      </c>
      <c r="D2487" s="7" t="s">
        <v>18026</v>
      </c>
      <c r="E2487" s="7" t="s">
        <v>10901</v>
      </c>
      <c r="F2487" s="7" t="s">
        <v>18027</v>
      </c>
      <c r="G2487" s="7" t="s">
        <v>18028</v>
      </c>
      <c r="H2487" s="7" t="s">
        <v>18029</v>
      </c>
      <c r="I2487" s="119">
        <v>45824.0</v>
      </c>
      <c r="K2487" s="7" t="s">
        <v>3622</v>
      </c>
      <c r="L2487" s="7" t="s">
        <v>991</v>
      </c>
      <c r="M2487" s="7" t="s">
        <v>3866</v>
      </c>
      <c r="N2487" s="7" t="s">
        <v>3622</v>
      </c>
      <c r="O2487" s="7" t="s">
        <v>3622</v>
      </c>
      <c r="P2487" s="7" t="s">
        <v>19521</v>
      </c>
      <c r="T2487" s="7" t="s">
        <v>3624</v>
      </c>
      <c r="U2487" s="7" t="s">
        <v>3493</v>
      </c>
      <c r="V2487" s="7">
        <v>1.0</v>
      </c>
    </row>
    <row r="2488">
      <c r="A2488" s="7" t="s">
        <v>22402</v>
      </c>
      <c r="B2488" s="7">
        <v>3000693.0</v>
      </c>
      <c r="C2488" s="7" t="s">
        <v>11334</v>
      </c>
      <c r="D2488" s="7" t="s">
        <v>18031</v>
      </c>
      <c r="E2488" s="7" t="s">
        <v>11336</v>
      </c>
      <c r="F2488" s="7" t="s">
        <v>4262</v>
      </c>
      <c r="G2488" s="7" t="s">
        <v>18032</v>
      </c>
      <c r="H2488" s="7" t="s">
        <v>18033</v>
      </c>
      <c r="I2488" s="119">
        <v>45824.0</v>
      </c>
      <c r="K2488" s="7" t="s">
        <v>419</v>
      </c>
      <c r="L2488" s="7" t="s">
        <v>991</v>
      </c>
      <c r="M2488" s="7" t="s">
        <v>3501</v>
      </c>
      <c r="N2488" s="7" t="s">
        <v>419</v>
      </c>
      <c r="O2488" s="7" t="s">
        <v>19440</v>
      </c>
      <c r="P2488" s="7" t="s">
        <v>613</v>
      </c>
      <c r="Q2488" s="7" t="s">
        <v>106</v>
      </c>
      <c r="R2488" s="7" t="s">
        <v>19993</v>
      </c>
      <c r="T2488" s="7" t="s">
        <v>5540</v>
      </c>
      <c r="U2488" s="7" t="s">
        <v>3493</v>
      </c>
      <c r="V2488" s="7">
        <v>1.0</v>
      </c>
    </row>
    <row r="2489">
      <c r="A2489" s="7" t="s">
        <v>22403</v>
      </c>
      <c r="B2489" s="7">
        <v>3000840.0</v>
      </c>
      <c r="C2489" s="7" t="s">
        <v>12341</v>
      </c>
      <c r="D2489" s="7" t="s">
        <v>18035</v>
      </c>
      <c r="E2489" s="7" t="s">
        <v>12343</v>
      </c>
      <c r="F2489" s="7" t="s">
        <v>3692</v>
      </c>
      <c r="G2489" s="7" t="s">
        <v>18036</v>
      </c>
      <c r="H2489" s="7" t="s">
        <v>18037</v>
      </c>
      <c r="I2489" s="119">
        <v>45824.0</v>
      </c>
      <c r="K2489" s="7" t="s">
        <v>419</v>
      </c>
      <c r="L2489" s="7" t="s">
        <v>991</v>
      </c>
      <c r="M2489" s="7" t="s">
        <v>3531</v>
      </c>
      <c r="N2489" s="7" t="s">
        <v>419</v>
      </c>
      <c r="O2489" s="7" t="s">
        <v>19430</v>
      </c>
      <c r="P2489" s="7" t="s">
        <v>780</v>
      </c>
      <c r="Q2489" s="7" t="s">
        <v>286</v>
      </c>
      <c r="R2489" s="7" t="s">
        <v>19914</v>
      </c>
      <c r="T2489" s="7" t="s">
        <v>18038</v>
      </c>
      <c r="U2489" s="7" t="s">
        <v>3493</v>
      </c>
      <c r="V2489" s="7">
        <v>1.0</v>
      </c>
    </row>
    <row r="2490">
      <c r="A2490" s="7" t="s">
        <v>22404</v>
      </c>
      <c r="B2490" s="7">
        <v>3000843.0</v>
      </c>
      <c r="C2490" s="7" t="s">
        <v>14579</v>
      </c>
      <c r="D2490" s="7" t="s">
        <v>18040</v>
      </c>
      <c r="E2490" s="7" t="s">
        <v>12386</v>
      </c>
      <c r="F2490" s="7" t="s">
        <v>3609</v>
      </c>
      <c r="G2490" s="7" t="s">
        <v>18041</v>
      </c>
      <c r="H2490" s="7" t="s">
        <v>18042</v>
      </c>
      <c r="I2490" s="119">
        <v>45824.0</v>
      </c>
      <c r="K2490" s="7" t="s">
        <v>17988</v>
      </c>
      <c r="L2490" s="7" t="s">
        <v>991</v>
      </c>
      <c r="M2490" s="7" t="s">
        <v>3501</v>
      </c>
      <c r="N2490" s="7" t="s">
        <v>17988</v>
      </c>
      <c r="O2490" s="7" t="s">
        <v>17988</v>
      </c>
      <c r="P2490" s="7" t="s">
        <v>22394</v>
      </c>
      <c r="T2490" s="7" t="s">
        <v>17990</v>
      </c>
      <c r="U2490" s="7" t="s">
        <v>3493</v>
      </c>
      <c r="V2490" s="7">
        <v>1.0</v>
      </c>
    </row>
    <row r="2491">
      <c r="A2491" s="7" t="s">
        <v>22405</v>
      </c>
      <c r="B2491" s="7">
        <v>3000835.0</v>
      </c>
      <c r="C2491" s="7" t="s">
        <v>12728</v>
      </c>
      <c r="D2491" s="7" t="s">
        <v>18044</v>
      </c>
      <c r="E2491" s="7" t="s">
        <v>12730</v>
      </c>
      <c r="F2491" s="7" t="s">
        <v>5661</v>
      </c>
      <c r="G2491" s="7" t="s">
        <v>18045</v>
      </c>
      <c r="H2491" s="7" t="s">
        <v>18046</v>
      </c>
      <c r="I2491" s="119">
        <v>45824.0</v>
      </c>
      <c r="K2491" s="7" t="s">
        <v>3632</v>
      </c>
      <c r="L2491" s="7" t="s">
        <v>991</v>
      </c>
      <c r="M2491" s="7" t="s">
        <v>3583</v>
      </c>
      <c r="N2491" s="7" t="s">
        <v>3632</v>
      </c>
      <c r="O2491" s="7" t="s">
        <v>3632</v>
      </c>
      <c r="P2491" s="7" t="s">
        <v>19462</v>
      </c>
      <c r="Q2491" s="7" t="s">
        <v>19463</v>
      </c>
      <c r="T2491" s="7" t="s">
        <v>19464</v>
      </c>
      <c r="U2491" s="7" t="s">
        <v>3493</v>
      </c>
      <c r="V2491" s="7">
        <v>1.0</v>
      </c>
    </row>
    <row r="2492">
      <c r="A2492" s="7" t="s">
        <v>22406</v>
      </c>
      <c r="B2492" s="7">
        <v>3000734.0</v>
      </c>
      <c r="C2492" s="7" t="s">
        <v>13801</v>
      </c>
      <c r="D2492" s="7" t="s">
        <v>5987</v>
      </c>
      <c r="E2492" s="7" t="s">
        <v>13803</v>
      </c>
      <c r="F2492" s="7" t="s">
        <v>5987</v>
      </c>
      <c r="G2492" s="7" t="s">
        <v>18049</v>
      </c>
      <c r="H2492" s="7" t="s">
        <v>18050</v>
      </c>
      <c r="I2492" s="119">
        <v>45824.0</v>
      </c>
      <c r="K2492" s="7" t="s">
        <v>419</v>
      </c>
      <c r="L2492" s="7" t="s">
        <v>991</v>
      </c>
      <c r="M2492" s="7" t="s">
        <v>3501</v>
      </c>
      <c r="N2492" s="7" t="s">
        <v>419</v>
      </c>
      <c r="O2492" s="7" t="s">
        <v>19437</v>
      </c>
      <c r="P2492" s="7" t="s">
        <v>478</v>
      </c>
      <c r="Q2492" s="7" t="s">
        <v>484</v>
      </c>
      <c r="R2492" s="7" t="s">
        <v>19624</v>
      </c>
      <c r="T2492" s="7" t="s">
        <v>7835</v>
      </c>
      <c r="U2492" s="7" t="s">
        <v>3493</v>
      </c>
      <c r="V2492" s="7">
        <v>1.0</v>
      </c>
    </row>
    <row r="2493">
      <c r="A2493" s="7" t="s">
        <v>22407</v>
      </c>
      <c r="B2493" s="7">
        <v>3000692.0</v>
      </c>
      <c r="C2493" s="7" t="s">
        <v>18052</v>
      </c>
      <c r="D2493" s="7" t="s">
        <v>18053</v>
      </c>
      <c r="E2493" s="7" t="s">
        <v>18054</v>
      </c>
      <c r="F2493" s="7" t="s">
        <v>3498</v>
      </c>
      <c r="G2493" s="7" t="s">
        <v>18055</v>
      </c>
      <c r="H2493" s="7" t="s">
        <v>18056</v>
      </c>
      <c r="I2493" s="119">
        <v>45824.0</v>
      </c>
      <c r="K2493" s="7" t="s">
        <v>419</v>
      </c>
      <c r="L2493" s="7" t="s">
        <v>991</v>
      </c>
      <c r="M2493" s="7" t="s">
        <v>3501</v>
      </c>
      <c r="N2493" s="7" t="s">
        <v>419</v>
      </c>
      <c r="O2493" s="7" t="s">
        <v>19440</v>
      </c>
      <c r="P2493" s="7" t="s">
        <v>613</v>
      </c>
      <c r="Q2493" s="7" t="s">
        <v>106</v>
      </c>
      <c r="R2493" s="7" t="s">
        <v>19993</v>
      </c>
      <c r="T2493" s="7" t="s">
        <v>5540</v>
      </c>
      <c r="U2493" s="7" t="s">
        <v>3493</v>
      </c>
      <c r="V2493" s="7">
        <v>1.0</v>
      </c>
    </row>
    <row r="2494">
      <c r="A2494" s="7" t="s">
        <v>22408</v>
      </c>
      <c r="B2494" s="7">
        <v>3000907.0</v>
      </c>
      <c r="C2494" s="7" t="s">
        <v>5399</v>
      </c>
      <c r="D2494" s="7" t="s">
        <v>5743</v>
      </c>
      <c r="E2494" s="7" t="s">
        <v>5401</v>
      </c>
      <c r="F2494" s="7" t="s">
        <v>5058</v>
      </c>
      <c r="G2494" s="7" t="s">
        <v>18058</v>
      </c>
      <c r="I2494" s="119">
        <v>45824.0</v>
      </c>
      <c r="K2494" s="7" t="s">
        <v>419</v>
      </c>
      <c r="L2494" s="7" t="s">
        <v>991</v>
      </c>
      <c r="M2494" s="7" t="s">
        <v>3531</v>
      </c>
      <c r="N2494" s="7" t="s">
        <v>419</v>
      </c>
      <c r="O2494" s="7" t="s">
        <v>19443</v>
      </c>
      <c r="P2494" s="7" t="s">
        <v>1242</v>
      </c>
      <c r="Q2494" s="7" t="s">
        <v>39</v>
      </c>
      <c r="R2494" s="7" t="s">
        <v>19757</v>
      </c>
      <c r="T2494" s="7" t="s">
        <v>4536</v>
      </c>
      <c r="U2494" s="7" t="s">
        <v>3493</v>
      </c>
      <c r="V2494" s="7">
        <v>1.0</v>
      </c>
    </row>
    <row r="2495">
      <c r="A2495" s="7" t="s">
        <v>22409</v>
      </c>
      <c r="B2495" s="7">
        <v>3000842.0</v>
      </c>
      <c r="C2495" s="7" t="s">
        <v>6731</v>
      </c>
      <c r="D2495" s="7" t="s">
        <v>18060</v>
      </c>
      <c r="E2495" s="7" t="s">
        <v>6732</v>
      </c>
      <c r="F2495" s="7" t="s">
        <v>16900</v>
      </c>
      <c r="G2495" s="7" t="s">
        <v>18061</v>
      </c>
      <c r="I2495" s="119">
        <v>45824.0</v>
      </c>
      <c r="K2495" s="7" t="s">
        <v>419</v>
      </c>
      <c r="L2495" s="7" t="s">
        <v>991</v>
      </c>
      <c r="M2495" s="7" t="s">
        <v>4644</v>
      </c>
      <c r="N2495" s="7" t="s">
        <v>419</v>
      </c>
      <c r="O2495" s="7" t="s">
        <v>19438</v>
      </c>
      <c r="P2495" s="7" t="s">
        <v>420</v>
      </c>
      <c r="T2495" s="7" t="s">
        <v>12210</v>
      </c>
      <c r="U2495" s="7" t="s">
        <v>4908</v>
      </c>
      <c r="V2495" s="7">
        <v>1.0</v>
      </c>
    </row>
    <row r="2496">
      <c r="A2496" s="7" t="s">
        <v>22410</v>
      </c>
      <c r="B2496" s="7">
        <v>3000850.0</v>
      </c>
      <c r="C2496" s="7" t="s">
        <v>18063</v>
      </c>
      <c r="D2496" s="7" t="s">
        <v>18064</v>
      </c>
      <c r="E2496" s="7" t="s">
        <v>18065</v>
      </c>
      <c r="F2496" s="7" t="s">
        <v>6271</v>
      </c>
      <c r="G2496" s="7" t="s">
        <v>18066</v>
      </c>
      <c r="H2496" s="7" t="s">
        <v>18067</v>
      </c>
      <c r="I2496" s="119">
        <v>45839.0</v>
      </c>
      <c r="K2496" s="7" t="s">
        <v>419</v>
      </c>
      <c r="L2496" s="7" t="s">
        <v>991</v>
      </c>
      <c r="M2496" s="7" t="s">
        <v>3501</v>
      </c>
      <c r="N2496" s="7" t="s">
        <v>419</v>
      </c>
      <c r="O2496" s="7" t="s">
        <v>19443</v>
      </c>
      <c r="P2496" s="7" t="s">
        <v>323</v>
      </c>
      <c r="Q2496" s="7" t="s">
        <v>824</v>
      </c>
      <c r="R2496" s="7" t="s">
        <v>20311</v>
      </c>
      <c r="T2496" s="7" t="s">
        <v>7132</v>
      </c>
      <c r="U2496" s="7" t="s">
        <v>3493</v>
      </c>
      <c r="V2496" s="7">
        <v>1.0</v>
      </c>
    </row>
    <row r="2497">
      <c r="A2497" s="7" t="s">
        <v>22411</v>
      </c>
      <c r="B2497" s="7">
        <v>3000895.0</v>
      </c>
      <c r="C2497" s="7" t="s">
        <v>18069</v>
      </c>
      <c r="D2497" s="7" t="s">
        <v>18070</v>
      </c>
      <c r="E2497" s="7" t="s">
        <v>18071</v>
      </c>
      <c r="F2497" s="7" t="s">
        <v>16640</v>
      </c>
      <c r="G2497" s="7" t="s">
        <v>18072</v>
      </c>
      <c r="H2497" s="7" t="s">
        <v>18073</v>
      </c>
      <c r="I2497" s="119">
        <v>45839.0</v>
      </c>
      <c r="K2497" s="7" t="s">
        <v>17988</v>
      </c>
      <c r="L2497" s="7" t="s">
        <v>991</v>
      </c>
      <c r="M2497" s="7" t="s">
        <v>3501</v>
      </c>
      <c r="N2497" s="7" t="s">
        <v>17988</v>
      </c>
      <c r="O2497" s="7" t="s">
        <v>17988</v>
      </c>
      <c r="P2497" s="7" t="s">
        <v>22394</v>
      </c>
      <c r="T2497" s="7" t="s">
        <v>17990</v>
      </c>
      <c r="U2497" s="7" t="s">
        <v>3493</v>
      </c>
      <c r="V2497" s="7">
        <v>1.0</v>
      </c>
    </row>
    <row r="2498">
      <c r="A2498" s="7" t="s">
        <v>22412</v>
      </c>
      <c r="B2498" s="7">
        <v>3000855.0</v>
      </c>
      <c r="C2498" s="7" t="s">
        <v>18075</v>
      </c>
      <c r="D2498" s="7" t="s">
        <v>18076</v>
      </c>
      <c r="E2498" s="7" t="s">
        <v>18077</v>
      </c>
      <c r="F2498" s="7" t="s">
        <v>10462</v>
      </c>
      <c r="G2498" s="7" t="s">
        <v>18078</v>
      </c>
      <c r="H2498" s="7" t="s">
        <v>18079</v>
      </c>
      <c r="I2498" s="119">
        <v>45839.0</v>
      </c>
      <c r="K2498" s="7" t="s">
        <v>419</v>
      </c>
      <c r="L2498" s="7" t="s">
        <v>991</v>
      </c>
      <c r="M2498" s="7" t="s">
        <v>3531</v>
      </c>
      <c r="N2498" s="7" t="s">
        <v>419</v>
      </c>
      <c r="O2498" s="7" t="s">
        <v>19430</v>
      </c>
      <c r="P2498" s="7" t="s">
        <v>780</v>
      </c>
      <c r="Q2498" s="7" t="s">
        <v>284</v>
      </c>
      <c r="T2498" s="7" t="s">
        <v>18081</v>
      </c>
      <c r="U2498" s="7" t="s">
        <v>3493</v>
      </c>
      <c r="V2498" s="7">
        <v>1.0</v>
      </c>
    </row>
    <row r="2499">
      <c r="A2499" s="7" t="s">
        <v>22413</v>
      </c>
      <c r="B2499" s="7">
        <v>3000909.0</v>
      </c>
      <c r="C2499" s="7" t="s">
        <v>4218</v>
      </c>
      <c r="D2499" s="7" t="s">
        <v>18083</v>
      </c>
      <c r="E2499" s="7" t="s">
        <v>4220</v>
      </c>
      <c r="F2499" s="7" t="s">
        <v>10272</v>
      </c>
      <c r="G2499" s="7" t="s">
        <v>18084</v>
      </c>
      <c r="H2499" s="7" t="s">
        <v>18085</v>
      </c>
      <c r="I2499" s="119">
        <v>45839.0</v>
      </c>
      <c r="K2499" s="7" t="s">
        <v>3642</v>
      </c>
      <c r="L2499" s="7" t="s">
        <v>991</v>
      </c>
      <c r="M2499" s="7" t="s">
        <v>3501</v>
      </c>
      <c r="N2499" s="7" t="s">
        <v>3642</v>
      </c>
      <c r="O2499" s="7" t="s">
        <v>3642</v>
      </c>
      <c r="P2499" s="7" t="s">
        <v>19524</v>
      </c>
      <c r="T2499" s="7" t="s">
        <v>3644</v>
      </c>
      <c r="U2499" s="7" t="s">
        <v>3493</v>
      </c>
      <c r="V2499" s="7">
        <v>1.0</v>
      </c>
    </row>
    <row r="2500">
      <c r="A2500" s="7" t="s">
        <v>22414</v>
      </c>
      <c r="B2500" s="7">
        <v>3000831.0</v>
      </c>
      <c r="C2500" s="7" t="s">
        <v>15040</v>
      </c>
      <c r="D2500" s="7" t="s">
        <v>18087</v>
      </c>
      <c r="E2500" s="7" t="s">
        <v>15042</v>
      </c>
      <c r="F2500" s="7" t="s">
        <v>15477</v>
      </c>
      <c r="G2500" s="7" t="s">
        <v>18088</v>
      </c>
      <c r="H2500" s="7" t="s">
        <v>18089</v>
      </c>
      <c r="I2500" s="119">
        <v>45839.0</v>
      </c>
      <c r="K2500" s="7" t="s">
        <v>419</v>
      </c>
      <c r="L2500" s="7" t="s">
        <v>991</v>
      </c>
      <c r="M2500" s="7" t="s">
        <v>3501</v>
      </c>
      <c r="N2500" s="7" t="s">
        <v>419</v>
      </c>
      <c r="O2500" s="7" t="s">
        <v>19432</v>
      </c>
      <c r="P2500" s="7" t="s">
        <v>693</v>
      </c>
      <c r="Q2500" s="7" t="s">
        <v>698</v>
      </c>
      <c r="R2500" s="7" t="s">
        <v>19783</v>
      </c>
      <c r="S2500" s="7" t="s">
        <v>19784</v>
      </c>
      <c r="T2500" s="7" t="s">
        <v>4624</v>
      </c>
      <c r="U2500" s="7" t="s">
        <v>3493</v>
      </c>
      <c r="V2500" s="7">
        <v>1.0</v>
      </c>
    </row>
    <row r="2501">
      <c r="A2501" s="7" t="s">
        <v>22415</v>
      </c>
      <c r="B2501" s="7">
        <v>3000868.0</v>
      </c>
      <c r="C2501" s="7" t="s">
        <v>18091</v>
      </c>
      <c r="D2501" s="7" t="s">
        <v>18092</v>
      </c>
      <c r="E2501" s="7" t="s">
        <v>18093</v>
      </c>
      <c r="F2501" s="7" t="s">
        <v>5522</v>
      </c>
      <c r="G2501" s="7" t="s">
        <v>18094</v>
      </c>
      <c r="H2501" s="7" t="s">
        <v>18095</v>
      </c>
      <c r="I2501" s="119">
        <v>45839.0</v>
      </c>
      <c r="K2501" s="7" t="s">
        <v>3642</v>
      </c>
      <c r="L2501" s="7" t="s">
        <v>991</v>
      </c>
      <c r="M2501" s="7" t="s">
        <v>3583</v>
      </c>
      <c r="N2501" s="7" t="s">
        <v>3642</v>
      </c>
      <c r="O2501" s="7" t="s">
        <v>3642</v>
      </c>
      <c r="P2501" s="7" t="s">
        <v>19524</v>
      </c>
      <c r="T2501" s="7" t="s">
        <v>3644</v>
      </c>
      <c r="U2501" s="7" t="s">
        <v>3493</v>
      </c>
      <c r="V2501" s="7">
        <v>1.0</v>
      </c>
    </row>
    <row r="2502">
      <c r="A2502" s="7" t="s">
        <v>22416</v>
      </c>
      <c r="B2502" s="7">
        <v>3000861.0</v>
      </c>
      <c r="C2502" s="7" t="s">
        <v>18097</v>
      </c>
      <c r="D2502" s="7" t="s">
        <v>18098</v>
      </c>
      <c r="E2502" s="7" t="s">
        <v>18099</v>
      </c>
      <c r="F2502" s="7" t="s">
        <v>18100</v>
      </c>
      <c r="G2502" s="7" t="s">
        <v>18101</v>
      </c>
      <c r="H2502" s="7" t="s">
        <v>18102</v>
      </c>
      <c r="I2502" s="119">
        <v>45839.0</v>
      </c>
      <c r="K2502" s="7" t="s">
        <v>419</v>
      </c>
      <c r="L2502" s="7" t="s">
        <v>991</v>
      </c>
      <c r="M2502" s="7" t="s">
        <v>3531</v>
      </c>
      <c r="N2502" s="7" t="s">
        <v>419</v>
      </c>
      <c r="O2502" s="7" t="s">
        <v>19432</v>
      </c>
      <c r="P2502" s="7" t="s">
        <v>693</v>
      </c>
      <c r="Q2502" s="7" t="s">
        <v>703</v>
      </c>
      <c r="R2502" s="7" t="s">
        <v>19945</v>
      </c>
      <c r="S2502" s="7" t="s">
        <v>19946</v>
      </c>
      <c r="T2502" s="7" t="s">
        <v>5342</v>
      </c>
      <c r="U2502" s="7" t="s">
        <v>3493</v>
      </c>
      <c r="V2502" s="7">
        <v>1.0</v>
      </c>
    </row>
    <row r="2503">
      <c r="A2503" s="7" t="s">
        <v>22417</v>
      </c>
      <c r="B2503" s="7">
        <v>3000856.0</v>
      </c>
      <c r="C2503" s="7" t="s">
        <v>18104</v>
      </c>
      <c r="D2503" s="7" t="s">
        <v>18105</v>
      </c>
      <c r="E2503" s="7" t="s">
        <v>18106</v>
      </c>
      <c r="F2503" s="7" t="s">
        <v>3517</v>
      </c>
      <c r="G2503" s="7" t="s">
        <v>18107</v>
      </c>
      <c r="H2503" s="7" t="s">
        <v>18108</v>
      </c>
      <c r="I2503" s="119">
        <v>45839.0</v>
      </c>
      <c r="K2503" s="7" t="s">
        <v>419</v>
      </c>
      <c r="L2503" s="7" t="s">
        <v>991</v>
      </c>
      <c r="M2503" s="7" t="s">
        <v>3531</v>
      </c>
      <c r="N2503" s="7" t="s">
        <v>419</v>
      </c>
      <c r="O2503" s="7" t="s">
        <v>19443</v>
      </c>
      <c r="P2503" s="7" t="s">
        <v>1242</v>
      </c>
      <c r="Q2503" s="7" t="s">
        <v>51</v>
      </c>
      <c r="R2503" s="7" t="s">
        <v>19563</v>
      </c>
      <c r="S2503" s="7" t="s">
        <v>19953</v>
      </c>
      <c r="T2503" s="7" t="s">
        <v>5373</v>
      </c>
      <c r="U2503" s="7" t="s">
        <v>3493</v>
      </c>
      <c r="V2503" s="7">
        <v>1.0</v>
      </c>
    </row>
    <row r="2504">
      <c r="A2504" s="7" t="s">
        <v>22418</v>
      </c>
      <c r="B2504" s="7">
        <v>3000847.0</v>
      </c>
      <c r="C2504" s="7" t="s">
        <v>17103</v>
      </c>
      <c r="D2504" s="7" t="s">
        <v>18110</v>
      </c>
      <c r="E2504" s="7" t="s">
        <v>18111</v>
      </c>
      <c r="F2504" s="7" t="s">
        <v>3889</v>
      </c>
      <c r="G2504" s="7" t="s">
        <v>18112</v>
      </c>
      <c r="H2504" s="7" t="s">
        <v>18113</v>
      </c>
      <c r="I2504" s="119">
        <v>45839.0</v>
      </c>
      <c r="K2504" s="7" t="s">
        <v>419</v>
      </c>
      <c r="L2504" s="7" t="s">
        <v>991</v>
      </c>
      <c r="M2504" s="7" t="s">
        <v>3501</v>
      </c>
      <c r="N2504" s="7" t="s">
        <v>419</v>
      </c>
      <c r="O2504" s="7" t="s">
        <v>19430</v>
      </c>
      <c r="P2504" s="7" t="s">
        <v>717</v>
      </c>
      <c r="Q2504" s="7" t="s">
        <v>223</v>
      </c>
      <c r="R2504" s="7" t="s">
        <v>20108</v>
      </c>
      <c r="T2504" s="7" t="s">
        <v>6071</v>
      </c>
      <c r="U2504" s="7" t="s">
        <v>3493</v>
      </c>
      <c r="V2504" s="7">
        <v>1.0</v>
      </c>
    </row>
    <row r="2505">
      <c r="A2505" s="7" t="s">
        <v>22419</v>
      </c>
      <c r="B2505" s="7">
        <v>3000885.0</v>
      </c>
      <c r="C2505" s="7" t="s">
        <v>6137</v>
      </c>
      <c r="D2505" s="7" t="s">
        <v>18115</v>
      </c>
      <c r="E2505" s="7" t="s">
        <v>18116</v>
      </c>
      <c r="F2505" s="7" t="s">
        <v>18009</v>
      </c>
      <c r="G2505" s="7" t="s">
        <v>18117</v>
      </c>
      <c r="H2505" s="7" t="s">
        <v>18118</v>
      </c>
      <c r="I2505" s="119">
        <v>45839.0</v>
      </c>
      <c r="K2505" s="7" t="s">
        <v>419</v>
      </c>
      <c r="L2505" s="7" t="s">
        <v>991</v>
      </c>
      <c r="M2505" s="7" t="s">
        <v>3531</v>
      </c>
      <c r="N2505" s="7" t="s">
        <v>419</v>
      </c>
      <c r="O2505" s="7" t="s">
        <v>19430</v>
      </c>
      <c r="P2505" s="7" t="s">
        <v>717</v>
      </c>
      <c r="Q2505" s="7" t="s">
        <v>720</v>
      </c>
      <c r="R2505" s="7" t="s">
        <v>19542</v>
      </c>
      <c r="T2505" s="7" t="s">
        <v>3725</v>
      </c>
      <c r="U2505" s="7" t="s">
        <v>3493</v>
      </c>
      <c r="V2505" s="7">
        <v>1.0</v>
      </c>
    </row>
    <row r="2506">
      <c r="A2506" s="7" t="s">
        <v>22420</v>
      </c>
      <c r="B2506" s="7">
        <v>3000914.0</v>
      </c>
      <c r="C2506" s="7" t="s">
        <v>18120</v>
      </c>
      <c r="D2506" s="7" t="s">
        <v>18121</v>
      </c>
      <c r="E2506" s="7" t="s">
        <v>18122</v>
      </c>
      <c r="F2506" s="7" t="s">
        <v>7295</v>
      </c>
      <c r="G2506" s="7" t="s">
        <v>18123</v>
      </c>
      <c r="H2506" s="7" t="s">
        <v>18124</v>
      </c>
      <c r="I2506" s="119">
        <v>45839.0</v>
      </c>
      <c r="K2506" s="7" t="s">
        <v>419</v>
      </c>
      <c r="L2506" s="7" t="s">
        <v>991</v>
      </c>
      <c r="M2506" s="7" t="s">
        <v>3531</v>
      </c>
      <c r="N2506" s="7" t="s">
        <v>419</v>
      </c>
      <c r="O2506" s="7" t="s">
        <v>19433</v>
      </c>
      <c r="P2506" s="7" t="s">
        <v>648</v>
      </c>
      <c r="Q2506" s="7" t="s">
        <v>148</v>
      </c>
      <c r="R2506" s="7" t="s">
        <v>19544</v>
      </c>
      <c r="T2506" s="7" t="s">
        <v>3734</v>
      </c>
      <c r="U2506" s="7" t="s">
        <v>3493</v>
      </c>
      <c r="V2506" s="7">
        <v>1.0</v>
      </c>
    </row>
    <row r="2507">
      <c r="A2507" s="7" t="s">
        <v>22421</v>
      </c>
      <c r="B2507" s="7">
        <v>3000886.0</v>
      </c>
      <c r="C2507" s="7" t="s">
        <v>6559</v>
      </c>
      <c r="D2507" s="7" t="s">
        <v>18126</v>
      </c>
      <c r="E2507" s="7" t="s">
        <v>6561</v>
      </c>
      <c r="F2507" s="7" t="s">
        <v>9587</v>
      </c>
      <c r="G2507" s="7" t="s">
        <v>18127</v>
      </c>
      <c r="H2507" s="7" t="s">
        <v>18128</v>
      </c>
      <c r="I2507" s="119">
        <v>45839.0</v>
      </c>
      <c r="K2507" s="7" t="s">
        <v>419</v>
      </c>
      <c r="L2507" s="7" t="s">
        <v>991</v>
      </c>
      <c r="M2507" s="7" t="s">
        <v>3531</v>
      </c>
      <c r="N2507" s="7" t="s">
        <v>419</v>
      </c>
      <c r="O2507" s="7" t="s">
        <v>19430</v>
      </c>
      <c r="P2507" s="7" t="s">
        <v>717</v>
      </c>
      <c r="Q2507" s="7" t="s">
        <v>720</v>
      </c>
      <c r="R2507" s="7" t="s">
        <v>19542</v>
      </c>
      <c r="T2507" s="7" t="s">
        <v>3725</v>
      </c>
      <c r="U2507" s="7" t="s">
        <v>3493</v>
      </c>
      <c r="V2507" s="7">
        <v>1.0</v>
      </c>
    </row>
    <row r="2508">
      <c r="A2508" s="7" t="s">
        <v>22422</v>
      </c>
      <c r="B2508" s="7">
        <v>3000916.0</v>
      </c>
      <c r="C2508" s="7" t="s">
        <v>6582</v>
      </c>
      <c r="D2508" s="7" t="s">
        <v>18130</v>
      </c>
      <c r="E2508" s="7" t="s">
        <v>18131</v>
      </c>
      <c r="F2508" s="7" t="s">
        <v>9367</v>
      </c>
      <c r="G2508" s="7" t="s">
        <v>18132</v>
      </c>
      <c r="I2508" s="119">
        <v>45839.0</v>
      </c>
      <c r="K2508" s="7" t="s">
        <v>419</v>
      </c>
      <c r="L2508" s="7" t="s">
        <v>991</v>
      </c>
      <c r="M2508" s="7" t="s">
        <v>3531</v>
      </c>
      <c r="N2508" s="7" t="s">
        <v>419</v>
      </c>
      <c r="O2508" s="7" t="s">
        <v>19430</v>
      </c>
      <c r="P2508" s="7" t="s">
        <v>717</v>
      </c>
      <c r="Q2508" s="7" t="s">
        <v>730</v>
      </c>
      <c r="T2508" s="7" t="s">
        <v>14208</v>
      </c>
      <c r="U2508" s="7" t="s">
        <v>3493</v>
      </c>
      <c r="V2508" s="7">
        <v>1.0</v>
      </c>
    </row>
    <row r="2509">
      <c r="A2509" s="7" t="s">
        <v>22423</v>
      </c>
      <c r="B2509" s="7">
        <v>3000872.0</v>
      </c>
      <c r="C2509" s="7" t="s">
        <v>18134</v>
      </c>
      <c r="D2509" s="7" t="s">
        <v>6909</v>
      </c>
      <c r="E2509" s="7" t="s">
        <v>18135</v>
      </c>
      <c r="F2509" s="7" t="s">
        <v>6911</v>
      </c>
      <c r="G2509" s="7" t="s">
        <v>18136</v>
      </c>
      <c r="H2509" s="7" t="s">
        <v>18137</v>
      </c>
      <c r="I2509" s="119">
        <v>45839.0</v>
      </c>
      <c r="K2509" s="7" t="s">
        <v>419</v>
      </c>
      <c r="L2509" s="7" t="s">
        <v>991</v>
      </c>
      <c r="M2509" s="7" t="s">
        <v>3531</v>
      </c>
      <c r="N2509" s="7" t="s">
        <v>419</v>
      </c>
      <c r="O2509" s="7" t="s">
        <v>19430</v>
      </c>
      <c r="P2509" s="7" t="s">
        <v>780</v>
      </c>
      <c r="Q2509" s="7" t="s">
        <v>284</v>
      </c>
      <c r="R2509" s="7" t="s">
        <v>19554</v>
      </c>
      <c r="T2509" s="7" t="s">
        <v>5454</v>
      </c>
      <c r="U2509" s="7" t="s">
        <v>3493</v>
      </c>
      <c r="V2509" s="7">
        <v>1.0</v>
      </c>
    </row>
    <row r="2510">
      <c r="A2510" s="7" t="s">
        <v>22424</v>
      </c>
      <c r="B2510" s="7">
        <v>3000874.0</v>
      </c>
      <c r="C2510" s="7" t="s">
        <v>7234</v>
      </c>
      <c r="D2510" s="7" t="s">
        <v>18139</v>
      </c>
      <c r="E2510" s="7" t="s">
        <v>7236</v>
      </c>
      <c r="F2510" s="7" t="s">
        <v>7014</v>
      </c>
      <c r="G2510" s="7" t="s">
        <v>18140</v>
      </c>
      <c r="H2510" s="7" t="s">
        <v>18141</v>
      </c>
      <c r="I2510" s="119">
        <v>45839.0</v>
      </c>
      <c r="K2510" s="7" t="s">
        <v>3632</v>
      </c>
      <c r="L2510" s="7" t="s">
        <v>991</v>
      </c>
      <c r="M2510" s="7" t="s">
        <v>3501</v>
      </c>
      <c r="N2510" s="7" t="s">
        <v>3632</v>
      </c>
      <c r="O2510" s="7" t="s">
        <v>3632</v>
      </c>
      <c r="P2510" s="7" t="s">
        <v>429</v>
      </c>
      <c r="Q2510" s="7" t="s">
        <v>436</v>
      </c>
      <c r="R2510" s="7" t="s">
        <v>20088</v>
      </c>
      <c r="T2510" s="7" t="s">
        <v>20089</v>
      </c>
      <c r="U2510" s="7" t="s">
        <v>3493</v>
      </c>
      <c r="V2510" s="7">
        <v>1.0</v>
      </c>
    </row>
    <row r="2511">
      <c r="A2511" s="7" t="s">
        <v>22425</v>
      </c>
      <c r="B2511" s="7">
        <v>3000881.0</v>
      </c>
      <c r="C2511" s="7" t="s">
        <v>18143</v>
      </c>
      <c r="D2511" s="7" t="s">
        <v>18144</v>
      </c>
      <c r="E2511" s="7" t="s">
        <v>18145</v>
      </c>
      <c r="F2511" s="7" t="s">
        <v>3498</v>
      </c>
      <c r="G2511" s="7" t="s">
        <v>18146</v>
      </c>
      <c r="H2511" s="7" t="s">
        <v>18147</v>
      </c>
      <c r="I2511" s="119">
        <v>45839.0</v>
      </c>
      <c r="K2511" s="7" t="s">
        <v>419</v>
      </c>
      <c r="L2511" s="7" t="s">
        <v>991</v>
      </c>
      <c r="M2511" s="7" t="s">
        <v>3531</v>
      </c>
      <c r="N2511" s="7" t="s">
        <v>419</v>
      </c>
      <c r="O2511" s="7" t="s">
        <v>19430</v>
      </c>
      <c r="P2511" s="7" t="s">
        <v>717</v>
      </c>
      <c r="Q2511" s="7" t="s">
        <v>720</v>
      </c>
      <c r="R2511" s="7" t="s">
        <v>19542</v>
      </c>
      <c r="T2511" s="7" t="s">
        <v>3725</v>
      </c>
      <c r="U2511" s="7" t="s">
        <v>3493</v>
      </c>
      <c r="V2511" s="7">
        <v>1.0</v>
      </c>
    </row>
    <row r="2512">
      <c r="A2512" s="7" t="s">
        <v>22426</v>
      </c>
      <c r="B2512" s="7">
        <v>3000863.0</v>
      </c>
      <c r="C2512" s="7" t="s">
        <v>18149</v>
      </c>
      <c r="D2512" s="7" t="s">
        <v>18150</v>
      </c>
      <c r="E2512" s="7" t="s">
        <v>18151</v>
      </c>
      <c r="F2512" s="7" t="s">
        <v>9490</v>
      </c>
      <c r="G2512" s="7" t="s">
        <v>18152</v>
      </c>
      <c r="H2512" s="7" t="s">
        <v>18153</v>
      </c>
      <c r="I2512" s="119">
        <v>45839.0</v>
      </c>
      <c r="K2512" s="7" t="s">
        <v>419</v>
      </c>
      <c r="L2512" s="7" t="s">
        <v>991</v>
      </c>
      <c r="M2512" s="7" t="s">
        <v>3531</v>
      </c>
      <c r="N2512" s="7" t="s">
        <v>419</v>
      </c>
      <c r="O2512" s="7" t="s">
        <v>19443</v>
      </c>
      <c r="P2512" s="7" t="s">
        <v>323</v>
      </c>
      <c r="Q2512" s="7" t="s">
        <v>324</v>
      </c>
      <c r="R2512" s="7" t="s">
        <v>20997</v>
      </c>
      <c r="T2512" s="7" t="s">
        <v>11045</v>
      </c>
      <c r="U2512" s="7" t="s">
        <v>3493</v>
      </c>
      <c r="V2512" s="7">
        <v>1.0</v>
      </c>
    </row>
    <row r="2513">
      <c r="A2513" s="7" t="s">
        <v>22427</v>
      </c>
      <c r="B2513" s="7">
        <v>3000883.0</v>
      </c>
      <c r="C2513" s="7" t="s">
        <v>18155</v>
      </c>
      <c r="D2513" s="7" t="s">
        <v>18156</v>
      </c>
      <c r="E2513" s="7" t="s">
        <v>18157</v>
      </c>
      <c r="F2513" s="7" t="s">
        <v>13901</v>
      </c>
      <c r="G2513" s="7" t="s">
        <v>18158</v>
      </c>
      <c r="H2513" s="7" t="s">
        <v>18159</v>
      </c>
      <c r="I2513" s="119">
        <v>45839.0</v>
      </c>
      <c r="K2513" s="7" t="s">
        <v>419</v>
      </c>
      <c r="L2513" s="7" t="s">
        <v>991</v>
      </c>
      <c r="M2513" s="7" t="s">
        <v>3531</v>
      </c>
      <c r="N2513" s="7" t="s">
        <v>419</v>
      </c>
      <c r="O2513" s="7" t="s">
        <v>19430</v>
      </c>
      <c r="P2513" s="7" t="s">
        <v>717</v>
      </c>
      <c r="Q2513" s="7" t="s">
        <v>720</v>
      </c>
      <c r="R2513" s="7" t="s">
        <v>19542</v>
      </c>
      <c r="T2513" s="7" t="s">
        <v>3725</v>
      </c>
      <c r="U2513" s="7" t="s">
        <v>3493</v>
      </c>
      <c r="V2513" s="7">
        <v>1.0</v>
      </c>
    </row>
    <row r="2514">
      <c r="A2514" s="7" t="s">
        <v>22428</v>
      </c>
      <c r="B2514" s="7">
        <v>3000858.0</v>
      </c>
      <c r="C2514" s="7" t="s">
        <v>8089</v>
      </c>
      <c r="D2514" s="7" t="s">
        <v>18161</v>
      </c>
      <c r="E2514" s="7" t="s">
        <v>8074</v>
      </c>
      <c r="F2514" s="7" t="s">
        <v>10071</v>
      </c>
      <c r="G2514" s="7" t="s">
        <v>18162</v>
      </c>
      <c r="H2514" s="7" t="s">
        <v>18163</v>
      </c>
      <c r="I2514" s="119">
        <v>45839.0</v>
      </c>
      <c r="K2514" s="7" t="s">
        <v>419</v>
      </c>
      <c r="L2514" s="7" t="s">
        <v>991</v>
      </c>
      <c r="M2514" s="7" t="s">
        <v>3531</v>
      </c>
      <c r="N2514" s="7" t="s">
        <v>419</v>
      </c>
      <c r="O2514" s="7" t="s">
        <v>19443</v>
      </c>
      <c r="P2514" s="7" t="s">
        <v>1242</v>
      </c>
      <c r="Q2514" s="7" t="s">
        <v>51</v>
      </c>
      <c r="R2514" s="7" t="s">
        <v>19549</v>
      </c>
      <c r="S2514" s="7" t="s">
        <v>19668</v>
      </c>
      <c r="T2514" s="7" t="s">
        <v>4176</v>
      </c>
      <c r="U2514" s="7" t="s">
        <v>3493</v>
      </c>
      <c r="V2514" s="7">
        <v>1.0</v>
      </c>
    </row>
    <row r="2515">
      <c r="A2515" s="7" t="s">
        <v>22429</v>
      </c>
      <c r="B2515" s="7">
        <v>3000795.0</v>
      </c>
      <c r="C2515" s="7" t="s">
        <v>8429</v>
      </c>
      <c r="D2515" s="7" t="s">
        <v>18165</v>
      </c>
      <c r="E2515" s="7" t="s">
        <v>8431</v>
      </c>
      <c r="F2515" s="7" t="s">
        <v>3806</v>
      </c>
      <c r="G2515" s="7" t="s">
        <v>18166</v>
      </c>
      <c r="H2515" s="7" t="s">
        <v>18167</v>
      </c>
      <c r="I2515" s="119">
        <v>45839.0</v>
      </c>
      <c r="K2515" s="7" t="s">
        <v>419</v>
      </c>
      <c r="L2515" s="7" t="s">
        <v>991</v>
      </c>
      <c r="M2515" s="7" t="s">
        <v>3501</v>
      </c>
      <c r="N2515" s="7" t="s">
        <v>419</v>
      </c>
      <c r="O2515" s="7" t="s">
        <v>19433</v>
      </c>
      <c r="P2515" s="7" t="s">
        <v>587</v>
      </c>
      <c r="Q2515" s="7" t="s">
        <v>74</v>
      </c>
      <c r="T2515" s="7" t="s">
        <v>5112</v>
      </c>
      <c r="U2515" s="7" t="s">
        <v>3493</v>
      </c>
      <c r="V2515" s="7">
        <v>1.0</v>
      </c>
    </row>
    <row r="2516">
      <c r="A2516" s="7" t="s">
        <v>22430</v>
      </c>
      <c r="B2516" s="7">
        <v>3000875.0</v>
      </c>
      <c r="C2516" s="7" t="s">
        <v>8429</v>
      </c>
      <c r="D2516" s="7" t="s">
        <v>17700</v>
      </c>
      <c r="E2516" s="7" t="s">
        <v>8431</v>
      </c>
      <c r="F2516" s="7" t="s">
        <v>3909</v>
      </c>
      <c r="G2516" s="7" t="s">
        <v>18169</v>
      </c>
      <c r="H2516" s="7" t="s">
        <v>18170</v>
      </c>
      <c r="I2516" s="119">
        <v>45839.0</v>
      </c>
      <c r="K2516" s="7" t="s">
        <v>17988</v>
      </c>
      <c r="L2516" s="7" t="s">
        <v>991</v>
      </c>
      <c r="M2516" s="7" t="s">
        <v>3501</v>
      </c>
      <c r="N2516" s="7" t="s">
        <v>17988</v>
      </c>
      <c r="O2516" s="7" t="s">
        <v>17988</v>
      </c>
      <c r="P2516" s="7" t="s">
        <v>22394</v>
      </c>
      <c r="T2516" s="7" t="s">
        <v>17990</v>
      </c>
      <c r="U2516" s="7" t="s">
        <v>3493</v>
      </c>
      <c r="V2516" s="7">
        <v>1.0</v>
      </c>
    </row>
    <row r="2517">
      <c r="A2517" s="7" t="s">
        <v>22431</v>
      </c>
      <c r="B2517" s="7">
        <v>3000891.0</v>
      </c>
      <c r="C2517" s="7" t="s">
        <v>8564</v>
      </c>
      <c r="D2517" s="7" t="s">
        <v>18172</v>
      </c>
      <c r="E2517" s="7" t="s">
        <v>8566</v>
      </c>
      <c r="F2517" s="7" t="s">
        <v>3649</v>
      </c>
      <c r="G2517" s="7" t="s">
        <v>18173</v>
      </c>
      <c r="H2517" s="7" t="s">
        <v>18174</v>
      </c>
      <c r="I2517" s="119">
        <v>45839.0</v>
      </c>
      <c r="K2517" s="7" t="s">
        <v>419</v>
      </c>
      <c r="L2517" s="7" t="s">
        <v>991</v>
      </c>
      <c r="M2517" s="7" t="s">
        <v>3531</v>
      </c>
      <c r="N2517" s="7" t="s">
        <v>419</v>
      </c>
      <c r="O2517" s="7" t="s">
        <v>19430</v>
      </c>
      <c r="P2517" s="7" t="s">
        <v>717</v>
      </c>
      <c r="Q2517" s="7" t="s">
        <v>720</v>
      </c>
      <c r="R2517" s="7" t="s">
        <v>19542</v>
      </c>
      <c r="T2517" s="7" t="s">
        <v>3725</v>
      </c>
      <c r="U2517" s="7" t="s">
        <v>3493</v>
      </c>
      <c r="V2517" s="7">
        <v>1.0</v>
      </c>
    </row>
    <row r="2518">
      <c r="A2518" s="7" t="s">
        <v>22432</v>
      </c>
      <c r="B2518" s="7">
        <v>3000848.0</v>
      </c>
      <c r="C2518" s="7" t="s">
        <v>18176</v>
      </c>
      <c r="D2518" s="7" t="s">
        <v>18177</v>
      </c>
      <c r="E2518" s="7" t="s">
        <v>18178</v>
      </c>
      <c r="F2518" s="7" t="s">
        <v>17519</v>
      </c>
      <c r="G2518" s="7" t="s">
        <v>18179</v>
      </c>
      <c r="H2518" s="7" t="s">
        <v>18180</v>
      </c>
      <c r="I2518" s="119">
        <v>45839.0</v>
      </c>
      <c r="K2518" s="7" t="s">
        <v>419</v>
      </c>
      <c r="L2518" s="7" t="s">
        <v>991</v>
      </c>
      <c r="M2518" s="7" t="s">
        <v>3501</v>
      </c>
      <c r="N2518" s="7" t="s">
        <v>419</v>
      </c>
      <c r="O2518" s="7" t="s">
        <v>19430</v>
      </c>
      <c r="P2518" s="7" t="s">
        <v>780</v>
      </c>
      <c r="Q2518" s="7" t="s">
        <v>786</v>
      </c>
      <c r="R2518" s="7" t="s">
        <v>20558</v>
      </c>
      <c r="T2518" s="7" t="s">
        <v>16162</v>
      </c>
      <c r="U2518" s="7" t="s">
        <v>3493</v>
      </c>
      <c r="V2518" s="7">
        <v>1.0</v>
      </c>
    </row>
    <row r="2519">
      <c r="A2519" s="7" t="s">
        <v>22433</v>
      </c>
      <c r="B2519" s="7">
        <v>3000904.0</v>
      </c>
      <c r="C2519" s="7" t="s">
        <v>6633</v>
      </c>
      <c r="D2519" s="7" t="s">
        <v>18182</v>
      </c>
      <c r="E2519" s="7" t="s">
        <v>18183</v>
      </c>
      <c r="F2519" s="7" t="s">
        <v>18184</v>
      </c>
      <c r="G2519" s="7" t="s">
        <v>18185</v>
      </c>
      <c r="H2519" s="7" t="s">
        <v>18186</v>
      </c>
      <c r="I2519" s="119">
        <v>45839.0</v>
      </c>
      <c r="K2519" s="7" t="s">
        <v>419</v>
      </c>
      <c r="L2519" s="7" t="s">
        <v>991</v>
      </c>
      <c r="M2519" s="7" t="s">
        <v>3531</v>
      </c>
      <c r="N2519" s="7" t="s">
        <v>419</v>
      </c>
      <c r="O2519" s="7" t="s">
        <v>19443</v>
      </c>
      <c r="P2519" s="7" t="s">
        <v>323</v>
      </c>
      <c r="Q2519" s="7" t="s">
        <v>324</v>
      </c>
      <c r="R2519" s="7" t="s">
        <v>20997</v>
      </c>
      <c r="T2519" s="7" t="s">
        <v>11045</v>
      </c>
      <c r="U2519" s="7" t="s">
        <v>3493</v>
      </c>
      <c r="V2519" s="7">
        <v>1.0</v>
      </c>
    </row>
    <row r="2520">
      <c r="A2520" s="7" t="s">
        <v>22434</v>
      </c>
      <c r="B2520" s="7">
        <v>3000910.0</v>
      </c>
      <c r="C2520" s="7" t="s">
        <v>18188</v>
      </c>
      <c r="D2520" s="7" t="s">
        <v>18189</v>
      </c>
      <c r="E2520" s="7" t="s">
        <v>18190</v>
      </c>
      <c r="F2520" s="7" t="s">
        <v>18191</v>
      </c>
      <c r="G2520" s="7" t="s">
        <v>18192</v>
      </c>
      <c r="H2520" s="7" t="s">
        <v>18193</v>
      </c>
      <c r="I2520" s="119">
        <v>45839.0</v>
      </c>
      <c r="K2520" s="7" t="s">
        <v>419</v>
      </c>
      <c r="L2520" s="7" t="s">
        <v>991</v>
      </c>
      <c r="M2520" s="7" t="s">
        <v>3531</v>
      </c>
      <c r="N2520" s="7" t="s">
        <v>419</v>
      </c>
      <c r="O2520" s="7" t="s">
        <v>19430</v>
      </c>
      <c r="P2520" s="7" t="s">
        <v>717</v>
      </c>
      <c r="Q2520" s="7" t="s">
        <v>722</v>
      </c>
      <c r="R2520" s="7" t="s">
        <v>19655</v>
      </c>
      <c r="S2520" s="7" t="s">
        <v>19656</v>
      </c>
      <c r="T2520" s="7" t="s">
        <v>4141</v>
      </c>
      <c r="U2520" s="7" t="s">
        <v>3493</v>
      </c>
      <c r="V2520" s="7">
        <v>1.0</v>
      </c>
    </row>
    <row r="2521">
      <c r="A2521" s="7" t="s">
        <v>22435</v>
      </c>
      <c r="B2521" s="7">
        <v>3000913.0</v>
      </c>
      <c r="C2521" s="7" t="s">
        <v>9704</v>
      </c>
      <c r="D2521" s="7" t="s">
        <v>18195</v>
      </c>
      <c r="E2521" s="7" t="s">
        <v>9700</v>
      </c>
      <c r="F2521" s="7" t="s">
        <v>18195</v>
      </c>
      <c r="G2521" s="7" t="s">
        <v>18196</v>
      </c>
      <c r="H2521" s="7" t="s">
        <v>18197</v>
      </c>
      <c r="I2521" s="119">
        <v>45839.0</v>
      </c>
      <c r="K2521" s="7" t="s">
        <v>419</v>
      </c>
      <c r="L2521" s="7" t="s">
        <v>991</v>
      </c>
      <c r="M2521" s="7" t="s">
        <v>3531</v>
      </c>
      <c r="N2521" s="7" t="s">
        <v>419</v>
      </c>
      <c r="O2521" s="7" t="s">
        <v>19433</v>
      </c>
      <c r="P2521" s="7" t="s">
        <v>648</v>
      </c>
      <c r="Q2521" s="7" t="s">
        <v>143</v>
      </c>
      <c r="R2521" s="7" t="s">
        <v>19723</v>
      </c>
      <c r="S2521" s="7" t="s">
        <v>19724</v>
      </c>
      <c r="T2521" s="7" t="s">
        <v>4394</v>
      </c>
      <c r="U2521" s="7" t="s">
        <v>3493</v>
      </c>
      <c r="V2521" s="7">
        <v>1.0</v>
      </c>
    </row>
    <row r="2522">
      <c r="A2522" s="7" t="s">
        <v>22436</v>
      </c>
      <c r="B2522" s="7">
        <v>3000905.0</v>
      </c>
      <c r="C2522" s="7" t="s">
        <v>18199</v>
      </c>
      <c r="D2522" s="7" t="s">
        <v>18200</v>
      </c>
      <c r="E2522" s="7" t="s">
        <v>18201</v>
      </c>
      <c r="F2522" s="7" t="s">
        <v>9862</v>
      </c>
      <c r="G2522" s="7" t="s">
        <v>18202</v>
      </c>
      <c r="H2522" s="7" t="s">
        <v>18203</v>
      </c>
      <c r="I2522" s="119">
        <v>45839.0</v>
      </c>
      <c r="K2522" s="7" t="s">
        <v>3642</v>
      </c>
      <c r="L2522" s="7" t="s">
        <v>991</v>
      </c>
      <c r="M2522" s="7" t="s">
        <v>3501</v>
      </c>
      <c r="N2522" s="7" t="s">
        <v>3642</v>
      </c>
      <c r="O2522" s="7" t="s">
        <v>3642</v>
      </c>
      <c r="P2522" s="7" t="s">
        <v>19524</v>
      </c>
      <c r="T2522" s="7" t="s">
        <v>3644</v>
      </c>
      <c r="U2522" s="7" t="s">
        <v>3493</v>
      </c>
      <c r="V2522" s="7">
        <v>1.0</v>
      </c>
    </row>
    <row r="2523">
      <c r="A2523" s="7" t="s">
        <v>22437</v>
      </c>
      <c r="B2523" s="7">
        <v>3000906.0</v>
      </c>
      <c r="C2523" s="7" t="s">
        <v>10005</v>
      </c>
      <c r="D2523" s="7" t="s">
        <v>12892</v>
      </c>
      <c r="E2523" s="7" t="s">
        <v>10006</v>
      </c>
      <c r="F2523" s="7" t="s">
        <v>9184</v>
      </c>
      <c r="G2523" s="7" t="s">
        <v>18205</v>
      </c>
      <c r="H2523" s="7" t="s">
        <v>18206</v>
      </c>
      <c r="I2523" s="119">
        <v>45839.0</v>
      </c>
      <c r="K2523" s="7" t="s">
        <v>419</v>
      </c>
      <c r="L2523" s="7" t="s">
        <v>991</v>
      </c>
      <c r="M2523" s="7" t="s">
        <v>3531</v>
      </c>
      <c r="N2523" s="7" t="s">
        <v>419</v>
      </c>
      <c r="O2523" s="7" t="s">
        <v>19432</v>
      </c>
      <c r="P2523" s="7" t="s">
        <v>391</v>
      </c>
      <c r="Q2523" s="7" t="s">
        <v>399</v>
      </c>
      <c r="R2523" s="7" t="s">
        <v>20194</v>
      </c>
      <c r="T2523" s="7" t="s">
        <v>6534</v>
      </c>
      <c r="U2523" s="7" t="s">
        <v>3493</v>
      </c>
      <c r="V2523" s="7">
        <v>1.0</v>
      </c>
    </row>
    <row r="2524">
      <c r="A2524" s="7" t="s">
        <v>22438</v>
      </c>
      <c r="B2524" s="7">
        <v>3000901.0</v>
      </c>
      <c r="C2524" s="7" t="s">
        <v>18208</v>
      </c>
      <c r="D2524" s="7" t="s">
        <v>4066</v>
      </c>
      <c r="E2524" s="7" t="s">
        <v>18209</v>
      </c>
      <c r="F2524" s="7" t="s">
        <v>4068</v>
      </c>
      <c r="G2524" s="7" t="s">
        <v>18210</v>
      </c>
      <c r="H2524" s="7" t="s">
        <v>18211</v>
      </c>
      <c r="I2524" s="119">
        <v>45839.0</v>
      </c>
      <c r="K2524" s="7" t="s">
        <v>419</v>
      </c>
      <c r="L2524" s="7" t="s">
        <v>991</v>
      </c>
      <c r="M2524" s="7" t="s">
        <v>3531</v>
      </c>
      <c r="N2524" s="7" t="s">
        <v>419</v>
      </c>
      <c r="O2524" s="7" t="s">
        <v>19432</v>
      </c>
      <c r="P2524" s="7" t="s">
        <v>298</v>
      </c>
      <c r="Q2524" s="7" t="s">
        <v>1284</v>
      </c>
      <c r="R2524" s="7" t="s">
        <v>20190</v>
      </c>
      <c r="S2524" s="7" t="s">
        <v>20191</v>
      </c>
      <c r="T2524" s="7" t="s">
        <v>6474</v>
      </c>
      <c r="U2524" s="7" t="s">
        <v>3493</v>
      </c>
      <c r="V2524" s="7">
        <v>1.0</v>
      </c>
    </row>
    <row r="2525">
      <c r="A2525" s="7" t="s">
        <v>22439</v>
      </c>
      <c r="B2525" s="7">
        <v>3000917.0</v>
      </c>
      <c r="C2525" s="7" t="s">
        <v>10090</v>
      </c>
      <c r="D2525" s="7" t="s">
        <v>18213</v>
      </c>
      <c r="E2525" s="7" t="s">
        <v>10092</v>
      </c>
      <c r="F2525" s="7" t="s">
        <v>3986</v>
      </c>
      <c r="G2525" s="7" t="s">
        <v>18214</v>
      </c>
      <c r="I2525" s="119">
        <v>45839.0</v>
      </c>
      <c r="K2525" s="7" t="s">
        <v>419</v>
      </c>
      <c r="L2525" s="7" t="s">
        <v>991</v>
      </c>
      <c r="M2525" s="7" t="s">
        <v>3531</v>
      </c>
      <c r="N2525" s="7" t="s">
        <v>419</v>
      </c>
      <c r="O2525" s="7" t="s">
        <v>19430</v>
      </c>
      <c r="P2525" s="7" t="s">
        <v>717</v>
      </c>
      <c r="Q2525" s="7" t="s">
        <v>730</v>
      </c>
      <c r="T2525" s="7" t="s">
        <v>14208</v>
      </c>
      <c r="U2525" s="7" t="s">
        <v>3493</v>
      </c>
      <c r="V2525" s="7">
        <v>1.0</v>
      </c>
    </row>
    <row r="2526">
      <c r="A2526" s="7" t="s">
        <v>22440</v>
      </c>
      <c r="B2526" s="7">
        <v>3000878.0</v>
      </c>
      <c r="C2526" s="7" t="s">
        <v>10090</v>
      </c>
      <c r="D2526" s="7" t="s">
        <v>18216</v>
      </c>
      <c r="E2526" s="7" t="s">
        <v>10092</v>
      </c>
      <c r="F2526" s="7" t="s">
        <v>8834</v>
      </c>
      <c r="G2526" s="7" t="s">
        <v>18217</v>
      </c>
      <c r="H2526" s="7" t="s">
        <v>18218</v>
      </c>
      <c r="I2526" s="119">
        <v>45839.0</v>
      </c>
      <c r="K2526" s="7" t="s">
        <v>419</v>
      </c>
      <c r="L2526" s="7" t="s">
        <v>991</v>
      </c>
      <c r="M2526" s="7" t="s">
        <v>3531</v>
      </c>
      <c r="N2526" s="7" t="s">
        <v>419</v>
      </c>
      <c r="O2526" s="7" t="s">
        <v>19437</v>
      </c>
      <c r="P2526" s="7" t="s">
        <v>440</v>
      </c>
      <c r="Q2526" s="7" t="s">
        <v>19453</v>
      </c>
      <c r="T2526" s="7" t="s">
        <v>17630</v>
      </c>
      <c r="U2526" s="7" t="s">
        <v>3493</v>
      </c>
      <c r="V2526" s="7">
        <v>1.0</v>
      </c>
    </row>
    <row r="2527">
      <c r="A2527" s="7" t="s">
        <v>22441</v>
      </c>
      <c r="B2527" s="7">
        <v>3000857.0</v>
      </c>
      <c r="C2527" s="7" t="s">
        <v>10138</v>
      </c>
      <c r="D2527" s="7" t="s">
        <v>18220</v>
      </c>
      <c r="E2527" s="7" t="s">
        <v>18221</v>
      </c>
      <c r="F2527" s="7" t="s">
        <v>18222</v>
      </c>
      <c r="G2527" s="7" t="s">
        <v>18223</v>
      </c>
      <c r="H2527" s="7" t="s">
        <v>18224</v>
      </c>
      <c r="I2527" s="119">
        <v>45839.0</v>
      </c>
      <c r="K2527" s="7" t="s">
        <v>3632</v>
      </c>
      <c r="L2527" s="7" t="s">
        <v>991</v>
      </c>
      <c r="M2527" s="7" t="s">
        <v>3501</v>
      </c>
      <c r="N2527" s="7" t="s">
        <v>3632</v>
      </c>
      <c r="O2527" s="7" t="s">
        <v>3632</v>
      </c>
      <c r="P2527" s="7" t="s">
        <v>19462</v>
      </c>
      <c r="Q2527" s="7" t="s">
        <v>19463</v>
      </c>
      <c r="R2527" s="7" t="s">
        <v>19883</v>
      </c>
      <c r="T2527" s="7" t="s">
        <v>15149</v>
      </c>
      <c r="U2527" s="7" t="s">
        <v>3493</v>
      </c>
      <c r="V2527" s="7">
        <v>1.0</v>
      </c>
    </row>
    <row r="2528">
      <c r="A2528" s="7" t="s">
        <v>22442</v>
      </c>
      <c r="B2528" s="7">
        <v>3000870.0</v>
      </c>
      <c r="C2528" s="7" t="s">
        <v>18226</v>
      </c>
      <c r="D2528" s="7" t="s">
        <v>3873</v>
      </c>
      <c r="E2528" s="7" t="s">
        <v>18227</v>
      </c>
      <c r="F2528" s="7" t="s">
        <v>3874</v>
      </c>
      <c r="G2528" s="7" t="s">
        <v>18228</v>
      </c>
      <c r="H2528" s="7" t="s">
        <v>18229</v>
      </c>
      <c r="I2528" s="119">
        <v>45839.0</v>
      </c>
      <c r="K2528" s="7" t="s">
        <v>419</v>
      </c>
      <c r="L2528" s="7" t="s">
        <v>991</v>
      </c>
      <c r="M2528" s="7" t="s">
        <v>3531</v>
      </c>
      <c r="N2528" s="7" t="s">
        <v>419</v>
      </c>
      <c r="O2528" s="7" t="s">
        <v>19432</v>
      </c>
      <c r="P2528" s="7" t="s">
        <v>391</v>
      </c>
      <c r="Q2528" s="7" t="s">
        <v>399</v>
      </c>
      <c r="R2528" s="7" t="s">
        <v>20194</v>
      </c>
      <c r="T2528" s="7" t="s">
        <v>6534</v>
      </c>
      <c r="U2528" s="7" t="s">
        <v>3493</v>
      </c>
      <c r="V2528" s="7">
        <v>1.0</v>
      </c>
    </row>
    <row r="2529">
      <c r="A2529" s="7" t="s">
        <v>22443</v>
      </c>
      <c r="B2529" s="7">
        <v>3000902.0</v>
      </c>
      <c r="C2529" s="7" t="s">
        <v>10832</v>
      </c>
      <c r="D2529" s="7" t="s">
        <v>18231</v>
      </c>
      <c r="E2529" s="7" t="s">
        <v>10834</v>
      </c>
      <c r="F2529" s="7" t="s">
        <v>12435</v>
      </c>
      <c r="G2529" s="7" t="s">
        <v>18232</v>
      </c>
      <c r="H2529" s="7" t="s">
        <v>18233</v>
      </c>
      <c r="I2529" s="119">
        <v>45839.0</v>
      </c>
      <c r="K2529" s="7" t="s">
        <v>419</v>
      </c>
      <c r="L2529" s="7" t="s">
        <v>991</v>
      </c>
      <c r="M2529" s="7" t="s">
        <v>3531</v>
      </c>
      <c r="N2529" s="7" t="s">
        <v>419</v>
      </c>
      <c r="O2529" s="7" t="s">
        <v>19432</v>
      </c>
      <c r="P2529" s="7" t="s">
        <v>298</v>
      </c>
      <c r="Q2529" s="7" t="s">
        <v>1284</v>
      </c>
      <c r="R2529" s="7" t="s">
        <v>20190</v>
      </c>
      <c r="S2529" s="7" t="s">
        <v>20191</v>
      </c>
      <c r="T2529" s="7" t="s">
        <v>6474</v>
      </c>
      <c r="U2529" s="7" t="s">
        <v>3493</v>
      </c>
      <c r="V2529" s="7">
        <v>1.0</v>
      </c>
    </row>
    <row r="2530">
      <c r="A2530" s="7" t="s">
        <v>22444</v>
      </c>
      <c r="B2530" s="7">
        <v>3000869.0</v>
      </c>
      <c r="C2530" s="7" t="s">
        <v>11019</v>
      </c>
      <c r="D2530" s="7" t="s">
        <v>4286</v>
      </c>
      <c r="E2530" s="7" t="s">
        <v>11020</v>
      </c>
      <c r="F2530" s="7" t="s">
        <v>4287</v>
      </c>
      <c r="G2530" s="7" t="s">
        <v>18235</v>
      </c>
      <c r="H2530" s="7" t="s">
        <v>18236</v>
      </c>
      <c r="I2530" s="119">
        <v>45839.0</v>
      </c>
      <c r="K2530" s="7" t="s">
        <v>419</v>
      </c>
      <c r="L2530" s="7" t="s">
        <v>991</v>
      </c>
      <c r="M2530" s="7" t="s">
        <v>3531</v>
      </c>
      <c r="N2530" s="7" t="s">
        <v>419</v>
      </c>
      <c r="O2530" s="7" t="s">
        <v>19443</v>
      </c>
      <c r="P2530" s="7" t="s">
        <v>323</v>
      </c>
      <c r="Q2530" s="7" t="s">
        <v>324</v>
      </c>
      <c r="R2530" s="7" t="s">
        <v>20997</v>
      </c>
      <c r="T2530" s="7" t="s">
        <v>11045</v>
      </c>
      <c r="U2530" s="7" t="s">
        <v>3493</v>
      </c>
      <c r="V2530" s="7">
        <v>1.0</v>
      </c>
    </row>
    <row r="2531">
      <c r="A2531" s="7" t="s">
        <v>22445</v>
      </c>
      <c r="B2531" s="7">
        <v>3000867.0</v>
      </c>
      <c r="C2531" s="7" t="s">
        <v>18238</v>
      </c>
      <c r="D2531" s="7" t="s">
        <v>18239</v>
      </c>
      <c r="E2531" s="7" t="s">
        <v>18240</v>
      </c>
      <c r="F2531" s="7" t="s">
        <v>18241</v>
      </c>
      <c r="G2531" s="7" t="s">
        <v>18242</v>
      </c>
      <c r="H2531" s="7" t="s">
        <v>18243</v>
      </c>
      <c r="I2531" s="119">
        <v>45839.0</v>
      </c>
      <c r="K2531" s="7" t="s">
        <v>15381</v>
      </c>
      <c r="L2531" s="7" t="s">
        <v>991</v>
      </c>
      <c r="M2531" s="7" t="s">
        <v>3531</v>
      </c>
      <c r="N2531" s="7" t="s">
        <v>15381</v>
      </c>
      <c r="O2531" s="7" t="s">
        <v>15381</v>
      </c>
      <c r="P2531" s="7" t="s">
        <v>21865</v>
      </c>
      <c r="T2531" s="7" t="s">
        <v>15383</v>
      </c>
      <c r="U2531" s="7" t="s">
        <v>3493</v>
      </c>
      <c r="V2531" s="7">
        <v>1.0</v>
      </c>
    </row>
    <row r="2532">
      <c r="A2532" s="7" t="s">
        <v>22446</v>
      </c>
      <c r="B2532" s="7">
        <v>3000871.0</v>
      </c>
      <c r="C2532" s="7" t="s">
        <v>18245</v>
      </c>
      <c r="D2532" s="7" t="s">
        <v>11137</v>
      </c>
      <c r="E2532" s="7" t="s">
        <v>18246</v>
      </c>
      <c r="F2532" s="7" t="s">
        <v>6335</v>
      </c>
      <c r="G2532" s="7" t="s">
        <v>18247</v>
      </c>
      <c r="H2532" s="7" t="s">
        <v>18248</v>
      </c>
      <c r="I2532" s="119">
        <v>45839.0</v>
      </c>
      <c r="K2532" s="7" t="s">
        <v>419</v>
      </c>
      <c r="L2532" s="7" t="s">
        <v>991</v>
      </c>
      <c r="M2532" s="7" t="s">
        <v>3531</v>
      </c>
      <c r="N2532" s="7" t="s">
        <v>419</v>
      </c>
      <c r="O2532" s="7" t="s">
        <v>19430</v>
      </c>
      <c r="P2532" s="7" t="s">
        <v>780</v>
      </c>
      <c r="Q2532" s="7" t="s">
        <v>284</v>
      </c>
      <c r="R2532" s="7" t="s">
        <v>19606</v>
      </c>
      <c r="T2532" s="7" t="s">
        <v>3958</v>
      </c>
      <c r="U2532" s="7" t="s">
        <v>3493</v>
      </c>
      <c r="V2532" s="7">
        <v>1.0</v>
      </c>
    </row>
    <row r="2533">
      <c r="A2533" s="7" t="s">
        <v>22447</v>
      </c>
      <c r="B2533" s="7">
        <v>3000884.0</v>
      </c>
      <c r="C2533" s="7" t="s">
        <v>11265</v>
      </c>
      <c r="D2533" s="7" t="s">
        <v>18250</v>
      </c>
      <c r="E2533" s="7" t="s">
        <v>11267</v>
      </c>
      <c r="F2533" s="7" t="s">
        <v>6089</v>
      </c>
      <c r="G2533" s="7" t="s">
        <v>18251</v>
      </c>
      <c r="H2533" s="7" t="s">
        <v>18252</v>
      </c>
      <c r="I2533" s="119">
        <v>45839.0</v>
      </c>
      <c r="K2533" s="7" t="s">
        <v>419</v>
      </c>
      <c r="L2533" s="7" t="s">
        <v>991</v>
      </c>
      <c r="M2533" s="7" t="s">
        <v>3531</v>
      </c>
      <c r="N2533" s="7" t="s">
        <v>419</v>
      </c>
      <c r="O2533" s="7" t="s">
        <v>19430</v>
      </c>
      <c r="P2533" s="7" t="s">
        <v>717</v>
      </c>
      <c r="Q2533" s="7" t="s">
        <v>720</v>
      </c>
      <c r="R2533" s="7" t="s">
        <v>19542</v>
      </c>
      <c r="T2533" s="7" t="s">
        <v>3725</v>
      </c>
      <c r="U2533" s="7" t="s">
        <v>3493</v>
      </c>
      <c r="V2533" s="7">
        <v>1.0</v>
      </c>
    </row>
    <row r="2534">
      <c r="A2534" s="7" t="s">
        <v>22448</v>
      </c>
      <c r="B2534" s="7">
        <v>3000859.0</v>
      </c>
      <c r="C2534" s="7" t="s">
        <v>11265</v>
      </c>
      <c r="D2534" s="7" t="s">
        <v>18254</v>
      </c>
      <c r="E2534" s="7" t="s">
        <v>11267</v>
      </c>
      <c r="F2534" s="7" t="s">
        <v>11202</v>
      </c>
      <c r="G2534" s="7" t="s">
        <v>18255</v>
      </c>
      <c r="H2534" s="7" t="s">
        <v>18256</v>
      </c>
      <c r="I2534" s="119">
        <v>45839.0</v>
      </c>
      <c r="K2534" s="7" t="s">
        <v>3632</v>
      </c>
      <c r="L2534" s="7" t="s">
        <v>991</v>
      </c>
      <c r="M2534" s="7" t="s">
        <v>3531</v>
      </c>
      <c r="N2534" s="7" t="s">
        <v>3632</v>
      </c>
      <c r="O2534" s="7" t="s">
        <v>3632</v>
      </c>
      <c r="P2534" s="7" t="s">
        <v>625</v>
      </c>
      <c r="Q2534" s="7" t="s">
        <v>124</v>
      </c>
      <c r="R2534" s="7" t="s">
        <v>19646</v>
      </c>
      <c r="T2534" s="7" t="s">
        <v>11150</v>
      </c>
      <c r="U2534" s="7" t="s">
        <v>3493</v>
      </c>
      <c r="V2534" s="7">
        <v>1.0</v>
      </c>
    </row>
    <row r="2535">
      <c r="A2535" s="7" t="s">
        <v>22449</v>
      </c>
      <c r="B2535" s="7">
        <v>3000894.0</v>
      </c>
      <c r="C2535" s="7" t="s">
        <v>11468</v>
      </c>
      <c r="D2535" s="7" t="s">
        <v>18258</v>
      </c>
      <c r="E2535" s="7" t="s">
        <v>11475</v>
      </c>
      <c r="F2535" s="7" t="s">
        <v>7887</v>
      </c>
      <c r="G2535" s="7" t="s">
        <v>18259</v>
      </c>
      <c r="H2535" s="7" t="s">
        <v>18260</v>
      </c>
      <c r="I2535" s="119">
        <v>45839.0</v>
      </c>
      <c r="K2535" s="7" t="s">
        <v>17988</v>
      </c>
      <c r="L2535" s="7" t="s">
        <v>991</v>
      </c>
      <c r="M2535" s="7" t="s">
        <v>3501</v>
      </c>
      <c r="N2535" s="7" t="s">
        <v>17988</v>
      </c>
      <c r="O2535" s="7" t="s">
        <v>17988</v>
      </c>
      <c r="P2535" s="7" t="s">
        <v>22394</v>
      </c>
      <c r="T2535" s="7" t="s">
        <v>17990</v>
      </c>
      <c r="U2535" s="7" t="s">
        <v>3493</v>
      </c>
      <c r="V2535" s="7">
        <v>1.0</v>
      </c>
    </row>
    <row r="2536">
      <c r="A2536" s="7" t="s">
        <v>22450</v>
      </c>
      <c r="B2536" s="7">
        <v>3000849.0</v>
      </c>
      <c r="C2536" s="7" t="s">
        <v>18262</v>
      </c>
      <c r="D2536" s="7" t="s">
        <v>18263</v>
      </c>
      <c r="E2536" s="7" t="s">
        <v>18264</v>
      </c>
      <c r="F2536" s="7" t="s">
        <v>7637</v>
      </c>
      <c r="G2536" s="7" t="s">
        <v>18265</v>
      </c>
      <c r="H2536" s="7" t="s">
        <v>18266</v>
      </c>
      <c r="I2536" s="119">
        <v>45839.0</v>
      </c>
      <c r="K2536" s="7" t="s">
        <v>419</v>
      </c>
      <c r="L2536" s="7" t="s">
        <v>991</v>
      </c>
      <c r="M2536" s="7" t="s">
        <v>3490</v>
      </c>
      <c r="N2536" s="7" t="s">
        <v>419</v>
      </c>
      <c r="O2536" s="7" t="s">
        <v>19440</v>
      </c>
      <c r="P2536" s="7" t="s">
        <v>3</v>
      </c>
      <c r="Q2536" s="7" t="s">
        <v>9</v>
      </c>
      <c r="R2536" s="7" t="s">
        <v>20413</v>
      </c>
      <c r="S2536" s="7" t="s">
        <v>19519</v>
      </c>
      <c r="T2536" s="7" t="s">
        <v>7663</v>
      </c>
      <c r="U2536" s="7" t="s">
        <v>3493</v>
      </c>
      <c r="V2536" s="7">
        <v>1.0</v>
      </c>
    </row>
    <row r="2537">
      <c r="A2537" s="7" t="s">
        <v>22451</v>
      </c>
      <c r="B2537" s="7">
        <v>3000900.0</v>
      </c>
      <c r="C2537" s="7" t="s">
        <v>11715</v>
      </c>
      <c r="D2537" s="7" t="s">
        <v>18268</v>
      </c>
      <c r="E2537" s="7" t="s">
        <v>11717</v>
      </c>
      <c r="F2537" s="7" t="s">
        <v>5312</v>
      </c>
      <c r="G2537" s="7" t="s">
        <v>18269</v>
      </c>
      <c r="H2537" s="7" t="s">
        <v>18270</v>
      </c>
      <c r="I2537" s="119">
        <v>45839.0</v>
      </c>
      <c r="K2537" s="7" t="s">
        <v>419</v>
      </c>
      <c r="L2537" s="7" t="s">
        <v>991</v>
      </c>
      <c r="M2537" s="7" t="s">
        <v>3531</v>
      </c>
      <c r="N2537" s="7" t="s">
        <v>419</v>
      </c>
      <c r="O2537" s="7" t="s">
        <v>19430</v>
      </c>
      <c r="P2537" s="7" t="s">
        <v>780</v>
      </c>
      <c r="Q2537" s="7" t="s">
        <v>786</v>
      </c>
      <c r="R2537" s="7" t="s">
        <v>20558</v>
      </c>
      <c r="T2537" s="7" t="s">
        <v>16162</v>
      </c>
      <c r="U2537" s="7" t="s">
        <v>3493</v>
      </c>
      <c r="V2537" s="7">
        <v>1.0</v>
      </c>
    </row>
    <row r="2538">
      <c r="A2538" s="7" t="s">
        <v>22452</v>
      </c>
      <c r="B2538" s="7">
        <v>3000893.0</v>
      </c>
      <c r="C2538" s="7" t="s">
        <v>11715</v>
      </c>
      <c r="D2538" s="7" t="s">
        <v>17976</v>
      </c>
      <c r="E2538" s="7" t="s">
        <v>11717</v>
      </c>
      <c r="F2538" s="7" t="s">
        <v>8036</v>
      </c>
      <c r="G2538" s="7" t="s">
        <v>18272</v>
      </c>
      <c r="H2538" s="7" t="s">
        <v>18273</v>
      </c>
      <c r="I2538" s="119">
        <v>45839.0</v>
      </c>
      <c r="K2538" s="7" t="s">
        <v>17988</v>
      </c>
      <c r="L2538" s="7" t="s">
        <v>991</v>
      </c>
      <c r="M2538" s="7" t="s">
        <v>3501</v>
      </c>
      <c r="N2538" s="7" t="s">
        <v>17988</v>
      </c>
      <c r="O2538" s="7" t="s">
        <v>17988</v>
      </c>
      <c r="P2538" s="7" t="s">
        <v>22394</v>
      </c>
      <c r="T2538" s="7" t="s">
        <v>17990</v>
      </c>
      <c r="U2538" s="7" t="s">
        <v>3493</v>
      </c>
      <c r="V2538" s="7">
        <v>1.0</v>
      </c>
    </row>
    <row r="2539">
      <c r="A2539" s="7" t="s">
        <v>22453</v>
      </c>
      <c r="B2539" s="7">
        <v>3000776.0</v>
      </c>
      <c r="C2539" s="7" t="s">
        <v>18275</v>
      </c>
      <c r="D2539" s="7" t="s">
        <v>18276</v>
      </c>
      <c r="E2539" s="7" t="s">
        <v>18277</v>
      </c>
      <c r="F2539" s="7" t="s">
        <v>8007</v>
      </c>
      <c r="G2539" s="7" t="s">
        <v>18278</v>
      </c>
      <c r="H2539" s="7" t="s">
        <v>18279</v>
      </c>
      <c r="I2539" s="119">
        <v>45839.0</v>
      </c>
      <c r="K2539" s="7" t="s">
        <v>6124</v>
      </c>
      <c r="L2539" s="7" t="s">
        <v>3542</v>
      </c>
      <c r="M2539" s="7" t="s">
        <v>3543</v>
      </c>
      <c r="N2539" s="7" t="s">
        <v>419</v>
      </c>
      <c r="O2539" s="7" t="s">
        <v>19437</v>
      </c>
      <c r="P2539" s="7" t="s">
        <v>478</v>
      </c>
      <c r="Q2539" s="7" t="s">
        <v>953</v>
      </c>
      <c r="R2539" s="7" t="s">
        <v>19492</v>
      </c>
      <c r="S2539" s="7" t="s">
        <v>20118</v>
      </c>
      <c r="T2539" s="7" t="s">
        <v>20119</v>
      </c>
      <c r="U2539" s="7" t="s">
        <v>3493</v>
      </c>
      <c r="V2539" s="7">
        <v>1.0</v>
      </c>
    </row>
    <row r="2540">
      <c r="A2540" s="7" t="s">
        <v>22454</v>
      </c>
      <c r="B2540" s="7">
        <v>3000873.0</v>
      </c>
      <c r="C2540" s="7" t="s">
        <v>18281</v>
      </c>
      <c r="D2540" s="7" t="s">
        <v>11729</v>
      </c>
      <c r="E2540" s="7" t="s">
        <v>18282</v>
      </c>
      <c r="F2540" s="7" t="s">
        <v>4751</v>
      </c>
      <c r="G2540" s="7" t="s">
        <v>18283</v>
      </c>
      <c r="H2540" s="7" t="s">
        <v>18284</v>
      </c>
      <c r="I2540" s="119">
        <v>45839.0</v>
      </c>
      <c r="K2540" s="7" t="s">
        <v>419</v>
      </c>
      <c r="L2540" s="7" t="s">
        <v>991</v>
      </c>
      <c r="M2540" s="7" t="s">
        <v>3531</v>
      </c>
      <c r="N2540" s="7" t="s">
        <v>419</v>
      </c>
      <c r="O2540" s="7" t="s">
        <v>19430</v>
      </c>
      <c r="P2540" s="7" t="s">
        <v>780</v>
      </c>
      <c r="Q2540" s="7" t="s">
        <v>284</v>
      </c>
      <c r="R2540" s="7" t="s">
        <v>19554</v>
      </c>
      <c r="T2540" s="7" t="s">
        <v>5454</v>
      </c>
      <c r="U2540" s="7" t="s">
        <v>3493</v>
      </c>
      <c r="V2540" s="7">
        <v>1.0</v>
      </c>
    </row>
    <row r="2541">
      <c r="A2541" s="7" t="s">
        <v>22455</v>
      </c>
      <c r="B2541" s="7">
        <v>3000889.0</v>
      </c>
      <c r="C2541" s="7" t="s">
        <v>15661</v>
      </c>
      <c r="D2541" s="7" t="s">
        <v>3780</v>
      </c>
      <c r="E2541" s="7" t="s">
        <v>15663</v>
      </c>
      <c r="F2541" s="7" t="s">
        <v>3781</v>
      </c>
      <c r="G2541" s="7" t="s">
        <v>18286</v>
      </c>
      <c r="H2541" s="7" t="s">
        <v>18287</v>
      </c>
      <c r="I2541" s="119">
        <v>45839.0</v>
      </c>
      <c r="K2541" s="7" t="s">
        <v>419</v>
      </c>
      <c r="L2541" s="7" t="s">
        <v>991</v>
      </c>
      <c r="M2541" s="7" t="s">
        <v>3531</v>
      </c>
      <c r="N2541" s="7" t="s">
        <v>419</v>
      </c>
      <c r="O2541" s="7" t="s">
        <v>19430</v>
      </c>
      <c r="P2541" s="7" t="s">
        <v>717</v>
      </c>
      <c r="Q2541" s="7" t="s">
        <v>720</v>
      </c>
      <c r="R2541" s="7" t="s">
        <v>19542</v>
      </c>
      <c r="T2541" s="7" t="s">
        <v>3725</v>
      </c>
      <c r="U2541" s="7" t="s">
        <v>3493</v>
      </c>
      <c r="V2541" s="7">
        <v>1.0</v>
      </c>
    </row>
    <row r="2542">
      <c r="A2542" s="7" t="s">
        <v>22456</v>
      </c>
      <c r="B2542" s="7">
        <v>3000882.0</v>
      </c>
      <c r="C2542" s="7" t="s">
        <v>18289</v>
      </c>
      <c r="D2542" s="7" t="s">
        <v>18290</v>
      </c>
      <c r="E2542" s="7" t="s">
        <v>18291</v>
      </c>
      <c r="F2542" s="7" t="s">
        <v>3571</v>
      </c>
      <c r="G2542" s="7" t="s">
        <v>18292</v>
      </c>
      <c r="H2542" s="7" t="s">
        <v>18293</v>
      </c>
      <c r="I2542" s="119">
        <v>45839.0</v>
      </c>
      <c r="K2542" s="7" t="s">
        <v>419</v>
      </c>
      <c r="L2542" s="7" t="s">
        <v>991</v>
      </c>
      <c r="M2542" s="7" t="s">
        <v>3531</v>
      </c>
      <c r="N2542" s="7" t="s">
        <v>419</v>
      </c>
      <c r="O2542" s="7" t="s">
        <v>19430</v>
      </c>
      <c r="P2542" s="7" t="s">
        <v>717</v>
      </c>
      <c r="Q2542" s="7" t="s">
        <v>720</v>
      </c>
      <c r="R2542" s="7" t="s">
        <v>19542</v>
      </c>
      <c r="T2542" s="7" t="s">
        <v>3725</v>
      </c>
      <c r="U2542" s="7" t="s">
        <v>3493</v>
      </c>
      <c r="V2542" s="7">
        <v>1.0</v>
      </c>
    </row>
    <row r="2543">
      <c r="A2543" s="7" t="s">
        <v>22457</v>
      </c>
      <c r="B2543" s="7">
        <v>3000766.0</v>
      </c>
      <c r="C2543" s="7" t="s">
        <v>12853</v>
      </c>
      <c r="D2543" s="7" t="s">
        <v>18156</v>
      </c>
      <c r="E2543" s="7" t="s">
        <v>12855</v>
      </c>
      <c r="F2543" s="7" t="s">
        <v>4336</v>
      </c>
      <c r="G2543" s="7" t="s">
        <v>18295</v>
      </c>
      <c r="H2543" s="7" t="s">
        <v>18296</v>
      </c>
      <c r="I2543" s="119">
        <v>45839.0</v>
      </c>
      <c r="K2543" s="7" t="s">
        <v>419</v>
      </c>
      <c r="L2543" s="7" t="s">
        <v>991</v>
      </c>
      <c r="M2543" s="7" t="s">
        <v>3501</v>
      </c>
      <c r="N2543" s="7" t="s">
        <v>419</v>
      </c>
      <c r="O2543" s="7" t="s">
        <v>19443</v>
      </c>
      <c r="P2543" s="7" t="s">
        <v>1242</v>
      </c>
      <c r="Q2543" s="7" t="s">
        <v>39</v>
      </c>
      <c r="R2543" s="7" t="s">
        <v>19757</v>
      </c>
      <c r="T2543" s="7" t="s">
        <v>4536</v>
      </c>
      <c r="U2543" s="7" t="s">
        <v>3493</v>
      </c>
      <c r="V2543" s="7">
        <v>1.0</v>
      </c>
    </row>
    <row r="2544">
      <c r="A2544" s="7" t="s">
        <v>22458</v>
      </c>
      <c r="B2544" s="7">
        <v>3000860.0</v>
      </c>
      <c r="C2544" s="7" t="s">
        <v>13217</v>
      </c>
      <c r="D2544" s="7" t="s">
        <v>14528</v>
      </c>
      <c r="E2544" s="7" t="s">
        <v>13219</v>
      </c>
      <c r="F2544" s="7" t="s">
        <v>3874</v>
      </c>
      <c r="G2544" s="7" t="s">
        <v>18298</v>
      </c>
      <c r="H2544" s="7" t="s">
        <v>18299</v>
      </c>
      <c r="I2544" s="119">
        <v>45839.0</v>
      </c>
      <c r="K2544" s="7" t="s">
        <v>3632</v>
      </c>
      <c r="L2544" s="7" t="s">
        <v>991</v>
      </c>
      <c r="M2544" s="7" t="s">
        <v>3583</v>
      </c>
      <c r="N2544" s="7" t="s">
        <v>3632</v>
      </c>
      <c r="O2544" s="7" t="s">
        <v>3632</v>
      </c>
      <c r="P2544" s="7" t="s">
        <v>625</v>
      </c>
      <c r="Q2544" s="7" t="s">
        <v>626</v>
      </c>
      <c r="R2544" s="7" t="s">
        <v>19672</v>
      </c>
      <c r="T2544" s="7" t="s">
        <v>4191</v>
      </c>
      <c r="U2544" s="7" t="s">
        <v>3493</v>
      </c>
      <c r="V2544" s="7">
        <v>1.0</v>
      </c>
    </row>
    <row r="2545">
      <c r="A2545" s="7" t="s">
        <v>22459</v>
      </c>
      <c r="B2545" s="7">
        <v>3000876.0</v>
      </c>
      <c r="C2545" s="7" t="s">
        <v>16807</v>
      </c>
      <c r="D2545" s="7" t="s">
        <v>18301</v>
      </c>
      <c r="E2545" s="7" t="s">
        <v>16809</v>
      </c>
      <c r="F2545" s="7" t="s">
        <v>5849</v>
      </c>
      <c r="G2545" s="7" t="s">
        <v>18302</v>
      </c>
      <c r="H2545" s="7" t="s">
        <v>18303</v>
      </c>
      <c r="I2545" s="119">
        <v>45839.0</v>
      </c>
      <c r="K2545" s="7" t="s">
        <v>17988</v>
      </c>
      <c r="L2545" s="7" t="s">
        <v>991</v>
      </c>
      <c r="M2545" s="7" t="s">
        <v>3501</v>
      </c>
      <c r="N2545" s="7" t="s">
        <v>17988</v>
      </c>
      <c r="O2545" s="7" t="s">
        <v>17988</v>
      </c>
      <c r="P2545" s="7" t="s">
        <v>22394</v>
      </c>
      <c r="T2545" s="7" t="s">
        <v>17990</v>
      </c>
      <c r="U2545" s="7" t="s">
        <v>3493</v>
      </c>
      <c r="V2545" s="7">
        <v>1.0</v>
      </c>
    </row>
    <row r="2546">
      <c r="A2546" s="7" t="s">
        <v>22460</v>
      </c>
      <c r="B2546" s="7">
        <v>3000877.0</v>
      </c>
      <c r="C2546" s="7" t="s">
        <v>13801</v>
      </c>
      <c r="D2546" s="7" t="s">
        <v>17367</v>
      </c>
      <c r="E2546" s="7" t="s">
        <v>13803</v>
      </c>
      <c r="F2546" s="7" t="s">
        <v>6859</v>
      </c>
      <c r="G2546" s="7" t="s">
        <v>18305</v>
      </c>
      <c r="H2546" s="7" t="s">
        <v>18306</v>
      </c>
      <c r="I2546" s="119">
        <v>45839.0</v>
      </c>
      <c r="K2546" s="7" t="s">
        <v>17988</v>
      </c>
      <c r="L2546" s="7" t="s">
        <v>991</v>
      </c>
      <c r="M2546" s="7" t="s">
        <v>3490</v>
      </c>
      <c r="N2546" s="7" t="s">
        <v>17988</v>
      </c>
      <c r="O2546" s="7" t="s">
        <v>17988</v>
      </c>
      <c r="P2546" s="7" t="s">
        <v>22394</v>
      </c>
      <c r="T2546" s="7" t="s">
        <v>17990</v>
      </c>
      <c r="U2546" s="7" t="s">
        <v>3493</v>
      </c>
      <c r="V2546" s="7">
        <v>1.0</v>
      </c>
    </row>
    <row r="2547">
      <c r="A2547" s="7" t="s">
        <v>22461</v>
      </c>
      <c r="B2547" s="7">
        <v>3000912.0</v>
      </c>
      <c r="C2547" s="7" t="s">
        <v>13801</v>
      </c>
      <c r="D2547" s="7" t="s">
        <v>18308</v>
      </c>
      <c r="E2547" s="7" t="s">
        <v>13803</v>
      </c>
      <c r="F2547" s="7" t="s">
        <v>18309</v>
      </c>
      <c r="G2547" s="7" t="s">
        <v>18310</v>
      </c>
      <c r="H2547" s="7" t="s">
        <v>18311</v>
      </c>
      <c r="I2547" s="119">
        <v>45839.0</v>
      </c>
      <c r="K2547" s="7" t="s">
        <v>4042</v>
      </c>
      <c r="L2547" s="7" t="s">
        <v>991</v>
      </c>
      <c r="M2547" s="7" t="s">
        <v>3531</v>
      </c>
      <c r="N2547" s="7" t="s">
        <v>4042</v>
      </c>
      <c r="O2547" s="7" t="s">
        <v>4042</v>
      </c>
      <c r="P2547" s="7" t="s">
        <v>19632</v>
      </c>
      <c r="T2547" s="7" t="s">
        <v>4044</v>
      </c>
      <c r="U2547" s="7" t="s">
        <v>3493</v>
      </c>
      <c r="V2547" s="7">
        <v>1.0</v>
      </c>
    </row>
    <row r="2548">
      <c r="A2548" s="7" t="s">
        <v>22462</v>
      </c>
      <c r="B2548" s="7">
        <v>3000903.0</v>
      </c>
      <c r="C2548" s="7" t="s">
        <v>13801</v>
      </c>
      <c r="D2548" s="7" t="s">
        <v>7600</v>
      </c>
      <c r="E2548" s="7" t="s">
        <v>13803</v>
      </c>
      <c r="F2548" s="7" t="s">
        <v>7600</v>
      </c>
      <c r="G2548" s="7" t="s">
        <v>18313</v>
      </c>
      <c r="H2548" s="7" t="s">
        <v>18314</v>
      </c>
      <c r="I2548" s="119">
        <v>45839.0</v>
      </c>
      <c r="K2548" s="7" t="s">
        <v>3642</v>
      </c>
      <c r="L2548" s="7" t="s">
        <v>991</v>
      </c>
      <c r="M2548" s="7" t="s">
        <v>3501</v>
      </c>
      <c r="N2548" s="7" t="s">
        <v>3642</v>
      </c>
      <c r="O2548" s="7" t="s">
        <v>3642</v>
      </c>
      <c r="P2548" s="7" t="s">
        <v>19524</v>
      </c>
      <c r="T2548" s="7" t="s">
        <v>3644</v>
      </c>
      <c r="U2548" s="7" t="s">
        <v>3493</v>
      </c>
      <c r="V2548" s="7">
        <v>1.0</v>
      </c>
    </row>
    <row r="2549">
      <c r="A2549" s="7" t="s">
        <v>22463</v>
      </c>
      <c r="B2549" s="7">
        <v>3000852.0</v>
      </c>
      <c r="C2549" s="7" t="s">
        <v>13880</v>
      </c>
      <c r="D2549" s="7" t="s">
        <v>18316</v>
      </c>
      <c r="E2549" s="7" t="s">
        <v>13881</v>
      </c>
      <c r="F2549" s="7" t="s">
        <v>8605</v>
      </c>
      <c r="G2549" s="7" t="s">
        <v>18317</v>
      </c>
      <c r="H2549" s="7" t="s">
        <v>18318</v>
      </c>
      <c r="I2549" s="119">
        <v>45839.0</v>
      </c>
      <c r="K2549" s="7" t="s">
        <v>419</v>
      </c>
      <c r="L2549" s="7" t="s">
        <v>991</v>
      </c>
      <c r="M2549" s="7" t="s">
        <v>3866</v>
      </c>
      <c r="N2549" s="7" t="s">
        <v>419</v>
      </c>
      <c r="O2549" s="7" t="s">
        <v>19437</v>
      </c>
      <c r="P2549" s="7" t="s">
        <v>478</v>
      </c>
      <c r="Q2549" s="7" t="s">
        <v>508</v>
      </c>
      <c r="T2549" s="7" t="s">
        <v>22052</v>
      </c>
      <c r="U2549" s="7" t="s">
        <v>3493</v>
      </c>
      <c r="V2549" s="7">
        <v>1.0</v>
      </c>
    </row>
    <row r="2550">
      <c r="A2550" s="7" t="s">
        <v>22464</v>
      </c>
      <c r="B2550" s="7">
        <v>3000793.0</v>
      </c>
      <c r="C2550" s="7" t="s">
        <v>13880</v>
      </c>
      <c r="D2550" s="7" t="s">
        <v>18321</v>
      </c>
      <c r="E2550" s="7" t="s">
        <v>13881</v>
      </c>
      <c r="F2550" s="7" t="s">
        <v>5417</v>
      </c>
      <c r="G2550" s="7" t="s">
        <v>18322</v>
      </c>
      <c r="H2550" s="7" t="s">
        <v>18323</v>
      </c>
      <c r="I2550" s="119">
        <v>45839.0</v>
      </c>
      <c r="K2550" s="7" t="s">
        <v>419</v>
      </c>
      <c r="L2550" s="7" t="s">
        <v>991</v>
      </c>
      <c r="M2550" s="7" t="s">
        <v>3501</v>
      </c>
      <c r="N2550" s="7" t="s">
        <v>419</v>
      </c>
      <c r="O2550" s="7" t="s">
        <v>19430</v>
      </c>
      <c r="P2550" s="7" t="s">
        <v>717</v>
      </c>
      <c r="Q2550" s="7" t="s">
        <v>1163</v>
      </c>
      <c r="R2550" s="7" t="s">
        <v>20110</v>
      </c>
      <c r="S2550" s="7" t="s">
        <v>20111</v>
      </c>
      <c r="T2550" s="7" t="s">
        <v>6084</v>
      </c>
      <c r="U2550" s="7" t="s">
        <v>3493</v>
      </c>
      <c r="V2550" s="7">
        <v>1.0</v>
      </c>
    </row>
    <row r="2551">
      <c r="A2551" s="7" t="s">
        <v>22465</v>
      </c>
      <c r="B2551" s="7">
        <v>3000865.0</v>
      </c>
      <c r="C2551" s="7" t="s">
        <v>13943</v>
      </c>
      <c r="D2551" s="7" t="s">
        <v>18325</v>
      </c>
      <c r="E2551" s="7" t="s">
        <v>13945</v>
      </c>
      <c r="F2551" s="7" t="s">
        <v>18326</v>
      </c>
      <c r="G2551" s="7" t="s">
        <v>18327</v>
      </c>
      <c r="H2551" s="7" t="s">
        <v>18328</v>
      </c>
      <c r="I2551" s="119">
        <v>45839.0</v>
      </c>
      <c r="K2551" s="7" t="s">
        <v>419</v>
      </c>
      <c r="L2551" s="7" t="s">
        <v>991</v>
      </c>
      <c r="M2551" s="7" t="s">
        <v>3531</v>
      </c>
      <c r="N2551" s="7" t="s">
        <v>419</v>
      </c>
      <c r="O2551" s="7" t="s">
        <v>19433</v>
      </c>
      <c r="P2551" s="7" t="s">
        <v>648</v>
      </c>
      <c r="Q2551" s="7" t="s">
        <v>148</v>
      </c>
      <c r="R2551" s="7" t="s">
        <v>19501</v>
      </c>
      <c r="T2551" s="7" t="s">
        <v>4445</v>
      </c>
      <c r="U2551" s="7" t="s">
        <v>3493</v>
      </c>
      <c r="V2551" s="7">
        <v>1.0</v>
      </c>
    </row>
    <row r="2552">
      <c r="A2552" s="7" t="s">
        <v>22466</v>
      </c>
      <c r="B2552" s="7">
        <v>3000896.0</v>
      </c>
      <c r="C2552" s="7" t="s">
        <v>14145</v>
      </c>
      <c r="D2552" s="7" t="s">
        <v>6658</v>
      </c>
      <c r="E2552" s="7" t="s">
        <v>14147</v>
      </c>
      <c r="F2552" s="7" t="s">
        <v>8668</v>
      </c>
      <c r="G2552" s="7" t="s">
        <v>18330</v>
      </c>
      <c r="H2552" s="7" t="s">
        <v>18331</v>
      </c>
      <c r="I2552" s="119">
        <v>45839.0</v>
      </c>
      <c r="K2552" s="7" t="s">
        <v>419</v>
      </c>
      <c r="L2552" s="7" t="s">
        <v>991</v>
      </c>
      <c r="M2552" s="7" t="s">
        <v>3531</v>
      </c>
      <c r="N2552" s="7" t="s">
        <v>419</v>
      </c>
      <c r="O2552" s="7" t="s">
        <v>19432</v>
      </c>
      <c r="P2552" s="7" t="s">
        <v>298</v>
      </c>
      <c r="Q2552" s="7" t="s">
        <v>798</v>
      </c>
      <c r="R2552" s="7" t="s">
        <v>19526</v>
      </c>
      <c r="T2552" s="7" t="s">
        <v>3653</v>
      </c>
      <c r="U2552" s="7" t="s">
        <v>3493</v>
      </c>
      <c r="V2552" s="7">
        <v>1.0</v>
      </c>
    </row>
    <row r="2553">
      <c r="A2553" s="7" t="s">
        <v>22467</v>
      </c>
      <c r="B2553" s="7">
        <v>3000924.0</v>
      </c>
      <c r="C2553" s="7" t="s">
        <v>3771</v>
      </c>
      <c r="D2553" s="7" t="s">
        <v>18333</v>
      </c>
      <c r="E2553" s="7" t="s">
        <v>3773</v>
      </c>
      <c r="F2553" s="7" t="s">
        <v>3792</v>
      </c>
      <c r="G2553" s="7" t="s">
        <v>18334</v>
      </c>
      <c r="H2553" s="7" t="s">
        <v>18335</v>
      </c>
      <c r="I2553" s="119">
        <v>45854.0</v>
      </c>
      <c r="K2553" s="7" t="s">
        <v>419</v>
      </c>
      <c r="L2553" s="7" t="s">
        <v>991</v>
      </c>
      <c r="M2553" s="7" t="s">
        <v>3501</v>
      </c>
      <c r="N2553" s="7" t="s">
        <v>419</v>
      </c>
      <c r="O2553" s="7" t="s">
        <v>19440</v>
      </c>
      <c r="P2553" s="7" t="s">
        <v>3</v>
      </c>
      <c r="Q2553" s="7" t="s">
        <v>9</v>
      </c>
      <c r="R2553" s="7" t="s">
        <v>20413</v>
      </c>
      <c r="S2553" s="7" t="s">
        <v>19519</v>
      </c>
      <c r="T2553" s="7" t="s">
        <v>7663</v>
      </c>
      <c r="U2553" s="7" t="s">
        <v>3493</v>
      </c>
      <c r="V2553" s="7">
        <v>1.0</v>
      </c>
    </row>
    <row r="2554">
      <c r="A2554" s="7" t="s">
        <v>22468</v>
      </c>
      <c r="B2554" s="7">
        <v>3000946.0</v>
      </c>
      <c r="C2554" s="7" t="s">
        <v>18337</v>
      </c>
      <c r="D2554" s="7" t="s">
        <v>5859</v>
      </c>
      <c r="E2554" s="7" t="s">
        <v>18338</v>
      </c>
      <c r="F2554" s="7" t="s">
        <v>5860</v>
      </c>
      <c r="G2554" s="7" t="s">
        <v>18339</v>
      </c>
      <c r="H2554" s="7" t="s">
        <v>18340</v>
      </c>
      <c r="I2554" s="119">
        <v>45854.0</v>
      </c>
      <c r="K2554" s="7" t="s">
        <v>17988</v>
      </c>
      <c r="L2554" s="7" t="s">
        <v>991</v>
      </c>
      <c r="M2554" s="7" t="s">
        <v>3501</v>
      </c>
      <c r="N2554" s="7" t="s">
        <v>17988</v>
      </c>
      <c r="O2554" s="7" t="s">
        <v>17988</v>
      </c>
      <c r="P2554" s="7" t="s">
        <v>22394</v>
      </c>
      <c r="T2554" s="7" t="s">
        <v>17990</v>
      </c>
      <c r="U2554" s="7" t="s">
        <v>3493</v>
      </c>
      <c r="V2554" s="7">
        <v>1.0</v>
      </c>
    </row>
    <row r="2555">
      <c r="A2555" s="7" t="s">
        <v>22469</v>
      </c>
      <c r="B2555" s="7">
        <v>3000929.0</v>
      </c>
      <c r="C2555" s="7" t="s">
        <v>18342</v>
      </c>
      <c r="D2555" s="7" t="s">
        <v>18343</v>
      </c>
      <c r="E2555" s="7" t="s">
        <v>18344</v>
      </c>
      <c r="F2555" s="7" t="s">
        <v>18345</v>
      </c>
      <c r="G2555" s="7" t="s">
        <v>18346</v>
      </c>
      <c r="H2555" s="7" t="s">
        <v>18347</v>
      </c>
      <c r="I2555" s="119">
        <v>45854.0</v>
      </c>
      <c r="K2555" s="7" t="s">
        <v>419</v>
      </c>
      <c r="L2555" s="7" t="s">
        <v>991</v>
      </c>
      <c r="M2555" s="7" t="s">
        <v>3531</v>
      </c>
      <c r="N2555" s="7" t="s">
        <v>419</v>
      </c>
      <c r="O2555" s="7" t="s">
        <v>19430</v>
      </c>
      <c r="P2555" s="7" t="s">
        <v>717</v>
      </c>
      <c r="Q2555" s="7" t="s">
        <v>1163</v>
      </c>
      <c r="R2555" s="7" t="s">
        <v>19639</v>
      </c>
      <c r="S2555" s="7" t="s">
        <v>20600</v>
      </c>
      <c r="T2555" s="7" t="s">
        <v>8551</v>
      </c>
      <c r="U2555" s="7" t="s">
        <v>3493</v>
      </c>
      <c r="V2555" s="7">
        <v>1.0</v>
      </c>
    </row>
    <row r="2556">
      <c r="A2556" s="7" t="s">
        <v>22470</v>
      </c>
      <c r="B2556" s="7">
        <v>3000933.0</v>
      </c>
      <c r="C2556" s="7" t="s">
        <v>5018</v>
      </c>
      <c r="D2556" s="7" t="s">
        <v>18349</v>
      </c>
      <c r="E2556" s="7" t="s">
        <v>5019</v>
      </c>
      <c r="F2556" s="7" t="s">
        <v>3549</v>
      </c>
      <c r="G2556" s="7" t="s">
        <v>18350</v>
      </c>
      <c r="H2556" s="7" t="s">
        <v>18351</v>
      </c>
      <c r="I2556" s="119">
        <v>45854.0</v>
      </c>
      <c r="K2556" s="7" t="s">
        <v>419</v>
      </c>
      <c r="L2556" s="7" t="s">
        <v>991</v>
      </c>
      <c r="M2556" s="7" t="s">
        <v>3531</v>
      </c>
      <c r="N2556" s="7" t="s">
        <v>419</v>
      </c>
      <c r="O2556" s="7" t="s">
        <v>19430</v>
      </c>
      <c r="P2556" s="7" t="s">
        <v>780</v>
      </c>
      <c r="Q2556" s="7" t="s">
        <v>786</v>
      </c>
      <c r="R2556" s="7" t="s">
        <v>19839</v>
      </c>
      <c r="T2556" s="7" t="s">
        <v>4835</v>
      </c>
      <c r="U2556" s="7" t="s">
        <v>3493</v>
      </c>
      <c r="V2556" s="7">
        <v>1.0</v>
      </c>
    </row>
    <row r="2557">
      <c r="A2557" s="7" t="s">
        <v>22471</v>
      </c>
      <c r="B2557" s="7">
        <v>3000951.0</v>
      </c>
      <c r="C2557" s="7" t="s">
        <v>18353</v>
      </c>
      <c r="D2557" s="7" t="s">
        <v>18354</v>
      </c>
      <c r="E2557" s="7" t="s">
        <v>18355</v>
      </c>
      <c r="F2557" s="7" t="s">
        <v>7477</v>
      </c>
      <c r="G2557" s="7" t="s">
        <v>18356</v>
      </c>
      <c r="H2557" s="7" t="s">
        <v>18357</v>
      </c>
      <c r="I2557" s="119">
        <v>45854.0</v>
      </c>
      <c r="K2557" s="7" t="s">
        <v>17988</v>
      </c>
      <c r="L2557" s="7" t="s">
        <v>991</v>
      </c>
      <c r="M2557" s="7" t="s">
        <v>3501</v>
      </c>
      <c r="N2557" s="7" t="s">
        <v>17988</v>
      </c>
      <c r="O2557" s="7" t="s">
        <v>17988</v>
      </c>
      <c r="P2557" s="7" t="s">
        <v>22394</v>
      </c>
      <c r="T2557" s="7" t="s">
        <v>17990</v>
      </c>
      <c r="U2557" s="7" t="s">
        <v>3493</v>
      </c>
      <c r="V2557" s="7">
        <v>1.0</v>
      </c>
    </row>
    <row r="2558">
      <c r="A2558" s="7" t="s">
        <v>22472</v>
      </c>
      <c r="B2558" s="7">
        <v>3000955.0</v>
      </c>
      <c r="C2558" s="7" t="s">
        <v>18359</v>
      </c>
      <c r="D2558" s="7" t="s">
        <v>18360</v>
      </c>
      <c r="E2558" s="7" t="s">
        <v>18361</v>
      </c>
      <c r="F2558" s="7" t="s">
        <v>11790</v>
      </c>
      <c r="G2558" s="7" t="s">
        <v>18362</v>
      </c>
      <c r="H2558" s="7" t="s">
        <v>18363</v>
      </c>
      <c r="I2558" s="119">
        <v>45854.0</v>
      </c>
      <c r="K2558" s="7" t="s">
        <v>17988</v>
      </c>
      <c r="L2558" s="7" t="s">
        <v>991</v>
      </c>
      <c r="M2558" s="7" t="s">
        <v>3501</v>
      </c>
      <c r="N2558" s="7" t="s">
        <v>17988</v>
      </c>
      <c r="O2558" s="7" t="s">
        <v>17988</v>
      </c>
      <c r="P2558" s="7" t="s">
        <v>22394</v>
      </c>
      <c r="T2558" s="7" t="s">
        <v>17990</v>
      </c>
      <c r="U2558" s="7" t="s">
        <v>3493</v>
      </c>
      <c r="V2558" s="7">
        <v>1.0</v>
      </c>
    </row>
    <row r="2559">
      <c r="A2559" s="7" t="s">
        <v>22473</v>
      </c>
      <c r="B2559" s="7">
        <v>3000941.0</v>
      </c>
      <c r="C2559" s="7" t="s">
        <v>15002</v>
      </c>
      <c r="D2559" s="7" t="s">
        <v>18365</v>
      </c>
      <c r="E2559" s="7" t="s">
        <v>15004</v>
      </c>
      <c r="F2559" s="7" t="s">
        <v>15005</v>
      </c>
      <c r="G2559" s="7" t="s">
        <v>18366</v>
      </c>
      <c r="H2559" s="7" t="s">
        <v>18367</v>
      </c>
      <c r="I2559" s="119">
        <v>45854.0</v>
      </c>
      <c r="K2559" s="7" t="s">
        <v>17988</v>
      </c>
      <c r="L2559" s="7" t="s">
        <v>991</v>
      </c>
      <c r="M2559" s="7" t="s">
        <v>3501</v>
      </c>
      <c r="N2559" s="7" t="s">
        <v>17988</v>
      </c>
      <c r="O2559" s="7" t="s">
        <v>17988</v>
      </c>
      <c r="P2559" s="7" t="s">
        <v>22394</v>
      </c>
      <c r="T2559" s="7" t="s">
        <v>17990</v>
      </c>
      <c r="U2559" s="7" t="s">
        <v>3493</v>
      </c>
      <c r="V2559" s="7">
        <v>1.0</v>
      </c>
    </row>
    <row r="2560">
      <c r="A2560" s="7" t="s">
        <v>22474</v>
      </c>
      <c r="B2560" s="7">
        <v>3000953.0</v>
      </c>
      <c r="C2560" s="7" t="s">
        <v>7234</v>
      </c>
      <c r="D2560" s="7" t="s">
        <v>15290</v>
      </c>
      <c r="E2560" s="7" t="s">
        <v>7236</v>
      </c>
      <c r="F2560" s="7" t="s">
        <v>9561</v>
      </c>
      <c r="G2560" s="7" t="s">
        <v>18369</v>
      </c>
      <c r="H2560" s="7" t="s">
        <v>18370</v>
      </c>
      <c r="I2560" s="119">
        <v>45854.0</v>
      </c>
      <c r="K2560" s="7" t="s">
        <v>17988</v>
      </c>
      <c r="L2560" s="7" t="s">
        <v>991</v>
      </c>
      <c r="M2560" s="7" t="s">
        <v>3501</v>
      </c>
      <c r="N2560" s="7" t="s">
        <v>17988</v>
      </c>
      <c r="O2560" s="7" t="s">
        <v>17988</v>
      </c>
      <c r="P2560" s="7" t="s">
        <v>22394</v>
      </c>
      <c r="T2560" s="7" t="s">
        <v>17990</v>
      </c>
      <c r="U2560" s="7" t="s">
        <v>3493</v>
      </c>
      <c r="V2560" s="7">
        <v>1.0</v>
      </c>
    </row>
    <row r="2561">
      <c r="A2561" s="7" t="s">
        <v>22475</v>
      </c>
      <c r="B2561" s="7">
        <v>3000952.0</v>
      </c>
      <c r="C2561" s="7" t="s">
        <v>18372</v>
      </c>
      <c r="D2561" s="7" t="s">
        <v>18373</v>
      </c>
      <c r="E2561" s="7" t="s">
        <v>18374</v>
      </c>
      <c r="F2561" s="7" t="s">
        <v>4707</v>
      </c>
      <c r="G2561" s="7" t="s">
        <v>18375</v>
      </c>
      <c r="H2561" s="7" t="s">
        <v>18376</v>
      </c>
      <c r="I2561" s="119">
        <v>45854.0</v>
      </c>
      <c r="K2561" s="7" t="s">
        <v>17988</v>
      </c>
      <c r="L2561" s="7" t="s">
        <v>991</v>
      </c>
      <c r="M2561" s="7" t="s">
        <v>3501</v>
      </c>
      <c r="N2561" s="7" t="s">
        <v>17988</v>
      </c>
      <c r="O2561" s="7" t="s">
        <v>17988</v>
      </c>
      <c r="P2561" s="7" t="s">
        <v>22394</v>
      </c>
      <c r="T2561" s="7" t="s">
        <v>17990</v>
      </c>
      <c r="U2561" s="7" t="s">
        <v>3493</v>
      </c>
      <c r="V2561" s="7">
        <v>1.0</v>
      </c>
    </row>
    <row r="2562">
      <c r="A2562" s="7" t="s">
        <v>22476</v>
      </c>
      <c r="B2562" s="7">
        <v>3000922.0</v>
      </c>
      <c r="C2562" s="7" t="s">
        <v>8352</v>
      </c>
      <c r="D2562" s="7" t="s">
        <v>7866</v>
      </c>
      <c r="E2562" s="7" t="s">
        <v>8354</v>
      </c>
      <c r="F2562" s="7" t="s">
        <v>5229</v>
      </c>
      <c r="G2562" s="7" t="s">
        <v>18378</v>
      </c>
      <c r="H2562" s="7" t="s">
        <v>18379</v>
      </c>
      <c r="I2562" s="119">
        <v>45854.0</v>
      </c>
      <c r="K2562" s="7" t="s">
        <v>419</v>
      </c>
      <c r="L2562" s="7" t="s">
        <v>991</v>
      </c>
      <c r="M2562" s="7" t="s">
        <v>3583</v>
      </c>
      <c r="N2562" s="7" t="s">
        <v>419</v>
      </c>
      <c r="O2562" s="7" t="s">
        <v>19437</v>
      </c>
      <c r="P2562" s="7" t="s">
        <v>478</v>
      </c>
      <c r="Q2562" s="7" t="s">
        <v>484</v>
      </c>
      <c r="R2562" s="7" t="s">
        <v>20513</v>
      </c>
      <c r="S2562" s="7" t="s">
        <v>20514</v>
      </c>
      <c r="T2562" s="7" t="s">
        <v>8179</v>
      </c>
      <c r="U2562" s="7" t="s">
        <v>3493</v>
      </c>
      <c r="V2562" s="7">
        <v>1.0</v>
      </c>
    </row>
    <row r="2563">
      <c r="A2563" s="7" t="s">
        <v>22477</v>
      </c>
      <c r="B2563" s="7">
        <v>3000962.0</v>
      </c>
      <c r="C2563" s="7" t="s">
        <v>9145</v>
      </c>
      <c r="D2563" s="7" t="s">
        <v>18381</v>
      </c>
      <c r="E2563" s="7" t="s">
        <v>9147</v>
      </c>
      <c r="F2563" s="7" t="s">
        <v>4546</v>
      </c>
      <c r="G2563" s="7" t="s">
        <v>18382</v>
      </c>
      <c r="H2563" s="7" t="s">
        <v>18383</v>
      </c>
      <c r="I2563" s="119">
        <v>45854.0</v>
      </c>
      <c r="K2563" s="7" t="s">
        <v>419</v>
      </c>
      <c r="L2563" s="7" t="s">
        <v>991</v>
      </c>
      <c r="M2563" s="7" t="s">
        <v>3531</v>
      </c>
      <c r="N2563" s="7" t="s">
        <v>419</v>
      </c>
      <c r="O2563" s="7" t="s">
        <v>19432</v>
      </c>
      <c r="P2563" s="7" t="s">
        <v>298</v>
      </c>
      <c r="Q2563" s="7" t="s">
        <v>1284</v>
      </c>
      <c r="R2563" s="7" t="s">
        <v>20190</v>
      </c>
      <c r="S2563" s="7" t="s">
        <v>20220</v>
      </c>
      <c r="T2563" s="7" t="s">
        <v>9604</v>
      </c>
      <c r="U2563" s="7" t="s">
        <v>3493</v>
      </c>
      <c r="V2563" s="7">
        <v>1.0</v>
      </c>
    </row>
    <row r="2564">
      <c r="A2564" s="7" t="s">
        <v>22478</v>
      </c>
      <c r="B2564" s="7">
        <v>3000957.0</v>
      </c>
      <c r="C2564" s="7" t="s">
        <v>9145</v>
      </c>
      <c r="D2564" s="7" t="s">
        <v>17764</v>
      </c>
      <c r="E2564" s="7" t="s">
        <v>9147</v>
      </c>
      <c r="F2564" s="7" t="s">
        <v>17765</v>
      </c>
      <c r="G2564" s="7" t="s">
        <v>18385</v>
      </c>
      <c r="H2564" s="7" t="s">
        <v>18386</v>
      </c>
      <c r="I2564" s="119">
        <v>45854.0</v>
      </c>
      <c r="K2564" s="7" t="s">
        <v>419</v>
      </c>
      <c r="L2564" s="7" t="s">
        <v>991</v>
      </c>
      <c r="M2564" s="7" t="s">
        <v>3531</v>
      </c>
      <c r="N2564" s="7" t="s">
        <v>419</v>
      </c>
      <c r="O2564" s="7" t="s">
        <v>19443</v>
      </c>
      <c r="P2564" s="7" t="s">
        <v>323</v>
      </c>
      <c r="Q2564" s="7" t="s">
        <v>324</v>
      </c>
      <c r="R2564" s="7" t="s">
        <v>20997</v>
      </c>
      <c r="T2564" s="7" t="s">
        <v>11045</v>
      </c>
      <c r="U2564" s="7" t="s">
        <v>3493</v>
      </c>
      <c r="V2564" s="7">
        <v>1.0</v>
      </c>
    </row>
    <row r="2565">
      <c r="A2565" s="7" t="s">
        <v>22479</v>
      </c>
      <c r="B2565" s="7">
        <v>3000947.0</v>
      </c>
      <c r="C2565" s="7" t="s">
        <v>16069</v>
      </c>
      <c r="D2565" s="7" t="s">
        <v>18388</v>
      </c>
      <c r="E2565" s="7" t="s">
        <v>16071</v>
      </c>
      <c r="F2565" s="7" t="s">
        <v>18389</v>
      </c>
      <c r="G2565" s="7" t="s">
        <v>18390</v>
      </c>
      <c r="H2565" s="7" t="s">
        <v>18391</v>
      </c>
      <c r="I2565" s="119">
        <v>45854.0</v>
      </c>
      <c r="K2565" s="7" t="s">
        <v>17988</v>
      </c>
      <c r="L2565" s="7" t="s">
        <v>991</v>
      </c>
      <c r="M2565" s="7" t="s">
        <v>3501</v>
      </c>
      <c r="N2565" s="7" t="s">
        <v>17988</v>
      </c>
      <c r="O2565" s="7" t="s">
        <v>17988</v>
      </c>
      <c r="P2565" s="7" t="s">
        <v>22394</v>
      </c>
      <c r="T2565" s="7" t="s">
        <v>17990</v>
      </c>
      <c r="U2565" s="7" t="s">
        <v>3493</v>
      </c>
      <c r="V2565" s="7">
        <v>1.0</v>
      </c>
    </row>
    <row r="2566">
      <c r="A2566" s="7" t="s">
        <v>22480</v>
      </c>
      <c r="B2566" s="7">
        <v>3000963.0</v>
      </c>
      <c r="C2566" s="7" t="s">
        <v>9570</v>
      </c>
      <c r="D2566" s="7" t="s">
        <v>18393</v>
      </c>
      <c r="E2566" s="7" t="s">
        <v>9572</v>
      </c>
      <c r="F2566" s="7" t="s">
        <v>9013</v>
      </c>
      <c r="G2566" s="7" t="s">
        <v>18394</v>
      </c>
      <c r="H2566" s="7" t="s">
        <v>18395</v>
      </c>
      <c r="I2566" s="119">
        <v>45854.0</v>
      </c>
      <c r="K2566" s="7" t="s">
        <v>17988</v>
      </c>
      <c r="L2566" s="7" t="s">
        <v>991</v>
      </c>
      <c r="M2566" s="7" t="s">
        <v>3501</v>
      </c>
      <c r="N2566" s="7" t="s">
        <v>17988</v>
      </c>
      <c r="O2566" s="7" t="s">
        <v>17988</v>
      </c>
      <c r="P2566" s="7" t="s">
        <v>22394</v>
      </c>
      <c r="T2566" s="7" t="s">
        <v>17990</v>
      </c>
      <c r="U2566" s="7" t="s">
        <v>3493</v>
      </c>
      <c r="V2566" s="7">
        <v>1.0</v>
      </c>
    </row>
    <row r="2567">
      <c r="A2567" s="7" t="s">
        <v>22481</v>
      </c>
      <c r="B2567" s="7">
        <v>3000934.0</v>
      </c>
      <c r="C2567" s="7" t="s">
        <v>18397</v>
      </c>
      <c r="D2567" s="7" t="s">
        <v>18398</v>
      </c>
      <c r="E2567" s="7" t="s">
        <v>18399</v>
      </c>
      <c r="F2567" s="7" t="s">
        <v>3714</v>
      </c>
      <c r="G2567" s="7" t="s">
        <v>18400</v>
      </c>
      <c r="H2567" s="7" t="s">
        <v>18401</v>
      </c>
      <c r="I2567" s="119">
        <v>45854.0</v>
      </c>
      <c r="K2567" s="7" t="s">
        <v>419</v>
      </c>
      <c r="L2567" s="7" t="s">
        <v>991</v>
      </c>
      <c r="M2567" s="7" t="s">
        <v>3531</v>
      </c>
      <c r="N2567" s="7" t="s">
        <v>419</v>
      </c>
      <c r="O2567" s="7" t="s">
        <v>19430</v>
      </c>
      <c r="P2567" s="7" t="s">
        <v>780</v>
      </c>
      <c r="Q2567" s="7" t="s">
        <v>786</v>
      </c>
      <c r="R2567" s="7" t="s">
        <v>20558</v>
      </c>
      <c r="T2567" s="7" t="s">
        <v>16162</v>
      </c>
      <c r="U2567" s="7" t="s">
        <v>3493</v>
      </c>
      <c r="V2567" s="7">
        <v>1.0</v>
      </c>
    </row>
    <row r="2568">
      <c r="A2568" s="7" t="s">
        <v>22482</v>
      </c>
      <c r="B2568" s="7">
        <v>3000928.0</v>
      </c>
      <c r="C2568" s="7" t="s">
        <v>18403</v>
      </c>
      <c r="D2568" s="7" t="s">
        <v>18404</v>
      </c>
      <c r="E2568" s="7" t="s">
        <v>18405</v>
      </c>
      <c r="F2568" s="7" t="s">
        <v>11740</v>
      </c>
      <c r="G2568" s="7" t="s">
        <v>18406</v>
      </c>
      <c r="H2568" s="7" t="s">
        <v>18407</v>
      </c>
      <c r="I2568" s="119">
        <v>45854.0</v>
      </c>
      <c r="K2568" s="7" t="s">
        <v>419</v>
      </c>
      <c r="L2568" s="7" t="s">
        <v>991</v>
      </c>
      <c r="M2568" s="7" t="s">
        <v>3531</v>
      </c>
      <c r="N2568" s="7" t="s">
        <v>419</v>
      </c>
      <c r="O2568" s="7" t="s">
        <v>19430</v>
      </c>
      <c r="P2568" s="7" t="s">
        <v>717</v>
      </c>
      <c r="Q2568" s="7" t="s">
        <v>1163</v>
      </c>
      <c r="R2568" s="7" t="s">
        <v>19608</v>
      </c>
      <c r="S2568" s="7" t="s">
        <v>20046</v>
      </c>
      <c r="T2568" s="7" t="s">
        <v>5796</v>
      </c>
      <c r="U2568" s="7" t="s">
        <v>3493</v>
      </c>
      <c r="V2568" s="7">
        <v>1.0</v>
      </c>
    </row>
    <row r="2569">
      <c r="A2569" s="7" t="s">
        <v>22483</v>
      </c>
      <c r="B2569" s="7">
        <v>3000943.0</v>
      </c>
      <c r="C2569" s="7" t="s">
        <v>15901</v>
      </c>
      <c r="D2569" s="7" t="s">
        <v>18409</v>
      </c>
      <c r="E2569" s="7" t="s">
        <v>15902</v>
      </c>
      <c r="F2569" s="7" t="s">
        <v>4213</v>
      </c>
      <c r="G2569" s="7" t="s">
        <v>18410</v>
      </c>
      <c r="H2569" s="7" t="s">
        <v>18411</v>
      </c>
      <c r="I2569" s="119">
        <v>45854.0</v>
      </c>
      <c r="K2569" s="7" t="s">
        <v>17988</v>
      </c>
      <c r="L2569" s="7" t="s">
        <v>991</v>
      </c>
      <c r="M2569" s="7" t="s">
        <v>3501</v>
      </c>
      <c r="N2569" s="7" t="s">
        <v>17988</v>
      </c>
      <c r="O2569" s="7" t="s">
        <v>17988</v>
      </c>
      <c r="P2569" s="7" t="s">
        <v>22394</v>
      </c>
      <c r="T2569" s="7" t="s">
        <v>17990</v>
      </c>
      <c r="U2569" s="7" t="s">
        <v>3493</v>
      </c>
      <c r="V2569" s="7">
        <v>1.0</v>
      </c>
    </row>
    <row r="2570">
      <c r="A2570" s="7" t="s">
        <v>22484</v>
      </c>
      <c r="B2570" s="7">
        <v>3000970.0</v>
      </c>
      <c r="C2570" s="7" t="s">
        <v>16330</v>
      </c>
      <c r="D2570" s="7" t="s">
        <v>18413</v>
      </c>
      <c r="E2570" s="7" t="s">
        <v>10926</v>
      </c>
      <c r="F2570" s="7" t="s">
        <v>4469</v>
      </c>
      <c r="G2570" s="7" t="s">
        <v>18414</v>
      </c>
      <c r="H2570" s="7" t="s">
        <v>18415</v>
      </c>
      <c r="I2570" s="119">
        <v>45854.0</v>
      </c>
      <c r="K2570" s="7" t="s">
        <v>419</v>
      </c>
      <c r="L2570" s="7" t="s">
        <v>991</v>
      </c>
      <c r="M2570" s="7" t="s">
        <v>3531</v>
      </c>
      <c r="N2570" s="7" t="s">
        <v>419</v>
      </c>
      <c r="O2570" s="7" t="s">
        <v>19430</v>
      </c>
      <c r="P2570" s="7" t="s">
        <v>780</v>
      </c>
      <c r="Q2570" s="7" t="s">
        <v>786</v>
      </c>
      <c r="T2570" s="7" t="s">
        <v>16907</v>
      </c>
      <c r="U2570" s="7" t="s">
        <v>3493</v>
      </c>
      <c r="V2570" s="7">
        <v>1.0</v>
      </c>
    </row>
    <row r="2571">
      <c r="A2571" s="7" t="s">
        <v>22485</v>
      </c>
      <c r="B2571" s="7">
        <v>3000940.0</v>
      </c>
      <c r="C2571" s="7" t="s">
        <v>11184</v>
      </c>
      <c r="D2571" s="7" t="s">
        <v>18417</v>
      </c>
      <c r="E2571" s="7" t="s">
        <v>11186</v>
      </c>
      <c r="F2571" s="7" t="s">
        <v>4032</v>
      </c>
      <c r="G2571" s="7" t="s">
        <v>18418</v>
      </c>
      <c r="H2571" s="7" t="s">
        <v>18419</v>
      </c>
      <c r="I2571" s="119">
        <v>45854.0</v>
      </c>
      <c r="K2571" s="7" t="s">
        <v>17988</v>
      </c>
      <c r="L2571" s="7" t="s">
        <v>991</v>
      </c>
      <c r="M2571" s="7" t="s">
        <v>3501</v>
      </c>
      <c r="N2571" s="7" t="s">
        <v>17988</v>
      </c>
      <c r="O2571" s="7" t="s">
        <v>17988</v>
      </c>
      <c r="P2571" s="7" t="s">
        <v>22394</v>
      </c>
      <c r="T2571" s="7" t="s">
        <v>17990</v>
      </c>
      <c r="U2571" s="7" t="s">
        <v>3493</v>
      </c>
      <c r="V2571" s="7">
        <v>1.0</v>
      </c>
    </row>
    <row r="2572">
      <c r="A2572" s="7" t="s">
        <v>22486</v>
      </c>
      <c r="B2572" s="7">
        <v>3000936.0</v>
      </c>
      <c r="C2572" s="7" t="s">
        <v>11245</v>
      </c>
      <c r="D2572" s="7" t="s">
        <v>18421</v>
      </c>
      <c r="E2572" s="7" t="s">
        <v>11247</v>
      </c>
      <c r="F2572" s="7" t="s">
        <v>18422</v>
      </c>
      <c r="G2572" s="7" t="s">
        <v>18423</v>
      </c>
      <c r="H2572" s="7" t="s">
        <v>18424</v>
      </c>
      <c r="I2572" s="119">
        <v>45854.0</v>
      </c>
      <c r="K2572" s="7" t="s">
        <v>419</v>
      </c>
      <c r="L2572" s="7" t="s">
        <v>991</v>
      </c>
      <c r="M2572" s="7" t="s">
        <v>3531</v>
      </c>
      <c r="N2572" s="7" t="s">
        <v>419</v>
      </c>
      <c r="O2572" s="7" t="s">
        <v>19430</v>
      </c>
      <c r="P2572" s="7" t="s">
        <v>717</v>
      </c>
      <c r="Q2572" s="7" t="s">
        <v>223</v>
      </c>
      <c r="R2572" s="7" t="s">
        <v>19566</v>
      </c>
      <c r="T2572" s="7" t="s">
        <v>18426</v>
      </c>
      <c r="U2572" s="7" t="s">
        <v>3493</v>
      </c>
      <c r="V2572" s="7">
        <v>1.0</v>
      </c>
    </row>
    <row r="2573">
      <c r="A2573" s="7" t="s">
        <v>22487</v>
      </c>
      <c r="B2573" s="7">
        <v>3000938.0</v>
      </c>
      <c r="C2573" s="7" t="s">
        <v>11361</v>
      </c>
      <c r="D2573" s="7" t="s">
        <v>18428</v>
      </c>
      <c r="E2573" s="7" t="s">
        <v>11363</v>
      </c>
      <c r="F2573" s="7" t="s">
        <v>18429</v>
      </c>
      <c r="G2573" s="7" t="s">
        <v>18430</v>
      </c>
      <c r="H2573" s="7" t="s">
        <v>18431</v>
      </c>
      <c r="I2573" s="119">
        <v>45854.0</v>
      </c>
      <c r="K2573" s="7" t="s">
        <v>3632</v>
      </c>
      <c r="L2573" s="7" t="s">
        <v>991</v>
      </c>
      <c r="M2573" s="7" t="s">
        <v>3583</v>
      </c>
      <c r="N2573" s="7" t="s">
        <v>3632</v>
      </c>
      <c r="O2573" s="7" t="s">
        <v>3632</v>
      </c>
      <c r="P2573" s="7" t="s">
        <v>625</v>
      </c>
      <c r="Q2573" s="7" t="s">
        <v>626</v>
      </c>
      <c r="R2573" s="7" t="s">
        <v>19599</v>
      </c>
      <c r="T2573" s="7" t="s">
        <v>14173</v>
      </c>
      <c r="U2573" s="7" t="s">
        <v>3493</v>
      </c>
      <c r="V2573" s="7">
        <v>1.0</v>
      </c>
    </row>
    <row r="2574">
      <c r="A2574" s="7" t="s">
        <v>22488</v>
      </c>
      <c r="B2574" s="7">
        <v>3000969.0</v>
      </c>
      <c r="C2574" s="7" t="s">
        <v>18433</v>
      </c>
      <c r="D2574" s="7" t="s">
        <v>18434</v>
      </c>
      <c r="E2574" s="7" t="s">
        <v>18435</v>
      </c>
      <c r="F2574" s="7" t="s">
        <v>10843</v>
      </c>
      <c r="G2574" s="7" t="s">
        <v>18436</v>
      </c>
      <c r="H2574" s="7" t="s">
        <v>18437</v>
      </c>
      <c r="I2574" s="119">
        <v>45854.0</v>
      </c>
      <c r="K2574" s="7" t="s">
        <v>419</v>
      </c>
      <c r="L2574" s="7" t="s">
        <v>991</v>
      </c>
      <c r="M2574" s="7" t="s">
        <v>3531</v>
      </c>
      <c r="N2574" s="7" t="s">
        <v>419</v>
      </c>
      <c r="O2574" s="7" t="s">
        <v>19430</v>
      </c>
      <c r="P2574" s="7" t="s">
        <v>780</v>
      </c>
      <c r="Q2574" s="7" t="s">
        <v>786</v>
      </c>
      <c r="T2574" s="7" t="s">
        <v>16907</v>
      </c>
      <c r="U2574" s="7" t="s">
        <v>3493</v>
      </c>
      <c r="V2574" s="7">
        <v>1.0</v>
      </c>
    </row>
    <row r="2575">
      <c r="A2575" s="7" t="s">
        <v>22489</v>
      </c>
      <c r="B2575" s="7">
        <v>3000949.0</v>
      </c>
      <c r="C2575" s="7" t="s">
        <v>11500</v>
      </c>
      <c r="D2575" s="7" t="s">
        <v>10965</v>
      </c>
      <c r="E2575" s="7" t="s">
        <v>11502</v>
      </c>
      <c r="F2575" s="7" t="s">
        <v>5312</v>
      </c>
      <c r="G2575" s="7" t="s">
        <v>18439</v>
      </c>
      <c r="H2575" s="7" t="s">
        <v>18440</v>
      </c>
      <c r="I2575" s="119">
        <v>45854.0</v>
      </c>
      <c r="K2575" s="7" t="s">
        <v>17988</v>
      </c>
      <c r="L2575" s="7" t="s">
        <v>991</v>
      </c>
      <c r="M2575" s="7" t="s">
        <v>3501</v>
      </c>
      <c r="N2575" s="7" t="s">
        <v>17988</v>
      </c>
      <c r="O2575" s="7" t="s">
        <v>17988</v>
      </c>
      <c r="P2575" s="7" t="s">
        <v>22394</v>
      </c>
      <c r="T2575" s="7" t="s">
        <v>17990</v>
      </c>
      <c r="U2575" s="7" t="s">
        <v>3493</v>
      </c>
      <c r="V2575" s="7">
        <v>1.0</v>
      </c>
    </row>
    <row r="2576">
      <c r="A2576" s="7" t="s">
        <v>22490</v>
      </c>
      <c r="B2576" s="7">
        <v>3000937.0</v>
      </c>
      <c r="C2576" s="7" t="s">
        <v>16952</v>
      </c>
      <c r="D2576" s="7" t="s">
        <v>9868</v>
      </c>
      <c r="E2576" s="7" t="s">
        <v>16954</v>
      </c>
      <c r="F2576" s="7" t="s">
        <v>7266</v>
      </c>
      <c r="G2576" s="7" t="s">
        <v>18442</v>
      </c>
      <c r="H2576" s="7" t="s">
        <v>18443</v>
      </c>
      <c r="I2576" s="119">
        <v>45854.0</v>
      </c>
      <c r="K2576" s="7" t="s">
        <v>17988</v>
      </c>
      <c r="L2576" s="7" t="s">
        <v>991</v>
      </c>
      <c r="M2576" s="7" t="s">
        <v>3501</v>
      </c>
      <c r="N2576" s="7" t="s">
        <v>17988</v>
      </c>
      <c r="O2576" s="7" t="s">
        <v>17988</v>
      </c>
      <c r="P2576" s="7" t="s">
        <v>22394</v>
      </c>
      <c r="T2576" s="7" t="s">
        <v>17990</v>
      </c>
      <c r="U2576" s="7" t="s">
        <v>3493</v>
      </c>
      <c r="V2576" s="7">
        <v>1.0</v>
      </c>
    </row>
    <row r="2577">
      <c r="A2577" s="7" t="s">
        <v>22491</v>
      </c>
      <c r="B2577" s="7">
        <v>3000930.0</v>
      </c>
      <c r="C2577" s="7" t="s">
        <v>11715</v>
      </c>
      <c r="D2577" s="7" t="s">
        <v>18445</v>
      </c>
      <c r="E2577" s="7" t="s">
        <v>11717</v>
      </c>
      <c r="F2577" s="7" t="s">
        <v>18446</v>
      </c>
      <c r="G2577" s="7" t="s">
        <v>18447</v>
      </c>
      <c r="H2577" s="7" t="s">
        <v>18448</v>
      </c>
      <c r="I2577" s="119">
        <v>45854.0</v>
      </c>
      <c r="K2577" s="7" t="s">
        <v>419</v>
      </c>
      <c r="L2577" s="7" t="s">
        <v>991</v>
      </c>
      <c r="M2577" s="7" t="s">
        <v>3531</v>
      </c>
      <c r="N2577" s="7" t="s">
        <v>419</v>
      </c>
      <c r="O2577" s="7" t="s">
        <v>19430</v>
      </c>
      <c r="P2577" s="7" t="s">
        <v>717</v>
      </c>
      <c r="Q2577" s="7" t="s">
        <v>1163</v>
      </c>
      <c r="R2577" s="7" t="s">
        <v>19639</v>
      </c>
      <c r="S2577" s="7" t="s">
        <v>20600</v>
      </c>
      <c r="T2577" s="7" t="s">
        <v>8551</v>
      </c>
      <c r="U2577" s="7" t="s">
        <v>3493</v>
      </c>
      <c r="V2577" s="7">
        <v>1.0</v>
      </c>
    </row>
    <row r="2578">
      <c r="A2578" s="7" t="s">
        <v>22492</v>
      </c>
      <c r="B2578" s="7">
        <v>3000939.0</v>
      </c>
      <c r="C2578" s="7" t="s">
        <v>18450</v>
      </c>
      <c r="D2578" s="7" t="s">
        <v>14528</v>
      </c>
      <c r="E2578" s="7" t="s">
        <v>18451</v>
      </c>
      <c r="F2578" s="7" t="s">
        <v>3874</v>
      </c>
      <c r="G2578" s="7" t="s">
        <v>18452</v>
      </c>
      <c r="H2578" s="7" t="s">
        <v>18453</v>
      </c>
      <c r="I2578" s="119">
        <v>45854.0</v>
      </c>
      <c r="K2578" s="7" t="s">
        <v>15381</v>
      </c>
      <c r="L2578" s="7" t="s">
        <v>991</v>
      </c>
      <c r="M2578" s="7" t="s">
        <v>3531</v>
      </c>
      <c r="N2578" s="7" t="s">
        <v>15381</v>
      </c>
      <c r="O2578" s="7" t="s">
        <v>15381</v>
      </c>
      <c r="P2578" s="7" t="s">
        <v>21865</v>
      </c>
      <c r="T2578" s="7" t="s">
        <v>15383</v>
      </c>
      <c r="U2578" s="7" t="s">
        <v>3493</v>
      </c>
      <c r="V2578" s="7">
        <v>1.0</v>
      </c>
    </row>
    <row r="2579">
      <c r="A2579" s="7" t="s">
        <v>22493</v>
      </c>
      <c r="B2579" s="7">
        <v>3000945.0</v>
      </c>
      <c r="C2579" s="7" t="s">
        <v>12228</v>
      </c>
      <c r="D2579" s="7" t="s">
        <v>18455</v>
      </c>
      <c r="E2579" s="7" t="s">
        <v>12230</v>
      </c>
      <c r="F2579" s="7" t="s">
        <v>11508</v>
      </c>
      <c r="G2579" s="7" t="s">
        <v>18456</v>
      </c>
      <c r="H2579" s="7" t="s">
        <v>18457</v>
      </c>
      <c r="I2579" s="119">
        <v>45854.0</v>
      </c>
      <c r="K2579" s="7" t="s">
        <v>17988</v>
      </c>
      <c r="L2579" s="7" t="s">
        <v>991</v>
      </c>
      <c r="M2579" s="7" t="s">
        <v>3501</v>
      </c>
      <c r="N2579" s="7" t="s">
        <v>17988</v>
      </c>
      <c r="O2579" s="7" t="s">
        <v>17988</v>
      </c>
      <c r="P2579" s="7" t="s">
        <v>22394</v>
      </c>
      <c r="T2579" s="7" t="s">
        <v>17990</v>
      </c>
      <c r="U2579" s="7" t="s">
        <v>3493</v>
      </c>
      <c r="V2579" s="7">
        <v>1.0</v>
      </c>
    </row>
    <row r="2580">
      <c r="A2580" s="7" t="s">
        <v>22494</v>
      </c>
      <c r="B2580" s="7">
        <v>3000944.0</v>
      </c>
      <c r="C2580" s="7" t="s">
        <v>12668</v>
      </c>
      <c r="D2580" s="7" t="s">
        <v>18459</v>
      </c>
      <c r="E2580" s="7" t="s">
        <v>12669</v>
      </c>
      <c r="F2580" s="7" t="s">
        <v>11523</v>
      </c>
      <c r="G2580" s="7" t="s">
        <v>18460</v>
      </c>
      <c r="H2580" s="7" t="s">
        <v>18461</v>
      </c>
      <c r="I2580" s="119">
        <v>45854.0</v>
      </c>
      <c r="K2580" s="7" t="s">
        <v>17988</v>
      </c>
      <c r="L2580" s="7" t="s">
        <v>991</v>
      </c>
      <c r="M2580" s="7" t="s">
        <v>3501</v>
      </c>
      <c r="N2580" s="7" t="s">
        <v>17988</v>
      </c>
      <c r="O2580" s="7" t="s">
        <v>17988</v>
      </c>
      <c r="P2580" s="7" t="s">
        <v>22394</v>
      </c>
      <c r="T2580" s="7" t="s">
        <v>17990</v>
      </c>
      <c r="U2580" s="7" t="s">
        <v>3493</v>
      </c>
      <c r="V2580" s="7">
        <v>1.0</v>
      </c>
    </row>
    <row r="2581">
      <c r="A2581" s="7" t="s">
        <v>22495</v>
      </c>
      <c r="B2581" s="7">
        <v>3000942.0</v>
      </c>
      <c r="C2581" s="7" t="s">
        <v>15019</v>
      </c>
      <c r="D2581" s="7" t="s">
        <v>18463</v>
      </c>
      <c r="E2581" s="7" t="s">
        <v>15021</v>
      </c>
      <c r="F2581" s="7" t="s">
        <v>4677</v>
      </c>
      <c r="G2581" s="7" t="s">
        <v>18464</v>
      </c>
      <c r="H2581" s="7" t="s">
        <v>18465</v>
      </c>
      <c r="I2581" s="119">
        <v>45854.0</v>
      </c>
      <c r="K2581" s="7" t="s">
        <v>17988</v>
      </c>
      <c r="L2581" s="7" t="s">
        <v>991</v>
      </c>
      <c r="M2581" s="7" t="s">
        <v>3501</v>
      </c>
      <c r="N2581" s="7" t="s">
        <v>17988</v>
      </c>
      <c r="O2581" s="7" t="s">
        <v>17988</v>
      </c>
      <c r="P2581" s="7" t="s">
        <v>22394</v>
      </c>
      <c r="T2581" s="7" t="s">
        <v>17990</v>
      </c>
      <c r="U2581" s="7" t="s">
        <v>3493</v>
      </c>
      <c r="V2581" s="7">
        <v>1.0</v>
      </c>
    </row>
    <row r="2582">
      <c r="A2582" s="7" t="s">
        <v>22496</v>
      </c>
      <c r="B2582" s="7">
        <v>3000960.0</v>
      </c>
      <c r="C2582" s="7" t="s">
        <v>12771</v>
      </c>
      <c r="D2582" s="7" t="s">
        <v>18467</v>
      </c>
      <c r="E2582" s="7" t="s">
        <v>12765</v>
      </c>
      <c r="F2582" s="7" t="s">
        <v>18468</v>
      </c>
      <c r="G2582" s="7" t="s">
        <v>18469</v>
      </c>
      <c r="H2582" s="7" t="s">
        <v>18470</v>
      </c>
      <c r="I2582" s="119">
        <v>45854.0</v>
      </c>
      <c r="K2582" s="7" t="s">
        <v>419</v>
      </c>
      <c r="L2582" s="7" t="s">
        <v>991</v>
      </c>
      <c r="M2582" s="7" t="s">
        <v>3531</v>
      </c>
      <c r="N2582" s="7" t="s">
        <v>419</v>
      </c>
      <c r="O2582" s="7" t="s">
        <v>19430</v>
      </c>
      <c r="P2582" s="7" t="s">
        <v>780</v>
      </c>
      <c r="Q2582" s="7" t="s">
        <v>786</v>
      </c>
      <c r="T2582" s="7" t="s">
        <v>16907</v>
      </c>
      <c r="U2582" s="7" t="s">
        <v>3493</v>
      </c>
      <c r="V2582" s="7">
        <v>1.0</v>
      </c>
    </row>
    <row r="2583">
      <c r="A2583" s="7" t="s">
        <v>22497</v>
      </c>
      <c r="B2583" s="7">
        <v>3000958.0</v>
      </c>
      <c r="C2583" s="7" t="s">
        <v>12820</v>
      </c>
      <c r="D2583" s="7" t="s">
        <v>3812</v>
      </c>
      <c r="E2583" s="7" t="s">
        <v>12822</v>
      </c>
      <c r="F2583" s="7" t="s">
        <v>3609</v>
      </c>
      <c r="G2583" s="7" t="s">
        <v>18472</v>
      </c>
      <c r="H2583" s="7" t="s">
        <v>18473</v>
      </c>
      <c r="I2583" s="119">
        <v>45854.0</v>
      </c>
      <c r="K2583" s="7" t="s">
        <v>17988</v>
      </c>
      <c r="L2583" s="7" t="s">
        <v>991</v>
      </c>
      <c r="M2583" s="7" t="s">
        <v>3501</v>
      </c>
      <c r="N2583" s="7" t="s">
        <v>17988</v>
      </c>
      <c r="O2583" s="7" t="s">
        <v>17988</v>
      </c>
      <c r="P2583" s="7" t="s">
        <v>22394</v>
      </c>
      <c r="T2583" s="7" t="s">
        <v>17990</v>
      </c>
      <c r="U2583" s="7" t="s">
        <v>3493</v>
      </c>
      <c r="V2583" s="7">
        <v>1.0</v>
      </c>
    </row>
    <row r="2584">
      <c r="A2584" s="7" t="s">
        <v>22498</v>
      </c>
      <c r="B2584" s="7">
        <v>3000931.0</v>
      </c>
      <c r="C2584" s="7" t="s">
        <v>13120</v>
      </c>
      <c r="D2584" s="7" t="s">
        <v>12059</v>
      </c>
      <c r="E2584" s="7" t="s">
        <v>13122</v>
      </c>
      <c r="F2584" s="7" t="s">
        <v>12061</v>
      </c>
      <c r="G2584" s="7" t="s">
        <v>18475</v>
      </c>
      <c r="H2584" s="7" t="s">
        <v>18476</v>
      </c>
      <c r="I2584" s="119">
        <v>45854.0</v>
      </c>
      <c r="K2584" s="7" t="s">
        <v>419</v>
      </c>
      <c r="L2584" s="7" t="s">
        <v>991</v>
      </c>
      <c r="M2584" s="7" t="s">
        <v>3531</v>
      </c>
      <c r="N2584" s="7" t="s">
        <v>419</v>
      </c>
      <c r="O2584" s="7" t="s">
        <v>19430</v>
      </c>
      <c r="P2584" s="7" t="s">
        <v>780</v>
      </c>
      <c r="Q2584" s="7" t="s">
        <v>786</v>
      </c>
      <c r="R2584" s="7" t="s">
        <v>19839</v>
      </c>
      <c r="T2584" s="7" t="s">
        <v>4835</v>
      </c>
      <c r="U2584" s="7" t="s">
        <v>3493</v>
      </c>
      <c r="V2584" s="7">
        <v>1.0</v>
      </c>
    </row>
    <row r="2585">
      <c r="A2585" s="7" t="s">
        <v>22499</v>
      </c>
      <c r="B2585" s="7">
        <v>3000948.0</v>
      </c>
      <c r="C2585" s="7" t="s">
        <v>13294</v>
      </c>
      <c r="D2585" s="7" t="s">
        <v>18478</v>
      </c>
      <c r="E2585" s="7" t="s">
        <v>13295</v>
      </c>
      <c r="F2585" s="7" t="s">
        <v>18479</v>
      </c>
      <c r="G2585" s="7" t="s">
        <v>18480</v>
      </c>
      <c r="H2585" s="7" t="s">
        <v>18481</v>
      </c>
      <c r="I2585" s="119">
        <v>45854.0</v>
      </c>
      <c r="K2585" s="7" t="s">
        <v>17988</v>
      </c>
      <c r="L2585" s="7" t="s">
        <v>991</v>
      </c>
      <c r="M2585" s="7" t="s">
        <v>3501</v>
      </c>
      <c r="N2585" s="7" t="s">
        <v>17988</v>
      </c>
      <c r="O2585" s="7" t="s">
        <v>17988</v>
      </c>
      <c r="P2585" s="7" t="s">
        <v>22394</v>
      </c>
      <c r="T2585" s="7" t="s">
        <v>17990</v>
      </c>
      <c r="U2585" s="7" t="s">
        <v>3493</v>
      </c>
      <c r="V2585" s="7">
        <v>1.0</v>
      </c>
    </row>
    <row r="2586">
      <c r="A2586" s="7" t="s">
        <v>22500</v>
      </c>
      <c r="B2586" s="7">
        <v>3000954.0</v>
      </c>
      <c r="C2586" s="7" t="s">
        <v>18483</v>
      </c>
      <c r="D2586" s="7" t="s">
        <v>18484</v>
      </c>
      <c r="E2586" s="7" t="s">
        <v>18485</v>
      </c>
      <c r="F2586" s="7" t="s">
        <v>3889</v>
      </c>
      <c r="G2586" s="7" t="s">
        <v>18486</v>
      </c>
      <c r="H2586" s="7" t="s">
        <v>18487</v>
      </c>
      <c r="I2586" s="119">
        <v>45854.0</v>
      </c>
      <c r="K2586" s="7" t="s">
        <v>17988</v>
      </c>
      <c r="L2586" s="7" t="s">
        <v>991</v>
      </c>
      <c r="M2586" s="7" t="s">
        <v>3501</v>
      </c>
      <c r="N2586" s="7" t="s">
        <v>17988</v>
      </c>
      <c r="O2586" s="7" t="s">
        <v>17988</v>
      </c>
      <c r="P2586" s="7" t="s">
        <v>22394</v>
      </c>
      <c r="T2586" s="7" t="s">
        <v>17990</v>
      </c>
      <c r="U2586" s="7" t="s">
        <v>3493</v>
      </c>
      <c r="V2586" s="7">
        <v>1.0</v>
      </c>
    </row>
    <row r="2587">
      <c r="A2587" s="7" t="s">
        <v>22501</v>
      </c>
      <c r="B2587" s="7">
        <v>3000959.0</v>
      </c>
      <c r="C2587" s="7" t="s">
        <v>18489</v>
      </c>
      <c r="D2587" s="7" t="s">
        <v>18490</v>
      </c>
      <c r="E2587" s="7" t="s">
        <v>18491</v>
      </c>
      <c r="F2587" s="7" t="s">
        <v>18492</v>
      </c>
      <c r="G2587" s="7" t="s">
        <v>18493</v>
      </c>
      <c r="H2587" s="7" t="s">
        <v>18494</v>
      </c>
      <c r="I2587" s="119">
        <v>45854.0</v>
      </c>
      <c r="K2587" s="7" t="s">
        <v>17988</v>
      </c>
      <c r="L2587" s="7" t="s">
        <v>991</v>
      </c>
      <c r="M2587" s="7" t="s">
        <v>3501</v>
      </c>
      <c r="N2587" s="7" t="s">
        <v>17988</v>
      </c>
      <c r="O2587" s="7" t="s">
        <v>17988</v>
      </c>
      <c r="P2587" s="7" t="s">
        <v>22394</v>
      </c>
      <c r="T2587" s="7" t="s">
        <v>17990</v>
      </c>
      <c r="U2587" s="7" t="s">
        <v>3493</v>
      </c>
      <c r="V2587" s="7">
        <v>1.0</v>
      </c>
    </row>
    <row r="2588">
      <c r="A2588" s="7" t="s">
        <v>22502</v>
      </c>
      <c r="B2588" s="7">
        <v>3000950.0</v>
      </c>
      <c r="C2588" s="7" t="s">
        <v>13873</v>
      </c>
      <c r="D2588" s="7" t="s">
        <v>18496</v>
      </c>
      <c r="E2588" s="7" t="s">
        <v>13875</v>
      </c>
      <c r="F2588" s="7" t="s">
        <v>4271</v>
      </c>
      <c r="G2588" s="7" t="s">
        <v>18497</v>
      </c>
      <c r="H2588" s="7" t="s">
        <v>18498</v>
      </c>
      <c r="I2588" s="119">
        <v>45854.0</v>
      </c>
      <c r="K2588" s="7" t="s">
        <v>17988</v>
      </c>
      <c r="L2588" s="7" t="s">
        <v>991</v>
      </c>
      <c r="M2588" s="7" t="s">
        <v>3501</v>
      </c>
      <c r="N2588" s="7" t="s">
        <v>17988</v>
      </c>
      <c r="O2588" s="7" t="s">
        <v>17988</v>
      </c>
      <c r="P2588" s="7" t="s">
        <v>22394</v>
      </c>
      <c r="T2588" s="7" t="s">
        <v>17990</v>
      </c>
      <c r="U2588" s="7" t="s">
        <v>3493</v>
      </c>
      <c r="V2588" s="7">
        <v>1.0</v>
      </c>
    </row>
    <row r="2589">
      <c r="A2589" s="7" t="s">
        <v>22503</v>
      </c>
      <c r="B2589" s="7">
        <v>3000956.0</v>
      </c>
      <c r="C2589" s="7" t="s">
        <v>13880</v>
      </c>
      <c r="D2589" s="7" t="s">
        <v>18500</v>
      </c>
      <c r="E2589" s="7" t="s">
        <v>13881</v>
      </c>
      <c r="F2589" s="7" t="s">
        <v>8194</v>
      </c>
      <c r="G2589" s="7" t="s">
        <v>18501</v>
      </c>
      <c r="H2589" s="7" t="s">
        <v>18502</v>
      </c>
      <c r="I2589" s="119">
        <v>45854.0</v>
      </c>
      <c r="K2589" s="7" t="s">
        <v>17988</v>
      </c>
      <c r="L2589" s="7" t="s">
        <v>991</v>
      </c>
      <c r="M2589" s="7" t="s">
        <v>3501</v>
      </c>
      <c r="N2589" s="7" t="s">
        <v>17988</v>
      </c>
      <c r="O2589" s="7" t="s">
        <v>17988</v>
      </c>
      <c r="P2589" s="7" t="s">
        <v>22394</v>
      </c>
      <c r="T2589" s="7" t="s">
        <v>17990</v>
      </c>
      <c r="U2589" s="7" t="s">
        <v>3493</v>
      </c>
      <c r="V2589" s="7">
        <v>1.0</v>
      </c>
    </row>
    <row r="2590">
      <c r="A2590" s="7" t="s">
        <v>22504</v>
      </c>
      <c r="B2590" s="7">
        <v>3000964.0</v>
      </c>
      <c r="C2590" s="7" t="s">
        <v>13943</v>
      </c>
      <c r="D2590" s="7" t="s">
        <v>17225</v>
      </c>
      <c r="E2590" s="7" t="s">
        <v>13945</v>
      </c>
      <c r="F2590" s="7" t="s">
        <v>4371</v>
      </c>
      <c r="G2590" s="7" t="s">
        <v>18504</v>
      </c>
      <c r="H2590" s="7" t="s">
        <v>18505</v>
      </c>
      <c r="I2590" s="119">
        <v>45854.0</v>
      </c>
      <c r="K2590" s="7" t="s">
        <v>419</v>
      </c>
      <c r="L2590" s="7" t="s">
        <v>991</v>
      </c>
      <c r="M2590" s="7" t="s">
        <v>3531</v>
      </c>
      <c r="N2590" s="7" t="s">
        <v>419</v>
      </c>
      <c r="O2590" s="7" t="s">
        <v>19432</v>
      </c>
      <c r="P2590" s="7" t="s">
        <v>298</v>
      </c>
      <c r="Q2590" s="7" t="s">
        <v>1284</v>
      </c>
      <c r="R2590" s="7" t="s">
        <v>20579</v>
      </c>
      <c r="S2590" s="7" t="s">
        <v>20580</v>
      </c>
      <c r="T2590" s="7" t="s">
        <v>11111</v>
      </c>
      <c r="U2590" s="7" t="s">
        <v>3493</v>
      </c>
      <c r="V2590" s="7">
        <v>1.0</v>
      </c>
    </row>
    <row r="2591">
      <c r="A2591" s="7" t="s">
        <v>22505</v>
      </c>
      <c r="B2591" s="7">
        <v>3000932.0</v>
      </c>
      <c r="C2591" s="7" t="s">
        <v>13943</v>
      </c>
      <c r="D2591" s="7" t="s">
        <v>5614</v>
      </c>
      <c r="E2591" s="7" t="s">
        <v>13945</v>
      </c>
      <c r="F2591" s="7" t="s">
        <v>3656</v>
      </c>
      <c r="G2591" s="7" t="s">
        <v>18507</v>
      </c>
      <c r="H2591" s="7" t="s">
        <v>18508</v>
      </c>
      <c r="I2591" s="119">
        <v>45854.0</v>
      </c>
      <c r="K2591" s="7" t="s">
        <v>419</v>
      </c>
      <c r="L2591" s="7" t="s">
        <v>991</v>
      </c>
      <c r="M2591" s="7" t="s">
        <v>3531</v>
      </c>
      <c r="N2591" s="7" t="s">
        <v>419</v>
      </c>
      <c r="O2591" s="7" t="s">
        <v>19430</v>
      </c>
      <c r="P2591" s="7" t="s">
        <v>780</v>
      </c>
      <c r="Q2591" s="7" t="s">
        <v>786</v>
      </c>
      <c r="R2591" s="7" t="s">
        <v>19839</v>
      </c>
      <c r="T2591" s="7" t="s">
        <v>4835</v>
      </c>
      <c r="U2591" s="7" t="s">
        <v>3493</v>
      </c>
      <c r="V2591" s="7">
        <v>1.0</v>
      </c>
    </row>
    <row r="2592">
      <c r="A2592" s="7" t="s">
        <v>22506</v>
      </c>
      <c r="B2592" s="7">
        <v>3001019.0</v>
      </c>
      <c r="C2592" s="7" t="s">
        <v>18510</v>
      </c>
      <c r="D2592" s="7" t="s">
        <v>17740</v>
      </c>
      <c r="E2592" s="7" t="s">
        <v>18511</v>
      </c>
      <c r="F2592" s="7" t="s">
        <v>7382</v>
      </c>
      <c r="G2592" s="7" t="s">
        <v>18512</v>
      </c>
      <c r="H2592" s="7" t="s">
        <v>18513</v>
      </c>
      <c r="I2592" s="119">
        <v>45870.0</v>
      </c>
      <c r="K2592" s="7" t="s">
        <v>3642</v>
      </c>
      <c r="L2592" s="7" t="s">
        <v>991</v>
      </c>
      <c r="M2592" s="7" t="s">
        <v>3501</v>
      </c>
      <c r="N2592" s="7" t="s">
        <v>3642</v>
      </c>
      <c r="O2592" s="7" t="s">
        <v>3642</v>
      </c>
      <c r="P2592" s="7" t="s">
        <v>19524</v>
      </c>
      <c r="T2592" s="7" t="s">
        <v>3644</v>
      </c>
      <c r="U2592" s="7" t="s">
        <v>3493</v>
      </c>
      <c r="V2592" s="7">
        <v>1.0</v>
      </c>
    </row>
    <row r="2593">
      <c r="A2593" s="7" t="s">
        <v>22507</v>
      </c>
      <c r="B2593" s="7">
        <v>3001010.0</v>
      </c>
      <c r="C2593" s="7" t="s">
        <v>18510</v>
      </c>
      <c r="D2593" s="7" t="s">
        <v>18515</v>
      </c>
      <c r="E2593" s="7" t="s">
        <v>18511</v>
      </c>
      <c r="F2593" s="7" t="s">
        <v>7382</v>
      </c>
      <c r="G2593" s="7" t="s">
        <v>18516</v>
      </c>
      <c r="H2593" s="7" t="s">
        <v>18517</v>
      </c>
      <c r="I2593" s="119">
        <v>45870.0</v>
      </c>
      <c r="K2593" s="7" t="s">
        <v>17988</v>
      </c>
      <c r="L2593" s="7" t="s">
        <v>991</v>
      </c>
      <c r="M2593" s="7" t="s">
        <v>3501</v>
      </c>
      <c r="N2593" s="7" t="s">
        <v>17988</v>
      </c>
      <c r="O2593" s="7" t="s">
        <v>17988</v>
      </c>
      <c r="P2593" s="7" t="s">
        <v>22394</v>
      </c>
      <c r="T2593" s="7" t="s">
        <v>17990</v>
      </c>
      <c r="U2593" s="7" t="s">
        <v>3493</v>
      </c>
      <c r="V2593" s="7">
        <v>1.0</v>
      </c>
    </row>
    <row r="2594">
      <c r="A2594" s="7" t="s">
        <v>22508</v>
      </c>
      <c r="B2594" s="7">
        <v>3000994.0</v>
      </c>
      <c r="C2594" s="7" t="s">
        <v>17049</v>
      </c>
      <c r="D2594" s="7" t="s">
        <v>18519</v>
      </c>
      <c r="E2594" s="7" t="s">
        <v>17051</v>
      </c>
      <c r="F2594" s="7" t="s">
        <v>6859</v>
      </c>
      <c r="G2594" s="7" t="s">
        <v>18520</v>
      </c>
      <c r="H2594" s="7" t="s">
        <v>18521</v>
      </c>
      <c r="I2594" s="119">
        <v>45870.0</v>
      </c>
      <c r="K2594" s="7" t="s">
        <v>17988</v>
      </c>
      <c r="L2594" s="7" t="s">
        <v>991</v>
      </c>
      <c r="M2594" s="7" t="s">
        <v>3490</v>
      </c>
      <c r="N2594" s="7" t="s">
        <v>17988</v>
      </c>
      <c r="O2594" s="7" t="s">
        <v>17988</v>
      </c>
      <c r="P2594" s="7" t="s">
        <v>22394</v>
      </c>
      <c r="T2594" s="7" t="s">
        <v>17990</v>
      </c>
      <c r="U2594" s="7" t="s">
        <v>3493</v>
      </c>
      <c r="V2594" s="7">
        <v>1.0</v>
      </c>
    </row>
    <row r="2595">
      <c r="A2595" s="7" t="s">
        <v>22509</v>
      </c>
      <c r="B2595" s="7">
        <v>3000921.0</v>
      </c>
      <c r="C2595" s="7" t="s">
        <v>4218</v>
      </c>
      <c r="D2595" s="7" t="s">
        <v>18523</v>
      </c>
      <c r="E2595" s="7" t="s">
        <v>4220</v>
      </c>
      <c r="F2595" s="7" t="s">
        <v>3889</v>
      </c>
      <c r="G2595" s="7" t="s">
        <v>18524</v>
      </c>
      <c r="H2595" s="7" t="s">
        <v>18525</v>
      </c>
      <c r="I2595" s="119">
        <v>45870.0</v>
      </c>
      <c r="K2595" s="7" t="s">
        <v>419</v>
      </c>
      <c r="L2595" s="7" t="s">
        <v>991</v>
      </c>
      <c r="M2595" s="7" t="s">
        <v>3501</v>
      </c>
      <c r="N2595" s="7" t="s">
        <v>419</v>
      </c>
      <c r="O2595" s="7" t="s">
        <v>19430</v>
      </c>
      <c r="P2595" s="7" t="s">
        <v>780</v>
      </c>
      <c r="Q2595" s="7" t="s">
        <v>786</v>
      </c>
      <c r="R2595" s="7" t="s">
        <v>19666</v>
      </c>
      <c r="T2595" s="7" t="s">
        <v>4169</v>
      </c>
      <c r="U2595" s="7" t="s">
        <v>3493</v>
      </c>
      <c r="V2595" s="7">
        <v>1.0</v>
      </c>
    </row>
    <row r="2596">
      <c r="A2596" s="7" t="s">
        <v>22510</v>
      </c>
      <c r="B2596" s="7">
        <v>3000980.0</v>
      </c>
      <c r="C2596" s="7" t="s">
        <v>4333</v>
      </c>
      <c r="D2596" s="7" t="s">
        <v>18527</v>
      </c>
      <c r="E2596" s="7" t="s">
        <v>4335</v>
      </c>
      <c r="F2596" s="7" t="s">
        <v>18528</v>
      </c>
      <c r="G2596" s="7" t="s">
        <v>18529</v>
      </c>
      <c r="H2596" s="7" t="s">
        <v>18530</v>
      </c>
      <c r="I2596" s="119">
        <v>45870.0</v>
      </c>
      <c r="K2596" s="7" t="s">
        <v>419</v>
      </c>
      <c r="L2596" s="7" t="s">
        <v>991</v>
      </c>
      <c r="M2596" s="7" t="s">
        <v>3531</v>
      </c>
      <c r="N2596" s="7" t="s">
        <v>419</v>
      </c>
      <c r="O2596" s="7" t="s">
        <v>19430</v>
      </c>
      <c r="P2596" s="7" t="s">
        <v>717</v>
      </c>
      <c r="Q2596" s="7" t="s">
        <v>722</v>
      </c>
      <c r="R2596" s="7" t="s">
        <v>20163</v>
      </c>
      <c r="S2596" s="7" t="s">
        <v>20164</v>
      </c>
      <c r="T2596" s="7" t="s">
        <v>18531</v>
      </c>
      <c r="U2596" s="7" t="s">
        <v>3493</v>
      </c>
      <c r="V2596" s="7">
        <v>1.0</v>
      </c>
    </row>
    <row r="2597">
      <c r="A2597" s="7" t="s">
        <v>22511</v>
      </c>
      <c r="B2597" s="7">
        <v>3000983.0</v>
      </c>
      <c r="C2597" s="7" t="s">
        <v>4502</v>
      </c>
      <c r="D2597" s="7" t="s">
        <v>6530</v>
      </c>
      <c r="E2597" s="7" t="s">
        <v>4504</v>
      </c>
      <c r="F2597" s="7" t="s">
        <v>6530</v>
      </c>
      <c r="G2597" s="7" t="s">
        <v>18533</v>
      </c>
      <c r="H2597" s="7" t="s">
        <v>18534</v>
      </c>
      <c r="I2597" s="119">
        <v>45870.0</v>
      </c>
      <c r="K2597" s="7" t="s">
        <v>3632</v>
      </c>
      <c r="L2597" s="7" t="s">
        <v>991</v>
      </c>
      <c r="M2597" s="7" t="s">
        <v>3583</v>
      </c>
      <c r="N2597" s="7" t="s">
        <v>3632</v>
      </c>
      <c r="O2597" s="7" t="s">
        <v>3632</v>
      </c>
      <c r="P2597" s="7" t="s">
        <v>625</v>
      </c>
      <c r="Q2597" s="7" t="s">
        <v>124</v>
      </c>
      <c r="R2597" s="7" t="s">
        <v>19563</v>
      </c>
      <c r="T2597" s="7" t="s">
        <v>10625</v>
      </c>
      <c r="U2597" s="7" t="s">
        <v>3493</v>
      </c>
      <c r="V2597" s="7">
        <v>1.0</v>
      </c>
    </row>
    <row r="2598">
      <c r="A2598" s="7" t="s">
        <v>22512</v>
      </c>
      <c r="B2598" s="7">
        <v>3000981.0</v>
      </c>
      <c r="C2598" s="7" t="s">
        <v>4663</v>
      </c>
      <c r="D2598" s="7" t="s">
        <v>18536</v>
      </c>
      <c r="E2598" s="7" t="s">
        <v>4665</v>
      </c>
      <c r="F2598" s="7" t="s">
        <v>7637</v>
      </c>
      <c r="G2598" s="7" t="s">
        <v>18537</v>
      </c>
      <c r="H2598" s="7" t="s">
        <v>18538</v>
      </c>
      <c r="I2598" s="119">
        <v>45870.0</v>
      </c>
      <c r="K2598" s="7" t="s">
        <v>419</v>
      </c>
      <c r="L2598" s="7" t="s">
        <v>991</v>
      </c>
      <c r="M2598" s="7" t="s">
        <v>3531</v>
      </c>
      <c r="N2598" s="7" t="s">
        <v>419</v>
      </c>
      <c r="O2598" s="7" t="s">
        <v>19430</v>
      </c>
      <c r="P2598" s="7" t="s">
        <v>717</v>
      </c>
      <c r="Q2598" s="7" t="s">
        <v>720</v>
      </c>
      <c r="R2598" s="7" t="s">
        <v>19542</v>
      </c>
      <c r="T2598" s="7" t="s">
        <v>3725</v>
      </c>
      <c r="U2598" s="7" t="s">
        <v>3493</v>
      </c>
      <c r="V2598" s="7">
        <v>1.0</v>
      </c>
    </row>
    <row r="2599">
      <c r="A2599" s="7" t="s">
        <v>22513</v>
      </c>
      <c r="B2599" s="7">
        <v>3001002.0</v>
      </c>
      <c r="C2599" s="7" t="s">
        <v>4887</v>
      </c>
      <c r="D2599" s="7" t="s">
        <v>6590</v>
      </c>
      <c r="E2599" s="7" t="s">
        <v>4888</v>
      </c>
      <c r="F2599" s="7" t="s">
        <v>6592</v>
      </c>
      <c r="G2599" s="7" t="s">
        <v>18540</v>
      </c>
      <c r="H2599" s="7" t="s">
        <v>18541</v>
      </c>
      <c r="I2599" s="119">
        <v>45870.0</v>
      </c>
      <c r="K2599" s="7" t="s">
        <v>17988</v>
      </c>
      <c r="L2599" s="7" t="s">
        <v>991</v>
      </c>
      <c r="M2599" s="7" t="s">
        <v>3501</v>
      </c>
      <c r="N2599" s="7" t="s">
        <v>17988</v>
      </c>
      <c r="O2599" s="7" t="s">
        <v>17988</v>
      </c>
      <c r="P2599" s="7" t="s">
        <v>22394</v>
      </c>
      <c r="T2599" s="7" t="s">
        <v>17990</v>
      </c>
      <c r="U2599" s="7" t="s">
        <v>3493</v>
      </c>
      <c r="V2599" s="7">
        <v>1.0</v>
      </c>
    </row>
    <row r="2600">
      <c r="A2600" s="7" t="s">
        <v>22514</v>
      </c>
      <c r="B2600" s="7">
        <v>3000968.0</v>
      </c>
      <c r="C2600" s="7" t="s">
        <v>4935</v>
      </c>
      <c r="D2600" s="7" t="s">
        <v>18543</v>
      </c>
      <c r="E2600" s="7" t="s">
        <v>4930</v>
      </c>
      <c r="F2600" s="7" t="s">
        <v>18544</v>
      </c>
      <c r="G2600" s="7" t="s">
        <v>18545</v>
      </c>
      <c r="H2600" s="7" t="s">
        <v>18546</v>
      </c>
      <c r="I2600" s="119">
        <v>45870.0</v>
      </c>
      <c r="K2600" s="7" t="s">
        <v>419</v>
      </c>
      <c r="L2600" s="7" t="s">
        <v>991</v>
      </c>
      <c r="M2600" s="7" t="s">
        <v>3583</v>
      </c>
      <c r="N2600" s="7" t="s">
        <v>419</v>
      </c>
      <c r="O2600" s="7" t="s">
        <v>19437</v>
      </c>
      <c r="P2600" s="7" t="s">
        <v>478</v>
      </c>
      <c r="Q2600" s="7" t="s">
        <v>482</v>
      </c>
      <c r="R2600" s="7" t="s">
        <v>20136</v>
      </c>
      <c r="T2600" s="7" t="s">
        <v>18547</v>
      </c>
      <c r="U2600" s="7" t="s">
        <v>3493</v>
      </c>
      <c r="V2600" s="7">
        <v>1.0</v>
      </c>
    </row>
    <row r="2601">
      <c r="A2601" s="7" t="s">
        <v>22515</v>
      </c>
      <c r="B2601" s="7">
        <v>3001009.0</v>
      </c>
      <c r="C2601" s="7" t="s">
        <v>5561</v>
      </c>
      <c r="D2601" s="7" t="s">
        <v>7099</v>
      </c>
      <c r="E2601" s="7" t="s">
        <v>5563</v>
      </c>
      <c r="F2601" s="7" t="s">
        <v>7099</v>
      </c>
      <c r="G2601" s="7" t="s">
        <v>18549</v>
      </c>
      <c r="H2601" s="7" t="s">
        <v>18550</v>
      </c>
      <c r="I2601" s="119">
        <v>45870.0</v>
      </c>
      <c r="K2601" s="7" t="s">
        <v>17988</v>
      </c>
      <c r="L2601" s="7" t="s">
        <v>991</v>
      </c>
      <c r="M2601" s="7" t="s">
        <v>3490</v>
      </c>
      <c r="N2601" s="7" t="s">
        <v>17988</v>
      </c>
      <c r="O2601" s="7" t="s">
        <v>17988</v>
      </c>
      <c r="P2601" s="7" t="s">
        <v>22394</v>
      </c>
      <c r="T2601" s="7" t="s">
        <v>17990</v>
      </c>
      <c r="U2601" s="7" t="s">
        <v>3493</v>
      </c>
      <c r="V2601" s="7">
        <v>1.0</v>
      </c>
    </row>
    <row r="2602">
      <c r="A2602" s="7" t="s">
        <v>22516</v>
      </c>
      <c r="B2602" s="7">
        <v>3000974.0</v>
      </c>
      <c r="C2602" s="7" t="s">
        <v>17632</v>
      </c>
      <c r="D2602" s="7" t="s">
        <v>18552</v>
      </c>
      <c r="E2602" s="7" t="s">
        <v>17633</v>
      </c>
      <c r="F2602" s="7" t="s">
        <v>6175</v>
      </c>
      <c r="G2602" s="7" t="s">
        <v>18553</v>
      </c>
      <c r="H2602" s="7" t="s">
        <v>18554</v>
      </c>
      <c r="I2602" s="119">
        <v>45870.0</v>
      </c>
      <c r="K2602" s="7" t="s">
        <v>419</v>
      </c>
      <c r="L2602" s="7" t="s">
        <v>991</v>
      </c>
      <c r="M2602" s="7" t="s">
        <v>3501</v>
      </c>
      <c r="N2602" s="7" t="s">
        <v>419</v>
      </c>
      <c r="O2602" s="7" t="s">
        <v>19432</v>
      </c>
      <c r="P2602" s="7" t="s">
        <v>298</v>
      </c>
      <c r="Q2602" s="7" t="s">
        <v>1284</v>
      </c>
      <c r="R2602" s="7" t="s">
        <v>20033</v>
      </c>
      <c r="S2602" s="7" t="s">
        <v>20456</v>
      </c>
      <c r="T2602" s="7" t="s">
        <v>7884</v>
      </c>
      <c r="U2602" s="7" t="s">
        <v>3493</v>
      </c>
      <c r="V2602" s="7">
        <v>1.0</v>
      </c>
    </row>
    <row r="2603">
      <c r="A2603" s="7" t="s">
        <v>22517</v>
      </c>
      <c r="B2603" s="7">
        <v>3000998.0</v>
      </c>
      <c r="C2603" s="7" t="s">
        <v>18556</v>
      </c>
      <c r="D2603" s="7" t="s">
        <v>4982</v>
      </c>
      <c r="E2603" s="7" t="s">
        <v>18557</v>
      </c>
      <c r="F2603" s="7" t="s">
        <v>4984</v>
      </c>
      <c r="G2603" s="7" t="s">
        <v>18558</v>
      </c>
      <c r="H2603" s="7" t="s">
        <v>18559</v>
      </c>
      <c r="I2603" s="119">
        <v>45870.0</v>
      </c>
      <c r="K2603" s="7" t="s">
        <v>17988</v>
      </c>
      <c r="L2603" s="7" t="s">
        <v>991</v>
      </c>
      <c r="M2603" s="7" t="s">
        <v>3501</v>
      </c>
      <c r="N2603" s="7" t="s">
        <v>17988</v>
      </c>
      <c r="O2603" s="7" t="s">
        <v>17988</v>
      </c>
      <c r="P2603" s="7" t="s">
        <v>22394</v>
      </c>
      <c r="T2603" s="7" t="s">
        <v>17990</v>
      </c>
      <c r="U2603" s="7" t="s">
        <v>3493</v>
      </c>
      <c r="V2603" s="7">
        <v>1.0</v>
      </c>
    </row>
    <row r="2604">
      <c r="A2604" s="7" t="s">
        <v>22518</v>
      </c>
      <c r="B2604" s="7">
        <v>3001004.0</v>
      </c>
      <c r="C2604" s="7" t="s">
        <v>18561</v>
      </c>
      <c r="D2604" s="7" t="s">
        <v>9670</v>
      </c>
      <c r="E2604" s="7" t="s">
        <v>18562</v>
      </c>
      <c r="F2604" s="7" t="s">
        <v>4478</v>
      </c>
      <c r="G2604" s="7" t="s">
        <v>18563</v>
      </c>
      <c r="H2604" s="7" t="s">
        <v>18564</v>
      </c>
      <c r="I2604" s="119">
        <v>45870.0</v>
      </c>
      <c r="K2604" s="7" t="s">
        <v>17988</v>
      </c>
      <c r="L2604" s="7" t="s">
        <v>991</v>
      </c>
      <c r="M2604" s="7" t="s">
        <v>3501</v>
      </c>
      <c r="N2604" s="7" t="s">
        <v>17988</v>
      </c>
      <c r="O2604" s="7" t="s">
        <v>17988</v>
      </c>
      <c r="P2604" s="7" t="s">
        <v>22394</v>
      </c>
      <c r="T2604" s="7" t="s">
        <v>17990</v>
      </c>
      <c r="U2604" s="7" t="s">
        <v>3493</v>
      </c>
      <c r="V2604" s="7">
        <v>1.0</v>
      </c>
    </row>
    <row r="2605">
      <c r="A2605" s="7" t="s">
        <v>22519</v>
      </c>
      <c r="B2605" s="7">
        <v>3000830.0</v>
      </c>
      <c r="C2605" s="7" t="s">
        <v>18566</v>
      </c>
      <c r="D2605" s="7" t="s">
        <v>18567</v>
      </c>
      <c r="E2605" s="7" t="s">
        <v>18568</v>
      </c>
      <c r="F2605" s="7" t="s">
        <v>3909</v>
      </c>
      <c r="G2605" s="7" t="s">
        <v>18569</v>
      </c>
      <c r="H2605" s="7" t="s">
        <v>18570</v>
      </c>
      <c r="I2605" s="119">
        <v>45870.0</v>
      </c>
      <c r="K2605" s="7" t="s">
        <v>419</v>
      </c>
      <c r="L2605" s="7" t="s">
        <v>991</v>
      </c>
      <c r="M2605" s="7" t="s">
        <v>3501</v>
      </c>
      <c r="N2605" s="7" t="s">
        <v>419</v>
      </c>
      <c r="O2605" s="7" t="s">
        <v>19437</v>
      </c>
      <c r="P2605" s="7" t="s">
        <v>478</v>
      </c>
      <c r="Q2605" s="7" t="s">
        <v>484</v>
      </c>
      <c r="R2605" s="7" t="s">
        <v>19751</v>
      </c>
      <c r="T2605" s="7" t="s">
        <v>19752</v>
      </c>
      <c r="U2605" s="7" t="s">
        <v>3493</v>
      </c>
      <c r="V2605" s="7">
        <v>1.0</v>
      </c>
    </row>
    <row r="2606">
      <c r="A2606" s="7" t="s">
        <v>22520</v>
      </c>
      <c r="B2606" s="7">
        <v>3001018.0</v>
      </c>
      <c r="C2606" s="7" t="s">
        <v>18573</v>
      </c>
      <c r="D2606" s="7" t="s">
        <v>18574</v>
      </c>
      <c r="E2606" s="7" t="s">
        <v>18575</v>
      </c>
      <c r="F2606" s="7" t="s">
        <v>5229</v>
      </c>
      <c r="G2606" s="7" t="s">
        <v>18576</v>
      </c>
      <c r="H2606" s="7" t="s">
        <v>18577</v>
      </c>
      <c r="I2606" s="119">
        <v>45870.0</v>
      </c>
      <c r="K2606" s="7" t="s">
        <v>419</v>
      </c>
      <c r="L2606" s="7" t="s">
        <v>991</v>
      </c>
      <c r="M2606" s="7" t="s">
        <v>3531</v>
      </c>
      <c r="N2606" s="7" t="s">
        <v>419</v>
      </c>
      <c r="O2606" s="7" t="s">
        <v>19432</v>
      </c>
      <c r="P2606" s="7" t="s">
        <v>391</v>
      </c>
      <c r="Q2606" s="7" t="s">
        <v>392</v>
      </c>
      <c r="R2606" s="7" t="s">
        <v>19706</v>
      </c>
      <c r="T2606" s="7" t="s">
        <v>18578</v>
      </c>
      <c r="U2606" s="7" t="s">
        <v>3493</v>
      </c>
      <c r="V2606" s="7">
        <v>1.0</v>
      </c>
    </row>
    <row r="2607">
      <c r="A2607" s="7" t="s">
        <v>22521</v>
      </c>
      <c r="B2607" s="7">
        <v>3000996.0</v>
      </c>
      <c r="C2607" s="7" t="s">
        <v>14795</v>
      </c>
      <c r="D2607" s="7" t="s">
        <v>18580</v>
      </c>
      <c r="E2607" s="7" t="s">
        <v>14797</v>
      </c>
      <c r="F2607" s="7" t="s">
        <v>14798</v>
      </c>
      <c r="G2607" s="7" t="s">
        <v>18581</v>
      </c>
      <c r="H2607" s="7" t="s">
        <v>18582</v>
      </c>
      <c r="I2607" s="119">
        <v>45870.0</v>
      </c>
      <c r="K2607" s="7" t="s">
        <v>17988</v>
      </c>
      <c r="L2607" s="7" t="s">
        <v>991</v>
      </c>
      <c r="M2607" s="7" t="s">
        <v>3501</v>
      </c>
      <c r="N2607" s="7" t="s">
        <v>17988</v>
      </c>
      <c r="O2607" s="7" t="s">
        <v>17988</v>
      </c>
      <c r="P2607" s="7" t="s">
        <v>22394</v>
      </c>
      <c r="T2607" s="7" t="s">
        <v>17990</v>
      </c>
      <c r="U2607" s="7" t="s">
        <v>3493</v>
      </c>
      <c r="V2607" s="7">
        <v>1.0</v>
      </c>
    </row>
    <row r="2608">
      <c r="A2608" s="7" t="s">
        <v>22522</v>
      </c>
      <c r="B2608" s="7">
        <v>3001005.0</v>
      </c>
      <c r="C2608" s="7" t="s">
        <v>6380</v>
      </c>
      <c r="D2608" s="7" t="s">
        <v>18584</v>
      </c>
      <c r="E2608" s="7" t="s">
        <v>6382</v>
      </c>
      <c r="F2608" s="7" t="s">
        <v>17006</v>
      </c>
      <c r="G2608" s="7" t="s">
        <v>18585</v>
      </c>
      <c r="H2608" s="7" t="s">
        <v>18586</v>
      </c>
      <c r="I2608" s="119">
        <v>45870.0</v>
      </c>
      <c r="K2608" s="7" t="s">
        <v>17988</v>
      </c>
      <c r="L2608" s="7" t="s">
        <v>991</v>
      </c>
      <c r="M2608" s="7" t="s">
        <v>3501</v>
      </c>
      <c r="N2608" s="7" t="s">
        <v>17988</v>
      </c>
      <c r="O2608" s="7" t="s">
        <v>17988</v>
      </c>
      <c r="P2608" s="7" t="s">
        <v>22394</v>
      </c>
      <c r="T2608" s="7" t="s">
        <v>17990</v>
      </c>
      <c r="U2608" s="7" t="s">
        <v>3493</v>
      </c>
      <c r="V2608" s="7">
        <v>1.0</v>
      </c>
    </row>
    <row r="2609">
      <c r="A2609" s="7" t="s">
        <v>22523</v>
      </c>
      <c r="B2609" s="7">
        <v>3000992.0</v>
      </c>
      <c r="C2609" s="7" t="s">
        <v>6742</v>
      </c>
      <c r="D2609" s="7" t="s">
        <v>18588</v>
      </c>
      <c r="E2609" s="7" t="s">
        <v>6744</v>
      </c>
      <c r="F2609" s="7" t="s">
        <v>9490</v>
      </c>
      <c r="G2609" s="7" t="s">
        <v>18589</v>
      </c>
      <c r="H2609" s="7" t="s">
        <v>18590</v>
      </c>
      <c r="I2609" s="119">
        <v>45870.0</v>
      </c>
      <c r="K2609" s="7" t="s">
        <v>419</v>
      </c>
      <c r="L2609" s="7" t="s">
        <v>991</v>
      </c>
      <c r="M2609" s="7" t="s">
        <v>3531</v>
      </c>
      <c r="N2609" s="7" t="s">
        <v>419</v>
      </c>
      <c r="O2609" s="7" t="s">
        <v>19432</v>
      </c>
      <c r="P2609" s="7" t="s">
        <v>693</v>
      </c>
      <c r="Q2609" s="7" t="s">
        <v>696</v>
      </c>
      <c r="R2609" s="7" t="s">
        <v>20395</v>
      </c>
      <c r="S2609" s="7" t="s">
        <v>19739</v>
      </c>
      <c r="T2609" s="7" t="s">
        <v>7552</v>
      </c>
      <c r="U2609" s="7" t="s">
        <v>3493</v>
      </c>
      <c r="V2609" s="7">
        <v>1.0</v>
      </c>
    </row>
    <row r="2610">
      <c r="A2610" s="7" t="s">
        <v>22524</v>
      </c>
      <c r="B2610" s="7">
        <v>3000997.0</v>
      </c>
      <c r="C2610" s="7" t="s">
        <v>6765</v>
      </c>
      <c r="D2610" s="7" t="s">
        <v>18592</v>
      </c>
      <c r="E2610" s="7" t="s">
        <v>6766</v>
      </c>
      <c r="F2610" s="7" t="s">
        <v>3739</v>
      </c>
      <c r="G2610" s="7" t="s">
        <v>18593</v>
      </c>
      <c r="H2610" s="7" t="s">
        <v>18594</v>
      </c>
      <c r="I2610" s="119">
        <v>45870.0</v>
      </c>
      <c r="K2610" s="7" t="s">
        <v>17988</v>
      </c>
      <c r="L2610" s="7" t="s">
        <v>991</v>
      </c>
      <c r="M2610" s="7" t="s">
        <v>3501</v>
      </c>
      <c r="N2610" s="7" t="s">
        <v>17988</v>
      </c>
      <c r="O2610" s="7" t="s">
        <v>17988</v>
      </c>
      <c r="P2610" s="7" t="s">
        <v>22394</v>
      </c>
      <c r="T2610" s="7" t="s">
        <v>17990</v>
      </c>
      <c r="U2610" s="7" t="s">
        <v>3493</v>
      </c>
      <c r="V2610" s="7">
        <v>1.0</v>
      </c>
    </row>
    <row r="2611">
      <c r="A2611" s="7" t="s">
        <v>22525</v>
      </c>
      <c r="B2611" s="7">
        <v>3001003.0</v>
      </c>
      <c r="C2611" s="7" t="s">
        <v>18596</v>
      </c>
      <c r="D2611" s="7" t="s">
        <v>12303</v>
      </c>
      <c r="E2611" s="7" t="s">
        <v>18597</v>
      </c>
      <c r="F2611" s="7" t="s">
        <v>3508</v>
      </c>
      <c r="G2611" s="7" t="s">
        <v>18598</v>
      </c>
      <c r="H2611" s="7" t="s">
        <v>18599</v>
      </c>
      <c r="I2611" s="119">
        <v>45870.0</v>
      </c>
      <c r="K2611" s="7" t="s">
        <v>17988</v>
      </c>
      <c r="L2611" s="7" t="s">
        <v>991</v>
      </c>
      <c r="M2611" s="7" t="s">
        <v>3501</v>
      </c>
      <c r="N2611" s="7" t="s">
        <v>17988</v>
      </c>
      <c r="O2611" s="7" t="s">
        <v>17988</v>
      </c>
      <c r="P2611" s="7" t="s">
        <v>22394</v>
      </c>
      <c r="T2611" s="7" t="s">
        <v>17990</v>
      </c>
      <c r="U2611" s="7" t="s">
        <v>3493</v>
      </c>
      <c r="V2611" s="7">
        <v>1.0</v>
      </c>
    </row>
    <row r="2612">
      <c r="A2612" s="7" t="s">
        <v>22526</v>
      </c>
      <c r="B2612" s="7">
        <v>3001013.0</v>
      </c>
      <c r="C2612" s="7" t="s">
        <v>8072</v>
      </c>
      <c r="D2612" s="7" t="s">
        <v>18601</v>
      </c>
      <c r="E2612" s="7" t="s">
        <v>8074</v>
      </c>
      <c r="F2612" s="7" t="s">
        <v>4032</v>
      </c>
      <c r="G2612" s="7" t="s">
        <v>18602</v>
      </c>
      <c r="H2612" s="7" t="s">
        <v>18603</v>
      </c>
      <c r="I2612" s="119">
        <v>45870.0</v>
      </c>
      <c r="K2612" s="7" t="s">
        <v>3632</v>
      </c>
      <c r="L2612" s="7" t="s">
        <v>991</v>
      </c>
      <c r="M2612" s="7" t="s">
        <v>3866</v>
      </c>
      <c r="N2612" s="7" t="s">
        <v>3632</v>
      </c>
      <c r="O2612" s="7" t="s">
        <v>3632</v>
      </c>
      <c r="P2612" s="7" t="s">
        <v>3463</v>
      </c>
      <c r="Q2612" s="7" t="s">
        <v>356</v>
      </c>
      <c r="R2612" s="7" t="s">
        <v>19759</v>
      </c>
      <c r="T2612" s="7" t="s">
        <v>18604</v>
      </c>
      <c r="U2612" s="7" t="s">
        <v>3493</v>
      </c>
      <c r="V2612" s="7">
        <v>1.0</v>
      </c>
    </row>
    <row r="2613">
      <c r="A2613" s="7" t="s">
        <v>22527</v>
      </c>
      <c r="B2613" s="7">
        <v>3001000.0</v>
      </c>
      <c r="C2613" s="7" t="s">
        <v>18606</v>
      </c>
      <c r="D2613" s="7" t="s">
        <v>12026</v>
      </c>
      <c r="E2613" s="7" t="s">
        <v>18607</v>
      </c>
      <c r="F2613" s="7" t="s">
        <v>3508</v>
      </c>
      <c r="G2613" s="7" t="s">
        <v>18608</v>
      </c>
      <c r="H2613" s="7" t="s">
        <v>18609</v>
      </c>
      <c r="I2613" s="119">
        <v>45870.0</v>
      </c>
      <c r="K2613" s="7" t="s">
        <v>17988</v>
      </c>
      <c r="L2613" s="7" t="s">
        <v>991</v>
      </c>
      <c r="M2613" s="7" t="s">
        <v>3501</v>
      </c>
      <c r="N2613" s="7" t="s">
        <v>17988</v>
      </c>
      <c r="O2613" s="7" t="s">
        <v>17988</v>
      </c>
      <c r="P2613" s="7" t="s">
        <v>22394</v>
      </c>
      <c r="T2613" s="7" t="s">
        <v>17990</v>
      </c>
      <c r="U2613" s="7" t="s">
        <v>3493</v>
      </c>
      <c r="V2613" s="7">
        <v>1.0</v>
      </c>
    </row>
    <row r="2614">
      <c r="A2614" s="7" t="s">
        <v>22528</v>
      </c>
      <c r="B2614" s="7">
        <v>3000985.0</v>
      </c>
      <c r="C2614" s="7" t="s">
        <v>8429</v>
      </c>
      <c r="D2614" s="7" t="s">
        <v>18611</v>
      </c>
      <c r="E2614" s="7" t="s">
        <v>8431</v>
      </c>
      <c r="F2614" s="7" t="s">
        <v>18612</v>
      </c>
      <c r="G2614" s="7" t="s">
        <v>18613</v>
      </c>
      <c r="H2614" s="7" t="s">
        <v>18614</v>
      </c>
      <c r="I2614" s="119">
        <v>45870.0</v>
      </c>
      <c r="K2614" s="7" t="s">
        <v>3632</v>
      </c>
      <c r="L2614" s="7" t="s">
        <v>991</v>
      </c>
      <c r="M2614" s="7" t="s">
        <v>3531</v>
      </c>
      <c r="N2614" s="7" t="s">
        <v>3632</v>
      </c>
      <c r="O2614" s="7" t="s">
        <v>3632</v>
      </c>
      <c r="P2614" s="7" t="s">
        <v>22</v>
      </c>
      <c r="Q2614" s="7" t="s">
        <v>549</v>
      </c>
      <c r="R2614" s="7" t="s">
        <v>20080</v>
      </c>
      <c r="T2614" s="7" t="s">
        <v>9775</v>
      </c>
      <c r="U2614" s="7" t="s">
        <v>3493</v>
      </c>
      <c r="V2614" s="7">
        <v>1.0</v>
      </c>
    </row>
    <row r="2615">
      <c r="A2615" s="7" t="s">
        <v>22529</v>
      </c>
      <c r="B2615" s="7">
        <v>3001012.0</v>
      </c>
      <c r="C2615" s="7" t="s">
        <v>18616</v>
      </c>
      <c r="D2615" s="7" t="s">
        <v>18617</v>
      </c>
      <c r="E2615" s="7" t="s">
        <v>18618</v>
      </c>
      <c r="F2615" s="7" t="s">
        <v>17197</v>
      </c>
      <c r="G2615" s="7" t="s">
        <v>18619</v>
      </c>
      <c r="H2615" s="7" t="s">
        <v>18620</v>
      </c>
      <c r="I2615" s="119">
        <v>45870.0</v>
      </c>
      <c r="K2615" s="7" t="s">
        <v>3642</v>
      </c>
      <c r="L2615" s="7" t="s">
        <v>991</v>
      </c>
      <c r="M2615" s="7" t="s">
        <v>3501</v>
      </c>
      <c r="N2615" s="7" t="s">
        <v>3642</v>
      </c>
      <c r="O2615" s="7" t="s">
        <v>3642</v>
      </c>
      <c r="P2615" s="7" t="s">
        <v>19524</v>
      </c>
      <c r="T2615" s="7" t="s">
        <v>3644</v>
      </c>
      <c r="U2615" s="7" t="s">
        <v>3493</v>
      </c>
      <c r="V2615" s="7">
        <v>1.0</v>
      </c>
    </row>
    <row r="2616">
      <c r="A2616" s="7" t="s">
        <v>22530</v>
      </c>
      <c r="B2616" s="7">
        <v>3001007.0</v>
      </c>
      <c r="C2616" s="7" t="s">
        <v>18622</v>
      </c>
      <c r="D2616" s="7" t="s">
        <v>9226</v>
      </c>
      <c r="E2616" s="7" t="s">
        <v>18623</v>
      </c>
      <c r="F2616" s="7" t="s">
        <v>9227</v>
      </c>
      <c r="G2616" s="7" t="s">
        <v>18624</v>
      </c>
      <c r="H2616" s="7" t="s">
        <v>18625</v>
      </c>
      <c r="I2616" s="119">
        <v>45870.0</v>
      </c>
      <c r="K2616" s="7" t="s">
        <v>17988</v>
      </c>
      <c r="L2616" s="7" t="s">
        <v>991</v>
      </c>
      <c r="M2616" s="7" t="s">
        <v>3501</v>
      </c>
      <c r="N2616" s="7" t="s">
        <v>17988</v>
      </c>
      <c r="O2616" s="7" t="s">
        <v>17988</v>
      </c>
      <c r="P2616" s="7" t="s">
        <v>22394</v>
      </c>
      <c r="T2616" s="7" t="s">
        <v>17990</v>
      </c>
      <c r="U2616" s="7" t="s">
        <v>3493</v>
      </c>
      <c r="V2616" s="7">
        <v>1.0</v>
      </c>
    </row>
    <row r="2617">
      <c r="A2617" s="7" t="s">
        <v>22531</v>
      </c>
      <c r="B2617" s="7">
        <v>3001008.0</v>
      </c>
      <c r="C2617" s="7" t="s">
        <v>18627</v>
      </c>
      <c r="D2617" s="7" t="s">
        <v>18628</v>
      </c>
      <c r="E2617" s="7" t="s">
        <v>18629</v>
      </c>
      <c r="F2617" s="7" t="s">
        <v>4253</v>
      </c>
      <c r="G2617" s="7" t="s">
        <v>18630</v>
      </c>
      <c r="H2617" s="7" t="s">
        <v>18631</v>
      </c>
      <c r="I2617" s="119">
        <v>45870.0</v>
      </c>
      <c r="K2617" s="7" t="s">
        <v>17988</v>
      </c>
      <c r="L2617" s="7" t="s">
        <v>991</v>
      </c>
      <c r="M2617" s="7" t="s">
        <v>3490</v>
      </c>
      <c r="N2617" s="7" t="s">
        <v>17988</v>
      </c>
      <c r="O2617" s="7" t="s">
        <v>17988</v>
      </c>
      <c r="P2617" s="7" t="s">
        <v>22394</v>
      </c>
      <c r="T2617" s="7" t="s">
        <v>17990</v>
      </c>
      <c r="U2617" s="7" t="s">
        <v>3493</v>
      </c>
      <c r="V2617" s="7">
        <v>1.0</v>
      </c>
    </row>
    <row r="2618">
      <c r="A2618" s="7" t="s">
        <v>22532</v>
      </c>
      <c r="B2618" s="7">
        <v>3000976.0</v>
      </c>
      <c r="C2618" s="7" t="s">
        <v>18633</v>
      </c>
      <c r="D2618" s="7" t="s">
        <v>18634</v>
      </c>
      <c r="E2618" s="7" t="s">
        <v>9671</v>
      </c>
      <c r="F2618" s="7" t="s">
        <v>3486</v>
      </c>
      <c r="G2618" s="7" t="s">
        <v>18635</v>
      </c>
      <c r="H2618" s="7" t="s">
        <v>18636</v>
      </c>
      <c r="I2618" s="119">
        <v>45870.0</v>
      </c>
      <c r="K2618" s="7" t="s">
        <v>419</v>
      </c>
      <c r="L2618" s="7" t="s">
        <v>991</v>
      </c>
      <c r="M2618" s="7" t="s">
        <v>3866</v>
      </c>
      <c r="N2618" s="7" t="s">
        <v>419</v>
      </c>
      <c r="O2618" s="7" t="s">
        <v>19433</v>
      </c>
      <c r="P2618" s="7" t="s">
        <v>587</v>
      </c>
      <c r="Q2618" s="7" t="s">
        <v>74</v>
      </c>
      <c r="R2618" s="7" t="s">
        <v>19911</v>
      </c>
      <c r="T2618" s="7" t="s">
        <v>5198</v>
      </c>
      <c r="U2618" s="7" t="s">
        <v>3493</v>
      </c>
      <c r="V2618" s="7">
        <v>1.0</v>
      </c>
    </row>
    <row r="2619">
      <c r="A2619" s="7" t="s">
        <v>22533</v>
      </c>
      <c r="B2619" s="7">
        <v>3000984.0</v>
      </c>
      <c r="C2619" s="7" t="s">
        <v>10090</v>
      </c>
      <c r="D2619" s="7" t="s">
        <v>16848</v>
      </c>
      <c r="E2619" s="7" t="s">
        <v>10092</v>
      </c>
      <c r="F2619" s="7" t="s">
        <v>17329</v>
      </c>
      <c r="G2619" s="7" t="s">
        <v>18638</v>
      </c>
      <c r="H2619" s="7" t="s">
        <v>18639</v>
      </c>
      <c r="I2619" s="119">
        <v>45870.0</v>
      </c>
      <c r="K2619" s="7" t="s">
        <v>419</v>
      </c>
      <c r="L2619" s="7" t="s">
        <v>991</v>
      </c>
      <c r="M2619" s="7" t="s">
        <v>3531</v>
      </c>
      <c r="N2619" s="7" t="s">
        <v>419</v>
      </c>
      <c r="O2619" s="7" t="s">
        <v>19430</v>
      </c>
      <c r="P2619" s="7" t="s">
        <v>717</v>
      </c>
      <c r="Q2619" s="7" t="s">
        <v>738</v>
      </c>
      <c r="R2619" s="7" t="s">
        <v>19818</v>
      </c>
      <c r="S2619" s="7" t="s">
        <v>19668</v>
      </c>
      <c r="T2619" s="7" t="s">
        <v>4739</v>
      </c>
      <c r="U2619" s="7" t="s">
        <v>3493</v>
      </c>
      <c r="V2619" s="7">
        <v>1.0</v>
      </c>
    </row>
    <row r="2620">
      <c r="A2620" s="7" t="s">
        <v>22534</v>
      </c>
      <c r="B2620" s="7">
        <v>3000915.0</v>
      </c>
      <c r="C2620" s="7" t="s">
        <v>10771</v>
      </c>
      <c r="D2620" s="7" t="s">
        <v>18641</v>
      </c>
      <c r="E2620" s="7" t="s">
        <v>10773</v>
      </c>
      <c r="F2620" s="7" t="s">
        <v>3954</v>
      </c>
      <c r="G2620" s="7" t="s">
        <v>18642</v>
      </c>
      <c r="H2620" s="7" t="s">
        <v>18643</v>
      </c>
      <c r="I2620" s="119">
        <v>45870.0</v>
      </c>
      <c r="K2620" s="7" t="s">
        <v>419</v>
      </c>
      <c r="L2620" s="7" t="s">
        <v>991</v>
      </c>
      <c r="M2620" s="7" t="s">
        <v>3501</v>
      </c>
      <c r="N2620" s="7" t="s">
        <v>419</v>
      </c>
      <c r="O2620" s="7" t="s">
        <v>19430</v>
      </c>
      <c r="P2620" s="7" t="s">
        <v>780</v>
      </c>
      <c r="Q2620" s="7" t="s">
        <v>786</v>
      </c>
      <c r="R2620" s="7" t="s">
        <v>19666</v>
      </c>
      <c r="T2620" s="7" t="s">
        <v>4169</v>
      </c>
      <c r="U2620" s="7" t="s">
        <v>3493</v>
      </c>
      <c r="V2620" s="7">
        <v>1.0</v>
      </c>
    </row>
    <row r="2621">
      <c r="A2621" s="7" t="s">
        <v>22535</v>
      </c>
      <c r="B2621" s="7">
        <v>3000995.0</v>
      </c>
      <c r="C2621" s="7" t="s">
        <v>10808</v>
      </c>
      <c r="D2621" s="7" t="s">
        <v>18645</v>
      </c>
      <c r="E2621" s="7" t="s">
        <v>10810</v>
      </c>
      <c r="F2621" s="7" t="s">
        <v>15036</v>
      </c>
      <c r="G2621" s="7" t="s">
        <v>18646</v>
      </c>
      <c r="H2621" s="7" t="s">
        <v>18647</v>
      </c>
      <c r="I2621" s="119">
        <v>45870.0</v>
      </c>
      <c r="K2621" s="7" t="s">
        <v>17988</v>
      </c>
      <c r="L2621" s="7" t="s">
        <v>991</v>
      </c>
      <c r="M2621" s="7" t="s">
        <v>3501</v>
      </c>
      <c r="N2621" s="7" t="s">
        <v>17988</v>
      </c>
      <c r="O2621" s="7" t="s">
        <v>17988</v>
      </c>
      <c r="P2621" s="7" t="s">
        <v>22394</v>
      </c>
      <c r="T2621" s="7" t="s">
        <v>17990</v>
      </c>
      <c r="U2621" s="7" t="s">
        <v>3493</v>
      </c>
      <c r="V2621" s="7">
        <v>1.0</v>
      </c>
    </row>
    <row r="2622">
      <c r="A2622" s="7" t="s">
        <v>22536</v>
      </c>
      <c r="B2622" s="7">
        <v>3000988.0</v>
      </c>
      <c r="C2622" s="7" t="s">
        <v>10808</v>
      </c>
      <c r="D2622" s="7" t="s">
        <v>18649</v>
      </c>
      <c r="E2622" s="7" t="s">
        <v>10810</v>
      </c>
      <c r="F2622" s="7" t="s">
        <v>9205</v>
      </c>
      <c r="G2622" s="7" t="s">
        <v>18650</v>
      </c>
      <c r="H2622" s="7" t="s">
        <v>18651</v>
      </c>
      <c r="I2622" s="119">
        <v>45870.0</v>
      </c>
      <c r="K2622" s="7" t="s">
        <v>419</v>
      </c>
      <c r="L2622" s="7" t="s">
        <v>991</v>
      </c>
      <c r="M2622" s="7" t="s">
        <v>3531</v>
      </c>
      <c r="N2622" s="7" t="s">
        <v>419</v>
      </c>
      <c r="O2622" s="7" t="s">
        <v>19430</v>
      </c>
      <c r="P2622" s="7" t="s">
        <v>717</v>
      </c>
      <c r="Q2622" s="7" t="s">
        <v>1163</v>
      </c>
      <c r="R2622" s="7" t="s">
        <v>19601</v>
      </c>
      <c r="S2622" s="7" t="s">
        <v>20281</v>
      </c>
      <c r="T2622" s="7" t="s">
        <v>6958</v>
      </c>
      <c r="U2622" s="7" t="s">
        <v>3493</v>
      </c>
      <c r="V2622" s="7">
        <v>1.0</v>
      </c>
    </row>
    <row r="2623">
      <c r="A2623" s="7" t="s">
        <v>22537</v>
      </c>
      <c r="B2623" s="7">
        <v>3001020.0</v>
      </c>
      <c r="C2623" s="7" t="s">
        <v>10832</v>
      </c>
      <c r="D2623" s="7" t="s">
        <v>18653</v>
      </c>
      <c r="E2623" s="7" t="s">
        <v>10834</v>
      </c>
      <c r="F2623" s="7" t="s">
        <v>12970</v>
      </c>
      <c r="G2623" s="7" t="s">
        <v>18654</v>
      </c>
      <c r="H2623" s="7" t="s">
        <v>18655</v>
      </c>
      <c r="I2623" s="119">
        <v>45870.0</v>
      </c>
      <c r="K2623" s="7" t="s">
        <v>419</v>
      </c>
      <c r="L2623" s="7" t="s">
        <v>991</v>
      </c>
      <c r="M2623" s="7" t="s">
        <v>3531</v>
      </c>
      <c r="N2623" s="7" t="s">
        <v>419</v>
      </c>
      <c r="O2623" s="7" t="s">
        <v>19430</v>
      </c>
      <c r="P2623" s="7" t="s">
        <v>780</v>
      </c>
      <c r="Q2623" s="7" t="s">
        <v>786</v>
      </c>
      <c r="R2623" s="7" t="s">
        <v>19839</v>
      </c>
      <c r="T2623" s="7" t="s">
        <v>4835</v>
      </c>
      <c r="U2623" s="7" t="s">
        <v>3493</v>
      </c>
      <c r="V2623" s="7">
        <v>1.0</v>
      </c>
    </row>
    <row r="2624">
      <c r="A2624" s="7" t="s">
        <v>22538</v>
      </c>
      <c r="B2624" s="7">
        <v>3000999.0</v>
      </c>
      <c r="C2624" s="7" t="s">
        <v>10957</v>
      </c>
      <c r="D2624" s="7" t="s">
        <v>18657</v>
      </c>
      <c r="E2624" s="7" t="s">
        <v>10959</v>
      </c>
      <c r="F2624" s="7" t="s">
        <v>7802</v>
      </c>
      <c r="G2624" s="7" t="s">
        <v>18658</v>
      </c>
      <c r="H2624" s="7" t="s">
        <v>18659</v>
      </c>
      <c r="I2624" s="119">
        <v>45870.0</v>
      </c>
      <c r="K2624" s="7" t="s">
        <v>17988</v>
      </c>
      <c r="L2624" s="7" t="s">
        <v>991</v>
      </c>
      <c r="M2624" s="7" t="s">
        <v>3501</v>
      </c>
      <c r="N2624" s="7" t="s">
        <v>17988</v>
      </c>
      <c r="O2624" s="7" t="s">
        <v>17988</v>
      </c>
      <c r="P2624" s="7" t="s">
        <v>22394</v>
      </c>
      <c r="T2624" s="7" t="s">
        <v>17990</v>
      </c>
      <c r="U2624" s="7" t="s">
        <v>3493</v>
      </c>
      <c r="V2624" s="7">
        <v>1.0</v>
      </c>
    </row>
    <row r="2625">
      <c r="A2625" s="7" t="s">
        <v>22539</v>
      </c>
      <c r="B2625" s="7">
        <v>3001001.0</v>
      </c>
      <c r="C2625" s="7" t="s">
        <v>18661</v>
      </c>
      <c r="D2625" s="7" t="s">
        <v>16222</v>
      </c>
      <c r="E2625" s="7" t="s">
        <v>18662</v>
      </c>
      <c r="F2625" s="7" t="s">
        <v>16223</v>
      </c>
      <c r="G2625" s="7" t="s">
        <v>18663</v>
      </c>
      <c r="H2625" s="7" t="s">
        <v>18664</v>
      </c>
      <c r="I2625" s="119">
        <v>45870.0</v>
      </c>
      <c r="K2625" s="7" t="s">
        <v>17988</v>
      </c>
      <c r="L2625" s="7" t="s">
        <v>991</v>
      </c>
      <c r="M2625" s="7" t="s">
        <v>3501</v>
      </c>
      <c r="N2625" s="7" t="s">
        <v>17988</v>
      </c>
      <c r="O2625" s="7" t="s">
        <v>17988</v>
      </c>
      <c r="P2625" s="7" t="s">
        <v>22394</v>
      </c>
      <c r="T2625" s="7" t="s">
        <v>17990</v>
      </c>
      <c r="U2625" s="7" t="s">
        <v>3493</v>
      </c>
      <c r="V2625" s="7">
        <v>1.0</v>
      </c>
    </row>
    <row r="2626">
      <c r="A2626" s="7" t="s">
        <v>22540</v>
      </c>
      <c r="B2626" s="7">
        <v>3000923.0</v>
      </c>
      <c r="C2626" s="7" t="s">
        <v>11755</v>
      </c>
      <c r="D2626" s="7" t="s">
        <v>18666</v>
      </c>
      <c r="E2626" s="7" t="s">
        <v>11757</v>
      </c>
      <c r="F2626" s="7" t="s">
        <v>18667</v>
      </c>
      <c r="G2626" s="7" t="s">
        <v>18668</v>
      </c>
      <c r="H2626" s="7" t="s">
        <v>18669</v>
      </c>
      <c r="I2626" s="119">
        <v>45870.0</v>
      </c>
      <c r="K2626" s="7" t="s">
        <v>419</v>
      </c>
      <c r="L2626" s="7" t="s">
        <v>991</v>
      </c>
      <c r="M2626" s="7" t="s">
        <v>3501</v>
      </c>
      <c r="N2626" s="7" t="s">
        <v>419</v>
      </c>
      <c r="O2626" s="7" t="s">
        <v>19430</v>
      </c>
      <c r="P2626" s="7" t="s">
        <v>717</v>
      </c>
      <c r="Q2626" s="7" t="s">
        <v>720</v>
      </c>
      <c r="R2626" s="7" t="s">
        <v>19626</v>
      </c>
      <c r="S2626" s="7" t="s">
        <v>20561</v>
      </c>
      <c r="T2626" s="7" t="s">
        <v>8391</v>
      </c>
      <c r="U2626" s="7" t="s">
        <v>3493</v>
      </c>
      <c r="V2626" s="7">
        <v>1.0</v>
      </c>
    </row>
    <row r="2627">
      <c r="A2627" s="7" t="s">
        <v>22541</v>
      </c>
      <c r="B2627" s="7">
        <v>3000987.0</v>
      </c>
      <c r="C2627" s="7" t="s">
        <v>18671</v>
      </c>
      <c r="D2627" s="7" t="s">
        <v>7151</v>
      </c>
      <c r="E2627" s="7" t="s">
        <v>18672</v>
      </c>
      <c r="F2627" s="7" t="s">
        <v>6727</v>
      </c>
      <c r="G2627" s="7" t="s">
        <v>18673</v>
      </c>
      <c r="H2627" s="7" t="s">
        <v>18674</v>
      </c>
      <c r="I2627" s="119">
        <v>45870.0</v>
      </c>
      <c r="K2627" s="7" t="s">
        <v>419</v>
      </c>
      <c r="L2627" s="7" t="s">
        <v>991</v>
      </c>
      <c r="M2627" s="7" t="s">
        <v>3531</v>
      </c>
      <c r="N2627" s="7" t="s">
        <v>419</v>
      </c>
      <c r="O2627" s="7" t="s">
        <v>19430</v>
      </c>
      <c r="P2627" s="7" t="s">
        <v>717</v>
      </c>
      <c r="Q2627" s="7" t="s">
        <v>1163</v>
      </c>
      <c r="R2627" s="7" t="s">
        <v>19601</v>
      </c>
      <c r="S2627" s="7" t="s">
        <v>19811</v>
      </c>
      <c r="T2627" s="7" t="s">
        <v>4721</v>
      </c>
      <c r="U2627" s="7" t="s">
        <v>3493</v>
      </c>
      <c r="V2627" s="7">
        <v>1.0</v>
      </c>
    </row>
    <row r="2628">
      <c r="A2628" s="7" t="s">
        <v>22542</v>
      </c>
      <c r="B2628" s="7">
        <v>3000975.0</v>
      </c>
      <c r="C2628" s="7" t="s">
        <v>12170</v>
      </c>
      <c r="D2628" s="7" t="s">
        <v>6200</v>
      </c>
      <c r="E2628" s="7" t="s">
        <v>12172</v>
      </c>
      <c r="F2628" s="7" t="s">
        <v>6202</v>
      </c>
      <c r="G2628" s="7" t="s">
        <v>18676</v>
      </c>
      <c r="H2628" s="7" t="s">
        <v>18677</v>
      </c>
      <c r="I2628" s="119">
        <v>45870.0</v>
      </c>
      <c r="K2628" s="7" t="s">
        <v>419</v>
      </c>
      <c r="L2628" s="7" t="s">
        <v>991</v>
      </c>
      <c r="M2628" s="7" t="s">
        <v>3501</v>
      </c>
      <c r="N2628" s="7" t="s">
        <v>419</v>
      </c>
      <c r="O2628" s="7" t="s">
        <v>19437</v>
      </c>
      <c r="P2628" s="7" t="s">
        <v>603</v>
      </c>
      <c r="Q2628" s="7" t="s">
        <v>97</v>
      </c>
      <c r="R2628" s="7" t="s">
        <v>19985</v>
      </c>
      <c r="T2628" s="7" t="s">
        <v>5501</v>
      </c>
      <c r="U2628" s="7" t="s">
        <v>3493</v>
      </c>
      <c r="V2628" s="7">
        <v>1.0</v>
      </c>
    </row>
    <row r="2629">
      <c r="A2629" s="7" t="s">
        <v>22543</v>
      </c>
      <c r="B2629" s="7">
        <v>3000979.0</v>
      </c>
      <c r="C2629" s="7" t="s">
        <v>12572</v>
      </c>
      <c r="D2629" s="7" t="s">
        <v>17622</v>
      </c>
      <c r="E2629" s="7" t="s">
        <v>12573</v>
      </c>
      <c r="F2629" s="7" t="s">
        <v>9094</v>
      </c>
      <c r="G2629" s="7" t="s">
        <v>18679</v>
      </c>
      <c r="H2629" s="7" t="s">
        <v>18680</v>
      </c>
      <c r="I2629" s="119">
        <v>45870.0</v>
      </c>
      <c r="K2629" s="7" t="s">
        <v>3622</v>
      </c>
      <c r="L2629" s="7" t="s">
        <v>991</v>
      </c>
      <c r="M2629" s="7" t="s">
        <v>3501</v>
      </c>
      <c r="N2629" s="7" t="s">
        <v>3622</v>
      </c>
      <c r="O2629" s="7" t="s">
        <v>3622</v>
      </c>
      <c r="P2629" s="7" t="s">
        <v>19521</v>
      </c>
      <c r="T2629" s="7" t="s">
        <v>3624</v>
      </c>
      <c r="U2629" s="7" t="s">
        <v>3493</v>
      </c>
      <c r="V2629" s="7">
        <v>1.0</v>
      </c>
    </row>
    <row r="2630">
      <c r="A2630" s="7" t="s">
        <v>22544</v>
      </c>
      <c r="B2630" s="7">
        <v>3001011.0</v>
      </c>
      <c r="C2630" s="7" t="s">
        <v>13426</v>
      </c>
      <c r="D2630" s="7" t="s">
        <v>10159</v>
      </c>
      <c r="E2630" s="7" t="s">
        <v>13427</v>
      </c>
      <c r="F2630" s="7" t="s">
        <v>10160</v>
      </c>
      <c r="G2630" s="7" t="s">
        <v>18682</v>
      </c>
      <c r="H2630" s="7" t="s">
        <v>18683</v>
      </c>
      <c r="I2630" s="119">
        <v>45870.0</v>
      </c>
      <c r="K2630" s="7" t="s">
        <v>419</v>
      </c>
      <c r="L2630" s="7" t="s">
        <v>991</v>
      </c>
      <c r="M2630" s="7" t="s">
        <v>3531</v>
      </c>
      <c r="N2630" s="7" t="s">
        <v>419</v>
      </c>
      <c r="O2630" s="7" t="s">
        <v>19430</v>
      </c>
      <c r="P2630" s="7" t="s">
        <v>717</v>
      </c>
      <c r="Q2630" s="7" t="s">
        <v>725</v>
      </c>
      <c r="R2630" s="7" t="s">
        <v>19501</v>
      </c>
      <c r="S2630" s="7" t="s">
        <v>19643</v>
      </c>
      <c r="T2630" s="7" t="s">
        <v>4097</v>
      </c>
      <c r="U2630" s="7" t="s">
        <v>3493</v>
      </c>
      <c r="V2630" s="7">
        <v>1.0</v>
      </c>
    </row>
    <row r="2631">
      <c r="A2631" s="7" t="s">
        <v>22545</v>
      </c>
      <c r="B2631" s="7">
        <v>3000986.0</v>
      </c>
      <c r="C2631" s="7" t="s">
        <v>13801</v>
      </c>
      <c r="D2631" s="7" t="s">
        <v>3597</v>
      </c>
      <c r="E2631" s="7" t="s">
        <v>13803</v>
      </c>
      <c r="F2631" s="7" t="s">
        <v>3599</v>
      </c>
      <c r="G2631" s="7" t="s">
        <v>18685</v>
      </c>
      <c r="H2631" s="7" t="s">
        <v>18686</v>
      </c>
      <c r="I2631" s="119">
        <v>45870.0</v>
      </c>
      <c r="K2631" s="7" t="s">
        <v>419</v>
      </c>
      <c r="L2631" s="7" t="s">
        <v>991</v>
      </c>
      <c r="M2631" s="7" t="s">
        <v>3531</v>
      </c>
      <c r="N2631" s="7" t="s">
        <v>419</v>
      </c>
      <c r="O2631" s="7" t="s">
        <v>19430</v>
      </c>
      <c r="P2631" s="7" t="s">
        <v>717</v>
      </c>
      <c r="Q2631" s="7" t="s">
        <v>738</v>
      </c>
      <c r="R2631" s="7" t="s">
        <v>19818</v>
      </c>
      <c r="S2631" s="7" t="s">
        <v>19668</v>
      </c>
      <c r="T2631" s="7" t="s">
        <v>4739</v>
      </c>
      <c r="U2631" s="7" t="s">
        <v>3493</v>
      </c>
      <c r="V2631" s="7">
        <v>1.0</v>
      </c>
    </row>
    <row r="2632">
      <c r="A2632" s="7" t="s">
        <v>22546</v>
      </c>
      <c r="B2632" s="7">
        <v>3001006.0</v>
      </c>
      <c r="C2632" s="7" t="s">
        <v>14406</v>
      </c>
      <c r="D2632" s="7" t="s">
        <v>18688</v>
      </c>
      <c r="E2632" s="7" t="s">
        <v>14394</v>
      </c>
      <c r="F2632" s="7" t="s">
        <v>9094</v>
      </c>
      <c r="G2632" s="7" t="s">
        <v>18689</v>
      </c>
      <c r="H2632" s="7" t="s">
        <v>18690</v>
      </c>
      <c r="I2632" s="119">
        <v>45870.0</v>
      </c>
      <c r="K2632" s="7" t="s">
        <v>17988</v>
      </c>
      <c r="L2632" s="7" t="s">
        <v>991</v>
      </c>
      <c r="M2632" s="7" t="s">
        <v>3501</v>
      </c>
      <c r="N2632" s="7" t="s">
        <v>17988</v>
      </c>
      <c r="O2632" s="7" t="s">
        <v>17988</v>
      </c>
      <c r="P2632" s="7" t="s">
        <v>22394</v>
      </c>
      <c r="T2632" s="7" t="s">
        <v>17990</v>
      </c>
      <c r="U2632" s="7" t="s">
        <v>3493</v>
      </c>
      <c r="V2632" s="7">
        <v>1.0</v>
      </c>
    </row>
    <row r="2633">
      <c r="A2633" s="7" t="s">
        <v>22547</v>
      </c>
      <c r="B2633" s="7">
        <v>3001030.0</v>
      </c>
      <c r="C2633" s="7" t="s">
        <v>18692</v>
      </c>
      <c r="D2633" s="7" t="s">
        <v>18693</v>
      </c>
      <c r="E2633" s="7" t="s">
        <v>3738</v>
      </c>
      <c r="F2633" s="7" t="s">
        <v>7645</v>
      </c>
      <c r="G2633" s="7" t="s">
        <v>18694</v>
      </c>
      <c r="H2633" s="7" t="s">
        <v>18695</v>
      </c>
      <c r="I2633" s="119">
        <v>45885.0</v>
      </c>
      <c r="K2633" s="7" t="s">
        <v>419</v>
      </c>
      <c r="L2633" s="7" t="s">
        <v>991</v>
      </c>
      <c r="M2633" s="7" t="s">
        <v>3866</v>
      </c>
      <c r="N2633" s="7" t="s">
        <v>419</v>
      </c>
      <c r="O2633" s="7" t="s">
        <v>19437</v>
      </c>
      <c r="P2633" s="7" t="s">
        <v>478</v>
      </c>
      <c r="Q2633" s="7" t="s">
        <v>508</v>
      </c>
      <c r="T2633" s="7" t="s">
        <v>22052</v>
      </c>
      <c r="U2633" s="7" t="s">
        <v>3493</v>
      </c>
      <c r="V2633" s="7">
        <v>1.0</v>
      </c>
    </row>
    <row r="2634">
      <c r="A2634" s="7" t="s">
        <v>22548</v>
      </c>
      <c r="B2634" s="7">
        <v>3001053.0</v>
      </c>
      <c r="C2634" s="7" t="s">
        <v>3771</v>
      </c>
      <c r="D2634" s="7" t="s">
        <v>18698</v>
      </c>
      <c r="E2634" s="7" t="s">
        <v>3773</v>
      </c>
      <c r="F2634" s="7" t="s">
        <v>3560</v>
      </c>
      <c r="G2634" s="7" t="s">
        <v>18699</v>
      </c>
      <c r="H2634" s="7" t="s">
        <v>18700</v>
      </c>
      <c r="I2634" s="119">
        <v>45885.0</v>
      </c>
      <c r="K2634" s="7" t="s">
        <v>419</v>
      </c>
      <c r="L2634" s="7" t="s">
        <v>991</v>
      </c>
      <c r="M2634" s="7" t="s">
        <v>3531</v>
      </c>
      <c r="N2634" s="7" t="s">
        <v>419</v>
      </c>
      <c r="O2634" s="7" t="s">
        <v>19443</v>
      </c>
      <c r="P2634" s="7" t="s">
        <v>323</v>
      </c>
      <c r="Q2634" s="7" t="s">
        <v>824</v>
      </c>
      <c r="R2634" s="7" t="s">
        <v>20311</v>
      </c>
      <c r="T2634" s="7" t="s">
        <v>7132</v>
      </c>
      <c r="U2634" s="7" t="s">
        <v>3493</v>
      </c>
      <c r="V2634" s="7">
        <v>1.0</v>
      </c>
    </row>
    <row r="2635">
      <c r="A2635" s="7" t="s">
        <v>22549</v>
      </c>
      <c r="B2635" s="7">
        <v>3001045.0</v>
      </c>
      <c r="C2635" s="7" t="s">
        <v>18702</v>
      </c>
      <c r="D2635" s="7" t="s">
        <v>14336</v>
      </c>
      <c r="E2635" s="7" t="s">
        <v>18703</v>
      </c>
      <c r="F2635" s="7" t="s">
        <v>13027</v>
      </c>
      <c r="G2635" s="7" t="s">
        <v>18704</v>
      </c>
      <c r="H2635" s="7" t="s">
        <v>18705</v>
      </c>
      <c r="I2635" s="119">
        <v>45885.0</v>
      </c>
      <c r="K2635" s="7" t="s">
        <v>17988</v>
      </c>
      <c r="L2635" s="7" t="s">
        <v>991</v>
      </c>
      <c r="M2635" s="7" t="s">
        <v>3490</v>
      </c>
      <c r="N2635" s="7" t="s">
        <v>17988</v>
      </c>
      <c r="O2635" s="7" t="s">
        <v>17988</v>
      </c>
      <c r="P2635" s="7" t="s">
        <v>22394</v>
      </c>
      <c r="T2635" s="7" t="s">
        <v>17990</v>
      </c>
      <c r="U2635" s="7" t="s">
        <v>3493</v>
      </c>
      <c r="V2635" s="7">
        <v>1.0</v>
      </c>
    </row>
    <row r="2636">
      <c r="A2636" s="7" t="s">
        <v>22550</v>
      </c>
      <c r="B2636" s="7">
        <v>3001035.0</v>
      </c>
      <c r="C2636" s="7" t="s">
        <v>18707</v>
      </c>
      <c r="D2636" s="7" t="s">
        <v>18708</v>
      </c>
      <c r="E2636" s="7" t="s">
        <v>18709</v>
      </c>
      <c r="F2636" s="7" t="s">
        <v>5034</v>
      </c>
      <c r="G2636" s="7" t="s">
        <v>18710</v>
      </c>
      <c r="H2636" s="7" t="s">
        <v>18711</v>
      </c>
      <c r="I2636" s="119">
        <v>45885.0</v>
      </c>
      <c r="K2636" s="7" t="s">
        <v>419</v>
      </c>
      <c r="L2636" s="7" t="s">
        <v>991</v>
      </c>
      <c r="M2636" s="7" t="s">
        <v>3531</v>
      </c>
      <c r="N2636" s="7" t="s">
        <v>419</v>
      </c>
      <c r="O2636" s="7" t="s">
        <v>19443</v>
      </c>
      <c r="P2636" s="7" t="s">
        <v>1242</v>
      </c>
      <c r="Q2636" s="7" t="s">
        <v>51</v>
      </c>
      <c r="R2636" s="7" t="s">
        <v>19563</v>
      </c>
      <c r="S2636" s="7" t="s">
        <v>19564</v>
      </c>
      <c r="T2636" s="7" t="s">
        <v>3803</v>
      </c>
      <c r="U2636" s="7" t="s">
        <v>3493</v>
      </c>
      <c r="V2636" s="7">
        <v>1.0</v>
      </c>
    </row>
    <row r="2637">
      <c r="A2637" s="7" t="s">
        <v>22551</v>
      </c>
      <c r="B2637" s="7">
        <v>3001048.0</v>
      </c>
      <c r="C2637" s="7" t="s">
        <v>4493</v>
      </c>
      <c r="D2637" s="7" t="s">
        <v>18713</v>
      </c>
      <c r="E2637" s="7" t="s">
        <v>4495</v>
      </c>
      <c r="F2637" s="7" t="s">
        <v>4371</v>
      </c>
      <c r="G2637" s="7" t="s">
        <v>18714</v>
      </c>
      <c r="H2637" s="7" t="s">
        <v>18715</v>
      </c>
      <c r="I2637" s="119">
        <v>45885.0</v>
      </c>
      <c r="K2637" s="7" t="s">
        <v>3642</v>
      </c>
      <c r="L2637" s="7" t="s">
        <v>991</v>
      </c>
      <c r="M2637" s="7" t="s">
        <v>3501</v>
      </c>
      <c r="N2637" s="7" t="s">
        <v>3642</v>
      </c>
      <c r="O2637" s="7" t="s">
        <v>3642</v>
      </c>
      <c r="P2637" s="7" t="s">
        <v>19524</v>
      </c>
      <c r="T2637" s="7" t="s">
        <v>3644</v>
      </c>
      <c r="U2637" s="7" t="s">
        <v>3493</v>
      </c>
      <c r="V2637" s="7">
        <v>1.0</v>
      </c>
    </row>
    <row r="2638">
      <c r="A2638" s="7" t="s">
        <v>22552</v>
      </c>
      <c r="B2638" s="7">
        <v>3001036.0</v>
      </c>
      <c r="C2638" s="7" t="s">
        <v>18353</v>
      </c>
      <c r="D2638" s="7" t="s">
        <v>18717</v>
      </c>
      <c r="E2638" s="7" t="s">
        <v>18355</v>
      </c>
      <c r="F2638" s="7" t="s">
        <v>18718</v>
      </c>
      <c r="G2638" s="7" t="s">
        <v>18719</v>
      </c>
      <c r="H2638" s="7" t="s">
        <v>18720</v>
      </c>
      <c r="I2638" s="119">
        <v>45885.0</v>
      </c>
      <c r="K2638" s="7" t="s">
        <v>419</v>
      </c>
      <c r="L2638" s="7" t="s">
        <v>991</v>
      </c>
      <c r="M2638" s="7" t="s">
        <v>3531</v>
      </c>
      <c r="N2638" s="7" t="s">
        <v>419</v>
      </c>
      <c r="O2638" s="7" t="s">
        <v>19443</v>
      </c>
      <c r="P2638" s="7" t="s">
        <v>1242</v>
      </c>
      <c r="Q2638" s="7" t="s">
        <v>51</v>
      </c>
      <c r="R2638" s="7" t="s">
        <v>19597</v>
      </c>
      <c r="S2638" s="7" t="s">
        <v>19650</v>
      </c>
      <c r="T2638" s="7" t="s">
        <v>4128</v>
      </c>
      <c r="U2638" s="7" t="s">
        <v>3493</v>
      </c>
      <c r="V2638" s="7">
        <v>1.0</v>
      </c>
    </row>
    <row r="2639">
      <c r="A2639" s="7" t="s">
        <v>22553</v>
      </c>
      <c r="B2639" s="7">
        <v>3001037.0</v>
      </c>
      <c r="C2639" s="7" t="s">
        <v>6022</v>
      </c>
      <c r="D2639" s="7" t="s">
        <v>12013</v>
      </c>
      <c r="E2639" s="7" t="s">
        <v>6024</v>
      </c>
      <c r="F2639" s="7" t="s">
        <v>4234</v>
      </c>
      <c r="G2639" s="7" t="s">
        <v>18722</v>
      </c>
      <c r="H2639" s="7" t="s">
        <v>18723</v>
      </c>
      <c r="I2639" s="119">
        <v>45885.0</v>
      </c>
      <c r="K2639" s="7" t="s">
        <v>419</v>
      </c>
      <c r="L2639" s="7" t="s">
        <v>991</v>
      </c>
      <c r="M2639" s="7" t="s">
        <v>3531</v>
      </c>
      <c r="N2639" s="7" t="s">
        <v>419</v>
      </c>
      <c r="O2639" s="7" t="s">
        <v>19443</v>
      </c>
      <c r="P2639" s="7" t="s">
        <v>1242</v>
      </c>
      <c r="Q2639" s="7" t="s">
        <v>51</v>
      </c>
      <c r="R2639" s="7" t="s">
        <v>19549</v>
      </c>
      <c r="S2639" s="7" t="s">
        <v>20042</v>
      </c>
      <c r="T2639" s="7" t="s">
        <v>5781</v>
      </c>
      <c r="U2639" s="7" t="s">
        <v>3493</v>
      </c>
      <c r="V2639" s="7">
        <v>1.0</v>
      </c>
    </row>
    <row r="2640">
      <c r="A2640" s="7" t="s">
        <v>22554</v>
      </c>
      <c r="B2640" s="7">
        <v>3000918.0</v>
      </c>
      <c r="C2640" s="7" t="s">
        <v>18725</v>
      </c>
      <c r="D2640" s="7" t="s">
        <v>17626</v>
      </c>
      <c r="E2640" s="7" t="s">
        <v>18726</v>
      </c>
      <c r="F2640" s="7" t="s">
        <v>17627</v>
      </c>
      <c r="G2640" s="7" t="s">
        <v>18727</v>
      </c>
      <c r="H2640" s="7" t="s">
        <v>18728</v>
      </c>
      <c r="I2640" s="119">
        <v>45885.0</v>
      </c>
      <c r="K2640" s="7" t="s">
        <v>419</v>
      </c>
      <c r="L2640" s="7" t="s">
        <v>991</v>
      </c>
      <c r="M2640" s="7" t="s">
        <v>3501</v>
      </c>
      <c r="N2640" s="7" t="s">
        <v>419</v>
      </c>
      <c r="O2640" s="7" t="s">
        <v>19430</v>
      </c>
      <c r="P2640" s="7" t="s">
        <v>717</v>
      </c>
      <c r="Q2640" s="7" t="s">
        <v>223</v>
      </c>
      <c r="R2640" s="7" t="s">
        <v>20315</v>
      </c>
      <c r="S2640" s="7" t="s">
        <v>19724</v>
      </c>
      <c r="T2640" s="7" t="s">
        <v>10570</v>
      </c>
      <c r="U2640" s="7" t="s">
        <v>3493</v>
      </c>
      <c r="V2640" s="7">
        <v>1.0</v>
      </c>
    </row>
    <row r="2641">
      <c r="A2641" s="7" t="s">
        <v>22555</v>
      </c>
      <c r="B2641" s="7">
        <v>3000977.0</v>
      </c>
      <c r="C2641" s="7" t="s">
        <v>18730</v>
      </c>
      <c r="D2641" s="7" t="s">
        <v>18731</v>
      </c>
      <c r="E2641" s="7" t="s">
        <v>18732</v>
      </c>
      <c r="F2641" s="7" t="s">
        <v>8256</v>
      </c>
      <c r="G2641" s="7" t="s">
        <v>18733</v>
      </c>
      <c r="H2641" s="7" t="s">
        <v>18734</v>
      </c>
      <c r="I2641" s="119">
        <v>45885.0</v>
      </c>
      <c r="K2641" s="7" t="s">
        <v>419</v>
      </c>
      <c r="L2641" s="7" t="s">
        <v>991</v>
      </c>
      <c r="M2641" s="7" t="s">
        <v>3501</v>
      </c>
      <c r="N2641" s="7" t="s">
        <v>419</v>
      </c>
      <c r="O2641" s="7" t="s">
        <v>19432</v>
      </c>
      <c r="P2641" s="7" t="s">
        <v>298</v>
      </c>
      <c r="Q2641" s="7" t="s">
        <v>1284</v>
      </c>
      <c r="R2641" s="7" t="s">
        <v>20033</v>
      </c>
      <c r="S2641" s="7" t="s">
        <v>20456</v>
      </c>
      <c r="T2641" s="7" t="s">
        <v>7884</v>
      </c>
      <c r="U2641" s="7" t="s">
        <v>3843</v>
      </c>
      <c r="V2641" s="7">
        <v>1.0</v>
      </c>
    </row>
    <row r="2642">
      <c r="A2642" s="7" t="s">
        <v>22556</v>
      </c>
      <c r="B2642" s="7">
        <v>3001050.0</v>
      </c>
      <c r="C2642" s="7" t="s">
        <v>7795</v>
      </c>
      <c r="D2642" s="7" t="s">
        <v>18736</v>
      </c>
      <c r="E2642" s="7" t="s">
        <v>7797</v>
      </c>
      <c r="F2642" s="7" t="s">
        <v>4707</v>
      </c>
      <c r="G2642" s="7" t="s">
        <v>18737</v>
      </c>
      <c r="H2642" s="7" t="s">
        <v>18738</v>
      </c>
      <c r="I2642" s="119">
        <v>45885.0</v>
      </c>
      <c r="K2642" s="7" t="s">
        <v>3642</v>
      </c>
      <c r="L2642" s="7" t="s">
        <v>991</v>
      </c>
      <c r="M2642" s="7" t="s">
        <v>3501</v>
      </c>
      <c r="N2642" s="7" t="s">
        <v>3642</v>
      </c>
      <c r="O2642" s="7" t="s">
        <v>3642</v>
      </c>
      <c r="P2642" s="7" t="s">
        <v>19524</v>
      </c>
      <c r="T2642" s="7" t="s">
        <v>3644</v>
      </c>
      <c r="U2642" s="7" t="s">
        <v>3493</v>
      </c>
      <c r="V2642" s="7">
        <v>1.0</v>
      </c>
    </row>
    <row r="2643">
      <c r="A2643" s="7" t="s">
        <v>22557</v>
      </c>
      <c r="B2643" s="7">
        <v>3001043.0</v>
      </c>
      <c r="C2643" s="7" t="s">
        <v>7795</v>
      </c>
      <c r="D2643" s="7" t="s">
        <v>18740</v>
      </c>
      <c r="E2643" s="7" t="s">
        <v>7797</v>
      </c>
      <c r="F2643" s="7" t="s">
        <v>4707</v>
      </c>
      <c r="G2643" s="7" t="s">
        <v>18741</v>
      </c>
      <c r="H2643" s="7" t="s">
        <v>18742</v>
      </c>
      <c r="I2643" s="119">
        <v>45885.0</v>
      </c>
      <c r="K2643" s="7" t="s">
        <v>17988</v>
      </c>
      <c r="L2643" s="7" t="s">
        <v>991</v>
      </c>
      <c r="M2643" s="7" t="s">
        <v>3501</v>
      </c>
      <c r="N2643" s="7" t="s">
        <v>17988</v>
      </c>
      <c r="O2643" s="7" t="s">
        <v>17988</v>
      </c>
      <c r="P2643" s="7" t="s">
        <v>22394</v>
      </c>
      <c r="T2643" s="7" t="s">
        <v>17990</v>
      </c>
      <c r="U2643" s="7" t="s">
        <v>3493</v>
      </c>
      <c r="V2643" s="7">
        <v>1.0</v>
      </c>
    </row>
    <row r="2644">
      <c r="A2644" s="7" t="s">
        <v>22558</v>
      </c>
      <c r="B2644" s="7">
        <v>3001041.0</v>
      </c>
      <c r="C2644" s="7" t="s">
        <v>7853</v>
      </c>
      <c r="D2644" s="7" t="s">
        <v>12799</v>
      </c>
      <c r="E2644" s="7" t="s">
        <v>7854</v>
      </c>
      <c r="F2644" s="7" t="s">
        <v>12800</v>
      </c>
      <c r="G2644" s="7" t="s">
        <v>18744</v>
      </c>
      <c r="H2644" s="7" t="s">
        <v>18745</v>
      </c>
      <c r="I2644" s="119">
        <v>45885.0</v>
      </c>
      <c r="K2644" s="7" t="s">
        <v>17988</v>
      </c>
      <c r="L2644" s="7" t="s">
        <v>991</v>
      </c>
      <c r="M2644" s="7" t="s">
        <v>3501</v>
      </c>
      <c r="N2644" s="7" t="s">
        <v>17988</v>
      </c>
      <c r="O2644" s="7" t="s">
        <v>17988</v>
      </c>
      <c r="P2644" s="7" t="s">
        <v>22394</v>
      </c>
      <c r="T2644" s="7" t="s">
        <v>17990</v>
      </c>
      <c r="U2644" s="7" t="s">
        <v>3493</v>
      </c>
      <c r="V2644" s="7">
        <v>1.0</v>
      </c>
    </row>
    <row r="2645">
      <c r="A2645" s="7" t="s">
        <v>22559</v>
      </c>
      <c r="B2645" s="7">
        <v>3001051.0</v>
      </c>
      <c r="C2645" s="7" t="s">
        <v>8017</v>
      </c>
      <c r="D2645" s="7" t="s">
        <v>18747</v>
      </c>
      <c r="E2645" s="7" t="s">
        <v>8019</v>
      </c>
      <c r="F2645" s="7" t="s">
        <v>9273</v>
      </c>
      <c r="G2645" s="7" t="s">
        <v>18748</v>
      </c>
      <c r="H2645" s="7" t="s">
        <v>18749</v>
      </c>
      <c r="I2645" s="119">
        <v>45885.0</v>
      </c>
      <c r="K2645" s="7" t="s">
        <v>3642</v>
      </c>
      <c r="L2645" s="7" t="s">
        <v>991</v>
      </c>
      <c r="M2645" s="7" t="s">
        <v>3501</v>
      </c>
      <c r="N2645" s="7" t="s">
        <v>3642</v>
      </c>
      <c r="O2645" s="7" t="s">
        <v>3642</v>
      </c>
      <c r="P2645" s="7" t="s">
        <v>19524</v>
      </c>
      <c r="T2645" s="7" t="s">
        <v>3644</v>
      </c>
      <c r="U2645" s="7" t="s">
        <v>3493</v>
      </c>
      <c r="V2645" s="7">
        <v>1.0</v>
      </c>
    </row>
    <row r="2646">
      <c r="A2646" s="7" t="s">
        <v>22560</v>
      </c>
      <c r="B2646" s="7">
        <v>3001040.0</v>
      </c>
      <c r="C2646" s="7" t="s">
        <v>8017</v>
      </c>
      <c r="D2646" s="7" t="s">
        <v>18751</v>
      </c>
      <c r="E2646" s="7" t="s">
        <v>8019</v>
      </c>
      <c r="F2646" s="7" t="s">
        <v>9273</v>
      </c>
      <c r="G2646" s="7" t="s">
        <v>18752</v>
      </c>
      <c r="H2646" s="7" t="s">
        <v>18753</v>
      </c>
      <c r="I2646" s="119">
        <v>45885.0</v>
      </c>
      <c r="K2646" s="7" t="s">
        <v>17988</v>
      </c>
      <c r="L2646" s="7" t="s">
        <v>991</v>
      </c>
      <c r="M2646" s="7" t="s">
        <v>3501</v>
      </c>
      <c r="N2646" s="7" t="s">
        <v>17988</v>
      </c>
      <c r="O2646" s="7" t="s">
        <v>17988</v>
      </c>
      <c r="P2646" s="7" t="s">
        <v>22394</v>
      </c>
      <c r="T2646" s="7" t="s">
        <v>17990</v>
      </c>
      <c r="U2646" s="7" t="s">
        <v>3493</v>
      </c>
      <c r="V2646" s="7">
        <v>1.0</v>
      </c>
    </row>
    <row r="2647">
      <c r="A2647" s="7" t="s">
        <v>22561</v>
      </c>
      <c r="B2647" s="7">
        <v>3001052.0</v>
      </c>
      <c r="C2647" s="7" t="s">
        <v>18606</v>
      </c>
      <c r="D2647" s="7" t="s">
        <v>18755</v>
      </c>
      <c r="E2647" s="7" t="s">
        <v>18607</v>
      </c>
      <c r="F2647" s="7" t="s">
        <v>3508</v>
      </c>
      <c r="G2647" s="7" t="s">
        <v>18756</v>
      </c>
      <c r="H2647" s="7" t="s">
        <v>18757</v>
      </c>
      <c r="I2647" s="119">
        <v>45885.0</v>
      </c>
      <c r="K2647" s="7" t="s">
        <v>3642</v>
      </c>
      <c r="L2647" s="7" t="s">
        <v>991</v>
      </c>
      <c r="M2647" s="7" t="s">
        <v>3501</v>
      </c>
      <c r="N2647" s="7" t="s">
        <v>3642</v>
      </c>
      <c r="O2647" s="7" t="s">
        <v>3642</v>
      </c>
      <c r="P2647" s="7" t="s">
        <v>19524</v>
      </c>
      <c r="T2647" s="7" t="s">
        <v>3644</v>
      </c>
      <c r="U2647" s="7" t="s">
        <v>3493</v>
      </c>
      <c r="V2647" s="7">
        <v>1.0</v>
      </c>
    </row>
    <row r="2648">
      <c r="A2648" s="7" t="s">
        <v>22562</v>
      </c>
      <c r="B2648" s="7">
        <v>3001028.0</v>
      </c>
      <c r="C2648" s="7" t="s">
        <v>18759</v>
      </c>
      <c r="D2648" s="7" t="s">
        <v>18760</v>
      </c>
      <c r="E2648" s="7" t="s">
        <v>18761</v>
      </c>
      <c r="F2648" s="7" t="s">
        <v>7477</v>
      </c>
      <c r="G2648" s="7" t="s">
        <v>18762</v>
      </c>
      <c r="H2648" s="7" t="s">
        <v>18763</v>
      </c>
      <c r="I2648" s="119">
        <v>45885.0</v>
      </c>
      <c r="K2648" s="7" t="s">
        <v>419</v>
      </c>
      <c r="L2648" s="7" t="s">
        <v>991</v>
      </c>
      <c r="M2648" s="7" t="s">
        <v>3866</v>
      </c>
      <c r="N2648" s="7" t="s">
        <v>419</v>
      </c>
      <c r="O2648" s="7" t="s">
        <v>19437</v>
      </c>
      <c r="P2648" s="7" t="s">
        <v>478</v>
      </c>
      <c r="Q2648" s="7" t="s">
        <v>508</v>
      </c>
      <c r="T2648" s="7" t="s">
        <v>22052</v>
      </c>
      <c r="U2648" s="7" t="s">
        <v>3493</v>
      </c>
      <c r="V2648" s="7">
        <v>1.0</v>
      </c>
    </row>
    <row r="2649">
      <c r="A2649" s="7" t="s">
        <v>22563</v>
      </c>
      <c r="B2649" s="7">
        <v>3001054.0</v>
      </c>
      <c r="C2649" s="7" t="s">
        <v>10005</v>
      </c>
      <c r="D2649" s="7" t="s">
        <v>18766</v>
      </c>
      <c r="E2649" s="7" t="s">
        <v>10006</v>
      </c>
      <c r="F2649" s="7" t="s">
        <v>6530</v>
      </c>
      <c r="G2649" s="7" t="s">
        <v>18767</v>
      </c>
      <c r="H2649" s="7" t="s">
        <v>18768</v>
      </c>
      <c r="I2649" s="119">
        <v>45885.0</v>
      </c>
      <c r="K2649" s="7" t="s">
        <v>419</v>
      </c>
      <c r="L2649" s="7" t="s">
        <v>991</v>
      </c>
      <c r="M2649" s="7" t="s">
        <v>3531</v>
      </c>
      <c r="N2649" s="7" t="s">
        <v>419</v>
      </c>
      <c r="O2649" s="7" t="s">
        <v>19443</v>
      </c>
      <c r="P2649" s="7" t="s">
        <v>323</v>
      </c>
      <c r="Q2649" s="7" t="s">
        <v>324</v>
      </c>
      <c r="R2649" s="7" t="s">
        <v>20367</v>
      </c>
      <c r="T2649" s="7" t="s">
        <v>7418</v>
      </c>
      <c r="U2649" s="7" t="s">
        <v>3493</v>
      </c>
      <c r="V2649" s="7">
        <v>1.0</v>
      </c>
    </row>
    <row r="2650">
      <c r="A2650" s="7" t="s">
        <v>22564</v>
      </c>
      <c r="B2650" s="7">
        <v>3001046.0</v>
      </c>
      <c r="C2650" s="7" t="s">
        <v>18770</v>
      </c>
      <c r="D2650" s="7" t="s">
        <v>18771</v>
      </c>
      <c r="E2650" s="7" t="s">
        <v>18772</v>
      </c>
      <c r="F2650" s="7" t="s">
        <v>18773</v>
      </c>
      <c r="G2650" s="7" t="s">
        <v>18774</v>
      </c>
      <c r="H2650" s="7" t="s">
        <v>18775</v>
      </c>
      <c r="I2650" s="119">
        <v>45885.0</v>
      </c>
      <c r="K2650" s="7" t="s">
        <v>17988</v>
      </c>
      <c r="L2650" s="7" t="s">
        <v>991</v>
      </c>
      <c r="M2650" s="7" t="s">
        <v>3501</v>
      </c>
      <c r="N2650" s="7" t="s">
        <v>17988</v>
      </c>
      <c r="O2650" s="7" t="s">
        <v>17988</v>
      </c>
      <c r="P2650" s="7" t="s">
        <v>22394</v>
      </c>
      <c r="T2650" s="7" t="s">
        <v>17990</v>
      </c>
      <c r="U2650" s="7" t="s">
        <v>3493</v>
      </c>
      <c r="V2650" s="7">
        <v>1.0</v>
      </c>
    </row>
    <row r="2651">
      <c r="A2651" s="7" t="s">
        <v>22565</v>
      </c>
      <c r="B2651" s="7">
        <v>3001047.0</v>
      </c>
      <c r="C2651" s="7" t="s">
        <v>18777</v>
      </c>
      <c r="D2651" s="7" t="s">
        <v>16595</v>
      </c>
      <c r="E2651" s="7" t="s">
        <v>18778</v>
      </c>
      <c r="F2651" s="7" t="s">
        <v>11235</v>
      </c>
      <c r="G2651" s="7" t="s">
        <v>18779</v>
      </c>
      <c r="H2651" s="7" t="s">
        <v>18780</v>
      </c>
      <c r="I2651" s="119">
        <v>45885.0</v>
      </c>
      <c r="K2651" s="7" t="s">
        <v>17988</v>
      </c>
      <c r="L2651" s="7" t="s">
        <v>991</v>
      </c>
      <c r="M2651" s="7" t="s">
        <v>3501</v>
      </c>
      <c r="N2651" s="7" t="s">
        <v>17988</v>
      </c>
      <c r="O2651" s="7" t="s">
        <v>17988</v>
      </c>
      <c r="P2651" s="7" t="s">
        <v>22394</v>
      </c>
      <c r="T2651" s="7" t="s">
        <v>17990</v>
      </c>
      <c r="U2651" s="7" t="s">
        <v>3493</v>
      </c>
      <c r="V2651" s="7">
        <v>1.0</v>
      </c>
    </row>
    <row r="2652">
      <c r="A2652" s="7" t="s">
        <v>22566</v>
      </c>
      <c r="B2652" s="7">
        <v>3001044.0</v>
      </c>
      <c r="C2652" s="7" t="s">
        <v>15661</v>
      </c>
      <c r="D2652" s="7" t="s">
        <v>13474</v>
      </c>
      <c r="E2652" s="7" t="s">
        <v>15663</v>
      </c>
      <c r="F2652" s="7" t="s">
        <v>5369</v>
      </c>
      <c r="G2652" s="7" t="s">
        <v>18782</v>
      </c>
      <c r="H2652" s="7" t="s">
        <v>18783</v>
      </c>
      <c r="I2652" s="119">
        <v>45885.0</v>
      </c>
      <c r="K2652" s="7" t="s">
        <v>17988</v>
      </c>
      <c r="L2652" s="7" t="s">
        <v>991</v>
      </c>
      <c r="M2652" s="7" t="s">
        <v>3490</v>
      </c>
      <c r="N2652" s="7" t="s">
        <v>17988</v>
      </c>
      <c r="O2652" s="7" t="s">
        <v>17988</v>
      </c>
      <c r="P2652" s="7" t="s">
        <v>22394</v>
      </c>
      <c r="T2652" s="7" t="s">
        <v>17990</v>
      </c>
      <c r="U2652" s="7" t="s">
        <v>3493</v>
      </c>
      <c r="V2652" s="7">
        <v>1.0</v>
      </c>
    </row>
    <row r="2653">
      <c r="A2653" s="7" t="s">
        <v>22567</v>
      </c>
      <c r="B2653" s="7">
        <v>3001049.0</v>
      </c>
      <c r="C2653" s="7" t="s">
        <v>18785</v>
      </c>
      <c r="D2653" s="7" t="s">
        <v>18786</v>
      </c>
      <c r="E2653" s="7" t="s">
        <v>18787</v>
      </c>
      <c r="F2653" s="7" t="s">
        <v>5098</v>
      </c>
      <c r="G2653" s="7" t="s">
        <v>18788</v>
      </c>
      <c r="H2653" s="7" t="s">
        <v>18789</v>
      </c>
      <c r="I2653" s="119">
        <v>45885.0</v>
      </c>
      <c r="K2653" s="7" t="s">
        <v>3642</v>
      </c>
      <c r="L2653" s="7" t="s">
        <v>991</v>
      </c>
      <c r="M2653" s="7" t="s">
        <v>3501</v>
      </c>
      <c r="N2653" s="7" t="s">
        <v>3642</v>
      </c>
      <c r="O2653" s="7" t="s">
        <v>3642</v>
      </c>
      <c r="P2653" s="7" t="s">
        <v>19524</v>
      </c>
      <c r="T2653" s="7" t="s">
        <v>3644</v>
      </c>
      <c r="U2653" s="7" t="s">
        <v>3493</v>
      </c>
      <c r="V2653" s="7">
        <v>1.0</v>
      </c>
    </row>
    <row r="2654">
      <c r="A2654" s="7" t="s">
        <v>22568</v>
      </c>
      <c r="B2654" s="7">
        <v>3001039.0</v>
      </c>
      <c r="C2654" s="7" t="s">
        <v>18785</v>
      </c>
      <c r="D2654" s="7" t="s">
        <v>5096</v>
      </c>
      <c r="E2654" s="7" t="s">
        <v>18787</v>
      </c>
      <c r="F2654" s="7" t="s">
        <v>5098</v>
      </c>
      <c r="G2654" s="7" t="s">
        <v>18791</v>
      </c>
      <c r="H2654" s="7" t="s">
        <v>18792</v>
      </c>
      <c r="I2654" s="119">
        <v>45885.0</v>
      </c>
      <c r="K2654" s="7" t="s">
        <v>17988</v>
      </c>
      <c r="L2654" s="7" t="s">
        <v>991</v>
      </c>
      <c r="M2654" s="7" t="s">
        <v>3501</v>
      </c>
      <c r="N2654" s="7" t="s">
        <v>17988</v>
      </c>
      <c r="O2654" s="7" t="s">
        <v>17988</v>
      </c>
      <c r="P2654" s="7" t="s">
        <v>22394</v>
      </c>
      <c r="T2654" s="7" t="s">
        <v>17990</v>
      </c>
      <c r="U2654" s="7" t="s">
        <v>3493</v>
      </c>
      <c r="V2654" s="7">
        <v>1.0</v>
      </c>
    </row>
    <row r="2655">
      <c r="A2655" s="7" t="s">
        <v>22569</v>
      </c>
      <c r="B2655" s="7">
        <v>3001055.0</v>
      </c>
      <c r="C2655" s="7" t="s">
        <v>13367</v>
      </c>
      <c r="D2655" s="7" t="s">
        <v>18794</v>
      </c>
      <c r="E2655" s="7" t="s">
        <v>13369</v>
      </c>
      <c r="F2655" s="7" t="s">
        <v>3714</v>
      </c>
      <c r="G2655" s="7" t="s">
        <v>18795</v>
      </c>
      <c r="H2655" s="7" t="s">
        <v>18796</v>
      </c>
      <c r="I2655" s="119">
        <v>45885.0</v>
      </c>
      <c r="K2655" s="7" t="s">
        <v>419</v>
      </c>
      <c r="L2655" s="7" t="s">
        <v>991</v>
      </c>
      <c r="M2655" s="7" t="s">
        <v>3531</v>
      </c>
      <c r="N2655" s="7" t="s">
        <v>419</v>
      </c>
      <c r="O2655" s="7" t="s">
        <v>19432</v>
      </c>
      <c r="P2655" s="7" t="s">
        <v>298</v>
      </c>
      <c r="Q2655" s="7" t="s">
        <v>1284</v>
      </c>
      <c r="R2655" s="7" t="s">
        <v>20190</v>
      </c>
      <c r="S2655" s="7" t="s">
        <v>21097</v>
      </c>
      <c r="T2655" s="7" t="s">
        <v>14663</v>
      </c>
      <c r="U2655" s="7" t="s">
        <v>3493</v>
      </c>
      <c r="V2655" s="7">
        <v>1.0</v>
      </c>
    </row>
    <row r="2656">
      <c r="A2656" s="7" t="s">
        <v>22570</v>
      </c>
      <c r="B2656" s="7">
        <v>3000978.0</v>
      </c>
      <c r="C2656" s="7" t="s">
        <v>18798</v>
      </c>
      <c r="D2656" s="7" t="s">
        <v>7302</v>
      </c>
      <c r="E2656" s="7" t="s">
        <v>13545</v>
      </c>
      <c r="F2656" s="7" t="s">
        <v>18799</v>
      </c>
      <c r="G2656" s="7" t="s">
        <v>18800</v>
      </c>
      <c r="H2656" s="7" t="s">
        <v>18801</v>
      </c>
      <c r="I2656" s="119">
        <v>45885.0</v>
      </c>
      <c r="K2656" s="7" t="s">
        <v>6124</v>
      </c>
      <c r="L2656" s="7" t="s">
        <v>3542</v>
      </c>
      <c r="M2656" s="7" t="s">
        <v>3543</v>
      </c>
      <c r="N2656" s="7" t="s">
        <v>419</v>
      </c>
      <c r="O2656" s="7" t="s">
        <v>19437</v>
      </c>
      <c r="P2656" s="7" t="s">
        <v>478</v>
      </c>
      <c r="Q2656" s="7" t="s">
        <v>953</v>
      </c>
      <c r="R2656" s="7" t="s">
        <v>19492</v>
      </c>
      <c r="S2656" s="7" t="s">
        <v>20118</v>
      </c>
      <c r="T2656" s="7" t="s">
        <v>20119</v>
      </c>
      <c r="U2656" s="7" t="s">
        <v>3493</v>
      </c>
      <c r="V2656" s="7">
        <v>1.0</v>
      </c>
    </row>
    <row r="2657">
      <c r="A2657" s="7" t="s">
        <v>22571</v>
      </c>
      <c r="B2657" s="7">
        <v>3001029.0</v>
      </c>
      <c r="C2657" s="7" t="s">
        <v>13801</v>
      </c>
      <c r="D2657" s="7" t="s">
        <v>6406</v>
      </c>
      <c r="E2657" s="7" t="s">
        <v>13803</v>
      </c>
      <c r="F2657" s="7" t="s">
        <v>16616</v>
      </c>
      <c r="G2657" s="7" t="s">
        <v>18804</v>
      </c>
      <c r="H2657" s="7" t="s">
        <v>18805</v>
      </c>
      <c r="I2657" s="119">
        <v>45885.0</v>
      </c>
      <c r="K2657" s="7" t="s">
        <v>419</v>
      </c>
      <c r="L2657" s="7" t="s">
        <v>991</v>
      </c>
      <c r="M2657" s="7" t="s">
        <v>3583</v>
      </c>
      <c r="N2657" s="7" t="s">
        <v>419</v>
      </c>
      <c r="O2657" s="7" t="s">
        <v>19432</v>
      </c>
      <c r="P2657" s="7" t="s">
        <v>298</v>
      </c>
      <c r="Q2657" s="7" t="s">
        <v>1284</v>
      </c>
      <c r="R2657" s="7" t="s">
        <v>20579</v>
      </c>
      <c r="S2657" s="7" t="s">
        <v>20580</v>
      </c>
      <c r="T2657" s="7" t="s">
        <v>11111</v>
      </c>
      <c r="U2657" s="7" t="s">
        <v>3493</v>
      </c>
      <c r="V2657" s="7">
        <v>1.0</v>
      </c>
    </row>
    <row r="2658">
      <c r="A2658" s="7" t="s">
        <v>22572</v>
      </c>
      <c r="B2658" s="7">
        <v>3001102.0</v>
      </c>
      <c r="C2658" s="7" t="s">
        <v>3816</v>
      </c>
      <c r="D2658" s="7" t="s">
        <v>18807</v>
      </c>
      <c r="E2658" s="7" t="s">
        <v>3773</v>
      </c>
      <c r="F2658" s="7" t="s">
        <v>10848</v>
      </c>
      <c r="G2658" s="7" t="s">
        <v>18808</v>
      </c>
      <c r="H2658" s="7" t="s">
        <v>18809</v>
      </c>
      <c r="I2658" s="119">
        <v>45901.0</v>
      </c>
      <c r="K2658" s="7" t="s">
        <v>419</v>
      </c>
      <c r="L2658" s="7" t="s">
        <v>991</v>
      </c>
      <c r="M2658" s="7" t="s">
        <v>3531</v>
      </c>
      <c r="N2658" s="7" t="s">
        <v>419</v>
      </c>
      <c r="O2658" s="7" t="s">
        <v>19433</v>
      </c>
      <c r="P2658" s="7" t="s">
        <v>648</v>
      </c>
      <c r="Q2658" s="7" t="s">
        <v>155</v>
      </c>
      <c r="R2658" s="7" t="s">
        <v>19566</v>
      </c>
      <c r="T2658" s="7" t="s">
        <v>7179</v>
      </c>
      <c r="U2658" s="7" t="s">
        <v>3493</v>
      </c>
      <c r="V2658" s="7">
        <v>1.0</v>
      </c>
    </row>
    <row r="2659">
      <c r="A2659" s="7" t="s">
        <v>22573</v>
      </c>
      <c r="B2659" s="7">
        <v>3001094.0</v>
      </c>
      <c r="C2659" s="7" t="s">
        <v>4058</v>
      </c>
      <c r="D2659" s="7" t="s">
        <v>13203</v>
      </c>
      <c r="E2659" s="7" t="s">
        <v>4067</v>
      </c>
      <c r="F2659" s="7" t="s">
        <v>4213</v>
      </c>
      <c r="G2659" s="7" t="s">
        <v>18811</v>
      </c>
      <c r="H2659" s="7" t="s">
        <v>18812</v>
      </c>
      <c r="I2659" s="119">
        <v>45901.0</v>
      </c>
      <c r="K2659" s="7" t="s">
        <v>419</v>
      </c>
      <c r="L2659" s="7" t="s">
        <v>991</v>
      </c>
      <c r="M2659" s="7" t="s">
        <v>3583</v>
      </c>
      <c r="N2659" s="7" t="s">
        <v>419</v>
      </c>
      <c r="O2659" s="7" t="s">
        <v>19437</v>
      </c>
      <c r="P2659" s="7" t="s">
        <v>478</v>
      </c>
      <c r="Q2659" s="7" t="s">
        <v>484</v>
      </c>
      <c r="R2659" s="7" t="s">
        <v>20354</v>
      </c>
      <c r="S2659" s="7" t="s">
        <v>20355</v>
      </c>
      <c r="T2659" s="7" t="s">
        <v>7349</v>
      </c>
      <c r="U2659" s="7" t="s">
        <v>3493</v>
      </c>
      <c r="V2659" s="7">
        <v>1.0</v>
      </c>
    </row>
    <row r="2660">
      <c r="A2660" s="7" t="s">
        <v>22574</v>
      </c>
      <c r="B2660" s="7">
        <v>3001086.0</v>
      </c>
      <c r="C2660" s="7" t="s">
        <v>4596</v>
      </c>
      <c r="D2660" s="7" t="s">
        <v>18815</v>
      </c>
      <c r="E2660" s="7" t="s">
        <v>4504</v>
      </c>
      <c r="F2660" s="7" t="s">
        <v>16361</v>
      </c>
      <c r="G2660" s="7" t="s">
        <v>18816</v>
      </c>
      <c r="H2660" s="7" t="s">
        <v>18817</v>
      </c>
      <c r="I2660" s="119">
        <v>45901.0</v>
      </c>
      <c r="K2660" s="7" t="s">
        <v>17988</v>
      </c>
      <c r="L2660" s="7" t="s">
        <v>991</v>
      </c>
      <c r="M2660" s="7" t="s">
        <v>3501</v>
      </c>
      <c r="N2660" s="7" t="s">
        <v>17988</v>
      </c>
      <c r="O2660" s="7" t="s">
        <v>17988</v>
      </c>
      <c r="P2660" s="7" t="s">
        <v>22394</v>
      </c>
      <c r="T2660" s="7" t="s">
        <v>17990</v>
      </c>
      <c r="U2660" s="7" t="s">
        <v>3493</v>
      </c>
      <c r="V2660" s="7">
        <v>1.0</v>
      </c>
    </row>
    <row r="2661">
      <c r="A2661" s="7" t="s">
        <v>22575</v>
      </c>
      <c r="B2661" s="7">
        <v>3001021.0</v>
      </c>
      <c r="C2661" s="7" t="s">
        <v>18819</v>
      </c>
      <c r="D2661" s="7" t="s">
        <v>18820</v>
      </c>
      <c r="E2661" s="7" t="s">
        <v>18821</v>
      </c>
      <c r="F2661" s="7" t="s">
        <v>3806</v>
      </c>
      <c r="G2661" s="7" t="s">
        <v>18822</v>
      </c>
      <c r="H2661" s="7" t="s">
        <v>18823</v>
      </c>
      <c r="I2661" s="119">
        <v>45901.0</v>
      </c>
      <c r="K2661" s="7" t="s">
        <v>419</v>
      </c>
      <c r="L2661" s="7" t="s">
        <v>991</v>
      </c>
      <c r="M2661" s="7" t="s">
        <v>3501</v>
      </c>
      <c r="N2661" s="7" t="s">
        <v>419</v>
      </c>
      <c r="O2661" s="7" t="s">
        <v>19437</v>
      </c>
      <c r="P2661" s="7" t="s">
        <v>440</v>
      </c>
      <c r="Q2661" s="7" t="s">
        <v>924</v>
      </c>
      <c r="T2661" s="7" t="s">
        <v>4375</v>
      </c>
      <c r="U2661" s="7" t="s">
        <v>3493</v>
      </c>
      <c r="V2661" s="7">
        <v>1.0</v>
      </c>
    </row>
    <row r="2662">
      <c r="A2662" s="7" t="s">
        <v>22576</v>
      </c>
      <c r="B2662" s="7">
        <v>3001077.0</v>
      </c>
      <c r="C2662" s="7" t="s">
        <v>18826</v>
      </c>
      <c r="D2662" s="7" t="s">
        <v>18827</v>
      </c>
      <c r="E2662" s="7" t="s">
        <v>18828</v>
      </c>
      <c r="F2662" s="7" t="s">
        <v>5058</v>
      </c>
      <c r="G2662" s="7" t="s">
        <v>18829</v>
      </c>
      <c r="H2662" s="7" t="s">
        <v>18830</v>
      </c>
      <c r="I2662" s="119">
        <v>45901.0</v>
      </c>
      <c r="K2662" s="7" t="s">
        <v>3642</v>
      </c>
      <c r="L2662" s="7" t="s">
        <v>991</v>
      </c>
      <c r="M2662" s="7" t="s">
        <v>3501</v>
      </c>
      <c r="N2662" s="7" t="s">
        <v>3642</v>
      </c>
      <c r="O2662" s="7" t="s">
        <v>3642</v>
      </c>
      <c r="P2662" s="7" t="s">
        <v>19524</v>
      </c>
      <c r="T2662" s="7" t="s">
        <v>3644</v>
      </c>
      <c r="U2662" s="7" t="s">
        <v>3493</v>
      </c>
      <c r="V2662" s="7">
        <v>1.0</v>
      </c>
    </row>
    <row r="2663">
      <c r="A2663" s="7" t="s">
        <v>22577</v>
      </c>
      <c r="B2663" s="7">
        <v>3001091.0</v>
      </c>
      <c r="C2663" s="7" t="s">
        <v>18826</v>
      </c>
      <c r="D2663" s="7" t="s">
        <v>5743</v>
      </c>
      <c r="E2663" s="7" t="s">
        <v>18828</v>
      </c>
      <c r="F2663" s="7" t="s">
        <v>5058</v>
      </c>
      <c r="G2663" s="7" t="s">
        <v>18832</v>
      </c>
      <c r="H2663" s="7" t="s">
        <v>18833</v>
      </c>
      <c r="I2663" s="119">
        <v>45901.0</v>
      </c>
      <c r="K2663" s="7" t="s">
        <v>17988</v>
      </c>
      <c r="L2663" s="7" t="s">
        <v>991</v>
      </c>
      <c r="M2663" s="7" t="s">
        <v>3501</v>
      </c>
      <c r="N2663" s="7" t="s">
        <v>17988</v>
      </c>
      <c r="O2663" s="7" t="s">
        <v>17988</v>
      </c>
      <c r="P2663" s="7" t="s">
        <v>22394</v>
      </c>
      <c r="T2663" s="7" t="s">
        <v>17990</v>
      </c>
      <c r="U2663" s="7" t="s">
        <v>3493</v>
      </c>
      <c r="V2663" s="7">
        <v>1.0</v>
      </c>
    </row>
    <row r="2664">
      <c r="A2664" s="7" t="s">
        <v>22578</v>
      </c>
      <c r="B2664" s="7">
        <v>3001066.0</v>
      </c>
      <c r="C2664" s="7" t="s">
        <v>18835</v>
      </c>
      <c r="D2664" s="7" t="s">
        <v>4676</v>
      </c>
      <c r="E2664" s="7" t="s">
        <v>18836</v>
      </c>
      <c r="F2664" s="7" t="s">
        <v>4677</v>
      </c>
      <c r="G2664" s="7" t="s">
        <v>18837</v>
      </c>
      <c r="H2664" s="7" t="s">
        <v>18838</v>
      </c>
      <c r="I2664" s="119">
        <v>45901.0</v>
      </c>
      <c r="K2664" s="7" t="s">
        <v>419</v>
      </c>
      <c r="L2664" s="7" t="s">
        <v>991</v>
      </c>
      <c r="M2664" s="7" t="s">
        <v>3531</v>
      </c>
      <c r="N2664" s="7" t="s">
        <v>419</v>
      </c>
      <c r="O2664" s="7" t="s">
        <v>19430</v>
      </c>
      <c r="P2664" s="7" t="s">
        <v>780</v>
      </c>
      <c r="Q2664" s="7" t="s">
        <v>786</v>
      </c>
      <c r="T2664" s="7" t="s">
        <v>16907</v>
      </c>
      <c r="U2664" s="7" t="s">
        <v>3493</v>
      </c>
      <c r="V2664" s="7">
        <v>1.0</v>
      </c>
    </row>
    <row r="2665">
      <c r="A2665" s="7" t="s">
        <v>22579</v>
      </c>
      <c r="B2665" s="7">
        <v>3001076.0</v>
      </c>
      <c r="C2665" s="7" t="s">
        <v>17644</v>
      </c>
      <c r="D2665" s="7" t="s">
        <v>18840</v>
      </c>
      <c r="E2665" s="7" t="s">
        <v>6786</v>
      </c>
      <c r="F2665" s="7" t="s">
        <v>14422</v>
      </c>
      <c r="G2665" s="7" t="s">
        <v>18841</v>
      </c>
      <c r="H2665" s="7" t="s">
        <v>18842</v>
      </c>
      <c r="I2665" s="119">
        <v>45901.0</v>
      </c>
      <c r="K2665" s="7" t="s">
        <v>419</v>
      </c>
      <c r="L2665" s="7" t="s">
        <v>991</v>
      </c>
      <c r="M2665" s="7" t="s">
        <v>3531</v>
      </c>
      <c r="N2665" s="7" t="s">
        <v>419</v>
      </c>
      <c r="O2665" s="7" t="s">
        <v>19437</v>
      </c>
      <c r="P2665" s="7" t="s">
        <v>440</v>
      </c>
      <c r="Q2665" s="7" t="s">
        <v>19453</v>
      </c>
      <c r="T2665" s="7" t="s">
        <v>17630</v>
      </c>
      <c r="U2665" s="7" t="s">
        <v>3493</v>
      </c>
      <c r="V2665" s="7">
        <v>1.0</v>
      </c>
    </row>
    <row r="2666">
      <c r="A2666" s="7" t="s">
        <v>22580</v>
      </c>
      <c r="B2666" s="7">
        <v>3001022.0</v>
      </c>
      <c r="C2666" s="7" t="s">
        <v>6833</v>
      </c>
      <c r="D2666" s="7" t="s">
        <v>5987</v>
      </c>
      <c r="E2666" s="7" t="s">
        <v>6835</v>
      </c>
      <c r="F2666" s="7" t="s">
        <v>5987</v>
      </c>
      <c r="G2666" s="7" t="s">
        <v>18844</v>
      </c>
      <c r="H2666" s="7" t="s">
        <v>18845</v>
      </c>
      <c r="I2666" s="119">
        <v>45901.0</v>
      </c>
      <c r="K2666" s="7" t="s">
        <v>419</v>
      </c>
      <c r="L2666" s="7" t="s">
        <v>991</v>
      </c>
      <c r="M2666" s="7" t="s">
        <v>3501</v>
      </c>
      <c r="N2666" s="7" t="s">
        <v>419</v>
      </c>
      <c r="O2666" s="7" t="s">
        <v>19437</v>
      </c>
      <c r="P2666" s="7" t="s">
        <v>478</v>
      </c>
      <c r="Q2666" s="7" t="s">
        <v>958</v>
      </c>
      <c r="R2666" s="7" t="s">
        <v>20942</v>
      </c>
      <c r="T2666" s="7" t="s">
        <v>20943</v>
      </c>
      <c r="U2666" s="7" t="s">
        <v>3493</v>
      </c>
      <c r="V2666" s="7">
        <v>1.0</v>
      </c>
    </row>
    <row r="2667">
      <c r="A2667" s="7" t="s">
        <v>22581</v>
      </c>
      <c r="B2667" s="7">
        <v>3001101.0</v>
      </c>
      <c r="C2667" s="7" t="s">
        <v>6908</v>
      </c>
      <c r="D2667" s="7" t="s">
        <v>18848</v>
      </c>
      <c r="E2667" s="7" t="s">
        <v>6910</v>
      </c>
      <c r="F2667" s="7" t="s">
        <v>8554</v>
      </c>
      <c r="G2667" s="7" t="s">
        <v>18849</v>
      </c>
      <c r="H2667" s="7" t="s">
        <v>18850</v>
      </c>
      <c r="I2667" s="119">
        <v>45901.0</v>
      </c>
      <c r="K2667" s="7" t="s">
        <v>419</v>
      </c>
      <c r="L2667" s="7" t="s">
        <v>991</v>
      </c>
      <c r="M2667" s="7" t="s">
        <v>3531</v>
      </c>
      <c r="N2667" s="7" t="s">
        <v>419</v>
      </c>
      <c r="O2667" s="7" t="s">
        <v>19432</v>
      </c>
      <c r="P2667" s="7" t="s">
        <v>298</v>
      </c>
      <c r="Q2667" s="7" t="s">
        <v>1284</v>
      </c>
      <c r="R2667" s="7" t="s">
        <v>20190</v>
      </c>
      <c r="S2667" s="7" t="s">
        <v>20220</v>
      </c>
      <c r="T2667" s="7" t="s">
        <v>9604</v>
      </c>
      <c r="U2667" s="7" t="s">
        <v>3493</v>
      </c>
      <c r="V2667" s="7">
        <v>1.0</v>
      </c>
    </row>
    <row r="2668">
      <c r="A2668" s="7" t="s">
        <v>22582</v>
      </c>
      <c r="B2668" s="7">
        <v>3001067.0</v>
      </c>
      <c r="C2668" s="7" t="s">
        <v>14653</v>
      </c>
      <c r="D2668" s="7" t="s">
        <v>18852</v>
      </c>
      <c r="E2668" s="7" t="s">
        <v>18853</v>
      </c>
      <c r="F2668" s="7" t="s">
        <v>18854</v>
      </c>
      <c r="G2668" s="7" t="s">
        <v>18855</v>
      </c>
      <c r="H2668" s="7" t="s">
        <v>18856</v>
      </c>
      <c r="I2668" s="119">
        <v>45901.0</v>
      </c>
      <c r="K2668" s="7" t="s">
        <v>3632</v>
      </c>
      <c r="L2668" s="7" t="s">
        <v>991</v>
      </c>
      <c r="M2668" s="7" t="s">
        <v>3531</v>
      </c>
      <c r="N2668" s="7" t="s">
        <v>3632</v>
      </c>
      <c r="O2668" s="7" t="s">
        <v>3632</v>
      </c>
      <c r="P2668" s="7" t="s">
        <v>19462</v>
      </c>
      <c r="Q2668" s="7" t="s">
        <v>19463</v>
      </c>
      <c r="R2668" s="7" t="s">
        <v>19883</v>
      </c>
      <c r="T2668" s="7" t="s">
        <v>15149</v>
      </c>
      <c r="U2668" s="7" t="s">
        <v>3493</v>
      </c>
      <c r="V2668" s="7">
        <v>1.0</v>
      </c>
    </row>
    <row r="2669">
      <c r="A2669" s="7" t="s">
        <v>22583</v>
      </c>
      <c r="B2669" s="7">
        <v>3001089.0</v>
      </c>
      <c r="C2669" s="7" t="s">
        <v>18858</v>
      </c>
      <c r="D2669" s="7" t="s">
        <v>18859</v>
      </c>
      <c r="E2669" s="7" t="s">
        <v>18860</v>
      </c>
      <c r="F2669" s="7" t="s">
        <v>18861</v>
      </c>
      <c r="G2669" s="7" t="s">
        <v>18862</v>
      </c>
      <c r="H2669" s="7" t="s">
        <v>18863</v>
      </c>
      <c r="I2669" s="119">
        <v>45901.0</v>
      </c>
      <c r="K2669" s="7" t="s">
        <v>17988</v>
      </c>
      <c r="L2669" s="7" t="s">
        <v>991</v>
      </c>
      <c r="M2669" s="7" t="s">
        <v>3501</v>
      </c>
      <c r="N2669" s="7" t="s">
        <v>17988</v>
      </c>
      <c r="O2669" s="7" t="s">
        <v>17988</v>
      </c>
      <c r="P2669" s="7" t="s">
        <v>22394</v>
      </c>
      <c r="T2669" s="7" t="s">
        <v>17990</v>
      </c>
      <c r="U2669" s="7" t="s">
        <v>3493</v>
      </c>
      <c r="V2669" s="7">
        <v>1.0</v>
      </c>
    </row>
    <row r="2670">
      <c r="A2670" s="7" t="s">
        <v>22584</v>
      </c>
      <c r="B2670" s="7">
        <v>3000898.0</v>
      </c>
      <c r="C2670" s="7" t="s">
        <v>18865</v>
      </c>
      <c r="D2670" s="7" t="s">
        <v>6628</v>
      </c>
      <c r="E2670" s="7" t="s">
        <v>18866</v>
      </c>
      <c r="F2670" s="7" t="s">
        <v>6630</v>
      </c>
      <c r="G2670" s="7" t="s">
        <v>18867</v>
      </c>
      <c r="H2670" s="7" t="s">
        <v>18868</v>
      </c>
      <c r="I2670" s="119">
        <v>45901.0</v>
      </c>
      <c r="K2670" s="7" t="s">
        <v>419</v>
      </c>
      <c r="L2670" s="7" t="s">
        <v>991</v>
      </c>
      <c r="M2670" s="7" t="s">
        <v>3501</v>
      </c>
      <c r="N2670" s="7" t="s">
        <v>419</v>
      </c>
      <c r="O2670" s="7" t="s">
        <v>19432</v>
      </c>
      <c r="P2670" s="7" t="s">
        <v>298</v>
      </c>
      <c r="Q2670" s="7" t="s">
        <v>798</v>
      </c>
      <c r="R2670" s="7" t="s">
        <v>19526</v>
      </c>
      <c r="T2670" s="7" t="s">
        <v>3653</v>
      </c>
      <c r="U2670" s="7" t="s">
        <v>3493</v>
      </c>
      <c r="V2670" s="7">
        <v>1.0</v>
      </c>
    </row>
    <row r="2671">
      <c r="A2671" s="7" t="s">
        <v>22585</v>
      </c>
      <c r="B2671" s="7">
        <v>3001027.0</v>
      </c>
      <c r="C2671" s="7" t="s">
        <v>15365</v>
      </c>
      <c r="D2671" s="7" t="s">
        <v>5383</v>
      </c>
      <c r="E2671" s="7" t="s">
        <v>15367</v>
      </c>
      <c r="F2671" s="7" t="s">
        <v>3486</v>
      </c>
      <c r="G2671" s="7" t="s">
        <v>18870</v>
      </c>
      <c r="H2671" s="7" t="s">
        <v>18871</v>
      </c>
      <c r="I2671" s="119">
        <v>45901.0</v>
      </c>
      <c r="K2671" s="7" t="s">
        <v>419</v>
      </c>
      <c r="L2671" s="7" t="s">
        <v>991</v>
      </c>
      <c r="M2671" s="7" t="s">
        <v>3501</v>
      </c>
      <c r="N2671" s="7" t="s">
        <v>419</v>
      </c>
      <c r="O2671" s="7" t="s">
        <v>19432</v>
      </c>
      <c r="P2671" s="7" t="s">
        <v>1433</v>
      </c>
      <c r="Q2671" s="7" t="s">
        <v>644</v>
      </c>
      <c r="R2671" s="7" t="s">
        <v>20235</v>
      </c>
      <c r="T2671" s="7" t="s">
        <v>10143</v>
      </c>
      <c r="U2671" s="7" t="s">
        <v>3493</v>
      </c>
      <c r="V2671" s="7">
        <v>1.0</v>
      </c>
    </row>
    <row r="2672">
      <c r="A2672" s="7" t="s">
        <v>22586</v>
      </c>
      <c r="B2672" s="7">
        <v>3001065.0</v>
      </c>
      <c r="C2672" s="7" t="s">
        <v>18873</v>
      </c>
      <c r="D2672" s="7" t="s">
        <v>8202</v>
      </c>
      <c r="E2672" s="7" t="s">
        <v>18874</v>
      </c>
      <c r="F2672" s="7" t="s">
        <v>8814</v>
      </c>
      <c r="G2672" s="7" t="s">
        <v>18875</v>
      </c>
      <c r="H2672" s="7" t="s">
        <v>18876</v>
      </c>
      <c r="I2672" s="119">
        <v>45901.0</v>
      </c>
      <c r="K2672" s="7" t="s">
        <v>3632</v>
      </c>
      <c r="L2672" s="7" t="s">
        <v>991</v>
      </c>
      <c r="M2672" s="7" t="s">
        <v>3501</v>
      </c>
      <c r="N2672" s="7" t="s">
        <v>3632</v>
      </c>
      <c r="O2672" s="7" t="s">
        <v>3632</v>
      </c>
      <c r="P2672" s="7" t="s">
        <v>22</v>
      </c>
      <c r="Q2672" s="7" t="s">
        <v>544</v>
      </c>
      <c r="T2672" s="7" t="s">
        <v>7472</v>
      </c>
      <c r="U2672" s="7" t="s">
        <v>3493</v>
      </c>
      <c r="V2672" s="7">
        <v>1.0</v>
      </c>
    </row>
    <row r="2673">
      <c r="A2673" s="7" t="s">
        <v>22587</v>
      </c>
      <c r="B2673" s="7">
        <v>3001074.0</v>
      </c>
      <c r="C2673" s="7" t="s">
        <v>8328</v>
      </c>
      <c r="D2673" s="7" t="s">
        <v>4260</v>
      </c>
      <c r="E2673" s="7" t="s">
        <v>8329</v>
      </c>
      <c r="F2673" s="7" t="s">
        <v>4262</v>
      </c>
      <c r="G2673" s="7" t="s">
        <v>18879</v>
      </c>
      <c r="H2673" s="7" t="s">
        <v>18880</v>
      </c>
      <c r="I2673" s="119">
        <v>45901.0</v>
      </c>
      <c r="K2673" s="7" t="s">
        <v>3642</v>
      </c>
      <c r="L2673" s="7" t="s">
        <v>991</v>
      </c>
      <c r="M2673" s="7" t="s">
        <v>3501</v>
      </c>
      <c r="N2673" s="7" t="s">
        <v>3642</v>
      </c>
      <c r="O2673" s="7" t="s">
        <v>3642</v>
      </c>
      <c r="P2673" s="7" t="s">
        <v>19524</v>
      </c>
      <c r="T2673" s="7" t="s">
        <v>3644</v>
      </c>
      <c r="U2673" s="7" t="s">
        <v>3493</v>
      </c>
      <c r="V2673" s="7">
        <v>1.0</v>
      </c>
    </row>
    <row r="2674">
      <c r="A2674" s="7" t="s">
        <v>22588</v>
      </c>
      <c r="B2674" s="7">
        <v>3001073.0</v>
      </c>
      <c r="C2674" s="7" t="s">
        <v>8429</v>
      </c>
      <c r="D2674" s="7" t="s">
        <v>3580</v>
      </c>
      <c r="E2674" s="7" t="s">
        <v>8431</v>
      </c>
      <c r="F2674" s="7" t="s">
        <v>3580</v>
      </c>
      <c r="G2674" s="7" t="s">
        <v>18882</v>
      </c>
      <c r="H2674" s="7" t="s">
        <v>18883</v>
      </c>
      <c r="I2674" s="119">
        <v>45901.0</v>
      </c>
      <c r="K2674" s="7" t="s">
        <v>419</v>
      </c>
      <c r="L2674" s="7" t="s">
        <v>991</v>
      </c>
      <c r="M2674" s="7" t="s">
        <v>3531</v>
      </c>
      <c r="N2674" s="7" t="s">
        <v>419</v>
      </c>
      <c r="O2674" s="7" t="s">
        <v>19430</v>
      </c>
      <c r="P2674" s="7" t="s">
        <v>717</v>
      </c>
      <c r="Q2674" s="7" t="s">
        <v>1163</v>
      </c>
      <c r="R2674" s="7" t="s">
        <v>19546</v>
      </c>
      <c r="S2674" s="7" t="s">
        <v>19547</v>
      </c>
      <c r="T2674" s="7" t="s">
        <v>3743</v>
      </c>
      <c r="U2674" s="7" t="s">
        <v>3493</v>
      </c>
      <c r="V2674" s="7">
        <v>1.0</v>
      </c>
    </row>
    <row r="2675">
      <c r="A2675" s="7" t="s">
        <v>22589</v>
      </c>
      <c r="B2675" s="7">
        <v>3001075.0</v>
      </c>
      <c r="C2675" s="7" t="s">
        <v>8429</v>
      </c>
      <c r="D2675" s="7" t="s">
        <v>18885</v>
      </c>
      <c r="E2675" s="7" t="s">
        <v>8431</v>
      </c>
      <c r="F2675" s="7" t="s">
        <v>18886</v>
      </c>
      <c r="G2675" s="7" t="s">
        <v>18887</v>
      </c>
      <c r="H2675" s="7" t="s">
        <v>18888</v>
      </c>
      <c r="I2675" s="119">
        <v>45901.0</v>
      </c>
      <c r="K2675" s="7" t="s">
        <v>419</v>
      </c>
      <c r="L2675" s="7" t="s">
        <v>991</v>
      </c>
      <c r="M2675" s="7" t="s">
        <v>3531</v>
      </c>
      <c r="N2675" s="7" t="s">
        <v>419</v>
      </c>
      <c r="O2675" s="7" t="s">
        <v>19437</v>
      </c>
      <c r="P2675" s="7" t="s">
        <v>440</v>
      </c>
      <c r="Q2675" s="7" t="s">
        <v>19453</v>
      </c>
      <c r="T2675" s="7" t="s">
        <v>17630</v>
      </c>
      <c r="U2675" s="7" t="s">
        <v>3493</v>
      </c>
      <c r="V2675" s="7">
        <v>1.0</v>
      </c>
    </row>
    <row r="2676">
      <c r="A2676" s="7" t="s">
        <v>22590</v>
      </c>
      <c r="B2676" s="7">
        <v>3001099.0</v>
      </c>
      <c r="C2676" s="7" t="s">
        <v>18890</v>
      </c>
      <c r="D2676" s="7" t="s">
        <v>18891</v>
      </c>
      <c r="E2676" s="7" t="s">
        <v>18892</v>
      </c>
      <c r="F2676" s="7" t="s">
        <v>3714</v>
      </c>
      <c r="G2676" s="7" t="s">
        <v>18893</v>
      </c>
      <c r="H2676" s="7" t="s">
        <v>18894</v>
      </c>
      <c r="I2676" s="119">
        <v>45901.0</v>
      </c>
      <c r="K2676" s="7" t="s">
        <v>3632</v>
      </c>
      <c r="L2676" s="7" t="s">
        <v>991</v>
      </c>
      <c r="M2676" s="7" t="s">
        <v>3583</v>
      </c>
      <c r="N2676" s="7" t="s">
        <v>3632</v>
      </c>
      <c r="O2676" s="7" t="s">
        <v>3632</v>
      </c>
      <c r="P2676" s="7" t="s">
        <v>19462</v>
      </c>
      <c r="Q2676" s="7" t="s">
        <v>19463</v>
      </c>
      <c r="R2676" s="7" t="s">
        <v>19883</v>
      </c>
      <c r="T2676" s="7" t="s">
        <v>15149</v>
      </c>
      <c r="U2676" s="7" t="s">
        <v>3493</v>
      </c>
      <c r="V2676" s="7">
        <v>1.0</v>
      </c>
    </row>
    <row r="2677">
      <c r="A2677" s="7" t="s">
        <v>22591</v>
      </c>
      <c r="B2677" s="7">
        <v>3001092.0</v>
      </c>
      <c r="C2677" s="7" t="s">
        <v>18896</v>
      </c>
      <c r="D2677" s="7" t="s">
        <v>18897</v>
      </c>
      <c r="E2677" s="7" t="s">
        <v>18898</v>
      </c>
      <c r="F2677" s="7" t="s">
        <v>5715</v>
      </c>
      <c r="G2677" s="7" t="s">
        <v>18899</v>
      </c>
      <c r="H2677" s="7" t="s">
        <v>18900</v>
      </c>
      <c r="I2677" s="119">
        <v>45901.0</v>
      </c>
      <c r="K2677" s="7" t="s">
        <v>17988</v>
      </c>
      <c r="L2677" s="7" t="s">
        <v>991</v>
      </c>
      <c r="M2677" s="7" t="s">
        <v>3501</v>
      </c>
      <c r="N2677" s="7" t="s">
        <v>17988</v>
      </c>
      <c r="O2677" s="7" t="s">
        <v>17988</v>
      </c>
      <c r="P2677" s="7" t="s">
        <v>22394</v>
      </c>
      <c r="T2677" s="7" t="s">
        <v>17990</v>
      </c>
      <c r="U2677" s="7" t="s">
        <v>3493</v>
      </c>
      <c r="V2677" s="7">
        <v>1.0</v>
      </c>
    </row>
    <row r="2678">
      <c r="A2678" s="7" t="s">
        <v>22592</v>
      </c>
      <c r="B2678" s="7">
        <v>3001084.0</v>
      </c>
      <c r="C2678" s="7" t="s">
        <v>18902</v>
      </c>
      <c r="D2678" s="7" t="s">
        <v>18903</v>
      </c>
      <c r="E2678" s="7" t="s">
        <v>18904</v>
      </c>
      <c r="F2678" s="7" t="s">
        <v>18905</v>
      </c>
      <c r="G2678" s="7" t="s">
        <v>18906</v>
      </c>
      <c r="H2678" s="7" t="s">
        <v>18907</v>
      </c>
      <c r="I2678" s="119">
        <v>45901.0</v>
      </c>
      <c r="K2678" s="7" t="s">
        <v>17988</v>
      </c>
      <c r="L2678" s="7" t="s">
        <v>991</v>
      </c>
      <c r="M2678" s="7" t="s">
        <v>3501</v>
      </c>
      <c r="N2678" s="7" t="s">
        <v>17988</v>
      </c>
      <c r="O2678" s="7" t="s">
        <v>17988</v>
      </c>
      <c r="P2678" s="7" t="s">
        <v>22394</v>
      </c>
      <c r="T2678" s="7" t="s">
        <v>17990</v>
      </c>
      <c r="U2678" s="7" t="s">
        <v>3493</v>
      </c>
      <c r="V2678" s="7">
        <v>1.0</v>
      </c>
    </row>
    <row r="2679">
      <c r="A2679" s="7" t="s">
        <v>22593</v>
      </c>
      <c r="B2679" s="7">
        <v>3001083.0</v>
      </c>
      <c r="C2679" s="7" t="s">
        <v>9145</v>
      </c>
      <c r="D2679" s="7" t="s">
        <v>17236</v>
      </c>
      <c r="E2679" s="7" t="s">
        <v>9147</v>
      </c>
      <c r="F2679" s="7" t="s">
        <v>4068</v>
      </c>
      <c r="G2679" s="7" t="s">
        <v>18909</v>
      </c>
      <c r="H2679" s="7" t="s">
        <v>18910</v>
      </c>
      <c r="I2679" s="119">
        <v>45901.0</v>
      </c>
      <c r="K2679" s="7" t="s">
        <v>17988</v>
      </c>
      <c r="L2679" s="7" t="s">
        <v>991</v>
      </c>
      <c r="M2679" s="7" t="s">
        <v>3501</v>
      </c>
      <c r="N2679" s="7" t="s">
        <v>17988</v>
      </c>
      <c r="O2679" s="7" t="s">
        <v>17988</v>
      </c>
      <c r="P2679" s="7" t="s">
        <v>22394</v>
      </c>
      <c r="T2679" s="7" t="s">
        <v>17990</v>
      </c>
      <c r="U2679" s="7" t="s">
        <v>3493</v>
      </c>
      <c r="V2679" s="7">
        <v>1.0</v>
      </c>
    </row>
    <row r="2680">
      <c r="A2680" s="7" t="s">
        <v>22594</v>
      </c>
      <c r="B2680" s="7">
        <v>3001071.0</v>
      </c>
      <c r="C2680" s="7" t="s">
        <v>9145</v>
      </c>
      <c r="D2680" s="7" t="s">
        <v>18912</v>
      </c>
      <c r="E2680" s="7" t="s">
        <v>9147</v>
      </c>
      <c r="F2680" s="7" t="s">
        <v>18913</v>
      </c>
      <c r="G2680" s="7" t="s">
        <v>18914</v>
      </c>
      <c r="H2680" s="7" t="s">
        <v>18915</v>
      </c>
      <c r="I2680" s="119">
        <v>45901.0</v>
      </c>
      <c r="K2680" s="7" t="s">
        <v>419</v>
      </c>
      <c r="L2680" s="7" t="s">
        <v>991</v>
      </c>
      <c r="M2680" s="7" t="s">
        <v>3531</v>
      </c>
      <c r="N2680" s="7" t="s">
        <v>419</v>
      </c>
      <c r="O2680" s="7" t="s">
        <v>19430</v>
      </c>
      <c r="P2680" s="7" t="s">
        <v>717</v>
      </c>
      <c r="Q2680" s="7" t="s">
        <v>738</v>
      </c>
      <c r="R2680" s="7" t="s">
        <v>20012</v>
      </c>
      <c r="S2680" s="7" t="s">
        <v>20068</v>
      </c>
      <c r="T2680" s="7" t="s">
        <v>5889</v>
      </c>
      <c r="U2680" s="7" t="s">
        <v>3493</v>
      </c>
      <c r="V2680" s="7">
        <v>1.0</v>
      </c>
    </row>
    <row r="2681">
      <c r="A2681" s="7" t="s">
        <v>22595</v>
      </c>
      <c r="B2681" s="7">
        <v>3001078.0</v>
      </c>
      <c r="C2681" s="7" t="s">
        <v>9145</v>
      </c>
      <c r="D2681" s="7" t="s">
        <v>18917</v>
      </c>
      <c r="E2681" s="7" t="s">
        <v>9147</v>
      </c>
      <c r="F2681" s="7" t="s">
        <v>4831</v>
      </c>
      <c r="G2681" s="7" t="s">
        <v>18918</v>
      </c>
      <c r="H2681" s="7" t="s">
        <v>18919</v>
      </c>
      <c r="I2681" s="119">
        <v>45901.0</v>
      </c>
      <c r="K2681" s="7" t="s">
        <v>17988</v>
      </c>
      <c r="L2681" s="7" t="s">
        <v>991</v>
      </c>
      <c r="M2681" s="7" t="s">
        <v>3501</v>
      </c>
      <c r="N2681" s="7" t="s">
        <v>17988</v>
      </c>
      <c r="O2681" s="7" t="s">
        <v>17988</v>
      </c>
      <c r="P2681" s="7" t="s">
        <v>22394</v>
      </c>
      <c r="T2681" s="7" t="s">
        <v>17990</v>
      </c>
      <c r="U2681" s="7" t="s">
        <v>3493</v>
      </c>
      <c r="V2681" s="7">
        <v>1.0</v>
      </c>
    </row>
    <row r="2682">
      <c r="A2682" s="7" t="s">
        <v>22596</v>
      </c>
      <c r="B2682" s="7">
        <v>3000892.0</v>
      </c>
      <c r="C2682" s="7" t="s">
        <v>9321</v>
      </c>
      <c r="D2682" s="7" t="s">
        <v>18921</v>
      </c>
      <c r="E2682" s="7" t="s">
        <v>9322</v>
      </c>
      <c r="F2682" s="7" t="s">
        <v>6184</v>
      </c>
      <c r="G2682" s="7" t="s">
        <v>18922</v>
      </c>
      <c r="H2682" s="7" t="s">
        <v>18923</v>
      </c>
      <c r="I2682" s="119">
        <v>45901.0</v>
      </c>
      <c r="K2682" s="7" t="s">
        <v>419</v>
      </c>
      <c r="L2682" s="7" t="s">
        <v>991</v>
      </c>
      <c r="M2682" s="7" t="s">
        <v>3501</v>
      </c>
      <c r="N2682" s="7" t="s">
        <v>419</v>
      </c>
      <c r="O2682" s="7" t="s">
        <v>19443</v>
      </c>
      <c r="P2682" s="7" t="s">
        <v>323</v>
      </c>
      <c r="Q2682" s="7" t="s">
        <v>824</v>
      </c>
      <c r="R2682" s="7" t="s">
        <v>20590</v>
      </c>
      <c r="T2682" s="7" t="s">
        <v>20591</v>
      </c>
      <c r="U2682" s="7" t="s">
        <v>3493</v>
      </c>
      <c r="V2682" s="7">
        <v>1.0</v>
      </c>
    </row>
    <row r="2683">
      <c r="A2683" s="7" t="s">
        <v>22597</v>
      </c>
      <c r="B2683" s="7">
        <v>3001082.0</v>
      </c>
      <c r="C2683" s="7" t="s">
        <v>18925</v>
      </c>
      <c r="D2683" s="7" t="s">
        <v>18926</v>
      </c>
      <c r="E2683" s="7" t="s">
        <v>18927</v>
      </c>
      <c r="F2683" s="7" t="s">
        <v>16895</v>
      </c>
      <c r="G2683" s="7" t="s">
        <v>18928</v>
      </c>
      <c r="H2683" s="7" t="s">
        <v>18929</v>
      </c>
      <c r="I2683" s="119">
        <v>45901.0</v>
      </c>
      <c r="K2683" s="7" t="s">
        <v>17988</v>
      </c>
      <c r="L2683" s="7" t="s">
        <v>991</v>
      </c>
      <c r="M2683" s="7" t="s">
        <v>3501</v>
      </c>
      <c r="N2683" s="7" t="s">
        <v>17988</v>
      </c>
      <c r="O2683" s="7" t="s">
        <v>17988</v>
      </c>
      <c r="P2683" s="7" t="s">
        <v>22394</v>
      </c>
      <c r="T2683" s="7" t="s">
        <v>17990</v>
      </c>
      <c r="U2683" s="7" t="s">
        <v>3493</v>
      </c>
      <c r="V2683" s="7">
        <v>1.0</v>
      </c>
    </row>
    <row r="2684">
      <c r="A2684" s="7" t="s">
        <v>22598</v>
      </c>
      <c r="B2684" s="7">
        <v>3001100.0</v>
      </c>
      <c r="C2684" s="7" t="s">
        <v>9570</v>
      </c>
      <c r="D2684" s="7" t="s">
        <v>18931</v>
      </c>
      <c r="E2684" s="7" t="s">
        <v>9572</v>
      </c>
      <c r="F2684" s="7" t="s">
        <v>18932</v>
      </c>
      <c r="G2684" s="7" t="s">
        <v>18933</v>
      </c>
      <c r="H2684" s="7" t="s">
        <v>18934</v>
      </c>
      <c r="I2684" s="119">
        <v>45901.0</v>
      </c>
      <c r="K2684" s="7" t="s">
        <v>3632</v>
      </c>
      <c r="L2684" s="7" t="s">
        <v>991</v>
      </c>
      <c r="M2684" s="7" t="s">
        <v>3583</v>
      </c>
      <c r="N2684" s="7" t="s">
        <v>3632</v>
      </c>
      <c r="O2684" s="7" t="s">
        <v>3632</v>
      </c>
      <c r="P2684" s="7" t="s">
        <v>19462</v>
      </c>
      <c r="Q2684" s="7" t="s">
        <v>19463</v>
      </c>
      <c r="R2684" s="7" t="s">
        <v>19883</v>
      </c>
      <c r="T2684" s="7" t="s">
        <v>15149</v>
      </c>
      <c r="U2684" s="7" t="s">
        <v>3493</v>
      </c>
      <c r="V2684" s="7">
        <v>1.0</v>
      </c>
    </row>
    <row r="2685">
      <c r="A2685" s="7" t="s">
        <v>22599</v>
      </c>
      <c r="B2685" s="7">
        <v>3001069.0</v>
      </c>
      <c r="C2685" s="7" t="s">
        <v>9907</v>
      </c>
      <c r="D2685" s="7" t="s">
        <v>18936</v>
      </c>
      <c r="E2685" s="7" t="s">
        <v>9909</v>
      </c>
      <c r="F2685" s="7" t="s">
        <v>3986</v>
      </c>
      <c r="G2685" s="7" t="s">
        <v>18937</v>
      </c>
      <c r="H2685" s="7" t="s">
        <v>18938</v>
      </c>
      <c r="I2685" s="119">
        <v>45901.0</v>
      </c>
      <c r="K2685" s="7" t="s">
        <v>3632</v>
      </c>
      <c r="L2685" s="7" t="s">
        <v>991</v>
      </c>
      <c r="M2685" s="7" t="s">
        <v>3531</v>
      </c>
      <c r="N2685" s="7" t="s">
        <v>3632</v>
      </c>
      <c r="O2685" s="7" t="s">
        <v>3632</v>
      </c>
      <c r="P2685" s="7" t="s">
        <v>429</v>
      </c>
      <c r="Q2685" s="7" t="s">
        <v>436</v>
      </c>
      <c r="R2685" s="7" t="s">
        <v>19708</v>
      </c>
      <c r="T2685" s="7" t="s">
        <v>4325</v>
      </c>
      <c r="U2685" s="7" t="s">
        <v>3493</v>
      </c>
      <c r="V2685" s="7">
        <v>1.0</v>
      </c>
    </row>
    <row r="2686">
      <c r="A2686" s="7" t="s">
        <v>22600</v>
      </c>
      <c r="B2686" s="7">
        <v>3001090.0</v>
      </c>
      <c r="C2686" s="7" t="s">
        <v>9907</v>
      </c>
      <c r="D2686" s="7" t="s">
        <v>18940</v>
      </c>
      <c r="E2686" s="7" t="s">
        <v>9909</v>
      </c>
      <c r="F2686" s="7" t="s">
        <v>14556</v>
      </c>
      <c r="G2686" s="7" t="s">
        <v>18941</v>
      </c>
      <c r="H2686" s="7" t="s">
        <v>18942</v>
      </c>
      <c r="I2686" s="119">
        <v>45901.0</v>
      </c>
      <c r="K2686" s="7" t="s">
        <v>17988</v>
      </c>
      <c r="L2686" s="7" t="s">
        <v>991</v>
      </c>
      <c r="M2686" s="7" t="s">
        <v>3501</v>
      </c>
      <c r="N2686" s="7" t="s">
        <v>17988</v>
      </c>
      <c r="O2686" s="7" t="s">
        <v>17988</v>
      </c>
      <c r="P2686" s="7" t="s">
        <v>22394</v>
      </c>
      <c r="T2686" s="7" t="s">
        <v>17990</v>
      </c>
      <c r="U2686" s="7" t="s">
        <v>3493</v>
      </c>
      <c r="V2686" s="7">
        <v>1.0</v>
      </c>
    </row>
    <row r="2687">
      <c r="A2687" s="7" t="s">
        <v>22601</v>
      </c>
      <c r="B2687" s="7">
        <v>3000920.0</v>
      </c>
      <c r="C2687" s="7" t="s">
        <v>18944</v>
      </c>
      <c r="D2687" s="7" t="s">
        <v>4982</v>
      </c>
      <c r="E2687" s="7" t="s">
        <v>18945</v>
      </c>
      <c r="F2687" s="7" t="s">
        <v>4984</v>
      </c>
      <c r="G2687" s="7" t="s">
        <v>18946</v>
      </c>
      <c r="H2687" s="7" t="s">
        <v>18947</v>
      </c>
      <c r="I2687" s="119">
        <v>45901.0</v>
      </c>
      <c r="K2687" s="7" t="s">
        <v>419</v>
      </c>
      <c r="L2687" s="7" t="s">
        <v>991</v>
      </c>
      <c r="M2687" s="7" t="s">
        <v>3501</v>
      </c>
      <c r="N2687" s="7" t="s">
        <v>419</v>
      </c>
      <c r="O2687" s="7" t="s">
        <v>19432</v>
      </c>
      <c r="P2687" s="7" t="s">
        <v>693</v>
      </c>
      <c r="Q2687" s="7" t="s">
        <v>701</v>
      </c>
      <c r="R2687" s="7" t="s">
        <v>20587</v>
      </c>
      <c r="S2687" s="7" t="s">
        <v>19611</v>
      </c>
      <c r="T2687" s="7" t="s">
        <v>8504</v>
      </c>
      <c r="U2687" s="7" t="s">
        <v>3493</v>
      </c>
      <c r="V2687" s="7">
        <v>1.0</v>
      </c>
    </row>
    <row r="2688">
      <c r="A2688" s="7" t="s">
        <v>22602</v>
      </c>
      <c r="B2688" s="7">
        <v>3001068.0</v>
      </c>
      <c r="C2688" s="7" t="s">
        <v>10832</v>
      </c>
      <c r="D2688" s="7" t="s">
        <v>18949</v>
      </c>
      <c r="E2688" s="7" t="s">
        <v>10834</v>
      </c>
      <c r="F2688" s="7" t="s">
        <v>3571</v>
      </c>
      <c r="G2688" s="7" t="s">
        <v>18950</v>
      </c>
      <c r="H2688" s="7" t="s">
        <v>18951</v>
      </c>
      <c r="I2688" s="119">
        <v>45901.0</v>
      </c>
      <c r="K2688" s="7" t="s">
        <v>3632</v>
      </c>
      <c r="L2688" s="7" t="s">
        <v>991</v>
      </c>
      <c r="M2688" s="7" t="s">
        <v>3531</v>
      </c>
      <c r="N2688" s="7" t="s">
        <v>3632</v>
      </c>
      <c r="O2688" s="7" t="s">
        <v>3632</v>
      </c>
      <c r="P2688" s="7" t="s">
        <v>429</v>
      </c>
      <c r="Q2688" s="7" t="s">
        <v>436</v>
      </c>
      <c r="R2688" s="7" t="s">
        <v>19708</v>
      </c>
      <c r="T2688" s="7" t="s">
        <v>4325</v>
      </c>
      <c r="U2688" s="7" t="s">
        <v>3493</v>
      </c>
      <c r="V2688" s="7">
        <v>1.0</v>
      </c>
    </row>
    <row r="2689">
      <c r="A2689" s="7" t="s">
        <v>22603</v>
      </c>
      <c r="B2689" s="7">
        <v>3001079.0</v>
      </c>
      <c r="C2689" s="7" t="s">
        <v>14573</v>
      </c>
      <c r="D2689" s="7" t="s">
        <v>18953</v>
      </c>
      <c r="E2689" s="7" t="s">
        <v>14575</v>
      </c>
      <c r="F2689" s="7" t="s">
        <v>5347</v>
      </c>
      <c r="G2689" s="7" t="s">
        <v>18954</v>
      </c>
      <c r="H2689" s="7" t="s">
        <v>18955</v>
      </c>
      <c r="I2689" s="119">
        <v>45901.0</v>
      </c>
      <c r="K2689" s="7" t="s">
        <v>17988</v>
      </c>
      <c r="L2689" s="7" t="s">
        <v>991</v>
      </c>
      <c r="M2689" s="7" t="s">
        <v>3501</v>
      </c>
      <c r="N2689" s="7" t="s">
        <v>17988</v>
      </c>
      <c r="O2689" s="7" t="s">
        <v>17988</v>
      </c>
      <c r="P2689" s="7" t="s">
        <v>22394</v>
      </c>
      <c r="T2689" s="7" t="s">
        <v>17990</v>
      </c>
      <c r="U2689" s="7" t="s">
        <v>3493</v>
      </c>
      <c r="V2689" s="7">
        <v>1.0</v>
      </c>
    </row>
    <row r="2690">
      <c r="A2690" s="7" t="s">
        <v>22604</v>
      </c>
      <c r="B2690" s="7">
        <v>3001080.0</v>
      </c>
      <c r="C2690" s="7" t="s">
        <v>18957</v>
      </c>
      <c r="D2690" s="7" t="s">
        <v>18958</v>
      </c>
      <c r="E2690" s="7" t="s">
        <v>18959</v>
      </c>
      <c r="F2690" s="7" t="s">
        <v>18960</v>
      </c>
      <c r="G2690" s="7" t="s">
        <v>18961</v>
      </c>
      <c r="H2690" s="7" t="s">
        <v>18962</v>
      </c>
      <c r="I2690" s="119">
        <v>45901.0</v>
      </c>
      <c r="K2690" s="7" t="s">
        <v>17988</v>
      </c>
      <c r="L2690" s="7" t="s">
        <v>991</v>
      </c>
      <c r="M2690" s="7" t="s">
        <v>3501</v>
      </c>
      <c r="N2690" s="7" t="s">
        <v>17988</v>
      </c>
      <c r="O2690" s="7" t="s">
        <v>17988</v>
      </c>
      <c r="P2690" s="7" t="s">
        <v>22394</v>
      </c>
      <c r="T2690" s="7" t="s">
        <v>17990</v>
      </c>
      <c r="U2690" s="7" t="s">
        <v>3493</v>
      </c>
      <c r="V2690" s="7">
        <v>1.0</v>
      </c>
    </row>
    <row r="2691">
      <c r="A2691" s="7" t="s">
        <v>22605</v>
      </c>
      <c r="B2691" s="7">
        <v>3000973.0</v>
      </c>
      <c r="C2691" s="7" t="s">
        <v>18964</v>
      </c>
      <c r="D2691" s="7" t="s">
        <v>16764</v>
      </c>
      <c r="E2691" s="7" t="s">
        <v>18965</v>
      </c>
      <c r="F2691" s="7" t="s">
        <v>9094</v>
      </c>
      <c r="G2691" s="7" t="s">
        <v>18966</v>
      </c>
      <c r="H2691" s="7" t="s">
        <v>18967</v>
      </c>
      <c r="I2691" s="119">
        <v>45901.0</v>
      </c>
      <c r="K2691" s="7" t="s">
        <v>419</v>
      </c>
      <c r="L2691" s="7" t="s">
        <v>991</v>
      </c>
      <c r="M2691" s="7" t="s">
        <v>3501</v>
      </c>
      <c r="N2691" s="7" t="s">
        <v>419</v>
      </c>
      <c r="O2691" s="7" t="s">
        <v>19437</v>
      </c>
      <c r="P2691" s="7" t="s">
        <v>478</v>
      </c>
      <c r="Q2691" s="7" t="s">
        <v>487</v>
      </c>
      <c r="R2691" s="7" t="s">
        <v>19796</v>
      </c>
      <c r="S2691" s="7" t="s">
        <v>19797</v>
      </c>
      <c r="T2691" s="7" t="s">
        <v>4670</v>
      </c>
      <c r="U2691" s="7" t="s">
        <v>3493</v>
      </c>
      <c r="V2691" s="7">
        <v>1.0</v>
      </c>
    </row>
    <row r="2692">
      <c r="A2692" s="7" t="s">
        <v>22606</v>
      </c>
      <c r="B2692" s="7">
        <v>3000961.0</v>
      </c>
      <c r="C2692" s="7" t="s">
        <v>12065</v>
      </c>
      <c r="D2692" s="7" t="s">
        <v>18969</v>
      </c>
      <c r="E2692" s="7" t="s">
        <v>12067</v>
      </c>
      <c r="F2692" s="7" t="s">
        <v>6669</v>
      </c>
      <c r="G2692" s="7" t="s">
        <v>18970</v>
      </c>
      <c r="H2692" s="7" t="s">
        <v>18971</v>
      </c>
      <c r="I2692" s="119">
        <v>45901.0</v>
      </c>
      <c r="K2692" s="7" t="s">
        <v>419</v>
      </c>
      <c r="L2692" s="7" t="s">
        <v>991</v>
      </c>
      <c r="M2692" s="7" t="s">
        <v>3501</v>
      </c>
      <c r="N2692" s="7" t="s">
        <v>419</v>
      </c>
      <c r="O2692" s="7" t="s">
        <v>19437</v>
      </c>
      <c r="P2692" s="7" t="s">
        <v>478</v>
      </c>
      <c r="Q2692" s="7" t="s">
        <v>487</v>
      </c>
      <c r="R2692" s="7" t="s">
        <v>20534</v>
      </c>
      <c r="T2692" s="7" t="s">
        <v>8282</v>
      </c>
      <c r="U2692" s="7" t="s">
        <v>3493</v>
      </c>
      <c r="V2692" s="7">
        <v>1.0</v>
      </c>
    </row>
    <row r="2693">
      <c r="A2693" s="7" t="s">
        <v>22607</v>
      </c>
      <c r="B2693" s="7">
        <v>3001025.0</v>
      </c>
      <c r="C2693" s="7" t="s">
        <v>18973</v>
      </c>
      <c r="D2693" s="7" t="s">
        <v>18974</v>
      </c>
      <c r="E2693" s="7" t="s">
        <v>18975</v>
      </c>
      <c r="F2693" s="7" t="s">
        <v>3692</v>
      </c>
      <c r="G2693" s="7" t="s">
        <v>18976</v>
      </c>
      <c r="H2693" s="7" t="s">
        <v>18977</v>
      </c>
      <c r="I2693" s="119">
        <v>45901.0</v>
      </c>
      <c r="K2693" s="7" t="s">
        <v>419</v>
      </c>
      <c r="L2693" s="7" t="s">
        <v>991</v>
      </c>
      <c r="M2693" s="7" t="s">
        <v>3501</v>
      </c>
      <c r="N2693" s="7" t="s">
        <v>419</v>
      </c>
      <c r="O2693" s="7" t="s">
        <v>19432</v>
      </c>
      <c r="P2693" s="7" t="s">
        <v>391</v>
      </c>
      <c r="Q2693" s="7" t="s">
        <v>392</v>
      </c>
      <c r="R2693" s="7" t="s">
        <v>20982</v>
      </c>
      <c r="T2693" s="7" t="s">
        <v>11498</v>
      </c>
      <c r="U2693" s="7" t="s">
        <v>3493</v>
      </c>
      <c r="V2693" s="7">
        <v>1.0</v>
      </c>
    </row>
    <row r="2694">
      <c r="A2694" s="7" t="s">
        <v>22608</v>
      </c>
      <c r="B2694" s="7">
        <v>3001088.0</v>
      </c>
      <c r="C2694" s="7" t="s">
        <v>17385</v>
      </c>
      <c r="D2694" s="7" t="s">
        <v>18979</v>
      </c>
      <c r="E2694" s="7" t="s">
        <v>17387</v>
      </c>
      <c r="F2694" s="7" t="s">
        <v>3963</v>
      </c>
      <c r="G2694" s="7" t="s">
        <v>18980</v>
      </c>
      <c r="H2694" s="7" t="s">
        <v>18981</v>
      </c>
      <c r="I2694" s="119">
        <v>45901.0</v>
      </c>
      <c r="K2694" s="7" t="s">
        <v>17988</v>
      </c>
      <c r="L2694" s="7" t="s">
        <v>991</v>
      </c>
      <c r="M2694" s="7" t="s">
        <v>3501</v>
      </c>
      <c r="N2694" s="7" t="s">
        <v>17988</v>
      </c>
      <c r="O2694" s="7" t="s">
        <v>17988</v>
      </c>
      <c r="P2694" s="7" t="s">
        <v>22394</v>
      </c>
      <c r="T2694" s="7" t="s">
        <v>17990</v>
      </c>
      <c r="U2694" s="7" t="s">
        <v>3493</v>
      </c>
      <c r="V2694" s="7">
        <v>1.0</v>
      </c>
    </row>
    <row r="2695">
      <c r="A2695" s="7" t="s">
        <v>22609</v>
      </c>
      <c r="B2695" s="7">
        <v>3001058.0</v>
      </c>
      <c r="C2695" s="7" t="s">
        <v>12488</v>
      </c>
      <c r="D2695" s="7" t="s">
        <v>18983</v>
      </c>
      <c r="E2695" s="7" t="s">
        <v>12489</v>
      </c>
      <c r="F2695" s="7" t="s">
        <v>6844</v>
      </c>
      <c r="G2695" s="7" t="s">
        <v>18984</v>
      </c>
      <c r="H2695" s="7" t="s">
        <v>18985</v>
      </c>
      <c r="I2695" s="119">
        <v>45901.0</v>
      </c>
      <c r="K2695" s="7" t="s">
        <v>419</v>
      </c>
      <c r="L2695" s="7" t="s">
        <v>991</v>
      </c>
      <c r="M2695" s="7" t="s">
        <v>3583</v>
      </c>
      <c r="N2695" s="7" t="s">
        <v>419</v>
      </c>
      <c r="O2695" s="7" t="s">
        <v>19437</v>
      </c>
      <c r="P2695" s="7" t="s">
        <v>478</v>
      </c>
      <c r="Q2695" s="7" t="s">
        <v>487</v>
      </c>
      <c r="R2695" s="7" t="s">
        <v>19499</v>
      </c>
      <c r="T2695" s="7" t="s">
        <v>8093</v>
      </c>
      <c r="U2695" s="7" t="s">
        <v>3493</v>
      </c>
      <c r="V2695" s="7">
        <v>1.0</v>
      </c>
    </row>
    <row r="2696">
      <c r="A2696" s="7" t="s">
        <v>22610</v>
      </c>
      <c r="B2696" s="7">
        <v>3001081.0</v>
      </c>
      <c r="C2696" s="7" t="s">
        <v>12668</v>
      </c>
      <c r="D2696" s="7" t="s">
        <v>18988</v>
      </c>
      <c r="E2696" s="7" t="s">
        <v>12669</v>
      </c>
      <c r="F2696" s="7" t="s">
        <v>9227</v>
      </c>
      <c r="G2696" s="7" t="s">
        <v>18989</v>
      </c>
      <c r="H2696" s="7" t="s">
        <v>18990</v>
      </c>
      <c r="I2696" s="119">
        <v>45901.0</v>
      </c>
      <c r="K2696" s="7" t="s">
        <v>17988</v>
      </c>
      <c r="L2696" s="7" t="s">
        <v>991</v>
      </c>
      <c r="M2696" s="7" t="s">
        <v>3501</v>
      </c>
      <c r="N2696" s="7" t="s">
        <v>17988</v>
      </c>
      <c r="O2696" s="7" t="s">
        <v>17988</v>
      </c>
      <c r="P2696" s="7" t="s">
        <v>22394</v>
      </c>
      <c r="T2696" s="7" t="s">
        <v>17990</v>
      </c>
      <c r="U2696" s="7" t="s">
        <v>3493</v>
      </c>
      <c r="V2696" s="7">
        <v>1.0</v>
      </c>
    </row>
    <row r="2697">
      <c r="A2697" s="7" t="s">
        <v>22611</v>
      </c>
      <c r="B2697" s="7">
        <v>3001098.0</v>
      </c>
      <c r="C2697" s="7" t="s">
        <v>13007</v>
      </c>
      <c r="D2697" s="7" t="s">
        <v>18992</v>
      </c>
      <c r="E2697" s="7" t="s">
        <v>13008</v>
      </c>
      <c r="F2697" s="7" t="s">
        <v>6288</v>
      </c>
      <c r="G2697" s="7" t="s">
        <v>18993</v>
      </c>
      <c r="I2697" s="119">
        <v>45901.0</v>
      </c>
      <c r="K2697" s="7" t="s">
        <v>419</v>
      </c>
      <c r="L2697" s="7" t="s">
        <v>991</v>
      </c>
      <c r="M2697" s="7" t="s">
        <v>3531</v>
      </c>
      <c r="N2697" s="7" t="s">
        <v>419</v>
      </c>
      <c r="O2697" s="7" t="s">
        <v>19430</v>
      </c>
      <c r="P2697" s="7" t="s">
        <v>854</v>
      </c>
      <c r="Q2697" s="7" t="s">
        <v>859</v>
      </c>
      <c r="T2697" s="7" t="s">
        <v>3821</v>
      </c>
      <c r="U2697" s="7" t="s">
        <v>3493</v>
      </c>
      <c r="V2697" s="7">
        <v>1.0</v>
      </c>
    </row>
    <row r="2698">
      <c r="A2698" s="7" t="s">
        <v>22612</v>
      </c>
      <c r="B2698" s="7">
        <v>3001087.0</v>
      </c>
      <c r="C2698" s="7" t="s">
        <v>13007</v>
      </c>
      <c r="D2698" s="7" t="s">
        <v>18463</v>
      </c>
      <c r="E2698" s="7" t="s">
        <v>13008</v>
      </c>
      <c r="F2698" s="7" t="s">
        <v>4677</v>
      </c>
      <c r="G2698" s="7" t="s">
        <v>18995</v>
      </c>
      <c r="H2698" s="7" t="s">
        <v>18996</v>
      </c>
      <c r="I2698" s="119">
        <v>45901.0</v>
      </c>
      <c r="K2698" s="7" t="s">
        <v>17988</v>
      </c>
      <c r="L2698" s="7" t="s">
        <v>991</v>
      </c>
      <c r="M2698" s="7" t="s">
        <v>3501</v>
      </c>
      <c r="N2698" s="7" t="s">
        <v>17988</v>
      </c>
      <c r="O2698" s="7" t="s">
        <v>17988</v>
      </c>
      <c r="P2698" s="7" t="s">
        <v>22394</v>
      </c>
      <c r="T2698" s="7" t="s">
        <v>17990</v>
      </c>
      <c r="U2698" s="7" t="s">
        <v>3493</v>
      </c>
      <c r="V2698" s="7">
        <v>1.0</v>
      </c>
    </row>
    <row r="2699">
      <c r="A2699" s="7" t="s">
        <v>22613</v>
      </c>
      <c r="B2699" s="7">
        <v>3000972.0</v>
      </c>
      <c r="C2699" s="7" t="s">
        <v>13080</v>
      </c>
      <c r="D2699" s="7" t="s">
        <v>18998</v>
      </c>
      <c r="E2699" s="7" t="s">
        <v>13082</v>
      </c>
      <c r="F2699" s="7" t="s">
        <v>3909</v>
      </c>
      <c r="G2699" s="7" t="s">
        <v>18999</v>
      </c>
      <c r="H2699" s="7" t="s">
        <v>19000</v>
      </c>
      <c r="I2699" s="119">
        <v>45901.0</v>
      </c>
      <c r="K2699" s="7" t="s">
        <v>419</v>
      </c>
      <c r="L2699" s="7" t="s">
        <v>991</v>
      </c>
      <c r="M2699" s="7" t="s">
        <v>3866</v>
      </c>
      <c r="N2699" s="7" t="s">
        <v>419</v>
      </c>
      <c r="O2699" s="7" t="s">
        <v>19437</v>
      </c>
      <c r="P2699" s="7" t="s">
        <v>478</v>
      </c>
      <c r="Q2699" s="7" t="s">
        <v>508</v>
      </c>
      <c r="T2699" s="7" t="s">
        <v>22052</v>
      </c>
      <c r="U2699" s="7" t="s">
        <v>3493</v>
      </c>
      <c r="V2699" s="7">
        <v>1.0</v>
      </c>
    </row>
    <row r="2700">
      <c r="A2700" s="7" t="s">
        <v>22614</v>
      </c>
      <c r="B2700" s="7">
        <v>3001093.0</v>
      </c>
      <c r="C2700" s="7" t="s">
        <v>19003</v>
      </c>
      <c r="D2700" s="7" t="s">
        <v>19004</v>
      </c>
      <c r="E2700" s="7" t="s">
        <v>5475</v>
      </c>
      <c r="F2700" s="7" t="s">
        <v>10522</v>
      </c>
      <c r="G2700" s="7" t="s">
        <v>19005</v>
      </c>
      <c r="H2700" s="7" t="s">
        <v>19006</v>
      </c>
      <c r="I2700" s="119">
        <v>45901.0</v>
      </c>
      <c r="K2700" s="7" t="s">
        <v>419</v>
      </c>
      <c r="L2700" s="7" t="s">
        <v>991</v>
      </c>
      <c r="M2700" s="7" t="s">
        <v>3531</v>
      </c>
      <c r="N2700" s="7" t="s">
        <v>419</v>
      </c>
      <c r="O2700" s="7" t="s">
        <v>19440</v>
      </c>
      <c r="P2700" s="7" t="s">
        <v>613</v>
      </c>
      <c r="Q2700" s="7" t="s">
        <v>106</v>
      </c>
      <c r="R2700" s="7" t="s">
        <v>19528</v>
      </c>
      <c r="T2700" s="7" t="s">
        <v>3660</v>
      </c>
      <c r="U2700" s="7" t="s">
        <v>3493</v>
      </c>
      <c r="V2700" s="7">
        <v>1.0</v>
      </c>
    </row>
    <row r="2701">
      <c r="A2701" s="7" t="s">
        <v>22615</v>
      </c>
      <c r="B2701" s="7">
        <v>3001085.0</v>
      </c>
      <c r="C2701" s="7" t="s">
        <v>13672</v>
      </c>
      <c r="D2701" s="7" t="s">
        <v>19008</v>
      </c>
      <c r="E2701" s="7" t="s">
        <v>13674</v>
      </c>
      <c r="F2701" s="7" t="s">
        <v>5369</v>
      </c>
      <c r="G2701" s="7" t="s">
        <v>19009</v>
      </c>
      <c r="H2701" s="7" t="s">
        <v>19010</v>
      </c>
      <c r="I2701" s="119">
        <v>45901.0</v>
      </c>
      <c r="K2701" s="7" t="s">
        <v>17988</v>
      </c>
      <c r="L2701" s="7" t="s">
        <v>991</v>
      </c>
      <c r="M2701" s="7" t="s">
        <v>3490</v>
      </c>
      <c r="N2701" s="7" t="s">
        <v>17988</v>
      </c>
      <c r="O2701" s="7" t="s">
        <v>17988</v>
      </c>
      <c r="P2701" s="7" t="s">
        <v>22394</v>
      </c>
      <c r="T2701" s="7" t="s">
        <v>17990</v>
      </c>
      <c r="U2701" s="7" t="s">
        <v>3493</v>
      </c>
      <c r="V2701" s="7">
        <v>1.0</v>
      </c>
    </row>
    <row r="2702">
      <c r="A2702" s="7" t="s">
        <v>22616</v>
      </c>
      <c r="B2702" s="7">
        <v>3000853.0</v>
      </c>
      <c r="C2702" s="7" t="s">
        <v>19012</v>
      </c>
      <c r="D2702" s="7" t="s">
        <v>19013</v>
      </c>
      <c r="E2702" s="7" t="s">
        <v>19014</v>
      </c>
      <c r="F2702" s="7" t="s">
        <v>19015</v>
      </c>
      <c r="G2702" s="7" t="s">
        <v>19016</v>
      </c>
      <c r="H2702" s="7" t="s">
        <v>19017</v>
      </c>
      <c r="I2702" s="119">
        <v>45901.0</v>
      </c>
      <c r="K2702" s="7" t="s">
        <v>419</v>
      </c>
      <c r="L2702" s="7" t="s">
        <v>991</v>
      </c>
      <c r="M2702" s="7" t="s">
        <v>3501</v>
      </c>
      <c r="N2702" s="7" t="s">
        <v>419</v>
      </c>
      <c r="O2702" s="7" t="s">
        <v>19437</v>
      </c>
      <c r="P2702" s="7" t="s">
        <v>440</v>
      </c>
      <c r="Q2702" s="7" t="s">
        <v>443</v>
      </c>
      <c r="R2702" s="7" t="s">
        <v>20416</v>
      </c>
      <c r="T2702" s="7" t="s">
        <v>7677</v>
      </c>
      <c r="U2702" s="7" t="s">
        <v>3493</v>
      </c>
      <c r="V2702" s="7">
        <v>1.0</v>
      </c>
    </row>
    <row r="2703">
      <c r="A2703" s="7" t="s">
        <v>22617</v>
      </c>
      <c r="B2703" s="7">
        <v>3001097.0</v>
      </c>
      <c r="C2703" s="7" t="s">
        <v>19019</v>
      </c>
      <c r="D2703" s="7" t="s">
        <v>19020</v>
      </c>
      <c r="E2703" s="7" t="s">
        <v>13945</v>
      </c>
      <c r="F2703" s="7" t="s">
        <v>19020</v>
      </c>
      <c r="G2703" s="7" t="s">
        <v>19021</v>
      </c>
      <c r="I2703" s="119">
        <v>45901.0</v>
      </c>
      <c r="K2703" s="7" t="s">
        <v>419</v>
      </c>
      <c r="L2703" s="7" t="s">
        <v>991</v>
      </c>
      <c r="M2703" s="7" t="s">
        <v>3531</v>
      </c>
      <c r="N2703" s="7" t="s">
        <v>419</v>
      </c>
      <c r="O2703" s="7" t="s">
        <v>19430</v>
      </c>
      <c r="P2703" s="7" t="s">
        <v>854</v>
      </c>
      <c r="Q2703" s="7" t="s">
        <v>859</v>
      </c>
      <c r="T2703" s="7" t="s">
        <v>3821</v>
      </c>
      <c r="U2703" s="7" t="s">
        <v>3493</v>
      </c>
      <c r="V2703" s="7">
        <v>1.0</v>
      </c>
    </row>
    <row r="2704">
      <c r="A2704" s="7" t="s">
        <v>22618</v>
      </c>
      <c r="B2704" s="7">
        <v>3000828.0</v>
      </c>
      <c r="C2704" s="7" t="s">
        <v>13996</v>
      </c>
      <c r="D2704" s="7" t="s">
        <v>10055</v>
      </c>
      <c r="E2704" s="7" t="s">
        <v>13998</v>
      </c>
      <c r="F2704" s="7" t="s">
        <v>10057</v>
      </c>
      <c r="G2704" s="7" t="s">
        <v>19023</v>
      </c>
      <c r="H2704" s="7" t="s">
        <v>19024</v>
      </c>
      <c r="I2704" s="119">
        <v>45901.0</v>
      </c>
      <c r="K2704" s="7" t="s">
        <v>419</v>
      </c>
      <c r="L2704" s="7" t="s">
        <v>991</v>
      </c>
      <c r="M2704" s="7" t="s">
        <v>3501</v>
      </c>
      <c r="N2704" s="7" t="s">
        <v>419</v>
      </c>
      <c r="O2704" s="7" t="s">
        <v>19432</v>
      </c>
      <c r="P2704" s="7" t="s">
        <v>693</v>
      </c>
      <c r="T2704" s="7" t="s">
        <v>6972</v>
      </c>
      <c r="U2704" s="7" t="s">
        <v>3493</v>
      </c>
      <c r="V2704" s="7">
        <v>1.0</v>
      </c>
    </row>
    <row r="2705">
      <c r="A2705" s="7" t="s">
        <v>22619</v>
      </c>
      <c r="B2705" s="7">
        <v>3001103.0</v>
      </c>
      <c r="C2705" s="7" t="s">
        <v>14078</v>
      </c>
      <c r="D2705" s="7" t="s">
        <v>19026</v>
      </c>
      <c r="E2705" s="7" t="s">
        <v>14080</v>
      </c>
      <c r="F2705" s="7" t="s">
        <v>9094</v>
      </c>
      <c r="G2705" s="7" t="s">
        <v>19027</v>
      </c>
      <c r="H2705" s="7" t="s">
        <v>19028</v>
      </c>
      <c r="I2705" s="119">
        <v>45901.0</v>
      </c>
      <c r="K2705" s="7" t="s">
        <v>3642</v>
      </c>
      <c r="L2705" s="7" t="s">
        <v>991</v>
      </c>
      <c r="M2705" s="7" t="s">
        <v>3531</v>
      </c>
      <c r="N2705" s="7" t="s">
        <v>3642</v>
      </c>
      <c r="O2705" s="7" t="s">
        <v>3642</v>
      </c>
      <c r="P2705" s="7" t="s">
        <v>19524</v>
      </c>
      <c r="T2705" s="7" t="s">
        <v>3644</v>
      </c>
      <c r="U2705" s="7" t="s">
        <v>3493</v>
      </c>
      <c r="V2705" s="7">
        <v>1.0</v>
      </c>
    </row>
    <row r="2706">
      <c r="A2706" s="7" t="s">
        <v>22620</v>
      </c>
      <c r="B2706" s="7">
        <v>3001063.0</v>
      </c>
      <c r="C2706" s="7" t="s">
        <v>19030</v>
      </c>
      <c r="D2706" s="7" t="s">
        <v>19031</v>
      </c>
      <c r="E2706" s="7" t="s">
        <v>14147</v>
      </c>
      <c r="F2706" s="7" t="s">
        <v>4032</v>
      </c>
      <c r="G2706" s="7" t="s">
        <v>19032</v>
      </c>
      <c r="H2706" s="7" t="s">
        <v>19033</v>
      </c>
      <c r="I2706" s="119">
        <v>45901.0</v>
      </c>
      <c r="K2706" s="7" t="s">
        <v>419</v>
      </c>
      <c r="L2706" s="7" t="s">
        <v>991</v>
      </c>
      <c r="M2706" s="7" t="s">
        <v>3531</v>
      </c>
      <c r="N2706" s="7" t="s">
        <v>419</v>
      </c>
      <c r="O2706" s="7" t="s">
        <v>19443</v>
      </c>
      <c r="P2706" s="7" t="s">
        <v>323</v>
      </c>
      <c r="Q2706" s="7" t="s">
        <v>324</v>
      </c>
      <c r="R2706" s="7" t="s">
        <v>20367</v>
      </c>
      <c r="T2706" s="7" t="s">
        <v>7418</v>
      </c>
      <c r="U2706" s="7" t="s">
        <v>3493</v>
      </c>
      <c r="V2706" s="7">
        <v>1.0</v>
      </c>
    </row>
    <row r="2707">
      <c r="A2707" s="7" t="s">
        <v>22621</v>
      </c>
      <c r="B2707" s="7">
        <v>3001070.0</v>
      </c>
      <c r="C2707" s="7" t="s">
        <v>19035</v>
      </c>
      <c r="D2707" s="7" t="s">
        <v>19036</v>
      </c>
      <c r="E2707" s="7" t="s">
        <v>19037</v>
      </c>
      <c r="F2707" s="7" t="s">
        <v>12031</v>
      </c>
      <c r="G2707" s="7" t="s">
        <v>19038</v>
      </c>
      <c r="H2707" s="7" t="s">
        <v>19039</v>
      </c>
      <c r="I2707" s="119">
        <v>45901.0</v>
      </c>
      <c r="K2707" s="7" t="s">
        <v>3632</v>
      </c>
      <c r="L2707" s="7" t="s">
        <v>991</v>
      </c>
      <c r="M2707" s="7" t="s">
        <v>3531</v>
      </c>
      <c r="N2707" s="7" t="s">
        <v>3632</v>
      </c>
      <c r="O2707" s="7" t="s">
        <v>3632</v>
      </c>
      <c r="P2707" s="7" t="s">
        <v>429</v>
      </c>
      <c r="Q2707" s="7" t="s">
        <v>436</v>
      </c>
      <c r="R2707" s="7" t="s">
        <v>19708</v>
      </c>
      <c r="T2707" s="7" t="s">
        <v>4325</v>
      </c>
      <c r="U2707" s="7" t="s">
        <v>3493</v>
      </c>
      <c r="V2707" s="7">
        <v>1.0</v>
      </c>
    </row>
    <row r="2708">
      <c r="A2708" s="7" t="s">
        <v>22622</v>
      </c>
      <c r="B2708" s="7">
        <v>3000966.0</v>
      </c>
      <c r="C2708" s="7" t="s">
        <v>3525</v>
      </c>
      <c r="D2708" s="7" t="s">
        <v>19041</v>
      </c>
      <c r="E2708" s="7" t="s">
        <v>3527</v>
      </c>
      <c r="F2708" s="7" t="s">
        <v>3909</v>
      </c>
      <c r="G2708" s="7" t="s">
        <v>19042</v>
      </c>
      <c r="H2708" s="7" t="s">
        <v>19043</v>
      </c>
      <c r="I2708" s="119">
        <v>45916.0</v>
      </c>
      <c r="K2708" s="7" t="s">
        <v>419</v>
      </c>
      <c r="L2708" s="7" t="s">
        <v>991</v>
      </c>
      <c r="M2708" s="7" t="s">
        <v>3866</v>
      </c>
      <c r="N2708" s="7" t="s">
        <v>419</v>
      </c>
      <c r="O2708" s="7" t="s">
        <v>19437</v>
      </c>
      <c r="P2708" s="7" t="s">
        <v>478</v>
      </c>
      <c r="Q2708" s="7" t="s">
        <v>508</v>
      </c>
      <c r="T2708" s="7" t="s">
        <v>22052</v>
      </c>
      <c r="U2708" s="7" t="s">
        <v>3493</v>
      </c>
      <c r="V2708" s="7">
        <v>1.0</v>
      </c>
    </row>
    <row r="2709">
      <c r="A2709" s="7" t="s">
        <v>22623</v>
      </c>
      <c r="B2709" s="7">
        <v>3001110.0</v>
      </c>
      <c r="C2709" s="7" t="s">
        <v>3712</v>
      </c>
      <c r="D2709" s="7" t="s">
        <v>19046</v>
      </c>
      <c r="E2709" s="7" t="s">
        <v>3702</v>
      </c>
      <c r="F2709" s="7" t="s">
        <v>8007</v>
      </c>
      <c r="G2709" s="7" t="s">
        <v>19047</v>
      </c>
      <c r="H2709" s="7" t="s">
        <v>19048</v>
      </c>
      <c r="I2709" s="119">
        <v>45916.0</v>
      </c>
      <c r="K2709" s="7" t="s">
        <v>17988</v>
      </c>
      <c r="L2709" s="7" t="s">
        <v>991</v>
      </c>
      <c r="M2709" s="7" t="s">
        <v>3501</v>
      </c>
      <c r="N2709" s="7" t="s">
        <v>17988</v>
      </c>
      <c r="O2709" s="7" t="s">
        <v>17988</v>
      </c>
      <c r="P2709" s="7" t="s">
        <v>22394</v>
      </c>
      <c r="T2709" s="7" t="s">
        <v>17990</v>
      </c>
      <c r="U2709" s="7" t="s">
        <v>3493</v>
      </c>
      <c r="V2709" s="7">
        <v>1.0</v>
      </c>
    </row>
    <row r="2710">
      <c r="A2710" s="7" t="s">
        <v>22624</v>
      </c>
      <c r="B2710" s="7">
        <v>3001121.0</v>
      </c>
      <c r="C2710" s="7" t="s">
        <v>4115</v>
      </c>
      <c r="D2710" s="7" t="s">
        <v>19050</v>
      </c>
      <c r="E2710" s="7" t="s">
        <v>4117</v>
      </c>
      <c r="F2710" s="7" t="s">
        <v>6455</v>
      </c>
      <c r="G2710" s="7" t="s">
        <v>19051</v>
      </c>
      <c r="H2710" s="7" t="s">
        <v>19052</v>
      </c>
      <c r="I2710" s="119">
        <v>45916.0</v>
      </c>
      <c r="K2710" s="7" t="s">
        <v>3642</v>
      </c>
      <c r="L2710" s="7" t="s">
        <v>991</v>
      </c>
      <c r="M2710" s="7" t="s">
        <v>3531</v>
      </c>
      <c r="N2710" s="7" t="s">
        <v>3642</v>
      </c>
      <c r="O2710" s="7" t="s">
        <v>3642</v>
      </c>
      <c r="P2710" s="7" t="s">
        <v>19524</v>
      </c>
      <c r="T2710" s="7" t="s">
        <v>3644</v>
      </c>
      <c r="U2710" s="7" t="s">
        <v>3493</v>
      </c>
      <c r="V2710" s="7">
        <v>1.0</v>
      </c>
    </row>
    <row r="2711">
      <c r="A2711" s="7" t="s">
        <v>22625</v>
      </c>
      <c r="B2711" s="7">
        <v>3001126.0</v>
      </c>
      <c r="C2711" s="7" t="s">
        <v>4502</v>
      </c>
      <c r="D2711" s="7" t="s">
        <v>19054</v>
      </c>
      <c r="E2711" s="7" t="s">
        <v>4504</v>
      </c>
      <c r="F2711" s="7" t="s">
        <v>8058</v>
      </c>
      <c r="G2711" s="7" t="s">
        <v>19055</v>
      </c>
      <c r="H2711" s="7" t="s">
        <v>19056</v>
      </c>
      <c r="I2711" s="119">
        <v>45916.0</v>
      </c>
      <c r="K2711" s="7" t="s">
        <v>419</v>
      </c>
      <c r="L2711" s="7" t="s">
        <v>991</v>
      </c>
      <c r="M2711" s="7" t="s">
        <v>3531</v>
      </c>
      <c r="N2711" s="7" t="s">
        <v>419</v>
      </c>
      <c r="O2711" s="7" t="s">
        <v>19430</v>
      </c>
      <c r="P2711" s="7" t="s">
        <v>780</v>
      </c>
      <c r="Q2711" s="7" t="s">
        <v>786</v>
      </c>
      <c r="R2711" s="7" t="s">
        <v>19666</v>
      </c>
      <c r="T2711" s="7" t="s">
        <v>4169</v>
      </c>
      <c r="U2711" s="7" t="s">
        <v>3493</v>
      </c>
      <c r="V2711" s="7">
        <v>1.0</v>
      </c>
    </row>
    <row r="2712">
      <c r="A2712" s="7" t="s">
        <v>22626</v>
      </c>
      <c r="B2712" s="7">
        <v>3001129.0</v>
      </c>
      <c r="C2712" s="7" t="s">
        <v>4502</v>
      </c>
      <c r="D2712" s="7" t="s">
        <v>19058</v>
      </c>
      <c r="E2712" s="7" t="s">
        <v>4504</v>
      </c>
      <c r="F2712" s="7" t="s">
        <v>19059</v>
      </c>
      <c r="G2712" s="7" t="s">
        <v>19060</v>
      </c>
      <c r="H2712" s="7" t="s">
        <v>19061</v>
      </c>
      <c r="I2712" s="119">
        <v>45916.0</v>
      </c>
      <c r="K2712" s="7" t="s">
        <v>419</v>
      </c>
      <c r="L2712" s="7" t="s">
        <v>991</v>
      </c>
      <c r="M2712" s="7" t="s">
        <v>3531</v>
      </c>
      <c r="N2712" s="7" t="s">
        <v>419</v>
      </c>
      <c r="O2712" s="7" t="s">
        <v>19437</v>
      </c>
      <c r="P2712" s="7" t="s">
        <v>478</v>
      </c>
      <c r="Q2712" s="7" t="s">
        <v>484</v>
      </c>
      <c r="T2712" s="7" t="s">
        <v>13410</v>
      </c>
      <c r="U2712" s="7" t="s">
        <v>3493</v>
      </c>
      <c r="V2712" s="7">
        <v>1.0</v>
      </c>
    </row>
    <row r="2713">
      <c r="A2713" s="7" t="s">
        <v>22627</v>
      </c>
      <c r="B2713" s="7">
        <v>3001114.0</v>
      </c>
      <c r="C2713" s="7" t="s">
        <v>15326</v>
      </c>
      <c r="D2713" s="7" t="s">
        <v>19063</v>
      </c>
      <c r="E2713" s="7" t="s">
        <v>15327</v>
      </c>
      <c r="F2713" s="7" t="s">
        <v>7066</v>
      </c>
      <c r="G2713" s="7" t="s">
        <v>19064</v>
      </c>
      <c r="H2713" s="7" t="s">
        <v>19065</v>
      </c>
      <c r="I2713" s="119">
        <v>45916.0</v>
      </c>
      <c r="K2713" s="7" t="s">
        <v>17988</v>
      </c>
      <c r="L2713" s="7" t="s">
        <v>991</v>
      </c>
      <c r="M2713" s="7" t="s">
        <v>3501</v>
      </c>
      <c r="N2713" s="7" t="s">
        <v>17988</v>
      </c>
      <c r="O2713" s="7" t="s">
        <v>17988</v>
      </c>
      <c r="P2713" s="7" t="s">
        <v>22394</v>
      </c>
      <c r="T2713" s="7" t="s">
        <v>17990</v>
      </c>
      <c r="U2713" s="7" t="s">
        <v>3493</v>
      </c>
      <c r="V2713" s="7">
        <v>1.0</v>
      </c>
    </row>
    <row r="2714">
      <c r="A2714" s="7" t="s">
        <v>22628</v>
      </c>
      <c r="B2714" s="7">
        <v>3001115.0</v>
      </c>
      <c r="C2714" s="7" t="s">
        <v>5976</v>
      </c>
      <c r="D2714" s="7" t="s">
        <v>19067</v>
      </c>
      <c r="E2714" s="7" t="s">
        <v>5977</v>
      </c>
      <c r="F2714" s="7" t="s">
        <v>14503</v>
      </c>
      <c r="G2714" s="7" t="s">
        <v>19068</v>
      </c>
      <c r="H2714" s="7" t="s">
        <v>19069</v>
      </c>
      <c r="I2714" s="119">
        <v>45916.0</v>
      </c>
      <c r="K2714" s="7" t="s">
        <v>17988</v>
      </c>
      <c r="L2714" s="7" t="s">
        <v>991</v>
      </c>
      <c r="M2714" s="7" t="s">
        <v>3501</v>
      </c>
      <c r="N2714" s="7" t="s">
        <v>17988</v>
      </c>
      <c r="O2714" s="7" t="s">
        <v>17988</v>
      </c>
      <c r="P2714" s="7" t="s">
        <v>22394</v>
      </c>
      <c r="T2714" s="7" t="s">
        <v>17990</v>
      </c>
      <c r="U2714" s="7" t="s">
        <v>3493</v>
      </c>
      <c r="V2714" s="7">
        <v>1.0</v>
      </c>
    </row>
    <row r="2715">
      <c r="A2715" s="7" t="s">
        <v>22629</v>
      </c>
      <c r="B2715" s="7">
        <v>3001122.0</v>
      </c>
      <c r="C2715" s="7" t="s">
        <v>19071</v>
      </c>
      <c r="D2715" s="7" t="s">
        <v>18026</v>
      </c>
      <c r="E2715" s="7" t="s">
        <v>19072</v>
      </c>
      <c r="F2715" s="7" t="s">
        <v>18027</v>
      </c>
      <c r="G2715" s="7" t="s">
        <v>19073</v>
      </c>
      <c r="H2715" s="7" t="s">
        <v>19074</v>
      </c>
      <c r="I2715" s="119">
        <v>45916.0</v>
      </c>
      <c r="K2715" s="7" t="s">
        <v>3642</v>
      </c>
      <c r="L2715" s="7" t="s">
        <v>991</v>
      </c>
      <c r="M2715" s="7" t="s">
        <v>3501</v>
      </c>
      <c r="N2715" s="7" t="s">
        <v>3642</v>
      </c>
      <c r="O2715" s="7" t="s">
        <v>3642</v>
      </c>
      <c r="P2715" s="7" t="s">
        <v>19524</v>
      </c>
      <c r="T2715" s="7" t="s">
        <v>3644</v>
      </c>
      <c r="U2715" s="7" t="s">
        <v>3493</v>
      </c>
      <c r="V2715" s="7">
        <v>1.0</v>
      </c>
    </row>
    <row r="2716">
      <c r="A2716" s="7" t="s">
        <v>22630</v>
      </c>
      <c r="B2716" s="7">
        <v>3001113.0</v>
      </c>
      <c r="C2716" s="7" t="s">
        <v>19071</v>
      </c>
      <c r="D2716" s="7" t="s">
        <v>5985</v>
      </c>
      <c r="E2716" s="7" t="s">
        <v>19072</v>
      </c>
      <c r="F2716" s="7" t="s">
        <v>18027</v>
      </c>
      <c r="G2716" s="7" t="s">
        <v>19076</v>
      </c>
      <c r="H2716" s="7" t="s">
        <v>19077</v>
      </c>
      <c r="I2716" s="119">
        <v>45916.0</v>
      </c>
      <c r="K2716" s="7" t="s">
        <v>17988</v>
      </c>
      <c r="L2716" s="7" t="s">
        <v>991</v>
      </c>
      <c r="M2716" s="7" t="s">
        <v>3501</v>
      </c>
      <c r="N2716" s="7" t="s">
        <v>17988</v>
      </c>
      <c r="O2716" s="7" t="s">
        <v>17988</v>
      </c>
      <c r="P2716" s="7" t="s">
        <v>22394</v>
      </c>
      <c r="T2716" s="7" t="s">
        <v>17990</v>
      </c>
      <c r="U2716" s="7" t="s">
        <v>3493</v>
      </c>
      <c r="V2716" s="7">
        <v>1.0</v>
      </c>
    </row>
    <row r="2717">
      <c r="A2717" s="7" t="s">
        <v>22631</v>
      </c>
      <c r="B2717" s="7">
        <v>3000897.0</v>
      </c>
      <c r="C2717" s="7" t="s">
        <v>8174</v>
      </c>
      <c r="D2717" s="7" t="s">
        <v>19079</v>
      </c>
      <c r="E2717" s="7" t="s">
        <v>8170</v>
      </c>
      <c r="F2717" s="7" t="s">
        <v>3528</v>
      </c>
      <c r="G2717" s="7" t="s">
        <v>19080</v>
      </c>
      <c r="H2717" s="7" t="s">
        <v>19081</v>
      </c>
      <c r="I2717" s="119">
        <v>45916.0</v>
      </c>
      <c r="K2717" s="7" t="s">
        <v>419</v>
      </c>
      <c r="L2717" s="7" t="s">
        <v>991</v>
      </c>
      <c r="M2717" s="7" t="s">
        <v>3501</v>
      </c>
      <c r="N2717" s="7" t="s">
        <v>419</v>
      </c>
      <c r="O2717" s="7" t="s">
        <v>19443</v>
      </c>
      <c r="P2717" s="7" t="s">
        <v>323</v>
      </c>
      <c r="Q2717" s="7" t="s">
        <v>824</v>
      </c>
      <c r="R2717" s="7" t="s">
        <v>21881</v>
      </c>
      <c r="T2717" s="7" t="s">
        <v>21882</v>
      </c>
      <c r="U2717" s="7" t="s">
        <v>3493</v>
      </c>
      <c r="V2717" s="7">
        <v>1.0</v>
      </c>
    </row>
    <row r="2718">
      <c r="A2718" s="7" t="s">
        <v>22632</v>
      </c>
      <c r="B2718" s="7">
        <v>3001111.0</v>
      </c>
      <c r="C2718" s="7" t="s">
        <v>8429</v>
      </c>
      <c r="D2718" s="7" t="s">
        <v>19083</v>
      </c>
      <c r="E2718" s="7" t="s">
        <v>8431</v>
      </c>
      <c r="F2718" s="7" t="s">
        <v>19084</v>
      </c>
      <c r="G2718" s="7" t="s">
        <v>19085</v>
      </c>
      <c r="H2718" s="7" t="s">
        <v>19086</v>
      </c>
      <c r="I2718" s="119">
        <v>45916.0</v>
      </c>
      <c r="K2718" s="7" t="s">
        <v>17988</v>
      </c>
      <c r="L2718" s="7" t="s">
        <v>991</v>
      </c>
      <c r="M2718" s="7" t="s">
        <v>3501</v>
      </c>
      <c r="N2718" s="7" t="s">
        <v>17988</v>
      </c>
      <c r="O2718" s="7" t="s">
        <v>17988</v>
      </c>
      <c r="P2718" s="7" t="s">
        <v>22394</v>
      </c>
      <c r="T2718" s="7" t="s">
        <v>17990</v>
      </c>
      <c r="U2718" s="7" t="s">
        <v>3493</v>
      </c>
      <c r="V2718" s="7">
        <v>1.0</v>
      </c>
    </row>
    <row r="2719">
      <c r="A2719" s="7" t="s">
        <v>22633</v>
      </c>
      <c r="B2719" s="7">
        <v>3001125.0</v>
      </c>
      <c r="C2719" s="7" t="s">
        <v>8429</v>
      </c>
      <c r="D2719" s="7" t="s">
        <v>19088</v>
      </c>
      <c r="E2719" s="7" t="s">
        <v>8431</v>
      </c>
      <c r="F2719" s="7" t="s">
        <v>9116</v>
      </c>
      <c r="G2719" s="7" t="s">
        <v>19089</v>
      </c>
      <c r="H2719" s="7" t="s">
        <v>19090</v>
      </c>
      <c r="I2719" s="119">
        <v>45916.0</v>
      </c>
      <c r="K2719" s="7" t="s">
        <v>419</v>
      </c>
      <c r="L2719" s="7" t="s">
        <v>991</v>
      </c>
      <c r="M2719" s="7" t="s">
        <v>3531</v>
      </c>
      <c r="N2719" s="7" t="s">
        <v>419</v>
      </c>
      <c r="O2719" s="7" t="s">
        <v>19430</v>
      </c>
      <c r="P2719" s="7" t="s">
        <v>780</v>
      </c>
      <c r="Q2719" s="7" t="s">
        <v>786</v>
      </c>
      <c r="R2719" s="7" t="s">
        <v>19666</v>
      </c>
      <c r="T2719" s="7" t="s">
        <v>4169</v>
      </c>
      <c r="U2719" s="7" t="s">
        <v>3493</v>
      </c>
      <c r="V2719" s="7">
        <v>1.0</v>
      </c>
    </row>
    <row r="2720">
      <c r="A2720" s="7" t="s">
        <v>22634</v>
      </c>
      <c r="B2720" s="7">
        <v>3001112.0</v>
      </c>
      <c r="C2720" s="7" t="s">
        <v>9126</v>
      </c>
      <c r="D2720" s="7" t="s">
        <v>19092</v>
      </c>
      <c r="E2720" s="7" t="s">
        <v>9127</v>
      </c>
      <c r="F2720" s="7" t="s">
        <v>7451</v>
      </c>
      <c r="G2720" s="7" t="s">
        <v>19093</v>
      </c>
      <c r="H2720" s="7" t="s">
        <v>19094</v>
      </c>
      <c r="I2720" s="119">
        <v>45916.0</v>
      </c>
      <c r="K2720" s="7" t="s">
        <v>17988</v>
      </c>
      <c r="L2720" s="7" t="s">
        <v>991</v>
      </c>
      <c r="M2720" s="7" t="s">
        <v>3501</v>
      </c>
      <c r="N2720" s="7" t="s">
        <v>17988</v>
      </c>
      <c r="O2720" s="7" t="s">
        <v>17988</v>
      </c>
      <c r="P2720" s="7" t="s">
        <v>22394</v>
      </c>
      <c r="T2720" s="7" t="s">
        <v>17990</v>
      </c>
      <c r="U2720" s="7" t="s">
        <v>3493</v>
      </c>
      <c r="V2720" s="7">
        <v>1.0</v>
      </c>
    </row>
    <row r="2721">
      <c r="A2721" s="7" t="s">
        <v>22635</v>
      </c>
      <c r="B2721" s="7">
        <v>3001108.0</v>
      </c>
      <c r="C2721" s="7" t="s">
        <v>9145</v>
      </c>
      <c r="D2721" s="7" t="s">
        <v>19096</v>
      </c>
      <c r="E2721" s="7" t="s">
        <v>9147</v>
      </c>
      <c r="F2721" s="7" t="s">
        <v>19097</v>
      </c>
      <c r="G2721" s="7" t="s">
        <v>19098</v>
      </c>
      <c r="H2721" s="7" t="s">
        <v>19099</v>
      </c>
      <c r="I2721" s="119">
        <v>45916.0</v>
      </c>
      <c r="K2721" s="7" t="s">
        <v>17988</v>
      </c>
      <c r="L2721" s="7" t="s">
        <v>991</v>
      </c>
      <c r="M2721" s="7" t="s">
        <v>3501</v>
      </c>
      <c r="N2721" s="7" t="s">
        <v>17988</v>
      </c>
      <c r="O2721" s="7" t="s">
        <v>17988</v>
      </c>
      <c r="P2721" s="7" t="s">
        <v>22394</v>
      </c>
      <c r="T2721" s="7" t="s">
        <v>17990</v>
      </c>
      <c r="U2721" s="7" t="s">
        <v>3493</v>
      </c>
      <c r="V2721" s="7">
        <v>1.0</v>
      </c>
    </row>
    <row r="2722">
      <c r="A2722" s="7" t="s">
        <v>22636</v>
      </c>
      <c r="B2722" s="7">
        <v>3001123.0</v>
      </c>
      <c r="C2722" s="7" t="s">
        <v>9433</v>
      </c>
      <c r="D2722" s="7" t="s">
        <v>19101</v>
      </c>
      <c r="E2722" s="7" t="s">
        <v>9435</v>
      </c>
      <c r="F2722" s="7" t="s">
        <v>13617</v>
      </c>
      <c r="G2722" s="7" t="s">
        <v>19102</v>
      </c>
      <c r="H2722" s="7" t="s">
        <v>19103</v>
      </c>
      <c r="I2722" s="119">
        <v>45916.0</v>
      </c>
      <c r="K2722" s="7" t="s">
        <v>3642</v>
      </c>
      <c r="L2722" s="7" t="s">
        <v>991</v>
      </c>
      <c r="M2722" s="7" t="s">
        <v>3501</v>
      </c>
      <c r="N2722" s="7" t="s">
        <v>3642</v>
      </c>
      <c r="O2722" s="7" t="s">
        <v>3642</v>
      </c>
      <c r="P2722" s="7" t="s">
        <v>19524</v>
      </c>
      <c r="T2722" s="7" t="s">
        <v>3644</v>
      </c>
      <c r="U2722" s="7" t="s">
        <v>3493</v>
      </c>
      <c r="V2722" s="7">
        <v>1.0</v>
      </c>
    </row>
    <row r="2723">
      <c r="A2723" s="7" t="s">
        <v>22637</v>
      </c>
      <c r="B2723" s="7">
        <v>3001107.0</v>
      </c>
      <c r="C2723" s="7" t="s">
        <v>9433</v>
      </c>
      <c r="D2723" s="7" t="s">
        <v>19105</v>
      </c>
      <c r="E2723" s="7" t="s">
        <v>9435</v>
      </c>
      <c r="F2723" s="7" t="s">
        <v>13617</v>
      </c>
      <c r="G2723" s="7" t="s">
        <v>19106</v>
      </c>
      <c r="H2723" s="7" t="s">
        <v>19107</v>
      </c>
      <c r="I2723" s="119">
        <v>45916.0</v>
      </c>
      <c r="K2723" s="7" t="s">
        <v>17988</v>
      </c>
      <c r="L2723" s="7" t="s">
        <v>991</v>
      </c>
      <c r="M2723" s="7" t="s">
        <v>3501</v>
      </c>
      <c r="N2723" s="7" t="s">
        <v>17988</v>
      </c>
      <c r="O2723" s="7" t="s">
        <v>17988</v>
      </c>
      <c r="P2723" s="7" t="s">
        <v>22394</v>
      </c>
      <c r="T2723" s="7" t="s">
        <v>17990</v>
      </c>
      <c r="U2723" s="7" t="s">
        <v>3493</v>
      </c>
      <c r="V2723" s="7">
        <v>1.0</v>
      </c>
    </row>
    <row r="2724">
      <c r="A2724" s="7" t="s">
        <v>22638</v>
      </c>
      <c r="B2724" s="7">
        <v>3001118.0</v>
      </c>
      <c r="C2724" s="7" t="s">
        <v>19109</v>
      </c>
      <c r="D2724" s="7" t="s">
        <v>19110</v>
      </c>
      <c r="E2724" s="7" t="s">
        <v>19111</v>
      </c>
      <c r="F2724" s="7" t="s">
        <v>9490</v>
      </c>
      <c r="G2724" s="7" t="s">
        <v>19112</v>
      </c>
      <c r="H2724" s="7" t="s">
        <v>19113</v>
      </c>
      <c r="I2724" s="119">
        <v>45916.0</v>
      </c>
      <c r="K2724" s="7" t="s">
        <v>419</v>
      </c>
      <c r="L2724" s="7" t="s">
        <v>991</v>
      </c>
      <c r="M2724" s="7" t="s">
        <v>3490</v>
      </c>
      <c r="N2724" s="7" t="s">
        <v>419</v>
      </c>
      <c r="O2724" s="7" t="s">
        <v>19440</v>
      </c>
      <c r="P2724" s="7" t="s">
        <v>3</v>
      </c>
      <c r="Q2724" s="7" t="s">
        <v>9</v>
      </c>
      <c r="R2724" s="7" t="s">
        <v>20413</v>
      </c>
      <c r="S2724" s="7" t="s">
        <v>19519</v>
      </c>
      <c r="T2724" s="7" t="s">
        <v>7663</v>
      </c>
      <c r="U2724" s="7" t="s">
        <v>3493</v>
      </c>
      <c r="V2724" s="7">
        <v>1.0</v>
      </c>
    </row>
    <row r="2725">
      <c r="A2725" s="7" t="s">
        <v>22639</v>
      </c>
      <c r="B2725" s="7">
        <v>3001128.0</v>
      </c>
      <c r="C2725" s="7" t="s">
        <v>19115</v>
      </c>
      <c r="D2725" s="7" t="s">
        <v>19116</v>
      </c>
      <c r="E2725" s="7" t="s">
        <v>10070</v>
      </c>
      <c r="F2725" s="7" t="s">
        <v>10234</v>
      </c>
      <c r="G2725" s="7" t="s">
        <v>19117</v>
      </c>
      <c r="H2725" s="7" t="s">
        <v>19118</v>
      </c>
      <c r="I2725" s="119">
        <v>45916.0</v>
      </c>
      <c r="K2725" s="7" t="s">
        <v>419</v>
      </c>
      <c r="L2725" s="7" t="s">
        <v>991</v>
      </c>
      <c r="M2725" s="7" t="s">
        <v>3531</v>
      </c>
      <c r="N2725" s="7" t="s">
        <v>419</v>
      </c>
      <c r="O2725" s="7" t="s">
        <v>19437</v>
      </c>
      <c r="P2725" s="7" t="s">
        <v>478</v>
      </c>
      <c r="Q2725" s="7" t="s">
        <v>484</v>
      </c>
      <c r="T2725" s="7" t="s">
        <v>13410</v>
      </c>
      <c r="U2725" s="7" t="s">
        <v>3493</v>
      </c>
      <c r="V2725" s="7">
        <v>1.0</v>
      </c>
    </row>
    <row r="2726">
      <c r="A2726" s="7" t="s">
        <v>22640</v>
      </c>
      <c r="B2726" s="7">
        <v>3001024.0</v>
      </c>
      <c r="C2726" s="7" t="s">
        <v>19120</v>
      </c>
      <c r="D2726" s="7" t="s">
        <v>19121</v>
      </c>
      <c r="E2726" s="7" t="s">
        <v>19122</v>
      </c>
      <c r="F2726" s="7" t="s">
        <v>9013</v>
      </c>
      <c r="G2726" s="7" t="s">
        <v>19123</v>
      </c>
      <c r="H2726" s="7" t="s">
        <v>19124</v>
      </c>
      <c r="I2726" s="119">
        <v>45916.0</v>
      </c>
      <c r="K2726" s="7" t="s">
        <v>419</v>
      </c>
      <c r="L2726" s="7" t="s">
        <v>991</v>
      </c>
      <c r="M2726" s="7" t="s">
        <v>3501</v>
      </c>
      <c r="N2726" s="7" t="s">
        <v>419</v>
      </c>
      <c r="O2726" s="7" t="s">
        <v>19443</v>
      </c>
      <c r="P2726" s="7" t="s">
        <v>1242</v>
      </c>
      <c r="Q2726" s="7" t="s">
        <v>51</v>
      </c>
      <c r="R2726" s="7" t="s">
        <v>19599</v>
      </c>
      <c r="S2726" s="7" t="s">
        <v>20161</v>
      </c>
      <c r="T2726" s="7" t="s">
        <v>6346</v>
      </c>
      <c r="U2726" s="7" t="s">
        <v>3493</v>
      </c>
      <c r="V2726" s="7">
        <v>1.0</v>
      </c>
    </row>
    <row r="2727">
      <c r="A2727" s="7" t="s">
        <v>22641</v>
      </c>
      <c r="B2727" s="7">
        <v>3001124.0</v>
      </c>
      <c r="C2727" s="7" t="s">
        <v>11715</v>
      </c>
      <c r="D2727" s="7" t="s">
        <v>19126</v>
      </c>
      <c r="E2727" s="7" t="s">
        <v>11717</v>
      </c>
      <c r="F2727" s="7" t="s">
        <v>4525</v>
      </c>
      <c r="G2727" s="7" t="s">
        <v>19127</v>
      </c>
      <c r="H2727" s="7" t="s">
        <v>19128</v>
      </c>
      <c r="I2727" s="119">
        <v>45916.0</v>
      </c>
      <c r="K2727" s="7" t="s">
        <v>419</v>
      </c>
      <c r="L2727" s="7" t="s">
        <v>991</v>
      </c>
      <c r="M2727" s="7" t="s">
        <v>3531</v>
      </c>
      <c r="N2727" s="7" t="s">
        <v>419</v>
      </c>
      <c r="O2727" s="7" t="s">
        <v>19432</v>
      </c>
      <c r="P2727" s="7" t="s">
        <v>693</v>
      </c>
      <c r="Q2727" s="7" t="s">
        <v>696</v>
      </c>
      <c r="R2727" s="7" t="s">
        <v>19563</v>
      </c>
      <c r="T2727" s="7" t="s">
        <v>9922</v>
      </c>
      <c r="U2727" s="7" t="s">
        <v>3493</v>
      </c>
      <c r="V2727" s="7">
        <v>1.0</v>
      </c>
    </row>
    <row r="2728">
      <c r="A2728" s="7" t="s">
        <v>22642</v>
      </c>
      <c r="B2728" s="7">
        <v>3001119.0</v>
      </c>
      <c r="C2728" s="7" t="s">
        <v>12537</v>
      </c>
      <c r="D2728" s="7" t="s">
        <v>19130</v>
      </c>
      <c r="E2728" s="7" t="s">
        <v>19131</v>
      </c>
      <c r="F2728" s="7" t="s">
        <v>9819</v>
      </c>
      <c r="G2728" s="7" t="s">
        <v>19132</v>
      </c>
      <c r="H2728" s="7" t="s">
        <v>19133</v>
      </c>
      <c r="I2728" s="119">
        <v>45916.0</v>
      </c>
      <c r="K2728" s="7" t="s">
        <v>419</v>
      </c>
      <c r="L2728" s="7" t="s">
        <v>991</v>
      </c>
      <c r="M2728" s="7" t="s">
        <v>3583</v>
      </c>
      <c r="N2728" s="7" t="s">
        <v>419</v>
      </c>
      <c r="O2728" s="7" t="s">
        <v>19437</v>
      </c>
      <c r="P2728" s="7" t="s">
        <v>603</v>
      </c>
      <c r="Q2728" s="7" t="s">
        <v>97</v>
      </c>
      <c r="T2728" s="7" t="s">
        <v>19135</v>
      </c>
      <c r="U2728" s="7" t="s">
        <v>3493</v>
      </c>
      <c r="V2728" s="7">
        <v>1.0</v>
      </c>
    </row>
    <row r="2729">
      <c r="A2729" s="7" t="s">
        <v>22643</v>
      </c>
      <c r="B2729" s="7">
        <v>3001116.0</v>
      </c>
      <c r="C2729" s="7" t="s">
        <v>12701</v>
      </c>
      <c r="D2729" s="7" t="s">
        <v>19137</v>
      </c>
      <c r="E2729" s="7" t="s">
        <v>12703</v>
      </c>
      <c r="F2729" s="7" t="s">
        <v>5426</v>
      </c>
      <c r="G2729" s="7" t="s">
        <v>19138</v>
      </c>
      <c r="H2729" s="7" t="s">
        <v>19139</v>
      </c>
      <c r="I2729" s="119">
        <v>45916.0</v>
      </c>
      <c r="K2729" s="7" t="s">
        <v>17988</v>
      </c>
      <c r="L2729" s="7" t="s">
        <v>991</v>
      </c>
      <c r="M2729" s="7" t="s">
        <v>3501</v>
      </c>
      <c r="N2729" s="7" t="s">
        <v>17988</v>
      </c>
      <c r="O2729" s="7" t="s">
        <v>17988</v>
      </c>
      <c r="P2729" s="7" t="s">
        <v>22394</v>
      </c>
      <c r="T2729" s="7" t="s">
        <v>17990</v>
      </c>
      <c r="U2729" s="7" t="s">
        <v>3493</v>
      </c>
      <c r="V2729" s="7">
        <v>1.0</v>
      </c>
    </row>
    <row r="2730">
      <c r="A2730" s="7" t="s">
        <v>22644</v>
      </c>
      <c r="B2730" s="7">
        <v>3001117.0</v>
      </c>
      <c r="C2730" s="7" t="s">
        <v>14588</v>
      </c>
      <c r="D2730" s="7" t="s">
        <v>19141</v>
      </c>
      <c r="E2730" s="7" t="s">
        <v>14590</v>
      </c>
      <c r="F2730" s="7" t="s">
        <v>14591</v>
      </c>
      <c r="G2730" s="7" t="s">
        <v>19142</v>
      </c>
      <c r="H2730" s="7" t="s">
        <v>19143</v>
      </c>
      <c r="I2730" s="119">
        <v>45916.0</v>
      </c>
      <c r="K2730" s="7" t="s">
        <v>17988</v>
      </c>
      <c r="L2730" s="7" t="s">
        <v>991</v>
      </c>
      <c r="M2730" s="7" t="s">
        <v>3501</v>
      </c>
      <c r="N2730" s="7" t="s">
        <v>17988</v>
      </c>
      <c r="O2730" s="7" t="s">
        <v>17988</v>
      </c>
      <c r="P2730" s="7" t="s">
        <v>22394</v>
      </c>
      <c r="T2730" s="7" t="s">
        <v>17990</v>
      </c>
      <c r="U2730" s="7" t="s">
        <v>3493</v>
      </c>
      <c r="V2730" s="7">
        <v>1.0</v>
      </c>
    </row>
    <row r="2731">
      <c r="A2731" s="7" t="s">
        <v>22645</v>
      </c>
      <c r="B2731" s="7">
        <v>3001109.0</v>
      </c>
      <c r="C2731" s="7" t="s">
        <v>13294</v>
      </c>
      <c r="D2731" s="7" t="s">
        <v>19145</v>
      </c>
      <c r="E2731" s="7" t="s">
        <v>13295</v>
      </c>
      <c r="F2731" s="7" t="s">
        <v>5569</v>
      </c>
      <c r="G2731" s="7" t="s">
        <v>19146</v>
      </c>
      <c r="H2731" s="7" t="s">
        <v>19147</v>
      </c>
      <c r="I2731" s="119">
        <v>45916.0</v>
      </c>
      <c r="K2731" s="7" t="s">
        <v>17988</v>
      </c>
      <c r="L2731" s="7" t="s">
        <v>991</v>
      </c>
      <c r="M2731" s="7" t="s">
        <v>3501</v>
      </c>
      <c r="N2731" s="7" t="s">
        <v>17988</v>
      </c>
      <c r="O2731" s="7" t="s">
        <v>17988</v>
      </c>
      <c r="P2731" s="7" t="s">
        <v>22394</v>
      </c>
      <c r="T2731" s="7" t="s">
        <v>17990</v>
      </c>
      <c r="U2731" s="7" t="s">
        <v>3493</v>
      </c>
      <c r="V2731" s="7">
        <v>1.0</v>
      </c>
    </row>
    <row r="2732">
      <c r="A2732" s="7" t="s">
        <v>22646</v>
      </c>
      <c r="B2732" s="7">
        <v>3001120.0</v>
      </c>
      <c r="C2732" s="7" t="s">
        <v>19149</v>
      </c>
      <c r="D2732" s="7" t="s">
        <v>4892</v>
      </c>
      <c r="E2732" s="7" t="s">
        <v>19150</v>
      </c>
      <c r="F2732" s="7" t="s">
        <v>4893</v>
      </c>
      <c r="G2732" s="7" t="s">
        <v>19151</v>
      </c>
      <c r="H2732" s="7" t="s">
        <v>19152</v>
      </c>
      <c r="I2732" s="119">
        <v>45916.0</v>
      </c>
      <c r="K2732" s="7" t="s">
        <v>3642</v>
      </c>
      <c r="L2732" s="7" t="s">
        <v>991</v>
      </c>
      <c r="M2732" s="7" t="s">
        <v>3501</v>
      </c>
      <c r="N2732" s="7" t="s">
        <v>3642</v>
      </c>
      <c r="O2732" s="7" t="s">
        <v>3642</v>
      </c>
      <c r="P2732" s="7" t="s">
        <v>19524</v>
      </c>
      <c r="T2732" s="7" t="s">
        <v>3644</v>
      </c>
      <c r="U2732" s="7" t="s">
        <v>3493</v>
      </c>
      <c r="V2732" s="7">
        <v>1.0</v>
      </c>
    </row>
    <row r="2733">
      <c r="A2733" s="7" t="s">
        <v>22647</v>
      </c>
      <c r="B2733" s="7">
        <v>3001133.0</v>
      </c>
      <c r="C2733" s="7" t="s">
        <v>19154</v>
      </c>
      <c r="D2733" s="7" t="s">
        <v>9797</v>
      </c>
      <c r="E2733" s="7" t="s">
        <v>19155</v>
      </c>
      <c r="F2733" s="7" t="s">
        <v>9799</v>
      </c>
      <c r="G2733" s="7" t="s">
        <v>19156</v>
      </c>
      <c r="H2733" s="7" t="s">
        <v>19157</v>
      </c>
      <c r="I2733" s="119">
        <v>45931.0</v>
      </c>
      <c r="K2733" s="7" t="s">
        <v>419</v>
      </c>
      <c r="L2733" s="7" t="s">
        <v>991</v>
      </c>
      <c r="M2733" s="7" t="s">
        <v>3531</v>
      </c>
      <c r="N2733" s="7" t="s">
        <v>419</v>
      </c>
      <c r="O2733" s="7" t="s">
        <v>19437</v>
      </c>
      <c r="P2733" s="7" t="s">
        <v>478</v>
      </c>
      <c r="Q2733" s="7" t="s">
        <v>491</v>
      </c>
      <c r="T2733" s="7" t="s">
        <v>16463</v>
      </c>
      <c r="U2733" s="7" t="s">
        <v>3493</v>
      </c>
      <c r="V2733" s="7">
        <v>1.0</v>
      </c>
    </row>
    <row r="2734">
      <c r="A2734" s="7" t="s">
        <v>22648</v>
      </c>
      <c r="B2734" s="7">
        <v>3001096.0</v>
      </c>
      <c r="C2734" s="7" t="s">
        <v>3771</v>
      </c>
      <c r="D2734" s="7" t="s">
        <v>19159</v>
      </c>
      <c r="E2734" s="7" t="s">
        <v>3773</v>
      </c>
      <c r="F2734" s="7" t="s">
        <v>10191</v>
      </c>
      <c r="G2734" s="7" t="s">
        <v>19160</v>
      </c>
      <c r="H2734" s="7" t="s">
        <v>19161</v>
      </c>
      <c r="I2734" s="119">
        <v>45931.0</v>
      </c>
      <c r="K2734" s="7" t="s">
        <v>419</v>
      </c>
      <c r="L2734" s="7" t="s">
        <v>991</v>
      </c>
      <c r="M2734" s="7" t="s">
        <v>3501</v>
      </c>
      <c r="N2734" s="7" t="s">
        <v>419</v>
      </c>
      <c r="O2734" s="7" t="s">
        <v>19433</v>
      </c>
      <c r="P2734" s="7" t="s">
        <v>587</v>
      </c>
      <c r="Q2734" s="7" t="s">
        <v>74</v>
      </c>
      <c r="R2734" s="7" t="s">
        <v>19911</v>
      </c>
      <c r="S2734" s="7" t="s">
        <v>19964</v>
      </c>
      <c r="T2734" s="7" t="s">
        <v>5421</v>
      </c>
      <c r="U2734" s="7" t="s">
        <v>3493</v>
      </c>
      <c r="V2734" s="7">
        <v>1.0</v>
      </c>
    </row>
    <row r="2735">
      <c r="A2735" s="7" t="s">
        <v>22649</v>
      </c>
      <c r="B2735" s="7">
        <v>3001157.0</v>
      </c>
      <c r="C2735" s="7" t="s">
        <v>18337</v>
      </c>
      <c r="D2735" s="7" t="s">
        <v>19163</v>
      </c>
      <c r="E2735" s="7" t="s">
        <v>18338</v>
      </c>
      <c r="F2735" s="7" t="s">
        <v>5860</v>
      </c>
      <c r="G2735" s="7" t="s">
        <v>19164</v>
      </c>
      <c r="H2735" s="7" t="s">
        <v>19165</v>
      </c>
      <c r="I2735" s="119">
        <v>45931.0</v>
      </c>
      <c r="K2735" s="7" t="s">
        <v>3642</v>
      </c>
      <c r="L2735" s="7" t="s">
        <v>991</v>
      </c>
      <c r="M2735" s="7" t="s">
        <v>3501</v>
      </c>
      <c r="N2735" s="7" t="s">
        <v>3642</v>
      </c>
      <c r="O2735" s="7" t="s">
        <v>3642</v>
      </c>
      <c r="P2735" s="7" t="s">
        <v>19524</v>
      </c>
      <c r="T2735" s="7" t="s">
        <v>3644</v>
      </c>
      <c r="U2735" s="7" t="s">
        <v>3493</v>
      </c>
      <c r="V2735" s="7">
        <v>1.0</v>
      </c>
    </row>
    <row r="2736">
      <c r="A2736" s="7" t="s">
        <v>22650</v>
      </c>
      <c r="B2736" s="7">
        <v>3001138.0</v>
      </c>
      <c r="C2736" s="7" t="s">
        <v>4277</v>
      </c>
      <c r="D2736" s="7" t="s">
        <v>19167</v>
      </c>
      <c r="E2736" s="7" t="s">
        <v>4279</v>
      </c>
      <c r="F2736" s="7" t="s">
        <v>4687</v>
      </c>
      <c r="G2736" s="7" t="s">
        <v>19168</v>
      </c>
      <c r="H2736" s="7" t="s">
        <v>19169</v>
      </c>
      <c r="I2736" s="119">
        <v>45931.0</v>
      </c>
      <c r="K2736" s="7" t="s">
        <v>3489</v>
      </c>
      <c r="L2736" s="7" t="s">
        <v>991</v>
      </c>
      <c r="M2736" s="7" t="s">
        <v>3490</v>
      </c>
      <c r="N2736" s="7" t="s">
        <v>3489</v>
      </c>
      <c r="O2736" s="7" t="s">
        <v>3489</v>
      </c>
      <c r="P2736" s="7" t="s">
        <v>19491</v>
      </c>
      <c r="Q2736" s="7" t="s">
        <v>169</v>
      </c>
      <c r="R2736" s="7" t="s">
        <v>19492</v>
      </c>
      <c r="T2736" s="7" t="s">
        <v>3492</v>
      </c>
      <c r="U2736" s="7" t="s">
        <v>3493</v>
      </c>
      <c r="V2736" s="7">
        <v>1.0</v>
      </c>
    </row>
    <row r="2737">
      <c r="A2737" s="7" t="s">
        <v>22651</v>
      </c>
      <c r="B2737" s="7">
        <v>3001135.0</v>
      </c>
      <c r="C2737" s="7" t="s">
        <v>19171</v>
      </c>
      <c r="D2737" s="7" t="s">
        <v>14475</v>
      </c>
      <c r="E2737" s="7" t="s">
        <v>19172</v>
      </c>
      <c r="F2737" s="7" t="s">
        <v>4598</v>
      </c>
      <c r="G2737" s="7" t="s">
        <v>19173</v>
      </c>
      <c r="H2737" s="7" t="s">
        <v>19174</v>
      </c>
      <c r="I2737" s="119">
        <v>45931.0</v>
      </c>
      <c r="K2737" s="7" t="s">
        <v>3489</v>
      </c>
      <c r="L2737" s="7" t="s">
        <v>991</v>
      </c>
      <c r="M2737" s="7" t="s">
        <v>3490</v>
      </c>
      <c r="N2737" s="7" t="s">
        <v>3489</v>
      </c>
      <c r="O2737" s="7" t="s">
        <v>3489</v>
      </c>
      <c r="P2737" s="7" t="s">
        <v>19491</v>
      </c>
      <c r="Q2737" s="7" t="s">
        <v>169</v>
      </c>
      <c r="R2737" s="7" t="s">
        <v>19492</v>
      </c>
      <c r="T2737" s="7" t="s">
        <v>3492</v>
      </c>
      <c r="U2737" s="7" t="s">
        <v>3493</v>
      </c>
      <c r="V2737" s="7">
        <v>1.0</v>
      </c>
    </row>
    <row r="2738">
      <c r="A2738" s="7" t="s">
        <v>22652</v>
      </c>
      <c r="B2738" s="7">
        <v>3000919.0</v>
      </c>
      <c r="C2738" s="7" t="s">
        <v>4608</v>
      </c>
      <c r="D2738" s="7" t="s">
        <v>19176</v>
      </c>
      <c r="E2738" s="7" t="s">
        <v>4609</v>
      </c>
      <c r="F2738" s="7" t="s">
        <v>4666</v>
      </c>
      <c r="G2738" s="7" t="s">
        <v>19177</v>
      </c>
      <c r="H2738" s="7" t="s">
        <v>19178</v>
      </c>
      <c r="I2738" s="119">
        <v>45931.0</v>
      </c>
      <c r="K2738" s="7" t="s">
        <v>419</v>
      </c>
      <c r="L2738" s="7" t="s">
        <v>991</v>
      </c>
      <c r="M2738" s="7" t="s">
        <v>3501</v>
      </c>
      <c r="N2738" s="7" t="s">
        <v>419</v>
      </c>
      <c r="O2738" s="7" t="s">
        <v>19432</v>
      </c>
      <c r="P2738" s="7" t="s">
        <v>693</v>
      </c>
      <c r="T2738" s="7" t="s">
        <v>6972</v>
      </c>
      <c r="U2738" s="7" t="s">
        <v>3493</v>
      </c>
      <c r="V2738" s="7">
        <v>1.0</v>
      </c>
    </row>
    <row r="2739">
      <c r="A2739" s="7" t="s">
        <v>22653</v>
      </c>
      <c r="B2739" s="7">
        <v>3001141.0</v>
      </c>
      <c r="C2739" s="7" t="s">
        <v>19180</v>
      </c>
      <c r="D2739" s="7" t="s">
        <v>19181</v>
      </c>
      <c r="E2739" s="7" t="s">
        <v>19182</v>
      </c>
      <c r="F2739" s="7" t="s">
        <v>4782</v>
      </c>
      <c r="G2739" s="7" t="s">
        <v>19183</v>
      </c>
      <c r="H2739" s="7" t="s">
        <v>19184</v>
      </c>
      <c r="I2739" s="119">
        <v>45931.0</v>
      </c>
      <c r="K2739" s="7" t="s">
        <v>3642</v>
      </c>
      <c r="L2739" s="7" t="s">
        <v>991</v>
      </c>
      <c r="M2739" s="7" t="s">
        <v>3501</v>
      </c>
      <c r="N2739" s="7" t="s">
        <v>3642</v>
      </c>
      <c r="O2739" s="7" t="s">
        <v>3642</v>
      </c>
      <c r="P2739" s="7" t="s">
        <v>19524</v>
      </c>
      <c r="T2739" s="7" t="s">
        <v>3644</v>
      </c>
      <c r="U2739" s="7" t="s">
        <v>3493</v>
      </c>
      <c r="V2739" s="7">
        <v>1.0</v>
      </c>
    </row>
    <row r="2740">
      <c r="A2740" s="7" t="s">
        <v>22654</v>
      </c>
      <c r="B2740" s="7">
        <v>3001177.0</v>
      </c>
      <c r="C2740" s="7" t="s">
        <v>11715</v>
      </c>
      <c r="D2740" s="7" t="s">
        <v>19186</v>
      </c>
      <c r="E2740" s="7" t="s">
        <v>19187</v>
      </c>
      <c r="F2740" s="7" t="s">
        <v>19188</v>
      </c>
      <c r="G2740" s="7" t="s">
        <v>19189</v>
      </c>
      <c r="H2740" s="7" t="s">
        <v>19190</v>
      </c>
      <c r="I2740" s="119">
        <v>45931.0</v>
      </c>
      <c r="K2740" s="7" t="s">
        <v>8491</v>
      </c>
      <c r="L2740" s="7" t="s">
        <v>991</v>
      </c>
      <c r="M2740" s="7" t="s">
        <v>3501</v>
      </c>
      <c r="N2740" s="7" t="s">
        <v>8491</v>
      </c>
      <c r="O2740" s="7" t="s">
        <v>8491</v>
      </c>
      <c r="P2740" s="7" t="s">
        <v>20584</v>
      </c>
      <c r="T2740" s="7" t="s">
        <v>8493</v>
      </c>
      <c r="U2740" s="7" t="s">
        <v>3493</v>
      </c>
      <c r="V2740" s="7">
        <v>1.0</v>
      </c>
    </row>
    <row r="2741">
      <c r="A2741" s="7" t="s">
        <v>22655</v>
      </c>
      <c r="B2741" s="7">
        <v>3001104.0</v>
      </c>
      <c r="C2741" s="7" t="s">
        <v>19192</v>
      </c>
      <c r="D2741" s="7" t="s">
        <v>19193</v>
      </c>
      <c r="E2741" s="7" t="s">
        <v>19194</v>
      </c>
      <c r="F2741" s="7" t="s">
        <v>19195</v>
      </c>
      <c r="G2741" s="7" t="s">
        <v>19196</v>
      </c>
      <c r="H2741" s="7" t="s">
        <v>19197</v>
      </c>
      <c r="I2741" s="119">
        <v>45931.0</v>
      </c>
      <c r="K2741" s="7" t="s">
        <v>419</v>
      </c>
      <c r="L2741" s="7" t="s">
        <v>991</v>
      </c>
      <c r="M2741" s="7" t="s">
        <v>3501</v>
      </c>
      <c r="N2741" s="7" t="s">
        <v>419</v>
      </c>
      <c r="O2741" s="7" t="s">
        <v>19433</v>
      </c>
      <c r="P2741" s="7" t="s">
        <v>587</v>
      </c>
      <c r="Q2741" s="7" t="s">
        <v>74</v>
      </c>
      <c r="R2741" s="7" t="s">
        <v>20816</v>
      </c>
      <c r="T2741" s="7" t="s">
        <v>9728</v>
      </c>
      <c r="U2741" s="7" t="s">
        <v>3493</v>
      </c>
      <c r="V2741" s="7">
        <v>1.0</v>
      </c>
    </row>
    <row r="2742">
      <c r="A2742" s="7" t="s">
        <v>22656</v>
      </c>
      <c r="B2742" s="7">
        <v>3001134.0</v>
      </c>
      <c r="C2742" s="7" t="s">
        <v>19199</v>
      </c>
      <c r="D2742" s="7" t="s">
        <v>11583</v>
      </c>
      <c r="E2742" s="7" t="s">
        <v>19200</v>
      </c>
      <c r="F2742" s="7" t="s">
        <v>11585</v>
      </c>
      <c r="G2742" s="7" t="s">
        <v>19201</v>
      </c>
      <c r="H2742" s="7" t="s">
        <v>19202</v>
      </c>
      <c r="I2742" s="119">
        <v>45931.0</v>
      </c>
      <c r="K2742" s="7" t="s">
        <v>3632</v>
      </c>
      <c r="L2742" s="7" t="s">
        <v>991</v>
      </c>
      <c r="M2742" s="7" t="s">
        <v>3501</v>
      </c>
      <c r="N2742" s="7" t="s">
        <v>3632</v>
      </c>
      <c r="O2742" s="7" t="s">
        <v>3632</v>
      </c>
      <c r="P2742" s="7" t="s">
        <v>22</v>
      </c>
      <c r="Q2742" s="7" t="s">
        <v>552</v>
      </c>
      <c r="T2742" s="7" t="s">
        <v>16888</v>
      </c>
      <c r="U2742" s="7" t="s">
        <v>3493</v>
      </c>
      <c r="V2742" s="7">
        <v>1.0</v>
      </c>
    </row>
    <row r="2743">
      <c r="A2743" s="7" t="s">
        <v>22657</v>
      </c>
      <c r="B2743" s="7">
        <v>3001127.0</v>
      </c>
      <c r="C2743" s="7" t="s">
        <v>19205</v>
      </c>
      <c r="D2743" s="7" t="s">
        <v>6009</v>
      </c>
      <c r="E2743" s="7" t="s">
        <v>19206</v>
      </c>
      <c r="F2743" s="7" t="s">
        <v>6011</v>
      </c>
      <c r="G2743" s="7" t="s">
        <v>19207</v>
      </c>
      <c r="H2743" s="7" t="s">
        <v>19208</v>
      </c>
      <c r="I2743" s="119">
        <v>45931.0</v>
      </c>
      <c r="K2743" s="7" t="s">
        <v>419</v>
      </c>
      <c r="L2743" s="7" t="s">
        <v>991</v>
      </c>
      <c r="M2743" s="7" t="s">
        <v>3501</v>
      </c>
      <c r="N2743" s="7" t="s">
        <v>419</v>
      </c>
      <c r="O2743" s="7" t="s">
        <v>19443</v>
      </c>
      <c r="P2743" s="7" t="s">
        <v>1242</v>
      </c>
      <c r="Q2743" s="7" t="s">
        <v>51</v>
      </c>
      <c r="T2743" s="7" t="s">
        <v>19209</v>
      </c>
      <c r="U2743" s="7" t="s">
        <v>3493</v>
      </c>
      <c r="V2743" s="7">
        <v>1.0</v>
      </c>
    </row>
    <row r="2744">
      <c r="A2744" s="7" t="s">
        <v>22658</v>
      </c>
      <c r="B2744" s="7">
        <v>3001143.0</v>
      </c>
      <c r="C2744" s="7" t="s">
        <v>16493</v>
      </c>
      <c r="D2744" s="7" t="s">
        <v>19211</v>
      </c>
      <c r="E2744" s="7" t="s">
        <v>16495</v>
      </c>
      <c r="F2744" s="7" t="s">
        <v>19212</v>
      </c>
      <c r="G2744" s="7" t="s">
        <v>19213</v>
      </c>
      <c r="H2744" s="7" t="s">
        <v>19214</v>
      </c>
      <c r="I2744" s="119">
        <v>45931.0</v>
      </c>
      <c r="K2744" s="7" t="s">
        <v>3642</v>
      </c>
      <c r="L2744" s="7" t="s">
        <v>991</v>
      </c>
      <c r="M2744" s="7" t="s">
        <v>3583</v>
      </c>
      <c r="N2744" s="7" t="s">
        <v>3642</v>
      </c>
      <c r="O2744" s="7" t="s">
        <v>3642</v>
      </c>
      <c r="P2744" s="7" t="s">
        <v>19524</v>
      </c>
      <c r="T2744" s="7" t="s">
        <v>3644</v>
      </c>
      <c r="U2744" s="7" t="s">
        <v>3493</v>
      </c>
      <c r="V2744" s="7">
        <v>1.0</v>
      </c>
    </row>
    <row r="2745">
      <c r="A2745" s="7" t="s">
        <v>22659</v>
      </c>
      <c r="B2745" s="7">
        <v>3001142.0</v>
      </c>
      <c r="C2745" s="7" t="s">
        <v>5749</v>
      </c>
      <c r="D2745" s="7" t="s">
        <v>9063</v>
      </c>
      <c r="E2745" s="7" t="s">
        <v>5751</v>
      </c>
      <c r="F2745" s="7" t="s">
        <v>3486</v>
      </c>
      <c r="G2745" s="7" t="s">
        <v>19216</v>
      </c>
      <c r="H2745" s="7" t="s">
        <v>19217</v>
      </c>
      <c r="I2745" s="119">
        <v>45931.0</v>
      </c>
      <c r="K2745" s="7" t="s">
        <v>419</v>
      </c>
      <c r="L2745" s="7" t="s">
        <v>991</v>
      </c>
      <c r="M2745" s="7" t="s">
        <v>3531</v>
      </c>
      <c r="N2745" s="7" t="s">
        <v>419</v>
      </c>
      <c r="O2745" s="7" t="s">
        <v>19430</v>
      </c>
      <c r="P2745" s="7" t="s">
        <v>717</v>
      </c>
      <c r="Q2745" s="7" t="s">
        <v>725</v>
      </c>
      <c r="R2745" s="7" t="s">
        <v>19501</v>
      </c>
      <c r="S2745" s="7" t="s">
        <v>19688</v>
      </c>
      <c r="T2745" s="7" t="s">
        <v>4257</v>
      </c>
      <c r="U2745" s="7" t="s">
        <v>3493</v>
      </c>
      <c r="V2745" s="7">
        <v>1.0</v>
      </c>
    </row>
    <row r="2746">
      <c r="A2746" s="7" t="s">
        <v>22660</v>
      </c>
      <c r="B2746" s="7">
        <v>3001144.0</v>
      </c>
      <c r="C2746" s="7" t="s">
        <v>5830</v>
      </c>
      <c r="D2746" s="7" t="s">
        <v>18755</v>
      </c>
      <c r="E2746" s="7" t="s">
        <v>5832</v>
      </c>
      <c r="F2746" s="7" t="s">
        <v>3508</v>
      </c>
      <c r="G2746" s="7" t="s">
        <v>19219</v>
      </c>
      <c r="H2746" s="7" t="s">
        <v>19220</v>
      </c>
      <c r="I2746" s="119">
        <v>45931.0</v>
      </c>
      <c r="K2746" s="7" t="s">
        <v>17988</v>
      </c>
      <c r="L2746" s="7" t="s">
        <v>991</v>
      </c>
      <c r="M2746" s="7" t="s">
        <v>3501</v>
      </c>
      <c r="N2746" s="7" t="s">
        <v>17988</v>
      </c>
      <c r="O2746" s="7" t="s">
        <v>17988</v>
      </c>
      <c r="P2746" s="7" t="s">
        <v>22394</v>
      </c>
      <c r="T2746" s="7" t="s">
        <v>17990</v>
      </c>
      <c r="U2746" s="7" t="s">
        <v>3493</v>
      </c>
      <c r="V2746" s="7">
        <v>1.0</v>
      </c>
    </row>
    <row r="2747">
      <c r="A2747" s="7" t="s">
        <v>22661</v>
      </c>
      <c r="B2747" s="7">
        <v>3001161.0</v>
      </c>
      <c r="C2747" s="7" t="s">
        <v>19222</v>
      </c>
      <c r="D2747" s="7" t="s">
        <v>19223</v>
      </c>
      <c r="E2747" s="7" t="s">
        <v>19224</v>
      </c>
      <c r="F2747" s="7" t="s">
        <v>17144</v>
      </c>
      <c r="G2747" s="7" t="s">
        <v>19225</v>
      </c>
      <c r="H2747" s="7" t="s">
        <v>19226</v>
      </c>
      <c r="I2747" s="119">
        <v>45931.0</v>
      </c>
      <c r="K2747" s="7" t="s">
        <v>419</v>
      </c>
      <c r="L2747" s="7" t="s">
        <v>991</v>
      </c>
      <c r="M2747" s="7" t="s">
        <v>3531</v>
      </c>
      <c r="N2747" s="7" t="s">
        <v>419</v>
      </c>
      <c r="O2747" s="7" t="s">
        <v>19430</v>
      </c>
      <c r="P2747" s="7" t="s">
        <v>717</v>
      </c>
      <c r="Q2747" s="7" t="s">
        <v>738</v>
      </c>
      <c r="R2747" s="7" t="s">
        <v>20012</v>
      </c>
      <c r="S2747" s="7" t="s">
        <v>20392</v>
      </c>
      <c r="T2747" s="7" t="s">
        <v>7537</v>
      </c>
      <c r="U2747" s="7" t="s">
        <v>3493</v>
      </c>
      <c r="V2747" s="7">
        <v>1.0</v>
      </c>
    </row>
    <row r="2748">
      <c r="A2748" s="7" t="s">
        <v>22662</v>
      </c>
      <c r="B2748" s="7">
        <v>3001130.0</v>
      </c>
      <c r="C2748" s="7" t="s">
        <v>18826</v>
      </c>
      <c r="D2748" s="7" t="s">
        <v>19228</v>
      </c>
      <c r="E2748" s="7" t="s">
        <v>18828</v>
      </c>
      <c r="F2748" s="7" t="s">
        <v>6089</v>
      </c>
      <c r="G2748" s="7" t="s">
        <v>19229</v>
      </c>
      <c r="H2748" s="7" t="s">
        <v>19230</v>
      </c>
      <c r="I2748" s="119">
        <v>45931.0</v>
      </c>
      <c r="K2748" s="7" t="s">
        <v>419</v>
      </c>
      <c r="L2748" s="7" t="s">
        <v>991</v>
      </c>
      <c r="M2748" s="7" t="s">
        <v>3866</v>
      </c>
      <c r="N2748" s="7" t="s">
        <v>419</v>
      </c>
      <c r="O2748" s="7" t="s">
        <v>19437</v>
      </c>
      <c r="P2748" s="7" t="s">
        <v>478</v>
      </c>
      <c r="Q2748" s="7" t="s">
        <v>508</v>
      </c>
      <c r="T2748" s="7" t="s">
        <v>22052</v>
      </c>
      <c r="U2748" s="7" t="s">
        <v>3493</v>
      </c>
      <c r="V2748" s="7">
        <v>1.0</v>
      </c>
    </row>
    <row r="2749">
      <c r="A2749" s="7" t="s">
        <v>22663</v>
      </c>
      <c r="B2749" s="7">
        <v>3001160.0</v>
      </c>
      <c r="C2749" s="7" t="s">
        <v>18596</v>
      </c>
      <c r="D2749" s="7" t="s">
        <v>19233</v>
      </c>
      <c r="E2749" s="7" t="s">
        <v>18597</v>
      </c>
      <c r="F2749" s="7" t="s">
        <v>18612</v>
      </c>
      <c r="G2749" s="7" t="s">
        <v>19234</v>
      </c>
      <c r="H2749" s="7" t="s">
        <v>19235</v>
      </c>
      <c r="I2749" s="119">
        <v>45931.0</v>
      </c>
      <c r="K2749" s="7" t="s">
        <v>419</v>
      </c>
      <c r="L2749" s="7" t="s">
        <v>991</v>
      </c>
      <c r="M2749" s="7" t="s">
        <v>3531</v>
      </c>
      <c r="N2749" s="7" t="s">
        <v>419</v>
      </c>
      <c r="O2749" s="7" t="s">
        <v>19430</v>
      </c>
      <c r="P2749" s="7" t="s">
        <v>717</v>
      </c>
      <c r="Q2749" s="7" t="s">
        <v>738</v>
      </c>
      <c r="R2749" s="7" t="s">
        <v>19818</v>
      </c>
      <c r="S2749" s="7" t="s">
        <v>19668</v>
      </c>
      <c r="T2749" s="7" t="s">
        <v>4739</v>
      </c>
      <c r="U2749" s="7" t="s">
        <v>3493</v>
      </c>
      <c r="V2749" s="7">
        <v>1.0</v>
      </c>
    </row>
    <row r="2750">
      <c r="A2750" s="7" t="s">
        <v>22664</v>
      </c>
      <c r="B2750" s="7">
        <v>3001148.0</v>
      </c>
      <c r="C2750" s="7" t="s">
        <v>19237</v>
      </c>
      <c r="D2750" s="7" t="s">
        <v>19238</v>
      </c>
      <c r="E2750" s="7" t="s">
        <v>19239</v>
      </c>
      <c r="F2750" s="7" t="s">
        <v>4469</v>
      </c>
      <c r="G2750" s="7" t="s">
        <v>19240</v>
      </c>
      <c r="H2750" s="7" t="s">
        <v>19241</v>
      </c>
      <c r="I2750" s="119">
        <v>45931.0</v>
      </c>
      <c r="K2750" s="7" t="s">
        <v>3632</v>
      </c>
      <c r="L2750" s="7" t="s">
        <v>991</v>
      </c>
      <c r="M2750" s="7" t="s">
        <v>3531</v>
      </c>
      <c r="N2750" s="7" t="s">
        <v>3632</v>
      </c>
      <c r="O2750" s="7" t="s">
        <v>3632</v>
      </c>
      <c r="P2750" s="7" t="s">
        <v>22</v>
      </c>
      <c r="Q2750" s="7" t="s">
        <v>23</v>
      </c>
      <c r="T2750" s="7" t="s">
        <v>10846</v>
      </c>
      <c r="U2750" s="7" t="s">
        <v>3493</v>
      </c>
      <c r="V2750" s="7">
        <v>1.0</v>
      </c>
    </row>
    <row r="2751">
      <c r="A2751" s="7" t="s">
        <v>22665</v>
      </c>
      <c r="B2751" s="7">
        <v>3001176.0</v>
      </c>
      <c r="C2751" s="7" t="s">
        <v>14653</v>
      </c>
      <c r="D2751" s="7" t="s">
        <v>19243</v>
      </c>
      <c r="E2751" s="7" t="s">
        <v>7229</v>
      </c>
      <c r="F2751" s="7" t="s">
        <v>19244</v>
      </c>
      <c r="G2751" s="7" t="s">
        <v>19245</v>
      </c>
      <c r="H2751" s="7" t="s">
        <v>19246</v>
      </c>
      <c r="I2751" s="119">
        <v>45931.0</v>
      </c>
      <c r="K2751" s="7" t="s">
        <v>8491</v>
      </c>
      <c r="L2751" s="7" t="s">
        <v>991</v>
      </c>
      <c r="M2751" s="7" t="s">
        <v>3531</v>
      </c>
      <c r="N2751" s="7" t="s">
        <v>8491</v>
      </c>
      <c r="O2751" s="7" t="s">
        <v>8491</v>
      </c>
      <c r="P2751" s="7" t="s">
        <v>20584</v>
      </c>
      <c r="T2751" s="7" t="s">
        <v>8493</v>
      </c>
      <c r="U2751" s="7" t="s">
        <v>3493</v>
      </c>
      <c r="V2751" s="7">
        <v>1.0</v>
      </c>
    </row>
    <row r="2752">
      <c r="A2752" s="7" t="s">
        <v>22666</v>
      </c>
      <c r="B2752" s="7">
        <v>3001159.0</v>
      </c>
      <c r="C2752" s="7" t="s">
        <v>7234</v>
      </c>
      <c r="D2752" s="7" t="s">
        <v>19248</v>
      </c>
      <c r="E2752" s="7" t="s">
        <v>7236</v>
      </c>
      <c r="F2752" s="7" t="s">
        <v>19249</v>
      </c>
      <c r="G2752" s="7" t="s">
        <v>19250</v>
      </c>
      <c r="H2752" s="7" t="s">
        <v>19251</v>
      </c>
      <c r="I2752" s="119">
        <v>45931.0</v>
      </c>
      <c r="K2752" s="7" t="s">
        <v>419</v>
      </c>
      <c r="L2752" s="7" t="s">
        <v>991</v>
      </c>
      <c r="M2752" s="7" t="s">
        <v>3531</v>
      </c>
      <c r="N2752" s="7" t="s">
        <v>419</v>
      </c>
      <c r="O2752" s="7" t="s">
        <v>19430</v>
      </c>
      <c r="P2752" s="7" t="s">
        <v>717</v>
      </c>
      <c r="Q2752" s="7" t="s">
        <v>738</v>
      </c>
      <c r="R2752" s="7" t="s">
        <v>19818</v>
      </c>
      <c r="S2752" s="7" t="s">
        <v>19668</v>
      </c>
      <c r="T2752" s="7" t="s">
        <v>4739</v>
      </c>
      <c r="U2752" s="7" t="s">
        <v>3493</v>
      </c>
      <c r="V2752" s="7">
        <v>1.0</v>
      </c>
    </row>
    <row r="2753">
      <c r="A2753" s="7" t="s">
        <v>22667</v>
      </c>
      <c r="B2753" s="7">
        <v>3001151.0</v>
      </c>
      <c r="C2753" s="7" t="s">
        <v>7234</v>
      </c>
      <c r="D2753" s="7" t="s">
        <v>19253</v>
      </c>
      <c r="E2753" s="7" t="s">
        <v>7236</v>
      </c>
      <c r="F2753" s="7" t="s">
        <v>4380</v>
      </c>
      <c r="G2753" s="7" t="s">
        <v>19254</v>
      </c>
      <c r="H2753" s="7" t="s">
        <v>19255</v>
      </c>
      <c r="I2753" s="119">
        <v>45931.0</v>
      </c>
      <c r="K2753" s="7" t="s">
        <v>419</v>
      </c>
      <c r="L2753" s="7" t="s">
        <v>991</v>
      </c>
      <c r="M2753" s="7" t="s">
        <v>3531</v>
      </c>
      <c r="N2753" s="7" t="s">
        <v>419</v>
      </c>
      <c r="O2753" s="7" t="s">
        <v>19432</v>
      </c>
      <c r="P2753" s="7" t="s">
        <v>693</v>
      </c>
      <c r="Q2753" s="7" t="s">
        <v>698</v>
      </c>
      <c r="R2753" s="7" t="s">
        <v>19563</v>
      </c>
      <c r="S2753" s="7" t="s">
        <v>19971</v>
      </c>
      <c r="T2753" s="7" t="s">
        <v>5462</v>
      </c>
      <c r="U2753" s="7" t="s">
        <v>3493</v>
      </c>
      <c r="V2753" s="7">
        <v>1.0</v>
      </c>
    </row>
    <row r="2754">
      <c r="A2754" s="7" t="s">
        <v>22668</v>
      </c>
      <c r="B2754" s="7">
        <v>3001180.0</v>
      </c>
      <c r="C2754" s="7" t="s">
        <v>14911</v>
      </c>
      <c r="D2754" s="7" t="s">
        <v>19257</v>
      </c>
      <c r="E2754" s="7" t="s">
        <v>14913</v>
      </c>
      <c r="F2754" s="7" t="s">
        <v>19258</v>
      </c>
      <c r="G2754" s="7" t="s">
        <v>19259</v>
      </c>
      <c r="H2754" s="7" t="s">
        <v>19260</v>
      </c>
      <c r="I2754" s="119">
        <v>45931.0</v>
      </c>
      <c r="K2754" s="7" t="s">
        <v>3632</v>
      </c>
      <c r="L2754" s="7" t="s">
        <v>991</v>
      </c>
      <c r="M2754" s="7" t="s">
        <v>3583</v>
      </c>
      <c r="N2754" s="7" t="s">
        <v>3632</v>
      </c>
      <c r="O2754" s="7" t="s">
        <v>3632</v>
      </c>
      <c r="P2754" s="7" t="s">
        <v>625</v>
      </c>
      <c r="Q2754" s="7" t="s">
        <v>626</v>
      </c>
      <c r="R2754" s="7" t="s">
        <v>19672</v>
      </c>
      <c r="T2754" s="7" t="s">
        <v>4191</v>
      </c>
      <c r="U2754" s="7" t="s">
        <v>3493</v>
      </c>
      <c r="V2754" s="7">
        <v>1.0</v>
      </c>
    </row>
    <row r="2755">
      <c r="A2755" s="7" t="s">
        <v>22669</v>
      </c>
      <c r="B2755" s="7">
        <v>3001147.0</v>
      </c>
      <c r="C2755" s="7" t="s">
        <v>7830</v>
      </c>
      <c r="D2755" s="7" t="s">
        <v>18827</v>
      </c>
      <c r="E2755" s="7" t="s">
        <v>7832</v>
      </c>
      <c r="F2755" s="7" t="s">
        <v>5058</v>
      </c>
      <c r="G2755" s="7" t="s">
        <v>19262</v>
      </c>
      <c r="H2755" s="7" t="s">
        <v>19263</v>
      </c>
      <c r="I2755" s="119">
        <v>45931.0</v>
      </c>
      <c r="K2755" s="7" t="s">
        <v>3642</v>
      </c>
      <c r="L2755" s="7" t="s">
        <v>991</v>
      </c>
      <c r="M2755" s="7" t="s">
        <v>3501</v>
      </c>
      <c r="N2755" s="7" t="s">
        <v>3642</v>
      </c>
      <c r="O2755" s="7" t="s">
        <v>3642</v>
      </c>
      <c r="P2755" s="7" t="s">
        <v>19524</v>
      </c>
      <c r="T2755" s="7" t="s">
        <v>3644</v>
      </c>
      <c r="U2755" s="7" t="s">
        <v>3493</v>
      </c>
      <c r="V2755" s="7">
        <v>1.0</v>
      </c>
    </row>
    <row r="2756">
      <c r="A2756" s="7" t="s">
        <v>22670</v>
      </c>
      <c r="B2756" s="7">
        <v>3001145.0</v>
      </c>
      <c r="C2756" s="7" t="s">
        <v>8429</v>
      </c>
      <c r="D2756" s="7" t="s">
        <v>19265</v>
      </c>
      <c r="E2756" s="7" t="s">
        <v>8431</v>
      </c>
      <c r="F2756" s="7" t="s">
        <v>19266</v>
      </c>
      <c r="G2756" s="7" t="s">
        <v>19267</v>
      </c>
      <c r="H2756" s="7" t="s">
        <v>19268</v>
      </c>
      <c r="I2756" s="119">
        <v>45931.0</v>
      </c>
      <c r="K2756" s="7" t="s">
        <v>17988</v>
      </c>
      <c r="L2756" s="7" t="s">
        <v>991</v>
      </c>
      <c r="M2756" s="7" t="s">
        <v>3501</v>
      </c>
      <c r="N2756" s="7" t="s">
        <v>17988</v>
      </c>
      <c r="O2756" s="7" t="s">
        <v>17988</v>
      </c>
      <c r="P2756" s="7" t="s">
        <v>22394</v>
      </c>
      <c r="T2756" s="7" t="s">
        <v>17990</v>
      </c>
      <c r="U2756" s="7" t="s">
        <v>3493</v>
      </c>
      <c r="V2756" s="7">
        <v>1.0</v>
      </c>
    </row>
    <row r="2757">
      <c r="A2757" s="7" t="s">
        <v>22671</v>
      </c>
      <c r="B2757" s="7">
        <v>3000965.0</v>
      </c>
      <c r="C2757" s="7" t="s">
        <v>19270</v>
      </c>
      <c r="D2757" s="7" t="s">
        <v>12892</v>
      </c>
      <c r="E2757" s="7" t="s">
        <v>19271</v>
      </c>
      <c r="F2757" s="7" t="s">
        <v>9184</v>
      </c>
      <c r="G2757" s="7" t="s">
        <v>19272</v>
      </c>
      <c r="H2757" s="7" t="s">
        <v>19273</v>
      </c>
      <c r="I2757" s="119">
        <v>45931.0</v>
      </c>
      <c r="K2757" s="7" t="s">
        <v>419</v>
      </c>
      <c r="L2757" s="7" t="s">
        <v>991</v>
      </c>
      <c r="M2757" s="7" t="s">
        <v>3501</v>
      </c>
      <c r="N2757" s="7" t="s">
        <v>419</v>
      </c>
      <c r="O2757" s="7" t="s">
        <v>19433</v>
      </c>
      <c r="P2757" s="7" t="s">
        <v>587</v>
      </c>
      <c r="Q2757" s="7" t="s">
        <v>74</v>
      </c>
      <c r="R2757" s="7" t="s">
        <v>19721</v>
      </c>
      <c r="T2757" s="7" t="s">
        <v>10691</v>
      </c>
      <c r="U2757" s="7" t="s">
        <v>3493</v>
      </c>
      <c r="V2757" s="7">
        <v>1.0</v>
      </c>
    </row>
    <row r="2758">
      <c r="A2758" s="7" t="s">
        <v>22672</v>
      </c>
      <c r="B2758" s="7">
        <v>3001132.0</v>
      </c>
      <c r="C2758" s="7" t="s">
        <v>9126</v>
      </c>
      <c r="D2758" s="7" t="s">
        <v>8276</v>
      </c>
      <c r="E2758" s="7" t="s">
        <v>9127</v>
      </c>
      <c r="F2758" s="7" t="s">
        <v>19275</v>
      </c>
      <c r="G2758" s="7" t="s">
        <v>19276</v>
      </c>
      <c r="H2758" s="7" t="s">
        <v>19277</v>
      </c>
      <c r="I2758" s="119">
        <v>45931.0</v>
      </c>
      <c r="K2758" s="7" t="s">
        <v>419</v>
      </c>
      <c r="L2758" s="7" t="s">
        <v>991</v>
      </c>
      <c r="M2758" s="7" t="s">
        <v>3866</v>
      </c>
      <c r="N2758" s="7" t="s">
        <v>419</v>
      </c>
      <c r="O2758" s="7" t="s">
        <v>19437</v>
      </c>
      <c r="P2758" s="7" t="s">
        <v>478</v>
      </c>
      <c r="Q2758" s="7" t="s">
        <v>508</v>
      </c>
      <c r="T2758" s="7" t="s">
        <v>22052</v>
      </c>
      <c r="U2758" s="7" t="s">
        <v>3493</v>
      </c>
      <c r="V2758" s="7">
        <v>1.0</v>
      </c>
    </row>
    <row r="2759">
      <c r="A2759" s="7" t="s">
        <v>22673</v>
      </c>
      <c r="B2759" s="7">
        <v>3001149.0</v>
      </c>
      <c r="C2759" s="7" t="s">
        <v>9570</v>
      </c>
      <c r="D2759" s="7" t="s">
        <v>19279</v>
      </c>
      <c r="E2759" s="7" t="s">
        <v>9572</v>
      </c>
      <c r="F2759" s="7" t="s">
        <v>5058</v>
      </c>
      <c r="G2759" s="7" t="s">
        <v>19280</v>
      </c>
      <c r="H2759" s="7" t="s">
        <v>19281</v>
      </c>
      <c r="I2759" s="119">
        <v>45931.0</v>
      </c>
      <c r="K2759" s="7" t="s">
        <v>419</v>
      </c>
      <c r="L2759" s="7" t="s">
        <v>991</v>
      </c>
      <c r="M2759" s="7" t="s">
        <v>3531</v>
      </c>
      <c r="N2759" s="7" t="s">
        <v>419</v>
      </c>
      <c r="O2759" s="7" t="s">
        <v>19430</v>
      </c>
      <c r="P2759" s="7" t="s">
        <v>717</v>
      </c>
      <c r="Q2759" s="7" t="s">
        <v>725</v>
      </c>
      <c r="R2759" s="7" t="s">
        <v>19501</v>
      </c>
      <c r="S2759" s="7" t="s">
        <v>19643</v>
      </c>
      <c r="T2759" s="7" t="s">
        <v>4097</v>
      </c>
      <c r="U2759" s="7" t="s">
        <v>3493</v>
      </c>
      <c r="V2759" s="7">
        <v>1.0</v>
      </c>
    </row>
    <row r="2760">
      <c r="A2760" s="7" t="s">
        <v>22674</v>
      </c>
      <c r="B2760" s="7">
        <v>3001136.0</v>
      </c>
      <c r="C2760" s="7" t="s">
        <v>9570</v>
      </c>
      <c r="D2760" s="7" t="s">
        <v>19283</v>
      </c>
      <c r="E2760" s="7" t="s">
        <v>9572</v>
      </c>
      <c r="F2760" s="7" t="s">
        <v>19284</v>
      </c>
      <c r="G2760" s="7" t="s">
        <v>19285</v>
      </c>
      <c r="H2760" s="7" t="s">
        <v>19286</v>
      </c>
      <c r="I2760" s="119">
        <v>45931.0</v>
      </c>
      <c r="K2760" s="7" t="s">
        <v>3489</v>
      </c>
      <c r="L2760" s="7" t="s">
        <v>991</v>
      </c>
      <c r="M2760" s="7" t="s">
        <v>3490</v>
      </c>
      <c r="N2760" s="7" t="s">
        <v>3489</v>
      </c>
      <c r="O2760" s="7" t="s">
        <v>3489</v>
      </c>
      <c r="P2760" s="7" t="s">
        <v>19491</v>
      </c>
      <c r="Q2760" s="7" t="s">
        <v>169</v>
      </c>
      <c r="R2760" s="7" t="s">
        <v>19492</v>
      </c>
      <c r="T2760" s="7" t="s">
        <v>3492</v>
      </c>
      <c r="U2760" s="7" t="s">
        <v>3493</v>
      </c>
      <c r="V2760" s="7">
        <v>1.0</v>
      </c>
    </row>
    <row r="2761">
      <c r="A2761" s="7" t="s">
        <v>22675</v>
      </c>
      <c r="B2761" s="7">
        <v>3001178.0</v>
      </c>
      <c r="C2761" s="7" t="s">
        <v>9689</v>
      </c>
      <c r="D2761" s="7" t="s">
        <v>19288</v>
      </c>
      <c r="E2761" s="7" t="s">
        <v>9691</v>
      </c>
      <c r="F2761" s="7" t="s">
        <v>19289</v>
      </c>
      <c r="G2761" s="7" t="s">
        <v>19290</v>
      </c>
      <c r="H2761" s="7" t="s">
        <v>19291</v>
      </c>
      <c r="I2761" s="119">
        <v>45931.0</v>
      </c>
      <c r="K2761" s="7" t="s">
        <v>3632</v>
      </c>
      <c r="L2761" s="7" t="s">
        <v>991</v>
      </c>
      <c r="M2761" s="7" t="s">
        <v>3866</v>
      </c>
      <c r="N2761" s="7" t="s">
        <v>3632</v>
      </c>
      <c r="O2761" s="7" t="s">
        <v>3632</v>
      </c>
      <c r="P2761" s="7" t="s">
        <v>625</v>
      </c>
      <c r="Q2761" s="7" t="s">
        <v>124</v>
      </c>
      <c r="R2761" s="7" t="s">
        <v>19563</v>
      </c>
      <c r="T2761" s="7" t="s">
        <v>10625</v>
      </c>
      <c r="U2761" s="7" t="s">
        <v>3493</v>
      </c>
      <c r="V2761" s="7">
        <v>1.0</v>
      </c>
    </row>
    <row r="2762">
      <c r="A2762" s="7" t="s">
        <v>22676</v>
      </c>
      <c r="B2762" s="7">
        <v>3001153.0</v>
      </c>
      <c r="C2762" s="7" t="s">
        <v>9777</v>
      </c>
      <c r="D2762" s="7" t="s">
        <v>19293</v>
      </c>
      <c r="E2762" s="7" t="s">
        <v>9779</v>
      </c>
      <c r="F2762" s="7" t="s">
        <v>4960</v>
      </c>
      <c r="G2762" s="7" t="s">
        <v>19294</v>
      </c>
      <c r="H2762" s="7" t="s">
        <v>19295</v>
      </c>
      <c r="I2762" s="119">
        <v>45931.0</v>
      </c>
      <c r="K2762" s="7" t="s">
        <v>419</v>
      </c>
      <c r="L2762" s="7" t="s">
        <v>991</v>
      </c>
      <c r="M2762" s="7" t="s">
        <v>3531</v>
      </c>
      <c r="N2762" s="7" t="s">
        <v>419</v>
      </c>
      <c r="O2762" s="7" t="s">
        <v>19430</v>
      </c>
      <c r="P2762" s="7" t="s">
        <v>717</v>
      </c>
      <c r="Q2762" s="7" t="s">
        <v>251</v>
      </c>
      <c r="R2762" s="7" t="s">
        <v>20620</v>
      </c>
      <c r="T2762" s="7" t="s">
        <v>8648</v>
      </c>
      <c r="U2762" s="7" t="s">
        <v>3493</v>
      </c>
      <c r="V2762" s="7">
        <v>1.0</v>
      </c>
    </row>
    <row r="2763">
      <c r="A2763" s="7" t="s">
        <v>22677</v>
      </c>
      <c r="B2763" s="7">
        <v>3001174.0</v>
      </c>
      <c r="C2763" s="7" t="s">
        <v>14560</v>
      </c>
      <c r="D2763" s="7" t="s">
        <v>19297</v>
      </c>
      <c r="E2763" s="7" t="s">
        <v>14562</v>
      </c>
      <c r="F2763" s="7" t="s">
        <v>5627</v>
      </c>
      <c r="G2763" s="7" t="s">
        <v>19298</v>
      </c>
      <c r="H2763" s="7" t="s">
        <v>19299</v>
      </c>
      <c r="I2763" s="119">
        <v>45931.0</v>
      </c>
      <c r="K2763" s="7" t="s">
        <v>419</v>
      </c>
      <c r="L2763" s="7" t="s">
        <v>991</v>
      </c>
      <c r="M2763" s="7" t="s">
        <v>3866</v>
      </c>
      <c r="N2763" s="7" t="s">
        <v>419</v>
      </c>
      <c r="O2763" s="7" t="s">
        <v>19443</v>
      </c>
      <c r="P2763" s="7" t="s">
        <v>323</v>
      </c>
      <c r="Q2763" s="7" t="s">
        <v>824</v>
      </c>
      <c r="R2763" s="7" t="s">
        <v>19771</v>
      </c>
      <c r="T2763" s="7" t="s">
        <v>12660</v>
      </c>
      <c r="U2763" s="7" t="s">
        <v>3493</v>
      </c>
      <c r="V2763" s="7">
        <v>1.0</v>
      </c>
    </row>
    <row r="2764">
      <c r="A2764" s="7" t="s">
        <v>22678</v>
      </c>
      <c r="B2764" s="7">
        <v>3000911.0</v>
      </c>
      <c r="C2764" s="7" t="s">
        <v>15422</v>
      </c>
      <c r="D2764" s="7" t="s">
        <v>12066</v>
      </c>
      <c r="E2764" s="7" t="s">
        <v>10131</v>
      </c>
      <c r="F2764" s="7" t="s">
        <v>5155</v>
      </c>
      <c r="G2764" s="7" t="s">
        <v>19301</v>
      </c>
      <c r="H2764" s="7" t="s">
        <v>19302</v>
      </c>
      <c r="I2764" s="119">
        <v>45931.0</v>
      </c>
      <c r="K2764" s="7" t="s">
        <v>419</v>
      </c>
      <c r="L2764" s="7" t="s">
        <v>991</v>
      </c>
      <c r="M2764" s="7" t="s">
        <v>3501</v>
      </c>
      <c r="N2764" s="7" t="s">
        <v>419</v>
      </c>
      <c r="O2764" s="7" t="s">
        <v>19432</v>
      </c>
      <c r="P2764" s="7" t="s">
        <v>693</v>
      </c>
      <c r="Q2764" s="7" t="s">
        <v>703</v>
      </c>
      <c r="R2764" s="7" t="s">
        <v>19945</v>
      </c>
      <c r="S2764" s="7" t="s">
        <v>19946</v>
      </c>
      <c r="T2764" s="7" t="s">
        <v>5342</v>
      </c>
      <c r="U2764" s="7" t="s">
        <v>3493</v>
      </c>
      <c r="V2764" s="7">
        <v>1.0</v>
      </c>
    </row>
    <row r="2765">
      <c r="A2765" s="7" t="s">
        <v>22679</v>
      </c>
      <c r="B2765" s="7">
        <v>3001095.0</v>
      </c>
      <c r="C2765" s="7" t="s">
        <v>10276</v>
      </c>
      <c r="D2765" s="7" t="s">
        <v>19304</v>
      </c>
      <c r="E2765" s="7" t="s">
        <v>10277</v>
      </c>
      <c r="F2765" s="7" t="s">
        <v>9672</v>
      </c>
      <c r="G2765" s="7" t="s">
        <v>19305</v>
      </c>
      <c r="H2765" s="7" t="s">
        <v>19306</v>
      </c>
      <c r="I2765" s="119">
        <v>45931.0</v>
      </c>
      <c r="K2765" s="7" t="s">
        <v>419</v>
      </c>
      <c r="L2765" s="7" t="s">
        <v>991</v>
      </c>
      <c r="M2765" s="7" t="s">
        <v>3501</v>
      </c>
      <c r="N2765" s="7" t="s">
        <v>419</v>
      </c>
      <c r="O2765" s="7" t="s">
        <v>19443</v>
      </c>
      <c r="P2765" s="7" t="s">
        <v>1242</v>
      </c>
      <c r="Q2765" s="7" t="s">
        <v>51</v>
      </c>
      <c r="R2765" s="7" t="s">
        <v>19549</v>
      </c>
      <c r="S2765" s="7" t="s">
        <v>19668</v>
      </c>
      <c r="T2765" s="7" t="s">
        <v>4176</v>
      </c>
      <c r="U2765" s="7" t="s">
        <v>3493</v>
      </c>
      <c r="V2765" s="7">
        <v>1.0</v>
      </c>
    </row>
    <row r="2766">
      <c r="A2766" s="7" t="s">
        <v>22680</v>
      </c>
      <c r="B2766" s="7">
        <v>3001170.0</v>
      </c>
      <c r="C2766" s="7" t="s">
        <v>19308</v>
      </c>
      <c r="D2766" s="7" t="s">
        <v>19309</v>
      </c>
      <c r="E2766" s="7" t="s">
        <v>19310</v>
      </c>
      <c r="F2766" s="7" t="s">
        <v>19311</v>
      </c>
      <c r="G2766" s="7" t="s">
        <v>19312</v>
      </c>
      <c r="H2766" s="7" t="s">
        <v>19313</v>
      </c>
      <c r="I2766" s="119">
        <v>45931.0</v>
      </c>
      <c r="K2766" s="7" t="s">
        <v>419</v>
      </c>
      <c r="L2766" s="7" t="s">
        <v>991</v>
      </c>
      <c r="M2766" s="7" t="s">
        <v>3531</v>
      </c>
      <c r="N2766" s="7" t="s">
        <v>419</v>
      </c>
      <c r="O2766" s="7" t="s">
        <v>19430</v>
      </c>
      <c r="P2766" s="7" t="s">
        <v>780</v>
      </c>
      <c r="Q2766" s="7" t="s">
        <v>786</v>
      </c>
      <c r="T2766" s="7" t="s">
        <v>16907</v>
      </c>
      <c r="U2766" s="7" t="s">
        <v>3493</v>
      </c>
      <c r="V2766" s="7">
        <v>1.0</v>
      </c>
    </row>
    <row r="2767">
      <c r="A2767" s="7" t="s">
        <v>22681</v>
      </c>
      <c r="B2767" s="7">
        <v>3001152.0</v>
      </c>
      <c r="C2767" s="7" t="s">
        <v>10766</v>
      </c>
      <c r="D2767" s="7" t="s">
        <v>19315</v>
      </c>
      <c r="E2767" s="7" t="s">
        <v>10768</v>
      </c>
      <c r="F2767" s="7" t="s">
        <v>7361</v>
      </c>
      <c r="G2767" s="7" t="s">
        <v>19316</v>
      </c>
      <c r="H2767" s="7" t="s">
        <v>19317</v>
      </c>
      <c r="I2767" s="119">
        <v>45931.0</v>
      </c>
      <c r="K2767" s="7" t="s">
        <v>419</v>
      </c>
      <c r="L2767" s="7" t="s">
        <v>991</v>
      </c>
      <c r="M2767" s="7" t="s">
        <v>3531</v>
      </c>
      <c r="N2767" s="7" t="s">
        <v>419</v>
      </c>
      <c r="O2767" s="7" t="s">
        <v>19443</v>
      </c>
      <c r="P2767" s="7" t="s">
        <v>323</v>
      </c>
      <c r="Q2767" s="7" t="s">
        <v>324</v>
      </c>
      <c r="R2767" s="7" t="s">
        <v>20997</v>
      </c>
      <c r="T2767" s="7" t="s">
        <v>11045</v>
      </c>
      <c r="U2767" s="7" t="s">
        <v>3493</v>
      </c>
      <c r="V2767" s="7">
        <v>1.0</v>
      </c>
    </row>
    <row r="2768">
      <c r="A2768" s="7" t="s">
        <v>22682</v>
      </c>
      <c r="B2768" s="7">
        <v>3001146.0</v>
      </c>
      <c r="C2768" s="7" t="s">
        <v>19319</v>
      </c>
      <c r="D2768" s="7" t="s">
        <v>19320</v>
      </c>
      <c r="E2768" s="7" t="s">
        <v>19321</v>
      </c>
      <c r="F2768" s="7" t="s">
        <v>14812</v>
      </c>
      <c r="G2768" s="7" t="s">
        <v>19322</v>
      </c>
      <c r="H2768" s="7" t="s">
        <v>19323</v>
      </c>
      <c r="I2768" s="119">
        <v>45931.0</v>
      </c>
      <c r="K2768" s="7" t="s">
        <v>17988</v>
      </c>
      <c r="L2768" s="7" t="s">
        <v>991</v>
      </c>
      <c r="M2768" s="7" t="s">
        <v>3501</v>
      </c>
      <c r="N2768" s="7" t="s">
        <v>17988</v>
      </c>
      <c r="O2768" s="7" t="s">
        <v>17988</v>
      </c>
      <c r="P2768" s="7" t="s">
        <v>22394</v>
      </c>
      <c r="T2768" s="7" t="s">
        <v>17990</v>
      </c>
      <c r="U2768" s="7" t="s">
        <v>3493</v>
      </c>
      <c r="V2768" s="7">
        <v>1.0</v>
      </c>
    </row>
    <row r="2769">
      <c r="A2769" s="7" t="s">
        <v>22683</v>
      </c>
      <c r="B2769" s="7">
        <v>3001179.0</v>
      </c>
      <c r="C2769" s="7" t="s">
        <v>19325</v>
      </c>
      <c r="D2769" s="7" t="s">
        <v>19326</v>
      </c>
      <c r="E2769" s="7" t="s">
        <v>19327</v>
      </c>
      <c r="F2769" s="7" t="s">
        <v>19328</v>
      </c>
      <c r="G2769" s="7" t="s">
        <v>19329</v>
      </c>
      <c r="H2769" s="7" t="s">
        <v>19330</v>
      </c>
      <c r="I2769" s="119">
        <v>45931.0</v>
      </c>
      <c r="K2769" s="7" t="s">
        <v>3632</v>
      </c>
      <c r="L2769" s="7" t="s">
        <v>991</v>
      </c>
      <c r="M2769" s="7" t="s">
        <v>3866</v>
      </c>
      <c r="N2769" s="7" t="s">
        <v>3632</v>
      </c>
      <c r="O2769" s="7" t="s">
        <v>3632</v>
      </c>
      <c r="P2769" s="7" t="s">
        <v>625</v>
      </c>
      <c r="Q2769" s="7" t="s">
        <v>124</v>
      </c>
      <c r="R2769" s="7" t="s">
        <v>19563</v>
      </c>
      <c r="T2769" s="7" t="s">
        <v>10625</v>
      </c>
      <c r="U2769" s="7" t="s">
        <v>3493</v>
      </c>
      <c r="V2769" s="7">
        <v>1.0</v>
      </c>
    </row>
    <row r="2770">
      <c r="A2770" s="7" t="s">
        <v>22684</v>
      </c>
      <c r="B2770" s="7">
        <v>3001175.0</v>
      </c>
      <c r="C2770" s="7" t="s">
        <v>19332</v>
      </c>
      <c r="D2770" s="7" t="s">
        <v>12059</v>
      </c>
      <c r="E2770" s="7" t="s">
        <v>19333</v>
      </c>
      <c r="F2770" s="7" t="s">
        <v>12061</v>
      </c>
      <c r="G2770" s="7" t="s">
        <v>19334</v>
      </c>
      <c r="H2770" s="7" t="s">
        <v>19335</v>
      </c>
      <c r="I2770" s="119">
        <v>45931.0</v>
      </c>
      <c r="K2770" s="7" t="s">
        <v>8491</v>
      </c>
      <c r="L2770" s="7" t="s">
        <v>991</v>
      </c>
      <c r="M2770" s="7" t="s">
        <v>3531</v>
      </c>
      <c r="N2770" s="7" t="s">
        <v>8491</v>
      </c>
      <c r="O2770" s="7" t="s">
        <v>8491</v>
      </c>
      <c r="P2770" s="7" t="s">
        <v>20584</v>
      </c>
      <c r="T2770" s="7" t="s">
        <v>8493</v>
      </c>
      <c r="U2770" s="7" t="s">
        <v>3493</v>
      </c>
      <c r="V2770" s="7">
        <v>1.0</v>
      </c>
    </row>
    <row r="2771">
      <c r="A2771" s="7" t="s">
        <v>22685</v>
      </c>
      <c r="B2771" s="7">
        <v>3001105.0</v>
      </c>
      <c r="C2771" s="7" t="s">
        <v>19337</v>
      </c>
      <c r="D2771" s="7" t="s">
        <v>19338</v>
      </c>
      <c r="E2771" s="7" t="s">
        <v>19339</v>
      </c>
      <c r="F2771" s="7" t="s">
        <v>7169</v>
      </c>
      <c r="G2771" s="7" t="s">
        <v>19340</v>
      </c>
      <c r="H2771" s="7" t="s">
        <v>19341</v>
      </c>
      <c r="I2771" s="119">
        <v>45931.0</v>
      </c>
      <c r="K2771" s="7" t="s">
        <v>419</v>
      </c>
      <c r="L2771" s="7" t="s">
        <v>991</v>
      </c>
      <c r="M2771" s="7" t="s">
        <v>3501</v>
      </c>
      <c r="N2771" s="7" t="s">
        <v>419</v>
      </c>
      <c r="O2771" s="7" t="s">
        <v>19430</v>
      </c>
      <c r="P2771" s="7" t="s">
        <v>717</v>
      </c>
      <c r="Q2771" s="7" t="s">
        <v>720</v>
      </c>
      <c r="R2771" s="7" t="s">
        <v>19626</v>
      </c>
      <c r="S2771" s="7" t="s">
        <v>20158</v>
      </c>
      <c r="T2771" s="7" t="s">
        <v>6330</v>
      </c>
      <c r="U2771" s="7" t="s">
        <v>3493</v>
      </c>
      <c r="V2771" s="7">
        <v>1.0</v>
      </c>
    </row>
    <row r="2772">
      <c r="A2772" s="7" t="s">
        <v>22686</v>
      </c>
      <c r="B2772" s="7">
        <v>3001155.0</v>
      </c>
      <c r="C2772" s="7" t="s">
        <v>11500</v>
      </c>
      <c r="D2772" s="7" t="s">
        <v>19343</v>
      </c>
      <c r="E2772" s="7" t="s">
        <v>11502</v>
      </c>
      <c r="F2772" s="7" t="s">
        <v>5312</v>
      </c>
      <c r="G2772" s="7" t="s">
        <v>19344</v>
      </c>
      <c r="H2772" s="7" t="s">
        <v>19345</v>
      </c>
      <c r="I2772" s="119">
        <v>45931.0</v>
      </c>
      <c r="K2772" s="7" t="s">
        <v>3642</v>
      </c>
      <c r="L2772" s="7" t="s">
        <v>991</v>
      </c>
      <c r="M2772" s="7" t="s">
        <v>3501</v>
      </c>
      <c r="N2772" s="7" t="s">
        <v>3642</v>
      </c>
      <c r="O2772" s="7" t="s">
        <v>3642</v>
      </c>
      <c r="P2772" s="7" t="s">
        <v>19524</v>
      </c>
      <c r="T2772" s="7" t="s">
        <v>3644</v>
      </c>
      <c r="U2772" s="7" t="s">
        <v>3493</v>
      </c>
      <c r="V2772" s="7">
        <v>1.0</v>
      </c>
    </row>
    <row r="2773">
      <c r="A2773" s="7" t="s">
        <v>22687</v>
      </c>
      <c r="B2773" s="7">
        <v>3001158.0</v>
      </c>
      <c r="C2773" s="7" t="s">
        <v>11709</v>
      </c>
      <c r="D2773" s="7" t="s">
        <v>19347</v>
      </c>
      <c r="E2773" s="7" t="s">
        <v>11711</v>
      </c>
      <c r="F2773" s="7" t="s">
        <v>10171</v>
      </c>
      <c r="G2773" s="7" t="s">
        <v>19348</v>
      </c>
      <c r="H2773" s="7" t="s">
        <v>19349</v>
      </c>
      <c r="I2773" s="119">
        <v>45931.0</v>
      </c>
      <c r="K2773" s="7" t="s">
        <v>17988</v>
      </c>
      <c r="L2773" s="7" t="s">
        <v>991</v>
      </c>
      <c r="M2773" s="7" t="s">
        <v>3490</v>
      </c>
      <c r="N2773" s="7" t="s">
        <v>17988</v>
      </c>
      <c r="O2773" s="7" t="s">
        <v>17988</v>
      </c>
      <c r="P2773" s="7" t="s">
        <v>22394</v>
      </c>
      <c r="T2773" s="7" t="s">
        <v>17990</v>
      </c>
      <c r="U2773" s="7" t="s">
        <v>3493</v>
      </c>
      <c r="V2773" s="7">
        <v>1.0</v>
      </c>
    </row>
    <row r="2774">
      <c r="A2774" s="7" t="s">
        <v>22688</v>
      </c>
      <c r="B2774" s="7">
        <v>3001150.0</v>
      </c>
      <c r="C2774" s="7" t="s">
        <v>3727</v>
      </c>
      <c r="D2774" s="7" t="s">
        <v>19351</v>
      </c>
      <c r="E2774" s="7" t="s">
        <v>11837</v>
      </c>
      <c r="F2774" s="7" t="s">
        <v>10272</v>
      </c>
      <c r="G2774" s="7" t="s">
        <v>19352</v>
      </c>
      <c r="H2774" s="7" t="s">
        <v>19353</v>
      </c>
      <c r="I2774" s="119">
        <v>45931.0</v>
      </c>
      <c r="K2774" s="7" t="s">
        <v>8491</v>
      </c>
      <c r="L2774" s="7" t="s">
        <v>991</v>
      </c>
      <c r="M2774" s="7" t="s">
        <v>3531</v>
      </c>
      <c r="N2774" s="7" t="s">
        <v>8491</v>
      </c>
      <c r="O2774" s="7" t="s">
        <v>8491</v>
      </c>
      <c r="P2774" s="7" t="s">
        <v>20584</v>
      </c>
      <c r="T2774" s="7" t="s">
        <v>8493</v>
      </c>
      <c r="U2774" s="7" t="s">
        <v>3493</v>
      </c>
      <c r="V2774" s="7">
        <v>1.0</v>
      </c>
    </row>
    <row r="2775">
      <c r="A2775" s="7" t="s">
        <v>22689</v>
      </c>
      <c r="B2775" s="7">
        <v>3001026.0</v>
      </c>
      <c r="C2775" s="7" t="s">
        <v>12221</v>
      </c>
      <c r="D2775" s="7" t="s">
        <v>19355</v>
      </c>
      <c r="E2775" s="7" t="s">
        <v>12223</v>
      </c>
      <c r="F2775" s="7" t="s">
        <v>19356</v>
      </c>
      <c r="G2775" s="7" t="s">
        <v>19357</v>
      </c>
      <c r="H2775" s="7" t="s">
        <v>19358</v>
      </c>
      <c r="I2775" s="119">
        <v>45931.0</v>
      </c>
      <c r="K2775" s="7" t="s">
        <v>419</v>
      </c>
      <c r="L2775" s="7" t="s">
        <v>991</v>
      </c>
      <c r="M2775" s="7" t="s">
        <v>3501</v>
      </c>
      <c r="N2775" s="7" t="s">
        <v>419</v>
      </c>
      <c r="O2775" s="7" t="s">
        <v>19437</v>
      </c>
      <c r="P2775" s="7" t="s">
        <v>440</v>
      </c>
      <c r="Q2775" s="7" t="s">
        <v>443</v>
      </c>
      <c r="R2775" s="7" t="s">
        <v>21976</v>
      </c>
      <c r="T2775" s="7" t="s">
        <v>19359</v>
      </c>
      <c r="U2775" s="7" t="s">
        <v>3493</v>
      </c>
      <c r="V2775" s="7">
        <v>1.0</v>
      </c>
    </row>
    <row r="2776">
      <c r="A2776" s="7" t="s">
        <v>22690</v>
      </c>
      <c r="B2776" s="7">
        <v>3001137.0</v>
      </c>
      <c r="C2776" s="7" t="s">
        <v>19361</v>
      </c>
      <c r="D2776" s="7" t="s">
        <v>19362</v>
      </c>
      <c r="E2776" s="7" t="s">
        <v>19363</v>
      </c>
      <c r="F2776" s="7" t="s">
        <v>6811</v>
      </c>
      <c r="G2776" s="7" t="s">
        <v>19364</v>
      </c>
      <c r="H2776" s="7" t="s">
        <v>19365</v>
      </c>
      <c r="I2776" s="119">
        <v>45931.0</v>
      </c>
      <c r="K2776" s="7" t="s">
        <v>3489</v>
      </c>
      <c r="L2776" s="7" t="s">
        <v>991</v>
      </c>
      <c r="M2776" s="7" t="s">
        <v>3490</v>
      </c>
      <c r="N2776" s="7" t="s">
        <v>3489</v>
      </c>
      <c r="O2776" s="7" t="s">
        <v>3489</v>
      </c>
      <c r="P2776" s="7" t="s">
        <v>19491</v>
      </c>
      <c r="Q2776" s="7" t="s">
        <v>169</v>
      </c>
      <c r="R2776" s="7" t="s">
        <v>19492</v>
      </c>
      <c r="T2776" s="7" t="s">
        <v>3492</v>
      </c>
      <c r="U2776" s="7" t="s">
        <v>3493</v>
      </c>
      <c r="V2776" s="7">
        <v>1.0</v>
      </c>
    </row>
    <row r="2777">
      <c r="A2777" s="7" t="s">
        <v>22691</v>
      </c>
      <c r="B2777" s="7">
        <v>3001168.0</v>
      </c>
      <c r="C2777" s="7" t="s">
        <v>12453</v>
      </c>
      <c r="D2777" s="7" t="s">
        <v>19367</v>
      </c>
      <c r="E2777" s="7" t="s">
        <v>12454</v>
      </c>
      <c r="F2777" s="7" t="s">
        <v>19368</v>
      </c>
      <c r="G2777" s="7" t="s">
        <v>19369</v>
      </c>
      <c r="H2777" s="7" t="s">
        <v>19370</v>
      </c>
      <c r="I2777" s="119">
        <v>45931.0</v>
      </c>
      <c r="K2777" s="7" t="s">
        <v>419</v>
      </c>
      <c r="L2777" s="7" t="s">
        <v>991</v>
      </c>
      <c r="M2777" s="7" t="s">
        <v>3531</v>
      </c>
      <c r="N2777" s="7" t="s">
        <v>419</v>
      </c>
      <c r="O2777" s="7" t="s">
        <v>19430</v>
      </c>
      <c r="P2777" s="7" t="s">
        <v>717</v>
      </c>
      <c r="Q2777" s="7" t="s">
        <v>725</v>
      </c>
      <c r="R2777" s="7" t="s">
        <v>19501</v>
      </c>
      <c r="S2777" s="7" t="s">
        <v>19643</v>
      </c>
      <c r="T2777" s="7" t="s">
        <v>4097</v>
      </c>
      <c r="U2777" s="7" t="s">
        <v>3493</v>
      </c>
      <c r="V2777" s="7">
        <v>1.0</v>
      </c>
    </row>
    <row r="2778">
      <c r="A2778" s="7" t="s">
        <v>22692</v>
      </c>
      <c r="B2778" s="7">
        <v>3001169.0</v>
      </c>
      <c r="C2778" s="7" t="s">
        <v>19372</v>
      </c>
      <c r="D2778" s="7" t="s">
        <v>17626</v>
      </c>
      <c r="E2778" s="7" t="s">
        <v>19373</v>
      </c>
      <c r="F2778" s="7" t="s">
        <v>17627</v>
      </c>
      <c r="G2778" s="7" t="s">
        <v>19374</v>
      </c>
      <c r="H2778" s="7" t="s">
        <v>19375</v>
      </c>
      <c r="I2778" s="119">
        <v>45931.0</v>
      </c>
      <c r="K2778" s="7" t="s">
        <v>419</v>
      </c>
      <c r="L2778" s="7" t="s">
        <v>991</v>
      </c>
      <c r="M2778" s="7" t="s">
        <v>3531</v>
      </c>
      <c r="N2778" s="7" t="s">
        <v>419</v>
      </c>
      <c r="O2778" s="7" t="s">
        <v>19430</v>
      </c>
      <c r="P2778" s="7" t="s">
        <v>780</v>
      </c>
      <c r="Q2778" s="7" t="s">
        <v>786</v>
      </c>
      <c r="T2778" s="7" t="s">
        <v>16907</v>
      </c>
      <c r="U2778" s="7" t="s">
        <v>3493</v>
      </c>
      <c r="V2778" s="7">
        <v>1.0</v>
      </c>
    </row>
    <row r="2779">
      <c r="A2779" s="7" t="s">
        <v>22693</v>
      </c>
      <c r="B2779" s="7">
        <v>3001167.0</v>
      </c>
      <c r="C2779" s="7" t="s">
        <v>13113</v>
      </c>
      <c r="D2779" s="7" t="s">
        <v>18912</v>
      </c>
      <c r="E2779" s="7" t="s">
        <v>13115</v>
      </c>
      <c r="F2779" s="7" t="s">
        <v>6101</v>
      </c>
      <c r="G2779" s="7" t="s">
        <v>19377</v>
      </c>
      <c r="H2779" s="7" t="s">
        <v>19378</v>
      </c>
      <c r="I2779" s="119">
        <v>45931.0</v>
      </c>
      <c r="K2779" s="7" t="s">
        <v>419</v>
      </c>
      <c r="L2779" s="7" t="s">
        <v>991</v>
      </c>
      <c r="M2779" s="7" t="s">
        <v>3531</v>
      </c>
      <c r="N2779" s="7" t="s">
        <v>419</v>
      </c>
      <c r="O2779" s="7" t="s">
        <v>19430</v>
      </c>
      <c r="P2779" s="7" t="s">
        <v>780</v>
      </c>
      <c r="Q2779" s="7" t="s">
        <v>786</v>
      </c>
      <c r="R2779" s="7" t="s">
        <v>19666</v>
      </c>
      <c r="T2779" s="7" t="s">
        <v>4169</v>
      </c>
      <c r="U2779" s="7" t="s">
        <v>3493</v>
      </c>
      <c r="V2779" s="7">
        <v>1.0</v>
      </c>
    </row>
    <row r="2780">
      <c r="A2780" s="7" t="s">
        <v>22694</v>
      </c>
      <c r="B2780" s="7">
        <v>3000967.0</v>
      </c>
      <c r="C2780" s="7" t="s">
        <v>13331</v>
      </c>
      <c r="D2780" s="7" t="s">
        <v>19380</v>
      </c>
      <c r="E2780" s="7" t="s">
        <v>13333</v>
      </c>
      <c r="F2780" s="7" t="s">
        <v>19381</v>
      </c>
      <c r="G2780" s="7" t="s">
        <v>19382</v>
      </c>
      <c r="H2780" s="7" t="s">
        <v>19383</v>
      </c>
      <c r="I2780" s="119">
        <v>45931.0</v>
      </c>
      <c r="K2780" s="7" t="s">
        <v>419</v>
      </c>
      <c r="L2780" s="7" t="s">
        <v>991</v>
      </c>
      <c r="M2780" s="7" t="s">
        <v>3501</v>
      </c>
      <c r="N2780" s="7" t="s">
        <v>419</v>
      </c>
      <c r="O2780" s="7" t="s">
        <v>19443</v>
      </c>
      <c r="P2780" s="7" t="s">
        <v>1242</v>
      </c>
      <c r="Q2780" s="7" t="s">
        <v>51</v>
      </c>
      <c r="R2780" s="7" t="s">
        <v>19510</v>
      </c>
      <c r="T2780" s="7" t="s">
        <v>6387</v>
      </c>
      <c r="U2780" s="7" t="s">
        <v>3493</v>
      </c>
      <c r="V2780" s="7">
        <v>1.0</v>
      </c>
    </row>
    <row r="2781">
      <c r="A2781" s="7" t="s">
        <v>22695</v>
      </c>
      <c r="B2781" s="7">
        <v>3001139.0</v>
      </c>
      <c r="C2781" s="7" t="s">
        <v>16579</v>
      </c>
      <c r="D2781" s="7" t="s">
        <v>8186</v>
      </c>
      <c r="E2781" s="7" t="s">
        <v>19385</v>
      </c>
      <c r="F2781" s="7" t="s">
        <v>3874</v>
      </c>
      <c r="G2781" s="7" t="s">
        <v>19386</v>
      </c>
      <c r="H2781" s="7" t="s">
        <v>19387</v>
      </c>
      <c r="I2781" s="119">
        <v>45931.0</v>
      </c>
      <c r="K2781" s="7" t="s">
        <v>419</v>
      </c>
      <c r="L2781" s="7" t="s">
        <v>991</v>
      </c>
      <c r="M2781" s="7" t="s">
        <v>3531</v>
      </c>
      <c r="N2781" s="7" t="s">
        <v>419</v>
      </c>
      <c r="O2781" s="7" t="s">
        <v>19430</v>
      </c>
      <c r="P2781" s="7" t="s">
        <v>717</v>
      </c>
      <c r="Q2781" s="7" t="s">
        <v>725</v>
      </c>
      <c r="R2781" s="7" t="s">
        <v>19501</v>
      </c>
      <c r="S2781" s="7" t="s">
        <v>19688</v>
      </c>
      <c r="T2781" s="7" t="s">
        <v>4257</v>
      </c>
      <c r="U2781" s="7" t="s">
        <v>3493</v>
      </c>
      <c r="V2781" s="7">
        <v>1.0</v>
      </c>
    </row>
    <row r="2782">
      <c r="A2782" s="7" t="s">
        <v>22696</v>
      </c>
      <c r="B2782" s="7">
        <v>3001140.0</v>
      </c>
      <c r="C2782" s="7" t="s">
        <v>19389</v>
      </c>
      <c r="D2782" s="7" t="s">
        <v>7733</v>
      </c>
      <c r="E2782" s="7" t="s">
        <v>19390</v>
      </c>
      <c r="F2782" s="7" t="s">
        <v>5514</v>
      </c>
      <c r="G2782" s="7" t="s">
        <v>19391</v>
      </c>
      <c r="H2782" s="7" t="s">
        <v>19392</v>
      </c>
      <c r="I2782" s="119">
        <v>45931.0</v>
      </c>
      <c r="K2782" s="7" t="s">
        <v>419</v>
      </c>
      <c r="L2782" s="7" t="s">
        <v>991</v>
      </c>
      <c r="M2782" s="7" t="s">
        <v>3531</v>
      </c>
      <c r="N2782" s="7" t="s">
        <v>419</v>
      </c>
      <c r="O2782" s="7" t="s">
        <v>19433</v>
      </c>
      <c r="P2782" s="7" t="s">
        <v>648</v>
      </c>
      <c r="Q2782" s="7" t="s">
        <v>148</v>
      </c>
      <c r="R2782" s="7" t="s">
        <v>19501</v>
      </c>
      <c r="T2782" s="7" t="s">
        <v>4445</v>
      </c>
      <c r="U2782" s="7" t="s">
        <v>3493</v>
      </c>
      <c r="V2782" s="7">
        <v>1.0</v>
      </c>
    </row>
    <row r="2783">
      <c r="A2783" s="7" t="s">
        <v>22697</v>
      </c>
      <c r="B2783" s="7">
        <v>3001023.0</v>
      </c>
      <c r="C2783" s="7" t="s">
        <v>13672</v>
      </c>
      <c r="D2783" s="7" t="s">
        <v>19394</v>
      </c>
      <c r="E2783" s="7" t="s">
        <v>13674</v>
      </c>
      <c r="F2783" s="7" t="s">
        <v>19395</v>
      </c>
      <c r="G2783" s="7" t="s">
        <v>19396</v>
      </c>
      <c r="H2783" s="7" t="s">
        <v>19397</v>
      </c>
      <c r="I2783" s="119">
        <v>45931.0</v>
      </c>
      <c r="K2783" s="7" t="s">
        <v>419</v>
      </c>
      <c r="L2783" s="7" t="s">
        <v>991</v>
      </c>
      <c r="M2783" s="7" t="s">
        <v>3501</v>
      </c>
      <c r="N2783" s="7" t="s">
        <v>419</v>
      </c>
      <c r="O2783" s="7" t="s">
        <v>19432</v>
      </c>
      <c r="P2783" s="7" t="s">
        <v>693</v>
      </c>
      <c r="Q2783" s="7" t="s">
        <v>703</v>
      </c>
      <c r="R2783" s="7" t="s">
        <v>19815</v>
      </c>
      <c r="S2783" s="7" t="s">
        <v>19816</v>
      </c>
      <c r="T2783" s="7" t="s">
        <v>4734</v>
      </c>
      <c r="U2783" s="7" t="s">
        <v>3493</v>
      </c>
      <c r="V2783" s="7">
        <v>1.0</v>
      </c>
    </row>
    <row r="2784">
      <c r="A2784" s="7" t="s">
        <v>22698</v>
      </c>
      <c r="B2784" s="7">
        <v>3001156.0</v>
      </c>
      <c r="C2784" s="7" t="s">
        <v>13873</v>
      </c>
      <c r="D2784" s="7" t="s">
        <v>19399</v>
      </c>
      <c r="E2784" s="7" t="s">
        <v>13875</v>
      </c>
      <c r="F2784" s="7" t="s">
        <v>4271</v>
      </c>
      <c r="G2784" s="7" t="s">
        <v>19400</v>
      </c>
      <c r="H2784" s="7" t="s">
        <v>19401</v>
      </c>
      <c r="I2784" s="119">
        <v>45931.0</v>
      </c>
      <c r="K2784" s="7" t="s">
        <v>3642</v>
      </c>
      <c r="L2784" s="7" t="s">
        <v>991</v>
      </c>
      <c r="M2784" s="7" t="s">
        <v>3501</v>
      </c>
      <c r="N2784" s="7" t="s">
        <v>3642</v>
      </c>
      <c r="O2784" s="7" t="s">
        <v>3642</v>
      </c>
      <c r="P2784" s="7" t="s">
        <v>19524</v>
      </c>
      <c r="T2784" s="7" t="s">
        <v>3644</v>
      </c>
      <c r="U2784" s="7" t="s">
        <v>3493</v>
      </c>
      <c r="V2784" s="7">
        <v>1.0</v>
      </c>
    </row>
    <row r="2785">
      <c r="A2785" s="7" t="s">
        <v>22699</v>
      </c>
      <c r="B2785" s="7">
        <v>3001106.0</v>
      </c>
      <c r="C2785" s="7" t="s">
        <v>13898</v>
      </c>
      <c r="D2785" s="7" t="s">
        <v>19403</v>
      </c>
      <c r="E2785" s="7" t="s">
        <v>13900</v>
      </c>
      <c r="F2785" s="7" t="s">
        <v>7477</v>
      </c>
      <c r="G2785" s="7" t="s">
        <v>19404</v>
      </c>
      <c r="H2785" s="7" t="s">
        <v>19405</v>
      </c>
      <c r="I2785" s="119">
        <v>45931.0</v>
      </c>
      <c r="K2785" s="7" t="s">
        <v>419</v>
      </c>
      <c r="L2785" s="7" t="s">
        <v>991</v>
      </c>
      <c r="M2785" s="7" t="s">
        <v>3866</v>
      </c>
      <c r="N2785" s="7" t="s">
        <v>419</v>
      </c>
      <c r="O2785" s="7" t="s">
        <v>19437</v>
      </c>
      <c r="P2785" s="7" t="s">
        <v>478</v>
      </c>
      <c r="Q2785" s="7" t="s">
        <v>508</v>
      </c>
      <c r="T2785" s="7" t="s">
        <v>22052</v>
      </c>
      <c r="U2785" s="7" t="s">
        <v>3493</v>
      </c>
      <c r="V2785" s="7">
        <v>1.0</v>
      </c>
    </row>
    <row r="2786">
      <c r="A2786" s="7" t="s">
        <v>22700</v>
      </c>
      <c r="B2786" s="7">
        <v>3001171.0</v>
      </c>
      <c r="C2786" s="7" t="s">
        <v>14210</v>
      </c>
      <c r="D2786" s="7" t="s">
        <v>19408</v>
      </c>
      <c r="E2786" s="7" t="s">
        <v>6499</v>
      </c>
      <c r="F2786" s="7" t="s">
        <v>19409</v>
      </c>
      <c r="G2786" s="7" t="s">
        <v>19410</v>
      </c>
      <c r="H2786" s="7" t="s">
        <v>19411</v>
      </c>
      <c r="I2786" s="119">
        <v>45931.0</v>
      </c>
      <c r="K2786" s="7" t="s">
        <v>419</v>
      </c>
      <c r="L2786" s="7" t="s">
        <v>991</v>
      </c>
      <c r="M2786" s="7" t="s">
        <v>3531</v>
      </c>
      <c r="N2786" s="7" t="s">
        <v>419</v>
      </c>
      <c r="O2786" s="7" t="s">
        <v>19430</v>
      </c>
      <c r="P2786" s="7" t="s">
        <v>780</v>
      </c>
      <c r="Q2786" s="7" t="s">
        <v>786</v>
      </c>
      <c r="R2786" s="7" t="s">
        <v>19666</v>
      </c>
      <c r="T2786" s="7" t="s">
        <v>4169</v>
      </c>
      <c r="U2786" s="7" t="s">
        <v>3493</v>
      </c>
      <c r="V2786" s="7">
        <v>1.0</v>
      </c>
    </row>
    <row r="2787">
      <c r="A2787" s="7" t="s">
        <v>22701</v>
      </c>
      <c r="B2787" s="7">
        <v>3001154.0</v>
      </c>
      <c r="C2787" s="7" t="s">
        <v>19413</v>
      </c>
      <c r="D2787" s="7" t="s">
        <v>19414</v>
      </c>
      <c r="E2787" s="7" t="s">
        <v>19415</v>
      </c>
      <c r="F2787" s="7" t="s">
        <v>19416</v>
      </c>
      <c r="G2787" s="7" t="s">
        <v>19417</v>
      </c>
      <c r="H2787" s="7" t="s">
        <v>19418</v>
      </c>
      <c r="I2787" s="119">
        <v>45931.0</v>
      </c>
      <c r="K2787" s="7" t="s">
        <v>3642</v>
      </c>
      <c r="L2787" s="7" t="s">
        <v>991</v>
      </c>
      <c r="M2787" s="7" t="s">
        <v>3583</v>
      </c>
      <c r="N2787" s="7" t="s">
        <v>3642</v>
      </c>
      <c r="O2787" s="7" t="s">
        <v>3642</v>
      </c>
      <c r="P2787" s="7" t="s">
        <v>19524</v>
      </c>
      <c r="T2787" s="7" t="s">
        <v>3644</v>
      </c>
      <c r="U2787" s="7" t="s">
        <v>3493</v>
      </c>
      <c r="V2787" s="7">
        <v>1.0</v>
      </c>
    </row>
    <row r="2788">
      <c r="A2788" s="7" t="s">
        <v>22702</v>
      </c>
      <c r="B2788" s="7">
        <v>3001131.0</v>
      </c>
      <c r="C2788" s="7" t="s">
        <v>14392</v>
      </c>
      <c r="D2788" s="7" t="s">
        <v>19420</v>
      </c>
      <c r="E2788" s="7" t="s">
        <v>14394</v>
      </c>
      <c r="F2788" s="7" t="s">
        <v>4478</v>
      </c>
      <c r="G2788" s="7" t="s">
        <v>19421</v>
      </c>
      <c r="H2788" s="7" t="s">
        <v>19422</v>
      </c>
      <c r="I2788" s="119">
        <v>45931.0</v>
      </c>
      <c r="K2788" s="7" t="s">
        <v>419</v>
      </c>
      <c r="L2788" s="7" t="s">
        <v>991</v>
      </c>
      <c r="M2788" s="7" t="s">
        <v>3866</v>
      </c>
      <c r="N2788" s="7" t="s">
        <v>419</v>
      </c>
      <c r="O2788" s="7" t="s">
        <v>19437</v>
      </c>
      <c r="P2788" s="7" t="s">
        <v>478</v>
      </c>
      <c r="Q2788" s="7" t="s">
        <v>508</v>
      </c>
      <c r="T2788" s="7" t="s">
        <v>22052</v>
      </c>
      <c r="U2788" s="7" t="s">
        <v>3493</v>
      </c>
      <c r="V2788" s="7">
        <v>1.0</v>
      </c>
    </row>
    <row r="2789">
      <c r="A2789" s="7" t="s">
        <v>22703</v>
      </c>
      <c r="B2789" s="7">
        <v>3001198.0</v>
      </c>
      <c r="C2789" s="7" t="s">
        <v>22704</v>
      </c>
      <c r="D2789" s="7" t="s">
        <v>22705</v>
      </c>
      <c r="E2789" s="7" t="s">
        <v>22706</v>
      </c>
      <c r="F2789" s="7" t="s">
        <v>15912</v>
      </c>
      <c r="G2789" s="7" t="s">
        <v>22707</v>
      </c>
      <c r="H2789" s="7" t="s">
        <v>22708</v>
      </c>
      <c r="I2789" s="119">
        <v>45946.0</v>
      </c>
      <c r="K2789" s="7" t="s">
        <v>8491</v>
      </c>
      <c r="L2789" s="7" t="s">
        <v>991</v>
      </c>
      <c r="M2789" s="7" t="s">
        <v>3531</v>
      </c>
      <c r="N2789" s="7" t="s">
        <v>8491</v>
      </c>
      <c r="O2789" s="7" t="s">
        <v>8491</v>
      </c>
      <c r="P2789" s="7" t="s">
        <v>20584</v>
      </c>
      <c r="T2789" s="7" t="s">
        <v>8493</v>
      </c>
      <c r="U2789" s="7" t="s">
        <v>3493</v>
      </c>
      <c r="V2789" s="7">
        <v>1.0</v>
      </c>
    </row>
    <row r="2790">
      <c r="A2790" s="7" t="s">
        <v>22709</v>
      </c>
      <c r="B2790" s="7">
        <v>3001196.0</v>
      </c>
      <c r="C2790" s="7" t="s">
        <v>4218</v>
      </c>
      <c r="D2790" s="7" t="s">
        <v>22710</v>
      </c>
      <c r="E2790" s="7" t="s">
        <v>4220</v>
      </c>
      <c r="F2790" s="7" t="s">
        <v>15452</v>
      </c>
      <c r="G2790" s="7" t="s">
        <v>22711</v>
      </c>
      <c r="H2790" s="7" t="s">
        <v>22712</v>
      </c>
      <c r="I2790" s="119">
        <v>45946.0</v>
      </c>
      <c r="K2790" s="7" t="s">
        <v>419</v>
      </c>
      <c r="L2790" s="7" t="s">
        <v>991</v>
      </c>
      <c r="M2790" s="7" t="s">
        <v>3531</v>
      </c>
      <c r="N2790" s="7" t="s">
        <v>419</v>
      </c>
      <c r="O2790" s="7" t="s">
        <v>19430</v>
      </c>
      <c r="P2790" s="7" t="s">
        <v>780</v>
      </c>
      <c r="Q2790" s="7" t="s">
        <v>786</v>
      </c>
      <c r="R2790" s="7" t="s">
        <v>19666</v>
      </c>
      <c r="T2790" s="7" t="s">
        <v>4169</v>
      </c>
      <c r="U2790" s="7" t="s">
        <v>3493</v>
      </c>
      <c r="V2790" s="7">
        <v>1.0</v>
      </c>
    </row>
    <row r="2791">
      <c r="A2791" s="7" t="s">
        <v>22713</v>
      </c>
      <c r="B2791" s="7">
        <v>3001186.0</v>
      </c>
      <c r="C2791" s="7" t="s">
        <v>4821</v>
      </c>
      <c r="D2791" s="7" t="s">
        <v>8559</v>
      </c>
      <c r="E2791" s="7" t="s">
        <v>4822</v>
      </c>
      <c r="F2791" s="7" t="s">
        <v>3486</v>
      </c>
      <c r="G2791" s="7" t="s">
        <v>22714</v>
      </c>
      <c r="H2791" s="7" t="s">
        <v>22715</v>
      </c>
      <c r="I2791" s="119">
        <v>45946.0</v>
      </c>
      <c r="K2791" s="7" t="s">
        <v>3632</v>
      </c>
      <c r="L2791" s="7" t="s">
        <v>991</v>
      </c>
      <c r="M2791" s="7" t="s">
        <v>3583</v>
      </c>
      <c r="N2791" s="7" t="s">
        <v>3632</v>
      </c>
      <c r="O2791" s="7" t="s">
        <v>3632</v>
      </c>
      <c r="P2791" s="7" t="s">
        <v>625</v>
      </c>
      <c r="Q2791" s="7" t="s">
        <v>626</v>
      </c>
      <c r="R2791" s="7" t="s">
        <v>19672</v>
      </c>
      <c r="T2791" s="7" t="s">
        <v>4191</v>
      </c>
      <c r="U2791" s="7" t="s">
        <v>3493</v>
      </c>
      <c r="V2791" s="7">
        <v>1.0</v>
      </c>
    </row>
    <row r="2792">
      <c r="A2792" s="7" t="s">
        <v>22716</v>
      </c>
      <c r="B2792" s="7">
        <v>3001193.0</v>
      </c>
      <c r="C2792" s="7" t="s">
        <v>5620</v>
      </c>
      <c r="D2792" s="7" t="s">
        <v>22717</v>
      </c>
      <c r="E2792" s="7" t="s">
        <v>5622</v>
      </c>
      <c r="F2792" s="7" t="s">
        <v>22718</v>
      </c>
      <c r="G2792" s="7" t="s">
        <v>22719</v>
      </c>
      <c r="H2792" s="7" t="s">
        <v>22720</v>
      </c>
      <c r="I2792" s="119">
        <v>45946.0</v>
      </c>
      <c r="K2792" s="7" t="s">
        <v>419</v>
      </c>
      <c r="L2792" s="7" t="s">
        <v>991</v>
      </c>
      <c r="M2792" s="7" t="s">
        <v>3583</v>
      </c>
      <c r="N2792" s="7" t="s">
        <v>419</v>
      </c>
      <c r="O2792" s="7" t="s">
        <v>19433</v>
      </c>
      <c r="P2792" s="7" t="s">
        <v>587</v>
      </c>
      <c r="Q2792" s="7" t="s">
        <v>72</v>
      </c>
      <c r="T2792" s="7" t="s">
        <v>5706</v>
      </c>
      <c r="U2792" s="7" t="s">
        <v>3493</v>
      </c>
      <c r="V2792" s="7">
        <v>1.0</v>
      </c>
    </row>
    <row r="2793">
      <c r="A2793" s="7" t="s">
        <v>22721</v>
      </c>
      <c r="B2793" s="7">
        <v>3001197.0</v>
      </c>
      <c r="C2793" s="7" t="s">
        <v>7031</v>
      </c>
      <c r="D2793" s="7" t="s">
        <v>22722</v>
      </c>
      <c r="E2793" s="7" t="s">
        <v>7033</v>
      </c>
      <c r="F2793" s="7" t="s">
        <v>18009</v>
      </c>
      <c r="G2793" s="7" t="s">
        <v>22723</v>
      </c>
      <c r="H2793" s="7" t="s">
        <v>22724</v>
      </c>
      <c r="I2793" s="119">
        <v>45946.0</v>
      </c>
      <c r="K2793" s="7" t="s">
        <v>3642</v>
      </c>
      <c r="L2793" s="7" t="s">
        <v>991</v>
      </c>
      <c r="M2793" s="7" t="s">
        <v>3501</v>
      </c>
      <c r="N2793" s="7" t="s">
        <v>3642</v>
      </c>
      <c r="O2793" s="7" t="s">
        <v>3642</v>
      </c>
      <c r="P2793" s="7" t="s">
        <v>19524</v>
      </c>
      <c r="T2793" s="7" t="s">
        <v>3644</v>
      </c>
      <c r="U2793" s="7" t="s">
        <v>3493</v>
      </c>
      <c r="V2793" s="7">
        <v>1.0</v>
      </c>
    </row>
    <row r="2794">
      <c r="A2794" s="7" t="s">
        <v>22725</v>
      </c>
      <c r="B2794" s="7">
        <v>3001189.0</v>
      </c>
      <c r="C2794" s="7" t="s">
        <v>14523</v>
      </c>
      <c r="D2794" s="7" t="s">
        <v>22726</v>
      </c>
      <c r="E2794" s="7" t="s">
        <v>7619</v>
      </c>
      <c r="F2794" s="7" t="s">
        <v>3656</v>
      </c>
      <c r="G2794" s="7" t="s">
        <v>22727</v>
      </c>
      <c r="H2794" s="7" t="s">
        <v>22728</v>
      </c>
      <c r="I2794" s="119">
        <v>45946.0</v>
      </c>
      <c r="K2794" s="7" t="s">
        <v>17988</v>
      </c>
      <c r="L2794" s="7" t="s">
        <v>991</v>
      </c>
      <c r="M2794" s="7" t="s">
        <v>3501</v>
      </c>
      <c r="N2794" s="7" t="s">
        <v>17988</v>
      </c>
      <c r="O2794" s="7" t="s">
        <v>17988</v>
      </c>
      <c r="P2794" s="7" t="s">
        <v>22394</v>
      </c>
      <c r="T2794" s="7" t="s">
        <v>17990</v>
      </c>
      <c r="U2794" s="7" t="s">
        <v>3493</v>
      </c>
      <c r="V2794" s="7">
        <v>1.0</v>
      </c>
    </row>
    <row r="2795">
      <c r="A2795" s="7" t="s">
        <v>22729</v>
      </c>
      <c r="B2795" s="7">
        <v>3001183.0</v>
      </c>
      <c r="C2795" s="7" t="s">
        <v>7853</v>
      </c>
      <c r="D2795" s="7" t="s">
        <v>22730</v>
      </c>
      <c r="E2795" s="7" t="s">
        <v>7854</v>
      </c>
      <c r="F2795" s="7" t="s">
        <v>22731</v>
      </c>
      <c r="G2795" s="7" t="s">
        <v>22732</v>
      </c>
      <c r="H2795" s="7" t="s">
        <v>22733</v>
      </c>
      <c r="I2795" s="119">
        <v>45946.0</v>
      </c>
      <c r="K2795" s="7" t="s">
        <v>419</v>
      </c>
      <c r="L2795" s="7" t="s">
        <v>991</v>
      </c>
      <c r="M2795" s="7" t="s">
        <v>3531</v>
      </c>
      <c r="N2795" s="7" t="s">
        <v>419</v>
      </c>
      <c r="O2795" s="7" t="s">
        <v>19443</v>
      </c>
      <c r="P2795" s="7" t="s">
        <v>1242</v>
      </c>
      <c r="Q2795" s="7" t="s">
        <v>51</v>
      </c>
      <c r="R2795" s="7" t="s">
        <v>19549</v>
      </c>
      <c r="S2795" s="7" t="s">
        <v>19577</v>
      </c>
      <c r="T2795" s="7" t="s">
        <v>3842</v>
      </c>
      <c r="U2795" s="7" t="s">
        <v>3493</v>
      </c>
      <c r="V2795" s="7">
        <v>1.0</v>
      </c>
    </row>
    <row r="2796">
      <c r="A2796" s="7" t="s">
        <v>22734</v>
      </c>
      <c r="B2796" s="7">
        <v>3001191.0</v>
      </c>
      <c r="C2796" s="7" t="s">
        <v>8174</v>
      </c>
      <c r="D2796" s="7" t="s">
        <v>22735</v>
      </c>
      <c r="E2796" s="7" t="s">
        <v>8170</v>
      </c>
      <c r="F2796" s="7" t="s">
        <v>4814</v>
      </c>
      <c r="G2796" s="7" t="s">
        <v>22736</v>
      </c>
      <c r="H2796" s="7" t="s">
        <v>22737</v>
      </c>
      <c r="I2796" s="119">
        <v>45946.0</v>
      </c>
      <c r="K2796" s="7" t="s">
        <v>17988</v>
      </c>
      <c r="L2796" s="7" t="s">
        <v>991</v>
      </c>
      <c r="M2796" s="7" t="s">
        <v>3501</v>
      </c>
      <c r="N2796" s="7" t="s">
        <v>17988</v>
      </c>
      <c r="O2796" s="7" t="s">
        <v>17988</v>
      </c>
      <c r="P2796" s="7" t="s">
        <v>22394</v>
      </c>
      <c r="T2796" s="7" t="s">
        <v>17990</v>
      </c>
      <c r="U2796" s="7" t="s">
        <v>3493</v>
      </c>
      <c r="V2796" s="7">
        <v>1.0</v>
      </c>
    </row>
    <row r="2797">
      <c r="A2797" s="7" t="s">
        <v>22738</v>
      </c>
      <c r="B2797" s="7">
        <v>3001188.0</v>
      </c>
      <c r="C2797" s="7" t="s">
        <v>14920</v>
      </c>
      <c r="D2797" s="7" t="s">
        <v>22739</v>
      </c>
      <c r="E2797" s="7" t="s">
        <v>14922</v>
      </c>
      <c r="F2797" s="7" t="s">
        <v>4707</v>
      </c>
      <c r="G2797" s="7" t="s">
        <v>22740</v>
      </c>
      <c r="H2797" s="7" t="s">
        <v>22741</v>
      </c>
      <c r="I2797" s="119">
        <v>45946.0</v>
      </c>
      <c r="K2797" s="7" t="s">
        <v>17988</v>
      </c>
      <c r="L2797" s="7" t="s">
        <v>991</v>
      </c>
      <c r="M2797" s="7" t="s">
        <v>3501</v>
      </c>
      <c r="N2797" s="7" t="s">
        <v>17988</v>
      </c>
      <c r="O2797" s="7" t="s">
        <v>17988</v>
      </c>
      <c r="P2797" s="7" t="s">
        <v>22394</v>
      </c>
      <c r="T2797" s="7" t="s">
        <v>17990</v>
      </c>
      <c r="U2797" s="7" t="s">
        <v>3493</v>
      </c>
      <c r="V2797" s="7">
        <v>1.0</v>
      </c>
    </row>
    <row r="2798">
      <c r="A2798" s="7" t="s">
        <v>22742</v>
      </c>
      <c r="B2798" s="7">
        <v>3001190.0</v>
      </c>
      <c r="C2798" s="7" t="s">
        <v>14567</v>
      </c>
      <c r="D2798" s="7" t="s">
        <v>22743</v>
      </c>
      <c r="E2798" s="7" t="s">
        <v>14569</v>
      </c>
      <c r="F2798" s="7" t="s">
        <v>14568</v>
      </c>
      <c r="G2798" s="7" t="s">
        <v>22744</v>
      </c>
      <c r="H2798" s="7" t="s">
        <v>22745</v>
      </c>
      <c r="I2798" s="119">
        <v>45946.0</v>
      </c>
      <c r="K2798" s="7" t="s">
        <v>17988</v>
      </c>
      <c r="L2798" s="7" t="s">
        <v>991</v>
      </c>
      <c r="M2798" s="7" t="s">
        <v>3501</v>
      </c>
      <c r="N2798" s="7" t="s">
        <v>17988</v>
      </c>
      <c r="O2798" s="7" t="s">
        <v>17988</v>
      </c>
      <c r="P2798" s="7" t="s">
        <v>22394</v>
      </c>
      <c r="T2798" s="7" t="s">
        <v>17990</v>
      </c>
      <c r="U2798" s="7" t="s">
        <v>3493</v>
      </c>
      <c r="V2798" s="7">
        <v>1.0</v>
      </c>
    </row>
    <row r="2799">
      <c r="A2799" s="7" t="s">
        <v>22746</v>
      </c>
      <c r="B2799" s="7">
        <v>3001192.0</v>
      </c>
      <c r="C2799" s="7" t="s">
        <v>17923</v>
      </c>
      <c r="D2799" s="7" t="s">
        <v>22747</v>
      </c>
      <c r="E2799" s="7" t="s">
        <v>17925</v>
      </c>
      <c r="F2799" s="7" t="s">
        <v>8256</v>
      </c>
      <c r="G2799" s="7" t="s">
        <v>22748</v>
      </c>
      <c r="H2799" s="7" t="s">
        <v>22749</v>
      </c>
      <c r="I2799" s="119">
        <v>45946.0</v>
      </c>
      <c r="K2799" s="7" t="s">
        <v>17988</v>
      </c>
      <c r="L2799" s="7" t="s">
        <v>991</v>
      </c>
      <c r="M2799" s="7" t="s">
        <v>3501</v>
      </c>
      <c r="N2799" s="7" t="s">
        <v>17988</v>
      </c>
      <c r="O2799" s="7" t="s">
        <v>17988</v>
      </c>
      <c r="P2799" s="7" t="s">
        <v>22394</v>
      </c>
      <c r="T2799" s="7" t="s">
        <v>17990</v>
      </c>
      <c r="U2799" s="7" t="s">
        <v>3493</v>
      </c>
      <c r="V2799" s="7">
        <v>1.0</v>
      </c>
    </row>
    <row r="2800">
      <c r="A2800" s="7" t="s">
        <v>22750</v>
      </c>
      <c r="B2800" s="7">
        <v>3001195.0</v>
      </c>
      <c r="C2800" s="7" t="s">
        <v>12053</v>
      </c>
      <c r="D2800" s="7" t="s">
        <v>5826</v>
      </c>
      <c r="E2800" s="7" t="s">
        <v>12054</v>
      </c>
      <c r="F2800" s="7" t="s">
        <v>4525</v>
      </c>
      <c r="G2800" s="7" t="s">
        <v>22751</v>
      </c>
      <c r="H2800" s="7" t="s">
        <v>22752</v>
      </c>
      <c r="I2800" s="119">
        <v>45946.0</v>
      </c>
      <c r="K2800" s="7" t="s">
        <v>3632</v>
      </c>
      <c r="L2800" s="7" t="s">
        <v>991</v>
      </c>
      <c r="M2800" s="7" t="s">
        <v>3531</v>
      </c>
      <c r="N2800" s="7" t="s">
        <v>3632</v>
      </c>
      <c r="O2800" s="7" t="s">
        <v>3632</v>
      </c>
      <c r="P2800" s="7" t="s">
        <v>625</v>
      </c>
      <c r="Q2800" s="7" t="s">
        <v>118</v>
      </c>
      <c r="R2800" s="7" t="s">
        <v>20138</v>
      </c>
      <c r="T2800" s="7" t="s">
        <v>12840</v>
      </c>
      <c r="U2800" s="7" t="s">
        <v>3493</v>
      </c>
      <c r="V2800" s="7">
        <v>1.0</v>
      </c>
    </row>
    <row r="2801">
      <c r="A2801" s="7" t="s">
        <v>22753</v>
      </c>
      <c r="B2801" s="7">
        <v>3001185.0</v>
      </c>
      <c r="C2801" s="7" t="s">
        <v>12078</v>
      </c>
      <c r="D2801" s="7" t="s">
        <v>22754</v>
      </c>
      <c r="E2801" s="7" t="s">
        <v>12080</v>
      </c>
      <c r="F2801" s="7" t="s">
        <v>3909</v>
      </c>
      <c r="G2801" s="7" t="s">
        <v>22755</v>
      </c>
      <c r="H2801" s="7" t="s">
        <v>22756</v>
      </c>
      <c r="I2801" s="119">
        <v>45946.0</v>
      </c>
      <c r="K2801" s="7" t="s">
        <v>419</v>
      </c>
      <c r="L2801" s="7" t="s">
        <v>991</v>
      </c>
      <c r="M2801" s="7" t="s">
        <v>3531</v>
      </c>
      <c r="N2801" s="7" t="s">
        <v>419</v>
      </c>
      <c r="O2801" s="7" t="s">
        <v>19430</v>
      </c>
      <c r="P2801" s="7" t="s">
        <v>717</v>
      </c>
      <c r="Q2801" s="7" t="s">
        <v>720</v>
      </c>
      <c r="R2801" s="7" t="s">
        <v>19542</v>
      </c>
      <c r="T2801" s="7" t="s">
        <v>3725</v>
      </c>
      <c r="U2801" s="7" t="s">
        <v>3493</v>
      </c>
      <c r="V2801" s="7">
        <v>1.0</v>
      </c>
    </row>
    <row r="2802">
      <c r="A2802" s="7" t="s">
        <v>22757</v>
      </c>
      <c r="B2802" s="7">
        <v>3001184.0</v>
      </c>
      <c r="C2802" s="7" t="s">
        <v>12735</v>
      </c>
      <c r="D2802" s="7" t="s">
        <v>22758</v>
      </c>
      <c r="E2802" s="7" t="s">
        <v>12736</v>
      </c>
      <c r="F2802" s="7" t="s">
        <v>3909</v>
      </c>
      <c r="G2802" s="7" t="s">
        <v>22759</v>
      </c>
      <c r="H2802" s="7" t="s">
        <v>22760</v>
      </c>
      <c r="I2802" s="119">
        <v>45946.0</v>
      </c>
      <c r="K2802" s="7" t="s">
        <v>3632</v>
      </c>
      <c r="L2802" s="7" t="s">
        <v>991</v>
      </c>
      <c r="M2802" s="7" t="s">
        <v>3866</v>
      </c>
      <c r="N2802" s="7" t="s">
        <v>3632</v>
      </c>
      <c r="O2802" s="7" t="s">
        <v>3632</v>
      </c>
      <c r="P2802" s="7" t="s">
        <v>625</v>
      </c>
      <c r="Q2802" s="7" t="s">
        <v>118</v>
      </c>
      <c r="R2802" s="7" t="s">
        <v>20076</v>
      </c>
      <c r="T2802" s="7" t="s">
        <v>6924</v>
      </c>
      <c r="U2802" s="7" t="s">
        <v>3493</v>
      </c>
      <c r="V2802" s="7">
        <v>1.0</v>
      </c>
    </row>
    <row r="2803">
      <c r="A2803" s="7" t="s">
        <v>22761</v>
      </c>
      <c r="B2803" s="7">
        <v>3001187.0</v>
      </c>
      <c r="C2803" s="7" t="s">
        <v>12820</v>
      </c>
      <c r="D2803" s="7" t="s">
        <v>22762</v>
      </c>
      <c r="E2803" s="7" t="s">
        <v>12822</v>
      </c>
      <c r="F2803" s="7" t="s">
        <v>3609</v>
      </c>
      <c r="G2803" s="7" t="s">
        <v>22763</v>
      </c>
      <c r="H2803" s="7" t="s">
        <v>22764</v>
      </c>
      <c r="I2803" s="119">
        <v>45946.0</v>
      </c>
      <c r="K2803" s="7" t="s">
        <v>3642</v>
      </c>
      <c r="L2803" s="7" t="s">
        <v>991</v>
      </c>
      <c r="M2803" s="7" t="s">
        <v>3501</v>
      </c>
      <c r="N2803" s="7" t="s">
        <v>3642</v>
      </c>
      <c r="O2803" s="7" t="s">
        <v>3642</v>
      </c>
      <c r="P2803" s="7" t="s">
        <v>19524</v>
      </c>
      <c r="T2803" s="7" t="s">
        <v>3644</v>
      </c>
      <c r="U2803" s="7" t="s">
        <v>3493</v>
      </c>
      <c r="V2803" s="7">
        <v>1.0</v>
      </c>
    </row>
    <row r="2804">
      <c r="A2804" s="7" t="s">
        <v>22765</v>
      </c>
      <c r="B2804" s="7">
        <v>3001194.0</v>
      </c>
      <c r="C2804" s="7" t="s">
        <v>22766</v>
      </c>
      <c r="D2804" s="7" t="s">
        <v>22767</v>
      </c>
      <c r="E2804" s="7" t="s">
        <v>22768</v>
      </c>
      <c r="F2804" s="7" t="s">
        <v>17507</v>
      </c>
      <c r="G2804" s="7" t="s">
        <v>22769</v>
      </c>
      <c r="H2804" s="7" t="s">
        <v>22770</v>
      </c>
      <c r="I2804" s="119">
        <v>45946.0</v>
      </c>
      <c r="K2804" s="7" t="s">
        <v>3632</v>
      </c>
      <c r="L2804" s="7" t="s">
        <v>991</v>
      </c>
      <c r="M2804" s="7" t="s">
        <v>3583</v>
      </c>
      <c r="N2804" s="7" t="s">
        <v>3632</v>
      </c>
      <c r="O2804" s="7" t="s">
        <v>3632</v>
      </c>
      <c r="P2804" s="7" t="s">
        <v>625</v>
      </c>
      <c r="Q2804" s="7" t="s">
        <v>626</v>
      </c>
      <c r="R2804" s="7" t="s">
        <v>20083</v>
      </c>
      <c r="T2804" s="7" t="s">
        <v>13868</v>
      </c>
      <c r="U2804" s="7" t="s">
        <v>3493</v>
      </c>
      <c r="V2804" s="7">
        <v>1.0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52.5"/>
  </cols>
  <sheetData>
    <row r="1">
      <c r="A1" s="7" t="s">
        <v>2051</v>
      </c>
      <c r="B1" s="7" t="s">
        <v>22771</v>
      </c>
      <c r="C1" s="7" t="s">
        <v>1038</v>
      </c>
    </row>
    <row r="2">
      <c r="A2" s="7" t="s">
        <v>1054</v>
      </c>
      <c r="B2" s="7" t="s">
        <v>1055</v>
      </c>
      <c r="C2" s="7" t="s">
        <v>1056</v>
      </c>
    </row>
    <row r="3">
      <c r="A3" s="7" t="s">
        <v>1057</v>
      </c>
      <c r="B3" s="7" t="s">
        <v>1058</v>
      </c>
      <c r="C3" s="7" t="s">
        <v>1059</v>
      </c>
    </row>
    <row r="4" hidden="1"/>
    <row r="5" hidden="1"/>
    <row r="6" hidden="1"/>
    <row r="7">
      <c r="A7" s="7" t="s">
        <v>1060</v>
      </c>
      <c r="B7" s="7" t="s">
        <v>693</v>
      </c>
      <c r="C7" s="7" t="s">
        <v>1061</v>
      </c>
    </row>
    <row r="8" hidden="1"/>
    <row r="9">
      <c r="A9" s="7" t="s">
        <v>1062</v>
      </c>
      <c r="B9" s="7" t="s">
        <v>298</v>
      </c>
      <c r="C9" s="7" t="s">
        <v>1064</v>
      </c>
    </row>
    <row r="10">
      <c r="A10" s="7" t="s">
        <v>1065</v>
      </c>
      <c r="B10" s="7" t="s">
        <v>478</v>
      </c>
      <c r="C10" s="7" t="s">
        <v>1067</v>
      </c>
    </row>
    <row r="11">
      <c r="A11" s="7" t="s">
        <v>1068</v>
      </c>
      <c r="B11" s="7" t="s">
        <v>1069</v>
      </c>
      <c r="C11" s="7" t="s">
        <v>1070</v>
      </c>
    </row>
    <row r="12">
      <c r="A12" s="7" t="s">
        <v>1071</v>
      </c>
      <c r="B12" s="7" t="s">
        <v>188</v>
      </c>
      <c r="C12" s="7" t="s">
        <v>1061</v>
      </c>
    </row>
    <row r="13">
      <c r="A13" s="7" t="s">
        <v>1072</v>
      </c>
      <c r="B13" s="7" t="s">
        <v>1073</v>
      </c>
      <c r="C13" s="7" t="s">
        <v>1074</v>
      </c>
    </row>
    <row r="14">
      <c r="A14" s="7" t="s">
        <v>1075</v>
      </c>
      <c r="B14" s="7" t="s">
        <v>1076</v>
      </c>
      <c r="C14" s="7" t="s">
        <v>1077</v>
      </c>
    </row>
    <row r="15">
      <c r="A15" s="7" t="s">
        <v>1078</v>
      </c>
      <c r="B15" s="7" t="s">
        <v>1079</v>
      </c>
      <c r="C15" s="7" t="s">
        <v>1080</v>
      </c>
    </row>
    <row r="16" hidden="1"/>
    <row r="17">
      <c r="A17" s="7" t="s">
        <v>1081</v>
      </c>
      <c r="B17" s="7" t="s">
        <v>1069</v>
      </c>
      <c r="C17" s="7" t="s">
        <v>1070</v>
      </c>
    </row>
    <row r="18">
      <c r="A18" s="7" t="s">
        <v>1082</v>
      </c>
      <c r="B18" s="7" t="s">
        <v>1083</v>
      </c>
      <c r="C18" s="7" t="s">
        <v>1084</v>
      </c>
    </row>
    <row r="19">
      <c r="A19" s="7" t="s">
        <v>1085</v>
      </c>
      <c r="B19" s="7" t="s">
        <v>1052</v>
      </c>
      <c r="C19" s="7" t="s">
        <v>1086</v>
      </c>
    </row>
    <row r="20">
      <c r="A20" s="7" t="s">
        <v>1087</v>
      </c>
      <c r="B20" s="7" t="s">
        <v>1088</v>
      </c>
      <c r="C20" s="7" t="s">
        <v>1089</v>
      </c>
    </row>
    <row r="21">
      <c r="A21" s="7" t="s">
        <v>1090</v>
      </c>
      <c r="B21" s="7" t="s">
        <v>1091</v>
      </c>
      <c r="C21" s="7" t="s">
        <v>1092</v>
      </c>
    </row>
    <row r="22">
      <c r="A22" s="7" t="s">
        <v>1093</v>
      </c>
      <c r="B22" s="7" t="s">
        <v>1094</v>
      </c>
      <c r="C22" s="7" t="s">
        <v>1095</v>
      </c>
    </row>
    <row r="23" hidden="1"/>
    <row r="24">
      <c r="A24" s="7" t="s">
        <v>1096</v>
      </c>
      <c r="B24" s="7" t="s">
        <v>1097</v>
      </c>
      <c r="C24" s="7" t="s">
        <v>1098</v>
      </c>
    </row>
    <row r="25" hidden="1"/>
    <row r="26">
      <c r="A26" s="7" t="s">
        <v>1100</v>
      </c>
      <c r="B26" s="7" t="s">
        <v>1052</v>
      </c>
      <c r="C26" s="7" t="s">
        <v>1086</v>
      </c>
    </row>
    <row r="27" hidden="1"/>
    <row r="28">
      <c r="A28" s="7" t="s">
        <v>1106</v>
      </c>
      <c r="B28" s="7" t="s">
        <v>1076</v>
      </c>
      <c r="C28" s="7" t="s">
        <v>1077</v>
      </c>
    </row>
    <row r="29">
      <c r="A29" s="7" t="s">
        <v>1114</v>
      </c>
      <c r="B29" s="7" t="s">
        <v>1052</v>
      </c>
      <c r="C29" s="7" t="s">
        <v>1086</v>
      </c>
    </row>
    <row r="30">
      <c r="A30" s="7" t="s">
        <v>1131</v>
      </c>
      <c r="B30" s="7" t="s">
        <v>1097</v>
      </c>
      <c r="C30" s="7" t="s">
        <v>1098</v>
      </c>
    </row>
    <row r="31" hidden="1"/>
    <row r="32" hidden="1"/>
    <row r="33">
      <c r="A33" s="7" t="s">
        <v>1138</v>
      </c>
      <c r="B33" s="7" t="s">
        <v>1141</v>
      </c>
      <c r="C33" s="7" t="s">
        <v>22772</v>
      </c>
    </row>
    <row r="34">
      <c r="A34" s="7" t="s">
        <v>1149</v>
      </c>
      <c r="B34" s="7" t="s">
        <v>1058</v>
      </c>
      <c r="C34" s="7" t="s">
        <v>1059</v>
      </c>
    </row>
    <row r="35">
      <c r="A35" s="7" t="s">
        <v>1164</v>
      </c>
      <c r="B35" s="7" t="s">
        <v>1165</v>
      </c>
      <c r="C35" s="7" t="s">
        <v>22772</v>
      </c>
    </row>
    <row r="36" hidden="1"/>
    <row r="37" hidden="1"/>
    <row r="38">
      <c r="A38" s="7" t="s">
        <v>1166</v>
      </c>
      <c r="B38" s="7" t="s">
        <v>1069</v>
      </c>
      <c r="C38" s="7" t="s">
        <v>1070</v>
      </c>
    </row>
    <row r="39">
      <c r="A39" s="7" t="s">
        <v>1179</v>
      </c>
      <c r="B39" s="7" t="s">
        <v>188</v>
      </c>
      <c r="C39" s="7" t="s">
        <v>1061</v>
      </c>
    </row>
    <row r="40">
      <c r="A40" s="7" t="s">
        <v>1194</v>
      </c>
      <c r="B40" s="7" t="s">
        <v>988</v>
      </c>
      <c r="C40" s="7" t="s">
        <v>22773</v>
      </c>
    </row>
    <row r="41">
      <c r="A41" s="7" t="s">
        <v>1195</v>
      </c>
      <c r="B41" s="7" t="s">
        <v>1088</v>
      </c>
      <c r="C41" s="7" t="s">
        <v>22774</v>
      </c>
    </row>
    <row r="42">
      <c r="A42" s="7" t="s">
        <v>1198</v>
      </c>
      <c r="B42" s="7" t="s">
        <v>1083</v>
      </c>
      <c r="C42" s="7" t="s">
        <v>1084</v>
      </c>
    </row>
    <row r="43">
      <c r="A43" s="7" t="s">
        <v>1205</v>
      </c>
      <c r="B43" s="7" t="s">
        <v>391</v>
      </c>
      <c r="C43" s="7" t="s">
        <v>1061</v>
      </c>
    </row>
    <row r="44">
      <c r="A44" s="7" t="s">
        <v>1208</v>
      </c>
      <c r="B44" s="7" t="s">
        <v>22775</v>
      </c>
      <c r="C44" s="7" t="s">
        <v>22776</v>
      </c>
    </row>
    <row r="45">
      <c r="A45" s="7" t="s">
        <v>1211</v>
      </c>
      <c r="B45" s="7" t="s">
        <v>1052</v>
      </c>
      <c r="C45" s="7" t="s">
        <v>1086</v>
      </c>
    </row>
    <row r="46">
      <c r="A46" s="7" t="s">
        <v>1216</v>
      </c>
      <c r="B46" s="7" t="s">
        <v>22777</v>
      </c>
      <c r="C46" s="7" t="s">
        <v>22778</v>
      </c>
    </row>
    <row r="47">
      <c r="A47" s="7" t="s">
        <v>1219</v>
      </c>
      <c r="B47" s="7" t="s">
        <v>1052</v>
      </c>
      <c r="C47" s="7" t="s">
        <v>1086</v>
      </c>
    </row>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c r="A1001" s="7" t="s">
        <v>1216</v>
      </c>
      <c r="B1001" s="7" t="s">
        <v>1052</v>
      </c>
      <c r="C1001" s="7" t="s">
        <v>22779</v>
      </c>
    </row>
    <row r="1002">
      <c r="A1002" s="7" t="s">
        <v>1252</v>
      </c>
      <c r="B1002" s="7" t="s">
        <v>3</v>
      </c>
      <c r="C1002" s="7" t="s">
        <v>22780</v>
      </c>
    </row>
    <row r="1003">
      <c r="A1003" s="7" t="s">
        <v>1213</v>
      </c>
      <c r="B1003" s="7" t="s">
        <v>22781</v>
      </c>
      <c r="C1003" s="7" t="s">
        <v>22782</v>
      </c>
    </row>
    <row r="1004">
      <c r="A1004" s="7" t="s">
        <v>1264</v>
      </c>
      <c r="B1004" s="7" t="s">
        <v>1069</v>
      </c>
      <c r="C1004" s="7" t="s">
        <v>1070</v>
      </c>
    </row>
    <row r="1005">
      <c r="A1005" s="7" t="s">
        <v>1268</v>
      </c>
      <c r="B1005" s="7" t="s">
        <v>22783</v>
      </c>
      <c r="C1005" s="7" t="s">
        <v>22784</v>
      </c>
    </row>
    <row r="1006">
      <c r="A1006" s="7" t="s">
        <v>1272</v>
      </c>
      <c r="B1006" s="7" t="s">
        <v>1182</v>
      </c>
      <c r="C1006" s="7" t="s">
        <v>22785</v>
      </c>
    </row>
    <row r="1007">
      <c r="A1007" s="7" t="s">
        <v>1273</v>
      </c>
      <c r="B1007" s="7" t="s">
        <v>22786</v>
      </c>
      <c r="C1007" s="7" t="s">
        <v>22787</v>
      </c>
    </row>
    <row r="1008">
      <c r="A1008" s="7" t="s">
        <v>1282</v>
      </c>
      <c r="B1008" s="7" t="s">
        <v>391</v>
      </c>
      <c r="C1008" s="7" t="s">
        <v>22788</v>
      </c>
    </row>
    <row r="1009">
      <c r="A1009" s="7" t="s">
        <v>1285</v>
      </c>
      <c r="B1009" s="7" t="s">
        <v>587</v>
      </c>
      <c r="C1009" s="7" t="s">
        <v>22789</v>
      </c>
    </row>
    <row r="1010">
      <c r="A1010" s="7" t="s">
        <v>1214</v>
      </c>
      <c r="B1010" s="7" t="s">
        <v>1052</v>
      </c>
      <c r="C1010" s="7" t="s">
        <v>1086</v>
      </c>
    </row>
    <row r="1011">
      <c r="A1011" s="7" t="s">
        <v>1293</v>
      </c>
      <c r="B1011" s="7" t="s">
        <v>22790</v>
      </c>
      <c r="C1011" s="7" t="s">
        <v>22791</v>
      </c>
    </row>
    <row r="1012">
      <c r="A1012" s="7" t="s">
        <v>1295</v>
      </c>
      <c r="B1012" s="7" t="s">
        <v>22792</v>
      </c>
      <c r="C1012" s="7" t="s">
        <v>22793</v>
      </c>
    </row>
    <row r="1013">
      <c r="A1013" s="7" t="s">
        <v>1051</v>
      </c>
      <c r="B1013" s="7" t="s">
        <v>988</v>
      </c>
      <c r="C1013" s="7" t="s">
        <v>22773</v>
      </c>
    </row>
  </sheetData>
  <autoFilter ref="$A$1:$R$1013"/>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1.75"/>
  </cols>
  <sheetData>
    <row r="1">
      <c r="A1" s="37" t="s">
        <v>22794</v>
      </c>
      <c r="B1" s="37" t="s">
        <v>22795</v>
      </c>
      <c r="C1" s="37" t="s">
        <v>3465</v>
      </c>
      <c r="D1" s="37" t="s">
        <v>22796</v>
      </c>
    </row>
    <row r="2">
      <c r="A2" s="37" t="s">
        <v>51</v>
      </c>
      <c r="B2" s="37" t="s">
        <v>38</v>
      </c>
      <c r="C2" s="7" t="s">
        <v>10630</v>
      </c>
      <c r="D2" s="37" t="s">
        <v>22797</v>
      </c>
    </row>
    <row r="3">
      <c r="A3" s="37" t="s">
        <v>148</v>
      </c>
      <c r="B3" s="37" t="s">
        <v>140</v>
      </c>
      <c r="C3" s="7" t="s">
        <v>8343</v>
      </c>
      <c r="D3" s="37" t="s">
        <v>22798</v>
      </c>
    </row>
    <row r="4">
      <c r="A4" s="37" t="s">
        <v>1495</v>
      </c>
      <c r="B4" s="37" t="s">
        <v>1495</v>
      </c>
      <c r="C4" s="7" t="s">
        <v>17223</v>
      </c>
      <c r="D4" s="37" t="s">
        <v>22799</v>
      </c>
    </row>
    <row r="5">
      <c r="A5" s="37" t="s">
        <v>51</v>
      </c>
      <c r="B5" s="37" t="s">
        <v>1242</v>
      </c>
      <c r="C5" s="7" t="s">
        <v>17449</v>
      </c>
      <c r="D5" s="37" t="s">
        <v>22800</v>
      </c>
    </row>
    <row r="6">
      <c r="A6" s="37" t="s">
        <v>1495</v>
      </c>
      <c r="B6" s="37" t="s">
        <v>22801</v>
      </c>
      <c r="C6" s="7" t="s">
        <v>19318</v>
      </c>
      <c r="D6" s="37" t="s">
        <v>22802</v>
      </c>
    </row>
    <row r="7">
      <c r="A7" s="37" t="s">
        <v>74</v>
      </c>
      <c r="B7" s="37" t="s">
        <v>587</v>
      </c>
      <c r="C7" s="7" t="s">
        <v>18632</v>
      </c>
      <c r="D7" s="37" t="s">
        <v>22803</v>
      </c>
    </row>
    <row r="8">
      <c r="A8" s="37" t="s">
        <v>508</v>
      </c>
      <c r="B8" s="37" t="s">
        <v>478</v>
      </c>
      <c r="C8" s="7" t="s">
        <v>18997</v>
      </c>
      <c r="D8" s="37" t="s">
        <v>22804</v>
      </c>
    </row>
    <row r="9">
      <c r="A9" s="37" t="s">
        <v>508</v>
      </c>
      <c r="B9" s="37" t="s">
        <v>478</v>
      </c>
      <c r="C9" s="7" t="s">
        <v>19040</v>
      </c>
      <c r="D9" s="37" t="s">
        <v>22805</v>
      </c>
    </row>
    <row r="10">
      <c r="A10" s="37" t="s">
        <v>508</v>
      </c>
      <c r="B10" s="37" t="s">
        <v>478</v>
      </c>
      <c r="C10" s="7" t="s">
        <v>18691</v>
      </c>
      <c r="D10" s="37" t="s">
        <v>22806</v>
      </c>
    </row>
    <row r="11">
      <c r="A11" s="37" t="s">
        <v>217</v>
      </c>
      <c r="B11" s="37" t="s">
        <v>216</v>
      </c>
      <c r="C11" s="7" t="s">
        <v>18670</v>
      </c>
      <c r="D11" s="37" t="s">
        <v>22807</v>
      </c>
    </row>
    <row r="12">
      <c r="A12" s="37" t="s">
        <v>1495</v>
      </c>
      <c r="B12" s="37" t="s">
        <v>192</v>
      </c>
      <c r="C12" s="7" t="s">
        <v>6966</v>
      </c>
      <c r="D12" s="37" t="s">
        <v>22808</v>
      </c>
    </row>
    <row r="13">
      <c r="A13" s="37" t="s">
        <v>72</v>
      </c>
      <c r="B13" s="37" t="s">
        <v>71</v>
      </c>
      <c r="C13" s="7" t="s">
        <v>11467</v>
      </c>
      <c r="D13" s="37" t="s">
        <v>22809</v>
      </c>
    </row>
    <row r="14">
      <c r="A14" s="37" t="s">
        <v>1495</v>
      </c>
      <c r="B14" s="37" t="s">
        <v>1495</v>
      </c>
      <c r="C14" s="37" t="s">
        <v>13586</v>
      </c>
      <c r="D14" s="37" t="s">
        <v>22810</v>
      </c>
    </row>
    <row r="15">
      <c r="A15" s="37" t="s">
        <v>798</v>
      </c>
      <c r="B15" s="37" t="s">
        <v>298</v>
      </c>
      <c r="C15" s="7" t="s">
        <v>17505</v>
      </c>
      <c r="D15" s="37" t="s">
        <v>22811</v>
      </c>
    </row>
    <row r="16">
      <c r="A16" s="37" t="s">
        <v>399</v>
      </c>
      <c r="B16" s="37" t="s">
        <v>391</v>
      </c>
      <c r="C16" s="7" t="s">
        <v>9827</v>
      </c>
      <c r="D16" s="37" t="s">
        <v>22812</v>
      </c>
    </row>
    <row r="17">
      <c r="A17" s="37" t="s">
        <v>19453</v>
      </c>
      <c r="B17" s="37" t="s">
        <v>440</v>
      </c>
      <c r="C17" s="7" t="s">
        <v>18884</v>
      </c>
      <c r="D17" s="37" t="s">
        <v>22813</v>
      </c>
    </row>
    <row r="18">
      <c r="A18" s="37" t="s">
        <v>148</v>
      </c>
      <c r="B18" s="37" t="s">
        <v>140</v>
      </c>
      <c r="C18" s="7" t="s">
        <v>18324</v>
      </c>
      <c r="D18" s="37" t="s">
        <v>22814</v>
      </c>
    </row>
    <row r="19">
      <c r="A19" s="37" t="s">
        <v>124</v>
      </c>
      <c r="B19" s="37" t="s">
        <v>115</v>
      </c>
      <c r="C19" s="7" t="s">
        <v>18532</v>
      </c>
      <c r="D19" s="37" t="s">
        <v>22815</v>
      </c>
    </row>
    <row r="20">
      <c r="A20" s="37" t="s">
        <v>1284</v>
      </c>
      <c r="B20" s="37" t="s">
        <v>298</v>
      </c>
      <c r="C20" s="7" t="s">
        <v>15974</v>
      </c>
      <c r="D20" s="37" t="s">
        <v>22816</v>
      </c>
    </row>
    <row r="21">
      <c r="A21" s="37" t="s">
        <v>148</v>
      </c>
      <c r="B21" s="37" t="s">
        <v>648</v>
      </c>
      <c r="C21" s="7" t="s">
        <v>16036</v>
      </c>
      <c r="D21" s="37" t="s">
        <v>22817</v>
      </c>
    </row>
    <row r="22">
      <c r="A22" s="37" t="s">
        <v>484</v>
      </c>
      <c r="B22" s="37" t="s">
        <v>478</v>
      </c>
      <c r="C22" s="7" t="s">
        <v>18048</v>
      </c>
      <c r="D22" s="37" t="s">
        <v>22818</v>
      </c>
    </row>
    <row r="23">
      <c r="A23" s="37" t="s">
        <v>890</v>
      </c>
      <c r="B23" s="37" t="s">
        <v>391</v>
      </c>
      <c r="C23" s="7" t="s">
        <v>13917</v>
      </c>
      <c r="D23" s="37" t="s">
        <v>22819</v>
      </c>
    </row>
    <row r="24">
      <c r="A24" s="37" t="s">
        <v>51</v>
      </c>
      <c r="B24" s="37" t="s">
        <v>1242</v>
      </c>
      <c r="C24" s="7" t="s">
        <v>17287</v>
      </c>
      <c r="D24" s="37" t="s">
        <v>22820</v>
      </c>
    </row>
    <row r="25">
      <c r="A25" s="37" t="s">
        <v>284</v>
      </c>
      <c r="B25" s="37" t="s">
        <v>281</v>
      </c>
      <c r="C25" s="7" t="s">
        <v>22821</v>
      </c>
      <c r="D25" s="37" t="s">
        <v>22822</v>
      </c>
    </row>
    <row r="26">
      <c r="A26" s="37" t="s">
        <v>1495</v>
      </c>
      <c r="B26" s="37" t="s">
        <v>22801</v>
      </c>
      <c r="C26" s="7" t="s">
        <v>22823</v>
      </c>
      <c r="D26" s="37" t="s">
        <v>22824</v>
      </c>
    </row>
    <row r="27">
      <c r="A27" s="37" t="s">
        <v>1284</v>
      </c>
      <c r="B27" s="37" t="s">
        <v>298</v>
      </c>
      <c r="C27" s="7" t="s">
        <v>22825</v>
      </c>
      <c r="D27" s="37" t="s">
        <v>22826</v>
      </c>
    </row>
    <row r="28">
      <c r="A28" s="37" t="s">
        <v>1284</v>
      </c>
      <c r="B28" s="37" t="s">
        <v>298</v>
      </c>
      <c r="C28" s="7" t="s">
        <v>22827</v>
      </c>
      <c r="D28" s="37" t="s">
        <v>22828</v>
      </c>
    </row>
    <row r="29">
      <c r="A29" s="37" t="s">
        <v>1284</v>
      </c>
      <c r="B29" s="37" t="s">
        <v>298</v>
      </c>
      <c r="C29" s="7" t="s">
        <v>22829</v>
      </c>
      <c r="D29" s="37" t="s">
        <v>22830</v>
      </c>
    </row>
    <row r="30">
      <c r="A30" s="37" t="s">
        <v>1284</v>
      </c>
      <c r="B30" s="37" t="s">
        <v>298</v>
      </c>
      <c r="C30" s="7" t="s">
        <v>22831</v>
      </c>
      <c r="D30" s="37" t="s">
        <v>22832</v>
      </c>
    </row>
    <row r="31">
      <c r="A31" s="37" t="s">
        <v>1284</v>
      </c>
      <c r="B31" s="37" t="s">
        <v>298</v>
      </c>
      <c r="C31" s="7" t="s">
        <v>22833</v>
      </c>
      <c r="D31" s="37" t="s">
        <v>22834</v>
      </c>
    </row>
    <row r="32">
      <c r="A32" s="37" t="s">
        <v>1284</v>
      </c>
      <c r="B32" s="37" t="s">
        <v>298</v>
      </c>
      <c r="C32" s="7" t="s">
        <v>22835</v>
      </c>
      <c r="D32" s="37" t="s">
        <v>22836</v>
      </c>
    </row>
    <row r="33">
      <c r="A33" s="37" t="s">
        <v>1284</v>
      </c>
      <c r="B33" s="37" t="s">
        <v>298</v>
      </c>
      <c r="C33" s="7" t="s">
        <v>22837</v>
      </c>
      <c r="D33" s="37" t="s">
        <v>22838</v>
      </c>
    </row>
    <row r="34">
      <c r="A34" s="37" t="s">
        <v>1284</v>
      </c>
      <c r="B34" s="37" t="s">
        <v>298</v>
      </c>
      <c r="C34" s="7" t="s">
        <v>22839</v>
      </c>
      <c r="D34" s="37" t="s">
        <v>22840</v>
      </c>
    </row>
    <row r="35">
      <c r="A35" s="37" t="s">
        <v>1284</v>
      </c>
      <c r="B35" s="37" t="s">
        <v>298</v>
      </c>
      <c r="C35" s="7" t="s">
        <v>22841</v>
      </c>
      <c r="D35" s="37" t="s">
        <v>22842</v>
      </c>
    </row>
    <row r="36">
      <c r="A36" s="37" t="s">
        <v>1284</v>
      </c>
      <c r="B36" s="37" t="s">
        <v>298</v>
      </c>
      <c r="C36" s="7" t="s">
        <v>22843</v>
      </c>
      <c r="D36" s="37" t="s">
        <v>22844</v>
      </c>
    </row>
    <row r="37">
      <c r="A37" s="37" t="s">
        <v>1284</v>
      </c>
      <c r="B37" s="37" t="s">
        <v>298</v>
      </c>
      <c r="C37" s="7" t="s">
        <v>22845</v>
      </c>
      <c r="D37" s="37" t="s">
        <v>22846</v>
      </c>
    </row>
    <row r="38">
      <c r="A38" s="37" t="s">
        <v>289</v>
      </c>
      <c r="B38" s="37" t="s">
        <v>281</v>
      </c>
      <c r="C38" s="7" t="s">
        <v>16243</v>
      </c>
      <c r="D38" s="37" t="s">
        <v>22847</v>
      </c>
    </row>
    <row r="39">
      <c r="A39" s="37" t="s">
        <v>289</v>
      </c>
      <c r="B39" s="37" t="s">
        <v>281</v>
      </c>
      <c r="C39" s="7" t="s">
        <v>22848</v>
      </c>
      <c r="D39" s="37" t="s">
        <v>22849</v>
      </c>
    </row>
    <row r="40">
      <c r="A40" s="37" t="s">
        <v>289</v>
      </c>
      <c r="B40" s="37" t="s">
        <v>281</v>
      </c>
      <c r="C40" s="7" t="s">
        <v>22850</v>
      </c>
      <c r="D40" s="37" t="s">
        <v>22851</v>
      </c>
    </row>
    <row r="41">
      <c r="A41" s="37" t="s">
        <v>141</v>
      </c>
      <c r="B41" s="37" t="s">
        <v>648</v>
      </c>
      <c r="C41" s="7" t="s">
        <v>22852</v>
      </c>
      <c r="D41" s="37" t="s">
        <v>22853</v>
      </c>
    </row>
    <row r="42">
      <c r="A42" s="37" t="s">
        <v>221</v>
      </c>
      <c r="B42" s="37" t="s">
        <v>216</v>
      </c>
      <c r="C42" s="7" t="s">
        <v>14894</v>
      </c>
      <c r="D42" s="37" t="s">
        <v>22854</v>
      </c>
    </row>
    <row r="43">
      <c r="A43" s="37" t="s">
        <v>824</v>
      </c>
      <c r="B43" s="37" t="s">
        <v>323</v>
      </c>
      <c r="C43" s="7" t="s">
        <v>14045</v>
      </c>
      <c r="D43" s="37" t="s">
        <v>22855</v>
      </c>
    </row>
    <row r="44">
      <c r="A44" s="37" t="s">
        <v>4</v>
      </c>
      <c r="B44" s="37" t="s">
        <v>3</v>
      </c>
      <c r="C44" s="7" t="s">
        <v>22856</v>
      </c>
      <c r="D44" s="37" t="s">
        <v>22857</v>
      </c>
    </row>
    <row r="45">
      <c r="A45" s="37" t="s">
        <v>148</v>
      </c>
      <c r="B45" s="37" t="s">
        <v>140</v>
      </c>
      <c r="C45" s="7" t="s">
        <v>22858</v>
      </c>
      <c r="D45" s="37" t="s">
        <v>22859</v>
      </c>
    </row>
    <row r="46">
      <c r="A46" s="37" t="s">
        <v>51</v>
      </c>
      <c r="B46" s="37" t="s">
        <v>1242</v>
      </c>
      <c r="C46" s="7" t="s">
        <v>22860</v>
      </c>
      <c r="D46" s="37" t="s">
        <v>22861</v>
      </c>
    </row>
    <row r="47">
      <c r="A47" s="37" t="s">
        <v>1284</v>
      </c>
      <c r="B47" s="37" t="s">
        <v>298</v>
      </c>
      <c r="C47" s="7" t="s">
        <v>22862</v>
      </c>
      <c r="D47" s="37" t="s">
        <v>22863</v>
      </c>
    </row>
    <row r="48">
      <c r="A48" s="37" t="s">
        <v>51</v>
      </c>
      <c r="B48" s="37" t="s">
        <v>1242</v>
      </c>
      <c r="C48" s="7" t="s">
        <v>22864</v>
      </c>
      <c r="D48" s="37" t="s">
        <v>22865</v>
      </c>
    </row>
    <row r="49">
      <c r="A49" s="37" t="s">
        <v>289</v>
      </c>
      <c r="B49" s="37" t="s">
        <v>281</v>
      </c>
      <c r="C49" s="7" t="s">
        <v>22866</v>
      </c>
      <c r="D49" s="37" t="s">
        <v>22867</v>
      </c>
    </row>
    <row r="50">
      <c r="A50" s="37" t="s">
        <v>289</v>
      </c>
      <c r="B50" s="37" t="s">
        <v>281</v>
      </c>
      <c r="C50" s="7" t="s">
        <v>22868</v>
      </c>
      <c r="D50" s="37" t="s">
        <v>22869</v>
      </c>
    </row>
    <row r="51">
      <c r="A51" s="37" t="s">
        <v>508</v>
      </c>
      <c r="B51" s="37" t="s">
        <v>478</v>
      </c>
      <c r="C51" s="7" t="s">
        <v>22870</v>
      </c>
      <c r="D51" s="37" t="s">
        <v>22871</v>
      </c>
    </row>
    <row r="52">
      <c r="A52" s="37" t="s">
        <v>508</v>
      </c>
      <c r="B52" s="37" t="s">
        <v>478</v>
      </c>
      <c r="C52" s="7" t="s">
        <v>22872</v>
      </c>
      <c r="D52" s="37" t="s">
        <v>22873</v>
      </c>
    </row>
    <row r="53">
      <c r="A53" s="37" t="s">
        <v>221</v>
      </c>
      <c r="B53" s="37" t="s">
        <v>216</v>
      </c>
      <c r="C53" s="7" t="s">
        <v>22874</v>
      </c>
      <c r="D53" s="37" t="s">
        <v>22875</v>
      </c>
    </row>
    <row r="54">
      <c r="A54" s="37" t="s">
        <v>1284</v>
      </c>
      <c r="B54" s="37" t="s">
        <v>298</v>
      </c>
      <c r="C54" s="7" t="s">
        <v>22876</v>
      </c>
      <c r="D54" s="37" t="s">
        <v>22877</v>
      </c>
    </row>
    <row r="55">
      <c r="A55" s="37" t="s">
        <v>1495</v>
      </c>
      <c r="B55" s="37" t="s">
        <v>22801</v>
      </c>
      <c r="C55" s="7" t="s">
        <v>22878</v>
      </c>
      <c r="D55" s="37" t="s">
        <v>22879</v>
      </c>
    </row>
    <row r="56">
      <c r="A56" s="37" t="s">
        <v>1495</v>
      </c>
      <c r="B56" s="37" t="s">
        <v>22880</v>
      </c>
      <c r="C56" s="7" t="s">
        <v>22881</v>
      </c>
      <c r="D56" s="37" t="s">
        <v>22882</v>
      </c>
    </row>
    <row r="57">
      <c r="A57" s="37" t="s">
        <v>1284</v>
      </c>
      <c r="B57" s="37" t="s">
        <v>298</v>
      </c>
      <c r="C57" s="7" t="s">
        <v>22883</v>
      </c>
      <c r="D57" s="37" t="s">
        <v>22884</v>
      </c>
    </row>
    <row r="58">
      <c r="A58" s="37" t="s">
        <v>1284</v>
      </c>
      <c r="B58" s="37" t="s">
        <v>298</v>
      </c>
      <c r="C58" s="7" t="s">
        <v>22885</v>
      </c>
      <c r="D58" s="37" t="s">
        <v>22886</v>
      </c>
    </row>
    <row r="59">
      <c r="A59" s="37" t="s">
        <v>626</v>
      </c>
      <c r="B59" s="37" t="s">
        <v>115</v>
      </c>
      <c r="C59" s="7" t="s">
        <v>22887</v>
      </c>
      <c r="D59" s="37" t="s">
        <v>22888</v>
      </c>
    </row>
    <row r="60">
      <c r="A60" s="37" t="s">
        <v>399</v>
      </c>
      <c r="B60" s="37" t="s">
        <v>391</v>
      </c>
      <c r="C60" s="7" t="s">
        <v>22889</v>
      </c>
      <c r="D60" s="37" t="s">
        <v>22890</v>
      </c>
    </row>
    <row r="61">
      <c r="A61" s="37" t="s">
        <v>399</v>
      </c>
      <c r="B61" s="37" t="s">
        <v>391</v>
      </c>
      <c r="C61" s="7" t="s">
        <v>22891</v>
      </c>
      <c r="D61" s="37" t="s">
        <v>22892</v>
      </c>
    </row>
    <row r="62">
      <c r="A62" s="37" t="s">
        <v>1495</v>
      </c>
      <c r="B62" s="37" t="s">
        <v>1495</v>
      </c>
      <c r="C62" s="7" t="s">
        <v>22893</v>
      </c>
      <c r="D62" s="37" t="s">
        <v>22894</v>
      </c>
    </row>
    <row r="63">
      <c r="A63" s="37" t="s">
        <v>1495</v>
      </c>
      <c r="B63" s="37" t="s">
        <v>22880</v>
      </c>
      <c r="C63" s="7" t="s">
        <v>22895</v>
      </c>
      <c r="D63" s="37" t="s">
        <v>22896</v>
      </c>
    </row>
    <row r="64">
      <c r="A64" s="37" t="s">
        <v>668</v>
      </c>
      <c r="B64" s="37" t="s">
        <v>648</v>
      </c>
      <c r="C64" s="7" t="s">
        <v>22897</v>
      </c>
      <c r="D64" s="37" t="s">
        <v>22898</v>
      </c>
    </row>
    <row r="65">
      <c r="A65" s="37" t="s">
        <v>1495</v>
      </c>
      <c r="B65" s="37" t="s">
        <v>1495</v>
      </c>
      <c r="C65" s="7" t="s">
        <v>22899</v>
      </c>
      <c r="D65" s="37" t="s">
        <v>22900</v>
      </c>
    </row>
    <row r="66">
      <c r="A66" s="37" t="s">
        <v>23</v>
      </c>
      <c r="B66" s="37" t="s">
        <v>22</v>
      </c>
      <c r="C66" s="7" t="s">
        <v>22901</v>
      </c>
      <c r="D66" s="37" t="s">
        <v>22902</v>
      </c>
    </row>
    <row r="67">
      <c r="A67" s="37" t="s">
        <v>324</v>
      </c>
      <c r="B67" s="37" t="s">
        <v>323</v>
      </c>
      <c r="C67" s="7" t="s">
        <v>22903</v>
      </c>
      <c r="D67" s="37" t="s">
        <v>22904</v>
      </c>
    </row>
    <row r="68">
      <c r="A68" s="37" t="s">
        <v>1495</v>
      </c>
      <c r="B68" s="37" t="s">
        <v>22905</v>
      </c>
      <c r="C68" s="7" t="s">
        <v>22906</v>
      </c>
      <c r="D68" s="37" t="s">
        <v>22907</v>
      </c>
    </row>
    <row r="69">
      <c r="A69" s="37" t="s">
        <v>725</v>
      </c>
      <c r="B69" s="37" t="s">
        <v>717</v>
      </c>
      <c r="C69" s="7" t="s">
        <v>22908</v>
      </c>
      <c r="D69" s="37" t="s">
        <v>22909</v>
      </c>
    </row>
    <row r="70">
      <c r="A70" s="37" t="s">
        <v>1495</v>
      </c>
      <c r="B70" s="37" t="s">
        <v>22910</v>
      </c>
      <c r="C70" s="7" t="s">
        <v>22911</v>
      </c>
      <c r="D70" s="37" t="s">
        <v>22912</v>
      </c>
    </row>
    <row r="71">
      <c r="A71" s="37" t="s">
        <v>1495</v>
      </c>
      <c r="B71" s="37" t="s">
        <v>22913</v>
      </c>
      <c r="C71" s="7" t="s">
        <v>22914</v>
      </c>
      <c r="D71" s="37" t="s">
        <v>22915</v>
      </c>
    </row>
    <row r="72">
      <c r="A72" s="37" t="s">
        <v>1284</v>
      </c>
      <c r="B72" s="37" t="s">
        <v>298</v>
      </c>
      <c r="C72" s="7" t="s">
        <v>22916</v>
      </c>
      <c r="D72" s="37" t="s">
        <v>22917</v>
      </c>
    </row>
    <row r="73">
      <c r="A73" s="37" t="s">
        <v>118</v>
      </c>
      <c r="B73" s="37" t="s">
        <v>115</v>
      </c>
      <c r="C73" s="7" t="s">
        <v>22918</v>
      </c>
      <c r="D73" s="37" t="s">
        <v>22919</v>
      </c>
    </row>
    <row r="74">
      <c r="A74" s="37" t="s">
        <v>118</v>
      </c>
      <c r="B74" s="37" t="s">
        <v>115</v>
      </c>
      <c r="C74" s="7" t="s">
        <v>22920</v>
      </c>
      <c r="D74" s="37" t="s">
        <v>22921</v>
      </c>
    </row>
    <row r="75">
      <c r="A75" s="37" t="s">
        <v>116</v>
      </c>
      <c r="B75" s="37" t="s">
        <v>115</v>
      </c>
      <c r="C75" s="7" t="s">
        <v>22922</v>
      </c>
      <c r="D75" s="37" t="s">
        <v>22923</v>
      </c>
    </row>
    <row r="76">
      <c r="A76" s="37" t="s">
        <v>238</v>
      </c>
      <c r="B76" s="37" t="s">
        <v>216</v>
      </c>
      <c r="C76" s="7" t="s">
        <v>22924</v>
      </c>
      <c r="D76" s="37" t="s">
        <v>22925</v>
      </c>
    </row>
    <row r="77">
      <c r="A77" s="37" t="s">
        <v>148</v>
      </c>
      <c r="B77" s="37" t="s">
        <v>140</v>
      </c>
      <c r="C77" s="7" t="s">
        <v>22926</v>
      </c>
      <c r="D77" s="37" t="s">
        <v>22927</v>
      </c>
    </row>
    <row r="78">
      <c r="A78" s="37" t="s">
        <v>148</v>
      </c>
      <c r="B78" s="37" t="s">
        <v>140</v>
      </c>
      <c r="C78" s="7" t="s">
        <v>22928</v>
      </c>
      <c r="D78" s="37" t="s">
        <v>22929</v>
      </c>
    </row>
    <row r="79">
      <c r="A79" s="37" t="s">
        <v>720</v>
      </c>
      <c r="B79" s="37" t="s">
        <v>717</v>
      </c>
      <c r="C79" s="7" t="s">
        <v>8447</v>
      </c>
      <c r="D79" s="37" t="s">
        <v>22930</v>
      </c>
    </row>
    <row r="80">
      <c r="A80" s="37" t="s">
        <v>370</v>
      </c>
      <c r="B80" s="37" t="s">
        <v>363</v>
      </c>
      <c r="C80" s="7" t="s">
        <v>22931</v>
      </c>
      <c r="D80" s="37" t="s">
        <v>22932</v>
      </c>
    </row>
    <row r="81">
      <c r="A81" s="37" t="s">
        <v>370</v>
      </c>
      <c r="B81" s="37" t="s">
        <v>363</v>
      </c>
      <c r="C81" s="7" t="s">
        <v>22933</v>
      </c>
      <c r="D81" s="37" t="s">
        <v>22934</v>
      </c>
    </row>
    <row r="82">
      <c r="A82" s="37" t="s">
        <v>370</v>
      </c>
      <c r="B82" s="37" t="s">
        <v>363</v>
      </c>
      <c r="C82" s="7" t="s">
        <v>22935</v>
      </c>
      <c r="D82" s="37" t="s">
        <v>22936</v>
      </c>
    </row>
    <row r="83">
      <c r="A83" s="37" t="s">
        <v>725</v>
      </c>
      <c r="B83" s="37" t="s">
        <v>717</v>
      </c>
      <c r="C83" s="7" t="s">
        <v>22937</v>
      </c>
      <c r="D83" s="37" t="s">
        <v>22938</v>
      </c>
    </row>
    <row r="84">
      <c r="A84" s="37" t="s">
        <v>148</v>
      </c>
      <c r="B84" s="37" t="s">
        <v>140</v>
      </c>
      <c r="C84" s="7" t="s">
        <v>9166</v>
      </c>
      <c r="D84" s="37" t="s">
        <v>22939</v>
      </c>
    </row>
    <row r="85">
      <c r="A85" s="37" t="s">
        <v>302</v>
      </c>
      <c r="B85" s="37" t="s">
        <v>298</v>
      </c>
      <c r="C85" s="7" t="s">
        <v>22940</v>
      </c>
      <c r="D85" s="37" t="s">
        <v>22941</v>
      </c>
    </row>
    <row r="86">
      <c r="A86" s="37" t="s">
        <v>1495</v>
      </c>
      <c r="B86" s="37" t="s">
        <v>22905</v>
      </c>
      <c r="C86" s="37" t="s">
        <v>22942</v>
      </c>
      <c r="D86" s="37" t="s">
        <v>22943</v>
      </c>
    </row>
    <row r="87">
      <c r="A87" s="37" t="s">
        <v>1495</v>
      </c>
      <c r="B87" s="37" t="s">
        <v>22880</v>
      </c>
      <c r="C87" s="37" t="s">
        <v>22944</v>
      </c>
      <c r="D87" s="37" t="s">
        <v>22945</v>
      </c>
    </row>
    <row r="88">
      <c r="A88" s="37" t="s">
        <v>487</v>
      </c>
      <c r="B88" s="37" t="s">
        <v>478</v>
      </c>
      <c r="C88" s="7" t="s">
        <v>22946</v>
      </c>
      <c r="D88" s="37" t="s">
        <v>22947</v>
      </c>
    </row>
    <row r="89">
      <c r="A89" s="37" t="s">
        <v>487</v>
      </c>
      <c r="B89" s="37" t="s">
        <v>478</v>
      </c>
      <c r="C89" s="7" t="s">
        <v>22948</v>
      </c>
      <c r="D89" s="37" t="s">
        <v>22949</v>
      </c>
    </row>
    <row r="90">
      <c r="A90" s="37" t="s">
        <v>1495</v>
      </c>
      <c r="B90" s="37" t="s">
        <v>22950</v>
      </c>
      <c r="C90" s="7" t="s">
        <v>22951</v>
      </c>
      <c r="D90" s="37" t="s">
        <v>22952</v>
      </c>
    </row>
    <row r="91">
      <c r="A91" s="37" t="s">
        <v>738</v>
      </c>
      <c r="B91" s="37" t="s">
        <v>717</v>
      </c>
      <c r="C91" s="7" t="s">
        <v>22953</v>
      </c>
      <c r="D91" s="37" t="s">
        <v>22954</v>
      </c>
    </row>
    <row r="92">
      <c r="A92" s="37" t="s">
        <v>508</v>
      </c>
      <c r="B92" s="37" t="s">
        <v>478</v>
      </c>
      <c r="C92" s="7" t="s">
        <v>22955</v>
      </c>
      <c r="D92" s="37" t="s">
        <v>22956</v>
      </c>
    </row>
    <row r="93">
      <c r="A93" s="37" t="s">
        <v>508</v>
      </c>
      <c r="B93" s="37" t="s">
        <v>478</v>
      </c>
      <c r="C93" s="7" t="s">
        <v>22957</v>
      </c>
      <c r="D93" s="37" t="s">
        <v>22958</v>
      </c>
    </row>
    <row r="94">
      <c r="A94" s="37" t="s">
        <v>508</v>
      </c>
      <c r="B94" s="37" t="s">
        <v>478</v>
      </c>
      <c r="C94" s="7" t="s">
        <v>22959</v>
      </c>
      <c r="D94" s="37" t="s">
        <v>22960</v>
      </c>
    </row>
    <row r="95">
      <c r="A95" s="37" t="s">
        <v>487</v>
      </c>
      <c r="B95" s="37" t="s">
        <v>478</v>
      </c>
      <c r="C95" s="7" t="s">
        <v>22961</v>
      </c>
      <c r="D95" s="37" t="s">
        <v>22962</v>
      </c>
    </row>
    <row r="96">
      <c r="A96" s="37" t="s">
        <v>1284</v>
      </c>
      <c r="B96" s="37" t="s">
        <v>298</v>
      </c>
      <c r="C96" s="7" t="s">
        <v>22963</v>
      </c>
      <c r="D96" s="37" t="s">
        <v>22964</v>
      </c>
    </row>
    <row r="97">
      <c r="A97" s="37" t="s">
        <v>475</v>
      </c>
      <c r="B97" s="37" t="s">
        <v>474</v>
      </c>
      <c r="C97" s="7" t="s">
        <v>22965</v>
      </c>
      <c r="D97" s="37" t="s">
        <v>22966</v>
      </c>
    </row>
    <row r="98">
      <c r="A98" s="37" t="s">
        <v>475</v>
      </c>
      <c r="B98" s="37" t="s">
        <v>474</v>
      </c>
      <c r="C98" s="7" t="s">
        <v>22967</v>
      </c>
      <c r="D98" s="37" t="s">
        <v>22968</v>
      </c>
    </row>
    <row r="99">
      <c r="A99" s="37" t="s">
        <v>403</v>
      </c>
      <c r="B99" s="37" t="s">
        <v>391</v>
      </c>
      <c r="C99" s="7" t="s">
        <v>22969</v>
      </c>
      <c r="D99" s="37" t="s">
        <v>22970</v>
      </c>
    </row>
    <row r="100">
      <c r="A100" s="37" t="s">
        <v>484</v>
      </c>
      <c r="B100" s="37" t="s">
        <v>478</v>
      </c>
      <c r="C100" s="7" t="s">
        <v>22971</v>
      </c>
      <c r="D100" s="37" t="s">
        <v>22972</v>
      </c>
    </row>
    <row r="101">
      <c r="A101" s="37" t="s">
        <v>857</v>
      </c>
      <c r="B101" s="37" t="s">
        <v>854</v>
      </c>
      <c r="C101" s="7" t="s">
        <v>22973</v>
      </c>
      <c r="D101" s="37" t="s">
        <v>22974</v>
      </c>
    </row>
    <row r="102">
      <c r="A102" s="37" t="s">
        <v>508</v>
      </c>
      <c r="B102" s="37" t="s">
        <v>478</v>
      </c>
      <c r="C102" s="7" t="s">
        <v>22975</v>
      </c>
      <c r="D102" s="37" t="s">
        <v>22976</v>
      </c>
    </row>
    <row r="103">
      <c r="A103" s="37" t="s">
        <v>508</v>
      </c>
      <c r="B103" s="37" t="s">
        <v>478</v>
      </c>
      <c r="C103" s="7" t="s">
        <v>22977</v>
      </c>
      <c r="D103" s="37" t="s">
        <v>22978</v>
      </c>
    </row>
    <row r="104">
      <c r="A104" s="37" t="s">
        <v>508</v>
      </c>
      <c r="B104" s="37" t="s">
        <v>478</v>
      </c>
      <c r="C104" s="7" t="s">
        <v>22979</v>
      </c>
      <c r="D104" s="37" t="s">
        <v>22980</v>
      </c>
    </row>
    <row r="105">
      <c r="A105" s="37" t="s">
        <v>22981</v>
      </c>
      <c r="B105" s="37" t="s">
        <v>22982</v>
      </c>
      <c r="C105" s="7" t="s">
        <v>22983</v>
      </c>
      <c r="D105" s="37" t="s">
        <v>22984</v>
      </c>
    </row>
    <row r="106">
      <c r="A106" s="37" t="s">
        <v>22985</v>
      </c>
      <c r="B106" s="37" t="s">
        <v>22986</v>
      </c>
      <c r="C106" s="7" t="s">
        <v>22987</v>
      </c>
      <c r="D106" s="37" t="s">
        <v>22988</v>
      </c>
    </row>
    <row r="107">
      <c r="A107" s="37" t="s">
        <v>74</v>
      </c>
      <c r="B107" s="37" t="s">
        <v>587</v>
      </c>
      <c r="C107" s="7" t="s">
        <v>22989</v>
      </c>
      <c r="D107" s="37" t="s">
        <v>22990</v>
      </c>
    </row>
    <row r="108">
      <c r="A108" s="37" t="s">
        <v>392</v>
      </c>
      <c r="B108" s="37" t="s">
        <v>391</v>
      </c>
      <c r="C108" s="7" t="s">
        <v>22991</v>
      </c>
      <c r="D108" s="37" t="s">
        <v>22992</v>
      </c>
    </row>
    <row r="109">
      <c r="A109" s="37" t="s">
        <v>1284</v>
      </c>
      <c r="B109" s="37" t="s">
        <v>298</v>
      </c>
      <c r="C109" s="7" t="s">
        <v>22993</v>
      </c>
      <c r="D109" s="37" t="s">
        <v>22994</v>
      </c>
    </row>
    <row r="110">
      <c r="A110" s="37" t="s">
        <v>552</v>
      </c>
      <c r="B110" s="37" t="s">
        <v>22</v>
      </c>
      <c r="C110" s="7" t="s">
        <v>22995</v>
      </c>
      <c r="D110" s="37" t="s">
        <v>22996</v>
      </c>
    </row>
    <row r="111">
      <c r="A111" s="37" t="s">
        <v>22997</v>
      </c>
      <c r="B111" s="37" t="s">
        <v>19462</v>
      </c>
      <c r="C111" s="7" t="s">
        <v>22998</v>
      </c>
      <c r="D111" s="37" t="s">
        <v>22999</v>
      </c>
    </row>
    <row r="112">
      <c r="A112" s="37" t="s">
        <v>9</v>
      </c>
      <c r="B112" s="37" t="s">
        <v>3</v>
      </c>
      <c r="C112" s="7" t="s">
        <v>23000</v>
      </c>
      <c r="D112" s="37" t="s">
        <v>23001</v>
      </c>
    </row>
    <row r="113">
      <c r="A113" s="37" t="s">
        <v>289</v>
      </c>
      <c r="B113" s="37" t="s">
        <v>281</v>
      </c>
      <c r="C113" s="7" t="s">
        <v>23002</v>
      </c>
      <c r="D113" s="37" t="s">
        <v>23003</v>
      </c>
    </row>
    <row r="114">
      <c r="A114" s="37" t="s">
        <v>289</v>
      </c>
      <c r="B114" s="37" t="s">
        <v>281</v>
      </c>
      <c r="C114" s="7" t="s">
        <v>23004</v>
      </c>
      <c r="D114" s="37" t="s">
        <v>23005</v>
      </c>
    </row>
    <row r="115">
      <c r="A115" s="37" t="s">
        <v>289</v>
      </c>
      <c r="B115" s="37" t="s">
        <v>281</v>
      </c>
      <c r="C115" s="7" t="s">
        <v>23006</v>
      </c>
      <c r="D115" s="37" t="s">
        <v>23007</v>
      </c>
    </row>
    <row r="116">
      <c r="A116" s="37" t="s">
        <v>549</v>
      </c>
      <c r="B116" s="37" t="s">
        <v>22</v>
      </c>
      <c r="C116" s="7" t="s">
        <v>23008</v>
      </c>
      <c r="D116" s="37" t="s">
        <v>23009</v>
      </c>
    </row>
    <row r="117">
      <c r="A117" s="37" t="s">
        <v>51</v>
      </c>
      <c r="B117" s="37" t="s">
        <v>1242</v>
      </c>
      <c r="C117" s="7" t="s">
        <v>23010</v>
      </c>
      <c r="D117" s="37" t="s">
        <v>23011</v>
      </c>
    </row>
    <row r="118">
      <c r="A118" s="37" t="s">
        <v>169</v>
      </c>
      <c r="B118" s="37" t="s">
        <v>168</v>
      </c>
      <c r="C118" s="7" t="s">
        <v>23012</v>
      </c>
      <c r="D118" s="37" t="s">
        <v>23013</v>
      </c>
    </row>
    <row r="119">
      <c r="A119" s="37" t="s">
        <v>238</v>
      </c>
      <c r="B119" s="37" t="s">
        <v>216</v>
      </c>
      <c r="C119" s="7" t="s">
        <v>23014</v>
      </c>
      <c r="D119" s="37" t="s">
        <v>23015</v>
      </c>
    </row>
    <row r="120">
      <c r="A120" s="37" t="s">
        <v>238</v>
      </c>
      <c r="B120" s="37" t="s">
        <v>216</v>
      </c>
      <c r="C120" s="7" t="s">
        <v>23016</v>
      </c>
      <c r="D120" s="37" t="s">
        <v>23017</v>
      </c>
    </row>
    <row r="121">
      <c r="A121" s="37" t="s">
        <v>221</v>
      </c>
      <c r="B121" s="37" t="s">
        <v>216</v>
      </c>
      <c r="C121" s="7" t="s">
        <v>23018</v>
      </c>
      <c r="D121" s="37" t="s">
        <v>23019</v>
      </c>
    </row>
    <row r="122">
      <c r="A122" s="37" t="s">
        <v>798</v>
      </c>
      <c r="B122" s="37" t="s">
        <v>298</v>
      </c>
      <c r="C122" s="7" t="s">
        <v>23020</v>
      </c>
      <c r="D122" s="37" t="s">
        <v>23021</v>
      </c>
    </row>
    <row r="123">
      <c r="A123" s="37" t="s">
        <v>141</v>
      </c>
      <c r="B123" s="37" t="s">
        <v>648</v>
      </c>
      <c r="C123" s="7" t="s">
        <v>9878</v>
      </c>
      <c r="D123" s="37" t="s">
        <v>23022</v>
      </c>
    </row>
    <row r="124">
      <c r="A124" s="37" t="s">
        <v>9</v>
      </c>
      <c r="B124" s="37" t="s">
        <v>3</v>
      </c>
      <c r="C124" s="7" t="s">
        <v>9754</v>
      </c>
      <c r="D124" s="37" t="s">
        <v>23023</v>
      </c>
    </row>
    <row r="125">
      <c r="A125" s="37" t="s">
        <v>824</v>
      </c>
      <c r="B125" s="37" t="s">
        <v>323</v>
      </c>
      <c r="C125" s="7" t="s">
        <v>23024</v>
      </c>
      <c r="D125" s="37" t="s">
        <v>23025</v>
      </c>
    </row>
    <row r="126">
      <c r="A126" s="37" t="s">
        <v>491</v>
      </c>
      <c r="B126" s="37" t="s">
        <v>478</v>
      </c>
      <c r="C126" s="7" t="s">
        <v>23026</v>
      </c>
      <c r="D126" s="37" t="s">
        <v>23027</v>
      </c>
    </row>
    <row r="127">
      <c r="A127" s="37" t="s">
        <v>251</v>
      </c>
      <c r="B127" s="37" t="s">
        <v>717</v>
      </c>
      <c r="C127" s="7" t="s">
        <v>23028</v>
      </c>
      <c r="D127" s="37" t="s">
        <v>23029</v>
      </c>
    </row>
    <row r="128">
      <c r="A128" s="37" t="s">
        <v>106</v>
      </c>
      <c r="B128" s="37" t="s">
        <v>613</v>
      </c>
      <c r="C128" s="7" t="s">
        <v>23030</v>
      </c>
      <c r="D128" s="37" t="s">
        <v>23031</v>
      </c>
    </row>
    <row r="129">
      <c r="A129" s="37" t="s">
        <v>284</v>
      </c>
      <c r="B129" s="37" t="s">
        <v>281</v>
      </c>
      <c r="C129" s="7" t="s">
        <v>23032</v>
      </c>
      <c r="D129" s="37" t="s">
        <v>23033</v>
      </c>
    </row>
    <row r="130">
      <c r="A130" s="37" t="s">
        <v>725</v>
      </c>
      <c r="B130" s="37" t="s">
        <v>717</v>
      </c>
      <c r="C130" s="7" t="s">
        <v>23034</v>
      </c>
      <c r="D130" s="37" t="s">
        <v>23035</v>
      </c>
    </row>
    <row r="131">
      <c r="A131" s="37" t="s">
        <v>725</v>
      </c>
      <c r="B131" s="37" t="s">
        <v>717</v>
      </c>
      <c r="C131" s="7" t="s">
        <v>23036</v>
      </c>
      <c r="D131" s="37" t="s">
        <v>23037</v>
      </c>
    </row>
    <row r="132">
      <c r="A132" s="37" t="s">
        <v>491</v>
      </c>
      <c r="B132" s="37" t="s">
        <v>478</v>
      </c>
      <c r="C132" s="7" t="s">
        <v>23038</v>
      </c>
      <c r="D132" s="37" t="s">
        <v>23039</v>
      </c>
    </row>
    <row r="133">
      <c r="A133" s="37" t="s">
        <v>491</v>
      </c>
      <c r="B133" s="37" t="s">
        <v>478</v>
      </c>
      <c r="C133" s="7" t="s">
        <v>23040</v>
      </c>
      <c r="D133" s="37" t="s">
        <v>23041</v>
      </c>
    </row>
    <row r="134">
      <c r="A134" s="37" t="s">
        <v>97</v>
      </c>
      <c r="B134" s="37" t="s">
        <v>603</v>
      </c>
      <c r="C134" s="7" t="s">
        <v>23042</v>
      </c>
      <c r="D134" s="37" t="s">
        <v>23043</v>
      </c>
    </row>
    <row r="135">
      <c r="A135" s="37" t="s">
        <v>1148</v>
      </c>
      <c r="B135" s="37" t="s">
        <v>323</v>
      </c>
      <c r="C135" s="7" t="s">
        <v>23044</v>
      </c>
      <c r="D135" s="37" t="s">
        <v>23045</v>
      </c>
    </row>
    <row r="136">
      <c r="A136" s="37" t="s">
        <v>23</v>
      </c>
      <c r="B136" s="37" t="s">
        <v>22</v>
      </c>
      <c r="C136" s="7" t="s">
        <v>23046</v>
      </c>
      <c r="D136" s="37" t="s">
        <v>23047</v>
      </c>
    </row>
    <row r="137">
      <c r="A137" s="37" t="s">
        <v>1238</v>
      </c>
      <c r="B137" s="37" t="s">
        <v>440</v>
      </c>
      <c r="C137" s="7" t="s">
        <v>23048</v>
      </c>
      <c r="D137" s="37" t="s">
        <v>23049</v>
      </c>
    </row>
    <row r="138">
      <c r="A138" s="37" t="s">
        <v>16</v>
      </c>
      <c r="B138" s="37" t="s">
        <v>15</v>
      </c>
      <c r="C138" s="7" t="s">
        <v>23050</v>
      </c>
      <c r="D138" s="37" t="s">
        <v>23051</v>
      </c>
    </row>
    <row r="139">
      <c r="A139" s="37" t="s">
        <v>16</v>
      </c>
      <c r="B139" s="37" t="s">
        <v>15</v>
      </c>
      <c r="C139" s="7" t="s">
        <v>23052</v>
      </c>
      <c r="D139" s="37" t="s">
        <v>23053</v>
      </c>
    </row>
    <row r="140">
      <c r="A140" s="37" t="s">
        <v>703</v>
      </c>
      <c r="B140" s="37" t="s">
        <v>693</v>
      </c>
      <c r="C140" s="7" t="s">
        <v>23054</v>
      </c>
      <c r="D140" s="37" t="s">
        <v>23055</v>
      </c>
    </row>
    <row r="141">
      <c r="A141" s="37" t="s">
        <v>1495</v>
      </c>
      <c r="B141" s="37" t="s">
        <v>22880</v>
      </c>
      <c r="C141" s="7" t="s">
        <v>23056</v>
      </c>
      <c r="D141" s="37" t="s">
        <v>23057</v>
      </c>
    </row>
    <row r="142">
      <c r="A142" s="37" t="s">
        <v>225</v>
      </c>
      <c r="B142" s="37" t="s">
        <v>216</v>
      </c>
      <c r="C142" s="7" t="s">
        <v>23058</v>
      </c>
      <c r="D142" s="37" t="s">
        <v>23059</v>
      </c>
    </row>
    <row r="143">
      <c r="A143" s="37" t="s">
        <v>487</v>
      </c>
      <c r="B143" s="37" t="s">
        <v>478</v>
      </c>
      <c r="C143" s="7" t="s">
        <v>23060</v>
      </c>
      <c r="D143" s="37" t="s">
        <v>23061</v>
      </c>
    </row>
    <row r="144">
      <c r="A144" s="37" t="s">
        <v>289</v>
      </c>
      <c r="B144" s="37" t="s">
        <v>281</v>
      </c>
      <c r="C144" s="7" t="s">
        <v>18522</v>
      </c>
      <c r="D144" s="37" t="s">
        <v>23062</v>
      </c>
    </row>
    <row r="145">
      <c r="A145" s="37" t="s">
        <v>626</v>
      </c>
      <c r="B145" s="37" t="s">
        <v>625</v>
      </c>
      <c r="C145" s="7" t="s">
        <v>23063</v>
      </c>
      <c r="D145" s="37" t="s">
        <v>23064</v>
      </c>
    </row>
    <row r="146">
      <c r="A146" s="37" t="s">
        <v>90</v>
      </c>
      <c r="B146" s="37" t="s">
        <v>89</v>
      </c>
      <c r="C146" s="7" t="s">
        <v>23065</v>
      </c>
      <c r="D146" s="37" t="s">
        <v>23066</v>
      </c>
    </row>
    <row r="147">
      <c r="A147" s="37" t="s">
        <v>328</v>
      </c>
      <c r="B147" s="37" t="s">
        <v>323</v>
      </c>
      <c r="C147" s="7" t="s">
        <v>23067</v>
      </c>
      <c r="D147" s="37" t="s">
        <v>23068</v>
      </c>
    </row>
    <row r="148">
      <c r="A148" s="37" t="s">
        <v>51</v>
      </c>
      <c r="B148" s="37" t="s">
        <v>38</v>
      </c>
      <c r="C148" s="7" t="s">
        <v>23069</v>
      </c>
      <c r="D148" s="37" t="s">
        <v>23070</v>
      </c>
    </row>
    <row r="149">
      <c r="A149" s="37" t="s">
        <v>9</v>
      </c>
      <c r="B149" s="37" t="s">
        <v>3</v>
      </c>
      <c r="C149" s="7" t="s">
        <v>23071</v>
      </c>
      <c r="D149" s="37" t="s">
        <v>23072</v>
      </c>
    </row>
    <row r="150">
      <c r="A150" s="37" t="s">
        <v>1495</v>
      </c>
      <c r="B150" s="37" t="s">
        <v>22801</v>
      </c>
      <c r="C150" s="7" t="s">
        <v>23073</v>
      </c>
      <c r="D150" s="37" t="s">
        <v>23074</v>
      </c>
    </row>
    <row r="151">
      <c r="A151" s="37" t="s">
        <v>331</v>
      </c>
      <c r="B151" s="37" t="s">
        <v>323</v>
      </c>
      <c r="C151" s="7" t="s">
        <v>23075</v>
      </c>
      <c r="D151" s="37" t="s">
        <v>23076</v>
      </c>
    </row>
    <row r="152">
      <c r="A152" s="37" t="s">
        <v>118</v>
      </c>
      <c r="B152" s="37" t="s">
        <v>115</v>
      </c>
      <c r="C152" s="7" t="s">
        <v>23077</v>
      </c>
      <c r="D152" s="37" t="s">
        <v>23078</v>
      </c>
    </row>
    <row r="153">
      <c r="A153" s="37" t="s">
        <v>696</v>
      </c>
      <c r="B153" s="37" t="s">
        <v>693</v>
      </c>
      <c r="C153" s="7" t="s">
        <v>23079</v>
      </c>
      <c r="D153" s="37" t="s">
        <v>23080</v>
      </c>
    </row>
    <row r="154">
      <c r="A154" s="37" t="s">
        <v>725</v>
      </c>
      <c r="B154" s="37" t="s">
        <v>717</v>
      </c>
      <c r="C154" s="7" t="s">
        <v>23081</v>
      </c>
      <c r="D154" s="37" t="s">
        <v>23082</v>
      </c>
    </row>
    <row r="155">
      <c r="A155" s="37" t="s">
        <v>508</v>
      </c>
      <c r="B155" s="37" t="s">
        <v>478</v>
      </c>
      <c r="C155" s="7" t="s">
        <v>23083</v>
      </c>
      <c r="D155" s="37" t="s">
        <v>23084</v>
      </c>
    </row>
    <row r="156">
      <c r="A156" s="37" t="s">
        <v>484</v>
      </c>
      <c r="B156" s="37" t="s">
        <v>478</v>
      </c>
      <c r="C156" s="7" t="s">
        <v>23085</v>
      </c>
      <c r="D156" s="37" t="s">
        <v>23086</v>
      </c>
    </row>
    <row r="157">
      <c r="A157" s="37" t="s">
        <v>644</v>
      </c>
      <c r="B157" s="37" t="s">
        <v>1433</v>
      </c>
      <c r="C157" s="7" t="s">
        <v>23087</v>
      </c>
      <c r="D157" s="37" t="s">
        <v>23088</v>
      </c>
    </row>
    <row r="158">
      <c r="A158" s="37" t="s">
        <v>1495</v>
      </c>
      <c r="B158" s="37" t="s">
        <v>22880</v>
      </c>
      <c r="C158" s="7" t="s">
        <v>23089</v>
      </c>
      <c r="D158" s="37" t="s">
        <v>23090</v>
      </c>
    </row>
    <row r="159">
      <c r="A159" s="37" t="s">
        <v>1495</v>
      </c>
      <c r="B159" s="37" t="s">
        <v>23091</v>
      </c>
      <c r="C159" s="7" t="s">
        <v>23092</v>
      </c>
      <c r="D159" s="37" t="s">
        <v>23093</v>
      </c>
    </row>
    <row r="160">
      <c r="A160" s="37" t="s">
        <v>51</v>
      </c>
      <c r="B160" s="37" t="s">
        <v>38</v>
      </c>
      <c r="C160" s="7" t="s">
        <v>23094</v>
      </c>
      <c r="D160" s="37" t="s">
        <v>23095</v>
      </c>
    </row>
    <row r="161">
      <c r="A161" s="37" t="s">
        <v>51</v>
      </c>
      <c r="B161" s="37" t="s">
        <v>1242</v>
      </c>
      <c r="C161" s="7" t="s">
        <v>23096</v>
      </c>
      <c r="D161" s="37" t="s">
        <v>23097</v>
      </c>
    </row>
    <row r="162">
      <c r="A162" s="37" t="s">
        <v>74</v>
      </c>
      <c r="B162" s="37" t="s">
        <v>587</v>
      </c>
      <c r="C162" s="7" t="s">
        <v>23098</v>
      </c>
      <c r="D162" s="37" t="s">
        <v>23099</v>
      </c>
    </row>
    <row r="163">
      <c r="A163" s="37" t="s">
        <v>148</v>
      </c>
      <c r="B163" s="37" t="s">
        <v>23100</v>
      </c>
      <c r="C163" s="7" t="s">
        <v>23101</v>
      </c>
      <c r="D163" s="37" t="s">
        <v>23102</v>
      </c>
    </row>
    <row r="164">
      <c r="A164" s="37" t="s">
        <v>399</v>
      </c>
      <c r="B164" s="37" t="s">
        <v>391</v>
      </c>
      <c r="C164" s="7" t="s">
        <v>23103</v>
      </c>
      <c r="D164" s="37" t="s">
        <v>23104</v>
      </c>
    </row>
    <row r="165">
      <c r="A165" s="37" t="s">
        <v>824</v>
      </c>
      <c r="B165" s="37" t="s">
        <v>323</v>
      </c>
      <c r="C165" s="7" t="s">
        <v>23105</v>
      </c>
      <c r="D165" s="37" t="s">
        <v>23106</v>
      </c>
    </row>
    <row r="166">
      <c r="A166" s="37" t="s">
        <v>238</v>
      </c>
      <c r="B166" s="37" t="s">
        <v>216</v>
      </c>
      <c r="C166" s="7" t="s">
        <v>23107</v>
      </c>
      <c r="D166" s="37" t="s">
        <v>23108</v>
      </c>
    </row>
    <row r="167">
      <c r="A167" s="37" t="s">
        <v>238</v>
      </c>
      <c r="B167" s="37" t="s">
        <v>216</v>
      </c>
      <c r="C167" s="7" t="s">
        <v>23109</v>
      </c>
      <c r="D167" s="37" t="s">
        <v>23110</v>
      </c>
    </row>
    <row r="168">
      <c r="A168" s="37" t="s">
        <v>720</v>
      </c>
      <c r="B168" s="37" t="s">
        <v>717</v>
      </c>
      <c r="C168" s="7" t="s">
        <v>23111</v>
      </c>
      <c r="D168" s="37" t="s">
        <v>23112</v>
      </c>
    </row>
    <row r="169">
      <c r="A169" s="37" t="s">
        <v>4</v>
      </c>
      <c r="B169" s="37" t="s">
        <v>3</v>
      </c>
      <c r="C169" s="7" t="s">
        <v>23113</v>
      </c>
      <c r="D169" s="37" t="s">
        <v>23114</v>
      </c>
    </row>
    <row r="170">
      <c r="A170" s="37" t="s">
        <v>1284</v>
      </c>
      <c r="B170" s="37" t="s">
        <v>298</v>
      </c>
      <c r="C170" s="7" t="s">
        <v>23115</v>
      </c>
      <c r="D170" s="37" t="s">
        <v>23116</v>
      </c>
    </row>
    <row r="171">
      <c r="A171" s="37" t="s">
        <v>4</v>
      </c>
      <c r="B171" s="37" t="s">
        <v>3</v>
      </c>
      <c r="C171" s="7" t="s">
        <v>23113</v>
      </c>
      <c r="D171" s="37" t="s">
        <v>23117</v>
      </c>
    </row>
    <row r="172">
      <c r="A172" s="37" t="s">
        <v>217</v>
      </c>
      <c r="B172" s="37" t="s">
        <v>216</v>
      </c>
      <c r="C172" s="7" t="s">
        <v>23118</v>
      </c>
      <c r="D172" s="37" t="s">
        <v>23119</v>
      </c>
    </row>
    <row r="173">
      <c r="A173" s="37" t="s">
        <v>1495</v>
      </c>
      <c r="B173" s="37" t="s">
        <v>23091</v>
      </c>
      <c r="C173" s="7" t="s">
        <v>23120</v>
      </c>
      <c r="D173" s="37" t="s">
        <v>23121</v>
      </c>
    </row>
    <row r="174">
      <c r="A174" s="37" t="s">
        <v>824</v>
      </c>
      <c r="B174" s="37" t="s">
        <v>323</v>
      </c>
      <c r="C174" s="7" t="s">
        <v>23122</v>
      </c>
      <c r="D174" s="37" t="s">
        <v>23123</v>
      </c>
    </row>
    <row r="175">
      <c r="A175" s="37" t="s">
        <v>824</v>
      </c>
      <c r="B175" s="37" t="s">
        <v>323</v>
      </c>
      <c r="C175" s="7" t="s">
        <v>23124</v>
      </c>
      <c r="D175" s="37" t="s">
        <v>23125</v>
      </c>
    </row>
    <row r="176">
      <c r="A176" s="37" t="s">
        <v>1495</v>
      </c>
      <c r="B176" s="37" t="s">
        <v>22913</v>
      </c>
      <c r="C176" s="7" t="s">
        <v>23126</v>
      </c>
      <c r="D176" s="37" t="s">
        <v>23127</v>
      </c>
    </row>
    <row r="177">
      <c r="A177" s="37" t="s">
        <v>141</v>
      </c>
      <c r="B177" s="37" t="s">
        <v>140</v>
      </c>
      <c r="C177" s="7" t="s">
        <v>23128</v>
      </c>
      <c r="D177" s="37" t="s">
        <v>23129</v>
      </c>
    </row>
    <row r="178">
      <c r="A178" s="37" t="s">
        <v>219</v>
      </c>
      <c r="B178" s="37" t="s">
        <v>216</v>
      </c>
      <c r="C178" s="7" t="s">
        <v>23130</v>
      </c>
      <c r="D178" s="37" t="s">
        <v>23131</v>
      </c>
    </row>
    <row r="179">
      <c r="A179" s="37" t="s">
        <v>219</v>
      </c>
      <c r="B179" s="37" t="s">
        <v>216</v>
      </c>
      <c r="C179" s="7" t="s">
        <v>23132</v>
      </c>
      <c r="D179" s="37" t="s">
        <v>23133</v>
      </c>
    </row>
    <row r="180">
      <c r="A180" s="37" t="s">
        <v>219</v>
      </c>
      <c r="B180" s="37" t="s">
        <v>216</v>
      </c>
      <c r="C180" s="7" t="s">
        <v>23134</v>
      </c>
      <c r="D180" s="37" t="s">
        <v>23135</v>
      </c>
    </row>
    <row r="181">
      <c r="A181" s="37" t="s">
        <v>219</v>
      </c>
      <c r="B181" s="37" t="s">
        <v>216</v>
      </c>
      <c r="C181" s="7" t="s">
        <v>23136</v>
      </c>
      <c r="D181" s="37" t="s">
        <v>23137</v>
      </c>
    </row>
    <row r="182">
      <c r="A182" s="37" t="s">
        <v>219</v>
      </c>
      <c r="B182" s="37" t="s">
        <v>216</v>
      </c>
      <c r="C182" s="7" t="s">
        <v>23138</v>
      </c>
      <c r="D182" s="37" t="s">
        <v>23139</v>
      </c>
    </row>
    <row r="183">
      <c r="A183" s="37" t="s">
        <v>23140</v>
      </c>
      <c r="B183" s="37" t="s">
        <v>298</v>
      </c>
      <c r="C183" s="7" t="s">
        <v>23141</v>
      </c>
      <c r="D183" s="37" t="s">
        <v>23142</v>
      </c>
    </row>
    <row r="184">
      <c r="A184" s="37" t="s">
        <v>221</v>
      </c>
      <c r="B184" s="37" t="s">
        <v>216</v>
      </c>
      <c r="C184" s="7" t="s">
        <v>18526</v>
      </c>
      <c r="D184" s="37" t="s">
        <v>23143</v>
      </c>
    </row>
    <row r="185">
      <c r="A185" s="37" t="s">
        <v>443</v>
      </c>
      <c r="B185" s="37" t="s">
        <v>440</v>
      </c>
      <c r="C185" s="7" t="s">
        <v>23144</v>
      </c>
      <c r="D185" s="37" t="s">
        <v>23145</v>
      </c>
    </row>
    <row r="186">
      <c r="A186" s="37" t="s">
        <v>289</v>
      </c>
      <c r="B186" s="37" t="s">
        <v>281</v>
      </c>
      <c r="C186" s="7" t="s">
        <v>23146</v>
      </c>
      <c r="D186" s="37" t="s">
        <v>23147</v>
      </c>
    </row>
    <row r="187">
      <c r="A187" s="37" t="s">
        <v>289</v>
      </c>
      <c r="B187" s="37" t="s">
        <v>281</v>
      </c>
      <c r="C187" s="7" t="s">
        <v>23148</v>
      </c>
      <c r="D187" s="37" t="s">
        <v>23149</v>
      </c>
    </row>
    <row r="188">
      <c r="A188" s="37" t="s">
        <v>148</v>
      </c>
      <c r="B188" s="37" t="s">
        <v>648</v>
      </c>
      <c r="C188" s="7" t="s">
        <v>23150</v>
      </c>
      <c r="D188" s="37" t="s">
        <v>23151</v>
      </c>
    </row>
    <row r="189">
      <c r="A189" s="37" t="s">
        <v>251</v>
      </c>
      <c r="B189" s="37" t="s">
        <v>717</v>
      </c>
      <c r="C189" s="7" t="s">
        <v>23152</v>
      </c>
      <c r="D189" s="37" t="s">
        <v>23153</v>
      </c>
    </row>
    <row r="190">
      <c r="A190" s="37" t="s">
        <v>238</v>
      </c>
      <c r="B190" s="37" t="s">
        <v>216</v>
      </c>
      <c r="C190" s="7" t="s">
        <v>1834</v>
      </c>
      <c r="D190" s="37" t="s">
        <v>23154</v>
      </c>
    </row>
    <row r="191">
      <c r="A191" s="37" t="s">
        <v>238</v>
      </c>
      <c r="B191" s="37" t="s">
        <v>216</v>
      </c>
      <c r="C191" s="7" t="s">
        <v>1834</v>
      </c>
      <c r="D191" s="37" t="s">
        <v>23155</v>
      </c>
    </row>
    <row r="192">
      <c r="A192" s="37" t="s">
        <v>23156</v>
      </c>
      <c r="B192" s="37" t="s">
        <v>23157</v>
      </c>
      <c r="C192" s="7" t="s">
        <v>23158</v>
      </c>
      <c r="D192" s="37" t="s">
        <v>23159</v>
      </c>
    </row>
    <row r="193">
      <c r="A193" s="37" t="s">
        <v>23156</v>
      </c>
      <c r="B193" s="37" t="s">
        <v>23157</v>
      </c>
      <c r="C193" s="7" t="s">
        <v>23160</v>
      </c>
      <c r="D193" s="37" t="s">
        <v>23161</v>
      </c>
    </row>
    <row r="194">
      <c r="A194" s="37" t="s">
        <v>720</v>
      </c>
      <c r="B194" s="37" t="s">
        <v>717</v>
      </c>
      <c r="C194" s="7" t="s">
        <v>23162</v>
      </c>
      <c r="D194" s="37" t="s">
        <v>23163</v>
      </c>
    </row>
    <row r="195">
      <c r="A195" s="37" t="s">
        <v>798</v>
      </c>
      <c r="B195" s="37" t="s">
        <v>298</v>
      </c>
      <c r="C195" s="7" t="s">
        <v>23164</v>
      </c>
      <c r="D195" s="37" t="s">
        <v>23165</v>
      </c>
    </row>
    <row r="196">
      <c r="A196" s="37" t="s">
        <v>798</v>
      </c>
      <c r="B196" s="37" t="s">
        <v>298</v>
      </c>
      <c r="C196" s="7" t="s">
        <v>23166</v>
      </c>
      <c r="D196" s="37" t="s">
        <v>23167</v>
      </c>
    </row>
    <row r="197">
      <c r="A197" s="37" t="s">
        <v>51</v>
      </c>
      <c r="B197" s="37" t="s">
        <v>1242</v>
      </c>
      <c r="C197" s="7" t="s">
        <v>23168</v>
      </c>
      <c r="D197" s="37" t="s">
        <v>23169</v>
      </c>
    </row>
    <row r="198">
      <c r="A198" s="37" t="s">
        <v>51</v>
      </c>
      <c r="B198" s="37" t="s">
        <v>1242</v>
      </c>
      <c r="C198" s="7" t="s">
        <v>23170</v>
      </c>
      <c r="D198" s="37" t="s">
        <v>23171</v>
      </c>
    </row>
    <row r="199">
      <c r="A199" s="37" t="s">
        <v>23172</v>
      </c>
      <c r="B199" s="37" t="s">
        <v>23173</v>
      </c>
      <c r="C199" s="7" t="s">
        <v>23174</v>
      </c>
      <c r="D199" s="37" t="s">
        <v>23175</v>
      </c>
    </row>
    <row r="200">
      <c r="A200" s="37" t="s">
        <v>104</v>
      </c>
      <c r="B200" s="37" t="s">
        <v>613</v>
      </c>
      <c r="C200" s="7" t="s">
        <v>23176</v>
      </c>
      <c r="D200" s="37" t="s">
        <v>23177</v>
      </c>
    </row>
    <row r="201">
      <c r="A201" s="37" t="s">
        <v>23178</v>
      </c>
      <c r="B201" s="37" t="s">
        <v>23173</v>
      </c>
      <c r="C201" s="7" t="s">
        <v>23179</v>
      </c>
      <c r="D201" s="37" t="s">
        <v>23180</v>
      </c>
    </row>
    <row r="202">
      <c r="A202" s="37" t="s">
        <v>104</v>
      </c>
      <c r="B202" s="37" t="s">
        <v>613</v>
      </c>
      <c r="C202" s="7" t="s">
        <v>23181</v>
      </c>
      <c r="D202" s="37" t="s">
        <v>23182</v>
      </c>
    </row>
    <row r="203">
      <c r="A203" s="37" t="s">
        <v>23183</v>
      </c>
      <c r="B203" s="37" t="s">
        <v>216</v>
      </c>
      <c r="C203" s="7" t="s">
        <v>23184</v>
      </c>
      <c r="D203" s="37" t="s">
        <v>23185</v>
      </c>
    </row>
    <row r="204">
      <c r="A204" s="37" t="s">
        <v>1495</v>
      </c>
      <c r="B204" s="37" t="s">
        <v>1495</v>
      </c>
      <c r="C204" s="7" t="s">
        <v>23186</v>
      </c>
      <c r="D204" s="37" t="s">
        <v>23187</v>
      </c>
    </row>
    <row r="205">
      <c r="A205" s="37" t="s">
        <v>399</v>
      </c>
      <c r="B205" s="37" t="s">
        <v>391</v>
      </c>
      <c r="C205" s="7" t="s">
        <v>23188</v>
      </c>
      <c r="D205" s="37" t="s">
        <v>23189</v>
      </c>
    </row>
    <row r="206">
      <c r="A206" s="37" t="s">
        <v>392</v>
      </c>
      <c r="B206" s="37" t="s">
        <v>391</v>
      </c>
      <c r="C206" s="7" t="s">
        <v>23190</v>
      </c>
      <c r="D206" s="37" t="s">
        <v>23191</v>
      </c>
    </row>
    <row r="207">
      <c r="A207" s="37" t="s">
        <v>392</v>
      </c>
      <c r="B207" s="37" t="s">
        <v>391</v>
      </c>
      <c r="C207" s="7" t="s">
        <v>23192</v>
      </c>
      <c r="D207" s="37" t="s">
        <v>23193</v>
      </c>
    </row>
    <row r="208">
      <c r="A208" s="37" t="s">
        <v>148</v>
      </c>
      <c r="B208" s="37" t="s">
        <v>648</v>
      </c>
      <c r="C208" s="7" t="s">
        <v>23194</v>
      </c>
      <c r="D208" s="37" t="s">
        <v>23195</v>
      </c>
    </row>
    <row r="209">
      <c r="A209" s="37" t="s">
        <v>1495</v>
      </c>
      <c r="B209" s="37" t="s">
        <v>180</v>
      </c>
      <c r="C209" s="7" t="s">
        <v>23196</v>
      </c>
      <c r="D209" s="37" t="s">
        <v>23197</v>
      </c>
    </row>
    <row r="210">
      <c r="A210" s="37" t="s">
        <v>74</v>
      </c>
      <c r="B210" s="37" t="s">
        <v>587</v>
      </c>
      <c r="C210" s="7" t="s">
        <v>23198</v>
      </c>
      <c r="D210" s="37" t="s">
        <v>23199</v>
      </c>
    </row>
    <row r="211">
      <c r="A211" s="37" t="s">
        <v>302</v>
      </c>
      <c r="B211" s="37" t="s">
        <v>298</v>
      </c>
      <c r="C211" s="7" t="s">
        <v>23200</v>
      </c>
      <c r="D211" s="37" t="s">
        <v>23201</v>
      </c>
    </row>
    <row r="212">
      <c r="A212" s="37" t="s">
        <v>23202</v>
      </c>
      <c r="B212" s="37" t="s">
        <v>23203</v>
      </c>
      <c r="C212" s="7" t="s">
        <v>23204</v>
      </c>
      <c r="D212" s="37" t="s">
        <v>23205</v>
      </c>
    </row>
    <row r="213">
      <c r="A213" s="37" t="s">
        <v>626</v>
      </c>
      <c r="B213" s="37" t="s">
        <v>625</v>
      </c>
      <c r="C213" s="7" t="s">
        <v>23206</v>
      </c>
      <c r="D213" s="37" t="s">
        <v>23207</v>
      </c>
    </row>
    <row r="214">
      <c r="A214" s="37" t="s">
        <v>491</v>
      </c>
      <c r="B214" s="37" t="s">
        <v>478</v>
      </c>
      <c r="C214" s="7" t="s">
        <v>23208</v>
      </c>
      <c r="D214" s="37" t="s">
        <v>23209</v>
      </c>
    </row>
    <row r="215">
      <c r="A215" s="37" t="s">
        <v>857</v>
      </c>
      <c r="B215" s="37" t="s">
        <v>23210</v>
      </c>
      <c r="C215" s="7" t="s">
        <v>23211</v>
      </c>
      <c r="D215" s="37" t="s">
        <v>23212</v>
      </c>
    </row>
    <row r="216">
      <c r="A216" s="37" t="s">
        <v>324</v>
      </c>
      <c r="B216" s="37" t="s">
        <v>323</v>
      </c>
      <c r="C216" s="7" t="s">
        <v>23213</v>
      </c>
      <c r="D216" s="37" t="s">
        <v>23214</v>
      </c>
    </row>
    <row r="217">
      <c r="A217" s="37" t="s">
        <v>1495</v>
      </c>
      <c r="B217" s="37" t="s">
        <v>180</v>
      </c>
      <c r="C217" s="7" t="s">
        <v>23215</v>
      </c>
      <c r="D217" s="37" t="s">
        <v>23216</v>
      </c>
    </row>
    <row r="218">
      <c r="A218" s="37" t="s">
        <v>74</v>
      </c>
      <c r="B218" s="37" t="s">
        <v>71</v>
      </c>
      <c r="C218" s="7" t="s">
        <v>23217</v>
      </c>
      <c r="D218" s="37" t="s">
        <v>23218</v>
      </c>
    </row>
    <row r="219">
      <c r="A219" s="37" t="s">
        <v>141</v>
      </c>
      <c r="B219" s="37" t="s">
        <v>648</v>
      </c>
      <c r="C219" s="7" t="s">
        <v>23219</v>
      </c>
      <c r="D219" s="37" t="s">
        <v>23220</v>
      </c>
    </row>
    <row r="220">
      <c r="A220" s="37" t="s">
        <v>644</v>
      </c>
      <c r="B220" s="37" t="s">
        <v>23221</v>
      </c>
      <c r="C220" s="7" t="s">
        <v>23222</v>
      </c>
      <c r="D220" s="37" t="s">
        <v>23223</v>
      </c>
    </row>
    <row r="221">
      <c r="A221" s="37" t="s">
        <v>39</v>
      </c>
      <c r="B221" s="37" t="s">
        <v>1242</v>
      </c>
      <c r="C221" s="7" t="s">
        <v>23224</v>
      </c>
      <c r="D221" s="37" t="s">
        <v>23225</v>
      </c>
    </row>
    <row r="222">
      <c r="A222" s="37" t="s">
        <v>23226</v>
      </c>
      <c r="B222" s="37" t="s">
        <v>23227</v>
      </c>
      <c r="C222" s="7" t="s">
        <v>23228</v>
      </c>
      <c r="D222" s="37" t="s">
        <v>23229</v>
      </c>
    </row>
    <row r="223">
      <c r="A223" s="37" t="s">
        <v>508</v>
      </c>
      <c r="B223" s="37" t="s">
        <v>478</v>
      </c>
      <c r="C223" s="7" t="s">
        <v>23230</v>
      </c>
      <c r="D223" s="37" t="s">
        <v>23231</v>
      </c>
    </row>
    <row r="224">
      <c r="A224" s="37" t="s">
        <v>508</v>
      </c>
      <c r="B224" s="37" t="s">
        <v>478</v>
      </c>
      <c r="C224" s="7" t="s">
        <v>23232</v>
      </c>
      <c r="D224" s="37" t="s">
        <v>23233</v>
      </c>
    </row>
    <row r="225">
      <c r="A225" s="37" t="s">
        <v>217</v>
      </c>
      <c r="B225" s="37" t="s">
        <v>216</v>
      </c>
      <c r="C225" s="7" t="s">
        <v>23234</v>
      </c>
      <c r="D225" s="37" t="s">
        <v>23235</v>
      </c>
    </row>
    <row r="226">
      <c r="A226" s="37" t="s">
        <v>546</v>
      </c>
      <c r="B226" s="37" t="s">
        <v>22</v>
      </c>
      <c r="C226" s="7" t="s">
        <v>23236</v>
      </c>
      <c r="D226" s="37" t="s">
        <v>23237</v>
      </c>
    </row>
    <row r="227">
      <c r="A227" s="37" t="s">
        <v>116</v>
      </c>
      <c r="B227" s="37" t="s">
        <v>115</v>
      </c>
      <c r="C227" s="7" t="s">
        <v>23238</v>
      </c>
      <c r="D227" s="37" t="s">
        <v>23239</v>
      </c>
    </row>
    <row r="228">
      <c r="A228" s="37" t="s">
        <v>399</v>
      </c>
      <c r="B228" s="37" t="s">
        <v>391</v>
      </c>
      <c r="C228" s="7" t="s">
        <v>23240</v>
      </c>
      <c r="D228" s="37" t="s">
        <v>23241</v>
      </c>
    </row>
    <row r="229">
      <c r="A229" s="37" t="s">
        <v>1495</v>
      </c>
      <c r="B229" s="37" t="s">
        <v>180</v>
      </c>
      <c r="C229" s="7" t="s">
        <v>23242</v>
      </c>
      <c r="D229" s="37" t="s">
        <v>23243</v>
      </c>
    </row>
    <row r="230">
      <c r="A230" s="37" t="s">
        <v>864</v>
      </c>
      <c r="B230" s="37" t="s">
        <v>854</v>
      </c>
      <c r="C230" s="7" t="s">
        <v>23244</v>
      </c>
      <c r="D230" s="37" t="s">
        <v>23245</v>
      </c>
    </row>
    <row r="231">
      <c r="A231" s="37" t="s">
        <v>1495</v>
      </c>
      <c r="B231" s="37" t="s">
        <v>1495</v>
      </c>
      <c r="C231" s="7" t="s">
        <v>23246</v>
      </c>
      <c r="D231" s="37" t="s">
        <v>23247</v>
      </c>
    </row>
    <row r="232">
      <c r="A232" s="37" t="s">
        <v>1495</v>
      </c>
      <c r="B232" s="37" t="s">
        <v>1495</v>
      </c>
      <c r="C232" s="7" t="s">
        <v>23248</v>
      </c>
      <c r="D232" s="37" t="s">
        <v>23249</v>
      </c>
    </row>
    <row r="233">
      <c r="A233" s="37" t="s">
        <v>698</v>
      </c>
      <c r="B233" s="37" t="s">
        <v>693</v>
      </c>
      <c r="C233" s="7" t="s">
        <v>23250</v>
      </c>
      <c r="D233" s="37" t="s">
        <v>23251</v>
      </c>
    </row>
    <row r="234">
      <c r="A234" s="37" t="s">
        <v>221</v>
      </c>
      <c r="B234" s="37" t="s">
        <v>216</v>
      </c>
      <c r="C234" s="7" t="s">
        <v>23252</v>
      </c>
      <c r="D234" s="37" t="s">
        <v>23253</v>
      </c>
    </row>
    <row r="235">
      <c r="A235" s="37" t="s">
        <v>217</v>
      </c>
      <c r="B235" s="37" t="s">
        <v>216</v>
      </c>
      <c r="C235" s="7" t="s">
        <v>23254</v>
      </c>
      <c r="D235" s="37" t="s">
        <v>23255</v>
      </c>
    </row>
    <row r="236">
      <c r="A236" s="37" t="s">
        <v>16</v>
      </c>
      <c r="B236" s="37" t="s">
        <v>15</v>
      </c>
      <c r="C236" s="7" t="s">
        <v>23256</v>
      </c>
      <c r="D236" s="37" t="s">
        <v>23257</v>
      </c>
    </row>
    <row r="237">
      <c r="A237" s="37" t="s">
        <v>188</v>
      </c>
      <c r="B237" s="37" t="s">
        <v>19475</v>
      </c>
      <c r="C237" s="7" t="s">
        <v>23258</v>
      </c>
      <c r="D237" s="37" t="s">
        <v>23259</v>
      </c>
    </row>
    <row r="238">
      <c r="A238" s="37" t="s">
        <v>644</v>
      </c>
      <c r="B238" s="37" t="s">
        <v>1495</v>
      </c>
      <c r="C238" s="7" t="s">
        <v>23260</v>
      </c>
      <c r="D238" s="37" t="s">
        <v>23261</v>
      </c>
    </row>
    <row r="239">
      <c r="A239" s="37" t="s">
        <v>487</v>
      </c>
      <c r="B239" s="37" t="s">
        <v>478</v>
      </c>
      <c r="C239" s="7" t="s">
        <v>23262</v>
      </c>
      <c r="D239" s="37" t="s">
        <v>23263</v>
      </c>
    </row>
    <row r="240">
      <c r="A240" s="37" t="s">
        <v>223</v>
      </c>
      <c r="B240" s="37" t="s">
        <v>717</v>
      </c>
      <c r="C240" s="7" t="s">
        <v>23264</v>
      </c>
      <c r="D240" s="37" t="s">
        <v>23265</v>
      </c>
    </row>
    <row r="241">
      <c r="A241" s="37" t="s">
        <v>217</v>
      </c>
      <c r="B241" s="37" t="s">
        <v>216</v>
      </c>
      <c r="C241" s="7" t="s">
        <v>23266</v>
      </c>
      <c r="D241" s="37" t="s">
        <v>23267</v>
      </c>
    </row>
    <row r="242">
      <c r="A242" s="37" t="s">
        <v>74</v>
      </c>
      <c r="B242" s="37" t="s">
        <v>587</v>
      </c>
      <c r="C242" s="7" t="s">
        <v>23268</v>
      </c>
      <c r="D242" s="37" t="s">
        <v>23269</v>
      </c>
    </row>
    <row r="243">
      <c r="A243" s="37" t="s">
        <v>720</v>
      </c>
      <c r="B243" s="37" t="s">
        <v>717</v>
      </c>
      <c r="C243" s="7" t="s">
        <v>23270</v>
      </c>
      <c r="D243" s="37" t="s">
        <v>23271</v>
      </c>
    </row>
    <row r="244">
      <c r="A244" s="37" t="s">
        <v>1495</v>
      </c>
      <c r="B244" s="37" t="s">
        <v>391</v>
      </c>
      <c r="C244" s="7" t="s">
        <v>23272</v>
      </c>
      <c r="D244" s="37" t="s">
        <v>23273</v>
      </c>
    </row>
    <row r="245">
      <c r="A245" s="37" t="s">
        <v>443</v>
      </c>
      <c r="B245" s="37" t="s">
        <v>440</v>
      </c>
      <c r="C245" s="7" t="s">
        <v>23274</v>
      </c>
      <c r="D245" s="37" t="s">
        <v>23275</v>
      </c>
    </row>
    <row r="246">
      <c r="A246" s="37" t="s">
        <v>299</v>
      </c>
      <c r="B246" s="37" t="s">
        <v>298</v>
      </c>
      <c r="C246" s="7" t="s">
        <v>23276</v>
      </c>
      <c r="D246" s="37" t="s">
        <v>23277</v>
      </c>
    </row>
    <row r="247">
      <c r="A247" s="37" t="s">
        <v>484</v>
      </c>
      <c r="B247" s="37" t="s">
        <v>478</v>
      </c>
      <c r="C247" s="7" t="s">
        <v>23278</v>
      </c>
      <c r="D247" s="37" t="s">
        <v>23279</v>
      </c>
    </row>
    <row r="248">
      <c r="A248" s="37" t="s">
        <v>441</v>
      </c>
      <c r="B248" s="37" t="s">
        <v>440</v>
      </c>
      <c r="C248" s="7" t="s">
        <v>23280</v>
      </c>
      <c r="D248" s="37" t="s">
        <v>23281</v>
      </c>
    </row>
    <row r="249">
      <c r="A249" s="37" t="s">
        <v>1495</v>
      </c>
      <c r="B249" s="37" t="s">
        <v>180</v>
      </c>
      <c r="C249" s="7" t="s">
        <v>23282</v>
      </c>
      <c r="D249" s="37" t="s">
        <v>23283</v>
      </c>
    </row>
    <row r="250">
      <c r="A250" s="37" t="s">
        <v>1495</v>
      </c>
      <c r="B250" s="37" t="s">
        <v>180</v>
      </c>
      <c r="C250" s="7" t="s">
        <v>23284</v>
      </c>
      <c r="D250" s="37" t="s">
        <v>23285</v>
      </c>
    </row>
    <row r="251">
      <c r="A251" s="37" t="s">
        <v>74</v>
      </c>
      <c r="B251" s="37" t="s">
        <v>587</v>
      </c>
      <c r="C251" s="7" t="s">
        <v>23286</v>
      </c>
      <c r="D251" s="37" t="s">
        <v>23287</v>
      </c>
    </row>
    <row r="252">
      <c r="A252" s="37" t="s">
        <v>626</v>
      </c>
      <c r="B252" s="37" t="s">
        <v>625</v>
      </c>
      <c r="C252" s="7" t="s">
        <v>23288</v>
      </c>
      <c r="D252" s="37" t="s">
        <v>23289</v>
      </c>
    </row>
    <row r="253">
      <c r="A253" s="37" t="s">
        <v>798</v>
      </c>
      <c r="B253" s="37" t="s">
        <v>298</v>
      </c>
      <c r="C253" s="7" t="s">
        <v>23290</v>
      </c>
      <c r="D253" s="37" t="s">
        <v>23291</v>
      </c>
    </row>
    <row r="254">
      <c r="A254" s="37" t="s">
        <v>399</v>
      </c>
      <c r="B254" s="37" t="s">
        <v>391</v>
      </c>
      <c r="C254" s="7" t="s">
        <v>23292</v>
      </c>
      <c r="D254" s="37" t="s">
        <v>23293</v>
      </c>
    </row>
    <row r="255">
      <c r="A255" s="37" t="s">
        <v>399</v>
      </c>
      <c r="B255" s="37" t="s">
        <v>391</v>
      </c>
      <c r="C255" s="7" t="s">
        <v>23294</v>
      </c>
      <c r="D255" s="37" t="s">
        <v>23295</v>
      </c>
    </row>
    <row r="256">
      <c r="A256" s="37" t="s">
        <v>696</v>
      </c>
      <c r="B256" s="37" t="s">
        <v>693</v>
      </c>
      <c r="C256" s="7" t="s">
        <v>23296</v>
      </c>
      <c r="D256" s="37" t="s">
        <v>23297</v>
      </c>
    </row>
    <row r="257">
      <c r="A257" s="37" t="s">
        <v>798</v>
      </c>
      <c r="B257" s="37" t="s">
        <v>298</v>
      </c>
      <c r="C257" s="7" t="s">
        <v>23298</v>
      </c>
      <c r="D257" s="37" t="s">
        <v>23299</v>
      </c>
    </row>
    <row r="258">
      <c r="A258" s="37" t="s">
        <v>696</v>
      </c>
      <c r="B258" s="37" t="s">
        <v>693</v>
      </c>
      <c r="C258" s="7" t="s">
        <v>23300</v>
      </c>
      <c r="D258" s="37" t="s">
        <v>23301</v>
      </c>
    </row>
    <row r="259">
      <c r="A259" s="37" t="s">
        <v>225</v>
      </c>
      <c r="B259" s="37" t="s">
        <v>216</v>
      </c>
      <c r="C259" s="7" t="s">
        <v>23302</v>
      </c>
      <c r="D259" s="37" t="s">
        <v>23303</v>
      </c>
    </row>
    <row r="260">
      <c r="A260" s="37" t="s">
        <v>436</v>
      </c>
      <c r="B260" s="37" t="s">
        <v>429</v>
      </c>
      <c r="C260" s="7" t="s">
        <v>23304</v>
      </c>
      <c r="D260" s="37" t="s">
        <v>23305</v>
      </c>
    </row>
    <row r="261">
      <c r="A261" s="37" t="s">
        <v>696</v>
      </c>
      <c r="B261" s="37" t="s">
        <v>693</v>
      </c>
      <c r="C261" s="7" t="s">
        <v>23306</v>
      </c>
      <c r="D261" s="37" t="s">
        <v>23307</v>
      </c>
    </row>
    <row r="262">
      <c r="A262" s="37" t="s">
        <v>284</v>
      </c>
      <c r="B262" s="37" t="s">
        <v>281</v>
      </c>
      <c r="C262" s="7" t="s">
        <v>23308</v>
      </c>
      <c r="D262" s="37" t="s">
        <v>23309</v>
      </c>
    </row>
    <row r="263">
      <c r="A263" s="37" t="s">
        <v>798</v>
      </c>
      <c r="B263" s="37" t="s">
        <v>298</v>
      </c>
      <c r="C263" s="7" t="s">
        <v>23310</v>
      </c>
      <c r="D263" s="37" t="s">
        <v>23311</v>
      </c>
    </row>
    <row r="264">
      <c r="A264" s="37" t="s">
        <v>798</v>
      </c>
      <c r="B264" s="37" t="s">
        <v>298</v>
      </c>
      <c r="C264" s="7" t="s">
        <v>23312</v>
      </c>
      <c r="D264" s="37" t="s">
        <v>23313</v>
      </c>
    </row>
    <row r="265">
      <c r="A265" s="37" t="s">
        <v>798</v>
      </c>
      <c r="B265" s="37" t="s">
        <v>298</v>
      </c>
      <c r="C265" s="7" t="s">
        <v>23314</v>
      </c>
      <c r="D265" s="37" t="s">
        <v>23315</v>
      </c>
    </row>
    <row r="266">
      <c r="A266" s="37" t="s">
        <v>798</v>
      </c>
      <c r="B266" s="37" t="s">
        <v>298</v>
      </c>
      <c r="C266" s="7" t="s">
        <v>23316</v>
      </c>
      <c r="D266" s="37" t="s">
        <v>23317</v>
      </c>
    </row>
    <row r="267">
      <c r="A267" s="37" t="s">
        <v>798</v>
      </c>
      <c r="B267" s="37" t="s">
        <v>298</v>
      </c>
      <c r="C267" s="7" t="s">
        <v>23318</v>
      </c>
      <c r="D267" s="37" t="s">
        <v>23319</v>
      </c>
    </row>
    <row r="268">
      <c r="A268" s="37" t="s">
        <v>798</v>
      </c>
      <c r="B268" s="37" t="s">
        <v>298</v>
      </c>
      <c r="C268" s="7" t="s">
        <v>23320</v>
      </c>
      <c r="D268" s="37" t="s">
        <v>23321</v>
      </c>
    </row>
    <row r="269">
      <c r="A269" s="37" t="s">
        <v>798</v>
      </c>
      <c r="B269" s="37" t="s">
        <v>298</v>
      </c>
      <c r="C269" s="7" t="s">
        <v>23322</v>
      </c>
      <c r="D269" s="37" t="s">
        <v>23323</v>
      </c>
    </row>
    <row r="270">
      <c r="A270" s="37" t="s">
        <v>798</v>
      </c>
      <c r="B270" s="37" t="s">
        <v>298</v>
      </c>
      <c r="C270" s="7" t="s">
        <v>23324</v>
      </c>
      <c r="D270" s="37" t="s">
        <v>23325</v>
      </c>
    </row>
    <row r="271">
      <c r="A271" s="37" t="s">
        <v>798</v>
      </c>
      <c r="B271" s="37" t="s">
        <v>298</v>
      </c>
      <c r="C271" s="7" t="s">
        <v>23326</v>
      </c>
      <c r="D271" s="37" t="s">
        <v>23327</v>
      </c>
    </row>
    <row r="272">
      <c r="A272" s="37" t="s">
        <v>798</v>
      </c>
      <c r="B272" s="37" t="s">
        <v>298</v>
      </c>
      <c r="C272" s="7" t="s">
        <v>23328</v>
      </c>
      <c r="D272" s="37" t="s">
        <v>23329</v>
      </c>
    </row>
    <row r="273">
      <c r="A273" s="37" t="s">
        <v>74</v>
      </c>
      <c r="B273" s="37" t="s">
        <v>71</v>
      </c>
      <c r="C273" s="7" t="s">
        <v>23330</v>
      </c>
      <c r="D273" s="37" t="s">
        <v>23331</v>
      </c>
    </row>
    <row r="274">
      <c r="A274" s="37" t="s">
        <v>824</v>
      </c>
      <c r="B274" s="37" t="s">
        <v>323</v>
      </c>
      <c r="C274" s="7" t="s">
        <v>23332</v>
      </c>
      <c r="D274" s="37" t="s">
        <v>23333</v>
      </c>
    </row>
    <row r="275">
      <c r="A275" s="37" t="s">
        <v>221</v>
      </c>
      <c r="B275" s="37" t="s">
        <v>216</v>
      </c>
      <c r="C275" s="7" t="s">
        <v>23334</v>
      </c>
      <c r="D275" s="37" t="s">
        <v>23335</v>
      </c>
    </row>
    <row r="276">
      <c r="A276" s="37" t="s">
        <v>824</v>
      </c>
      <c r="B276" s="37" t="s">
        <v>323</v>
      </c>
      <c r="C276" s="7" t="s">
        <v>23336</v>
      </c>
      <c r="D276" s="37" t="s">
        <v>23337</v>
      </c>
    </row>
    <row r="277">
      <c r="A277" s="37" t="s">
        <v>798</v>
      </c>
      <c r="B277" s="37" t="s">
        <v>298</v>
      </c>
      <c r="C277" s="7" t="s">
        <v>23338</v>
      </c>
      <c r="D277" s="37" t="s">
        <v>23339</v>
      </c>
    </row>
    <row r="278">
      <c r="A278" s="37" t="s">
        <v>798</v>
      </c>
      <c r="B278" s="37" t="s">
        <v>298</v>
      </c>
      <c r="C278" s="7" t="s">
        <v>23340</v>
      </c>
      <c r="D278" s="37" t="s">
        <v>23341</v>
      </c>
    </row>
    <row r="279">
      <c r="A279" s="37" t="s">
        <v>798</v>
      </c>
      <c r="B279" s="37" t="s">
        <v>298</v>
      </c>
      <c r="C279" s="7" t="s">
        <v>23342</v>
      </c>
      <c r="D279" s="37" t="s">
        <v>23343</v>
      </c>
    </row>
    <row r="280">
      <c r="A280" s="37" t="s">
        <v>798</v>
      </c>
      <c r="B280" s="37" t="s">
        <v>298</v>
      </c>
      <c r="C280" s="7" t="s">
        <v>23344</v>
      </c>
      <c r="D280" s="37" t="s">
        <v>23345</v>
      </c>
    </row>
    <row r="281">
      <c r="A281" s="37" t="s">
        <v>230</v>
      </c>
      <c r="B281" s="37" t="s">
        <v>216</v>
      </c>
      <c r="C281" s="7" t="s">
        <v>23346</v>
      </c>
      <c r="D281" s="37" t="s">
        <v>23347</v>
      </c>
    </row>
    <row r="282">
      <c r="A282" s="37" t="s">
        <v>720</v>
      </c>
      <c r="B282" s="37" t="s">
        <v>717</v>
      </c>
      <c r="C282" s="7" t="s">
        <v>23348</v>
      </c>
      <c r="D282" s="37" t="s">
        <v>23349</v>
      </c>
    </row>
    <row r="283">
      <c r="A283" s="37" t="s">
        <v>186</v>
      </c>
      <c r="B283" s="37" t="s">
        <v>186</v>
      </c>
      <c r="C283" s="7" t="s">
        <v>23350</v>
      </c>
      <c r="D283" s="37" t="s">
        <v>23351</v>
      </c>
    </row>
    <row r="284">
      <c r="A284" s="37" t="s">
        <v>74</v>
      </c>
      <c r="B284" s="37" t="s">
        <v>71</v>
      </c>
      <c r="C284" s="7" t="s">
        <v>23352</v>
      </c>
      <c r="D284" s="37" t="s">
        <v>23353</v>
      </c>
    </row>
    <row r="285">
      <c r="A285" s="37" t="s">
        <v>802</v>
      </c>
      <c r="B285" s="37" t="s">
        <v>298</v>
      </c>
      <c r="C285" s="7" t="s">
        <v>23354</v>
      </c>
      <c r="D285" s="37" t="s">
        <v>23355</v>
      </c>
    </row>
    <row r="286">
      <c r="A286" s="37" t="s">
        <v>802</v>
      </c>
      <c r="B286" s="37" t="s">
        <v>298</v>
      </c>
      <c r="C286" s="7" t="s">
        <v>23356</v>
      </c>
      <c r="D286" s="37" t="s">
        <v>23357</v>
      </c>
    </row>
    <row r="287">
      <c r="A287" s="37" t="s">
        <v>802</v>
      </c>
      <c r="B287" s="37" t="s">
        <v>298</v>
      </c>
      <c r="C287" s="7" t="s">
        <v>23358</v>
      </c>
      <c r="D287" s="37" t="s">
        <v>23359</v>
      </c>
    </row>
    <row r="288">
      <c r="A288" s="37" t="s">
        <v>703</v>
      </c>
      <c r="B288" s="37" t="s">
        <v>693</v>
      </c>
      <c r="C288" s="7" t="s">
        <v>23360</v>
      </c>
      <c r="D288" s="37" t="s">
        <v>23361</v>
      </c>
    </row>
    <row r="289">
      <c r="A289" s="37" t="s">
        <v>1148</v>
      </c>
      <c r="B289" s="37" t="s">
        <v>587</v>
      </c>
      <c r="C289" s="7" t="s">
        <v>23362</v>
      </c>
      <c r="D289" s="37" t="s">
        <v>23363</v>
      </c>
    </row>
    <row r="290">
      <c r="A290" s="37" t="s">
        <v>289</v>
      </c>
      <c r="B290" s="37" t="s">
        <v>281</v>
      </c>
      <c r="C290" s="7" t="s">
        <v>23364</v>
      </c>
      <c r="D290" s="37" t="s">
        <v>23365</v>
      </c>
    </row>
    <row r="291">
      <c r="A291" s="37" t="s">
        <v>289</v>
      </c>
      <c r="B291" s="37" t="s">
        <v>281</v>
      </c>
      <c r="C291" s="7" t="s">
        <v>23366</v>
      </c>
      <c r="D291" s="37" t="s">
        <v>23367</v>
      </c>
    </row>
    <row r="292">
      <c r="A292" s="37" t="s">
        <v>1495</v>
      </c>
      <c r="B292" s="37" t="s">
        <v>22913</v>
      </c>
      <c r="C292" s="7" t="s">
        <v>23368</v>
      </c>
      <c r="D292" s="37" t="s">
        <v>23369</v>
      </c>
    </row>
    <row r="293">
      <c r="A293" s="37" t="s">
        <v>148</v>
      </c>
      <c r="B293" s="37" t="s">
        <v>648</v>
      </c>
      <c r="C293" s="7" t="s">
        <v>23370</v>
      </c>
      <c r="D293" s="37" t="s">
        <v>23371</v>
      </c>
    </row>
    <row r="294">
      <c r="A294" s="37" t="s">
        <v>1495</v>
      </c>
      <c r="B294" s="37" t="s">
        <v>1495</v>
      </c>
      <c r="C294" s="7" t="s">
        <v>23372</v>
      </c>
      <c r="D294" s="37" t="s">
        <v>23373</v>
      </c>
    </row>
    <row r="295">
      <c r="A295" s="37" t="s">
        <v>696</v>
      </c>
      <c r="B295" s="37" t="s">
        <v>693</v>
      </c>
      <c r="C295" s="7" t="s">
        <v>23374</v>
      </c>
      <c r="D295" s="37" t="s">
        <v>23375</v>
      </c>
    </row>
    <row r="296">
      <c r="A296" s="37" t="s">
        <v>696</v>
      </c>
      <c r="B296" s="37" t="s">
        <v>693</v>
      </c>
      <c r="C296" s="7" t="s">
        <v>23376</v>
      </c>
      <c r="D296" s="37" t="s">
        <v>23377</v>
      </c>
    </row>
    <row r="297">
      <c r="A297" s="37" t="s">
        <v>324</v>
      </c>
      <c r="B297" s="37" t="s">
        <v>323</v>
      </c>
      <c r="C297" s="7" t="s">
        <v>23378</v>
      </c>
      <c r="D297" s="37" t="s">
        <v>23379</v>
      </c>
    </row>
    <row r="298">
      <c r="A298" s="37" t="s">
        <v>238</v>
      </c>
      <c r="B298" s="37" t="s">
        <v>216</v>
      </c>
      <c r="C298" s="7" t="s">
        <v>23380</v>
      </c>
      <c r="D298" s="37" t="s">
        <v>23381</v>
      </c>
    </row>
    <row r="299">
      <c r="A299" s="37" t="s">
        <v>148</v>
      </c>
      <c r="B299" s="37" t="s">
        <v>648</v>
      </c>
      <c r="C299" s="7" t="s">
        <v>23382</v>
      </c>
      <c r="D299" s="37" t="s">
        <v>23383</v>
      </c>
    </row>
    <row r="300">
      <c r="A300" s="37" t="s">
        <v>725</v>
      </c>
      <c r="B300" s="37" t="s">
        <v>717</v>
      </c>
      <c r="C300" s="7" t="s">
        <v>23384</v>
      </c>
      <c r="D300" s="37" t="s">
        <v>23385</v>
      </c>
    </row>
    <row r="301">
      <c r="A301" s="37" t="s">
        <v>324</v>
      </c>
      <c r="B301" s="37" t="s">
        <v>323</v>
      </c>
      <c r="C301" s="7" t="s">
        <v>23386</v>
      </c>
      <c r="D301" s="37" t="s">
        <v>23387</v>
      </c>
    </row>
    <row r="302">
      <c r="A302" s="37" t="s">
        <v>720</v>
      </c>
      <c r="B302" s="37" t="s">
        <v>717</v>
      </c>
      <c r="C302" s="7" t="s">
        <v>23388</v>
      </c>
      <c r="D302" s="37" t="s">
        <v>23389</v>
      </c>
    </row>
    <row r="303">
      <c r="A303" s="37" t="s">
        <v>1495</v>
      </c>
      <c r="B303" s="37" t="s">
        <v>23091</v>
      </c>
      <c r="C303" s="7" t="s">
        <v>23390</v>
      </c>
      <c r="D303" s="37" t="s">
        <v>23391</v>
      </c>
    </row>
    <row r="304">
      <c r="A304" s="37" t="s">
        <v>1495</v>
      </c>
      <c r="B304" s="37" t="s">
        <v>23091</v>
      </c>
      <c r="C304" s="7" t="s">
        <v>23392</v>
      </c>
      <c r="D304" s="37" t="s">
        <v>23393</v>
      </c>
    </row>
    <row r="305">
      <c r="A305" s="37" t="s">
        <v>1495</v>
      </c>
      <c r="B305" s="37" t="s">
        <v>23091</v>
      </c>
      <c r="C305" s="7" t="s">
        <v>23394</v>
      </c>
      <c r="D305" s="37" t="s">
        <v>23395</v>
      </c>
    </row>
    <row r="306">
      <c r="A306" s="37" t="s">
        <v>1495</v>
      </c>
      <c r="B306" s="37" t="s">
        <v>23091</v>
      </c>
      <c r="C306" s="7" t="s">
        <v>23396</v>
      </c>
      <c r="D306" s="37" t="s">
        <v>23397</v>
      </c>
    </row>
    <row r="307">
      <c r="A307" s="37" t="s">
        <v>1495</v>
      </c>
      <c r="B307" s="37" t="s">
        <v>23091</v>
      </c>
      <c r="C307" s="7" t="s">
        <v>23398</v>
      </c>
      <c r="D307" s="37" t="s">
        <v>23399</v>
      </c>
    </row>
    <row r="308">
      <c r="A308" s="37" t="s">
        <v>1495</v>
      </c>
      <c r="B308" s="37" t="s">
        <v>23091</v>
      </c>
      <c r="C308" s="7" t="s">
        <v>23400</v>
      </c>
      <c r="D308" s="37" t="s">
        <v>23401</v>
      </c>
    </row>
    <row r="309">
      <c r="A309" s="37" t="s">
        <v>1495</v>
      </c>
      <c r="B309" s="37" t="s">
        <v>23091</v>
      </c>
      <c r="C309" s="7" t="s">
        <v>23402</v>
      </c>
      <c r="D309" s="37" t="s">
        <v>23403</v>
      </c>
    </row>
    <row r="310">
      <c r="A310" s="37" t="s">
        <v>1495</v>
      </c>
      <c r="B310" s="37" t="s">
        <v>23091</v>
      </c>
      <c r="C310" s="7" t="s">
        <v>23404</v>
      </c>
      <c r="D310" s="37" t="s">
        <v>23405</v>
      </c>
    </row>
    <row r="311">
      <c r="A311" s="37" t="s">
        <v>399</v>
      </c>
      <c r="B311" s="37" t="s">
        <v>391</v>
      </c>
      <c r="C311" s="7" t="s">
        <v>23406</v>
      </c>
      <c r="D311" s="37" t="s">
        <v>23407</v>
      </c>
    </row>
    <row r="312">
      <c r="A312" s="37" t="s">
        <v>1495</v>
      </c>
      <c r="B312" s="37" t="s">
        <v>23091</v>
      </c>
      <c r="C312" s="7" t="s">
        <v>23408</v>
      </c>
      <c r="D312" s="37" t="s">
        <v>23409</v>
      </c>
    </row>
    <row r="313">
      <c r="A313" s="37" t="s">
        <v>1495</v>
      </c>
      <c r="B313" s="37" t="s">
        <v>23091</v>
      </c>
      <c r="C313" s="7" t="s">
        <v>23410</v>
      </c>
      <c r="D313" s="37" t="s">
        <v>23411</v>
      </c>
    </row>
    <row r="314">
      <c r="A314" s="37" t="s">
        <v>51</v>
      </c>
      <c r="B314" s="37" t="s">
        <v>1242</v>
      </c>
      <c r="C314" s="7" t="s">
        <v>23412</v>
      </c>
      <c r="D314" s="37" t="s">
        <v>23413</v>
      </c>
    </row>
    <row r="315">
      <c r="A315" s="37" t="s">
        <v>324</v>
      </c>
      <c r="B315" s="37" t="s">
        <v>23414</v>
      </c>
      <c r="C315" s="7" t="s">
        <v>23415</v>
      </c>
      <c r="D315" s="37" t="s">
        <v>23416</v>
      </c>
    </row>
    <row r="316">
      <c r="A316" s="37" t="s">
        <v>324</v>
      </c>
      <c r="B316" s="37" t="s">
        <v>23414</v>
      </c>
      <c r="C316" s="7" t="s">
        <v>23417</v>
      </c>
      <c r="D316" s="37" t="s">
        <v>23418</v>
      </c>
    </row>
    <row r="317">
      <c r="A317" s="37" t="s">
        <v>1495</v>
      </c>
      <c r="B317" s="37" t="s">
        <v>1495</v>
      </c>
      <c r="C317" s="7" t="s">
        <v>23419</v>
      </c>
      <c r="D317" s="37" t="s">
        <v>23420</v>
      </c>
    </row>
    <row r="318">
      <c r="A318" s="37" t="s">
        <v>331</v>
      </c>
      <c r="B318" s="37" t="s">
        <v>38</v>
      </c>
      <c r="C318" s="7" t="s">
        <v>23421</v>
      </c>
      <c r="D318" s="37" t="s">
        <v>23422</v>
      </c>
    </row>
    <row r="319">
      <c r="A319" s="37" t="s">
        <v>392</v>
      </c>
      <c r="B319" s="37" t="s">
        <v>391</v>
      </c>
      <c r="C319" s="7" t="s">
        <v>23423</v>
      </c>
      <c r="D319" s="37" t="s">
        <v>23424</v>
      </c>
    </row>
    <row r="320">
      <c r="A320" s="37" t="s">
        <v>51</v>
      </c>
      <c r="B320" s="37" t="s">
        <v>1242</v>
      </c>
      <c r="C320" s="7" t="s">
        <v>23425</v>
      </c>
      <c r="D320" s="37" t="s">
        <v>23426</v>
      </c>
    </row>
    <row r="321">
      <c r="A321" s="37" t="s">
        <v>51</v>
      </c>
      <c r="B321" s="37" t="s">
        <v>1242</v>
      </c>
      <c r="C321" s="7" t="s">
        <v>23427</v>
      </c>
      <c r="D321" s="37" t="s">
        <v>23428</v>
      </c>
    </row>
    <row r="322">
      <c r="A322" s="37" t="s">
        <v>1495</v>
      </c>
      <c r="B322" s="37" t="s">
        <v>23091</v>
      </c>
      <c r="C322" s="7" t="s">
        <v>23429</v>
      </c>
      <c r="D322" s="37" t="s">
        <v>23430</v>
      </c>
    </row>
    <row r="323">
      <c r="A323" s="37" t="s">
        <v>106</v>
      </c>
      <c r="B323" s="37" t="s">
        <v>613</v>
      </c>
      <c r="C323" s="7" t="s">
        <v>23431</v>
      </c>
      <c r="D323" s="37" t="s">
        <v>23432</v>
      </c>
    </row>
    <row r="324">
      <c r="A324" s="37" t="s">
        <v>29</v>
      </c>
      <c r="B324" s="37" t="s">
        <v>22</v>
      </c>
      <c r="C324" s="7" t="s">
        <v>23433</v>
      </c>
      <c r="D324" s="37" t="s">
        <v>23434</v>
      </c>
    </row>
    <row r="325">
      <c r="A325" s="37" t="s">
        <v>29</v>
      </c>
      <c r="B325" s="37" t="s">
        <v>22</v>
      </c>
      <c r="C325" s="7" t="s">
        <v>23435</v>
      </c>
      <c r="D325" s="37" t="s">
        <v>23436</v>
      </c>
    </row>
    <row r="326">
      <c r="A326" s="37" t="s">
        <v>802</v>
      </c>
      <c r="B326" s="37" t="s">
        <v>298</v>
      </c>
      <c r="C326" s="7" t="s">
        <v>23437</v>
      </c>
      <c r="D326" s="37" t="s">
        <v>23438</v>
      </c>
    </row>
    <row r="327">
      <c r="A327" s="37" t="s">
        <v>1495</v>
      </c>
      <c r="B327" s="37" t="s">
        <v>23439</v>
      </c>
      <c r="C327" s="7" t="s">
        <v>23440</v>
      </c>
      <c r="D327" s="37" t="s">
        <v>23441</v>
      </c>
    </row>
    <row r="328">
      <c r="A328" s="37" t="s">
        <v>118</v>
      </c>
      <c r="B328" s="37" t="s">
        <v>115</v>
      </c>
      <c r="C328" s="7" t="s">
        <v>23442</v>
      </c>
      <c r="D328" s="37" t="s">
        <v>23443</v>
      </c>
    </row>
    <row r="329">
      <c r="A329" s="37" t="s">
        <v>23444</v>
      </c>
      <c r="B329" s="37" t="s">
        <v>216</v>
      </c>
      <c r="C329" s="7" t="s">
        <v>23445</v>
      </c>
      <c r="D329" s="37" t="s">
        <v>23446</v>
      </c>
    </row>
    <row r="330">
      <c r="A330" s="37" t="s">
        <v>1495</v>
      </c>
      <c r="B330" s="37" t="s">
        <v>1495</v>
      </c>
      <c r="C330" s="7" t="s">
        <v>23447</v>
      </c>
      <c r="D330" s="37" t="s">
        <v>23448</v>
      </c>
    </row>
    <row r="331">
      <c r="A331" s="37" t="s">
        <v>124</v>
      </c>
      <c r="B331" s="37" t="s">
        <v>23449</v>
      </c>
      <c r="C331" s="7" t="s">
        <v>23450</v>
      </c>
      <c r="D331" s="37" t="s">
        <v>23451</v>
      </c>
    </row>
    <row r="332">
      <c r="A332" s="37" t="s">
        <v>331</v>
      </c>
      <c r="B332" s="37" t="s">
        <v>38</v>
      </c>
      <c r="C332" s="7" t="s">
        <v>23452</v>
      </c>
      <c r="D332" s="37" t="s">
        <v>23453</v>
      </c>
    </row>
    <row r="333">
      <c r="A333" s="37" t="s">
        <v>482</v>
      </c>
      <c r="B333" s="37" t="s">
        <v>478</v>
      </c>
      <c r="C333" s="7" t="s">
        <v>23454</v>
      </c>
      <c r="D333" s="37" t="s">
        <v>23455</v>
      </c>
    </row>
    <row r="334">
      <c r="A334" s="37" t="s">
        <v>225</v>
      </c>
      <c r="B334" s="37" t="s">
        <v>216</v>
      </c>
      <c r="C334" s="7" t="s">
        <v>23456</v>
      </c>
      <c r="D334" s="37" t="s">
        <v>23457</v>
      </c>
    </row>
    <row r="335">
      <c r="A335" s="37" t="s">
        <v>1495</v>
      </c>
      <c r="B335" s="37" t="s">
        <v>1495</v>
      </c>
      <c r="C335" s="7" t="s">
        <v>23458</v>
      </c>
      <c r="D335" s="37" t="s">
        <v>23459</v>
      </c>
    </row>
    <row r="336">
      <c r="A336" s="37" t="s">
        <v>1495</v>
      </c>
      <c r="B336" s="37" t="s">
        <v>1495</v>
      </c>
      <c r="C336" s="7" t="s">
        <v>23460</v>
      </c>
      <c r="D336" s="37" t="s">
        <v>23461</v>
      </c>
    </row>
    <row r="337">
      <c r="A337" s="37" t="s">
        <v>116</v>
      </c>
      <c r="B337" s="37" t="s">
        <v>115</v>
      </c>
      <c r="C337" s="7" t="s">
        <v>23462</v>
      </c>
      <c r="D337" s="37" t="s">
        <v>23463</v>
      </c>
    </row>
    <row r="338">
      <c r="A338" s="37" t="s">
        <v>23</v>
      </c>
      <c r="B338" s="37" t="s">
        <v>22</v>
      </c>
      <c r="C338" s="7" t="s">
        <v>23464</v>
      </c>
      <c r="D338" s="37" t="s">
        <v>23465</v>
      </c>
    </row>
    <row r="339">
      <c r="A339" s="37" t="s">
        <v>387</v>
      </c>
      <c r="B339" s="37" t="s">
        <v>386</v>
      </c>
      <c r="C339" s="7" t="s">
        <v>23466</v>
      </c>
      <c r="D339" s="37" t="s">
        <v>23467</v>
      </c>
    </row>
    <row r="340">
      <c r="A340" s="37" t="s">
        <v>466</v>
      </c>
      <c r="B340" s="37" t="s">
        <v>465</v>
      </c>
      <c r="C340" s="7" t="s">
        <v>23468</v>
      </c>
      <c r="D340" s="37" t="s">
        <v>23469</v>
      </c>
    </row>
    <row r="341">
      <c r="A341" s="37" t="s">
        <v>1495</v>
      </c>
      <c r="B341" s="37" t="s">
        <v>22880</v>
      </c>
      <c r="C341" s="7" t="s">
        <v>23470</v>
      </c>
      <c r="D341" s="37" t="s">
        <v>23471</v>
      </c>
    </row>
    <row r="342">
      <c r="A342" s="37" t="s">
        <v>74</v>
      </c>
      <c r="B342" s="37" t="s">
        <v>1208</v>
      </c>
      <c r="C342" s="7" t="s">
        <v>23472</v>
      </c>
      <c r="D342" s="37" t="s">
        <v>23473</v>
      </c>
    </row>
    <row r="343">
      <c r="A343" s="37" t="s">
        <v>441</v>
      </c>
      <c r="B343" s="37" t="s">
        <v>440</v>
      </c>
      <c r="C343" s="7" t="s">
        <v>23474</v>
      </c>
      <c r="D343" s="37" t="s">
        <v>23475</v>
      </c>
    </row>
    <row r="344">
      <c r="A344" s="37" t="s">
        <v>798</v>
      </c>
      <c r="B344" s="37" t="s">
        <v>298</v>
      </c>
      <c r="C344" s="7" t="s">
        <v>23476</v>
      </c>
      <c r="D344" s="37" t="s">
        <v>23477</v>
      </c>
    </row>
    <row r="345">
      <c r="A345" s="37" t="s">
        <v>399</v>
      </c>
      <c r="B345" s="37" t="s">
        <v>391</v>
      </c>
      <c r="C345" s="7" t="s">
        <v>23478</v>
      </c>
      <c r="D345" s="37" t="s">
        <v>23479</v>
      </c>
    </row>
    <row r="346">
      <c r="A346" s="37" t="s">
        <v>701</v>
      </c>
      <c r="B346" s="37" t="s">
        <v>693</v>
      </c>
      <c r="C346" s="7" t="s">
        <v>23480</v>
      </c>
      <c r="D346" s="37" t="s">
        <v>23481</v>
      </c>
    </row>
    <row r="347">
      <c r="A347" s="37" t="s">
        <v>1147</v>
      </c>
      <c r="B347" s="37" t="s">
        <v>478</v>
      </c>
      <c r="C347" s="7" t="s">
        <v>23482</v>
      </c>
      <c r="D347" s="37" t="s">
        <v>23483</v>
      </c>
    </row>
    <row r="348">
      <c r="A348" s="37" t="s">
        <v>1147</v>
      </c>
      <c r="B348" s="37" t="s">
        <v>478</v>
      </c>
      <c r="C348" s="7" t="s">
        <v>23484</v>
      </c>
      <c r="D348" s="37" t="s">
        <v>23485</v>
      </c>
    </row>
    <row r="349">
      <c r="A349" s="37" t="s">
        <v>1146</v>
      </c>
      <c r="B349" s="37" t="s">
        <v>478</v>
      </c>
      <c r="C349" s="7" t="s">
        <v>23486</v>
      </c>
      <c r="D349" s="37" t="s">
        <v>23487</v>
      </c>
    </row>
    <row r="350">
      <c r="A350" s="37" t="s">
        <v>225</v>
      </c>
      <c r="B350" s="37" t="s">
        <v>216</v>
      </c>
      <c r="C350" s="7" t="s">
        <v>23488</v>
      </c>
      <c r="D350" s="37" t="s">
        <v>23489</v>
      </c>
    </row>
    <row r="351">
      <c r="A351" s="37" t="s">
        <v>284</v>
      </c>
      <c r="B351" s="37" t="s">
        <v>23490</v>
      </c>
      <c r="C351" s="7" t="s">
        <v>23491</v>
      </c>
      <c r="D351" s="37" t="s">
        <v>23492</v>
      </c>
    </row>
    <row r="352">
      <c r="A352" s="37" t="s">
        <v>1147</v>
      </c>
      <c r="B352" s="37" t="s">
        <v>478</v>
      </c>
      <c r="C352" s="7" t="s">
        <v>23493</v>
      </c>
      <c r="D352" s="37" t="s">
        <v>23494</v>
      </c>
    </row>
    <row r="353">
      <c r="A353" s="37" t="s">
        <v>798</v>
      </c>
      <c r="B353" s="37" t="s">
        <v>298</v>
      </c>
      <c r="C353" s="7" t="s">
        <v>23495</v>
      </c>
      <c r="D353" s="37" t="s">
        <v>23496</v>
      </c>
    </row>
    <row r="354">
      <c r="A354" s="37" t="s">
        <v>701</v>
      </c>
      <c r="B354" s="37" t="s">
        <v>693</v>
      </c>
      <c r="C354" s="7" t="s">
        <v>23497</v>
      </c>
      <c r="D354" s="37" t="s">
        <v>23498</v>
      </c>
    </row>
    <row r="355">
      <c r="A355" s="37" t="s">
        <v>223</v>
      </c>
      <c r="B355" s="37" t="s">
        <v>23499</v>
      </c>
      <c r="C355" s="7" t="s">
        <v>23500</v>
      </c>
      <c r="D355" s="37" t="s">
        <v>23501</v>
      </c>
    </row>
    <row r="356">
      <c r="A356" s="37" t="s">
        <v>701</v>
      </c>
      <c r="B356" s="37" t="s">
        <v>693</v>
      </c>
      <c r="C356" s="7" t="s">
        <v>23502</v>
      </c>
      <c r="D356" s="37" t="s">
        <v>23503</v>
      </c>
    </row>
    <row r="357">
      <c r="A357" s="37" t="s">
        <v>1147</v>
      </c>
      <c r="B357" s="37" t="s">
        <v>478</v>
      </c>
      <c r="C357" s="7" t="s">
        <v>23504</v>
      </c>
      <c r="D357" s="37" t="s">
        <v>23505</v>
      </c>
    </row>
    <row r="358">
      <c r="A358" s="37" t="s">
        <v>720</v>
      </c>
      <c r="B358" s="37" t="s">
        <v>717</v>
      </c>
      <c r="C358" s="7" t="s">
        <v>23506</v>
      </c>
      <c r="D358" s="37" t="s">
        <v>23507</v>
      </c>
    </row>
    <row r="359">
      <c r="A359" s="37" t="s">
        <v>798</v>
      </c>
      <c r="B359" s="37" t="s">
        <v>298</v>
      </c>
      <c r="C359" s="7" t="s">
        <v>23508</v>
      </c>
      <c r="D359" s="37" t="s">
        <v>23509</v>
      </c>
    </row>
    <row r="360">
      <c r="A360" s="37" t="s">
        <v>23444</v>
      </c>
      <c r="B360" s="37" t="s">
        <v>216</v>
      </c>
      <c r="C360" s="7" t="s">
        <v>23510</v>
      </c>
      <c r="D360" s="37" t="s">
        <v>23511</v>
      </c>
    </row>
    <row r="361">
      <c r="A361" s="37" t="s">
        <v>116</v>
      </c>
      <c r="B361" s="37" t="s">
        <v>115</v>
      </c>
      <c r="C361" s="7" t="s">
        <v>23512</v>
      </c>
      <c r="D361" s="37" t="s">
        <v>23513</v>
      </c>
    </row>
    <row r="362">
      <c r="A362" s="37" t="s">
        <v>436</v>
      </c>
      <c r="B362" s="37" t="s">
        <v>429</v>
      </c>
      <c r="C362" s="7" t="s">
        <v>23514</v>
      </c>
      <c r="D362" s="37" t="s">
        <v>23515</v>
      </c>
    </row>
    <row r="363">
      <c r="A363" s="37" t="s">
        <v>148</v>
      </c>
      <c r="B363" s="37" t="s">
        <v>648</v>
      </c>
      <c r="C363" s="7" t="s">
        <v>23516</v>
      </c>
      <c r="D363" s="37" t="s">
        <v>23517</v>
      </c>
    </row>
    <row r="364">
      <c r="A364" s="37" t="s">
        <v>284</v>
      </c>
      <c r="B364" s="37" t="s">
        <v>281</v>
      </c>
      <c r="C364" s="7" t="s">
        <v>23518</v>
      </c>
      <c r="D364" s="37" t="s">
        <v>23519</v>
      </c>
    </row>
    <row r="365">
      <c r="A365" s="37" t="s">
        <v>864</v>
      </c>
      <c r="B365" s="37" t="s">
        <v>854</v>
      </c>
      <c r="C365" s="7" t="s">
        <v>23520</v>
      </c>
      <c r="D365" s="37" t="s">
        <v>23521</v>
      </c>
    </row>
    <row r="366">
      <c r="A366" s="37" t="s">
        <v>104</v>
      </c>
      <c r="B366" s="37" t="s">
        <v>613</v>
      </c>
      <c r="C366" s="7" t="s">
        <v>23522</v>
      </c>
      <c r="D366" s="37" t="s">
        <v>23523</v>
      </c>
    </row>
    <row r="367">
      <c r="A367" s="37" t="s">
        <v>701</v>
      </c>
      <c r="B367" s="37" t="s">
        <v>693</v>
      </c>
      <c r="C367" s="7" t="s">
        <v>23524</v>
      </c>
      <c r="D367" s="37" t="s">
        <v>23525</v>
      </c>
    </row>
    <row r="368">
      <c r="A368" s="37" t="s">
        <v>696</v>
      </c>
      <c r="B368" s="37" t="s">
        <v>693</v>
      </c>
      <c r="C368" s="7" t="s">
        <v>23526</v>
      </c>
      <c r="D368" s="37" t="s">
        <v>23527</v>
      </c>
    </row>
    <row r="369">
      <c r="A369" s="37" t="s">
        <v>696</v>
      </c>
      <c r="B369" s="37" t="s">
        <v>693</v>
      </c>
      <c r="C369" s="7" t="s">
        <v>23528</v>
      </c>
      <c r="D369" s="37" t="s">
        <v>23529</v>
      </c>
    </row>
    <row r="370">
      <c r="A370" s="37" t="s">
        <v>696</v>
      </c>
      <c r="B370" s="37" t="s">
        <v>693</v>
      </c>
      <c r="C370" s="7" t="s">
        <v>23530</v>
      </c>
      <c r="D370" s="37" t="s">
        <v>23531</v>
      </c>
    </row>
    <row r="371">
      <c r="A371" s="37" t="s">
        <v>1495</v>
      </c>
      <c r="B371" s="37" t="s">
        <v>1495</v>
      </c>
      <c r="C371" s="7" t="s">
        <v>23532</v>
      </c>
      <c r="D371" s="37" t="s">
        <v>23533</v>
      </c>
    </row>
    <row r="372">
      <c r="A372" s="37" t="s">
        <v>696</v>
      </c>
      <c r="B372" s="37" t="s">
        <v>693</v>
      </c>
      <c r="C372" s="7" t="s">
        <v>23534</v>
      </c>
      <c r="D372" s="37" t="s">
        <v>23535</v>
      </c>
    </row>
    <row r="373">
      <c r="A373" s="37" t="s">
        <v>696</v>
      </c>
      <c r="B373" s="37" t="s">
        <v>693</v>
      </c>
      <c r="C373" s="7" t="s">
        <v>23536</v>
      </c>
      <c r="D373" s="37" t="s">
        <v>23537</v>
      </c>
    </row>
    <row r="374">
      <c r="A374" s="37" t="s">
        <v>1147</v>
      </c>
      <c r="B374" s="37" t="s">
        <v>478</v>
      </c>
      <c r="C374" s="7" t="s">
        <v>23538</v>
      </c>
      <c r="D374" s="37" t="s">
        <v>23539</v>
      </c>
    </row>
    <row r="375">
      <c r="A375" s="37" t="s">
        <v>1495</v>
      </c>
      <c r="B375" s="37" t="s">
        <v>1495</v>
      </c>
      <c r="C375" s="7" t="s">
        <v>23540</v>
      </c>
      <c r="D375" s="37" t="s">
        <v>23541</v>
      </c>
    </row>
    <row r="376">
      <c r="A376" s="37" t="s">
        <v>124</v>
      </c>
      <c r="B376" s="37" t="s">
        <v>625</v>
      </c>
      <c r="C376" s="7" t="s">
        <v>23542</v>
      </c>
      <c r="D376" s="37" t="s">
        <v>23543</v>
      </c>
    </row>
    <row r="377">
      <c r="A377" s="37" t="s">
        <v>22</v>
      </c>
      <c r="B377" s="37" t="s">
        <v>1495</v>
      </c>
      <c r="C377" s="7" t="s">
        <v>23544</v>
      </c>
      <c r="D377" s="37" t="s">
        <v>23545</v>
      </c>
    </row>
    <row r="378">
      <c r="A378" s="37" t="s">
        <v>39</v>
      </c>
      <c r="B378" s="37" t="s">
        <v>1242</v>
      </c>
      <c r="C378" s="7" t="s">
        <v>23546</v>
      </c>
      <c r="D378" s="37" t="s">
        <v>23547</v>
      </c>
    </row>
    <row r="379">
      <c r="A379" s="37" t="s">
        <v>324</v>
      </c>
      <c r="B379" s="37" t="s">
        <v>1242</v>
      </c>
      <c r="C379" s="7" t="s">
        <v>23548</v>
      </c>
      <c r="D379" s="37" t="s">
        <v>23549</v>
      </c>
    </row>
    <row r="380">
      <c r="A380" s="37" t="s">
        <v>1495</v>
      </c>
      <c r="B380" s="37" t="s">
        <v>1495</v>
      </c>
      <c r="C380" s="7" t="s">
        <v>23550</v>
      </c>
      <c r="D380" s="37" t="s">
        <v>23551</v>
      </c>
    </row>
    <row r="381">
      <c r="A381" s="37" t="s">
        <v>1495</v>
      </c>
      <c r="B381" s="37" t="s">
        <v>1495</v>
      </c>
      <c r="C381" s="7" t="s">
        <v>23552</v>
      </c>
      <c r="D381" s="37" t="s">
        <v>23553</v>
      </c>
    </row>
    <row r="382">
      <c r="A382" s="37" t="s">
        <v>1495</v>
      </c>
      <c r="B382" s="37" t="s">
        <v>1495</v>
      </c>
      <c r="C382" s="7" t="s">
        <v>23554</v>
      </c>
      <c r="D382" s="37" t="s">
        <v>23555</v>
      </c>
    </row>
    <row r="383">
      <c r="A383" s="37" t="s">
        <v>29</v>
      </c>
      <c r="B383" s="37" t="s">
        <v>22</v>
      </c>
      <c r="C383" s="7" t="s">
        <v>23556</v>
      </c>
      <c r="D383" s="37" t="s">
        <v>23557</v>
      </c>
    </row>
    <row r="384">
      <c r="A384" s="37" t="s">
        <v>124</v>
      </c>
      <c r="B384" s="37" t="s">
        <v>115</v>
      </c>
      <c r="C384" s="7" t="s">
        <v>23558</v>
      </c>
      <c r="D384" s="37" t="s">
        <v>23559</v>
      </c>
    </row>
    <row r="385">
      <c r="A385" s="37" t="s">
        <v>116</v>
      </c>
      <c r="B385" s="37" t="s">
        <v>115</v>
      </c>
      <c r="C385" s="7" t="s">
        <v>23560</v>
      </c>
      <c r="D385" s="37" t="s">
        <v>23561</v>
      </c>
    </row>
    <row r="386">
      <c r="A386" s="37" t="s">
        <v>118</v>
      </c>
      <c r="B386" s="37" t="s">
        <v>115</v>
      </c>
      <c r="C386" s="7" t="s">
        <v>23562</v>
      </c>
      <c r="D386" s="37" t="s">
        <v>23563</v>
      </c>
    </row>
    <row r="387">
      <c r="A387" s="37" t="s">
        <v>696</v>
      </c>
      <c r="B387" s="37" t="s">
        <v>693</v>
      </c>
      <c r="C387" s="7" t="s">
        <v>23564</v>
      </c>
      <c r="D387" s="37" t="s">
        <v>23565</v>
      </c>
    </row>
    <row r="388">
      <c r="A388" s="37" t="s">
        <v>23444</v>
      </c>
      <c r="B388" s="37" t="s">
        <v>216</v>
      </c>
      <c r="C388" s="7" t="s">
        <v>23566</v>
      </c>
      <c r="D388" s="37" t="s">
        <v>23567</v>
      </c>
    </row>
    <row r="389">
      <c r="A389" s="37" t="s">
        <v>484</v>
      </c>
      <c r="B389" s="37" t="s">
        <v>478</v>
      </c>
      <c r="C389" s="7" t="s">
        <v>23568</v>
      </c>
      <c r="D389" s="37" t="s">
        <v>23569</v>
      </c>
    </row>
    <row r="390">
      <c r="A390" s="37" t="s">
        <v>1495</v>
      </c>
      <c r="B390" s="37" t="s">
        <v>648</v>
      </c>
      <c r="C390" s="7" t="s">
        <v>23570</v>
      </c>
      <c r="D390" s="37" t="s">
        <v>23571</v>
      </c>
    </row>
    <row r="391">
      <c r="A391" s="37" t="s">
        <v>696</v>
      </c>
      <c r="B391" s="37" t="s">
        <v>693</v>
      </c>
      <c r="C391" s="7" t="s">
        <v>23572</v>
      </c>
      <c r="D391" s="37" t="s">
        <v>23573</v>
      </c>
    </row>
    <row r="392">
      <c r="A392" s="37" t="s">
        <v>1146</v>
      </c>
      <c r="B392" s="37" t="s">
        <v>478</v>
      </c>
      <c r="C392" s="7" t="s">
        <v>23574</v>
      </c>
      <c r="D392" s="37" t="s">
        <v>23575</v>
      </c>
    </row>
    <row r="393">
      <c r="A393" s="37" t="s">
        <v>1495</v>
      </c>
      <c r="B393" s="37" t="s">
        <v>23439</v>
      </c>
      <c r="C393" s="7" t="s">
        <v>23576</v>
      </c>
      <c r="D393" s="37" t="s">
        <v>23577</v>
      </c>
    </row>
    <row r="394">
      <c r="A394" s="37" t="s">
        <v>1146</v>
      </c>
      <c r="B394" s="37" t="s">
        <v>478</v>
      </c>
      <c r="C394" s="7" t="s">
        <v>23578</v>
      </c>
      <c r="D394" s="37" t="s">
        <v>23579</v>
      </c>
    </row>
    <row r="395">
      <c r="A395" s="37" t="s">
        <v>1495</v>
      </c>
      <c r="B395" s="37" t="s">
        <v>22880</v>
      </c>
      <c r="C395" s="7" t="s">
        <v>23580</v>
      </c>
      <c r="D395" s="37" t="s">
        <v>23581</v>
      </c>
    </row>
    <row r="396">
      <c r="A396" s="37" t="s">
        <v>29</v>
      </c>
      <c r="B396" s="37" t="s">
        <v>22</v>
      </c>
      <c r="C396" s="7" t="s">
        <v>23582</v>
      </c>
      <c r="D396" s="37" t="s">
        <v>23583</v>
      </c>
    </row>
    <row r="397">
      <c r="A397" s="37" t="s">
        <v>1146</v>
      </c>
      <c r="B397" s="37" t="s">
        <v>478</v>
      </c>
      <c r="C397" s="7" t="s">
        <v>23584</v>
      </c>
      <c r="D397" s="37" t="s">
        <v>23585</v>
      </c>
    </row>
    <row r="398">
      <c r="A398" s="37" t="s">
        <v>23444</v>
      </c>
      <c r="B398" s="37" t="s">
        <v>216</v>
      </c>
      <c r="C398" s="7" t="s">
        <v>23586</v>
      </c>
      <c r="D398" s="37" t="s">
        <v>23587</v>
      </c>
    </row>
    <row r="399">
      <c r="A399" s="37" t="s">
        <v>693</v>
      </c>
      <c r="B399" s="37" t="s">
        <v>693</v>
      </c>
      <c r="C399" s="37" t="s">
        <v>23588</v>
      </c>
      <c r="D399" s="37" t="s">
        <v>23589</v>
      </c>
    </row>
    <row r="400">
      <c r="A400" s="37" t="s">
        <v>23590</v>
      </c>
      <c r="B400" s="37" t="s">
        <v>168</v>
      </c>
      <c r="C400" s="7" t="s">
        <v>23591</v>
      </c>
      <c r="D400" s="37" t="s">
        <v>23592</v>
      </c>
    </row>
    <row r="401">
      <c r="A401" s="37" t="s">
        <v>289</v>
      </c>
      <c r="B401" s="37" t="s">
        <v>281</v>
      </c>
      <c r="C401" s="7" t="s">
        <v>23593</v>
      </c>
      <c r="D401" s="37" t="s">
        <v>23594</v>
      </c>
    </row>
    <row r="402">
      <c r="A402" s="37" t="s">
        <v>859</v>
      </c>
      <c r="B402" s="37" t="s">
        <v>854</v>
      </c>
      <c r="C402" s="7" t="s">
        <v>23595</v>
      </c>
      <c r="D402" s="37" t="s">
        <v>23596</v>
      </c>
    </row>
    <row r="403">
      <c r="A403" s="37" t="s">
        <v>217</v>
      </c>
      <c r="B403" s="37" t="s">
        <v>216</v>
      </c>
      <c r="C403" s="7" t="s">
        <v>23597</v>
      </c>
      <c r="D403" s="37" t="s">
        <v>23598</v>
      </c>
    </row>
    <row r="404">
      <c r="A404" s="37" t="s">
        <v>1495</v>
      </c>
      <c r="B404" s="37" t="s">
        <v>693</v>
      </c>
      <c r="C404" s="7" t="s">
        <v>23599</v>
      </c>
      <c r="D404" s="37" t="s">
        <v>23600</v>
      </c>
    </row>
    <row r="405">
      <c r="A405" s="37" t="s">
        <v>284</v>
      </c>
      <c r="B405" s="37" t="s">
        <v>281</v>
      </c>
      <c r="C405" s="7" t="s">
        <v>23601</v>
      </c>
      <c r="D405" s="37" t="s">
        <v>23602</v>
      </c>
    </row>
    <row r="406">
      <c r="A406" s="37" t="s">
        <v>284</v>
      </c>
      <c r="B406" s="37" t="s">
        <v>281</v>
      </c>
      <c r="C406" s="7" t="s">
        <v>23603</v>
      </c>
      <c r="D406" s="37" t="s">
        <v>23604</v>
      </c>
    </row>
    <row r="407">
      <c r="A407" s="37" t="s">
        <v>626</v>
      </c>
      <c r="B407" s="37" t="s">
        <v>625</v>
      </c>
      <c r="C407" s="7" t="s">
        <v>23605</v>
      </c>
      <c r="D407" s="37" t="s">
        <v>23606</v>
      </c>
    </row>
    <row r="408">
      <c r="A408" s="37" t="s">
        <v>1495</v>
      </c>
      <c r="B408" s="37" t="s">
        <v>1495</v>
      </c>
      <c r="C408" s="7" t="s">
        <v>23607</v>
      </c>
      <c r="D408" s="37" t="s">
        <v>23608</v>
      </c>
    </row>
    <row r="409">
      <c r="A409" s="37" t="s">
        <v>331</v>
      </c>
      <c r="B409" s="37" t="s">
        <v>38</v>
      </c>
      <c r="C409" s="7" t="s">
        <v>23609</v>
      </c>
      <c r="D409" s="37" t="s">
        <v>23610</v>
      </c>
    </row>
    <row r="410">
      <c r="A410" s="37" t="s">
        <v>1147</v>
      </c>
      <c r="B410" s="37" t="s">
        <v>478</v>
      </c>
      <c r="C410" s="7" t="s">
        <v>23611</v>
      </c>
      <c r="D410" s="37" t="s">
        <v>23612</v>
      </c>
    </row>
    <row r="411">
      <c r="A411" s="37" t="s">
        <v>696</v>
      </c>
      <c r="B411" s="37" t="s">
        <v>693</v>
      </c>
      <c r="C411" s="7" t="s">
        <v>23613</v>
      </c>
      <c r="D411" s="37" t="s">
        <v>23614</v>
      </c>
    </row>
    <row r="412">
      <c r="A412" s="37" t="s">
        <v>720</v>
      </c>
      <c r="B412" s="37" t="s">
        <v>717</v>
      </c>
      <c r="C412" s="7" t="s">
        <v>23615</v>
      </c>
      <c r="D412" s="37" t="s">
        <v>23616</v>
      </c>
    </row>
    <row r="413">
      <c r="A413" s="37" t="s">
        <v>1495</v>
      </c>
      <c r="B413" s="37" t="s">
        <v>1495</v>
      </c>
      <c r="C413" s="7" t="s">
        <v>23617</v>
      </c>
      <c r="D413" s="37" t="s">
        <v>23618</v>
      </c>
    </row>
    <row r="414">
      <c r="A414" s="37" t="s">
        <v>230</v>
      </c>
      <c r="B414" s="37" t="s">
        <v>216</v>
      </c>
      <c r="C414" s="7" t="s">
        <v>23619</v>
      </c>
      <c r="D414" s="37" t="s">
        <v>23620</v>
      </c>
    </row>
    <row r="415">
      <c r="A415" s="37" t="s">
        <v>1147</v>
      </c>
      <c r="B415" s="37" t="s">
        <v>478</v>
      </c>
      <c r="C415" s="7" t="s">
        <v>17142</v>
      </c>
      <c r="D415" s="37" t="s">
        <v>23621</v>
      </c>
    </row>
    <row r="416">
      <c r="A416" s="37" t="s">
        <v>1147</v>
      </c>
      <c r="B416" s="37" t="s">
        <v>478</v>
      </c>
      <c r="C416" s="7" t="s">
        <v>23622</v>
      </c>
      <c r="D416" s="37" t="s">
        <v>23623</v>
      </c>
    </row>
    <row r="417">
      <c r="A417" s="37" t="s">
        <v>35</v>
      </c>
      <c r="B417" s="37" t="s">
        <v>22</v>
      </c>
      <c r="C417" s="7" t="s">
        <v>23624</v>
      </c>
      <c r="D417" s="37" t="s">
        <v>23625</v>
      </c>
    </row>
    <row r="418">
      <c r="A418" s="37" t="s">
        <v>720</v>
      </c>
      <c r="B418" s="37" t="s">
        <v>717</v>
      </c>
      <c r="C418" s="7" t="s">
        <v>23626</v>
      </c>
      <c r="D418" s="37" t="s">
        <v>23627</v>
      </c>
    </row>
    <row r="419">
      <c r="A419" s="37" t="s">
        <v>223</v>
      </c>
      <c r="B419" s="37" t="s">
        <v>216</v>
      </c>
      <c r="C419" s="7" t="s">
        <v>23628</v>
      </c>
      <c r="D419" s="37" t="s">
        <v>23629</v>
      </c>
    </row>
    <row r="420">
      <c r="A420" s="37" t="s">
        <v>223</v>
      </c>
      <c r="B420" s="37" t="s">
        <v>216</v>
      </c>
      <c r="C420" s="7" t="s">
        <v>23630</v>
      </c>
      <c r="D420" s="37" t="s">
        <v>23631</v>
      </c>
    </row>
    <row r="421">
      <c r="A421" s="37" t="s">
        <v>23183</v>
      </c>
      <c r="B421" s="37" t="s">
        <v>216</v>
      </c>
      <c r="C421" s="7" t="s">
        <v>23632</v>
      </c>
      <c r="D421" s="37" t="s">
        <v>23633</v>
      </c>
    </row>
    <row r="422">
      <c r="A422" s="37" t="s">
        <v>143</v>
      </c>
      <c r="B422" s="37" t="s">
        <v>140</v>
      </c>
      <c r="C422" s="7" t="s">
        <v>23634</v>
      </c>
      <c r="D422" s="37" t="s">
        <v>23635</v>
      </c>
    </row>
    <row r="423">
      <c r="A423" s="37" t="s">
        <v>484</v>
      </c>
      <c r="B423" s="37" t="s">
        <v>478</v>
      </c>
      <c r="C423" s="7" t="s">
        <v>23636</v>
      </c>
      <c r="D423" s="37" t="s">
        <v>23637</v>
      </c>
    </row>
    <row r="424">
      <c r="A424" s="37" t="s">
        <v>1495</v>
      </c>
      <c r="B424" s="37" t="s">
        <v>180</v>
      </c>
      <c r="C424" s="7" t="s">
        <v>23638</v>
      </c>
      <c r="D424" s="37" t="s">
        <v>23639</v>
      </c>
    </row>
    <row r="425">
      <c r="A425" s="37" t="s">
        <v>116</v>
      </c>
      <c r="B425" s="37" t="s">
        <v>115</v>
      </c>
      <c r="C425" s="7" t="s">
        <v>23640</v>
      </c>
      <c r="D425" s="37" t="s">
        <v>23641</v>
      </c>
    </row>
    <row r="426">
      <c r="A426" s="37" t="s">
        <v>1284</v>
      </c>
      <c r="B426" s="37" t="s">
        <v>298</v>
      </c>
      <c r="C426" s="7" t="s">
        <v>23642</v>
      </c>
      <c r="D426" s="37" t="s">
        <v>23643</v>
      </c>
    </row>
    <row r="427">
      <c r="A427" s="37" t="s">
        <v>395</v>
      </c>
      <c r="B427" s="37" t="s">
        <v>391</v>
      </c>
      <c r="C427" s="7" t="s">
        <v>23644</v>
      </c>
      <c r="D427" s="37" t="s">
        <v>23645</v>
      </c>
    </row>
    <row r="428">
      <c r="A428" s="37" t="s">
        <v>118</v>
      </c>
      <c r="B428" s="37" t="s">
        <v>115</v>
      </c>
      <c r="C428" s="7" t="s">
        <v>23646</v>
      </c>
      <c r="D428" s="37" t="s">
        <v>23647</v>
      </c>
    </row>
    <row r="429">
      <c r="A429" s="37" t="s">
        <v>1495</v>
      </c>
      <c r="B429" s="37" t="s">
        <v>23439</v>
      </c>
      <c r="C429" s="7" t="s">
        <v>23648</v>
      </c>
      <c r="D429" s="37" t="s">
        <v>23649</v>
      </c>
    </row>
    <row r="430">
      <c r="A430" s="37" t="s">
        <v>1495</v>
      </c>
      <c r="B430" s="37" t="s">
        <v>1495</v>
      </c>
      <c r="C430" s="7" t="s">
        <v>23650</v>
      </c>
      <c r="D430" s="37" t="s">
        <v>23651</v>
      </c>
    </row>
    <row r="431">
      <c r="A431" s="37" t="s">
        <v>217</v>
      </c>
      <c r="B431" s="37" t="s">
        <v>216</v>
      </c>
      <c r="C431" s="7" t="s">
        <v>23652</v>
      </c>
      <c r="D431" s="37" t="s">
        <v>23653</v>
      </c>
    </row>
    <row r="432">
      <c r="A432" s="37" t="s">
        <v>824</v>
      </c>
      <c r="B432" s="37" t="s">
        <v>1242</v>
      </c>
      <c r="C432" s="7" t="s">
        <v>23654</v>
      </c>
      <c r="D432" s="37" t="s">
        <v>23655</v>
      </c>
    </row>
    <row r="433">
      <c r="A433" s="37" t="s">
        <v>48</v>
      </c>
      <c r="B433" s="37" t="s">
        <v>1242</v>
      </c>
      <c r="C433" s="7" t="s">
        <v>23656</v>
      </c>
      <c r="D433" s="37" t="s">
        <v>23657</v>
      </c>
    </row>
    <row r="434">
      <c r="A434" s="37" t="s">
        <v>74</v>
      </c>
      <c r="B434" s="37" t="s">
        <v>1208</v>
      </c>
      <c r="C434" s="7" t="s">
        <v>23658</v>
      </c>
      <c r="D434" s="37" t="s">
        <v>23659</v>
      </c>
    </row>
    <row r="435">
      <c r="A435" s="37" t="s">
        <v>1263</v>
      </c>
      <c r="B435" s="37" t="s">
        <v>648</v>
      </c>
      <c r="C435" s="7" t="s">
        <v>23660</v>
      </c>
      <c r="D435" s="37" t="s">
        <v>23661</v>
      </c>
    </row>
    <row r="436">
      <c r="A436" s="37" t="s">
        <v>299</v>
      </c>
      <c r="B436" s="37" t="s">
        <v>298</v>
      </c>
      <c r="C436" s="7" t="s">
        <v>23662</v>
      </c>
      <c r="D436" s="37" t="s">
        <v>23663</v>
      </c>
    </row>
    <row r="437">
      <c r="A437" s="37" t="s">
        <v>1495</v>
      </c>
      <c r="B437" s="37" t="s">
        <v>1495</v>
      </c>
      <c r="C437" s="7" t="s">
        <v>23664</v>
      </c>
      <c r="D437" s="37" t="s">
        <v>23665</v>
      </c>
    </row>
    <row r="438">
      <c r="A438" s="37" t="s">
        <v>1495</v>
      </c>
      <c r="B438" s="37" t="s">
        <v>3622</v>
      </c>
      <c r="C438" s="7" t="s">
        <v>23666</v>
      </c>
      <c r="D438" s="37" t="s">
        <v>23667</v>
      </c>
    </row>
    <row r="439">
      <c r="A439" s="37" t="s">
        <v>23668</v>
      </c>
      <c r="B439" s="37" t="s">
        <v>168</v>
      </c>
      <c r="C439" s="7" t="s">
        <v>23669</v>
      </c>
      <c r="D439" s="37" t="s">
        <v>23670</v>
      </c>
    </row>
    <row r="440">
      <c r="A440" s="37" t="s">
        <v>148</v>
      </c>
      <c r="B440" s="37" t="s">
        <v>648</v>
      </c>
      <c r="C440" s="7" t="s">
        <v>23671</v>
      </c>
      <c r="D440" s="37" t="s">
        <v>23672</v>
      </c>
    </row>
    <row r="441">
      <c r="A441" s="37" t="s">
        <v>148</v>
      </c>
      <c r="B441" s="37" t="s">
        <v>648</v>
      </c>
      <c r="C441" s="7" t="s">
        <v>23673</v>
      </c>
      <c r="D441" s="37" t="s">
        <v>23674</v>
      </c>
    </row>
    <row r="442">
      <c r="A442" s="37" t="s">
        <v>124</v>
      </c>
      <c r="B442" s="37" t="s">
        <v>115</v>
      </c>
      <c r="C442" s="7" t="s">
        <v>23675</v>
      </c>
      <c r="D442" s="37" t="s">
        <v>23676</v>
      </c>
    </row>
    <row r="443">
      <c r="A443" s="37" t="s">
        <v>1495</v>
      </c>
      <c r="B443" s="37" t="s">
        <v>391</v>
      </c>
      <c r="C443" s="7" t="s">
        <v>23677</v>
      </c>
      <c r="D443" s="37" t="s">
        <v>23678</v>
      </c>
    </row>
    <row r="444">
      <c r="A444" s="37" t="s">
        <v>546</v>
      </c>
      <c r="B444" s="37" t="s">
        <v>22</v>
      </c>
      <c r="C444" s="7" t="s">
        <v>23679</v>
      </c>
      <c r="D444" s="37" t="s">
        <v>23680</v>
      </c>
    </row>
    <row r="445">
      <c r="A445" s="37" t="s">
        <v>143</v>
      </c>
      <c r="B445" s="37" t="s">
        <v>648</v>
      </c>
      <c r="C445" s="7" t="s">
        <v>23681</v>
      </c>
      <c r="D445" s="37" t="s">
        <v>23682</v>
      </c>
    </row>
    <row r="446">
      <c r="A446" s="37" t="s">
        <v>1147</v>
      </c>
      <c r="B446" s="37" t="s">
        <v>478</v>
      </c>
      <c r="C446" s="7" t="s">
        <v>23683</v>
      </c>
      <c r="D446" s="37" t="s">
        <v>23684</v>
      </c>
    </row>
    <row r="447">
      <c r="A447" s="37" t="s">
        <v>23685</v>
      </c>
      <c r="B447" s="37" t="s">
        <v>140</v>
      </c>
      <c r="C447" s="7" t="s">
        <v>23686</v>
      </c>
      <c r="D447" s="37" t="s">
        <v>23687</v>
      </c>
    </row>
    <row r="448">
      <c r="A448" s="37" t="s">
        <v>1263</v>
      </c>
      <c r="B448" s="37" t="s">
        <v>648</v>
      </c>
      <c r="C448" s="7" t="s">
        <v>23688</v>
      </c>
      <c r="D448" s="37" t="s">
        <v>23689</v>
      </c>
    </row>
    <row r="449">
      <c r="A449" s="37" t="s">
        <v>798</v>
      </c>
      <c r="B449" s="37" t="s">
        <v>298</v>
      </c>
      <c r="C449" s="7" t="s">
        <v>23690</v>
      </c>
      <c r="D449" s="37" t="s">
        <v>23691</v>
      </c>
    </row>
    <row r="450">
      <c r="A450" s="37" t="s">
        <v>798</v>
      </c>
      <c r="B450" s="37" t="s">
        <v>298</v>
      </c>
      <c r="C450" s="7" t="s">
        <v>23692</v>
      </c>
      <c r="D450" s="37" t="s">
        <v>23693</v>
      </c>
    </row>
    <row r="451">
      <c r="A451" s="37" t="s">
        <v>798</v>
      </c>
      <c r="B451" s="37" t="s">
        <v>298</v>
      </c>
      <c r="C451" s="7" t="s">
        <v>23694</v>
      </c>
      <c r="D451" s="37" t="s">
        <v>23695</v>
      </c>
    </row>
    <row r="452">
      <c r="A452" s="37" t="s">
        <v>720</v>
      </c>
      <c r="B452" s="37" t="s">
        <v>717</v>
      </c>
      <c r="C452" s="7" t="s">
        <v>23696</v>
      </c>
      <c r="D452" s="37" t="s">
        <v>23697</v>
      </c>
    </row>
    <row r="453">
      <c r="A453" s="37" t="s">
        <v>324</v>
      </c>
      <c r="B453" s="37" t="s">
        <v>1242</v>
      </c>
      <c r="C453" s="7" t="s">
        <v>23698</v>
      </c>
      <c r="D453" s="37" t="s">
        <v>23699</v>
      </c>
    </row>
    <row r="454">
      <c r="A454" s="37" t="s">
        <v>1147</v>
      </c>
      <c r="B454" s="37" t="s">
        <v>478</v>
      </c>
      <c r="C454" s="7" t="s">
        <v>23700</v>
      </c>
      <c r="D454" s="37" t="s">
        <v>23701</v>
      </c>
    </row>
    <row r="455">
      <c r="A455" s="37" t="s">
        <v>701</v>
      </c>
      <c r="B455" s="37" t="s">
        <v>693</v>
      </c>
      <c r="C455" s="7" t="s">
        <v>23702</v>
      </c>
      <c r="D455" s="37" t="s">
        <v>23703</v>
      </c>
    </row>
    <row r="456">
      <c r="A456" s="37" t="s">
        <v>443</v>
      </c>
      <c r="B456" s="37" t="s">
        <v>440</v>
      </c>
      <c r="C456" s="7" t="s">
        <v>23704</v>
      </c>
      <c r="D456" s="37" t="s">
        <v>23705</v>
      </c>
    </row>
    <row r="457">
      <c r="A457" s="37" t="s">
        <v>281</v>
      </c>
      <c r="B457" s="37" t="s">
        <v>1495</v>
      </c>
      <c r="C457" s="7" t="s">
        <v>23706</v>
      </c>
      <c r="D457" s="37" t="s">
        <v>23707</v>
      </c>
    </row>
    <row r="458">
      <c r="A458" s="37" t="s">
        <v>1495</v>
      </c>
      <c r="B458" s="37" t="s">
        <v>854</v>
      </c>
      <c r="C458" s="7" t="s">
        <v>23708</v>
      </c>
      <c r="D458" s="37" t="s">
        <v>23709</v>
      </c>
    </row>
    <row r="459">
      <c r="A459" s="37" t="s">
        <v>356</v>
      </c>
      <c r="B459" s="37" t="s">
        <v>3463</v>
      </c>
      <c r="C459" s="7" t="s">
        <v>23710</v>
      </c>
      <c r="D459" s="37" t="s">
        <v>23711</v>
      </c>
    </row>
    <row r="460">
      <c r="A460" s="37" t="s">
        <v>173</v>
      </c>
      <c r="B460" s="37" t="s">
        <v>854</v>
      </c>
      <c r="C460" s="7" t="s">
        <v>23712</v>
      </c>
      <c r="D460" s="37" t="s">
        <v>23713</v>
      </c>
    </row>
    <row r="461">
      <c r="A461" s="37" t="s">
        <v>484</v>
      </c>
      <c r="B461" s="37" t="s">
        <v>478</v>
      </c>
      <c r="C461" s="7" t="s">
        <v>23714</v>
      </c>
      <c r="D461" s="37" t="s">
        <v>23715</v>
      </c>
    </row>
    <row r="462">
      <c r="A462" s="37" t="s">
        <v>225</v>
      </c>
      <c r="B462" s="37" t="s">
        <v>216</v>
      </c>
      <c r="C462" s="7" t="s">
        <v>23716</v>
      </c>
      <c r="D462" s="37" t="s">
        <v>23717</v>
      </c>
    </row>
    <row r="463">
      <c r="A463" s="37" t="s">
        <v>1495</v>
      </c>
      <c r="B463" s="37" t="s">
        <v>180</v>
      </c>
      <c r="C463" s="7" t="s">
        <v>23718</v>
      </c>
      <c r="D463" s="37" t="s">
        <v>23719</v>
      </c>
    </row>
    <row r="464">
      <c r="A464" s="37" t="s">
        <v>1495</v>
      </c>
      <c r="B464" s="37" t="s">
        <v>478</v>
      </c>
      <c r="C464" s="7" t="s">
        <v>23720</v>
      </c>
      <c r="D464" s="37" t="s">
        <v>23721</v>
      </c>
    </row>
    <row r="465">
      <c r="A465" s="37" t="s">
        <v>230</v>
      </c>
      <c r="B465" s="37" t="s">
        <v>216</v>
      </c>
      <c r="C465" s="7" t="s">
        <v>23722</v>
      </c>
      <c r="D465" s="37" t="s">
        <v>23723</v>
      </c>
    </row>
    <row r="466">
      <c r="A466" s="37" t="s">
        <v>1147</v>
      </c>
      <c r="B466" s="37" t="s">
        <v>478</v>
      </c>
      <c r="C466" s="7" t="s">
        <v>17402</v>
      </c>
      <c r="D466" s="37" t="s">
        <v>23724</v>
      </c>
    </row>
    <row r="467">
      <c r="A467" s="37" t="s">
        <v>331</v>
      </c>
      <c r="B467" s="37" t="s">
        <v>38</v>
      </c>
      <c r="C467" s="7" t="s">
        <v>23725</v>
      </c>
      <c r="D467" s="37" t="s">
        <v>23726</v>
      </c>
    </row>
    <row r="468">
      <c r="A468" s="37" t="s">
        <v>148</v>
      </c>
      <c r="B468" s="37" t="s">
        <v>648</v>
      </c>
      <c r="C468" s="7" t="s">
        <v>23727</v>
      </c>
      <c r="D468" s="37" t="s">
        <v>23728</v>
      </c>
    </row>
    <row r="469">
      <c r="A469" s="37" t="s">
        <v>173</v>
      </c>
      <c r="B469" s="37" t="s">
        <v>854</v>
      </c>
      <c r="C469" s="7" t="s">
        <v>23729</v>
      </c>
      <c r="D469" s="37" t="s">
        <v>23730</v>
      </c>
    </row>
    <row r="470">
      <c r="A470" s="37" t="s">
        <v>324</v>
      </c>
      <c r="B470" s="37" t="s">
        <v>38</v>
      </c>
      <c r="C470" s="7" t="s">
        <v>23731</v>
      </c>
      <c r="D470" s="37" t="s">
        <v>23732</v>
      </c>
    </row>
    <row r="471">
      <c r="A471" s="37" t="s">
        <v>104</v>
      </c>
      <c r="B471" s="37" t="s">
        <v>613</v>
      </c>
      <c r="C471" s="7" t="s">
        <v>23733</v>
      </c>
      <c r="D471" s="37" t="s">
        <v>23734</v>
      </c>
    </row>
    <row r="472">
      <c r="A472" s="37" t="s">
        <v>23590</v>
      </c>
      <c r="B472" s="37" t="s">
        <v>168</v>
      </c>
      <c r="C472" s="7" t="s">
        <v>23735</v>
      </c>
      <c r="D472" s="37" t="s">
        <v>23736</v>
      </c>
    </row>
    <row r="473">
      <c r="A473" s="37" t="s">
        <v>51</v>
      </c>
      <c r="B473" s="37" t="s">
        <v>1242</v>
      </c>
      <c r="C473" s="7" t="s">
        <v>23737</v>
      </c>
      <c r="D473" s="37" t="s">
        <v>23738</v>
      </c>
    </row>
    <row r="474">
      <c r="A474" s="37" t="s">
        <v>324</v>
      </c>
      <c r="B474" s="37" t="s">
        <v>1242</v>
      </c>
      <c r="C474" s="7" t="s">
        <v>23739</v>
      </c>
      <c r="D474" s="37" t="s">
        <v>23740</v>
      </c>
    </row>
    <row r="475">
      <c r="A475" s="37" t="s">
        <v>356</v>
      </c>
      <c r="B475" s="37" t="s">
        <v>353</v>
      </c>
      <c r="C475" s="7" t="s">
        <v>23741</v>
      </c>
      <c r="D475" s="37" t="s">
        <v>23742</v>
      </c>
    </row>
    <row r="476">
      <c r="A476" s="37" t="s">
        <v>395</v>
      </c>
      <c r="B476" s="37" t="s">
        <v>391</v>
      </c>
      <c r="C476" s="7" t="s">
        <v>23743</v>
      </c>
      <c r="D476" s="37" t="s">
        <v>23744</v>
      </c>
    </row>
    <row r="477">
      <c r="A477" s="37" t="s">
        <v>23444</v>
      </c>
      <c r="B477" s="37" t="s">
        <v>216</v>
      </c>
      <c r="C477" s="7" t="s">
        <v>23745</v>
      </c>
      <c r="D477" s="37" t="s">
        <v>23746</v>
      </c>
    </row>
    <row r="478">
      <c r="A478" s="37" t="s">
        <v>798</v>
      </c>
      <c r="B478" s="37" t="s">
        <v>298</v>
      </c>
      <c r="C478" s="7" t="s">
        <v>23747</v>
      </c>
      <c r="D478" s="37" t="s">
        <v>23748</v>
      </c>
    </row>
    <row r="479">
      <c r="A479" s="37" t="s">
        <v>1284</v>
      </c>
      <c r="B479" s="37" t="s">
        <v>298</v>
      </c>
      <c r="C479" s="7" t="s">
        <v>23749</v>
      </c>
      <c r="D479" s="37" t="s">
        <v>23750</v>
      </c>
    </row>
    <row r="480">
      <c r="A480" s="37" t="s">
        <v>1495</v>
      </c>
      <c r="B480" s="37" t="s">
        <v>1495</v>
      </c>
      <c r="C480" s="7" t="s">
        <v>23751</v>
      </c>
      <c r="D480" s="37" t="s">
        <v>23752</v>
      </c>
    </row>
    <row r="481">
      <c r="A481" s="37" t="s">
        <v>1263</v>
      </c>
      <c r="B481" s="37" t="s">
        <v>648</v>
      </c>
      <c r="C481" s="7" t="s">
        <v>23753</v>
      </c>
      <c r="D481" s="37" t="s">
        <v>23754</v>
      </c>
    </row>
    <row r="482">
      <c r="A482" s="37" t="s">
        <v>1263</v>
      </c>
      <c r="B482" s="37" t="s">
        <v>648</v>
      </c>
      <c r="C482" s="7" t="s">
        <v>23755</v>
      </c>
      <c r="D482" s="37" t="s">
        <v>23756</v>
      </c>
    </row>
    <row r="483">
      <c r="A483" s="37" t="s">
        <v>74</v>
      </c>
      <c r="B483" s="37" t="s">
        <v>1208</v>
      </c>
      <c r="C483" s="7" t="s">
        <v>1476</v>
      </c>
      <c r="D483" s="37" t="s">
        <v>23757</v>
      </c>
    </row>
    <row r="484">
      <c r="A484" s="37" t="s">
        <v>1263</v>
      </c>
      <c r="B484" s="37" t="s">
        <v>648</v>
      </c>
      <c r="C484" s="7" t="s">
        <v>23758</v>
      </c>
      <c r="D484" s="37" t="s">
        <v>23759</v>
      </c>
    </row>
    <row r="485">
      <c r="A485" s="37" t="s">
        <v>1263</v>
      </c>
      <c r="B485" s="37" t="s">
        <v>648</v>
      </c>
      <c r="C485" s="7" t="s">
        <v>23760</v>
      </c>
      <c r="D485" s="37" t="s">
        <v>23761</v>
      </c>
    </row>
    <row r="486">
      <c r="A486" s="37" t="s">
        <v>143</v>
      </c>
      <c r="B486" s="37" t="s">
        <v>648</v>
      </c>
      <c r="C486" s="7" t="s">
        <v>23762</v>
      </c>
      <c r="D486" s="37" t="s">
        <v>23763</v>
      </c>
    </row>
    <row r="487">
      <c r="A487" s="37" t="s">
        <v>16</v>
      </c>
      <c r="B487" s="37" t="s">
        <v>23764</v>
      </c>
      <c r="C487" s="7" t="s">
        <v>23765</v>
      </c>
      <c r="D487" s="37" t="s">
        <v>23766</v>
      </c>
    </row>
    <row r="488">
      <c r="A488" s="37" t="s">
        <v>148</v>
      </c>
      <c r="B488" s="37" t="s">
        <v>648</v>
      </c>
      <c r="C488" s="7" t="s">
        <v>23767</v>
      </c>
      <c r="D488" s="37" t="s">
        <v>23768</v>
      </c>
    </row>
    <row r="489">
      <c r="A489" s="37" t="s">
        <v>230</v>
      </c>
      <c r="B489" s="37" t="s">
        <v>216</v>
      </c>
      <c r="C489" s="7" t="s">
        <v>23769</v>
      </c>
      <c r="D489" s="37" t="s">
        <v>23770</v>
      </c>
    </row>
    <row r="490">
      <c r="A490" s="37" t="s">
        <v>118</v>
      </c>
      <c r="B490" s="37" t="s">
        <v>115</v>
      </c>
      <c r="C490" s="7" t="s">
        <v>23771</v>
      </c>
      <c r="D490" s="37" t="s">
        <v>23772</v>
      </c>
    </row>
    <row r="491">
      <c r="A491" s="37" t="s">
        <v>798</v>
      </c>
      <c r="B491" s="37" t="s">
        <v>298</v>
      </c>
      <c r="C491" s="7" t="s">
        <v>23773</v>
      </c>
      <c r="D491" s="37" t="s">
        <v>23774</v>
      </c>
    </row>
    <row r="492">
      <c r="A492" s="37" t="s">
        <v>703</v>
      </c>
      <c r="B492" s="37" t="s">
        <v>693</v>
      </c>
      <c r="C492" s="7" t="s">
        <v>23775</v>
      </c>
      <c r="D492" s="37" t="s">
        <v>23776</v>
      </c>
    </row>
    <row r="493">
      <c r="A493" s="37" t="s">
        <v>484</v>
      </c>
      <c r="B493" s="37" t="s">
        <v>478</v>
      </c>
      <c r="C493" s="7" t="s">
        <v>23777</v>
      </c>
      <c r="D493" s="37" t="s">
        <v>23778</v>
      </c>
    </row>
    <row r="494">
      <c r="A494" s="37" t="s">
        <v>484</v>
      </c>
      <c r="B494" s="37" t="s">
        <v>478</v>
      </c>
      <c r="C494" s="7" t="s">
        <v>23779</v>
      </c>
      <c r="D494" s="37" t="s">
        <v>23780</v>
      </c>
    </row>
    <row r="495">
      <c r="A495" s="37" t="s">
        <v>1495</v>
      </c>
      <c r="B495" s="37" t="s">
        <v>22880</v>
      </c>
      <c r="C495" s="7" t="s">
        <v>23781</v>
      </c>
      <c r="D495" s="37" t="s">
        <v>23782</v>
      </c>
    </row>
    <row r="496">
      <c r="A496" s="37" t="s">
        <v>124</v>
      </c>
      <c r="B496" s="37" t="s">
        <v>115</v>
      </c>
      <c r="C496" s="7" t="s">
        <v>23783</v>
      </c>
      <c r="D496" s="37" t="s">
        <v>23784</v>
      </c>
    </row>
    <row r="497">
      <c r="A497" s="37" t="s">
        <v>1188</v>
      </c>
      <c r="B497" s="37" t="s">
        <v>1208</v>
      </c>
      <c r="C497" s="7" t="s">
        <v>23785</v>
      </c>
      <c r="D497" s="37" t="s">
        <v>23786</v>
      </c>
    </row>
    <row r="498">
      <c r="A498" s="37" t="s">
        <v>1495</v>
      </c>
      <c r="B498" s="37" t="s">
        <v>854</v>
      </c>
      <c r="C498" s="7" t="s">
        <v>23787</v>
      </c>
      <c r="D498" s="37" t="s">
        <v>23788</v>
      </c>
    </row>
    <row r="499">
      <c r="A499" s="37" t="s">
        <v>1163</v>
      </c>
      <c r="B499" s="37" t="s">
        <v>1054</v>
      </c>
      <c r="C499" s="7" t="s">
        <v>23789</v>
      </c>
      <c r="D499" s="37" t="s">
        <v>23790</v>
      </c>
    </row>
    <row r="500">
      <c r="A500" s="37" t="s">
        <v>1495</v>
      </c>
      <c r="B500" s="37" t="s">
        <v>22880</v>
      </c>
      <c r="C500" s="7" t="s">
        <v>23791</v>
      </c>
      <c r="D500" s="37" t="s">
        <v>23792</v>
      </c>
    </row>
    <row r="501">
      <c r="A501" s="37" t="s">
        <v>1263</v>
      </c>
      <c r="B501" s="37" t="s">
        <v>648</v>
      </c>
      <c r="C501" s="7" t="s">
        <v>23793</v>
      </c>
      <c r="D501" s="37" t="s">
        <v>23794</v>
      </c>
    </row>
    <row r="502">
      <c r="A502" s="37" t="s">
        <v>225</v>
      </c>
      <c r="B502" s="37" t="s">
        <v>216</v>
      </c>
      <c r="C502" s="7" t="s">
        <v>23795</v>
      </c>
      <c r="D502" s="37" t="s">
        <v>23796</v>
      </c>
    </row>
    <row r="503">
      <c r="A503" s="37" t="s">
        <v>1263</v>
      </c>
      <c r="B503" s="37" t="s">
        <v>140</v>
      </c>
      <c r="C503" s="7" t="s">
        <v>23797</v>
      </c>
      <c r="D503" s="37" t="s">
        <v>23798</v>
      </c>
    </row>
    <row r="504">
      <c r="A504" s="37" t="s">
        <v>1495</v>
      </c>
      <c r="B504" s="37" t="s">
        <v>1495</v>
      </c>
      <c r="C504" s="7" t="s">
        <v>23799</v>
      </c>
      <c r="D504" s="37" t="s">
        <v>23800</v>
      </c>
    </row>
    <row r="505">
      <c r="A505" s="37" t="s">
        <v>1495</v>
      </c>
      <c r="B505" s="37" t="s">
        <v>1495</v>
      </c>
      <c r="C505" s="7" t="s">
        <v>23801</v>
      </c>
      <c r="D505" s="37" t="s">
        <v>23802</v>
      </c>
    </row>
    <row r="506">
      <c r="A506" s="37" t="s">
        <v>90</v>
      </c>
      <c r="B506" s="37" t="s">
        <v>440</v>
      </c>
      <c r="C506" s="7" t="s">
        <v>23803</v>
      </c>
      <c r="D506" s="37" t="s">
        <v>23804</v>
      </c>
    </row>
    <row r="507">
      <c r="A507" s="37" t="s">
        <v>90</v>
      </c>
      <c r="B507" s="37" t="s">
        <v>440</v>
      </c>
      <c r="C507" s="7" t="s">
        <v>23805</v>
      </c>
      <c r="D507" s="37" t="s">
        <v>23806</v>
      </c>
    </row>
    <row r="508">
      <c r="A508" s="37" t="s">
        <v>90</v>
      </c>
      <c r="B508" s="37" t="s">
        <v>440</v>
      </c>
      <c r="C508" s="7" t="s">
        <v>23807</v>
      </c>
      <c r="D508" s="37" t="s">
        <v>23808</v>
      </c>
    </row>
    <row r="509">
      <c r="A509" s="37" t="s">
        <v>90</v>
      </c>
      <c r="B509" s="37" t="s">
        <v>440</v>
      </c>
      <c r="C509" s="7" t="s">
        <v>23809</v>
      </c>
      <c r="D509" s="37" t="s">
        <v>23810</v>
      </c>
    </row>
    <row r="510">
      <c r="A510" s="37" t="s">
        <v>1146</v>
      </c>
      <c r="B510" s="37" t="s">
        <v>478</v>
      </c>
      <c r="C510" s="7" t="s">
        <v>23811</v>
      </c>
      <c r="D510" s="37" t="s">
        <v>23812</v>
      </c>
    </row>
    <row r="511">
      <c r="A511" s="37" t="s">
        <v>370</v>
      </c>
      <c r="B511" s="37" t="s">
        <v>363</v>
      </c>
      <c r="C511" s="7" t="s">
        <v>23813</v>
      </c>
      <c r="D511" s="37" t="s">
        <v>23814</v>
      </c>
    </row>
    <row r="512">
      <c r="A512" s="37" t="s">
        <v>861</v>
      </c>
      <c r="B512" s="37" t="s">
        <v>854</v>
      </c>
      <c r="C512" s="7" t="s">
        <v>23815</v>
      </c>
      <c r="D512" s="37" t="s">
        <v>23816</v>
      </c>
    </row>
    <row r="513">
      <c r="A513" s="37" t="s">
        <v>861</v>
      </c>
      <c r="B513" s="37" t="s">
        <v>854</v>
      </c>
      <c r="C513" s="7" t="s">
        <v>23817</v>
      </c>
      <c r="D513" s="37" t="s">
        <v>23818</v>
      </c>
    </row>
    <row r="514">
      <c r="A514" s="37" t="s">
        <v>854</v>
      </c>
      <c r="B514" s="37" t="s">
        <v>1495</v>
      </c>
      <c r="C514" s="7" t="s">
        <v>23819</v>
      </c>
      <c r="D514" s="37" t="s">
        <v>23820</v>
      </c>
    </row>
    <row r="515">
      <c r="A515" s="37" t="s">
        <v>23821</v>
      </c>
      <c r="B515" s="37" t="s">
        <v>23764</v>
      </c>
      <c r="C515" s="7" t="s">
        <v>23822</v>
      </c>
      <c r="D515" s="37" t="s">
        <v>23823</v>
      </c>
    </row>
    <row r="516">
      <c r="A516" s="37" t="s">
        <v>51</v>
      </c>
      <c r="B516" s="37" t="s">
        <v>1242</v>
      </c>
      <c r="C516" s="7" t="s">
        <v>23824</v>
      </c>
      <c r="D516" s="37" t="s">
        <v>23825</v>
      </c>
    </row>
    <row r="517">
      <c r="A517" s="37" t="s">
        <v>482</v>
      </c>
      <c r="B517" s="37" t="s">
        <v>478</v>
      </c>
      <c r="C517" s="7" t="s">
        <v>23826</v>
      </c>
      <c r="D517" s="37" t="s">
        <v>23827</v>
      </c>
    </row>
    <row r="518">
      <c r="A518" s="37" t="s">
        <v>1147</v>
      </c>
      <c r="B518" s="37" t="s">
        <v>478</v>
      </c>
      <c r="C518" s="7" t="s">
        <v>23828</v>
      </c>
      <c r="D518" s="37" t="s">
        <v>23829</v>
      </c>
    </row>
    <row r="519">
      <c r="A519" s="37" t="s">
        <v>217</v>
      </c>
      <c r="B519" s="37" t="s">
        <v>216</v>
      </c>
      <c r="C519" s="7" t="s">
        <v>23830</v>
      </c>
      <c r="D519" s="37" t="s">
        <v>23831</v>
      </c>
    </row>
    <row r="520">
      <c r="A520" s="37" t="s">
        <v>798</v>
      </c>
      <c r="B520" s="37" t="s">
        <v>298</v>
      </c>
      <c r="C520" s="7" t="s">
        <v>23832</v>
      </c>
      <c r="D520" s="37" t="s">
        <v>23833</v>
      </c>
    </row>
    <row r="521">
      <c r="A521" s="37" t="s">
        <v>703</v>
      </c>
      <c r="B521" s="37" t="s">
        <v>693</v>
      </c>
      <c r="C521" s="7" t="s">
        <v>23834</v>
      </c>
      <c r="D521" s="37" t="s">
        <v>23835</v>
      </c>
    </row>
    <row r="522">
      <c r="A522" s="37" t="s">
        <v>484</v>
      </c>
      <c r="B522" s="37" t="s">
        <v>478</v>
      </c>
      <c r="C522" s="7" t="s">
        <v>23836</v>
      </c>
      <c r="D522" s="37" t="s">
        <v>23837</v>
      </c>
    </row>
    <row r="523">
      <c r="A523" s="37" t="s">
        <v>104</v>
      </c>
      <c r="B523" s="37" t="s">
        <v>101</v>
      </c>
      <c r="C523" s="7" t="s">
        <v>23838</v>
      </c>
      <c r="D523" s="37" t="s">
        <v>23839</v>
      </c>
    </row>
    <row r="524">
      <c r="A524" s="37" t="s">
        <v>195</v>
      </c>
      <c r="B524" s="37" t="s">
        <v>192</v>
      </c>
      <c r="C524" s="7" t="s">
        <v>23840</v>
      </c>
      <c r="D524" s="37" t="s">
        <v>23841</v>
      </c>
    </row>
    <row r="525">
      <c r="A525" s="37" t="s">
        <v>1495</v>
      </c>
      <c r="B525" s="37" t="s">
        <v>23091</v>
      </c>
      <c r="C525" s="7" t="s">
        <v>23842</v>
      </c>
      <c r="D525" s="37" t="s">
        <v>23843</v>
      </c>
    </row>
    <row r="526">
      <c r="A526" s="37" t="s">
        <v>1495</v>
      </c>
      <c r="B526" s="37" t="s">
        <v>23091</v>
      </c>
      <c r="C526" s="7" t="s">
        <v>23844</v>
      </c>
      <c r="D526" s="37" t="s">
        <v>23845</v>
      </c>
    </row>
    <row r="527">
      <c r="A527" s="37" t="s">
        <v>230</v>
      </c>
      <c r="B527" s="37" t="s">
        <v>216</v>
      </c>
      <c r="C527" s="7" t="s">
        <v>23846</v>
      </c>
      <c r="D527" s="37" t="s">
        <v>23847</v>
      </c>
    </row>
    <row r="528">
      <c r="A528" s="37" t="s">
        <v>23590</v>
      </c>
      <c r="B528" s="37" t="s">
        <v>168</v>
      </c>
      <c r="C528" s="7" t="s">
        <v>23735</v>
      </c>
      <c r="D528" s="37" t="s">
        <v>23736</v>
      </c>
    </row>
    <row r="529">
      <c r="A529" s="37" t="s">
        <v>225</v>
      </c>
      <c r="B529" s="37" t="s">
        <v>216</v>
      </c>
      <c r="C529" s="7" t="s">
        <v>23848</v>
      </c>
      <c r="D529" s="37" t="s">
        <v>23849</v>
      </c>
    </row>
    <row r="530">
      <c r="A530" s="37" t="s">
        <v>225</v>
      </c>
      <c r="B530" s="37" t="s">
        <v>216</v>
      </c>
      <c r="C530" s="7" t="s">
        <v>23850</v>
      </c>
      <c r="D530" s="37" t="s">
        <v>23851</v>
      </c>
    </row>
    <row r="531">
      <c r="A531" s="37" t="s">
        <v>1147</v>
      </c>
      <c r="B531" s="37" t="s">
        <v>478</v>
      </c>
      <c r="C531" s="7" t="s">
        <v>23852</v>
      </c>
      <c r="D531" s="37" t="s">
        <v>23853</v>
      </c>
    </row>
    <row r="532">
      <c r="A532" s="37" t="s">
        <v>116</v>
      </c>
      <c r="B532" s="37" t="s">
        <v>115</v>
      </c>
      <c r="C532" s="7" t="s">
        <v>23854</v>
      </c>
      <c r="D532" s="37" t="s">
        <v>23855</v>
      </c>
    </row>
    <row r="533">
      <c r="A533" s="37" t="s">
        <v>798</v>
      </c>
      <c r="B533" s="37" t="s">
        <v>298</v>
      </c>
      <c r="C533" s="7" t="s">
        <v>23856</v>
      </c>
      <c r="D533" s="37" t="s">
        <v>23857</v>
      </c>
    </row>
    <row r="534">
      <c r="A534" s="37" t="s">
        <v>284</v>
      </c>
      <c r="B534" s="37" t="s">
        <v>281</v>
      </c>
      <c r="C534" s="7" t="s">
        <v>23858</v>
      </c>
      <c r="D534" s="37" t="s">
        <v>23859</v>
      </c>
    </row>
    <row r="535">
      <c r="A535" s="37" t="s">
        <v>1284</v>
      </c>
      <c r="B535" s="37" t="s">
        <v>298</v>
      </c>
      <c r="C535" s="7" t="s">
        <v>23860</v>
      </c>
      <c r="D535" s="37" t="s">
        <v>23861</v>
      </c>
    </row>
    <row r="536">
      <c r="A536" s="37" t="s">
        <v>74</v>
      </c>
      <c r="B536" s="37" t="s">
        <v>1208</v>
      </c>
      <c r="C536" s="7" t="s">
        <v>23862</v>
      </c>
      <c r="D536" s="37" t="s">
        <v>23863</v>
      </c>
    </row>
    <row r="537">
      <c r="A537" s="37" t="s">
        <v>1495</v>
      </c>
      <c r="B537" s="37" t="s">
        <v>22880</v>
      </c>
      <c r="C537" s="7" t="s">
        <v>23864</v>
      </c>
      <c r="D537" s="37" t="s">
        <v>23865</v>
      </c>
    </row>
    <row r="538">
      <c r="A538" s="37" t="s">
        <v>148</v>
      </c>
      <c r="B538" s="37" t="s">
        <v>648</v>
      </c>
      <c r="C538" s="7" t="s">
        <v>23866</v>
      </c>
      <c r="D538" s="37" t="s">
        <v>23867</v>
      </c>
    </row>
    <row r="539">
      <c r="A539" s="37" t="s">
        <v>148</v>
      </c>
      <c r="B539" s="37" t="s">
        <v>648</v>
      </c>
      <c r="C539" s="7" t="s">
        <v>23868</v>
      </c>
      <c r="D539" s="37" t="s">
        <v>23869</v>
      </c>
    </row>
    <row r="540">
      <c r="A540" s="37" t="s">
        <v>23685</v>
      </c>
      <c r="B540" s="37" t="s">
        <v>140</v>
      </c>
      <c r="C540" s="7" t="s">
        <v>23870</v>
      </c>
      <c r="D540" s="37" t="s">
        <v>23871</v>
      </c>
    </row>
    <row r="541">
      <c r="A541" s="37" t="s">
        <v>43</v>
      </c>
      <c r="B541" s="37" t="s">
        <v>1242</v>
      </c>
      <c r="C541" s="7" t="s">
        <v>23872</v>
      </c>
      <c r="D541" s="37" t="s">
        <v>23873</v>
      </c>
    </row>
    <row r="542">
      <c r="A542" s="37" t="s">
        <v>104</v>
      </c>
      <c r="B542" s="37" t="s">
        <v>101</v>
      </c>
      <c r="C542" s="7" t="s">
        <v>23874</v>
      </c>
      <c r="D542" s="37" t="s">
        <v>23875</v>
      </c>
    </row>
    <row r="543">
      <c r="A543" s="37" t="s">
        <v>1495</v>
      </c>
      <c r="B543" s="37" t="s">
        <v>854</v>
      </c>
      <c r="C543" s="7" t="s">
        <v>23876</v>
      </c>
      <c r="D543" s="37" t="s">
        <v>23877</v>
      </c>
    </row>
    <row r="544">
      <c r="A544" s="37" t="s">
        <v>1147</v>
      </c>
      <c r="B544" s="37" t="s">
        <v>478</v>
      </c>
      <c r="C544" s="7" t="s">
        <v>23878</v>
      </c>
      <c r="D544" s="37" t="s">
        <v>23879</v>
      </c>
    </row>
    <row r="545">
      <c r="A545" s="37" t="s">
        <v>1147</v>
      </c>
      <c r="B545" s="37" t="s">
        <v>478</v>
      </c>
      <c r="C545" s="7" t="s">
        <v>23880</v>
      </c>
      <c r="D545" s="37" t="s">
        <v>23881</v>
      </c>
    </row>
    <row r="546">
      <c r="A546" s="37" t="s">
        <v>540</v>
      </c>
      <c r="B546" s="37" t="s">
        <v>22</v>
      </c>
      <c r="C546" s="7" t="s">
        <v>23882</v>
      </c>
      <c r="D546" s="37" t="s">
        <v>23883</v>
      </c>
    </row>
    <row r="547">
      <c r="A547" s="37" t="s">
        <v>395</v>
      </c>
      <c r="B547" s="37" t="s">
        <v>391</v>
      </c>
      <c r="C547" s="7" t="s">
        <v>23884</v>
      </c>
      <c r="D547" s="37" t="s">
        <v>23885</v>
      </c>
    </row>
    <row r="548">
      <c r="A548" s="37" t="s">
        <v>217</v>
      </c>
      <c r="B548" s="37" t="s">
        <v>216</v>
      </c>
      <c r="C548" s="7" t="s">
        <v>23886</v>
      </c>
      <c r="D548" s="37" t="s">
        <v>23887</v>
      </c>
    </row>
    <row r="549">
      <c r="A549" s="37" t="s">
        <v>1147</v>
      </c>
      <c r="B549" s="37" t="s">
        <v>478</v>
      </c>
      <c r="C549" s="7" t="s">
        <v>23888</v>
      </c>
      <c r="D549" s="37" t="s">
        <v>23889</v>
      </c>
    </row>
    <row r="550">
      <c r="A550" s="37" t="s">
        <v>1495</v>
      </c>
      <c r="B550" s="37" t="s">
        <v>1495</v>
      </c>
      <c r="C550" s="7" t="s">
        <v>23890</v>
      </c>
      <c r="D550" s="37" t="s">
        <v>23891</v>
      </c>
    </row>
    <row r="551">
      <c r="A551" s="37" t="s">
        <v>1495</v>
      </c>
      <c r="B551" s="37" t="s">
        <v>23439</v>
      </c>
      <c r="C551" s="7" t="s">
        <v>23892</v>
      </c>
      <c r="D551" s="37" t="s">
        <v>23893</v>
      </c>
    </row>
    <row r="552">
      <c r="A552" s="37" t="s">
        <v>331</v>
      </c>
      <c r="B552" s="37" t="s">
        <v>38</v>
      </c>
      <c r="C552" s="7" t="s">
        <v>23894</v>
      </c>
      <c r="D552" s="37" t="s">
        <v>23895</v>
      </c>
    </row>
    <row r="553">
      <c r="A553" s="37" t="s">
        <v>399</v>
      </c>
      <c r="B553" s="37" t="s">
        <v>391</v>
      </c>
      <c r="C553" s="7" t="s">
        <v>23896</v>
      </c>
      <c r="D553" s="37" t="s">
        <v>23897</v>
      </c>
    </row>
    <row r="554">
      <c r="A554" s="37" t="s">
        <v>331</v>
      </c>
      <c r="B554" s="37" t="s">
        <v>38</v>
      </c>
      <c r="C554" s="7" t="s">
        <v>23898</v>
      </c>
      <c r="D554" s="37" t="s">
        <v>23899</v>
      </c>
    </row>
    <row r="555">
      <c r="A555" s="37" t="s">
        <v>331</v>
      </c>
      <c r="B555" s="37" t="s">
        <v>38</v>
      </c>
      <c r="C555" s="7" t="s">
        <v>23900</v>
      </c>
      <c r="D555" s="37" t="s">
        <v>23901</v>
      </c>
    </row>
    <row r="556">
      <c r="A556" s="37" t="s">
        <v>331</v>
      </c>
      <c r="B556" s="37" t="s">
        <v>38</v>
      </c>
      <c r="C556" s="7" t="s">
        <v>23902</v>
      </c>
      <c r="D556" s="37" t="s">
        <v>23903</v>
      </c>
    </row>
    <row r="557">
      <c r="A557" s="37" t="s">
        <v>331</v>
      </c>
      <c r="B557" s="37" t="s">
        <v>38</v>
      </c>
      <c r="C557" s="7" t="s">
        <v>23904</v>
      </c>
      <c r="D557" s="37" t="s">
        <v>23905</v>
      </c>
    </row>
    <row r="558">
      <c r="A558" s="37" t="s">
        <v>225</v>
      </c>
      <c r="B558" s="37" t="s">
        <v>216</v>
      </c>
      <c r="C558" s="7" t="s">
        <v>23906</v>
      </c>
      <c r="D558" s="37" t="s">
        <v>23907</v>
      </c>
    </row>
    <row r="559">
      <c r="A559" s="37" t="s">
        <v>484</v>
      </c>
      <c r="B559" s="37" t="s">
        <v>478</v>
      </c>
      <c r="C559" s="7" t="s">
        <v>23908</v>
      </c>
      <c r="D559" s="37" t="s">
        <v>23909</v>
      </c>
    </row>
    <row r="560">
      <c r="A560" s="37" t="s">
        <v>148</v>
      </c>
      <c r="B560" s="37" t="s">
        <v>648</v>
      </c>
      <c r="C560" s="7" t="s">
        <v>23910</v>
      </c>
      <c r="D560" s="37" t="s">
        <v>23911</v>
      </c>
    </row>
    <row r="561">
      <c r="A561" s="37" t="s">
        <v>97</v>
      </c>
      <c r="B561" s="37" t="s">
        <v>440</v>
      </c>
      <c r="C561" s="7" t="s">
        <v>23912</v>
      </c>
      <c r="D561" s="37" t="s">
        <v>23913</v>
      </c>
    </row>
    <row r="562">
      <c r="A562" s="37" t="s">
        <v>1147</v>
      </c>
      <c r="B562" s="37" t="s">
        <v>478</v>
      </c>
      <c r="C562" s="7" t="s">
        <v>23914</v>
      </c>
      <c r="D562" s="37" t="s">
        <v>23915</v>
      </c>
    </row>
    <row r="563">
      <c r="A563" s="37" t="s">
        <v>331</v>
      </c>
      <c r="B563" s="37" t="s">
        <v>1242</v>
      </c>
      <c r="C563" s="7" t="s">
        <v>23916</v>
      </c>
      <c r="D563" s="37" t="s">
        <v>23917</v>
      </c>
    </row>
    <row r="564">
      <c r="A564" s="37" t="s">
        <v>443</v>
      </c>
      <c r="B564" s="37" t="s">
        <v>440</v>
      </c>
      <c r="C564" s="37" t="s">
        <v>23918</v>
      </c>
      <c r="D564" s="37" t="s">
        <v>23919</v>
      </c>
    </row>
    <row r="565">
      <c r="A565" s="37" t="s">
        <v>443</v>
      </c>
      <c r="B565" s="37" t="s">
        <v>440</v>
      </c>
      <c r="C565" s="7" t="s">
        <v>23920</v>
      </c>
      <c r="D565" s="37" t="s">
        <v>23921</v>
      </c>
    </row>
    <row r="566">
      <c r="A566" s="37" t="s">
        <v>1495</v>
      </c>
      <c r="B566" s="37" t="s">
        <v>1495</v>
      </c>
      <c r="C566" s="7" t="s">
        <v>23922</v>
      </c>
      <c r="D566" s="37" t="s">
        <v>23923</v>
      </c>
    </row>
    <row r="567">
      <c r="A567" s="37" t="s">
        <v>118</v>
      </c>
      <c r="B567" s="37" t="s">
        <v>23449</v>
      </c>
      <c r="C567" s="7" t="s">
        <v>23924</v>
      </c>
      <c r="D567" s="37" t="s">
        <v>23925</v>
      </c>
    </row>
    <row r="568">
      <c r="A568" s="37" t="s">
        <v>1147</v>
      </c>
      <c r="B568" s="37" t="s">
        <v>478</v>
      </c>
      <c r="C568" s="7" t="s">
        <v>23926</v>
      </c>
      <c r="D568" s="37" t="s">
        <v>23927</v>
      </c>
    </row>
    <row r="569">
      <c r="A569" s="37" t="s">
        <v>1495</v>
      </c>
      <c r="B569" s="37" t="s">
        <v>23091</v>
      </c>
      <c r="C569" s="7" t="s">
        <v>23928</v>
      </c>
      <c r="D569" s="37" t="s">
        <v>23929</v>
      </c>
    </row>
    <row r="570">
      <c r="A570" s="37" t="s">
        <v>1495</v>
      </c>
      <c r="B570" s="37" t="s">
        <v>23091</v>
      </c>
      <c r="C570" s="37" t="s">
        <v>23930</v>
      </c>
      <c r="D570" s="37" t="s">
        <v>23931</v>
      </c>
    </row>
    <row r="571">
      <c r="A571" s="37" t="s">
        <v>225</v>
      </c>
      <c r="B571" s="37" t="s">
        <v>216</v>
      </c>
      <c r="C571" s="7" t="s">
        <v>23932</v>
      </c>
      <c r="D571" s="37" t="s">
        <v>23933</v>
      </c>
    </row>
    <row r="572">
      <c r="A572" s="37" t="s">
        <v>74</v>
      </c>
      <c r="B572" s="37" t="s">
        <v>1208</v>
      </c>
      <c r="C572" s="37" t="s">
        <v>23934</v>
      </c>
      <c r="D572" s="37" t="s">
        <v>23935</v>
      </c>
    </row>
    <row r="573">
      <c r="A573" s="37" t="s">
        <v>74</v>
      </c>
      <c r="B573" s="37" t="s">
        <v>1208</v>
      </c>
      <c r="C573" s="7" t="s">
        <v>23936</v>
      </c>
      <c r="D573" s="37" t="s">
        <v>23937</v>
      </c>
    </row>
    <row r="574">
      <c r="A574" s="37" t="s">
        <v>1147</v>
      </c>
      <c r="B574" s="37" t="s">
        <v>478</v>
      </c>
      <c r="C574" s="7" t="s">
        <v>23938</v>
      </c>
      <c r="D574" s="37" t="s">
        <v>23939</v>
      </c>
    </row>
    <row r="575">
      <c r="A575" s="37" t="s">
        <v>1147</v>
      </c>
      <c r="B575" s="37" t="s">
        <v>478</v>
      </c>
      <c r="C575" s="7" t="s">
        <v>23940</v>
      </c>
      <c r="D575" s="37" t="s">
        <v>23941</v>
      </c>
    </row>
    <row r="576">
      <c r="A576" s="37" t="s">
        <v>23942</v>
      </c>
      <c r="B576" s="37" t="s">
        <v>363</v>
      </c>
      <c r="C576" s="7" t="s">
        <v>23943</v>
      </c>
      <c r="D576" s="37" t="s">
        <v>23944</v>
      </c>
    </row>
    <row r="577">
      <c r="A577" s="37" t="s">
        <v>116</v>
      </c>
      <c r="B577" s="37" t="s">
        <v>115</v>
      </c>
      <c r="C577" s="7" t="s">
        <v>23945</v>
      </c>
      <c r="D577" s="37" t="s">
        <v>23946</v>
      </c>
    </row>
    <row r="578">
      <c r="A578" s="37" t="s">
        <v>219</v>
      </c>
      <c r="B578" s="37" t="s">
        <v>216</v>
      </c>
      <c r="C578" s="7" t="s">
        <v>23947</v>
      </c>
      <c r="D578" s="37" t="s">
        <v>23948</v>
      </c>
    </row>
    <row r="579">
      <c r="A579" s="37" t="s">
        <v>370</v>
      </c>
      <c r="B579" s="37" t="s">
        <v>363</v>
      </c>
      <c r="C579" s="7" t="s">
        <v>23949</v>
      </c>
      <c r="D579" s="37" t="s">
        <v>23950</v>
      </c>
    </row>
    <row r="580">
      <c r="A580" s="37" t="s">
        <v>104</v>
      </c>
      <c r="B580" s="37" t="s">
        <v>613</v>
      </c>
      <c r="C580" s="7" t="s">
        <v>23951</v>
      </c>
      <c r="D580" s="37" t="s">
        <v>23952</v>
      </c>
    </row>
    <row r="581">
      <c r="A581" s="37" t="s">
        <v>1162</v>
      </c>
      <c r="B581" s="37" t="s">
        <v>717</v>
      </c>
      <c r="C581" s="7" t="s">
        <v>23953</v>
      </c>
      <c r="D581" s="37" t="s">
        <v>23954</v>
      </c>
    </row>
    <row r="582">
      <c r="A582" s="37" t="s">
        <v>1263</v>
      </c>
      <c r="B582" s="37" t="s">
        <v>648</v>
      </c>
      <c r="C582" s="7" t="s">
        <v>23955</v>
      </c>
      <c r="D582" s="37" t="s">
        <v>23956</v>
      </c>
    </row>
    <row r="583">
      <c r="A583" s="37" t="s">
        <v>1263</v>
      </c>
      <c r="B583" s="37" t="s">
        <v>648</v>
      </c>
      <c r="C583" s="7" t="s">
        <v>23957</v>
      </c>
      <c r="D583" s="37" t="s">
        <v>23958</v>
      </c>
    </row>
    <row r="584">
      <c r="A584" s="37" t="s">
        <v>1146</v>
      </c>
      <c r="B584" s="37" t="s">
        <v>478</v>
      </c>
      <c r="C584" s="7" t="s">
        <v>23959</v>
      </c>
      <c r="D584" s="37" t="s">
        <v>23960</v>
      </c>
    </row>
    <row r="585">
      <c r="A585" s="37" t="s">
        <v>331</v>
      </c>
      <c r="B585" s="37" t="s">
        <v>1242</v>
      </c>
      <c r="C585" s="7" t="s">
        <v>23961</v>
      </c>
      <c r="D585" s="37" t="s">
        <v>23962</v>
      </c>
    </row>
    <row r="586">
      <c r="A586" s="37" t="s">
        <v>302</v>
      </c>
      <c r="B586" s="37" t="s">
        <v>298</v>
      </c>
      <c r="C586" s="7" t="s">
        <v>23963</v>
      </c>
      <c r="D586" s="37" t="s">
        <v>23964</v>
      </c>
    </row>
    <row r="587">
      <c r="A587" s="37" t="s">
        <v>484</v>
      </c>
      <c r="B587" s="37" t="s">
        <v>478</v>
      </c>
      <c r="C587" s="7" t="s">
        <v>23965</v>
      </c>
      <c r="D587" s="37" t="s">
        <v>23966</v>
      </c>
    </row>
    <row r="588">
      <c r="A588" s="37" t="s">
        <v>51</v>
      </c>
      <c r="B588" s="37" t="s">
        <v>1242</v>
      </c>
      <c r="C588" s="7" t="s">
        <v>23967</v>
      </c>
      <c r="D588" s="37" t="s">
        <v>23968</v>
      </c>
    </row>
    <row r="589">
      <c r="A589" s="37" t="s">
        <v>225</v>
      </c>
      <c r="B589" s="37" t="s">
        <v>216</v>
      </c>
      <c r="C589" s="7" t="s">
        <v>23969</v>
      </c>
      <c r="D589" s="37" t="s">
        <v>23970</v>
      </c>
    </row>
    <row r="590">
      <c r="A590" s="37" t="s">
        <v>824</v>
      </c>
      <c r="B590" s="37" t="s">
        <v>1242</v>
      </c>
      <c r="C590" s="7" t="s">
        <v>23971</v>
      </c>
      <c r="D590" s="37" t="s">
        <v>23972</v>
      </c>
    </row>
    <row r="591">
      <c r="A591" s="37" t="s">
        <v>1495</v>
      </c>
      <c r="B591" s="37" t="s">
        <v>1495</v>
      </c>
      <c r="C591" s="7" t="s">
        <v>23973</v>
      </c>
      <c r="D591" s="37" t="s">
        <v>23974</v>
      </c>
    </row>
    <row r="592">
      <c r="A592" s="37" t="s">
        <v>225</v>
      </c>
      <c r="B592" s="37" t="s">
        <v>216</v>
      </c>
      <c r="C592" s="7" t="s">
        <v>23975</v>
      </c>
      <c r="D592" s="37" t="s">
        <v>23976</v>
      </c>
    </row>
    <row r="593">
      <c r="A593" s="37" t="s">
        <v>74</v>
      </c>
      <c r="B593" s="37" t="s">
        <v>1208</v>
      </c>
      <c r="C593" s="7" t="s">
        <v>10393</v>
      </c>
      <c r="D593" s="37" t="s">
        <v>23977</v>
      </c>
    </row>
    <row r="594">
      <c r="A594" s="37" t="s">
        <v>23978</v>
      </c>
      <c r="B594" s="37" t="s">
        <v>1242</v>
      </c>
      <c r="C594" s="7" t="s">
        <v>23979</v>
      </c>
      <c r="D594" s="37" t="s">
        <v>23980</v>
      </c>
    </row>
    <row r="595">
      <c r="A595" s="37" t="s">
        <v>23444</v>
      </c>
      <c r="B595" s="37" t="s">
        <v>216</v>
      </c>
      <c r="C595" s="7" t="s">
        <v>23953</v>
      </c>
      <c r="D595" s="37" t="s">
        <v>23981</v>
      </c>
    </row>
    <row r="596">
      <c r="A596" s="37" t="s">
        <v>1146</v>
      </c>
      <c r="B596" s="37" t="s">
        <v>478</v>
      </c>
      <c r="C596" s="7" t="s">
        <v>4662</v>
      </c>
      <c r="D596" s="37" t="s">
        <v>23982</v>
      </c>
    </row>
    <row r="597">
      <c r="A597" s="37" t="s">
        <v>1147</v>
      </c>
      <c r="B597" s="37" t="s">
        <v>478</v>
      </c>
      <c r="C597" s="7" t="s">
        <v>23983</v>
      </c>
      <c r="D597" s="37" t="s">
        <v>23984</v>
      </c>
    </row>
    <row r="598">
      <c r="A598" s="37" t="s">
        <v>23985</v>
      </c>
      <c r="B598" s="37" t="s">
        <v>298</v>
      </c>
      <c r="C598" s="7" t="s">
        <v>23986</v>
      </c>
      <c r="D598" s="37" t="s">
        <v>23987</v>
      </c>
    </row>
    <row r="599">
      <c r="A599" s="37" t="s">
        <v>1147</v>
      </c>
      <c r="B599" s="37" t="s">
        <v>478</v>
      </c>
      <c r="C599" s="7" t="s">
        <v>23988</v>
      </c>
      <c r="D599" s="37" t="s">
        <v>23989</v>
      </c>
    </row>
    <row r="600">
      <c r="A600" s="37" t="s">
        <v>1147</v>
      </c>
      <c r="B600" s="37" t="s">
        <v>478</v>
      </c>
      <c r="C600" s="7" t="s">
        <v>23990</v>
      </c>
      <c r="D600" s="37" t="s">
        <v>23991</v>
      </c>
    </row>
    <row r="601">
      <c r="A601" s="37" t="s">
        <v>861</v>
      </c>
      <c r="B601" s="37" t="s">
        <v>854</v>
      </c>
      <c r="C601" s="7" t="s">
        <v>23992</v>
      </c>
      <c r="D601" s="37" t="s">
        <v>23993</v>
      </c>
    </row>
    <row r="602">
      <c r="A602" s="37" t="s">
        <v>392</v>
      </c>
      <c r="B602" s="37" t="s">
        <v>391</v>
      </c>
      <c r="C602" s="7" t="s">
        <v>23994</v>
      </c>
      <c r="D602" s="37" t="s">
        <v>23995</v>
      </c>
    </row>
    <row r="603">
      <c r="A603" s="37" t="s">
        <v>696</v>
      </c>
      <c r="B603" s="37" t="s">
        <v>693</v>
      </c>
      <c r="C603" s="7" t="s">
        <v>23996</v>
      </c>
      <c r="D603" s="37" t="s">
        <v>23997</v>
      </c>
    </row>
    <row r="604">
      <c r="A604" s="37" t="s">
        <v>696</v>
      </c>
      <c r="B604" s="37" t="s">
        <v>693</v>
      </c>
      <c r="C604" s="7" t="s">
        <v>23998</v>
      </c>
      <c r="D604" s="37" t="s">
        <v>23999</v>
      </c>
    </row>
    <row r="605">
      <c r="A605" s="37" t="s">
        <v>1147</v>
      </c>
      <c r="B605" s="37" t="s">
        <v>478</v>
      </c>
      <c r="C605" s="7" t="s">
        <v>16399</v>
      </c>
      <c r="D605" s="37" t="s">
        <v>24000</v>
      </c>
    </row>
    <row r="606">
      <c r="A606" s="37" t="s">
        <v>1147</v>
      </c>
      <c r="B606" s="37" t="s">
        <v>478</v>
      </c>
      <c r="C606" s="7" t="s">
        <v>24001</v>
      </c>
      <c r="D606" s="37" t="s">
        <v>24002</v>
      </c>
    </row>
    <row r="607">
      <c r="A607" s="37" t="s">
        <v>1147</v>
      </c>
      <c r="B607" s="37" t="s">
        <v>478</v>
      </c>
      <c r="C607" s="7" t="s">
        <v>24003</v>
      </c>
      <c r="D607" s="37" t="s">
        <v>24004</v>
      </c>
    </row>
    <row r="608">
      <c r="A608" s="37" t="s">
        <v>1147</v>
      </c>
      <c r="B608" s="37" t="s">
        <v>478</v>
      </c>
      <c r="C608" s="7" t="s">
        <v>24005</v>
      </c>
      <c r="D608" s="37" t="s">
        <v>24006</v>
      </c>
    </row>
    <row r="609">
      <c r="A609" s="37" t="s">
        <v>289</v>
      </c>
      <c r="B609" s="37" t="s">
        <v>281</v>
      </c>
      <c r="C609" s="7" t="s">
        <v>24007</v>
      </c>
      <c r="D609" s="37" t="s">
        <v>24008</v>
      </c>
    </row>
    <row r="610">
      <c r="A610" s="37" t="s">
        <v>24009</v>
      </c>
      <c r="B610" s="37" t="s">
        <v>22</v>
      </c>
      <c r="C610" s="7" t="s">
        <v>24010</v>
      </c>
      <c r="D610" s="37" t="s">
        <v>24011</v>
      </c>
    </row>
    <row r="611">
      <c r="A611" s="37" t="s">
        <v>23590</v>
      </c>
      <c r="B611" s="37" t="s">
        <v>168</v>
      </c>
      <c r="C611" s="7" t="s">
        <v>24012</v>
      </c>
      <c r="D611" s="37" t="s">
        <v>24013</v>
      </c>
    </row>
    <row r="612">
      <c r="A612" s="37" t="s">
        <v>302</v>
      </c>
      <c r="B612" s="37" t="s">
        <v>298</v>
      </c>
      <c r="C612" s="7" t="s">
        <v>24014</v>
      </c>
      <c r="D612" s="37" t="s">
        <v>24015</v>
      </c>
    </row>
    <row r="613">
      <c r="A613" s="37" t="s">
        <v>23444</v>
      </c>
      <c r="B613" s="37" t="s">
        <v>216</v>
      </c>
      <c r="C613" s="7" t="s">
        <v>24016</v>
      </c>
      <c r="D613" s="37" t="s">
        <v>24017</v>
      </c>
    </row>
    <row r="614">
      <c r="A614" s="37" t="s">
        <v>23444</v>
      </c>
      <c r="B614" s="37" t="s">
        <v>216</v>
      </c>
      <c r="C614" s="7" t="s">
        <v>24018</v>
      </c>
      <c r="D614" s="37" t="s">
        <v>24019</v>
      </c>
    </row>
    <row r="615">
      <c r="A615" s="37" t="s">
        <v>392</v>
      </c>
      <c r="B615" s="37" t="s">
        <v>391</v>
      </c>
      <c r="C615" s="7" t="s">
        <v>23994</v>
      </c>
      <c r="D615" s="37" t="s">
        <v>24020</v>
      </c>
    </row>
    <row r="616">
      <c r="A616" s="37" t="s">
        <v>392</v>
      </c>
      <c r="B616" s="37" t="s">
        <v>391</v>
      </c>
      <c r="C616" s="7" t="s">
        <v>24021</v>
      </c>
      <c r="D616" s="37" t="s">
        <v>24022</v>
      </c>
    </row>
    <row r="617">
      <c r="A617" s="37" t="s">
        <v>74</v>
      </c>
      <c r="B617" s="37" t="s">
        <v>1208</v>
      </c>
      <c r="C617" s="7" t="s">
        <v>24023</v>
      </c>
      <c r="D617" s="37" t="s">
        <v>24024</v>
      </c>
    </row>
    <row r="618">
      <c r="A618" s="37" t="s">
        <v>701</v>
      </c>
      <c r="B618" s="37" t="s">
        <v>693</v>
      </c>
      <c r="C618" s="7" t="s">
        <v>24025</v>
      </c>
      <c r="D618" s="37" t="s">
        <v>24026</v>
      </c>
    </row>
    <row r="619">
      <c r="A619" s="37" t="s">
        <v>824</v>
      </c>
      <c r="B619" s="37" t="s">
        <v>1242</v>
      </c>
      <c r="C619" s="7" t="s">
        <v>24027</v>
      </c>
      <c r="D619" s="37" t="s">
        <v>24028</v>
      </c>
    </row>
    <row r="620">
      <c r="A620" s="37" t="s">
        <v>443</v>
      </c>
      <c r="B620" s="37" t="s">
        <v>440</v>
      </c>
      <c r="C620" s="7" t="s">
        <v>24029</v>
      </c>
      <c r="D620" s="37" t="s">
        <v>24030</v>
      </c>
    </row>
    <row r="621">
      <c r="A621" s="37" t="s">
        <v>23444</v>
      </c>
      <c r="B621" s="37" t="s">
        <v>216</v>
      </c>
      <c r="C621" s="7" t="s">
        <v>24031</v>
      </c>
      <c r="D621" s="37" t="s">
        <v>24032</v>
      </c>
    </row>
    <row r="622">
      <c r="A622" s="37" t="s">
        <v>299</v>
      </c>
      <c r="B622" s="37" t="s">
        <v>298</v>
      </c>
      <c r="C622" s="7" t="s">
        <v>24033</v>
      </c>
      <c r="D622" s="37" t="s">
        <v>24034</v>
      </c>
    </row>
    <row r="623">
      <c r="A623" s="37" t="s">
        <v>546</v>
      </c>
      <c r="B623" s="37" t="s">
        <v>22</v>
      </c>
      <c r="C623" s="7" t="s">
        <v>24035</v>
      </c>
      <c r="D623" s="37" t="s">
        <v>24036</v>
      </c>
    </row>
    <row r="624">
      <c r="A624" s="37" t="s">
        <v>1495</v>
      </c>
      <c r="B624" s="37" t="s">
        <v>22880</v>
      </c>
      <c r="C624" s="7" t="s">
        <v>24037</v>
      </c>
      <c r="D624" s="37" t="s">
        <v>24038</v>
      </c>
    </row>
    <row r="625">
      <c r="A625" s="37" t="s">
        <v>399</v>
      </c>
      <c r="B625" s="37" t="s">
        <v>391</v>
      </c>
      <c r="C625" s="7" t="s">
        <v>24039</v>
      </c>
      <c r="D625" s="37" t="s">
        <v>24040</v>
      </c>
    </row>
    <row r="626">
      <c r="A626" s="37" t="s">
        <v>331</v>
      </c>
      <c r="B626" s="37" t="s">
        <v>38</v>
      </c>
      <c r="C626" s="7" t="s">
        <v>24041</v>
      </c>
      <c r="D626" s="37" t="s">
        <v>24042</v>
      </c>
    </row>
    <row r="627">
      <c r="A627" s="37" t="s">
        <v>284</v>
      </c>
      <c r="B627" s="37" t="s">
        <v>281</v>
      </c>
      <c r="C627" s="7" t="s">
        <v>24043</v>
      </c>
      <c r="D627" s="37" t="s">
        <v>24044</v>
      </c>
    </row>
    <row r="628">
      <c r="A628" s="37" t="s">
        <v>307</v>
      </c>
      <c r="B628" s="37" t="s">
        <v>298</v>
      </c>
      <c r="C628" s="7" t="s">
        <v>24045</v>
      </c>
      <c r="D628" s="37" t="s">
        <v>24046</v>
      </c>
    </row>
    <row r="629">
      <c r="A629" s="37" t="s">
        <v>299</v>
      </c>
      <c r="B629" s="37" t="s">
        <v>298</v>
      </c>
      <c r="C629" s="7" t="s">
        <v>24047</v>
      </c>
      <c r="D629" s="37" t="s">
        <v>24048</v>
      </c>
    </row>
    <row r="630">
      <c r="A630" s="37" t="s">
        <v>116</v>
      </c>
      <c r="B630" s="37" t="s">
        <v>115</v>
      </c>
      <c r="C630" s="7" t="s">
        <v>24049</v>
      </c>
      <c r="D630" s="37" t="s">
        <v>24050</v>
      </c>
    </row>
    <row r="631">
      <c r="A631" s="37" t="s">
        <v>356</v>
      </c>
      <c r="B631" s="37" t="s">
        <v>353</v>
      </c>
      <c r="C631" s="7" t="s">
        <v>24051</v>
      </c>
      <c r="D631" s="37" t="s">
        <v>24052</v>
      </c>
    </row>
    <row r="632">
      <c r="A632" s="37" t="s">
        <v>725</v>
      </c>
      <c r="B632" s="37" t="s">
        <v>717</v>
      </c>
      <c r="C632" s="7" t="s">
        <v>24053</v>
      </c>
      <c r="D632" s="37" t="s">
        <v>24054</v>
      </c>
    </row>
    <row r="633">
      <c r="A633" s="37" t="s">
        <v>124</v>
      </c>
      <c r="B633" s="37" t="s">
        <v>115</v>
      </c>
      <c r="C633" s="7" t="s">
        <v>24055</v>
      </c>
      <c r="D633" s="37" t="s">
        <v>24056</v>
      </c>
    </row>
    <row r="634">
      <c r="A634" s="37" t="s">
        <v>356</v>
      </c>
      <c r="B634" s="37" t="s">
        <v>353</v>
      </c>
      <c r="C634" s="7" t="s">
        <v>24057</v>
      </c>
      <c r="D634" s="37" t="s">
        <v>24058</v>
      </c>
    </row>
    <row r="635">
      <c r="A635" s="37" t="s">
        <v>23444</v>
      </c>
      <c r="B635" s="37" t="s">
        <v>216</v>
      </c>
      <c r="C635" s="7" t="s">
        <v>24059</v>
      </c>
      <c r="D635" s="37" t="s">
        <v>24060</v>
      </c>
    </row>
    <row r="636">
      <c r="A636" s="37" t="s">
        <v>1495</v>
      </c>
      <c r="B636" s="37" t="s">
        <v>22880</v>
      </c>
      <c r="C636" s="7" t="s">
        <v>24061</v>
      </c>
      <c r="D636" s="37" t="s">
        <v>24062</v>
      </c>
    </row>
    <row r="637">
      <c r="A637" s="37" t="s">
        <v>1495</v>
      </c>
      <c r="B637" s="37" t="s">
        <v>22880</v>
      </c>
      <c r="C637" s="7" t="s">
        <v>24063</v>
      </c>
      <c r="D637" s="37" t="s">
        <v>24064</v>
      </c>
    </row>
    <row r="638">
      <c r="A638" s="37" t="s">
        <v>24065</v>
      </c>
      <c r="B638" s="37" t="s">
        <v>298</v>
      </c>
      <c r="C638" s="7" t="s">
        <v>24066</v>
      </c>
      <c r="D638" s="37" t="s">
        <v>24067</v>
      </c>
    </row>
    <row r="639">
      <c r="A639" s="37" t="s">
        <v>1146</v>
      </c>
      <c r="B639" s="37" t="s">
        <v>478</v>
      </c>
      <c r="C639" s="7" t="s">
        <v>24068</v>
      </c>
      <c r="D639" s="37" t="s">
        <v>24069</v>
      </c>
    </row>
    <row r="640">
      <c r="A640" s="37" t="s">
        <v>302</v>
      </c>
      <c r="B640" s="37" t="s">
        <v>298</v>
      </c>
      <c r="C640" s="7" t="s">
        <v>24070</v>
      </c>
      <c r="D640" s="37" t="s">
        <v>24071</v>
      </c>
    </row>
    <row r="641">
      <c r="A641" s="37" t="s">
        <v>9</v>
      </c>
      <c r="B641" s="37" t="s">
        <v>3</v>
      </c>
      <c r="C641" s="7" t="s">
        <v>24072</v>
      </c>
      <c r="D641" s="37" t="s">
        <v>24073</v>
      </c>
    </row>
    <row r="642">
      <c r="A642" s="37" t="s">
        <v>9</v>
      </c>
      <c r="B642" s="37" t="s">
        <v>3</v>
      </c>
      <c r="C642" s="7" t="s">
        <v>24074</v>
      </c>
      <c r="D642" s="37" t="s">
        <v>24075</v>
      </c>
    </row>
    <row r="643">
      <c r="A643" s="37" t="s">
        <v>23</v>
      </c>
      <c r="B643" s="37" t="s">
        <v>22</v>
      </c>
      <c r="C643" s="7" t="s">
        <v>24076</v>
      </c>
      <c r="D643" s="37" t="s">
        <v>24077</v>
      </c>
    </row>
    <row r="644">
      <c r="A644" s="37" t="s">
        <v>1495</v>
      </c>
      <c r="B644" s="37" t="s">
        <v>1495</v>
      </c>
      <c r="C644" s="7" t="s">
        <v>24078</v>
      </c>
      <c r="D644" s="37" t="s">
        <v>24079</v>
      </c>
    </row>
    <row r="645">
      <c r="A645" s="37" t="s">
        <v>1495</v>
      </c>
      <c r="B645" s="37" t="s">
        <v>22880</v>
      </c>
      <c r="C645" s="7" t="s">
        <v>24080</v>
      </c>
      <c r="D645" s="37" t="s">
        <v>24081</v>
      </c>
    </row>
    <row r="646">
      <c r="A646" s="37" t="s">
        <v>1495</v>
      </c>
      <c r="B646" s="37" t="s">
        <v>22880</v>
      </c>
      <c r="C646" s="7" t="s">
        <v>24082</v>
      </c>
      <c r="D646" s="37" t="s">
        <v>24083</v>
      </c>
    </row>
    <row r="647">
      <c r="A647" s="37" t="s">
        <v>148</v>
      </c>
      <c r="B647" s="37" t="s">
        <v>648</v>
      </c>
      <c r="C647" s="7" t="s">
        <v>24084</v>
      </c>
      <c r="D647" s="37" t="s">
        <v>24085</v>
      </c>
    </row>
    <row r="648">
      <c r="A648" s="37" t="s">
        <v>230</v>
      </c>
      <c r="B648" s="37" t="s">
        <v>216</v>
      </c>
      <c r="C648" s="7" t="s">
        <v>24086</v>
      </c>
      <c r="D648" s="37" t="s">
        <v>24087</v>
      </c>
    </row>
    <row r="649">
      <c r="A649" s="37" t="s">
        <v>23</v>
      </c>
      <c r="B649" s="37" t="s">
        <v>22</v>
      </c>
      <c r="C649" s="7" t="s">
        <v>24076</v>
      </c>
      <c r="D649" s="37" t="s">
        <v>24088</v>
      </c>
    </row>
    <row r="650">
      <c r="A650" s="37" t="s">
        <v>23590</v>
      </c>
      <c r="B650" s="37" t="s">
        <v>168</v>
      </c>
      <c r="C650" s="7" t="s">
        <v>24089</v>
      </c>
      <c r="D650" s="37" t="s">
        <v>24090</v>
      </c>
    </row>
    <row r="651">
      <c r="A651" s="37" t="s">
        <v>304</v>
      </c>
      <c r="B651" s="37" t="s">
        <v>298</v>
      </c>
      <c r="C651" s="7" t="s">
        <v>24091</v>
      </c>
      <c r="D651" s="37" t="s">
        <v>24092</v>
      </c>
    </row>
    <row r="652">
      <c r="A652" s="37" t="s">
        <v>143</v>
      </c>
      <c r="B652" s="37" t="s">
        <v>648</v>
      </c>
      <c r="C652" s="7" t="s">
        <v>24093</v>
      </c>
      <c r="D652" s="37" t="s">
        <v>24094</v>
      </c>
    </row>
    <row r="653">
      <c r="A653" s="37" t="s">
        <v>1146</v>
      </c>
      <c r="B653" s="37" t="s">
        <v>478</v>
      </c>
      <c r="C653" s="7" t="s">
        <v>24095</v>
      </c>
      <c r="D653" s="37" t="s">
        <v>24096</v>
      </c>
    </row>
    <row r="654">
      <c r="A654" s="37" t="s">
        <v>1147</v>
      </c>
      <c r="B654" s="37" t="s">
        <v>478</v>
      </c>
      <c r="C654" s="7" t="s">
        <v>16323</v>
      </c>
      <c r="D654" s="37" t="s">
        <v>24097</v>
      </c>
    </row>
    <row r="655">
      <c r="A655" s="37" t="s">
        <v>1163</v>
      </c>
      <c r="B655" s="37" t="s">
        <v>717</v>
      </c>
      <c r="C655" s="7" t="s">
        <v>24098</v>
      </c>
      <c r="D655" s="37" t="s">
        <v>24099</v>
      </c>
    </row>
    <row r="656">
      <c r="A656" s="37" t="s">
        <v>1147</v>
      </c>
      <c r="B656" s="37" t="s">
        <v>478</v>
      </c>
      <c r="C656" s="7" t="s">
        <v>24100</v>
      </c>
      <c r="D656" s="37" t="s">
        <v>24101</v>
      </c>
    </row>
    <row r="657">
      <c r="A657" s="37" t="s">
        <v>225</v>
      </c>
      <c r="B657" s="37" t="s">
        <v>216</v>
      </c>
      <c r="C657" s="7" t="s">
        <v>24102</v>
      </c>
      <c r="D657" s="37" t="s">
        <v>24103</v>
      </c>
    </row>
    <row r="658">
      <c r="A658" s="37" t="s">
        <v>1495</v>
      </c>
      <c r="B658" s="37" t="s">
        <v>1495</v>
      </c>
      <c r="C658" s="7" t="s">
        <v>24104</v>
      </c>
      <c r="D658" s="37" t="s">
        <v>24105</v>
      </c>
    </row>
    <row r="659">
      <c r="A659" s="37" t="s">
        <v>720</v>
      </c>
      <c r="B659" s="37" t="s">
        <v>717</v>
      </c>
      <c r="C659" s="7" t="s">
        <v>24106</v>
      </c>
      <c r="D659" s="37" t="s">
        <v>24107</v>
      </c>
    </row>
    <row r="660">
      <c r="A660" s="37" t="s">
        <v>39</v>
      </c>
      <c r="B660" s="37" t="s">
        <v>1242</v>
      </c>
      <c r="C660" s="7" t="s">
        <v>24108</v>
      </c>
      <c r="D660" s="37" t="s">
        <v>24109</v>
      </c>
    </row>
    <row r="661">
      <c r="A661" s="37" t="s">
        <v>90</v>
      </c>
      <c r="B661" s="37" t="s">
        <v>440</v>
      </c>
      <c r="C661" s="7" t="s">
        <v>24110</v>
      </c>
      <c r="D661" s="37" t="s">
        <v>24111</v>
      </c>
    </row>
    <row r="662">
      <c r="A662" s="37" t="s">
        <v>90</v>
      </c>
      <c r="B662" s="37" t="s">
        <v>440</v>
      </c>
      <c r="C662" s="7" t="s">
        <v>24112</v>
      </c>
      <c r="D662" s="37" t="s">
        <v>24113</v>
      </c>
    </row>
    <row r="663">
      <c r="A663" s="37" t="s">
        <v>1147</v>
      </c>
      <c r="B663" s="37" t="s">
        <v>478</v>
      </c>
      <c r="C663" s="7" t="s">
        <v>24114</v>
      </c>
      <c r="D663" s="37" t="s">
        <v>24115</v>
      </c>
    </row>
    <row r="664">
      <c r="A664" s="37" t="s">
        <v>90</v>
      </c>
      <c r="B664" s="37" t="s">
        <v>440</v>
      </c>
      <c r="C664" s="37" t="s">
        <v>24116</v>
      </c>
      <c r="D664" s="37" t="s">
        <v>24117</v>
      </c>
    </row>
    <row r="665">
      <c r="A665" s="37" t="s">
        <v>387</v>
      </c>
      <c r="B665" s="37" t="s">
        <v>386</v>
      </c>
      <c r="C665" s="7" t="s">
        <v>15415</v>
      </c>
      <c r="D665" s="37" t="s">
        <v>24118</v>
      </c>
    </row>
    <row r="666">
      <c r="A666" s="37" t="s">
        <v>387</v>
      </c>
      <c r="B666" s="37" t="s">
        <v>386</v>
      </c>
      <c r="C666" s="7" t="s">
        <v>24119</v>
      </c>
      <c r="D666" s="37" t="s">
        <v>24120</v>
      </c>
    </row>
    <row r="667">
      <c r="A667" s="37" t="s">
        <v>484</v>
      </c>
      <c r="B667" s="37" t="s">
        <v>478</v>
      </c>
      <c r="C667" s="7" t="s">
        <v>23777</v>
      </c>
      <c r="D667" s="37" t="s">
        <v>24121</v>
      </c>
    </row>
    <row r="668">
      <c r="A668" s="37" t="s">
        <v>143</v>
      </c>
      <c r="B668" s="37" t="s">
        <v>648</v>
      </c>
      <c r="C668" s="7" t="s">
        <v>24093</v>
      </c>
      <c r="D668" s="37" t="s">
        <v>24094</v>
      </c>
    </row>
    <row r="669">
      <c r="A669" s="37" t="s">
        <v>720</v>
      </c>
      <c r="B669" s="37" t="s">
        <v>23499</v>
      </c>
      <c r="C669" s="7" t="s">
        <v>24122</v>
      </c>
      <c r="D669" s="37" t="s">
        <v>24123</v>
      </c>
    </row>
    <row r="670">
      <c r="A670" s="37" t="s">
        <v>696</v>
      </c>
      <c r="B670" s="37" t="s">
        <v>693</v>
      </c>
      <c r="C670" s="7" t="s">
        <v>24124</v>
      </c>
      <c r="D670" s="37" t="s">
        <v>24125</v>
      </c>
    </row>
    <row r="671">
      <c r="A671" s="37" t="s">
        <v>1495</v>
      </c>
      <c r="B671" s="37" t="s">
        <v>854</v>
      </c>
      <c r="C671" s="7" t="s">
        <v>24126</v>
      </c>
      <c r="D671" s="37" t="s">
        <v>24127</v>
      </c>
    </row>
    <row r="672">
      <c r="A672" s="37" t="s">
        <v>701</v>
      </c>
      <c r="B672" s="37" t="s">
        <v>693</v>
      </c>
      <c r="C672" s="7" t="s">
        <v>24128</v>
      </c>
      <c r="D672" s="37" t="s">
        <v>24129</v>
      </c>
    </row>
    <row r="673">
      <c r="A673" s="37" t="s">
        <v>1142</v>
      </c>
      <c r="B673" s="37" t="s">
        <v>478</v>
      </c>
      <c r="C673" s="7" t="s">
        <v>1414</v>
      </c>
      <c r="D673" s="37" t="s">
        <v>24130</v>
      </c>
    </row>
    <row r="674">
      <c r="A674" s="37" t="s">
        <v>482</v>
      </c>
      <c r="B674" s="37" t="s">
        <v>478</v>
      </c>
      <c r="C674" s="7" t="s">
        <v>24131</v>
      </c>
      <c r="D674" s="37" t="s">
        <v>24132</v>
      </c>
    </row>
    <row r="675">
      <c r="A675" s="37" t="s">
        <v>1147</v>
      </c>
      <c r="B675" s="37" t="s">
        <v>478</v>
      </c>
      <c r="C675" s="7" t="s">
        <v>24133</v>
      </c>
      <c r="D675" s="37" t="s">
        <v>24134</v>
      </c>
    </row>
    <row r="676">
      <c r="A676" s="37" t="s">
        <v>74</v>
      </c>
      <c r="B676" s="37" t="s">
        <v>1208</v>
      </c>
      <c r="C676" s="7" t="s">
        <v>24135</v>
      </c>
      <c r="D676" s="37" t="s">
        <v>24136</v>
      </c>
    </row>
    <row r="677">
      <c r="A677" s="37" t="s">
        <v>824</v>
      </c>
      <c r="B677" s="37" t="s">
        <v>1242</v>
      </c>
      <c r="C677" s="7" t="s">
        <v>24137</v>
      </c>
      <c r="D677" s="37" t="s">
        <v>24138</v>
      </c>
    </row>
    <row r="678">
      <c r="A678" s="37" t="s">
        <v>118</v>
      </c>
      <c r="B678" s="37" t="s">
        <v>115</v>
      </c>
      <c r="C678" s="7" t="s">
        <v>15890</v>
      </c>
      <c r="D678" s="37" t="s">
        <v>24139</v>
      </c>
    </row>
    <row r="679">
      <c r="A679" s="37" t="s">
        <v>1188</v>
      </c>
      <c r="B679" s="37" t="s">
        <v>1208</v>
      </c>
      <c r="C679" s="7" t="s">
        <v>24140</v>
      </c>
      <c r="D679" s="37" t="s">
        <v>24141</v>
      </c>
    </row>
    <row r="680">
      <c r="A680" s="37" t="s">
        <v>1188</v>
      </c>
      <c r="B680" s="37" t="s">
        <v>1208</v>
      </c>
      <c r="C680" s="7" t="s">
        <v>24142</v>
      </c>
      <c r="D680" s="37" t="s">
        <v>24143</v>
      </c>
    </row>
    <row r="681">
      <c r="A681" s="37" t="s">
        <v>23685</v>
      </c>
      <c r="B681" s="37" t="s">
        <v>140</v>
      </c>
      <c r="C681" s="7" t="s">
        <v>24144</v>
      </c>
      <c r="D681" s="37" t="s">
        <v>24145</v>
      </c>
    </row>
    <row r="682">
      <c r="A682" s="37" t="s">
        <v>24146</v>
      </c>
      <c r="B682" s="37" t="s">
        <v>391</v>
      </c>
      <c r="C682" s="7" t="s">
        <v>24147</v>
      </c>
      <c r="D682" s="37" t="s">
        <v>24148</v>
      </c>
    </row>
    <row r="683">
      <c r="A683" s="37" t="s">
        <v>1146</v>
      </c>
      <c r="B683" s="37" t="s">
        <v>478</v>
      </c>
      <c r="C683" s="7" t="s">
        <v>24149</v>
      </c>
      <c r="D683" s="37" t="s">
        <v>24150</v>
      </c>
    </row>
    <row r="684">
      <c r="A684" s="37" t="s">
        <v>1148</v>
      </c>
      <c r="B684" s="37" t="s">
        <v>1208</v>
      </c>
      <c r="C684" s="7" t="s">
        <v>24151</v>
      </c>
      <c r="D684" s="37" t="s">
        <v>24152</v>
      </c>
    </row>
    <row r="685">
      <c r="A685" s="37" t="s">
        <v>225</v>
      </c>
      <c r="B685" s="37" t="s">
        <v>216</v>
      </c>
      <c r="C685" s="7" t="s">
        <v>24153</v>
      </c>
      <c r="D685" s="37" t="s">
        <v>24154</v>
      </c>
    </row>
    <row r="686">
      <c r="A686" s="37" t="s">
        <v>1148</v>
      </c>
      <c r="B686" s="37" t="s">
        <v>1208</v>
      </c>
      <c r="C686" s="7" t="s">
        <v>24155</v>
      </c>
      <c r="D686" s="37" t="s">
        <v>24156</v>
      </c>
    </row>
    <row r="687">
      <c r="A687" s="37" t="s">
        <v>104</v>
      </c>
      <c r="B687" s="37" t="s">
        <v>613</v>
      </c>
      <c r="C687" s="7" t="s">
        <v>24157</v>
      </c>
      <c r="D687" s="37" t="s">
        <v>24158</v>
      </c>
    </row>
    <row r="688">
      <c r="A688" s="37" t="s">
        <v>51</v>
      </c>
      <c r="B688" s="37" t="s">
        <v>38</v>
      </c>
      <c r="C688" s="7" t="s">
        <v>24159</v>
      </c>
      <c r="D688" s="37" t="s">
        <v>24160</v>
      </c>
    </row>
    <row r="689">
      <c r="A689" s="37" t="s">
        <v>1495</v>
      </c>
      <c r="B689" s="37" t="s">
        <v>23091</v>
      </c>
      <c r="C689" s="7" t="s">
        <v>24161</v>
      </c>
      <c r="D689" s="37" t="s">
        <v>24162</v>
      </c>
    </row>
    <row r="690">
      <c r="A690" s="37" t="s">
        <v>1495</v>
      </c>
      <c r="B690" s="37" t="s">
        <v>24163</v>
      </c>
      <c r="C690" s="7" t="s">
        <v>24164</v>
      </c>
      <c r="D690" s="37" t="s">
        <v>24165</v>
      </c>
    </row>
    <row r="691">
      <c r="A691" s="37" t="s">
        <v>223</v>
      </c>
      <c r="B691" s="37" t="s">
        <v>216</v>
      </c>
      <c r="C691" s="7" t="s">
        <v>24166</v>
      </c>
      <c r="D691" s="37" t="s">
        <v>24167</v>
      </c>
    </row>
    <row r="692">
      <c r="A692" s="37" t="s">
        <v>1163</v>
      </c>
      <c r="B692" s="37" t="s">
        <v>717</v>
      </c>
      <c r="C692" s="7" t="s">
        <v>24168</v>
      </c>
      <c r="D692" s="37" t="s">
        <v>24169</v>
      </c>
    </row>
    <row r="693">
      <c r="A693" s="37" t="s">
        <v>1495</v>
      </c>
      <c r="B693" s="37" t="s">
        <v>23439</v>
      </c>
      <c r="C693" s="7" t="s">
        <v>15480</v>
      </c>
      <c r="D693" s="37" t="s">
        <v>24170</v>
      </c>
    </row>
    <row r="694">
      <c r="A694" s="37" t="s">
        <v>392</v>
      </c>
      <c r="B694" s="37" t="s">
        <v>391</v>
      </c>
      <c r="C694" s="7" t="s">
        <v>24171</v>
      </c>
      <c r="D694" s="37" t="s">
        <v>24172</v>
      </c>
    </row>
    <row r="695">
      <c r="A695" s="37" t="s">
        <v>1495</v>
      </c>
      <c r="B695" s="37" t="s">
        <v>22880</v>
      </c>
      <c r="C695" s="7" t="s">
        <v>24173</v>
      </c>
      <c r="D695" s="37" t="s">
        <v>24174</v>
      </c>
    </row>
    <row r="696">
      <c r="A696" s="37" t="s">
        <v>1147</v>
      </c>
      <c r="B696" s="37" t="s">
        <v>478</v>
      </c>
      <c r="C696" s="7" t="s">
        <v>24175</v>
      </c>
      <c r="D696" s="37" t="s">
        <v>24176</v>
      </c>
    </row>
    <row r="697">
      <c r="A697" s="37" t="s">
        <v>118</v>
      </c>
      <c r="B697" s="37" t="s">
        <v>625</v>
      </c>
      <c r="C697" s="7" t="s">
        <v>24177</v>
      </c>
      <c r="D697" s="37" t="s">
        <v>24178</v>
      </c>
    </row>
    <row r="698">
      <c r="A698" s="37" t="s">
        <v>223</v>
      </c>
      <c r="B698" s="37" t="s">
        <v>717</v>
      </c>
      <c r="C698" s="7" t="s">
        <v>24179</v>
      </c>
      <c r="D698" s="37" t="s">
        <v>24180</v>
      </c>
    </row>
    <row r="699">
      <c r="A699" s="37" t="s">
        <v>1147</v>
      </c>
      <c r="B699" s="37" t="s">
        <v>478</v>
      </c>
      <c r="C699" s="7" t="s">
        <v>24181</v>
      </c>
      <c r="D699" s="37" t="s">
        <v>24182</v>
      </c>
    </row>
    <row r="700">
      <c r="A700" s="37" t="s">
        <v>484</v>
      </c>
      <c r="B700" s="37" t="s">
        <v>478</v>
      </c>
      <c r="C700" s="7" t="s">
        <v>24183</v>
      </c>
      <c r="D700" s="37" t="s">
        <v>24184</v>
      </c>
    </row>
    <row r="701">
      <c r="A701" s="37" t="s">
        <v>104</v>
      </c>
      <c r="B701" s="37" t="s">
        <v>613</v>
      </c>
      <c r="C701" s="7" t="s">
        <v>24185</v>
      </c>
      <c r="D701" s="37" t="s">
        <v>24186</v>
      </c>
    </row>
    <row r="702">
      <c r="A702" s="37" t="s">
        <v>24187</v>
      </c>
      <c r="B702" s="37" t="s">
        <v>298</v>
      </c>
      <c r="C702" s="7" t="s">
        <v>24188</v>
      </c>
      <c r="D702" s="37" t="s">
        <v>24189</v>
      </c>
    </row>
    <row r="703">
      <c r="A703" s="37" t="s">
        <v>74</v>
      </c>
      <c r="B703" s="37" t="s">
        <v>1208</v>
      </c>
      <c r="C703" s="7" t="s">
        <v>24190</v>
      </c>
      <c r="D703" s="37" t="s">
        <v>24191</v>
      </c>
    </row>
    <row r="704">
      <c r="A704" s="37" t="s">
        <v>24192</v>
      </c>
      <c r="B704" s="37" t="s">
        <v>24193</v>
      </c>
      <c r="C704" s="7" t="s">
        <v>24194</v>
      </c>
      <c r="D704" s="37" t="s">
        <v>24195</v>
      </c>
    </row>
    <row r="705">
      <c r="A705" s="37" t="s">
        <v>359</v>
      </c>
      <c r="B705" s="37" t="s">
        <v>3463</v>
      </c>
      <c r="C705" s="7" t="s">
        <v>24196</v>
      </c>
      <c r="D705" s="37" t="s">
        <v>24197</v>
      </c>
    </row>
    <row r="706">
      <c r="A706" s="37" t="s">
        <v>720</v>
      </c>
      <c r="B706" s="37" t="s">
        <v>717</v>
      </c>
      <c r="C706" s="7" t="s">
        <v>24198</v>
      </c>
      <c r="D706" s="37" t="s">
        <v>24199</v>
      </c>
    </row>
    <row r="707">
      <c r="A707" s="37" t="s">
        <v>725</v>
      </c>
      <c r="B707" s="37" t="s">
        <v>717</v>
      </c>
      <c r="C707" s="7" t="s">
        <v>24200</v>
      </c>
      <c r="D707" s="37" t="s">
        <v>24201</v>
      </c>
    </row>
    <row r="708">
      <c r="A708" s="37" t="s">
        <v>24187</v>
      </c>
      <c r="B708" s="37" t="s">
        <v>298</v>
      </c>
      <c r="C708" s="7" t="s">
        <v>24202</v>
      </c>
      <c r="D708" s="37" t="s">
        <v>24203</v>
      </c>
    </row>
    <row r="709">
      <c r="A709" s="37" t="s">
        <v>284</v>
      </c>
      <c r="B709" s="37" t="s">
        <v>281</v>
      </c>
      <c r="C709" s="7" t="s">
        <v>24204</v>
      </c>
      <c r="D709" s="37" t="s">
        <v>24205</v>
      </c>
    </row>
    <row r="710">
      <c r="A710" s="37" t="s">
        <v>284</v>
      </c>
      <c r="B710" s="37" t="s">
        <v>281</v>
      </c>
      <c r="C710" s="7" t="s">
        <v>24206</v>
      </c>
      <c r="D710" s="37" t="s">
        <v>24207</v>
      </c>
    </row>
    <row r="711">
      <c r="A711" s="37" t="s">
        <v>284</v>
      </c>
      <c r="B711" s="37" t="s">
        <v>281</v>
      </c>
      <c r="C711" s="7" t="s">
        <v>24208</v>
      </c>
      <c r="D711" s="37" t="s">
        <v>24209</v>
      </c>
    </row>
    <row r="712">
      <c r="A712" s="37" t="s">
        <v>284</v>
      </c>
      <c r="B712" s="37" t="s">
        <v>281</v>
      </c>
      <c r="C712" s="7" t="s">
        <v>24210</v>
      </c>
      <c r="D712" s="37" t="s">
        <v>24211</v>
      </c>
    </row>
    <row r="713">
      <c r="A713" s="37" t="s">
        <v>859</v>
      </c>
      <c r="B713" s="37" t="s">
        <v>854</v>
      </c>
      <c r="C713" s="7" t="s">
        <v>24212</v>
      </c>
      <c r="D713" s="37" t="s">
        <v>24213</v>
      </c>
    </row>
    <row r="714">
      <c r="A714" s="37" t="s">
        <v>302</v>
      </c>
      <c r="B714" s="37" t="s">
        <v>298</v>
      </c>
      <c r="C714" s="7" t="s">
        <v>24214</v>
      </c>
      <c r="D714" s="37" t="s">
        <v>24215</v>
      </c>
    </row>
    <row r="715">
      <c r="A715" s="37" t="s">
        <v>251</v>
      </c>
      <c r="B715" s="37" t="s">
        <v>216</v>
      </c>
      <c r="C715" s="7" t="s">
        <v>24216</v>
      </c>
      <c r="D715" s="37" t="s">
        <v>24217</v>
      </c>
    </row>
    <row r="716">
      <c r="A716" s="37" t="s">
        <v>116</v>
      </c>
      <c r="B716" s="37" t="s">
        <v>115</v>
      </c>
      <c r="C716" s="7" t="s">
        <v>24218</v>
      </c>
      <c r="D716" s="37" t="s">
        <v>24219</v>
      </c>
    </row>
    <row r="717">
      <c r="A717" s="37" t="s">
        <v>104</v>
      </c>
      <c r="B717" s="37" t="s">
        <v>613</v>
      </c>
      <c r="C717" s="7" t="s">
        <v>24220</v>
      </c>
      <c r="D717" s="37" t="s">
        <v>24221</v>
      </c>
    </row>
    <row r="718">
      <c r="A718" s="37" t="s">
        <v>24222</v>
      </c>
      <c r="B718" s="37" t="s">
        <v>140</v>
      </c>
      <c r="C718" s="7" t="s">
        <v>24223</v>
      </c>
      <c r="D718" s="37" t="s">
        <v>24224</v>
      </c>
    </row>
    <row r="719">
      <c r="A719" s="37" t="s">
        <v>1263</v>
      </c>
      <c r="B719" s="37" t="s">
        <v>648</v>
      </c>
      <c r="C719" s="7" t="s">
        <v>24225</v>
      </c>
      <c r="D719" s="37" t="s">
        <v>24226</v>
      </c>
    </row>
    <row r="720">
      <c r="A720" s="37" t="s">
        <v>1495</v>
      </c>
      <c r="B720" s="37" t="s">
        <v>22880</v>
      </c>
      <c r="C720" s="7" t="s">
        <v>24227</v>
      </c>
      <c r="D720" s="37" t="s">
        <v>24228</v>
      </c>
    </row>
    <row r="721">
      <c r="A721" s="37" t="s">
        <v>1495</v>
      </c>
      <c r="B721" s="37" t="s">
        <v>1495</v>
      </c>
      <c r="C721" s="7" t="s">
        <v>24229</v>
      </c>
      <c r="D721" s="37" t="s">
        <v>24230</v>
      </c>
    </row>
    <row r="722">
      <c r="A722" s="37" t="s">
        <v>143</v>
      </c>
      <c r="B722" s="37" t="s">
        <v>648</v>
      </c>
      <c r="C722" s="7" t="s">
        <v>24231</v>
      </c>
      <c r="D722" s="37" t="s">
        <v>24232</v>
      </c>
    </row>
    <row r="723">
      <c r="A723" s="37" t="s">
        <v>395</v>
      </c>
      <c r="B723" s="37" t="s">
        <v>391</v>
      </c>
      <c r="C723" s="7" t="s">
        <v>24233</v>
      </c>
      <c r="D723" s="37" t="s">
        <v>24234</v>
      </c>
    </row>
    <row r="724">
      <c r="A724" s="37" t="s">
        <v>857</v>
      </c>
      <c r="B724" s="37" t="s">
        <v>854</v>
      </c>
      <c r="C724" s="7" t="s">
        <v>24235</v>
      </c>
      <c r="D724" s="37" t="s">
        <v>24236</v>
      </c>
    </row>
    <row r="725">
      <c r="A725" s="37" t="s">
        <v>395</v>
      </c>
      <c r="B725" s="37" t="s">
        <v>391</v>
      </c>
      <c r="C725" s="37" t="s">
        <v>24237</v>
      </c>
      <c r="D725" s="37" t="s">
        <v>24238</v>
      </c>
    </row>
    <row r="726">
      <c r="A726" s="37" t="s">
        <v>1495</v>
      </c>
      <c r="B726" s="37" t="s">
        <v>22880</v>
      </c>
      <c r="C726" s="7" t="s">
        <v>24239</v>
      </c>
      <c r="D726" s="37" t="s">
        <v>24240</v>
      </c>
    </row>
    <row r="727">
      <c r="A727" s="37" t="s">
        <v>74</v>
      </c>
      <c r="B727" s="37" t="s">
        <v>1208</v>
      </c>
      <c r="C727" s="7" t="s">
        <v>24241</v>
      </c>
      <c r="D727" s="37" t="s">
        <v>24242</v>
      </c>
    </row>
    <row r="728">
      <c r="A728" s="37" t="s">
        <v>23685</v>
      </c>
      <c r="B728" s="37" t="s">
        <v>140</v>
      </c>
      <c r="C728" s="7" t="s">
        <v>24243</v>
      </c>
      <c r="D728" s="37" t="s">
        <v>24244</v>
      </c>
    </row>
    <row r="729">
      <c r="A729" s="37" t="s">
        <v>299</v>
      </c>
      <c r="B729" s="37" t="s">
        <v>298</v>
      </c>
      <c r="C729" s="7" t="s">
        <v>24245</v>
      </c>
      <c r="D729" s="37" t="s">
        <v>24246</v>
      </c>
    </row>
    <row r="730">
      <c r="A730" s="37" t="s">
        <v>23444</v>
      </c>
      <c r="B730" s="37" t="s">
        <v>216</v>
      </c>
      <c r="C730" s="7" t="s">
        <v>24247</v>
      </c>
      <c r="D730" s="37" t="s">
        <v>24248</v>
      </c>
    </row>
    <row r="731">
      <c r="A731" s="37" t="s">
        <v>284</v>
      </c>
      <c r="B731" s="37" t="s">
        <v>281</v>
      </c>
      <c r="C731" s="7" t="s">
        <v>24249</v>
      </c>
      <c r="D731" s="37" t="s">
        <v>24250</v>
      </c>
    </row>
    <row r="732">
      <c r="A732" s="37" t="s">
        <v>1146</v>
      </c>
      <c r="B732" s="37" t="s">
        <v>478</v>
      </c>
      <c r="C732" s="7" t="s">
        <v>9328</v>
      </c>
      <c r="D732" s="37" t="s">
        <v>24251</v>
      </c>
    </row>
    <row r="733">
      <c r="A733" s="37" t="s">
        <v>1146</v>
      </c>
      <c r="B733" s="37" t="s">
        <v>478</v>
      </c>
      <c r="C733" s="7" t="s">
        <v>9795</v>
      </c>
      <c r="D733" s="37" t="s">
        <v>24252</v>
      </c>
    </row>
    <row r="734">
      <c r="A734" s="37" t="s">
        <v>19463</v>
      </c>
      <c r="B734" s="37" t="s">
        <v>24253</v>
      </c>
      <c r="C734" s="7" t="s">
        <v>24254</v>
      </c>
      <c r="D734" s="37" t="s">
        <v>24255</v>
      </c>
    </row>
    <row r="735">
      <c r="A735" s="37" t="s">
        <v>1263</v>
      </c>
      <c r="B735" s="37" t="s">
        <v>648</v>
      </c>
      <c r="C735" s="7" t="s">
        <v>24256</v>
      </c>
      <c r="D735" s="37" t="s">
        <v>24257</v>
      </c>
    </row>
    <row r="736">
      <c r="A736" s="37" t="s">
        <v>399</v>
      </c>
      <c r="B736" s="37" t="s">
        <v>391</v>
      </c>
      <c r="C736" s="7" t="s">
        <v>24258</v>
      </c>
      <c r="D736" s="37" t="s">
        <v>24259</v>
      </c>
    </row>
    <row r="737">
      <c r="A737" s="37" t="s">
        <v>399</v>
      </c>
      <c r="B737" s="37" t="s">
        <v>391</v>
      </c>
      <c r="C737" s="7" t="s">
        <v>24260</v>
      </c>
      <c r="D737" s="37" t="s">
        <v>24261</v>
      </c>
    </row>
    <row r="738">
      <c r="A738" s="37" t="s">
        <v>225</v>
      </c>
      <c r="B738" s="37" t="s">
        <v>216</v>
      </c>
      <c r="C738" s="7" t="s">
        <v>24262</v>
      </c>
      <c r="D738" s="37" t="s">
        <v>24263</v>
      </c>
    </row>
    <row r="739">
      <c r="A739" s="37" t="s">
        <v>786</v>
      </c>
      <c r="B739" s="37" t="s">
        <v>780</v>
      </c>
      <c r="C739" s="7" t="s">
        <v>1893</v>
      </c>
      <c r="D739" s="37" t="s">
        <v>24264</v>
      </c>
    </row>
    <row r="740">
      <c r="A740" s="37" t="s">
        <v>24265</v>
      </c>
      <c r="B740" s="37" t="s">
        <v>429</v>
      </c>
      <c r="C740" s="7" t="s">
        <v>24266</v>
      </c>
      <c r="D740" s="37" t="s">
        <v>24267</v>
      </c>
    </row>
    <row r="741">
      <c r="A741" s="37" t="s">
        <v>43</v>
      </c>
      <c r="B741" s="37" t="s">
        <v>1242</v>
      </c>
      <c r="C741" s="7" t="s">
        <v>15587</v>
      </c>
      <c r="D741" s="37" t="s">
        <v>24268</v>
      </c>
    </row>
    <row r="742">
      <c r="A742" s="37" t="s">
        <v>23444</v>
      </c>
      <c r="B742" s="37" t="s">
        <v>216</v>
      </c>
      <c r="C742" s="7" t="s">
        <v>24269</v>
      </c>
      <c r="D742" s="37" t="s">
        <v>24270</v>
      </c>
    </row>
    <row r="743">
      <c r="A743" s="37" t="s">
        <v>1495</v>
      </c>
      <c r="B743" s="37" t="s">
        <v>22880</v>
      </c>
      <c r="C743" s="7" t="s">
        <v>24271</v>
      </c>
      <c r="D743" s="37" t="s">
        <v>24272</v>
      </c>
    </row>
    <row r="744">
      <c r="A744" s="37" t="s">
        <v>1495</v>
      </c>
      <c r="B744" s="37" t="s">
        <v>1495</v>
      </c>
      <c r="C744" s="7" t="s">
        <v>24273</v>
      </c>
      <c r="D744" s="37" t="s">
        <v>24274</v>
      </c>
    </row>
    <row r="745">
      <c r="A745" s="37" t="s">
        <v>1495</v>
      </c>
      <c r="B745" s="37" t="s">
        <v>1495</v>
      </c>
      <c r="C745" s="7" t="s">
        <v>24275</v>
      </c>
      <c r="D745" s="37" t="s">
        <v>24276</v>
      </c>
    </row>
    <row r="746">
      <c r="A746" s="37" t="s">
        <v>1495</v>
      </c>
      <c r="B746" s="37" t="s">
        <v>1495</v>
      </c>
      <c r="C746" s="7" t="s">
        <v>24277</v>
      </c>
      <c r="D746" s="37" t="s">
        <v>24278</v>
      </c>
    </row>
    <row r="747">
      <c r="A747" s="37" t="s">
        <v>284</v>
      </c>
      <c r="B747" s="37" t="s">
        <v>281</v>
      </c>
      <c r="C747" s="7" t="s">
        <v>24279</v>
      </c>
      <c r="D747" s="37" t="s">
        <v>24280</v>
      </c>
    </row>
    <row r="748">
      <c r="A748" s="37" t="s">
        <v>284</v>
      </c>
      <c r="B748" s="37" t="s">
        <v>281</v>
      </c>
      <c r="C748" s="7" t="s">
        <v>24281</v>
      </c>
      <c r="D748" s="37" t="s">
        <v>24282</v>
      </c>
    </row>
    <row r="749">
      <c r="A749" s="37" t="s">
        <v>284</v>
      </c>
      <c r="B749" s="37" t="s">
        <v>281</v>
      </c>
      <c r="C749" s="7" t="s">
        <v>24283</v>
      </c>
      <c r="D749" s="37" t="s">
        <v>24284</v>
      </c>
    </row>
    <row r="750">
      <c r="A750" s="37" t="s">
        <v>284</v>
      </c>
      <c r="B750" s="37" t="s">
        <v>281</v>
      </c>
      <c r="C750" s="7" t="s">
        <v>24285</v>
      </c>
      <c r="D750" s="37" t="s">
        <v>24286</v>
      </c>
    </row>
    <row r="751">
      <c r="A751" s="37" t="s">
        <v>701</v>
      </c>
      <c r="B751" s="37" t="s">
        <v>693</v>
      </c>
      <c r="C751" s="7" t="s">
        <v>24287</v>
      </c>
      <c r="D751" s="37" t="s">
        <v>24288</v>
      </c>
    </row>
    <row r="752">
      <c r="A752" s="37" t="s">
        <v>51</v>
      </c>
      <c r="B752" s="37" t="s">
        <v>1242</v>
      </c>
      <c r="C752" s="7" t="s">
        <v>24289</v>
      </c>
      <c r="D752" s="37" t="s">
        <v>24290</v>
      </c>
    </row>
    <row r="753">
      <c r="A753" s="37" t="s">
        <v>51</v>
      </c>
      <c r="B753" s="37" t="s">
        <v>1242</v>
      </c>
      <c r="C753" s="7" t="s">
        <v>24291</v>
      </c>
      <c r="D753" s="37" t="s">
        <v>24292</v>
      </c>
    </row>
    <row r="754">
      <c r="A754" s="37" t="s">
        <v>696</v>
      </c>
      <c r="B754" s="37" t="s">
        <v>693</v>
      </c>
      <c r="C754" s="7" t="s">
        <v>24293</v>
      </c>
      <c r="D754" s="37" t="s">
        <v>24294</v>
      </c>
    </row>
    <row r="755">
      <c r="A755" s="37" t="s">
        <v>23685</v>
      </c>
      <c r="B755" s="37" t="s">
        <v>140</v>
      </c>
      <c r="C755" s="7" t="s">
        <v>24295</v>
      </c>
      <c r="D755" s="37" t="s">
        <v>24296</v>
      </c>
    </row>
    <row r="756">
      <c r="A756" s="37" t="s">
        <v>23685</v>
      </c>
      <c r="B756" s="37" t="s">
        <v>140</v>
      </c>
      <c r="C756" s="7" t="s">
        <v>24297</v>
      </c>
      <c r="D756" s="37" t="s">
        <v>24298</v>
      </c>
    </row>
    <row r="757">
      <c r="A757" s="37" t="s">
        <v>23685</v>
      </c>
      <c r="B757" s="37" t="s">
        <v>140</v>
      </c>
      <c r="C757" s="7" t="s">
        <v>24299</v>
      </c>
      <c r="D757" s="37" t="s">
        <v>24300</v>
      </c>
    </row>
    <row r="758">
      <c r="A758" s="37" t="s">
        <v>23685</v>
      </c>
      <c r="B758" s="37" t="s">
        <v>140</v>
      </c>
      <c r="C758" s="7" t="s">
        <v>24301</v>
      </c>
      <c r="D758" s="37" t="s">
        <v>24302</v>
      </c>
    </row>
    <row r="759">
      <c r="A759" s="37" t="s">
        <v>395</v>
      </c>
      <c r="B759" s="37" t="s">
        <v>391</v>
      </c>
      <c r="C759" s="7" t="s">
        <v>24303</v>
      </c>
      <c r="D759" s="37" t="s">
        <v>24304</v>
      </c>
    </row>
    <row r="760">
      <c r="A760" s="37" t="s">
        <v>74</v>
      </c>
      <c r="B760" s="37" t="s">
        <v>1208</v>
      </c>
      <c r="C760" s="7" t="s">
        <v>24305</v>
      </c>
      <c r="D760" s="37" t="s">
        <v>24306</v>
      </c>
    </row>
    <row r="761">
      <c r="A761" s="37" t="s">
        <v>74</v>
      </c>
      <c r="B761" s="37" t="s">
        <v>1208</v>
      </c>
      <c r="C761" s="7" t="s">
        <v>24307</v>
      </c>
      <c r="D761" s="37" t="s">
        <v>24308</v>
      </c>
    </row>
    <row r="762">
      <c r="A762" s="37" t="s">
        <v>74</v>
      </c>
      <c r="B762" s="37" t="s">
        <v>1208</v>
      </c>
      <c r="C762" s="7" t="s">
        <v>24309</v>
      </c>
      <c r="D762" s="37" t="s">
        <v>24310</v>
      </c>
    </row>
    <row r="763">
      <c r="A763" s="37" t="s">
        <v>74</v>
      </c>
      <c r="B763" s="37" t="s">
        <v>1208</v>
      </c>
      <c r="C763" s="7" t="s">
        <v>24311</v>
      </c>
      <c r="D763" s="37" t="s">
        <v>24312</v>
      </c>
    </row>
    <row r="764">
      <c r="A764" s="37" t="s">
        <v>74</v>
      </c>
      <c r="B764" s="37" t="s">
        <v>1208</v>
      </c>
      <c r="C764" s="7" t="s">
        <v>24313</v>
      </c>
      <c r="D764" s="37" t="s">
        <v>24314</v>
      </c>
    </row>
    <row r="765">
      <c r="A765" s="37" t="s">
        <v>23444</v>
      </c>
      <c r="B765" s="37" t="s">
        <v>216</v>
      </c>
      <c r="C765" s="7" t="s">
        <v>24315</v>
      </c>
      <c r="D765" s="37" t="s">
        <v>24316</v>
      </c>
    </row>
    <row r="766">
      <c r="A766" s="37" t="s">
        <v>24222</v>
      </c>
      <c r="B766" s="37" t="s">
        <v>140</v>
      </c>
      <c r="C766" s="7" t="s">
        <v>24317</v>
      </c>
      <c r="D766" s="37" t="s">
        <v>24318</v>
      </c>
    </row>
    <row r="767">
      <c r="A767" s="37" t="s">
        <v>23685</v>
      </c>
      <c r="B767" s="37" t="s">
        <v>140</v>
      </c>
      <c r="C767" s="7" t="s">
        <v>24319</v>
      </c>
      <c r="D767" s="37" t="s">
        <v>24320</v>
      </c>
    </row>
    <row r="768">
      <c r="A768" s="37" t="s">
        <v>284</v>
      </c>
      <c r="B768" s="37" t="s">
        <v>281</v>
      </c>
      <c r="C768" s="7" t="s">
        <v>24321</v>
      </c>
      <c r="D768" s="37" t="s">
        <v>24322</v>
      </c>
    </row>
    <row r="769">
      <c r="A769" s="37" t="s">
        <v>284</v>
      </c>
      <c r="B769" s="37" t="s">
        <v>281</v>
      </c>
      <c r="C769" s="7" t="s">
        <v>24323</v>
      </c>
      <c r="D769" s="37" t="s">
        <v>24324</v>
      </c>
    </row>
    <row r="770">
      <c r="A770" s="37" t="s">
        <v>284</v>
      </c>
      <c r="B770" s="37" t="s">
        <v>281</v>
      </c>
      <c r="C770" s="7" t="s">
        <v>24325</v>
      </c>
      <c r="D770" s="37" t="s">
        <v>24326</v>
      </c>
    </row>
    <row r="771">
      <c r="A771" s="37" t="s">
        <v>284</v>
      </c>
      <c r="B771" s="37" t="s">
        <v>281</v>
      </c>
      <c r="C771" s="7" t="s">
        <v>24327</v>
      </c>
      <c r="D771" s="37" t="s">
        <v>24328</v>
      </c>
    </row>
    <row r="772">
      <c r="A772" s="37" t="s">
        <v>284</v>
      </c>
      <c r="B772" s="37" t="s">
        <v>281</v>
      </c>
      <c r="C772" s="7" t="s">
        <v>24329</v>
      </c>
      <c r="D772" s="37" t="s">
        <v>24330</v>
      </c>
    </row>
    <row r="773">
      <c r="A773" s="37" t="s">
        <v>284</v>
      </c>
      <c r="B773" s="37" t="s">
        <v>281</v>
      </c>
      <c r="C773" s="7" t="s">
        <v>24331</v>
      </c>
      <c r="D773" s="37" t="s">
        <v>24332</v>
      </c>
    </row>
    <row r="774">
      <c r="A774" s="37" t="s">
        <v>284</v>
      </c>
      <c r="B774" s="37" t="s">
        <v>281</v>
      </c>
      <c r="C774" s="7" t="s">
        <v>24333</v>
      </c>
      <c r="D774" s="37" t="s">
        <v>24334</v>
      </c>
    </row>
    <row r="775">
      <c r="A775" s="37" t="s">
        <v>284</v>
      </c>
      <c r="B775" s="37" t="s">
        <v>281</v>
      </c>
      <c r="C775" s="7" t="s">
        <v>24335</v>
      </c>
      <c r="D775" s="37" t="s">
        <v>24336</v>
      </c>
    </row>
    <row r="776">
      <c r="A776" s="37" t="s">
        <v>284</v>
      </c>
      <c r="B776" s="37" t="s">
        <v>281</v>
      </c>
      <c r="C776" s="7" t="s">
        <v>24337</v>
      </c>
      <c r="D776" s="37" t="s">
        <v>24338</v>
      </c>
    </row>
    <row r="777">
      <c r="A777" s="37" t="s">
        <v>284</v>
      </c>
      <c r="B777" s="37" t="s">
        <v>281</v>
      </c>
      <c r="C777" s="7" t="s">
        <v>24339</v>
      </c>
      <c r="D777" s="37" t="s">
        <v>24340</v>
      </c>
    </row>
    <row r="778">
      <c r="A778" s="37" t="s">
        <v>1147</v>
      </c>
      <c r="B778" s="37" t="s">
        <v>478</v>
      </c>
      <c r="C778" s="7" t="s">
        <v>24341</v>
      </c>
      <c r="D778" s="37" t="s">
        <v>24342</v>
      </c>
    </row>
    <row r="779">
      <c r="A779" s="37" t="s">
        <v>1146</v>
      </c>
      <c r="B779" s="37" t="s">
        <v>478</v>
      </c>
      <c r="C779" s="7" t="s">
        <v>24343</v>
      </c>
      <c r="D779" s="37" t="s">
        <v>24344</v>
      </c>
    </row>
    <row r="780">
      <c r="A780" s="37" t="s">
        <v>861</v>
      </c>
      <c r="B780" s="37" t="s">
        <v>854</v>
      </c>
      <c r="C780" s="7" t="s">
        <v>24345</v>
      </c>
      <c r="D780" s="37" t="s">
        <v>24346</v>
      </c>
    </row>
    <row r="781">
      <c r="A781" s="37" t="s">
        <v>701</v>
      </c>
      <c r="B781" s="37" t="s">
        <v>693</v>
      </c>
      <c r="C781" s="7" t="s">
        <v>24347</v>
      </c>
      <c r="D781" s="37" t="s">
        <v>24348</v>
      </c>
    </row>
    <row r="782">
      <c r="A782" s="37" t="s">
        <v>23685</v>
      </c>
      <c r="B782" s="37" t="s">
        <v>140</v>
      </c>
      <c r="C782" s="7" t="s">
        <v>24349</v>
      </c>
      <c r="D782" s="37" t="s">
        <v>24350</v>
      </c>
    </row>
    <row r="783">
      <c r="A783" s="37" t="s">
        <v>1163</v>
      </c>
      <c r="B783" s="37" t="s">
        <v>717</v>
      </c>
      <c r="C783" s="7" t="s">
        <v>24351</v>
      </c>
      <c r="D783" s="37" t="s">
        <v>24352</v>
      </c>
    </row>
    <row r="784">
      <c r="A784" s="37" t="s">
        <v>1495</v>
      </c>
      <c r="B784" s="37" t="s">
        <v>22880</v>
      </c>
      <c r="C784" s="7" t="s">
        <v>24353</v>
      </c>
      <c r="D784" s="37" t="s">
        <v>24354</v>
      </c>
    </row>
    <row r="785">
      <c r="A785" s="37" t="s">
        <v>223</v>
      </c>
      <c r="B785" s="37" t="s">
        <v>216</v>
      </c>
      <c r="C785" s="7" t="s">
        <v>24355</v>
      </c>
      <c r="D785" s="37" t="s">
        <v>24356</v>
      </c>
    </row>
    <row r="786">
      <c r="A786" s="37" t="s">
        <v>626</v>
      </c>
      <c r="B786" s="37" t="s">
        <v>625</v>
      </c>
      <c r="C786" s="7" t="s">
        <v>24357</v>
      </c>
      <c r="D786" s="37" t="s">
        <v>24358</v>
      </c>
    </row>
    <row r="787">
      <c r="A787" s="37" t="s">
        <v>1163</v>
      </c>
      <c r="B787" s="37" t="s">
        <v>216</v>
      </c>
      <c r="C787" s="7" t="s">
        <v>24359</v>
      </c>
      <c r="D787" s="37" t="s">
        <v>24360</v>
      </c>
    </row>
    <row r="788">
      <c r="A788" s="37" t="s">
        <v>399</v>
      </c>
      <c r="B788" s="37" t="s">
        <v>391</v>
      </c>
      <c r="C788" s="7" t="s">
        <v>24361</v>
      </c>
      <c r="D788" s="37" t="s">
        <v>24362</v>
      </c>
    </row>
    <row r="789">
      <c r="A789" s="37" t="s">
        <v>324</v>
      </c>
      <c r="B789" s="37" t="s">
        <v>1242</v>
      </c>
      <c r="C789" s="7" t="s">
        <v>24363</v>
      </c>
      <c r="D789" s="37" t="s">
        <v>24364</v>
      </c>
    </row>
    <row r="790">
      <c r="A790" s="37" t="s">
        <v>74</v>
      </c>
      <c r="B790" s="37" t="s">
        <v>1208</v>
      </c>
      <c r="C790" s="7" t="s">
        <v>24365</v>
      </c>
      <c r="D790" s="37" t="s">
        <v>24366</v>
      </c>
    </row>
    <row r="791">
      <c r="A791" s="37" t="s">
        <v>786</v>
      </c>
      <c r="B791" s="37" t="s">
        <v>780</v>
      </c>
      <c r="C791" s="7" t="s">
        <v>24367</v>
      </c>
      <c r="D791" s="37" t="s">
        <v>24368</v>
      </c>
    </row>
    <row r="792">
      <c r="A792" s="37" t="s">
        <v>9</v>
      </c>
      <c r="B792" s="37" t="s">
        <v>3</v>
      </c>
      <c r="C792" s="7" t="s">
        <v>24369</v>
      </c>
      <c r="D792" s="37" t="s">
        <v>24370</v>
      </c>
    </row>
    <row r="793">
      <c r="A793" s="37" t="s">
        <v>24371</v>
      </c>
      <c r="B793" s="37" t="s">
        <v>298</v>
      </c>
      <c r="C793" s="7" t="s">
        <v>24372</v>
      </c>
      <c r="D793" s="37" t="s">
        <v>24373</v>
      </c>
    </row>
    <row r="794">
      <c r="A794" s="37" t="s">
        <v>1495</v>
      </c>
      <c r="B794" s="37" t="s">
        <v>22880</v>
      </c>
      <c r="C794" s="7" t="s">
        <v>24374</v>
      </c>
      <c r="D794" s="37" t="s">
        <v>24375</v>
      </c>
    </row>
    <row r="795">
      <c r="A795" s="37" t="s">
        <v>299</v>
      </c>
      <c r="B795" s="37" t="s">
        <v>298</v>
      </c>
      <c r="C795" s="7" t="s">
        <v>24376</v>
      </c>
      <c r="D795" s="37" t="s">
        <v>24377</v>
      </c>
    </row>
    <row r="796">
      <c r="A796" s="37" t="s">
        <v>284</v>
      </c>
      <c r="B796" s="37" t="s">
        <v>281</v>
      </c>
      <c r="C796" s="7" t="s">
        <v>24378</v>
      </c>
      <c r="D796" s="37" t="s">
        <v>24379</v>
      </c>
    </row>
    <row r="797">
      <c r="A797" s="37" t="s">
        <v>223</v>
      </c>
      <c r="B797" s="37" t="s">
        <v>216</v>
      </c>
      <c r="C797" s="7" t="s">
        <v>24380</v>
      </c>
      <c r="D797" s="37" t="s">
        <v>24381</v>
      </c>
    </row>
    <row r="798">
      <c r="A798" s="37" t="s">
        <v>302</v>
      </c>
      <c r="B798" s="37" t="s">
        <v>298</v>
      </c>
      <c r="C798" s="7" t="s">
        <v>24382</v>
      </c>
      <c r="D798" s="37" t="s">
        <v>24383</v>
      </c>
    </row>
    <row r="799">
      <c r="A799" s="37" t="s">
        <v>331</v>
      </c>
      <c r="B799" s="37" t="s">
        <v>38</v>
      </c>
      <c r="C799" s="7" t="s">
        <v>24384</v>
      </c>
      <c r="D799" s="37" t="s">
        <v>24385</v>
      </c>
    </row>
    <row r="800">
      <c r="A800" s="37" t="s">
        <v>9</v>
      </c>
      <c r="B800" s="37" t="s">
        <v>3</v>
      </c>
      <c r="C800" s="7" t="s">
        <v>24386</v>
      </c>
      <c r="D800" s="37" t="s">
        <v>24387</v>
      </c>
    </row>
    <row r="801">
      <c r="A801" s="37" t="s">
        <v>730</v>
      </c>
      <c r="B801" s="37" t="s">
        <v>717</v>
      </c>
      <c r="C801" s="37" t="s">
        <v>24388</v>
      </c>
      <c r="D801" s="37" t="s">
        <v>24389</v>
      </c>
    </row>
    <row r="802">
      <c r="A802" s="37" t="s">
        <v>230</v>
      </c>
      <c r="B802" s="37" t="s">
        <v>216</v>
      </c>
      <c r="C802" s="7" t="s">
        <v>15629</v>
      </c>
      <c r="D802" s="37" t="s">
        <v>24390</v>
      </c>
    </row>
    <row r="803">
      <c r="A803" s="37" t="s">
        <v>1495</v>
      </c>
      <c r="B803" s="37" t="s">
        <v>1242</v>
      </c>
      <c r="C803" s="7" t="s">
        <v>1545</v>
      </c>
      <c r="D803" s="37" t="s">
        <v>24391</v>
      </c>
    </row>
    <row r="804">
      <c r="A804" s="37" t="s">
        <v>484</v>
      </c>
      <c r="B804" s="37" t="s">
        <v>478</v>
      </c>
      <c r="C804" s="7" t="s">
        <v>24392</v>
      </c>
      <c r="D804" s="37" t="s">
        <v>24393</v>
      </c>
    </row>
    <row r="805">
      <c r="A805" s="37" t="s">
        <v>824</v>
      </c>
      <c r="B805" s="37" t="s">
        <v>1242</v>
      </c>
      <c r="C805" s="7" t="s">
        <v>24394</v>
      </c>
      <c r="D805" s="37" t="s">
        <v>24395</v>
      </c>
    </row>
    <row r="806">
      <c r="A806" s="37" t="s">
        <v>824</v>
      </c>
      <c r="B806" s="37" t="s">
        <v>1242</v>
      </c>
      <c r="C806" s="7" t="s">
        <v>24396</v>
      </c>
      <c r="D806" s="37" t="s">
        <v>24397</v>
      </c>
    </row>
    <row r="807">
      <c r="A807" s="37" t="s">
        <v>284</v>
      </c>
      <c r="B807" s="37" t="s">
        <v>281</v>
      </c>
      <c r="C807" s="7" t="s">
        <v>24398</v>
      </c>
      <c r="D807" s="37" t="s">
        <v>24399</v>
      </c>
    </row>
    <row r="808">
      <c r="A808" s="37" t="s">
        <v>284</v>
      </c>
      <c r="B808" s="37" t="s">
        <v>281</v>
      </c>
      <c r="C808" s="7" t="s">
        <v>24400</v>
      </c>
      <c r="D808" s="37" t="s">
        <v>24401</v>
      </c>
    </row>
    <row r="809">
      <c r="A809" s="37" t="s">
        <v>230</v>
      </c>
      <c r="B809" s="37" t="s">
        <v>216</v>
      </c>
      <c r="C809" s="7" t="s">
        <v>24402</v>
      </c>
      <c r="D809" s="37" t="s">
        <v>24403</v>
      </c>
    </row>
    <row r="810">
      <c r="A810" s="37" t="s">
        <v>104</v>
      </c>
      <c r="B810" s="37" t="s">
        <v>101</v>
      </c>
      <c r="C810" s="7" t="s">
        <v>15692</v>
      </c>
      <c r="D810" s="37" t="s">
        <v>24404</v>
      </c>
    </row>
    <row r="811">
      <c r="A811" s="37" t="s">
        <v>1495</v>
      </c>
      <c r="B811" s="37" t="s">
        <v>22880</v>
      </c>
      <c r="C811" s="7" t="s">
        <v>24405</v>
      </c>
      <c r="D811" s="37" t="s">
        <v>24406</v>
      </c>
    </row>
    <row r="812">
      <c r="A812" s="37" t="s">
        <v>124</v>
      </c>
      <c r="B812" s="37" t="s">
        <v>115</v>
      </c>
      <c r="C812" s="7" t="s">
        <v>24407</v>
      </c>
      <c r="D812" s="37" t="s">
        <v>24408</v>
      </c>
    </row>
    <row r="813">
      <c r="A813" s="37" t="s">
        <v>392</v>
      </c>
      <c r="B813" s="37" t="s">
        <v>391</v>
      </c>
      <c r="C813" s="7" t="s">
        <v>24409</v>
      </c>
      <c r="D813" s="37" t="s">
        <v>24410</v>
      </c>
    </row>
    <row r="814">
      <c r="A814" s="37" t="s">
        <v>23444</v>
      </c>
      <c r="B814" s="37" t="s">
        <v>216</v>
      </c>
      <c r="C814" s="7" t="s">
        <v>24411</v>
      </c>
      <c r="D814" s="37" t="s">
        <v>24412</v>
      </c>
    </row>
    <row r="815">
      <c r="A815" s="37" t="s">
        <v>217</v>
      </c>
      <c r="B815" s="37" t="s">
        <v>216</v>
      </c>
      <c r="C815" s="7" t="s">
        <v>24413</v>
      </c>
      <c r="D815" s="37" t="s">
        <v>24414</v>
      </c>
    </row>
    <row r="816">
      <c r="A816" s="37" t="s">
        <v>1163</v>
      </c>
      <c r="B816" s="37" t="s">
        <v>717</v>
      </c>
      <c r="C816" s="7" t="s">
        <v>24168</v>
      </c>
      <c r="D816" s="37" t="s">
        <v>24415</v>
      </c>
    </row>
    <row r="817">
      <c r="A817" s="37" t="s">
        <v>23444</v>
      </c>
      <c r="B817" s="37" t="s">
        <v>216</v>
      </c>
      <c r="C817" s="7" t="s">
        <v>24416</v>
      </c>
      <c r="D817" s="37" t="s">
        <v>24417</v>
      </c>
    </row>
    <row r="818">
      <c r="A818" s="37" t="s">
        <v>399</v>
      </c>
      <c r="B818" s="37" t="s">
        <v>391</v>
      </c>
      <c r="C818" s="7" t="s">
        <v>24418</v>
      </c>
      <c r="D818" s="37" t="s">
        <v>24419</v>
      </c>
    </row>
    <row r="819">
      <c r="A819" s="37" t="s">
        <v>399</v>
      </c>
      <c r="B819" s="37" t="s">
        <v>391</v>
      </c>
      <c r="C819" s="7" t="s">
        <v>24420</v>
      </c>
      <c r="D819" s="37" t="s">
        <v>24421</v>
      </c>
    </row>
    <row r="820">
      <c r="A820" s="37" t="s">
        <v>225</v>
      </c>
      <c r="B820" s="37" t="s">
        <v>216</v>
      </c>
      <c r="C820" s="7" t="s">
        <v>24422</v>
      </c>
      <c r="D820" s="37" t="s">
        <v>24423</v>
      </c>
    </row>
    <row r="821">
      <c r="A821" s="37" t="s">
        <v>395</v>
      </c>
      <c r="B821" s="37" t="s">
        <v>391</v>
      </c>
      <c r="C821" s="7" t="s">
        <v>24424</v>
      </c>
      <c r="D821" s="37" t="s">
        <v>24425</v>
      </c>
    </row>
    <row r="822">
      <c r="A822" s="37" t="s">
        <v>1495</v>
      </c>
      <c r="B822" s="37" t="s">
        <v>1495</v>
      </c>
      <c r="C822" s="7" t="s">
        <v>24426</v>
      </c>
      <c r="D822" s="37" t="s">
        <v>24427</v>
      </c>
    </row>
    <row r="823">
      <c r="A823" s="37" t="s">
        <v>399</v>
      </c>
      <c r="B823" s="37" t="s">
        <v>391</v>
      </c>
      <c r="C823" s="7" t="s">
        <v>24428</v>
      </c>
      <c r="D823" s="37" t="s">
        <v>24429</v>
      </c>
    </row>
    <row r="824">
      <c r="A824" s="37" t="s">
        <v>1495</v>
      </c>
      <c r="B824" s="37" t="s">
        <v>1495</v>
      </c>
      <c r="C824" s="7" t="s">
        <v>24430</v>
      </c>
      <c r="D824" s="37" t="s">
        <v>24431</v>
      </c>
    </row>
    <row r="825">
      <c r="A825" s="37" t="s">
        <v>1495</v>
      </c>
      <c r="B825" s="37" t="s">
        <v>1495</v>
      </c>
      <c r="C825" s="7" t="s">
        <v>24432</v>
      </c>
      <c r="D825" s="37" t="s">
        <v>24433</v>
      </c>
    </row>
    <row r="826">
      <c r="A826" s="37" t="s">
        <v>1495</v>
      </c>
      <c r="B826" s="37" t="s">
        <v>1495</v>
      </c>
      <c r="C826" s="7" t="s">
        <v>24434</v>
      </c>
      <c r="D826" s="37" t="s">
        <v>24435</v>
      </c>
    </row>
    <row r="827">
      <c r="A827" s="37" t="s">
        <v>106</v>
      </c>
      <c r="B827" s="37" t="s">
        <v>613</v>
      </c>
      <c r="C827" s="7" t="s">
        <v>24436</v>
      </c>
      <c r="D827" s="37" t="s">
        <v>24437</v>
      </c>
    </row>
    <row r="828">
      <c r="A828" s="37" t="s">
        <v>23444</v>
      </c>
      <c r="B828" s="37" t="s">
        <v>216</v>
      </c>
      <c r="C828" s="7" t="s">
        <v>24438</v>
      </c>
      <c r="D828" s="37" t="s">
        <v>24439</v>
      </c>
    </row>
    <row r="829">
      <c r="A829" s="37" t="s">
        <v>136</v>
      </c>
      <c r="B829" s="37" t="s">
        <v>24440</v>
      </c>
      <c r="C829" s="7" t="s">
        <v>24441</v>
      </c>
      <c r="D829" s="37" t="s">
        <v>24442</v>
      </c>
    </row>
    <row r="830">
      <c r="A830" s="37" t="s">
        <v>698</v>
      </c>
      <c r="B830" s="37" t="s">
        <v>693</v>
      </c>
      <c r="C830" s="7" t="s">
        <v>24443</v>
      </c>
      <c r="D830" s="37" t="s">
        <v>24444</v>
      </c>
    </row>
    <row r="831">
      <c r="A831" s="37" t="s">
        <v>1263</v>
      </c>
      <c r="B831" s="37" t="s">
        <v>648</v>
      </c>
      <c r="C831" s="7" t="s">
        <v>24445</v>
      </c>
      <c r="D831" s="37" t="s">
        <v>24446</v>
      </c>
    </row>
    <row r="832">
      <c r="A832" s="37" t="s">
        <v>1263</v>
      </c>
      <c r="B832" s="37" t="s">
        <v>648</v>
      </c>
      <c r="C832" s="7" t="s">
        <v>24447</v>
      </c>
      <c r="D832" s="37" t="s">
        <v>24448</v>
      </c>
    </row>
    <row r="833">
      <c r="A833" s="37" t="s">
        <v>1263</v>
      </c>
      <c r="B833" s="37" t="s">
        <v>648</v>
      </c>
      <c r="C833" s="7" t="s">
        <v>24449</v>
      </c>
      <c r="D833" s="37" t="s">
        <v>24450</v>
      </c>
    </row>
    <row r="834">
      <c r="A834" s="37" t="s">
        <v>1163</v>
      </c>
      <c r="B834" s="37" t="s">
        <v>717</v>
      </c>
      <c r="C834" s="7" t="s">
        <v>10123</v>
      </c>
      <c r="D834" s="37" t="s">
        <v>24451</v>
      </c>
    </row>
    <row r="835">
      <c r="A835" s="37" t="s">
        <v>331</v>
      </c>
      <c r="B835" s="37" t="s">
        <v>38</v>
      </c>
      <c r="C835" s="7" t="s">
        <v>24452</v>
      </c>
      <c r="D835" s="37" t="s">
        <v>24453</v>
      </c>
    </row>
    <row r="836">
      <c r="A836" s="37" t="s">
        <v>1263</v>
      </c>
      <c r="B836" s="37" t="s">
        <v>648</v>
      </c>
      <c r="C836" s="7" t="s">
        <v>24454</v>
      </c>
      <c r="D836" s="37" t="s">
        <v>24455</v>
      </c>
    </row>
    <row r="837">
      <c r="A837" s="37" t="s">
        <v>24456</v>
      </c>
      <c r="B837" s="37" t="s">
        <v>24457</v>
      </c>
      <c r="C837" s="7" t="s">
        <v>24144</v>
      </c>
      <c r="D837" s="37" t="s">
        <v>24458</v>
      </c>
    </row>
    <row r="838">
      <c r="A838" s="37" t="s">
        <v>1495</v>
      </c>
      <c r="B838" s="37" t="s">
        <v>391</v>
      </c>
      <c r="C838" s="7" t="s">
        <v>24459</v>
      </c>
      <c r="D838" s="37" t="s">
        <v>24460</v>
      </c>
    </row>
    <row r="839">
      <c r="A839" s="37" t="s">
        <v>16</v>
      </c>
      <c r="B839" s="37" t="s">
        <v>23764</v>
      </c>
      <c r="C839" s="7" t="s">
        <v>24461</v>
      </c>
      <c r="D839" s="37" t="s">
        <v>24462</v>
      </c>
    </row>
    <row r="840">
      <c r="A840" s="37" t="s">
        <v>696</v>
      </c>
      <c r="B840" s="37" t="s">
        <v>693</v>
      </c>
      <c r="C840" s="7" t="s">
        <v>24463</v>
      </c>
      <c r="D840" s="37" t="s">
        <v>24464</v>
      </c>
    </row>
    <row r="841">
      <c r="A841" s="37" t="s">
        <v>225</v>
      </c>
      <c r="B841" s="37" t="s">
        <v>216</v>
      </c>
      <c r="C841" s="7" t="s">
        <v>24465</v>
      </c>
      <c r="D841" s="37" t="s">
        <v>24466</v>
      </c>
    </row>
    <row r="842">
      <c r="A842" s="37" t="s">
        <v>484</v>
      </c>
      <c r="B842" s="37" t="s">
        <v>478</v>
      </c>
      <c r="C842" s="7" t="s">
        <v>24467</v>
      </c>
      <c r="D842" s="37" t="s">
        <v>24468</v>
      </c>
    </row>
    <row r="843">
      <c r="A843" s="37" t="s">
        <v>368</v>
      </c>
      <c r="B843" s="37" t="s">
        <v>363</v>
      </c>
      <c r="C843" s="7" t="s">
        <v>24469</v>
      </c>
      <c r="D843" s="37" t="s">
        <v>24470</v>
      </c>
    </row>
    <row r="844">
      <c r="A844" s="37" t="s">
        <v>696</v>
      </c>
      <c r="B844" s="37" t="s">
        <v>693</v>
      </c>
      <c r="C844" s="7" t="s">
        <v>24471</v>
      </c>
      <c r="D844" s="37" t="s">
        <v>24472</v>
      </c>
    </row>
    <row r="845">
      <c r="A845" s="37" t="s">
        <v>392</v>
      </c>
      <c r="B845" s="37" t="s">
        <v>391</v>
      </c>
      <c r="C845" s="7" t="s">
        <v>24473</v>
      </c>
      <c r="D845" s="37" t="s">
        <v>24474</v>
      </c>
    </row>
    <row r="846">
      <c r="A846" s="37" t="s">
        <v>533</v>
      </c>
      <c r="B846" s="37" t="s">
        <v>24253</v>
      </c>
      <c r="C846" s="7" t="s">
        <v>24475</v>
      </c>
      <c r="D846" s="37" t="s">
        <v>24476</v>
      </c>
    </row>
    <row r="847">
      <c r="A847" s="37" t="s">
        <v>74</v>
      </c>
      <c r="B847" s="37" t="s">
        <v>1208</v>
      </c>
      <c r="C847" s="7" t="s">
        <v>24477</v>
      </c>
      <c r="D847" s="37" t="s">
        <v>24478</v>
      </c>
    </row>
    <row r="848">
      <c r="A848" s="37" t="s">
        <v>1147</v>
      </c>
      <c r="B848" s="37" t="s">
        <v>478</v>
      </c>
      <c r="C848" s="7" t="s">
        <v>24479</v>
      </c>
      <c r="D848" s="37" t="s">
        <v>24480</v>
      </c>
    </row>
    <row r="849">
      <c r="A849" s="37" t="s">
        <v>90</v>
      </c>
      <c r="B849" s="37" t="s">
        <v>440</v>
      </c>
      <c r="C849" s="7" t="s">
        <v>24481</v>
      </c>
      <c r="D849" s="37" t="s">
        <v>24482</v>
      </c>
    </row>
    <row r="850">
      <c r="A850" s="37" t="s">
        <v>399</v>
      </c>
      <c r="B850" s="37" t="s">
        <v>391</v>
      </c>
      <c r="C850" s="7" t="s">
        <v>24483</v>
      </c>
      <c r="D850" s="37" t="s">
        <v>24484</v>
      </c>
    </row>
    <row r="851">
      <c r="A851" s="37" t="s">
        <v>443</v>
      </c>
      <c r="B851" s="37" t="s">
        <v>440</v>
      </c>
      <c r="C851" s="7" t="s">
        <v>24485</v>
      </c>
      <c r="D851" s="37" t="s">
        <v>24486</v>
      </c>
    </row>
    <row r="852">
      <c r="A852" s="37" t="s">
        <v>116</v>
      </c>
      <c r="B852" s="37" t="s">
        <v>115</v>
      </c>
      <c r="C852" s="7" t="s">
        <v>24487</v>
      </c>
      <c r="D852" s="37" t="s">
        <v>24488</v>
      </c>
    </row>
    <row r="853">
      <c r="A853" s="37" t="s">
        <v>370</v>
      </c>
      <c r="B853" s="37" t="s">
        <v>363</v>
      </c>
      <c r="C853" s="7" t="s">
        <v>24489</v>
      </c>
      <c r="D853" s="37" t="s">
        <v>24490</v>
      </c>
    </row>
    <row r="854">
      <c r="A854" s="37" t="s">
        <v>1147</v>
      </c>
      <c r="B854" s="37" t="s">
        <v>478</v>
      </c>
      <c r="C854" s="7" t="s">
        <v>24491</v>
      </c>
      <c r="D854" s="37" t="s">
        <v>24492</v>
      </c>
    </row>
    <row r="855">
      <c r="A855" s="37" t="s">
        <v>284</v>
      </c>
      <c r="B855" s="37" t="s">
        <v>23490</v>
      </c>
      <c r="C855" s="7" t="s">
        <v>24493</v>
      </c>
      <c r="D855" s="37" t="s">
        <v>24494</v>
      </c>
    </row>
    <row r="856">
      <c r="A856" s="37" t="s">
        <v>399</v>
      </c>
      <c r="B856" s="37" t="s">
        <v>391</v>
      </c>
      <c r="C856" s="7" t="s">
        <v>24495</v>
      </c>
      <c r="D856" s="37" t="s">
        <v>24496</v>
      </c>
    </row>
    <row r="857">
      <c r="A857" s="37" t="s">
        <v>4</v>
      </c>
      <c r="B857" s="37" t="s">
        <v>24497</v>
      </c>
      <c r="C857" s="7" t="s">
        <v>1575</v>
      </c>
      <c r="D857" s="37" t="s">
        <v>24498</v>
      </c>
    </row>
    <row r="858">
      <c r="A858" s="37" t="s">
        <v>1263</v>
      </c>
      <c r="B858" s="37" t="s">
        <v>648</v>
      </c>
      <c r="C858" s="7" t="s">
        <v>24499</v>
      </c>
      <c r="D858" s="37" t="s">
        <v>24500</v>
      </c>
    </row>
    <row r="859">
      <c r="A859" s="37" t="s">
        <v>861</v>
      </c>
      <c r="B859" s="37" t="s">
        <v>854</v>
      </c>
      <c r="C859" s="7" t="s">
        <v>24501</v>
      </c>
      <c r="D859" s="37" t="s">
        <v>24502</v>
      </c>
    </row>
    <row r="860">
      <c r="A860" s="37" t="s">
        <v>484</v>
      </c>
      <c r="B860" s="37" t="s">
        <v>478</v>
      </c>
      <c r="C860" s="7" t="s">
        <v>1513</v>
      </c>
      <c r="D860" s="37" t="s">
        <v>24503</v>
      </c>
    </row>
    <row r="861">
      <c r="A861" s="37" t="s">
        <v>730</v>
      </c>
      <c r="B861" s="37" t="s">
        <v>717</v>
      </c>
      <c r="C861" s="7" t="s">
        <v>24388</v>
      </c>
      <c r="D861" s="37" t="s">
        <v>24504</v>
      </c>
    </row>
    <row r="862">
      <c r="A862" s="37" t="s">
        <v>701</v>
      </c>
      <c r="B862" s="37" t="s">
        <v>693</v>
      </c>
      <c r="C862" s="7" t="s">
        <v>24505</v>
      </c>
      <c r="D862" s="37" t="s">
        <v>24506</v>
      </c>
    </row>
    <row r="863">
      <c r="A863" s="37" t="s">
        <v>324</v>
      </c>
      <c r="B863" s="37" t="s">
        <v>1242</v>
      </c>
      <c r="C863" s="7" t="s">
        <v>24507</v>
      </c>
      <c r="D863" s="37" t="s">
        <v>24508</v>
      </c>
    </row>
    <row r="864">
      <c r="A864" s="37" t="s">
        <v>1263</v>
      </c>
      <c r="B864" s="37" t="s">
        <v>648</v>
      </c>
      <c r="C864" s="7" t="s">
        <v>15097</v>
      </c>
      <c r="D864" s="37" t="s">
        <v>24509</v>
      </c>
    </row>
    <row r="865">
      <c r="A865" s="37" t="s">
        <v>284</v>
      </c>
      <c r="B865" s="37" t="s">
        <v>281</v>
      </c>
      <c r="C865" s="7" t="s">
        <v>24510</v>
      </c>
      <c r="D865" s="37" t="s">
        <v>24511</v>
      </c>
    </row>
    <row r="866">
      <c r="A866" s="37" t="s">
        <v>284</v>
      </c>
      <c r="B866" s="37" t="s">
        <v>281</v>
      </c>
      <c r="C866" s="7" t="s">
        <v>24512</v>
      </c>
      <c r="D866" s="37" t="s">
        <v>24513</v>
      </c>
    </row>
    <row r="867">
      <c r="A867" s="37" t="s">
        <v>284</v>
      </c>
      <c r="B867" s="37" t="s">
        <v>281</v>
      </c>
      <c r="C867" s="7" t="s">
        <v>24514</v>
      </c>
      <c r="D867" s="37" t="s">
        <v>24515</v>
      </c>
    </row>
    <row r="868">
      <c r="A868" s="37" t="s">
        <v>284</v>
      </c>
      <c r="B868" s="37" t="s">
        <v>281</v>
      </c>
      <c r="C868" s="7" t="s">
        <v>24516</v>
      </c>
      <c r="D868" s="37" t="s">
        <v>24517</v>
      </c>
    </row>
    <row r="869">
      <c r="A869" s="37" t="s">
        <v>284</v>
      </c>
      <c r="B869" s="37" t="s">
        <v>281</v>
      </c>
      <c r="C869" s="7" t="s">
        <v>24518</v>
      </c>
      <c r="D869" s="37" t="s">
        <v>24519</v>
      </c>
    </row>
    <row r="870">
      <c r="A870" s="37" t="s">
        <v>284</v>
      </c>
      <c r="B870" s="37" t="s">
        <v>281</v>
      </c>
      <c r="C870" s="7" t="s">
        <v>24520</v>
      </c>
      <c r="D870" s="37" t="s">
        <v>24521</v>
      </c>
    </row>
    <row r="871">
      <c r="A871" s="37" t="s">
        <v>701</v>
      </c>
      <c r="B871" s="37" t="s">
        <v>693</v>
      </c>
      <c r="C871" s="7" t="s">
        <v>3605</v>
      </c>
      <c r="D871" s="37" t="s">
        <v>24522</v>
      </c>
    </row>
    <row r="872">
      <c r="A872" s="37" t="s">
        <v>701</v>
      </c>
      <c r="B872" s="37" t="s">
        <v>693</v>
      </c>
      <c r="C872" s="7" t="s">
        <v>1623</v>
      </c>
      <c r="D872" s="37" t="s">
        <v>24523</v>
      </c>
    </row>
    <row r="873">
      <c r="A873" s="37" t="s">
        <v>173</v>
      </c>
      <c r="B873" s="37" t="s">
        <v>363</v>
      </c>
      <c r="C873" s="7" t="s">
        <v>24524</v>
      </c>
      <c r="D873" s="37" t="s">
        <v>24525</v>
      </c>
    </row>
    <row r="874">
      <c r="A874" s="37" t="s">
        <v>173</v>
      </c>
      <c r="B874" s="37" t="s">
        <v>363</v>
      </c>
      <c r="C874" s="7" t="s">
        <v>24526</v>
      </c>
      <c r="D874" s="37" t="s">
        <v>24527</v>
      </c>
    </row>
    <row r="875">
      <c r="A875" s="37" t="s">
        <v>74</v>
      </c>
      <c r="B875" s="37" t="s">
        <v>1208</v>
      </c>
      <c r="C875" s="7" t="s">
        <v>24528</v>
      </c>
      <c r="D875" s="37" t="s">
        <v>24529</v>
      </c>
    </row>
    <row r="876">
      <c r="A876" s="37" t="s">
        <v>173</v>
      </c>
      <c r="B876" s="37" t="s">
        <v>854</v>
      </c>
      <c r="C876" s="7" t="s">
        <v>24530</v>
      </c>
      <c r="D876" s="37" t="s">
        <v>24531</v>
      </c>
    </row>
    <row r="877">
      <c r="A877" s="37" t="s">
        <v>1495</v>
      </c>
      <c r="B877" s="37" t="s">
        <v>1495</v>
      </c>
      <c r="C877" s="7" t="s">
        <v>24532</v>
      </c>
      <c r="D877" s="37" t="s">
        <v>24533</v>
      </c>
    </row>
    <row r="878">
      <c r="A878" s="37" t="s">
        <v>1495</v>
      </c>
      <c r="B878" s="37" t="s">
        <v>1495</v>
      </c>
      <c r="C878" s="7" t="s">
        <v>24534</v>
      </c>
      <c r="D878" s="37" t="s">
        <v>24535</v>
      </c>
    </row>
    <row r="879">
      <c r="A879" s="37" t="s">
        <v>284</v>
      </c>
      <c r="B879" s="37" t="s">
        <v>281</v>
      </c>
      <c r="C879" s="7" t="s">
        <v>24536</v>
      </c>
      <c r="D879" s="37" t="s">
        <v>24537</v>
      </c>
    </row>
    <row r="880">
      <c r="A880" s="37" t="s">
        <v>284</v>
      </c>
      <c r="B880" s="37" t="s">
        <v>281</v>
      </c>
      <c r="C880" s="7" t="s">
        <v>24538</v>
      </c>
      <c r="D880" s="37" t="s">
        <v>24539</v>
      </c>
    </row>
    <row r="881">
      <c r="A881" s="37" t="s">
        <v>284</v>
      </c>
      <c r="B881" s="37" t="s">
        <v>281</v>
      </c>
      <c r="C881" s="7" t="s">
        <v>24540</v>
      </c>
      <c r="D881" s="37" t="s">
        <v>24541</v>
      </c>
    </row>
    <row r="882">
      <c r="A882" s="37" t="s">
        <v>284</v>
      </c>
      <c r="B882" s="37" t="s">
        <v>281</v>
      </c>
      <c r="C882" s="7" t="s">
        <v>24542</v>
      </c>
      <c r="D882" s="37" t="s">
        <v>24543</v>
      </c>
    </row>
    <row r="883">
      <c r="A883" s="37" t="s">
        <v>284</v>
      </c>
      <c r="B883" s="37" t="s">
        <v>281</v>
      </c>
      <c r="C883" s="7" t="s">
        <v>24544</v>
      </c>
      <c r="D883" s="37" t="s">
        <v>24545</v>
      </c>
    </row>
    <row r="884">
      <c r="A884" s="37" t="s">
        <v>730</v>
      </c>
      <c r="B884" s="37" t="s">
        <v>717</v>
      </c>
      <c r="C884" s="7" t="s">
        <v>1445</v>
      </c>
      <c r="D884" s="37" t="s">
        <v>24546</v>
      </c>
    </row>
    <row r="885">
      <c r="A885" s="37" t="s">
        <v>861</v>
      </c>
      <c r="B885" s="37" t="s">
        <v>854</v>
      </c>
      <c r="C885" s="7" t="s">
        <v>24547</v>
      </c>
      <c r="D885" s="37" t="s">
        <v>24548</v>
      </c>
    </row>
    <row r="886">
      <c r="A886" s="37" t="s">
        <v>284</v>
      </c>
      <c r="B886" s="37" t="s">
        <v>281</v>
      </c>
      <c r="C886" s="7" t="s">
        <v>24549</v>
      </c>
      <c r="D886" s="37" t="s">
        <v>24550</v>
      </c>
    </row>
    <row r="887">
      <c r="A887" s="37" t="s">
        <v>696</v>
      </c>
      <c r="B887" s="37" t="s">
        <v>693</v>
      </c>
      <c r="C887" s="7" t="s">
        <v>24551</v>
      </c>
      <c r="D887" s="37" t="s">
        <v>24552</v>
      </c>
    </row>
    <row r="888">
      <c r="A888" s="37" t="s">
        <v>824</v>
      </c>
      <c r="B888" s="37" t="s">
        <v>1242</v>
      </c>
      <c r="C888" s="7" t="s">
        <v>24553</v>
      </c>
      <c r="D888" s="37" t="s">
        <v>24554</v>
      </c>
    </row>
    <row r="889">
      <c r="A889" s="37" t="s">
        <v>284</v>
      </c>
      <c r="B889" s="37" t="s">
        <v>281</v>
      </c>
      <c r="C889" s="7" t="s">
        <v>24555</v>
      </c>
      <c r="D889" s="37" t="s">
        <v>24556</v>
      </c>
    </row>
    <row r="890">
      <c r="A890" s="37" t="s">
        <v>284</v>
      </c>
      <c r="B890" s="37" t="s">
        <v>281</v>
      </c>
      <c r="C890" s="7" t="s">
        <v>24557</v>
      </c>
      <c r="D890" s="37" t="s">
        <v>24558</v>
      </c>
    </row>
    <row r="891">
      <c r="A891" s="37" t="s">
        <v>284</v>
      </c>
      <c r="B891" s="37" t="s">
        <v>281</v>
      </c>
      <c r="C891" s="7" t="s">
        <v>24559</v>
      </c>
      <c r="D891" s="37" t="s">
        <v>24560</v>
      </c>
    </row>
    <row r="892">
      <c r="A892" s="37" t="s">
        <v>200</v>
      </c>
      <c r="B892" s="37" t="s">
        <v>693</v>
      </c>
      <c r="C892" s="7" t="s">
        <v>24561</v>
      </c>
      <c r="D892" s="37" t="s">
        <v>24562</v>
      </c>
    </row>
    <row r="893">
      <c r="A893" s="37" t="s">
        <v>200</v>
      </c>
      <c r="B893" s="37" t="s">
        <v>693</v>
      </c>
      <c r="C893" s="7" t="s">
        <v>24563</v>
      </c>
      <c r="D893" s="37" t="s">
        <v>24564</v>
      </c>
    </row>
    <row r="894">
      <c r="A894" s="37" t="s">
        <v>284</v>
      </c>
      <c r="B894" s="37" t="s">
        <v>281</v>
      </c>
      <c r="C894" s="7" t="s">
        <v>24565</v>
      </c>
      <c r="D894" s="37" t="s">
        <v>24566</v>
      </c>
    </row>
    <row r="895">
      <c r="A895" s="37" t="s">
        <v>284</v>
      </c>
      <c r="B895" s="37" t="s">
        <v>281</v>
      </c>
      <c r="C895" s="7" t="s">
        <v>24567</v>
      </c>
      <c r="D895" s="37" t="s">
        <v>24568</v>
      </c>
    </row>
    <row r="896">
      <c r="A896" s="37" t="s">
        <v>1495</v>
      </c>
      <c r="B896" s="37" t="s">
        <v>1495</v>
      </c>
      <c r="C896" s="7" t="s">
        <v>24569</v>
      </c>
      <c r="D896" s="37" t="s">
        <v>24570</v>
      </c>
    </row>
    <row r="897">
      <c r="A897" s="37" t="s">
        <v>1495</v>
      </c>
      <c r="B897" s="37" t="s">
        <v>1495</v>
      </c>
      <c r="C897" s="7" t="s">
        <v>24571</v>
      </c>
      <c r="D897" s="37" t="s">
        <v>24572</v>
      </c>
    </row>
    <row r="898">
      <c r="A898" s="37" t="s">
        <v>1495</v>
      </c>
      <c r="B898" s="37" t="s">
        <v>1495</v>
      </c>
      <c r="C898" s="7" t="s">
        <v>24573</v>
      </c>
      <c r="D898" s="37" t="s">
        <v>24574</v>
      </c>
    </row>
    <row r="899">
      <c r="A899" s="37" t="s">
        <v>1495</v>
      </c>
      <c r="B899" s="37" t="s">
        <v>1495</v>
      </c>
      <c r="C899" s="7" t="s">
        <v>24575</v>
      </c>
      <c r="D899" s="37" t="s">
        <v>24576</v>
      </c>
    </row>
    <row r="900">
      <c r="A900" s="37" t="s">
        <v>1495</v>
      </c>
      <c r="B900" s="37" t="s">
        <v>1495</v>
      </c>
      <c r="C900" s="7" t="s">
        <v>24577</v>
      </c>
      <c r="D900" s="37" t="s">
        <v>24578</v>
      </c>
    </row>
    <row r="901">
      <c r="A901" s="37" t="s">
        <v>1495</v>
      </c>
      <c r="B901" s="37" t="s">
        <v>1495</v>
      </c>
      <c r="C901" s="7" t="s">
        <v>24579</v>
      </c>
      <c r="D901" s="37" t="s">
        <v>24580</v>
      </c>
    </row>
    <row r="902">
      <c r="A902" s="37" t="s">
        <v>1495</v>
      </c>
      <c r="B902" s="37" t="s">
        <v>1495</v>
      </c>
      <c r="C902" s="7" t="s">
        <v>24581</v>
      </c>
      <c r="D902" s="37" t="s">
        <v>24582</v>
      </c>
    </row>
    <row r="903">
      <c r="A903" s="37" t="s">
        <v>1495</v>
      </c>
      <c r="B903" s="37" t="s">
        <v>391</v>
      </c>
      <c r="C903" s="7" t="s">
        <v>24583</v>
      </c>
      <c r="D903" s="37" t="s">
        <v>24584</v>
      </c>
    </row>
    <row r="904">
      <c r="A904" s="37" t="s">
        <v>1495</v>
      </c>
      <c r="B904" s="37" t="s">
        <v>391</v>
      </c>
      <c r="C904" s="7" t="s">
        <v>24585</v>
      </c>
      <c r="D904" s="37" t="s">
        <v>24586</v>
      </c>
    </row>
    <row r="905">
      <c r="A905" s="37" t="s">
        <v>1495</v>
      </c>
      <c r="B905" s="37" t="s">
        <v>391</v>
      </c>
      <c r="C905" s="7" t="s">
        <v>24587</v>
      </c>
      <c r="D905" s="37" t="s">
        <v>24588</v>
      </c>
    </row>
    <row r="906">
      <c r="A906" s="37" t="s">
        <v>484</v>
      </c>
      <c r="B906" s="37" t="s">
        <v>478</v>
      </c>
      <c r="C906" s="7" t="s">
        <v>24589</v>
      </c>
      <c r="D906" s="37" t="s">
        <v>24590</v>
      </c>
    </row>
    <row r="907">
      <c r="A907" s="37" t="s">
        <v>443</v>
      </c>
      <c r="B907" s="37" t="s">
        <v>440</v>
      </c>
      <c r="C907" s="7" t="s">
        <v>24591</v>
      </c>
      <c r="D907" s="37" t="s">
        <v>24592</v>
      </c>
    </row>
    <row r="908">
      <c r="A908" s="37" t="s">
        <v>1495</v>
      </c>
      <c r="B908" s="37" t="s">
        <v>1495</v>
      </c>
      <c r="C908" s="7" t="s">
        <v>24593</v>
      </c>
      <c r="D908" s="37" t="s">
        <v>24594</v>
      </c>
    </row>
    <row r="909">
      <c r="A909" s="37" t="s">
        <v>1495</v>
      </c>
      <c r="B909" s="37" t="s">
        <v>23091</v>
      </c>
      <c r="C909" s="7" t="s">
        <v>24595</v>
      </c>
      <c r="D909" s="37" t="s">
        <v>24596</v>
      </c>
    </row>
    <row r="910">
      <c r="A910" s="37" t="s">
        <v>395</v>
      </c>
      <c r="B910" s="37" t="s">
        <v>391</v>
      </c>
      <c r="C910" s="7" t="s">
        <v>24597</v>
      </c>
      <c r="D910" s="37" t="s">
        <v>24598</v>
      </c>
    </row>
    <row r="911">
      <c r="A911" s="37" t="s">
        <v>74</v>
      </c>
      <c r="B911" s="37" t="s">
        <v>1208</v>
      </c>
      <c r="C911" s="7" t="s">
        <v>24599</v>
      </c>
      <c r="D911" s="37" t="s">
        <v>24600</v>
      </c>
    </row>
    <row r="912">
      <c r="A912" s="37" t="s">
        <v>74</v>
      </c>
      <c r="B912" s="37" t="s">
        <v>1208</v>
      </c>
      <c r="C912" s="7" t="s">
        <v>24601</v>
      </c>
      <c r="D912" s="37" t="s">
        <v>24602</v>
      </c>
    </row>
    <row r="913">
      <c r="A913" s="37" t="s">
        <v>1495</v>
      </c>
      <c r="B913" s="37" t="s">
        <v>1495</v>
      </c>
      <c r="C913" s="7" t="s">
        <v>24603</v>
      </c>
      <c r="D913" s="37" t="s">
        <v>24604</v>
      </c>
    </row>
    <row r="914">
      <c r="A914" s="37" t="s">
        <v>24605</v>
      </c>
      <c r="B914" s="37" t="s">
        <v>391</v>
      </c>
      <c r="C914" s="7" t="s">
        <v>24606</v>
      </c>
      <c r="D914" s="37" t="s">
        <v>24607</v>
      </c>
    </row>
    <row r="915">
      <c r="A915" s="37" t="s">
        <v>118</v>
      </c>
      <c r="B915" s="37" t="s">
        <v>24608</v>
      </c>
      <c r="C915" s="7" t="s">
        <v>24609</v>
      </c>
      <c r="D915" s="37" t="s">
        <v>24610</v>
      </c>
    </row>
    <row r="916">
      <c r="A916" s="37" t="s">
        <v>304</v>
      </c>
      <c r="B916" s="37" t="s">
        <v>298</v>
      </c>
      <c r="C916" s="7" t="s">
        <v>24611</v>
      </c>
      <c r="D916" s="37" t="s">
        <v>24612</v>
      </c>
    </row>
    <row r="917">
      <c r="A917" s="37" t="s">
        <v>23685</v>
      </c>
      <c r="B917" s="37" t="s">
        <v>140</v>
      </c>
      <c r="C917" s="7" t="s">
        <v>24613</v>
      </c>
      <c r="D917" s="37" t="s">
        <v>24614</v>
      </c>
    </row>
    <row r="918">
      <c r="A918" s="37" t="s">
        <v>23685</v>
      </c>
      <c r="B918" s="37" t="s">
        <v>140</v>
      </c>
      <c r="C918" s="7" t="s">
        <v>24615</v>
      </c>
      <c r="D918" s="37" t="s">
        <v>24616</v>
      </c>
    </row>
    <row r="919">
      <c r="A919" s="37" t="s">
        <v>1263</v>
      </c>
      <c r="B919" s="37" t="s">
        <v>648</v>
      </c>
      <c r="C919" s="7" t="s">
        <v>24617</v>
      </c>
      <c r="D919" s="37" t="s">
        <v>24618</v>
      </c>
    </row>
    <row r="920">
      <c r="A920" s="37" t="s">
        <v>284</v>
      </c>
      <c r="B920" s="37" t="s">
        <v>281</v>
      </c>
      <c r="C920" s="7" t="s">
        <v>24619</v>
      </c>
      <c r="D920" s="37" t="s">
        <v>24620</v>
      </c>
    </row>
    <row r="921">
      <c r="A921" s="37" t="s">
        <v>23</v>
      </c>
      <c r="B921" s="37" t="s">
        <v>22</v>
      </c>
      <c r="C921" s="7" t="s">
        <v>24621</v>
      </c>
      <c r="D921" s="37" t="s">
        <v>24622</v>
      </c>
    </row>
    <row r="922">
      <c r="A922" s="37" t="s">
        <v>1263</v>
      </c>
      <c r="B922" s="37" t="s">
        <v>648</v>
      </c>
      <c r="C922" s="7" t="s">
        <v>24623</v>
      </c>
      <c r="D922" s="37" t="s">
        <v>24624</v>
      </c>
    </row>
    <row r="923">
      <c r="A923" s="37" t="s">
        <v>1147</v>
      </c>
      <c r="B923" s="37" t="s">
        <v>478</v>
      </c>
      <c r="C923" s="7" t="s">
        <v>14720</v>
      </c>
      <c r="D923" s="37" t="s">
        <v>24625</v>
      </c>
    </row>
    <row r="924">
      <c r="A924" s="37" t="s">
        <v>1147</v>
      </c>
      <c r="B924" s="37" t="s">
        <v>478</v>
      </c>
      <c r="C924" s="7" t="s">
        <v>7512</v>
      </c>
      <c r="D924" s="37" t="s">
        <v>24626</v>
      </c>
    </row>
    <row r="925">
      <c r="A925" s="37" t="s">
        <v>1495</v>
      </c>
      <c r="B925" s="37" t="s">
        <v>391</v>
      </c>
      <c r="C925" s="7" t="s">
        <v>24627</v>
      </c>
      <c r="D925" s="37" t="s">
        <v>24628</v>
      </c>
    </row>
    <row r="926">
      <c r="A926" s="37" t="s">
        <v>1495</v>
      </c>
      <c r="B926" s="37" t="s">
        <v>391</v>
      </c>
      <c r="C926" s="7" t="s">
        <v>24629</v>
      </c>
      <c r="D926" s="37" t="s">
        <v>24630</v>
      </c>
    </row>
    <row r="927">
      <c r="A927" s="37" t="s">
        <v>1147</v>
      </c>
      <c r="B927" s="37" t="s">
        <v>478</v>
      </c>
      <c r="C927" s="7" t="s">
        <v>24631</v>
      </c>
      <c r="D927" s="37" t="s">
        <v>24632</v>
      </c>
    </row>
    <row r="928">
      <c r="A928" s="37" t="s">
        <v>1495</v>
      </c>
      <c r="B928" s="37" t="s">
        <v>23091</v>
      </c>
      <c r="C928" s="7" t="s">
        <v>6404</v>
      </c>
      <c r="D928" s="37" t="s">
        <v>24633</v>
      </c>
    </row>
    <row r="929">
      <c r="A929" s="37" t="s">
        <v>225</v>
      </c>
      <c r="B929" s="37" t="s">
        <v>216</v>
      </c>
      <c r="C929" s="7" t="s">
        <v>24634</v>
      </c>
      <c r="D929" s="37" t="s">
        <v>24635</v>
      </c>
    </row>
    <row r="930">
      <c r="A930" s="37" t="s">
        <v>720</v>
      </c>
      <c r="B930" s="37" t="s">
        <v>717</v>
      </c>
      <c r="C930" s="7" t="s">
        <v>24636</v>
      </c>
      <c r="D930" s="37" t="s">
        <v>24637</v>
      </c>
    </row>
    <row r="931">
      <c r="A931" s="37" t="s">
        <v>720</v>
      </c>
      <c r="B931" s="37" t="s">
        <v>717</v>
      </c>
      <c r="C931" s="7" t="s">
        <v>24638</v>
      </c>
      <c r="D931" s="37" t="s">
        <v>24639</v>
      </c>
    </row>
    <row r="932">
      <c r="A932" s="37" t="s">
        <v>225</v>
      </c>
      <c r="B932" s="37" t="s">
        <v>216</v>
      </c>
      <c r="C932" s="7" t="s">
        <v>24640</v>
      </c>
      <c r="D932" s="37" t="s">
        <v>24641</v>
      </c>
    </row>
    <row r="933">
      <c r="A933" s="37" t="s">
        <v>1495</v>
      </c>
      <c r="B933" s="37" t="s">
        <v>1495</v>
      </c>
      <c r="C933" s="7" t="s">
        <v>24642</v>
      </c>
      <c r="D933" s="37" t="s">
        <v>24643</v>
      </c>
    </row>
    <row r="934">
      <c r="A934" s="37" t="s">
        <v>74</v>
      </c>
      <c r="B934" s="37" t="s">
        <v>1208</v>
      </c>
      <c r="C934" s="7" t="s">
        <v>24644</v>
      </c>
      <c r="D934" s="37" t="s">
        <v>24645</v>
      </c>
    </row>
    <row r="935">
      <c r="A935" s="37" t="s">
        <v>74</v>
      </c>
      <c r="B935" s="37" t="s">
        <v>1208</v>
      </c>
      <c r="C935" s="7" t="s">
        <v>24646</v>
      </c>
      <c r="D935" s="37" t="s">
        <v>24647</v>
      </c>
    </row>
    <row r="936">
      <c r="A936" s="37" t="s">
        <v>74</v>
      </c>
      <c r="B936" s="37" t="s">
        <v>1208</v>
      </c>
      <c r="C936" s="7" t="s">
        <v>24648</v>
      </c>
      <c r="D936" s="37" t="s">
        <v>24649</v>
      </c>
    </row>
    <row r="937">
      <c r="A937" s="37" t="s">
        <v>143</v>
      </c>
      <c r="B937" s="37" t="s">
        <v>648</v>
      </c>
      <c r="C937" s="7" t="s">
        <v>24650</v>
      </c>
      <c r="D937" s="37" t="s">
        <v>24651</v>
      </c>
    </row>
    <row r="938">
      <c r="A938" s="37" t="s">
        <v>698</v>
      </c>
      <c r="B938" s="37" t="s">
        <v>693</v>
      </c>
      <c r="C938" s="7" t="s">
        <v>24652</v>
      </c>
      <c r="D938" s="37" t="s">
        <v>24653</v>
      </c>
    </row>
    <row r="939">
      <c r="A939" s="37" t="s">
        <v>1148</v>
      </c>
      <c r="B939" s="37" t="s">
        <v>1208</v>
      </c>
      <c r="C939" s="7" t="s">
        <v>24654</v>
      </c>
      <c r="D939" s="37" t="s">
        <v>24655</v>
      </c>
    </row>
    <row r="940">
      <c r="A940" s="37" t="s">
        <v>1495</v>
      </c>
      <c r="B940" s="37" t="s">
        <v>693</v>
      </c>
      <c r="C940" s="7" t="s">
        <v>24656</v>
      </c>
      <c r="D940" s="37" t="s">
        <v>24657</v>
      </c>
    </row>
    <row r="941">
      <c r="A941" s="37" t="s">
        <v>284</v>
      </c>
      <c r="B941" s="37" t="s">
        <v>281</v>
      </c>
      <c r="C941" s="7" t="s">
        <v>24658</v>
      </c>
      <c r="D941" s="37" t="s">
        <v>24659</v>
      </c>
    </row>
    <row r="942">
      <c r="A942" s="37" t="s">
        <v>284</v>
      </c>
      <c r="B942" s="37" t="s">
        <v>281</v>
      </c>
      <c r="C942" s="7" t="s">
        <v>24660</v>
      </c>
      <c r="D942" s="37" t="s">
        <v>24661</v>
      </c>
    </row>
    <row r="943">
      <c r="A943" s="37" t="s">
        <v>284</v>
      </c>
      <c r="B943" s="37" t="s">
        <v>281</v>
      </c>
      <c r="C943" s="7" t="s">
        <v>24662</v>
      </c>
      <c r="D943" s="37" t="s">
        <v>24663</v>
      </c>
    </row>
    <row r="944">
      <c r="A944" s="37" t="s">
        <v>284</v>
      </c>
      <c r="B944" s="37" t="s">
        <v>281</v>
      </c>
      <c r="C944" s="7" t="s">
        <v>24664</v>
      </c>
      <c r="D944" s="37" t="s">
        <v>24665</v>
      </c>
    </row>
    <row r="945">
      <c r="A945" s="37" t="s">
        <v>284</v>
      </c>
      <c r="B945" s="37" t="s">
        <v>281</v>
      </c>
      <c r="C945" s="7" t="s">
        <v>24666</v>
      </c>
      <c r="D945" s="37" t="s">
        <v>24667</v>
      </c>
    </row>
    <row r="946">
      <c r="A946" s="37" t="s">
        <v>284</v>
      </c>
      <c r="B946" s="37" t="s">
        <v>281</v>
      </c>
      <c r="C946" s="7" t="s">
        <v>24668</v>
      </c>
      <c r="D946" s="37" t="s">
        <v>24669</v>
      </c>
    </row>
    <row r="947">
      <c r="A947" s="37" t="s">
        <v>696</v>
      </c>
      <c r="B947" s="37" t="s">
        <v>693</v>
      </c>
      <c r="C947" s="7" t="s">
        <v>24670</v>
      </c>
      <c r="D947" s="37" t="s">
        <v>24671</v>
      </c>
    </row>
    <row r="948">
      <c r="A948" s="37" t="s">
        <v>1146</v>
      </c>
      <c r="B948" s="37" t="s">
        <v>478</v>
      </c>
      <c r="C948" s="7" t="s">
        <v>24672</v>
      </c>
      <c r="D948" s="37" t="s">
        <v>24673</v>
      </c>
    </row>
    <row r="949">
      <c r="A949" s="37" t="s">
        <v>143</v>
      </c>
      <c r="B949" s="37" t="s">
        <v>140</v>
      </c>
      <c r="C949" s="7" t="s">
        <v>24674</v>
      </c>
      <c r="D949" s="37" t="s">
        <v>24675</v>
      </c>
    </row>
    <row r="950">
      <c r="A950" s="37" t="s">
        <v>1163</v>
      </c>
      <c r="B950" s="37" t="s">
        <v>717</v>
      </c>
      <c r="C950" s="7" t="s">
        <v>13177</v>
      </c>
      <c r="D950" s="37" t="s">
        <v>24676</v>
      </c>
    </row>
    <row r="951">
      <c r="A951" s="37" t="s">
        <v>302</v>
      </c>
      <c r="B951" s="37" t="s">
        <v>298</v>
      </c>
      <c r="C951" s="7" t="s">
        <v>24677</v>
      </c>
      <c r="D951" s="37" t="s">
        <v>24678</v>
      </c>
    </row>
    <row r="952">
      <c r="A952" s="37" t="s">
        <v>1495</v>
      </c>
      <c r="B952" s="37" t="s">
        <v>391</v>
      </c>
      <c r="C952" s="7" t="s">
        <v>24679</v>
      </c>
      <c r="D952" s="37" t="s">
        <v>24680</v>
      </c>
    </row>
    <row r="953">
      <c r="A953" s="37" t="s">
        <v>1495</v>
      </c>
      <c r="B953" s="37" t="s">
        <v>391</v>
      </c>
      <c r="C953" s="7" t="s">
        <v>24681</v>
      </c>
      <c r="D953" s="37" t="s">
        <v>24682</v>
      </c>
    </row>
    <row r="954">
      <c r="A954" s="37" t="s">
        <v>1188</v>
      </c>
      <c r="B954" s="37" t="s">
        <v>1208</v>
      </c>
      <c r="C954" s="7" t="s">
        <v>24683</v>
      </c>
      <c r="D954" s="37" t="s">
        <v>24684</v>
      </c>
    </row>
    <row r="955">
      <c r="A955" s="37" t="s">
        <v>24685</v>
      </c>
      <c r="B955" s="37" t="s">
        <v>1208</v>
      </c>
      <c r="C955" s="7" t="s">
        <v>24686</v>
      </c>
      <c r="D955" s="37" t="s">
        <v>24687</v>
      </c>
    </row>
    <row r="956">
      <c r="A956" s="37" t="s">
        <v>286</v>
      </c>
      <c r="B956" s="37" t="s">
        <v>281</v>
      </c>
      <c r="C956" s="7" t="s">
        <v>24688</v>
      </c>
      <c r="D956" s="37" t="s">
        <v>24689</v>
      </c>
    </row>
    <row r="957">
      <c r="A957" s="37" t="s">
        <v>284</v>
      </c>
      <c r="B957" s="37" t="s">
        <v>281</v>
      </c>
      <c r="C957" s="7" t="s">
        <v>24690</v>
      </c>
      <c r="D957" s="37" t="s">
        <v>24691</v>
      </c>
    </row>
    <row r="958">
      <c r="A958" s="37" t="s">
        <v>284</v>
      </c>
      <c r="B958" s="37" t="s">
        <v>281</v>
      </c>
      <c r="C958" s="7" t="s">
        <v>24692</v>
      </c>
      <c r="D958" s="37" t="s">
        <v>24693</v>
      </c>
    </row>
    <row r="959">
      <c r="A959" s="37" t="s">
        <v>284</v>
      </c>
      <c r="B959" s="37" t="s">
        <v>281</v>
      </c>
      <c r="C959" s="7" t="s">
        <v>24694</v>
      </c>
      <c r="D959" s="37" t="s">
        <v>24695</v>
      </c>
    </row>
    <row r="960">
      <c r="A960" s="37" t="s">
        <v>284</v>
      </c>
      <c r="B960" s="37" t="s">
        <v>281</v>
      </c>
      <c r="C960" s="7" t="s">
        <v>24696</v>
      </c>
      <c r="D960" s="37" t="s">
        <v>24697</v>
      </c>
    </row>
    <row r="961">
      <c r="A961" s="37" t="s">
        <v>284</v>
      </c>
      <c r="B961" s="37" t="s">
        <v>281</v>
      </c>
      <c r="C961" s="7" t="s">
        <v>24698</v>
      </c>
      <c r="D961" s="37" t="s">
        <v>24699</v>
      </c>
    </row>
    <row r="962">
      <c r="A962" s="37" t="s">
        <v>284</v>
      </c>
      <c r="B962" s="37" t="s">
        <v>281</v>
      </c>
      <c r="C962" s="7" t="s">
        <v>24700</v>
      </c>
      <c r="D962" s="37" t="s">
        <v>24701</v>
      </c>
    </row>
    <row r="963">
      <c r="A963" s="37" t="s">
        <v>284</v>
      </c>
      <c r="B963" s="37" t="s">
        <v>281</v>
      </c>
      <c r="C963" s="7" t="s">
        <v>24702</v>
      </c>
      <c r="D963" s="37" t="s">
        <v>24703</v>
      </c>
    </row>
    <row r="964">
      <c r="A964" s="37" t="s">
        <v>284</v>
      </c>
      <c r="B964" s="37" t="s">
        <v>281</v>
      </c>
      <c r="C964" s="7" t="s">
        <v>24704</v>
      </c>
      <c r="D964" s="37" t="s">
        <v>24705</v>
      </c>
    </row>
    <row r="965">
      <c r="A965" s="37" t="s">
        <v>284</v>
      </c>
      <c r="B965" s="37" t="s">
        <v>281</v>
      </c>
      <c r="C965" s="7" t="s">
        <v>24706</v>
      </c>
      <c r="D965" s="37" t="s">
        <v>24707</v>
      </c>
    </row>
    <row r="966">
      <c r="A966" s="37" t="s">
        <v>284</v>
      </c>
      <c r="B966" s="37" t="s">
        <v>281</v>
      </c>
      <c r="C966" s="7" t="s">
        <v>24708</v>
      </c>
      <c r="D966" s="37" t="s">
        <v>24709</v>
      </c>
    </row>
    <row r="967">
      <c r="A967" s="37" t="s">
        <v>284</v>
      </c>
      <c r="B967" s="37" t="s">
        <v>281</v>
      </c>
      <c r="C967" s="7" t="s">
        <v>24710</v>
      </c>
      <c r="D967" s="37" t="s">
        <v>24711</v>
      </c>
    </row>
    <row r="968">
      <c r="A968" s="37" t="s">
        <v>284</v>
      </c>
      <c r="B968" s="37" t="s">
        <v>281</v>
      </c>
      <c r="C968" s="7" t="s">
        <v>24712</v>
      </c>
      <c r="D968" s="37" t="s">
        <v>24713</v>
      </c>
    </row>
    <row r="969">
      <c r="A969" s="37" t="s">
        <v>284</v>
      </c>
      <c r="B969" s="37" t="s">
        <v>281</v>
      </c>
      <c r="C969" s="7" t="s">
        <v>24714</v>
      </c>
      <c r="D969" s="37" t="s">
        <v>24715</v>
      </c>
    </row>
    <row r="970">
      <c r="A970" s="37" t="s">
        <v>284</v>
      </c>
      <c r="B970" s="37" t="s">
        <v>281</v>
      </c>
      <c r="C970" s="7" t="s">
        <v>24716</v>
      </c>
      <c r="D970" s="37" t="s">
        <v>24717</v>
      </c>
    </row>
    <row r="971">
      <c r="A971" s="37" t="s">
        <v>284</v>
      </c>
      <c r="B971" s="37" t="s">
        <v>281</v>
      </c>
      <c r="C971" s="7" t="s">
        <v>24718</v>
      </c>
      <c r="D971" s="37" t="s">
        <v>24719</v>
      </c>
    </row>
    <row r="972">
      <c r="A972" s="37" t="s">
        <v>399</v>
      </c>
      <c r="B972" s="37" t="s">
        <v>391</v>
      </c>
      <c r="C972" s="7" t="s">
        <v>24720</v>
      </c>
      <c r="D972" s="37" t="s">
        <v>24721</v>
      </c>
    </row>
    <row r="973">
      <c r="A973" s="37" t="s">
        <v>1495</v>
      </c>
      <c r="B973" s="37" t="s">
        <v>391</v>
      </c>
      <c r="C973" s="7" t="s">
        <v>24722</v>
      </c>
      <c r="D973" s="37" t="s">
        <v>24723</v>
      </c>
    </row>
    <row r="974">
      <c r="A974" s="37" t="s">
        <v>1495</v>
      </c>
      <c r="B974" s="37" t="s">
        <v>478</v>
      </c>
      <c r="C974" s="7" t="s">
        <v>24724</v>
      </c>
      <c r="D974" s="37" t="s">
        <v>24725</v>
      </c>
    </row>
    <row r="975">
      <c r="A975" s="37" t="s">
        <v>1263</v>
      </c>
      <c r="B975" s="37" t="s">
        <v>648</v>
      </c>
      <c r="C975" s="7" t="s">
        <v>24726</v>
      </c>
      <c r="D975" s="37" t="s">
        <v>24727</v>
      </c>
    </row>
    <row r="976">
      <c r="A976" s="37" t="s">
        <v>484</v>
      </c>
      <c r="B976" s="37" t="s">
        <v>478</v>
      </c>
      <c r="C976" s="7" t="s">
        <v>24728</v>
      </c>
      <c r="D976" s="37" t="s">
        <v>24729</v>
      </c>
    </row>
    <row r="977">
      <c r="A977" s="37" t="s">
        <v>484</v>
      </c>
      <c r="B977" s="37" t="s">
        <v>478</v>
      </c>
      <c r="C977" s="7" t="s">
        <v>24730</v>
      </c>
      <c r="D977" s="37" t="s">
        <v>24731</v>
      </c>
    </row>
    <row r="978">
      <c r="A978" s="37" t="s">
        <v>51</v>
      </c>
      <c r="B978" s="37" t="s">
        <v>1242</v>
      </c>
      <c r="C978" s="7" t="s">
        <v>24732</v>
      </c>
      <c r="D978" s="37" t="s">
        <v>24733</v>
      </c>
    </row>
    <row r="979">
      <c r="A979" s="37" t="s">
        <v>51</v>
      </c>
      <c r="B979" s="37" t="s">
        <v>1242</v>
      </c>
      <c r="C979" s="7" t="s">
        <v>24734</v>
      </c>
      <c r="D979" s="37" t="s">
        <v>24735</v>
      </c>
    </row>
    <row r="980">
      <c r="A980" s="37" t="s">
        <v>1245</v>
      </c>
      <c r="B980" s="37" t="s">
        <v>38</v>
      </c>
      <c r="C980" s="7" t="s">
        <v>24736</v>
      </c>
      <c r="D980" s="37" t="s">
        <v>24737</v>
      </c>
    </row>
    <row r="981">
      <c r="A981" s="37" t="s">
        <v>1245</v>
      </c>
      <c r="B981" s="37" t="s">
        <v>38</v>
      </c>
      <c r="C981" s="7" t="s">
        <v>24738</v>
      </c>
      <c r="D981" s="37" t="s">
        <v>24739</v>
      </c>
    </row>
    <row r="982">
      <c r="A982" s="37" t="s">
        <v>1245</v>
      </c>
      <c r="B982" s="37" t="s">
        <v>38</v>
      </c>
      <c r="C982" s="7" t="s">
        <v>24740</v>
      </c>
      <c r="D982" s="37" t="s">
        <v>24741</v>
      </c>
    </row>
    <row r="983">
      <c r="A983" s="37" t="s">
        <v>148</v>
      </c>
      <c r="B983" s="37" t="s">
        <v>140</v>
      </c>
      <c r="C983" s="7" t="s">
        <v>24742</v>
      </c>
      <c r="D983" s="37" t="s">
        <v>24743</v>
      </c>
    </row>
    <row r="984">
      <c r="A984" s="37" t="s">
        <v>819</v>
      </c>
      <c r="B984" s="37" t="s">
        <v>24744</v>
      </c>
      <c r="C984" s="7" t="s">
        <v>24745</v>
      </c>
      <c r="D984" s="37" t="s">
        <v>24746</v>
      </c>
    </row>
    <row r="985">
      <c r="A985" s="37" t="s">
        <v>1188</v>
      </c>
      <c r="B985" s="37" t="s">
        <v>1208</v>
      </c>
      <c r="C985" s="7" t="s">
        <v>24747</v>
      </c>
      <c r="D985" s="37" t="s">
        <v>24748</v>
      </c>
    </row>
    <row r="986">
      <c r="A986" s="37" t="s">
        <v>387</v>
      </c>
      <c r="B986" s="37" t="s">
        <v>386</v>
      </c>
      <c r="C986" s="7" t="s">
        <v>24749</v>
      </c>
      <c r="D986" s="37" t="s">
        <v>24750</v>
      </c>
    </row>
    <row r="987">
      <c r="A987" s="37" t="s">
        <v>24751</v>
      </c>
      <c r="B987" s="37" t="s">
        <v>24752</v>
      </c>
      <c r="C987" s="7" t="s">
        <v>24753</v>
      </c>
      <c r="D987" s="37" t="s">
        <v>24754</v>
      </c>
    </row>
    <row r="988">
      <c r="A988" s="37" t="s">
        <v>1128</v>
      </c>
      <c r="B988" s="37" t="s">
        <v>22</v>
      </c>
      <c r="C988" s="7" t="s">
        <v>24755</v>
      </c>
      <c r="D988" s="37" t="s">
        <v>24756</v>
      </c>
    </row>
    <row r="989">
      <c r="A989" s="37" t="s">
        <v>104</v>
      </c>
      <c r="B989" s="37" t="s">
        <v>101</v>
      </c>
      <c r="C989" s="7" t="s">
        <v>24757</v>
      </c>
      <c r="D989" s="37" t="s">
        <v>24758</v>
      </c>
    </row>
    <row r="990">
      <c r="A990" s="37" t="s">
        <v>1147</v>
      </c>
      <c r="B990" s="37" t="s">
        <v>478</v>
      </c>
      <c r="C990" s="7" t="s">
        <v>24759</v>
      </c>
      <c r="D990" s="37" t="s">
        <v>24760</v>
      </c>
    </row>
    <row r="991">
      <c r="A991" s="37" t="s">
        <v>1147</v>
      </c>
      <c r="B991" s="37" t="s">
        <v>478</v>
      </c>
      <c r="C991" s="7" t="s">
        <v>24761</v>
      </c>
      <c r="D991" s="37" t="s">
        <v>24762</v>
      </c>
    </row>
    <row r="992">
      <c r="A992" s="37" t="s">
        <v>1146</v>
      </c>
      <c r="B992" s="37" t="s">
        <v>478</v>
      </c>
      <c r="C992" s="7" t="s">
        <v>24763</v>
      </c>
      <c r="D992" s="37" t="s">
        <v>24764</v>
      </c>
    </row>
    <row r="993">
      <c r="A993" s="37" t="s">
        <v>302</v>
      </c>
      <c r="B993" s="37" t="s">
        <v>298</v>
      </c>
      <c r="C993" s="7" t="s">
        <v>24765</v>
      </c>
      <c r="D993" s="37" t="s">
        <v>24766</v>
      </c>
    </row>
    <row r="994">
      <c r="A994" s="37" t="s">
        <v>1147</v>
      </c>
      <c r="B994" s="37" t="s">
        <v>478</v>
      </c>
      <c r="C994" s="7" t="s">
        <v>24767</v>
      </c>
      <c r="D994" s="37" t="s">
        <v>24768</v>
      </c>
    </row>
    <row r="995">
      <c r="A995" s="37" t="s">
        <v>1495</v>
      </c>
      <c r="B995" s="37" t="s">
        <v>24769</v>
      </c>
      <c r="C995" s="7" t="s">
        <v>24770</v>
      </c>
      <c r="D995" s="37" t="s">
        <v>24771</v>
      </c>
    </row>
    <row r="996">
      <c r="A996" s="37" t="s">
        <v>43</v>
      </c>
      <c r="B996" s="37" t="s">
        <v>38</v>
      </c>
      <c r="C996" s="7" t="s">
        <v>24772</v>
      </c>
      <c r="D996" s="37" t="s">
        <v>24773</v>
      </c>
    </row>
    <row r="997">
      <c r="A997" s="37" t="s">
        <v>1188</v>
      </c>
      <c r="B997" s="37" t="s">
        <v>1208</v>
      </c>
      <c r="C997" s="7" t="s">
        <v>15018</v>
      </c>
      <c r="D997" s="37" t="s">
        <v>24774</v>
      </c>
    </row>
    <row r="998">
      <c r="A998" s="37" t="s">
        <v>1188</v>
      </c>
      <c r="B998" s="37" t="s">
        <v>1208</v>
      </c>
      <c r="C998" s="7" t="s">
        <v>15011</v>
      </c>
      <c r="D998" s="37" t="s">
        <v>24775</v>
      </c>
    </row>
    <row r="999">
      <c r="A999" s="37" t="s">
        <v>1188</v>
      </c>
      <c r="B999" s="37" t="s">
        <v>1208</v>
      </c>
      <c r="C999" s="7" t="s">
        <v>15001</v>
      </c>
      <c r="D999" s="37" t="s">
        <v>24776</v>
      </c>
    </row>
    <row r="1000">
      <c r="A1000" s="37" t="s">
        <v>720</v>
      </c>
      <c r="B1000" s="37" t="s">
        <v>717</v>
      </c>
      <c r="C1000" s="7" t="s">
        <v>13101</v>
      </c>
      <c r="D1000" s="37" t="s">
        <v>24777</v>
      </c>
    </row>
    <row r="1001">
      <c r="A1001" s="37" t="s">
        <v>9</v>
      </c>
      <c r="B1001" s="37" t="s">
        <v>3</v>
      </c>
      <c r="C1001" s="7" t="s">
        <v>24778</v>
      </c>
      <c r="D1001" s="37" t="s">
        <v>24779</v>
      </c>
    </row>
    <row r="1002">
      <c r="A1002" s="37" t="s">
        <v>9</v>
      </c>
      <c r="B1002" s="37" t="s">
        <v>3</v>
      </c>
      <c r="C1002" s="7" t="s">
        <v>24780</v>
      </c>
      <c r="D1002" s="37" t="s">
        <v>24781</v>
      </c>
    </row>
    <row r="1003">
      <c r="A1003" s="37" t="s">
        <v>698</v>
      </c>
      <c r="B1003" s="37" t="s">
        <v>693</v>
      </c>
      <c r="C1003" s="7" t="s">
        <v>24782</v>
      </c>
      <c r="D1003" s="37" t="s">
        <v>24783</v>
      </c>
    </row>
    <row r="1004">
      <c r="A1004" s="37" t="s">
        <v>104</v>
      </c>
      <c r="B1004" s="37" t="s">
        <v>613</v>
      </c>
      <c r="C1004" s="7" t="s">
        <v>24784</v>
      </c>
      <c r="D1004" s="37" t="s">
        <v>24785</v>
      </c>
    </row>
    <row r="1005">
      <c r="A1005" s="37" t="s">
        <v>1495</v>
      </c>
      <c r="B1005" s="37" t="s">
        <v>22880</v>
      </c>
      <c r="C1005" s="7" t="s">
        <v>24786</v>
      </c>
      <c r="D1005" s="37" t="s">
        <v>24787</v>
      </c>
    </row>
    <row r="1006">
      <c r="A1006" s="37" t="s">
        <v>1147</v>
      </c>
      <c r="B1006" s="37" t="s">
        <v>478</v>
      </c>
      <c r="C1006" s="7" t="s">
        <v>24788</v>
      </c>
      <c r="D1006" s="37" t="s">
        <v>24789</v>
      </c>
    </row>
    <row r="1007">
      <c r="A1007" s="37" t="s">
        <v>1147</v>
      </c>
      <c r="B1007" s="37" t="s">
        <v>478</v>
      </c>
      <c r="C1007" s="7" t="s">
        <v>24790</v>
      </c>
      <c r="D1007" s="37" t="s">
        <v>24791</v>
      </c>
    </row>
    <row r="1008">
      <c r="A1008" s="37" t="s">
        <v>1147</v>
      </c>
      <c r="B1008" s="37" t="s">
        <v>478</v>
      </c>
      <c r="C1008" s="7" t="s">
        <v>17464</v>
      </c>
      <c r="D1008" s="37" t="s">
        <v>24792</v>
      </c>
    </row>
    <row r="1009">
      <c r="A1009" s="37" t="s">
        <v>195</v>
      </c>
      <c r="B1009" s="37" t="s">
        <v>192</v>
      </c>
      <c r="C1009" s="7" t="s">
        <v>24793</v>
      </c>
      <c r="D1009" s="37" t="s">
        <v>24794</v>
      </c>
    </row>
    <row r="1010">
      <c r="A1010" s="37" t="s">
        <v>251</v>
      </c>
      <c r="B1010" s="37" t="s">
        <v>216</v>
      </c>
      <c r="C1010" s="7" t="s">
        <v>24795</v>
      </c>
      <c r="D1010" s="37" t="s">
        <v>24796</v>
      </c>
    </row>
    <row r="1011">
      <c r="A1011" s="37" t="s">
        <v>251</v>
      </c>
      <c r="B1011" s="37" t="s">
        <v>216</v>
      </c>
      <c r="C1011" s="7" t="s">
        <v>24797</v>
      </c>
      <c r="D1011" s="37" t="s">
        <v>24798</v>
      </c>
    </row>
    <row r="1012">
      <c r="A1012" s="37" t="s">
        <v>443</v>
      </c>
      <c r="B1012" s="37" t="s">
        <v>440</v>
      </c>
      <c r="C1012" s="7" t="s">
        <v>24799</v>
      </c>
      <c r="D1012" s="37" t="s">
        <v>24800</v>
      </c>
    </row>
    <row r="1013">
      <c r="A1013" s="37" t="s">
        <v>1284</v>
      </c>
      <c r="B1013" s="37" t="s">
        <v>298</v>
      </c>
      <c r="C1013" s="7" t="s">
        <v>24801</v>
      </c>
      <c r="D1013" s="37" t="s">
        <v>24802</v>
      </c>
    </row>
    <row r="1014">
      <c r="A1014" s="37" t="s">
        <v>1146</v>
      </c>
      <c r="B1014" s="37" t="s">
        <v>478</v>
      </c>
      <c r="C1014" s="7" t="s">
        <v>24763</v>
      </c>
      <c r="D1014" s="37" t="s">
        <v>24803</v>
      </c>
    </row>
    <row r="1015">
      <c r="A1015" s="37" t="s">
        <v>395</v>
      </c>
      <c r="B1015" s="37" t="s">
        <v>391</v>
      </c>
      <c r="C1015" s="7" t="s">
        <v>14995</v>
      </c>
      <c r="D1015" s="37" t="s">
        <v>24804</v>
      </c>
    </row>
    <row r="1016">
      <c r="A1016" s="37" t="s">
        <v>1163</v>
      </c>
      <c r="B1016" s="37" t="s">
        <v>717</v>
      </c>
      <c r="C1016" s="7" t="s">
        <v>24805</v>
      </c>
      <c r="D1016" s="37" t="s">
        <v>24806</v>
      </c>
    </row>
    <row r="1017">
      <c r="A1017" s="37" t="s">
        <v>284</v>
      </c>
      <c r="B1017" s="37" t="s">
        <v>281</v>
      </c>
      <c r="C1017" s="7" t="s">
        <v>24807</v>
      </c>
      <c r="D1017" s="37" t="s">
        <v>24808</v>
      </c>
    </row>
    <row r="1018">
      <c r="A1018" s="37" t="s">
        <v>1147</v>
      </c>
      <c r="B1018" s="37" t="s">
        <v>478</v>
      </c>
      <c r="C1018" s="7" t="s">
        <v>24809</v>
      </c>
      <c r="D1018" s="37" t="s">
        <v>24810</v>
      </c>
    </row>
    <row r="1019">
      <c r="A1019" s="37" t="s">
        <v>51</v>
      </c>
      <c r="B1019" s="37" t="s">
        <v>38</v>
      </c>
      <c r="C1019" s="7" t="s">
        <v>24811</v>
      </c>
      <c r="D1019" s="37" t="s">
        <v>24812</v>
      </c>
    </row>
    <row r="1020">
      <c r="A1020" s="37" t="s">
        <v>1495</v>
      </c>
      <c r="B1020" s="37" t="s">
        <v>1495</v>
      </c>
      <c r="C1020" s="7" t="s">
        <v>24813</v>
      </c>
      <c r="D1020" s="37" t="s">
        <v>24814</v>
      </c>
    </row>
    <row r="1021">
      <c r="A1021" s="37" t="s">
        <v>1188</v>
      </c>
      <c r="B1021" s="37" t="s">
        <v>1208</v>
      </c>
      <c r="C1021" s="7" t="s">
        <v>24815</v>
      </c>
      <c r="D1021" s="37" t="s">
        <v>24816</v>
      </c>
    </row>
    <row r="1022">
      <c r="A1022" s="37" t="s">
        <v>1188</v>
      </c>
      <c r="B1022" s="37" t="s">
        <v>1208</v>
      </c>
      <c r="C1022" s="7" t="s">
        <v>24817</v>
      </c>
      <c r="D1022" s="37" t="s">
        <v>24818</v>
      </c>
    </row>
    <row r="1023">
      <c r="A1023" s="37" t="s">
        <v>1188</v>
      </c>
      <c r="B1023" s="37" t="s">
        <v>1208</v>
      </c>
      <c r="C1023" s="7" t="s">
        <v>24819</v>
      </c>
      <c r="D1023" s="37" t="s">
        <v>24820</v>
      </c>
    </row>
    <row r="1024">
      <c r="A1024" s="37" t="s">
        <v>148</v>
      </c>
      <c r="B1024" s="37" t="s">
        <v>140</v>
      </c>
      <c r="C1024" s="7" t="s">
        <v>24821</v>
      </c>
      <c r="D1024" s="37" t="s">
        <v>24822</v>
      </c>
    </row>
    <row r="1025">
      <c r="A1025" s="37" t="s">
        <v>284</v>
      </c>
      <c r="B1025" s="37" t="s">
        <v>281</v>
      </c>
      <c r="C1025" s="7" t="s">
        <v>24823</v>
      </c>
      <c r="D1025" s="37" t="s">
        <v>24824</v>
      </c>
    </row>
    <row r="1026">
      <c r="A1026" s="37" t="s">
        <v>284</v>
      </c>
      <c r="B1026" s="37" t="s">
        <v>281</v>
      </c>
      <c r="C1026" s="7" t="s">
        <v>24825</v>
      </c>
      <c r="D1026" s="37" t="s">
        <v>24826</v>
      </c>
    </row>
    <row r="1027">
      <c r="A1027" s="37" t="s">
        <v>1163</v>
      </c>
      <c r="B1027" s="37" t="s">
        <v>717</v>
      </c>
      <c r="C1027" s="7" t="s">
        <v>24827</v>
      </c>
      <c r="D1027" s="37" t="s">
        <v>24828</v>
      </c>
    </row>
    <row r="1028">
      <c r="A1028" s="37" t="s">
        <v>1495</v>
      </c>
      <c r="B1028" s="37" t="s">
        <v>22913</v>
      </c>
      <c r="C1028" s="7" t="s">
        <v>24829</v>
      </c>
      <c r="D1028" s="37" t="s">
        <v>24830</v>
      </c>
    </row>
    <row r="1029">
      <c r="A1029" s="37" t="s">
        <v>1495</v>
      </c>
      <c r="B1029" s="37" t="s">
        <v>391</v>
      </c>
      <c r="C1029" s="7" t="s">
        <v>24831</v>
      </c>
      <c r="D1029" s="37" t="s">
        <v>24832</v>
      </c>
    </row>
    <row r="1030">
      <c r="A1030" s="37" t="s">
        <v>1495</v>
      </c>
      <c r="B1030" s="37" t="s">
        <v>391</v>
      </c>
      <c r="C1030" s="7" t="s">
        <v>24833</v>
      </c>
      <c r="D1030" s="37" t="s">
        <v>24834</v>
      </c>
    </row>
    <row r="1031">
      <c r="A1031" s="37" t="s">
        <v>1495</v>
      </c>
      <c r="B1031" s="37" t="s">
        <v>391</v>
      </c>
      <c r="C1031" s="7" t="s">
        <v>24835</v>
      </c>
      <c r="D1031" s="37" t="s">
        <v>24836</v>
      </c>
    </row>
    <row r="1032">
      <c r="A1032" s="37" t="s">
        <v>284</v>
      </c>
      <c r="B1032" s="37" t="s">
        <v>281</v>
      </c>
      <c r="C1032" s="7" t="s">
        <v>24837</v>
      </c>
      <c r="D1032" s="37" t="s">
        <v>24838</v>
      </c>
    </row>
    <row r="1033">
      <c r="A1033" s="37" t="s">
        <v>1495</v>
      </c>
      <c r="B1033" s="37" t="s">
        <v>22880</v>
      </c>
      <c r="C1033" s="7" t="s">
        <v>24839</v>
      </c>
      <c r="D1033" s="37" t="s">
        <v>24840</v>
      </c>
    </row>
    <row r="1034">
      <c r="A1034" s="37" t="s">
        <v>1188</v>
      </c>
      <c r="B1034" s="37" t="s">
        <v>1208</v>
      </c>
      <c r="C1034" s="7" t="s">
        <v>14940</v>
      </c>
      <c r="D1034" s="37" t="s">
        <v>24841</v>
      </c>
    </row>
    <row r="1035">
      <c r="A1035" s="37" t="s">
        <v>1188</v>
      </c>
      <c r="B1035" s="37" t="s">
        <v>1208</v>
      </c>
      <c r="C1035" s="7" t="s">
        <v>14936</v>
      </c>
      <c r="D1035" s="37" t="s">
        <v>24842</v>
      </c>
    </row>
    <row r="1036">
      <c r="A1036" s="37" t="s">
        <v>1188</v>
      </c>
      <c r="B1036" s="37" t="s">
        <v>1208</v>
      </c>
      <c r="C1036" s="7" t="s">
        <v>14898</v>
      </c>
      <c r="D1036" s="37" t="s">
        <v>24843</v>
      </c>
    </row>
    <row r="1037">
      <c r="A1037" s="37" t="s">
        <v>1188</v>
      </c>
      <c r="B1037" s="37" t="s">
        <v>1208</v>
      </c>
      <c r="C1037" s="7" t="s">
        <v>14943</v>
      </c>
      <c r="D1037" s="37" t="s">
        <v>24844</v>
      </c>
    </row>
    <row r="1038">
      <c r="A1038" s="37" t="s">
        <v>1188</v>
      </c>
      <c r="B1038" s="37" t="s">
        <v>1208</v>
      </c>
      <c r="C1038" s="7" t="s">
        <v>14889</v>
      </c>
      <c r="D1038" s="37" t="s">
        <v>24845</v>
      </c>
    </row>
    <row r="1039">
      <c r="A1039" s="37" t="s">
        <v>1188</v>
      </c>
      <c r="B1039" s="37" t="s">
        <v>1208</v>
      </c>
      <c r="C1039" s="7" t="s">
        <v>14979</v>
      </c>
      <c r="D1039" s="37" t="s">
        <v>24846</v>
      </c>
    </row>
    <row r="1040">
      <c r="A1040" s="37" t="s">
        <v>1188</v>
      </c>
      <c r="B1040" s="37" t="s">
        <v>1208</v>
      </c>
      <c r="C1040" s="7" t="s">
        <v>14971</v>
      </c>
      <c r="D1040" s="37" t="s">
        <v>24847</v>
      </c>
    </row>
    <row r="1041">
      <c r="A1041" s="37" t="s">
        <v>1188</v>
      </c>
      <c r="B1041" s="37" t="s">
        <v>1208</v>
      </c>
      <c r="C1041" s="7" t="s">
        <v>24353</v>
      </c>
      <c r="D1041" s="37" t="s">
        <v>24848</v>
      </c>
    </row>
    <row r="1042">
      <c r="A1042" s="37" t="s">
        <v>284</v>
      </c>
      <c r="B1042" s="37" t="s">
        <v>23490</v>
      </c>
      <c r="C1042" s="7" t="s">
        <v>24849</v>
      </c>
      <c r="D1042" s="37" t="s">
        <v>24850</v>
      </c>
    </row>
    <row r="1043">
      <c r="A1043" s="37" t="s">
        <v>143</v>
      </c>
      <c r="B1043" s="37" t="s">
        <v>140</v>
      </c>
      <c r="C1043" s="7" t="s">
        <v>24851</v>
      </c>
      <c r="D1043" s="37" t="s">
        <v>24852</v>
      </c>
    </row>
    <row r="1044">
      <c r="A1044" s="37" t="s">
        <v>143</v>
      </c>
      <c r="B1044" s="37" t="s">
        <v>140</v>
      </c>
      <c r="C1044" s="7" t="s">
        <v>24853</v>
      </c>
      <c r="D1044" s="37" t="s">
        <v>24854</v>
      </c>
    </row>
    <row r="1045">
      <c r="A1045" s="37" t="s">
        <v>399</v>
      </c>
      <c r="B1045" s="37" t="s">
        <v>391</v>
      </c>
      <c r="C1045" s="7" t="s">
        <v>24855</v>
      </c>
      <c r="D1045" s="37" t="s">
        <v>24856</v>
      </c>
    </row>
    <row r="1046">
      <c r="A1046" s="37" t="s">
        <v>284</v>
      </c>
      <c r="B1046" s="37" t="s">
        <v>281</v>
      </c>
      <c r="C1046" s="7" t="s">
        <v>24857</v>
      </c>
      <c r="D1046" s="37" t="s">
        <v>24858</v>
      </c>
    </row>
    <row r="1047">
      <c r="A1047" s="37" t="s">
        <v>1495</v>
      </c>
      <c r="B1047" s="37" t="s">
        <v>693</v>
      </c>
      <c r="C1047" s="7" t="s">
        <v>24859</v>
      </c>
      <c r="D1047" s="37" t="s">
        <v>24860</v>
      </c>
    </row>
    <row r="1048">
      <c r="A1048" s="37" t="s">
        <v>1495</v>
      </c>
      <c r="B1048" s="37" t="s">
        <v>693</v>
      </c>
      <c r="C1048" s="7" t="s">
        <v>24861</v>
      </c>
      <c r="D1048" s="37" t="s">
        <v>24862</v>
      </c>
    </row>
    <row r="1049">
      <c r="A1049" s="37" t="s">
        <v>1147</v>
      </c>
      <c r="B1049" s="37" t="s">
        <v>478</v>
      </c>
      <c r="C1049" s="7" t="s">
        <v>15102</v>
      </c>
      <c r="D1049" s="37" t="s">
        <v>24863</v>
      </c>
    </row>
    <row r="1050">
      <c r="A1050" s="37" t="s">
        <v>1147</v>
      </c>
      <c r="B1050" s="37" t="s">
        <v>478</v>
      </c>
      <c r="C1050" s="7" t="s">
        <v>15249</v>
      </c>
      <c r="D1050" s="37" t="s">
        <v>24864</v>
      </c>
    </row>
    <row r="1051">
      <c r="A1051" s="37" t="s">
        <v>1147</v>
      </c>
      <c r="B1051" s="37" t="s">
        <v>478</v>
      </c>
      <c r="C1051" s="7" t="s">
        <v>24865</v>
      </c>
      <c r="D1051" s="37" t="s">
        <v>24866</v>
      </c>
    </row>
    <row r="1052">
      <c r="A1052" s="37" t="s">
        <v>1284</v>
      </c>
      <c r="B1052" s="37" t="s">
        <v>298</v>
      </c>
      <c r="C1052" s="7" t="s">
        <v>24867</v>
      </c>
      <c r="D1052" s="37" t="s">
        <v>24868</v>
      </c>
    </row>
    <row r="1053">
      <c r="A1053" s="37" t="s">
        <v>284</v>
      </c>
      <c r="B1053" s="37" t="s">
        <v>281</v>
      </c>
      <c r="C1053" s="7" t="s">
        <v>24869</v>
      </c>
      <c r="D1053" s="37" t="s">
        <v>24870</v>
      </c>
    </row>
    <row r="1054">
      <c r="A1054" s="37" t="s">
        <v>284</v>
      </c>
      <c r="B1054" s="37" t="s">
        <v>281</v>
      </c>
      <c r="C1054" s="7" t="s">
        <v>24871</v>
      </c>
      <c r="D1054" s="37" t="s">
        <v>24872</v>
      </c>
    </row>
    <row r="1055">
      <c r="A1055" s="37" t="s">
        <v>284</v>
      </c>
      <c r="B1055" s="37" t="s">
        <v>281</v>
      </c>
      <c r="C1055" s="7" t="s">
        <v>24873</v>
      </c>
      <c r="D1055" s="37" t="s">
        <v>24874</v>
      </c>
    </row>
    <row r="1056">
      <c r="A1056" s="37" t="s">
        <v>284</v>
      </c>
      <c r="B1056" s="37" t="s">
        <v>281</v>
      </c>
      <c r="C1056" s="7" t="s">
        <v>24875</v>
      </c>
      <c r="D1056" s="37" t="s">
        <v>24876</v>
      </c>
    </row>
    <row r="1057">
      <c r="A1057" s="37" t="s">
        <v>23444</v>
      </c>
      <c r="B1057" s="37" t="s">
        <v>216</v>
      </c>
      <c r="C1057" s="7" t="s">
        <v>24877</v>
      </c>
      <c r="D1057" s="37" t="s">
        <v>24878</v>
      </c>
    </row>
    <row r="1058">
      <c r="A1058" s="37" t="s">
        <v>23590</v>
      </c>
      <c r="B1058" s="37" t="s">
        <v>168</v>
      </c>
      <c r="C1058" s="7" t="s">
        <v>24879</v>
      </c>
      <c r="D1058" s="37" t="s">
        <v>24880</v>
      </c>
    </row>
    <row r="1059">
      <c r="A1059" s="37" t="s">
        <v>1245</v>
      </c>
      <c r="B1059" s="37" t="s">
        <v>1242</v>
      </c>
      <c r="C1059" s="7" t="s">
        <v>24881</v>
      </c>
      <c r="D1059" s="37" t="s">
        <v>24882</v>
      </c>
    </row>
    <row r="1060">
      <c r="A1060" s="37" t="s">
        <v>1163</v>
      </c>
      <c r="B1060" s="37" t="s">
        <v>24883</v>
      </c>
      <c r="C1060" s="7" t="s">
        <v>24884</v>
      </c>
      <c r="D1060" s="37" t="s">
        <v>24885</v>
      </c>
    </row>
    <row r="1061">
      <c r="A1061" s="37" t="s">
        <v>370</v>
      </c>
      <c r="B1061" s="37" t="s">
        <v>363</v>
      </c>
      <c r="C1061" s="7" t="s">
        <v>24886</v>
      </c>
      <c r="D1061" s="37" t="s">
        <v>24887</v>
      </c>
    </row>
    <row r="1062">
      <c r="A1062" s="37" t="s">
        <v>370</v>
      </c>
      <c r="B1062" s="37" t="s">
        <v>363</v>
      </c>
      <c r="C1062" s="7" t="s">
        <v>24888</v>
      </c>
      <c r="D1062" s="37" t="s">
        <v>24889</v>
      </c>
    </row>
    <row r="1063">
      <c r="A1063" s="37" t="s">
        <v>173</v>
      </c>
      <c r="B1063" s="37" t="s">
        <v>363</v>
      </c>
      <c r="C1063" s="7" t="s">
        <v>24890</v>
      </c>
      <c r="D1063" s="37" t="s">
        <v>24891</v>
      </c>
    </row>
    <row r="1064">
      <c r="A1064" s="37" t="s">
        <v>299</v>
      </c>
      <c r="B1064" s="37" t="s">
        <v>298</v>
      </c>
      <c r="C1064" s="7" t="s">
        <v>24892</v>
      </c>
      <c r="D1064" s="37" t="s">
        <v>24893</v>
      </c>
    </row>
    <row r="1065">
      <c r="A1065" s="37" t="s">
        <v>299</v>
      </c>
      <c r="B1065" s="37" t="s">
        <v>298</v>
      </c>
      <c r="C1065" s="7" t="s">
        <v>24894</v>
      </c>
      <c r="D1065" s="37" t="s">
        <v>24895</v>
      </c>
    </row>
    <row r="1066">
      <c r="A1066" s="37" t="s">
        <v>1147</v>
      </c>
      <c r="B1066" s="37" t="s">
        <v>478</v>
      </c>
      <c r="C1066" s="7" t="s">
        <v>24896</v>
      </c>
      <c r="D1066" s="37" t="s">
        <v>24897</v>
      </c>
    </row>
    <row r="1067">
      <c r="A1067" s="37" t="s">
        <v>1147</v>
      </c>
      <c r="B1067" s="37" t="s">
        <v>478</v>
      </c>
      <c r="C1067" s="7" t="s">
        <v>17193</v>
      </c>
      <c r="D1067" s="37" t="s">
        <v>24898</v>
      </c>
    </row>
    <row r="1068">
      <c r="A1068" s="37" t="s">
        <v>1147</v>
      </c>
      <c r="B1068" s="37" t="s">
        <v>478</v>
      </c>
      <c r="C1068" s="7" t="s">
        <v>15943</v>
      </c>
      <c r="D1068" s="37" t="s">
        <v>24899</v>
      </c>
    </row>
    <row r="1069">
      <c r="A1069" s="37" t="s">
        <v>1188</v>
      </c>
      <c r="B1069" s="37" t="s">
        <v>1208</v>
      </c>
      <c r="C1069" s="7" t="s">
        <v>23089</v>
      </c>
      <c r="D1069" s="37" t="s">
        <v>24900</v>
      </c>
    </row>
    <row r="1070">
      <c r="A1070" s="37" t="s">
        <v>1188</v>
      </c>
      <c r="B1070" s="37" t="s">
        <v>1208</v>
      </c>
      <c r="C1070" s="7" t="s">
        <v>14815</v>
      </c>
      <c r="D1070" s="37" t="s">
        <v>24901</v>
      </c>
    </row>
    <row r="1071">
      <c r="A1071" s="37" t="s">
        <v>1188</v>
      </c>
      <c r="B1071" s="37" t="s">
        <v>1208</v>
      </c>
      <c r="C1071" s="7" t="s">
        <v>14775</v>
      </c>
      <c r="D1071" s="37" t="s">
        <v>24902</v>
      </c>
    </row>
    <row r="1072">
      <c r="A1072" s="37" t="s">
        <v>1188</v>
      </c>
      <c r="B1072" s="37" t="s">
        <v>1208</v>
      </c>
      <c r="C1072" s="7" t="s">
        <v>14858</v>
      </c>
      <c r="D1072" s="37" t="s">
        <v>24903</v>
      </c>
    </row>
    <row r="1073">
      <c r="A1073" s="37" t="s">
        <v>1188</v>
      </c>
      <c r="B1073" s="37" t="s">
        <v>1208</v>
      </c>
      <c r="C1073" s="7" t="s">
        <v>14842</v>
      </c>
      <c r="D1073" s="37" t="s">
        <v>24904</v>
      </c>
    </row>
    <row r="1074">
      <c r="A1074" s="37" t="s">
        <v>1188</v>
      </c>
      <c r="B1074" s="37" t="s">
        <v>1208</v>
      </c>
      <c r="C1074" s="7" t="s">
        <v>14919</v>
      </c>
      <c r="D1074" s="37" t="s">
        <v>24905</v>
      </c>
    </row>
    <row r="1075">
      <c r="A1075" s="37" t="s">
        <v>1188</v>
      </c>
      <c r="B1075" s="37" t="s">
        <v>1208</v>
      </c>
      <c r="C1075" s="7" t="s">
        <v>14801</v>
      </c>
      <c r="D1075" s="37" t="s">
        <v>24906</v>
      </c>
    </row>
    <row r="1076">
      <c r="A1076" s="37" t="s">
        <v>1188</v>
      </c>
      <c r="B1076" s="37" t="s">
        <v>1208</v>
      </c>
      <c r="C1076" s="7" t="s">
        <v>14853</v>
      </c>
      <c r="D1076" s="37" t="s">
        <v>24907</v>
      </c>
    </row>
    <row r="1077">
      <c r="A1077" s="37" t="s">
        <v>1188</v>
      </c>
      <c r="B1077" s="37" t="s">
        <v>1208</v>
      </c>
      <c r="C1077" s="7" t="s">
        <v>22906</v>
      </c>
      <c r="D1077" s="37" t="s">
        <v>24908</v>
      </c>
    </row>
    <row r="1078">
      <c r="A1078" s="37" t="s">
        <v>1188</v>
      </c>
      <c r="B1078" s="37" t="s">
        <v>1208</v>
      </c>
      <c r="C1078" s="7" t="s">
        <v>14845</v>
      </c>
      <c r="D1078" s="37" t="s">
        <v>24909</v>
      </c>
    </row>
    <row r="1079">
      <c r="A1079" s="37" t="s">
        <v>1188</v>
      </c>
      <c r="B1079" s="37" t="s">
        <v>1208</v>
      </c>
      <c r="C1079" s="7" t="s">
        <v>23282</v>
      </c>
      <c r="D1079" s="37" t="s">
        <v>24910</v>
      </c>
    </row>
    <row r="1080">
      <c r="A1080" s="37" t="s">
        <v>1188</v>
      </c>
      <c r="B1080" s="37" t="s">
        <v>1208</v>
      </c>
      <c r="C1080" s="7" t="s">
        <v>14863</v>
      </c>
      <c r="D1080" s="37" t="s">
        <v>24911</v>
      </c>
    </row>
    <row r="1081">
      <c r="A1081" s="37" t="s">
        <v>1188</v>
      </c>
      <c r="B1081" s="37" t="s">
        <v>1208</v>
      </c>
      <c r="C1081" s="7" t="s">
        <v>14828</v>
      </c>
      <c r="D1081" s="37" t="s">
        <v>24912</v>
      </c>
    </row>
    <row r="1082">
      <c r="A1082" s="37" t="s">
        <v>1188</v>
      </c>
      <c r="B1082" s="37" t="s">
        <v>1208</v>
      </c>
      <c r="C1082" s="7" t="s">
        <v>14794</v>
      </c>
      <c r="D1082" s="37" t="s">
        <v>24913</v>
      </c>
    </row>
    <row r="1083">
      <c r="A1083" s="37" t="s">
        <v>1495</v>
      </c>
      <c r="B1083" s="37" t="s">
        <v>1495</v>
      </c>
      <c r="C1083" s="7" t="s">
        <v>24914</v>
      </c>
      <c r="D1083" s="37" t="s">
        <v>24915</v>
      </c>
    </row>
    <row r="1084">
      <c r="A1084" s="37" t="s">
        <v>1162</v>
      </c>
      <c r="B1084" s="37" t="s">
        <v>23499</v>
      </c>
      <c r="C1084" s="7" t="s">
        <v>24916</v>
      </c>
      <c r="D1084" s="37" t="s">
        <v>24917</v>
      </c>
    </row>
    <row r="1085">
      <c r="A1085" s="37" t="s">
        <v>9</v>
      </c>
      <c r="B1085" s="37" t="s">
        <v>3</v>
      </c>
      <c r="C1085" s="7" t="s">
        <v>24918</v>
      </c>
      <c r="D1085" s="37" t="s">
        <v>24919</v>
      </c>
    </row>
    <row r="1086">
      <c r="A1086" s="37" t="s">
        <v>436</v>
      </c>
      <c r="B1086" s="37" t="s">
        <v>429</v>
      </c>
      <c r="C1086" s="7" t="s">
        <v>24920</v>
      </c>
      <c r="D1086" s="37" t="s">
        <v>24921</v>
      </c>
    </row>
    <row r="1087">
      <c r="A1087" s="37" t="s">
        <v>1495</v>
      </c>
      <c r="B1087" s="37" t="s">
        <v>1495</v>
      </c>
      <c r="C1087" s="7" t="s">
        <v>24922</v>
      </c>
      <c r="D1087" s="37" t="s">
        <v>24923</v>
      </c>
    </row>
    <row r="1088">
      <c r="A1088" s="37" t="s">
        <v>484</v>
      </c>
      <c r="B1088" s="37" t="s">
        <v>478</v>
      </c>
      <c r="C1088" s="7" t="s">
        <v>24924</v>
      </c>
      <c r="D1088" s="37" t="s">
        <v>24925</v>
      </c>
    </row>
    <row r="1089">
      <c r="A1089" s="37" t="s">
        <v>23685</v>
      </c>
      <c r="B1089" s="37" t="s">
        <v>140</v>
      </c>
      <c r="C1089" s="7" t="s">
        <v>24926</v>
      </c>
      <c r="D1089" s="37" t="s">
        <v>24927</v>
      </c>
    </row>
    <row r="1090">
      <c r="A1090" s="37" t="s">
        <v>1495</v>
      </c>
      <c r="B1090" s="37" t="s">
        <v>23091</v>
      </c>
      <c r="C1090" s="7" t="s">
        <v>24928</v>
      </c>
      <c r="D1090" s="37" t="s">
        <v>24929</v>
      </c>
    </row>
    <row r="1091">
      <c r="A1091" s="37" t="s">
        <v>1495</v>
      </c>
      <c r="B1091" s="37" t="s">
        <v>1495</v>
      </c>
      <c r="C1091" s="7" t="s">
        <v>7300</v>
      </c>
      <c r="D1091" s="37" t="s">
        <v>24930</v>
      </c>
    </row>
    <row r="1092">
      <c r="A1092" s="37" t="s">
        <v>148</v>
      </c>
      <c r="B1092" s="37" t="s">
        <v>140</v>
      </c>
      <c r="C1092" s="7" t="s">
        <v>24931</v>
      </c>
      <c r="D1092" s="37" t="s">
        <v>24932</v>
      </c>
    </row>
    <row r="1093">
      <c r="A1093" s="37" t="s">
        <v>74</v>
      </c>
      <c r="B1093" s="37" t="s">
        <v>1208</v>
      </c>
      <c r="C1093" s="7" t="s">
        <v>24933</v>
      </c>
      <c r="D1093" s="37" t="s">
        <v>24934</v>
      </c>
    </row>
    <row r="1094">
      <c r="A1094" s="37" t="s">
        <v>1495</v>
      </c>
      <c r="B1094" s="37" t="s">
        <v>24163</v>
      </c>
      <c r="C1094" s="7" t="s">
        <v>24935</v>
      </c>
      <c r="D1094" s="37" t="s">
        <v>24936</v>
      </c>
    </row>
    <row r="1095">
      <c r="A1095" s="37" t="s">
        <v>1495</v>
      </c>
      <c r="B1095" s="37" t="s">
        <v>24163</v>
      </c>
      <c r="C1095" s="7" t="s">
        <v>24937</v>
      </c>
      <c r="D1095" s="37" t="s">
        <v>24938</v>
      </c>
    </row>
    <row r="1096">
      <c r="A1096" s="37" t="s">
        <v>1495</v>
      </c>
      <c r="B1096" s="37" t="s">
        <v>23091</v>
      </c>
      <c r="C1096" s="7" t="s">
        <v>24939</v>
      </c>
      <c r="D1096" s="37" t="s">
        <v>24940</v>
      </c>
    </row>
    <row r="1097">
      <c r="A1097" s="37" t="s">
        <v>24941</v>
      </c>
      <c r="B1097" s="37" t="s">
        <v>24942</v>
      </c>
      <c r="C1097" s="7" t="s">
        <v>24943</v>
      </c>
      <c r="D1097" s="37" t="s">
        <v>24944</v>
      </c>
    </row>
    <row r="1098">
      <c r="A1098" s="37" t="s">
        <v>1263</v>
      </c>
      <c r="B1098" s="37" t="s">
        <v>648</v>
      </c>
      <c r="C1098" s="7" t="s">
        <v>24945</v>
      </c>
      <c r="D1098" s="37" t="s">
        <v>24946</v>
      </c>
    </row>
    <row r="1099">
      <c r="A1099" s="37" t="s">
        <v>24947</v>
      </c>
      <c r="B1099" s="37" t="s">
        <v>24942</v>
      </c>
      <c r="C1099" s="7" t="s">
        <v>24948</v>
      </c>
      <c r="D1099" s="37" t="s">
        <v>24949</v>
      </c>
    </row>
    <row r="1100">
      <c r="A1100" s="37" t="s">
        <v>696</v>
      </c>
      <c r="B1100" s="37" t="s">
        <v>693</v>
      </c>
      <c r="C1100" s="7" t="s">
        <v>24950</v>
      </c>
      <c r="D1100" s="37" t="s">
        <v>24951</v>
      </c>
    </row>
    <row r="1101">
      <c r="A1101" s="37" t="s">
        <v>1147</v>
      </c>
      <c r="B1101" s="37" t="s">
        <v>478</v>
      </c>
      <c r="C1101" s="7" t="s">
        <v>24952</v>
      </c>
      <c r="D1101" s="37" t="s">
        <v>24953</v>
      </c>
    </row>
    <row r="1102">
      <c r="A1102" s="37" t="s">
        <v>24947</v>
      </c>
      <c r="B1102" s="37" t="s">
        <v>24942</v>
      </c>
      <c r="C1102" s="7" t="s">
        <v>24954</v>
      </c>
      <c r="D1102" s="37" t="s">
        <v>24955</v>
      </c>
    </row>
    <row r="1103">
      <c r="A1103" s="37" t="s">
        <v>24947</v>
      </c>
      <c r="B1103" s="37" t="s">
        <v>24942</v>
      </c>
      <c r="C1103" s="7" t="s">
        <v>24956</v>
      </c>
      <c r="D1103" s="37" t="s">
        <v>24957</v>
      </c>
    </row>
    <row r="1104">
      <c r="A1104" s="37" t="s">
        <v>24947</v>
      </c>
      <c r="B1104" s="37" t="s">
        <v>24942</v>
      </c>
      <c r="C1104" s="7" t="s">
        <v>24958</v>
      </c>
      <c r="D1104" s="37" t="s">
        <v>24959</v>
      </c>
    </row>
    <row r="1105">
      <c r="A1105" s="37" t="s">
        <v>24947</v>
      </c>
      <c r="B1105" s="37" t="s">
        <v>24942</v>
      </c>
      <c r="C1105" s="7" t="s">
        <v>24960</v>
      </c>
      <c r="D1105" s="37" t="s">
        <v>24961</v>
      </c>
    </row>
    <row r="1106">
      <c r="A1106" s="37" t="s">
        <v>23444</v>
      </c>
      <c r="B1106" s="37" t="s">
        <v>24942</v>
      </c>
      <c r="C1106" s="7" t="s">
        <v>24962</v>
      </c>
      <c r="D1106" s="37" t="s">
        <v>24963</v>
      </c>
    </row>
    <row r="1107">
      <c r="A1107" s="37" t="s">
        <v>39</v>
      </c>
      <c r="B1107" s="37" t="s">
        <v>1242</v>
      </c>
      <c r="C1107" s="7" t="s">
        <v>24964</v>
      </c>
      <c r="D1107" s="37" t="s">
        <v>24965</v>
      </c>
    </row>
    <row r="1108">
      <c r="A1108" s="37" t="s">
        <v>1188</v>
      </c>
      <c r="B1108" s="37" t="s">
        <v>1208</v>
      </c>
      <c r="C1108" s="7" t="s">
        <v>14734</v>
      </c>
      <c r="D1108" s="37" t="s">
        <v>24966</v>
      </c>
    </row>
    <row r="1109">
      <c r="A1109" s="37" t="s">
        <v>1188</v>
      </c>
      <c r="B1109" s="37" t="s">
        <v>1208</v>
      </c>
      <c r="C1109" s="7" t="s">
        <v>14729</v>
      </c>
      <c r="D1109" s="37" t="s">
        <v>24967</v>
      </c>
    </row>
    <row r="1110">
      <c r="A1110" s="37" t="s">
        <v>1188</v>
      </c>
      <c r="B1110" s="37" t="s">
        <v>1208</v>
      </c>
      <c r="C1110" s="7" t="s">
        <v>24968</v>
      </c>
      <c r="D1110" s="37" t="s">
        <v>24969</v>
      </c>
    </row>
    <row r="1111">
      <c r="A1111" s="37" t="s">
        <v>1188</v>
      </c>
      <c r="B1111" s="37" t="s">
        <v>1208</v>
      </c>
      <c r="C1111" s="7" t="s">
        <v>14738</v>
      </c>
      <c r="D1111" s="37" t="s">
        <v>24970</v>
      </c>
    </row>
    <row r="1112">
      <c r="A1112" s="37" t="s">
        <v>1188</v>
      </c>
      <c r="B1112" s="37" t="s">
        <v>1208</v>
      </c>
      <c r="C1112" s="7" t="s">
        <v>14686</v>
      </c>
      <c r="D1112" s="37" t="s">
        <v>24971</v>
      </c>
    </row>
    <row r="1113">
      <c r="A1113" s="37" t="s">
        <v>1188</v>
      </c>
      <c r="B1113" s="37" t="s">
        <v>1208</v>
      </c>
      <c r="C1113" s="7" t="s">
        <v>14690</v>
      </c>
      <c r="D1113" s="37" t="s">
        <v>24972</v>
      </c>
    </row>
    <row r="1114">
      <c r="A1114" s="37" t="s">
        <v>1188</v>
      </c>
      <c r="B1114" s="37" t="s">
        <v>1208</v>
      </c>
      <c r="C1114" s="7" t="s">
        <v>23781</v>
      </c>
      <c r="D1114" s="37" t="s">
        <v>24973</v>
      </c>
    </row>
    <row r="1115">
      <c r="A1115" s="37" t="s">
        <v>1188</v>
      </c>
      <c r="B1115" s="37" t="s">
        <v>1208</v>
      </c>
      <c r="C1115" s="7" t="s">
        <v>14711</v>
      </c>
      <c r="D1115" s="37" t="s">
        <v>24974</v>
      </c>
    </row>
    <row r="1116">
      <c r="A1116" s="37" t="s">
        <v>1188</v>
      </c>
      <c r="B1116" s="37" t="s">
        <v>1208</v>
      </c>
      <c r="C1116" s="7" t="s">
        <v>14771</v>
      </c>
      <c r="D1116" s="37" t="s">
        <v>24975</v>
      </c>
    </row>
    <row r="1117">
      <c r="A1117" s="37" t="s">
        <v>1188</v>
      </c>
      <c r="B1117" s="37" t="s">
        <v>1208</v>
      </c>
      <c r="C1117" s="7" t="s">
        <v>14639</v>
      </c>
      <c r="D1117" s="37" t="s">
        <v>24976</v>
      </c>
    </row>
    <row r="1118">
      <c r="A1118" s="37" t="s">
        <v>1188</v>
      </c>
      <c r="B1118" s="37" t="s">
        <v>1208</v>
      </c>
      <c r="C1118" s="7" t="s">
        <v>14746</v>
      </c>
      <c r="D1118" s="37" t="s">
        <v>24977</v>
      </c>
    </row>
    <row r="1119">
      <c r="A1119" s="37" t="s">
        <v>1188</v>
      </c>
      <c r="B1119" s="37" t="s">
        <v>1208</v>
      </c>
      <c r="C1119" s="7" t="s">
        <v>24978</v>
      </c>
      <c r="D1119" s="37" t="s">
        <v>24979</v>
      </c>
    </row>
    <row r="1120">
      <c r="A1120" s="37" t="s">
        <v>1188</v>
      </c>
      <c r="B1120" s="37" t="s">
        <v>1208</v>
      </c>
      <c r="C1120" s="7" t="s">
        <v>14761</v>
      </c>
      <c r="D1120" s="37" t="s">
        <v>24980</v>
      </c>
    </row>
    <row r="1121">
      <c r="A1121" s="37" t="s">
        <v>1188</v>
      </c>
      <c r="B1121" s="37" t="s">
        <v>1208</v>
      </c>
      <c r="C1121" s="7" t="s">
        <v>23864</v>
      </c>
      <c r="D1121" s="37" t="s">
        <v>24981</v>
      </c>
    </row>
    <row r="1122">
      <c r="A1122" s="37" t="s">
        <v>1263</v>
      </c>
      <c r="B1122" s="37" t="s">
        <v>140</v>
      </c>
      <c r="C1122" s="7" t="s">
        <v>24982</v>
      </c>
      <c r="D1122" s="37" t="s">
        <v>24983</v>
      </c>
    </row>
    <row r="1123">
      <c r="A1123" s="37" t="s">
        <v>1495</v>
      </c>
      <c r="B1123" s="37" t="s">
        <v>22913</v>
      </c>
      <c r="C1123" s="7" t="s">
        <v>24984</v>
      </c>
      <c r="D1123" s="37" t="s">
        <v>24985</v>
      </c>
    </row>
    <row r="1124">
      <c r="A1124" s="37" t="s">
        <v>1188</v>
      </c>
      <c r="B1124" s="37" t="s">
        <v>1208</v>
      </c>
      <c r="C1124" s="7" t="s">
        <v>24986</v>
      </c>
      <c r="D1124" s="37" t="s">
        <v>24987</v>
      </c>
    </row>
    <row r="1125">
      <c r="A1125" s="37" t="s">
        <v>1495</v>
      </c>
      <c r="B1125" s="37" t="s">
        <v>1495</v>
      </c>
      <c r="C1125" s="7" t="s">
        <v>24988</v>
      </c>
      <c r="D1125" s="37" t="s">
        <v>24989</v>
      </c>
    </row>
    <row r="1126">
      <c r="A1126" s="37" t="s">
        <v>1188</v>
      </c>
      <c r="B1126" s="37" t="s">
        <v>1208</v>
      </c>
      <c r="C1126" s="37" t="s">
        <v>24990</v>
      </c>
      <c r="D1126" s="37" t="s">
        <v>24991</v>
      </c>
    </row>
    <row r="1127">
      <c r="A1127" s="37" t="s">
        <v>24992</v>
      </c>
      <c r="B1127" s="37" t="s">
        <v>24942</v>
      </c>
      <c r="C1127" s="7" t="s">
        <v>24993</v>
      </c>
      <c r="D1127" s="37" t="s">
        <v>24994</v>
      </c>
    </row>
    <row r="1128">
      <c r="A1128" s="37" t="s">
        <v>24992</v>
      </c>
      <c r="B1128" s="37" t="s">
        <v>24942</v>
      </c>
      <c r="C1128" s="7" t="s">
        <v>24995</v>
      </c>
      <c r="D1128" s="37" t="s">
        <v>24996</v>
      </c>
    </row>
    <row r="1129">
      <c r="A1129" s="37" t="s">
        <v>24992</v>
      </c>
      <c r="B1129" s="37" t="s">
        <v>24942</v>
      </c>
      <c r="C1129" s="7" t="s">
        <v>24997</v>
      </c>
      <c r="D1129" s="37" t="s">
        <v>24998</v>
      </c>
    </row>
    <row r="1130">
      <c r="A1130" s="37" t="s">
        <v>24992</v>
      </c>
      <c r="B1130" s="37" t="s">
        <v>24942</v>
      </c>
      <c r="C1130" s="7" t="s">
        <v>24999</v>
      </c>
      <c r="D1130" s="37" t="s">
        <v>25000</v>
      </c>
    </row>
    <row r="1131">
      <c r="A1131" s="37" t="s">
        <v>24992</v>
      </c>
      <c r="B1131" s="37" t="s">
        <v>24942</v>
      </c>
      <c r="C1131" s="7" t="s">
        <v>25001</v>
      </c>
      <c r="D1131" s="37" t="s">
        <v>25002</v>
      </c>
    </row>
    <row r="1132">
      <c r="A1132" s="37" t="s">
        <v>24992</v>
      </c>
      <c r="B1132" s="37" t="s">
        <v>24942</v>
      </c>
      <c r="C1132" s="7" t="s">
        <v>25003</v>
      </c>
      <c r="D1132" s="37" t="s">
        <v>25004</v>
      </c>
    </row>
    <row r="1133">
      <c r="A1133" s="37" t="s">
        <v>24992</v>
      </c>
      <c r="B1133" s="37" t="s">
        <v>24942</v>
      </c>
      <c r="C1133" s="7" t="s">
        <v>25005</v>
      </c>
      <c r="D1133" s="37" t="s">
        <v>25006</v>
      </c>
    </row>
    <row r="1134">
      <c r="A1134" s="37" t="s">
        <v>24992</v>
      </c>
      <c r="B1134" s="37" t="s">
        <v>24942</v>
      </c>
      <c r="C1134" s="7" t="s">
        <v>25007</v>
      </c>
      <c r="D1134" s="37" t="s">
        <v>25008</v>
      </c>
    </row>
    <row r="1135">
      <c r="A1135" s="37" t="s">
        <v>24992</v>
      </c>
      <c r="B1135" s="37" t="s">
        <v>24942</v>
      </c>
      <c r="C1135" s="7" t="s">
        <v>25009</v>
      </c>
      <c r="D1135" s="37" t="s">
        <v>25010</v>
      </c>
    </row>
    <row r="1136">
      <c r="A1136" s="37" t="s">
        <v>24992</v>
      </c>
      <c r="B1136" s="37" t="s">
        <v>24942</v>
      </c>
      <c r="C1136" s="7" t="s">
        <v>25011</v>
      </c>
      <c r="D1136" s="37" t="s">
        <v>25012</v>
      </c>
    </row>
    <row r="1137">
      <c r="A1137" s="37" t="s">
        <v>24992</v>
      </c>
      <c r="B1137" s="37" t="s">
        <v>24942</v>
      </c>
      <c r="C1137" s="7" t="s">
        <v>25013</v>
      </c>
      <c r="D1137" s="37" t="s">
        <v>25014</v>
      </c>
    </row>
    <row r="1138">
      <c r="A1138" s="37" t="s">
        <v>24992</v>
      </c>
      <c r="B1138" s="37" t="s">
        <v>24942</v>
      </c>
      <c r="C1138" s="7" t="s">
        <v>25015</v>
      </c>
      <c r="D1138" s="37" t="s">
        <v>25016</v>
      </c>
    </row>
    <row r="1139">
      <c r="A1139" s="37" t="s">
        <v>24992</v>
      </c>
      <c r="B1139" s="37" t="s">
        <v>24942</v>
      </c>
      <c r="C1139" s="7" t="s">
        <v>25017</v>
      </c>
      <c r="D1139" s="37" t="s">
        <v>25018</v>
      </c>
    </row>
    <row r="1140">
      <c r="A1140" s="37" t="s">
        <v>24992</v>
      </c>
      <c r="B1140" s="37" t="s">
        <v>24942</v>
      </c>
      <c r="C1140" s="7" t="s">
        <v>25019</v>
      </c>
      <c r="D1140" s="37" t="s">
        <v>25020</v>
      </c>
    </row>
    <row r="1141">
      <c r="A1141" s="37" t="s">
        <v>24992</v>
      </c>
      <c r="B1141" s="37" t="s">
        <v>24942</v>
      </c>
      <c r="C1141" s="7" t="s">
        <v>25021</v>
      </c>
      <c r="D1141" s="37" t="s">
        <v>25022</v>
      </c>
    </row>
    <row r="1142">
      <c r="A1142" s="37" t="s">
        <v>24992</v>
      </c>
      <c r="B1142" s="37" t="s">
        <v>24942</v>
      </c>
      <c r="C1142" s="7" t="s">
        <v>25023</v>
      </c>
      <c r="D1142" s="37" t="s">
        <v>25024</v>
      </c>
    </row>
    <row r="1143">
      <c r="A1143" s="37" t="s">
        <v>24992</v>
      </c>
      <c r="B1143" s="37" t="s">
        <v>24942</v>
      </c>
      <c r="C1143" s="7" t="s">
        <v>25025</v>
      </c>
      <c r="D1143" s="37" t="s">
        <v>25026</v>
      </c>
    </row>
    <row r="1144">
      <c r="A1144" s="37" t="s">
        <v>24992</v>
      </c>
      <c r="B1144" s="37" t="s">
        <v>24942</v>
      </c>
      <c r="C1144" s="7" t="s">
        <v>25027</v>
      </c>
      <c r="D1144" s="37" t="s">
        <v>25028</v>
      </c>
    </row>
    <row r="1145">
      <c r="A1145" s="37" t="s">
        <v>24992</v>
      </c>
      <c r="B1145" s="37" t="s">
        <v>24942</v>
      </c>
      <c r="C1145" s="7" t="s">
        <v>25029</v>
      </c>
      <c r="D1145" s="37" t="s">
        <v>25030</v>
      </c>
    </row>
    <row r="1146">
      <c r="A1146" s="37" t="s">
        <v>24992</v>
      </c>
      <c r="B1146" s="37" t="s">
        <v>24942</v>
      </c>
      <c r="C1146" s="7" t="s">
        <v>25031</v>
      </c>
      <c r="D1146" s="37" t="s">
        <v>25032</v>
      </c>
    </row>
    <row r="1147">
      <c r="A1147" s="37" t="s">
        <v>24992</v>
      </c>
      <c r="B1147" s="37" t="s">
        <v>24942</v>
      </c>
      <c r="C1147" s="7" t="s">
        <v>25033</v>
      </c>
      <c r="D1147" s="37" t="s">
        <v>25034</v>
      </c>
    </row>
    <row r="1148">
      <c r="A1148" s="37" t="s">
        <v>24992</v>
      </c>
      <c r="B1148" s="37" t="s">
        <v>24942</v>
      </c>
      <c r="C1148" s="7" t="s">
        <v>25035</v>
      </c>
      <c r="D1148" s="37" t="s">
        <v>25036</v>
      </c>
    </row>
    <row r="1149">
      <c r="A1149" s="37" t="s">
        <v>24992</v>
      </c>
      <c r="B1149" s="37" t="s">
        <v>24942</v>
      </c>
      <c r="C1149" s="7" t="s">
        <v>25037</v>
      </c>
      <c r="D1149" s="37" t="s">
        <v>25038</v>
      </c>
    </row>
    <row r="1150">
      <c r="A1150" s="37" t="s">
        <v>24992</v>
      </c>
      <c r="B1150" s="37" t="s">
        <v>24942</v>
      </c>
      <c r="C1150" s="7" t="s">
        <v>25039</v>
      </c>
      <c r="D1150" s="37" t="s">
        <v>25040</v>
      </c>
    </row>
    <row r="1151">
      <c r="A1151" s="37" t="s">
        <v>24992</v>
      </c>
      <c r="B1151" s="37" t="s">
        <v>24942</v>
      </c>
      <c r="C1151" s="7" t="s">
        <v>25041</v>
      </c>
      <c r="D1151" s="37" t="s">
        <v>25042</v>
      </c>
    </row>
    <row r="1152">
      <c r="A1152" s="37" t="s">
        <v>24992</v>
      </c>
      <c r="B1152" s="37" t="s">
        <v>24942</v>
      </c>
      <c r="C1152" s="7" t="s">
        <v>25043</v>
      </c>
      <c r="D1152" s="37" t="s">
        <v>25044</v>
      </c>
    </row>
    <row r="1153">
      <c r="A1153" s="37" t="s">
        <v>24992</v>
      </c>
      <c r="B1153" s="37" t="s">
        <v>24942</v>
      </c>
      <c r="C1153" s="7" t="s">
        <v>25045</v>
      </c>
      <c r="D1153" s="37" t="s">
        <v>25046</v>
      </c>
    </row>
    <row r="1154">
      <c r="A1154" s="37" t="s">
        <v>24992</v>
      </c>
      <c r="B1154" s="37" t="s">
        <v>24942</v>
      </c>
      <c r="C1154" s="7" t="s">
        <v>25047</v>
      </c>
      <c r="D1154" s="37" t="s">
        <v>25048</v>
      </c>
    </row>
    <row r="1155">
      <c r="A1155" s="37" t="s">
        <v>24992</v>
      </c>
      <c r="B1155" s="37" t="s">
        <v>24942</v>
      </c>
      <c r="C1155" s="7" t="s">
        <v>25049</v>
      </c>
      <c r="D1155" s="37" t="s">
        <v>25050</v>
      </c>
    </row>
    <row r="1156">
      <c r="A1156" s="37" t="s">
        <v>24992</v>
      </c>
      <c r="B1156" s="37" t="s">
        <v>24942</v>
      </c>
      <c r="C1156" s="7" t="s">
        <v>25051</v>
      </c>
      <c r="D1156" s="37" t="s">
        <v>25052</v>
      </c>
    </row>
    <row r="1157">
      <c r="A1157" s="37" t="s">
        <v>51</v>
      </c>
      <c r="B1157" s="37" t="s">
        <v>38</v>
      </c>
      <c r="C1157" s="7" t="s">
        <v>25053</v>
      </c>
      <c r="D1157" s="37" t="s">
        <v>25054</v>
      </c>
    </row>
    <row r="1158">
      <c r="A1158" s="37" t="s">
        <v>1147</v>
      </c>
      <c r="B1158" s="37" t="s">
        <v>478</v>
      </c>
      <c r="C1158" s="7" t="s">
        <v>15268</v>
      </c>
      <c r="D1158" s="37" t="s">
        <v>25055</v>
      </c>
    </row>
    <row r="1159">
      <c r="A1159" s="37" t="s">
        <v>299</v>
      </c>
      <c r="B1159" s="37" t="s">
        <v>298</v>
      </c>
      <c r="C1159" s="7" t="s">
        <v>25056</v>
      </c>
      <c r="D1159" s="37" t="s">
        <v>25057</v>
      </c>
    </row>
    <row r="1160">
      <c r="A1160" s="37" t="s">
        <v>74</v>
      </c>
      <c r="B1160" s="37" t="s">
        <v>1208</v>
      </c>
      <c r="C1160" s="7" t="s">
        <v>25058</v>
      </c>
      <c r="D1160" s="37" t="s">
        <v>25059</v>
      </c>
    </row>
    <row r="1161">
      <c r="A1161" s="37" t="s">
        <v>148</v>
      </c>
      <c r="B1161" s="37" t="s">
        <v>140</v>
      </c>
      <c r="C1161" s="7" t="s">
        <v>25060</v>
      </c>
      <c r="D1161" s="37" t="s">
        <v>25061</v>
      </c>
    </row>
    <row r="1162">
      <c r="A1162" s="37" t="s">
        <v>74</v>
      </c>
      <c r="B1162" s="37" t="s">
        <v>1208</v>
      </c>
      <c r="C1162" s="7" t="s">
        <v>25062</v>
      </c>
      <c r="D1162" s="37" t="s">
        <v>25063</v>
      </c>
    </row>
    <row r="1163">
      <c r="A1163" s="37" t="s">
        <v>24941</v>
      </c>
      <c r="B1163" s="37" t="s">
        <v>24942</v>
      </c>
      <c r="C1163" s="7" t="s">
        <v>25064</v>
      </c>
      <c r="D1163" s="37" t="s">
        <v>25065</v>
      </c>
    </row>
    <row r="1164">
      <c r="A1164" s="37" t="s">
        <v>24992</v>
      </c>
      <c r="B1164" s="37" t="s">
        <v>24942</v>
      </c>
      <c r="C1164" s="7" t="s">
        <v>25066</v>
      </c>
      <c r="D1164" s="37" t="s">
        <v>25067</v>
      </c>
    </row>
    <row r="1165">
      <c r="A1165" s="37" t="s">
        <v>1315</v>
      </c>
      <c r="B1165" s="37" t="s">
        <v>1054</v>
      </c>
      <c r="C1165" s="7" t="s">
        <v>25068</v>
      </c>
      <c r="D1165" s="37" t="s">
        <v>25069</v>
      </c>
    </row>
    <row r="1166">
      <c r="A1166" s="37" t="s">
        <v>24992</v>
      </c>
      <c r="B1166" s="37" t="s">
        <v>24942</v>
      </c>
      <c r="C1166" s="7" t="s">
        <v>25070</v>
      </c>
      <c r="D1166" s="37" t="s">
        <v>25071</v>
      </c>
    </row>
    <row r="1167">
      <c r="A1167" s="37" t="s">
        <v>370</v>
      </c>
      <c r="B1167" s="37" t="s">
        <v>363</v>
      </c>
      <c r="C1167" s="7" t="s">
        <v>25072</v>
      </c>
      <c r="D1167" s="37" t="s">
        <v>25073</v>
      </c>
    </row>
    <row r="1168">
      <c r="A1168" s="37" t="s">
        <v>1147</v>
      </c>
      <c r="B1168" s="37" t="s">
        <v>478</v>
      </c>
      <c r="C1168" s="7" t="s">
        <v>25074</v>
      </c>
      <c r="D1168" s="37" t="s">
        <v>25075</v>
      </c>
    </row>
    <row r="1169">
      <c r="A1169" s="37" t="s">
        <v>23444</v>
      </c>
      <c r="B1169" s="37" t="s">
        <v>24942</v>
      </c>
      <c r="C1169" s="7" t="s">
        <v>25076</v>
      </c>
      <c r="D1169" s="37" t="s">
        <v>25077</v>
      </c>
    </row>
    <row r="1170">
      <c r="A1170" s="37" t="s">
        <v>23444</v>
      </c>
      <c r="B1170" s="37" t="s">
        <v>24942</v>
      </c>
      <c r="C1170" s="7" t="s">
        <v>25078</v>
      </c>
      <c r="D1170" s="37" t="s">
        <v>25079</v>
      </c>
    </row>
    <row r="1171">
      <c r="A1171" s="37" t="s">
        <v>25080</v>
      </c>
      <c r="B1171" s="37" t="s">
        <v>363</v>
      </c>
      <c r="C1171" s="7" t="s">
        <v>25081</v>
      </c>
      <c r="D1171" s="37" t="s">
        <v>25082</v>
      </c>
    </row>
    <row r="1172">
      <c r="A1172" s="37" t="s">
        <v>1188</v>
      </c>
      <c r="B1172" s="37" t="s">
        <v>1208</v>
      </c>
      <c r="C1172" s="7" t="s">
        <v>14578</v>
      </c>
      <c r="D1172" s="37" t="s">
        <v>25083</v>
      </c>
    </row>
    <row r="1173">
      <c r="A1173" s="37" t="s">
        <v>1188</v>
      </c>
      <c r="B1173" s="37" t="s">
        <v>1208</v>
      </c>
      <c r="C1173" s="7" t="s">
        <v>14519</v>
      </c>
      <c r="D1173" s="37" t="s">
        <v>25084</v>
      </c>
    </row>
    <row r="1174">
      <c r="A1174" s="37" t="s">
        <v>1188</v>
      </c>
      <c r="B1174" s="37" t="s">
        <v>1208</v>
      </c>
      <c r="C1174" s="7" t="s">
        <v>14601</v>
      </c>
      <c r="D1174" s="37" t="s">
        <v>25085</v>
      </c>
    </row>
    <row r="1175">
      <c r="A1175" s="37" t="s">
        <v>1188</v>
      </c>
      <c r="B1175" s="37" t="s">
        <v>1208</v>
      </c>
      <c r="C1175" s="7" t="s">
        <v>24037</v>
      </c>
      <c r="D1175" s="37" t="s">
        <v>25086</v>
      </c>
    </row>
    <row r="1176">
      <c r="A1176" s="37" t="s">
        <v>1188</v>
      </c>
      <c r="B1176" s="37" t="s">
        <v>1208</v>
      </c>
      <c r="C1176" s="7" t="s">
        <v>14522</v>
      </c>
      <c r="D1176" s="37" t="s">
        <v>25087</v>
      </c>
    </row>
    <row r="1177">
      <c r="A1177" s="37" t="s">
        <v>1188</v>
      </c>
      <c r="B1177" s="37" t="s">
        <v>1208</v>
      </c>
      <c r="C1177" s="7" t="s">
        <v>14554</v>
      </c>
      <c r="D1177" s="37" t="s">
        <v>25088</v>
      </c>
    </row>
    <row r="1178">
      <c r="A1178" s="37" t="s">
        <v>1188</v>
      </c>
      <c r="B1178" s="37" t="s">
        <v>1208</v>
      </c>
      <c r="C1178" s="7" t="s">
        <v>14572</v>
      </c>
      <c r="D1178" s="37" t="s">
        <v>25089</v>
      </c>
    </row>
    <row r="1179">
      <c r="A1179" s="37" t="s">
        <v>1188</v>
      </c>
      <c r="B1179" s="37" t="s">
        <v>1208</v>
      </c>
      <c r="C1179" s="7" t="s">
        <v>14598</v>
      </c>
      <c r="D1179" s="37" t="s">
        <v>25090</v>
      </c>
    </row>
    <row r="1180">
      <c r="A1180" s="37" t="s">
        <v>1188</v>
      </c>
      <c r="B1180" s="37" t="s">
        <v>1208</v>
      </c>
      <c r="C1180" s="7" t="s">
        <v>14513</v>
      </c>
      <c r="D1180" s="37" t="s">
        <v>25091</v>
      </c>
    </row>
    <row r="1181">
      <c r="A1181" s="37" t="s">
        <v>1188</v>
      </c>
      <c r="B1181" s="37" t="s">
        <v>1208</v>
      </c>
      <c r="C1181" s="7" t="s">
        <v>24786</v>
      </c>
      <c r="D1181" s="37" t="s">
        <v>25092</v>
      </c>
    </row>
    <row r="1182">
      <c r="A1182" s="37" t="s">
        <v>1188</v>
      </c>
      <c r="B1182" s="37" t="s">
        <v>1208</v>
      </c>
      <c r="C1182" s="7" t="s">
        <v>14502</v>
      </c>
      <c r="D1182" s="37" t="s">
        <v>25093</v>
      </c>
    </row>
    <row r="1183">
      <c r="A1183" s="37" t="s">
        <v>1188</v>
      </c>
      <c r="B1183" s="37" t="s">
        <v>1208</v>
      </c>
      <c r="C1183" s="7" t="s">
        <v>14566</v>
      </c>
      <c r="D1183" s="37" t="s">
        <v>25094</v>
      </c>
    </row>
    <row r="1184">
      <c r="A1184" s="37" t="s">
        <v>1188</v>
      </c>
      <c r="B1184" s="37" t="s">
        <v>1208</v>
      </c>
      <c r="C1184" s="7" t="s">
        <v>14594</v>
      </c>
      <c r="D1184" s="37" t="s">
        <v>25095</v>
      </c>
    </row>
    <row r="1185">
      <c r="A1185" s="37" t="s">
        <v>1188</v>
      </c>
      <c r="B1185" s="37" t="s">
        <v>1208</v>
      </c>
      <c r="C1185" s="7" t="s">
        <v>22881</v>
      </c>
      <c r="D1185" s="37" t="s">
        <v>25096</v>
      </c>
    </row>
    <row r="1186">
      <c r="A1186" s="37" t="s">
        <v>1188</v>
      </c>
      <c r="B1186" s="37" t="s">
        <v>1208</v>
      </c>
      <c r="C1186" s="7" t="s">
        <v>14587</v>
      </c>
      <c r="D1186" s="37" t="s">
        <v>25097</v>
      </c>
    </row>
    <row r="1187">
      <c r="A1187" s="37" t="s">
        <v>1188</v>
      </c>
      <c r="B1187" s="37" t="s">
        <v>1208</v>
      </c>
      <c r="C1187" s="7" t="s">
        <v>25098</v>
      </c>
      <c r="D1187" s="37" t="s">
        <v>25099</v>
      </c>
    </row>
    <row r="1188">
      <c r="A1188" s="37" t="s">
        <v>1188</v>
      </c>
      <c r="B1188" s="37" t="s">
        <v>1208</v>
      </c>
      <c r="C1188" s="7" t="s">
        <v>14495</v>
      </c>
      <c r="D1188" s="37" t="s">
        <v>25100</v>
      </c>
    </row>
    <row r="1189">
      <c r="A1189" s="37" t="s">
        <v>1188</v>
      </c>
      <c r="B1189" s="37" t="s">
        <v>1208</v>
      </c>
      <c r="C1189" s="7" t="s">
        <v>14559</v>
      </c>
      <c r="D1189" s="37" t="s">
        <v>25101</v>
      </c>
    </row>
    <row r="1190">
      <c r="A1190" s="37" t="s">
        <v>819</v>
      </c>
      <c r="B1190" s="37" t="s">
        <v>24744</v>
      </c>
      <c r="C1190" s="7" t="s">
        <v>25102</v>
      </c>
      <c r="D1190" s="37" t="s">
        <v>25103</v>
      </c>
    </row>
    <row r="1191">
      <c r="A1191" s="37" t="s">
        <v>24947</v>
      </c>
      <c r="B1191" s="37" t="s">
        <v>24942</v>
      </c>
      <c r="C1191" s="7" t="s">
        <v>25104</v>
      </c>
      <c r="D1191" s="37" t="s">
        <v>25105</v>
      </c>
    </row>
    <row r="1192">
      <c r="A1192" s="37" t="s">
        <v>24947</v>
      </c>
      <c r="B1192" s="37" t="s">
        <v>24942</v>
      </c>
      <c r="C1192" s="7" t="s">
        <v>25106</v>
      </c>
      <c r="D1192" s="37" t="s">
        <v>25107</v>
      </c>
    </row>
    <row r="1193">
      <c r="A1193" s="37" t="s">
        <v>24947</v>
      </c>
      <c r="B1193" s="37" t="s">
        <v>24942</v>
      </c>
      <c r="C1193" s="7" t="s">
        <v>25108</v>
      </c>
      <c r="D1193" s="37" t="s">
        <v>25109</v>
      </c>
    </row>
    <row r="1194">
      <c r="A1194" s="37" t="s">
        <v>24941</v>
      </c>
      <c r="B1194" s="37" t="s">
        <v>24942</v>
      </c>
      <c r="C1194" s="7" t="s">
        <v>25110</v>
      </c>
      <c r="D1194" s="37" t="s">
        <v>25111</v>
      </c>
    </row>
    <row r="1195">
      <c r="A1195" s="37" t="s">
        <v>370</v>
      </c>
      <c r="B1195" s="37" t="s">
        <v>363</v>
      </c>
      <c r="C1195" s="7" t="s">
        <v>1956</v>
      </c>
      <c r="D1195" s="37" t="s">
        <v>25112</v>
      </c>
    </row>
    <row r="1196">
      <c r="A1196" s="37" t="s">
        <v>1146</v>
      </c>
      <c r="B1196" s="37" t="s">
        <v>478</v>
      </c>
      <c r="C1196" s="7" t="s">
        <v>25113</v>
      </c>
      <c r="D1196" s="37" t="s">
        <v>25114</v>
      </c>
    </row>
    <row r="1197">
      <c r="A1197" s="37" t="s">
        <v>25115</v>
      </c>
      <c r="B1197" s="37" t="s">
        <v>363</v>
      </c>
      <c r="C1197" s="7" t="s">
        <v>25116</v>
      </c>
      <c r="D1197" s="37" t="s">
        <v>25117</v>
      </c>
    </row>
    <row r="1198">
      <c r="A1198" s="37" t="s">
        <v>24992</v>
      </c>
      <c r="B1198" s="37" t="s">
        <v>24942</v>
      </c>
      <c r="C1198" s="7" t="s">
        <v>25118</v>
      </c>
      <c r="D1198" s="37" t="s">
        <v>25119</v>
      </c>
    </row>
    <row r="1199">
      <c r="A1199" s="37" t="s">
        <v>1188</v>
      </c>
      <c r="B1199" s="37" t="s">
        <v>1208</v>
      </c>
      <c r="C1199" s="7" t="s">
        <v>25120</v>
      </c>
      <c r="D1199" s="37" t="s">
        <v>25121</v>
      </c>
    </row>
    <row r="1200">
      <c r="A1200" s="37" t="s">
        <v>51</v>
      </c>
      <c r="B1200" s="37" t="s">
        <v>1242</v>
      </c>
      <c r="C1200" s="7" t="s">
        <v>25122</v>
      </c>
      <c r="D1200" s="37" t="s">
        <v>25123</v>
      </c>
    </row>
    <row r="1201">
      <c r="A1201" s="37" t="s">
        <v>1310</v>
      </c>
      <c r="B1201" s="37" t="s">
        <v>24942</v>
      </c>
      <c r="C1201" s="7" t="s">
        <v>25124</v>
      </c>
      <c r="D1201" s="37" t="s">
        <v>25125</v>
      </c>
    </row>
    <row r="1202">
      <c r="A1202" s="37" t="s">
        <v>25126</v>
      </c>
      <c r="B1202" s="37" t="s">
        <v>24942</v>
      </c>
      <c r="C1202" s="7" t="s">
        <v>25127</v>
      </c>
      <c r="D1202" s="37" t="s">
        <v>25128</v>
      </c>
    </row>
    <row r="1203">
      <c r="A1203" s="37" t="s">
        <v>1284</v>
      </c>
      <c r="B1203" s="37" t="s">
        <v>298</v>
      </c>
      <c r="C1203" s="7" t="s">
        <v>25129</v>
      </c>
      <c r="D1203" s="37" t="s">
        <v>25130</v>
      </c>
    </row>
    <row r="1204">
      <c r="A1204" s="37" t="s">
        <v>74</v>
      </c>
      <c r="B1204" s="37" t="s">
        <v>1208</v>
      </c>
      <c r="C1204" s="7" t="s">
        <v>24135</v>
      </c>
      <c r="D1204" s="37" t="s">
        <v>25131</v>
      </c>
    </row>
    <row r="1205">
      <c r="A1205" s="37" t="s">
        <v>1263</v>
      </c>
      <c r="B1205" s="37" t="s">
        <v>648</v>
      </c>
      <c r="C1205" s="7" t="s">
        <v>25132</v>
      </c>
      <c r="D1205" s="37" t="s">
        <v>25133</v>
      </c>
    </row>
    <row r="1206">
      <c r="A1206" s="37" t="s">
        <v>861</v>
      </c>
      <c r="B1206" s="37" t="s">
        <v>854</v>
      </c>
      <c r="C1206" s="7" t="s">
        <v>25134</v>
      </c>
      <c r="D1206" s="37" t="s">
        <v>25135</v>
      </c>
    </row>
    <row r="1207">
      <c r="A1207" s="37" t="s">
        <v>1147</v>
      </c>
      <c r="B1207" s="37" t="s">
        <v>478</v>
      </c>
      <c r="C1207" s="7" t="s">
        <v>25136</v>
      </c>
      <c r="D1207" s="37" t="s">
        <v>25137</v>
      </c>
    </row>
    <row r="1208">
      <c r="A1208" s="37" t="s">
        <v>1147</v>
      </c>
      <c r="B1208" s="37" t="s">
        <v>478</v>
      </c>
      <c r="C1208" s="7" t="s">
        <v>25138</v>
      </c>
      <c r="D1208" s="37" t="s">
        <v>25139</v>
      </c>
    </row>
    <row r="1209">
      <c r="A1209" s="37" t="s">
        <v>24992</v>
      </c>
      <c r="B1209" s="37" t="s">
        <v>24942</v>
      </c>
      <c r="C1209" s="7" t="s">
        <v>25140</v>
      </c>
      <c r="D1209" s="37" t="s">
        <v>25141</v>
      </c>
    </row>
    <row r="1210">
      <c r="A1210" s="37" t="s">
        <v>696</v>
      </c>
      <c r="B1210" s="37" t="s">
        <v>693</v>
      </c>
      <c r="C1210" s="7" t="s">
        <v>14038</v>
      </c>
      <c r="D1210" s="37" t="s">
        <v>25142</v>
      </c>
    </row>
    <row r="1211">
      <c r="A1211" s="37" t="s">
        <v>484</v>
      </c>
      <c r="B1211" s="37" t="s">
        <v>478</v>
      </c>
      <c r="C1211" s="7" t="s">
        <v>25143</v>
      </c>
      <c r="D1211" s="37" t="s">
        <v>25144</v>
      </c>
    </row>
    <row r="1212">
      <c r="A1212" s="37" t="s">
        <v>19463</v>
      </c>
      <c r="B1212" s="37" t="s">
        <v>25145</v>
      </c>
      <c r="C1212" s="7" t="s">
        <v>25146</v>
      </c>
      <c r="D1212" s="37" t="s">
        <v>25147</v>
      </c>
    </row>
    <row r="1213">
      <c r="A1213" s="37" t="s">
        <v>24941</v>
      </c>
      <c r="B1213" s="37" t="s">
        <v>24942</v>
      </c>
      <c r="C1213" s="7" t="s">
        <v>25148</v>
      </c>
      <c r="D1213" s="37" t="s">
        <v>25149</v>
      </c>
    </row>
    <row r="1214">
      <c r="A1214" s="37" t="s">
        <v>74</v>
      </c>
      <c r="B1214" s="37" t="s">
        <v>1208</v>
      </c>
      <c r="C1214" s="7" t="s">
        <v>25150</v>
      </c>
      <c r="D1214" s="37" t="s">
        <v>25151</v>
      </c>
    </row>
    <row r="1215">
      <c r="A1215" s="37" t="s">
        <v>861</v>
      </c>
      <c r="B1215" s="37" t="s">
        <v>854</v>
      </c>
      <c r="C1215" s="7" t="s">
        <v>25152</v>
      </c>
      <c r="D1215" s="37" t="s">
        <v>25153</v>
      </c>
    </row>
    <row r="1216">
      <c r="A1216" s="37" t="s">
        <v>19463</v>
      </c>
      <c r="B1216" s="37" t="s">
        <v>25145</v>
      </c>
      <c r="C1216" s="7" t="s">
        <v>25154</v>
      </c>
      <c r="D1216" s="37" t="s">
        <v>25155</v>
      </c>
    </row>
    <row r="1217">
      <c r="A1217" s="37" t="s">
        <v>25156</v>
      </c>
      <c r="B1217" s="37" t="s">
        <v>24608</v>
      </c>
      <c r="C1217" s="7" t="s">
        <v>25157</v>
      </c>
      <c r="D1217" s="37" t="s">
        <v>25158</v>
      </c>
    </row>
    <row r="1218">
      <c r="A1218" s="37" t="s">
        <v>25156</v>
      </c>
      <c r="B1218" s="37" t="s">
        <v>25159</v>
      </c>
      <c r="C1218" s="7" t="s">
        <v>25160</v>
      </c>
      <c r="D1218" s="37" t="s">
        <v>25161</v>
      </c>
    </row>
    <row r="1219">
      <c r="A1219" s="37" t="s">
        <v>1188</v>
      </c>
      <c r="B1219" s="37" t="s">
        <v>1208</v>
      </c>
      <c r="C1219" s="7" t="s">
        <v>25162</v>
      </c>
      <c r="D1219" s="37" t="s">
        <v>25163</v>
      </c>
    </row>
    <row r="1220">
      <c r="A1220" s="37" t="s">
        <v>1188</v>
      </c>
      <c r="B1220" s="37" t="s">
        <v>1208</v>
      </c>
      <c r="C1220" s="7" t="s">
        <v>25164</v>
      </c>
      <c r="D1220" s="37" t="s">
        <v>25165</v>
      </c>
    </row>
    <row r="1221">
      <c r="A1221" s="37" t="s">
        <v>24947</v>
      </c>
      <c r="B1221" s="37" t="s">
        <v>24942</v>
      </c>
      <c r="C1221" s="7" t="s">
        <v>25166</v>
      </c>
      <c r="D1221" s="37" t="s">
        <v>25167</v>
      </c>
    </row>
    <row r="1222">
      <c r="A1222" s="37" t="s">
        <v>24941</v>
      </c>
      <c r="B1222" s="37" t="s">
        <v>24942</v>
      </c>
      <c r="C1222" s="7" t="s">
        <v>25168</v>
      </c>
      <c r="D1222" s="37" t="s">
        <v>25169</v>
      </c>
    </row>
    <row r="1223">
      <c r="A1223" s="37" t="s">
        <v>23444</v>
      </c>
      <c r="B1223" s="37" t="s">
        <v>24942</v>
      </c>
      <c r="C1223" s="7" t="s">
        <v>25170</v>
      </c>
      <c r="D1223" s="37" t="s">
        <v>25171</v>
      </c>
    </row>
    <row r="1224">
      <c r="A1224" s="37" t="s">
        <v>24992</v>
      </c>
      <c r="B1224" s="37" t="s">
        <v>24942</v>
      </c>
      <c r="C1224" s="7" t="s">
        <v>25172</v>
      </c>
      <c r="D1224" s="37" t="s">
        <v>25173</v>
      </c>
    </row>
    <row r="1225">
      <c r="A1225" s="37" t="s">
        <v>24992</v>
      </c>
      <c r="B1225" s="37" t="s">
        <v>24942</v>
      </c>
      <c r="C1225" s="7" t="s">
        <v>25174</v>
      </c>
      <c r="D1225" s="37" t="s">
        <v>25175</v>
      </c>
    </row>
    <row r="1226">
      <c r="A1226" s="37" t="s">
        <v>24992</v>
      </c>
      <c r="B1226" s="37" t="s">
        <v>24942</v>
      </c>
      <c r="C1226" s="7" t="s">
        <v>25176</v>
      </c>
      <c r="D1226" s="37" t="s">
        <v>25177</v>
      </c>
    </row>
    <row r="1227">
      <c r="A1227" s="37" t="s">
        <v>24947</v>
      </c>
      <c r="B1227" s="37" t="s">
        <v>24942</v>
      </c>
      <c r="C1227" s="7" t="s">
        <v>25178</v>
      </c>
      <c r="D1227" s="37" t="s">
        <v>25179</v>
      </c>
    </row>
    <row r="1228">
      <c r="A1228" s="37" t="s">
        <v>24947</v>
      </c>
      <c r="B1228" s="37" t="s">
        <v>24942</v>
      </c>
      <c r="C1228" s="7" t="s">
        <v>25180</v>
      </c>
      <c r="D1228" s="37" t="s">
        <v>25181</v>
      </c>
    </row>
    <row r="1229">
      <c r="A1229" s="37" t="s">
        <v>24947</v>
      </c>
      <c r="B1229" s="37" t="s">
        <v>24942</v>
      </c>
      <c r="C1229" s="7" t="s">
        <v>25182</v>
      </c>
      <c r="D1229" s="37" t="s">
        <v>25183</v>
      </c>
    </row>
    <row r="1230">
      <c r="A1230" s="37" t="s">
        <v>302</v>
      </c>
      <c r="B1230" s="37" t="s">
        <v>298</v>
      </c>
      <c r="C1230" s="7" t="s">
        <v>25184</v>
      </c>
      <c r="D1230" s="37" t="s">
        <v>25185</v>
      </c>
    </row>
    <row r="1231">
      <c r="A1231" s="37" t="s">
        <v>356</v>
      </c>
      <c r="B1231" s="37" t="s">
        <v>25186</v>
      </c>
      <c r="C1231" s="7" t="s">
        <v>25187</v>
      </c>
      <c r="D1231" s="37" t="s">
        <v>25188</v>
      </c>
    </row>
    <row r="1232">
      <c r="A1232" s="37" t="s">
        <v>1495</v>
      </c>
      <c r="B1232" s="37" t="s">
        <v>391</v>
      </c>
      <c r="C1232" s="7" t="s">
        <v>25189</v>
      </c>
      <c r="D1232" s="37" t="s">
        <v>25190</v>
      </c>
    </row>
    <row r="1233">
      <c r="A1233" s="37" t="s">
        <v>1495</v>
      </c>
      <c r="B1233" s="37" t="s">
        <v>391</v>
      </c>
      <c r="C1233" s="7" t="s">
        <v>25191</v>
      </c>
      <c r="D1233" s="37" t="s">
        <v>25192</v>
      </c>
    </row>
    <row r="1234">
      <c r="A1234" s="37" t="s">
        <v>1495</v>
      </c>
      <c r="B1234" s="37" t="s">
        <v>391</v>
      </c>
      <c r="C1234" s="7" t="s">
        <v>25193</v>
      </c>
      <c r="D1234" s="37" t="s">
        <v>25194</v>
      </c>
    </row>
    <row r="1235">
      <c r="A1235" s="37" t="s">
        <v>1188</v>
      </c>
      <c r="B1235" s="37" t="s">
        <v>1208</v>
      </c>
      <c r="C1235" s="7" t="s">
        <v>14801</v>
      </c>
      <c r="D1235" s="37" t="s">
        <v>25195</v>
      </c>
    </row>
    <row r="1236">
      <c r="A1236" s="37" t="s">
        <v>824</v>
      </c>
      <c r="B1236" s="37" t="s">
        <v>1242</v>
      </c>
      <c r="C1236" s="7" t="s">
        <v>25196</v>
      </c>
      <c r="D1236" s="37" t="s">
        <v>25197</v>
      </c>
    </row>
    <row r="1237">
      <c r="A1237" s="37" t="s">
        <v>186</v>
      </c>
      <c r="B1237" s="37" t="s">
        <v>25198</v>
      </c>
      <c r="C1237" s="7" t="s">
        <v>25199</v>
      </c>
      <c r="D1237" s="37" t="s">
        <v>25200</v>
      </c>
    </row>
    <row r="1238">
      <c r="A1238" s="37" t="s">
        <v>24947</v>
      </c>
      <c r="B1238" s="37" t="s">
        <v>24942</v>
      </c>
      <c r="C1238" s="7" t="s">
        <v>25201</v>
      </c>
      <c r="D1238" s="37" t="s">
        <v>25202</v>
      </c>
    </row>
    <row r="1239">
      <c r="A1239" s="37" t="s">
        <v>24947</v>
      </c>
      <c r="B1239" s="37" t="s">
        <v>24942</v>
      </c>
      <c r="C1239" s="7" t="s">
        <v>25203</v>
      </c>
      <c r="D1239" s="37" t="s">
        <v>25204</v>
      </c>
    </row>
    <row r="1240">
      <c r="A1240" s="37" t="s">
        <v>24947</v>
      </c>
      <c r="B1240" s="37" t="s">
        <v>24942</v>
      </c>
      <c r="C1240" s="7" t="s">
        <v>25205</v>
      </c>
      <c r="D1240" s="37" t="s">
        <v>25206</v>
      </c>
    </row>
    <row r="1241">
      <c r="A1241" s="37" t="s">
        <v>24947</v>
      </c>
      <c r="B1241" s="37" t="s">
        <v>24942</v>
      </c>
      <c r="C1241" s="7" t="s">
        <v>25207</v>
      </c>
      <c r="D1241" s="37" t="s">
        <v>25208</v>
      </c>
    </row>
    <row r="1242">
      <c r="A1242" s="37" t="s">
        <v>1147</v>
      </c>
      <c r="B1242" s="37" t="s">
        <v>478</v>
      </c>
      <c r="C1242" s="7" t="s">
        <v>25209</v>
      </c>
      <c r="D1242" s="37" t="s">
        <v>25210</v>
      </c>
    </row>
    <row r="1243">
      <c r="A1243" s="37" t="s">
        <v>1147</v>
      </c>
      <c r="B1243" s="37" t="s">
        <v>478</v>
      </c>
      <c r="C1243" s="7" t="s">
        <v>25211</v>
      </c>
      <c r="D1243" s="37" t="s">
        <v>25212</v>
      </c>
    </row>
    <row r="1244">
      <c r="A1244" s="37" t="s">
        <v>24992</v>
      </c>
      <c r="B1244" s="37" t="s">
        <v>24942</v>
      </c>
      <c r="C1244" s="7" t="s">
        <v>25213</v>
      </c>
      <c r="D1244" s="37" t="s">
        <v>25214</v>
      </c>
    </row>
    <row r="1245">
      <c r="A1245" s="37" t="s">
        <v>24992</v>
      </c>
      <c r="B1245" s="37" t="s">
        <v>24942</v>
      </c>
      <c r="C1245" s="7" t="s">
        <v>25215</v>
      </c>
      <c r="D1245" s="37" t="s">
        <v>25216</v>
      </c>
    </row>
    <row r="1246">
      <c r="A1246" s="37" t="s">
        <v>24992</v>
      </c>
      <c r="B1246" s="37" t="s">
        <v>24942</v>
      </c>
      <c r="C1246" s="7" t="s">
        <v>25217</v>
      </c>
      <c r="D1246" s="37" t="s">
        <v>25218</v>
      </c>
    </row>
    <row r="1247">
      <c r="A1247" s="37" t="s">
        <v>24992</v>
      </c>
      <c r="B1247" s="37" t="s">
        <v>24942</v>
      </c>
      <c r="C1247" s="7" t="s">
        <v>25219</v>
      </c>
      <c r="D1247" s="37" t="s">
        <v>25220</v>
      </c>
    </row>
    <row r="1248">
      <c r="A1248" s="37" t="s">
        <v>24992</v>
      </c>
      <c r="B1248" s="37" t="s">
        <v>24942</v>
      </c>
      <c r="C1248" s="7" t="s">
        <v>25221</v>
      </c>
      <c r="D1248" s="37" t="s">
        <v>25222</v>
      </c>
    </row>
    <row r="1249">
      <c r="A1249" s="37" t="s">
        <v>24992</v>
      </c>
      <c r="B1249" s="37" t="s">
        <v>24942</v>
      </c>
      <c r="C1249" s="7" t="s">
        <v>25223</v>
      </c>
      <c r="D1249" s="37" t="s">
        <v>25224</v>
      </c>
    </row>
    <row r="1250">
      <c r="A1250" s="37" t="s">
        <v>24992</v>
      </c>
      <c r="B1250" s="37" t="s">
        <v>24942</v>
      </c>
      <c r="C1250" s="7" t="s">
        <v>25225</v>
      </c>
      <c r="D1250" s="37" t="s">
        <v>25226</v>
      </c>
    </row>
    <row r="1251">
      <c r="A1251" s="37" t="s">
        <v>24992</v>
      </c>
      <c r="B1251" s="37" t="s">
        <v>24942</v>
      </c>
      <c r="C1251" s="7" t="s">
        <v>25227</v>
      </c>
      <c r="D1251" s="37" t="s">
        <v>25228</v>
      </c>
    </row>
    <row r="1252">
      <c r="A1252" s="37" t="s">
        <v>24992</v>
      </c>
      <c r="B1252" s="37" t="s">
        <v>24942</v>
      </c>
      <c r="C1252" s="7" t="s">
        <v>25229</v>
      </c>
      <c r="D1252" s="37" t="s">
        <v>25230</v>
      </c>
    </row>
    <row r="1253">
      <c r="A1253" s="37" t="s">
        <v>24992</v>
      </c>
      <c r="B1253" s="37" t="s">
        <v>24942</v>
      </c>
      <c r="C1253" s="7" t="s">
        <v>25231</v>
      </c>
      <c r="D1253" s="37" t="s">
        <v>25232</v>
      </c>
    </row>
    <row r="1254">
      <c r="A1254" s="37" t="s">
        <v>24992</v>
      </c>
      <c r="B1254" s="37" t="s">
        <v>24942</v>
      </c>
      <c r="C1254" s="7" t="s">
        <v>25233</v>
      </c>
      <c r="D1254" s="37" t="s">
        <v>25234</v>
      </c>
    </row>
    <row r="1255">
      <c r="A1255" s="37" t="s">
        <v>24992</v>
      </c>
      <c r="B1255" s="37" t="s">
        <v>24942</v>
      </c>
      <c r="C1255" s="7" t="s">
        <v>25235</v>
      </c>
      <c r="D1255" s="37" t="s">
        <v>25236</v>
      </c>
    </row>
    <row r="1256">
      <c r="A1256" s="37" t="s">
        <v>24992</v>
      </c>
      <c r="B1256" s="37" t="s">
        <v>24942</v>
      </c>
      <c r="C1256" s="7" t="s">
        <v>25237</v>
      </c>
      <c r="D1256" s="37" t="s">
        <v>25238</v>
      </c>
    </row>
    <row r="1257">
      <c r="A1257" s="37" t="s">
        <v>24992</v>
      </c>
      <c r="B1257" s="37" t="s">
        <v>24942</v>
      </c>
      <c r="C1257" s="7" t="s">
        <v>25239</v>
      </c>
      <c r="D1257" s="37" t="s">
        <v>25240</v>
      </c>
    </row>
    <row r="1258">
      <c r="A1258" s="37" t="s">
        <v>24992</v>
      </c>
      <c r="B1258" s="37" t="s">
        <v>24942</v>
      </c>
      <c r="C1258" s="7" t="s">
        <v>25241</v>
      </c>
      <c r="D1258" s="37" t="s">
        <v>25242</v>
      </c>
    </row>
    <row r="1259">
      <c r="A1259" s="37" t="s">
        <v>24992</v>
      </c>
      <c r="B1259" s="37" t="s">
        <v>24942</v>
      </c>
      <c r="C1259" s="7" t="s">
        <v>25243</v>
      </c>
      <c r="D1259" s="37" t="s">
        <v>25244</v>
      </c>
    </row>
    <row r="1260">
      <c r="A1260" s="37" t="s">
        <v>24992</v>
      </c>
      <c r="B1260" s="37" t="s">
        <v>24942</v>
      </c>
      <c r="C1260" s="7" t="s">
        <v>25245</v>
      </c>
      <c r="D1260" s="37" t="s">
        <v>25246</v>
      </c>
    </row>
    <row r="1261">
      <c r="A1261" s="37" t="s">
        <v>24992</v>
      </c>
      <c r="B1261" s="37" t="s">
        <v>24942</v>
      </c>
      <c r="C1261" s="7" t="s">
        <v>25247</v>
      </c>
      <c r="D1261" s="37" t="s">
        <v>25248</v>
      </c>
    </row>
    <row r="1262">
      <c r="A1262" s="37" t="s">
        <v>24992</v>
      </c>
      <c r="B1262" s="37" t="s">
        <v>24942</v>
      </c>
      <c r="C1262" s="7" t="s">
        <v>25249</v>
      </c>
      <c r="D1262" s="37" t="s">
        <v>25250</v>
      </c>
    </row>
    <row r="1263">
      <c r="A1263" s="37" t="s">
        <v>24992</v>
      </c>
      <c r="B1263" s="37" t="s">
        <v>24942</v>
      </c>
      <c r="C1263" s="7" t="s">
        <v>25251</v>
      </c>
      <c r="D1263" s="37" t="s">
        <v>25252</v>
      </c>
    </row>
    <row r="1264">
      <c r="A1264" s="37" t="s">
        <v>24992</v>
      </c>
      <c r="B1264" s="37" t="s">
        <v>24942</v>
      </c>
      <c r="C1264" s="7" t="s">
        <v>25253</v>
      </c>
      <c r="D1264" s="37" t="s">
        <v>25254</v>
      </c>
    </row>
    <row r="1265">
      <c r="A1265" s="37" t="s">
        <v>9</v>
      </c>
      <c r="B1265" s="37" t="s">
        <v>3</v>
      </c>
      <c r="C1265" s="7" t="s">
        <v>25255</v>
      </c>
      <c r="D1265" s="37" t="s">
        <v>25256</v>
      </c>
    </row>
    <row r="1266">
      <c r="A1266" s="37" t="s">
        <v>1188</v>
      </c>
      <c r="B1266" s="37" t="s">
        <v>1208</v>
      </c>
      <c r="C1266" s="7" t="s">
        <v>3811</v>
      </c>
      <c r="D1266" s="37" t="s">
        <v>25257</v>
      </c>
    </row>
    <row r="1267">
      <c r="A1267" s="37" t="s">
        <v>1188</v>
      </c>
      <c r="B1267" s="37" t="s">
        <v>1208</v>
      </c>
      <c r="C1267" s="7" t="s">
        <v>24374</v>
      </c>
      <c r="D1267" s="37" t="s">
        <v>25258</v>
      </c>
    </row>
    <row r="1268">
      <c r="A1268" s="37" t="s">
        <v>1188</v>
      </c>
      <c r="B1268" s="37" t="s">
        <v>1208</v>
      </c>
      <c r="C1268" s="7" t="s">
        <v>24080</v>
      </c>
      <c r="D1268" s="37" t="s">
        <v>25259</v>
      </c>
    </row>
    <row r="1269">
      <c r="A1269" s="37" t="s">
        <v>1188</v>
      </c>
      <c r="B1269" s="37" t="s">
        <v>1208</v>
      </c>
      <c r="C1269" s="7" t="s">
        <v>12074</v>
      </c>
      <c r="D1269" s="37" t="s">
        <v>25260</v>
      </c>
    </row>
    <row r="1270">
      <c r="A1270" s="37" t="s">
        <v>1188</v>
      </c>
      <c r="B1270" s="37" t="s">
        <v>1208</v>
      </c>
      <c r="C1270" s="7" t="s">
        <v>3635</v>
      </c>
      <c r="D1270" s="37" t="s">
        <v>25261</v>
      </c>
    </row>
    <row r="1271">
      <c r="A1271" s="37" t="s">
        <v>1188</v>
      </c>
      <c r="B1271" s="37" t="s">
        <v>1208</v>
      </c>
      <c r="C1271" s="7" t="s">
        <v>23470</v>
      </c>
      <c r="D1271" s="37" t="s">
        <v>25262</v>
      </c>
    </row>
    <row r="1272">
      <c r="A1272" s="37" t="s">
        <v>1188</v>
      </c>
      <c r="B1272" s="37" t="s">
        <v>1208</v>
      </c>
      <c r="C1272" s="7" t="s">
        <v>4693</v>
      </c>
      <c r="D1272" s="37" t="s">
        <v>25263</v>
      </c>
    </row>
    <row r="1273">
      <c r="A1273" s="37" t="s">
        <v>1188</v>
      </c>
      <c r="B1273" s="37" t="s">
        <v>1208</v>
      </c>
      <c r="C1273" s="7" t="s">
        <v>23056</v>
      </c>
      <c r="D1273" s="37" t="s">
        <v>25264</v>
      </c>
    </row>
    <row r="1274">
      <c r="A1274" s="37" t="s">
        <v>1188</v>
      </c>
      <c r="B1274" s="37" t="s">
        <v>1208</v>
      </c>
      <c r="C1274" s="7" t="s">
        <v>3867</v>
      </c>
      <c r="D1274" s="37" t="s">
        <v>25265</v>
      </c>
    </row>
    <row r="1275">
      <c r="A1275" s="37" t="s">
        <v>1188</v>
      </c>
      <c r="B1275" s="37" t="s">
        <v>1208</v>
      </c>
      <c r="C1275" s="7" t="s">
        <v>25266</v>
      </c>
      <c r="D1275" s="37" t="s">
        <v>25267</v>
      </c>
    </row>
    <row r="1276">
      <c r="A1276" s="37" t="s">
        <v>1188</v>
      </c>
      <c r="B1276" s="37" t="s">
        <v>1208</v>
      </c>
      <c r="C1276" s="7" t="s">
        <v>11244</v>
      </c>
      <c r="D1276" s="37" t="s">
        <v>25268</v>
      </c>
    </row>
    <row r="1277">
      <c r="A1277" s="37" t="s">
        <v>1188</v>
      </c>
      <c r="B1277" s="37" t="s">
        <v>1208</v>
      </c>
      <c r="C1277" s="7" t="s">
        <v>24405</v>
      </c>
      <c r="D1277" s="37" t="s">
        <v>25269</v>
      </c>
    </row>
    <row r="1278">
      <c r="A1278" s="37" t="s">
        <v>1188</v>
      </c>
      <c r="B1278" s="37" t="s">
        <v>1208</v>
      </c>
      <c r="C1278" s="7" t="s">
        <v>24839</v>
      </c>
      <c r="D1278" s="37" t="s">
        <v>25270</v>
      </c>
    </row>
    <row r="1279">
      <c r="A1279" s="37" t="s">
        <v>1188</v>
      </c>
      <c r="B1279" s="37" t="s">
        <v>1208</v>
      </c>
      <c r="C1279" s="7" t="s">
        <v>12993</v>
      </c>
      <c r="D1279" s="37" t="s">
        <v>25271</v>
      </c>
    </row>
    <row r="1280">
      <c r="A1280" s="37" t="s">
        <v>1188</v>
      </c>
      <c r="B1280" s="37" t="s">
        <v>1208</v>
      </c>
      <c r="C1280" s="7" t="s">
        <v>24988</v>
      </c>
      <c r="D1280" s="37" t="s">
        <v>25272</v>
      </c>
    </row>
    <row r="1281">
      <c r="A1281" s="37" t="s">
        <v>1188</v>
      </c>
      <c r="B1281" s="37" t="s">
        <v>1208</v>
      </c>
      <c r="C1281" s="7" t="s">
        <v>11313</v>
      </c>
      <c r="D1281" s="37" t="s">
        <v>25273</v>
      </c>
    </row>
    <row r="1282">
      <c r="A1282" s="37" t="s">
        <v>1188</v>
      </c>
      <c r="B1282" s="37" t="s">
        <v>1208</v>
      </c>
      <c r="C1282" s="7" t="s">
        <v>10831</v>
      </c>
      <c r="D1282" s="37" t="s">
        <v>25274</v>
      </c>
    </row>
    <row r="1283">
      <c r="A1283" s="37" t="s">
        <v>1188</v>
      </c>
      <c r="B1283" s="37" t="s">
        <v>1208</v>
      </c>
      <c r="C1283" s="7" t="s">
        <v>6411</v>
      </c>
      <c r="D1283" s="37" t="s">
        <v>25275</v>
      </c>
    </row>
    <row r="1284">
      <c r="A1284" s="37" t="s">
        <v>1162</v>
      </c>
      <c r="B1284" s="37" t="s">
        <v>25276</v>
      </c>
      <c r="C1284" s="7" t="s">
        <v>25277</v>
      </c>
      <c r="D1284" s="37" t="s">
        <v>25278</v>
      </c>
    </row>
    <row r="1285">
      <c r="A1285" s="37" t="s">
        <v>824</v>
      </c>
      <c r="B1285" s="37" t="s">
        <v>1242</v>
      </c>
      <c r="C1285" s="7" t="s">
        <v>25279</v>
      </c>
      <c r="D1285" s="37" t="s">
        <v>25280</v>
      </c>
    </row>
    <row r="1286">
      <c r="A1286" s="37" t="s">
        <v>1163</v>
      </c>
      <c r="B1286" s="37" t="s">
        <v>24942</v>
      </c>
      <c r="C1286" s="7" t="s">
        <v>25281</v>
      </c>
      <c r="D1286" s="37" t="s">
        <v>25282</v>
      </c>
    </row>
    <row r="1287">
      <c r="A1287" s="37" t="s">
        <v>1262</v>
      </c>
      <c r="B1287" s="37" t="s">
        <v>140</v>
      </c>
      <c r="C1287" s="7" t="s">
        <v>25283</v>
      </c>
      <c r="D1287" s="37" t="s">
        <v>25284</v>
      </c>
    </row>
    <row r="1288">
      <c r="A1288" s="37" t="s">
        <v>302</v>
      </c>
      <c r="B1288" s="37" t="s">
        <v>298</v>
      </c>
      <c r="C1288" s="7" t="s">
        <v>25285</v>
      </c>
      <c r="D1288" s="37" t="s">
        <v>25286</v>
      </c>
    </row>
    <row r="1289">
      <c r="A1289" s="37" t="s">
        <v>90</v>
      </c>
      <c r="B1289" s="37" t="s">
        <v>440</v>
      </c>
      <c r="C1289" s="7" t="s">
        <v>25287</v>
      </c>
      <c r="D1289" s="37" t="s">
        <v>25288</v>
      </c>
    </row>
    <row r="1290">
      <c r="A1290" s="37" t="s">
        <v>331</v>
      </c>
      <c r="B1290" s="37" t="s">
        <v>38</v>
      </c>
      <c r="C1290" s="7" t="s">
        <v>23122</v>
      </c>
      <c r="D1290" s="37" t="s">
        <v>25289</v>
      </c>
    </row>
    <row r="1291">
      <c r="A1291" s="37" t="s">
        <v>331</v>
      </c>
      <c r="B1291" s="37" t="s">
        <v>38</v>
      </c>
      <c r="C1291" s="7" t="s">
        <v>23124</v>
      </c>
      <c r="D1291" s="37" t="s">
        <v>25290</v>
      </c>
    </row>
    <row r="1292">
      <c r="A1292" s="37" t="s">
        <v>24992</v>
      </c>
      <c r="B1292" s="37" t="s">
        <v>24942</v>
      </c>
      <c r="C1292" s="7" t="s">
        <v>25291</v>
      </c>
      <c r="D1292" s="37" t="s">
        <v>25292</v>
      </c>
    </row>
    <row r="1293">
      <c r="A1293" s="37" t="s">
        <v>1315</v>
      </c>
      <c r="B1293" s="37" t="s">
        <v>1054</v>
      </c>
      <c r="C1293" s="7" t="s">
        <v>25293</v>
      </c>
      <c r="D1293" s="37" t="s">
        <v>25294</v>
      </c>
    </row>
    <row r="1294">
      <c r="A1294" s="37" t="s">
        <v>1263</v>
      </c>
      <c r="B1294" s="37" t="s">
        <v>25295</v>
      </c>
      <c r="C1294" s="7" t="s">
        <v>25296</v>
      </c>
      <c r="D1294" s="37" t="s">
        <v>25297</v>
      </c>
    </row>
    <row r="1295">
      <c r="A1295" s="37" t="s">
        <v>1495</v>
      </c>
      <c r="B1295" s="37" t="s">
        <v>422</v>
      </c>
      <c r="C1295" s="37" t="s">
        <v>25298</v>
      </c>
      <c r="D1295" s="37" t="s">
        <v>25299</v>
      </c>
    </row>
    <row r="1296">
      <c r="A1296" s="37" t="s">
        <v>1188</v>
      </c>
      <c r="B1296" s="37" t="s">
        <v>1208</v>
      </c>
      <c r="C1296" s="7" t="s">
        <v>25300</v>
      </c>
      <c r="D1296" s="37" t="s">
        <v>25301</v>
      </c>
    </row>
    <row r="1297">
      <c r="A1297" s="37" t="s">
        <v>24992</v>
      </c>
      <c r="B1297" s="37" t="s">
        <v>24942</v>
      </c>
      <c r="C1297" s="7" t="s">
        <v>25302</v>
      </c>
      <c r="D1297" s="37" t="s">
        <v>25303</v>
      </c>
    </row>
    <row r="1298">
      <c r="A1298" s="37" t="s">
        <v>1263</v>
      </c>
      <c r="B1298" s="37" t="s">
        <v>648</v>
      </c>
      <c r="C1298" s="7" t="s">
        <v>25304</v>
      </c>
      <c r="D1298" s="37" t="s">
        <v>25305</v>
      </c>
    </row>
    <row r="1299">
      <c r="A1299" s="37" t="s">
        <v>1147</v>
      </c>
      <c r="B1299" s="37" t="s">
        <v>478</v>
      </c>
      <c r="C1299" s="7" t="s">
        <v>25306</v>
      </c>
      <c r="D1299" s="37" t="s">
        <v>25307</v>
      </c>
    </row>
    <row r="1300">
      <c r="A1300" s="37" t="s">
        <v>25308</v>
      </c>
      <c r="B1300" s="37" t="s">
        <v>24942</v>
      </c>
      <c r="C1300" s="7" t="s">
        <v>25309</v>
      </c>
      <c r="D1300" s="37" t="s">
        <v>25310</v>
      </c>
    </row>
    <row r="1301">
      <c r="A1301" s="37" t="s">
        <v>124</v>
      </c>
      <c r="B1301" s="37" t="s">
        <v>24608</v>
      </c>
      <c r="C1301" s="7" t="s">
        <v>25311</v>
      </c>
      <c r="D1301" s="37" t="s">
        <v>25312</v>
      </c>
    </row>
    <row r="1302">
      <c r="A1302" s="37" t="s">
        <v>23444</v>
      </c>
      <c r="B1302" s="37" t="s">
        <v>24942</v>
      </c>
      <c r="C1302" s="7" t="s">
        <v>25313</v>
      </c>
      <c r="D1302" s="37" t="s">
        <v>25314</v>
      </c>
    </row>
    <row r="1303">
      <c r="A1303" s="37" t="s">
        <v>1263</v>
      </c>
      <c r="B1303" s="37" t="s">
        <v>648</v>
      </c>
      <c r="C1303" s="7" t="s">
        <v>25315</v>
      </c>
      <c r="D1303" s="37" t="s">
        <v>25316</v>
      </c>
    </row>
    <row r="1304">
      <c r="A1304" s="37" t="s">
        <v>1188</v>
      </c>
      <c r="B1304" s="37" t="s">
        <v>1208</v>
      </c>
      <c r="C1304" s="7" t="s">
        <v>24239</v>
      </c>
      <c r="D1304" s="37" t="s">
        <v>25317</v>
      </c>
    </row>
    <row r="1305">
      <c r="A1305" s="37" t="s">
        <v>1495</v>
      </c>
      <c r="B1305" s="37" t="s">
        <v>1495</v>
      </c>
      <c r="C1305" s="7" t="s">
        <v>25318</v>
      </c>
      <c r="D1305" s="37" t="s">
        <v>25319</v>
      </c>
    </row>
    <row r="1306">
      <c r="A1306" s="37" t="s">
        <v>1495</v>
      </c>
      <c r="B1306" s="37" t="s">
        <v>1495</v>
      </c>
      <c r="C1306" s="7" t="s">
        <v>25320</v>
      </c>
      <c r="D1306" s="37" t="s">
        <v>25321</v>
      </c>
    </row>
    <row r="1307">
      <c r="A1307" s="37" t="s">
        <v>1146</v>
      </c>
      <c r="B1307" s="37" t="s">
        <v>478</v>
      </c>
      <c r="C1307" s="7" t="s">
        <v>25322</v>
      </c>
      <c r="D1307" s="37" t="s">
        <v>25323</v>
      </c>
    </row>
    <row r="1308">
      <c r="A1308" s="37" t="s">
        <v>24992</v>
      </c>
      <c r="B1308" s="37" t="s">
        <v>24942</v>
      </c>
      <c r="C1308" s="7" t="s">
        <v>25324</v>
      </c>
      <c r="D1308" s="37" t="s">
        <v>25325</v>
      </c>
    </row>
    <row r="1309">
      <c r="A1309" s="37" t="s">
        <v>24992</v>
      </c>
      <c r="B1309" s="37" t="s">
        <v>24942</v>
      </c>
      <c r="C1309" s="7" t="s">
        <v>25326</v>
      </c>
      <c r="D1309" s="37" t="s">
        <v>25327</v>
      </c>
    </row>
    <row r="1310">
      <c r="A1310" s="37" t="s">
        <v>24992</v>
      </c>
      <c r="B1310" s="37" t="s">
        <v>24942</v>
      </c>
      <c r="C1310" s="7" t="s">
        <v>25328</v>
      </c>
      <c r="D1310" s="37" t="s">
        <v>25329</v>
      </c>
    </row>
    <row r="1311">
      <c r="A1311" s="37" t="s">
        <v>24992</v>
      </c>
      <c r="B1311" s="37" t="s">
        <v>24942</v>
      </c>
      <c r="C1311" s="7" t="s">
        <v>25330</v>
      </c>
      <c r="D1311" s="37" t="s">
        <v>25331</v>
      </c>
    </row>
    <row r="1312">
      <c r="A1312" s="37" t="s">
        <v>24992</v>
      </c>
      <c r="B1312" s="37" t="s">
        <v>24942</v>
      </c>
      <c r="C1312" s="7" t="s">
        <v>25332</v>
      </c>
      <c r="D1312" s="37" t="s">
        <v>25333</v>
      </c>
    </row>
    <row r="1313">
      <c r="A1313" s="37" t="s">
        <v>24992</v>
      </c>
      <c r="B1313" s="37" t="s">
        <v>24942</v>
      </c>
      <c r="C1313" s="7" t="s">
        <v>25334</v>
      </c>
      <c r="D1313" s="37" t="s">
        <v>25335</v>
      </c>
    </row>
    <row r="1314">
      <c r="A1314" s="37" t="s">
        <v>24992</v>
      </c>
      <c r="B1314" s="37" t="s">
        <v>24942</v>
      </c>
      <c r="C1314" s="7" t="s">
        <v>25336</v>
      </c>
      <c r="D1314" s="37" t="s">
        <v>25337</v>
      </c>
    </row>
    <row r="1315">
      <c r="A1315" s="37" t="s">
        <v>24992</v>
      </c>
      <c r="B1315" s="37" t="s">
        <v>24942</v>
      </c>
      <c r="C1315" s="7" t="s">
        <v>25338</v>
      </c>
      <c r="D1315" s="37" t="s">
        <v>25339</v>
      </c>
    </row>
    <row r="1316">
      <c r="A1316" s="37" t="s">
        <v>24992</v>
      </c>
      <c r="B1316" s="37" t="s">
        <v>24942</v>
      </c>
      <c r="C1316" s="7" t="s">
        <v>25340</v>
      </c>
      <c r="D1316" s="37" t="s">
        <v>25341</v>
      </c>
    </row>
    <row r="1317">
      <c r="A1317" s="37" t="s">
        <v>24992</v>
      </c>
      <c r="B1317" s="37" t="s">
        <v>24942</v>
      </c>
      <c r="C1317" s="7" t="s">
        <v>25342</v>
      </c>
      <c r="D1317" s="37" t="s">
        <v>25343</v>
      </c>
    </row>
    <row r="1318">
      <c r="A1318" s="37" t="s">
        <v>24992</v>
      </c>
      <c r="B1318" s="37" t="s">
        <v>24942</v>
      </c>
      <c r="C1318" s="7" t="s">
        <v>25344</v>
      </c>
      <c r="D1318" s="37" t="s">
        <v>25345</v>
      </c>
    </row>
    <row r="1319">
      <c r="A1319" s="37" t="s">
        <v>24992</v>
      </c>
      <c r="B1319" s="37" t="s">
        <v>24942</v>
      </c>
      <c r="C1319" s="7" t="s">
        <v>25346</v>
      </c>
      <c r="D1319" s="37" t="s">
        <v>25347</v>
      </c>
    </row>
    <row r="1320">
      <c r="A1320" s="37" t="s">
        <v>24992</v>
      </c>
      <c r="B1320" s="37" t="s">
        <v>24942</v>
      </c>
      <c r="C1320" s="7" t="s">
        <v>25348</v>
      </c>
      <c r="D1320" s="37" t="s">
        <v>25349</v>
      </c>
    </row>
    <row r="1321">
      <c r="A1321" s="37" t="s">
        <v>24992</v>
      </c>
      <c r="B1321" s="37" t="s">
        <v>24942</v>
      </c>
      <c r="C1321" s="7" t="s">
        <v>25350</v>
      </c>
      <c r="D1321" s="37" t="s">
        <v>25351</v>
      </c>
    </row>
    <row r="1322">
      <c r="A1322" s="37" t="s">
        <v>24992</v>
      </c>
      <c r="B1322" s="37" t="s">
        <v>24942</v>
      </c>
      <c r="C1322" s="7" t="s">
        <v>25352</v>
      </c>
      <c r="D1322" s="37" t="s">
        <v>25353</v>
      </c>
    </row>
    <row r="1323">
      <c r="A1323" s="37" t="s">
        <v>24992</v>
      </c>
      <c r="B1323" s="37" t="s">
        <v>24942</v>
      </c>
      <c r="C1323" s="7" t="s">
        <v>25354</v>
      </c>
      <c r="D1323" s="37" t="s">
        <v>25355</v>
      </c>
    </row>
    <row r="1324">
      <c r="A1324" s="37" t="s">
        <v>97</v>
      </c>
      <c r="B1324" s="37" t="s">
        <v>440</v>
      </c>
      <c r="C1324" s="7" t="s">
        <v>25356</v>
      </c>
      <c r="D1324" s="37" t="s">
        <v>25357</v>
      </c>
    </row>
    <row r="1325">
      <c r="A1325" s="37" t="s">
        <v>148</v>
      </c>
      <c r="B1325" s="37" t="s">
        <v>140</v>
      </c>
      <c r="C1325" s="7" t="s">
        <v>25358</v>
      </c>
      <c r="D1325" s="37" t="s">
        <v>25359</v>
      </c>
    </row>
    <row r="1326">
      <c r="A1326" s="37" t="s">
        <v>701</v>
      </c>
      <c r="B1326" s="37" t="s">
        <v>693</v>
      </c>
      <c r="C1326" s="7" t="s">
        <v>25360</v>
      </c>
      <c r="D1326" s="37" t="s">
        <v>25361</v>
      </c>
    </row>
    <row r="1327">
      <c r="A1327" s="37" t="s">
        <v>23444</v>
      </c>
      <c r="B1327" s="37" t="s">
        <v>24942</v>
      </c>
      <c r="C1327" s="7" t="s">
        <v>25362</v>
      </c>
      <c r="D1327" s="37" t="s">
        <v>25363</v>
      </c>
    </row>
    <row r="1328">
      <c r="A1328" s="37" t="s">
        <v>441</v>
      </c>
      <c r="B1328" s="37" t="s">
        <v>440</v>
      </c>
      <c r="C1328" s="7" t="s">
        <v>25364</v>
      </c>
      <c r="D1328" s="37" t="s">
        <v>25365</v>
      </c>
    </row>
    <row r="1329">
      <c r="A1329" s="37" t="s">
        <v>1146</v>
      </c>
      <c r="B1329" s="37" t="s">
        <v>478</v>
      </c>
      <c r="C1329" s="7" t="s">
        <v>25366</v>
      </c>
      <c r="D1329" s="37" t="s">
        <v>25367</v>
      </c>
    </row>
    <row r="1330">
      <c r="A1330" s="37" t="s">
        <v>1146</v>
      </c>
      <c r="B1330" s="37" t="s">
        <v>478</v>
      </c>
      <c r="C1330" s="7" t="s">
        <v>25368</v>
      </c>
      <c r="D1330" s="37" t="s">
        <v>25369</v>
      </c>
    </row>
    <row r="1331">
      <c r="A1331" s="37" t="s">
        <v>307</v>
      </c>
      <c r="B1331" s="37" t="s">
        <v>298</v>
      </c>
      <c r="C1331" s="7" t="s">
        <v>25370</v>
      </c>
      <c r="D1331" s="37" t="s">
        <v>25371</v>
      </c>
    </row>
    <row r="1332">
      <c r="A1332" s="37" t="s">
        <v>1263</v>
      </c>
      <c r="B1332" s="37" t="s">
        <v>648</v>
      </c>
      <c r="C1332" s="7" t="s">
        <v>25372</v>
      </c>
      <c r="D1332" s="37" t="s">
        <v>25373</v>
      </c>
    </row>
    <row r="1333">
      <c r="A1333" s="37" t="s">
        <v>1188</v>
      </c>
      <c r="B1333" s="37" t="s">
        <v>1208</v>
      </c>
      <c r="C1333" s="7" t="s">
        <v>25374</v>
      </c>
      <c r="D1333" s="37" t="s">
        <v>25375</v>
      </c>
    </row>
    <row r="1334">
      <c r="A1334" s="37" t="s">
        <v>74</v>
      </c>
      <c r="B1334" s="37" t="s">
        <v>1208</v>
      </c>
      <c r="C1334" s="7" t="s">
        <v>24770</v>
      </c>
      <c r="D1334" s="37" t="s">
        <v>25376</v>
      </c>
    </row>
    <row r="1335">
      <c r="A1335" s="37" t="s">
        <v>24992</v>
      </c>
      <c r="B1335" s="37" t="s">
        <v>24942</v>
      </c>
      <c r="C1335" s="7" t="s">
        <v>25377</v>
      </c>
      <c r="D1335" s="37" t="s">
        <v>25378</v>
      </c>
    </row>
    <row r="1336">
      <c r="A1336" s="37" t="s">
        <v>24992</v>
      </c>
      <c r="B1336" s="37" t="s">
        <v>24942</v>
      </c>
      <c r="C1336" s="7" t="s">
        <v>25379</v>
      </c>
      <c r="D1336" s="37" t="s">
        <v>25380</v>
      </c>
    </row>
    <row r="1337">
      <c r="A1337" s="37" t="s">
        <v>24992</v>
      </c>
      <c r="B1337" s="37" t="s">
        <v>24942</v>
      </c>
      <c r="C1337" s="7" t="s">
        <v>25381</v>
      </c>
      <c r="D1337" s="37" t="s">
        <v>25382</v>
      </c>
    </row>
    <row r="1338">
      <c r="A1338" s="37" t="s">
        <v>24992</v>
      </c>
      <c r="B1338" s="37" t="s">
        <v>24942</v>
      </c>
      <c r="C1338" s="7" t="s">
        <v>25383</v>
      </c>
      <c r="D1338" s="37" t="s">
        <v>25384</v>
      </c>
    </row>
    <row r="1339">
      <c r="A1339" s="37" t="s">
        <v>24992</v>
      </c>
      <c r="B1339" s="37" t="s">
        <v>24942</v>
      </c>
      <c r="C1339" s="7" t="s">
        <v>25385</v>
      </c>
      <c r="D1339" s="37" t="s">
        <v>25386</v>
      </c>
    </row>
    <row r="1340">
      <c r="A1340" s="37" t="s">
        <v>24992</v>
      </c>
      <c r="B1340" s="37" t="s">
        <v>24942</v>
      </c>
      <c r="C1340" s="7" t="s">
        <v>25387</v>
      </c>
      <c r="D1340" s="37" t="s">
        <v>25388</v>
      </c>
    </row>
    <row r="1341">
      <c r="A1341" s="37" t="s">
        <v>24992</v>
      </c>
      <c r="B1341" s="37" t="s">
        <v>24942</v>
      </c>
      <c r="C1341" s="7" t="s">
        <v>25389</v>
      </c>
      <c r="D1341" s="37" t="s">
        <v>25390</v>
      </c>
    </row>
    <row r="1342">
      <c r="A1342" s="37" t="s">
        <v>24992</v>
      </c>
      <c r="B1342" s="37" t="s">
        <v>24942</v>
      </c>
      <c r="C1342" s="7" t="s">
        <v>25391</v>
      </c>
      <c r="D1342" s="37" t="s">
        <v>25392</v>
      </c>
    </row>
    <row r="1343">
      <c r="A1343" s="37" t="s">
        <v>24992</v>
      </c>
      <c r="B1343" s="37" t="s">
        <v>24942</v>
      </c>
      <c r="C1343" s="7" t="s">
        <v>25393</v>
      </c>
      <c r="D1343" s="37" t="s">
        <v>25394</v>
      </c>
    </row>
    <row r="1344">
      <c r="A1344" s="37" t="s">
        <v>24992</v>
      </c>
      <c r="B1344" s="37" t="s">
        <v>24942</v>
      </c>
      <c r="C1344" s="7" t="s">
        <v>25395</v>
      </c>
      <c r="D1344" s="37" t="s">
        <v>25396</v>
      </c>
    </row>
    <row r="1345">
      <c r="A1345" s="37" t="s">
        <v>24992</v>
      </c>
      <c r="B1345" s="37" t="s">
        <v>24942</v>
      </c>
      <c r="C1345" s="7" t="s">
        <v>25397</v>
      </c>
      <c r="D1345" s="37" t="s">
        <v>25398</v>
      </c>
    </row>
    <row r="1346">
      <c r="A1346" s="37" t="s">
        <v>24992</v>
      </c>
      <c r="B1346" s="37" t="s">
        <v>24942</v>
      </c>
      <c r="C1346" s="7" t="s">
        <v>25399</v>
      </c>
      <c r="D1346" s="37" t="s">
        <v>25400</v>
      </c>
    </row>
    <row r="1347">
      <c r="A1347" s="37" t="s">
        <v>24992</v>
      </c>
      <c r="B1347" s="37" t="s">
        <v>24942</v>
      </c>
      <c r="C1347" s="7" t="s">
        <v>25401</v>
      </c>
      <c r="D1347" s="37" t="s">
        <v>25402</v>
      </c>
    </row>
    <row r="1348">
      <c r="A1348" s="37" t="s">
        <v>24992</v>
      </c>
      <c r="B1348" s="37" t="s">
        <v>24942</v>
      </c>
      <c r="C1348" s="7" t="s">
        <v>25403</v>
      </c>
      <c r="D1348" s="37" t="s">
        <v>25404</v>
      </c>
    </row>
    <row r="1349">
      <c r="A1349" s="37" t="s">
        <v>24992</v>
      </c>
      <c r="B1349" s="37" t="s">
        <v>24942</v>
      </c>
      <c r="C1349" s="7" t="s">
        <v>25405</v>
      </c>
      <c r="D1349" s="37" t="s">
        <v>25406</v>
      </c>
    </row>
    <row r="1350">
      <c r="A1350" s="37" t="s">
        <v>24992</v>
      </c>
      <c r="B1350" s="37" t="s">
        <v>24942</v>
      </c>
      <c r="C1350" s="7" t="s">
        <v>25407</v>
      </c>
      <c r="D1350" s="37" t="s">
        <v>25408</v>
      </c>
    </row>
    <row r="1351">
      <c r="A1351" s="37" t="s">
        <v>24992</v>
      </c>
      <c r="B1351" s="37" t="s">
        <v>24942</v>
      </c>
      <c r="C1351" s="7" t="s">
        <v>25409</v>
      </c>
      <c r="D1351" s="37" t="s">
        <v>25410</v>
      </c>
    </row>
    <row r="1352">
      <c r="A1352" s="37" t="s">
        <v>24992</v>
      </c>
      <c r="B1352" s="37" t="s">
        <v>24942</v>
      </c>
      <c r="C1352" s="7" t="s">
        <v>25411</v>
      </c>
      <c r="D1352" s="37" t="s">
        <v>25412</v>
      </c>
    </row>
    <row r="1353">
      <c r="A1353" s="37" t="s">
        <v>24992</v>
      </c>
      <c r="B1353" s="37" t="s">
        <v>24942</v>
      </c>
      <c r="C1353" s="7" t="s">
        <v>25413</v>
      </c>
      <c r="D1353" s="37" t="s">
        <v>25414</v>
      </c>
    </row>
    <row r="1354">
      <c r="A1354" s="37" t="s">
        <v>24992</v>
      </c>
      <c r="B1354" s="37" t="s">
        <v>24942</v>
      </c>
      <c r="C1354" s="7" t="s">
        <v>25415</v>
      </c>
      <c r="D1354" s="37" t="s">
        <v>25416</v>
      </c>
    </row>
    <row r="1355">
      <c r="A1355" s="37" t="s">
        <v>24992</v>
      </c>
      <c r="B1355" s="37" t="s">
        <v>24942</v>
      </c>
      <c r="C1355" s="7" t="s">
        <v>25417</v>
      </c>
      <c r="D1355" s="37" t="s">
        <v>25418</v>
      </c>
    </row>
    <row r="1356">
      <c r="A1356" s="37" t="s">
        <v>24992</v>
      </c>
      <c r="B1356" s="37" t="s">
        <v>24942</v>
      </c>
      <c r="C1356" s="7" t="s">
        <v>25419</v>
      </c>
      <c r="D1356" s="37" t="s">
        <v>25420</v>
      </c>
    </row>
    <row r="1357">
      <c r="A1357" s="37" t="s">
        <v>24992</v>
      </c>
      <c r="B1357" s="37" t="s">
        <v>24942</v>
      </c>
      <c r="C1357" s="7" t="s">
        <v>25421</v>
      </c>
      <c r="D1357" s="37" t="s">
        <v>25422</v>
      </c>
    </row>
    <row r="1358">
      <c r="A1358" s="37" t="s">
        <v>24992</v>
      </c>
      <c r="B1358" s="37" t="s">
        <v>24942</v>
      </c>
      <c r="C1358" s="7" t="s">
        <v>25423</v>
      </c>
      <c r="D1358" s="37" t="s">
        <v>25424</v>
      </c>
    </row>
    <row r="1359">
      <c r="A1359" s="37" t="s">
        <v>24992</v>
      </c>
      <c r="B1359" s="37" t="s">
        <v>24942</v>
      </c>
      <c r="C1359" s="7" t="s">
        <v>25425</v>
      </c>
      <c r="D1359" s="37" t="s">
        <v>25426</v>
      </c>
    </row>
    <row r="1360">
      <c r="A1360" s="37" t="s">
        <v>24992</v>
      </c>
      <c r="B1360" s="37" t="s">
        <v>24942</v>
      </c>
      <c r="C1360" s="7" t="s">
        <v>25427</v>
      </c>
      <c r="D1360" s="37" t="s">
        <v>25428</v>
      </c>
    </row>
    <row r="1361">
      <c r="A1361" s="37" t="s">
        <v>24992</v>
      </c>
      <c r="B1361" s="37" t="s">
        <v>24942</v>
      </c>
      <c r="C1361" s="7" t="s">
        <v>25429</v>
      </c>
      <c r="D1361" s="37" t="s">
        <v>25430</v>
      </c>
    </row>
    <row r="1362">
      <c r="A1362" s="37" t="s">
        <v>24992</v>
      </c>
      <c r="B1362" s="37" t="s">
        <v>24942</v>
      </c>
      <c r="C1362" s="7" t="s">
        <v>25431</v>
      </c>
      <c r="D1362" s="37" t="s">
        <v>25432</v>
      </c>
    </row>
    <row r="1363">
      <c r="A1363" s="37" t="s">
        <v>24941</v>
      </c>
      <c r="B1363" s="37" t="s">
        <v>25433</v>
      </c>
      <c r="C1363" s="7" t="s">
        <v>25434</v>
      </c>
      <c r="D1363" s="37" t="s">
        <v>25435</v>
      </c>
    </row>
    <row r="1364">
      <c r="A1364" s="37" t="s">
        <v>24941</v>
      </c>
      <c r="B1364" s="37" t="s">
        <v>24942</v>
      </c>
      <c r="C1364" s="7" t="s">
        <v>25436</v>
      </c>
      <c r="D1364" s="37" t="s">
        <v>25437</v>
      </c>
    </row>
    <row r="1365">
      <c r="A1365" s="37" t="s">
        <v>1188</v>
      </c>
      <c r="B1365" s="37" t="s">
        <v>1208</v>
      </c>
      <c r="C1365" s="7" t="s">
        <v>25438</v>
      </c>
      <c r="D1365" s="37" t="s">
        <v>25439</v>
      </c>
    </row>
    <row r="1366">
      <c r="A1366" s="37" t="s">
        <v>1188</v>
      </c>
      <c r="B1366" s="37" t="s">
        <v>1208</v>
      </c>
      <c r="C1366" s="7" t="s">
        <v>25440</v>
      </c>
      <c r="D1366" s="37" t="s">
        <v>25441</v>
      </c>
    </row>
    <row r="1367">
      <c r="A1367" s="37" t="s">
        <v>1188</v>
      </c>
      <c r="B1367" s="37" t="s">
        <v>1208</v>
      </c>
      <c r="C1367" s="7" t="s">
        <v>25442</v>
      </c>
      <c r="D1367" s="37" t="s">
        <v>25443</v>
      </c>
    </row>
    <row r="1368">
      <c r="A1368" s="37" t="s">
        <v>1188</v>
      </c>
      <c r="B1368" s="37" t="s">
        <v>1208</v>
      </c>
      <c r="C1368" s="7" t="s">
        <v>25444</v>
      </c>
      <c r="D1368" s="37" t="s">
        <v>25445</v>
      </c>
    </row>
    <row r="1369">
      <c r="A1369" s="37" t="s">
        <v>24992</v>
      </c>
      <c r="B1369" s="37" t="s">
        <v>24942</v>
      </c>
      <c r="C1369" s="7" t="s">
        <v>25446</v>
      </c>
      <c r="D1369" s="37" t="s">
        <v>25447</v>
      </c>
    </row>
    <row r="1370">
      <c r="A1370" s="37" t="s">
        <v>356</v>
      </c>
      <c r="B1370" s="37" t="s">
        <v>3463</v>
      </c>
      <c r="C1370" s="7" t="s">
        <v>25448</v>
      </c>
      <c r="D1370" s="37" t="s">
        <v>25449</v>
      </c>
    </row>
    <row r="1371">
      <c r="A1371" s="37" t="s">
        <v>324</v>
      </c>
      <c r="B1371" s="37" t="s">
        <v>38</v>
      </c>
      <c r="C1371" s="7" t="s">
        <v>25450</v>
      </c>
      <c r="D1371" s="37" t="s">
        <v>25451</v>
      </c>
    </row>
    <row r="1372">
      <c r="A1372" s="37" t="s">
        <v>1110</v>
      </c>
      <c r="B1372" s="37" t="s">
        <v>391</v>
      </c>
      <c r="C1372" s="7" t="s">
        <v>25452</v>
      </c>
      <c r="D1372" s="37" t="s">
        <v>25453</v>
      </c>
    </row>
    <row r="1373">
      <c r="A1373" s="37" t="s">
        <v>1495</v>
      </c>
      <c r="B1373" s="37" t="s">
        <v>165</v>
      </c>
      <c r="C1373" s="7" t="s">
        <v>23650</v>
      </c>
      <c r="D1373" s="37" t="s">
        <v>25454</v>
      </c>
    </row>
    <row r="1374">
      <c r="A1374" s="37" t="s">
        <v>1495</v>
      </c>
      <c r="B1374" s="37" t="s">
        <v>165</v>
      </c>
      <c r="C1374" s="7" t="s">
        <v>22893</v>
      </c>
      <c r="D1374" s="37" t="s">
        <v>25455</v>
      </c>
    </row>
    <row r="1375">
      <c r="A1375" s="37" t="s">
        <v>74</v>
      </c>
      <c r="B1375" s="37" t="s">
        <v>1208</v>
      </c>
      <c r="C1375" s="7" t="s">
        <v>23799</v>
      </c>
      <c r="D1375" s="37" t="s">
        <v>25456</v>
      </c>
    </row>
    <row r="1376">
      <c r="A1376" s="37" t="s">
        <v>74</v>
      </c>
      <c r="B1376" s="37" t="s">
        <v>1208</v>
      </c>
      <c r="C1376" s="7" t="s">
        <v>22899</v>
      </c>
      <c r="D1376" s="37" t="s">
        <v>25457</v>
      </c>
    </row>
    <row r="1377">
      <c r="A1377" s="37" t="s">
        <v>74</v>
      </c>
      <c r="B1377" s="37" t="s">
        <v>1208</v>
      </c>
      <c r="C1377" s="7" t="s">
        <v>12047</v>
      </c>
      <c r="D1377" s="37" t="s">
        <v>25458</v>
      </c>
    </row>
    <row r="1378">
      <c r="A1378" s="37" t="s">
        <v>74</v>
      </c>
      <c r="B1378" s="37" t="s">
        <v>1208</v>
      </c>
      <c r="C1378" s="7" t="s">
        <v>13800</v>
      </c>
      <c r="D1378" s="37" t="s">
        <v>25459</v>
      </c>
    </row>
    <row r="1379">
      <c r="A1379" s="37" t="s">
        <v>74</v>
      </c>
      <c r="B1379" s="37" t="s">
        <v>1208</v>
      </c>
      <c r="C1379" s="7" t="s">
        <v>8487</v>
      </c>
      <c r="D1379" s="37" t="s">
        <v>25460</v>
      </c>
    </row>
    <row r="1380">
      <c r="A1380" s="37" t="s">
        <v>1315</v>
      </c>
      <c r="B1380" s="37" t="s">
        <v>1054</v>
      </c>
      <c r="C1380" s="7" t="s">
        <v>25461</v>
      </c>
      <c r="D1380" s="37" t="s">
        <v>25462</v>
      </c>
    </row>
    <row r="1381">
      <c r="A1381" s="37" t="s">
        <v>1315</v>
      </c>
      <c r="B1381" s="37" t="s">
        <v>1054</v>
      </c>
      <c r="C1381" s="7" t="s">
        <v>25463</v>
      </c>
      <c r="D1381" s="37" t="s">
        <v>25464</v>
      </c>
    </row>
    <row r="1382">
      <c r="A1382" s="37" t="s">
        <v>143</v>
      </c>
      <c r="B1382" s="37" t="s">
        <v>648</v>
      </c>
      <c r="C1382" s="7" t="s">
        <v>25465</v>
      </c>
      <c r="D1382" s="37" t="s">
        <v>25466</v>
      </c>
    </row>
    <row r="1383">
      <c r="A1383" s="37" t="s">
        <v>143</v>
      </c>
      <c r="B1383" s="37" t="s">
        <v>648</v>
      </c>
      <c r="C1383" s="7" t="s">
        <v>25467</v>
      </c>
      <c r="D1383" s="37" t="s">
        <v>25468</v>
      </c>
    </row>
    <row r="1384">
      <c r="A1384" s="37" t="s">
        <v>24992</v>
      </c>
      <c r="B1384" s="37" t="s">
        <v>24942</v>
      </c>
      <c r="C1384" s="7" t="s">
        <v>25469</v>
      </c>
      <c r="D1384" s="37" t="s">
        <v>25470</v>
      </c>
    </row>
    <row r="1385">
      <c r="A1385" s="37" t="s">
        <v>24992</v>
      </c>
      <c r="B1385" s="37" t="s">
        <v>24942</v>
      </c>
      <c r="C1385" s="7" t="s">
        <v>25471</v>
      </c>
      <c r="D1385" s="37" t="s">
        <v>25472</v>
      </c>
    </row>
    <row r="1386">
      <c r="A1386" s="37" t="s">
        <v>24992</v>
      </c>
      <c r="B1386" s="37" t="s">
        <v>24942</v>
      </c>
      <c r="C1386" s="7" t="s">
        <v>25473</v>
      </c>
      <c r="D1386" s="37" t="s">
        <v>25474</v>
      </c>
    </row>
    <row r="1387">
      <c r="A1387" s="37" t="s">
        <v>24992</v>
      </c>
      <c r="B1387" s="37" t="s">
        <v>24942</v>
      </c>
      <c r="C1387" s="7" t="s">
        <v>25475</v>
      </c>
      <c r="D1387" s="37" t="s">
        <v>25476</v>
      </c>
    </row>
    <row r="1388">
      <c r="A1388" s="37" t="s">
        <v>24992</v>
      </c>
      <c r="B1388" s="37" t="s">
        <v>24942</v>
      </c>
      <c r="C1388" s="7" t="s">
        <v>25477</v>
      </c>
      <c r="D1388" s="37" t="s">
        <v>25478</v>
      </c>
    </row>
    <row r="1389">
      <c r="A1389" s="37" t="s">
        <v>24992</v>
      </c>
      <c r="B1389" s="37" t="s">
        <v>24942</v>
      </c>
      <c r="C1389" s="7" t="s">
        <v>25479</v>
      </c>
      <c r="D1389" s="37" t="s">
        <v>25480</v>
      </c>
    </row>
    <row r="1390">
      <c r="A1390" s="37" t="s">
        <v>1495</v>
      </c>
      <c r="B1390" s="37" t="s">
        <v>1495</v>
      </c>
      <c r="C1390" s="7" t="s">
        <v>25481</v>
      </c>
      <c r="D1390" s="37" t="s">
        <v>25482</v>
      </c>
    </row>
    <row r="1391">
      <c r="A1391" s="37" t="s">
        <v>90</v>
      </c>
      <c r="B1391" s="37" t="s">
        <v>440</v>
      </c>
      <c r="C1391" s="7" t="s">
        <v>25483</v>
      </c>
      <c r="D1391" s="37" t="s">
        <v>25484</v>
      </c>
    </row>
    <row r="1392">
      <c r="A1392" s="37" t="s">
        <v>1303</v>
      </c>
      <c r="B1392" s="37" t="s">
        <v>1054</v>
      </c>
      <c r="C1392" s="7" t="s">
        <v>25485</v>
      </c>
      <c r="D1392" s="37" t="s">
        <v>25486</v>
      </c>
    </row>
    <row r="1393">
      <c r="A1393" s="37" t="s">
        <v>24947</v>
      </c>
      <c r="B1393" s="37" t="s">
        <v>24942</v>
      </c>
      <c r="C1393" s="7" t="s">
        <v>25487</v>
      </c>
      <c r="D1393" s="37" t="s">
        <v>25488</v>
      </c>
    </row>
    <row r="1394">
      <c r="A1394" s="37" t="s">
        <v>24947</v>
      </c>
      <c r="B1394" s="37" t="s">
        <v>24942</v>
      </c>
      <c r="C1394" s="7" t="s">
        <v>25489</v>
      </c>
      <c r="D1394" s="37" t="s">
        <v>25490</v>
      </c>
    </row>
    <row r="1395">
      <c r="A1395" s="37" t="s">
        <v>24947</v>
      </c>
      <c r="B1395" s="37" t="s">
        <v>24942</v>
      </c>
      <c r="C1395" s="7" t="s">
        <v>25491</v>
      </c>
      <c r="D1395" s="37" t="s">
        <v>25492</v>
      </c>
    </row>
    <row r="1396">
      <c r="A1396" s="37" t="s">
        <v>1147</v>
      </c>
      <c r="B1396" s="37" t="s">
        <v>478</v>
      </c>
      <c r="C1396" s="7" t="s">
        <v>25493</v>
      </c>
      <c r="D1396" s="37" t="s">
        <v>25494</v>
      </c>
    </row>
    <row r="1397">
      <c r="A1397" s="37" t="s">
        <v>1147</v>
      </c>
      <c r="B1397" s="37" t="s">
        <v>478</v>
      </c>
      <c r="C1397" s="7" t="s">
        <v>25495</v>
      </c>
      <c r="D1397" s="37" t="s">
        <v>25496</v>
      </c>
    </row>
    <row r="1398">
      <c r="A1398" s="37" t="s">
        <v>1147</v>
      </c>
      <c r="B1398" s="37" t="s">
        <v>478</v>
      </c>
      <c r="C1398" s="7" t="s">
        <v>15200</v>
      </c>
      <c r="D1398" s="37" t="s">
        <v>25497</v>
      </c>
    </row>
    <row r="1399">
      <c r="A1399" s="37" t="s">
        <v>143</v>
      </c>
      <c r="B1399" s="37" t="s">
        <v>140</v>
      </c>
      <c r="C1399" s="7" t="s">
        <v>25498</v>
      </c>
      <c r="D1399" s="37" t="s">
        <v>25499</v>
      </c>
    </row>
    <row r="1400">
      <c r="A1400" s="37" t="s">
        <v>824</v>
      </c>
      <c r="B1400" s="37" t="s">
        <v>1242</v>
      </c>
      <c r="C1400" s="7" t="s">
        <v>25500</v>
      </c>
      <c r="D1400" s="37" t="s">
        <v>25501</v>
      </c>
    </row>
    <row r="1401">
      <c r="A1401" s="37" t="s">
        <v>824</v>
      </c>
      <c r="B1401" s="37" t="s">
        <v>1242</v>
      </c>
      <c r="C1401" s="7" t="s">
        <v>25502</v>
      </c>
      <c r="D1401" s="37" t="s">
        <v>25503</v>
      </c>
    </row>
    <row r="1402">
      <c r="A1402" s="37" t="s">
        <v>824</v>
      </c>
      <c r="B1402" s="37" t="s">
        <v>1242</v>
      </c>
      <c r="C1402" s="7" t="s">
        <v>25504</v>
      </c>
      <c r="D1402" s="37" t="s">
        <v>25505</v>
      </c>
    </row>
    <row r="1403">
      <c r="A1403" s="37" t="s">
        <v>118</v>
      </c>
      <c r="B1403" s="37" t="s">
        <v>24608</v>
      </c>
      <c r="C1403" s="7" t="s">
        <v>25506</v>
      </c>
      <c r="D1403" s="37" t="s">
        <v>25507</v>
      </c>
    </row>
    <row r="1404">
      <c r="A1404" s="37" t="s">
        <v>824</v>
      </c>
      <c r="B1404" s="37" t="s">
        <v>1242</v>
      </c>
      <c r="C1404" s="37" t="s">
        <v>25508</v>
      </c>
      <c r="D1404" s="37" t="s">
        <v>25509</v>
      </c>
    </row>
    <row r="1405">
      <c r="A1405" s="37" t="s">
        <v>24992</v>
      </c>
      <c r="B1405" s="37" t="s">
        <v>24942</v>
      </c>
      <c r="C1405" s="7" t="s">
        <v>25510</v>
      </c>
      <c r="D1405" s="37" t="s">
        <v>25511</v>
      </c>
    </row>
    <row r="1406">
      <c r="A1406" s="37" t="s">
        <v>1263</v>
      </c>
      <c r="B1406" s="37" t="s">
        <v>648</v>
      </c>
      <c r="C1406" s="7" t="s">
        <v>25512</v>
      </c>
      <c r="D1406" s="37" t="s">
        <v>25513</v>
      </c>
    </row>
    <row r="1407">
      <c r="A1407" s="37" t="s">
        <v>39</v>
      </c>
      <c r="B1407" s="37" t="s">
        <v>25514</v>
      </c>
      <c r="C1407" s="7" t="s">
        <v>25515</v>
      </c>
      <c r="D1407" s="37" t="s">
        <v>25516</v>
      </c>
    </row>
    <row r="1408">
      <c r="A1408" s="37" t="s">
        <v>4</v>
      </c>
      <c r="B1408" s="37" t="s">
        <v>3</v>
      </c>
      <c r="C1408" s="7" t="s">
        <v>25517</v>
      </c>
      <c r="D1408" s="37" t="s">
        <v>25518</v>
      </c>
    </row>
    <row r="1409">
      <c r="A1409" s="37" t="s">
        <v>1263</v>
      </c>
      <c r="B1409" s="37" t="s">
        <v>648</v>
      </c>
      <c r="C1409" s="7" t="s">
        <v>25519</v>
      </c>
      <c r="D1409" s="37" t="s">
        <v>25520</v>
      </c>
    </row>
    <row r="1410">
      <c r="A1410" s="37" t="s">
        <v>1263</v>
      </c>
      <c r="B1410" s="37" t="s">
        <v>648</v>
      </c>
      <c r="C1410" s="7" t="s">
        <v>25521</v>
      </c>
      <c r="D1410" s="37" t="s">
        <v>25522</v>
      </c>
    </row>
    <row r="1411">
      <c r="A1411" s="37" t="s">
        <v>24992</v>
      </c>
      <c r="B1411" s="37" t="s">
        <v>24942</v>
      </c>
      <c r="C1411" s="7" t="s">
        <v>25523</v>
      </c>
      <c r="D1411" s="37" t="s">
        <v>25524</v>
      </c>
    </row>
    <row r="1412">
      <c r="A1412" s="37" t="s">
        <v>24992</v>
      </c>
      <c r="B1412" s="37" t="s">
        <v>24942</v>
      </c>
      <c r="C1412" s="7" t="s">
        <v>25525</v>
      </c>
      <c r="D1412" s="37" t="s">
        <v>25526</v>
      </c>
    </row>
    <row r="1413">
      <c r="A1413" s="37" t="s">
        <v>24992</v>
      </c>
      <c r="B1413" s="37" t="s">
        <v>24942</v>
      </c>
      <c r="C1413" s="7" t="s">
        <v>25527</v>
      </c>
      <c r="D1413" s="37" t="s">
        <v>25528</v>
      </c>
    </row>
    <row r="1414">
      <c r="A1414" s="37" t="s">
        <v>24992</v>
      </c>
      <c r="B1414" s="37" t="s">
        <v>24942</v>
      </c>
      <c r="C1414" s="7" t="s">
        <v>25529</v>
      </c>
      <c r="D1414" s="37" t="s">
        <v>25530</v>
      </c>
    </row>
    <row r="1415">
      <c r="A1415" s="37" t="s">
        <v>24992</v>
      </c>
      <c r="B1415" s="37" t="s">
        <v>24942</v>
      </c>
      <c r="C1415" s="7" t="s">
        <v>25531</v>
      </c>
      <c r="D1415" s="37" t="s">
        <v>25532</v>
      </c>
    </row>
    <row r="1416">
      <c r="A1416" s="37" t="s">
        <v>24992</v>
      </c>
      <c r="B1416" s="37" t="s">
        <v>24942</v>
      </c>
      <c r="C1416" s="7" t="s">
        <v>25533</v>
      </c>
      <c r="D1416" s="37" t="s">
        <v>25534</v>
      </c>
    </row>
    <row r="1417">
      <c r="A1417" s="37" t="s">
        <v>23444</v>
      </c>
      <c r="B1417" s="37" t="s">
        <v>24942</v>
      </c>
      <c r="C1417" s="7" t="s">
        <v>25535</v>
      </c>
      <c r="D1417" s="37" t="s">
        <v>25536</v>
      </c>
    </row>
    <row r="1418">
      <c r="A1418" s="37" t="s">
        <v>25537</v>
      </c>
      <c r="B1418" s="37" t="s">
        <v>24942</v>
      </c>
      <c r="C1418" s="7" t="s">
        <v>25538</v>
      </c>
      <c r="D1418" s="37" t="s">
        <v>25539</v>
      </c>
    </row>
    <row r="1419">
      <c r="A1419" s="37" t="s">
        <v>25540</v>
      </c>
      <c r="B1419" s="37" t="s">
        <v>23590</v>
      </c>
      <c r="C1419" s="7" t="s">
        <v>25541</v>
      </c>
      <c r="D1419" s="37" t="s">
        <v>25542</v>
      </c>
    </row>
    <row r="1420">
      <c r="A1420" s="37" t="s">
        <v>1188</v>
      </c>
      <c r="B1420" s="37" t="s">
        <v>25543</v>
      </c>
      <c r="C1420" s="7" t="s">
        <v>25544</v>
      </c>
      <c r="D1420" s="37" t="s">
        <v>25545</v>
      </c>
    </row>
    <row r="1421">
      <c r="A1421" s="37" t="s">
        <v>1188</v>
      </c>
      <c r="B1421" s="37" t="s">
        <v>25543</v>
      </c>
      <c r="C1421" s="7" t="s">
        <v>25546</v>
      </c>
      <c r="D1421" s="37" t="s">
        <v>25547</v>
      </c>
    </row>
    <row r="1422">
      <c r="A1422" s="37" t="s">
        <v>1188</v>
      </c>
      <c r="B1422" s="37" t="s">
        <v>25543</v>
      </c>
      <c r="C1422" s="7" t="s">
        <v>25548</v>
      </c>
      <c r="D1422" s="37" t="s">
        <v>25549</v>
      </c>
    </row>
    <row r="1423">
      <c r="A1423" s="37" t="s">
        <v>1262</v>
      </c>
      <c r="B1423" s="37" t="s">
        <v>648</v>
      </c>
      <c r="C1423" s="7" t="s">
        <v>25550</v>
      </c>
      <c r="D1423" s="37" t="s">
        <v>25551</v>
      </c>
    </row>
    <row r="1424">
      <c r="A1424" s="37" t="s">
        <v>399</v>
      </c>
      <c r="B1424" s="37" t="s">
        <v>391</v>
      </c>
      <c r="C1424" s="7" t="s">
        <v>25552</v>
      </c>
      <c r="D1424" s="37" t="s">
        <v>25553</v>
      </c>
    </row>
    <row r="1425">
      <c r="A1425" s="37" t="s">
        <v>23444</v>
      </c>
      <c r="B1425" s="37" t="s">
        <v>24942</v>
      </c>
      <c r="C1425" s="7" t="s">
        <v>25554</v>
      </c>
      <c r="D1425" s="37" t="s">
        <v>25555</v>
      </c>
    </row>
    <row r="1426">
      <c r="A1426" s="37" t="s">
        <v>1146</v>
      </c>
      <c r="B1426" s="37" t="s">
        <v>478</v>
      </c>
      <c r="C1426" s="7" t="s">
        <v>25556</v>
      </c>
      <c r="D1426" s="37" t="s">
        <v>25557</v>
      </c>
    </row>
    <row r="1427">
      <c r="A1427" s="37" t="s">
        <v>24947</v>
      </c>
      <c r="B1427" s="37" t="s">
        <v>24942</v>
      </c>
      <c r="C1427" s="7" t="s">
        <v>25558</v>
      </c>
      <c r="D1427" s="37" t="s">
        <v>25559</v>
      </c>
    </row>
    <row r="1428">
      <c r="A1428" s="37" t="s">
        <v>24947</v>
      </c>
      <c r="B1428" s="37" t="s">
        <v>24942</v>
      </c>
      <c r="C1428" s="7" t="s">
        <v>25560</v>
      </c>
      <c r="D1428" s="37" t="s">
        <v>25561</v>
      </c>
    </row>
    <row r="1429">
      <c r="A1429" s="37" t="s">
        <v>24947</v>
      </c>
      <c r="B1429" s="37" t="s">
        <v>24942</v>
      </c>
      <c r="C1429" s="7" t="s">
        <v>25562</v>
      </c>
      <c r="D1429" s="37" t="s">
        <v>25563</v>
      </c>
    </row>
    <row r="1430">
      <c r="A1430" s="37" t="s">
        <v>24947</v>
      </c>
      <c r="B1430" s="37" t="s">
        <v>24942</v>
      </c>
      <c r="C1430" s="7" t="s">
        <v>25564</v>
      </c>
      <c r="D1430" s="37" t="s">
        <v>25565</v>
      </c>
    </row>
    <row r="1431">
      <c r="A1431" s="37" t="s">
        <v>24947</v>
      </c>
      <c r="B1431" s="37" t="s">
        <v>24942</v>
      </c>
      <c r="C1431" s="7" t="s">
        <v>25566</v>
      </c>
      <c r="D1431" s="37" t="s">
        <v>25567</v>
      </c>
    </row>
    <row r="1432">
      <c r="A1432" s="37" t="s">
        <v>24947</v>
      </c>
      <c r="B1432" s="37" t="s">
        <v>24942</v>
      </c>
      <c r="C1432" s="7" t="s">
        <v>25568</v>
      </c>
      <c r="D1432" s="37" t="s">
        <v>25569</v>
      </c>
    </row>
    <row r="1433">
      <c r="A1433" s="37" t="s">
        <v>24947</v>
      </c>
      <c r="B1433" s="37" t="s">
        <v>24942</v>
      </c>
      <c r="C1433" s="7" t="s">
        <v>25570</v>
      </c>
      <c r="D1433" s="37" t="s">
        <v>25571</v>
      </c>
    </row>
    <row r="1434">
      <c r="A1434" s="37" t="s">
        <v>24947</v>
      </c>
      <c r="B1434" s="37" t="s">
        <v>24942</v>
      </c>
      <c r="C1434" s="7" t="s">
        <v>25572</v>
      </c>
      <c r="D1434" s="37" t="s">
        <v>25573</v>
      </c>
    </row>
    <row r="1435">
      <c r="A1435" s="37" t="s">
        <v>74</v>
      </c>
      <c r="B1435" s="37" t="s">
        <v>1208</v>
      </c>
      <c r="C1435" s="7" t="s">
        <v>25574</v>
      </c>
      <c r="D1435" s="37" t="s">
        <v>25575</v>
      </c>
    </row>
    <row r="1436">
      <c r="A1436" s="37" t="s">
        <v>1147</v>
      </c>
      <c r="B1436" s="37" t="s">
        <v>478</v>
      </c>
      <c r="C1436" s="7" t="s">
        <v>15230</v>
      </c>
      <c r="D1436" s="37" t="s">
        <v>25576</v>
      </c>
    </row>
    <row r="1437">
      <c r="A1437" s="37" t="s">
        <v>197</v>
      </c>
      <c r="B1437" s="37" t="s">
        <v>192</v>
      </c>
      <c r="C1437" s="7" t="s">
        <v>25577</v>
      </c>
      <c r="D1437" s="37" t="s">
        <v>25578</v>
      </c>
    </row>
    <row r="1438">
      <c r="A1438" s="37" t="s">
        <v>24942</v>
      </c>
      <c r="B1438" s="37" t="s">
        <v>1495</v>
      </c>
      <c r="C1438" s="7" t="s">
        <v>25579</v>
      </c>
      <c r="D1438" s="37" t="s">
        <v>25580</v>
      </c>
    </row>
    <row r="1439">
      <c r="A1439" s="37" t="s">
        <v>24942</v>
      </c>
      <c r="B1439" s="37" t="s">
        <v>1495</v>
      </c>
      <c r="C1439" s="7" t="s">
        <v>25581</v>
      </c>
      <c r="D1439" s="37" t="s">
        <v>25582</v>
      </c>
    </row>
    <row r="1440">
      <c r="A1440" s="37" t="s">
        <v>23444</v>
      </c>
      <c r="B1440" s="37" t="s">
        <v>24942</v>
      </c>
      <c r="C1440" s="7" t="s">
        <v>25583</v>
      </c>
      <c r="D1440" s="37" t="s">
        <v>25584</v>
      </c>
    </row>
    <row r="1441">
      <c r="A1441" s="37" t="s">
        <v>24992</v>
      </c>
      <c r="B1441" s="37" t="s">
        <v>24942</v>
      </c>
      <c r="C1441" s="7" t="s">
        <v>25585</v>
      </c>
      <c r="D1441" s="37" t="s">
        <v>25586</v>
      </c>
    </row>
    <row r="1442">
      <c r="A1442" s="37" t="s">
        <v>24992</v>
      </c>
      <c r="B1442" s="37" t="s">
        <v>24942</v>
      </c>
      <c r="C1442" s="7" t="s">
        <v>25587</v>
      </c>
      <c r="D1442" s="37" t="s">
        <v>25588</v>
      </c>
    </row>
    <row r="1443">
      <c r="A1443" s="37" t="s">
        <v>24992</v>
      </c>
      <c r="B1443" s="37" t="s">
        <v>24942</v>
      </c>
      <c r="C1443" s="7" t="s">
        <v>25589</v>
      </c>
      <c r="D1443" s="37" t="s">
        <v>25590</v>
      </c>
    </row>
    <row r="1444">
      <c r="A1444" s="37" t="s">
        <v>24992</v>
      </c>
      <c r="B1444" s="37" t="s">
        <v>24942</v>
      </c>
      <c r="C1444" s="7" t="s">
        <v>25591</v>
      </c>
      <c r="D1444" s="37" t="s">
        <v>25592</v>
      </c>
    </row>
    <row r="1445">
      <c r="A1445" s="37" t="s">
        <v>24992</v>
      </c>
      <c r="B1445" s="37" t="s">
        <v>24942</v>
      </c>
      <c r="C1445" s="7" t="s">
        <v>25593</v>
      </c>
      <c r="D1445" s="37" t="s">
        <v>25594</v>
      </c>
    </row>
    <row r="1446">
      <c r="A1446" s="37" t="s">
        <v>24992</v>
      </c>
      <c r="B1446" s="37" t="s">
        <v>24942</v>
      </c>
      <c r="C1446" s="7" t="s">
        <v>25595</v>
      </c>
      <c r="D1446" s="37" t="s">
        <v>25596</v>
      </c>
    </row>
    <row r="1447">
      <c r="A1447" s="37" t="s">
        <v>24947</v>
      </c>
      <c r="B1447" s="37" t="s">
        <v>24942</v>
      </c>
      <c r="C1447" s="7" t="s">
        <v>25597</v>
      </c>
      <c r="D1447" s="37" t="s">
        <v>25598</v>
      </c>
    </row>
    <row r="1448">
      <c r="A1448" s="37" t="s">
        <v>436</v>
      </c>
      <c r="B1448" s="37" t="s">
        <v>429</v>
      </c>
      <c r="C1448" s="7" t="s">
        <v>7774</v>
      </c>
      <c r="D1448" s="37" t="s">
        <v>25599</v>
      </c>
    </row>
    <row r="1449">
      <c r="A1449" s="37" t="s">
        <v>23444</v>
      </c>
      <c r="B1449" s="37" t="s">
        <v>24942</v>
      </c>
      <c r="C1449" s="7" t="s">
        <v>25600</v>
      </c>
      <c r="D1449" s="37" t="s">
        <v>25601</v>
      </c>
    </row>
    <row r="1450">
      <c r="A1450" s="37" t="s">
        <v>23444</v>
      </c>
      <c r="B1450" s="37" t="s">
        <v>24942</v>
      </c>
      <c r="C1450" s="7" t="s">
        <v>25602</v>
      </c>
      <c r="D1450" s="37" t="s">
        <v>25603</v>
      </c>
    </row>
    <row r="1451">
      <c r="A1451" s="37" t="s">
        <v>23444</v>
      </c>
      <c r="B1451" s="37" t="s">
        <v>24942</v>
      </c>
      <c r="C1451" s="7" t="s">
        <v>25604</v>
      </c>
      <c r="D1451" s="37" t="s">
        <v>25605</v>
      </c>
    </row>
    <row r="1452">
      <c r="A1452" s="37" t="s">
        <v>24947</v>
      </c>
      <c r="B1452" s="37" t="s">
        <v>24942</v>
      </c>
      <c r="C1452" s="7" t="s">
        <v>25606</v>
      </c>
      <c r="D1452" s="37" t="s">
        <v>25607</v>
      </c>
    </row>
    <row r="1453">
      <c r="A1453" s="37" t="s">
        <v>118</v>
      </c>
      <c r="B1453" s="37" t="s">
        <v>24752</v>
      </c>
      <c r="C1453" s="7" t="s">
        <v>25608</v>
      </c>
      <c r="D1453" s="37" t="s">
        <v>25609</v>
      </c>
    </row>
    <row r="1454">
      <c r="A1454" s="37" t="s">
        <v>484</v>
      </c>
      <c r="B1454" s="37" t="s">
        <v>478</v>
      </c>
      <c r="C1454" s="7" t="s">
        <v>25610</v>
      </c>
      <c r="D1454" s="37" t="s">
        <v>25611</v>
      </c>
    </row>
    <row r="1455">
      <c r="A1455" s="37" t="s">
        <v>24992</v>
      </c>
      <c r="B1455" s="37" t="s">
        <v>24942</v>
      </c>
      <c r="C1455" s="7" t="s">
        <v>25612</v>
      </c>
      <c r="D1455" s="37" t="s">
        <v>25613</v>
      </c>
    </row>
    <row r="1456">
      <c r="A1456" s="37" t="s">
        <v>1263</v>
      </c>
      <c r="B1456" s="37" t="s">
        <v>648</v>
      </c>
      <c r="C1456" s="7" t="s">
        <v>24945</v>
      </c>
      <c r="D1456" s="37" t="s">
        <v>25614</v>
      </c>
    </row>
    <row r="1457">
      <c r="A1457" s="37" t="s">
        <v>24947</v>
      </c>
      <c r="B1457" s="37" t="s">
        <v>24942</v>
      </c>
      <c r="C1457" s="7" t="s">
        <v>25615</v>
      </c>
      <c r="D1457" s="37" t="s">
        <v>25616</v>
      </c>
    </row>
    <row r="1458">
      <c r="A1458" s="37" t="s">
        <v>25156</v>
      </c>
      <c r="B1458" s="37" t="s">
        <v>24608</v>
      </c>
      <c r="C1458" s="7" t="s">
        <v>25617</v>
      </c>
      <c r="D1458" s="37" t="s">
        <v>25618</v>
      </c>
    </row>
    <row r="1459">
      <c r="A1459" s="37" t="s">
        <v>1263</v>
      </c>
      <c r="B1459" s="37" t="s">
        <v>648</v>
      </c>
      <c r="C1459" s="7" t="s">
        <v>25619</v>
      </c>
      <c r="D1459" s="37" t="s">
        <v>25620</v>
      </c>
    </row>
    <row r="1460">
      <c r="A1460" s="37" t="s">
        <v>696</v>
      </c>
      <c r="B1460" s="37" t="s">
        <v>693</v>
      </c>
      <c r="C1460" s="7" t="s">
        <v>12795</v>
      </c>
      <c r="D1460" s="37" t="s">
        <v>25621</v>
      </c>
    </row>
    <row r="1461">
      <c r="A1461" s="37" t="s">
        <v>24992</v>
      </c>
      <c r="B1461" s="37" t="s">
        <v>24942</v>
      </c>
      <c r="C1461" s="7" t="s">
        <v>25622</v>
      </c>
      <c r="D1461" s="37" t="s">
        <v>25623</v>
      </c>
    </row>
    <row r="1462">
      <c r="A1462" s="37" t="s">
        <v>24992</v>
      </c>
      <c r="B1462" s="37" t="s">
        <v>24942</v>
      </c>
      <c r="C1462" s="7" t="s">
        <v>25624</v>
      </c>
      <c r="D1462" s="37" t="s">
        <v>25625</v>
      </c>
    </row>
    <row r="1463">
      <c r="A1463" s="37" t="s">
        <v>24947</v>
      </c>
      <c r="B1463" s="37" t="s">
        <v>24942</v>
      </c>
      <c r="C1463" s="7" t="s">
        <v>25626</v>
      </c>
      <c r="D1463" s="37" t="s">
        <v>25627</v>
      </c>
    </row>
    <row r="1464">
      <c r="A1464" s="37" t="s">
        <v>802</v>
      </c>
      <c r="B1464" s="37" t="s">
        <v>298</v>
      </c>
      <c r="C1464" s="7" t="s">
        <v>25628</v>
      </c>
      <c r="D1464" s="37" t="s">
        <v>25629</v>
      </c>
    </row>
    <row r="1465">
      <c r="A1465" s="37" t="s">
        <v>24685</v>
      </c>
      <c r="B1465" s="37" t="s">
        <v>25630</v>
      </c>
      <c r="C1465" s="7" t="s">
        <v>25631</v>
      </c>
      <c r="D1465" s="37" t="s">
        <v>25632</v>
      </c>
    </row>
    <row r="1466">
      <c r="A1466" s="37" t="s">
        <v>1147</v>
      </c>
      <c r="B1466" s="37" t="s">
        <v>478</v>
      </c>
      <c r="C1466" s="7" t="s">
        <v>14947</v>
      </c>
      <c r="D1466" s="37" t="s">
        <v>25633</v>
      </c>
    </row>
    <row r="1467">
      <c r="A1467" s="37" t="s">
        <v>1147</v>
      </c>
      <c r="B1467" s="37" t="s">
        <v>478</v>
      </c>
      <c r="C1467" s="7" t="s">
        <v>25634</v>
      </c>
      <c r="D1467" s="37" t="s">
        <v>25635</v>
      </c>
    </row>
    <row r="1468">
      <c r="A1468" s="37" t="s">
        <v>1147</v>
      </c>
      <c r="B1468" s="37" t="s">
        <v>478</v>
      </c>
      <c r="C1468" s="7" t="s">
        <v>16323</v>
      </c>
      <c r="D1468" s="37" t="s">
        <v>25636</v>
      </c>
    </row>
    <row r="1469">
      <c r="A1469" s="37" t="s">
        <v>1147</v>
      </c>
      <c r="B1469" s="37" t="s">
        <v>478</v>
      </c>
      <c r="C1469" s="7" t="s">
        <v>25637</v>
      </c>
      <c r="D1469" s="37" t="s">
        <v>25638</v>
      </c>
    </row>
    <row r="1470">
      <c r="A1470" s="37" t="s">
        <v>1147</v>
      </c>
      <c r="B1470" s="37" t="s">
        <v>478</v>
      </c>
      <c r="C1470" s="7" t="s">
        <v>25639</v>
      </c>
      <c r="D1470" s="37" t="s">
        <v>25640</v>
      </c>
    </row>
    <row r="1471">
      <c r="A1471" s="37" t="s">
        <v>25641</v>
      </c>
      <c r="B1471" s="37" t="s">
        <v>25642</v>
      </c>
      <c r="C1471" s="7" t="s">
        <v>25643</v>
      </c>
      <c r="D1471" s="37" t="s">
        <v>25644</v>
      </c>
    </row>
    <row r="1472">
      <c r="A1472" s="37" t="s">
        <v>25641</v>
      </c>
      <c r="B1472" s="37" t="s">
        <v>25642</v>
      </c>
      <c r="C1472" s="7" t="s">
        <v>25645</v>
      </c>
      <c r="D1472" s="37" t="s">
        <v>25646</v>
      </c>
    </row>
    <row r="1473">
      <c r="A1473" s="37" t="s">
        <v>24992</v>
      </c>
      <c r="B1473" s="37" t="s">
        <v>24942</v>
      </c>
      <c r="C1473" s="7" t="s">
        <v>25647</v>
      </c>
      <c r="D1473" s="37" t="s">
        <v>25648</v>
      </c>
    </row>
    <row r="1474">
      <c r="A1474" s="37" t="s">
        <v>24992</v>
      </c>
      <c r="B1474" s="37" t="s">
        <v>24942</v>
      </c>
      <c r="C1474" s="7" t="s">
        <v>25649</v>
      </c>
      <c r="D1474" s="37" t="s">
        <v>25650</v>
      </c>
    </row>
    <row r="1475">
      <c r="A1475" s="37" t="s">
        <v>24992</v>
      </c>
      <c r="B1475" s="37" t="s">
        <v>24942</v>
      </c>
      <c r="C1475" s="7" t="s">
        <v>25651</v>
      </c>
      <c r="D1475" s="37" t="s">
        <v>25652</v>
      </c>
    </row>
    <row r="1476">
      <c r="A1476" s="37" t="s">
        <v>24992</v>
      </c>
      <c r="B1476" s="37" t="s">
        <v>24942</v>
      </c>
      <c r="C1476" s="7" t="s">
        <v>25653</v>
      </c>
      <c r="D1476" s="37" t="s">
        <v>25654</v>
      </c>
    </row>
    <row r="1477">
      <c r="A1477" s="37" t="s">
        <v>24992</v>
      </c>
      <c r="B1477" s="37" t="s">
        <v>24942</v>
      </c>
      <c r="C1477" s="7" t="s">
        <v>25655</v>
      </c>
      <c r="D1477" s="37" t="s">
        <v>25656</v>
      </c>
    </row>
    <row r="1478">
      <c r="A1478" s="37" t="s">
        <v>24992</v>
      </c>
      <c r="B1478" s="37" t="s">
        <v>24942</v>
      </c>
      <c r="C1478" s="7" t="s">
        <v>25657</v>
      </c>
      <c r="D1478" s="37" t="s">
        <v>25658</v>
      </c>
    </row>
    <row r="1479">
      <c r="A1479" s="37" t="s">
        <v>24941</v>
      </c>
      <c r="B1479" s="37" t="s">
        <v>24942</v>
      </c>
      <c r="C1479" s="7" t="s">
        <v>25659</v>
      </c>
      <c r="D1479" s="37" t="s">
        <v>25660</v>
      </c>
    </row>
    <row r="1480">
      <c r="A1480" s="37" t="s">
        <v>24947</v>
      </c>
      <c r="B1480" s="37" t="s">
        <v>24942</v>
      </c>
      <c r="C1480" s="7" t="s">
        <v>25661</v>
      </c>
      <c r="D1480" s="37" t="s">
        <v>25662</v>
      </c>
    </row>
    <row r="1481">
      <c r="A1481" s="37" t="s">
        <v>24947</v>
      </c>
      <c r="B1481" s="37" t="s">
        <v>24942</v>
      </c>
      <c r="C1481" s="7" t="s">
        <v>25663</v>
      </c>
      <c r="D1481" s="37" t="s">
        <v>25664</v>
      </c>
    </row>
    <row r="1482">
      <c r="A1482" s="37" t="s">
        <v>24947</v>
      </c>
      <c r="B1482" s="37" t="s">
        <v>24942</v>
      </c>
      <c r="C1482" s="7" t="s">
        <v>25665</v>
      </c>
      <c r="D1482" s="37" t="s">
        <v>25666</v>
      </c>
    </row>
    <row r="1483">
      <c r="A1483" s="37" t="s">
        <v>24947</v>
      </c>
      <c r="B1483" s="37" t="s">
        <v>24942</v>
      </c>
      <c r="C1483" s="7" t="s">
        <v>25667</v>
      </c>
      <c r="D1483" s="37" t="s">
        <v>25668</v>
      </c>
    </row>
    <row r="1484">
      <c r="A1484" s="37" t="s">
        <v>1188</v>
      </c>
      <c r="B1484" s="37" t="s">
        <v>1208</v>
      </c>
      <c r="C1484" s="37" t="s">
        <v>25669</v>
      </c>
      <c r="D1484" s="37" t="s">
        <v>25670</v>
      </c>
    </row>
    <row r="1485">
      <c r="A1485" s="37" t="s">
        <v>1188</v>
      </c>
      <c r="B1485" s="37" t="s">
        <v>1208</v>
      </c>
      <c r="C1485" s="37" t="s">
        <v>25671</v>
      </c>
      <c r="D1485" s="37" t="s">
        <v>25672</v>
      </c>
    </row>
    <row r="1486">
      <c r="A1486" s="37" t="s">
        <v>824</v>
      </c>
      <c r="B1486" s="37" t="s">
        <v>1242</v>
      </c>
      <c r="C1486" s="7" t="s">
        <v>25673</v>
      </c>
      <c r="D1486" s="37" t="s">
        <v>25674</v>
      </c>
    </row>
    <row r="1487">
      <c r="A1487" s="37" t="s">
        <v>443</v>
      </c>
      <c r="B1487" s="37" t="s">
        <v>440</v>
      </c>
      <c r="C1487" s="7" t="s">
        <v>25675</v>
      </c>
      <c r="D1487" s="37" t="s">
        <v>25676</v>
      </c>
    </row>
    <row r="1488">
      <c r="A1488" s="37" t="s">
        <v>24992</v>
      </c>
      <c r="B1488" s="37" t="s">
        <v>24942</v>
      </c>
      <c r="C1488" s="7" t="s">
        <v>25677</v>
      </c>
      <c r="D1488" s="37" t="s">
        <v>25678</v>
      </c>
    </row>
    <row r="1489">
      <c r="A1489" s="37" t="s">
        <v>48</v>
      </c>
      <c r="B1489" s="37" t="s">
        <v>1242</v>
      </c>
      <c r="C1489" s="7" t="s">
        <v>25679</v>
      </c>
      <c r="D1489" s="37" t="s">
        <v>25680</v>
      </c>
    </row>
    <row r="1490">
      <c r="A1490" s="37" t="s">
        <v>1188</v>
      </c>
      <c r="B1490" s="37" t="s">
        <v>1208</v>
      </c>
      <c r="C1490" s="37" t="s">
        <v>25681</v>
      </c>
      <c r="D1490" s="37" t="s">
        <v>25682</v>
      </c>
    </row>
    <row r="1491">
      <c r="A1491" s="37" t="s">
        <v>1188</v>
      </c>
      <c r="B1491" s="37" t="s">
        <v>1208</v>
      </c>
      <c r="C1491" s="37" t="s">
        <v>25683</v>
      </c>
      <c r="D1491" s="37" t="s">
        <v>25684</v>
      </c>
    </row>
    <row r="1492">
      <c r="A1492" s="37" t="s">
        <v>24941</v>
      </c>
      <c r="B1492" s="37" t="s">
        <v>24942</v>
      </c>
      <c r="C1492" s="7" t="s">
        <v>25685</v>
      </c>
      <c r="D1492" s="37" t="s">
        <v>25686</v>
      </c>
    </row>
    <row r="1493">
      <c r="A1493" s="37" t="s">
        <v>118</v>
      </c>
      <c r="B1493" s="37" t="s">
        <v>24608</v>
      </c>
      <c r="C1493" s="7" t="s">
        <v>25687</v>
      </c>
      <c r="D1493" s="37" t="s">
        <v>25688</v>
      </c>
    </row>
    <row r="1494">
      <c r="A1494" s="37" t="s">
        <v>1128</v>
      </c>
      <c r="B1494" s="37" t="s">
        <v>22</v>
      </c>
      <c r="C1494" s="7" t="s">
        <v>25689</v>
      </c>
      <c r="D1494" s="37" t="s">
        <v>25690</v>
      </c>
    </row>
    <row r="1495">
      <c r="A1495" s="37" t="s">
        <v>23</v>
      </c>
      <c r="B1495" s="37" t="s">
        <v>22</v>
      </c>
      <c r="C1495" s="7" t="s">
        <v>25691</v>
      </c>
      <c r="D1495" s="37" t="s">
        <v>25692</v>
      </c>
    </row>
    <row r="1496">
      <c r="A1496" s="37" t="s">
        <v>1283</v>
      </c>
      <c r="B1496" s="37" t="s">
        <v>298</v>
      </c>
      <c r="C1496" s="7" t="s">
        <v>25693</v>
      </c>
      <c r="D1496" s="37" t="s">
        <v>25694</v>
      </c>
    </row>
    <row r="1497">
      <c r="A1497" s="37" t="s">
        <v>1128</v>
      </c>
      <c r="B1497" s="37" t="s">
        <v>22</v>
      </c>
      <c r="C1497" s="7" t="s">
        <v>25695</v>
      </c>
      <c r="D1497" s="37" t="s">
        <v>25696</v>
      </c>
    </row>
    <row r="1498">
      <c r="A1498" s="37" t="s">
        <v>1147</v>
      </c>
      <c r="B1498" s="37" t="s">
        <v>478</v>
      </c>
      <c r="C1498" s="7" t="s">
        <v>16063</v>
      </c>
      <c r="D1498" s="37" t="s">
        <v>25697</v>
      </c>
    </row>
    <row r="1499">
      <c r="A1499" s="37" t="s">
        <v>1147</v>
      </c>
      <c r="B1499" s="37" t="s">
        <v>478</v>
      </c>
      <c r="C1499" s="7" t="s">
        <v>25698</v>
      </c>
      <c r="D1499" s="37" t="s">
        <v>25699</v>
      </c>
    </row>
    <row r="1500">
      <c r="A1500" s="37" t="s">
        <v>1495</v>
      </c>
      <c r="B1500" s="37" t="s">
        <v>3</v>
      </c>
      <c r="C1500" s="7" t="s">
        <v>25700</v>
      </c>
      <c r="D1500" s="37" t="s">
        <v>25701</v>
      </c>
    </row>
    <row r="1501">
      <c r="A1501" s="37" t="s">
        <v>51</v>
      </c>
      <c r="B1501" s="37" t="s">
        <v>25702</v>
      </c>
      <c r="C1501" s="7" t="s">
        <v>25703</v>
      </c>
      <c r="D1501" s="37" t="s">
        <v>25704</v>
      </c>
    </row>
    <row r="1502">
      <c r="A1502" s="37" t="s">
        <v>1146</v>
      </c>
      <c r="B1502" s="37" t="s">
        <v>478</v>
      </c>
      <c r="C1502" s="7" t="s">
        <v>25705</v>
      </c>
      <c r="D1502" s="37" t="s">
        <v>25706</v>
      </c>
    </row>
    <row r="1503">
      <c r="A1503" s="37" t="s">
        <v>824</v>
      </c>
      <c r="B1503" s="37" t="s">
        <v>1242</v>
      </c>
      <c r="C1503" s="7" t="s">
        <v>6665</v>
      </c>
      <c r="D1503" s="37" t="s">
        <v>25707</v>
      </c>
    </row>
    <row r="1504">
      <c r="A1504" s="37" t="s">
        <v>74</v>
      </c>
      <c r="B1504" s="37" t="s">
        <v>1208</v>
      </c>
      <c r="C1504" s="7" t="s">
        <v>25708</v>
      </c>
      <c r="D1504" s="37" t="s">
        <v>25709</v>
      </c>
    </row>
    <row r="1505">
      <c r="A1505" s="37" t="s">
        <v>399</v>
      </c>
      <c r="B1505" s="37" t="s">
        <v>391</v>
      </c>
      <c r="C1505" s="7" t="s">
        <v>25710</v>
      </c>
      <c r="D1505" s="37" t="s">
        <v>25711</v>
      </c>
    </row>
    <row r="1506">
      <c r="A1506" s="37" t="s">
        <v>399</v>
      </c>
      <c r="B1506" s="37" t="s">
        <v>391</v>
      </c>
      <c r="C1506" s="7" t="s">
        <v>25712</v>
      </c>
      <c r="D1506" s="37" t="s">
        <v>25713</v>
      </c>
    </row>
    <row r="1507">
      <c r="A1507" s="37" t="s">
        <v>399</v>
      </c>
      <c r="B1507" s="37" t="s">
        <v>391</v>
      </c>
      <c r="C1507" s="7" t="s">
        <v>25714</v>
      </c>
      <c r="D1507" s="37" t="s">
        <v>25715</v>
      </c>
    </row>
    <row r="1508">
      <c r="A1508" s="37" t="s">
        <v>74</v>
      </c>
      <c r="B1508" s="37" t="s">
        <v>1208</v>
      </c>
      <c r="C1508" s="7" t="s">
        <v>25716</v>
      </c>
      <c r="D1508" s="37" t="s">
        <v>25717</v>
      </c>
    </row>
    <row r="1509">
      <c r="A1509" s="37" t="s">
        <v>1148</v>
      </c>
      <c r="B1509" s="37" t="s">
        <v>1208</v>
      </c>
      <c r="C1509" s="7" t="s">
        <v>25718</v>
      </c>
      <c r="D1509" s="37" t="s">
        <v>25719</v>
      </c>
    </row>
    <row r="1510">
      <c r="A1510" s="37" t="s">
        <v>24947</v>
      </c>
      <c r="B1510" s="37" t="s">
        <v>24942</v>
      </c>
      <c r="C1510" s="7" t="s">
        <v>25720</v>
      </c>
      <c r="D1510" s="37" t="s">
        <v>25721</v>
      </c>
    </row>
    <row r="1511">
      <c r="A1511" s="37" t="s">
        <v>24947</v>
      </c>
      <c r="B1511" s="37" t="s">
        <v>24942</v>
      </c>
      <c r="C1511" s="7" t="s">
        <v>25722</v>
      </c>
      <c r="D1511" s="37" t="s">
        <v>25723</v>
      </c>
    </row>
    <row r="1512">
      <c r="A1512" s="37" t="s">
        <v>24947</v>
      </c>
      <c r="B1512" s="37" t="s">
        <v>24942</v>
      </c>
      <c r="C1512" s="7" t="s">
        <v>25724</v>
      </c>
      <c r="D1512" s="37" t="s">
        <v>25725</v>
      </c>
    </row>
    <row r="1513">
      <c r="A1513" s="37" t="s">
        <v>24947</v>
      </c>
      <c r="B1513" s="37" t="s">
        <v>24942</v>
      </c>
      <c r="C1513" s="7" t="s">
        <v>25726</v>
      </c>
      <c r="D1513" s="37" t="s">
        <v>25727</v>
      </c>
    </row>
    <row r="1514">
      <c r="A1514" s="37" t="s">
        <v>24947</v>
      </c>
      <c r="B1514" s="37" t="s">
        <v>24942</v>
      </c>
      <c r="C1514" s="7" t="s">
        <v>25728</v>
      </c>
      <c r="D1514" s="37" t="s">
        <v>25729</v>
      </c>
    </row>
    <row r="1515">
      <c r="A1515" s="37" t="s">
        <v>24947</v>
      </c>
      <c r="B1515" s="37" t="s">
        <v>24942</v>
      </c>
      <c r="C1515" s="7" t="s">
        <v>25730</v>
      </c>
      <c r="D1515" s="37" t="s">
        <v>25731</v>
      </c>
    </row>
    <row r="1516">
      <c r="A1516" s="37" t="s">
        <v>24947</v>
      </c>
      <c r="B1516" s="37" t="s">
        <v>24942</v>
      </c>
      <c r="C1516" s="7" t="s">
        <v>25732</v>
      </c>
      <c r="D1516" s="37" t="s">
        <v>25733</v>
      </c>
    </row>
    <row r="1517">
      <c r="A1517" s="37" t="s">
        <v>24947</v>
      </c>
      <c r="B1517" s="37" t="s">
        <v>24942</v>
      </c>
      <c r="C1517" s="7" t="s">
        <v>25734</v>
      </c>
      <c r="D1517" s="37" t="s">
        <v>25735</v>
      </c>
    </row>
    <row r="1518">
      <c r="A1518" s="37" t="s">
        <v>24947</v>
      </c>
      <c r="B1518" s="37" t="s">
        <v>24942</v>
      </c>
      <c r="C1518" s="7" t="s">
        <v>25736</v>
      </c>
      <c r="D1518" s="37" t="s">
        <v>25737</v>
      </c>
    </row>
    <row r="1519">
      <c r="A1519" s="37" t="s">
        <v>24947</v>
      </c>
      <c r="B1519" s="37" t="s">
        <v>24942</v>
      </c>
      <c r="C1519" s="7" t="s">
        <v>25738</v>
      </c>
      <c r="D1519" s="37" t="s">
        <v>25739</v>
      </c>
    </row>
    <row r="1520">
      <c r="A1520" s="37" t="s">
        <v>24947</v>
      </c>
      <c r="B1520" s="37" t="s">
        <v>24942</v>
      </c>
      <c r="C1520" s="7" t="s">
        <v>25740</v>
      </c>
      <c r="D1520" s="37" t="s">
        <v>25741</v>
      </c>
    </row>
    <row r="1521">
      <c r="A1521" s="37" t="s">
        <v>24947</v>
      </c>
      <c r="B1521" s="37" t="s">
        <v>24942</v>
      </c>
      <c r="C1521" s="7" t="s">
        <v>25742</v>
      </c>
      <c r="D1521" s="37" t="s">
        <v>25743</v>
      </c>
    </row>
    <row r="1522">
      <c r="A1522" s="37" t="s">
        <v>24992</v>
      </c>
      <c r="B1522" s="37" t="s">
        <v>24942</v>
      </c>
      <c r="C1522" s="7" t="s">
        <v>25744</v>
      </c>
      <c r="D1522" s="37" t="s">
        <v>25745</v>
      </c>
    </row>
    <row r="1523">
      <c r="A1523" s="37" t="s">
        <v>25641</v>
      </c>
      <c r="B1523" s="37" t="s">
        <v>1495</v>
      </c>
      <c r="C1523" s="7" t="s">
        <v>25746</v>
      </c>
      <c r="D1523" s="37" t="s">
        <v>25747</v>
      </c>
    </row>
    <row r="1524">
      <c r="A1524" s="37" t="s">
        <v>25641</v>
      </c>
      <c r="B1524" s="37" t="s">
        <v>1495</v>
      </c>
      <c r="C1524" s="7" t="s">
        <v>25748</v>
      </c>
      <c r="D1524" s="37" t="s">
        <v>25749</v>
      </c>
    </row>
    <row r="1525">
      <c r="A1525" s="37" t="s">
        <v>399</v>
      </c>
      <c r="B1525" s="37" t="s">
        <v>391</v>
      </c>
      <c r="C1525" s="7" t="s">
        <v>25750</v>
      </c>
      <c r="D1525" s="37" t="s">
        <v>25751</v>
      </c>
    </row>
    <row r="1526">
      <c r="A1526" s="37" t="s">
        <v>25641</v>
      </c>
      <c r="B1526" s="37" t="s">
        <v>1495</v>
      </c>
      <c r="C1526" s="7" t="s">
        <v>25752</v>
      </c>
      <c r="D1526" s="37" t="s">
        <v>25753</v>
      </c>
    </row>
    <row r="1527">
      <c r="A1527" s="37" t="s">
        <v>25641</v>
      </c>
      <c r="B1527" s="37" t="s">
        <v>1495</v>
      </c>
      <c r="C1527" s="37" t="s">
        <v>25754</v>
      </c>
      <c r="D1527" s="37" t="s">
        <v>25755</v>
      </c>
    </row>
    <row r="1528">
      <c r="A1528" s="37" t="s">
        <v>25641</v>
      </c>
      <c r="B1528" s="37" t="s">
        <v>1495</v>
      </c>
      <c r="C1528" s="7" t="s">
        <v>25756</v>
      </c>
      <c r="D1528" s="37" t="s">
        <v>25757</v>
      </c>
    </row>
    <row r="1529">
      <c r="A1529" s="37" t="s">
        <v>1495</v>
      </c>
      <c r="B1529" s="37" t="s">
        <v>25641</v>
      </c>
      <c r="C1529" s="7" t="s">
        <v>25758</v>
      </c>
      <c r="D1529" s="37" t="s">
        <v>25759</v>
      </c>
    </row>
    <row r="1530">
      <c r="A1530" s="37" t="s">
        <v>25641</v>
      </c>
      <c r="B1530" s="37" t="s">
        <v>1495</v>
      </c>
      <c r="C1530" s="7" t="s">
        <v>25760</v>
      </c>
      <c r="D1530" s="37" t="s">
        <v>25761</v>
      </c>
    </row>
    <row r="1531">
      <c r="A1531" s="37" t="s">
        <v>25641</v>
      </c>
      <c r="B1531" s="37" t="s">
        <v>1495</v>
      </c>
      <c r="C1531" s="7" t="s">
        <v>25762</v>
      </c>
      <c r="D1531" s="37" t="s">
        <v>25763</v>
      </c>
    </row>
    <row r="1532">
      <c r="A1532" s="37" t="s">
        <v>25641</v>
      </c>
      <c r="B1532" s="37" t="s">
        <v>1495</v>
      </c>
      <c r="C1532" s="7" t="s">
        <v>25764</v>
      </c>
      <c r="D1532" s="37" t="s">
        <v>25765</v>
      </c>
    </row>
    <row r="1533">
      <c r="A1533" s="37" t="s">
        <v>25641</v>
      </c>
      <c r="B1533" s="37" t="s">
        <v>1495</v>
      </c>
      <c r="C1533" s="7" t="s">
        <v>25766</v>
      </c>
      <c r="D1533" s="37" t="s">
        <v>25767</v>
      </c>
    </row>
    <row r="1534">
      <c r="A1534" s="37" t="s">
        <v>864</v>
      </c>
      <c r="B1534" s="37" t="s">
        <v>854</v>
      </c>
      <c r="C1534" s="7" t="s">
        <v>25768</v>
      </c>
      <c r="D1534" s="37" t="s">
        <v>25769</v>
      </c>
    </row>
    <row r="1535">
      <c r="A1535" s="37" t="s">
        <v>24992</v>
      </c>
      <c r="B1535" s="37" t="s">
        <v>24942</v>
      </c>
      <c r="C1535" s="7" t="s">
        <v>25770</v>
      </c>
      <c r="D1535" s="37" t="s">
        <v>25771</v>
      </c>
    </row>
    <row r="1536">
      <c r="A1536" s="37" t="s">
        <v>24992</v>
      </c>
      <c r="B1536" s="37" t="s">
        <v>24942</v>
      </c>
      <c r="C1536" s="7" t="s">
        <v>25772</v>
      </c>
      <c r="D1536" s="37" t="s">
        <v>25773</v>
      </c>
    </row>
    <row r="1537">
      <c r="A1537" s="37" t="s">
        <v>24992</v>
      </c>
      <c r="B1537" s="37" t="s">
        <v>24942</v>
      </c>
      <c r="C1537" s="7" t="s">
        <v>25774</v>
      </c>
      <c r="D1537" s="37" t="s">
        <v>25775</v>
      </c>
    </row>
    <row r="1538">
      <c r="A1538" s="37" t="s">
        <v>304</v>
      </c>
      <c r="B1538" s="37" t="s">
        <v>298</v>
      </c>
      <c r="C1538" s="7" t="s">
        <v>25776</v>
      </c>
      <c r="D1538" s="37" t="s">
        <v>25777</v>
      </c>
    </row>
    <row r="1539">
      <c r="A1539" s="37" t="s">
        <v>1315</v>
      </c>
      <c r="B1539" s="37" t="s">
        <v>1054</v>
      </c>
      <c r="C1539" s="7" t="s">
        <v>25778</v>
      </c>
      <c r="D1539" s="37" t="s">
        <v>25779</v>
      </c>
    </row>
    <row r="1540">
      <c r="A1540" s="37" t="s">
        <v>1147</v>
      </c>
      <c r="B1540" s="37" t="s">
        <v>478</v>
      </c>
      <c r="C1540" s="7" t="s">
        <v>25780</v>
      </c>
      <c r="D1540" s="37" t="s">
        <v>25781</v>
      </c>
    </row>
    <row r="1541">
      <c r="A1541" s="37" t="s">
        <v>824</v>
      </c>
      <c r="B1541" s="37" t="s">
        <v>1242</v>
      </c>
      <c r="C1541" s="7" t="s">
        <v>25782</v>
      </c>
      <c r="D1541" s="37" t="s">
        <v>25783</v>
      </c>
    </row>
    <row r="1542">
      <c r="A1542" s="37" t="s">
        <v>824</v>
      </c>
      <c r="B1542" s="37" t="s">
        <v>1242</v>
      </c>
      <c r="C1542" s="37" t="s">
        <v>25784</v>
      </c>
      <c r="D1542" s="37" t="s">
        <v>25785</v>
      </c>
    </row>
    <row r="1543">
      <c r="A1543" s="37" t="s">
        <v>824</v>
      </c>
      <c r="B1543" s="37" t="s">
        <v>1242</v>
      </c>
      <c r="C1543" s="7" t="s">
        <v>25786</v>
      </c>
      <c r="D1543" s="37" t="s">
        <v>25787</v>
      </c>
    </row>
    <row r="1544">
      <c r="A1544" s="37" t="s">
        <v>23590</v>
      </c>
      <c r="B1544" s="37" t="s">
        <v>25788</v>
      </c>
      <c r="C1544" s="7" t="s">
        <v>25789</v>
      </c>
      <c r="D1544" s="37" t="s">
        <v>25790</v>
      </c>
    </row>
    <row r="1545">
      <c r="A1545" s="37" t="s">
        <v>1303</v>
      </c>
      <c r="B1545" s="37" t="s">
        <v>1054</v>
      </c>
      <c r="C1545" s="7" t="s">
        <v>25791</v>
      </c>
      <c r="D1545" s="37" t="s">
        <v>25792</v>
      </c>
    </row>
    <row r="1546">
      <c r="A1546" s="37" t="s">
        <v>104</v>
      </c>
      <c r="B1546" s="37" t="s">
        <v>613</v>
      </c>
      <c r="C1546" s="7" t="s">
        <v>25793</v>
      </c>
      <c r="D1546" s="37" t="s">
        <v>25794</v>
      </c>
    </row>
    <row r="1547">
      <c r="A1547" s="37" t="s">
        <v>1283</v>
      </c>
      <c r="B1547" s="37" t="s">
        <v>298</v>
      </c>
      <c r="C1547" s="7" t="s">
        <v>25795</v>
      </c>
      <c r="D1547" s="37" t="s">
        <v>25796</v>
      </c>
    </row>
    <row r="1548">
      <c r="A1548" s="37" t="s">
        <v>304</v>
      </c>
      <c r="B1548" s="37" t="s">
        <v>298</v>
      </c>
      <c r="C1548" s="7" t="s">
        <v>25797</v>
      </c>
      <c r="D1548" s="37" t="s">
        <v>25798</v>
      </c>
    </row>
    <row r="1549">
      <c r="A1549" s="37" t="s">
        <v>1146</v>
      </c>
      <c r="B1549" s="37" t="s">
        <v>478</v>
      </c>
      <c r="C1549" s="7" t="s">
        <v>25799</v>
      </c>
      <c r="D1549" s="37" t="s">
        <v>25800</v>
      </c>
    </row>
    <row r="1550">
      <c r="A1550" s="37" t="s">
        <v>1303</v>
      </c>
      <c r="B1550" s="37" t="s">
        <v>1054</v>
      </c>
      <c r="C1550" s="7" t="s">
        <v>25801</v>
      </c>
      <c r="D1550" s="37" t="s">
        <v>25802</v>
      </c>
    </row>
    <row r="1551">
      <c r="A1551" s="37" t="s">
        <v>24992</v>
      </c>
      <c r="B1551" s="37" t="s">
        <v>24942</v>
      </c>
      <c r="C1551" s="37" t="s">
        <v>25803</v>
      </c>
      <c r="D1551" s="37" t="s">
        <v>25804</v>
      </c>
    </row>
    <row r="1552">
      <c r="A1552" s="37" t="s">
        <v>1147</v>
      </c>
      <c r="B1552" s="37" t="s">
        <v>478</v>
      </c>
      <c r="C1552" s="7" t="s">
        <v>25805</v>
      </c>
      <c r="D1552" s="37" t="s">
        <v>25806</v>
      </c>
    </row>
    <row r="1553">
      <c r="A1553" s="37" t="s">
        <v>399</v>
      </c>
      <c r="B1553" s="37" t="s">
        <v>391</v>
      </c>
      <c r="C1553" s="7" t="s">
        <v>25807</v>
      </c>
      <c r="D1553" s="37" t="s">
        <v>25808</v>
      </c>
    </row>
    <row r="1554">
      <c r="A1554" s="37" t="s">
        <v>399</v>
      </c>
      <c r="B1554" s="37" t="s">
        <v>391</v>
      </c>
      <c r="C1554" s="7" t="s">
        <v>25809</v>
      </c>
      <c r="D1554" s="37" t="s">
        <v>25810</v>
      </c>
    </row>
    <row r="1555">
      <c r="A1555" s="37" t="s">
        <v>1110</v>
      </c>
      <c r="B1555" s="37" t="s">
        <v>391</v>
      </c>
      <c r="C1555" s="7" t="s">
        <v>25811</v>
      </c>
      <c r="D1555" s="37" t="s">
        <v>25812</v>
      </c>
    </row>
    <row r="1556">
      <c r="A1556" s="37" t="s">
        <v>9</v>
      </c>
      <c r="B1556" s="37" t="s">
        <v>3</v>
      </c>
      <c r="C1556" s="7" t="s">
        <v>25813</v>
      </c>
      <c r="D1556" s="37" t="s">
        <v>25814</v>
      </c>
    </row>
    <row r="1557">
      <c r="A1557" s="37" t="s">
        <v>1238</v>
      </c>
      <c r="B1557" s="37" t="s">
        <v>440</v>
      </c>
      <c r="C1557" s="7" t="s">
        <v>25815</v>
      </c>
      <c r="D1557" s="37" t="s">
        <v>25816</v>
      </c>
    </row>
    <row r="1558">
      <c r="A1558" s="37" t="s">
        <v>51</v>
      </c>
      <c r="B1558" s="37" t="s">
        <v>38</v>
      </c>
      <c r="C1558" s="7" t="s">
        <v>25817</v>
      </c>
      <c r="D1558" s="37" t="s">
        <v>25818</v>
      </c>
    </row>
    <row r="1559">
      <c r="A1559" s="37" t="s">
        <v>74</v>
      </c>
      <c r="B1559" s="37" t="s">
        <v>1208</v>
      </c>
      <c r="C1559" s="7" t="s">
        <v>25819</v>
      </c>
      <c r="D1559" s="37" t="s">
        <v>25820</v>
      </c>
    </row>
    <row r="1560">
      <c r="A1560" s="37" t="s">
        <v>1147</v>
      </c>
      <c r="B1560" s="37" t="s">
        <v>478</v>
      </c>
      <c r="C1560" s="7" t="s">
        <v>25821</v>
      </c>
      <c r="D1560" s="37" t="s">
        <v>25822</v>
      </c>
    </row>
    <row r="1561">
      <c r="A1561" s="37" t="s">
        <v>1163</v>
      </c>
      <c r="B1561" s="37" t="s">
        <v>1054</v>
      </c>
      <c r="C1561" s="7" t="s">
        <v>25823</v>
      </c>
      <c r="D1561" s="37" t="s">
        <v>25824</v>
      </c>
    </row>
    <row r="1562">
      <c r="A1562" s="37" t="s">
        <v>1303</v>
      </c>
      <c r="B1562" s="37" t="s">
        <v>1054</v>
      </c>
      <c r="C1562" s="7" t="s">
        <v>25825</v>
      </c>
      <c r="D1562" s="37" t="s">
        <v>25826</v>
      </c>
    </row>
    <row r="1563">
      <c r="A1563" s="37" t="s">
        <v>1303</v>
      </c>
      <c r="B1563" s="37" t="s">
        <v>1054</v>
      </c>
      <c r="C1563" s="7" t="s">
        <v>25827</v>
      </c>
      <c r="D1563" s="37" t="s">
        <v>25828</v>
      </c>
    </row>
    <row r="1564">
      <c r="A1564" s="37" t="s">
        <v>1303</v>
      </c>
      <c r="B1564" s="37" t="s">
        <v>1054</v>
      </c>
      <c r="C1564" s="7" t="s">
        <v>25829</v>
      </c>
      <c r="D1564" s="37" t="s">
        <v>25830</v>
      </c>
    </row>
    <row r="1565">
      <c r="A1565" s="37" t="s">
        <v>1188</v>
      </c>
      <c r="B1565" s="37" t="s">
        <v>25543</v>
      </c>
      <c r="C1565" s="7" t="s">
        <v>25831</v>
      </c>
      <c r="D1565" s="37" t="s">
        <v>25832</v>
      </c>
    </row>
    <row r="1566">
      <c r="A1566" s="37" t="s">
        <v>286</v>
      </c>
      <c r="B1566" s="37" t="s">
        <v>854</v>
      </c>
      <c r="C1566" s="7" t="s">
        <v>25833</v>
      </c>
      <c r="D1566" s="37" t="s">
        <v>25834</v>
      </c>
    </row>
    <row r="1567">
      <c r="A1567" s="37" t="s">
        <v>857</v>
      </c>
      <c r="B1567" s="37" t="s">
        <v>854</v>
      </c>
      <c r="C1567" s="7" t="s">
        <v>25835</v>
      </c>
      <c r="D1567" s="37" t="s">
        <v>25836</v>
      </c>
    </row>
    <row r="1568">
      <c r="A1568" s="37" t="s">
        <v>74</v>
      </c>
      <c r="B1568" s="37" t="s">
        <v>1208</v>
      </c>
      <c r="C1568" s="7" t="s">
        <v>25837</v>
      </c>
      <c r="D1568" s="37" t="s">
        <v>25838</v>
      </c>
    </row>
    <row r="1569">
      <c r="A1569" s="37" t="s">
        <v>24992</v>
      </c>
      <c r="B1569" s="37" t="s">
        <v>24942</v>
      </c>
      <c r="C1569" s="7" t="s">
        <v>25839</v>
      </c>
      <c r="D1569" s="37" t="s">
        <v>25840</v>
      </c>
    </row>
    <row r="1570">
      <c r="A1570" s="37" t="s">
        <v>24992</v>
      </c>
      <c r="B1570" s="37" t="s">
        <v>24942</v>
      </c>
      <c r="C1570" s="7" t="s">
        <v>9768</v>
      </c>
      <c r="D1570" s="37" t="s">
        <v>25841</v>
      </c>
    </row>
    <row r="1571">
      <c r="A1571" s="37" t="s">
        <v>74</v>
      </c>
      <c r="B1571" s="37" t="s">
        <v>1208</v>
      </c>
      <c r="C1571" s="7" t="s">
        <v>25842</v>
      </c>
      <c r="D1571" s="37" t="s">
        <v>25843</v>
      </c>
    </row>
    <row r="1572">
      <c r="A1572" s="37" t="s">
        <v>864</v>
      </c>
      <c r="B1572" s="37" t="s">
        <v>854</v>
      </c>
      <c r="C1572" s="7" t="s">
        <v>25844</v>
      </c>
      <c r="D1572" s="37" t="s">
        <v>25845</v>
      </c>
    </row>
    <row r="1573">
      <c r="A1573" s="37" t="s">
        <v>1263</v>
      </c>
      <c r="B1573" s="37" t="s">
        <v>648</v>
      </c>
      <c r="C1573" s="7" t="s">
        <v>25846</v>
      </c>
      <c r="D1573" s="37" t="s">
        <v>25847</v>
      </c>
    </row>
    <row r="1574">
      <c r="A1574" s="37" t="s">
        <v>25308</v>
      </c>
      <c r="B1574" s="37" t="s">
        <v>24942</v>
      </c>
      <c r="C1574" s="7" t="s">
        <v>25848</v>
      </c>
      <c r="D1574" s="37" t="s">
        <v>25849</v>
      </c>
    </row>
    <row r="1575">
      <c r="A1575" s="37" t="s">
        <v>331</v>
      </c>
      <c r="B1575" s="37" t="s">
        <v>38</v>
      </c>
      <c r="C1575" s="7" t="s">
        <v>25850</v>
      </c>
      <c r="D1575" s="37" t="s">
        <v>25851</v>
      </c>
    </row>
    <row r="1576">
      <c r="A1576" s="37" t="s">
        <v>74</v>
      </c>
      <c r="B1576" s="37" t="s">
        <v>1208</v>
      </c>
      <c r="C1576" s="7" t="s">
        <v>9850</v>
      </c>
      <c r="D1576" s="37" t="s">
        <v>25852</v>
      </c>
    </row>
    <row r="1577">
      <c r="A1577" s="37" t="s">
        <v>74</v>
      </c>
      <c r="B1577" s="37" t="s">
        <v>1208</v>
      </c>
      <c r="C1577" s="7" t="s">
        <v>25853</v>
      </c>
      <c r="D1577" s="37" t="s">
        <v>25854</v>
      </c>
    </row>
    <row r="1578">
      <c r="A1578" s="37" t="s">
        <v>324</v>
      </c>
      <c r="B1578" s="37" t="s">
        <v>1242</v>
      </c>
      <c r="C1578" s="7" t="s">
        <v>25855</v>
      </c>
      <c r="D1578" s="37" t="s">
        <v>25856</v>
      </c>
    </row>
    <row r="1579">
      <c r="A1579" s="37" t="s">
        <v>484</v>
      </c>
      <c r="B1579" s="37" t="s">
        <v>478</v>
      </c>
      <c r="C1579" s="7" t="s">
        <v>25857</v>
      </c>
      <c r="D1579" s="37" t="s">
        <v>25858</v>
      </c>
    </row>
    <row r="1580">
      <c r="A1580" s="37" t="s">
        <v>859</v>
      </c>
      <c r="B1580" s="37" t="s">
        <v>854</v>
      </c>
      <c r="C1580" s="7" t="s">
        <v>25859</v>
      </c>
      <c r="D1580" s="37" t="s">
        <v>25860</v>
      </c>
    </row>
    <row r="1581">
      <c r="A1581" s="37" t="s">
        <v>286</v>
      </c>
      <c r="B1581" s="37" t="s">
        <v>854</v>
      </c>
      <c r="C1581" s="7" t="s">
        <v>25861</v>
      </c>
      <c r="D1581" s="37" t="s">
        <v>25862</v>
      </c>
    </row>
    <row r="1582">
      <c r="A1582" s="37" t="s">
        <v>286</v>
      </c>
      <c r="B1582" s="37" t="s">
        <v>854</v>
      </c>
      <c r="C1582" s="7" t="s">
        <v>25863</v>
      </c>
      <c r="D1582" s="37" t="s">
        <v>25864</v>
      </c>
    </row>
    <row r="1583">
      <c r="A1583" s="37" t="s">
        <v>286</v>
      </c>
      <c r="B1583" s="37" t="s">
        <v>854</v>
      </c>
      <c r="C1583" s="7" t="s">
        <v>25865</v>
      </c>
      <c r="D1583" s="37" t="s">
        <v>25866</v>
      </c>
    </row>
    <row r="1584">
      <c r="A1584" s="37" t="s">
        <v>1147</v>
      </c>
      <c r="B1584" s="37" t="s">
        <v>478</v>
      </c>
      <c r="C1584" s="7" t="s">
        <v>25867</v>
      </c>
      <c r="D1584" s="37" t="s">
        <v>25868</v>
      </c>
    </row>
    <row r="1585">
      <c r="A1585" s="37" t="s">
        <v>1147</v>
      </c>
      <c r="B1585" s="37" t="s">
        <v>478</v>
      </c>
      <c r="C1585" s="7" t="s">
        <v>25869</v>
      </c>
      <c r="D1585" s="37" t="s">
        <v>25870</v>
      </c>
    </row>
    <row r="1586">
      <c r="A1586" s="37" t="s">
        <v>173</v>
      </c>
      <c r="B1586" s="37" t="s">
        <v>854</v>
      </c>
      <c r="C1586" s="7" t="s">
        <v>25871</v>
      </c>
      <c r="D1586" s="37" t="s">
        <v>25872</v>
      </c>
    </row>
    <row r="1587">
      <c r="A1587" s="37" t="s">
        <v>24992</v>
      </c>
      <c r="B1587" s="37" t="s">
        <v>24942</v>
      </c>
      <c r="C1587" s="7" t="s">
        <v>25873</v>
      </c>
      <c r="D1587" s="37" t="s">
        <v>25874</v>
      </c>
    </row>
    <row r="1588">
      <c r="A1588" s="37" t="s">
        <v>1283</v>
      </c>
      <c r="B1588" s="37" t="s">
        <v>298</v>
      </c>
      <c r="C1588" s="7" t="s">
        <v>25875</v>
      </c>
      <c r="D1588" s="37" t="s">
        <v>25876</v>
      </c>
    </row>
    <row r="1589">
      <c r="A1589" s="37" t="s">
        <v>24941</v>
      </c>
      <c r="B1589" s="37" t="s">
        <v>24942</v>
      </c>
      <c r="C1589" s="7" t="s">
        <v>25877</v>
      </c>
      <c r="D1589" s="37" t="s">
        <v>25878</v>
      </c>
    </row>
    <row r="1590">
      <c r="A1590" s="37" t="s">
        <v>1278</v>
      </c>
      <c r="B1590" s="37" t="s">
        <v>24942</v>
      </c>
      <c r="C1590" s="7" t="s">
        <v>9085</v>
      </c>
      <c r="D1590" s="37" t="s">
        <v>25879</v>
      </c>
    </row>
    <row r="1591">
      <c r="A1591" s="37" t="s">
        <v>1163</v>
      </c>
      <c r="B1591" s="37" t="s">
        <v>25880</v>
      </c>
      <c r="C1591" s="7" t="s">
        <v>25881</v>
      </c>
      <c r="D1591" s="37" t="s">
        <v>25882</v>
      </c>
    </row>
    <row r="1592">
      <c r="A1592" s="37" t="s">
        <v>1188</v>
      </c>
      <c r="B1592" s="37" t="s">
        <v>25543</v>
      </c>
      <c r="C1592" s="7" t="s">
        <v>25883</v>
      </c>
      <c r="D1592" s="37" t="s">
        <v>25884</v>
      </c>
    </row>
    <row r="1593">
      <c r="A1593" s="37" t="s">
        <v>43</v>
      </c>
      <c r="B1593" s="37" t="s">
        <v>1242</v>
      </c>
      <c r="C1593" s="7" t="s">
        <v>25885</v>
      </c>
      <c r="D1593" s="37" t="s">
        <v>25886</v>
      </c>
    </row>
    <row r="1594">
      <c r="A1594" s="37" t="s">
        <v>1243</v>
      </c>
      <c r="B1594" s="37" t="s">
        <v>1242</v>
      </c>
      <c r="C1594" s="7" t="s">
        <v>25887</v>
      </c>
      <c r="D1594" s="37" t="s">
        <v>25888</v>
      </c>
    </row>
    <row r="1595">
      <c r="A1595" s="37" t="s">
        <v>356</v>
      </c>
      <c r="B1595" s="37" t="s">
        <v>353</v>
      </c>
      <c r="C1595" s="7" t="s">
        <v>25889</v>
      </c>
      <c r="D1595" s="37" t="s">
        <v>25890</v>
      </c>
    </row>
    <row r="1596">
      <c r="A1596" s="37" t="s">
        <v>1188</v>
      </c>
      <c r="B1596" s="37" t="s">
        <v>1208</v>
      </c>
      <c r="C1596" s="7" t="s">
        <v>25891</v>
      </c>
      <c r="D1596" s="37" t="s">
        <v>25892</v>
      </c>
    </row>
    <row r="1597">
      <c r="A1597" s="37" t="s">
        <v>1283</v>
      </c>
      <c r="B1597" s="37" t="s">
        <v>298</v>
      </c>
      <c r="C1597" s="7" t="s">
        <v>25893</v>
      </c>
      <c r="D1597" s="37" t="s">
        <v>25894</v>
      </c>
    </row>
    <row r="1598">
      <c r="A1598" s="37" t="s">
        <v>1283</v>
      </c>
      <c r="B1598" s="37" t="s">
        <v>298</v>
      </c>
      <c r="C1598" s="7" t="s">
        <v>25895</v>
      </c>
      <c r="D1598" s="37" t="s">
        <v>25896</v>
      </c>
    </row>
    <row r="1599">
      <c r="A1599" s="37" t="s">
        <v>25897</v>
      </c>
      <c r="B1599" s="37" t="s">
        <v>298</v>
      </c>
      <c r="C1599" s="7" t="s">
        <v>25898</v>
      </c>
      <c r="D1599" s="37" t="s">
        <v>25899</v>
      </c>
    </row>
    <row r="1600">
      <c r="A1600" s="37" t="s">
        <v>1147</v>
      </c>
      <c r="B1600" s="37" t="s">
        <v>478</v>
      </c>
      <c r="C1600" s="7" t="s">
        <v>25900</v>
      </c>
      <c r="D1600" s="37" t="s">
        <v>25901</v>
      </c>
    </row>
    <row r="1601">
      <c r="A1601" s="37" t="s">
        <v>1283</v>
      </c>
      <c r="B1601" s="37" t="s">
        <v>298</v>
      </c>
      <c r="C1601" s="7" t="s">
        <v>25902</v>
      </c>
      <c r="D1601" s="37" t="s">
        <v>25903</v>
      </c>
    </row>
    <row r="1602">
      <c r="A1602" s="37" t="s">
        <v>74</v>
      </c>
      <c r="B1602" s="37" t="s">
        <v>1208</v>
      </c>
      <c r="C1602" s="7" t="s">
        <v>25904</v>
      </c>
      <c r="D1602" s="37" t="s">
        <v>25905</v>
      </c>
    </row>
    <row r="1603">
      <c r="A1603" s="37" t="s">
        <v>1243</v>
      </c>
      <c r="B1603" s="37" t="s">
        <v>1242</v>
      </c>
      <c r="C1603" s="7" t="s">
        <v>25906</v>
      </c>
      <c r="D1603" s="37" t="s">
        <v>25907</v>
      </c>
    </row>
    <row r="1604">
      <c r="A1604" s="37" t="s">
        <v>1303</v>
      </c>
      <c r="B1604" s="37" t="s">
        <v>1054</v>
      </c>
      <c r="C1604" s="7" t="s">
        <v>25908</v>
      </c>
      <c r="D1604" s="37" t="s">
        <v>25909</v>
      </c>
    </row>
    <row r="1605">
      <c r="A1605" s="37" t="s">
        <v>51</v>
      </c>
      <c r="B1605" s="37" t="s">
        <v>1242</v>
      </c>
      <c r="C1605" s="7" t="s">
        <v>25910</v>
      </c>
      <c r="D1605" s="37" t="s">
        <v>25911</v>
      </c>
    </row>
    <row r="1606">
      <c r="A1606" s="37" t="s">
        <v>484</v>
      </c>
      <c r="B1606" s="37" t="s">
        <v>478</v>
      </c>
      <c r="C1606" s="7" t="s">
        <v>25912</v>
      </c>
      <c r="D1606" s="37" t="s">
        <v>25913</v>
      </c>
    </row>
    <row r="1607">
      <c r="A1607" s="37" t="s">
        <v>399</v>
      </c>
      <c r="B1607" s="37" t="s">
        <v>391</v>
      </c>
      <c r="C1607" s="7" t="s">
        <v>25914</v>
      </c>
      <c r="D1607" s="37" t="s">
        <v>25915</v>
      </c>
    </row>
    <row r="1608">
      <c r="A1608" s="37" t="s">
        <v>106</v>
      </c>
      <c r="B1608" s="37" t="s">
        <v>613</v>
      </c>
      <c r="C1608" s="7" t="s">
        <v>25916</v>
      </c>
      <c r="D1608" s="37" t="s">
        <v>25917</v>
      </c>
    </row>
    <row r="1609">
      <c r="A1609" s="37" t="s">
        <v>124</v>
      </c>
      <c r="B1609" s="37" t="s">
        <v>24608</v>
      </c>
      <c r="C1609" s="7" t="s">
        <v>25918</v>
      </c>
      <c r="D1609" s="37" t="s">
        <v>25919</v>
      </c>
    </row>
    <row r="1610">
      <c r="A1610" s="37" t="s">
        <v>1283</v>
      </c>
      <c r="B1610" s="37" t="s">
        <v>298</v>
      </c>
      <c r="C1610" s="7" t="s">
        <v>25920</v>
      </c>
      <c r="D1610" s="37" t="s">
        <v>25921</v>
      </c>
    </row>
    <row r="1611">
      <c r="A1611" s="37" t="s">
        <v>1303</v>
      </c>
      <c r="B1611" s="37" t="s">
        <v>1054</v>
      </c>
      <c r="C1611" s="7" t="s">
        <v>25922</v>
      </c>
      <c r="D1611" s="37" t="s">
        <v>25923</v>
      </c>
    </row>
    <row r="1612">
      <c r="A1612" s="37" t="s">
        <v>484</v>
      </c>
      <c r="B1612" s="37" t="s">
        <v>478</v>
      </c>
      <c r="C1612" s="37" t="s">
        <v>25924</v>
      </c>
      <c r="D1612" s="37" t="s">
        <v>25925</v>
      </c>
    </row>
    <row r="1613">
      <c r="A1613" s="37" t="s">
        <v>1163</v>
      </c>
      <c r="B1613" s="37" t="s">
        <v>25926</v>
      </c>
      <c r="C1613" s="7" t="s">
        <v>25927</v>
      </c>
      <c r="D1613" s="37" t="s">
        <v>25928</v>
      </c>
    </row>
    <row r="1614">
      <c r="A1614" s="37" t="s">
        <v>443</v>
      </c>
      <c r="B1614" s="37" t="s">
        <v>440</v>
      </c>
      <c r="C1614" s="7" t="s">
        <v>25929</v>
      </c>
      <c r="D1614" s="37" t="s">
        <v>25930</v>
      </c>
    </row>
    <row r="1615">
      <c r="A1615" s="37" t="s">
        <v>443</v>
      </c>
      <c r="B1615" s="37" t="s">
        <v>440</v>
      </c>
      <c r="C1615" s="7" t="s">
        <v>25931</v>
      </c>
      <c r="D1615" s="37" t="s">
        <v>25932</v>
      </c>
    </row>
    <row r="1616">
      <c r="A1616" s="37" t="s">
        <v>399</v>
      </c>
      <c r="B1616" s="37" t="s">
        <v>391</v>
      </c>
      <c r="C1616" s="7" t="s">
        <v>25933</v>
      </c>
      <c r="D1616" s="37" t="s">
        <v>25934</v>
      </c>
    </row>
    <row r="1617">
      <c r="A1617" s="37" t="s">
        <v>802</v>
      </c>
      <c r="B1617" s="37" t="s">
        <v>298</v>
      </c>
      <c r="C1617" s="7" t="s">
        <v>25935</v>
      </c>
      <c r="D1617" s="37" t="s">
        <v>25936</v>
      </c>
    </row>
    <row r="1618">
      <c r="A1618" s="37" t="s">
        <v>104</v>
      </c>
      <c r="B1618" s="37" t="s">
        <v>613</v>
      </c>
      <c r="C1618" s="7" t="s">
        <v>23181</v>
      </c>
      <c r="D1618" s="37" t="s">
        <v>25937</v>
      </c>
    </row>
    <row r="1619">
      <c r="A1619" s="37" t="s">
        <v>1147</v>
      </c>
      <c r="B1619" s="37" t="s">
        <v>478</v>
      </c>
      <c r="C1619" s="7" t="s">
        <v>25938</v>
      </c>
      <c r="D1619" s="37" t="s">
        <v>25939</v>
      </c>
    </row>
    <row r="1620">
      <c r="A1620" s="37" t="s">
        <v>25940</v>
      </c>
      <c r="B1620" s="37" t="s">
        <v>24992</v>
      </c>
      <c r="C1620" s="7" t="s">
        <v>25941</v>
      </c>
      <c r="D1620" s="37" t="s">
        <v>25942</v>
      </c>
    </row>
    <row r="1621">
      <c r="A1621" s="37" t="s">
        <v>1263</v>
      </c>
      <c r="B1621" s="37" t="s">
        <v>648</v>
      </c>
      <c r="C1621" s="7" t="s">
        <v>25943</v>
      </c>
      <c r="D1621" s="37" t="s">
        <v>25944</v>
      </c>
    </row>
    <row r="1622">
      <c r="A1622" s="37" t="s">
        <v>1495</v>
      </c>
      <c r="B1622" s="37" t="s">
        <v>1495</v>
      </c>
      <c r="C1622" s="7" t="s">
        <v>4836</v>
      </c>
      <c r="D1622" s="37" t="s">
        <v>25945</v>
      </c>
    </row>
    <row r="1623">
      <c r="A1623" s="37" t="s">
        <v>24992</v>
      </c>
      <c r="B1623" s="37" t="s">
        <v>24942</v>
      </c>
      <c r="C1623" s="7" t="s">
        <v>25946</v>
      </c>
      <c r="D1623" s="37" t="s">
        <v>25947</v>
      </c>
    </row>
    <row r="1624">
      <c r="A1624" s="37" t="s">
        <v>859</v>
      </c>
      <c r="B1624" s="37" t="s">
        <v>854</v>
      </c>
      <c r="C1624" s="7" t="s">
        <v>25948</v>
      </c>
      <c r="D1624" s="37" t="s">
        <v>25949</v>
      </c>
    </row>
    <row r="1625">
      <c r="A1625" s="37" t="s">
        <v>802</v>
      </c>
      <c r="B1625" s="37" t="s">
        <v>298</v>
      </c>
      <c r="C1625" s="7" t="s">
        <v>25950</v>
      </c>
      <c r="D1625" s="37" t="s">
        <v>25951</v>
      </c>
    </row>
    <row r="1626">
      <c r="A1626" s="37" t="s">
        <v>97</v>
      </c>
      <c r="B1626" s="37" t="s">
        <v>440</v>
      </c>
      <c r="C1626" s="7" t="s">
        <v>25952</v>
      </c>
      <c r="D1626" s="37" t="s">
        <v>25953</v>
      </c>
    </row>
    <row r="1627">
      <c r="A1627" s="37" t="s">
        <v>1303</v>
      </c>
      <c r="B1627" s="37" t="s">
        <v>1054</v>
      </c>
      <c r="C1627" s="7" t="s">
        <v>25954</v>
      </c>
      <c r="D1627" s="37" t="s">
        <v>25955</v>
      </c>
    </row>
    <row r="1628">
      <c r="A1628" s="37" t="s">
        <v>331</v>
      </c>
      <c r="B1628" s="37" t="s">
        <v>38</v>
      </c>
      <c r="C1628" s="7" t="s">
        <v>25956</v>
      </c>
      <c r="D1628" s="37" t="s">
        <v>25957</v>
      </c>
    </row>
    <row r="1629">
      <c r="A1629" s="37" t="s">
        <v>74</v>
      </c>
      <c r="B1629" s="37" t="s">
        <v>1208</v>
      </c>
      <c r="C1629" s="7" t="s">
        <v>25958</v>
      </c>
      <c r="D1629" s="37" t="s">
        <v>25959</v>
      </c>
    </row>
    <row r="1630">
      <c r="A1630" s="37" t="s">
        <v>24992</v>
      </c>
      <c r="B1630" s="37" t="s">
        <v>24942</v>
      </c>
      <c r="C1630" s="7" t="s">
        <v>2427</v>
      </c>
      <c r="D1630" s="37" t="s">
        <v>25960</v>
      </c>
    </row>
    <row r="1631">
      <c r="A1631" s="37" t="s">
        <v>24992</v>
      </c>
      <c r="B1631" s="37" t="s">
        <v>24942</v>
      </c>
      <c r="C1631" s="7" t="s">
        <v>25961</v>
      </c>
      <c r="D1631" s="37" t="s">
        <v>25962</v>
      </c>
    </row>
    <row r="1632">
      <c r="A1632" s="37" t="s">
        <v>104</v>
      </c>
      <c r="B1632" s="37" t="s">
        <v>613</v>
      </c>
      <c r="C1632" s="7" t="s">
        <v>25963</v>
      </c>
      <c r="D1632" s="37" t="s">
        <v>25964</v>
      </c>
    </row>
    <row r="1633">
      <c r="A1633" s="37" t="s">
        <v>1283</v>
      </c>
      <c r="B1633" s="37" t="s">
        <v>298</v>
      </c>
      <c r="C1633" s="7" t="s">
        <v>25965</v>
      </c>
      <c r="D1633" s="37" t="s">
        <v>25966</v>
      </c>
    </row>
    <row r="1634">
      <c r="A1634" s="37" t="s">
        <v>824</v>
      </c>
      <c r="B1634" s="37" t="s">
        <v>1242</v>
      </c>
      <c r="C1634" s="7" t="s">
        <v>25967</v>
      </c>
      <c r="D1634" s="37" t="s">
        <v>25968</v>
      </c>
    </row>
    <row r="1635">
      <c r="A1635" s="37" t="s">
        <v>1495</v>
      </c>
      <c r="B1635" s="37" t="s">
        <v>1495</v>
      </c>
      <c r="C1635" s="37" t="s">
        <v>25969</v>
      </c>
      <c r="D1635" s="37" t="s">
        <v>25970</v>
      </c>
    </row>
    <row r="1636">
      <c r="A1636" s="37" t="s">
        <v>1283</v>
      </c>
      <c r="B1636" s="37" t="s">
        <v>298</v>
      </c>
      <c r="C1636" s="7" t="s">
        <v>25971</v>
      </c>
      <c r="D1636" s="37" t="s">
        <v>25972</v>
      </c>
    </row>
    <row r="1637">
      <c r="A1637" s="37" t="s">
        <v>1315</v>
      </c>
      <c r="B1637" s="37" t="s">
        <v>25880</v>
      </c>
      <c r="C1637" s="37" t="s">
        <v>25973</v>
      </c>
      <c r="D1637" s="37" t="s">
        <v>25974</v>
      </c>
    </row>
    <row r="1638">
      <c r="A1638" s="37" t="s">
        <v>24992</v>
      </c>
      <c r="B1638" s="37" t="s">
        <v>24942</v>
      </c>
      <c r="C1638" s="7" t="s">
        <v>25975</v>
      </c>
      <c r="D1638" s="37" t="s">
        <v>25976</v>
      </c>
    </row>
    <row r="1639">
      <c r="A1639" s="37" t="s">
        <v>24992</v>
      </c>
      <c r="B1639" s="37" t="s">
        <v>24942</v>
      </c>
      <c r="C1639" s="7" t="s">
        <v>25977</v>
      </c>
      <c r="D1639" s="37" t="s">
        <v>25978</v>
      </c>
    </row>
    <row r="1640">
      <c r="A1640" s="37" t="s">
        <v>1495</v>
      </c>
      <c r="B1640" s="37" t="s">
        <v>1495</v>
      </c>
      <c r="C1640" s="7" t="s">
        <v>25979</v>
      </c>
      <c r="D1640" s="37" t="s">
        <v>25980</v>
      </c>
    </row>
    <row r="1641">
      <c r="A1641" s="37" t="s">
        <v>1495</v>
      </c>
      <c r="B1641" s="37" t="s">
        <v>1495</v>
      </c>
      <c r="C1641" s="7" t="s">
        <v>25981</v>
      </c>
      <c r="D1641" s="37" t="s">
        <v>25982</v>
      </c>
    </row>
    <row r="1642">
      <c r="A1642" s="37" t="s">
        <v>1495</v>
      </c>
      <c r="B1642" s="37" t="s">
        <v>1495</v>
      </c>
      <c r="C1642" s="7" t="s">
        <v>25983</v>
      </c>
      <c r="D1642" s="37" t="s">
        <v>25984</v>
      </c>
    </row>
    <row r="1643">
      <c r="A1643" s="37" t="s">
        <v>373</v>
      </c>
      <c r="B1643" s="37" t="s">
        <v>25985</v>
      </c>
      <c r="C1643" s="7" t="s">
        <v>25986</v>
      </c>
      <c r="D1643" s="37" t="s">
        <v>25987</v>
      </c>
    </row>
    <row r="1644">
      <c r="A1644" s="37" t="s">
        <v>24992</v>
      </c>
      <c r="B1644" s="37" t="s">
        <v>24942</v>
      </c>
      <c r="C1644" s="7" t="s">
        <v>25988</v>
      </c>
      <c r="D1644" s="37" t="s">
        <v>25989</v>
      </c>
    </row>
    <row r="1645">
      <c r="A1645" s="37" t="s">
        <v>24992</v>
      </c>
      <c r="B1645" s="37" t="s">
        <v>24942</v>
      </c>
      <c r="C1645" s="7" t="s">
        <v>25990</v>
      </c>
      <c r="D1645" s="37" t="s">
        <v>25991</v>
      </c>
    </row>
    <row r="1646">
      <c r="A1646" s="37" t="s">
        <v>90</v>
      </c>
      <c r="B1646" s="37" t="s">
        <v>440</v>
      </c>
      <c r="C1646" s="7" t="s">
        <v>25992</v>
      </c>
      <c r="D1646" s="37" t="s">
        <v>25993</v>
      </c>
    </row>
    <row r="1647">
      <c r="A1647" s="37" t="s">
        <v>443</v>
      </c>
      <c r="B1647" s="37" t="s">
        <v>440</v>
      </c>
      <c r="C1647" s="37" t="s">
        <v>25994</v>
      </c>
      <c r="D1647" s="37" t="s">
        <v>25995</v>
      </c>
    </row>
    <row r="1648">
      <c r="A1648" s="37" t="s">
        <v>1188</v>
      </c>
      <c r="B1648" s="37" t="s">
        <v>1208</v>
      </c>
      <c r="C1648" s="7" t="s">
        <v>25996</v>
      </c>
      <c r="D1648" s="37" t="s">
        <v>25997</v>
      </c>
    </row>
    <row r="1649">
      <c r="A1649" s="37" t="s">
        <v>286</v>
      </c>
      <c r="B1649" s="37" t="s">
        <v>363</v>
      </c>
      <c r="C1649" s="7" t="s">
        <v>25998</v>
      </c>
      <c r="D1649" s="37" t="s">
        <v>25999</v>
      </c>
    </row>
    <row r="1650">
      <c r="A1650" s="37" t="s">
        <v>1162</v>
      </c>
      <c r="B1650" s="37" t="s">
        <v>1054</v>
      </c>
      <c r="C1650" s="7" t="s">
        <v>26000</v>
      </c>
      <c r="D1650" s="37" t="s">
        <v>26001</v>
      </c>
    </row>
    <row r="1651">
      <c r="A1651" s="37" t="s">
        <v>24992</v>
      </c>
      <c r="B1651" s="37" t="s">
        <v>24942</v>
      </c>
      <c r="C1651" s="7" t="s">
        <v>8304</v>
      </c>
      <c r="D1651" s="37" t="s">
        <v>26002</v>
      </c>
    </row>
    <row r="1652">
      <c r="A1652" s="37" t="s">
        <v>118</v>
      </c>
      <c r="B1652" s="37" t="s">
        <v>24752</v>
      </c>
      <c r="C1652" s="7" t="s">
        <v>26003</v>
      </c>
      <c r="D1652" s="37" t="s">
        <v>26004</v>
      </c>
    </row>
    <row r="1653">
      <c r="A1653" s="37" t="s">
        <v>26005</v>
      </c>
      <c r="B1653" s="37" t="s">
        <v>3463</v>
      </c>
      <c r="C1653" s="7" t="s">
        <v>26006</v>
      </c>
      <c r="D1653" s="37" t="s">
        <v>26007</v>
      </c>
    </row>
    <row r="1654">
      <c r="A1654" s="37" t="s">
        <v>118</v>
      </c>
      <c r="B1654" s="37" t="s">
        <v>24608</v>
      </c>
      <c r="C1654" s="7" t="s">
        <v>26008</v>
      </c>
      <c r="D1654" s="37" t="s">
        <v>26009</v>
      </c>
    </row>
    <row r="1655">
      <c r="A1655" s="37" t="s">
        <v>1263</v>
      </c>
      <c r="B1655" s="37" t="s">
        <v>648</v>
      </c>
      <c r="C1655" s="7" t="s">
        <v>26010</v>
      </c>
      <c r="D1655" s="37" t="s">
        <v>26011</v>
      </c>
    </row>
    <row r="1656">
      <c r="A1656" s="37" t="s">
        <v>24941</v>
      </c>
      <c r="B1656" s="37" t="s">
        <v>24942</v>
      </c>
      <c r="C1656" s="7" t="s">
        <v>26012</v>
      </c>
      <c r="D1656" s="37" t="s">
        <v>26013</v>
      </c>
    </row>
    <row r="1657">
      <c r="A1657" s="37" t="s">
        <v>1162</v>
      </c>
      <c r="B1657" s="37" t="s">
        <v>1054</v>
      </c>
      <c r="C1657" s="7" t="s">
        <v>26014</v>
      </c>
      <c r="D1657" s="37" t="s">
        <v>26015</v>
      </c>
    </row>
    <row r="1658">
      <c r="A1658" s="37" t="s">
        <v>1162</v>
      </c>
      <c r="B1658" s="37" t="s">
        <v>1054</v>
      </c>
      <c r="C1658" s="7" t="s">
        <v>26016</v>
      </c>
      <c r="D1658" s="37" t="s">
        <v>26017</v>
      </c>
    </row>
    <row r="1659">
      <c r="A1659" s="37" t="s">
        <v>859</v>
      </c>
      <c r="B1659" s="37" t="s">
        <v>854</v>
      </c>
      <c r="C1659" s="7" t="s">
        <v>26018</v>
      </c>
      <c r="D1659" s="37" t="s">
        <v>26019</v>
      </c>
    </row>
    <row r="1660">
      <c r="A1660" s="37" t="s">
        <v>1162</v>
      </c>
      <c r="B1660" s="37" t="s">
        <v>1054</v>
      </c>
      <c r="C1660" s="7" t="s">
        <v>26020</v>
      </c>
      <c r="D1660" s="37" t="s">
        <v>26021</v>
      </c>
    </row>
    <row r="1661">
      <c r="A1661" s="37" t="s">
        <v>1188</v>
      </c>
      <c r="B1661" s="37" t="s">
        <v>1208</v>
      </c>
      <c r="C1661" s="7" t="s">
        <v>26022</v>
      </c>
      <c r="D1661" s="37" t="s">
        <v>26023</v>
      </c>
    </row>
    <row r="1662">
      <c r="A1662" s="37" t="s">
        <v>1263</v>
      </c>
      <c r="B1662" s="37" t="s">
        <v>648</v>
      </c>
      <c r="C1662" s="7" t="s">
        <v>26024</v>
      </c>
      <c r="D1662" s="37" t="s">
        <v>26025</v>
      </c>
    </row>
    <row r="1663">
      <c r="A1663" s="37" t="s">
        <v>24992</v>
      </c>
      <c r="B1663" s="37" t="s">
        <v>24942</v>
      </c>
      <c r="C1663" s="7" t="s">
        <v>26026</v>
      </c>
      <c r="D1663" s="37" t="s">
        <v>26027</v>
      </c>
    </row>
    <row r="1664">
      <c r="A1664" s="37" t="s">
        <v>24992</v>
      </c>
      <c r="B1664" s="37" t="s">
        <v>24942</v>
      </c>
      <c r="C1664" s="7" t="s">
        <v>26028</v>
      </c>
      <c r="D1664" s="37" t="s">
        <v>26029</v>
      </c>
    </row>
    <row r="1665">
      <c r="A1665" s="37" t="s">
        <v>1263</v>
      </c>
      <c r="B1665" s="37" t="s">
        <v>648</v>
      </c>
      <c r="C1665" s="7" t="s">
        <v>26030</v>
      </c>
      <c r="D1665" s="37" t="s">
        <v>26031</v>
      </c>
    </row>
    <row r="1666">
      <c r="A1666" s="37" t="s">
        <v>286</v>
      </c>
      <c r="B1666" s="37" t="s">
        <v>854</v>
      </c>
      <c r="C1666" s="7" t="s">
        <v>26032</v>
      </c>
      <c r="D1666" s="37" t="s">
        <v>26033</v>
      </c>
    </row>
    <row r="1667">
      <c r="A1667" s="37" t="s">
        <v>1162</v>
      </c>
      <c r="B1667" s="37" t="s">
        <v>1054</v>
      </c>
      <c r="C1667" s="7" t="s">
        <v>26034</v>
      </c>
      <c r="D1667" s="37" t="s">
        <v>26035</v>
      </c>
    </row>
    <row r="1668">
      <c r="A1668" s="37" t="s">
        <v>1274</v>
      </c>
      <c r="B1668" s="37" t="s">
        <v>1273</v>
      </c>
      <c r="C1668" s="7" t="s">
        <v>26036</v>
      </c>
      <c r="D1668" s="37" t="s">
        <v>26037</v>
      </c>
    </row>
    <row r="1669">
      <c r="A1669" s="37" t="s">
        <v>1229</v>
      </c>
      <c r="B1669" s="37" t="s">
        <v>26038</v>
      </c>
      <c r="C1669" s="7" t="s">
        <v>26039</v>
      </c>
      <c r="D1669" s="37" t="s">
        <v>26040</v>
      </c>
    </row>
    <row r="1670">
      <c r="A1670" s="37" t="s">
        <v>1495</v>
      </c>
      <c r="B1670" s="37" t="s">
        <v>26041</v>
      </c>
      <c r="C1670" s="7" t="s">
        <v>26042</v>
      </c>
      <c r="D1670" s="37" t="s">
        <v>26043</v>
      </c>
    </row>
    <row r="1671">
      <c r="A1671" s="37" t="s">
        <v>395</v>
      </c>
      <c r="B1671" s="37" t="s">
        <v>391</v>
      </c>
      <c r="C1671" s="7" t="s">
        <v>26044</v>
      </c>
      <c r="D1671" s="37" t="s">
        <v>26045</v>
      </c>
    </row>
    <row r="1672">
      <c r="A1672" s="37" t="s">
        <v>1146</v>
      </c>
      <c r="B1672" s="37" t="s">
        <v>478</v>
      </c>
      <c r="C1672" s="7" t="s">
        <v>26046</v>
      </c>
      <c r="D1672" s="37" t="s">
        <v>26047</v>
      </c>
    </row>
    <row r="1673">
      <c r="A1673" s="37" t="s">
        <v>1495</v>
      </c>
      <c r="B1673" s="37" t="s">
        <v>1208</v>
      </c>
      <c r="C1673" s="7" t="s">
        <v>26048</v>
      </c>
      <c r="D1673" s="37" t="s">
        <v>26049</v>
      </c>
    </row>
    <row r="1674">
      <c r="A1674" s="37" t="s">
        <v>74</v>
      </c>
      <c r="B1674" s="37" t="s">
        <v>1208</v>
      </c>
      <c r="C1674" s="7" t="s">
        <v>26050</v>
      </c>
      <c r="D1674" s="37" t="s">
        <v>26051</v>
      </c>
    </row>
    <row r="1675">
      <c r="A1675" s="37" t="s">
        <v>1495</v>
      </c>
      <c r="B1675" s="37" t="s">
        <v>23091</v>
      </c>
      <c r="C1675" s="7" t="s">
        <v>26052</v>
      </c>
      <c r="D1675" s="37" t="s">
        <v>26053</v>
      </c>
    </row>
    <row r="1676">
      <c r="A1676" s="37" t="s">
        <v>51</v>
      </c>
      <c r="B1676" s="37" t="s">
        <v>1242</v>
      </c>
      <c r="C1676" s="7" t="s">
        <v>26054</v>
      </c>
      <c r="D1676" s="37" t="s">
        <v>26055</v>
      </c>
    </row>
    <row r="1677">
      <c r="A1677" s="37" t="s">
        <v>51</v>
      </c>
      <c r="B1677" s="37" t="s">
        <v>1242</v>
      </c>
      <c r="C1677" s="7" t="s">
        <v>26056</v>
      </c>
      <c r="D1677" s="37" t="s">
        <v>26057</v>
      </c>
    </row>
    <row r="1678">
      <c r="A1678" s="37" t="s">
        <v>104</v>
      </c>
      <c r="B1678" s="37" t="s">
        <v>613</v>
      </c>
      <c r="C1678" s="7" t="s">
        <v>26058</v>
      </c>
      <c r="D1678" s="37" t="s">
        <v>26059</v>
      </c>
    </row>
    <row r="1679">
      <c r="A1679" s="37" t="s">
        <v>104</v>
      </c>
      <c r="B1679" s="37" t="s">
        <v>613</v>
      </c>
      <c r="C1679" s="7" t="s">
        <v>26060</v>
      </c>
      <c r="D1679" s="37" t="s">
        <v>26061</v>
      </c>
    </row>
    <row r="1680">
      <c r="A1680" s="37" t="s">
        <v>104</v>
      </c>
      <c r="B1680" s="37" t="s">
        <v>613</v>
      </c>
      <c r="C1680" s="7" t="s">
        <v>26062</v>
      </c>
      <c r="D1680" s="37" t="s">
        <v>26063</v>
      </c>
    </row>
    <row r="1681">
      <c r="A1681" s="37" t="s">
        <v>1147</v>
      </c>
      <c r="B1681" s="37" t="s">
        <v>478</v>
      </c>
      <c r="C1681" s="7" t="s">
        <v>23983</v>
      </c>
      <c r="D1681" s="37" t="s">
        <v>26064</v>
      </c>
    </row>
    <row r="1682">
      <c r="A1682" s="37" t="s">
        <v>1147</v>
      </c>
      <c r="B1682" s="37" t="s">
        <v>478</v>
      </c>
      <c r="C1682" s="7" t="s">
        <v>26065</v>
      </c>
      <c r="D1682" s="37" t="s">
        <v>26066</v>
      </c>
    </row>
    <row r="1683">
      <c r="A1683" s="37" t="s">
        <v>1147</v>
      </c>
      <c r="B1683" s="37" t="s">
        <v>478</v>
      </c>
      <c r="C1683" s="7" t="s">
        <v>26067</v>
      </c>
      <c r="D1683" s="37" t="s">
        <v>26068</v>
      </c>
    </row>
    <row r="1684">
      <c r="A1684" s="37" t="s">
        <v>1147</v>
      </c>
      <c r="B1684" s="37" t="s">
        <v>478</v>
      </c>
      <c r="C1684" s="7" t="s">
        <v>26069</v>
      </c>
      <c r="D1684" s="37" t="s">
        <v>26070</v>
      </c>
    </row>
    <row r="1685">
      <c r="A1685" s="37" t="s">
        <v>26071</v>
      </c>
      <c r="B1685" s="37" t="s">
        <v>1495</v>
      </c>
      <c r="C1685" s="7" t="s">
        <v>26072</v>
      </c>
      <c r="D1685" s="37" t="s">
        <v>26073</v>
      </c>
    </row>
    <row r="1686">
      <c r="A1686" s="37" t="s">
        <v>1142</v>
      </c>
      <c r="B1686" s="37" t="s">
        <v>478</v>
      </c>
      <c r="C1686" s="7" t="s">
        <v>26074</v>
      </c>
      <c r="D1686" s="37" t="s">
        <v>26075</v>
      </c>
    </row>
    <row r="1687">
      <c r="A1687" s="37" t="s">
        <v>1229</v>
      </c>
      <c r="B1687" s="37" t="s">
        <v>26038</v>
      </c>
      <c r="C1687" s="7" t="s">
        <v>26076</v>
      </c>
      <c r="D1687" s="37" t="s">
        <v>26077</v>
      </c>
    </row>
    <row r="1688">
      <c r="A1688" s="37" t="s">
        <v>1229</v>
      </c>
      <c r="B1688" s="37" t="s">
        <v>26038</v>
      </c>
      <c r="C1688" s="7" t="s">
        <v>26078</v>
      </c>
      <c r="D1688" s="37" t="s">
        <v>26079</v>
      </c>
    </row>
    <row r="1689">
      <c r="A1689" s="37" t="s">
        <v>1229</v>
      </c>
      <c r="B1689" s="37" t="s">
        <v>26038</v>
      </c>
      <c r="C1689" s="7" t="s">
        <v>26080</v>
      </c>
      <c r="D1689" s="37" t="s">
        <v>26081</v>
      </c>
    </row>
    <row r="1690">
      <c r="A1690" s="37" t="s">
        <v>1229</v>
      </c>
      <c r="B1690" s="37" t="s">
        <v>26038</v>
      </c>
      <c r="C1690" s="7" t="s">
        <v>26082</v>
      </c>
      <c r="D1690" s="37" t="s">
        <v>26083</v>
      </c>
    </row>
    <row r="1691">
      <c r="A1691" s="37" t="s">
        <v>1229</v>
      </c>
      <c r="B1691" s="37" t="s">
        <v>26038</v>
      </c>
      <c r="C1691" s="7" t="s">
        <v>26084</v>
      </c>
      <c r="D1691" s="37" t="s">
        <v>26085</v>
      </c>
    </row>
    <row r="1692">
      <c r="A1692" s="37" t="s">
        <v>1229</v>
      </c>
      <c r="B1692" s="37" t="s">
        <v>26038</v>
      </c>
      <c r="C1692" s="7" t="s">
        <v>26086</v>
      </c>
      <c r="D1692" s="37" t="s">
        <v>26087</v>
      </c>
    </row>
    <row r="1693">
      <c r="A1693" s="37" t="s">
        <v>1229</v>
      </c>
      <c r="B1693" s="37" t="s">
        <v>26038</v>
      </c>
      <c r="C1693" s="7" t="s">
        <v>26088</v>
      </c>
      <c r="D1693" s="37" t="s">
        <v>26089</v>
      </c>
    </row>
    <row r="1694">
      <c r="A1694" s="37" t="s">
        <v>1229</v>
      </c>
      <c r="B1694" s="37" t="s">
        <v>26038</v>
      </c>
      <c r="C1694" s="7" t="s">
        <v>26090</v>
      </c>
      <c r="D1694" s="37" t="s">
        <v>26091</v>
      </c>
    </row>
    <row r="1695">
      <c r="A1695" s="37" t="s">
        <v>1229</v>
      </c>
      <c r="B1695" s="37" t="s">
        <v>26038</v>
      </c>
      <c r="C1695" s="7" t="s">
        <v>26092</v>
      </c>
      <c r="D1695" s="37" t="s">
        <v>26093</v>
      </c>
    </row>
    <row r="1696">
      <c r="A1696" s="37" t="s">
        <v>1229</v>
      </c>
      <c r="B1696" s="37" t="s">
        <v>26038</v>
      </c>
      <c r="C1696" s="7" t="s">
        <v>26094</v>
      </c>
      <c r="D1696" s="37" t="s">
        <v>26095</v>
      </c>
    </row>
    <row r="1697">
      <c r="A1697" s="37" t="s">
        <v>1229</v>
      </c>
      <c r="B1697" s="37" t="s">
        <v>26038</v>
      </c>
      <c r="C1697" s="7" t="s">
        <v>26096</v>
      </c>
      <c r="D1697" s="37" t="s">
        <v>26097</v>
      </c>
    </row>
    <row r="1698">
      <c r="A1698" s="37" t="s">
        <v>1229</v>
      </c>
      <c r="B1698" s="37" t="s">
        <v>26038</v>
      </c>
      <c r="C1698" s="7" t="s">
        <v>26098</v>
      </c>
      <c r="D1698" s="37" t="s">
        <v>26099</v>
      </c>
    </row>
    <row r="1699">
      <c r="A1699" s="37" t="s">
        <v>1229</v>
      </c>
      <c r="B1699" s="37" t="s">
        <v>26038</v>
      </c>
      <c r="C1699" s="7" t="s">
        <v>26100</v>
      </c>
      <c r="D1699" s="37" t="s">
        <v>26101</v>
      </c>
    </row>
    <row r="1700">
      <c r="A1700" s="37" t="s">
        <v>1229</v>
      </c>
      <c r="B1700" s="37" t="s">
        <v>26038</v>
      </c>
      <c r="C1700" s="7" t="s">
        <v>26102</v>
      </c>
      <c r="D1700" s="37" t="s">
        <v>26103</v>
      </c>
    </row>
    <row r="1701">
      <c r="A1701" s="37" t="s">
        <v>1229</v>
      </c>
      <c r="B1701" s="37" t="s">
        <v>26038</v>
      </c>
      <c r="C1701" s="7" t="s">
        <v>26104</v>
      </c>
      <c r="D1701" s="37" t="s">
        <v>26105</v>
      </c>
    </row>
    <row r="1702">
      <c r="A1702" s="37" t="s">
        <v>1361</v>
      </c>
      <c r="B1702" s="37" t="s">
        <v>1096</v>
      </c>
      <c r="C1702" s="7" t="s">
        <v>26106</v>
      </c>
      <c r="D1702" s="37" t="s">
        <v>26107</v>
      </c>
    </row>
    <row r="1703">
      <c r="A1703" s="37" t="s">
        <v>399</v>
      </c>
      <c r="B1703" s="37" t="s">
        <v>391</v>
      </c>
      <c r="C1703" s="7" t="s">
        <v>26108</v>
      </c>
      <c r="D1703" s="37" t="s">
        <v>26109</v>
      </c>
    </row>
    <row r="1704">
      <c r="A1704" s="37" t="s">
        <v>1361</v>
      </c>
      <c r="B1704" s="37" t="s">
        <v>1096</v>
      </c>
      <c r="C1704" s="7" t="s">
        <v>26110</v>
      </c>
      <c r="D1704" s="37" t="s">
        <v>26111</v>
      </c>
    </row>
    <row r="1705">
      <c r="A1705" s="37" t="s">
        <v>286</v>
      </c>
      <c r="B1705" s="37" t="s">
        <v>363</v>
      </c>
      <c r="C1705" s="7" t="s">
        <v>26112</v>
      </c>
      <c r="D1705" s="37" t="s">
        <v>26113</v>
      </c>
    </row>
    <row r="1706">
      <c r="A1706" s="37" t="s">
        <v>324</v>
      </c>
      <c r="B1706" s="37" t="s">
        <v>1242</v>
      </c>
      <c r="C1706" s="7" t="s">
        <v>26114</v>
      </c>
      <c r="D1706" s="37" t="s">
        <v>26115</v>
      </c>
    </row>
    <row r="1707">
      <c r="A1707" s="37" t="s">
        <v>324</v>
      </c>
      <c r="B1707" s="37" t="s">
        <v>1242</v>
      </c>
      <c r="C1707" s="7" t="s">
        <v>26116</v>
      </c>
      <c r="D1707" s="37" t="s">
        <v>26117</v>
      </c>
    </row>
    <row r="1708">
      <c r="A1708" s="37" t="s">
        <v>324</v>
      </c>
      <c r="B1708" s="37" t="s">
        <v>38</v>
      </c>
      <c r="C1708" s="7" t="s">
        <v>26118</v>
      </c>
      <c r="D1708" s="37" t="s">
        <v>26119</v>
      </c>
    </row>
    <row r="1709">
      <c r="A1709" s="37" t="s">
        <v>1147</v>
      </c>
      <c r="B1709" s="37" t="s">
        <v>478</v>
      </c>
      <c r="C1709" s="7" t="s">
        <v>24243</v>
      </c>
      <c r="D1709" s="37" t="s">
        <v>26120</v>
      </c>
    </row>
    <row r="1710">
      <c r="A1710" s="37" t="s">
        <v>51</v>
      </c>
      <c r="B1710" s="37" t="s">
        <v>1242</v>
      </c>
      <c r="C1710" s="7" t="s">
        <v>26121</v>
      </c>
      <c r="D1710" s="37" t="s">
        <v>26122</v>
      </c>
    </row>
    <row r="1711">
      <c r="A1711" s="37" t="s">
        <v>698</v>
      </c>
      <c r="B1711" s="37" t="s">
        <v>693</v>
      </c>
      <c r="C1711" s="7" t="s">
        <v>26123</v>
      </c>
      <c r="D1711" s="37" t="s">
        <v>26124</v>
      </c>
    </row>
    <row r="1712">
      <c r="A1712" s="37" t="s">
        <v>1495</v>
      </c>
      <c r="B1712" s="37" t="s">
        <v>1495</v>
      </c>
      <c r="C1712" s="7" t="s">
        <v>26125</v>
      </c>
      <c r="D1712" s="37" t="s">
        <v>26126</v>
      </c>
    </row>
    <row r="1713">
      <c r="A1713" s="37" t="s">
        <v>1147</v>
      </c>
      <c r="B1713" s="37" t="s">
        <v>478</v>
      </c>
      <c r="C1713" s="7" t="s">
        <v>3829</v>
      </c>
      <c r="D1713" s="37" t="s">
        <v>26127</v>
      </c>
    </row>
    <row r="1714">
      <c r="A1714" s="37" t="s">
        <v>1147</v>
      </c>
      <c r="B1714" s="37" t="s">
        <v>478</v>
      </c>
      <c r="C1714" s="7" t="s">
        <v>14345</v>
      </c>
      <c r="D1714" s="37" t="s">
        <v>26128</v>
      </c>
    </row>
    <row r="1715">
      <c r="A1715" s="37" t="s">
        <v>1495</v>
      </c>
      <c r="B1715" s="37" t="s">
        <v>26129</v>
      </c>
      <c r="C1715" s="7" t="s">
        <v>26130</v>
      </c>
      <c r="D1715" s="37" t="s">
        <v>26131</v>
      </c>
    </row>
    <row r="1716">
      <c r="A1716" s="37" t="s">
        <v>1495</v>
      </c>
      <c r="B1716" s="37" t="s">
        <v>26129</v>
      </c>
      <c r="C1716" s="7" t="s">
        <v>12215</v>
      </c>
      <c r="D1716" s="37" t="s">
        <v>26132</v>
      </c>
    </row>
    <row r="1717">
      <c r="A1717" s="37" t="s">
        <v>1495</v>
      </c>
      <c r="B1717" s="37" t="s">
        <v>26129</v>
      </c>
      <c r="C1717" s="7" t="s">
        <v>6404</v>
      </c>
      <c r="D1717" s="37" t="s">
        <v>26133</v>
      </c>
    </row>
    <row r="1718">
      <c r="A1718" s="37" t="s">
        <v>1495</v>
      </c>
      <c r="B1718" s="37" t="s">
        <v>26129</v>
      </c>
      <c r="C1718" s="7" t="s">
        <v>24579</v>
      </c>
      <c r="D1718" s="37" t="s">
        <v>26134</v>
      </c>
    </row>
    <row r="1719">
      <c r="A1719" s="37" t="s">
        <v>1495</v>
      </c>
      <c r="B1719" s="37" t="s">
        <v>26129</v>
      </c>
      <c r="C1719" s="7" t="s">
        <v>9385</v>
      </c>
      <c r="D1719" s="37" t="s">
        <v>26135</v>
      </c>
    </row>
    <row r="1720">
      <c r="A1720" s="37" t="s">
        <v>1495</v>
      </c>
      <c r="B1720" s="37" t="s">
        <v>26129</v>
      </c>
      <c r="C1720" s="7" t="s">
        <v>24161</v>
      </c>
      <c r="D1720" s="37" t="s">
        <v>26136</v>
      </c>
    </row>
    <row r="1721">
      <c r="A1721" s="37" t="s">
        <v>1495</v>
      </c>
      <c r="B1721" s="37" t="s">
        <v>26129</v>
      </c>
      <c r="C1721" s="7" t="s">
        <v>12712</v>
      </c>
      <c r="D1721" s="37" t="s">
        <v>26137</v>
      </c>
    </row>
    <row r="1722">
      <c r="A1722" s="37" t="s">
        <v>1495</v>
      </c>
      <c r="B1722" s="37" t="s">
        <v>26129</v>
      </c>
      <c r="C1722" s="7" t="s">
        <v>26138</v>
      </c>
      <c r="D1722" s="37" t="s">
        <v>26139</v>
      </c>
    </row>
    <row r="1723">
      <c r="A1723" s="37" t="s">
        <v>1495</v>
      </c>
      <c r="B1723" s="37" t="s">
        <v>26129</v>
      </c>
      <c r="C1723" s="7" t="s">
        <v>10864</v>
      </c>
      <c r="D1723" s="37" t="s">
        <v>26140</v>
      </c>
    </row>
    <row r="1724">
      <c r="A1724" s="37" t="s">
        <v>1495</v>
      </c>
      <c r="B1724" s="37" t="s">
        <v>26129</v>
      </c>
      <c r="C1724" s="7" t="s">
        <v>6517</v>
      </c>
      <c r="D1724" s="37" t="s">
        <v>26141</v>
      </c>
    </row>
    <row r="1725">
      <c r="A1725" s="37" t="s">
        <v>1495</v>
      </c>
      <c r="B1725" s="37" t="s">
        <v>26129</v>
      </c>
      <c r="C1725" s="7" t="s">
        <v>26142</v>
      </c>
      <c r="D1725" s="37" t="s">
        <v>26143</v>
      </c>
    </row>
    <row r="1726">
      <c r="A1726" s="37" t="s">
        <v>540</v>
      </c>
      <c r="B1726" s="37" t="s">
        <v>26144</v>
      </c>
      <c r="C1726" s="7" t="s">
        <v>26145</v>
      </c>
      <c r="D1726" s="37" t="s">
        <v>26146</v>
      </c>
    </row>
    <row r="1727">
      <c r="A1727" s="37" t="s">
        <v>26147</v>
      </c>
      <c r="B1727" s="37" t="s">
        <v>693</v>
      </c>
      <c r="C1727" s="7" t="s">
        <v>26148</v>
      </c>
      <c r="D1727" s="37" t="s">
        <v>26149</v>
      </c>
    </row>
    <row r="1728">
      <c r="A1728" s="37" t="s">
        <v>698</v>
      </c>
      <c r="B1728" s="37" t="s">
        <v>693</v>
      </c>
      <c r="C1728" s="7" t="s">
        <v>26150</v>
      </c>
      <c r="D1728" s="37" t="s">
        <v>26151</v>
      </c>
    </row>
    <row r="1729">
      <c r="A1729" s="37" t="s">
        <v>1495</v>
      </c>
      <c r="B1729" s="37" t="s">
        <v>24942</v>
      </c>
      <c r="C1729" s="7" t="s">
        <v>26152</v>
      </c>
      <c r="D1729" s="37" t="s">
        <v>26153</v>
      </c>
    </row>
    <row r="1730">
      <c r="A1730" s="37" t="s">
        <v>24751</v>
      </c>
      <c r="B1730" s="37" t="s">
        <v>24752</v>
      </c>
      <c r="C1730" s="7" t="s">
        <v>26154</v>
      </c>
      <c r="D1730" s="37" t="s">
        <v>26155</v>
      </c>
    </row>
    <row r="1731">
      <c r="A1731" s="37" t="s">
        <v>24751</v>
      </c>
      <c r="B1731" s="37" t="s">
        <v>24752</v>
      </c>
      <c r="C1731" s="7" t="s">
        <v>26156</v>
      </c>
      <c r="D1731" s="37" t="s">
        <v>26157</v>
      </c>
    </row>
    <row r="1732">
      <c r="A1732" s="37" t="s">
        <v>1274</v>
      </c>
      <c r="B1732" s="37" t="s">
        <v>1273</v>
      </c>
      <c r="C1732" s="7" t="s">
        <v>26158</v>
      </c>
      <c r="D1732" s="37" t="s">
        <v>26159</v>
      </c>
    </row>
    <row r="1733">
      <c r="A1733" s="37" t="s">
        <v>540</v>
      </c>
      <c r="B1733" s="37" t="s">
        <v>26160</v>
      </c>
      <c r="C1733" s="7" t="s">
        <v>26161</v>
      </c>
      <c r="D1733" s="37" t="s">
        <v>26162</v>
      </c>
    </row>
    <row r="1734">
      <c r="A1734" s="37" t="s">
        <v>696</v>
      </c>
      <c r="B1734" s="37" t="s">
        <v>693</v>
      </c>
      <c r="C1734" s="7" t="s">
        <v>26163</v>
      </c>
      <c r="D1734" s="37" t="s">
        <v>26164</v>
      </c>
    </row>
    <row r="1735">
      <c r="A1735" s="37" t="s">
        <v>696</v>
      </c>
      <c r="B1735" s="37" t="s">
        <v>693</v>
      </c>
      <c r="C1735" s="7" t="s">
        <v>26165</v>
      </c>
      <c r="D1735" s="37" t="s">
        <v>26166</v>
      </c>
    </row>
    <row r="1736">
      <c r="A1736" s="37" t="s">
        <v>118</v>
      </c>
      <c r="B1736" s="37" t="s">
        <v>24608</v>
      </c>
      <c r="C1736" s="7" t="s">
        <v>26167</v>
      </c>
      <c r="D1736" s="37" t="s">
        <v>26168</v>
      </c>
    </row>
    <row r="1737">
      <c r="A1737" s="37" t="s">
        <v>1229</v>
      </c>
      <c r="B1737" s="37" t="s">
        <v>26038</v>
      </c>
      <c r="C1737" s="7" t="s">
        <v>26169</v>
      </c>
      <c r="D1737" s="37" t="s">
        <v>26170</v>
      </c>
    </row>
    <row r="1738">
      <c r="A1738" s="37" t="s">
        <v>1229</v>
      </c>
      <c r="B1738" s="37" t="s">
        <v>26038</v>
      </c>
      <c r="C1738" s="7" t="s">
        <v>26171</v>
      </c>
      <c r="D1738" s="37" t="s">
        <v>26172</v>
      </c>
    </row>
    <row r="1739">
      <c r="A1739" s="37" t="s">
        <v>1229</v>
      </c>
      <c r="B1739" s="37" t="s">
        <v>26038</v>
      </c>
      <c r="C1739" s="7" t="s">
        <v>26173</v>
      </c>
      <c r="D1739" s="37" t="s">
        <v>26174</v>
      </c>
    </row>
    <row r="1740">
      <c r="A1740" s="37" t="s">
        <v>1229</v>
      </c>
      <c r="B1740" s="37" t="s">
        <v>26038</v>
      </c>
      <c r="C1740" s="7" t="s">
        <v>26175</v>
      </c>
      <c r="D1740" s="37" t="s">
        <v>26176</v>
      </c>
    </row>
    <row r="1741">
      <c r="A1741" s="37" t="s">
        <v>1229</v>
      </c>
      <c r="B1741" s="37" t="s">
        <v>26038</v>
      </c>
      <c r="C1741" s="7" t="s">
        <v>26177</v>
      </c>
      <c r="D1741" s="37" t="s">
        <v>26178</v>
      </c>
    </row>
    <row r="1742">
      <c r="A1742" s="37" t="s">
        <v>1189</v>
      </c>
      <c r="B1742" s="37" t="s">
        <v>1273</v>
      </c>
      <c r="C1742" s="7" t="s">
        <v>26179</v>
      </c>
      <c r="D1742" s="37" t="s">
        <v>26180</v>
      </c>
    </row>
    <row r="1743">
      <c r="A1743" s="37" t="s">
        <v>1189</v>
      </c>
      <c r="B1743" s="37" t="s">
        <v>1273</v>
      </c>
      <c r="C1743" s="7" t="s">
        <v>26181</v>
      </c>
      <c r="D1743" s="37" t="s">
        <v>26182</v>
      </c>
    </row>
    <row r="1744">
      <c r="A1744" s="37" t="s">
        <v>25156</v>
      </c>
      <c r="B1744" s="37" t="s">
        <v>26183</v>
      </c>
      <c r="C1744" s="7" t="s">
        <v>26184</v>
      </c>
      <c r="D1744" s="37" t="s">
        <v>26185</v>
      </c>
    </row>
    <row r="1745">
      <c r="A1745" s="37" t="s">
        <v>1189</v>
      </c>
      <c r="B1745" s="37" t="s">
        <v>1273</v>
      </c>
      <c r="C1745" s="7" t="s">
        <v>26186</v>
      </c>
      <c r="D1745" s="37" t="s">
        <v>26187</v>
      </c>
    </row>
    <row r="1746">
      <c r="A1746" s="37" t="s">
        <v>124</v>
      </c>
      <c r="B1746" s="37" t="s">
        <v>24608</v>
      </c>
      <c r="C1746" s="7" t="s">
        <v>13112</v>
      </c>
      <c r="D1746" s="37" t="s">
        <v>26188</v>
      </c>
    </row>
    <row r="1747">
      <c r="A1747" s="37" t="s">
        <v>324</v>
      </c>
      <c r="B1747" s="37" t="s">
        <v>1242</v>
      </c>
      <c r="C1747" s="7" t="s">
        <v>26189</v>
      </c>
      <c r="D1747" s="37" t="s">
        <v>26190</v>
      </c>
    </row>
    <row r="1748">
      <c r="A1748" s="37" t="s">
        <v>304</v>
      </c>
      <c r="B1748" s="37" t="s">
        <v>298</v>
      </c>
      <c r="C1748" s="7" t="s">
        <v>26191</v>
      </c>
      <c r="D1748" s="37" t="s">
        <v>26192</v>
      </c>
    </row>
    <row r="1749">
      <c r="A1749" s="37" t="s">
        <v>1361</v>
      </c>
      <c r="B1749" s="37" t="s">
        <v>1096</v>
      </c>
      <c r="C1749" s="7" t="s">
        <v>26193</v>
      </c>
      <c r="D1749" s="37" t="s">
        <v>26194</v>
      </c>
    </row>
    <row r="1750">
      <c r="A1750" s="37" t="s">
        <v>1162</v>
      </c>
      <c r="B1750" s="37" t="s">
        <v>1054</v>
      </c>
      <c r="C1750" s="7" t="s">
        <v>26195</v>
      </c>
      <c r="D1750" s="37" t="s">
        <v>26196</v>
      </c>
    </row>
    <row r="1751">
      <c r="A1751" s="37" t="s">
        <v>1162</v>
      </c>
      <c r="B1751" s="37" t="s">
        <v>1054</v>
      </c>
      <c r="C1751" s="7" t="s">
        <v>26197</v>
      </c>
      <c r="D1751" s="37" t="s">
        <v>26198</v>
      </c>
    </row>
    <row r="1752">
      <c r="A1752" s="37" t="s">
        <v>1229</v>
      </c>
      <c r="B1752" s="37" t="s">
        <v>26038</v>
      </c>
      <c r="C1752" s="7" t="s">
        <v>26199</v>
      </c>
      <c r="D1752" s="37" t="s">
        <v>26200</v>
      </c>
    </row>
    <row r="1753">
      <c r="A1753" s="37" t="s">
        <v>1495</v>
      </c>
      <c r="B1753" s="37" t="s">
        <v>1495</v>
      </c>
      <c r="C1753" s="7" t="s">
        <v>26201</v>
      </c>
      <c r="D1753" s="37" t="s">
        <v>26202</v>
      </c>
    </row>
    <row r="1754">
      <c r="A1754" s="37" t="s">
        <v>696</v>
      </c>
      <c r="B1754" s="37" t="s">
        <v>693</v>
      </c>
      <c r="C1754" s="7" t="s">
        <v>26203</v>
      </c>
      <c r="D1754" s="37" t="s">
        <v>26204</v>
      </c>
    </row>
    <row r="1755">
      <c r="A1755" s="37" t="s">
        <v>484</v>
      </c>
      <c r="B1755" s="37" t="s">
        <v>478</v>
      </c>
      <c r="C1755" s="7" t="s">
        <v>26205</v>
      </c>
      <c r="D1755" s="37" t="s">
        <v>26206</v>
      </c>
    </row>
    <row r="1756">
      <c r="A1756" s="37" t="s">
        <v>1278</v>
      </c>
      <c r="B1756" s="37" t="s">
        <v>24942</v>
      </c>
      <c r="C1756" s="7" t="s">
        <v>26207</v>
      </c>
      <c r="D1756" s="37" t="s">
        <v>26208</v>
      </c>
    </row>
    <row r="1757">
      <c r="A1757" s="37" t="s">
        <v>104</v>
      </c>
      <c r="B1757" s="37" t="s">
        <v>613</v>
      </c>
      <c r="C1757" s="7" t="s">
        <v>26209</v>
      </c>
      <c r="D1757" s="37" t="s">
        <v>26210</v>
      </c>
    </row>
    <row r="1758">
      <c r="A1758" s="37" t="s">
        <v>1148</v>
      </c>
      <c r="B1758" s="37" t="s">
        <v>1208</v>
      </c>
      <c r="C1758" s="7" t="s">
        <v>26211</v>
      </c>
      <c r="D1758" s="37" t="s">
        <v>26212</v>
      </c>
    </row>
    <row r="1759">
      <c r="A1759" s="37" t="s">
        <v>1148</v>
      </c>
      <c r="B1759" s="37" t="s">
        <v>1208</v>
      </c>
      <c r="C1759" s="7" t="s">
        <v>26213</v>
      </c>
      <c r="D1759" s="37" t="s">
        <v>26214</v>
      </c>
    </row>
    <row r="1760">
      <c r="A1760" s="37" t="s">
        <v>1495</v>
      </c>
      <c r="B1760" s="37" t="s">
        <v>26129</v>
      </c>
      <c r="C1760" s="7" t="s">
        <v>12590</v>
      </c>
      <c r="D1760" s="37" t="s">
        <v>26215</v>
      </c>
    </row>
    <row r="1761">
      <c r="A1761" s="37" t="s">
        <v>1495</v>
      </c>
      <c r="B1761" s="37" t="s">
        <v>26129</v>
      </c>
      <c r="C1761" s="7" t="s">
        <v>23092</v>
      </c>
      <c r="D1761" s="37" t="s">
        <v>26216</v>
      </c>
    </row>
    <row r="1762">
      <c r="A1762" s="37" t="s">
        <v>1495</v>
      </c>
      <c r="B1762" s="37" t="s">
        <v>26129</v>
      </c>
      <c r="C1762" s="7" t="s">
        <v>13850</v>
      </c>
      <c r="D1762" s="37" t="s">
        <v>26217</v>
      </c>
    </row>
    <row r="1763">
      <c r="A1763" s="37" t="s">
        <v>1495</v>
      </c>
      <c r="B1763" s="37" t="s">
        <v>26129</v>
      </c>
      <c r="C1763" s="7" t="s">
        <v>5607</v>
      </c>
      <c r="D1763" s="37" t="s">
        <v>26218</v>
      </c>
    </row>
    <row r="1764">
      <c r="A1764" s="37" t="s">
        <v>1495</v>
      </c>
      <c r="B1764" s="37" t="s">
        <v>26129</v>
      </c>
      <c r="C1764" s="7" t="s">
        <v>23120</v>
      </c>
      <c r="D1764" s="37" t="s">
        <v>26219</v>
      </c>
    </row>
    <row r="1765">
      <c r="A1765" s="37" t="s">
        <v>1495</v>
      </c>
      <c r="B1765" s="37" t="s">
        <v>26129</v>
      </c>
      <c r="C1765" s="7" t="s">
        <v>12335</v>
      </c>
      <c r="D1765" s="37" t="s">
        <v>26220</v>
      </c>
    </row>
    <row r="1766">
      <c r="A1766" s="37" t="s">
        <v>1495</v>
      </c>
      <c r="B1766" s="37" t="s">
        <v>26129</v>
      </c>
      <c r="C1766" s="7" t="s">
        <v>24581</v>
      </c>
      <c r="D1766" s="37" t="s">
        <v>26221</v>
      </c>
    </row>
    <row r="1767">
      <c r="A1767" s="37" t="s">
        <v>1495</v>
      </c>
      <c r="B1767" s="37" t="s">
        <v>26129</v>
      </c>
      <c r="C1767" s="7" t="s">
        <v>4052</v>
      </c>
      <c r="D1767" s="37" t="s">
        <v>26222</v>
      </c>
    </row>
    <row r="1768">
      <c r="A1768" s="37" t="s">
        <v>1495</v>
      </c>
      <c r="B1768" s="37" t="s">
        <v>26129</v>
      </c>
      <c r="C1768" s="7" t="s">
        <v>11239</v>
      </c>
      <c r="D1768" s="37" t="s">
        <v>26223</v>
      </c>
    </row>
    <row r="1769">
      <c r="A1769" s="37" t="s">
        <v>1362</v>
      </c>
      <c r="B1769" s="37" t="s">
        <v>1096</v>
      </c>
      <c r="C1769" s="7" t="s">
        <v>26224</v>
      </c>
      <c r="D1769" s="37" t="s">
        <v>26225</v>
      </c>
    </row>
    <row r="1770">
      <c r="A1770" s="37" t="s">
        <v>824</v>
      </c>
      <c r="B1770" s="37" t="s">
        <v>26226</v>
      </c>
      <c r="C1770" s="7" t="s">
        <v>26227</v>
      </c>
      <c r="D1770" s="37" t="s">
        <v>26228</v>
      </c>
    </row>
    <row r="1771">
      <c r="A1771" s="37" t="s">
        <v>824</v>
      </c>
      <c r="B1771" s="37" t="s">
        <v>1242</v>
      </c>
      <c r="C1771" s="7" t="s">
        <v>26229</v>
      </c>
      <c r="D1771" s="37" t="s">
        <v>26230</v>
      </c>
    </row>
    <row r="1772">
      <c r="A1772" s="37" t="s">
        <v>1229</v>
      </c>
      <c r="B1772" s="37" t="s">
        <v>1096</v>
      </c>
      <c r="C1772" s="7" t="s">
        <v>26231</v>
      </c>
      <c r="D1772" s="37" t="s">
        <v>26232</v>
      </c>
    </row>
    <row r="1773">
      <c r="A1773" s="37" t="s">
        <v>106</v>
      </c>
      <c r="B1773" s="37" t="s">
        <v>613</v>
      </c>
      <c r="C1773" s="7" t="s">
        <v>26233</v>
      </c>
      <c r="D1773" s="37" t="s">
        <v>26234</v>
      </c>
    </row>
    <row r="1774">
      <c r="A1774" s="37" t="s">
        <v>23590</v>
      </c>
      <c r="B1774" s="37" t="s">
        <v>26235</v>
      </c>
      <c r="C1774" s="7" t="s">
        <v>26236</v>
      </c>
      <c r="D1774" s="37" t="s">
        <v>26237</v>
      </c>
    </row>
    <row r="1775">
      <c r="A1775" s="37" t="s">
        <v>540</v>
      </c>
      <c r="B1775" s="37" t="s">
        <v>26160</v>
      </c>
      <c r="C1775" s="7" t="s">
        <v>26238</v>
      </c>
      <c r="D1775" s="37" t="s">
        <v>26239</v>
      </c>
    </row>
    <row r="1776">
      <c r="A1776" s="37" t="s">
        <v>443</v>
      </c>
      <c r="B1776" s="37" t="s">
        <v>440</v>
      </c>
      <c r="C1776" s="7" t="s">
        <v>26240</v>
      </c>
      <c r="D1776" s="37" t="s">
        <v>26241</v>
      </c>
    </row>
    <row r="1777">
      <c r="A1777" s="37" t="s">
        <v>443</v>
      </c>
      <c r="B1777" s="37" t="s">
        <v>440</v>
      </c>
      <c r="C1777" s="7" t="s">
        <v>26242</v>
      </c>
      <c r="D1777" s="37" t="s">
        <v>26243</v>
      </c>
    </row>
    <row r="1778">
      <c r="A1778" s="37" t="s">
        <v>1363</v>
      </c>
      <c r="B1778" s="37" t="s">
        <v>1096</v>
      </c>
      <c r="C1778" s="7" t="s">
        <v>5138</v>
      </c>
      <c r="D1778" s="37" t="s">
        <v>26244</v>
      </c>
    </row>
    <row r="1779">
      <c r="A1779" s="37" t="s">
        <v>1262</v>
      </c>
      <c r="B1779" s="37" t="s">
        <v>26245</v>
      </c>
      <c r="C1779" s="7" t="s">
        <v>26246</v>
      </c>
      <c r="D1779" s="37" t="s">
        <v>26247</v>
      </c>
    </row>
    <row r="1780">
      <c r="A1780" s="37" t="s">
        <v>1262</v>
      </c>
      <c r="B1780" s="37" t="s">
        <v>26245</v>
      </c>
      <c r="C1780" s="7" t="s">
        <v>26248</v>
      </c>
      <c r="D1780" s="37" t="s">
        <v>26249</v>
      </c>
    </row>
    <row r="1781">
      <c r="A1781" s="37" t="s">
        <v>118</v>
      </c>
      <c r="B1781" s="37" t="s">
        <v>24608</v>
      </c>
      <c r="C1781" s="7" t="s">
        <v>26250</v>
      </c>
      <c r="D1781" s="37" t="s">
        <v>26251</v>
      </c>
    </row>
    <row r="1782">
      <c r="A1782" s="37" t="s">
        <v>824</v>
      </c>
      <c r="B1782" s="37" t="s">
        <v>1242</v>
      </c>
      <c r="C1782" s="7" t="s">
        <v>13904</v>
      </c>
      <c r="D1782" s="37" t="s">
        <v>26252</v>
      </c>
    </row>
    <row r="1783">
      <c r="A1783" s="37" t="s">
        <v>824</v>
      </c>
      <c r="B1783" s="37" t="s">
        <v>1242</v>
      </c>
      <c r="C1783" s="7" t="s">
        <v>26253</v>
      </c>
      <c r="D1783" s="37" t="s">
        <v>26254</v>
      </c>
    </row>
    <row r="1784">
      <c r="A1784" s="37" t="s">
        <v>443</v>
      </c>
      <c r="B1784" s="37" t="s">
        <v>440</v>
      </c>
      <c r="C1784" s="7" t="s">
        <v>26255</v>
      </c>
      <c r="D1784" s="37" t="s">
        <v>26256</v>
      </c>
    </row>
    <row r="1785">
      <c r="A1785" s="37" t="s">
        <v>1229</v>
      </c>
      <c r="B1785" s="37" t="s">
        <v>26038</v>
      </c>
      <c r="C1785" s="7" t="s">
        <v>26257</v>
      </c>
      <c r="D1785" s="37" t="s">
        <v>26258</v>
      </c>
    </row>
    <row r="1786">
      <c r="A1786" s="37" t="s">
        <v>1361</v>
      </c>
      <c r="B1786" s="37" t="s">
        <v>1096</v>
      </c>
      <c r="C1786" s="7" t="s">
        <v>8528</v>
      </c>
      <c r="D1786" s="37" t="s">
        <v>26259</v>
      </c>
    </row>
    <row r="1787">
      <c r="A1787" s="37" t="s">
        <v>74</v>
      </c>
      <c r="B1787" s="37" t="s">
        <v>1208</v>
      </c>
      <c r="C1787" s="7" t="s">
        <v>26260</v>
      </c>
      <c r="D1787" s="37" t="s">
        <v>26261</v>
      </c>
    </row>
    <row r="1788">
      <c r="A1788" s="37" t="s">
        <v>1495</v>
      </c>
      <c r="B1788" s="37" t="s">
        <v>1495</v>
      </c>
      <c r="C1788" s="7" t="s">
        <v>26262</v>
      </c>
      <c r="D1788" s="37" t="s">
        <v>26263</v>
      </c>
    </row>
    <row r="1789">
      <c r="A1789" s="37" t="s">
        <v>286</v>
      </c>
      <c r="B1789" s="37" t="s">
        <v>854</v>
      </c>
      <c r="C1789" s="7" t="s">
        <v>26264</v>
      </c>
      <c r="D1789" s="37" t="s">
        <v>26265</v>
      </c>
    </row>
    <row r="1790">
      <c r="A1790" s="37" t="s">
        <v>24751</v>
      </c>
      <c r="B1790" s="37" t="s">
        <v>24752</v>
      </c>
      <c r="C1790" s="7" t="s">
        <v>26266</v>
      </c>
      <c r="D1790" s="37" t="s">
        <v>26267</v>
      </c>
    </row>
    <row r="1791">
      <c r="A1791" s="37" t="s">
        <v>1495</v>
      </c>
      <c r="B1791" s="37" t="s">
        <v>854</v>
      </c>
      <c r="C1791" s="7" t="s">
        <v>1496</v>
      </c>
      <c r="D1791" s="37" t="s">
        <v>26268</v>
      </c>
    </row>
    <row r="1792">
      <c r="A1792" s="37" t="s">
        <v>1283</v>
      </c>
      <c r="B1792" s="37" t="s">
        <v>298</v>
      </c>
      <c r="C1792" s="7" t="s">
        <v>26269</v>
      </c>
      <c r="D1792" s="37" t="s">
        <v>26270</v>
      </c>
    </row>
    <row r="1793">
      <c r="A1793" s="37" t="s">
        <v>1188</v>
      </c>
      <c r="B1793" s="37" t="s">
        <v>1208</v>
      </c>
      <c r="C1793" s="7" t="s">
        <v>26271</v>
      </c>
      <c r="D1793" s="37" t="s">
        <v>26272</v>
      </c>
    </row>
    <row r="1794">
      <c r="A1794" s="37" t="s">
        <v>90</v>
      </c>
      <c r="B1794" s="37" t="s">
        <v>440</v>
      </c>
      <c r="C1794" s="7" t="s">
        <v>26273</v>
      </c>
      <c r="D1794" s="37" t="s">
        <v>26274</v>
      </c>
    </row>
    <row r="1795">
      <c r="A1795" s="37" t="s">
        <v>1279</v>
      </c>
      <c r="B1795" s="37" t="s">
        <v>1273</v>
      </c>
      <c r="C1795" s="7" t="s">
        <v>26275</v>
      </c>
      <c r="D1795" s="37" t="s">
        <v>26276</v>
      </c>
    </row>
    <row r="1796">
      <c r="A1796" s="37" t="s">
        <v>1229</v>
      </c>
      <c r="B1796" s="37" t="s">
        <v>1096</v>
      </c>
      <c r="C1796" s="7" t="s">
        <v>26277</v>
      </c>
      <c r="D1796" s="37" t="s">
        <v>26278</v>
      </c>
    </row>
    <row r="1797">
      <c r="A1797" s="37" t="s">
        <v>286</v>
      </c>
      <c r="B1797" s="37" t="s">
        <v>854</v>
      </c>
      <c r="C1797" s="7" t="s">
        <v>26279</v>
      </c>
      <c r="D1797" s="37" t="s">
        <v>26280</v>
      </c>
    </row>
    <row r="1798">
      <c r="A1798" s="37" t="s">
        <v>1188</v>
      </c>
      <c r="B1798" s="37" t="s">
        <v>1208</v>
      </c>
      <c r="C1798" s="7" t="s">
        <v>26281</v>
      </c>
      <c r="D1798" s="37" t="s">
        <v>26282</v>
      </c>
    </row>
    <row r="1799">
      <c r="A1799" s="37" t="s">
        <v>1229</v>
      </c>
      <c r="B1799" s="37" t="s">
        <v>26038</v>
      </c>
      <c r="C1799" s="7" t="s">
        <v>26283</v>
      </c>
      <c r="D1799" s="37" t="s">
        <v>26284</v>
      </c>
    </row>
    <row r="1800">
      <c r="A1800" s="37" t="s">
        <v>24751</v>
      </c>
      <c r="B1800" s="37" t="s">
        <v>24752</v>
      </c>
      <c r="C1800" s="7" t="s">
        <v>26285</v>
      </c>
      <c r="D1800" s="37" t="s">
        <v>26286</v>
      </c>
    </row>
    <row r="1801">
      <c r="A1801" s="37" t="s">
        <v>540</v>
      </c>
      <c r="B1801" s="37" t="s">
        <v>26144</v>
      </c>
      <c r="C1801" s="7" t="s">
        <v>26287</v>
      </c>
      <c r="D1801" s="37" t="s">
        <v>26288</v>
      </c>
    </row>
    <row r="1802">
      <c r="A1802" s="37" t="s">
        <v>97</v>
      </c>
      <c r="B1802" s="37" t="s">
        <v>440</v>
      </c>
      <c r="C1802" s="7" t="s">
        <v>26289</v>
      </c>
      <c r="D1802" s="37" t="s">
        <v>26290</v>
      </c>
    </row>
    <row r="1803">
      <c r="A1803" s="37" t="s">
        <v>1162</v>
      </c>
      <c r="B1803" s="37" t="s">
        <v>1054</v>
      </c>
      <c r="C1803" s="7" t="s">
        <v>26291</v>
      </c>
      <c r="D1803" s="37" t="s">
        <v>26292</v>
      </c>
    </row>
    <row r="1804">
      <c r="A1804" s="37" t="s">
        <v>1361</v>
      </c>
      <c r="B1804" s="37" t="s">
        <v>1096</v>
      </c>
      <c r="C1804" s="7" t="s">
        <v>26293</v>
      </c>
      <c r="D1804" s="37" t="s">
        <v>26294</v>
      </c>
    </row>
    <row r="1805">
      <c r="A1805" s="37" t="s">
        <v>1361</v>
      </c>
      <c r="B1805" s="37" t="s">
        <v>1096</v>
      </c>
      <c r="C1805" s="7" t="s">
        <v>26295</v>
      </c>
      <c r="D1805" s="37" t="s">
        <v>26296</v>
      </c>
    </row>
    <row r="1806">
      <c r="A1806" s="37" t="s">
        <v>1361</v>
      </c>
      <c r="B1806" s="37" t="s">
        <v>1096</v>
      </c>
      <c r="C1806" s="7" t="s">
        <v>26297</v>
      </c>
      <c r="D1806" s="37" t="s">
        <v>26298</v>
      </c>
    </row>
    <row r="1807">
      <c r="A1807" s="37" t="s">
        <v>1283</v>
      </c>
      <c r="B1807" s="37" t="s">
        <v>298</v>
      </c>
      <c r="C1807" s="7" t="s">
        <v>26299</v>
      </c>
      <c r="D1807" s="37" t="s">
        <v>26300</v>
      </c>
    </row>
    <row r="1808">
      <c r="A1808" s="37" t="s">
        <v>26301</v>
      </c>
      <c r="B1808" s="37" t="s">
        <v>26144</v>
      </c>
      <c r="C1808" s="7" t="s">
        <v>26302</v>
      </c>
      <c r="D1808" s="37" t="s">
        <v>26303</v>
      </c>
    </row>
    <row r="1809">
      <c r="A1809" s="37" t="s">
        <v>432</v>
      </c>
      <c r="B1809" s="37" t="s">
        <v>429</v>
      </c>
      <c r="C1809" s="7" t="s">
        <v>26304</v>
      </c>
      <c r="D1809" s="37" t="s">
        <v>26305</v>
      </c>
    </row>
    <row r="1810">
      <c r="A1810" s="37" t="s">
        <v>1495</v>
      </c>
      <c r="B1810" s="37" t="s">
        <v>1495</v>
      </c>
      <c r="C1810" s="7" t="s">
        <v>26306</v>
      </c>
      <c r="D1810" s="37" t="s">
        <v>26307</v>
      </c>
    </row>
    <row r="1811">
      <c r="A1811" s="37" t="s">
        <v>1188</v>
      </c>
      <c r="B1811" s="37" t="s">
        <v>1208</v>
      </c>
      <c r="C1811" s="7" t="s">
        <v>26308</v>
      </c>
      <c r="D1811" s="37" t="s">
        <v>26309</v>
      </c>
    </row>
    <row r="1812">
      <c r="A1812" s="37" t="s">
        <v>1229</v>
      </c>
      <c r="B1812" s="37" t="s">
        <v>26038</v>
      </c>
      <c r="C1812" s="7" t="s">
        <v>26310</v>
      </c>
      <c r="D1812" s="37" t="s">
        <v>26311</v>
      </c>
    </row>
    <row r="1813">
      <c r="A1813" s="37" t="s">
        <v>1229</v>
      </c>
      <c r="B1813" s="37" t="s">
        <v>26038</v>
      </c>
      <c r="C1813" s="7" t="s">
        <v>11166</v>
      </c>
      <c r="D1813" s="37" t="s">
        <v>26312</v>
      </c>
    </row>
    <row r="1814">
      <c r="A1814" s="37" t="s">
        <v>1229</v>
      </c>
      <c r="B1814" s="37" t="s">
        <v>26038</v>
      </c>
      <c r="C1814" s="7" t="s">
        <v>26313</v>
      </c>
      <c r="D1814" s="37" t="s">
        <v>26314</v>
      </c>
    </row>
    <row r="1815">
      <c r="A1815" s="37" t="s">
        <v>1229</v>
      </c>
      <c r="B1815" s="37" t="s">
        <v>26038</v>
      </c>
      <c r="C1815" s="7" t="s">
        <v>26315</v>
      </c>
      <c r="D1815" s="37" t="s">
        <v>26316</v>
      </c>
    </row>
    <row r="1816">
      <c r="A1816" s="37" t="s">
        <v>1229</v>
      </c>
      <c r="B1816" s="37" t="s">
        <v>26038</v>
      </c>
      <c r="C1816" s="7" t="s">
        <v>26317</v>
      </c>
      <c r="D1816" s="37" t="s">
        <v>26318</v>
      </c>
    </row>
    <row r="1817">
      <c r="A1817" s="37" t="s">
        <v>1229</v>
      </c>
      <c r="B1817" s="37" t="s">
        <v>26038</v>
      </c>
      <c r="C1817" s="7" t="s">
        <v>26319</v>
      </c>
      <c r="D1817" s="37" t="s">
        <v>26320</v>
      </c>
    </row>
    <row r="1818">
      <c r="A1818" s="37" t="s">
        <v>1147</v>
      </c>
      <c r="B1818" s="37" t="s">
        <v>478</v>
      </c>
      <c r="C1818" s="7" t="s">
        <v>26321</v>
      </c>
      <c r="D1818" s="37" t="s">
        <v>26322</v>
      </c>
    </row>
    <row r="1819">
      <c r="A1819" s="37" t="s">
        <v>1147</v>
      </c>
      <c r="B1819" s="37" t="s">
        <v>478</v>
      </c>
      <c r="C1819" s="7" t="s">
        <v>26323</v>
      </c>
      <c r="D1819" s="37" t="s">
        <v>26324</v>
      </c>
    </row>
    <row r="1820">
      <c r="A1820" s="37" t="s">
        <v>1147</v>
      </c>
      <c r="B1820" s="37" t="s">
        <v>478</v>
      </c>
      <c r="C1820" s="7" t="s">
        <v>26325</v>
      </c>
      <c r="D1820" s="37" t="s">
        <v>26326</v>
      </c>
    </row>
    <row r="1821">
      <c r="A1821" s="37" t="s">
        <v>1147</v>
      </c>
      <c r="B1821" s="37" t="s">
        <v>478</v>
      </c>
      <c r="C1821" s="7" t="s">
        <v>26327</v>
      </c>
      <c r="D1821" s="37" t="s">
        <v>26328</v>
      </c>
    </row>
    <row r="1822">
      <c r="A1822" s="37" t="s">
        <v>484</v>
      </c>
      <c r="B1822" s="37" t="s">
        <v>478</v>
      </c>
      <c r="C1822" s="7" t="s">
        <v>26329</v>
      </c>
      <c r="D1822" s="37" t="s">
        <v>26330</v>
      </c>
    </row>
    <row r="1823">
      <c r="A1823" s="37" t="s">
        <v>1162</v>
      </c>
      <c r="B1823" s="37" t="s">
        <v>1054</v>
      </c>
      <c r="C1823" s="7" t="s">
        <v>26331</v>
      </c>
      <c r="D1823" s="37" t="s">
        <v>26332</v>
      </c>
    </row>
    <row r="1824">
      <c r="A1824" s="37" t="s">
        <v>1495</v>
      </c>
      <c r="B1824" s="37" t="s">
        <v>1495</v>
      </c>
      <c r="C1824" s="7" t="s">
        <v>26333</v>
      </c>
      <c r="D1824" s="37" t="s">
        <v>26334</v>
      </c>
    </row>
    <row r="1825">
      <c r="A1825" s="37" t="s">
        <v>1146</v>
      </c>
      <c r="B1825" s="37" t="s">
        <v>478</v>
      </c>
      <c r="C1825" s="7" t="s">
        <v>26335</v>
      </c>
      <c r="D1825" s="37" t="s">
        <v>26336</v>
      </c>
    </row>
    <row r="1826">
      <c r="A1826" s="37" t="s">
        <v>1137</v>
      </c>
      <c r="B1826" s="37" t="s">
        <v>1096</v>
      </c>
      <c r="C1826" s="7" t="s">
        <v>7307</v>
      </c>
      <c r="D1826" s="37" t="s">
        <v>26337</v>
      </c>
    </row>
    <row r="1827">
      <c r="A1827" s="37" t="s">
        <v>1137</v>
      </c>
      <c r="B1827" s="37" t="s">
        <v>1096</v>
      </c>
      <c r="C1827" s="7" t="s">
        <v>26338</v>
      </c>
      <c r="D1827" s="37" t="s">
        <v>26339</v>
      </c>
    </row>
    <row r="1828">
      <c r="A1828" s="37" t="s">
        <v>19463</v>
      </c>
      <c r="B1828" s="37" t="s">
        <v>1285</v>
      </c>
      <c r="C1828" s="7" t="s">
        <v>26340</v>
      </c>
      <c r="D1828" s="37" t="s">
        <v>26341</v>
      </c>
    </row>
    <row r="1829">
      <c r="A1829" s="37" t="s">
        <v>1147</v>
      </c>
      <c r="B1829" s="37" t="s">
        <v>478</v>
      </c>
      <c r="C1829" s="7" t="s">
        <v>14345</v>
      </c>
      <c r="D1829" s="37" t="s">
        <v>26342</v>
      </c>
    </row>
    <row r="1830">
      <c r="A1830" s="37" t="s">
        <v>1495</v>
      </c>
      <c r="B1830" s="37" t="s">
        <v>1495</v>
      </c>
      <c r="C1830" s="7" t="s">
        <v>26343</v>
      </c>
      <c r="D1830" s="37" t="s">
        <v>26344</v>
      </c>
    </row>
    <row r="1831">
      <c r="A1831" s="37" t="s">
        <v>4</v>
      </c>
      <c r="B1831" s="37" t="s">
        <v>3</v>
      </c>
      <c r="C1831" s="7" t="s">
        <v>26345</v>
      </c>
      <c r="D1831" s="37" t="s">
        <v>26346</v>
      </c>
    </row>
    <row r="1832">
      <c r="A1832" s="37" t="s">
        <v>1229</v>
      </c>
      <c r="B1832" s="37" t="s">
        <v>26038</v>
      </c>
      <c r="C1832" s="7" t="s">
        <v>26347</v>
      </c>
      <c r="D1832" s="37" t="s">
        <v>26348</v>
      </c>
    </row>
    <row r="1833">
      <c r="A1833" s="37" t="s">
        <v>1246</v>
      </c>
      <c r="B1833" s="37" t="s">
        <v>38</v>
      </c>
      <c r="C1833" s="7" t="s">
        <v>26227</v>
      </c>
      <c r="D1833" s="37" t="s">
        <v>26349</v>
      </c>
    </row>
    <row r="1834">
      <c r="A1834" s="37" t="s">
        <v>1283</v>
      </c>
      <c r="B1834" s="37" t="s">
        <v>298</v>
      </c>
      <c r="C1834" s="7" t="s">
        <v>26350</v>
      </c>
      <c r="D1834" s="37" t="s">
        <v>26351</v>
      </c>
    </row>
    <row r="1835">
      <c r="A1835" s="37" t="s">
        <v>1229</v>
      </c>
      <c r="B1835" s="37" t="s">
        <v>26038</v>
      </c>
      <c r="C1835" s="7" t="s">
        <v>26352</v>
      </c>
      <c r="D1835" s="37" t="s">
        <v>26353</v>
      </c>
    </row>
    <row r="1836">
      <c r="A1836" s="37" t="s">
        <v>1229</v>
      </c>
      <c r="B1836" s="37" t="s">
        <v>26038</v>
      </c>
      <c r="C1836" s="7" t="s">
        <v>26354</v>
      </c>
      <c r="D1836" s="37" t="s">
        <v>26355</v>
      </c>
    </row>
    <row r="1837">
      <c r="A1837" s="37" t="s">
        <v>1229</v>
      </c>
      <c r="B1837" s="37" t="s">
        <v>26038</v>
      </c>
      <c r="C1837" s="7" t="s">
        <v>26356</v>
      </c>
      <c r="D1837" s="37" t="s">
        <v>26357</v>
      </c>
    </row>
    <row r="1838">
      <c r="A1838" s="37" t="s">
        <v>1229</v>
      </c>
      <c r="B1838" s="37" t="s">
        <v>26038</v>
      </c>
      <c r="C1838" s="7" t="s">
        <v>26358</v>
      </c>
      <c r="D1838" s="37" t="s">
        <v>26359</v>
      </c>
    </row>
    <row r="1839">
      <c r="A1839" s="37" t="s">
        <v>1229</v>
      </c>
      <c r="B1839" s="37" t="s">
        <v>26038</v>
      </c>
      <c r="C1839" s="7" t="s">
        <v>26360</v>
      </c>
      <c r="D1839" s="37" t="s">
        <v>26361</v>
      </c>
    </row>
    <row r="1840">
      <c r="A1840" s="37" t="s">
        <v>1229</v>
      </c>
      <c r="B1840" s="37" t="s">
        <v>26038</v>
      </c>
      <c r="C1840" s="7" t="s">
        <v>26362</v>
      </c>
      <c r="D1840" s="37" t="s">
        <v>26363</v>
      </c>
    </row>
    <row r="1841">
      <c r="A1841" s="37" t="s">
        <v>1229</v>
      </c>
      <c r="B1841" s="37" t="s">
        <v>26038</v>
      </c>
      <c r="C1841" s="7" t="s">
        <v>26364</v>
      </c>
      <c r="D1841" s="37" t="s">
        <v>26365</v>
      </c>
    </row>
    <row r="1842">
      <c r="A1842" s="37" t="s">
        <v>188</v>
      </c>
      <c r="B1842" s="37" t="s">
        <v>440</v>
      </c>
      <c r="C1842" s="7" t="s">
        <v>26366</v>
      </c>
      <c r="D1842" s="37" t="s">
        <v>26367</v>
      </c>
    </row>
    <row r="1843">
      <c r="A1843" s="37" t="s">
        <v>1274</v>
      </c>
      <c r="B1843" s="37" t="s">
        <v>26245</v>
      </c>
      <c r="C1843" s="7" t="s">
        <v>26368</v>
      </c>
      <c r="D1843" s="37" t="s">
        <v>26369</v>
      </c>
    </row>
    <row r="1844">
      <c r="A1844" s="37" t="s">
        <v>286</v>
      </c>
      <c r="B1844" s="37" t="s">
        <v>854</v>
      </c>
      <c r="C1844" s="7" t="s">
        <v>26370</v>
      </c>
      <c r="D1844" s="37" t="s">
        <v>26371</v>
      </c>
    </row>
    <row r="1845">
      <c r="A1845" s="37" t="s">
        <v>859</v>
      </c>
      <c r="B1845" s="37" t="s">
        <v>854</v>
      </c>
      <c r="C1845" s="7" t="s">
        <v>26372</v>
      </c>
      <c r="D1845" s="37" t="s">
        <v>26373</v>
      </c>
    </row>
    <row r="1846">
      <c r="A1846" s="37" t="s">
        <v>1146</v>
      </c>
      <c r="B1846" s="37" t="s">
        <v>478</v>
      </c>
      <c r="C1846" s="7" t="s">
        <v>26374</v>
      </c>
      <c r="D1846" s="37" t="s">
        <v>26375</v>
      </c>
    </row>
    <row r="1847">
      <c r="A1847" s="37" t="s">
        <v>286</v>
      </c>
      <c r="B1847" s="37" t="s">
        <v>363</v>
      </c>
      <c r="C1847" s="7" t="s">
        <v>26376</v>
      </c>
      <c r="D1847" s="37" t="s">
        <v>26377</v>
      </c>
    </row>
    <row r="1848">
      <c r="A1848" s="37" t="s">
        <v>395</v>
      </c>
      <c r="B1848" s="37" t="s">
        <v>391</v>
      </c>
      <c r="C1848" s="7" t="s">
        <v>26378</v>
      </c>
      <c r="D1848" s="37" t="s">
        <v>26379</v>
      </c>
    </row>
    <row r="1849">
      <c r="A1849" s="37" t="s">
        <v>1361</v>
      </c>
      <c r="B1849" s="37" t="s">
        <v>1096</v>
      </c>
      <c r="C1849" s="7" t="s">
        <v>26380</v>
      </c>
      <c r="D1849" s="37" t="s">
        <v>26381</v>
      </c>
    </row>
    <row r="1850">
      <c r="A1850" s="37" t="s">
        <v>1148</v>
      </c>
      <c r="B1850" s="37" t="s">
        <v>1208</v>
      </c>
      <c r="C1850" s="7" t="s">
        <v>26382</v>
      </c>
      <c r="D1850" s="37" t="s">
        <v>26383</v>
      </c>
    </row>
    <row r="1851">
      <c r="A1851" s="37" t="s">
        <v>1162</v>
      </c>
      <c r="B1851" s="37" t="s">
        <v>1054</v>
      </c>
      <c r="C1851" s="7" t="s">
        <v>26384</v>
      </c>
      <c r="D1851" s="37" t="s">
        <v>26385</v>
      </c>
    </row>
    <row r="1852">
      <c r="A1852" s="37" t="s">
        <v>23</v>
      </c>
      <c r="B1852" s="37" t="s">
        <v>26160</v>
      </c>
      <c r="C1852" s="7" t="s">
        <v>13778</v>
      </c>
      <c r="D1852" s="37" t="s">
        <v>26386</v>
      </c>
    </row>
    <row r="1853">
      <c r="A1853" s="37" t="s">
        <v>1147</v>
      </c>
      <c r="B1853" s="37" t="s">
        <v>478</v>
      </c>
      <c r="C1853" s="7" t="s">
        <v>26387</v>
      </c>
      <c r="D1853" s="37" t="s">
        <v>26388</v>
      </c>
    </row>
    <row r="1854">
      <c r="A1854" s="37" t="s">
        <v>173</v>
      </c>
      <c r="B1854" s="37" t="s">
        <v>854</v>
      </c>
      <c r="C1854" s="7" t="s">
        <v>2022</v>
      </c>
      <c r="D1854" s="37" t="s">
        <v>26389</v>
      </c>
    </row>
    <row r="1855">
      <c r="A1855" s="37" t="s">
        <v>1304</v>
      </c>
      <c r="B1855" s="37" t="s">
        <v>1054</v>
      </c>
      <c r="C1855" s="7" t="s">
        <v>26390</v>
      </c>
      <c r="D1855" s="37" t="s">
        <v>26391</v>
      </c>
    </row>
    <row r="1856">
      <c r="A1856" s="37" t="s">
        <v>23444</v>
      </c>
      <c r="B1856" s="37" t="s">
        <v>24942</v>
      </c>
      <c r="C1856" s="7" t="s">
        <v>26392</v>
      </c>
      <c r="D1856" s="37" t="s">
        <v>26393</v>
      </c>
    </row>
    <row r="1857">
      <c r="A1857" s="37" t="s">
        <v>1229</v>
      </c>
      <c r="B1857" s="37" t="s">
        <v>26038</v>
      </c>
      <c r="C1857" s="7" t="s">
        <v>26394</v>
      </c>
      <c r="D1857" s="37" t="s">
        <v>26395</v>
      </c>
    </row>
    <row r="1858">
      <c r="A1858" s="37" t="s">
        <v>1361</v>
      </c>
      <c r="B1858" s="37" t="s">
        <v>1096</v>
      </c>
      <c r="C1858" s="37" t="s">
        <v>26396</v>
      </c>
      <c r="D1858" s="37" t="s">
        <v>26397</v>
      </c>
    </row>
    <row r="1859">
      <c r="A1859" s="37" t="s">
        <v>1246</v>
      </c>
      <c r="B1859" s="37" t="s">
        <v>1242</v>
      </c>
      <c r="C1859" s="7" t="s">
        <v>26398</v>
      </c>
      <c r="D1859" s="37" t="s">
        <v>26399</v>
      </c>
    </row>
    <row r="1860">
      <c r="A1860" s="37" t="s">
        <v>1229</v>
      </c>
      <c r="B1860" s="37" t="s">
        <v>26038</v>
      </c>
      <c r="C1860" s="7" t="s">
        <v>26400</v>
      </c>
      <c r="D1860" s="37" t="s">
        <v>26401</v>
      </c>
    </row>
    <row r="1861">
      <c r="A1861" s="37" t="s">
        <v>1188</v>
      </c>
      <c r="B1861" s="37" t="s">
        <v>1208</v>
      </c>
      <c r="C1861" s="7" t="s">
        <v>26402</v>
      </c>
      <c r="D1861" s="37" t="s">
        <v>26403</v>
      </c>
    </row>
    <row r="1862">
      <c r="A1862" s="37" t="s">
        <v>1361</v>
      </c>
      <c r="B1862" s="37" t="s">
        <v>1096</v>
      </c>
      <c r="C1862" s="7" t="s">
        <v>26404</v>
      </c>
      <c r="D1862" s="37" t="s">
        <v>26405</v>
      </c>
    </row>
    <row r="1863">
      <c r="A1863" s="37" t="s">
        <v>1279</v>
      </c>
      <c r="B1863" s="37" t="s">
        <v>1273</v>
      </c>
      <c r="C1863" s="7" t="s">
        <v>26406</v>
      </c>
      <c r="D1863" s="37" t="s">
        <v>26407</v>
      </c>
    </row>
    <row r="1864">
      <c r="A1864" s="37" t="s">
        <v>304</v>
      </c>
      <c r="B1864" s="37" t="s">
        <v>298</v>
      </c>
      <c r="C1864" s="7" t="s">
        <v>26408</v>
      </c>
      <c r="D1864" s="37" t="s">
        <v>26409</v>
      </c>
    </row>
    <row r="1865">
      <c r="A1865" s="37" t="s">
        <v>1279</v>
      </c>
      <c r="B1865" s="37" t="s">
        <v>1273</v>
      </c>
      <c r="C1865" s="7" t="s">
        <v>26410</v>
      </c>
      <c r="D1865" s="37" t="s">
        <v>26411</v>
      </c>
    </row>
    <row r="1866">
      <c r="A1866" s="37" t="s">
        <v>1147</v>
      </c>
      <c r="B1866" s="37" t="s">
        <v>478</v>
      </c>
      <c r="C1866" s="7" t="s">
        <v>26412</v>
      </c>
      <c r="D1866" s="37" t="s">
        <v>26413</v>
      </c>
    </row>
    <row r="1867">
      <c r="A1867" s="37" t="s">
        <v>51</v>
      </c>
      <c r="B1867" s="37" t="s">
        <v>25702</v>
      </c>
      <c r="C1867" s="7" t="s">
        <v>26414</v>
      </c>
      <c r="D1867" s="37" t="s">
        <v>26415</v>
      </c>
    </row>
    <row r="1868">
      <c r="A1868" s="37" t="s">
        <v>1147</v>
      </c>
      <c r="B1868" s="37" t="s">
        <v>478</v>
      </c>
      <c r="C1868" s="7" t="s">
        <v>26416</v>
      </c>
      <c r="D1868" s="37" t="s">
        <v>26417</v>
      </c>
    </row>
    <row r="1869">
      <c r="A1869" s="37" t="s">
        <v>1229</v>
      </c>
      <c r="B1869" s="37" t="s">
        <v>26038</v>
      </c>
      <c r="C1869" s="7" t="s">
        <v>6267</v>
      </c>
      <c r="D1869" s="37" t="s">
        <v>26418</v>
      </c>
    </row>
    <row r="1870">
      <c r="A1870" s="37" t="s">
        <v>1148</v>
      </c>
      <c r="B1870" s="37" t="s">
        <v>1208</v>
      </c>
      <c r="C1870" s="7" t="s">
        <v>26419</v>
      </c>
      <c r="D1870" s="37" t="s">
        <v>26420</v>
      </c>
    </row>
    <row r="1871">
      <c r="A1871" s="37" t="s">
        <v>1229</v>
      </c>
      <c r="B1871" s="37" t="s">
        <v>26038</v>
      </c>
      <c r="C1871" s="7" t="s">
        <v>5748</v>
      </c>
      <c r="D1871" s="37" t="s">
        <v>26421</v>
      </c>
    </row>
    <row r="1872">
      <c r="A1872" s="37" t="s">
        <v>1229</v>
      </c>
      <c r="B1872" s="37" t="s">
        <v>26038</v>
      </c>
      <c r="C1872" s="7" t="s">
        <v>8167</v>
      </c>
      <c r="D1872" s="37" t="s">
        <v>26422</v>
      </c>
    </row>
    <row r="1873">
      <c r="A1873" s="37" t="s">
        <v>1229</v>
      </c>
      <c r="B1873" s="37" t="s">
        <v>26038</v>
      </c>
      <c r="C1873" s="7" t="s">
        <v>2422</v>
      </c>
      <c r="D1873" s="37" t="s">
        <v>26423</v>
      </c>
    </row>
    <row r="1874">
      <c r="A1874" s="37" t="s">
        <v>1229</v>
      </c>
      <c r="B1874" s="37" t="s">
        <v>26038</v>
      </c>
      <c r="C1874" s="7" t="s">
        <v>26424</v>
      </c>
      <c r="D1874" s="37" t="s">
        <v>26425</v>
      </c>
    </row>
    <row r="1875">
      <c r="A1875" s="37" t="s">
        <v>399</v>
      </c>
      <c r="B1875" s="37" t="s">
        <v>391</v>
      </c>
      <c r="C1875" s="7" t="s">
        <v>26426</v>
      </c>
      <c r="D1875" s="37" t="s">
        <v>26427</v>
      </c>
    </row>
    <row r="1876">
      <c r="A1876" s="37" t="s">
        <v>399</v>
      </c>
      <c r="B1876" s="37" t="s">
        <v>391</v>
      </c>
      <c r="C1876" s="7" t="s">
        <v>26428</v>
      </c>
      <c r="D1876" s="37" t="s">
        <v>26429</v>
      </c>
    </row>
    <row r="1877">
      <c r="A1877" s="37" t="s">
        <v>399</v>
      </c>
      <c r="B1877" s="37" t="s">
        <v>391</v>
      </c>
      <c r="C1877" s="7" t="s">
        <v>26430</v>
      </c>
      <c r="D1877" s="37" t="s">
        <v>26431</v>
      </c>
    </row>
    <row r="1878">
      <c r="A1878" s="37" t="s">
        <v>1283</v>
      </c>
      <c r="B1878" s="37" t="s">
        <v>298</v>
      </c>
      <c r="C1878" s="7" t="s">
        <v>26432</v>
      </c>
      <c r="D1878" s="37" t="s">
        <v>26433</v>
      </c>
    </row>
    <row r="1879">
      <c r="A1879" s="37" t="s">
        <v>399</v>
      </c>
      <c r="B1879" s="37" t="s">
        <v>391</v>
      </c>
      <c r="C1879" s="7" t="s">
        <v>26434</v>
      </c>
      <c r="D1879" s="37" t="s">
        <v>26435</v>
      </c>
    </row>
    <row r="1880">
      <c r="A1880" s="37" t="s">
        <v>1189</v>
      </c>
      <c r="B1880" s="37" t="s">
        <v>1273</v>
      </c>
      <c r="C1880" s="7" t="s">
        <v>26436</v>
      </c>
      <c r="D1880" s="37" t="s">
        <v>26437</v>
      </c>
    </row>
    <row r="1881">
      <c r="A1881" s="37" t="s">
        <v>74</v>
      </c>
      <c r="B1881" s="37" t="s">
        <v>1208</v>
      </c>
      <c r="C1881" s="7" t="s">
        <v>26438</v>
      </c>
      <c r="D1881" s="37" t="s">
        <v>26439</v>
      </c>
    </row>
    <row r="1882">
      <c r="A1882" s="37" t="s">
        <v>1362</v>
      </c>
      <c r="B1882" s="37" t="s">
        <v>1096</v>
      </c>
      <c r="C1882" s="7" t="s">
        <v>26440</v>
      </c>
      <c r="D1882" s="37" t="s">
        <v>26441</v>
      </c>
    </row>
    <row r="1883">
      <c r="A1883" s="37" t="s">
        <v>1279</v>
      </c>
      <c r="B1883" s="37" t="s">
        <v>1273</v>
      </c>
      <c r="C1883" s="7" t="s">
        <v>26442</v>
      </c>
      <c r="D1883" s="37" t="s">
        <v>26443</v>
      </c>
    </row>
    <row r="1884">
      <c r="A1884" s="37" t="s">
        <v>1188</v>
      </c>
      <c r="B1884" s="37" t="s">
        <v>1208</v>
      </c>
      <c r="C1884" s="7" t="s">
        <v>26444</v>
      </c>
      <c r="D1884" s="37" t="s">
        <v>26445</v>
      </c>
    </row>
    <row r="1885">
      <c r="A1885" s="37" t="s">
        <v>1162</v>
      </c>
      <c r="B1885" s="37" t="s">
        <v>1054</v>
      </c>
      <c r="C1885" s="7" t="s">
        <v>26446</v>
      </c>
      <c r="D1885" s="37" t="s">
        <v>26447</v>
      </c>
    </row>
    <row r="1886">
      <c r="A1886" s="37" t="s">
        <v>74</v>
      </c>
      <c r="B1886" s="37" t="s">
        <v>1208</v>
      </c>
      <c r="C1886" s="7" t="s">
        <v>26448</v>
      </c>
      <c r="D1886" s="37" t="s">
        <v>26449</v>
      </c>
    </row>
    <row r="1887">
      <c r="A1887" s="37" t="s">
        <v>74</v>
      </c>
      <c r="B1887" s="37" t="s">
        <v>1208</v>
      </c>
      <c r="C1887" s="7" t="s">
        <v>26450</v>
      </c>
      <c r="D1887" s="37" t="s">
        <v>26451</v>
      </c>
    </row>
    <row r="1888">
      <c r="A1888" s="37" t="s">
        <v>74</v>
      </c>
      <c r="B1888" s="37" t="s">
        <v>1208</v>
      </c>
      <c r="C1888" s="7" t="s">
        <v>26452</v>
      </c>
      <c r="D1888" s="37" t="s">
        <v>26453</v>
      </c>
    </row>
    <row r="1889">
      <c r="A1889" s="37" t="s">
        <v>74</v>
      </c>
      <c r="B1889" s="37" t="s">
        <v>1208</v>
      </c>
      <c r="C1889" s="7" t="s">
        <v>26454</v>
      </c>
      <c r="D1889" s="37" t="s">
        <v>26455</v>
      </c>
    </row>
    <row r="1890">
      <c r="A1890" s="37" t="s">
        <v>74</v>
      </c>
      <c r="B1890" s="37" t="s">
        <v>1208</v>
      </c>
      <c r="C1890" s="7" t="s">
        <v>26456</v>
      </c>
      <c r="D1890" s="37" t="s">
        <v>26457</v>
      </c>
    </row>
    <row r="1891">
      <c r="A1891" s="37" t="s">
        <v>74</v>
      </c>
      <c r="B1891" s="37" t="s">
        <v>1208</v>
      </c>
      <c r="C1891" s="7" t="s">
        <v>26458</v>
      </c>
      <c r="D1891" s="37" t="s">
        <v>26459</v>
      </c>
    </row>
    <row r="1892">
      <c r="A1892" s="37" t="s">
        <v>74</v>
      </c>
      <c r="B1892" s="37" t="s">
        <v>1208</v>
      </c>
      <c r="C1892" s="7" t="s">
        <v>26460</v>
      </c>
      <c r="D1892" s="37" t="s">
        <v>26461</v>
      </c>
    </row>
    <row r="1893">
      <c r="A1893" s="37" t="s">
        <v>74</v>
      </c>
      <c r="B1893" s="37" t="s">
        <v>1208</v>
      </c>
      <c r="C1893" s="7" t="s">
        <v>26462</v>
      </c>
      <c r="D1893" s="37" t="s">
        <v>26463</v>
      </c>
    </row>
    <row r="1894">
      <c r="A1894" s="37" t="s">
        <v>74</v>
      </c>
      <c r="B1894" s="37" t="s">
        <v>1208</v>
      </c>
      <c r="C1894" s="7" t="s">
        <v>26464</v>
      </c>
      <c r="D1894" s="37" t="s">
        <v>26465</v>
      </c>
    </row>
    <row r="1895">
      <c r="A1895" s="37" t="s">
        <v>74</v>
      </c>
      <c r="B1895" s="37" t="s">
        <v>1208</v>
      </c>
      <c r="C1895" s="7" t="s">
        <v>26466</v>
      </c>
      <c r="D1895" s="37" t="s">
        <v>26467</v>
      </c>
    </row>
    <row r="1896">
      <c r="A1896" s="37" t="s">
        <v>74</v>
      </c>
      <c r="B1896" s="37" t="s">
        <v>1208</v>
      </c>
      <c r="C1896" s="7" t="s">
        <v>26468</v>
      </c>
      <c r="D1896" s="37" t="s">
        <v>26469</v>
      </c>
    </row>
    <row r="1897">
      <c r="A1897" s="37" t="s">
        <v>74</v>
      </c>
      <c r="B1897" s="37" t="s">
        <v>1208</v>
      </c>
      <c r="C1897" s="7" t="s">
        <v>26470</v>
      </c>
      <c r="D1897" s="37" t="s">
        <v>26471</v>
      </c>
    </row>
    <row r="1898">
      <c r="A1898" s="37" t="s">
        <v>74</v>
      </c>
      <c r="B1898" s="37" t="s">
        <v>1208</v>
      </c>
      <c r="C1898" s="7" t="s">
        <v>26472</v>
      </c>
      <c r="D1898" s="37" t="s">
        <v>26473</v>
      </c>
    </row>
    <row r="1899">
      <c r="A1899" s="37" t="s">
        <v>74</v>
      </c>
      <c r="B1899" s="37" t="s">
        <v>1208</v>
      </c>
      <c r="C1899" s="7" t="s">
        <v>26474</v>
      </c>
      <c r="D1899" s="37" t="s">
        <v>26475</v>
      </c>
    </row>
    <row r="1900">
      <c r="A1900" s="37" t="s">
        <v>74</v>
      </c>
      <c r="B1900" s="37" t="s">
        <v>1208</v>
      </c>
      <c r="C1900" s="7" t="s">
        <v>26476</v>
      </c>
      <c r="D1900" s="37" t="s">
        <v>26477</v>
      </c>
    </row>
    <row r="1901">
      <c r="A1901" s="37" t="s">
        <v>74</v>
      </c>
      <c r="B1901" s="37" t="s">
        <v>1208</v>
      </c>
      <c r="C1901" s="7" t="s">
        <v>26478</v>
      </c>
      <c r="D1901" s="37" t="s">
        <v>26479</v>
      </c>
    </row>
    <row r="1902">
      <c r="A1902" s="37" t="s">
        <v>74</v>
      </c>
      <c r="B1902" s="37" t="s">
        <v>1208</v>
      </c>
      <c r="C1902" s="7" t="s">
        <v>26480</v>
      </c>
      <c r="D1902" s="37" t="s">
        <v>26481</v>
      </c>
    </row>
    <row r="1903">
      <c r="A1903" s="37" t="s">
        <v>74</v>
      </c>
      <c r="B1903" s="37" t="s">
        <v>1208</v>
      </c>
      <c r="C1903" s="7" t="s">
        <v>26482</v>
      </c>
      <c r="D1903" s="37" t="s">
        <v>26483</v>
      </c>
    </row>
    <row r="1904">
      <c r="A1904" s="37" t="s">
        <v>74</v>
      </c>
      <c r="B1904" s="37" t="s">
        <v>1208</v>
      </c>
      <c r="C1904" s="7" t="s">
        <v>26484</v>
      </c>
      <c r="D1904" s="37" t="s">
        <v>26485</v>
      </c>
    </row>
    <row r="1905">
      <c r="A1905" s="37" t="s">
        <v>74</v>
      </c>
      <c r="B1905" s="37" t="s">
        <v>1208</v>
      </c>
      <c r="C1905" s="7" t="s">
        <v>26486</v>
      </c>
      <c r="D1905" s="37" t="s">
        <v>26487</v>
      </c>
    </row>
    <row r="1906">
      <c r="A1906" s="37" t="s">
        <v>74</v>
      </c>
      <c r="B1906" s="37" t="s">
        <v>1208</v>
      </c>
      <c r="C1906" s="7" t="s">
        <v>26488</v>
      </c>
      <c r="D1906" s="37" t="s">
        <v>26489</v>
      </c>
    </row>
    <row r="1907">
      <c r="A1907" s="37" t="s">
        <v>74</v>
      </c>
      <c r="B1907" s="37" t="s">
        <v>1208</v>
      </c>
      <c r="C1907" s="7" t="s">
        <v>26490</v>
      </c>
      <c r="D1907" s="37" t="s">
        <v>26491</v>
      </c>
    </row>
    <row r="1908">
      <c r="A1908" s="37" t="s">
        <v>74</v>
      </c>
      <c r="B1908" s="37" t="s">
        <v>1208</v>
      </c>
      <c r="C1908" s="7" t="s">
        <v>26492</v>
      </c>
      <c r="D1908" s="37" t="s">
        <v>26493</v>
      </c>
    </row>
    <row r="1909">
      <c r="A1909" s="37" t="s">
        <v>74</v>
      </c>
      <c r="B1909" s="37" t="s">
        <v>1208</v>
      </c>
      <c r="C1909" s="7" t="s">
        <v>26494</v>
      </c>
      <c r="D1909" s="37" t="s">
        <v>26495</v>
      </c>
    </row>
    <row r="1910">
      <c r="A1910" s="37" t="s">
        <v>74</v>
      </c>
      <c r="B1910" s="37" t="s">
        <v>1208</v>
      </c>
      <c r="C1910" s="7" t="s">
        <v>26496</v>
      </c>
      <c r="D1910" s="37" t="s">
        <v>26497</v>
      </c>
    </row>
    <row r="1911">
      <c r="A1911" s="37" t="s">
        <v>74</v>
      </c>
      <c r="B1911" s="37" t="s">
        <v>1208</v>
      </c>
      <c r="C1911" s="7" t="s">
        <v>26498</v>
      </c>
      <c r="D1911" s="37" t="s">
        <v>26499</v>
      </c>
    </row>
    <row r="1912">
      <c r="A1912" s="37" t="s">
        <v>74</v>
      </c>
      <c r="B1912" s="37" t="s">
        <v>1208</v>
      </c>
      <c r="C1912" s="7" t="s">
        <v>26500</v>
      </c>
      <c r="D1912" s="37" t="s">
        <v>26501</v>
      </c>
    </row>
    <row r="1913">
      <c r="A1913" s="37" t="s">
        <v>74</v>
      </c>
      <c r="B1913" s="37" t="s">
        <v>1208</v>
      </c>
      <c r="C1913" s="7" t="s">
        <v>26502</v>
      </c>
      <c r="D1913" s="37" t="s">
        <v>26503</v>
      </c>
    </row>
    <row r="1914">
      <c r="A1914" s="37" t="s">
        <v>74</v>
      </c>
      <c r="B1914" s="37" t="s">
        <v>1208</v>
      </c>
      <c r="C1914" s="7" t="s">
        <v>26504</v>
      </c>
      <c r="D1914" s="37" t="s">
        <v>26505</v>
      </c>
    </row>
    <row r="1915">
      <c r="A1915" s="37" t="s">
        <v>74</v>
      </c>
      <c r="B1915" s="37" t="s">
        <v>1208</v>
      </c>
      <c r="C1915" s="7" t="s">
        <v>26506</v>
      </c>
      <c r="D1915" s="37" t="s">
        <v>26507</v>
      </c>
    </row>
    <row r="1916">
      <c r="A1916" s="37" t="s">
        <v>74</v>
      </c>
      <c r="B1916" s="37" t="s">
        <v>1208</v>
      </c>
      <c r="C1916" s="7" t="s">
        <v>26508</v>
      </c>
      <c r="D1916" s="37" t="s">
        <v>26509</v>
      </c>
    </row>
    <row r="1917">
      <c r="A1917" s="37" t="s">
        <v>74</v>
      </c>
      <c r="B1917" s="37" t="s">
        <v>1208</v>
      </c>
      <c r="C1917" s="7" t="s">
        <v>26510</v>
      </c>
      <c r="D1917" s="37" t="s">
        <v>26511</v>
      </c>
    </row>
    <row r="1918">
      <c r="A1918" s="37" t="s">
        <v>74</v>
      </c>
      <c r="B1918" s="37" t="s">
        <v>1208</v>
      </c>
      <c r="C1918" s="7" t="s">
        <v>26512</v>
      </c>
      <c r="D1918" s="37" t="s">
        <v>26513</v>
      </c>
    </row>
    <row r="1919">
      <c r="A1919" s="37" t="s">
        <v>74</v>
      </c>
      <c r="B1919" s="37" t="s">
        <v>1208</v>
      </c>
      <c r="C1919" s="7" t="s">
        <v>26514</v>
      </c>
      <c r="D1919" s="37" t="s">
        <v>26515</v>
      </c>
    </row>
    <row r="1920">
      <c r="A1920" s="37" t="s">
        <v>74</v>
      </c>
      <c r="B1920" s="37" t="s">
        <v>1208</v>
      </c>
      <c r="C1920" s="7" t="s">
        <v>26516</v>
      </c>
      <c r="D1920" s="37" t="s">
        <v>26517</v>
      </c>
    </row>
    <row r="1921">
      <c r="A1921" s="37" t="s">
        <v>74</v>
      </c>
      <c r="B1921" s="37" t="s">
        <v>1208</v>
      </c>
      <c r="C1921" s="7" t="s">
        <v>26518</v>
      </c>
      <c r="D1921" s="37" t="s">
        <v>26519</v>
      </c>
    </row>
    <row r="1922">
      <c r="A1922" s="37" t="s">
        <v>74</v>
      </c>
      <c r="B1922" s="37" t="s">
        <v>1208</v>
      </c>
      <c r="C1922" s="7" t="s">
        <v>26520</v>
      </c>
      <c r="D1922" s="37" t="s">
        <v>26521</v>
      </c>
    </row>
    <row r="1923">
      <c r="A1923" s="37" t="s">
        <v>74</v>
      </c>
      <c r="B1923" s="37" t="s">
        <v>1208</v>
      </c>
      <c r="C1923" s="7" t="s">
        <v>26522</v>
      </c>
      <c r="D1923" s="37" t="s">
        <v>26523</v>
      </c>
    </row>
    <row r="1924">
      <c r="A1924" s="37" t="s">
        <v>74</v>
      </c>
      <c r="B1924" s="37" t="s">
        <v>1208</v>
      </c>
      <c r="C1924" s="7" t="s">
        <v>26524</v>
      </c>
      <c r="D1924" s="37" t="s">
        <v>26525</v>
      </c>
    </row>
    <row r="1925">
      <c r="A1925" s="37" t="s">
        <v>74</v>
      </c>
      <c r="B1925" s="37" t="s">
        <v>1208</v>
      </c>
      <c r="C1925" s="7" t="s">
        <v>26526</v>
      </c>
      <c r="D1925" s="37" t="s">
        <v>26527</v>
      </c>
    </row>
    <row r="1926">
      <c r="A1926" s="37" t="s">
        <v>74</v>
      </c>
      <c r="B1926" s="37" t="s">
        <v>1208</v>
      </c>
      <c r="C1926" s="7" t="s">
        <v>26528</v>
      </c>
      <c r="D1926" s="37" t="s">
        <v>26529</v>
      </c>
    </row>
    <row r="1927">
      <c r="A1927" s="37" t="s">
        <v>74</v>
      </c>
      <c r="B1927" s="37" t="s">
        <v>1208</v>
      </c>
      <c r="C1927" s="7" t="s">
        <v>26530</v>
      </c>
      <c r="D1927" s="37" t="s">
        <v>26531</v>
      </c>
    </row>
    <row r="1928">
      <c r="A1928" s="37" t="s">
        <v>74</v>
      </c>
      <c r="B1928" s="37" t="s">
        <v>1208</v>
      </c>
      <c r="C1928" s="7" t="s">
        <v>26532</v>
      </c>
      <c r="D1928" s="37" t="s">
        <v>26533</v>
      </c>
    </row>
    <row r="1929">
      <c r="A1929" s="37" t="s">
        <v>74</v>
      </c>
      <c r="B1929" s="37" t="s">
        <v>1208</v>
      </c>
      <c r="C1929" s="7" t="s">
        <v>26534</v>
      </c>
      <c r="D1929" s="37" t="s">
        <v>26535</v>
      </c>
    </row>
    <row r="1930">
      <c r="A1930" s="37" t="s">
        <v>74</v>
      </c>
      <c r="B1930" s="37" t="s">
        <v>1208</v>
      </c>
      <c r="C1930" s="7" t="s">
        <v>26536</v>
      </c>
      <c r="D1930" s="37" t="s">
        <v>26537</v>
      </c>
    </row>
    <row r="1931">
      <c r="A1931" s="37" t="s">
        <v>74</v>
      </c>
      <c r="B1931" s="37" t="s">
        <v>1208</v>
      </c>
      <c r="C1931" s="7" t="s">
        <v>26538</v>
      </c>
      <c r="D1931" s="37" t="s">
        <v>26539</v>
      </c>
    </row>
    <row r="1932">
      <c r="A1932" s="37" t="s">
        <v>74</v>
      </c>
      <c r="B1932" s="37" t="s">
        <v>1208</v>
      </c>
      <c r="C1932" s="7" t="s">
        <v>26540</v>
      </c>
      <c r="D1932" s="37" t="s">
        <v>26541</v>
      </c>
    </row>
    <row r="1933">
      <c r="A1933" s="37" t="s">
        <v>74</v>
      </c>
      <c r="B1933" s="37" t="s">
        <v>1208</v>
      </c>
      <c r="C1933" s="7" t="s">
        <v>26542</v>
      </c>
      <c r="D1933" s="37" t="s">
        <v>26543</v>
      </c>
    </row>
    <row r="1934">
      <c r="A1934" s="37" t="s">
        <v>74</v>
      </c>
      <c r="B1934" s="37" t="s">
        <v>1208</v>
      </c>
      <c r="C1934" s="7" t="s">
        <v>26544</v>
      </c>
      <c r="D1934" s="37" t="s">
        <v>26545</v>
      </c>
    </row>
    <row r="1935">
      <c r="A1935" s="37" t="s">
        <v>74</v>
      </c>
      <c r="B1935" s="37" t="s">
        <v>1208</v>
      </c>
      <c r="C1935" s="7" t="s">
        <v>26546</v>
      </c>
      <c r="D1935" s="37" t="s">
        <v>26547</v>
      </c>
    </row>
    <row r="1936">
      <c r="A1936" s="37" t="s">
        <v>74</v>
      </c>
      <c r="B1936" s="37" t="s">
        <v>1208</v>
      </c>
      <c r="C1936" s="7" t="s">
        <v>26548</v>
      </c>
      <c r="D1936" s="37" t="s">
        <v>26549</v>
      </c>
    </row>
    <row r="1937">
      <c r="A1937" s="37" t="s">
        <v>540</v>
      </c>
      <c r="B1937" s="37" t="s">
        <v>26160</v>
      </c>
      <c r="C1937" s="7" t="s">
        <v>26550</v>
      </c>
      <c r="D1937" s="37" t="s">
        <v>26551</v>
      </c>
    </row>
    <row r="1938">
      <c r="A1938" s="37" t="s">
        <v>74</v>
      </c>
      <c r="B1938" s="37" t="s">
        <v>25543</v>
      </c>
      <c r="C1938" s="7" t="s">
        <v>26552</v>
      </c>
      <c r="D1938" s="37" t="s">
        <v>26553</v>
      </c>
    </row>
    <row r="1939">
      <c r="A1939" s="37" t="s">
        <v>436</v>
      </c>
      <c r="B1939" s="37" t="s">
        <v>429</v>
      </c>
      <c r="C1939" s="7" t="s">
        <v>12867</v>
      </c>
      <c r="D1939" s="37" t="s">
        <v>26554</v>
      </c>
    </row>
    <row r="1940">
      <c r="A1940" s="37" t="s">
        <v>26555</v>
      </c>
      <c r="B1940" s="37" t="s">
        <v>26245</v>
      </c>
      <c r="C1940" s="7" t="s">
        <v>26556</v>
      </c>
      <c r="D1940" s="37" t="s">
        <v>26557</v>
      </c>
    </row>
    <row r="1941">
      <c r="A1941" s="37" t="s">
        <v>1361</v>
      </c>
      <c r="B1941" s="37" t="s">
        <v>1096</v>
      </c>
      <c r="C1941" s="7" t="s">
        <v>26558</v>
      </c>
      <c r="D1941" s="37" t="s">
        <v>26559</v>
      </c>
    </row>
    <row r="1942">
      <c r="A1942" s="37" t="s">
        <v>1229</v>
      </c>
      <c r="B1942" s="37" t="s">
        <v>26038</v>
      </c>
      <c r="C1942" s="37" t="s">
        <v>26560</v>
      </c>
      <c r="D1942" s="37" t="s">
        <v>26561</v>
      </c>
    </row>
    <row r="1943">
      <c r="A1943" s="37" t="s">
        <v>1229</v>
      </c>
      <c r="B1943" s="37" t="s">
        <v>26038</v>
      </c>
      <c r="C1943" s="7" t="s">
        <v>26562</v>
      </c>
      <c r="D1943" s="37" t="s">
        <v>26563</v>
      </c>
    </row>
    <row r="1944">
      <c r="A1944" s="37" t="s">
        <v>90</v>
      </c>
      <c r="B1944" s="37" t="s">
        <v>440</v>
      </c>
      <c r="C1944" s="7" t="s">
        <v>26564</v>
      </c>
      <c r="D1944" s="37" t="s">
        <v>26565</v>
      </c>
    </row>
    <row r="1945">
      <c r="A1945" s="37" t="s">
        <v>395</v>
      </c>
      <c r="B1945" s="37" t="s">
        <v>391</v>
      </c>
      <c r="C1945" s="7" t="s">
        <v>26566</v>
      </c>
      <c r="D1945" s="37" t="s">
        <v>26567</v>
      </c>
    </row>
    <row r="1946">
      <c r="A1946" s="37" t="s">
        <v>1162</v>
      </c>
      <c r="B1946" s="37" t="s">
        <v>1054</v>
      </c>
      <c r="C1946" s="7" t="s">
        <v>26568</v>
      </c>
      <c r="D1946" s="37" t="s">
        <v>26569</v>
      </c>
    </row>
    <row r="1947">
      <c r="A1947" s="37" t="s">
        <v>1148</v>
      </c>
      <c r="B1947" s="37" t="s">
        <v>1208</v>
      </c>
      <c r="C1947" s="7" t="s">
        <v>26570</v>
      </c>
      <c r="D1947" s="37" t="s">
        <v>26571</v>
      </c>
    </row>
    <row r="1948">
      <c r="A1948" s="37" t="s">
        <v>74</v>
      </c>
      <c r="B1948" s="37" t="s">
        <v>1208</v>
      </c>
      <c r="C1948" s="7" t="s">
        <v>26572</v>
      </c>
      <c r="D1948" s="37" t="s">
        <v>26573</v>
      </c>
    </row>
    <row r="1949">
      <c r="A1949" s="37" t="s">
        <v>1495</v>
      </c>
      <c r="B1949" s="37" t="s">
        <v>26574</v>
      </c>
      <c r="C1949" s="37" t="s">
        <v>26575</v>
      </c>
      <c r="D1949" s="37" t="s">
        <v>26576</v>
      </c>
    </row>
    <row r="1950">
      <c r="A1950" s="37" t="s">
        <v>1148</v>
      </c>
      <c r="B1950" s="37" t="s">
        <v>1208</v>
      </c>
      <c r="C1950" s="7" t="s">
        <v>26577</v>
      </c>
      <c r="D1950" s="37" t="s">
        <v>26578</v>
      </c>
    </row>
    <row r="1951">
      <c r="A1951" s="37" t="s">
        <v>1148</v>
      </c>
      <c r="B1951" s="37" t="s">
        <v>1208</v>
      </c>
      <c r="C1951" s="7" t="s">
        <v>26579</v>
      </c>
      <c r="D1951" s="37" t="s">
        <v>26580</v>
      </c>
    </row>
    <row r="1952">
      <c r="A1952" s="37" t="s">
        <v>1148</v>
      </c>
      <c r="B1952" s="37" t="s">
        <v>1208</v>
      </c>
      <c r="C1952" s="7" t="s">
        <v>26581</v>
      </c>
      <c r="D1952" s="37" t="s">
        <v>26582</v>
      </c>
    </row>
    <row r="1953">
      <c r="A1953" s="37" t="s">
        <v>1162</v>
      </c>
      <c r="B1953" s="37" t="s">
        <v>1054</v>
      </c>
      <c r="C1953" s="37" t="s">
        <v>7530</v>
      </c>
      <c r="D1953" s="37" t="s">
        <v>26583</v>
      </c>
    </row>
    <row r="1954">
      <c r="A1954" s="37" t="s">
        <v>1188</v>
      </c>
      <c r="B1954" s="37" t="s">
        <v>1208</v>
      </c>
      <c r="C1954" s="7" t="s">
        <v>26584</v>
      </c>
      <c r="D1954" s="37" t="s">
        <v>26585</v>
      </c>
    </row>
    <row r="1955">
      <c r="A1955" s="37" t="s">
        <v>1162</v>
      </c>
      <c r="B1955" s="37" t="s">
        <v>1054</v>
      </c>
      <c r="C1955" s="7" t="s">
        <v>23252</v>
      </c>
      <c r="D1955" s="37" t="s">
        <v>26586</v>
      </c>
    </row>
    <row r="1956">
      <c r="A1956" s="37" t="s">
        <v>1162</v>
      </c>
      <c r="B1956" s="37" t="s">
        <v>1054</v>
      </c>
      <c r="C1956" s="7" t="s">
        <v>7604</v>
      </c>
      <c r="D1956" s="37" t="s">
        <v>26587</v>
      </c>
    </row>
    <row r="1957">
      <c r="A1957" s="37" t="s">
        <v>1278</v>
      </c>
      <c r="B1957" s="37" t="s">
        <v>1054</v>
      </c>
      <c r="C1957" s="7" t="s">
        <v>26588</v>
      </c>
      <c r="D1957" s="37" t="s">
        <v>26589</v>
      </c>
    </row>
    <row r="1958">
      <c r="A1958" s="37" t="s">
        <v>1162</v>
      </c>
      <c r="B1958" s="37" t="s">
        <v>1054</v>
      </c>
      <c r="C1958" s="7" t="s">
        <v>26590</v>
      </c>
      <c r="D1958" s="37" t="s">
        <v>26591</v>
      </c>
    </row>
    <row r="1959">
      <c r="A1959" s="37" t="s">
        <v>74</v>
      </c>
      <c r="B1959" s="37" t="s">
        <v>25543</v>
      </c>
      <c r="C1959" s="7" t="s">
        <v>26592</v>
      </c>
      <c r="D1959" s="37" t="s">
        <v>26593</v>
      </c>
    </row>
    <row r="1960">
      <c r="A1960" s="37" t="s">
        <v>24751</v>
      </c>
      <c r="B1960" s="37" t="s">
        <v>24752</v>
      </c>
      <c r="C1960" s="7" t="s">
        <v>26594</v>
      </c>
      <c r="D1960" s="37" t="s">
        <v>26595</v>
      </c>
    </row>
    <row r="1961">
      <c r="A1961" s="37" t="s">
        <v>540</v>
      </c>
      <c r="B1961" s="37" t="s">
        <v>26160</v>
      </c>
      <c r="C1961" s="7" t="s">
        <v>26596</v>
      </c>
      <c r="D1961" s="37" t="s">
        <v>26597</v>
      </c>
    </row>
    <row r="1962">
      <c r="A1962" s="37" t="s">
        <v>104</v>
      </c>
      <c r="B1962" s="37" t="s">
        <v>613</v>
      </c>
      <c r="C1962" s="7" t="s">
        <v>26598</v>
      </c>
      <c r="D1962" s="37" t="s">
        <v>26599</v>
      </c>
    </row>
    <row r="1963">
      <c r="A1963" s="37" t="s">
        <v>698</v>
      </c>
      <c r="B1963" s="37" t="s">
        <v>693</v>
      </c>
      <c r="C1963" s="7" t="s">
        <v>26600</v>
      </c>
      <c r="D1963" s="37" t="s">
        <v>26601</v>
      </c>
    </row>
    <row r="1964">
      <c r="A1964" s="37" t="s">
        <v>1246</v>
      </c>
      <c r="B1964" s="37" t="s">
        <v>1495</v>
      </c>
      <c r="C1964" s="37" t="s">
        <v>26602</v>
      </c>
      <c r="D1964" s="37" t="s">
        <v>26603</v>
      </c>
    </row>
    <row r="1965">
      <c r="A1965" s="37" t="s">
        <v>1162</v>
      </c>
      <c r="B1965" s="37" t="s">
        <v>1054</v>
      </c>
      <c r="C1965" s="7" t="s">
        <v>10587</v>
      </c>
      <c r="D1965" s="37" t="s">
        <v>26604</v>
      </c>
    </row>
    <row r="1966">
      <c r="A1966" s="37" t="s">
        <v>1147</v>
      </c>
      <c r="B1966" s="37" t="s">
        <v>478</v>
      </c>
      <c r="C1966" s="7" t="s">
        <v>26605</v>
      </c>
      <c r="D1966" s="37" t="s">
        <v>26606</v>
      </c>
    </row>
    <row r="1967">
      <c r="A1967" s="37" t="s">
        <v>1147</v>
      </c>
      <c r="B1967" s="37" t="s">
        <v>478</v>
      </c>
      <c r="C1967" s="7" t="s">
        <v>14178</v>
      </c>
      <c r="D1967" s="37" t="s">
        <v>26607</v>
      </c>
    </row>
    <row r="1968">
      <c r="A1968" s="37" t="s">
        <v>1147</v>
      </c>
      <c r="B1968" s="37" t="s">
        <v>478</v>
      </c>
      <c r="C1968" s="7" t="s">
        <v>26608</v>
      </c>
      <c r="D1968" s="37" t="s">
        <v>26609</v>
      </c>
    </row>
    <row r="1969">
      <c r="A1969" s="37" t="s">
        <v>1147</v>
      </c>
      <c r="B1969" s="37" t="s">
        <v>478</v>
      </c>
      <c r="C1969" s="7" t="s">
        <v>26610</v>
      </c>
      <c r="D1969" s="37" t="s">
        <v>26611</v>
      </c>
    </row>
    <row r="1970">
      <c r="A1970" s="37" t="s">
        <v>1147</v>
      </c>
      <c r="B1970" s="37" t="s">
        <v>478</v>
      </c>
      <c r="C1970" s="7" t="s">
        <v>26612</v>
      </c>
      <c r="D1970" s="37" t="s">
        <v>26613</v>
      </c>
    </row>
    <row r="1971">
      <c r="A1971" s="37" t="s">
        <v>1147</v>
      </c>
      <c r="B1971" s="37" t="s">
        <v>478</v>
      </c>
      <c r="C1971" s="7" t="s">
        <v>26614</v>
      </c>
      <c r="D1971" s="37" t="s">
        <v>26615</v>
      </c>
    </row>
    <row r="1972">
      <c r="A1972" s="37" t="s">
        <v>1147</v>
      </c>
      <c r="B1972" s="37" t="s">
        <v>478</v>
      </c>
      <c r="C1972" s="7" t="s">
        <v>26616</v>
      </c>
      <c r="D1972" s="37" t="s">
        <v>26617</v>
      </c>
    </row>
    <row r="1973">
      <c r="A1973" s="37" t="s">
        <v>1274</v>
      </c>
      <c r="B1973" s="37" t="s">
        <v>1273</v>
      </c>
      <c r="C1973" s="7" t="s">
        <v>26618</v>
      </c>
      <c r="D1973" s="37" t="s">
        <v>26619</v>
      </c>
    </row>
    <row r="1974">
      <c r="A1974" s="37" t="s">
        <v>1229</v>
      </c>
      <c r="B1974" s="37" t="s">
        <v>1096</v>
      </c>
      <c r="C1974" s="7" t="s">
        <v>26620</v>
      </c>
      <c r="D1974" s="37" t="s">
        <v>26621</v>
      </c>
    </row>
    <row r="1975">
      <c r="A1975" s="37" t="s">
        <v>1243</v>
      </c>
      <c r="B1975" s="37" t="s">
        <v>1242</v>
      </c>
      <c r="C1975" s="7" t="s">
        <v>26622</v>
      </c>
      <c r="D1975" s="37" t="s">
        <v>26623</v>
      </c>
    </row>
    <row r="1976">
      <c r="A1976" s="37" t="s">
        <v>24751</v>
      </c>
      <c r="B1976" s="37" t="s">
        <v>24752</v>
      </c>
      <c r="C1976" s="7" t="s">
        <v>26624</v>
      </c>
      <c r="D1976" s="37" t="s">
        <v>26625</v>
      </c>
    </row>
    <row r="1977">
      <c r="A1977" s="37" t="s">
        <v>1229</v>
      </c>
      <c r="B1977" s="37" t="s">
        <v>26038</v>
      </c>
      <c r="C1977" s="7" t="s">
        <v>26626</v>
      </c>
      <c r="D1977" s="37" t="s">
        <v>26627</v>
      </c>
    </row>
    <row r="1978">
      <c r="A1978" s="37" t="s">
        <v>1602</v>
      </c>
      <c r="B1978" s="37" t="s">
        <v>24942</v>
      </c>
      <c r="C1978" s="7" t="s">
        <v>26628</v>
      </c>
      <c r="D1978" s="37" t="s">
        <v>26629</v>
      </c>
    </row>
    <row r="1979">
      <c r="A1979" s="37" t="s">
        <v>1602</v>
      </c>
      <c r="B1979" s="37" t="s">
        <v>24942</v>
      </c>
      <c r="C1979" s="7" t="s">
        <v>26630</v>
      </c>
      <c r="D1979" s="37" t="s">
        <v>26631</v>
      </c>
    </row>
    <row r="1980">
      <c r="A1980" s="37" t="s">
        <v>1279</v>
      </c>
      <c r="B1980" s="37" t="s">
        <v>1273</v>
      </c>
      <c r="C1980" s="7" t="s">
        <v>26632</v>
      </c>
      <c r="D1980" s="37" t="s">
        <v>26633</v>
      </c>
    </row>
    <row r="1981">
      <c r="A1981" s="37" t="s">
        <v>1283</v>
      </c>
      <c r="B1981" s="37" t="s">
        <v>298</v>
      </c>
      <c r="C1981" s="7" t="s">
        <v>26634</v>
      </c>
      <c r="D1981" s="37" t="s">
        <v>26635</v>
      </c>
    </row>
    <row r="1982">
      <c r="A1982" s="37" t="s">
        <v>51</v>
      </c>
      <c r="B1982" s="37" t="s">
        <v>1242</v>
      </c>
      <c r="C1982" s="7" t="s">
        <v>26636</v>
      </c>
      <c r="D1982" s="37" t="s">
        <v>26637</v>
      </c>
    </row>
    <row r="1983">
      <c r="A1983" s="37" t="s">
        <v>26638</v>
      </c>
      <c r="B1983" s="37" t="s">
        <v>1242</v>
      </c>
      <c r="C1983" s="7" t="s">
        <v>26639</v>
      </c>
      <c r="D1983" s="37" t="s">
        <v>26640</v>
      </c>
    </row>
    <row r="1984">
      <c r="A1984" s="37" t="s">
        <v>1279</v>
      </c>
      <c r="B1984" s="37" t="s">
        <v>26245</v>
      </c>
      <c r="C1984" s="7" t="s">
        <v>26641</v>
      </c>
      <c r="D1984" s="37" t="s">
        <v>26642</v>
      </c>
    </row>
    <row r="1985">
      <c r="A1985" s="37" t="s">
        <v>1279</v>
      </c>
      <c r="B1985" s="37" t="s">
        <v>26245</v>
      </c>
      <c r="C1985" s="37" t="s">
        <v>26643</v>
      </c>
      <c r="D1985" s="37" t="s">
        <v>26644</v>
      </c>
    </row>
    <row r="1986">
      <c r="A1986" s="37" t="s">
        <v>1279</v>
      </c>
      <c r="B1986" s="37" t="s">
        <v>26245</v>
      </c>
      <c r="C1986" s="7" t="s">
        <v>26645</v>
      </c>
      <c r="D1986" s="37" t="s">
        <v>26646</v>
      </c>
    </row>
    <row r="1987">
      <c r="A1987" s="37" t="s">
        <v>9</v>
      </c>
      <c r="B1987" s="37" t="s">
        <v>3</v>
      </c>
      <c r="C1987" s="7" t="s">
        <v>26647</v>
      </c>
      <c r="D1987" s="37" t="s">
        <v>26648</v>
      </c>
    </row>
    <row r="1988">
      <c r="A1988" s="37" t="s">
        <v>74</v>
      </c>
      <c r="B1988" s="37" t="s">
        <v>1208</v>
      </c>
      <c r="C1988" s="7" t="s">
        <v>26649</v>
      </c>
      <c r="D1988" s="37" t="s">
        <v>26650</v>
      </c>
    </row>
    <row r="1989">
      <c r="A1989" s="37" t="s">
        <v>1279</v>
      </c>
      <c r="B1989" s="37" t="s">
        <v>1273</v>
      </c>
      <c r="C1989" s="7" t="s">
        <v>26651</v>
      </c>
      <c r="D1989" s="37" t="s">
        <v>26652</v>
      </c>
    </row>
    <row r="1990">
      <c r="A1990" s="37" t="s">
        <v>430</v>
      </c>
      <c r="B1990" s="37" t="s">
        <v>440</v>
      </c>
      <c r="C1990" s="37" t="s">
        <v>26653</v>
      </c>
      <c r="D1990" s="37" t="s">
        <v>26654</v>
      </c>
    </row>
    <row r="1991">
      <c r="A1991" s="37" t="s">
        <v>1280</v>
      </c>
      <c r="B1991" s="37" t="s">
        <v>1273</v>
      </c>
      <c r="C1991" s="7" t="s">
        <v>26655</v>
      </c>
      <c r="D1991" s="37" t="s">
        <v>26656</v>
      </c>
    </row>
    <row r="1992">
      <c r="A1992" s="37" t="s">
        <v>23444</v>
      </c>
      <c r="B1992" s="37" t="s">
        <v>24942</v>
      </c>
      <c r="C1992" s="7" t="s">
        <v>26657</v>
      </c>
      <c r="D1992" s="37" t="s">
        <v>26658</v>
      </c>
    </row>
    <row r="1993">
      <c r="A1993" s="37" t="s">
        <v>23444</v>
      </c>
      <c r="B1993" s="37" t="s">
        <v>24942</v>
      </c>
      <c r="C1993" s="7" t="s">
        <v>26659</v>
      </c>
      <c r="D1993" s="37" t="s">
        <v>26660</v>
      </c>
    </row>
    <row r="1994">
      <c r="A1994" s="37" t="s">
        <v>1278</v>
      </c>
      <c r="B1994" s="37" t="s">
        <v>1054</v>
      </c>
      <c r="C1994" s="37" t="s">
        <v>26661</v>
      </c>
      <c r="D1994" s="37" t="s">
        <v>26662</v>
      </c>
    </row>
    <row r="1995">
      <c r="A1995" s="37" t="s">
        <v>1278</v>
      </c>
      <c r="B1995" s="37" t="s">
        <v>1054</v>
      </c>
      <c r="C1995" s="37" t="s">
        <v>26663</v>
      </c>
      <c r="D1995" s="37" t="s">
        <v>26664</v>
      </c>
    </row>
    <row r="1996">
      <c r="A1996" s="37" t="s">
        <v>802</v>
      </c>
      <c r="B1996" s="37" t="s">
        <v>298</v>
      </c>
      <c r="C1996" s="7" t="s">
        <v>26665</v>
      </c>
      <c r="D1996" s="37" t="s">
        <v>26666</v>
      </c>
    </row>
    <row r="1997">
      <c r="A1997" s="37" t="s">
        <v>1229</v>
      </c>
      <c r="B1997" s="37" t="s">
        <v>26038</v>
      </c>
      <c r="C1997" s="7" t="s">
        <v>26667</v>
      </c>
      <c r="D1997" s="37" t="s">
        <v>26668</v>
      </c>
    </row>
    <row r="1998">
      <c r="A1998" s="37" t="s">
        <v>1229</v>
      </c>
      <c r="B1998" s="37" t="s">
        <v>26038</v>
      </c>
      <c r="C1998" s="7" t="s">
        <v>26669</v>
      </c>
      <c r="D1998" s="37" t="s">
        <v>26670</v>
      </c>
    </row>
    <row r="1999">
      <c r="A1999" s="37" t="s">
        <v>1229</v>
      </c>
      <c r="B1999" s="37" t="s">
        <v>26038</v>
      </c>
      <c r="C1999" s="7" t="s">
        <v>26671</v>
      </c>
      <c r="D1999" s="37" t="s">
        <v>26672</v>
      </c>
    </row>
    <row r="2000">
      <c r="A2000" s="37" t="s">
        <v>1189</v>
      </c>
      <c r="B2000" s="37" t="s">
        <v>1273</v>
      </c>
      <c r="C2000" s="7" t="s">
        <v>26673</v>
      </c>
      <c r="D2000" s="37" t="s">
        <v>26674</v>
      </c>
    </row>
    <row r="2001">
      <c r="A2001" s="37" t="s">
        <v>1147</v>
      </c>
      <c r="B2001" s="37" t="s">
        <v>478</v>
      </c>
      <c r="C2001" s="7" t="s">
        <v>26675</v>
      </c>
      <c r="D2001" s="37" t="s">
        <v>26676</v>
      </c>
    </row>
    <row r="2002">
      <c r="A2002" s="37" t="s">
        <v>698</v>
      </c>
      <c r="B2002" s="37" t="s">
        <v>693</v>
      </c>
      <c r="C2002" s="7" t="s">
        <v>26677</v>
      </c>
      <c r="D2002" s="37" t="s">
        <v>26678</v>
      </c>
    </row>
    <row r="2003">
      <c r="A2003" s="37" t="s">
        <v>1495</v>
      </c>
      <c r="B2003" s="37" t="s">
        <v>391</v>
      </c>
      <c r="C2003" s="7" t="s">
        <v>26679</v>
      </c>
      <c r="D2003" s="37" t="s">
        <v>26680</v>
      </c>
    </row>
    <row r="2004">
      <c r="A2004" s="37" t="s">
        <v>1162</v>
      </c>
      <c r="B2004" s="37" t="s">
        <v>1054</v>
      </c>
      <c r="C2004" s="7" t="s">
        <v>26681</v>
      </c>
      <c r="D2004" s="37" t="s">
        <v>26682</v>
      </c>
    </row>
    <row r="2005">
      <c r="A2005" s="37" t="s">
        <v>1278</v>
      </c>
      <c r="B2005" s="37" t="s">
        <v>25880</v>
      </c>
      <c r="C2005" s="7" t="s">
        <v>26683</v>
      </c>
      <c r="D2005" s="37" t="s">
        <v>26684</v>
      </c>
    </row>
    <row r="2006">
      <c r="A2006" s="37" t="s">
        <v>1148</v>
      </c>
      <c r="B2006" s="37" t="s">
        <v>1208</v>
      </c>
      <c r="C2006" s="7" t="s">
        <v>13330</v>
      </c>
      <c r="D2006" s="37" t="s">
        <v>26685</v>
      </c>
    </row>
    <row r="2007">
      <c r="A2007" s="37" t="s">
        <v>1148</v>
      </c>
      <c r="B2007" s="37" t="s">
        <v>1208</v>
      </c>
      <c r="C2007" s="7" t="s">
        <v>26686</v>
      </c>
      <c r="D2007" s="37" t="s">
        <v>26687</v>
      </c>
    </row>
    <row r="2008">
      <c r="A2008" s="37" t="s">
        <v>51</v>
      </c>
      <c r="B2008" s="37" t="s">
        <v>555</v>
      </c>
      <c r="C2008" s="7" t="s">
        <v>26688</v>
      </c>
      <c r="D2008" s="37" t="s">
        <v>26689</v>
      </c>
    </row>
    <row r="2009">
      <c r="A2009" s="37" t="s">
        <v>1228</v>
      </c>
      <c r="B2009" s="37" t="s">
        <v>854</v>
      </c>
      <c r="C2009" s="7" t="s">
        <v>10923</v>
      </c>
      <c r="D2009" s="37" t="s">
        <v>26690</v>
      </c>
    </row>
    <row r="2010">
      <c r="A2010" s="37" t="s">
        <v>1495</v>
      </c>
      <c r="B2010" s="37" t="s">
        <v>1495</v>
      </c>
      <c r="C2010" s="7" t="s">
        <v>26691</v>
      </c>
      <c r="D2010" s="37" t="s">
        <v>26692</v>
      </c>
    </row>
    <row r="2011">
      <c r="A2011" s="37" t="s">
        <v>1495</v>
      </c>
      <c r="B2011" s="37" t="s">
        <v>1495</v>
      </c>
      <c r="C2011" s="7" t="s">
        <v>26693</v>
      </c>
      <c r="D2011" s="37" t="s">
        <v>26694</v>
      </c>
    </row>
    <row r="2012">
      <c r="A2012" s="37" t="s">
        <v>1361</v>
      </c>
      <c r="B2012" s="37" t="s">
        <v>1096</v>
      </c>
      <c r="C2012" s="7" t="s">
        <v>26695</v>
      </c>
      <c r="D2012" s="37" t="s">
        <v>26696</v>
      </c>
    </row>
    <row r="2013">
      <c r="A2013" s="37" t="s">
        <v>1495</v>
      </c>
      <c r="B2013" s="37" t="s">
        <v>25880</v>
      </c>
      <c r="C2013" s="37" t="s">
        <v>26697</v>
      </c>
      <c r="D2013" s="37" t="s">
        <v>26698</v>
      </c>
    </row>
    <row r="2014">
      <c r="A2014" s="37" t="s">
        <v>1188</v>
      </c>
      <c r="B2014" s="37" t="s">
        <v>1208</v>
      </c>
      <c r="C2014" s="7" t="s">
        <v>26699</v>
      </c>
      <c r="D2014" s="37" t="s">
        <v>26700</v>
      </c>
    </row>
    <row r="2015">
      <c r="A2015" s="37" t="s">
        <v>1278</v>
      </c>
      <c r="B2015" s="37" t="s">
        <v>24942</v>
      </c>
      <c r="C2015" s="7" t="s">
        <v>26701</v>
      </c>
      <c r="D2015" s="37" t="s">
        <v>26702</v>
      </c>
    </row>
    <row r="2016">
      <c r="A2016" s="37" t="s">
        <v>1278</v>
      </c>
      <c r="B2016" s="37" t="s">
        <v>24942</v>
      </c>
      <c r="C2016" s="7" t="s">
        <v>26703</v>
      </c>
      <c r="D2016" s="37" t="s">
        <v>26704</v>
      </c>
    </row>
    <row r="2017">
      <c r="A2017" s="37" t="s">
        <v>1274</v>
      </c>
      <c r="B2017" s="37" t="s">
        <v>1273</v>
      </c>
      <c r="C2017" s="7" t="s">
        <v>26705</v>
      </c>
      <c r="D2017" s="37" t="s">
        <v>26706</v>
      </c>
    </row>
    <row r="2018">
      <c r="A2018" s="37" t="s">
        <v>1361</v>
      </c>
      <c r="B2018" s="37" t="s">
        <v>1096</v>
      </c>
      <c r="C2018" s="7" t="s">
        <v>26707</v>
      </c>
      <c r="D2018" s="37" t="s">
        <v>26708</v>
      </c>
    </row>
    <row r="2019">
      <c r="A2019" s="37" t="s">
        <v>1363</v>
      </c>
      <c r="B2019" s="37" t="s">
        <v>1096</v>
      </c>
      <c r="C2019" s="7" t="s">
        <v>26709</v>
      </c>
      <c r="D2019" s="37" t="s">
        <v>26710</v>
      </c>
    </row>
    <row r="2020">
      <c r="A2020" s="37" t="s">
        <v>24751</v>
      </c>
      <c r="B2020" s="37" t="s">
        <v>24752</v>
      </c>
      <c r="C2020" s="37" t="s">
        <v>26711</v>
      </c>
      <c r="D2020" s="37" t="s">
        <v>26712</v>
      </c>
    </row>
    <row r="2021">
      <c r="A2021" s="37" t="s">
        <v>1278</v>
      </c>
      <c r="B2021" s="37" t="s">
        <v>24942</v>
      </c>
      <c r="C2021" s="7" t="s">
        <v>26713</v>
      </c>
      <c r="D2021" s="37" t="s">
        <v>26714</v>
      </c>
    </row>
    <row r="2022">
      <c r="A2022" s="37" t="s">
        <v>1278</v>
      </c>
      <c r="B2022" s="37" t="s">
        <v>24942</v>
      </c>
      <c r="C2022" s="7" t="s">
        <v>26715</v>
      </c>
      <c r="D2022" s="37" t="s">
        <v>26716</v>
      </c>
    </row>
    <row r="2023">
      <c r="A2023" s="37" t="s">
        <v>1278</v>
      </c>
      <c r="B2023" s="37" t="s">
        <v>24942</v>
      </c>
      <c r="C2023" s="7" t="s">
        <v>26717</v>
      </c>
      <c r="D2023" s="37" t="s">
        <v>26718</v>
      </c>
    </row>
    <row r="2024">
      <c r="A2024" s="37" t="s">
        <v>1278</v>
      </c>
      <c r="B2024" s="37" t="s">
        <v>24942</v>
      </c>
      <c r="C2024" s="7" t="s">
        <v>26719</v>
      </c>
      <c r="D2024" s="37" t="s">
        <v>26720</v>
      </c>
    </row>
    <row r="2025">
      <c r="A2025" s="37" t="s">
        <v>1279</v>
      </c>
      <c r="B2025" s="37" t="s">
        <v>1273</v>
      </c>
      <c r="C2025" s="7" t="s">
        <v>26721</v>
      </c>
      <c r="D2025" s="37" t="s">
        <v>26722</v>
      </c>
    </row>
    <row r="2026">
      <c r="A2026" s="37" t="s">
        <v>1229</v>
      </c>
      <c r="B2026" s="37" t="s">
        <v>26038</v>
      </c>
      <c r="C2026" s="7" t="s">
        <v>26723</v>
      </c>
      <c r="D2026" s="37" t="s">
        <v>26724</v>
      </c>
    </row>
    <row r="2027">
      <c r="A2027" s="37" t="s">
        <v>1229</v>
      </c>
      <c r="B2027" s="37" t="s">
        <v>26038</v>
      </c>
      <c r="C2027" s="7" t="s">
        <v>26725</v>
      </c>
      <c r="D2027" s="37" t="s">
        <v>26726</v>
      </c>
    </row>
    <row r="2028">
      <c r="A2028" s="37" t="s">
        <v>1229</v>
      </c>
      <c r="B2028" s="37" t="s">
        <v>1096</v>
      </c>
      <c r="C2028" s="7" t="s">
        <v>26727</v>
      </c>
      <c r="D2028" s="37" t="s">
        <v>26728</v>
      </c>
    </row>
    <row r="2029">
      <c r="A2029" s="37" t="s">
        <v>1146</v>
      </c>
      <c r="B2029" s="37" t="s">
        <v>478</v>
      </c>
      <c r="C2029" s="7" t="s">
        <v>26729</v>
      </c>
      <c r="D2029" s="37" t="s">
        <v>26730</v>
      </c>
    </row>
    <row r="2030">
      <c r="A2030" s="37" t="s">
        <v>1207</v>
      </c>
      <c r="B2030" s="37" t="s">
        <v>3</v>
      </c>
      <c r="C2030" s="37" t="s">
        <v>26731</v>
      </c>
      <c r="D2030" s="37" t="s">
        <v>26732</v>
      </c>
    </row>
    <row r="2031">
      <c r="A2031" s="37" t="s">
        <v>1283</v>
      </c>
      <c r="B2031" s="37" t="s">
        <v>298</v>
      </c>
      <c r="C2031" s="7" t="s">
        <v>26733</v>
      </c>
      <c r="D2031" s="37" t="s">
        <v>26734</v>
      </c>
    </row>
    <row r="2032">
      <c r="A2032" s="37" t="s">
        <v>1361</v>
      </c>
      <c r="B2032" s="37" t="s">
        <v>1096</v>
      </c>
      <c r="C2032" s="7" t="s">
        <v>26735</v>
      </c>
      <c r="D2032" s="37" t="s">
        <v>26736</v>
      </c>
    </row>
    <row r="2033">
      <c r="A2033" s="37" t="s">
        <v>1361</v>
      </c>
      <c r="B2033" s="37" t="s">
        <v>1096</v>
      </c>
      <c r="C2033" s="7" t="s">
        <v>26737</v>
      </c>
      <c r="D2033" s="37" t="s">
        <v>26738</v>
      </c>
    </row>
    <row r="2034">
      <c r="A2034" s="37" t="s">
        <v>1361</v>
      </c>
      <c r="B2034" s="37" t="s">
        <v>1096</v>
      </c>
      <c r="C2034" s="7" t="s">
        <v>26739</v>
      </c>
      <c r="D2034" s="37" t="s">
        <v>26740</v>
      </c>
    </row>
    <row r="2035">
      <c r="A2035" s="37" t="s">
        <v>1361</v>
      </c>
      <c r="B2035" s="37" t="s">
        <v>1096</v>
      </c>
      <c r="C2035" s="7" t="s">
        <v>26741</v>
      </c>
      <c r="D2035" s="37" t="s">
        <v>26742</v>
      </c>
    </row>
    <row r="2036">
      <c r="A2036" s="37" t="s">
        <v>696</v>
      </c>
      <c r="B2036" s="37" t="s">
        <v>693</v>
      </c>
      <c r="C2036" s="7" t="s">
        <v>26743</v>
      </c>
      <c r="D2036" s="37" t="s">
        <v>26744</v>
      </c>
    </row>
    <row r="2037">
      <c r="A2037" s="37" t="s">
        <v>1283</v>
      </c>
      <c r="B2037" s="37" t="s">
        <v>298</v>
      </c>
      <c r="C2037" s="7" t="s">
        <v>26745</v>
      </c>
      <c r="D2037" s="37" t="s">
        <v>26746</v>
      </c>
    </row>
    <row r="2038">
      <c r="A2038" s="37" t="s">
        <v>859</v>
      </c>
      <c r="B2038" s="37" t="s">
        <v>854</v>
      </c>
      <c r="C2038" s="7" t="s">
        <v>26747</v>
      </c>
      <c r="D2038" s="37" t="s">
        <v>26748</v>
      </c>
    </row>
    <row r="2039">
      <c r="A2039" s="37" t="s">
        <v>859</v>
      </c>
      <c r="B2039" s="37" t="s">
        <v>854</v>
      </c>
      <c r="C2039" s="7" t="s">
        <v>26749</v>
      </c>
      <c r="D2039" s="37" t="s">
        <v>26750</v>
      </c>
    </row>
    <row r="2040">
      <c r="A2040" s="37" t="s">
        <v>1188</v>
      </c>
      <c r="B2040" s="37" t="s">
        <v>1208</v>
      </c>
      <c r="C2040" s="7" t="s">
        <v>26751</v>
      </c>
      <c r="D2040" s="37" t="s">
        <v>26752</v>
      </c>
    </row>
    <row r="2041">
      <c r="A2041" s="37" t="s">
        <v>1188</v>
      </c>
      <c r="B2041" s="37" t="s">
        <v>1208</v>
      </c>
      <c r="C2041" s="7" t="s">
        <v>1697</v>
      </c>
      <c r="D2041" s="37" t="s">
        <v>26753</v>
      </c>
    </row>
    <row r="2042">
      <c r="A2042" s="37" t="s">
        <v>24751</v>
      </c>
      <c r="B2042" s="37" t="s">
        <v>24752</v>
      </c>
      <c r="C2042" s="7" t="s">
        <v>26754</v>
      </c>
      <c r="D2042" s="37" t="s">
        <v>26755</v>
      </c>
    </row>
    <row r="2043">
      <c r="A2043" s="37" t="s">
        <v>118</v>
      </c>
      <c r="B2043" s="37" t="s">
        <v>24752</v>
      </c>
      <c r="C2043" s="7" t="s">
        <v>26756</v>
      </c>
      <c r="D2043" s="37" t="s">
        <v>26757</v>
      </c>
    </row>
    <row r="2044">
      <c r="A2044" s="37" t="s">
        <v>1229</v>
      </c>
      <c r="B2044" s="37" t="s">
        <v>26038</v>
      </c>
      <c r="C2044" s="7" t="s">
        <v>26758</v>
      </c>
      <c r="D2044" s="37" t="s">
        <v>26759</v>
      </c>
    </row>
    <row r="2045">
      <c r="A2045" s="37" t="s">
        <v>1148</v>
      </c>
      <c r="B2045" s="37" t="s">
        <v>1208</v>
      </c>
      <c r="C2045" s="7" t="s">
        <v>26760</v>
      </c>
      <c r="D2045" s="37" t="s">
        <v>26761</v>
      </c>
    </row>
    <row r="2046">
      <c r="A2046" s="37" t="s">
        <v>1228</v>
      </c>
      <c r="B2046" s="37" t="s">
        <v>854</v>
      </c>
      <c r="C2046" s="7" t="s">
        <v>26762</v>
      </c>
      <c r="D2046" s="37" t="s">
        <v>26763</v>
      </c>
    </row>
    <row r="2047">
      <c r="A2047" s="37" t="s">
        <v>395</v>
      </c>
      <c r="B2047" s="37" t="s">
        <v>391</v>
      </c>
      <c r="C2047" s="7" t="s">
        <v>26764</v>
      </c>
      <c r="D2047" s="37" t="s">
        <v>26765</v>
      </c>
    </row>
    <row r="2048">
      <c r="A2048" s="37" t="s">
        <v>1148</v>
      </c>
      <c r="B2048" s="37" t="s">
        <v>1208</v>
      </c>
      <c r="C2048" s="7" t="s">
        <v>26766</v>
      </c>
      <c r="D2048" s="37" t="s">
        <v>26767</v>
      </c>
    </row>
    <row r="2049">
      <c r="A2049" s="37" t="s">
        <v>1226</v>
      </c>
      <c r="B2049" s="37" t="s">
        <v>854</v>
      </c>
      <c r="C2049" s="7" t="s">
        <v>26768</v>
      </c>
      <c r="D2049" s="37" t="s">
        <v>26769</v>
      </c>
    </row>
    <row r="2050">
      <c r="A2050" s="37" t="s">
        <v>399</v>
      </c>
      <c r="B2050" s="37" t="s">
        <v>391</v>
      </c>
      <c r="C2050" s="7" t="s">
        <v>26770</v>
      </c>
      <c r="D2050" s="37" t="s">
        <v>26771</v>
      </c>
    </row>
    <row r="2051">
      <c r="A2051" s="37" t="s">
        <v>859</v>
      </c>
      <c r="B2051" s="37" t="s">
        <v>854</v>
      </c>
      <c r="C2051" s="7" t="s">
        <v>26772</v>
      </c>
      <c r="D2051" s="37" t="s">
        <v>26773</v>
      </c>
    </row>
    <row r="2052">
      <c r="A2052" s="37" t="s">
        <v>1229</v>
      </c>
      <c r="B2052" s="37" t="s">
        <v>26038</v>
      </c>
      <c r="C2052" s="7" t="s">
        <v>26774</v>
      </c>
      <c r="D2052" s="37" t="s">
        <v>26775</v>
      </c>
    </row>
    <row r="2053">
      <c r="A2053" s="37" t="s">
        <v>1229</v>
      </c>
      <c r="B2053" s="37" t="s">
        <v>26038</v>
      </c>
      <c r="C2053" s="7" t="s">
        <v>26776</v>
      </c>
      <c r="D2053" s="37" t="s">
        <v>26777</v>
      </c>
    </row>
    <row r="2054">
      <c r="A2054" s="37" t="s">
        <v>1229</v>
      </c>
      <c r="B2054" s="37" t="s">
        <v>26038</v>
      </c>
      <c r="C2054" s="7" t="s">
        <v>26778</v>
      </c>
      <c r="D2054" s="37" t="s">
        <v>26779</v>
      </c>
    </row>
    <row r="2055">
      <c r="A2055" s="37" t="s">
        <v>1147</v>
      </c>
      <c r="B2055" s="37" t="s">
        <v>478</v>
      </c>
      <c r="C2055" s="7" t="s">
        <v>26780</v>
      </c>
      <c r="D2055" s="37" t="s">
        <v>26781</v>
      </c>
    </row>
    <row r="2056">
      <c r="A2056" s="37" t="s">
        <v>1147</v>
      </c>
      <c r="B2056" s="37" t="s">
        <v>478</v>
      </c>
      <c r="C2056" s="7" t="s">
        <v>26782</v>
      </c>
      <c r="D2056" s="37" t="s">
        <v>26783</v>
      </c>
    </row>
    <row r="2057">
      <c r="A2057" s="37" t="s">
        <v>1162</v>
      </c>
      <c r="B2057" s="37" t="s">
        <v>1054</v>
      </c>
      <c r="C2057" s="7" t="s">
        <v>26784</v>
      </c>
      <c r="D2057" s="37" t="s">
        <v>26785</v>
      </c>
    </row>
    <row r="2058">
      <c r="A2058" s="37" t="s">
        <v>1188</v>
      </c>
      <c r="B2058" s="37" t="s">
        <v>1208</v>
      </c>
      <c r="C2058" s="7" t="s">
        <v>26786</v>
      </c>
      <c r="D2058" s="37" t="s">
        <v>26787</v>
      </c>
    </row>
    <row r="2059">
      <c r="A2059" s="37" t="s">
        <v>286</v>
      </c>
      <c r="B2059" s="37" t="s">
        <v>363</v>
      </c>
      <c r="C2059" s="7" t="s">
        <v>26788</v>
      </c>
      <c r="D2059" s="37" t="s">
        <v>26789</v>
      </c>
    </row>
    <row r="2060">
      <c r="A2060" s="37" t="s">
        <v>286</v>
      </c>
      <c r="B2060" s="37" t="s">
        <v>363</v>
      </c>
      <c r="C2060" s="7" t="s">
        <v>26790</v>
      </c>
      <c r="D2060" s="37" t="s">
        <v>26791</v>
      </c>
    </row>
    <row r="2061">
      <c r="A2061" s="37" t="s">
        <v>859</v>
      </c>
      <c r="B2061" s="37" t="s">
        <v>854</v>
      </c>
      <c r="C2061" s="7" t="s">
        <v>26792</v>
      </c>
      <c r="D2061" s="37" t="s">
        <v>26793</v>
      </c>
    </row>
    <row r="2062">
      <c r="A2062" s="37" t="s">
        <v>430</v>
      </c>
      <c r="B2062" s="37" t="s">
        <v>440</v>
      </c>
      <c r="C2062" s="7" t="s">
        <v>26794</v>
      </c>
      <c r="D2062" s="37" t="s">
        <v>26795</v>
      </c>
    </row>
    <row r="2063">
      <c r="A2063" s="37" t="s">
        <v>1283</v>
      </c>
      <c r="B2063" s="37" t="s">
        <v>298</v>
      </c>
      <c r="C2063" s="7" t="s">
        <v>26796</v>
      </c>
      <c r="D2063" s="37" t="s">
        <v>26797</v>
      </c>
    </row>
    <row r="2064">
      <c r="A2064" s="37" t="s">
        <v>1188</v>
      </c>
      <c r="B2064" s="37" t="s">
        <v>1208</v>
      </c>
      <c r="C2064" s="7" t="s">
        <v>26798</v>
      </c>
      <c r="D2064" s="37" t="s">
        <v>26799</v>
      </c>
    </row>
    <row r="2065">
      <c r="A2065" s="37" t="s">
        <v>1229</v>
      </c>
      <c r="B2065" s="37" t="s">
        <v>26038</v>
      </c>
      <c r="C2065" s="7" t="s">
        <v>26800</v>
      </c>
      <c r="D2065" s="37" t="s">
        <v>26801</v>
      </c>
    </row>
    <row r="2066">
      <c r="A2066" s="37" t="s">
        <v>26802</v>
      </c>
      <c r="B2066" s="37" t="s">
        <v>26803</v>
      </c>
      <c r="C2066" s="7" t="s">
        <v>26804</v>
      </c>
      <c r="D2066" s="37" t="s">
        <v>26805</v>
      </c>
    </row>
    <row r="2067">
      <c r="A2067" s="37" t="s">
        <v>26802</v>
      </c>
      <c r="B2067" s="37" t="s">
        <v>26803</v>
      </c>
      <c r="C2067" s="7" t="s">
        <v>26806</v>
      </c>
      <c r="D2067" s="37" t="s">
        <v>26807</v>
      </c>
    </row>
    <row r="2068">
      <c r="A2068" s="37" t="s">
        <v>26802</v>
      </c>
      <c r="B2068" s="37" t="s">
        <v>26803</v>
      </c>
      <c r="C2068" s="7" t="s">
        <v>26808</v>
      </c>
      <c r="D2068" s="37" t="s">
        <v>26809</v>
      </c>
    </row>
    <row r="2069">
      <c r="A2069" s="37" t="s">
        <v>26802</v>
      </c>
      <c r="B2069" s="37" t="s">
        <v>26803</v>
      </c>
      <c r="C2069" s="7" t="s">
        <v>26810</v>
      </c>
      <c r="D2069" s="37" t="s">
        <v>26811</v>
      </c>
    </row>
    <row r="2070">
      <c r="A2070" s="37" t="s">
        <v>26802</v>
      </c>
      <c r="B2070" s="37" t="s">
        <v>26803</v>
      </c>
      <c r="C2070" s="7" t="s">
        <v>26812</v>
      </c>
      <c r="D2070" s="37" t="s">
        <v>26813</v>
      </c>
    </row>
    <row r="2071">
      <c r="A2071" s="37" t="s">
        <v>26802</v>
      </c>
      <c r="B2071" s="37" t="s">
        <v>26803</v>
      </c>
      <c r="C2071" s="7" t="s">
        <v>26814</v>
      </c>
      <c r="D2071" s="37" t="s">
        <v>26815</v>
      </c>
    </row>
    <row r="2072">
      <c r="A2072" s="37" t="s">
        <v>26802</v>
      </c>
      <c r="B2072" s="37" t="s">
        <v>26803</v>
      </c>
      <c r="C2072" s="7" t="s">
        <v>26816</v>
      </c>
      <c r="D2072" s="37" t="s">
        <v>26817</v>
      </c>
    </row>
    <row r="2073">
      <c r="A2073" s="37" t="s">
        <v>26802</v>
      </c>
      <c r="B2073" s="37" t="s">
        <v>26803</v>
      </c>
      <c r="C2073" s="7" t="s">
        <v>26818</v>
      </c>
      <c r="D2073" s="37" t="s">
        <v>26819</v>
      </c>
    </row>
    <row r="2074">
      <c r="A2074" s="37" t="s">
        <v>26802</v>
      </c>
      <c r="B2074" s="37" t="s">
        <v>26803</v>
      </c>
      <c r="C2074" s="7" t="s">
        <v>26820</v>
      </c>
      <c r="D2074" s="37" t="s">
        <v>26821</v>
      </c>
    </row>
    <row r="2075">
      <c r="A2075" s="37" t="s">
        <v>1495</v>
      </c>
      <c r="B2075" s="37" t="s">
        <v>1495</v>
      </c>
      <c r="C2075" s="7" t="s">
        <v>26822</v>
      </c>
      <c r="D2075" s="37" t="s">
        <v>26823</v>
      </c>
    </row>
    <row r="2076">
      <c r="A2076" s="37" t="s">
        <v>1495</v>
      </c>
      <c r="B2076" s="37" t="s">
        <v>1495</v>
      </c>
      <c r="C2076" s="7" t="s">
        <v>26824</v>
      </c>
      <c r="D2076" s="37" t="s">
        <v>26825</v>
      </c>
    </row>
    <row r="2077">
      <c r="A2077" s="37" t="s">
        <v>26826</v>
      </c>
      <c r="B2077" s="37" t="s">
        <v>26038</v>
      </c>
      <c r="C2077" s="7" t="s">
        <v>26827</v>
      </c>
      <c r="D2077" s="37" t="s">
        <v>26828</v>
      </c>
    </row>
    <row r="2078">
      <c r="A2078" s="37" t="s">
        <v>26826</v>
      </c>
      <c r="B2078" s="37" t="s">
        <v>26038</v>
      </c>
      <c r="C2078" s="7" t="s">
        <v>26829</v>
      </c>
      <c r="D2078" s="37" t="s">
        <v>26830</v>
      </c>
    </row>
    <row r="2079">
      <c r="A2079" s="37" t="s">
        <v>395</v>
      </c>
      <c r="B2079" s="37" t="s">
        <v>391</v>
      </c>
      <c r="C2079" s="7" t="s">
        <v>26831</v>
      </c>
      <c r="D2079" s="37" t="s">
        <v>26832</v>
      </c>
    </row>
    <row r="2080">
      <c r="A2080" s="37" t="s">
        <v>1188</v>
      </c>
      <c r="B2080" s="37" t="s">
        <v>1208</v>
      </c>
      <c r="C2080" s="7" t="s">
        <v>26833</v>
      </c>
      <c r="D2080" s="37" t="s">
        <v>26834</v>
      </c>
    </row>
    <row r="2081">
      <c r="A2081" s="37" t="s">
        <v>436</v>
      </c>
      <c r="B2081" s="37" t="s">
        <v>429</v>
      </c>
      <c r="C2081" s="7" t="s">
        <v>26835</v>
      </c>
      <c r="D2081" s="37" t="s">
        <v>26836</v>
      </c>
    </row>
    <row r="2082">
      <c r="A2082" s="37" t="s">
        <v>1162</v>
      </c>
      <c r="B2082" s="37" t="s">
        <v>1054</v>
      </c>
      <c r="C2082" s="7" t="s">
        <v>26837</v>
      </c>
      <c r="D2082" s="37" t="s">
        <v>26838</v>
      </c>
    </row>
    <row r="2083">
      <c r="A2083" s="37" t="s">
        <v>1229</v>
      </c>
      <c r="B2083" s="37" t="s">
        <v>26038</v>
      </c>
      <c r="C2083" s="7" t="s">
        <v>26839</v>
      </c>
      <c r="D2083" s="37" t="s">
        <v>26840</v>
      </c>
    </row>
    <row r="2084">
      <c r="A2084" s="37" t="s">
        <v>1229</v>
      </c>
      <c r="B2084" s="37" t="s">
        <v>26038</v>
      </c>
      <c r="C2084" s="37" t="s">
        <v>26841</v>
      </c>
      <c r="D2084" s="37" t="s">
        <v>26842</v>
      </c>
    </row>
    <row r="2085">
      <c r="A2085" s="37" t="s">
        <v>1229</v>
      </c>
      <c r="B2085" s="37" t="s">
        <v>26038</v>
      </c>
      <c r="C2085" s="37" t="s">
        <v>26843</v>
      </c>
      <c r="D2085" s="37" t="s">
        <v>26844</v>
      </c>
    </row>
    <row r="2086">
      <c r="A2086" s="37" t="s">
        <v>23444</v>
      </c>
      <c r="B2086" s="37" t="s">
        <v>24942</v>
      </c>
      <c r="C2086" s="7" t="s">
        <v>26845</v>
      </c>
      <c r="D2086" s="37" t="s">
        <v>26846</v>
      </c>
    </row>
    <row r="2087">
      <c r="A2087" s="37" t="s">
        <v>696</v>
      </c>
      <c r="B2087" s="37" t="s">
        <v>693</v>
      </c>
      <c r="C2087" s="7" t="s">
        <v>26847</v>
      </c>
      <c r="D2087" s="37" t="s">
        <v>26848</v>
      </c>
    </row>
    <row r="2088">
      <c r="A2088" s="37" t="s">
        <v>1147</v>
      </c>
      <c r="B2088" s="37" t="s">
        <v>478</v>
      </c>
      <c r="C2088" s="7" t="s">
        <v>5858</v>
      </c>
      <c r="D2088" s="37" t="s">
        <v>26849</v>
      </c>
    </row>
    <row r="2089">
      <c r="A2089" s="37" t="s">
        <v>26826</v>
      </c>
      <c r="B2089" s="37" t="s">
        <v>26038</v>
      </c>
      <c r="C2089" s="7" t="s">
        <v>26850</v>
      </c>
      <c r="D2089" s="37" t="s">
        <v>26851</v>
      </c>
    </row>
    <row r="2090">
      <c r="A2090" s="37" t="s">
        <v>1283</v>
      </c>
      <c r="B2090" s="37" t="s">
        <v>298</v>
      </c>
      <c r="C2090" s="7" t="s">
        <v>26852</v>
      </c>
      <c r="D2090" s="37" t="s">
        <v>26853</v>
      </c>
    </row>
    <row r="2091">
      <c r="A2091" s="37" t="s">
        <v>1246</v>
      </c>
      <c r="B2091" s="37" t="s">
        <v>1242</v>
      </c>
      <c r="C2091" s="7" t="s">
        <v>25979</v>
      </c>
      <c r="D2091" s="37" t="s">
        <v>26854</v>
      </c>
    </row>
    <row r="2092">
      <c r="A2092" s="37" t="s">
        <v>1246</v>
      </c>
      <c r="B2092" s="37" t="s">
        <v>1242</v>
      </c>
      <c r="C2092" s="7" t="s">
        <v>24573</v>
      </c>
      <c r="D2092" s="37" t="s">
        <v>26855</v>
      </c>
    </row>
    <row r="2093">
      <c r="A2093" s="37" t="s">
        <v>1246</v>
      </c>
      <c r="B2093" s="37" t="s">
        <v>1242</v>
      </c>
      <c r="C2093" s="7" t="s">
        <v>24575</v>
      </c>
      <c r="D2093" s="37" t="s">
        <v>26856</v>
      </c>
    </row>
    <row r="2094">
      <c r="A2094" s="37" t="s">
        <v>1246</v>
      </c>
      <c r="B2094" s="37" t="s">
        <v>1242</v>
      </c>
      <c r="C2094" s="7" t="s">
        <v>24577</v>
      </c>
      <c r="D2094" s="37" t="s">
        <v>26857</v>
      </c>
    </row>
    <row r="2095">
      <c r="A2095" s="37" t="s">
        <v>1246</v>
      </c>
      <c r="B2095" s="37" t="s">
        <v>1242</v>
      </c>
      <c r="C2095" s="7" t="s">
        <v>25981</v>
      </c>
      <c r="D2095" s="37" t="s">
        <v>26858</v>
      </c>
    </row>
    <row r="2096">
      <c r="A2096" s="37" t="s">
        <v>1246</v>
      </c>
      <c r="B2096" s="37" t="s">
        <v>1242</v>
      </c>
      <c r="C2096" s="7" t="s">
        <v>25983</v>
      </c>
      <c r="D2096" s="37" t="s">
        <v>26859</v>
      </c>
    </row>
    <row r="2097">
      <c r="A2097" s="37" t="s">
        <v>1246</v>
      </c>
      <c r="B2097" s="37" t="s">
        <v>1242</v>
      </c>
      <c r="C2097" s="7" t="s">
        <v>23930</v>
      </c>
      <c r="D2097" s="37" t="s">
        <v>26860</v>
      </c>
    </row>
    <row r="2098">
      <c r="A2098" s="37" t="s">
        <v>1246</v>
      </c>
      <c r="B2098" s="37" t="s">
        <v>1242</v>
      </c>
      <c r="C2098" s="7" t="s">
        <v>4873</v>
      </c>
      <c r="D2098" s="37" t="s">
        <v>26861</v>
      </c>
    </row>
    <row r="2099">
      <c r="A2099" s="37" t="s">
        <v>1246</v>
      </c>
      <c r="B2099" s="37" t="s">
        <v>1242</v>
      </c>
      <c r="C2099" s="7" t="s">
        <v>26862</v>
      </c>
      <c r="D2099" s="37" t="s">
        <v>26863</v>
      </c>
    </row>
    <row r="2100">
      <c r="A2100" s="37" t="s">
        <v>1246</v>
      </c>
      <c r="B2100" s="37" t="s">
        <v>1242</v>
      </c>
      <c r="C2100" s="7" t="s">
        <v>8870</v>
      </c>
      <c r="D2100" s="37" t="s">
        <v>26864</v>
      </c>
    </row>
    <row r="2101">
      <c r="A2101" s="37" t="s">
        <v>1246</v>
      </c>
      <c r="B2101" s="37" t="s">
        <v>1242</v>
      </c>
      <c r="C2101" s="7" t="s">
        <v>24939</v>
      </c>
      <c r="D2101" s="37" t="s">
        <v>26865</v>
      </c>
    </row>
    <row r="2102">
      <c r="A2102" s="37" t="s">
        <v>1246</v>
      </c>
      <c r="B2102" s="37" t="s">
        <v>1242</v>
      </c>
      <c r="C2102" s="7" t="s">
        <v>4065</v>
      </c>
      <c r="D2102" s="37" t="s">
        <v>26866</v>
      </c>
    </row>
    <row r="2103">
      <c r="A2103" s="37" t="s">
        <v>1246</v>
      </c>
      <c r="B2103" s="37" t="s">
        <v>1242</v>
      </c>
      <c r="C2103" s="7" t="s">
        <v>4037</v>
      </c>
      <c r="D2103" s="37" t="s">
        <v>26867</v>
      </c>
    </row>
    <row r="2104">
      <c r="A2104" s="37" t="s">
        <v>1246</v>
      </c>
      <c r="B2104" s="37" t="s">
        <v>1242</v>
      </c>
      <c r="C2104" s="7" t="s">
        <v>5220</v>
      </c>
      <c r="D2104" s="37" t="s">
        <v>26868</v>
      </c>
    </row>
    <row r="2105">
      <c r="A2105" s="37" t="s">
        <v>1246</v>
      </c>
      <c r="B2105" s="37" t="s">
        <v>1242</v>
      </c>
      <c r="C2105" s="7" t="s">
        <v>7191</v>
      </c>
      <c r="D2105" s="37" t="s">
        <v>26869</v>
      </c>
    </row>
    <row r="2106">
      <c r="A2106" s="37" t="s">
        <v>1246</v>
      </c>
      <c r="B2106" s="37" t="s">
        <v>1242</v>
      </c>
      <c r="C2106" s="7" t="s">
        <v>26870</v>
      </c>
      <c r="D2106" s="37" t="s">
        <v>26871</v>
      </c>
    </row>
    <row r="2107">
      <c r="A2107" s="37" t="s">
        <v>1246</v>
      </c>
      <c r="B2107" s="37" t="s">
        <v>1242</v>
      </c>
      <c r="C2107" s="7" t="s">
        <v>26872</v>
      </c>
      <c r="D2107" s="37" t="s">
        <v>26873</v>
      </c>
    </row>
    <row r="2108">
      <c r="A2108" s="37" t="s">
        <v>1246</v>
      </c>
      <c r="B2108" s="37" t="s">
        <v>1242</v>
      </c>
      <c r="C2108" s="7" t="s">
        <v>26874</v>
      </c>
      <c r="D2108" s="37" t="s">
        <v>26875</v>
      </c>
    </row>
    <row r="2109">
      <c r="A2109" s="37" t="s">
        <v>1246</v>
      </c>
      <c r="B2109" s="37" t="s">
        <v>1242</v>
      </c>
      <c r="C2109" s="7" t="s">
        <v>26876</v>
      </c>
      <c r="D2109" s="37" t="s">
        <v>26877</v>
      </c>
    </row>
    <row r="2110">
      <c r="A2110" s="37" t="s">
        <v>1246</v>
      </c>
      <c r="B2110" s="37" t="s">
        <v>1242</v>
      </c>
      <c r="C2110" s="7" t="s">
        <v>6774</v>
      </c>
      <c r="D2110" s="37" t="s">
        <v>26878</v>
      </c>
    </row>
    <row r="2111">
      <c r="A2111" s="37" t="s">
        <v>1246</v>
      </c>
      <c r="B2111" s="37" t="s">
        <v>1242</v>
      </c>
      <c r="C2111" s="7" t="s">
        <v>4625</v>
      </c>
      <c r="D2111" s="37" t="s">
        <v>26879</v>
      </c>
    </row>
    <row r="2112">
      <c r="A2112" s="37" t="s">
        <v>1246</v>
      </c>
      <c r="B2112" s="37" t="s">
        <v>1242</v>
      </c>
      <c r="C2112" s="7" t="s">
        <v>12328</v>
      </c>
      <c r="D2112" s="37" t="s">
        <v>26880</v>
      </c>
    </row>
    <row r="2113">
      <c r="A2113" s="37" t="s">
        <v>1246</v>
      </c>
      <c r="B2113" s="37" t="s">
        <v>1242</v>
      </c>
      <c r="C2113" s="7" t="s">
        <v>8373</v>
      </c>
      <c r="D2113" s="37" t="s">
        <v>26881</v>
      </c>
    </row>
    <row r="2114">
      <c r="A2114" s="37" t="s">
        <v>1246</v>
      </c>
      <c r="B2114" s="37" t="s">
        <v>1242</v>
      </c>
      <c r="C2114" s="7" t="s">
        <v>5657</v>
      </c>
      <c r="D2114" s="37" t="s">
        <v>26882</v>
      </c>
    </row>
    <row r="2115">
      <c r="A2115" s="37" t="s">
        <v>1246</v>
      </c>
      <c r="B2115" s="37" t="s">
        <v>1242</v>
      </c>
      <c r="C2115" s="7" t="s">
        <v>9978</v>
      </c>
      <c r="D2115" s="37" t="s">
        <v>26883</v>
      </c>
    </row>
    <row r="2116">
      <c r="A2116" s="37" t="s">
        <v>1246</v>
      </c>
      <c r="B2116" s="37" t="s">
        <v>1242</v>
      </c>
      <c r="C2116" s="7" t="s">
        <v>13807</v>
      </c>
      <c r="D2116" s="37" t="s">
        <v>26884</v>
      </c>
    </row>
    <row r="2117">
      <c r="A2117" s="37" t="s">
        <v>1246</v>
      </c>
      <c r="B2117" s="37" t="s">
        <v>1242</v>
      </c>
      <c r="C2117" s="7" t="s">
        <v>4879</v>
      </c>
      <c r="D2117" s="37" t="s">
        <v>26885</v>
      </c>
    </row>
    <row r="2118">
      <c r="A2118" s="37" t="s">
        <v>1246</v>
      </c>
      <c r="B2118" s="37" t="s">
        <v>1242</v>
      </c>
      <c r="C2118" s="7" t="s">
        <v>4614</v>
      </c>
      <c r="D2118" s="37" t="s">
        <v>26886</v>
      </c>
    </row>
    <row r="2119">
      <c r="A2119" s="37" t="s">
        <v>1246</v>
      </c>
      <c r="B2119" s="37" t="s">
        <v>1242</v>
      </c>
      <c r="C2119" s="7" t="s">
        <v>23844</v>
      </c>
      <c r="D2119" s="37" t="s">
        <v>26887</v>
      </c>
    </row>
    <row r="2120">
      <c r="A2120" s="37" t="s">
        <v>1246</v>
      </c>
      <c r="B2120" s="37" t="s">
        <v>1242</v>
      </c>
      <c r="C2120" s="7" t="s">
        <v>24595</v>
      </c>
      <c r="D2120" s="37" t="s">
        <v>26888</v>
      </c>
    </row>
    <row r="2121">
      <c r="A2121" s="37" t="s">
        <v>1246</v>
      </c>
      <c r="B2121" s="37" t="s">
        <v>1242</v>
      </c>
      <c r="C2121" s="7" t="s">
        <v>26889</v>
      </c>
      <c r="D2121" s="37" t="s">
        <v>26890</v>
      </c>
    </row>
    <row r="2122">
      <c r="A2122" s="37" t="s">
        <v>1246</v>
      </c>
      <c r="B2122" s="37" t="s">
        <v>1242</v>
      </c>
      <c r="C2122" s="7" t="s">
        <v>10837</v>
      </c>
      <c r="D2122" s="37" t="s">
        <v>26891</v>
      </c>
    </row>
    <row r="2123">
      <c r="A2123" s="37" t="s">
        <v>1246</v>
      </c>
      <c r="B2123" s="37" t="s">
        <v>1242</v>
      </c>
      <c r="C2123" s="7" t="s">
        <v>9264</v>
      </c>
      <c r="D2123" s="37" t="s">
        <v>26892</v>
      </c>
    </row>
    <row r="2124">
      <c r="A2124" s="37" t="s">
        <v>1246</v>
      </c>
      <c r="B2124" s="37" t="s">
        <v>1242</v>
      </c>
      <c r="C2124" s="7" t="s">
        <v>12017</v>
      </c>
      <c r="D2124" s="37" t="s">
        <v>26893</v>
      </c>
    </row>
    <row r="2125">
      <c r="A2125" s="37" t="s">
        <v>1246</v>
      </c>
      <c r="B2125" s="37" t="s">
        <v>1242</v>
      </c>
      <c r="C2125" s="7" t="s">
        <v>6916</v>
      </c>
      <c r="D2125" s="37" t="s">
        <v>26894</v>
      </c>
    </row>
    <row r="2126">
      <c r="A2126" s="37" t="s">
        <v>1246</v>
      </c>
      <c r="B2126" s="37" t="s">
        <v>1242</v>
      </c>
      <c r="C2126" s="7" t="s">
        <v>14221</v>
      </c>
      <c r="D2126" s="37" t="s">
        <v>26895</v>
      </c>
    </row>
    <row r="2127">
      <c r="A2127" s="37" t="s">
        <v>1246</v>
      </c>
      <c r="B2127" s="37" t="s">
        <v>1242</v>
      </c>
      <c r="C2127" s="7" t="s">
        <v>4638</v>
      </c>
      <c r="D2127" s="37" t="s">
        <v>26896</v>
      </c>
    </row>
    <row r="2128">
      <c r="A2128" s="37" t="s">
        <v>1246</v>
      </c>
      <c r="B2128" s="37" t="s">
        <v>1242</v>
      </c>
      <c r="C2128" s="7" t="s">
        <v>13688</v>
      </c>
      <c r="D2128" s="37" t="s">
        <v>26897</v>
      </c>
    </row>
    <row r="2129">
      <c r="A2129" s="37" t="s">
        <v>1278</v>
      </c>
      <c r="B2129" s="37" t="s">
        <v>24942</v>
      </c>
      <c r="C2129" s="7" t="s">
        <v>26898</v>
      </c>
      <c r="D2129" s="37" t="s">
        <v>26899</v>
      </c>
    </row>
    <row r="2130">
      <c r="A2130" s="37" t="s">
        <v>1278</v>
      </c>
      <c r="B2130" s="37" t="s">
        <v>24942</v>
      </c>
      <c r="C2130" s="7" t="s">
        <v>26900</v>
      </c>
      <c r="D2130" s="37" t="s">
        <v>26901</v>
      </c>
    </row>
    <row r="2131">
      <c r="A2131" s="37" t="s">
        <v>1278</v>
      </c>
      <c r="B2131" s="37" t="s">
        <v>24942</v>
      </c>
      <c r="C2131" s="7" t="s">
        <v>26902</v>
      </c>
      <c r="D2131" s="37" t="s">
        <v>26903</v>
      </c>
    </row>
    <row r="2132">
      <c r="A2132" s="37" t="s">
        <v>484</v>
      </c>
      <c r="B2132" s="37" t="s">
        <v>478</v>
      </c>
      <c r="C2132" s="37" t="s">
        <v>26904</v>
      </c>
      <c r="D2132" s="37" t="s">
        <v>26905</v>
      </c>
    </row>
    <row r="2133">
      <c r="A2133" s="37" t="s">
        <v>25156</v>
      </c>
      <c r="B2133" s="37" t="s">
        <v>24608</v>
      </c>
      <c r="C2133" s="7" t="s">
        <v>26906</v>
      </c>
      <c r="D2133" s="37" t="s">
        <v>26907</v>
      </c>
    </row>
    <row r="2134">
      <c r="A2134" s="37" t="s">
        <v>399</v>
      </c>
      <c r="B2134" s="37" t="s">
        <v>391</v>
      </c>
      <c r="C2134" s="37" t="s">
        <v>26908</v>
      </c>
      <c r="D2134" s="37" t="s">
        <v>26909</v>
      </c>
    </row>
    <row r="2135">
      <c r="A2135" s="37" t="s">
        <v>857</v>
      </c>
      <c r="B2135" s="37" t="s">
        <v>854</v>
      </c>
      <c r="C2135" s="7" t="s">
        <v>26910</v>
      </c>
      <c r="D2135" s="37" t="s">
        <v>26911</v>
      </c>
    </row>
    <row r="2136">
      <c r="A2136" s="37" t="s">
        <v>1278</v>
      </c>
      <c r="B2136" s="37" t="s">
        <v>24942</v>
      </c>
      <c r="C2136" s="7" t="s">
        <v>26912</v>
      </c>
      <c r="D2136" s="37" t="s">
        <v>26913</v>
      </c>
    </row>
    <row r="2137">
      <c r="A2137" s="37" t="s">
        <v>1278</v>
      </c>
      <c r="B2137" s="37" t="s">
        <v>24942</v>
      </c>
      <c r="C2137" s="7" t="s">
        <v>26914</v>
      </c>
      <c r="D2137" s="37" t="s">
        <v>26915</v>
      </c>
    </row>
    <row r="2138">
      <c r="A2138" s="37" t="s">
        <v>1278</v>
      </c>
      <c r="B2138" s="37" t="s">
        <v>24942</v>
      </c>
      <c r="C2138" s="7" t="s">
        <v>26916</v>
      </c>
      <c r="D2138" s="37" t="s">
        <v>26917</v>
      </c>
    </row>
    <row r="2139">
      <c r="A2139" s="37" t="s">
        <v>1147</v>
      </c>
      <c r="B2139" s="37" t="s">
        <v>478</v>
      </c>
      <c r="C2139" s="7" t="s">
        <v>15273</v>
      </c>
      <c r="D2139" s="37" t="s">
        <v>26918</v>
      </c>
    </row>
    <row r="2140">
      <c r="A2140" s="37" t="s">
        <v>1147</v>
      </c>
      <c r="B2140" s="37" t="s">
        <v>478</v>
      </c>
      <c r="C2140" s="7" t="s">
        <v>15088</v>
      </c>
      <c r="D2140" s="37" t="s">
        <v>26919</v>
      </c>
    </row>
    <row r="2141">
      <c r="A2141" s="37" t="s">
        <v>1147</v>
      </c>
      <c r="B2141" s="37" t="s">
        <v>478</v>
      </c>
      <c r="C2141" s="7" t="s">
        <v>26920</v>
      </c>
      <c r="D2141" s="37" t="s">
        <v>26921</v>
      </c>
    </row>
    <row r="2142">
      <c r="A2142" s="37" t="s">
        <v>1147</v>
      </c>
      <c r="B2142" s="37" t="s">
        <v>478</v>
      </c>
      <c r="C2142" s="7" t="s">
        <v>26922</v>
      </c>
      <c r="D2142" s="37" t="s">
        <v>26923</v>
      </c>
    </row>
    <row r="2143">
      <c r="A2143" s="37" t="s">
        <v>1147</v>
      </c>
      <c r="B2143" s="37" t="s">
        <v>478</v>
      </c>
      <c r="C2143" s="7" t="s">
        <v>26924</v>
      </c>
      <c r="D2143" s="37" t="s">
        <v>26925</v>
      </c>
    </row>
    <row r="2144">
      <c r="A2144" s="37" t="s">
        <v>1148</v>
      </c>
      <c r="B2144" s="37" t="s">
        <v>1208</v>
      </c>
      <c r="C2144" s="7" t="s">
        <v>26926</v>
      </c>
      <c r="D2144" s="37" t="s">
        <v>26927</v>
      </c>
    </row>
    <row r="2145">
      <c r="A2145" s="37" t="s">
        <v>26826</v>
      </c>
      <c r="B2145" s="37" t="s">
        <v>26928</v>
      </c>
      <c r="C2145" s="7" t="s">
        <v>26929</v>
      </c>
      <c r="D2145" s="37" t="s">
        <v>26930</v>
      </c>
    </row>
    <row r="2146">
      <c r="A2146" s="37" t="s">
        <v>1228</v>
      </c>
      <c r="B2146" s="37" t="s">
        <v>854</v>
      </c>
      <c r="C2146" s="7" t="s">
        <v>26931</v>
      </c>
      <c r="D2146" s="37" t="s">
        <v>26932</v>
      </c>
    </row>
    <row r="2147">
      <c r="A2147" s="37" t="s">
        <v>118</v>
      </c>
      <c r="B2147" s="37" t="s">
        <v>24752</v>
      </c>
      <c r="C2147" s="7" t="s">
        <v>26933</v>
      </c>
      <c r="D2147" s="37" t="s">
        <v>26934</v>
      </c>
    </row>
    <row r="2148">
      <c r="A2148" s="37" t="s">
        <v>1495</v>
      </c>
      <c r="B2148" s="37" t="s">
        <v>26935</v>
      </c>
      <c r="C2148" s="7" t="s">
        <v>26936</v>
      </c>
      <c r="D2148" s="37" t="s">
        <v>26937</v>
      </c>
    </row>
    <row r="2149">
      <c r="A2149" s="37" t="s">
        <v>696</v>
      </c>
      <c r="B2149" s="37" t="s">
        <v>693</v>
      </c>
      <c r="C2149" s="7" t="s">
        <v>26938</v>
      </c>
      <c r="D2149" s="37" t="s">
        <v>26939</v>
      </c>
    </row>
    <row r="2150">
      <c r="A2150" s="37" t="s">
        <v>51</v>
      </c>
      <c r="B2150" s="37" t="s">
        <v>1242</v>
      </c>
      <c r="C2150" s="7" t="s">
        <v>26940</v>
      </c>
      <c r="D2150" s="37" t="s">
        <v>26941</v>
      </c>
    </row>
    <row r="2151">
      <c r="A2151" s="37" t="s">
        <v>1189</v>
      </c>
      <c r="B2151" s="37" t="s">
        <v>1273</v>
      </c>
      <c r="C2151" s="7" t="s">
        <v>11080</v>
      </c>
      <c r="D2151" s="37" t="s">
        <v>26942</v>
      </c>
    </row>
    <row r="2152">
      <c r="A2152" s="37" t="s">
        <v>1278</v>
      </c>
      <c r="B2152" s="37" t="s">
        <v>24942</v>
      </c>
      <c r="C2152" s="7" t="s">
        <v>26943</v>
      </c>
      <c r="D2152" s="37" t="s">
        <v>26944</v>
      </c>
    </row>
    <row r="2153">
      <c r="A2153" s="37" t="s">
        <v>1278</v>
      </c>
      <c r="B2153" s="37" t="s">
        <v>24942</v>
      </c>
      <c r="C2153" s="7" t="s">
        <v>26945</v>
      </c>
      <c r="D2153" s="37" t="s">
        <v>26946</v>
      </c>
    </row>
    <row r="2154">
      <c r="A2154" s="37" t="s">
        <v>484</v>
      </c>
      <c r="B2154" s="37" t="s">
        <v>478</v>
      </c>
      <c r="C2154" s="7" t="s">
        <v>1984</v>
      </c>
      <c r="D2154" s="37" t="s">
        <v>26947</v>
      </c>
    </row>
    <row r="2155">
      <c r="A2155" s="37" t="s">
        <v>1207</v>
      </c>
      <c r="B2155" s="37" t="s">
        <v>3</v>
      </c>
      <c r="C2155" s="37" t="s">
        <v>26948</v>
      </c>
      <c r="D2155" s="37" t="s">
        <v>26949</v>
      </c>
    </row>
    <row r="2156">
      <c r="A2156" s="37" t="s">
        <v>118</v>
      </c>
      <c r="B2156" s="37" t="s">
        <v>24752</v>
      </c>
      <c r="C2156" s="7" t="s">
        <v>26950</v>
      </c>
      <c r="D2156" s="37" t="s">
        <v>26951</v>
      </c>
    </row>
    <row r="2157">
      <c r="A2157" s="37" t="s">
        <v>23444</v>
      </c>
      <c r="B2157" s="37" t="s">
        <v>24942</v>
      </c>
      <c r="C2157" s="7" t="s">
        <v>10653</v>
      </c>
      <c r="D2157" s="37" t="s">
        <v>26952</v>
      </c>
    </row>
    <row r="2158">
      <c r="A2158" s="37" t="s">
        <v>23444</v>
      </c>
      <c r="B2158" s="37" t="s">
        <v>25433</v>
      </c>
      <c r="C2158" s="7" t="s">
        <v>26953</v>
      </c>
      <c r="D2158" s="37" t="s">
        <v>26954</v>
      </c>
    </row>
    <row r="2159">
      <c r="A2159" s="37" t="s">
        <v>23444</v>
      </c>
      <c r="B2159" s="37" t="s">
        <v>25433</v>
      </c>
      <c r="C2159" s="7" t="s">
        <v>26955</v>
      </c>
      <c r="D2159" s="37" t="s">
        <v>26956</v>
      </c>
    </row>
    <row r="2160">
      <c r="A2160" s="37" t="s">
        <v>1229</v>
      </c>
      <c r="B2160" s="37" t="s">
        <v>26038</v>
      </c>
      <c r="C2160" s="7" t="s">
        <v>26957</v>
      </c>
      <c r="D2160" s="37" t="s">
        <v>26958</v>
      </c>
    </row>
    <row r="2161">
      <c r="A2161" s="37" t="s">
        <v>1229</v>
      </c>
      <c r="B2161" s="37" t="s">
        <v>26038</v>
      </c>
      <c r="C2161" s="7" t="s">
        <v>26959</v>
      </c>
      <c r="D2161" s="37" t="s">
        <v>26960</v>
      </c>
    </row>
    <row r="2162">
      <c r="A2162" s="37" t="s">
        <v>1229</v>
      </c>
      <c r="B2162" s="37" t="s">
        <v>26038</v>
      </c>
      <c r="C2162" s="7" t="s">
        <v>26961</v>
      </c>
      <c r="D2162" s="37" t="s">
        <v>26962</v>
      </c>
    </row>
    <row r="2163">
      <c r="A2163" s="37" t="s">
        <v>124</v>
      </c>
      <c r="B2163" s="37" t="s">
        <v>24752</v>
      </c>
      <c r="C2163" s="7" t="s">
        <v>26963</v>
      </c>
      <c r="D2163" s="37" t="s">
        <v>26964</v>
      </c>
    </row>
    <row r="2164">
      <c r="A2164" s="37" t="s">
        <v>1162</v>
      </c>
      <c r="B2164" s="37" t="s">
        <v>25880</v>
      </c>
      <c r="C2164" s="7" t="s">
        <v>26965</v>
      </c>
      <c r="D2164" s="37" t="s">
        <v>26966</v>
      </c>
    </row>
    <row r="2165">
      <c r="A2165" s="37" t="s">
        <v>304</v>
      </c>
      <c r="B2165" s="37" t="s">
        <v>298</v>
      </c>
      <c r="C2165" s="7" t="s">
        <v>26967</v>
      </c>
      <c r="D2165" s="37" t="s">
        <v>26968</v>
      </c>
    </row>
    <row r="2166">
      <c r="A2166" s="37" t="s">
        <v>1362</v>
      </c>
      <c r="B2166" s="37" t="s">
        <v>1096</v>
      </c>
      <c r="C2166" s="7" t="s">
        <v>12425</v>
      </c>
      <c r="D2166" s="37" t="s">
        <v>26969</v>
      </c>
    </row>
    <row r="2167">
      <c r="A2167" s="37" t="s">
        <v>118</v>
      </c>
      <c r="B2167" s="37" t="s">
        <v>24752</v>
      </c>
      <c r="C2167" s="7" t="s">
        <v>26970</v>
      </c>
      <c r="D2167" s="37" t="s">
        <v>26971</v>
      </c>
    </row>
    <row r="2168">
      <c r="A2168" s="37" t="s">
        <v>1283</v>
      </c>
      <c r="B2168" s="37" t="s">
        <v>298</v>
      </c>
      <c r="C2168" s="7" t="s">
        <v>26972</v>
      </c>
      <c r="D2168" s="37" t="s">
        <v>26973</v>
      </c>
    </row>
    <row r="2169">
      <c r="A2169" s="37" t="s">
        <v>23444</v>
      </c>
      <c r="B2169" s="37" t="s">
        <v>24942</v>
      </c>
      <c r="C2169" s="7" t="s">
        <v>26974</v>
      </c>
      <c r="D2169" s="37" t="s">
        <v>26975</v>
      </c>
    </row>
    <row r="2170">
      <c r="A2170" s="37" t="s">
        <v>1137</v>
      </c>
      <c r="B2170" s="37" t="s">
        <v>1054</v>
      </c>
      <c r="C2170" s="7" t="s">
        <v>26976</v>
      </c>
      <c r="D2170" s="37" t="s">
        <v>26977</v>
      </c>
    </row>
    <row r="2171">
      <c r="A2171" s="37" t="s">
        <v>1162</v>
      </c>
      <c r="B2171" s="37" t="s">
        <v>26978</v>
      </c>
      <c r="C2171" s="7" t="s">
        <v>26979</v>
      </c>
      <c r="D2171" s="37" t="s">
        <v>26980</v>
      </c>
    </row>
    <row r="2172">
      <c r="A2172" s="37" t="s">
        <v>1162</v>
      </c>
      <c r="B2172" s="37" t="s">
        <v>26978</v>
      </c>
      <c r="C2172" s="7" t="s">
        <v>26981</v>
      </c>
      <c r="D2172" s="37" t="s">
        <v>26982</v>
      </c>
    </row>
    <row r="2173">
      <c r="A2173" s="37" t="s">
        <v>1162</v>
      </c>
      <c r="B2173" s="37" t="s">
        <v>26978</v>
      </c>
      <c r="C2173" s="7" t="s">
        <v>26983</v>
      </c>
      <c r="D2173" s="37" t="s">
        <v>26984</v>
      </c>
    </row>
    <row r="2174">
      <c r="A2174" s="37" t="s">
        <v>74</v>
      </c>
      <c r="B2174" s="37" t="s">
        <v>1208</v>
      </c>
      <c r="C2174" s="7" t="s">
        <v>26985</v>
      </c>
      <c r="D2174" s="37" t="s">
        <v>26986</v>
      </c>
    </row>
    <row r="2175">
      <c r="A2175" s="37" t="s">
        <v>74</v>
      </c>
      <c r="B2175" s="37" t="s">
        <v>25543</v>
      </c>
      <c r="C2175" s="37" t="s">
        <v>26987</v>
      </c>
      <c r="D2175" s="37" t="s">
        <v>26988</v>
      </c>
    </row>
    <row r="2176">
      <c r="A2176" s="37" t="s">
        <v>1128</v>
      </c>
      <c r="B2176" s="37" t="s">
        <v>26160</v>
      </c>
      <c r="C2176" s="7" t="s">
        <v>26989</v>
      </c>
      <c r="D2176" s="37" t="s">
        <v>26990</v>
      </c>
    </row>
    <row r="2177">
      <c r="A2177" s="37" t="s">
        <v>118</v>
      </c>
      <c r="B2177" s="37" t="s">
        <v>24752</v>
      </c>
      <c r="C2177" s="7" t="s">
        <v>26991</v>
      </c>
      <c r="D2177" s="37" t="s">
        <v>26992</v>
      </c>
    </row>
    <row r="2178">
      <c r="A2178" s="37" t="s">
        <v>1146</v>
      </c>
      <c r="B2178" s="37" t="s">
        <v>478</v>
      </c>
      <c r="C2178" s="7" t="s">
        <v>26993</v>
      </c>
      <c r="D2178" s="37" t="s">
        <v>26994</v>
      </c>
    </row>
    <row r="2179">
      <c r="A2179" s="37" t="s">
        <v>1229</v>
      </c>
      <c r="B2179" s="37" t="s">
        <v>26038</v>
      </c>
      <c r="C2179" s="7" t="s">
        <v>26995</v>
      </c>
      <c r="D2179" s="37" t="s">
        <v>26996</v>
      </c>
    </row>
    <row r="2180">
      <c r="A2180" s="37" t="s">
        <v>1363</v>
      </c>
      <c r="B2180" s="37" t="s">
        <v>1096</v>
      </c>
      <c r="C2180" s="7" t="s">
        <v>5138</v>
      </c>
      <c r="D2180" s="37" t="s">
        <v>26997</v>
      </c>
    </row>
    <row r="2181">
      <c r="A2181" s="37" t="s">
        <v>1147</v>
      </c>
      <c r="B2181" s="37" t="s">
        <v>478</v>
      </c>
      <c r="C2181" s="7" t="s">
        <v>26998</v>
      </c>
      <c r="D2181" s="37" t="s">
        <v>26999</v>
      </c>
    </row>
    <row r="2182">
      <c r="A2182" s="37" t="s">
        <v>1147</v>
      </c>
      <c r="B2182" s="37" t="s">
        <v>478</v>
      </c>
      <c r="C2182" s="7" t="s">
        <v>27000</v>
      </c>
      <c r="D2182" s="37" t="s">
        <v>27001</v>
      </c>
    </row>
    <row r="2183">
      <c r="A2183" s="37" t="s">
        <v>1147</v>
      </c>
      <c r="B2183" s="37" t="s">
        <v>478</v>
      </c>
      <c r="C2183" s="7" t="s">
        <v>27002</v>
      </c>
      <c r="D2183" s="37" t="s">
        <v>27003</v>
      </c>
    </row>
    <row r="2184">
      <c r="A2184" s="37" t="s">
        <v>1147</v>
      </c>
      <c r="B2184" s="37" t="s">
        <v>478</v>
      </c>
      <c r="C2184" s="7" t="s">
        <v>27004</v>
      </c>
      <c r="D2184" s="37" t="s">
        <v>27005</v>
      </c>
    </row>
    <row r="2185">
      <c r="A2185" s="37" t="s">
        <v>1147</v>
      </c>
      <c r="B2185" s="37" t="s">
        <v>478</v>
      </c>
      <c r="C2185" s="7" t="s">
        <v>23725</v>
      </c>
      <c r="D2185" s="37" t="s">
        <v>27006</v>
      </c>
    </row>
    <row r="2186">
      <c r="A2186" s="37" t="s">
        <v>1147</v>
      </c>
      <c r="B2186" s="37" t="s">
        <v>478</v>
      </c>
      <c r="C2186" s="7" t="s">
        <v>27007</v>
      </c>
      <c r="D2186" s="37" t="s">
        <v>27008</v>
      </c>
    </row>
    <row r="2187">
      <c r="A2187" s="37" t="s">
        <v>1147</v>
      </c>
      <c r="B2187" s="37" t="s">
        <v>478</v>
      </c>
      <c r="C2187" s="7" t="s">
        <v>27009</v>
      </c>
      <c r="D2187" s="37" t="s">
        <v>27010</v>
      </c>
    </row>
    <row r="2188">
      <c r="A2188" s="37" t="s">
        <v>1147</v>
      </c>
      <c r="B2188" s="37" t="s">
        <v>478</v>
      </c>
      <c r="C2188" s="7" t="s">
        <v>27011</v>
      </c>
      <c r="D2188" s="37" t="s">
        <v>27012</v>
      </c>
    </row>
    <row r="2189">
      <c r="A2189" s="37" t="s">
        <v>1147</v>
      </c>
      <c r="B2189" s="37" t="s">
        <v>478</v>
      </c>
      <c r="C2189" s="7" t="s">
        <v>16063</v>
      </c>
      <c r="D2189" s="37" t="s">
        <v>27013</v>
      </c>
    </row>
    <row r="2190">
      <c r="A2190" s="37" t="s">
        <v>1147</v>
      </c>
      <c r="B2190" s="37" t="s">
        <v>478</v>
      </c>
      <c r="C2190" s="7" t="s">
        <v>26325</v>
      </c>
      <c r="D2190" s="37" t="s">
        <v>27014</v>
      </c>
    </row>
    <row r="2191">
      <c r="A2191" s="37" t="s">
        <v>356</v>
      </c>
      <c r="B2191" s="37" t="s">
        <v>1285</v>
      </c>
      <c r="C2191" s="7" t="s">
        <v>27015</v>
      </c>
      <c r="D2191" s="37" t="s">
        <v>27016</v>
      </c>
    </row>
    <row r="2192">
      <c r="A2192" s="37" t="s">
        <v>1246</v>
      </c>
      <c r="B2192" s="37" t="s">
        <v>1242</v>
      </c>
      <c r="C2192" s="7" t="s">
        <v>27017</v>
      </c>
      <c r="D2192" s="37" t="s">
        <v>27018</v>
      </c>
    </row>
    <row r="2193">
      <c r="A2193" s="37" t="s">
        <v>1146</v>
      </c>
      <c r="B2193" s="37" t="s">
        <v>478</v>
      </c>
      <c r="C2193" s="7" t="s">
        <v>27019</v>
      </c>
      <c r="D2193" s="37" t="s">
        <v>27020</v>
      </c>
    </row>
    <row r="2194">
      <c r="A2194" s="37" t="s">
        <v>567</v>
      </c>
      <c r="B2194" s="37" t="s">
        <v>555</v>
      </c>
      <c r="C2194" s="37" t="s">
        <v>27021</v>
      </c>
      <c r="D2194" s="37" t="s">
        <v>27022</v>
      </c>
    </row>
    <row r="2195">
      <c r="A2195" s="37" t="s">
        <v>1229</v>
      </c>
      <c r="B2195" s="37" t="s">
        <v>1096</v>
      </c>
      <c r="C2195" s="7" t="s">
        <v>27023</v>
      </c>
      <c r="D2195" s="37" t="s">
        <v>27024</v>
      </c>
    </row>
    <row r="2196">
      <c r="A2196" s="37" t="s">
        <v>1279</v>
      </c>
      <c r="B2196" s="37" t="s">
        <v>1273</v>
      </c>
      <c r="C2196" s="7" t="s">
        <v>27025</v>
      </c>
      <c r="D2196" s="37" t="s">
        <v>27026</v>
      </c>
    </row>
    <row r="2197">
      <c r="A2197" s="37" t="s">
        <v>1278</v>
      </c>
      <c r="B2197" s="37" t="s">
        <v>1054</v>
      </c>
      <c r="C2197" s="7" t="s">
        <v>27027</v>
      </c>
      <c r="D2197" s="37" t="s">
        <v>27028</v>
      </c>
    </row>
    <row r="2198">
      <c r="A2198" s="37" t="s">
        <v>286</v>
      </c>
      <c r="B2198" s="37" t="s">
        <v>854</v>
      </c>
      <c r="C2198" s="7" t="s">
        <v>27029</v>
      </c>
      <c r="D2198" s="37" t="s">
        <v>27030</v>
      </c>
    </row>
    <row r="2199">
      <c r="A2199" s="37" t="s">
        <v>1229</v>
      </c>
      <c r="B2199" s="37" t="s">
        <v>1096</v>
      </c>
      <c r="C2199" s="7" t="s">
        <v>27031</v>
      </c>
      <c r="D2199" s="37" t="s">
        <v>27032</v>
      </c>
    </row>
    <row r="2200">
      <c r="A2200" s="37" t="s">
        <v>27033</v>
      </c>
      <c r="B2200" s="37" t="s">
        <v>26245</v>
      </c>
      <c r="C2200" s="7" t="s">
        <v>27034</v>
      </c>
      <c r="D2200" s="37" t="s">
        <v>27035</v>
      </c>
    </row>
    <row r="2201">
      <c r="A2201" s="37" t="s">
        <v>27036</v>
      </c>
      <c r="B2201" s="37" t="s">
        <v>24942</v>
      </c>
      <c r="C2201" s="7" t="s">
        <v>11318</v>
      </c>
      <c r="D2201" s="37" t="s">
        <v>27037</v>
      </c>
    </row>
    <row r="2202">
      <c r="A2202" s="37" t="s">
        <v>443</v>
      </c>
      <c r="B2202" s="37" t="s">
        <v>440</v>
      </c>
      <c r="C2202" s="7" t="s">
        <v>27038</v>
      </c>
      <c r="D2202" s="37" t="s">
        <v>27039</v>
      </c>
    </row>
    <row r="2203">
      <c r="A2203" s="37" t="s">
        <v>399</v>
      </c>
      <c r="B2203" s="37" t="s">
        <v>391</v>
      </c>
      <c r="C2203" s="7" t="s">
        <v>27040</v>
      </c>
      <c r="D2203" s="37" t="s">
        <v>27041</v>
      </c>
    </row>
    <row r="2204">
      <c r="A2204" s="37" t="s">
        <v>1362</v>
      </c>
      <c r="B2204" s="37" t="s">
        <v>1096</v>
      </c>
      <c r="C2204" s="7" t="s">
        <v>27042</v>
      </c>
      <c r="D2204" s="37" t="s">
        <v>27043</v>
      </c>
    </row>
    <row r="2205">
      <c r="A2205" s="37" t="s">
        <v>1243</v>
      </c>
      <c r="B2205" s="37" t="s">
        <v>1495</v>
      </c>
      <c r="C2205" s="7" t="s">
        <v>27044</v>
      </c>
      <c r="D2205" s="37" t="s">
        <v>27045</v>
      </c>
    </row>
    <row r="2206">
      <c r="A2206" s="37" t="s">
        <v>1363</v>
      </c>
      <c r="B2206" s="37" t="s">
        <v>1096</v>
      </c>
      <c r="C2206" s="7" t="s">
        <v>27046</v>
      </c>
      <c r="D2206" s="37" t="s">
        <v>27047</v>
      </c>
    </row>
    <row r="2207">
      <c r="A2207" s="37" t="s">
        <v>1363</v>
      </c>
      <c r="B2207" s="37" t="s">
        <v>1096</v>
      </c>
      <c r="C2207" s="7" t="s">
        <v>27048</v>
      </c>
      <c r="D2207" s="37" t="s">
        <v>27049</v>
      </c>
    </row>
    <row r="2208">
      <c r="A2208" s="37" t="s">
        <v>1188</v>
      </c>
      <c r="B2208" s="37" t="s">
        <v>1208</v>
      </c>
      <c r="C2208" s="7" t="s">
        <v>27050</v>
      </c>
      <c r="D2208" s="37" t="s">
        <v>27051</v>
      </c>
    </row>
    <row r="2209">
      <c r="A2209" s="37" t="s">
        <v>104</v>
      </c>
      <c r="B2209" s="37" t="s">
        <v>613</v>
      </c>
      <c r="C2209" s="7" t="s">
        <v>27052</v>
      </c>
      <c r="D2209" s="37" t="s">
        <v>27053</v>
      </c>
    </row>
    <row r="2210">
      <c r="A2210" s="37" t="s">
        <v>399</v>
      </c>
      <c r="B2210" s="37" t="s">
        <v>391</v>
      </c>
      <c r="C2210" s="7" t="s">
        <v>10337</v>
      </c>
      <c r="D2210" s="37" t="s">
        <v>27054</v>
      </c>
    </row>
    <row r="2211">
      <c r="A2211" s="37" t="s">
        <v>1147</v>
      </c>
      <c r="B2211" s="37" t="s">
        <v>478</v>
      </c>
      <c r="C2211" s="7" t="s">
        <v>27055</v>
      </c>
      <c r="D2211" s="37" t="s">
        <v>27056</v>
      </c>
    </row>
    <row r="2212">
      <c r="A2212" s="37" t="s">
        <v>1147</v>
      </c>
      <c r="B2212" s="37" t="s">
        <v>478</v>
      </c>
      <c r="C2212" s="7" t="s">
        <v>27057</v>
      </c>
      <c r="D2212" s="37" t="s">
        <v>27058</v>
      </c>
    </row>
    <row r="2213">
      <c r="A2213" s="37" t="s">
        <v>51</v>
      </c>
      <c r="B2213" s="37" t="s">
        <v>1242</v>
      </c>
      <c r="C2213" s="7" t="s">
        <v>27059</v>
      </c>
      <c r="D2213" s="37" t="s">
        <v>27060</v>
      </c>
    </row>
    <row r="2214">
      <c r="A2214" s="37" t="s">
        <v>1243</v>
      </c>
      <c r="B2214" s="37" t="s">
        <v>1495</v>
      </c>
      <c r="C2214" s="7" t="s">
        <v>27061</v>
      </c>
      <c r="D2214" s="37" t="s">
        <v>27062</v>
      </c>
    </row>
    <row r="2215">
      <c r="A2215" s="37" t="s">
        <v>1243</v>
      </c>
      <c r="B2215" s="37" t="s">
        <v>1495</v>
      </c>
      <c r="C2215" s="7" t="s">
        <v>27063</v>
      </c>
      <c r="D2215" s="37" t="s">
        <v>27064</v>
      </c>
    </row>
    <row r="2216">
      <c r="A2216" s="37" t="s">
        <v>27065</v>
      </c>
      <c r="B2216" s="37" t="s">
        <v>1495</v>
      </c>
      <c r="C2216" s="7" t="s">
        <v>27066</v>
      </c>
      <c r="D2216" s="37" t="s">
        <v>27067</v>
      </c>
    </row>
    <row r="2217">
      <c r="A2217" s="37" t="s">
        <v>482</v>
      </c>
      <c r="B2217" s="37" t="s">
        <v>478</v>
      </c>
      <c r="C2217" s="7" t="s">
        <v>27068</v>
      </c>
      <c r="D2217" s="37" t="s">
        <v>27069</v>
      </c>
    </row>
    <row r="2218">
      <c r="A2218" s="37" t="s">
        <v>1274</v>
      </c>
      <c r="B2218" s="37" t="s">
        <v>26245</v>
      </c>
      <c r="C2218" s="7" t="s">
        <v>27070</v>
      </c>
      <c r="D2218" s="37" t="s">
        <v>27071</v>
      </c>
    </row>
    <row r="2219">
      <c r="A2219" s="37" t="s">
        <v>1188</v>
      </c>
      <c r="B2219" s="37" t="s">
        <v>1208</v>
      </c>
      <c r="C2219" s="7" t="s">
        <v>27072</v>
      </c>
      <c r="D2219" s="37" t="s">
        <v>27073</v>
      </c>
    </row>
    <row r="2220">
      <c r="A2220" s="37" t="s">
        <v>1146</v>
      </c>
      <c r="B2220" s="37" t="s">
        <v>478</v>
      </c>
      <c r="C2220" s="7" t="s">
        <v>27074</v>
      </c>
      <c r="D2220" s="37" t="s">
        <v>27075</v>
      </c>
    </row>
    <row r="2221">
      <c r="A2221" s="37" t="s">
        <v>1495</v>
      </c>
      <c r="B2221" s="37" t="s">
        <v>1495</v>
      </c>
      <c r="C2221" s="7" t="s">
        <v>26253</v>
      </c>
      <c r="D2221" s="37" t="s">
        <v>27076</v>
      </c>
    </row>
    <row r="2222">
      <c r="A2222" s="37" t="s">
        <v>859</v>
      </c>
      <c r="B2222" s="37" t="s">
        <v>854</v>
      </c>
      <c r="C2222" s="7" t="s">
        <v>27077</v>
      </c>
      <c r="D2222" s="37" t="s">
        <v>27078</v>
      </c>
    </row>
    <row r="2223">
      <c r="A2223" s="37" t="s">
        <v>1162</v>
      </c>
      <c r="B2223" s="37" t="s">
        <v>1054</v>
      </c>
      <c r="C2223" s="7" t="s">
        <v>27079</v>
      </c>
      <c r="D2223" s="37" t="s">
        <v>27080</v>
      </c>
    </row>
    <row r="2224">
      <c r="A2224" s="37" t="s">
        <v>696</v>
      </c>
      <c r="B2224" s="37" t="s">
        <v>693</v>
      </c>
      <c r="C2224" s="7" t="s">
        <v>8351</v>
      </c>
      <c r="D2224" s="37" t="s">
        <v>27081</v>
      </c>
    </row>
    <row r="2225">
      <c r="A2225" s="37" t="s">
        <v>74</v>
      </c>
      <c r="B2225" s="37" t="s">
        <v>1208</v>
      </c>
      <c r="C2225" s="7" t="s">
        <v>27082</v>
      </c>
      <c r="D2225" s="37" t="s">
        <v>27083</v>
      </c>
    </row>
    <row r="2226">
      <c r="A2226" s="37" t="s">
        <v>51</v>
      </c>
      <c r="B2226" s="37" t="s">
        <v>1242</v>
      </c>
      <c r="C2226" s="7" t="s">
        <v>27084</v>
      </c>
      <c r="D2226" s="37" t="s">
        <v>27085</v>
      </c>
    </row>
    <row r="2227">
      <c r="A2227" s="37" t="s">
        <v>1188</v>
      </c>
      <c r="B2227" s="37" t="s">
        <v>1208</v>
      </c>
      <c r="C2227" s="7" t="s">
        <v>27086</v>
      </c>
      <c r="D2227" s="37" t="s">
        <v>27087</v>
      </c>
    </row>
    <row r="2228">
      <c r="A2228" s="37" t="s">
        <v>74</v>
      </c>
      <c r="B2228" s="37" t="s">
        <v>25543</v>
      </c>
      <c r="C2228" s="7" t="s">
        <v>27088</v>
      </c>
      <c r="D2228" s="37" t="s">
        <v>27089</v>
      </c>
    </row>
    <row r="2229">
      <c r="A2229" s="37" t="s">
        <v>23444</v>
      </c>
      <c r="B2229" s="37" t="s">
        <v>24942</v>
      </c>
      <c r="C2229" s="7" t="s">
        <v>27090</v>
      </c>
      <c r="D2229" s="37" t="s">
        <v>27091</v>
      </c>
    </row>
    <row r="2230">
      <c r="A2230" s="37" t="s">
        <v>1246</v>
      </c>
      <c r="B2230" s="37" t="s">
        <v>38</v>
      </c>
      <c r="C2230" s="7" t="s">
        <v>26306</v>
      </c>
      <c r="D2230" s="37" t="s">
        <v>27092</v>
      </c>
    </row>
    <row r="2231">
      <c r="A2231" s="37" t="s">
        <v>1246</v>
      </c>
      <c r="B2231" s="37" t="s">
        <v>38</v>
      </c>
      <c r="C2231" s="7" t="s">
        <v>24275</v>
      </c>
      <c r="D2231" s="37" t="s">
        <v>27093</v>
      </c>
    </row>
    <row r="2232">
      <c r="A2232" s="37" t="s">
        <v>1246</v>
      </c>
      <c r="B2232" s="37" t="s">
        <v>38</v>
      </c>
      <c r="C2232" s="7" t="s">
        <v>26262</v>
      </c>
      <c r="D2232" s="37" t="s">
        <v>27094</v>
      </c>
    </row>
    <row r="2233">
      <c r="A2233" s="37" t="s">
        <v>1246</v>
      </c>
      <c r="B2233" s="37" t="s">
        <v>38</v>
      </c>
      <c r="C2233" s="7" t="s">
        <v>27095</v>
      </c>
      <c r="D2233" s="37" t="s">
        <v>27096</v>
      </c>
    </row>
    <row r="2234">
      <c r="A2234" s="37" t="s">
        <v>1246</v>
      </c>
      <c r="B2234" s="37" t="s">
        <v>38</v>
      </c>
      <c r="C2234" s="7" t="s">
        <v>23801</v>
      </c>
      <c r="D2234" s="37" t="s">
        <v>27097</v>
      </c>
    </row>
    <row r="2235">
      <c r="A2235" s="37" t="s">
        <v>1246</v>
      </c>
      <c r="B2235" s="37" t="s">
        <v>38</v>
      </c>
      <c r="C2235" s="7" t="s">
        <v>24829</v>
      </c>
      <c r="D2235" s="37" t="s">
        <v>27098</v>
      </c>
    </row>
    <row r="2236">
      <c r="A2236" s="37" t="s">
        <v>1246</v>
      </c>
      <c r="B2236" s="37" t="s">
        <v>38</v>
      </c>
      <c r="C2236" s="7" t="s">
        <v>4682</v>
      </c>
      <c r="D2236" s="37" t="s">
        <v>27099</v>
      </c>
    </row>
    <row r="2237">
      <c r="A2237" s="37" t="s">
        <v>1246</v>
      </c>
      <c r="B2237" s="37" t="s">
        <v>38</v>
      </c>
      <c r="C2237" s="7" t="s">
        <v>24277</v>
      </c>
      <c r="D2237" s="37" t="s">
        <v>27100</v>
      </c>
    </row>
    <row r="2238">
      <c r="A2238" s="37" t="s">
        <v>1246</v>
      </c>
      <c r="B2238" s="37" t="s">
        <v>38</v>
      </c>
      <c r="C2238" s="7" t="s">
        <v>9338</v>
      </c>
      <c r="D2238" s="37" t="s">
        <v>27101</v>
      </c>
    </row>
    <row r="2239">
      <c r="A2239" s="37" t="s">
        <v>1246</v>
      </c>
      <c r="B2239" s="37" t="s">
        <v>38</v>
      </c>
      <c r="C2239" s="7" t="s">
        <v>10230</v>
      </c>
      <c r="D2239" s="37" t="s">
        <v>27102</v>
      </c>
    </row>
    <row r="2240">
      <c r="A2240" s="37" t="s">
        <v>1246</v>
      </c>
      <c r="B2240" s="37" t="s">
        <v>38</v>
      </c>
      <c r="C2240" s="7" t="s">
        <v>3982</v>
      </c>
      <c r="D2240" s="37" t="s">
        <v>27103</v>
      </c>
    </row>
    <row r="2241">
      <c r="A2241" s="37" t="s">
        <v>1246</v>
      </c>
      <c r="B2241" s="37" t="s">
        <v>38</v>
      </c>
      <c r="C2241" s="7" t="s">
        <v>27104</v>
      </c>
      <c r="D2241" s="37" t="s">
        <v>27105</v>
      </c>
    </row>
    <row r="2242">
      <c r="A2242" s="37" t="s">
        <v>1246</v>
      </c>
      <c r="B2242" s="37" t="s">
        <v>38</v>
      </c>
      <c r="C2242" s="7" t="s">
        <v>24532</v>
      </c>
      <c r="D2242" s="37" t="s">
        <v>27106</v>
      </c>
    </row>
    <row r="2243">
      <c r="A2243" s="37" t="s">
        <v>1246</v>
      </c>
      <c r="B2243" s="37" t="s">
        <v>38</v>
      </c>
      <c r="C2243" s="7" t="s">
        <v>24534</v>
      </c>
      <c r="D2243" s="37" t="s">
        <v>27107</v>
      </c>
    </row>
    <row r="2244">
      <c r="A2244" s="37" t="s">
        <v>1246</v>
      </c>
      <c r="B2244" s="37" t="s">
        <v>38</v>
      </c>
      <c r="C2244" s="7" t="s">
        <v>23607</v>
      </c>
      <c r="D2244" s="37" t="s">
        <v>27108</v>
      </c>
    </row>
    <row r="2245">
      <c r="A2245" s="37" t="s">
        <v>1246</v>
      </c>
      <c r="B2245" s="37" t="s">
        <v>38</v>
      </c>
      <c r="C2245" s="7" t="s">
        <v>27109</v>
      </c>
      <c r="D2245" s="37" t="s">
        <v>27110</v>
      </c>
    </row>
    <row r="2246">
      <c r="A2246" s="37" t="s">
        <v>1246</v>
      </c>
      <c r="B2246" s="37" t="s">
        <v>38</v>
      </c>
      <c r="C2246" s="7" t="s">
        <v>27111</v>
      </c>
      <c r="D2246" s="37" t="s">
        <v>27112</v>
      </c>
    </row>
    <row r="2247">
      <c r="A2247" s="37" t="s">
        <v>1246</v>
      </c>
      <c r="B2247" s="37" t="s">
        <v>38</v>
      </c>
      <c r="C2247" s="7" t="s">
        <v>27113</v>
      </c>
      <c r="D2247" s="37" t="s">
        <v>27114</v>
      </c>
    </row>
    <row r="2248">
      <c r="A2248" s="37" t="s">
        <v>1246</v>
      </c>
      <c r="B2248" s="37" t="s">
        <v>38</v>
      </c>
      <c r="C2248" s="7" t="s">
        <v>27115</v>
      </c>
      <c r="D2248" s="37" t="s">
        <v>27116</v>
      </c>
    </row>
    <row r="2249">
      <c r="A2249" s="37" t="s">
        <v>1246</v>
      </c>
      <c r="B2249" s="37" t="s">
        <v>38</v>
      </c>
      <c r="C2249" s="7" t="s">
        <v>27117</v>
      </c>
      <c r="D2249" s="37" t="s">
        <v>27118</v>
      </c>
    </row>
    <row r="2250">
      <c r="A2250" s="37" t="s">
        <v>1246</v>
      </c>
      <c r="B2250" s="37" t="s">
        <v>38</v>
      </c>
      <c r="C2250" s="7" t="s">
        <v>27119</v>
      </c>
      <c r="D2250" s="37" t="s">
        <v>27120</v>
      </c>
    </row>
    <row r="2251">
      <c r="A2251" s="37" t="s">
        <v>1246</v>
      </c>
      <c r="B2251" s="37" t="s">
        <v>38</v>
      </c>
      <c r="C2251" s="7" t="s">
        <v>27121</v>
      </c>
      <c r="D2251" s="37" t="s">
        <v>27122</v>
      </c>
    </row>
    <row r="2252">
      <c r="A2252" s="37" t="s">
        <v>1246</v>
      </c>
      <c r="B2252" s="37" t="s">
        <v>38</v>
      </c>
      <c r="C2252" s="7" t="s">
        <v>27123</v>
      </c>
      <c r="D2252" s="37" t="s">
        <v>27124</v>
      </c>
    </row>
    <row r="2253">
      <c r="A2253" s="37" t="s">
        <v>1246</v>
      </c>
      <c r="B2253" s="37" t="s">
        <v>38</v>
      </c>
      <c r="C2253" s="7" t="s">
        <v>27125</v>
      </c>
      <c r="D2253" s="37" t="s">
        <v>27126</v>
      </c>
    </row>
    <row r="2254">
      <c r="A2254" s="37" t="s">
        <v>25897</v>
      </c>
      <c r="B2254" s="37" t="s">
        <v>27127</v>
      </c>
      <c r="C2254" s="7" t="s">
        <v>27128</v>
      </c>
      <c r="D2254" s="37" t="s">
        <v>27129</v>
      </c>
    </row>
    <row r="2255">
      <c r="A2255" s="37" t="s">
        <v>25156</v>
      </c>
      <c r="B2255" s="37" t="s">
        <v>24608</v>
      </c>
      <c r="C2255" s="7" t="s">
        <v>27130</v>
      </c>
      <c r="D2255" s="37" t="s">
        <v>27131</v>
      </c>
    </row>
    <row r="2256">
      <c r="A2256" s="37" t="s">
        <v>51</v>
      </c>
      <c r="B2256" s="37" t="s">
        <v>1242</v>
      </c>
      <c r="C2256" s="7" t="s">
        <v>27132</v>
      </c>
      <c r="D2256" s="37" t="s">
        <v>27133</v>
      </c>
    </row>
    <row r="2257">
      <c r="A2257" s="37" t="s">
        <v>1226</v>
      </c>
      <c r="B2257" s="37" t="s">
        <v>854</v>
      </c>
      <c r="C2257" s="7" t="s">
        <v>27134</v>
      </c>
      <c r="D2257" s="37" t="s">
        <v>27135</v>
      </c>
    </row>
    <row r="2258">
      <c r="A2258" s="37" t="s">
        <v>1226</v>
      </c>
      <c r="B2258" s="37" t="s">
        <v>854</v>
      </c>
      <c r="C2258" s="7" t="s">
        <v>27136</v>
      </c>
      <c r="D2258" s="37" t="s">
        <v>27137</v>
      </c>
    </row>
    <row r="2259">
      <c r="A2259" s="37" t="s">
        <v>26826</v>
      </c>
      <c r="B2259" s="37" t="s">
        <v>26038</v>
      </c>
      <c r="C2259" s="7" t="s">
        <v>27138</v>
      </c>
      <c r="D2259" s="37" t="s">
        <v>27139</v>
      </c>
    </row>
    <row r="2260">
      <c r="A2260" s="37" t="s">
        <v>26826</v>
      </c>
      <c r="B2260" s="37" t="s">
        <v>26038</v>
      </c>
      <c r="C2260" s="7" t="s">
        <v>27140</v>
      </c>
      <c r="D2260" s="37" t="s">
        <v>27141</v>
      </c>
    </row>
    <row r="2261">
      <c r="A2261" s="37" t="s">
        <v>26826</v>
      </c>
      <c r="B2261" s="37" t="s">
        <v>26038</v>
      </c>
      <c r="C2261" s="7" t="s">
        <v>27142</v>
      </c>
      <c r="D2261" s="37" t="s">
        <v>27143</v>
      </c>
    </row>
    <row r="2262">
      <c r="A2262" s="37" t="s">
        <v>26826</v>
      </c>
      <c r="B2262" s="37" t="s">
        <v>26038</v>
      </c>
      <c r="C2262" s="7" t="s">
        <v>27144</v>
      </c>
      <c r="D2262" s="37" t="s">
        <v>27145</v>
      </c>
    </row>
    <row r="2263">
      <c r="A2263" s="37" t="s">
        <v>1226</v>
      </c>
      <c r="B2263" s="37" t="s">
        <v>854</v>
      </c>
      <c r="C2263" s="7" t="s">
        <v>27146</v>
      </c>
      <c r="D2263" s="37" t="s">
        <v>27147</v>
      </c>
    </row>
    <row r="2264">
      <c r="A2264" s="37" t="s">
        <v>1229</v>
      </c>
      <c r="B2264" s="37" t="s">
        <v>26038</v>
      </c>
      <c r="C2264" s="7" t="s">
        <v>27148</v>
      </c>
      <c r="D2264" s="37" t="s">
        <v>27149</v>
      </c>
    </row>
    <row r="2265">
      <c r="A2265" s="37" t="s">
        <v>24751</v>
      </c>
      <c r="B2265" s="37" t="s">
        <v>24752</v>
      </c>
      <c r="C2265" s="7" t="s">
        <v>27150</v>
      </c>
      <c r="D2265" s="37" t="s">
        <v>27151</v>
      </c>
    </row>
    <row r="2266">
      <c r="A2266" s="37" t="s">
        <v>1229</v>
      </c>
      <c r="B2266" s="37" t="s">
        <v>26038</v>
      </c>
      <c r="C2266" s="7" t="s">
        <v>27152</v>
      </c>
      <c r="D2266" s="37" t="s">
        <v>27153</v>
      </c>
    </row>
    <row r="2267">
      <c r="A2267" s="37" t="s">
        <v>399</v>
      </c>
      <c r="B2267" s="37" t="s">
        <v>391</v>
      </c>
      <c r="C2267" s="7" t="s">
        <v>27154</v>
      </c>
      <c r="D2267" s="37" t="s">
        <v>27155</v>
      </c>
    </row>
    <row r="2268">
      <c r="A2268" s="37" t="s">
        <v>698</v>
      </c>
      <c r="B2268" s="37" t="s">
        <v>693</v>
      </c>
      <c r="C2268" s="7" t="s">
        <v>27156</v>
      </c>
      <c r="D2268" s="37" t="s">
        <v>27157</v>
      </c>
    </row>
    <row r="2269">
      <c r="A2269" s="37" t="s">
        <v>1148</v>
      </c>
      <c r="B2269" s="37" t="s">
        <v>1208</v>
      </c>
      <c r="C2269" s="7" t="s">
        <v>27158</v>
      </c>
      <c r="D2269" s="37" t="s">
        <v>27159</v>
      </c>
    </row>
    <row r="2270">
      <c r="A2270" s="37" t="s">
        <v>1148</v>
      </c>
      <c r="B2270" s="37" t="s">
        <v>1208</v>
      </c>
      <c r="C2270" s="7" t="s">
        <v>27160</v>
      </c>
      <c r="D2270" s="37" t="s">
        <v>27161</v>
      </c>
    </row>
    <row r="2271">
      <c r="A2271" s="37" t="s">
        <v>286</v>
      </c>
      <c r="B2271" s="37" t="s">
        <v>854</v>
      </c>
      <c r="C2271" s="7" t="s">
        <v>27162</v>
      </c>
      <c r="D2271" s="37" t="s">
        <v>27163</v>
      </c>
    </row>
    <row r="2272">
      <c r="A2272" s="37" t="s">
        <v>1229</v>
      </c>
      <c r="B2272" s="37" t="s">
        <v>26038</v>
      </c>
      <c r="C2272" s="7" t="s">
        <v>27164</v>
      </c>
      <c r="D2272" s="37" t="s">
        <v>27165</v>
      </c>
    </row>
    <row r="2273">
      <c r="A2273" s="37" t="s">
        <v>1229</v>
      </c>
      <c r="B2273" s="37" t="s">
        <v>26038</v>
      </c>
      <c r="C2273" s="7" t="s">
        <v>27166</v>
      </c>
      <c r="D2273" s="37" t="s">
        <v>27167</v>
      </c>
    </row>
    <row r="2274">
      <c r="A2274" s="37" t="s">
        <v>1229</v>
      </c>
      <c r="B2274" s="37" t="s">
        <v>26038</v>
      </c>
      <c r="C2274" s="7" t="s">
        <v>27168</v>
      </c>
      <c r="D2274" s="37" t="s">
        <v>27169</v>
      </c>
    </row>
    <row r="2275">
      <c r="A2275" s="37" t="s">
        <v>1228</v>
      </c>
      <c r="B2275" s="37" t="s">
        <v>854</v>
      </c>
      <c r="C2275" s="7" t="s">
        <v>27170</v>
      </c>
      <c r="D2275" s="37" t="s">
        <v>27171</v>
      </c>
    </row>
    <row r="2276">
      <c r="A2276" s="37" t="s">
        <v>1361</v>
      </c>
      <c r="B2276" s="37" t="s">
        <v>27172</v>
      </c>
      <c r="C2276" s="7" t="s">
        <v>27173</v>
      </c>
      <c r="D2276" s="37" t="s">
        <v>27174</v>
      </c>
    </row>
    <row r="2277">
      <c r="A2277" s="37" t="s">
        <v>74</v>
      </c>
      <c r="B2277" s="37" t="s">
        <v>1208</v>
      </c>
      <c r="C2277" s="7" t="s">
        <v>27175</v>
      </c>
      <c r="D2277" s="37" t="s">
        <v>27176</v>
      </c>
    </row>
    <row r="2278">
      <c r="A2278" s="37" t="s">
        <v>1188</v>
      </c>
      <c r="B2278" s="37" t="s">
        <v>1208</v>
      </c>
      <c r="C2278" s="7" t="s">
        <v>27177</v>
      </c>
      <c r="D2278" s="37" t="s">
        <v>27178</v>
      </c>
    </row>
    <row r="2279">
      <c r="A2279" s="37" t="s">
        <v>1137</v>
      </c>
      <c r="B2279" s="37" t="s">
        <v>1054</v>
      </c>
      <c r="C2279" s="7" t="s">
        <v>27179</v>
      </c>
      <c r="D2279" s="37" t="s">
        <v>27180</v>
      </c>
    </row>
    <row r="2280">
      <c r="A2280" s="37" t="s">
        <v>1361</v>
      </c>
      <c r="B2280" s="37" t="s">
        <v>1096</v>
      </c>
      <c r="C2280" s="7" t="s">
        <v>27181</v>
      </c>
      <c r="D2280" s="37" t="s">
        <v>27182</v>
      </c>
    </row>
    <row r="2281">
      <c r="A2281" s="37" t="s">
        <v>188</v>
      </c>
      <c r="B2281" s="37" t="s">
        <v>440</v>
      </c>
      <c r="C2281" s="7" t="s">
        <v>27183</v>
      </c>
      <c r="D2281" s="37" t="s">
        <v>27184</v>
      </c>
    </row>
    <row r="2282">
      <c r="A2282" s="37" t="s">
        <v>74</v>
      </c>
      <c r="B2282" s="37" t="s">
        <v>1208</v>
      </c>
      <c r="C2282" s="7" t="s">
        <v>27185</v>
      </c>
      <c r="D2282" s="37" t="s">
        <v>27186</v>
      </c>
    </row>
    <row r="2283">
      <c r="A2283" s="37" t="s">
        <v>74</v>
      </c>
      <c r="B2283" s="37" t="s">
        <v>1208</v>
      </c>
      <c r="C2283" s="7" t="s">
        <v>27187</v>
      </c>
      <c r="D2283" s="37" t="s">
        <v>27188</v>
      </c>
    </row>
    <row r="2284">
      <c r="A2284" s="37" t="s">
        <v>27189</v>
      </c>
      <c r="B2284" s="37" t="s">
        <v>27190</v>
      </c>
      <c r="C2284" s="7" t="s">
        <v>27191</v>
      </c>
      <c r="D2284" s="37" t="s">
        <v>27192</v>
      </c>
    </row>
    <row r="2285">
      <c r="A2285" s="37" t="s">
        <v>48</v>
      </c>
      <c r="B2285" s="37" t="s">
        <v>1242</v>
      </c>
      <c r="C2285" s="7" t="s">
        <v>27193</v>
      </c>
      <c r="D2285" s="37" t="s">
        <v>27194</v>
      </c>
    </row>
    <row r="2286">
      <c r="A2286" s="37" t="s">
        <v>864</v>
      </c>
      <c r="B2286" s="37" t="s">
        <v>854</v>
      </c>
      <c r="C2286" s="7" t="s">
        <v>27195</v>
      </c>
      <c r="D2286" s="37" t="s">
        <v>27196</v>
      </c>
    </row>
    <row r="2287">
      <c r="A2287" s="37" t="s">
        <v>1137</v>
      </c>
      <c r="B2287" s="37" t="s">
        <v>1054</v>
      </c>
      <c r="C2287" s="7" t="s">
        <v>27197</v>
      </c>
      <c r="D2287" s="37" t="s">
        <v>27198</v>
      </c>
    </row>
    <row r="2288">
      <c r="A2288" s="37" t="s">
        <v>39</v>
      </c>
      <c r="B2288" s="37" t="s">
        <v>1242</v>
      </c>
      <c r="C2288" s="7" t="s">
        <v>27199</v>
      </c>
      <c r="D2288" s="37" t="s">
        <v>27200</v>
      </c>
    </row>
    <row r="2289">
      <c r="A2289" s="37" t="s">
        <v>26826</v>
      </c>
      <c r="B2289" s="37" t="s">
        <v>26038</v>
      </c>
      <c r="C2289" s="7" t="s">
        <v>27201</v>
      </c>
      <c r="D2289" s="37" t="s">
        <v>27202</v>
      </c>
    </row>
    <row r="2290">
      <c r="A2290" s="37" t="s">
        <v>1229</v>
      </c>
      <c r="B2290" s="37" t="s">
        <v>26038</v>
      </c>
      <c r="C2290" s="7" t="s">
        <v>27203</v>
      </c>
      <c r="D2290" s="37" t="s">
        <v>27204</v>
      </c>
    </row>
    <row r="2291">
      <c r="A2291" s="37" t="s">
        <v>1229</v>
      </c>
      <c r="B2291" s="37" t="s">
        <v>26038</v>
      </c>
      <c r="C2291" s="7" t="s">
        <v>27205</v>
      </c>
      <c r="D2291" s="37" t="s">
        <v>27206</v>
      </c>
    </row>
    <row r="2292">
      <c r="A2292" s="37" t="s">
        <v>1229</v>
      </c>
      <c r="B2292" s="37" t="s">
        <v>26038</v>
      </c>
      <c r="C2292" s="7" t="s">
        <v>27207</v>
      </c>
      <c r="D2292" s="37" t="s">
        <v>27208</v>
      </c>
    </row>
    <row r="2293">
      <c r="A2293" s="37" t="s">
        <v>1229</v>
      </c>
      <c r="B2293" s="37" t="s">
        <v>26038</v>
      </c>
      <c r="C2293" s="7" t="s">
        <v>27209</v>
      </c>
      <c r="D2293" s="37" t="s">
        <v>27210</v>
      </c>
    </row>
    <row r="2294">
      <c r="A2294" s="37" t="s">
        <v>1148</v>
      </c>
      <c r="B2294" s="37" t="s">
        <v>1208</v>
      </c>
      <c r="C2294" s="7" t="s">
        <v>27211</v>
      </c>
      <c r="D2294" s="37" t="s">
        <v>27212</v>
      </c>
    </row>
    <row r="2295">
      <c r="A2295" s="37" t="s">
        <v>1143</v>
      </c>
      <c r="B2295" s="37" t="s">
        <v>478</v>
      </c>
      <c r="C2295" s="7" t="s">
        <v>27213</v>
      </c>
      <c r="D2295" s="37" t="s">
        <v>27214</v>
      </c>
    </row>
    <row r="2296">
      <c r="A2296" s="37" t="s">
        <v>1246</v>
      </c>
      <c r="B2296" s="37" t="s">
        <v>38</v>
      </c>
      <c r="C2296" s="7" t="s">
        <v>27215</v>
      </c>
      <c r="D2296" s="37" t="s">
        <v>27216</v>
      </c>
    </row>
    <row r="2297">
      <c r="A2297" s="37" t="s">
        <v>1148</v>
      </c>
      <c r="B2297" s="37" t="s">
        <v>1208</v>
      </c>
      <c r="C2297" s="7" t="s">
        <v>27217</v>
      </c>
      <c r="D2297" s="37" t="s">
        <v>27218</v>
      </c>
    </row>
    <row r="2298">
      <c r="A2298" s="37" t="s">
        <v>1188</v>
      </c>
      <c r="B2298" s="37" t="s">
        <v>1208</v>
      </c>
      <c r="C2298" s="7" t="s">
        <v>25098</v>
      </c>
      <c r="D2298" s="37" t="s">
        <v>27219</v>
      </c>
    </row>
    <row r="2299">
      <c r="A2299" s="37" t="s">
        <v>1188</v>
      </c>
      <c r="B2299" s="37" t="s">
        <v>1208</v>
      </c>
      <c r="C2299" s="7" t="s">
        <v>27220</v>
      </c>
      <c r="D2299" s="37" t="s">
        <v>27221</v>
      </c>
    </row>
    <row r="2300">
      <c r="A2300" s="37" t="s">
        <v>1246</v>
      </c>
      <c r="B2300" s="37" t="s">
        <v>1242</v>
      </c>
      <c r="C2300" s="7" t="s">
        <v>27222</v>
      </c>
      <c r="D2300" s="37" t="s">
        <v>27223</v>
      </c>
    </row>
    <row r="2301">
      <c r="A2301" s="37" t="s">
        <v>1283</v>
      </c>
      <c r="B2301" s="37" t="s">
        <v>298</v>
      </c>
      <c r="C2301" s="7" t="s">
        <v>27224</v>
      </c>
      <c r="D2301" s="37" t="s">
        <v>27225</v>
      </c>
    </row>
    <row r="2302">
      <c r="A2302" s="37" t="s">
        <v>1283</v>
      </c>
      <c r="B2302" s="37" t="s">
        <v>298</v>
      </c>
      <c r="C2302" s="7" t="s">
        <v>27226</v>
      </c>
      <c r="D2302" s="37" t="s">
        <v>27227</v>
      </c>
    </row>
    <row r="2303">
      <c r="A2303" s="37" t="s">
        <v>1362</v>
      </c>
      <c r="B2303" s="37" t="s">
        <v>1096</v>
      </c>
      <c r="C2303" s="7" t="s">
        <v>27228</v>
      </c>
      <c r="D2303" s="37" t="s">
        <v>27229</v>
      </c>
    </row>
    <row r="2304">
      <c r="A2304" s="37" t="s">
        <v>1226</v>
      </c>
      <c r="B2304" s="37" t="s">
        <v>854</v>
      </c>
      <c r="C2304" s="7" t="s">
        <v>27230</v>
      </c>
      <c r="D2304" s="37" t="s">
        <v>27231</v>
      </c>
    </row>
    <row r="2305">
      <c r="A2305" s="37" t="s">
        <v>1362</v>
      </c>
      <c r="B2305" s="37" t="s">
        <v>1096</v>
      </c>
      <c r="C2305" s="7" t="s">
        <v>27232</v>
      </c>
      <c r="D2305" s="37" t="s">
        <v>27233</v>
      </c>
    </row>
    <row r="2306">
      <c r="A2306" s="37" t="s">
        <v>1188</v>
      </c>
      <c r="B2306" s="37" t="s">
        <v>1208</v>
      </c>
      <c r="C2306" s="7" t="s">
        <v>27234</v>
      </c>
      <c r="D2306" s="37" t="s">
        <v>27235</v>
      </c>
    </row>
    <row r="2307">
      <c r="A2307" s="37" t="s">
        <v>1362</v>
      </c>
      <c r="B2307" s="37" t="s">
        <v>1096</v>
      </c>
      <c r="C2307" s="7" t="s">
        <v>9177</v>
      </c>
      <c r="D2307" s="37" t="s">
        <v>27236</v>
      </c>
    </row>
    <row r="2308">
      <c r="A2308" s="37" t="s">
        <v>286</v>
      </c>
      <c r="B2308" s="37" t="s">
        <v>854</v>
      </c>
      <c r="C2308" s="7" t="s">
        <v>27237</v>
      </c>
      <c r="D2308" s="37" t="s">
        <v>27238</v>
      </c>
    </row>
    <row r="2309">
      <c r="A2309" s="37" t="s">
        <v>696</v>
      </c>
      <c r="B2309" s="37" t="s">
        <v>693</v>
      </c>
      <c r="C2309" s="7" t="s">
        <v>27239</v>
      </c>
      <c r="D2309" s="37" t="s">
        <v>27240</v>
      </c>
    </row>
    <row r="2310">
      <c r="A2310" s="37" t="s">
        <v>696</v>
      </c>
      <c r="B2310" s="37" t="s">
        <v>27241</v>
      </c>
      <c r="C2310" s="7" t="s">
        <v>27242</v>
      </c>
      <c r="D2310" s="37" t="s">
        <v>27243</v>
      </c>
    </row>
    <row r="2311">
      <c r="A2311" s="37" t="s">
        <v>74</v>
      </c>
      <c r="B2311" s="37" t="s">
        <v>25543</v>
      </c>
      <c r="C2311" s="7" t="s">
        <v>27244</v>
      </c>
      <c r="D2311" s="37" t="s">
        <v>27245</v>
      </c>
    </row>
    <row r="2312">
      <c r="A2312" s="37" t="s">
        <v>74</v>
      </c>
      <c r="B2312" s="37" t="s">
        <v>1208</v>
      </c>
      <c r="C2312" s="7" t="s">
        <v>27246</v>
      </c>
      <c r="D2312" s="37" t="s">
        <v>27247</v>
      </c>
    </row>
    <row r="2313">
      <c r="A2313" s="37" t="s">
        <v>1229</v>
      </c>
      <c r="B2313" s="37" t="s">
        <v>26038</v>
      </c>
      <c r="C2313" s="7" t="s">
        <v>27248</v>
      </c>
      <c r="D2313" s="37" t="s">
        <v>27249</v>
      </c>
    </row>
    <row r="2314">
      <c r="A2314" s="37" t="s">
        <v>23</v>
      </c>
      <c r="B2314" s="37" t="s">
        <v>27250</v>
      </c>
      <c r="C2314" s="7" t="s">
        <v>27251</v>
      </c>
      <c r="D2314" s="37" t="s">
        <v>27252</v>
      </c>
    </row>
    <row r="2315">
      <c r="A2315" s="37" t="s">
        <v>1361</v>
      </c>
      <c r="B2315" s="37" t="s">
        <v>1096</v>
      </c>
      <c r="C2315" s="7" t="s">
        <v>27253</v>
      </c>
      <c r="D2315" s="37" t="s">
        <v>27254</v>
      </c>
    </row>
    <row r="2316">
      <c r="A2316" s="37" t="s">
        <v>1148</v>
      </c>
      <c r="B2316" s="37" t="s">
        <v>1273</v>
      </c>
      <c r="C2316" s="7" t="s">
        <v>27255</v>
      </c>
      <c r="D2316" s="37" t="s">
        <v>27256</v>
      </c>
    </row>
    <row r="2317">
      <c r="A2317" s="37" t="s">
        <v>1148</v>
      </c>
      <c r="B2317" s="37" t="s">
        <v>1208</v>
      </c>
      <c r="C2317" s="7" t="s">
        <v>27257</v>
      </c>
      <c r="D2317" s="37" t="s">
        <v>27258</v>
      </c>
    </row>
    <row r="2318">
      <c r="A2318" s="37" t="s">
        <v>24751</v>
      </c>
      <c r="B2318" s="37" t="s">
        <v>24752</v>
      </c>
      <c r="C2318" s="7" t="s">
        <v>27259</v>
      </c>
      <c r="D2318" s="37" t="s">
        <v>27260</v>
      </c>
    </row>
    <row r="2319">
      <c r="A2319" s="37" t="s">
        <v>1148</v>
      </c>
      <c r="B2319" s="37" t="s">
        <v>26245</v>
      </c>
      <c r="C2319" s="7" t="s">
        <v>27261</v>
      </c>
      <c r="D2319" s="37" t="s">
        <v>27262</v>
      </c>
    </row>
    <row r="2320">
      <c r="A2320" s="37" t="s">
        <v>23444</v>
      </c>
      <c r="B2320" s="37" t="s">
        <v>24942</v>
      </c>
      <c r="C2320" s="7" t="s">
        <v>27263</v>
      </c>
      <c r="D2320" s="37" t="s">
        <v>27264</v>
      </c>
    </row>
    <row r="2321">
      <c r="A2321" s="37" t="s">
        <v>23444</v>
      </c>
      <c r="B2321" s="37" t="s">
        <v>24942</v>
      </c>
      <c r="C2321" s="7" t="s">
        <v>27265</v>
      </c>
      <c r="D2321" s="37" t="s">
        <v>27266</v>
      </c>
    </row>
    <row r="2322">
      <c r="A2322" s="37" t="s">
        <v>484</v>
      </c>
      <c r="B2322" s="37" t="s">
        <v>478</v>
      </c>
      <c r="C2322" s="7" t="s">
        <v>27267</v>
      </c>
      <c r="D2322" s="37" t="s">
        <v>27268</v>
      </c>
    </row>
    <row r="2323">
      <c r="A2323" s="37" t="s">
        <v>1363</v>
      </c>
      <c r="B2323" s="37" t="s">
        <v>1096</v>
      </c>
      <c r="C2323" s="7" t="s">
        <v>27269</v>
      </c>
      <c r="D2323" s="37" t="s">
        <v>27270</v>
      </c>
    </row>
    <row r="2324">
      <c r="A2324" s="37" t="s">
        <v>51</v>
      </c>
      <c r="B2324" s="37" t="s">
        <v>1242</v>
      </c>
      <c r="C2324" s="7" t="s">
        <v>27271</v>
      </c>
      <c r="D2324" s="37" t="s">
        <v>27272</v>
      </c>
    </row>
    <row r="2325">
      <c r="A2325" s="37" t="s">
        <v>1278</v>
      </c>
      <c r="B2325" s="37" t="s">
        <v>1054</v>
      </c>
      <c r="C2325" s="7" t="s">
        <v>27273</v>
      </c>
      <c r="D2325" s="37" t="s">
        <v>27274</v>
      </c>
    </row>
    <row r="2326">
      <c r="A2326" s="37" t="s">
        <v>51</v>
      </c>
      <c r="B2326" s="37" t="s">
        <v>1242</v>
      </c>
      <c r="C2326" s="7" t="s">
        <v>27275</v>
      </c>
      <c r="D2326" s="37" t="s">
        <v>27276</v>
      </c>
    </row>
    <row r="2327">
      <c r="A2327" s="37" t="s">
        <v>1128</v>
      </c>
      <c r="B2327" s="37" t="s">
        <v>26160</v>
      </c>
      <c r="C2327" s="7" t="s">
        <v>27277</v>
      </c>
      <c r="D2327" s="37" t="s">
        <v>27278</v>
      </c>
    </row>
    <row r="2328">
      <c r="A2328" s="37" t="s">
        <v>1246</v>
      </c>
      <c r="B2328" s="37" t="s">
        <v>38</v>
      </c>
      <c r="C2328" s="37" t="s">
        <v>27279</v>
      </c>
      <c r="D2328" s="37" t="s">
        <v>27280</v>
      </c>
    </row>
    <row r="2329">
      <c r="A2329" s="37" t="s">
        <v>1146</v>
      </c>
      <c r="B2329" s="37" t="s">
        <v>478</v>
      </c>
      <c r="C2329" s="7" t="s">
        <v>27281</v>
      </c>
      <c r="D2329" s="37" t="s">
        <v>27282</v>
      </c>
    </row>
    <row r="2330">
      <c r="A2330" s="37" t="s">
        <v>27283</v>
      </c>
      <c r="B2330" s="37" t="s">
        <v>27284</v>
      </c>
      <c r="C2330" s="7" t="s">
        <v>27285</v>
      </c>
      <c r="D2330" s="37" t="s">
        <v>27286</v>
      </c>
    </row>
    <row r="2331">
      <c r="A2331" s="37" t="s">
        <v>27283</v>
      </c>
      <c r="B2331" s="37" t="s">
        <v>27284</v>
      </c>
      <c r="C2331" s="7" t="s">
        <v>11959</v>
      </c>
      <c r="D2331" s="37" t="s">
        <v>27287</v>
      </c>
    </row>
    <row r="2332">
      <c r="A2332" s="37" t="s">
        <v>1147</v>
      </c>
      <c r="B2332" s="37" t="s">
        <v>478</v>
      </c>
      <c r="C2332" s="7" t="s">
        <v>14345</v>
      </c>
      <c r="D2332" s="37" t="s">
        <v>27288</v>
      </c>
    </row>
    <row r="2333">
      <c r="A2333" s="37" t="s">
        <v>24751</v>
      </c>
      <c r="B2333" s="37" t="s">
        <v>24752</v>
      </c>
      <c r="C2333" s="7" t="s">
        <v>27289</v>
      </c>
      <c r="D2333" s="37" t="s">
        <v>27290</v>
      </c>
    </row>
    <row r="2334">
      <c r="A2334" s="37" t="s">
        <v>1229</v>
      </c>
      <c r="B2334" s="37" t="s">
        <v>1096</v>
      </c>
      <c r="C2334" s="7" t="s">
        <v>27291</v>
      </c>
      <c r="D2334" s="37" t="s">
        <v>27292</v>
      </c>
    </row>
    <row r="2335">
      <c r="A2335" s="37" t="s">
        <v>356</v>
      </c>
      <c r="B2335" s="37" t="s">
        <v>1285</v>
      </c>
      <c r="C2335" s="7" t="s">
        <v>27293</v>
      </c>
      <c r="D2335" s="37" t="s">
        <v>27294</v>
      </c>
    </row>
    <row r="2336">
      <c r="A2336" s="37" t="s">
        <v>286</v>
      </c>
      <c r="B2336" s="37" t="s">
        <v>854</v>
      </c>
      <c r="C2336" s="7" t="s">
        <v>27295</v>
      </c>
      <c r="D2336" s="37" t="s">
        <v>27296</v>
      </c>
    </row>
    <row r="2337">
      <c r="A2337" s="37" t="s">
        <v>1148</v>
      </c>
      <c r="B2337" s="37" t="s">
        <v>25543</v>
      </c>
      <c r="C2337" s="7" t="s">
        <v>27297</v>
      </c>
      <c r="D2337" s="37" t="s">
        <v>27298</v>
      </c>
    </row>
    <row r="2338">
      <c r="A2338" s="37" t="s">
        <v>1246</v>
      </c>
      <c r="B2338" s="37" t="s">
        <v>38</v>
      </c>
      <c r="C2338" s="7" t="s">
        <v>27299</v>
      </c>
      <c r="D2338" s="37" t="s">
        <v>27300</v>
      </c>
    </row>
    <row r="2339">
      <c r="A2339" s="37" t="s">
        <v>124</v>
      </c>
      <c r="B2339" s="37" t="s">
        <v>24752</v>
      </c>
      <c r="C2339" s="7" t="s">
        <v>27301</v>
      </c>
      <c r="D2339" s="37" t="s">
        <v>27302</v>
      </c>
    </row>
    <row r="2340">
      <c r="A2340" s="37" t="s">
        <v>1602</v>
      </c>
      <c r="B2340" s="37" t="s">
        <v>24942</v>
      </c>
      <c r="C2340" s="7" t="s">
        <v>27303</v>
      </c>
      <c r="D2340" s="37" t="s">
        <v>27304</v>
      </c>
    </row>
    <row r="2341">
      <c r="A2341" s="37" t="s">
        <v>27305</v>
      </c>
      <c r="B2341" s="37" t="s">
        <v>1273</v>
      </c>
      <c r="C2341" s="7" t="s">
        <v>27306</v>
      </c>
      <c r="D2341" s="37" t="s">
        <v>27307</v>
      </c>
    </row>
    <row r="2342">
      <c r="A2342" s="37" t="s">
        <v>74</v>
      </c>
      <c r="B2342" s="37" t="s">
        <v>1208</v>
      </c>
      <c r="C2342" s="7" t="s">
        <v>27308</v>
      </c>
      <c r="D2342" s="37" t="s">
        <v>27309</v>
      </c>
    </row>
    <row r="2343">
      <c r="A2343" s="37" t="s">
        <v>188</v>
      </c>
      <c r="B2343" s="37" t="s">
        <v>440</v>
      </c>
      <c r="C2343" s="7" t="s">
        <v>27310</v>
      </c>
      <c r="D2343" s="37" t="s">
        <v>27311</v>
      </c>
    </row>
    <row r="2344">
      <c r="A2344" s="37" t="s">
        <v>1361</v>
      </c>
      <c r="B2344" s="37" t="s">
        <v>1096</v>
      </c>
      <c r="C2344" s="7" t="s">
        <v>27312</v>
      </c>
      <c r="D2344" s="37" t="s">
        <v>27313</v>
      </c>
    </row>
    <row r="2345">
      <c r="A2345" s="37" t="s">
        <v>436</v>
      </c>
      <c r="B2345" s="37" t="s">
        <v>429</v>
      </c>
      <c r="C2345" s="7" t="s">
        <v>27314</v>
      </c>
      <c r="D2345" s="37" t="s">
        <v>27315</v>
      </c>
    </row>
    <row r="2346">
      <c r="A2346" s="37" t="s">
        <v>1278</v>
      </c>
      <c r="B2346" s="37" t="s">
        <v>1054</v>
      </c>
      <c r="C2346" s="7" t="s">
        <v>27316</v>
      </c>
      <c r="D2346" s="37" t="s">
        <v>27317</v>
      </c>
    </row>
    <row r="2347">
      <c r="A2347" s="37" t="s">
        <v>399</v>
      </c>
      <c r="B2347" s="37" t="s">
        <v>391</v>
      </c>
      <c r="C2347" s="7" t="s">
        <v>27318</v>
      </c>
      <c r="D2347" s="37" t="s">
        <v>27319</v>
      </c>
    </row>
    <row r="2348">
      <c r="A2348" s="37" t="s">
        <v>1148</v>
      </c>
      <c r="B2348" s="37" t="s">
        <v>1273</v>
      </c>
      <c r="C2348" s="7" t="s">
        <v>27320</v>
      </c>
      <c r="D2348" s="37" t="s">
        <v>27321</v>
      </c>
    </row>
    <row r="2349">
      <c r="A2349" s="37" t="s">
        <v>443</v>
      </c>
      <c r="B2349" s="37" t="s">
        <v>440</v>
      </c>
      <c r="C2349" s="7" t="s">
        <v>27322</v>
      </c>
      <c r="D2349" s="37" t="s">
        <v>27323</v>
      </c>
    </row>
    <row r="2350">
      <c r="A2350" s="37" t="s">
        <v>51</v>
      </c>
      <c r="B2350" s="37" t="s">
        <v>1242</v>
      </c>
      <c r="C2350" s="7" t="s">
        <v>12667</v>
      </c>
      <c r="D2350" s="37" t="s">
        <v>27324</v>
      </c>
    </row>
    <row r="2351">
      <c r="A2351" s="37" t="s">
        <v>74</v>
      </c>
      <c r="B2351" s="37" t="s">
        <v>1208</v>
      </c>
      <c r="C2351" s="7" t="s">
        <v>27325</v>
      </c>
      <c r="D2351" s="37" t="s">
        <v>27326</v>
      </c>
    </row>
    <row r="2352">
      <c r="A2352" s="37" t="s">
        <v>540</v>
      </c>
      <c r="B2352" s="37" t="s">
        <v>26160</v>
      </c>
      <c r="C2352" s="7" t="s">
        <v>27327</v>
      </c>
      <c r="D2352" s="37" t="s">
        <v>27328</v>
      </c>
    </row>
    <row r="2353">
      <c r="A2353" s="37" t="s">
        <v>356</v>
      </c>
      <c r="B2353" s="37" t="s">
        <v>1285</v>
      </c>
      <c r="C2353" s="7" t="s">
        <v>27329</v>
      </c>
      <c r="D2353" s="37" t="s">
        <v>27330</v>
      </c>
    </row>
    <row r="2354">
      <c r="A2354" s="37" t="s">
        <v>1119</v>
      </c>
      <c r="B2354" s="37" t="s">
        <v>27331</v>
      </c>
      <c r="C2354" s="7" t="s">
        <v>27332</v>
      </c>
      <c r="D2354" s="37" t="s">
        <v>27333</v>
      </c>
    </row>
    <row r="2355">
      <c r="A2355" s="37" t="s">
        <v>23444</v>
      </c>
      <c r="B2355" s="37" t="s">
        <v>24942</v>
      </c>
      <c r="C2355" s="7" t="s">
        <v>27334</v>
      </c>
      <c r="D2355" s="37" t="s">
        <v>27335</v>
      </c>
    </row>
    <row r="2356">
      <c r="A2356" s="37" t="s">
        <v>23444</v>
      </c>
      <c r="B2356" s="37" t="s">
        <v>24942</v>
      </c>
      <c r="C2356" s="7" t="s">
        <v>27336</v>
      </c>
      <c r="D2356" s="37" t="s">
        <v>27337</v>
      </c>
    </row>
    <row r="2357">
      <c r="A2357" s="37" t="s">
        <v>74</v>
      </c>
      <c r="B2357" s="37" t="s">
        <v>1208</v>
      </c>
      <c r="C2357" s="7" t="s">
        <v>27338</v>
      </c>
      <c r="D2357" s="37" t="s">
        <v>27339</v>
      </c>
    </row>
    <row r="2358">
      <c r="A2358" s="37" t="s">
        <v>1274</v>
      </c>
      <c r="B2358" s="37" t="s">
        <v>26245</v>
      </c>
      <c r="C2358" s="7" t="s">
        <v>27340</v>
      </c>
      <c r="D2358" s="37" t="s">
        <v>27341</v>
      </c>
    </row>
    <row r="2359">
      <c r="A2359" s="37" t="s">
        <v>1274</v>
      </c>
      <c r="B2359" s="37" t="s">
        <v>26245</v>
      </c>
      <c r="C2359" s="7" t="s">
        <v>27342</v>
      </c>
      <c r="D2359" s="37" t="s">
        <v>27343</v>
      </c>
    </row>
    <row r="2360">
      <c r="A2360" s="37" t="s">
        <v>26826</v>
      </c>
      <c r="B2360" s="37" t="s">
        <v>26038</v>
      </c>
      <c r="C2360" s="7" t="s">
        <v>27344</v>
      </c>
      <c r="D2360" s="37" t="s">
        <v>27345</v>
      </c>
    </row>
    <row r="2361">
      <c r="A2361" s="37" t="s">
        <v>27283</v>
      </c>
      <c r="B2361" s="37" t="s">
        <v>27284</v>
      </c>
      <c r="C2361" s="7" t="s">
        <v>27346</v>
      </c>
      <c r="D2361" s="37" t="s">
        <v>27347</v>
      </c>
    </row>
    <row r="2362">
      <c r="A2362" s="37" t="s">
        <v>1362</v>
      </c>
      <c r="B2362" s="37" t="s">
        <v>1096</v>
      </c>
      <c r="C2362" s="7" t="s">
        <v>2038</v>
      </c>
      <c r="D2362" s="37" t="s">
        <v>27348</v>
      </c>
    </row>
    <row r="2363">
      <c r="A2363" s="37" t="s">
        <v>540</v>
      </c>
      <c r="B2363" s="37" t="s">
        <v>26160</v>
      </c>
      <c r="C2363" s="7" t="s">
        <v>27349</v>
      </c>
      <c r="D2363" s="37" t="s">
        <v>27350</v>
      </c>
    </row>
    <row r="2364">
      <c r="A2364" s="37" t="s">
        <v>1188</v>
      </c>
      <c r="B2364" s="37" t="s">
        <v>1208</v>
      </c>
      <c r="C2364" s="7" t="s">
        <v>27351</v>
      </c>
      <c r="D2364" s="37" t="s">
        <v>27352</v>
      </c>
    </row>
    <row r="2365">
      <c r="A2365" s="37" t="s">
        <v>1362</v>
      </c>
      <c r="B2365" s="37" t="s">
        <v>1096</v>
      </c>
      <c r="C2365" s="7" t="s">
        <v>27353</v>
      </c>
      <c r="D2365" s="37" t="s">
        <v>27354</v>
      </c>
    </row>
    <row r="2366">
      <c r="A2366" s="37" t="s">
        <v>1146</v>
      </c>
      <c r="B2366" s="37" t="s">
        <v>478</v>
      </c>
      <c r="C2366" s="7" t="s">
        <v>27355</v>
      </c>
      <c r="D2366" s="37" t="s">
        <v>27356</v>
      </c>
    </row>
    <row r="2367">
      <c r="A2367" s="37" t="s">
        <v>1229</v>
      </c>
      <c r="B2367" s="37" t="s">
        <v>26038</v>
      </c>
      <c r="C2367" s="7" t="s">
        <v>27357</v>
      </c>
      <c r="D2367" s="37" t="s">
        <v>27358</v>
      </c>
    </row>
    <row r="2368">
      <c r="A2368" s="37" t="s">
        <v>1229</v>
      </c>
      <c r="B2368" s="37" t="s">
        <v>26038</v>
      </c>
      <c r="C2368" s="7" t="s">
        <v>27359</v>
      </c>
      <c r="D2368" s="37" t="s">
        <v>27360</v>
      </c>
    </row>
    <row r="2369">
      <c r="A2369" s="37" t="s">
        <v>1229</v>
      </c>
      <c r="B2369" s="37" t="s">
        <v>26038</v>
      </c>
      <c r="C2369" s="7" t="s">
        <v>27361</v>
      </c>
      <c r="D2369" s="37" t="s">
        <v>27362</v>
      </c>
    </row>
    <row r="2370">
      <c r="A2370" s="37" t="s">
        <v>1229</v>
      </c>
      <c r="B2370" s="37" t="s">
        <v>26038</v>
      </c>
      <c r="C2370" s="7" t="s">
        <v>27363</v>
      </c>
      <c r="D2370" s="37" t="s">
        <v>27364</v>
      </c>
    </row>
    <row r="2371">
      <c r="A2371" s="37" t="s">
        <v>1229</v>
      </c>
      <c r="B2371" s="37" t="s">
        <v>26038</v>
      </c>
      <c r="C2371" s="7" t="s">
        <v>27365</v>
      </c>
      <c r="D2371" s="37" t="s">
        <v>27366</v>
      </c>
    </row>
    <row r="2372">
      <c r="A2372" s="37" t="s">
        <v>1229</v>
      </c>
      <c r="B2372" s="37" t="s">
        <v>26038</v>
      </c>
      <c r="C2372" s="7" t="s">
        <v>27367</v>
      </c>
      <c r="D2372" s="37" t="s">
        <v>27368</v>
      </c>
    </row>
    <row r="2373">
      <c r="A2373" s="37" t="s">
        <v>1229</v>
      </c>
      <c r="B2373" s="37" t="s">
        <v>26038</v>
      </c>
      <c r="C2373" s="7" t="s">
        <v>27369</v>
      </c>
      <c r="D2373" s="37" t="s">
        <v>27370</v>
      </c>
    </row>
    <row r="2374">
      <c r="A2374" s="37" t="s">
        <v>1229</v>
      </c>
      <c r="B2374" s="37" t="s">
        <v>26038</v>
      </c>
      <c r="C2374" s="7" t="s">
        <v>27371</v>
      </c>
      <c r="D2374" s="37" t="s">
        <v>27372</v>
      </c>
    </row>
    <row r="2375">
      <c r="A2375" s="37" t="s">
        <v>1229</v>
      </c>
      <c r="B2375" s="37" t="s">
        <v>26038</v>
      </c>
      <c r="C2375" s="7" t="s">
        <v>27373</v>
      </c>
      <c r="D2375" s="37" t="s">
        <v>27374</v>
      </c>
    </row>
    <row r="2376">
      <c r="A2376" s="37" t="s">
        <v>1229</v>
      </c>
      <c r="B2376" s="37" t="s">
        <v>26038</v>
      </c>
      <c r="C2376" s="7" t="s">
        <v>27375</v>
      </c>
      <c r="D2376" s="37" t="s">
        <v>27376</v>
      </c>
    </row>
    <row r="2377">
      <c r="A2377" s="37" t="s">
        <v>1229</v>
      </c>
      <c r="B2377" s="37" t="s">
        <v>26038</v>
      </c>
      <c r="C2377" s="7" t="s">
        <v>27377</v>
      </c>
      <c r="D2377" s="37" t="s">
        <v>27378</v>
      </c>
    </row>
    <row r="2378">
      <c r="A2378" s="37" t="s">
        <v>1229</v>
      </c>
      <c r="B2378" s="37" t="s">
        <v>26038</v>
      </c>
      <c r="C2378" s="7" t="s">
        <v>27379</v>
      </c>
      <c r="D2378" s="37" t="s">
        <v>27380</v>
      </c>
    </row>
    <row r="2379">
      <c r="A2379" s="37" t="s">
        <v>1229</v>
      </c>
      <c r="B2379" s="37" t="s">
        <v>26038</v>
      </c>
      <c r="C2379" s="7" t="s">
        <v>27381</v>
      </c>
      <c r="D2379" s="37" t="s">
        <v>27382</v>
      </c>
    </row>
    <row r="2380">
      <c r="A2380" s="37" t="s">
        <v>1229</v>
      </c>
      <c r="B2380" s="37" t="s">
        <v>26038</v>
      </c>
      <c r="C2380" s="7" t="s">
        <v>27383</v>
      </c>
      <c r="D2380" s="37" t="s">
        <v>27384</v>
      </c>
    </row>
    <row r="2381">
      <c r="A2381" s="37" t="s">
        <v>1229</v>
      </c>
      <c r="B2381" s="37" t="s">
        <v>26038</v>
      </c>
      <c r="C2381" s="7" t="s">
        <v>27385</v>
      </c>
      <c r="D2381" s="37" t="s">
        <v>27386</v>
      </c>
    </row>
    <row r="2382">
      <c r="A2382" s="37" t="s">
        <v>1228</v>
      </c>
      <c r="B2382" s="37" t="s">
        <v>854</v>
      </c>
      <c r="C2382" s="7" t="s">
        <v>27387</v>
      </c>
      <c r="D2382" s="37" t="s">
        <v>27388</v>
      </c>
    </row>
    <row r="2383">
      <c r="A2383" s="37" t="s">
        <v>1278</v>
      </c>
      <c r="B2383" s="37" t="s">
        <v>24942</v>
      </c>
      <c r="C2383" s="7" t="s">
        <v>27389</v>
      </c>
      <c r="D2383" s="37" t="s">
        <v>27390</v>
      </c>
    </row>
    <row r="2384">
      <c r="A2384" s="37" t="s">
        <v>1229</v>
      </c>
      <c r="B2384" s="37" t="s">
        <v>26038</v>
      </c>
      <c r="C2384" s="7" t="s">
        <v>27391</v>
      </c>
      <c r="D2384" s="37" t="s">
        <v>27392</v>
      </c>
    </row>
    <row r="2385">
      <c r="A2385" s="37" t="s">
        <v>696</v>
      </c>
      <c r="B2385" s="37" t="s">
        <v>693</v>
      </c>
      <c r="C2385" s="7" t="s">
        <v>27393</v>
      </c>
      <c r="D2385" s="37" t="s">
        <v>27394</v>
      </c>
    </row>
    <row r="2386">
      <c r="A2386" s="37" t="s">
        <v>286</v>
      </c>
      <c r="B2386" s="37" t="s">
        <v>854</v>
      </c>
      <c r="C2386" s="7" t="s">
        <v>27395</v>
      </c>
      <c r="D2386" s="37" t="s">
        <v>27396</v>
      </c>
    </row>
    <row r="2387">
      <c r="A2387" s="37" t="s">
        <v>1361</v>
      </c>
      <c r="B2387" s="37" t="s">
        <v>1096</v>
      </c>
      <c r="C2387" s="7" t="s">
        <v>27397</v>
      </c>
      <c r="D2387" s="37" t="s">
        <v>27398</v>
      </c>
    </row>
    <row r="2388">
      <c r="A2388" s="37" t="s">
        <v>4</v>
      </c>
      <c r="B2388" s="37" t="s">
        <v>3</v>
      </c>
      <c r="C2388" s="7" t="s">
        <v>27399</v>
      </c>
      <c r="D2388" s="37" t="s">
        <v>27400</v>
      </c>
    </row>
    <row r="2389">
      <c r="A2389" s="37" t="s">
        <v>1148</v>
      </c>
      <c r="B2389" s="37" t="s">
        <v>1208</v>
      </c>
      <c r="C2389" s="7" t="s">
        <v>27401</v>
      </c>
      <c r="D2389" s="37" t="s">
        <v>27402</v>
      </c>
    </row>
    <row r="2390">
      <c r="A2390" s="37" t="s">
        <v>27283</v>
      </c>
      <c r="B2390" s="37" t="s">
        <v>27284</v>
      </c>
      <c r="C2390" s="7" t="s">
        <v>27403</v>
      </c>
      <c r="D2390" s="37" t="s">
        <v>27404</v>
      </c>
    </row>
    <row r="2391">
      <c r="A2391" s="37" t="s">
        <v>27283</v>
      </c>
      <c r="B2391" s="37" t="s">
        <v>27284</v>
      </c>
      <c r="C2391" s="7" t="s">
        <v>27405</v>
      </c>
      <c r="D2391" s="37" t="s">
        <v>27406</v>
      </c>
    </row>
    <row r="2392">
      <c r="A2392" s="37" t="s">
        <v>1274</v>
      </c>
      <c r="B2392" s="37" t="s">
        <v>26245</v>
      </c>
      <c r="C2392" s="7" t="s">
        <v>27407</v>
      </c>
      <c r="D2392" s="37" t="s">
        <v>27408</v>
      </c>
    </row>
    <row r="2393">
      <c r="A2393" s="37" t="s">
        <v>356</v>
      </c>
      <c r="B2393" s="37" t="s">
        <v>1285</v>
      </c>
      <c r="C2393" s="7" t="s">
        <v>27409</v>
      </c>
      <c r="D2393" s="37" t="s">
        <v>27410</v>
      </c>
    </row>
    <row r="2394">
      <c r="A2394" s="37" t="s">
        <v>436</v>
      </c>
      <c r="B2394" s="37" t="s">
        <v>429</v>
      </c>
      <c r="C2394" s="7" t="s">
        <v>27411</v>
      </c>
      <c r="D2394" s="37" t="s">
        <v>27412</v>
      </c>
    </row>
    <row r="2395">
      <c r="A2395" s="37" t="s">
        <v>1283</v>
      </c>
      <c r="B2395" s="37" t="s">
        <v>298</v>
      </c>
      <c r="C2395" s="7" t="s">
        <v>27413</v>
      </c>
      <c r="D2395" s="37" t="s">
        <v>27414</v>
      </c>
    </row>
    <row r="2396">
      <c r="A2396" s="37" t="s">
        <v>1162</v>
      </c>
      <c r="B2396" s="37" t="s">
        <v>1054</v>
      </c>
      <c r="C2396" s="7" t="s">
        <v>27415</v>
      </c>
      <c r="D2396" s="37" t="s">
        <v>27416</v>
      </c>
    </row>
    <row r="2397">
      <c r="A2397" s="37" t="s">
        <v>802</v>
      </c>
      <c r="B2397" s="37" t="s">
        <v>298</v>
      </c>
      <c r="C2397" s="7" t="s">
        <v>27417</v>
      </c>
      <c r="D2397" s="37" t="s">
        <v>27418</v>
      </c>
    </row>
    <row r="2398">
      <c r="A2398" s="37" t="s">
        <v>857</v>
      </c>
      <c r="B2398" s="37" t="s">
        <v>27419</v>
      </c>
      <c r="C2398" s="7" t="s">
        <v>27420</v>
      </c>
      <c r="D2398" s="37" t="s">
        <v>27421</v>
      </c>
    </row>
    <row r="2399">
      <c r="A2399" s="37" t="s">
        <v>802</v>
      </c>
      <c r="B2399" s="37" t="s">
        <v>298</v>
      </c>
      <c r="C2399" s="7" t="s">
        <v>27422</v>
      </c>
      <c r="D2399" s="37" t="s">
        <v>27423</v>
      </c>
    </row>
    <row r="2400">
      <c r="A2400" s="37" t="s">
        <v>802</v>
      </c>
      <c r="B2400" s="37" t="s">
        <v>298</v>
      </c>
      <c r="C2400" s="7" t="s">
        <v>27424</v>
      </c>
      <c r="D2400" s="37" t="s">
        <v>27425</v>
      </c>
    </row>
    <row r="2401">
      <c r="A2401" s="37" t="s">
        <v>802</v>
      </c>
      <c r="B2401" s="37" t="s">
        <v>298</v>
      </c>
      <c r="C2401" s="7" t="s">
        <v>27426</v>
      </c>
      <c r="D2401" s="37" t="s">
        <v>27427</v>
      </c>
    </row>
    <row r="2402">
      <c r="A2402" s="37" t="s">
        <v>802</v>
      </c>
      <c r="B2402" s="37" t="s">
        <v>298</v>
      </c>
      <c r="C2402" s="7" t="s">
        <v>27428</v>
      </c>
      <c r="D2402" s="37" t="s">
        <v>27429</v>
      </c>
    </row>
    <row r="2403">
      <c r="A2403" s="37" t="s">
        <v>90</v>
      </c>
      <c r="B2403" s="37" t="s">
        <v>440</v>
      </c>
      <c r="C2403" s="37" t="s">
        <v>27430</v>
      </c>
      <c r="D2403" s="37" t="s">
        <v>27431</v>
      </c>
    </row>
    <row r="2404">
      <c r="A2404" s="37" t="s">
        <v>1246</v>
      </c>
      <c r="B2404" s="37" t="s">
        <v>1242</v>
      </c>
      <c r="C2404" s="7" t="s">
        <v>27432</v>
      </c>
      <c r="D2404" s="37" t="s">
        <v>27433</v>
      </c>
    </row>
    <row r="2405">
      <c r="A2405" s="37" t="s">
        <v>27434</v>
      </c>
      <c r="B2405" s="37" t="s">
        <v>27435</v>
      </c>
      <c r="C2405" s="7" t="s">
        <v>27436</v>
      </c>
      <c r="D2405" s="37" t="s">
        <v>27437</v>
      </c>
    </row>
    <row r="2406">
      <c r="A2406" s="37" t="s">
        <v>118</v>
      </c>
      <c r="B2406" s="37" t="s">
        <v>24752</v>
      </c>
      <c r="C2406" s="7" t="s">
        <v>27438</v>
      </c>
      <c r="D2406" s="37" t="s">
        <v>27439</v>
      </c>
    </row>
    <row r="2407">
      <c r="A2407" s="37" t="s">
        <v>1363</v>
      </c>
      <c r="B2407" s="37" t="s">
        <v>1096</v>
      </c>
      <c r="C2407" s="7" t="s">
        <v>27440</v>
      </c>
      <c r="D2407" s="37" t="s">
        <v>27441</v>
      </c>
    </row>
    <row r="2408">
      <c r="A2408" s="37" t="s">
        <v>1363</v>
      </c>
      <c r="B2408" s="37" t="s">
        <v>1096</v>
      </c>
      <c r="C2408" s="7" t="s">
        <v>27442</v>
      </c>
      <c r="D2408" s="37" t="s">
        <v>27443</v>
      </c>
    </row>
    <row r="2409">
      <c r="A2409" s="37" t="s">
        <v>51</v>
      </c>
      <c r="B2409" s="37" t="s">
        <v>1242</v>
      </c>
      <c r="C2409" s="7" t="s">
        <v>27444</v>
      </c>
      <c r="D2409" s="37" t="s">
        <v>27445</v>
      </c>
    </row>
    <row r="2410">
      <c r="A2410" s="37" t="s">
        <v>23444</v>
      </c>
      <c r="B2410" s="37" t="s">
        <v>24942</v>
      </c>
      <c r="C2410" s="7" t="s">
        <v>27446</v>
      </c>
      <c r="D2410" s="37" t="s">
        <v>27447</v>
      </c>
    </row>
    <row r="2411">
      <c r="A2411" s="37" t="s">
        <v>19463</v>
      </c>
      <c r="B2411" s="37" t="s">
        <v>1285</v>
      </c>
      <c r="C2411" s="7" t="s">
        <v>27448</v>
      </c>
      <c r="D2411" s="37" t="s">
        <v>27449</v>
      </c>
    </row>
    <row r="2412">
      <c r="A2412" s="37" t="s">
        <v>23444</v>
      </c>
      <c r="B2412" s="37" t="s">
        <v>24942</v>
      </c>
      <c r="C2412" s="7" t="s">
        <v>27450</v>
      </c>
      <c r="D2412" s="37" t="s">
        <v>27451</v>
      </c>
    </row>
    <row r="2413">
      <c r="A2413" s="37" t="s">
        <v>1246</v>
      </c>
      <c r="B2413" s="37" t="s">
        <v>38</v>
      </c>
      <c r="C2413" s="7" t="s">
        <v>27452</v>
      </c>
      <c r="D2413" s="37" t="s">
        <v>27453</v>
      </c>
    </row>
    <row r="2414">
      <c r="A2414" s="37" t="s">
        <v>1246</v>
      </c>
      <c r="B2414" s="37" t="s">
        <v>38</v>
      </c>
      <c r="C2414" s="37" t="s">
        <v>27454</v>
      </c>
      <c r="D2414" s="37" t="s">
        <v>27455</v>
      </c>
    </row>
    <row r="2415">
      <c r="A2415" s="37" t="s">
        <v>1246</v>
      </c>
      <c r="B2415" s="37" t="s">
        <v>1242</v>
      </c>
      <c r="C2415" s="7" t="s">
        <v>27456</v>
      </c>
      <c r="D2415" s="37" t="s">
        <v>27457</v>
      </c>
    </row>
    <row r="2416">
      <c r="A2416" s="37" t="s">
        <v>1246</v>
      </c>
      <c r="B2416" s="37" t="s">
        <v>1242</v>
      </c>
      <c r="C2416" s="7" t="s">
        <v>27458</v>
      </c>
      <c r="D2416" s="37" t="s">
        <v>27459</v>
      </c>
    </row>
    <row r="2417">
      <c r="A2417" s="37" t="s">
        <v>1246</v>
      </c>
      <c r="B2417" s="37" t="s">
        <v>1242</v>
      </c>
      <c r="C2417" s="7" t="s">
        <v>27460</v>
      </c>
      <c r="D2417" s="37" t="s">
        <v>27461</v>
      </c>
    </row>
    <row r="2418">
      <c r="A2418" s="37" t="s">
        <v>1246</v>
      </c>
      <c r="B2418" s="37" t="s">
        <v>1242</v>
      </c>
      <c r="C2418" s="7" t="s">
        <v>27462</v>
      </c>
      <c r="D2418" s="37" t="s">
        <v>27463</v>
      </c>
    </row>
    <row r="2419">
      <c r="A2419" s="37" t="s">
        <v>74</v>
      </c>
      <c r="B2419" s="37" t="s">
        <v>1208</v>
      </c>
      <c r="C2419" s="7" t="s">
        <v>27464</v>
      </c>
      <c r="D2419" s="37" t="s">
        <v>27465</v>
      </c>
    </row>
    <row r="2420">
      <c r="A2420" s="37" t="s">
        <v>1279</v>
      </c>
      <c r="B2420" s="37" t="s">
        <v>1273</v>
      </c>
      <c r="C2420" s="7" t="s">
        <v>27466</v>
      </c>
      <c r="D2420" s="37" t="s">
        <v>27467</v>
      </c>
    </row>
    <row r="2421">
      <c r="A2421" s="37" t="s">
        <v>1146</v>
      </c>
      <c r="B2421" s="37" t="s">
        <v>478</v>
      </c>
      <c r="C2421" s="7" t="s">
        <v>27468</v>
      </c>
      <c r="D2421" s="37" t="s">
        <v>27469</v>
      </c>
    </row>
    <row r="2422">
      <c r="A2422" s="37" t="s">
        <v>1146</v>
      </c>
      <c r="B2422" s="37" t="s">
        <v>478</v>
      </c>
      <c r="C2422" s="7" t="s">
        <v>27470</v>
      </c>
      <c r="D2422" s="37" t="s">
        <v>27471</v>
      </c>
    </row>
    <row r="2423">
      <c r="A2423" s="37" t="s">
        <v>1146</v>
      </c>
      <c r="B2423" s="37" t="s">
        <v>478</v>
      </c>
      <c r="C2423" s="7" t="s">
        <v>27472</v>
      </c>
      <c r="D2423" s="37" t="s">
        <v>27473</v>
      </c>
    </row>
    <row r="2424">
      <c r="A2424" s="37" t="s">
        <v>1146</v>
      </c>
      <c r="B2424" s="37" t="s">
        <v>478</v>
      </c>
      <c r="C2424" s="7" t="s">
        <v>27474</v>
      </c>
      <c r="D2424" s="37" t="s">
        <v>27475</v>
      </c>
    </row>
    <row r="2425">
      <c r="A2425" s="37" t="s">
        <v>486</v>
      </c>
      <c r="B2425" s="37" t="s">
        <v>478</v>
      </c>
      <c r="C2425" s="7" t="s">
        <v>27476</v>
      </c>
      <c r="D2425" s="37" t="s">
        <v>27477</v>
      </c>
    </row>
    <row r="2426">
      <c r="A2426" s="37" t="s">
        <v>486</v>
      </c>
      <c r="B2426" s="37" t="s">
        <v>478</v>
      </c>
      <c r="C2426" s="7" t="s">
        <v>27478</v>
      </c>
      <c r="D2426" s="37" t="s">
        <v>27479</v>
      </c>
    </row>
    <row r="2427">
      <c r="A2427" s="37" t="s">
        <v>486</v>
      </c>
      <c r="B2427" s="37" t="s">
        <v>478</v>
      </c>
      <c r="C2427" s="7" t="s">
        <v>27480</v>
      </c>
      <c r="D2427" s="37" t="s">
        <v>27481</v>
      </c>
    </row>
    <row r="2428">
      <c r="A2428" s="37" t="s">
        <v>486</v>
      </c>
      <c r="B2428" s="37" t="s">
        <v>478</v>
      </c>
      <c r="C2428" s="7" t="s">
        <v>27482</v>
      </c>
      <c r="D2428" s="37" t="s">
        <v>27483</v>
      </c>
    </row>
    <row r="2429">
      <c r="A2429" s="37" t="s">
        <v>486</v>
      </c>
      <c r="B2429" s="37" t="s">
        <v>478</v>
      </c>
      <c r="C2429" s="7" t="s">
        <v>27484</v>
      </c>
      <c r="D2429" s="37" t="s">
        <v>27485</v>
      </c>
    </row>
    <row r="2430">
      <c r="A2430" s="37" t="s">
        <v>486</v>
      </c>
      <c r="B2430" s="37" t="s">
        <v>478</v>
      </c>
      <c r="C2430" s="7" t="s">
        <v>27486</v>
      </c>
      <c r="D2430" s="37" t="s">
        <v>27487</v>
      </c>
    </row>
    <row r="2431">
      <c r="A2431" s="37" t="s">
        <v>486</v>
      </c>
      <c r="B2431" s="37" t="s">
        <v>478</v>
      </c>
      <c r="C2431" s="7" t="s">
        <v>27488</v>
      </c>
      <c r="D2431" s="37" t="s">
        <v>27489</v>
      </c>
    </row>
    <row r="2432">
      <c r="A2432" s="37" t="s">
        <v>486</v>
      </c>
      <c r="B2432" s="37" t="s">
        <v>478</v>
      </c>
      <c r="C2432" s="7" t="s">
        <v>27490</v>
      </c>
      <c r="D2432" s="37" t="s">
        <v>27491</v>
      </c>
    </row>
    <row r="2433">
      <c r="A2433" s="37" t="s">
        <v>486</v>
      </c>
      <c r="B2433" s="37" t="s">
        <v>478</v>
      </c>
      <c r="C2433" s="7" t="s">
        <v>27492</v>
      </c>
      <c r="D2433" s="37" t="s">
        <v>27493</v>
      </c>
    </row>
    <row r="2434">
      <c r="A2434" s="37" t="s">
        <v>486</v>
      </c>
      <c r="B2434" s="37" t="s">
        <v>478</v>
      </c>
      <c r="C2434" s="7" t="s">
        <v>27494</v>
      </c>
      <c r="D2434" s="37" t="s">
        <v>27495</v>
      </c>
    </row>
    <row r="2435">
      <c r="A2435" s="37" t="s">
        <v>486</v>
      </c>
      <c r="B2435" s="37" t="s">
        <v>478</v>
      </c>
      <c r="C2435" s="7" t="s">
        <v>27496</v>
      </c>
      <c r="D2435" s="37" t="s">
        <v>27497</v>
      </c>
    </row>
    <row r="2436">
      <c r="A2436" s="37" t="s">
        <v>486</v>
      </c>
      <c r="B2436" s="37" t="s">
        <v>478</v>
      </c>
      <c r="C2436" s="7" t="s">
        <v>27498</v>
      </c>
      <c r="D2436" s="37" t="s">
        <v>27499</v>
      </c>
    </row>
    <row r="2437">
      <c r="A2437" s="37" t="s">
        <v>1162</v>
      </c>
      <c r="B2437" s="37" t="s">
        <v>1054</v>
      </c>
      <c r="C2437" s="7" t="s">
        <v>27500</v>
      </c>
      <c r="D2437" s="37" t="s">
        <v>27501</v>
      </c>
    </row>
    <row r="2438">
      <c r="A2438" s="37" t="s">
        <v>1274</v>
      </c>
      <c r="B2438" s="37" t="s">
        <v>26245</v>
      </c>
      <c r="C2438" s="7" t="s">
        <v>27502</v>
      </c>
      <c r="D2438" s="37" t="s">
        <v>27503</v>
      </c>
    </row>
    <row r="2439">
      <c r="A2439" s="37" t="s">
        <v>1363</v>
      </c>
      <c r="B2439" s="37" t="s">
        <v>1096</v>
      </c>
      <c r="C2439" s="7" t="s">
        <v>15069</v>
      </c>
      <c r="D2439" s="37" t="s">
        <v>27504</v>
      </c>
    </row>
    <row r="2440">
      <c r="A2440" s="37" t="s">
        <v>1246</v>
      </c>
      <c r="B2440" s="37" t="s">
        <v>38</v>
      </c>
      <c r="C2440" s="7" t="s">
        <v>27505</v>
      </c>
      <c r="D2440" s="37" t="s">
        <v>27506</v>
      </c>
    </row>
    <row r="2441">
      <c r="A2441" s="37" t="s">
        <v>1361</v>
      </c>
      <c r="B2441" s="37" t="s">
        <v>1096</v>
      </c>
      <c r="C2441" s="7" t="s">
        <v>27507</v>
      </c>
      <c r="D2441" s="37" t="s">
        <v>27508</v>
      </c>
    </row>
    <row r="2442">
      <c r="A2442" s="37" t="s">
        <v>1361</v>
      </c>
      <c r="B2442" s="37" t="s">
        <v>1096</v>
      </c>
      <c r="C2442" s="7" t="s">
        <v>27509</v>
      </c>
      <c r="D2442" s="37" t="s">
        <v>27510</v>
      </c>
    </row>
    <row r="2443">
      <c r="A2443" s="37" t="s">
        <v>1146</v>
      </c>
      <c r="B2443" s="37" t="s">
        <v>478</v>
      </c>
      <c r="C2443" s="7" t="s">
        <v>27511</v>
      </c>
      <c r="D2443" s="37" t="s">
        <v>27512</v>
      </c>
    </row>
    <row r="2444">
      <c r="A2444" s="37" t="s">
        <v>1146</v>
      </c>
      <c r="B2444" s="37" t="s">
        <v>478</v>
      </c>
      <c r="C2444" s="7" t="s">
        <v>27513</v>
      </c>
      <c r="D2444" s="37" t="s">
        <v>27514</v>
      </c>
    </row>
    <row r="2445">
      <c r="A2445" s="37" t="s">
        <v>1146</v>
      </c>
      <c r="B2445" s="37" t="s">
        <v>478</v>
      </c>
      <c r="C2445" s="7" t="s">
        <v>27515</v>
      </c>
      <c r="D2445" s="37" t="s">
        <v>27516</v>
      </c>
    </row>
    <row r="2446">
      <c r="A2446" s="37" t="s">
        <v>1283</v>
      </c>
      <c r="B2446" s="37" t="s">
        <v>298</v>
      </c>
      <c r="C2446" s="7" t="s">
        <v>27517</v>
      </c>
      <c r="D2446" s="37" t="s">
        <v>27518</v>
      </c>
    </row>
    <row r="2447">
      <c r="A2447" s="37" t="s">
        <v>1283</v>
      </c>
      <c r="B2447" s="37" t="s">
        <v>298</v>
      </c>
      <c r="C2447" s="7" t="s">
        <v>27519</v>
      </c>
      <c r="D2447" s="37" t="s">
        <v>27520</v>
      </c>
    </row>
    <row r="2448">
      <c r="A2448" s="37" t="s">
        <v>1189</v>
      </c>
      <c r="B2448" s="37" t="s">
        <v>1273</v>
      </c>
      <c r="C2448" s="7" t="s">
        <v>27521</v>
      </c>
      <c r="D2448" s="37" t="s">
        <v>27522</v>
      </c>
    </row>
    <row r="2449">
      <c r="A2449" s="37" t="s">
        <v>1155</v>
      </c>
      <c r="B2449" s="37" t="s">
        <v>693</v>
      </c>
      <c r="C2449" s="7" t="s">
        <v>13554</v>
      </c>
      <c r="D2449" s="37" t="s">
        <v>27523</v>
      </c>
    </row>
    <row r="2450">
      <c r="A2450" s="37" t="s">
        <v>1245</v>
      </c>
      <c r="B2450" s="37" t="s">
        <v>1242</v>
      </c>
      <c r="C2450" s="7" t="s">
        <v>4492</v>
      </c>
      <c r="D2450" s="37" t="s">
        <v>27524</v>
      </c>
    </row>
    <row r="2451">
      <c r="A2451" s="37" t="s">
        <v>26826</v>
      </c>
      <c r="B2451" s="37" t="s">
        <v>26038</v>
      </c>
      <c r="C2451" s="7" t="s">
        <v>27525</v>
      </c>
      <c r="D2451" s="37" t="s">
        <v>27526</v>
      </c>
    </row>
    <row r="2452">
      <c r="A2452" s="37" t="s">
        <v>1245</v>
      </c>
      <c r="B2452" s="37" t="s">
        <v>1242</v>
      </c>
      <c r="C2452" s="7" t="s">
        <v>27527</v>
      </c>
      <c r="D2452" s="37" t="s">
        <v>27528</v>
      </c>
    </row>
    <row r="2453">
      <c r="A2453" s="37" t="s">
        <v>1245</v>
      </c>
      <c r="B2453" s="37" t="s">
        <v>1242</v>
      </c>
      <c r="C2453" s="7" t="s">
        <v>27529</v>
      </c>
      <c r="D2453" s="37" t="s">
        <v>27530</v>
      </c>
    </row>
    <row r="2454">
      <c r="A2454" s="37" t="s">
        <v>1245</v>
      </c>
      <c r="B2454" s="37" t="s">
        <v>1242</v>
      </c>
      <c r="C2454" s="7" t="s">
        <v>27531</v>
      </c>
      <c r="D2454" s="37" t="s">
        <v>27532</v>
      </c>
    </row>
    <row r="2455">
      <c r="A2455" s="37" t="s">
        <v>1148</v>
      </c>
      <c r="B2455" s="37" t="s">
        <v>1208</v>
      </c>
      <c r="C2455" s="7" t="s">
        <v>27533</v>
      </c>
      <c r="D2455" s="37" t="s">
        <v>27534</v>
      </c>
    </row>
    <row r="2456">
      <c r="A2456" s="37" t="s">
        <v>1363</v>
      </c>
      <c r="B2456" s="37" t="s">
        <v>1096</v>
      </c>
      <c r="C2456" s="7" t="s">
        <v>27535</v>
      </c>
      <c r="D2456" s="37" t="s">
        <v>27536</v>
      </c>
    </row>
    <row r="2457">
      <c r="A2457" s="37" t="s">
        <v>1363</v>
      </c>
      <c r="B2457" s="37" t="s">
        <v>1096</v>
      </c>
      <c r="C2457" s="7" t="s">
        <v>27537</v>
      </c>
      <c r="D2457" s="37" t="s">
        <v>27538</v>
      </c>
    </row>
    <row r="2458">
      <c r="A2458" s="37" t="s">
        <v>1361</v>
      </c>
      <c r="B2458" s="37" t="s">
        <v>1096</v>
      </c>
      <c r="C2458" s="7" t="s">
        <v>27539</v>
      </c>
      <c r="D2458" s="37" t="s">
        <v>27540</v>
      </c>
    </row>
    <row r="2459">
      <c r="A2459" s="37" t="s">
        <v>27541</v>
      </c>
      <c r="B2459" s="37" t="s">
        <v>1208</v>
      </c>
      <c r="C2459" s="7" t="s">
        <v>27542</v>
      </c>
      <c r="D2459" s="37" t="s">
        <v>27543</v>
      </c>
    </row>
    <row r="2460">
      <c r="A2460" s="37" t="s">
        <v>27544</v>
      </c>
      <c r="B2460" s="37" t="s">
        <v>26038</v>
      </c>
      <c r="C2460" s="7" t="s">
        <v>27545</v>
      </c>
      <c r="D2460" s="37" t="s">
        <v>27546</v>
      </c>
    </row>
    <row r="2461">
      <c r="A2461" s="37" t="s">
        <v>39</v>
      </c>
      <c r="B2461" s="37" t="s">
        <v>38</v>
      </c>
      <c r="C2461" s="7" t="s">
        <v>27547</v>
      </c>
      <c r="D2461" s="37" t="s">
        <v>27548</v>
      </c>
    </row>
    <row r="2462">
      <c r="A2462" s="37" t="s">
        <v>1361</v>
      </c>
      <c r="B2462" s="37" t="s">
        <v>1096</v>
      </c>
      <c r="C2462" s="7" t="s">
        <v>11795</v>
      </c>
      <c r="D2462" s="37" t="s">
        <v>27549</v>
      </c>
    </row>
    <row r="2463">
      <c r="A2463" s="37" t="s">
        <v>1155</v>
      </c>
      <c r="B2463" s="37" t="s">
        <v>693</v>
      </c>
      <c r="C2463" s="7" t="s">
        <v>27550</v>
      </c>
      <c r="D2463" s="37" t="s">
        <v>27551</v>
      </c>
    </row>
    <row r="2464">
      <c r="A2464" s="37" t="s">
        <v>1155</v>
      </c>
      <c r="B2464" s="37" t="s">
        <v>693</v>
      </c>
      <c r="C2464" s="7" t="s">
        <v>27552</v>
      </c>
      <c r="D2464" s="37" t="s">
        <v>27553</v>
      </c>
    </row>
    <row r="2465">
      <c r="A2465" s="37" t="s">
        <v>802</v>
      </c>
      <c r="B2465" s="37" t="s">
        <v>298</v>
      </c>
      <c r="C2465" s="7" t="s">
        <v>25950</v>
      </c>
      <c r="D2465" s="37" t="s">
        <v>27554</v>
      </c>
    </row>
    <row r="2466">
      <c r="A2466" s="37" t="s">
        <v>1246</v>
      </c>
      <c r="B2466" s="37" t="s">
        <v>1242</v>
      </c>
      <c r="C2466" s="7" t="s">
        <v>9399</v>
      </c>
      <c r="D2466" s="37" t="s">
        <v>27555</v>
      </c>
    </row>
    <row r="2467">
      <c r="A2467" s="37" t="s">
        <v>1246</v>
      </c>
      <c r="B2467" s="37" t="s">
        <v>27556</v>
      </c>
      <c r="C2467" s="7" t="s">
        <v>27557</v>
      </c>
      <c r="D2467" s="37" t="s">
        <v>27558</v>
      </c>
    </row>
    <row r="2468">
      <c r="A2468" s="37" t="s">
        <v>1137</v>
      </c>
      <c r="B2468" s="37" t="s">
        <v>25880</v>
      </c>
      <c r="C2468" s="7" t="s">
        <v>27559</v>
      </c>
      <c r="D2468" s="37" t="s">
        <v>27560</v>
      </c>
    </row>
    <row r="2469">
      <c r="A2469" s="37" t="s">
        <v>4</v>
      </c>
      <c r="B2469" s="37" t="s">
        <v>3</v>
      </c>
      <c r="C2469" s="7" t="s">
        <v>27561</v>
      </c>
      <c r="D2469" s="37" t="s">
        <v>27562</v>
      </c>
    </row>
    <row r="2470">
      <c r="A2470" s="37" t="s">
        <v>74</v>
      </c>
      <c r="B2470" s="37" t="s">
        <v>1208</v>
      </c>
      <c r="C2470" s="37" t="s">
        <v>27563</v>
      </c>
      <c r="D2470" s="37" t="s">
        <v>27564</v>
      </c>
    </row>
    <row r="2471">
      <c r="A2471" s="37" t="s">
        <v>27544</v>
      </c>
      <c r="B2471" s="37" t="s">
        <v>26038</v>
      </c>
      <c r="C2471" s="7" t="s">
        <v>23601</v>
      </c>
      <c r="D2471" s="37" t="s">
        <v>27565</v>
      </c>
    </row>
    <row r="2472">
      <c r="A2472" s="37" t="s">
        <v>26802</v>
      </c>
      <c r="B2472" s="37" t="s">
        <v>26803</v>
      </c>
      <c r="C2472" s="7" t="s">
        <v>27566</v>
      </c>
      <c r="D2472" s="37" t="s">
        <v>27567</v>
      </c>
    </row>
    <row r="2473">
      <c r="A2473" s="37" t="s">
        <v>1147</v>
      </c>
      <c r="B2473" s="37" t="s">
        <v>478</v>
      </c>
      <c r="C2473" s="7" t="s">
        <v>10428</v>
      </c>
      <c r="D2473" s="37" t="s">
        <v>27568</v>
      </c>
    </row>
    <row r="2474">
      <c r="A2474" s="37" t="s">
        <v>26826</v>
      </c>
      <c r="B2474" s="37" t="s">
        <v>26038</v>
      </c>
      <c r="C2474" s="7" t="s">
        <v>9718</v>
      </c>
      <c r="D2474" s="37" t="s">
        <v>27569</v>
      </c>
    </row>
    <row r="2475">
      <c r="A2475" s="37" t="s">
        <v>26826</v>
      </c>
      <c r="B2475" s="37" t="s">
        <v>26038</v>
      </c>
      <c r="C2475" s="7" t="s">
        <v>27570</v>
      </c>
      <c r="D2475" s="37" t="s">
        <v>27571</v>
      </c>
    </row>
    <row r="2476">
      <c r="A2476" s="37" t="s">
        <v>26826</v>
      </c>
      <c r="B2476" s="37" t="s">
        <v>26038</v>
      </c>
      <c r="C2476" s="7" t="s">
        <v>27572</v>
      </c>
      <c r="D2476" s="37" t="s">
        <v>27573</v>
      </c>
    </row>
    <row r="2477">
      <c r="A2477" s="37" t="s">
        <v>1148</v>
      </c>
      <c r="B2477" s="37" t="s">
        <v>1208</v>
      </c>
      <c r="C2477" s="7" t="s">
        <v>27574</v>
      </c>
      <c r="D2477" s="37" t="s">
        <v>27575</v>
      </c>
    </row>
    <row r="2478">
      <c r="A2478" s="37" t="s">
        <v>1148</v>
      </c>
      <c r="B2478" s="37" t="s">
        <v>1208</v>
      </c>
      <c r="C2478" s="7" t="s">
        <v>27576</v>
      </c>
      <c r="D2478" s="37" t="s">
        <v>27577</v>
      </c>
    </row>
    <row r="2479">
      <c r="A2479" s="37" t="s">
        <v>1120</v>
      </c>
      <c r="B2479" s="37" t="s">
        <v>1273</v>
      </c>
      <c r="C2479" s="7" t="s">
        <v>27578</v>
      </c>
      <c r="D2479" s="37" t="s">
        <v>27579</v>
      </c>
    </row>
    <row r="2480">
      <c r="A2480" s="37" t="s">
        <v>540</v>
      </c>
      <c r="B2480" s="37" t="s">
        <v>26160</v>
      </c>
      <c r="C2480" s="7" t="s">
        <v>27580</v>
      </c>
      <c r="D2480" s="37" t="s">
        <v>27581</v>
      </c>
    </row>
    <row r="2481">
      <c r="A2481" s="37" t="s">
        <v>1301</v>
      </c>
      <c r="B2481" s="37" t="s">
        <v>25880</v>
      </c>
      <c r="C2481" s="7" t="s">
        <v>27582</v>
      </c>
      <c r="D2481" s="37" t="s">
        <v>27583</v>
      </c>
    </row>
    <row r="2482">
      <c r="A2482" s="37" t="s">
        <v>97</v>
      </c>
      <c r="B2482" s="37" t="s">
        <v>440</v>
      </c>
      <c r="C2482" s="7" t="s">
        <v>13089</v>
      </c>
      <c r="D2482" s="37" t="s">
        <v>27584</v>
      </c>
    </row>
    <row r="2483">
      <c r="A2483" s="37" t="s">
        <v>1246</v>
      </c>
      <c r="B2483" s="37" t="s">
        <v>38</v>
      </c>
      <c r="C2483" s="7" t="s">
        <v>27585</v>
      </c>
      <c r="D2483" s="37" t="s">
        <v>27586</v>
      </c>
    </row>
    <row r="2484">
      <c r="A2484" s="37" t="s">
        <v>23444</v>
      </c>
      <c r="B2484" s="37" t="s">
        <v>24942</v>
      </c>
      <c r="C2484" s="7" t="s">
        <v>27587</v>
      </c>
      <c r="D2484" s="37" t="s">
        <v>27588</v>
      </c>
    </row>
    <row r="2485">
      <c r="A2485" s="37" t="s">
        <v>1155</v>
      </c>
      <c r="B2485" s="37" t="s">
        <v>693</v>
      </c>
      <c r="C2485" s="7" t="s">
        <v>27589</v>
      </c>
      <c r="D2485" s="37" t="s">
        <v>27590</v>
      </c>
    </row>
    <row r="2486">
      <c r="A2486" s="37" t="s">
        <v>27544</v>
      </c>
      <c r="B2486" s="37" t="s">
        <v>26038</v>
      </c>
      <c r="C2486" s="7" t="s">
        <v>27591</v>
      </c>
      <c r="D2486" s="37" t="s">
        <v>27592</v>
      </c>
    </row>
    <row r="2487">
      <c r="A2487" s="37" t="s">
        <v>27544</v>
      </c>
      <c r="B2487" s="37" t="s">
        <v>26038</v>
      </c>
      <c r="C2487" s="7" t="s">
        <v>5586</v>
      </c>
      <c r="D2487" s="37" t="s">
        <v>27593</v>
      </c>
    </row>
    <row r="2488">
      <c r="A2488" s="37" t="s">
        <v>27544</v>
      </c>
      <c r="B2488" s="37" t="s">
        <v>26038</v>
      </c>
      <c r="C2488" s="7" t="s">
        <v>11200</v>
      </c>
      <c r="D2488" s="37" t="s">
        <v>27594</v>
      </c>
    </row>
    <row r="2489">
      <c r="A2489" s="37" t="s">
        <v>395</v>
      </c>
      <c r="B2489" s="37" t="s">
        <v>391</v>
      </c>
      <c r="C2489" s="7" t="s">
        <v>27595</v>
      </c>
      <c r="D2489" s="37" t="s">
        <v>27596</v>
      </c>
    </row>
    <row r="2490">
      <c r="A2490" s="37" t="s">
        <v>1137</v>
      </c>
      <c r="B2490" s="37" t="s">
        <v>1096</v>
      </c>
      <c r="C2490" s="7" t="s">
        <v>27597</v>
      </c>
      <c r="D2490" s="37" t="s">
        <v>27598</v>
      </c>
    </row>
    <row r="2491">
      <c r="A2491" s="37" t="s">
        <v>1279</v>
      </c>
      <c r="B2491" s="37" t="s">
        <v>1273</v>
      </c>
      <c r="C2491" s="7" t="s">
        <v>27599</v>
      </c>
      <c r="D2491" s="37" t="s">
        <v>27600</v>
      </c>
    </row>
    <row r="2492">
      <c r="A2492" s="37" t="s">
        <v>443</v>
      </c>
      <c r="B2492" s="37" t="s">
        <v>440</v>
      </c>
      <c r="C2492" s="7" t="s">
        <v>11209</v>
      </c>
      <c r="D2492" s="37" t="s">
        <v>27601</v>
      </c>
    </row>
    <row r="2493">
      <c r="A2493" s="37" t="s">
        <v>1182</v>
      </c>
      <c r="B2493" s="37" t="s">
        <v>854</v>
      </c>
      <c r="C2493" s="7" t="s">
        <v>27602</v>
      </c>
      <c r="D2493" s="37" t="s">
        <v>27603</v>
      </c>
    </row>
    <row r="2494">
      <c r="A2494" s="37" t="s">
        <v>27604</v>
      </c>
      <c r="B2494" s="37" t="s">
        <v>24608</v>
      </c>
      <c r="C2494" s="7" t="s">
        <v>27605</v>
      </c>
      <c r="D2494" s="37" t="s">
        <v>27606</v>
      </c>
    </row>
    <row r="2495">
      <c r="A2495" s="37" t="s">
        <v>23</v>
      </c>
      <c r="B2495" s="37" t="s">
        <v>27250</v>
      </c>
      <c r="C2495" s="7" t="s">
        <v>27607</v>
      </c>
      <c r="D2495" s="37" t="s">
        <v>27608</v>
      </c>
    </row>
    <row r="2496">
      <c r="A2496" s="37" t="s">
        <v>540</v>
      </c>
      <c r="B2496" s="37" t="s">
        <v>26160</v>
      </c>
      <c r="C2496" s="7" t="s">
        <v>27609</v>
      </c>
      <c r="D2496" s="37" t="s">
        <v>27610</v>
      </c>
    </row>
    <row r="2497">
      <c r="A2497" s="37" t="s">
        <v>546</v>
      </c>
      <c r="B2497" s="37" t="s">
        <v>26160</v>
      </c>
      <c r="C2497" s="7" t="s">
        <v>27611</v>
      </c>
      <c r="D2497" s="37" t="s">
        <v>27612</v>
      </c>
    </row>
    <row r="2498">
      <c r="A2498" s="37" t="s">
        <v>118</v>
      </c>
      <c r="B2498" s="37" t="s">
        <v>24752</v>
      </c>
      <c r="C2498" s="7" t="s">
        <v>27613</v>
      </c>
      <c r="D2498" s="37" t="s">
        <v>27614</v>
      </c>
    </row>
    <row r="2499">
      <c r="A2499" s="37" t="s">
        <v>1209</v>
      </c>
      <c r="B2499" s="37" t="s">
        <v>1208</v>
      </c>
      <c r="C2499" s="7" t="s">
        <v>11035</v>
      </c>
      <c r="D2499" s="37" t="s">
        <v>27615</v>
      </c>
    </row>
    <row r="2500">
      <c r="A2500" s="37" t="s">
        <v>48</v>
      </c>
      <c r="B2500" s="37" t="s">
        <v>1242</v>
      </c>
      <c r="C2500" s="7" t="s">
        <v>27616</v>
      </c>
      <c r="D2500" s="37" t="s">
        <v>27617</v>
      </c>
    </row>
    <row r="2501">
      <c r="A2501" s="37" t="s">
        <v>1182</v>
      </c>
      <c r="B2501" s="37" t="s">
        <v>854</v>
      </c>
      <c r="C2501" s="7" t="s">
        <v>27618</v>
      </c>
      <c r="D2501" s="37" t="s">
        <v>27619</v>
      </c>
    </row>
    <row r="2502">
      <c r="A2502" s="37" t="s">
        <v>1188</v>
      </c>
      <c r="B2502" s="37" t="s">
        <v>1208</v>
      </c>
      <c r="C2502" s="7" t="s">
        <v>27620</v>
      </c>
      <c r="D2502" s="37" t="s">
        <v>27621</v>
      </c>
    </row>
    <row r="2503">
      <c r="A2503" s="37" t="s">
        <v>1155</v>
      </c>
      <c r="B2503" s="37" t="s">
        <v>693</v>
      </c>
      <c r="C2503" s="7" t="s">
        <v>27622</v>
      </c>
      <c r="D2503" s="37" t="s">
        <v>27623</v>
      </c>
    </row>
    <row r="2504">
      <c r="A2504" s="37" t="s">
        <v>1155</v>
      </c>
      <c r="B2504" s="37" t="s">
        <v>693</v>
      </c>
      <c r="C2504" s="7" t="s">
        <v>27624</v>
      </c>
      <c r="D2504" s="37" t="s">
        <v>27625</v>
      </c>
    </row>
    <row r="2505">
      <c r="A2505" s="37" t="s">
        <v>1147</v>
      </c>
      <c r="B2505" s="37" t="s">
        <v>478</v>
      </c>
      <c r="C2505" s="7" t="s">
        <v>27626</v>
      </c>
      <c r="D2505" s="37" t="s">
        <v>27627</v>
      </c>
    </row>
    <row r="2506">
      <c r="A2506" s="37" t="s">
        <v>1147</v>
      </c>
      <c r="B2506" s="37" t="s">
        <v>478</v>
      </c>
      <c r="C2506" s="7" t="s">
        <v>27628</v>
      </c>
      <c r="D2506" s="37" t="s">
        <v>27629</v>
      </c>
    </row>
    <row r="2507">
      <c r="A2507" s="37" t="s">
        <v>1147</v>
      </c>
      <c r="B2507" s="37" t="s">
        <v>478</v>
      </c>
      <c r="C2507" s="7" t="s">
        <v>27630</v>
      </c>
      <c r="D2507" s="37" t="s">
        <v>27631</v>
      </c>
    </row>
    <row r="2508">
      <c r="A2508" s="37" t="s">
        <v>1147</v>
      </c>
      <c r="B2508" s="37" t="s">
        <v>478</v>
      </c>
      <c r="C2508" s="7" t="s">
        <v>27632</v>
      </c>
      <c r="D2508" s="37" t="s">
        <v>27633</v>
      </c>
    </row>
    <row r="2509">
      <c r="A2509" s="37" t="s">
        <v>1147</v>
      </c>
      <c r="B2509" s="37" t="s">
        <v>478</v>
      </c>
      <c r="C2509" s="7" t="s">
        <v>27634</v>
      </c>
      <c r="D2509" s="37" t="s">
        <v>27635</v>
      </c>
    </row>
    <row r="2510">
      <c r="A2510" s="37" t="s">
        <v>802</v>
      </c>
      <c r="B2510" s="37" t="s">
        <v>298</v>
      </c>
      <c r="C2510" s="7" t="s">
        <v>27636</v>
      </c>
      <c r="D2510" s="37" t="s">
        <v>27637</v>
      </c>
    </row>
    <row r="2511">
      <c r="A2511" s="37" t="s">
        <v>27544</v>
      </c>
      <c r="B2511" s="37" t="s">
        <v>26038</v>
      </c>
      <c r="C2511" s="7" t="s">
        <v>27638</v>
      </c>
      <c r="D2511" s="37" t="s">
        <v>27639</v>
      </c>
    </row>
    <row r="2512">
      <c r="A2512" s="37" t="s">
        <v>540</v>
      </c>
      <c r="B2512" s="37" t="s">
        <v>26160</v>
      </c>
      <c r="C2512" s="7" t="s">
        <v>27640</v>
      </c>
      <c r="D2512" s="37" t="s">
        <v>27641</v>
      </c>
    </row>
    <row r="2513">
      <c r="A2513" s="37" t="s">
        <v>27544</v>
      </c>
      <c r="B2513" s="37" t="s">
        <v>26038</v>
      </c>
      <c r="C2513" s="7" t="s">
        <v>1824</v>
      </c>
      <c r="D2513" s="37" t="s">
        <v>27642</v>
      </c>
    </row>
    <row r="2514">
      <c r="A2514" s="37" t="s">
        <v>24751</v>
      </c>
      <c r="B2514" s="37" t="s">
        <v>24752</v>
      </c>
      <c r="C2514" s="7" t="s">
        <v>27643</v>
      </c>
      <c r="D2514" s="37" t="s">
        <v>27644</v>
      </c>
    </row>
    <row r="2515">
      <c r="A2515" s="37" t="s">
        <v>1361</v>
      </c>
      <c r="B2515" s="37" t="s">
        <v>1096</v>
      </c>
      <c r="C2515" s="7" t="s">
        <v>27645</v>
      </c>
      <c r="D2515" s="37" t="s">
        <v>27646</v>
      </c>
    </row>
    <row r="2516">
      <c r="A2516" s="37" t="s">
        <v>1361</v>
      </c>
      <c r="B2516" s="37" t="s">
        <v>1096</v>
      </c>
      <c r="C2516" s="7" t="s">
        <v>23628</v>
      </c>
      <c r="D2516" s="37" t="s">
        <v>27647</v>
      </c>
    </row>
    <row r="2517">
      <c r="A2517" s="37" t="s">
        <v>1146</v>
      </c>
      <c r="B2517" s="37" t="s">
        <v>478</v>
      </c>
      <c r="C2517" s="7" t="s">
        <v>24149</v>
      </c>
      <c r="D2517" s="37" t="s">
        <v>27648</v>
      </c>
    </row>
    <row r="2518">
      <c r="A2518" s="37" t="s">
        <v>1146</v>
      </c>
      <c r="B2518" s="37" t="s">
        <v>478</v>
      </c>
      <c r="C2518" s="37" t="s">
        <v>27649</v>
      </c>
      <c r="D2518" s="37" t="s">
        <v>27650</v>
      </c>
    </row>
    <row r="2519">
      <c r="A2519" s="37" t="s">
        <v>1146</v>
      </c>
      <c r="B2519" s="37" t="s">
        <v>478</v>
      </c>
      <c r="C2519" s="7" t="s">
        <v>27651</v>
      </c>
      <c r="D2519" s="37" t="s">
        <v>27652</v>
      </c>
    </row>
    <row r="2520">
      <c r="A2520" s="37" t="s">
        <v>27305</v>
      </c>
      <c r="B2520" s="37" t="s">
        <v>27190</v>
      </c>
      <c r="C2520" s="7" t="s">
        <v>27653</v>
      </c>
      <c r="D2520" s="37" t="s">
        <v>27654</v>
      </c>
    </row>
    <row r="2521">
      <c r="A2521" s="37" t="s">
        <v>1363</v>
      </c>
      <c r="B2521" s="37" t="s">
        <v>1096</v>
      </c>
      <c r="C2521" s="7" t="s">
        <v>7810</v>
      </c>
      <c r="D2521" s="37" t="s">
        <v>27655</v>
      </c>
    </row>
    <row r="2522">
      <c r="A2522" s="37" t="s">
        <v>286</v>
      </c>
      <c r="B2522" s="37" t="s">
        <v>363</v>
      </c>
      <c r="C2522" s="7" t="s">
        <v>27656</v>
      </c>
      <c r="D2522" s="37" t="s">
        <v>27657</v>
      </c>
    </row>
    <row r="2523">
      <c r="A2523" s="37" t="s">
        <v>286</v>
      </c>
      <c r="B2523" s="37" t="s">
        <v>363</v>
      </c>
      <c r="C2523" s="7" t="s">
        <v>27658</v>
      </c>
      <c r="D2523" s="37" t="s">
        <v>27659</v>
      </c>
    </row>
    <row r="2524">
      <c r="A2524" s="37" t="s">
        <v>1246</v>
      </c>
      <c r="B2524" s="37" t="s">
        <v>1242</v>
      </c>
      <c r="C2524" s="7" t="s">
        <v>27660</v>
      </c>
      <c r="D2524" s="37" t="s">
        <v>27661</v>
      </c>
    </row>
    <row r="2525">
      <c r="A2525" s="37" t="s">
        <v>286</v>
      </c>
      <c r="B2525" s="37" t="s">
        <v>363</v>
      </c>
      <c r="C2525" s="7" t="s">
        <v>27662</v>
      </c>
      <c r="D2525" s="37" t="s">
        <v>27663</v>
      </c>
    </row>
    <row r="2526">
      <c r="A2526" s="37" t="s">
        <v>1245</v>
      </c>
      <c r="B2526" s="37" t="s">
        <v>1242</v>
      </c>
      <c r="C2526" s="7" t="s">
        <v>27664</v>
      </c>
      <c r="D2526" s="37" t="s">
        <v>27665</v>
      </c>
    </row>
    <row r="2527">
      <c r="A2527" s="37" t="s">
        <v>9</v>
      </c>
      <c r="B2527" s="37" t="s">
        <v>3</v>
      </c>
      <c r="C2527" s="7" t="s">
        <v>27666</v>
      </c>
      <c r="D2527" s="37" t="s">
        <v>27667</v>
      </c>
    </row>
    <row r="2528">
      <c r="A2528" s="37" t="s">
        <v>9</v>
      </c>
      <c r="B2528" s="37" t="s">
        <v>3</v>
      </c>
      <c r="C2528" s="7" t="s">
        <v>27668</v>
      </c>
      <c r="D2528" s="37" t="s">
        <v>27669</v>
      </c>
    </row>
    <row r="2529">
      <c r="A2529" s="37" t="s">
        <v>9</v>
      </c>
      <c r="B2529" s="37" t="s">
        <v>3</v>
      </c>
      <c r="C2529" s="7" t="s">
        <v>27670</v>
      </c>
      <c r="D2529" s="37" t="s">
        <v>27671</v>
      </c>
    </row>
    <row r="2530">
      <c r="A2530" s="37" t="s">
        <v>1147</v>
      </c>
      <c r="B2530" s="37" t="s">
        <v>478</v>
      </c>
      <c r="C2530" s="7" t="s">
        <v>27672</v>
      </c>
      <c r="D2530" s="37" t="s">
        <v>27673</v>
      </c>
    </row>
    <row r="2531">
      <c r="A2531" s="37" t="s">
        <v>1243</v>
      </c>
      <c r="B2531" s="37" t="s">
        <v>1495</v>
      </c>
      <c r="C2531" s="7" t="s">
        <v>27674</v>
      </c>
      <c r="D2531" s="37" t="s">
        <v>27675</v>
      </c>
    </row>
    <row r="2532">
      <c r="A2532" s="37" t="s">
        <v>304</v>
      </c>
      <c r="B2532" s="37" t="s">
        <v>298</v>
      </c>
      <c r="C2532" s="7" t="s">
        <v>27676</v>
      </c>
      <c r="D2532" s="37" t="s">
        <v>27677</v>
      </c>
    </row>
    <row r="2533">
      <c r="A2533" s="37" t="s">
        <v>27678</v>
      </c>
      <c r="B2533" s="37" t="s">
        <v>27284</v>
      </c>
      <c r="C2533" s="7" t="s">
        <v>27679</v>
      </c>
      <c r="D2533" s="37" t="s">
        <v>27680</v>
      </c>
    </row>
    <row r="2534">
      <c r="A2534" s="37" t="s">
        <v>1495</v>
      </c>
      <c r="B2534" s="37" t="s">
        <v>1495</v>
      </c>
      <c r="C2534" s="7" t="s">
        <v>27681</v>
      </c>
      <c r="D2534" s="37" t="s">
        <v>27682</v>
      </c>
    </row>
    <row r="2535">
      <c r="A2535" s="37" t="s">
        <v>1147</v>
      </c>
      <c r="B2535" s="37" t="s">
        <v>478</v>
      </c>
      <c r="C2535" s="7" t="s">
        <v>12543</v>
      </c>
      <c r="D2535" s="37" t="s">
        <v>27683</v>
      </c>
    </row>
    <row r="2536">
      <c r="A2536" s="37" t="s">
        <v>1147</v>
      </c>
      <c r="B2536" s="37" t="s">
        <v>478</v>
      </c>
      <c r="C2536" s="7" t="s">
        <v>11846</v>
      </c>
      <c r="D2536" s="37" t="s">
        <v>27684</v>
      </c>
    </row>
    <row r="2537">
      <c r="A2537" s="37" t="s">
        <v>1147</v>
      </c>
      <c r="B2537" s="37" t="s">
        <v>478</v>
      </c>
      <c r="C2537" s="7" t="s">
        <v>3567</v>
      </c>
      <c r="D2537" s="37" t="s">
        <v>27685</v>
      </c>
    </row>
    <row r="2538">
      <c r="A2538" s="37" t="s">
        <v>1246</v>
      </c>
      <c r="B2538" s="37" t="s">
        <v>38</v>
      </c>
      <c r="C2538" s="37" t="s">
        <v>27686</v>
      </c>
      <c r="D2538" s="37" t="s">
        <v>27687</v>
      </c>
    </row>
    <row r="2539">
      <c r="A2539" s="37" t="s">
        <v>1278</v>
      </c>
      <c r="B2539" s="37" t="s">
        <v>24942</v>
      </c>
      <c r="C2539" s="7" t="s">
        <v>27688</v>
      </c>
      <c r="D2539" s="37" t="s">
        <v>27689</v>
      </c>
    </row>
    <row r="2540">
      <c r="A2540" s="37" t="s">
        <v>1495</v>
      </c>
      <c r="B2540" s="37" t="s">
        <v>1495</v>
      </c>
      <c r="C2540" s="7" t="s">
        <v>27690</v>
      </c>
      <c r="D2540" s="37" t="s">
        <v>27691</v>
      </c>
    </row>
    <row r="2541">
      <c r="A2541" s="37" t="s">
        <v>9</v>
      </c>
      <c r="B2541" s="37" t="s">
        <v>3</v>
      </c>
      <c r="C2541" s="7" t="s">
        <v>27692</v>
      </c>
      <c r="D2541" s="37" t="s">
        <v>27693</v>
      </c>
    </row>
    <row r="2542">
      <c r="A2542" s="37" t="s">
        <v>9</v>
      </c>
      <c r="B2542" s="37" t="s">
        <v>3</v>
      </c>
      <c r="C2542" s="7" t="s">
        <v>27694</v>
      </c>
      <c r="D2542" s="37" t="s">
        <v>27695</v>
      </c>
    </row>
    <row r="2543">
      <c r="A2543" s="37" t="s">
        <v>1147</v>
      </c>
      <c r="B2543" s="37" t="s">
        <v>478</v>
      </c>
      <c r="C2543" s="7" t="s">
        <v>5858</v>
      </c>
      <c r="D2543" s="37" t="s">
        <v>27696</v>
      </c>
    </row>
    <row r="2544">
      <c r="A2544" s="37" t="s">
        <v>1495</v>
      </c>
      <c r="B2544" s="37" t="s">
        <v>1495</v>
      </c>
      <c r="C2544" s="7" t="s">
        <v>27697</v>
      </c>
      <c r="D2544" s="37" t="s">
        <v>27698</v>
      </c>
    </row>
    <row r="2545">
      <c r="A2545" s="37" t="s">
        <v>1495</v>
      </c>
      <c r="B2545" s="37" t="s">
        <v>1495</v>
      </c>
      <c r="C2545" s="7" t="s">
        <v>27699</v>
      </c>
      <c r="D2545" s="37" t="s">
        <v>27700</v>
      </c>
    </row>
    <row r="2546">
      <c r="A2546" s="37" t="s">
        <v>1363</v>
      </c>
      <c r="B2546" s="37" t="s">
        <v>1096</v>
      </c>
      <c r="C2546" s="7" t="s">
        <v>27701</v>
      </c>
      <c r="D2546" s="37" t="s">
        <v>27702</v>
      </c>
    </row>
    <row r="2547">
      <c r="A2547" s="37" t="s">
        <v>484</v>
      </c>
      <c r="B2547" s="37" t="s">
        <v>478</v>
      </c>
      <c r="C2547" s="7" t="s">
        <v>27703</v>
      </c>
      <c r="D2547" s="37" t="s">
        <v>27704</v>
      </c>
    </row>
    <row r="2548">
      <c r="A2548" s="37" t="s">
        <v>1361</v>
      </c>
      <c r="B2548" s="37" t="s">
        <v>1096</v>
      </c>
      <c r="C2548" s="7" t="s">
        <v>27705</v>
      </c>
      <c r="D2548" s="37" t="s">
        <v>27706</v>
      </c>
    </row>
    <row r="2549">
      <c r="A2549" s="37" t="s">
        <v>51</v>
      </c>
      <c r="B2549" s="37" t="s">
        <v>1242</v>
      </c>
      <c r="C2549" s="7" t="s">
        <v>27707</v>
      </c>
      <c r="D2549" s="37" t="s">
        <v>27708</v>
      </c>
    </row>
    <row r="2550">
      <c r="A2550" s="37" t="s">
        <v>1362</v>
      </c>
      <c r="B2550" s="37" t="s">
        <v>1096</v>
      </c>
      <c r="C2550" s="7" t="s">
        <v>27709</v>
      </c>
      <c r="D2550" s="37" t="s">
        <v>27710</v>
      </c>
    </row>
    <row r="2551">
      <c r="A2551" s="37" t="s">
        <v>1362</v>
      </c>
      <c r="B2551" s="37" t="s">
        <v>1096</v>
      </c>
      <c r="C2551" s="7" t="s">
        <v>7423</v>
      </c>
      <c r="D2551" s="37" t="s">
        <v>27711</v>
      </c>
    </row>
    <row r="2552">
      <c r="A2552" s="37" t="s">
        <v>188</v>
      </c>
      <c r="B2552" s="37" t="s">
        <v>440</v>
      </c>
      <c r="C2552" s="7" t="s">
        <v>3762</v>
      </c>
      <c r="D2552" s="37" t="s">
        <v>27712</v>
      </c>
    </row>
    <row r="2553">
      <c r="A2553" s="37" t="s">
        <v>1189</v>
      </c>
      <c r="B2553" s="37" t="s">
        <v>1273</v>
      </c>
      <c r="C2553" s="7" t="s">
        <v>27713</v>
      </c>
      <c r="D2553" s="37" t="s">
        <v>27714</v>
      </c>
    </row>
    <row r="2554">
      <c r="A2554" s="37" t="s">
        <v>1274</v>
      </c>
      <c r="B2554" s="37" t="s">
        <v>1273</v>
      </c>
      <c r="C2554" s="7" t="s">
        <v>27715</v>
      </c>
      <c r="D2554" s="37" t="s">
        <v>27716</v>
      </c>
    </row>
    <row r="2555">
      <c r="A2555" s="37" t="s">
        <v>1602</v>
      </c>
      <c r="B2555" s="37" t="s">
        <v>24942</v>
      </c>
      <c r="C2555" s="7" t="s">
        <v>27717</v>
      </c>
      <c r="D2555" s="37" t="s">
        <v>27718</v>
      </c>
    </row>
    <row r="2556">
      <c r="A2556" s="37" t="s">
        <v>27544</v>
      </c>
      <c r="B2556" s="37" t="s">
        <v>26038</v>
      </c>
      <c r="C2556" s="7" t="s">
        <v>27719</v>
      </c>
      <c r="D2556" s="37" t="s">
        <v>27720</v>
      </c>
    </row>
    <row r="2557">
      <c r="A2557" s="37" t="s">
        <v>27544</v>
      </c>
      <c r="B2557" s="37" t="s">
        <v>26038</v>
      </c>
      <c r="C2557" s="7" t="s">
        <v>27721</v>
      </c>
      <c r="D2557" s="37" t="s">
        <v>27722</v>
      </c>
    </row>
    <row r="2558">
      <c r="A2558" s="37" t="s">
        <v>27544</v>
      </c>
      <c r="B2558" s="37" t="s">
        <v>26038</v>
      </c>
      <c r="C2558" s="7" t="s">
        <v>27723</v>
      </c>
      <c r="D2558" s="37" t="s">
        <v>27724</v>
      </c>
    </row>
    <row r="2559">
      <c r="A2559" s="37" t="s">
        <v>1495</v>
      </c>
      <c r="B2559" s="37" t="s">
        <v>1495</v>
      </c>
      <c r="C2559" s="7" t="s">
        <v>27084</v>
      </c>
      <c r="D2559" s="37" t="s">
        <v>27725</v>
      </c>
    </row>
    <row r="2560">
      <c r="A2560" s="37" t="s">
        <v>1162</v>
      </c>
      <c r="B2560" s="37" t="s">
        <v>1054</v>
      </c>
      <c r="C2560" s="7" t="s">
        <v>26195</v>
      </c>
      <c r="D2560" s="37" t="s">
        <v>27726</v>
      </c>
    </row>
    <row r="2561">
      <c r="A2561" s="37" t="s">
        <v>304</v>
      </c>
      <c r="B2561" s="37" t="s">
        <v>298</v>
      </c>
      <c r="C2561" s="7" t="s">
        <v>27727</v>
      </c>
      <c r="D2561" s="37" t="s">
        <v>27728</v>
      </c>
    </row>
    <row r="2562">
      <c r="A2562" s="37" t="s">
        <v>304</v>
      </c>
      <c r="B2562" s="37" t="s">
        <v>298</v>
      </c>
      <c r="C2562" s="7" t="s">
        <v>27729</v>
      </c>
      <c r="D2562" s="37" t="s">
        <v>27730</v>
      </c>
    </row>
    <row r="2563">
      <c r="A2563" s="37" t="s">
        <v>540</v>
      </c>
      <c r="B2563" s="37" t="s">
        <v>26160</v>
      </c>
      <c r="C2563" s="7" t="s">
        <v>27731</v>
      </c>
      <c r="D2563" s="37" t="s">
        <v>27732</v>
      </c>
    </row>
    <row r="2564">
      <c r="A2564" s="37" t="s">
        <v>27733</v>
      </c>
      <c r="B2564" s="37" t="s">
        <v>27734</v>
      </c>
      <c r="C2564" s="7" t="s">
        <v>27735</v>
      </c>
      <c r="D2564" s="37" t="s">
        <v>27736</v>
      </c>
    </row>
    <row r="2565">
      <c r="A2565" s="37" t="s">
        <v>1155</v>
      </c>
      <c r="B2565" s="37" t="s">
        <v>693</v>
      </c>
      <c r="C2565" s="7" t="s">
        <v>27737</v>
      </c>
      <c r="D2565" s="37" t="s">
        <v>27738</v>
      </c>
    </row>
    <row r="2566">
      <c r="A2566" s="37" t="s">
        <v>484</v>
      </c>
      <c r="B2566" s="37" t="s">
        <v>478</v>
      </c>
      <c r="C2566" s="7" t="s">
        <v>27739</v>
      </c>
      <c r="D2566" s="37" t="s">
        <v>27740</v>
      </c>
    </row>
    <row r="2567">
      <c r="A2567" s="37" t="s">
        <v>74</v>
      </c>
      <c r="B2567" s="37" t="s">
        <v>1208</v>
      </c>
      <c r="C2567" s="7" t="s">
        <v>27741</v>
      </c>
      <c r="D2567" s="37" t="s">
        <v>27742</v>
      </c>
    </row>
    <row r="2568">
      <c r="A2568" s="37" t="s">
        <v>890</v>
      </c>
      <c r="B2568" s="37" t="s">
        <v>391</v>
      </c>
      <c r="C2568" s="37" t="s">
        <v>27743</v>
      </c>
      <c r="D2568" s="37" t="s">
        <v>27744</v>
      </c>
    </row>
    <row r="2569">
      <c r="A2569" s="37" t="s">
        <v>27544</v>
      </c>
      <c r="B2569" s="37" t="s">
        <v>26038</v>
      </c>
      <c r="C2569" s="7" t="s">
        <v>27745</v>
      </c>
      <c r="D2569" s="37" t="s">
        <v>27746</v>
      </c>
    </row>
    <row r="2570">
      <c r="A2570" s="37" t="s">
        <v>1246</v>
      </c>
      <c r="B2570" s="37" t="s">
        <v>38</v>
      </c>
      <c r="C2570" s="7" t="s">
        <v>27747</v>
      </c>
      <c r="D2570" s="37" t="s">
        <v>27748</v>
      </c>
    </row>
    <row r="2571">
      <c r="A2571" s="37" t="s">
        <v>1155</v>
      </c>
      <c r="B2571" s="37" t="s">
        <v>693</v>
      </c>
      <c r="C2571" s="37" t="s">
        <v>27749</v>
      </c>
      <c r="D2571" s="37" t="s">
        <v>27750</v>
      </c>
    </row>
    <row r="2572">
      <c r="A2572" s="37" t="s">
        <v>1279</v>
      </c>
      <c r="B2572" s="37" t="s">
        <v>1273</v>
      </c>
      <c r="C2572" s="7" t="s">
        <v>27751</v>
      </c>
      <c r="D2572" s="37" t="s">
        <v>27752</v>
      </c>
    </row>
    <row r="2573">
      <c r="A2573" s="37" t="s">
        <v>1278</v>
      </c>
      <c r="B2573" s="37" t="s">
        <v>1054</v>
      </c>
      <c r="C2573" s="37" t="s">
        <v>27753</v>
      </c>
      <c r="D2573" s="37" t="s">
        <v>27754</v>
      </c>
    </row>
    <row r="2574">
      <c r="A2574" s="37" t="s">
        <v>443</v>
      </c>
      <c r="B2574" s="37" t="s">
        <v>440</v>
      </c>
      <c r="C2574" s="7" t="s">
        <v>27755</v>
      </c>
      <c r="D2574" s="37" t="s">
        <v>27756</v>
      </c>
    </row>
    <row r="2575">
      <c r="A2575" s="37" t="s">
        <v>286</v>
      </c>
      <c r="B2575" s="37" t="s">
        <v>854</v>
      </c>
      <c r="C2575" s="37" t="s">
        <v>27757</v>
      </c>
      <c r="D2575" s="37" t="s">
        <v>27758</v>
      </c>
    </row>
    <row r="2576">
      <c r="A2576" s="37" t="s">
        <v>4</v>
      </c>
      <c r="B2576" s="37" t="s">
        <v>3</v>
      </c>
      <c r="C2576" s="7" t="s">
        <v>27759</v>
      </c>
      <c r="D2576" s="37" t="s">
        <v>27760</v>
      </c>
    </row>
    <row r="2577">
      <c r="A2577" s="37" t="s">
        <v>1188</v>
      </c>
      <c r="B2577" s="37" t="s">
        <v>1208</v>
      </c>
      <c r="C2577" s="7" t="s">
        <v>27761</v>
      </c>
      <c r="D2577" s="37" t="s">
        <v>27762</v>
      </c>
    </row>
    <row r="2578">
      <c r="A2578" s="37" t="s">
        <v>27544</v>
      </c>
      <c r="B2578" s="37" t="s">
        <v>26038</v>
      </c>
      <c r="C2578" s="7" t="s">
        <v>27763</v>
      </c>
      <c r="D2578" s="37" t="s">
        <v>27764</v>
      </c>
    </row>
    <row r="2579">
      <c r="A2579" s="37" t="s">
        <v>1495</v>
      </c>
      <c r="B2579" s="37" t="s">
        <v>391</v>
      </c>
      <c r="C2579" s="7" t="s">
        <v>27765</v>
      </c>
      <c r="D2579" s="37" t="s">
        <v>27766</v>
      </c>
    </row>
    <row r="2580">
      <c r="A2580" s="37" t="s">
        <v>1495</v>
      </c>
      <c r="B2580" s="37" t="s">
        <v>391</v>
      </c>
      <c r="C2580" s="7" t="s">
        <v>27767</v>
      </c>
      <c r="D2580" s="37" t="s">
        <v>27768</v>
      </c>
    </row>
    <row r="2581">
      <c r="A2581" s="37" t="s">
        <v>25156</v>
      </c>
      <c r="B2581" s="37" t="s">
        <v>24608</v>
      </c>
      <c r="C2581" s="7" t="s">
        <v>27769</v>
      </c>
      <c r="D2581" s="37" t="s">
        <v>27770</v>
      </c>
    </row>
    <row r="2582">
      <c r="A2582" s="37" t="s">
        <v>74</v>
      </c>
      <c r="B2582" s="37" t="s">
        <v>1208</v>
      </c>
      <c r="C2582" s="7" t="s">
        <v>27771</v>
      </c>
      <c r="D2582" s="37" t="s">
        <v>27772</v>
      </c>
    </row>
    <row r="2583">
      <c r="A2583" s="37" t="s">
        <v>27283</v>
      </c>
      <c r="B2583" s="37" t="s">
        <v>27773</v>
      </c>
      <c r="C2583" s="7" t="s">
        <v>27774</v>
      </c>
      <c r="D2583" s="37" t="s">
        <v>27775</v>
      </c>
    </row>
    <row r="2584">
      <c r="A2584" s="37" t="s">
        <v>1305</v>
      </c>
      <c r="B2584" s="37" t="s">
        <v>1054</v>
      </c>
      <c r="C2584" s="7" t="s">
        <v>27776</v>
      </c>
      <c r="D2584" s="37" t="s">
        <v>27777</v>
      </c>
    </row>
    <row r="2585">
      <c r="A2585" s="37" t="s">
        <v>1301</v>
      </c>
      <c r="B2585" s="37" t="s">
        <v>1054</v>
      </c>
      <c r="C2585" s="7" t="s">
        <v>27778</v>
      </c>
      <c r="D2585" s="37" t="s">
        <v>27779</v>
      </c>
    </row>
    <row r="2586">
      <c r="A2586" s="37" t="s">
        <v>1363</v>
      </c>
      <c r="B2586" s="37" t="s">
        <v>1096</v>
      </c>
      <c r="C2586" s="7" t="s">
        <v>27780</v>
      </c>
      <c r="D2586" s="37" t="s">
        <v>27781</v>
      </c>
    </row>
    <row r="2587">
      <c r="A2587" s="37" t="s">
        <v>1137</v>
      </c>
      <c r="B2587" s="37" t="s">
        <v>1096</v>
      </c>
      <c r="C2587" s="7" t="s">
        <v>27782</v>
      </c>
      <c r="D2587" s="37" t="s">
        <v>27783</v>
      </c>
    </row>
    <row r="2588">
      <c r="A2588" s="37" t="s">
        <v>27784</v>
      </c>
      <c r="B2588" s="37" t="s">
        <v>693</v>
      </c>
      <c r="C2588" s="7" t="s">
        <v>27785</v>
      </c>
      <c r="D2588" s="37" t="s">
        <v>27786</v>
      </c>
    </row>
    <row r="2589">
      <c r="A2589" s="37" t="s">
        <v>1246</v>
      </c>
      <c r="B2589" s="37" t="s">
        <v>1242</v>
      </c>
      <c r="C2589" s="7" t="s">
        <v>27787</v>
      </c>
      <c r="D2589" s="37" t="s">
        <v>27788</v>
      </c>
    </row>
    <row r="2590">
      <c r="A2590" s="37" t="s">
        <v>27678</v>
      </c>
      <c r="B2590" s="37" t="s">
        <v>27284</v>
      </c>
      <c r="C2590" s="7" t="s">
        <v>27789</v>
      </c>
      <c r="D2590" s="37" t="s">
        <v>27790</v>
      </c>
    </row>
    <row r="2591">
      <c r="A2591" s="37" t="s">
        <v>51</v>
      </c>
      <c r="B2591" s="37" t="s">
        <v>1242</v>
      </c>
      <c r="C2591" s="7" t="s">
        <v>27791</v>
      </c>
      <c r="D2591" s="37" t="s">
        <v>27792</v>
      </c>
    </row>
    <row r="2592">
      <c r="A2592" s="37" t="s">
        <v>27793</v>
      </c>
      <c r="B2592" s="37" t="s">
        <v>27544</v>
      </c>
      <c r="C2592" s="7" t="s">
        <v>27794</v>
      </c>
      <c r="D2592" s="37" t="s">
        <v>27795</v>
      </c>
    </row>
    <row r="2593">
      <c r="A2593" s="37" t="s">
        <v>1243</v>
      </c>
      <c r="B2593" s="37" t="s">
        <v>1242</v>
      </c>
      <c r="C2593" s="7" t="s">
        <v>27796</v>
      </c>
      <c r="D2593" s="37" t="s">
        <v>27797</v>
      </c>
    </row>
    <row r="2594">
      <c r="A2594" s="37" t="s">
        <v>1148</v>
      </c>
      <c r="B2594" s="37" t="s">
        <v>27798</v>
      </c>
      <c r="C2594" s="7" t="s">
        <v>27799</v>
      </c>
      <c r="D2594" s="37" t="s">
        <v>27800</v>
      </c>
    </row>
    <row r="2595">
      <c r="A2595" s="37" t="s">
        <v>1146</v>
      </c>
      <c r="B2595" s="37" t="s">
        <v>478</v>
      </c>
      <c r="C2595" s="7" t="s">
        <v>27801</v>
      </c>
      <c r="D2595" s="37" t="s">
        <v>27802</v>
      </c>
    </row>
    <row r="2596">
      <c r="A2596" s="37" t="s">
        <v>27803</v>
      </c>
      <c r="B2596" s="37" t="s">
        <v>1285</v>
      </c>
      <c r="C2596" s="7" t="s">
        <v>27804</v>
      </c>
      <c r="D2596" s="37" t="s">
        <v>27805</v>
      </c>
    </row>
    <row r="2597">
      <c r="A2597" s="37" t="s">
        <v>74</v>
      </c>
      <c r="B2597" s="37" t="s">
        <v>1208</v>
      </c>
      <c r="C2597" s="7" t="s">
        <v>27806</v>
      </c>
      <c r="D2597" s="37" t="s">
        <v>27807</v>
      </c>
    </row>
    <row r="2598">
      <c r="A2598" s="37" t="s">
        <v>1182</v>
      </c>
      <c r="B2598" s="37" t="s">
        <v>854</v>
      </c>
      <c r="C2598" s="7" t="s">
        <v>27808</v>
      </c>
      <c r="D2598" s="37" t="s">
        <v>27809</v>
      </c>
    </row>
    <row r="2599">
      <c r="A2599" s="37" t="s">
        <v>1246</v>
      </c>
      <c r="B2599" s="37" t="s">
        <v>1242</v>
      </c>
      <c r="C2599" s="7" t="s">
        <v>27810</v>
      </c>
      <c r="D2599" s="37" t="s">
        <v>27811</v>
      </c>
    </row>
    <row r="2600">
      <c r="A2600" s="37" t="s">
        <v>1147</v>
      </c>
      <c r="B2600" s="37" t="s">
        <v>478</v>
      </c>
      <c r="C2600" s="7" t="s">
        <v>5858</v>
      </c>
      <c r="D2600" s="37" t="s">
        <v>27812</v>
      </c>
    </row>
    <row r="2601">
      <c r="A2601" s="37" t="s">
        <v>1147</v>
      </c>
      <c r="B2601" s="37" t="s">
        <v>478</v>
      </c>
      <c r="C2601" s="7" t="s">
        <v>27813</v>
      </c>
      <c r="D2601" s="37" t="s">
        <v>27814</v>
      </c>
    </row>
    <row r="2602">
      <c r="A2602" s="37" t="s">
        <v>1226</v>
      </c>
      <c r="B2602" s="37" t="s">
        <v>854</v>
      </c>
      <c r="C2602" s="7" t="s">
        <v>27815</v>
      </c>
      <c r="D2602" s="37" t="s">
        <v>27816</v>
      </c>
    </row>
    <row r="2603">
      <c r="A2603" s="37" t="s">
        <v>1262</v>
      </c>
      <c r="B2603" s="37" t="s">
        <v>26245</v>
      </c>
      <c r="C2603" s="7" t="s">
        <v>27817</v>
      </c>
      <c r="D2603" s="37" t="s">
        <v>27818</v>
      </c>
    </row>
    <row r="2604">
      <c r="A2604" s="37" t="s">
        <v>1137</v>
      </c>
      <c r="B2604" s="37" t="s">
        <v>1096</v>
      </c>
      <c r="C2604" s="7" t="s">
        <v>27819</v>
      </c>
      <c r="D2604" s="37" t="s">
        <v>27820</v>
      </c>
    </row>
    <row r="2605">
      <c r="A2605" s="37" t="s">
        <v>1305</v>
      </c>
      <c r="B2605" s="37" t="s">
        <v>1054</v>
      </c>
      <c r="C2605" s="7" t="s">
        <v>1619</v>
      </c>
      <c r="D2605" s="37" t="s">
        <v>27821</v>
      </c>
    </row>
    <row r="2606">
      <c r="A2606" s="37" t="s">
        <v>484</v>
      </c>
      <c r="B2606" s="37" t="s">
        <v>478</v>
      </c>
      <c r="C2606" s="7" t="s">
        <v>27822</v>
      </c>
      <c r="D2606" s="37" t="s">
        <v>27823</v>
      </c>
    </row>
    <row r="2607">
      <c r="A2607" s="37" t="s">
        <v>1301</v>
      </c>
      <c r="B2607" s="37" t="s">
        <v>1054</v>
      </c>
      <c r="C2607" s="7" t="s">
        <v>27824</v>
      </c>
      <c r="D2607" s="37" t="s">
        <v>27825</v>
      </c>
    </row>
    <row r="2608">
      <c r="A2608" s="37" t="s">
        <v>1363</v>
      </c>
      <c r="B2608" s="37" t="s">
        <v>1096</v>
      </c>
      <c r="C2608" s="7" t="s">
        <v>27826</v>
      </c>
      <c r="D2608" s="37" t="s">
        <v>27827</v>
      </c>
    </row>
    <row r="2609">
      <c r="A2609" s="37" t="s">
        <v>1363</v>
      </c>
      <c r="B2609" s="37" t="s">
        <v>1096</v>
      </c>
      <c r="C2609" s="7" t="s">
        <v>27828</v>
      </c>
      <c r="D2609" s="37" t="s">
        <v>27829</v>
      </c>
    </row>
    <row r="2610">
      <c r="A2610" s="37" t="s">
        <v>1245</v>
      </c>
      <c r="B2610" s="37" t="s">
        <v>1242</v>
      </c>
      <c r="C2610" s="37" t="s">
        <v>27830</v>
      </c>
      <c r="D2610" s="37" t="s">
        <v>27831</v>
      </c>
    </row>
    <row r="2611">
      <c r="A2611" s="37" t="s">
        <v>1278</v>
      </c>
      <c r="B2611" s="37" t="s">
        <v>24942</v>
      </c>
      <c r="C2611" s="7" t="s">
        <v>27832</v>
      </c>
      <c r="D2611" s="37" t="s">
        <v>27833</v>
      </c>
    </row>
    <row r="2612">
      <c r="A2612" s="37" t="s">
        <v>1358</v>
      </c>
      <c r="B2612" s="37" t="s">
        <v>1096</v>
      </c>
      <c r="C2612" s="7" t="s">
        <v>27834</v>
      </c>
      <c r="D2612" s="37" t="s">
        <v>27835</v>
      </c>
    </row>
    <row r="2613">
      <c r="A2613" s="37" t="s">
        <v>29</v>
      </c>
      <c r="B2613" s="37" t="s">
        <v>27250</v>
      </c>
      <c r="C2613" s="7" t="s">
        <v>27836</v>
      </c>
      <c r="D2613" s="37" t="s">
        <v>27837</v>
      </c>
    </row>
    <row r="2614">
      <c r="A2614" s="37" t="s">
        <v>1148</v>
      </c>
      <c r="B2614" s="37" t="s">
        <v>26245</v>
      </c>
      <c r="C2614" s="7" t="s">
        <v>27838</v>
      </c>
      <c r="D2614" s="37" t="s">
        <v>27839</v>
      </c>
    </row>
    <row r="2615">
      <c r="A2615" s="37" t="s">
        <v>1188</v>
      </c>
      <c r="B2615" s="37" t="s">
        <v>1208</v>
      </c>
      <c r="C2615" s="7" t="s">
        <v>27840</v>
      </c>
      <c r="D2615" s="37" t="s">
        <v>27841</v>
      </c>
    </row>
    <row r="2616">
      <c r="A2616" s="37" t="s">
        <v>26826</v>
      </c>
      <c r="B2616" s="37" t="s">
        <v>26038</v>
      </c>
      <c r="C2616" s="7" t="s">
        <v>27842</v>
      </c>
      <c r="D2616" s="37" t="s">
        <v>27843</v>
      </c>
    </row>
    <row r="2617">
      <c r="A2617" s="37" t="s">
        <v>1146</v>
      </c>
      <c r="B2617" s="37" t="s">
        <v>478</v>
      </c>
      <c r="C2617" s="37" t="s">
        <v>27844</v>
      </c>
      <c r="D2617" s="37" t="s">
        <v>27845</v>
      </c>
    </row>
    <row r="2618">
      <c r="A2618" s="37" t="s">
        <v>23444</v>
      </c>
      <c r="B2618" s="37" t="s">
        <v>24942</v>
      </c>
      <c r="C2618" s="7" t="s">
        <v>9832</v>
      </c>
      <c r="D2618" s="37" t="s">
        <v>27846</v>
      </c>
    </row>
    <row r="2619">
      <c r="A2619" s="37" t="s">
        <v>1362</v>
      </c>
      <c r="B2619" s="37" t="s">
        <v>1096</v>
      </c>
      <c r="C2619" s="7" t="s">
        <v>1579</v>
      </c>
      <c r="D2619" s="37" t="s">
        <v>27847</v>
      </c>
    </row>
    <row r="2620">
      <c r="A2620" s="37" t="s">
        <v>1246</v>
      </c>
      <c r="B2620" s="37" t="s">
        <v>555</v>
      </c>
      <c r="C2620" s="7" t="s">
        <v>27848</v>
      </c>
      <c r="D2620" s="37" t="s">
        <v>27849</v>
      </c>
    </row>
    <row r="2621">
      <c r="A2621" s="37" t="s">
        <v>1245</v>
      </c>
      <c r="B2621" s="37" t="s">
        <v>1242</v>
      </c>
      <c r="C2621" s="7" t="s">
        <v>27850</v>
      </c>
      <c r="D2621" s="37" t="s">
        <v>27851</v>
      </c>
    </row>
    <row r="2622">
      <c r="A2622" s="37" t="s">
        <v>1182</v>
      </c>
      <c r="B2622" s="37" t="s">
        <v>854</v>
      </c>
      <c r="C2622" s="7" t="s">
        <v>27852</v>
      </c>
      <c r="D2622" s="37" t="s">
        <v>27853</v>
      </c>
    </row>
    <row r="2623">
      <c r="A2623" s="37" t="s">
        <v>1155</v>
      </c>
      <c r="B2623" s="37" t="s">
        <v>693</v>
      </c>
      <c r="C2623" s="7" t="s">
        <v>27854</v>
      </c>
      <c r="D2623" s="37" t="s">
        <v>27855</v>
      </c>
    </row>
    <row r="2624">
      <c r="A2624" s="37" t="s">
        <v>27036</v>
      </c>
      <c r="B2624" s="37" t="s">
        <v>27250</v>
      </c>
      <c r="C2624" s="7" t="s">
        <v>27856</v>
      </c>
      <c r="D2624" s="37" t="s">
        <v>27857</v>
      </c>
    </row>
    <row r="2625">
      <c r="A2625" s="37" t="s">
        <v>29</v>
      </c>
      <c r="B2625" s="37" t="s">
        <v>27250</v>
      </c>
      <c r="C2625" s="7" t="s">
        <v>27858</v>
      </c>
      <c r="D2625" s="37" t="s">
        <v>27859</v>
      </c>
    </row>
    <row r="2626">
      <c r="A2626" s="37" t="s">
        <v>90</v>
      </c>
      <c r="B2626" s="37" t="s">
        <v>440</v>
      </c>
      <c r="C2626" s="7" t="s">
        <v>27860</v>
      </c>
      <c r="D2626" s="37" t="s">
        <v>27861</v>
      </c>
    </row>
    <row r="2627">
      <c r="A2627" s="37" t="s">
        <v>27544</v>
      </c>
      <c r="B2627" s="37" t="s">
        <v>26038</v>
      </c>
      <c r="C2627" s="7" t="s">
        <v>27862</v>
      </c>
      <c r="D2627" s="37" t="s">
        <v>27863</v>
      </c>
    </row>
    <row r="2628">
      <c r="A2628" s="37" t="s">
        <v>27544</v>
      </c>
      <c r="B2628" s="37" t="s">
        <v>26038</v>
      </c>
      <c r="C2628" s="7" t="s">
        <v>27864</v>
      </c>
      <c r="D2628" s="37" t="s">
        <v>27865</v>
      </c>
    </row>
    <row r="2629">
      <c r="A2629" s="37" t="s">
        <v>27544</v>
      </c>
      <c r="B2629" s="37" t="s">
        <v>26038</v>
      </c>
      <c r="C2629" s="7" t="s">
        <v>27866</v>
      </c>
      <c r="D2629" s="37" t="s">
        <v>27867</v>
      </c>
    </row>
    <row r="2630">
      <c r="A2630" s="37" t="s">
        <v>27544</v>
      </c>
      <c r="B2630" s="37" t="s">
        <v>26038</v>
      </c>
      <c r="C2630" s="7" t="s">
        <v>27868</v>
      </c>
      <c r="D2630" s="37" t="s">
        <v>27869</v>
      </c>
    </row>
    <row r="2631">
      <c r="A2631" s="37" t="s">
        <v>27544</v>
      </c>
      <c r="B2631" s="37" t="s">
        <v>26038</v>
      </c>
      <c r="C2631" s="7" t="s">
        <v>27870</v>
      </c>
      <c r="D2631" s="37" t="s">
        <v>27871</v>
      </c>
    </row>
    <row r="2632">
      <c r="A2632" s="37" t="s">
        <v>27544</v>
      </c>
      <c r="B2632" s="37" t="s">
        <v>26038</v>
      </c>
      <c r="C2632" s="7" t="s">
        <v>27872</v>
      </c>
      <c r="D2632" s="37" t="s">
        <v>27873</v>
      </c>
    </row>
    <row r="2633">
      <c r="A2633" s="37" t="s">
        <v>27544</v>
      </c>
      <c r="B2633" s="37" t="s">
        <v>26038</v>
      </c>
      <c r="C2633" s="7" t="s">
        <v>27874</v>
      </c>
      <c r="D2633" s="37" t="s">
        <v>27875</v>
      </c>
    </row>
    <row r="2634">
      <c r="A2634" s="37" t="s">
        <v>27544</v>
      </c>
      <c r="B2634" s="37" t="s">
        <v>26038</v>
      </c>
      <c r="C2634" s="7" t="s">
        <v>27876</v>
      </c>
      <c r="D2634" s="37" t="s">
        <v>27877</v>
      </c>
    </row>
    <row r="2635">
      <c r="A2635" s="37" t="s">
        <v>27544</v>
      </c>
      <c r="B2635" s="37" t="s">
        <v>26038</v>
      </c>
      <c r="C2635" s="7" t="s">
        <v>27878</v>
      </c>
      <c r="D2635" s="37" t="s">
        <v>27879</v>
      </c>
    </row>
    <row r="2636">
      <c r="A2636" s="37" t="s">
        <v>27544</v>
      </c>
      <c r="B2636" s="37" t="s">
        <v>26038</v>
      </c>
      <c r="C2636" s="7" t="s">
        <v>27880</v>
      </c>
      <c r="D2636" s="37" t="s">
        <v>27881</v>
      </c>
    </row>
    <row r="2637">
      <c r="A2637" s="37" t="s">
        <v>27544</v>
      </c>
      <c r="B2637" s="37" t="s">
        <v>26038</v>
      </c>
      <c r="C2637" s="7" t="s">
        <v>27882</v>
      </c>
      <c r="D2637" s="37" t="s">
        <v>27883</v>
      </c>
    </row>
    <row r="2638">
      <c r="A2638" s="37" t="s">
        <v>27544</v>
      </c>
      <c r="B2638" s="37" t="s">
        <v>26038</v>
      </c>
      <c r="C2638" s="7" t="s">
        <v>27884</v>
      </c>
      <c r="D2638" s="37" t="s">
        <v>27885</v>
      </c>
    </row>
    <row r="2639">
      <c r="A2639" s="37" t="s">
        <v>27544</v>
      </c>
      <c r="B2639" s="37" t="s">
        <v>26038</v>
      </c>
      <c r="C2639" s="7" t="s">
        <v>27886</v>
      </c>
      <c r="D2639" s="37" t="s">
        <v>27887</v>
      </c>
    </row>
    <row r="2640">
      <c r="A2640" s="37" t="s">
        <v>27544</v>
      </c>
      <c r="B2640" s="37" t="s">
        <v>26038</v>
      </c>
      <c r="C2640" s="7" t="s">
        <v>27888</v>
      </c>
      <c r="D2640" s="37" t="s">
        <v>27889</v>
      </c>
    </row>
    <row r="2641">
      <c r="A2641" s="37" t="s">
        <v>1162</v>
      </c>
      <c r="B2641" s="37" t="s">
        <v>1054</v>
      </c>
      <c r="C2641" s="7" t="s">
        <v>27890</v>
      </c>
      <c r="D2641" s="37" t="s">
        <v>27891</v>
      </c>
    </row>
    <row r="2642">
      <c r="A2642" s="37" t="s">
        <v>27544</v>
      </c>
      <c r="B2642" s="37" t="s">
        <v>26038</v>
      </c>
      <c r="C2642" s="7" t="s">
        <v>27892</v>
      </c>
      <c r="D2642" s="37" t="s">
        <v>27893</v>
      </c>
    </row>
    <row r="2643">
      <c r="A2643" s="37" t="s">
        <v>27544</v>
      </c>
      <c r="B2643" s="37" t="s">
        <v>26038</v>
      </c>
      <c r="C2643" s="7" t="s">
        <v>27894</v>
      </c>
      <c r="D2643" s="37" t="s">
        <v>27895</v>
      </c>
    </row>
    <row r="2644">
      <c r="A2644" s="37" t="s">
        <v>27544</v>
      </c>
      <c r="B2644" s="37" t="s">
        <v>26038</v>
      </c>
      <c r="C2644" s="7" t="s">
        <v>27896</v>
      </c>
      <c r="D2644" s="37" t="s">
        <v>27897</v>
      </c>
    </row>
    <row r="2645">
      <c r="A2645" s="37" t="s">
        <v>27544</v>
      </c>
      <c r="B2645" s="37" t="s">
        <v>26038</v>
      </c>
      <c r="C2645" s="7" t="s">
        <v>27898</v>
      </c>
      <c r="D2645" s="37" t="s">
        <v>27899</v>
      </c>
    </row>
    <row r="2646">
      <c r="A2646" s="37" t="s">
        <v>27544</v>
      </c>
      <c r="B2646" s="37" t="s">
        <v>26038</v>
      </c>
      <c r="C2646" s="7" t="s">
        <v>27900</v>
      </c>
      <c r="D2646" s="37" t="s">
        <v>27901</v>
      </c>
    </row>
    <row r="2647">
      <c r="A2647" s="37" t="s">
        <v>118</v>
      </c>
      <c r="B2647" s="37" t="s">
        <v>24608</v>
      </c>
      <c r="C2647" s="7" t="s">
        <v>27902</v>
      </c>
      <c r="D2647" s="37" t="s">
        <v>27903</v>
      </c>
    </row>
    <row r="2648">
      <c r="A2648" s="37" t="s">
        <v>29</v>
      </c>
      <c r="B2648" s="37" t="s">
        <v>27250</v>
      </c>
      <c r="C2648" s="7" t="s">
        <v>27904</v>
      </c>
      <c r="D2648" s="37" t="s">
        <v>27905</v>
      </c>
    </row>
    <row r="2649">
      <c r="A2649" s="37" t="s">
        <v>26301</v>
      </c>
      <c r="B2649" s="37" t="s">
        <v>27250</v>
      </c>
      <c r="C2649" s="7" t="s">
        <v>27906</v>
      </c>
      <c r="D2649" s="37" t="s">
        <v>27907</v>
      </c>
    </row>
    <row r="2650">
      <c r="A2650" s="37" t="s">
        <v>26301</v>
      </c>
      <c r="B2650" s="37" t="s">
        <v>27250</v>
      </c>
      <c r="C2650" s="7" t="s">
        <v>27908</v>
      </c>
      <c r="D2650" s="37" t="s">
        <v>27909</v>
      </c>
    </row>
    <row r="2651">
      <c r="A2651" s="37" t="s">
        <v>23444</v>
      </c>
      <c r="B2651" s="37" t="s">
        <v>24942</v>
      </c>
      <c r="C2651" s="7" t="s">
        <v>27910</v>
      </c>
      <c r="D2651" s="37" t="s">
        <v>27911</v>
      </c>
    </row>
    <row r="2652">
      <c r="A2652" s="37" t="s">
        <v>23444</v>
      </c>
      <c r="B2652" s="37" t="s">
        <v>24942</v>
      </c>
      <c r="C2652" s="7" t="s">
        <v>27912</v>
      </c>
      <c r="D2652" s="37" t="s">
        <v>27913</v>
      </c>
    </row>
    <row r="2653">
      <c r="A2653" s="37" t="s">
        <v>23444</v>
      </c>
      <c r="B2653" s="37" t="s">
        <v>24942</v>
      </c>
      <c r="C2653" s="7" t="s">
        <v>27914</v>
      </c>
      <c r="D2653" s="37" t="s">
        <v>27915</v>
      </c>
    </row>
    <row r="2654">
      <c r="A2654" s="37" t="s">
        <v>26301</v>
      </c>
      <c r="B2654" s="37" t="s">
        <v>27250</v>
      </c>
      <c r="C2654" s="7" t="s">
        <v>27916</v>
      </c>
      <c r="D2654" s="37" t="s">
        <v>27917</v>
      </c>
    </row>
    <row r="2655">
      <c r="A2655" s="37" t="s">
        <v>1358</v>
      </c>
      <c r="B2655" s="37" t="s">
        <v>1096</v>
      </c>
      <c r="C2655" s="7" t="s">
        <v>27918</v>
      </c>
      <c r="D2655" s="37" t="s">
        <v>27919</v>
      </c>
    </row>
    <row r="2656">
      <c r="A2656" s="37" t="s">
        <v>1155</v>
      </c>
      <c r="B2656" s="37" t="s">
        <v>693</v>
      </c>
      <c r="C2656" s="7" t="s">
        <v>27920</v>
      </c>
      <c r="D2656" s="37" t="s">
        <v>27921</v>
      </c>
    </row>
    <row r="2657">
      <c r="A2657" s="37" t="s">
        <v>1362</v>
      </c>
      <c r="B2657" s="37" t="s">
        <v>1096</v>
      </c>
      <c r="C2657" s="7" t="s">
        <v>14028</v>
      </c>
      <c r="D2657" s="37" t="s">
        <v>27922</v>
      </c>
    </row>
    <row r="2658">
      <c r="A2658" s="37" t="s">
        <v>27544</v>
      </c>
      <c r="B2658" s="37" t="s">
        <v>26038</v>
      </c>
      <c r="C2658" s="7" t="s">
        <v>27923</v>
      </c>
      <c r="D2658" s="37" t="s">
        <v>27924</v>
      </c>
    </row>
    <row r="2659">
      <c r="A2659" s="37" t="s">
        <v>27544</v>
      </c>
      <c r="B2659" s="37" t="s">
        <v>26038</v>
      </c>
      <c r="C2659" s="7" t="s">
        <v>27925</v>
      </c>
      <c r="D2659" s="37" t="s">
        <v>27926</v>
      </c>
    </row>
    <row r="2660">
      <c r="A2660" s="37" t="s">
        <v>27544</v>
      </c>
      <c r="B2660" s="37" t="s">
        <v>26038</v>
      </c>
      <c r="C2660" s="7" t="s">
        <v>27927</v>
      </c>
      <c r="D2660" s="37" t="s">
        <v>27928</v>
      </c>
    </row>
    <row r="2661">
      <c r="A2661" s="37" t="s">
        <v>1274</v>
      </c>
      <c r="B2661" s="37" t="s">
        <v>27929</v>
      </c>
      <c r="C2661" s="7" t="s">
        <v>27930</v>
      </c>
      <c r="D2661" s="37" t="s">
        <v>27931</v>
      </c>
    </row>
    <row r="2662">
      <c r="A2662" s="37" t="s">
        <v>24751</v>
      </c>
      <c r="B2662" s="37" t="s">
        <v>24752</v>
      </c>
      <c r="C2662" s="7" t="s">
        <v>27932</v>
      </c>
      <c r="D2662" s="37" t="s">
        <v>27933</v>
      </c>
    </row>
    <row r="2663">
      <c r="A2663" s="37" t="s">
        <v>286</v>
      </c>
      <c r="B2663" s="37" t="s">
        <v>854</v>
      </c>
      <c r="C2663" s="7" t="s">
        <v>27934</v>
      </c>
      <c r="D2663" s="37" t="s">
        <v>27935</v>
      </c>
    </row>
    <row r="2664">
      <c r="A2664" s="37" t="s">
        <v>27033</v>
      </c>
      <c r="B2664" s="37" t="s">
        <v>26245</v>
      </c>
      <c r="C2664" s="7" t="s">
        <v>27936</v>
      </c>
      <c r="D2664" s="37" t="s">
        <v>27937</v>
      </c>
    </row>
    <row r="2665">
      <c r="A2665" s="37" t="s">
        <v>43</v>
      </c>
      <c r="B2665" s="37" t="s">
        <v>1242</v>
      </c>
      <c r="C2665" s="7" t="s">
        <v>27938</v>
      </c>
      <c r="D2665" s="37" t="s">
        <v>27939</v>
      </c>
    </row>
    <row r="2666">
      <c r="A2666" s="37" t="s">
        <v>356</v>
      </c>
      <c r="B2666" s="37" t="s">
        <v>1285</v>
      </c>
      <c r="C2666" s="7" t="s">
        <v>27940</v>
      </c>
      <c r="D2666" s="37" t="s">
        <v>27941</v>
      </c>
    </row>
    <row r="2667">
      <c r="A2667" s="37" t="s">
        <v>27544</v>
      </c>
      <c r="B2667" s="37" t="s">
        <v>26038</v>
      </c>
      <c r="C2667" s="7" t="s">
        <v>27942</v>
      </c>
      <c r="D2667" s="37" t="s">
        <v>27943</v>
      </c>
    </row>
    <row r="2668">
      <c r="A2668" s="37" t="s">
        <v>27544</v>
      </c>
      <c r="B2668" s="37" t="s">
        <v>26038</v>
      </c>
      <c r="C2668" s="7" t="s">
        <v>27944</v>
      </c>
      <c r="D2668" s="37" t="s">
        <v>27945</v>
      </c>
    </row>
    <row r="2669">
      <c r="A2669" s="37" t="s">
        <v>27544</v>
      </c>
      <c r="B2669" s="37" t="s">
        <v>26038</v>
      </c>
      <c r="C2669" s="7" t="s">
        <v>27946</v>
      </c>
      <c r="D2669" s="37" t="s">
        <v>27947</v>
      </c>
    </row>
    <row r="2670">
      <c r="A2670" s="37" t="s">
        <v>23</v>
      </c>
      <c r="B2670" s="37" t="s">
        <v>27250</v>
      </c>
      <c r="C2670" s="7" t="s">
        <v>27948</v>
      </c>
      <c r="D2670" s="37" t="s">
        <v>27949</v>
      </c>
    </row>
    <row r="2671">
      <c r="A2671" s="37" t="s">
        <v>1182</v>
      </c>
      <c r="B2671" s="37" t="s">
        <v>854</v>
      </c>
      <c r="C2671" s="7" t="s">
        <v>6007</v>
      </c>
      <c r="D2671" s="37" t="s">
        <v>27950</v>
      </c>
    </row>
    <row r="2672">
      <c r="A2672" s="37" t="s">
        <v>27544</v>
      </c>
      <c r="B2672" s="37" t="s">
        <v>26038</v>
      </c>
      <c r="C2672" s="7" t="s">
        <v>27951</v>
      </c>
      <c r="D2672" s="37" t="s">
        <v>27952</v>
      </c>
    </row>
    <row r="2673">
      <c r="A2673" s="37" t="s">
        <v>1147</v>
      </c>
      <c r="B2673" s="37" t="s">
        <v>478</v>
      </c>
      <c r="C2673" s="7" t="s">
        <v>5829</v>
      </c>
      <c r="D2673" s="37" t="s">
        <v>27953</v>
      </c>
    </row>
    <row r="2674">
      <c r="A2674" s="37" t="s">
        <v>1147</v>
      </c>
      <c r="B2674" s="37" t="s">
        <v>478</v>
      </c>
      <c r="C2674" s="7" t="s">
        <v>27954</v>
      </c>
      <c r="D2674" s="37" t="s">
        <v>27955</v>
      </c>
    </row>
    <row r="2675">
      <c r="A2675" s="37" t="s">
        <v>1147</v>
      </c>
      <c r="B2675" s="37" t="s">
        <v>478</v>
      </c>
      <c r="C2675" s="7" t="s">
        <v>9479</v>
      </c>
      <c r="D2675" s="37" t="s">
        <v>27956</v>
      </c>
    </row>
    <row r="2676">
      <c r="A2676" s="37" t="s">
        <v>1147</v>
      </c>
      <c r="B2676" s="37" t="s">
        <v>478</v>
      </c>
      <c r="C2676" s="7" t="s">
        <v>10825</v>
      </c>
      <c r="D2676" s="37" t="s">
        <v>27957</v>
      </c>
    </row>
    <row r="2677">
      <c r="A2677" s="37" t="s">
        <v>1147</v>
      </c>
      <c r="B2677" s="37" t="s">
        <v>478</v>
      </c>
      <c r="C2677" s="7" t="s">
        <v>4947</v>
      </c>
      <c r="D2677" s="37" t="s">
        <v>27958</v>
      </c>
    </row>
    <row r="2678">
      <c r="A2678" s="37" t="s">
        <v>1147</v>
      </c>
      <c r="B2678" s="37" t="s">
        <v>478</v>
      </c>
      <c r="C2678" s="7" t="s">
        <v>27959</v>
      </c>
      <c r="D2678" s="37" t="s">
        <v>27960</v>
      </c>
    </row>
    <row r="2679">
      <c r="A2679" s="37" t="s">
        <v>1363</v>
      </c>
      <c r="B2679" s="37" t="s">
        <v>1096</v>
      </c>
      <c r="C2679" s="7" t="s">
        <v>5138</v>
      </c>
      <c r="D2679" s="37" t="s">
        <v>27961</v>
      </c>
    </row>
    <row r="2680">
      <c r="A2680" s="37" t="s">
        <v>1363</v>
      </c>
      <c r="B2680" s="37" t="s">
        <v>1096</v>
      </c>
      <c r="C2680" s="7" t="s">
        <v>27962</v>
      </c>
      <c r="D2680" s="37" t="s">
        <v>27963</v>
      </c>
    </row>
    <row r="2681">
      <c r="A2681" s="37" t="s">
        <v>1363</v>
      </c>
      <c r="B2681" s="37" t="s">
        <v>1096</v>
      </c>
      <c r="C2681" s="7" t="s">
        <v>27964</v>
      </c>
      <c r="D2681" s="37" t="s">
        <v>27965</v>
      </c>
    </row>
    <row r="2682">
      <c r="A2682" s="37" t="s">
        <v>356</v>
      </c>
      <c r="B2682" s="37" t="s">
        <v>1285</v>
      </c>
      <c r="C2682" s="7" t="s">
        <v>27966</v>
      </c>
      <c r="D2682" s="37" t="s">
        <v>27967</v>
      </c>
    </row>
    <row r="2683">
      <c r="A2683" s="37" t="s">
        <v>1246</v>
      </c>
      <c r="B2683" s="37" t="s">
        <v>1242</v>
      </c>
      <c r="C2683" s="7" t="s">
        <v>27968</v>
      </c>
      <c r="D2683" s="37" t="s">
        <v>27969</v>
      </c>
    </row>
    <row r="2684">
      <c r="A2684" s="37" t="s">
        <v>23</v>
      </c>
      <c r="B2684" s="37" t="s">
        <v>27250</v>
      </c>
      <c r="C2684" s="7" t="s">
        <v>4537</v>
      </c>
      <c r="D2684" s="37" t="s">
        <v>27970</v>
      </c>
    </row>
    <row r="2685">
      <c r="A2685" s="37" t="s">
        <v>25156</v>
      </c>
      <c r="B2685" s="37" t="s">
        <v>24608</v>
      </c>
      <c r="C2685" s="7" t="s">
        <v>27971</v>
      </c>
      <c r="D2685" s="37" t="s">
        <v>27972</v>
      </c>
    </row>
    <row r="2686">
      <c r="A2686" s="37" t="s">
        <v>1162</v>
      </c>
      <c r="B2686" s="37" t="s">
        <v>25880</v>
      </c>
      <c r="C2686" s="7" t="s">
        <v>11760</v>
      </c>
      <c r="D2686" s="37" t="s">
        <v>27973</v>
      </c>
    </row>
    <row r="2687">
      <c r="A2687" s="37" t="s">
        <v>1182</v>
      </c>
      <c r="B2687" s="37" t="s">
        <v>854</v>
      </c>
      <c r="C2687" s="7" t="s">
        <v>27974</v>
      </c>
      <c r="D2687" s="37" t="s">
        <v>27975</v>
      </c>
    </row>
    <row r="2688">
      <c r="A2688" s="37" t="s">
        <v>286</v>
      </c>
      <c r="B2688" s="37" t="s">
        <v>25985</v>
      </c>
      <c r="C2688" s="7" t="s">
        <v>27976</v>
      </c>
      <c r="D2688" s="37" t="s">
        <v>27977</v>
      </c>
    </row>
    <row r="2689">
      <c r="A2689" s="37" t="s">
        <v>97</v>
      </c>
      <c r="B2689" s="37" t="s">
        <v>440</v>
      </c>
      <c r="C2689" s="7" t="s">
        <v>27978</v>
      </c>
      <c r="D2689" s="37" t="s">
        <v>27979</v>
      </c>
    </row>
    <row r="2690">
      <c r="A2690" s="37" t="s">
        <v>1495</v>
      </c>
      <c r="B2690" s="37" t="s">
        <v>613</v>
      </c>
      <c r="C2690" s="37" t="s">
        <v>27980</v>
      </c>
      <c r="D2690" s="37" t="s">
        <v>27981</v>
      </c>
    </row>
    <row r="2691">
      <c r="A2691" s="37" t="s">
        <v>1278</v>
      </c>
      <c r="B2691" s="37" t="s">
        <v>24942</v>
      </c>
      <c r="C2691" s="7" t="s">
        <v>27982</v>
      </c>
      <c r="D2691" s="37" t="s">
        <v>27983</v>
      </c>
    </row>
    <row r="2692">
      <c r="A2692" s="37" t="s">
        <v>74</v>
      </c>
      <c r="B2692" s="37" t="s">
        <v>1208</v>
      </c>
      <c r="C2692" s="7" t="s">
        <v>27984</v>
      </c>
      <c r="D2692" s="37" t="s">
        <v>27985</v>
      </c>
    </row>
    <row r="2693">
      <c r="A2693" s="37" t="s">
        <v>1362</v>
      </c>
      <c r="B2693" s="37" t="s">
        <v>1096</v>
      </c>
      <c r="C2693" s="7" t="s">
        <v>27986</v>
      </c>
      <c r="D2693" s="37" t="s">
        <v>27987</v>
      </c>
    </row>
    <row r="2694">
      <c r="A2694" s="37" t="s">
        <v>27544</v>
      </c>
      <c r="B2694" s="37" t="s">
        <v>26038</v>
      </c>
      <c r="C2694" s="7" t="s">
        <v>27988</v>
      </c>
      <c r="D2694" s="37" t="s">
        <v>27989</v>
      </c>
    </row>
    <row r="2695">
      <c r="A2695" s="37" t="s">
        <v>27544</v>
      </c>
      <c r="B2695" s="37" t="s">
        <v>26038</v>
      </c>
      <c r="C2695" s="7" t="s">
        <v>27990</v>
      </c>
      <c r="D2695" s="37" t="s">
        <v>27991</v>
      </c>
    </row>
    <row r="2696">
      <c r="A2696" s="37" t="s">
        <v>1274</v>
      </c>
      <c r="B2696" s="37" t="s">
        <v>26245</v>
      </c>
      <c r="C2696" s="7" t="s">
        <v>27992</v>
      </c>
      <c r="D2696" s="37" t="s">
        <v>27993</v>
      </c>
    </row>
    <row r="2697">
      <c r="A2697" s="37" t="s">
        <v>118</v>
      </c>
      <c r="B2697" s="37" t="s">
        <v>24752</v>
      </c>
      <c r="C2697" s="7" t="s">
        <v>27994</v>
      </c>
      <c r="D2697" s="37" t="s">
        <v>27995</v>
      </c>
    </row>
    <row r="2698">
      <c r="A2698" s="37" t="s">
        <v>484</v>
      </c>
      <c r="B2698" s="37" t="s">
        <v>478</v>
      </c>
      <c r="C2698" s="37" t="s">
        <v>27996</v>
      </c>
      <c r="D2698" s="37" t="s">
        <v>27997</v>
      </c>
    </row>
    <row r="2699">
      <c r="A2699" s="37" t="s">
        <v>890</v>
      </c>
      <c r="B2699" s="37" t="s">
        <v>391</v>
      </c>
      <c r="C2699" s="7" t="s">
        <v>27998</v>
      </c>
      <c r="D2699" s="37" t="s">
        <v>27999</v>
      </c>
    </row>
    <row r="2700">
      <c r="A2700" s="37" t="s">
        <v>1362</v>
      </c>
      <c r="B2700" s="37" t="s">
        <v>1096</v>
      </c>
      <c r="C2700" s="7" t="s">
        <v>28000</v>
      </c>
      <c r="D2700" s="37" t="s">
        <v>28001</v>
      </c>
    </row>
    <row r="2701">
      <c r="A2701" s="37" t="s">
        <v>1305</v>
      </c>
      <c r="B2701" s="37" t="s">
        <v>1054</v>
      </c>
      <c r="C2701" s="7" t="s">
        <v>28002</v>
      </c>
      <c r="D2701" s="37" t="s">
        <v>28003</v>
      </c>
    </row>
    <row r="2702">
      <c r="A2702" s="37" t="s">
        <v>1278</v>
      </c>
      <c r="B2702" s="37" t="s">
        <v>24942</v>
      </c>
      <c r="C2702" s="7" t="s">
        <v>28004</v>
      </c>
      <c r="D2702" s="37" t="s">
        <v>28005</v>
      </c>
    </row>
    <row r="2703">
      <c r="A2703" s="37" t="s">
        <v>23444</v>
      </c>
      <c r="B2703" s="37" t="s">
        <v>24942</v>
      </c>
      <c r="C2703" s="7" t="s">
        <v>28006</v>
      </c>
      <c r="D2703" s="37" t="s">
        <v>28007</v>
      </c>
    </row>
    <row r="2704">
      <c r="A2704" s="37" t="s">
        <v>436</v>
      </c>
      <c r="B2704" s="37" t="s">
        <v>429</v>
      </c>
      <c r="C2704" s="7" t="s">
        <v>28008</v>
      </c>
      <c r="D2704" s="37" t="s">
        <v>28009</v>
      </c>
    </row>
    <row r="2705">
      <c r="A2705" s="37" t="s">
        <v>1147</v>
      </c>
      <c r="B2705" s="37" t="s">
        <v>478</v>
      </c>
      <c r="C2705" s="7" t="s">
        <v>10372</v>
      </c>
      <c r="D2705" s="37" t="s">
        <v>28010</v>
      </c>
    </row>
    <row r="2706">
      <c r="A2706" s="37" t="s">
        <v>1246</v>
      </c>
      <c r="B2706" s="37" t="s">
        <v>38</v>
      </c>
      <c r="C2706" s="7" t="s">
        <v>28011</v>
      </c>
      <c r="D2706" s="37" t="s">
        <v>28012</v>
      </c>
    </row>
    <row r="2707">
      <c r="A2707" s="37" t="s">
        <v>1278</v>
      </c>
      <c r="B2707" s="37" t="s">
        <v>1054</v>
      </c>
      <c r="C2707" s="7" t="s">
        <v>6716</v>
      </c>
      <c r="D2707" s="37" t="s">
        <v>28013</v>
      </c>
    </row>
    <row r="2708">
      <c r="A2708" s="37" t="s">
        <v>1495</v>
      </c>
      <c r="B2708" s="37" t="s">
        <v>391</v>
      </c>
      <c r="C2708" s="7" t="s">
        <v>28014</v>
      </c>
      <c r="D2708" s="37" t="s">
        <v>28015</v>
      </c>
    </row>
    <row r="2709">
      <c r="A2709" s="37" t="s">
        <v>1246</v>
      </c>
      <c r="B2709" s="37" t="s">
        <v>1242</v>
      </c>
      <c r="C2709" s="7" t="s">
        <v>28016</v>
      </c>
      <c r="D2709" s="37" t="s">
        <v>28017</v>
      </c>
    </row>
    <row r="2710">
      <c r="A2710" s="37" t="s">
        <v>1246</v>
      </c>
      <c r="B2710" s="37" t="s">
        <v>1242</v>
      </c>
      <c r="C2710" s="7" t="s">
        <v>28018</v>
      </c>
      <c r="D2710" s="37" t="s">
        <v>28019</v>
      </c>
    </row>
    <row r="2711">
      <c r="A2711" s="37" t="s">
        <v>1246</v>
      </c>
      <c r="B2711" s="37" t="s">
        <v>1242</v>
      </c>
      <c r="C2711" s="7" t="s">
        <v>28020</v>
      </c>
      <c r="D2711" s="37" t="s">
        <v>28021</v>
      </c>
    </row>
    <row r="2712">
      <c r="A2712" s="37" t="s">
        <v>1246</v>
      </c>
      <c r="B2712" s="37" t="s">
        <v>1242</v>
      </c>
      <c r="C2712" s="7" t="s">
        <v>28022</v>
      </c>
      <c r="D2712" s="37" t="s">
        <v>28023</v>
      </c>
    </row>
    <row r="2713">
      <c r="A2713" s="37" t="s">
        <v>1188</v>
      </c>
      <c r="B2713" s="37" t="s">
        <v>1208</v>
      </c>
      <c r="C2713" s="7" t="s">
        <v>28024</v>
      </c>
      <c r="D2713" s="37" t="s">
        <v>28025</v>
      </c>
    </row>
    <row r="2714">
      <c r="A2714" s="37" t="s">
        <v>1188</v>
      </c>
      <c r="B2714" s="37" t="s">
        <v>1208</v>
      </c>
      <c r="C2714" s="7" t="s">
        <v>28026</v>
      </c>
      <c r="D2714" s="37" t="s">
        <v>28027</v>
      </c>
    </row>
    <row r="2715">
      <c r="A2715" s="37" t="s">
        <v>1188</v>
      </c>
      <c r="B2715" s="37" t="s">
        <v>1208</v>
      </c>
      <c r="C2715" s="7" t="s">
        <v>28028</v>
      </c>
      <c r="D2715" s="37" t="s">
        <v>28029</v>
      </c>
    </row>
    <row r="2716">
      <c r="A2716" s="37" t="s">
        <v>1246</v>
      </c>
      <c r="B2716" s="37" t="s">
        <v>38</v>
      </c>
      <c r="C2716" s="7" t="s">
        <v>28030</v>
      </c>
      <c r="D2716" s="37" t="s">
        <v>28031</v>
      </c>
    </row>
    <row r="2717">
      <c r="A2717" s="37" t="s">
        <v>1274</v>
      </c>
      <c r="B2717" s="37" t="s">
        <v>26245</v>
      </c>
      <c r="C2717" s="7" t="s">
        <v>28032</v>
      </c>
      <c r="D2717" s="37" t="s">
        <v>28033</v>
      </c>
    </row>
    <row r="2718">
      <c r="A2718" s="37" t="s">
        <v>1361</v>
      </c>
      <c r="B2718" s="37" t="s">
        <v>1096</v>
      </c>
      <c r="C2718" s="7" t="s">
        <v>28034</v>
      </c>
      <c r="D2718" s="37" t="s">
        <v>28035</v>
      </c>
    </row>
    <row r="2719">
      <c r="A2719" s="37" t="s">
        <v>74</v>
      </c>
      <c r="B2719" s="37" t="s">
        <v>1208</v>
      </c>
      <c r="C2719" s="7" t="s">
        <v>11219</v>
      </c>
      <c r="D2719" s="37" t="s">
        <v>28036</v>
      </c>
    </row>
    <row r="2720">
      <c r="A2720" s="37" t="s">
        <v>28037</v>
      </c>
      <c r="B2720" s="37" t="s">
        <v>27331</v>
      </c>
      <c r="C2720" s="7" t="s">
        <v>28038</v>
      </c>
      <c r="D2720" s="37" t="s">
        <v>28039</v>
      </c>
    </row>
    <row r="2721">
      <c r="A2721" s="37" t="s">
        <v>28037</v>
      </c>
      <c r="B2721" s="37" t="s">
        <v>27331</v>
      </c>
      <c r="C2721" s="7" t="s">
        <v>28040</v>
      </c>
      <c r="D2721" s="37" t="s">
        <v>28041</v>
      </c>
    </row>
    <row r="2722">
      <c r="A2722" s="37" t="s">
        <v>1246</v>
      </c>
      <c r="B2722" s="37" t="s">
        <v>38</v>
      </c>
      <c r="C2722" s="7" t="s">
        <v>28042</v>
      </c>
      <c r="D2722" s="37" t="s">
        <v>28043</v>
      </c>
    </row>
    <row r="2723">
      <c r="A2723" s="37" t="s">
        <v>1363</v>
      </c>
      <c r="B2723" s="37" t="s">
        <v>1096</v>
      </c>
      <c r="C2723" s="37" t="s">
        <v>28044</v>
      </c>
      <c r="D2723" s="37" t="s">
        <v>28045</v>
      </c>
    </row>
    <row r="2724">
      <c r="A2724" s="37" t="s">
        <v>1363</v>
      </c>
      <c r="B2724" s="37" t="s">
        <v>1096</v>
      </c>
      <c r="C2724" s="37" t="s">
        <v>28046</v>
      </c>
      <c r="D2724" s="37" t="s">
        <v>28047</v>
      </c>
    </row>
    <row r="2725">
      <c r="A2725" s="37" t="s">
        <v>1119</v>
      </c>
      <c r="B2725" s="37" t="s">
        <v>1273</v>
      </c>
      <c r="C2725" s="37" t="s">
        <v>28048</v>
      </c>
      <c r="D2725" s="37" t="s">
        <v>28049</v>
      </c>
    </row>
    <row r="2726">
      <c r="A2726" s="37" t="s">
        <v>39</v>
      </c>
      <c r="B2726" s="37" t="s">
        <v>1242</v>
      </c>
      <c r="C2726" s="7" t="s">
        <v>28050</v>
      </c>
      <c r="D2726" s="37" t="s">
        <v>28051</v>
      </c>
    </row>
    <row r="2727">
      <c r="A2727" s="37" t="s">
        <v>1185</v>
      </c>
      <c r="B2727" s="37" t="s">
        <v>1273</v>
      </c>
      <c r="C2727" s="7" t="s">
        <v>28052</v>
      </c>
      <c r="D2727" s="37" t="s">
        <v>28053</v>
      </c>
    </row>
    <row r="2728">
      <c r="A2728" s="37" t="s">
        <v>1182</v>
      </c>
      <c r="B2728" s="37" t="s">
        <v>854</v>
      </c>
      <c r="C2728" s="7" t="s">
        <v>28054</v>
      </c>
      <c r="D2728" s="37" t="s">
        <v>28055</v>
      </c>
    </row>
    <row r="2729">
      <c r="A2729" s="37" t="s">
        <v>1246</v>
      </c>
      <c r="B2729" s="37" t="s">
        <v>38</v>
      </c>
      <c r="C2729" s="7" t="s">
        <v>28056</v>
      </c>
      <c r="D2729" s="37" t="s">
        <v>28057</v>
      </c>
    </row>
    <row r="2730">
      <c r="A2730" s="37" t="s">
        <v>1305</v>
      </c>
      <c r="B2730" s="37" t="s">
        <v>1054</v>
      </c>
      <c r="C2730" s="7" t="s">
        <v>24098</v>
      </c>
      <c r="D2730" s="37" t="s">
        <v>28058</v>
      </c>
    </row>
    <row r="2731">
      <c r="A2731" s="37" t="s">
        <v>1305</v>
      </c>
      <c r="B2731" s="37" t="s">
        <v>1054</v>
      </c>
      <c r="C2731" s="7" t="s">
        <v>28059</v>
      </c>
      <c r="D2731" s="37" t="s">
        <v>28060</v>
      </c>
    </row>
    <row r="2732">
      <c r="A2732" s="37" t="s">
        <v>1305</v>
      </c>
      <c r="B2732" s="37" t="s">
        <v>1054</v>
      </c>
      <c r="C2732" s="7" t="s">
        <v>28061</v>
      </c>
      <c r="D2732" s="37" t="s">
        <v>28062</v>
      </c>
    </row>
    <row r="2733">
      <c r="A2733" s="37" t="s">
        <v>1305</v>
      </c>
      <c r="B2733" s="37" t="s">
        <v>1054</v>
      </c>
      <c r="C2733" s="7" t="s">
        <v>28063</v>
      </c>
      <c r="D2733" s="37" t="s">
        <v>28064</v>
      </c>
    </row>
    <row r="2734">
      <c r="A2734" s="37" t="s">
        <v>1305</v>
      </c>
      <c r="B2734" s="37" t="s">
        <v>1054</v>
      </c>
      <c r="C2734" s="7" t="s">
        <v>28065</v>
      </c>
      <c r="D2734" s="37" t="s">
        <v>28066</v>
      </c>
    </row>
    <row r="2735">
      <c r="A2735" s="37" t="s">
        <v>1305</v>
      </c>
      <c r="B2735" s="37" t="s">
        <v>1054</v>
      </c>
      <c r="C2735" s="7" t="s">
        <v>28067</v>
      </c>
      <c r="D2735" s="37" t="s">
        <v>28068</v>
      </c>
    </row>
    <row r="2736">
      <c r="A2736" s="37" t="s">
        <v>1305</v>
      </c>
      <c r="B2736" s="37" t="s">
        <v>1054</v>
      </c>
      <c r="C2736" s="7" t="s">
        <v>28069</v>
      </c>
      <c r="D2736" s="37" t="s">
        <v>28070</v>
      </c>
    </row>
    <row r="2737">
      <c r="A2737" s="37" t="s">
        <v>1305</v>
      </c>
      <c r="B2737" s="37" t="s">
        <v>1054</v>
      </c>
      <c r="C2737" s="7" t="s">
        <v>28071</v>
      </c>
      <c r="D2737" s="37" t="s">
        <v>28072</v>
      </c>
    </row>
    <row r="2738">
      <c r="A2738" s="37" t="s">
        <v>43</v>
      </c>
      <c r="B2738" s="37" t="s">
        <v>1242</v>
      </c>
      <c r="C2738" s="7" t="s">
        <v>28073</v>
      </c>
      <c r="D2738" s="37" t="s">
        <v>28074</v>
      </c>
    </row>
    <row r="2739">
      <c r="A2739" s="37" t="s">
        <v>1188</v>
      </c>
      <c r="B2739" s="37" t="s">
        <v>1208</v>
      </c>
      <c r="C2739" s="37" t="s">
        <v>28075</v>
      </c>
      <c r="D2739" s="37" t="s">
        <v>28076</v>
      </c>
    </row>
    <row r="2740">
      <c r="A2740" s="37" t="s">
        <v>399</v>
      </c>
      <c r="B2740" s="37" t="s">
        <v>391</v>
      </c>
      <c r="C2740" s="7" t="s">
        <v>28077</v>
      </c>
      <c r="D2740" s="37" t="s">
        <v>28078</v>
      </c>
    </row>
    <row r="2741">
      <c r="A2741" s="37" t="s">
        <v>1182</v>
      </c>
      <c r="B2741" s="37" t="s">
        <v>854</v>
      </c>
      <c r="C2741" s="7" t="s">
        <v>28079</v>
      </c>
      <c r="D2741" s="37" t="s">
        <v>28080</v>
      </c>
    </row>
    <row r="2742">
      <c r="A2742" s="37" t="s">
        <v>286</v>
      </c>
      <c r="B2742" s="37" t="s">
        <v>854</v>
      </c>
      <c r="C2742" s="7" t="s">
        <v>28081</v>
      </c>
      <c r="D2742" s="37" t="s">
        <v>28082</v>
      </c>
    </row>
    <row r="2743">
      <c r="A2743" s="37" t="s">
        <v>286</v>
      </c>
      <c r="B2743" s="37" t="s">
        <v>854</v>
      </c>
      <c r="C2743" s="7" t="s">
        <v>28083</v>
      </c>
      <c r="D2743" s="37" t="s">
        <v>28084</v>
      </c>
    </row>
    <row r="2744">
      <c r="A2744" s="37" t="s">
        <v>286</v>
      </c>
      <c r="B2744" s="37" t="s">
        <v>854</v>
      </c>
      <c r="C2744" s="7" t="s">
        <v>28085</v>
      </c>
      <c r="D2744" s="37" t="s">
        <v>28086</v>
      </c>
    </row>
    <row r="2745">
      <c r="A2745" s="37" t="s">
        <v>1147</v>
      </c>
      <c r="B2745" s="37" t="s">
        <v>478</v>
      </c>
      <c r="C2745" s="7" t="s">
        <v>28087</v>
      </c>
      <c r="D2745" s="37" t="s">
        <v>28088</v>
      </c>
    </row>
    <row r="2746">
      <c r="A2746" s="37" t="s">
        <v>1147</v>
      </c>
      <c r="B2746" s="37" t="s">
        <v>478</v>
      </c>
      <c r="C2746" s="7" t="s">
        <v>28089</v>
      </c>
      <c r="D2746" s="37" t="s">
        <v>28090</v>
      </c>
    </row>
    <row r="2747">
      <c r="A2747" s="37" t="s">
        <v>1147</v>
      </c>
      <c r="B2747" s="37" t="s">
        <v>478</v>
      </c>
      <c r="C2747" s="7" t="s">
        <v>8022</v>
      </c>
      <c r="D2747" s="37" t="s">
        <v>28091</v>
      </c>
    </row>
    <row r="2748">
      <c r="A2748" s="37" t="s">
        <v>1363</v>
      </c>
      <c r="B2748" s="37" t="s">
        <v>1096</v>
      </c>
      <c r="C2748" s="7" t="s">
        <v>28092</v>
      </c>
      <c r="D2748" s="37" t="s">
        <v>28093</v>
      </c>
    </row>
    <row r="2749">
      <c r="A2749" s="37" t="s">
        <v>1245</v>
      </c>
      <c r="B2749" s="37" t="s">
        <v>1242</v>
      </c>
      <c r="C2749" s="37" t="s">
        <v>6862</v>
      </c>
      <c r="D2749" s="37" t="s">
        <v>28094</v>
      </c>
    </row>
    <row r="2750">
      <c r="A2750" s="37" t="s">
        <v>27544</v>
      </c>
      <c r="B2750" s="37" t="s">
        <v>26038</v>
      </c>
      <c r="C2750" s="7" t="s">
        <v>28095</v>
      </c>
      <c r="D2750" s="37" t="s">
        <v>28096</v>
      </c>
    </row>
    <row r="2751">
      <c r="A2751" s="37" t="s">
        <v>1358</v>
      </c>
      <c r="B2751" s="37" t="s">
        <v>1096</v>
      </c>
      <c r="C2751" s="7" t="s">
        <v>28097</v>
      </c>
      <c r="D2751" s="37" t="s">
        <v>28098</v>
      </c>
    </row>
    <row r="2752">
      <c r="A2752" s="37" t="s">
        <v>1119</v>
      </c>
      <c r="B2752" s="37" t="s">
        <v>1273</v>
      </c>
      <c r="C2752" s="7" t="s">
        <v>28099</v>
      </c>
      <c r="D2752" s="37" t="s">
        <v>28100</v>
      </c>
    </row>
    <row r="2753">
      <c r="A2753" s="37" t="s">
        <v>443</v>
      </c>
      <c r="B2753" s="37" t="s">
        <v>440</v>
      </c>
      <c r="C2753" s="7" t="s">
        <v>28101</v>
      </c>
      <c r="D2753" s="37" t="s">
        <v>28102</v>
      </c>
    </row>
    <row r="2754">
      <c r="A2754" s="37" t="s">
        <v>51</v>
      </c>
      <c r="B2754" s="37" t="s">
        <v>1242</v>
      </c>
      <c r="C2754" s="37" t="s">
        <v>28103</v>
      </c>
      <c r="D2754" s="37" t="s">
        <v>28104</v>
      </c>
    </row>
    <row r="2755">
      <c r="A2755" s="37" t="s">
        <v>74</v>
      </c>
      <c r="B2755" s="37" t="s">
        <v>1208</v>
      </c>
      <c r="C2755" s="7" t="s">
        <v>28105</v>
      </c>
      <c r="D2755" s="37" t="s">
        <v>28106</v>
      </c>
    </row>
    <row r="2756">
      <c r="A2756" s="37" t="s">
        <v>484</v>
      </c>
      <c r="B2756" s="37" t="s">
        <v>478</v>
      </c>
      <c r="C2756" s="7" t="s">
        <v>28107</v>
      </c>
      <c r="D2756" s="37" t="s">
        <v>28108</v>
      </c>
    </row>
    <row r="2757">
      <c r="A2757" s="37" t="s">
        <v>1245</v>
      </c>
      <c r="B2757" s="37" t="s">
        <v>27556</v>
      </c>
      <c r="C2757" s="7" t="s">
        <v>28109</v>
      </c>
      <c r="D2757" s="37" t="s">
        <v>28110</v>
      </c>
    </row>
    <row r="2758">
      <c r="A2758" s="37" t="s">
        <v>1246</v>
      </c>
      <c r="B2758" s="37" t="s">
        <v>38</v>
      </c>
      <c r="C2758" s="7" t="s">
        <v>28111</v>
      </c>
      <c r="D2758" s="37" t="s">
        <v>28112</v>
      </c>
    </row>
    <row r="2759">
      <c r="A2759" s="37" t="s">
        <v>74</v>
      </c>
      <c r="B2759" s="37" t="s">
        <v>1208</v>
      </c>
      <c r="C2759" s="7" t="s">
        <v>10393</v>
      </c>
      <c r="D2759" s="37" t="s">
        <v>28113</v>
      </c>
    </row>
    <row r="2760">
      <c r="A2760" s="37" t="s">
        <v>356</v>
      </c>
      <c r="B2760" s="37" t="s">
        <v>1285</v>
      </c>
      <c r="C2760" s="7" t="s">
        <v>28114</v>
      </c>
      <c r="D2760" s="37" t="s">
        <v>28115</v>
      </c>
    </row>
    <row r="2761">
      <c r="A2761" s="37" t="s">
        <v>25156</v>
      </c>
      <c r="B2761" s="37" t="s">
        <v>24608</v>
      </c>
      <c r="C2761" s="7" t="s">
        <v>28116</v>
      </c>
      <c r="D2761" s="37" t="s">
        <v>28117</v>
      </c>
    </row>
    <row r="2762">
      <c r="A2762" s="37" t="s">
        <v>74</v>
      </c>
      <c r="B2762" s="37" t="s">
        <v>1208</v>
      </c>
      <c r="C2762" s="7" t="s">
        <v>28118</v>
      </c>
      <c r="D2762" s="37" t="s">
        <v>28119</v>
      </c>
    </row>
    <row r="2763">
      <c r="A2763" s="37" t="s">
        <v>74</v>
      </c>
      <c r="B2763" s="37" t="s">
        <v>1208</v>
      </c>
      <c r="C2763" s="7" t="s">
        <v>28120</v>
      </c>
      <c r="D2763" s="37" t="s">
        <v>28121</v>
      </c>
    </row>
    <row r="2764">
      <c r="A2764" s="37" t="s">
        <v>74</v>
      </c>
      <c r="B2764" s="37" t="s">
        <v>1208</v>
      </c>
      <c r="C2764" s="7" t="s">
        <v>28122</v>
      </c>
      <c r="D2764" s="37" t="s">
        <v>28123</v>
      </c>
    </row>
    <row r="2765">
      <c r="A2765" s="37" t="s">
        <v>74</v>
      </c>
      <c r="B2765" s="37" t="s">
        <v>1208</v>
      </c>
      <c r="C2765" s="7" t="s">
        <v>28124</v>
      </c>
      <c r="D2765" s="37" t="s">
        <v>28125</v>
      </c>
    </row>
    <row r="2766">
      <c r="A2766" s="37" t="s">
        <v>74</v>
      </c>
      <c r="B2766" s="37" t="s">
        <v>1208</v>
      </c>
      <c r="C2766" s="7" t="s">
        <v>28126</v>
      </c>
      <c r="D2766" s="37" t="s">
        <v>28127</v>
      </c>
    </row>
    <row r="2767">
      <c r="A2767" s="37" t="s">
        <v>74</v>
      </c>
      <c r="B2767" s="37" t="s">
        <v>1208</v>
      </c>
      <c r="C2767" s="7" t="s">
        <v>28128</v>
      </c>
      <c r="D2767" s="37" t="s">
        <v>28129</v>
      </c>
    </row>
    <row r="2768">
      <c r="A2768" s="37" t="s">
        <v>74</v>
      </c>
      <c r="B2768" s="37" t="s">
        <v>1208</v>
      </c>
      <c r="C2768" s="7" t="s">
        <v>28130</v>
      </c>
      <c r="D2768" s="37" t="s">
        <v>28131</v>
      </c>
    </row>
    <row r="2769">
      <c r="A2769" s="37" t="s">
        <v>74</v>
      </c>
      <c r="B2769" s="37" t="s">
        <v>1208</v>
      </c>
      <c r="C2769" s="37" t="s">
        <v>28132</v>
      </c>
      <c r="D2769" s="37" t="s">
        <v>28133</v>
      </c>
    </row>
    <row r="2770">
      <c r="A2770" s="37" t="s">
        <v>74</v>
      </c>
      <c r="B2770" s="37" t="s">
        <v>1208</v>
      </c>
      <c r="C2770" s="37" t="s">
        <v>28134</v>
      </c>
      <c r="D2770" s="37" t="s">
        <v>28135</v>
      </c>
    </row>
    <row r="2771">
      <c r="A2771" s="37" t="s">
        <v>74</v>
      </c>
      <c r="B2771" s="37" t="s">
        <v>1208</v>
      </c>
      <c r="C2771" s="37" t="s">
        <v>28136</v>
      </c>
      <c r="D2771" s="37" t="s">
        <v>28137</v>
      </c>
    </row>
    <row r="2772">
      <c r="A2772" s="37" t="s">
        <v>74</v>
      </c>
      <c r="B2772" s="37" t="s">
        <v>1208</v>
      </c>
      <c r="C2772" s="37" t="s">
        <v>28138</v>
      </c>
      <c r="D2772" s="37" t="s">
        <v>28139</v>
      </c>
    </row>
    <row r="2773">
      <c r="A2773" s="37" t="s">
        <v>24751</v>
      </c>
      <c r="B2773" s="37" t="s">
        <v>24752</v>
      </c>
      <c r="C2773" s="7" t="s">
        <v>28140</v>
      </c>
      <c r="D2773" s="37" t="s">
        <v>28141</v>
      </c>
    </row>
    <row r="2774">
      <c r="A2774" s="37" t="s">
        <v>74</v>
      </c>
      <c r="B2774" s="37" t="s">
        <v>1208</v>
      </c>
      <c r="C2774" s="7" t="s">
        <v>28142</v>
      </c>
      <c r="D2774" s="37" t="s">
        <v>28143</v>
      </c>
    </row>
    <row r="2775">
      <c r="A2775" s="37" t="s">
        <v>1188</v>
      </c>
      <c r="B2775" s="37" t="s">
        <v>1208</v>
      </c>
      <c r="C2775" s="7" t="s">
        <v>28144</v>
      </c>
      <c r="D2775" s="37" t="s">
        <v>28145</v>
      </c>
    </row>
    <row r="2776">
      <c r="A2776" s="37" t="s">
        <v>1185</v>
      </c>
      <c r="B2776" s="37" t="s">
        <v>1273</v>
      </c>
      <c r="C2776" s="7" t="s">
        <v>28146</v>
      </c>
      <c r="D2776" s="37" t="s">
        <v>28147</v>
      </c>
    </row>
    <row r="2777">
      <c r="A2777" s="37" t="s">
        <v>304</v>
      </c>
      <c r="B2777" s="37" t="s">
        <v>298</v>
      </c>
      <c r="C2777" s="7" t="s">
        <v>28148</v>
      </c>
      <c r="D2777" s="37" t="s">
        <v>28149</v>
      </c>
    </row>
    <row r="2778">
      <c r="A2778" s="37" t="s">
        <v>1363</v>
      </c>
      <c r="B2778" s="37" t="s">
        <v>1096</v>
      </c>
      <c r="C2778" s="37" t="s">
        <v>4005</v>
      </c>
      <c r="D2778" s="37" t="s">
        <v>28150</v>
      </c>
    </row>
    <row r="2779">
      <c r="A2779" s="37" t="s">
        <v>286</v>
      </c>
      <c r="B2779" s="37" t="s">
        <v>28151</v>
      </c>
      <c r="C2779" s="7" t="s">
        <v>28152</v>
      </c>
      <c r="D2779" s="37" t="s">
        <v>28153</v>
      </c>
    </row>
    <row r="2780">
      <c r="A2780" s="37" t="s">
        <v>399</v>
      </c>
      <c r="B2780" s="37" t="s">
        <v>28154</v>
      </c>
      <c r="C2780" s="7" t="s">
        <v>28155</v>
      </c>
      <c r="D2780" s="37" t="s">
        <v>28156</v>
      </c>
    </row>
    <row r="2781">
      <c r="A2781" s="37" t="s">
        <v>399</v>
      </c>
      <c r="B2781" s="37" t="s">
        <v>1208</v>
      </c>
      <c r="C2781" s="7" t="s">
        <v>28157</v>
      </c>
      <c r="D2781" s="37" t="s">
        <v>28158</v>
      </c>
    </row>
    <row r="2782">
      <c r="A2782" s="37" t="s">
        <v>74</v>
      </c>
      <c r="B2782" s="37" t="s">
        <v>1208</v>
      </c>
      <c r="C2782" s="7" t="s">
        <v>28159</v>
      </c>
      <c r="D2782" s="37" t="s">
        <v>28160</v>
      </c>
    </row>
    <row r="2783">
      <c r="A2783" s="37" t="s">
        <v>74</v>
      </c>
      <c r="B2783" s="37" t="s">
        <v>1208</v>
      </c>
      <c r="C2783" s="7" t="s">
        <v>28161</v>
      </c>
      <c r="D2783" s="37" t="s">
        <v>28162</v>
      </c>
    </row>
    <row r="2784">
      <c r="A2784" s="37" t="s">
        <v>74</v>
      </c>
      <c r="B2784" s="37" t="s">
        <v>1208</v>
      </c>
      <c r="C2784" s="7" t="s">
        <v>28163</v>
      </c>
      <c r="D2784" s="37" t="s">
        <v>28164</v>
      </c>
    </row>
    <row r="2785">
      <c r="A2785" s="37" t="s">
        <v>74</v>
      </c>
      <c r="B2785" s="37" t="s">
        <v>1208</v>
      </c>
      <c r="C2785" s="7" t="s">
        <v>28165</v>
      </c>
      <c r="D2785" s="37" t="s">
        <v>28166</v>
      </c>
    </row>
    <row r="2786">
      <c r="A2786" s="37" t="s">
        <v>74</v>
      </c>
      <c r="B2786" s="37" t="s">
        <v>1208</v>
      </c>
      <c r="C2786" s="7" t="s">
        <v>28167</v>
      </c>
      <c r="D2786" s="37" t="s">
        <v>28168</v>
      </c>
    </row>
    <row r="2787">
      <c r="A2787" s="37" t="s">
        <v>74</v>
      </c>
      <c r="B2787" s="37" t="s">
        <v>1208</v>
      </c>
      <c r="C2787" s="7" t="s">
        <v>28169</v>
      </c>
      <c r="D2787" s="37" t="s">
        <v>28170</v>
      </c>
    </row>
    <row r="2788">
      <c r="A2788" s="37" t="s">
        <v>27544</v>
      </c>
      <c r="B2788" s="37" t="s">
        <v>26038</v>
      </c>
      <c r="C2788" s="7" t="s">
        <v>28171</v>
      </c>
      <c r="D2788" s="37" t="s">
        <v>28172</v>
      </c>
    </row>
    <row r="2789">
      <c r="A2789" s="37" t="s">
        <v>27544</v>
      </c>
      <c r="B2789" s="37" t="s">
        <v>26038</v>
      </c>
      <c r="C2789" s="7" t="s">
        <v>28173</v>
      </c>
      <c r="D2789" s="37" t="s">
        <v>28174</v>
      </c>
    </row>
    <row r="2790">
      <c r="A2790" s="37" t="s">
        <v>399</v>
      </c>
      <c r="B2790" s="37" t="s">
        <v>1208</v>
      </c>
      <c r="C2790" s="7" t="s">
        <v>28175</v>
      </c>
      <c r="D2790" s="37" t="s">
        <v>28176</v>
      </c>
    </row>
    <row r="2791">
      <c r="A2791" s="37" t="s">
        <v>1185</v>
      </c>
      <c r="B2791" s="37" t="s">
        <v>1273</v>
      </c>
      <c r="C2791" s="7" t="s">
        <v>28177</v>
      </c>
      <c r="D2791" s="37" t="s">
        <v>28178</v>
      </c>
    </row>
    <row r="2792">
      <c r="A2792" s="37" t="s">
        <v>27544</v>
      </c>
      <c r="B2792" s="37" t="s">
        <v>26038</v>
      </c>
      <c r="C2792" s="7" t="s">
        <v>28179</v>
      </c>
      <c r="D2792" s="37" t="s">
        <v>28180</v>
      </c>
    </row>
    <row r="2793">
      <c r="A2793" s="37" t="s">
        <v>27544</v>
      </c>
      <c r="B2793" s="37" t="s">
        <v>26038</v>
      </c>
      <c r="C2793" s="7" t="s">
        <v>28181</v>
      </c>
      <c r="D2793" s="37" t="s">
        <v>28182</v>
      </c>
    </row>
    <row r="2794">
      <c r="A2794" s="37" t="s">
        <v>28183</v>
      </c>
      <c r="B2794" s="37" t="s">
        <v>27773</v>
      </c>
      <c r="C2794" s="7" t="s">
        <v>28184</v>
      </c>
      <c r="D2794" s="37" t="s">
        <v>28185</v>
      </c>
    </row>
    <row r="2795">
      <c r="A2795" s="37" t="s">
        <v>27544</v>
      </c>
      <c r="B2795" s="37" t="s">
        <v>26038</v>
      </c>
      <c r="C2795" s="7" t="s">
        <v>28186</v>
      </c>
      <c r="D2795" s="37" t="s">
        <v>28187</v>
      </c>
    </row>
    <row r="2796">
      <c r="A2796" s="37" t="s">
        <v>1119</v>
      </c>
      <c r="B2796" s="37" t="s">
        <v>1273</v>
      </c>
      <c r="C2796" s="37" t="s">
        <v>28188</v>
      </c>
      <c r="D2796" s="37" t="s">
        <v>28189</v>
      </c>
    </row>
    <row r="2797">
      <c r="A2797" s="37" t="s">
        <v>28183</v>
      </c>
      <c r="B2797" s="37" t="s">
        <v>27773</v>
      </c>
      <c r="C2797" s="7" t="s">
        <v>28190</v>
      </c>
      <c r="D2797" s="37" t="s">
        <v>28191</v>
      </c>
    </row>
    <row r="2798">
      <c r="A2798" s="37" t="s">
        <v>1305</v>
      </c>
      <c r="B2798" s="37" t="s">
        <v>1054</v>
      </c>
      <c r="C2798" s="7" t="s">
        <v>28192</v>
      </c>
      <c r="D2798" s="37" t="s">
        <v>28193</v>
      </c>
    </row>
    <row r="2799">
      <c r="A2799" s="37" t="s">
        <v>51</v>
      </c>
      <c r="B2799" s="37" t="s">
        <v>1242</v>
      </c>
      <c r="C2799" s="7" t="s">
        <v>28194</v>
      </c>
      <c r="D2799" s="37" t="s">
        <v>28195</v>
      </c>
    </row>
    <row r="2800">
      <c r="A2800" s="37" t="s">
        <v>1305</v>
      </c>
      <c r="B2800" s="37" t="s">
        <v>1054</v>
      </c>
      <c r="C2800" s="7" t="s">
        <v>28196</v>
      </c>
      <c r="D2800" s="37" t="s">
        <v>28197</v>
      </c>
    </row>
    <row r="2801">
      <c r="A2801" s="37" t="s">
        <v>1305</v>
      </c>
      <c r="B2801" s="37" t="s">
        <v>1054</v>
      </c>
      <c r="C2801" s="7" t="s">
        <v>28198</v>
      </c>
      <c r="D2801" s="37" t="s">
        <v>28199</v>
      </c>
    </row>
    <row r="2802">
      <c r="A2802" s="37" t="s">
        <v>1305</v>
      </c>
      <c r="B2802" s="37" t="s">
        <v>1054</v>
      </c>
      <c r="C2802" s="7" t="s">
        <v>28200</v>
      </c>
      <c r="D2802" s="37" t="s">
        <v>28201</v>
      </c>
    </row>
    <row r="2803">
      <c r="A2803" s="37" t="s">
        <v>1283</v>
      </c>
      <c r="B2803" s="37" t="s">
        <v>298</v>
      </c>
      <c r="C2803" s="7" t="s">
        <v>28202</v>
      </c>
      <c r="D2803" s="37" t="s">
        <v>28203</v>
      </c>
    </row>
    <row r="2804">
      <c r="A2804" s="37" t="s">
        <v>1305</v>
      </c>
      <c r="B2804" s="37" t="s">
        <v>1054</v>
      </c>
      <c r="C2804" s="7" t="s">
        <v>28204</v>
      </c>
      <c r="D2804" s="37" t="s">
        <v>28205</v>
      </c>
    </row>
    <row r="2805">
      <c r="A2805" s="37" t="s">
        <v>1305</v>
      </c>
      <c r="B2805" s="37" t="s">
        <v>1054</v>
      </c>
      <c r="C2805" s="7" t="s">
        <v>28206</v>
      </c>
      <c r="D2805" s="37" t="s">
        <v>28207</v>
      </c>
    </row>
    <row r="2806">
      <c r="A2806" s="37" t="s">
        <v>1305</v>
      </c>
      <c r="B2806" s="37" t="s">
        <v>1054</v>
      </c>
      <c r="C2806" s="7" t="s">
        <v>28208</v>
      </c>
      <c r="D2806" s="37" t="s">
        <v>28209</v>
      </c>
    </row>
    <row r="2807">
      <c r="A2807" s="37" t="s">
        <v>1305</v>
      </c>
      <c r="B2807" s="37" t="s">
        <v>1054</v>
      </c>
      <c r="C2807" s="7" t="s">
        <v>28210</v>
      </c>
      <c r="D2807" s="37" t="s">
        <v>28211</v>
      </c>
    </row>
    <row r="2808">
      <c r="A2808" s="37" t="s">
        <v>1305</v>
      </c>
      <c r="B2808" s="37" t="s">
        <v>1054</v>
      </c>
      <c r="C2808" s="7" t="s">
        <v>28212</v>
      </c>
      <c r="D2808" s="37" t="s">
        <v>28213</v>
      </c>
    </row>
    <row r="2809">
      <c r="A2809" s="37" t="s">
        <v>1305</v>
      </c>
      <c r="B2809" s="37" t="s">
        <v>1054</v>
      </c>
      <c r="C2809" s="7" t="s">
        <v>28214</v>
      </c>
      <c r="D2809" s="37" t="s">
        <v>28215</v>
      </c>
    </row>
    <row r="2810">
      <c r="A2810" s="37" t="s">
        <v>1305</v>
      </c>
      <c r="B2810" s="37" t="s">
        <v>1054</v>
      </c>
      <c r="C2810" s="7" t="s">
        <v>28216</v>
      </c>
      <c r="D2810" s="37" t="s">
        <v>28217</v>
      </c>
    </row>
    <row r="2811">
      <c r="A2811" s="37" t="s">
        <v>1305</v>
      </c>
      <c r="B2811" s="37" t="s">
        <v>1054</v>
      </c>
      <c r="C2811" s="7" t="s">
        <v>28218</v>
      </c>
      <c r="D2811" s="37" t="s">
        <v>28219</v>
      </c>
    </row>
    <row r="2812">
      <c r="A2812" s="37" t="s">
        <v>1305</v>
      </c>
      <c r="B2812" s="37" t="s">
        <v>1054</v>
      </c>
      <c r="C2812" s="7" t="s">
        <v>28220</v>
      </c>
      <c r="D2812" s="37" t="s">
        <v>28221</v>
      </c>
    </row>
    <row r="2813">
      <c r="A2813" s="37" t="s">
        <v>1305</v>
      </c>
      <c r="B2813" s="37" t="s">
        <v>1054</v>
      </c>
      <c r="C2813" s="7" t="s">
        <v>28222</v>
      </c>
      <c r="D2813" s="37" t="s">
        <v>28223</v>
      </c>
    </row>
    <row r="2814">
      <c r="A2814" s="37" t="s">
        <v>148</v>
      </c>
      <c r="B2814" s="37" t="s">
        <v>26038</v>
      </c>
      <c r="C2814" s="7" t="s">
        <v>28224</v>
      </c>
      <c r="D2814" s="37" t="s">
        <v>28225</v>
      </c>
    </row>
    <row r="2815">
      <c r="A2815" s="37" t="s">
        <v>399</v>
      </c>
      <c r="B2815" s="37" t="s">
        <v>391</v>
      </c>
      <c r="C2815" s="7" t="s">
        <v>28226</v>
      </c>
      <c r="D2815" s="37" t="s">
        <v>28227</v>
      </c>
    </row>
    <row r="2816">
      <c r="A2816" s="37" t="s">
        <v>1283</v>
      </c>
      <c r="B2816" s="37" t="s">
        <v>298</v>
      </c>
      <c r="C2816" s="7" t="s">
        <v>28228</v>
      </c>
      <c r="D2816" s="37" t="s">
        <v>28229</v>
      </c>
    </row>
    <row r="2817">
      <c r="A2817" s="37" t="s">
        <v>1358</v>
      </c>
      <c r="B2817" s="37" t="s">
        <v>1096</v>
      </c>
      <c r="C2817" s="37" t="s">
        <v>28230</v>
      </c>
      <c r="D2817" s="37" t="s">
        <v>28231</v>
      </c>
    </row>
    <row r="2818">
      <c r="A2818" s="37" t="s">
        <v>1363</v>
      </c>
      <c r="B2818" s="37" t="s">
        <v>1096</v>
      </c>
      <c r="C2818" s="37" t="s">
        <v>28232</v>
      </c>
      <c r="D2818" s="37" t="s">
        <v>28233</v>
      </c>
    </row>
    <row r="2819">
      <c r="A2819" s="37" t="s">
        <v>1363</v>
      </c>
      <c r="B2819" s="37" t="s">
        <v>1096</v>
      </c>
      <c r="C2819" s="37" t="s">
        <v>28234</v>
      </c>
      <c r="D2819" s="37" t="s">
        <v>28235</v>
      </c>
    </row>
    <row r="2820">
      <c r="A2820" s="37" t="s">
        <v>1363</v>
      </c>
      <c r="B2820" s="37" t="s">
        <v>1096</v>
      </c>
      <c r="C2820" s="7" t="s">
        <v>28236</v>
      </c>
      <c r="D2820" s="37" t="s">
        <v>28237</v>
      </c>
    </row>
    <row r="2821">
      <c r="A2821" s="37" t="s">
        <v>1305</v>
      </c>
      <c r="B2821" s="37" t="s">
        <v>1054</v>
      </c>
      <c r="C2821" s="7" t="s">
        <v>28238</v>
      </c>
      <c r="D2821" s="37" t="s">
        <v>28239</v>
      </c>
    </row>
    <row r="2822">
      <c r="A2822" s="37" t="s">
        <v>1305</v>
      </c>
      <c r="B2822" s="37" t="s">
        <v>1054</v>
      </c>
      <c r="C2822" s="7" t="s">
        <v>28240</v>
      </c>
      <c r="D2822" s="37" t="s">
        <v>28241</v>
      </c>
    </row>
    <row r="2823">
      <c r="A2823" s="37" t="s">
        <v>1305</v>
      </c>
      <c r="B2823" s="37" t="s">
        <v>1054</v>
      </c>
      <c r="C2823" s="7" t="s">
        <v>28242</v>
      </c>
      <c r="D2823" s="37" t="s">
        <v>28243</v>
      </c>
    </row>
    <row r="2824">
      <c r="A2824" s="37" t="s">
        <v>1188</v>
      </c>
      <c r="B2824" s="37" t="s">
        <v>1208</v>
      </c>
      <c r="C2824" s="7" t="s">
        <v>5128</v>
      </c>
      <c r="D2824" s="37" t="s">
        <v>28244</v>
      </c>
    </row>
    <row r="2825">
      <c r="A2825" s="37" t="s">
        <v>1147</v>
      </c>
      <c r="B2825" s="37" t="s">
        <v>478</v>
      </c>
      <c r="C2825" s="7" t="s">
        <v>27628</v>
      </c>
      <c r="D2825" s="37" t="s">
        <v>28245</v>
      </c>
    </row>
    <row r="2826">
      <c r="A2826" s="37" t="s">
        <v>1147</v>
      </c>
      <c r="B2826" s="37" t="s">
        <v>478</v>
      </c>
      <c r="C2826" s="7" t="s">
        <v>28246</v>
      </c>
      <c r="D2826" s="37" t="s">
        <v>28247</v>
      </c>
    </row>
    <row r="2827">
      <c r="A2827" s="37" t="s">
        <v>1147</v>
      </c>
      <c r="B2827" s="37" t="s">
        <v>478</v>
      </c>
      <c r="C2827" s="7" t="s">
        <v>28248</v>
      </c>
      <c r="D2827" s="37" t="s">
        <v>28249</v>
      </c>
    </row>
    <row r="2828">
      <c r="A2828" s="37" t="s">
        <v>1363</v>
      </c>
      <c r="B2828" s="37" t="s">
        <v>1096</v>
      </c>
      <c r="C2828" s="37" t="s">
        <v>28250</v>
      </c>
      <c r="D2828" s="37" t="s">
        <v>28251</v>
      </c>
    </row>
    <row r="2829">
      <c r="A2829" s="37" t="s">
        <v>28183</v>
      </c>
      <c r="B2829" s="37" t="s">
        <v>27284</v>
      </c>
      <c r="C2829" s="7" t="s">
        <v>28252</v>
      </c>
      <c r="D2829" s="37" t="s">
        <v>28253</v>
      </c>
    </row>
    <row r="2830">
      <c r="A2830" s="37" t="s">
        <v>104</v>
      </c>
      <c r="B2830" s="37" t="s">
        <v>613</v>
      </c>
      <c r="C2830" s="7" t="s">
        <v>28254</v>
      </c>
      <c r="D2830" s="37" t="s">
        <v>28255</v>
      </c>
    </row>
    <row r="2831">
      <c r="A2831" s="37" t="s">
        <v>1305</v>
      </c>
      <c r="B2831" s="37" t="s">
        <v>1054</v>
      </c>
      <c r="C2831" s="7" t="s">
        <v>28256</v>
      </c>
      <c r="D2831" s="37" t="s">
        <v>28257</v>
      </c>
    </row>
    <row r="2832">
      <c r="A2832" s="37" t="s">
        <v>546</v>
      </c>
      <c r="B2832" s="37" t="s">
        <v>26160</v>
      </c>
      <c r="C2832" s="7" t="s">
        <v>28258</v>
      </c>
      <c r="D2832" s="37" t="s">
        <v>28259</v>
      </c>
    </row>
    <row r="2833">
      <c r="A2833" s="37" t="s">
        <v>443</v>
      </c>
      <c r="B2833" s="37" t="s">
        <v>440</v>
      </c>
      <c r="C2833" s="37" t="s">
        <v>28260</v>
      </c>
      <c r="D2833" s="37" t="s">
        <v>28261</v>
      </c>
    </row>
    <row r="2834">
      <c r="A2834" s="37" t="s">
        <v>1183</v>
      </c>
      <c r="B2834" s="37" t="s">
        <v>854</v>
      </c>
      <c r="C2834" s="7" t="s">
        <v>28262</v>
      </c>
      <c r="D2834" s="37" t="s">
        <v>28263</v>
      </c>
    </row>
    <row r="2835">
      <c r="A2835" s="37" t="s">
        <v>1245</v>
      </c>
      <c r="B2835" s="37" t="s">
        <v>1242</v>
      </c>
      <c r="C2835" s="37" t="s">
        <v>28264</v>
      </c>
      <c r="D2835" s="37" t="s">
        <v>28265</v>
      </c>
    </row>
    <row r="2836">
      <c r="A2836" s="37" t="s">
        <v>1147</v>
      </c>
      <c r="B2836" s="37" t="s">
        <v>478</v>
      </c>
      <c r="C2836" s="7" t="s">
        <v>11467</v>
      </c>
      <c r="D2836" s="37" t="s">
        <v>28266</v>
      </c>
    </row>
    <row r="2837">
      <c r="A2837" s="37" t="s">
        <v>1147</v>
      </c>
      <c r="B2837" s="37" t="s">
        <v>478</v>
      </c>
      <c r="C2837" s="7" t="s">
        <v>12139</v>
      </c>
      <c r="D2837" s="37" t="s">
        <v>28267</v>
      </c>
    </row>
    <row r="2838">
      <c r="A2838" s="37" t="s">
        <v>1147</v>
      </c>
      <c r="B2838" s="37" t="s">
        <v>478</v>
      </c>
      <c r="C2838" s="7" t="s">
        <v>28268</v>
      </c>
      <c r="D2838" s="37" t="s">
        <v>28269</v>
      </c>
    </row>
    <row r="2839">
      <c r="A2839" s="37" t="s">
        <v>1147</v>
      </c>
      <c r="B2839" s="37" t="s">
        <v>478</v>
      </c>
      <c r="C2839" s="7" t="s">
        <v>16063</v>
      </c>
      <c r="D2839" s="37" t="s">
        <v>28270</v>
      </c>
    </row>
    <row r="2840">
      <c r="A2840" s="37" t="s">
        <v>1146</v>
      </c>
      <c r="B2840" s="37" t="s">
        <v>478</v>
      </c>
      <c r="C2840" s="7" t="s">
        <v>28271</v>
      </c>
      <c r="D2840" s="37" t="s">
        <v>28272</v>
      </c>
    </row>
    <row r="2841">
      <c r="A2841" s="37" t="s">
        <v>1358</v>
      </c>
      <c r="B2841" s="37" t="s">
        <v>1096</v>
      </c>
      <c r="C2841" s="7" t="s">
        <v>1773</v>
      </c>
      <c r="D2841" s="37" t="s">
        <v>28273</v>
      </c>
    </row>
    <row r="2842">
      <c r="A2842" s="37" t="s">
        <v>51</v>
      </c>
      <c r="B2842" s="37" t="s">
        <v>1242</v>
      </c>
      <c r="C2842" s="7" t="s">
        <v>28274</v>
      </c>
      <c r="D2842" s="37" t="s">
        <v>28275</v>
      </c>
    </row>
    <row r="2843">
      <c r="A2843" s="37" t="s">
        <v>23444</v>
      </c>
      <c r="B2843" s="37" t="s">
        <v>24942</v>
      </c>
      <c r="C2843" s="7" t="s">
        <v>28276</v>
      </c>
      <c r="D2843" s="37" t="s">
        <v>28277</v>
      </c>
    </row>
    <row r="2844">
      <c r="A2844" s="37" t="s">
        <v>23444</v>
      </c>
      <c r="B2844" s="37" t="s">
        <v>24942</v>
      </c>
      <c r="C2844" s="7" t="s">
        <v>28278</v>
      </c>
      <c r="D2844" s="37" t="s">
        <v>28279</v>
      </c>
    </row>
    <row r="2845">
      <c r="A2845" s="37" t="s">
        <v>23444</v>
      </c>
      <c r="B2845" s="37" t="s">
        <v>24942</v>
      </c>
      <c r="C2845" s="7" t="s">
        <v>28280</v>
      </c>
      <c r="D2845" s="37" t="s">
        <v>28281</v>
      </c>
    </row>
    <row r="2846">
      <c r="A2846" s="37" t="s">
        <v>1245</v>
      </c>
      <c r="B2846" s="37" t="s">
        <v>1242</v>
      </c>
      <c r="C2846" s="7" t="s">
        <v>28282</v>
      </c>
      <c r="D2846" s="37" t="s">
        <v>28283</v>
      </c>
    </row>
    <row r="2847">
      <c r="A2847" s="37" t="s">
        <v>1362</v>
      </c>
      <c r="B2847" s="37" t="s">
        <v>1096</v>
      </c>
      <c r="C2847" s="7" t="s">
        <v>8546</v>
      </c>
      <c r="D2847" s="37" t="s">
        <v>28284</v>
      </c>
    </row>
    <row r="2848">
      <c r="A2848" s="37" t="s">
        <v>1361</v>
      </c>
      <c r="B2848" s="37" t="s">
        <v>1096</v>
      </c>
      <c r="C2848" s="7" t="s">
        <v>13366</v>
      </c>
      <c r="D2848" s="37" t="s">
        <v>28285</v>
      </c>
    </row>
    <row r="2849">
      <c r="A2849" s="37" t="s">
        <v>1363</v>
      </c>
      <c r="B2849" s="37" t="s">
        <v>1096</v>
      </c>
      <c r="C2849" s="7" t="s">
        <v>6234</v>
      </c>
      <c r="D2849" s="37" t="s">
        <v>28286</v>
      </c>
    </row>
    <row r="2850">
      <c r="A2850" s="37" t="s">
        <v>1363</v>
      </c>
      <c r="B2850" s="37" t="s">
        <v>1096</v>
      </c>
      <c r="C2850" s="7" t="s">
        <v>26293</v>
      </c>
      <c r="D2850" s="37" t="s">
        <v>28287</v>
      </c>
    </row>
    <row r="2851">
      <c r="A2851" s="37" t="s">
        <v>1185</v>
      </c>
      <c r="B2851" s="37" t="s">
        <v>1273</v>
      </c>
      <c r="C2851" s="7" t="s">
        <v>28288</v>
      </c>
      <c r="D2851" s="37" t="s">
        <v>28289</v>
      </c>
    </row>
    <row r="2852">
      <c r="A2852" s="37" t="s">
        <v>1356</v>
      </c>
      <c r="B2852" s="37" t="s">
        <v>1096</v>
      </c>
      <c r="C2852" s="7" t="s">
        <v>28290</v>
      </c>
      <c r="D2852" s="37" t="s">
        <v>28291</v>
      </c>
    </row>
    <row r="2853">
      <c r="A2853" s="37" t="s">
        <v>1305</v>
      </c>
      <c r="B2853" s="37" t="s">
        <v>1054</v>
      </c>
      <c r="C2853" s="7" t="s">
        <v>28292</v>
      </c>
      <c r="D2853" s="37" t="s">
        <v>28293</v>
      </c>
    </row>
    <row r="2854">
      <c r="A2854" s="37" t="s">
        <v>23444</v>
      </c>
      <c r="B2854" s="37" t="s">
        <v>24942</v>
      </c>
      <c r="C2854" s="7" t="s">
        <v>28294</v>
      </c>
      <c r="D2854" s="37" t="s">
        <v>28295</v>
      </c>
    </row>
    <row r="2855">
      <c r="A2855" s="37" t="s">
        <v>1146</v>
      </c>
      <c r="B2855" s="37" t="s">
        <v>478</v>
      </c>
      <c r="C2855" s="7" t="s">
        <v>28296</v>
      </c>
      <c r="D2855" s="37" t="s">
        <v>28297</v>
      </c>
    </row>
    <row r="2856">
      <c r="A2856" s="37" t="s">
        <v>118</v>
      </c>
      <c r="B2856" s="37" t="s">
        <v>24752</v>
      </c>
      <c r="C2856" s="7" t="s">
        <v>28298</v>
      </c>
      <c r="D2856" s="37" t="s">
        <v>28299</v>
      </c>
    </row>
    <row r="2857">
      <c r="A2857" s="37" t="s">
        <v>74</v>
      </c>
      <c r="B2857" s="37" t="s">
        <v>1208</v>
      </c>
      <c r="C2857" s="7" t="s">
        <v>28300</v>
      </c>
      <c r="D2857" s="37" t="s">
        <v>28301</v>
      </c>
    </row>
    <row r="2858">
      <c r="A2858" s="37" t="s">
        <v>24751</v>
      </c>
      <c r="B2858" s="37" t="s">
        <v>24752</v>
      </c>
      <c r="C2858" s="7" t="s">
        <v>28302</v>
      </c>
      <c r="D2858" s="37" t="s">
        <v>28303</v>
      </c>
    </row>
    <row r="2859">
      <c r="A2859" s="37" t="s">
        <v>1362</v>
      </c>
      <c r="B2859" s="37" t="s">
        <v>1096</v>
      </c>
      <c r="C2859" s="7" t="s">
        <v>28304</v>
      </c>
      <c r="D2859" s="37" t="s">
        <v>28305</v>
      </c>
    </row>
    <row r="2860">
      <c r="A2860" s="37" t="s">
        <v>1495</v>
      </c>
      <c r="B2860" s="37" t="s">
        <v>1054</v>
      </c>
      <c r="C2860" s="7" t="s">
        <v>28306</v>
      </c>
      <c r="D2860" s="37" t="s">
        <v>28307</v>
      </c>
    </row>
    <row r="2861">
      <c r="A2861" s="37" t="s">
        <v>1147</v>
      </c>
      <c r="B2861" s="37" t="s">
        <v>478</v>
      </c>
      <c r="C2861" s="7" t="s">
        <v>3567</v>
      </c>
      <c r="D2861" s="37" t="s">
        <v>28308</v>
      </c>
    </row>
    <row r="2862">
      <c r="A2862" s="37" t="s">
        <v>1155</v>
      </c>
      <c r="B2862" s="37" t="s">
        <v>693</v>
      </c>
      <c r="C2862" s="7" t="s">
        <v>9918</v>
      </c>
      <c r="D2862" s="37" t="s">
        <v>28309</v>
      </c>
    </row>
    <row r="2863">
      <c r="A2863" s="37" t="s">
        <v>1305</v>
      </c>
      <c r="B2863" s="37" t="s">
        <v>1054</v>
      </c>
      <c r="C2863" s="7" t="s">
        <v>28310</v>
      </c>
      <c r="D2863" s="37" t="s">
        <v>28311</v>
      </c>
    </row>
    <row r="2864">
      <c r="A2864" s="37" t="s">
        <v>1363</v>
      </c>
      <c r="B2864" s="37" t="s">
        <v>1096</v>
      </c>
      <c r="C2864" s="7" t="s">
        <v>27535</v>
      </c>
      <c r="D2864" s="37" t="s">
        <v>28312</v>
      </c>
    </row>
    <row r="2865">
      <c r="A2865" s="37" t="s">
        <v>23444</v>
      </c>
      <c r="B2865" s="37" t="s">
        <v>24942</v>
      </c>
      <c r="C2865" s="7" t="s">
        <v>28313</v>
      </c>
      <c r="D2865" s="37" t="s">
        <v>28314</v>
      </c>
    </row>
    <row r="2866">
      <c r="A2866" s="37" t="s">
        <v>9</v>
      </c>
      <c r="B2866" s="37" t="s">
        <v>3</v>
      </c>
      <c r="C2866" s="7" t="s">
        <v>28315</v>
      </c>
      <c r="D2866" s="37" t="s">
        <v>28316</v>
      </c>
    </row>
    <row r="2867">
      <c r="A2867" s="37" t="s">
        <v>1363</v>
      </c>
      <c r="B2867" s="37" t="s">
        <v>1096</v>
      </c>
      <c r="C2867" s="7" t="s">
        <v>4005</v>
      </c>
      <c r="D2867" s="37" t="s">
        <v>28317</v>
      </c>
    </row>
    <row r="2868">
      <c r="A2868" s="37" t="s">
        <v>1363</v>
      </c>
      <c r="B2868" s="37" t="s">
        <v>1096</v>
      </c>
      <c r="C2868" s="7" t="s">
        <v>28318</v>
      </c>
      <c r="D2868" s="37" t="s">
        <v>28319</v>
      </c>
    </row>
    <row r="2869">
      <c r="A2869" s="37" t="s">
        <v>1363</v>
      </c>
      <c r="B2869" s="37" t="s">
        <v>1096</v>
      </c>
      <c r="C2869" s="7" t="s">
        <v>7800</v>
      </c>
      <c r="D2869" s="37" t="s">
        <v>28320</v>
      </c>
    </row>
    <row r="2870">
      <c r="A2870" s="37" t="s">
        <v>28321</v>
      </c>
      <c r="B2870" s="37" t="s">
        <v>1273</v>
      </c>
      <c r="C2870" s="7" t="s">
        <v>28322</v>
      </c>
      <c r="D2870" s="37" t="s">
        <v>28323</v>
      </c>
    </row>
    <row r="2871">
      <c r="A2871" s="37" t="s">
        <v>90</v>
      </c>
      <c r="B2871" s="37" t="s">
        <v>440</v>
      </c>
      <c r="C2871" s="7" t="s">
        <v>28324</v>
      </c>
      <c r="D2871" s="37" t="s">
        <v>28325</v>
      </c>
    </row>
    <row r="2872">
      <c r="A2872" s="37" t="s">
        <v>1243</v>
      </c>
      <c r="B2872" s="37" t="s">
        <v>1495</v>
      </c>
      <c r="C2872" s="7" t="s">
        <v>28326</v>
      </c>
      <c r="D2872" s="37" t="s">
        <v>28327</v>
      </c>
    </row>
    <row r="2873">
      <c r="A2873" s="37" t="s">
        <v>1183</v>
      </c>
      <c r="B2873" s="37" t="s">
        <v>854</v>
      </c>
      <c r="C2873" s="7" t="s">
        <v>28328</v>
      </c>
      <c r="D2873" s="37" t="s">
        <v>28329</v>
      </c>
    </row>
    <row r="2874">
      <c r="A2874" s="37" t="s">
        <v>1183</v>
      </c>
      <c r="B2874" s="37" t="s">
        <v>854</v>
      </c>
      <c r="C2874" s="7" t="s">
        <v>28330</v>
      </c>
      <c r="D2874" s="37" t="s">
        <v>28331</v>
      </c>
    </row>
    <row r="2875">
      <c r="A2875" s="37" t="s">
        <v>1147</v>
      </c>
      <c r="B2875" s="37" t="s">
        <v>478</v>
      </c>
      <c r="C2875" s="7" t="s">
        <v>28332</v>
      </c>
      <c r="D2875" s="37" t="s">
        <v>28333</v>
      </c>
    </row>
    <row r="2876">
      <c r="A2876" s="37" t="s">
        <v>1147</v>
      </c>
      <c r="B2876" s="37" t="s">
        <v>478</v>
      </c>
      <c r="C2876" s="7" t="s">
        <v>28334</v>
      </c>
      <c r="D2876" s="37" t="s">
        <v>28335</v>
      </c>
    </row>
    <row r="2877">
      <c r="A2877" s="37" t="s">
        <v>1147</v>
      </c>
      <c r="B2877" s="37" t="s">
        <v>478</v>
      </c>
      <c r="C2877" s="7" t="s">
        <v>28336</v>
      </c>
      <c r="D2877" s="37" t="s">
        <v>28337</v>
      </c>
    </row>
    <row r="2878">
      <c r="A2878" s="37" t="s">
        <v>1147</v>
      </c>
      <c r="B2878" s="37" t="s">
        <v>478</v>
      </c>
      <c r="C2878" s="7" t="s">
        <v>28338</v>
      </c>
      <c r="D2878" s="37" t="s">
        <v>28339</v>
      </c>
    </row>
    <row r="2879">
      <c r="A2879" s="37" t="s">
        <v>286</v>
      </c>
      <c r="B2879" s="37" t="s">
        <v>363</v>
      </c>
      <c r="C2879" s="7" t="s">
        <v>28340</v>
      </c>
      <c r="D2879" s="37" t="s">
        <v>28341</v>
      </c>
    </row>
    <row r="2880">
      <c r="A2880" s="37" t="s">
        <v>1243</v>
      </c>
      <c r="B2880" s="37" t="s">
        <v>1495</v>
      </c>
      <c r="C2880" s="7" t="s">
        <v>28342</v>
      </c>
      <c r="D2880" s="37" t="s">
        <v>28343</v>
      </c>
    </row>
    <row r="2881">
      <c r="A2881" s="37" t="s">
        <v>23444</v>
      </c>
      <c r="B2881" s="37" t="s">
        <v>24942</v>
      </c>
      <c r="C2881" s="7" t="s">
        <v>28344</v>
      </c>
      <c r="D2881" s="37" t="s">
        <v>28345</v>
      </c>
    </row>
    <row r="2882">
      <c r="A2882" s="37" t="s">
        <v>23444</v>
      </c>
      <c r="B2882" s="37" t="s">
        <v>24942</v>
      </c>
      <c r="C2882" s="7" t="s">
        <v>28346</v>
      </c>
      <c r="D2882" s="37" t="s">
        <v>28347</v>
      </c>
    </row>
    <row r="2883">
      <c r="A2883" s="37" t="s">
        <v>1162</v>
      </c>
      <c r="B2883" s="37" t="s">
        <v>1054</v>
      </c>
      <c r="C2883" s="37" t="s">
        <v>28348</v>
      </c>
      <c r="D2883" s="37" t="s">
        <v>28349</v>
      </c>
    </row>
    <row r="2884">
      <c r="A2884" s="37" t="s">
        <v>24751</v>
      </c>
      <c r="B2884" s="37" t="s">
        <v>24752</v>
      </c>
      <c r="C2884" s="7" t="s">
        <v>28350</v>
      </c>
      <c r="D2884" s="37" t="s">
        <v>28351</v>
      </c>
    </row>
    <row r="2885">
      <c r="A2885" s="37" t="s">
        <v>1147</v>
      </c>
      <c r="B2885" s="37" t="s">
        <v>478</v>
      </c>
      <c r="C2885" s="7" t="s">
        <v>5858</v>
      </c>
      <c r="D2885" s="37" t="s">
        <v>28352</v>
      </c>
    </row>
    <row r="2886">
      <c r="A2886" s="37" t="s">
        <v>1183</v>
      </c>
      <c r="B2886" s="37" t="s">
        <v>854</v>
      </c>
      <c r="C2886" s="7" t="s">
        <v>28353</v>
      </c>
      <c r="D2886" s="37" t="s">
        <v>28354</v>
      </c>
    </row>
    <row r="2887">
      <c r="A2887" s="37" t="s">
        <v>1182</v>
      </c>
      <c r="B2887" s="37" t="s">
        <v>854</v>
      </c>
      <c r="C2887" s="7" t="s">
        <v>28355</v>
      </c>
      <c r="D2887" s="37" t="s">
        <v>28356</v>
      </c>
    </row>
    <row r="2888">
      <c r="A2888" s="37" t="s">
        <v>74</v>
      </c>
      <c r="B2888" s="37" t="s">
        <v>1208</v>
      </c>
      <c r="C2888" s="7" t="s">
        <v>28357</v>
      </c>
      <c r="D2888" s="37" t="s">
        <v>28358</v>
      </c>
    </row>
    <row r="2889">
      <c r="A2889" s="37" t="s">
        <v>1245</v>
      </c>
      <c r="B2889" s="37" t="s">
        <v>1242</v>
      </c>
      <c r="C2889" s="7" t="s">
        <v>28359</v>
      </c>
      <c r="D2889" s="37" t="s">
        <v>28360</v>
      </c>
    </row>
    <row r="2890">
      <c r="A2890" s="37" t="s">
        <v>1305</v>
      </c>
      <c r="B2890" s="37" t="s">
        <v>1054</v>
      </c>
      <c r="C2890" s="7" t="s">
        <v>28361</v>
      </c>
      <c r="D2890" s="37" t="s">
        <v>28362</v>
      </c>
    </row>
    <row r="2891">
      <c r="A2891" s="37" t="s">
        <v>1305</v>
      </c>
      <c r="B2891" s="37" t="s">
        <v>1054</v>
      </c>
      <c r="C2891" s="7" t="s">
        <v>28363</v>
      </c>
      <c r="D2891" s="37" t="s">
        <v>28364</v>
      </c>
    </row>
    <row r="2892">
      <c r="A2892" s="37" t="s">
        <v>1305</v>
      </c>
      <c r="B2892" s="37" t="s">
        <v>1054</v>
      </c>
      <c r="C2892" s="7" t="s">
        <v>28365</v>
      </c>
      <c r="D2892" s="37" t="s">
        <v>28366</v>
      </c>
    </row>
    <row r="2893">
      <c r="A2893" s="37" t="s">
        <v>1305</v>
      </c>
      <c r="B2893" s="37" t="s">
        <v>1054</v>
      </c>
      <c r="C2893" s="7" t="s">
        <v>28367</v>
      </c>
      <c r="D2893" s="37" t="s">
        <v>28368</v>
      </c>
    </row>
    <row r="2894">
      <c r="A2894" s="37" t="s">
        <v>286</v>
      </c>
      <c r="B2894" s="37" t="s">
        <v>854</v>
      </c>
      <c r="C2894" s="7" t="s">
        <v>28369</v>
      </c>
      <c r="D2894" s="37" t="s">
        <v>28370</v>
      </c>
    </row>
    <row r="2895">
      <c r="A2895" s="37" t="s">
        <v>1155</v>
      </c>
      <c r="B2895" s="37" t="s">
        <v>693</v>
      </c>
      <c r="C2895" s="7" t="s">
        <v>28371</v>
      </c>
      <c r="D2895" s="37" t="s">
        <v>28372</v>
      </c>
    </row>
    <row r="2896">
      <c r="A2896" s="37" t="s">
        <v>23444</v>
      </c>
      <c r="B2896" s="37" t="s">
        <v>24942</v>
      </c>
      <c r="C2896" s="7" t="s">
        <v>28373</v>
      </c>
      <c r="D2896" s="37" t="s">
        <v>28374</v>
      </c>
    </row>
    <row r="2897">
      <c r="A2897" s="37" t="s">
        <v>27803</v>
      </c>
      <c r="B2897" s="37" t="s">
        <v>26160</v>
      </c>
      <c r="C2897" s="7" t="s">
        <v>28375</v>
      </c>
      <c r="D2897" s="37" t="s">
        <v>28376</v>
      </c>
    </row>
    <row r="2898">
      <c r="A2898" s="37" t="s">
        <v>1283</v>
      </c>
      <c r="B2898" s="37" t="s">
        <v>298</v>
      </c>
      <c r="C2898" s="7" t="s">
        <v>28377</v>
      </c>
      <c r="D2898" s="37" t="s">
        <v>28378</v>
      </c>
    </row>
    <row r="2899">
      <c r="A2899" s="37" t="s">
        <v>28379</v>
      </c>
      <c r="B2899" s="37" t="s">
        <v>26245</v>
      </c>
      <c r="C2899" s="7" t="s">
        <v>28380</v>
      </c>
      <c r="D2899" s="37" t="s">
        <v>28381</v>
      </c>
    </row>
    <row r="2900">
      <c r="A2900" s="37" t="s">
        <v>1147</v>
      </c>
      <c r="B2900" s="37" t="s">
        <v>478</v>
      </c>
      <c r="C2900" s="7" t="s">
        <v>28382</v>
      </c>
      <c r="D2900" s="37" t="s">
        <v>28383</v>
      </c>
    </row>
    <row r="2901">
      <c r="A2901" s="37" t="s">
        <v>148</v>
      </c>
      <c r="B2901" s="37" t="s">
        <v>1096</v>
      </c>
      <c r="C2901" s="7" t="s">
        <v>28384</v>
      </c>
      <c r="D2901" s="37" t="s">
        <v>28385</v>
      </c>
    </row>
    <row r="2902">
      <c r="A2902" s="37" t="s">
        <v>1363</v>
      </c>
      <c r="B2902" s="37" t="s">
        <v>1096</v>
      </c>
      <c r="C2902" s="7" t="s">
        <v>28386</v>
      </c>
      <c r="D2902" s="37" t="s">
        <v>28387</v>
      </c>
    </row>
    <row r="2903">
      <c r="A2903" s="37" t="s">
        <v>1183</v>
      </c>
      <c r="B2903" s="37" t="s">
        <v>854</v>
      </c>
      <c r="C2903" s="7" t="s">
        <v>28262</v>
      </c>
      <c r="D2903" s="37" t="s">
        <v>28388</v>
      </c>
    </row>
    <row r="2904">
      <c r="A2904" s="37" t="s">
        <v>148</v>
      </c>
      <c r="B2904" s="37" t="s">
        <v>26038</v>
      </c>
      <c r="C2904" s="7" t="s">
        <v>28389</v>
      </c>
      <c r="D2904" s="37" t="s">
        <v>28390</v>
      </c>
    </row>
    <row r="2905">
      <c r="A2905" s="37" t="s">
        <v>148</v>
      </c>
      <c r="B2905" s="37" t="s">
        <v>26038</v>
      </c>
      <c r="C2905" s="7" t="s">
        <v>28391</v>
      </c>
      <c r="D2905" s="37" t="s">
        <v>28392</v>
      </c>
    </row>
    <row r="2906">
      <c r="A2906" s="37" t="s">
        <v>1363</v>
      </c>
      <c r="B2906" s="37" t="s">
        <v>1096</v>
      </c>
      <c r="C2906" s="7" t="s">
        <v>28393</v>
      </c>
      <c r="D2906" s="37" t="s">
        <v>28394</v>
      </c>
    </row>
    <row r="2907">
      <c r="A2907" s="37" t="s">
        <v>1363</v>
      </c>
      <c r="B2907" s="37" t="s">
        <v>1096</v>
      </c>
      <c r="C2907" s="7" t="s">
        <v>28395</v>
      </c>
      <c r="D2907" s="37" t="s">
        <v>28396</v>
      </c>
    </row>
    <row r="2908">
      <c r="A2908" s="37" t="s">
        <v>186</v>
      </c>
      <c r="B2908" s="37" t="s">
        <v>1495</v>
      </c>
      <c r="C2908" s="37" t="s">
        <v>28397</v>
      </c>
      <c r="D2908" s="37" t="s">
        <v>28398</v>
      </c>
    </row>
    <row r="2909">
      <c r="A2909" s="37" t="s">
        <v>28379</v>
      </c>
      <c r="B2909" s="37" t="s">
        <v>27284</v>
      </c>
      <c r="C2909" s="7" t="s">
        <v>28399</v>
      </c>
      <c r="D2909" s="37" t="s">
        <v>28400</v>
      </c>
    </row>
    <row r="2910">
      <c r="A2910" s="37" t="s">
        <v>28379</v>
      </c>
      <c r="B2910" s="37" t="s">
        <v>26245</v>
      </c>
      <c r="C2910" s="7" t="s">
        <v>5818</v>
      </c>
      <c r="D2910" s="37" t="s">
        <v>28401</v>
      </c>
    </row>
    <row r="2911">
      <c r="A2911" s="37" t="s">
        <v>104</v>
      </c>
      <c r="B2911" s="37" t="s">
        <v>613</v>
      </c>
      <c r="C2911" s="7" t="s">
        <v>28402</v>
      </c>
      <c r="D2911" s="37" t="s">
        <v>28403</v>
      </c>
    </row>
    <row r="2912">
      <c r="A2912" s="37" t="s">
        <v>1602</v>
      </c>
      <c r="B2912" s="37" t="s">
        <v>24942</v>
      </c>
      <c r="C2912" s="7" t="s">
        <v>10260</v>
      </c>
      <c r="D2912" s="37" t="s">
        <v>28404</v>
      </c>
    </row>
    <row r="2913">
      <c r="A2913" s="37" t="s">
        <v>23444</v>
      </c>
      <c r="B2913" s="37" t="s">
        <v>24942</v>
      </c>
      <c r="C2913" s="7" t="s">
        <v>28405</v>
      </c>
      <c r="D2913" s="37" t="s">
        <v>28406</v>
      </c>
    </row>
    <row r="2914">
      <c r="A2914" s="37" t="s">
        <v>1276</v>
      </c>
      <c r="B2914" s="37" t="s">
        <v>1273</v>
      </c>
      <c r="C2914" s="7" t="s">
        <v>28407</v>
      </c>
      <c r="D2914" s="37" t="s">
        <v>28408</v>
      </c>
    </row>
    <row r="2915">
      <c r="A2915" s="37" t="s">
        <v>1188</v>
      </c>
      <c r="B2915" s="37" t="s">
        <v>1208</v>
      </c>
      <c r="C2915" s="7" t="s">
        <v>28409</v>
      </c>
      <c r="D2915" s="37" t="s">
        <v>28410</v>
      </c>
    </row>
    <row r="2916">
      <c r="A2916" s="37" t="s">
        <v>1243</v>
      </c>
      <c r="B2916" s="37" t="s">
        <v>1242</v>
      </c>
      <c r="C2916" s="37" t="s">
        <v>28411</v>
      </c>
      <c r="D2916" s="37" t="s">
        <v>28412</v>
      </c>
    </row>
    <row r="2917">
      <c r="A2917" s="37" t="s">
        <v>443</v>
      </c>
      <c r="B2917" s="37" t="s">
        <v>440</v>
      </c>
      <c r="C2917" s="7" t="s">
        <v>28413</v>
      </c>
      <c r="D2917" s="37" t="s">
        <v>28414</v>
      </c>
    </row>
    <row r="2918">
      <c r="A2918" s="37" t="s">
        <v>4</v>
      </c>
      <c r="B2918" s="37" t="s">
        <v>3</v>
      </c>
      <c r="C2918" s="7" t="s">
        <v>28415</v>
      </c>
      <c r="D2918" s="37" t="s">
        <v>28416</v>
      </c>
    </row>
    <row r="2919">
      <c r="A2919" s="37" t="s">
        <v>802</v>
      </c>
      <c r="B2919" s="37" t="s">
        <v>298</v>
      </c>
      <c r="C2919" s="7" t="s">
        <v>28417</v>
      </c>
      <c r="D2919" s="37" t="s">
        <v>28418</v>
      </c>
    </row>
    <row r="2920">
      <c r="A2920" s="37" t="s">
        <v>74</v>
      </c>
      <c r="B2920" s="37" t="s">
        <v>1208</v>
      </c>
      <c r="C2920" s="37" t="s">
        <v>23650</v>
      </c>
      <c r="D2920" s="37" t="s">
        <v>28419</v>
      </c>
    </row>
    <row r="2921">
      <c r="A2921" s="37" t="s">
        <v>148</v>
      </c>
      <c r="B2921" s="37" t="s">
        <v>26038</v>
      </c>
      <c r="C2921" s="7" t="s">
        <v>28420</v>
      </c>
      <c r="D2921" s="37" t="s">
        <v>28421</v>
      </c>
    </row>
    <row r="2922">
      <c r="A2922" s="37" t="s">
        <v>148</v>
      </c>
      <c r="B2922" s="37" t="s">
        <v>26038</v>
      </c>
      <c r="C2922" s="7" t="s">
        <v>28422</v>
      </c>
      <c r="D2922" s="37" t="s">
        <v>28423</v>
      </c>
    </row>
    <row r="2923">
      <c r="A2923" s="37" t="s">
        <v>74</v>
      </c>
      <c r="B2923" s="37" t="s">
        <v>1208</v>
      </c>
      <c r="C2923" s="7" t="s">
        <v>28424</v>
      </c>
      <c r="D2923" s="37" t="s">
        <v>28425</v>
      </c>
    </row>
    <row r="2924">
      <c r="A2924" s="37" t="s">
        <v>1305</v>
      </c>
      <c r="B2924" s="37" t="s">
        <v>24942</v>
      </c>
      <c r="C2924" s="7" t="s">
        <v>28426</v>
      </c>
      <c r="D2924" s="37" t="s">
        <v>28427</v>
      </c>
    </row>
    <row r="2925">
      <c r="A2925" s="37" t="s">
        <v>1278</v>
      </c>
      <c r="B2925" s="37" t="s">
        <v>25880</v>
      </c>
      <c r="C2925" s="7" t="s">
        <v>28428</v>
      </c>
      <c r="D2925" s="37" t="s">
        <v>28429</v>
      </c>
    </row>
    <row r="2926">
      <c r="A2926" s="37" t="s">
        <v>864</v>
      </c>
      <c r="B2926" s="37" t="s">
        <v>854</v>
      </c>
      <c r="C2926" s="7" t="s">
        <v>25768</v>
      </c>
      <c r="D2926" s="37" t="s">
        <v>28430</v>
      </c>
    </row>
    <row r="2927">
      <c r="A2927" s="37" t="s">
        <v>74</v>
      </c>
      <c r="B2927" s="37" t="s">
        <v>1208</v>
      </c>
      <c r="C2927" s="7" t="s">
        <v>9859</v>
      </c>
      <c r="D2927" s="37" t="s">
        <v>28431</v>
      </c>
    </row>
    <row r="2928">
      <c r="A2928" s="37" t="s">
        <v>1246</v>
      </c>
      <c r="B2928" s="37" t="s">
        <v>1242</v>
      </c>
      <c r="C2928" s="7" t="s">
        <v>26570</v>
      </c>
      <c r="D2928" s="37" t="s">
        <v>28432</v>
      </c>
    </row>
    <row r="2929">
      <c r="A2929" s="37" t="s">
        <v>1283</v>
      </c>
      <c r="B2929" s="37" t="s">
        <v>298</v>
      </c>
      <c r="C2929" s="7" t="s">
        <v>28433</v>
      </c>
      <c r="D2929" s="37" t="s">
        <v>28434</v>
      </c>
    </row>
    <row r="2930">
      <c r="A2930" s="37" t="s">
        <v>1361</v>
      </c>
      <c r="B2930" s="37" t="s">
        <v>1096</v>
      </c>
      <c r="C2930" s="7" t="s">
        <v>28435</v>
      </c>
      <c r="D2930" s="37" t="s">
        <v>28436</v>
      </c>
    </row>
    <row r="2931">
      <c r="A2931" s="37" t="s">
        <v>1155</v>
      </c>
      <c r="B2931" s="37" t="s">
        <v>693</v>
      </c>
      <c r="C2931" s="7" t="s">
        <v>28437</v>
      </c>
      <c r="D2931" s="37" t="s">
        <v>28438</v>
      </c>
    </row>
    <row r="2932">
      <c r="A2932" s="37" t="s">
        <v>304</v>
      </c>
      <c r="B2932" s="37" t="s">
        <v>298</v>
      </c>
      <c r="C2932" s="7" t="s">
        <v>28439</v>
      </c>
      <c r="D2932" s="37" t="s">
        <v>28440</v>
      </c>
    </row>
    <row r="2933">
      <c r="A2933" s="37" t="s">
        <v>1283</v>
      </c>
      <c r="B2933" s="37" t="s">
        <v>298</v>
      </c>
      <c r="C2933" s="7" t="s">
        <v>28441</v>
      </c>
      <c r="D2933" s="37" t="s">
        <v>28442</v>
      </c>
    </row>
    <row r="2934">
      <c r="A2934" s="37" t="s">
        <v>124</v>
      </c>
      <c r="B2934" s="37" t="s">
        <v>24752</v>
      </c>
      <c r="C2934" s="7" t="s">
        <v>28443</v>
      </c>
      <c r="D2934" s="37" t="s">
        <v>28444</v>
      </c>
    </row>
    <row r="2935">
      <c r="A2935" s="37" t="s">
        <v>28445</v>
      </c>
      <c r="B2935" s="37" t="s">
        <v>28446</v>
      </c>
      <c r="C2935" s="7" t="s">
        <v>28447</v>
      </c>
      <c r="D2935" s="37" t="s">
        <v>28448</v>
      </c>
    </row>
    <row r="2936">
      <c r="A2936" s="37" t="s">
        <v>23444</v>
      </c>
      <c r="B2936" s="37" t="s">
        <v>24942</v>
      </c>
      <c r="C2936" s="7" t="s">
        <v>28449</v>
      </c>
      <c r="D2936" s="37" t="s">
        <v>28450</v>
      </c>
    </row>
    <row r="2937">
      <c r="A2937" s="37" t="s">
        <v>23444</v>
      </c>
      <c r="B2937" s="37" t="s">
        <v>24942</v>
      </c>
      <c r="C2937" s="7" t="s">
        <v>28451</v>
      </c>
      <c r="D2937" s="37" t="s">
        <v>28452</v>
      </c>
    </row>
    <row r="2938">
      <c r="A2938" s="37" t="s">
        <v>1209</v>
      </c>
      <c r="B2938" s="37" t="s">
        <v>1208</v>
      </c>
      <c r="C2938" s="7" t="s">
        <v>28453</v>
      </c>
      <c r="D2938" s="37" t="s">
        <v>28454</v>
      </c>
    </row>
    <row r="2939">
      <c r="A2939" s="37" t="s">
        <v>1183</v>
      </c>
      <c r="B2939" s="37" t="s">
        <v>854</v>
      </c>
      <c r="C2939" s="7" t="s">
        <v>28455</v>
      </c>
      <c r="D2939" s="37" t="s">
        <v>28456</v>
      </c>
    </row>
    <row r="2940">
      <c r="A2940" s="37" t="s">
        <v>359</v>
      </c>
      <c r="B2940" s="37" t="s">
        <v>26160</v>
      </c>
      <c r="C2940" s="7" t="s">
        <v>28457</v>
      </c>
      <c r="D2940" s="37" t="s">
        <v>28458</v>
      </c>
    </row>
    <row r="2941">
      <c r="A2941" s="37" t="s">
        <v>1155</v>
      </c>
      <c r="B2941" s="37" t="s">
        <v>693</v>
      </c>
      <c r="C2941" s="7" t="s">
        <v>28459</v>
      </c>
      <c r="D2941" s="37" t="s">
        <v>28460</v>
      </c>
    </row>
    <row r="2942">
      <c r="A2942" s="37" t="s">
        <v>118</v>
      </c>
      <c r="B2942" s="37" t="s">
        <v>24752</v>
      </c>
      <c r="C2942" s="7" t="s">
        <v>28461</v>
      </c>
      <c r="D2942" s="37" t="s">
        <v>28462</v>
      </c>
    </row>
    <row r="2943">
      <c r="A2943" s="37" t="s">
        <v>443</v>
      </c>
      <c r="B2943" s="37" t="s">
        <v>440</v>
      </c>
      <c r="C2943" s="7" t="s">
        <v>28463</v>
      </c>
      <c r="D2943" s="37" t="s">
        <v>28464</v>
      </c>
    </row>
    <row r="2944">
      <c r="A2944" s="37" t="s">
        <v>443</v>
      </c>
      <c r="B2944" s="37" t="s">
        <v>440</v>
      </c>
      <c r="C2944" s="7" t="s">
        <v>28465</v>
      </c>
      <c r="D2944" s="37" t="s">
        <v>28466</v>
      </c>
    </row>
    <row r="2945">
      <c r="A2945" s="37" t="s">
        <v>304</v>
      </c>
      <c r="B2945" s="37" t="s">
        <v>298</v>
      </c>
      <c r="C2945" s="7" t="s">
        <v>28467</v>
      </c>
      <c r="D2945" s="37" t="s">
        <v>28468</v>
      </c>
    </row>
    <row r="2946">
      <c r="A2946" s="37" t="s">
        <v>1363</v>
      </c>
      <c r="B2946" s="37" t="s">
        <v>1096</v>
      </c>
      <c r="C2946" s="7" t="s">
        <v>28469</v>
      </c>
      <c r="D2946" s="37" t="s">
        <v>28470</v>
      </c>
    </row>
    <row r="2947">
      <c r="A2947" s="37" t="s">
        <v>540</v>
      </c>
      <c r="B2947" s="37" t="s">
        <v>26160</v>
      </c>
      <c r="C2947" s="7" t="s">
        <v>28471</v>
      </c>
      <c r="D2947" s="37" t="s">
        <v>28472</v>
      </c>
    </row>
    <row r="2948">
      <c r="A2948" s="37" t="s">
        <v>27544</v>
      </c>
      <c r="B2948" s="37" t="s">
        <v>26038</v>
      </c>
      <c r="C2948" s="7" t="s">
        <v>28473</v>
      </c>
      <c r="D2948" s="37" t="s">
        <v>28474</v>
      </c>
    </row>
    <row r="2949">
      <c r="A2949" s="37" t="s">
        <v>1356</v>
      </c>
      <c r="B2949" s="37" t="s">
        <v>1096</v>
      </c>
      <c r="C2949" s="7" t="s">
        <v>28475</v>
      </c>
      <c r="D2949" s="37" t="s">
        <v>28476</v>
      </c>
    </row>
    <row r="2950">
      <c r="A2950" s="37" t="s">
        <v>1246</v>
      </c>
      <c r="B2950" s="37" t="s">
        <v>1242</v>
      </c>
      <c r="C2950" s="7" t="s">
        <v>28477</v>
      </c>
      <c r="D2950" s="37" t="s">
        <v>28478</v>
      </c>
    </row>
    <row r="2951">
      <c r="A2951" s="37" t="s">
        <v>1305</v>
      </c>
      <c r="B2951" s="37" t="s">
        <v>24942</v>
      </c>
      <c r="C2951" s="37" t="s">
        <v>28479</v>
      </c>
      <c r="D2951" s="37" t="s">
        <v>28480</v>
      </c>
    </row>
    <row r="2952">
      <c r="A2952" s="37" t="s">
        <v>1147</v>
      </c>
      <c r="B2952" s="37" t="s">
        <v>478</v>
      </c>
      <c r="C2952" s="7" t="s">
        <v>27634</v>
      </c>
      <c r="D2952" s="37" t="s">
        <v>28481</v>
      </c>
    </row>
    <row r="2953">
      <c r="A2953" s="37" t="s">
        <v>148</v>
      </c>
      <c r="B2953" s="37" t="s">
        <v>26038</v>
      </c>
      <c r="C2953" s="7" t="s">
        <v>28482</v>
      </c>
      <c r="D2953" s="37" t="s">
        <v>28483</v>
      </c>
    </row>
    <row r="2954">
      <c r="A2954" s="37" t="s">
        <v>1245</v>
      </c>
      <c r="B2954" s="37" t="s">
        <v>1242</v>
      </c>
      <c r="C2954" s="7" t="s">
        <v>27830</v>
      </c>
      <c r="D2954" s="37" t="s">
        <v>28484</v>
      </c>
    </row>
    <row r="2955">
      <c r="A2955" s="37" t="s">
        <v>1246</v>
      </c>
      <c r="B2955" s="37" t="s">
        <v>38</v>
      </c>
      <c r="C2955" s="7" t="s">
        <v>28485</v>
      </c>
      <c r="D2955" s="37" t="s">
        <v>28486</v>
      </c>
    </row>
    <row r="2956">
      <c r="A2956" s="37" t="s">
        <v>1209</v>
      </c>
      <c r="B2956" s="37" t="s">
        <v>1208</v>
      </c>
      <c r="C2956" s="7" t="s">
        <v>28487</v>
      </c>
      <c r="D2956" s="37" t="s">
        <v>28488</v>
      </c>
    </row>
    <row r="2957">
      <c r="A2957" s="37" t="s">
        <v>1305</v>
      </c>
      <c r="B2957" s="37" t="s">
        <v>24942</v>
      </c>
      <c r="C2957" s="7" t="s">
        <v>28489</v>
      </c>
      <c r="D2957" s="37" t="s">
        <v>28490</v>
      </c>
    </row>
    <row r="2958">
      <c r="A2958" s="37" t="s">
        <v>104</v>
      </c>
      <c r="B2958" s="37" t="s">
        <v>613</v>
      </c>
      <c r="C2958" s="7" t="s">
        <v>13486</v>
      </c>
      <c r="D2958" s="37" t="s">
        <v>28491</v>
      </c>
    </row>
    <row r="2959">
      <c r="A2959" s="37" t="s">
        <v>1361</v>
      </c>
      <c r="B2959" s="37" t="s">
        <v>27172</v>
      </c>
      <c r="C2959" s="37" t="s">
        <v>28492</v>
      </c>
      <c r="D2959" s="37" t="s">
        <v>28493</v>
      </c>
    </row>
    <row r="2960">
      <c r="A2960" s="37" t="s">
        <v>399</v>
      </c>
      <c r="B2960" s="37" t="s">
        <v>391</v>
      </c>
      <c r="C2960" s="7" t="s">
        <v>28494</v>
      </c>
      <c r="D2960" s="37" t="s">
        <v>28495</v>
      </c>
    </row>
    <row r="2961">
      <c r="A2961" s="37" t="s">
        <v>28496</v>
      </c>
      <c r="B2961" s="37" t="s">
        <v>693</v>
      </c>
      <c r="C2961" s="7" t="s">
        <v>28497</v>
      </c>
      <c r="D2961" s="37" t="s">
        <v>28498</v>
      </c>
    </row>
    <row r="2962">
      <c r="A2962" s="37" t="s">
        <v>484</v>
      </c>
      <c r="B2962" s="37" t="s">
        <v>478</v>
      </c>
      <c r="C2962" s="7" t="s">
        <v>28499</v>
      </c>
      <c r="D2962" s="37" t="s">
        <v>28500</v>
      </c>
    </row>
    <row r="2963">
      <c r="A2963" s="37" t="s">
        <v>1278</v>
      </c>
      <c r="B2963" s="37" t="s">
        <v>1054</v>
      </c>
      <c r="C2963" s="7" t="s">
        <v>28501</v>
      </c>
      <c r="D2963" s="37" t="s">
        <v>28502</v>
      </c>
    </row>
    <row r="2964">
      <c r="A2964" s="37" t="s">
        <v>1246</v>
      </c>
      <c r="B2964" s="37" t="s">
        <v>1242</v>
      </c>
      <c r="C2964" s="7" t="s">
        <v>28503</v>
      </c>
      <c r="D2964" s="37" t="s">
        <v>28504</v>
      </c>
    </row>
    <row r="2965">
      <c r="A2965" s="37" t="s">
        <v>1305</v>
      </c>
      <c r="B2965" s="37" t="s">
        <v>24942</v>
      </c>
      <c r="C2965" s="7" t="s">
        <v>23834</v>
      </c>
      <c r="D2965" s="37" t="s">
        <v>28505</v>
      </c>
    </row>
    <row r="2966">
      <c r="A2966" s="37" t="s">
        <v>43</v>
      </c>
      <c r="B2966" s="37" t="s">
        <v>1242</v>
      </c>
      <c r="C2966" s="37" t="s">
        <v>28506</v>
      </c>
      <c r="D2966" s="37" t="s">
        <v>28507</v>
      </c>
    </row>
    <row r="2967">
      <c r="A2967" s="37" t="s">
        <v>1185</v>
      </c>
      <c r="B2967" s="37" t="s">
        <v>28508</v>
      </c>
      <c r="C2967" s="7" t="s">
        <v>28509</v>
      </c>
      <c r="D2967" s="37" t="s">
        <v>28510</v>
      </c>
    </row>
    <row r="2968">
      <c r="A2968" s="37" t="s">
        <v>1146</v>
      </c>
      <c r="B2968" s="37" t="s">
        <v>478</v>
      </c>
      <c r="C2968" s="7" t="s">
        <v>28511</v>
      </c>
      <c r="D2968" s="37" t="s">
        <v>28512</v>
      </c>
    </row>
    <row r="2969">
      <c r="A2969" s="37" t="s">
        <v>1146</v>
      </c>
      <c r="B2969" s="37" t="s">
        <v>478</v>
      </c>
      <c r="C2969" s="7" t="s">
        <v>28513</v>
      </c>
      <c r="D2969" s="37" t="s">
        <v>28514</v>
      </c>
    </row>
    <row r="2970">
      <c r="A2970" s="37" t="s">
        <v>1146</v>
      </c>
      <c r="B2970" s="37" t="s">
        <v>478</v>
      </c>
      <c r="C2970" s="7" t="s">
        <v>28515</v>
      </c>
      <c r="D2970" s="37" t="s">
        <v>28516</v>
      </c>
    </row>
    <row r="2971">
      <c r="A2971" s="37" t="s">
        <v>27544</v>
      </c>
      <c r="B2971" s="37" t="s">
        <v>26038</v>
      </c>
      <c r="C2971" s="7" t="s">
        <v>28517</v>
      </c>
      <c r="D2971" s="37" t="s">
        <v>28518</v>
      </c>
    </row>
    <row r="2972">
      <c r="A2972" s="37" t="s">
        <v>1358</v>
      </c>
      <c r="B2972" s="37" t="s">
        <v>1096</v>
      </c>
      <c r="C2972" s="37" t="s">
        <v>28519</v>
      </c>
      <c r="D2972" s="37" t="s">
        <v>28520</v>
      </c>
    </row>
    <row r="2973">
      <c r="A2973" s="37" t="s">
        <v>304</v>
      </c>
      <c r="B2973" s="37" t="s">
        <v>298</v>
      </c>
      <c r="C2973" s="7" t="s">
        <v>28521</v>
      </c>
      <c r="D2973" s="37" t="s">
        <v>28522</v>
      </c>
    </row>
    <row r="2974">
      <c r="A2974" s="37" t="s">
        <v>148</v>
      </c>
      <c r="B2974" s="37" t="s">
        <v>26038</v>
      </c>
      <c r="C2974" s="7" t="s">
        <v>28523</v>
      </c>
      <c r="D2974" s="37" t="s">
        <v>28524</v>
      </c>
    </row>
    <row r="2975">
      <c r="A2975" s="37" t="s">
        <v>148</v>
      </c>
      <c r="B2975" s="37" t="s">
        <v>26038</v>
      </c>
      <c r="C2975" s="7" t="s">
        <v>28525</v>
      </c>
      <c r="D2975" s="37" t="s">
        <v>28526</v>
      </c>
    </row>
    <row r="2976">
      <c r="A2976" s="37" t="s">
        <v>1602</v>
      </c>
      <c r="B2976" s="37" t="s">
        <v>24942</v>
      </c>
      <c r="C2976" s="7" t="s">
        <v>28527</v>
      </c>
      <c r="D2976" s="37" t="s">
        <v>28528</v>
      </c>
    </row>
    <row r="2977">
      <c r="A2977" s="37" t="s">
        <v>486</v>
      </c>
      <c r="B2977" s="37" t="s">
        <v>478</v>
      </c>
      <c r="C2977" s="7" t="s">
        <v>28529</v>
      </c>
      <c r="D2977" s="37" t="s">
        <v>28530</v>
      </c>
    </row>
    <row r="2978">
      <c r="A2978" s="37" t="s">
        <v>23590</v>
      </c>
      <c r="B2978" s="37" t="s">
        <v>1495</v>
      </c>
      <c r="C2978" s="7" t="s">
        <v>28531</v>
      </c>
      <c r="D2978" s="37" t="s">
        <v>28532</v>
      </c>
    </row>
    <row r="2979">
      <c r="A2979" s="37" t="s">
        <v>1305</v>
      </c>
      <c r="B2979" s="37" t="s">
        <v>24942</v>
      </c>
      <c r="C2979" s="7" t="s">
        <v>28533</v>
      </c>
      <c r="D2979" s="37" t="s">
        <v>28534</v>
      </c>
    </row>
    <row r="2980">
      <c r="A2980" s="37" t="s">
        <v>1146</v>
      </c>
      <c r="B2980" s="37" t="s">
        <v>478</v>
      </c>
      <c r="C2980" s="7" t="s">
        <v>28535</v>
      </c>
      <c r="D2980" s="37" t="s">
        <v>28536</v>
      </c>
    </row>
    <row r="2981">
      <c r="A2981" s="37" t="s">
        <v>1146</v>
      </c>
      <c r="B2981" s="37" t="s">
        <v>478</v>
      </c>
      <c r="C2981" s="7" t="s">
        <v>28537</v>
      </c>
      <c r="D2981" s="37" t="s">
        <v>28538</v>
      </c>
    </row>
    <row r="2982">
      <c r="A2982" s="37" t="s">
        <v>1146</v>
      </c>
      <c r="B2982" s="37" t="s">
        <v>478</v>
      </c>
      <c r="C2982" s="7" t="s">
        <v>28539</v>
      </c>
      <c r="D2982" s="37" t="s">
        <v>28540</v>
      </c>
    </row>
    <row r="2983">
      <c r="A2983" s="37" t="s">
        <v>148</v>
      </c>
      <c r="B2983" s="37" t="s">
        <v>26038</v>
      </c>
      <c r="C2983" s="7" t="s">
        <v>28541</v>
      </c>
      <c r="D2983" s="37" t="s">
        <v>28542</v>
      </c>
    </row>
    <row r="2984">
      <c r="A2984" s="37" t="s">
        <v>1283</v>
      </c>
      <c r="B2984" s="37" t="s">
        <v>298</v>
      </c>
      <c r="C2984" s="7" t="s">
        <v>28543</v>
      </c>
      <c r="D2984" s="37" t="s">
        <v>28544</v>
      </c>
    </row>
    <row r="2985">
      <c r="A2985" s="37" t="s">
        <v>802</v>
      </c>
      <c r="B2985" s="37" t="s">
        <v>298</v>
      </c>
      <c r="C2985" s="7" t="s">
        <v>28545</v>
      </c>
      <c r="D2985" s="37" t="s">
        <v>28546</v>
      </c>
    </row>
    <row r="2986">
      <c r="A2986" s="37" t="s">
        <v>1602</v>
      </c>
      <c r="B2986" s="37" t="s">
        <v>24942</v>
      </c>
      <c r="C2986" s="7" t="s">
        <v>28547</v>
      </c>
      <c r="D2986" s="37" t="s">
        <v>28548</v>
      </c>
    </row>
    <row r="2987">
      <c r="A2987" s="37" t="s">
        <v>1602</v>
      </c>
      <c r="B2987" s="37" t="s">
        <v>24942</v>
      </c>
      <c r="C2987" s="7" t="s">
        <v>28549</v>
      </c>
      <c r="D2987" s="37" t="s">
        <v>28550</v>
      </c>
    </row>
    <row r="2988">
      <c r="A2988" s="37" t="s">
        <v>1602</v>
      </c>
      <c r="B2988" s="37" t="s">
        <v>24942</v>
      </c>
      <c r="C2988" s="7" t="s">
        <v>28551</v>
      </c>
      <c r="D2988" s="37" t="s">
        <v>28552</v>
      </c>
    </row>
    <row r="2989">
      <c r="A2989" s="37" t="s">
        <v>1602</v>
      </c>
      <c r="B2989" s="37" t="s">
        <v>24942</v>
      </c>
      <c r="C2989" s="7" t="s">
        <v>28553</v>
      </c>
      <c r="D2989" s="37" t="s">
        <v>28554</v>
      </c>
    </row>
    <row r="2990">
      <c r="A2990" s="37" t="s">
        <v>1602</v>
      </c>
      <c r="B2990" s="37" t="s">
        <v>24942</v>
      </c>
      <c r="C2990" s="7" t="s">
        <v>28555</v>
      </c>
      <c r="D2990" s="37" t="s">
        <v>28556</v>
      </c>
    </row>
    <row r="2991">
      <c r="A2991" s="37" t="s">
        <v>1602</v>
      </c>
      <c r="B2991" s="37" t="s">
        <v>24942</v>
      </c>
      <c r="C2991" s="7" t="s">
        <v>28557</v>
      </c>
      <c r="D2991" s="37" t="s">
        <v>28558</v>
      </c>
    </row>
    <row r="2992">
      <c r="A2992" s="37" t="s">
        <v>1602</v>
      </c>
      <c r="B2992" s="37" t="s">
        <v>24942</v>
      </c>
      <c r="C2992" s="7" t="s">
        <v>28559</v>
      </c>
      <c r="D2992" s="37" t="s">
        <v>28560</v>
      </c>
    </row>
    <row r="2993">
      <c r="A2993" s="37" t="s">
        <v>1602</v>
      </c>
      <c r="B2993" s="37" t="s">
        <v>24942</v>
      </c>
      <c r="C2993" s="7" t="s">
        <v>28561</v>
      </c>
      <c r="D2993" s="37" t="s">
        <v>28562</v>
      </c>
    </row>
    <row r="2994">
      <c r="A2994" s="37" t="s">
        <v>1602</v>
      </c>
      <c r="B2994" s="37" t="s">
        <v>24942</v>
      </c>
      <c r="C2994" s="7" t="s">
        <v>28563</v>
      </c>
      <c r="D2994" s="37" t="s">
        <v>28564</v>
      </c>
    </row>
    <row r="2995">
      <c r="A2995" s="37" t="s">
        <v>1602</v>
      </c>
      <c r="B2995" s="37" t="s">
        <v>24942</v>
      </c>
      <c r="C2995" s="7" t="s">
        <v>28565</v>
      </c>
      <c r="D2995" s="37" t="s">
        <v>28566</v>
      </c>
    </row>
    <row r="2996">
      <c r="A2996" s="37" t="s">
        <v>1602</v>
      </c>
      <c r="B2996" s="37" t="s">
        <v>24942</v>
      </c>
      <c r="C2996" s="7" t="s">
        <v>28567</v>
      </c>
      <c r="D2996" s="37" t="s">
        <v>28568</v>
      </c>
    </row>
    <row r="2997">
      <c r="A2997" s="37" t="s">
        <v>1602</v>
      </c>
      <c r="B2997" s="37" t="s">
        <v>24942</v>
      </c>
      <c r="C2997" s="7" t="s">
        <v>28569</v>
      </c>
      <c r="D2997" s="37" t="s">
        <v>28570</v>
      </c>
    </row>
    <row r="2998">
      <c r="A2998" s="37" t="s">
        <v>1602</v>
      </c>
      <c r="B2998" s="37" t="s">
        <v>24942</v>
      </c>
      <c r="C2998" s="7" t="s">
        <v>28571</v>
      </c>
      <c r="D2998" s="37" t="s">
        <v>28572</v>
      </c>
    </row>
    <row r="2999">
      <c r="A2999" s="37" t="s">
        <v>1602</v>
      </c>
      <c r="B2999" s="37" t="s">
        <v>24942</v>
      </c>
      <c r="C2999" s="7" t="s">
        <v>28573</v>
      </c>
      <c r="D2999" s="37" t="s">
        <v>28574</v>
      </c>
    </row>
    <row r="3000">
      <c r="A3000" s="37" t="s">
        <v>1602</v>
      </c>
      <c r="B3000" s="37" t="s">
        <v>24942</v>
      </c>
      <c r="C3000" s="7" t="s">
        <v>28575</v>
      </c>
      <c r="D3000" s="37" t="s">
        <v>28576</v>
      </c>
    </row>
    <row r="3001">
      <c r="A3001" s="37" t="s">
        <v>1602</v>
      </c>
      <c r="B3001" s="37" t="s">
        <v>24942</v>
      </c>
      <c r="C3001" s="7" t="s">
        <v>28577</v>
      </c>
      <c r="D3001" s="37" t="s">
        <v>28578</v>
      </c>
    </row>
    <row r="3002">
      <c r="A3002" s="37" t="s">
        <v>1602</v>
      </c>
      <c r="B3002" s="37" t="s">
        <v>24942</v>
      </c>
      <c r="C3002" s="7" t="s">
        <v>28579</v>
      </c>
      <c r="D3002" s="37" t="s">
        <v>28580</v>
      </c>
    </row>
    <row r="3003">
      <c r="A3003" s="37" t="s">
        <v>1602</v>
      </c>
      <c r="B3003" s="37" t="s">
        <v>24942</v>
      </c>
      <c r="C3003" s="7" t="s">
        <v>28581</v>
      </c>
      <c r="D3003" s="37" t="s">
        <v>28582</v>
      </c>
    </row>
    <row r="3004">
      <c r="A3004" s="37" t="s">
        <v>74</v>
      </c>
      <c r="B3004" s="37" t="s">
        <v>1208</v>
      </c>
      <c r="C3004" s="7" t="s">
        <v>28583</v>
      </c>
      <c r="D3004" s="37" t="s">
        <v>28584</v>
      </c>
    </row>
    <row r="3005">
      <c r="A3005" s="37" t="s">
        <v>48</v>
      </c>
      <c r="B3005" s="37" t="s">
        <v>1242</v>
      </c>
      <c r="C3005" s="7" t="s">
        <v>28585</v>
      </c>
      <c r="D3005" s="37" t="s">
        <v>28586</v>
      </c>
    </row>
    <row r="3006">
      <c r="A3006" s="37" t="s">
        <v>28379</v>
      </c>
      <c r="B3006" s="37" t="s">
        <v>27773</v>
      </c>
      <c r="C3006" s="7" t="s">
        <v>28587</v>
      </c>
      <c r="D3006" s="37" t="s">
        <v>28588</v>
      </c>
    </row>
    <row r="3007">
      <c r="A3007" s="37" t="s">
        <v>28379</v>
      </c>
      <c r="B3007" s="37" t="s">
        <v>27284</v>
      </c>
      <c r="C3007" s="7" t="s">
        <v>28589</v>
      </c>
      <c r="D3007" s="37" t="s">
        <v>28590</v>
      </c>
    </row>
    <row r="3008">
      <c r="A3008" s="37" t="s">
        <v>1355</v>
      </c>
      <c r="B3008" s="37" t="s">
        <v>1096</v>
      </c>
      <c r="C3008" s="7" t="s">
        <v>28591</v>
      </c>
      <c r="D3008" s="37" t="s">
        <v>28592</v>
      </c>
    </row>
    <row r="3009">
      <c r="A3009" s="37" t="s">
        <v>286</v>
      </c>
      <c r="B3009" s="37" t="s">
        <v>363</v>
      </c>
      <c r="C3009" s="37" t="s">
        <v>28593</v>
      </c>
      <c r="D3009" s="37" t="s">
        <v>28594</v>
      </c>
    </row>
    <row r="3010">
      <c r="A3010" s="37" t="s">
        <v>28595</v>
      </c>
      <c r="B3010" s="37" t="s">
        <v>28596</v>
      </c>
      <c r="C3010" s="7" t="s">
        <v>28597</v>
      </c>
      <c r="D3010" s="37" t="s">
        <v>28598</v>
      </c>
    </row>
    <row r="3011">
      <c r="A3011" s="37" t="s">
        <v>857</v>
      </c>
      <c r="B3011" s="37" t="s">
        <v>1268</v>
      </c>
      <c r="C3011" s="7" t="s">
        <v>1704</v>
      </c>
      <c r="D3011" s="37" t="s">
        <v>28599</v>
      </c>
    </row>
    <row r="3012">
      <c r="A3012" s="37" t="s">
        <v>486</v>
      </c>
      <c r="B3012" s="37" t="s">
        <v>478</v>
      </c>
      <c r="C3012" s="7" t="s">
        <v>28600</v>
      </c>
      <c r="D3012" s="37" t="s">
        <v>28601</v>
      </c>
    </row>
    <row r="3013">
      <c r="A3013" s="37" t="s">
        <v>1363</v>
      </c>
      <c r="B3013" s="37" t="s">
        <v>1096</v>
      </c>
      <c r="C3013" s="7" t="s">
        <v>28602</v>
      </c>
      <c r="D3013" s="37" t="s">
        <v>28603</v>
      </c>
    </row>
    <row r="3014">
      <c r="A3014" s="37" t="s">
        <v>1301</v>
      </c>
      <c r="B3014" s="37" t="s">
        <v>1054</v>
      </c>
      <c r="C3014" s="7" t="s">
        <v>28604</v>
      </c>
      <c r="D3014" s="37" t="s">
        <v>28605</v>
      </c>
    </row>
    <row r="3015">
      <c r="A3015" s="37" t="s">
        <v>1361</v>
      </c>
      <c r="B3015" s="37" t="s">
        <v>1096</v>
      </c>
      <c r="C3015" s="7" t="s">
        <v>28606</v>
      </c>
      <c r="D3015" s="37" t="s">
        <v>28607</v>
      </c>
    </row>
    <row r="3016">
      <c r="A3016" s="37" t="s">
        <v>28608</v>
      </c>
      <c r="B3016" s="37" t="s">
        <v>26245</v>
      </c>
      <c r="C3016" s="7" t="s">
        <v>28609</v>
      </c>
      <c r="D3016" s="37" t="s">
        <v>28610</v>
      </c>
    </row>
    <row r="3017">
      <c r="A3017" s="37" t="s">
        <v>1305</v>
      </c>
      <c r="B3017" s="37" t="s">
        <v>24942</v>
      </c>
      <c r="C3017" s="7" t="s">
        <v>28611</v>
      </c>
      <c r="D3017" s="37" t="s">
        <v>28612</v>
      </c>
    </row>
    <row r="3018">
      <c r="A3018" s="37" t="s">
        <v>1246</v>
      </c>
      <c r="B3018" s="37" t="s">
        <v>38</v>
      </c>
      <c r="C3018" s="7" t="s">
        <v>28613</v>
      </c>
      <c r="D3018" s="37" t="s">
        <v>28614</v>
      </c>
    </row>
    <row r="3019">
      <c r="A3019" s="37" t="s">
        <v>148</v>
      </c>
      <c r="B3019" s="37" t="s">
        <v>27172</v>
      </c>
      <c r="C3019" s="7" t="s">
        <v>28615</v>
      </c>
      <c r="D3019" s="37" t="s">
        <v>28616</v>
      </c>
    </row>
    <row r="3020">
      <c r="A3020" s="37" t="s">
        <v>186</v>
      </c>
      <c r="B3020" s="37" t="s">
        <v>186</v>
      </c>
      <c r="C3020" s="7" t="s">
        <v>1843</v>
      </c>
      <c r="D3020" s="37" t="s">
        <v>28617</v>
      </c>
    </row>
    <row r="3021">
      <c r="A3021" s="37" t="s">
        <v>1245</v>
      </c>
      <c r="B3021" s="37" t="s">
        <v>1242</v>
      </c>
      <c r="C3021" s="7" t="s">
        <v>28618</v>
      </c>
      <c r="D3021" s="37" t="s">
        <v>28619</v>
      </c>
    </row>
    <row r="3022">
      <c r="A3022" s="37" t="s">
        <v>1156</v>
      </c>
      <c r="B3022" s="37" t="s">
        <v>693</v>
      </c>
      <c r="C3022" s="7" t="s">
        <v>28620</v>
      </c>
      <c r="D3022" s="37" t="s">
        <v>28621</v>
      </c>
    </row>
    <row r="3023">
      <c r="A3023" s="37" t="s">
        <v>1147</v>
      </c>
      <c r="B3023" s="37" t="s">
        <v>478</v>
      </c>
      <c r="C3023" s="7" t="s">
        <v>3567</v>
      </c>
      <c r="D3023" s="37" t="s">
        <v>28622</v>
      </c>
    </row>
    <row r="3024">
      <c r="A3024" s="37" t="s">
        <v>1246</v>
      </c>
      <c r="B3024" s="37" t="s">
        <v>1242</v>
      </c>
      <c r="C3024" s="7" t="s">
        <v>11690</v>
      </c>
      <c r="D3024" s="37" t="s">
        <v>28623</v>
      </c>
    </row>
    <row r="3025">
      <c r="A3025" s="37" t="s">
        <v>1283</v>
      </c>
      <c r="B3025" s="37" t="s">
        <v>298</v>
      </c>
      <c r="C3025" s="7" t="s">
        <v>28624</v>
      </c>
      <c r="D3025" s="37" t="s">
        <v>28625</v>
      </c>
    </row>
    <row r="3026">
      <c r="A3026" s="37" t="s">
        <v>1283</v>
      </c>
      <c r="B3026" s="37" t="s">
        <v>298</v>
      </c>
      <c r="C3026" s="7" t="s">
        <v>28626</v>
      </c>
      <c r="D3026" s="37" t="s">
        <v>28627</v>
      </c>
    </row>
    <row r="3027">
      <c r="A3027" s="37" t="s">
        <v>48</v>
      </c>
      <c r="B3027" s="37" t="s">
        <v>1242</v>
      </c>
      <c r="C3027" s="7" t="s">
        <v>28628</v>
      </c>
      <c r="D3027" s="37" t="s">
        <v>28629</v>
      </c>
    </row>
    <row r="3028">
      <c r="A3028" s="37" t="s">
        <v>148</v>
      </c>
      <c r="B3028" s="37" t="s">
        <v>26038</v>
      </c>
      <c r="C3028" s="7" t="s">
        <v>28630</v>
      </c>
      <c r="D3028" s="37" t="s">
        <v>28631</v>
      </c>
    </row>
    <row r="3029">
      <c r="A3029" s="37" t="s">
        <v>148</v>
      </c>
      <c r="B3029" s="37" t="s">
        <v>1096</v>
      </c>
      <c r="C3029" s="7" t="s">
        <v>28632</v>
      </c>
      <c r="D3029" s="37" t="s">
        <v>28633</v>
      </c>
    </row>
    <row r="3030">
      <c r="A3030" s="37" t="s">
        <v>1162</v>
      </c>
      <c r="B3030" s="37" t="s">
        <v>1054</v>
      </c>
      <c r="C3030" s="7" t="s">
        <v>28634</v>
      </c>
      <c r="D3030" s="37" t="s">
        <v>28635</v>
      </c>
    </row>
    <row r="3031">
      <c r="A3031" s="37" t="s">
        <v>1162</v>
      </c>
      <c r="B3031" s="37" t="s">
        <v>1054</v>
      </c>
      <c r="C3031" s="7" t="s">
        <v>28636</v>
      </c>
      <c r="D3031" s="37" t="s">
        <v>28637</v>
      </c>
    </row>
    <row r="3032">
      <c r="A3032" s="37" t="s">
        <v>1162</v>
      </c>
      <c r="B3032" s="37" t="s">
        <v>1054</v>
      </c>
      <c r="C3032" s="7" t="s">
        <v>28638</v>
      </c>
      <c r="D3032" s="37" t="s">
        <v>28639</v>
      </c>
    </row>
    <row r="3033">
      <c r="A3033" s="37" t="s">
        <v>1162</v>
      </c>
      <c r="B3033" s="37" t="s">
        <v>1054</v>
      </c>
      <c r="C3033" s="7" t="s">
        <v>28640</v>
      </c>
      <c r="D3033" s="37" t="s">
        <v>28641</v>
      </c>
    </row>
    <row r="3034">
      <c r="A3034" s="37" t="s">
        <v>1162</v>
      </c>
      <c r="B3034" s="37" t="s">
        <v>1054</v>
      </c>
      <c r="C3034" s="7" t="s">
        <v>28642</v>
      </c>
      <c r="D3034" s="37" t="s">
        <v>28643</v>
      </c>
    </row>
    <row r="3035">
      <c r="A3035" s="37" t="s">
        <v>1162</v>
      </c>
      <c r="B3035" s="37" t="s">
        <v>1054</v>
      </c>
      <c r="C3035" s="7" t="s">
        <v>28644</v>
      </c>
      <c r="D3035" s="37" t="s">
        <v>28645</v>
      </c>
    </row>
    <row r="3036">
      <c r="A3036" s="37" t="s">
        <v>1162</v>
      </c>
      <c r="B3036" s="37" t="s">
        <v>1054</v>
      </c>
      <c r="C3036" s="7" t="s">
        <v>28646</v>
      </c>
      <c r="D3036" s="37" t="s">
        <v>28647</v>
      </c>
    </row>
    <row r="3037">
      <c r="A3037" s="37" t="s">
        <v>1162</v>
      </c>
      <c r="B3037" s="37" t="s">
        <v>1054</v>
      </c>
      <c r="C3037" s="7" t="s">
        <v>28648</v>
      </c>
      <c r="D3037" s="37" t="s">
        <v>28649</v>
      </c>
    </row>
    <row r="3038">
      <c r="A3038" s="37" t="s">
        <v>1162</v>
      </c>
      <c r="B3038" s="37" t="s">
        <v>1054</v>
      </c>
      <c r="C3038" s="7" t="s">
        <v>28650</v>
      </c>
      <c r="D3038" s="37" t="s">
        <v>28651</v>
      </c>
    </row>
    <row r="3039">
      <c r="A3039" s="37" t="s">
        <v>1162</v>
      </c>
      <c r="B3039" s="37" t="s">
        <v>1054</v>
      </c>
      <c r="C3039" s="7" t="s">
        <v>28652</v>
      </c>
      <c r="D3039" s="37" t="s">
        <v>28653</v>
      </c>
    </row>
    <row r="3040">
      <c r="A3040" s="37" t="s">
        <v>1162</v>
      </c>
      <c r="B3040" s="37" t="s">
        <v>1054</v>
      </c>
      <c r="C3040" s="7" t="s">
        <v>28654</v>
      </c>
      <c r="D3040" s="37" t="s">
        <v>28655</v>
      </c>
    </row>
    <row r="3041">
      <c r="A3041" s="37" t="s">
        <v>1162</v>
      </c>
      <c r="B3041" s="37" t="s">
        <v>1054</v>
      </c>
      <c r="C3041" s="7" t="s">
        <v>28656</v>
      </c>
      <c r="D3041" s="37" t="s">
        <v>28657</v>
      </c>
    </row>
    <row r="3042">
      <c r="A3042" s="37" t="s">
        <v>1162</v>
      </c>
      <c r="B3042" s="37" t="s">
        <v>1054</v>
      </c>
      <c r="C3042" s="7" t="s">
        <v>28658</v>
      </c>
      <c r="D3042" s="37" t="s">
        <v>28659</v>
      </c>
    </row>
    <row r="3043">
      <c r="A3043" s="37" t="s">
        <v>1162</v>
      </c>
      <c r="B3043" s="37" t="s">
        <v>1054</v>
      </c>
      <c r="C3043" s="7" t="s">
        <v>28660</v>
      </c>
      <c r="D3043" s="37" t="s">
        <v>28661</v>
      </c>
    </row>
    <row r="3044">
      <c r="A3044" s="37" t="s">
        <v>1162</v>
      </c>
      <c r="B3044" s="37" t="s">
        <v>1054</v>
      </c>
      <c r="C3044" s="7" t="s">
        <v>28662</v>
      </c>
      <c r="D3044" s="37" t="s">
        <v>28663</v>
      </c>
    </row>
    <row r="3045">
      <c r="A3045" s="37" t="s">
        <v>1162</v>
      </c>
      <c r="B3045" s="37" t="s">
        <v>1054</v>
      </c>
      <c r="C3045" s="7" t="s">
        <v>28664</v>
      </c>
      <c r="D3045" s="37" t="s">
        <v>28665</v>
      </c>
    </row>
    <row r="3046">
      <c r="A3046" s="37" t="s">
        <v>1278</v>
      </c>
      <c r="B3046" s="37" t="s">
        <v>1273</v>
      </c>
      <c r="C3046" s="7" t="s">
        <v>28666</v>
      </c>
      <c r="D3046" s="37" t="s">
        <v>28667</v>
      </c>
    </row>
    <row r="3047">
      <c r="A3047" s="37" t="s">
        <v>1128</v>
      </c>
      <c r="B3047" s="37" t="s">
        <v>26160</v>
      </c>
      <c r="C3047" s="7" t="s">
        <v>28668</v>
      </c>
      <c r="D3047" s="37" t="s">
        <v>28669</v>
      </c>
    </row>
    <row r="3048">
      <c r="A3048" s="37" t="s">
        <v>1128</v>
      </c>
      <c r="B3048" s="37" t="s">
        <v>26160</v>
      </c>
      <c r="C3048" s="7" t="s">
        <v>28670</v>
      </c>
      <c r="D3048" s="37" t="s">
        <v>28671</v>
      </c>
    </row>
    <row r="3049">
      <c r="A3049" s="37" t="s">
        <v>1246</v>
      </c>
      <c r="B3049" s="37" t="s">
        <v>38</v>
      </c>
      <c r="C3049" s="7" t="s">
        <v>28672</v>
      </c>
      <c r="D3049" s="37" t="s">
        <v>28673</v>
      </c>
    </row>
    <row r="3050">
      <c r="A3050" s="37" t="s">
        <v>1246</v>
      </c>
      <c r="B3050" s="37" t="s">
        <v>38</v>
      </c>
      <c r="C3050" s="7" t="s">
        <v>28674</v>
      </c>
      <c r="D3050" s="37" t="s">
        <v>28675</v>
      </c>
    </row>
    <row r="3051">
      <c r="A3051" s="37" t="s">
        <v>1246</v>
      </c>
      <c r="B3051" s="37" t="s">
        <v>38</v>
      </c>
      <c r="C3051" s="7" t="s">
        <v>28676</v>
      </c>
      <c r="D3051" s="37" t="s">
        <v>28677</v>
      </c>
    </row>
    <row r="3052">
      <c r="A3052" s="37" t="s">
        <v>1157</v>
      </c>
      <c r="B3052" s="37" t="s">
        <v>693</v>
      </c>
      <c r="C3052" s="7" t="s">
        <v>28678</v>
      </c>
      <c r="D3052" s="37" t="s">
        <v>28679</v>
      </c>
    </row>
    <row r="3053">
      <c r="A3053" s="37" t="s">
        <v>1157</v>
      </c>
      <c r="B3053" s="37" t="s">
        <v>693</v>
      </c>
      <c r="C3053" s="7" t="s">
        <v>28680</v>
      </c>
      <c r="D3053" s="37" t="s">
        <v>28681</v>
      </c>
    </row>
    <row r="3054">
      <c r="A3054" s="37" t="s">
        <v>1246</v>
      </c>
      <c r="B3054" s="37" t="s">
        <v>38</v>
      </c>
      <c r="C3054" s="7" t="s">
        <v>23609</v>
      </c>
      <c r="D3054" s="37" t="s">
        <v>28682</v>
      </c>
    </row>
    <row r="3055">
      <c r="A3055" s="37" t="s">
        <v>1305</v>
      </c>
      <c r="B3055" s="37" t="s">
        <v>1054</v>
      </c>
      <c r="C3055" s="7" t="s">
        <v>28683</v>
      </c>
      <c r="D3055" s="37" t="s">
        <v>28684</v>
      </c>
    </row>
    <row r="3056">
      <c r="A3056" s="37" t="s">
        <v>1156</v>
      </c>
      <c r="B3056" s="37" t="s">
        <v>693</v>
      </c>
      <c r="C3056" s="7" t="s">
        <v>5480</v>
      </c>
      <c r="D3056" s="37" t="s">
        <v>28685</v>
      </c>
    </row>
    <row r="3057">
      <c r="A3057" s="37" t="s">
        <v>1185</v>
      </c>
      <c r="B3057" s="37" t="s">
        <v>26245</v>
      </c>
      <c r="C3057" s="7" t="s">
        <v>28686</v>
      </c>
      <c r="D3057" s="37" t="s">
        <v>28687</v>
      </c>
    </row>
    <row r="3058">
      <c r="A3058" s="37" t="s">
        <v>802</v>
      </c>
      <c r="B3058" s="37" t="s">
        <v>298</v>
      </c>
      <c r="C3058" s="7" t="s">
        <v>28688</v>
      </c>
      <c r="D3058" s="37" t="s">
        <v>28689</v>
      </c>
    </row>
    <row r="3059">
      <c r="A3059" s="37" t="s">
        <v>304</v>
      </c>
      <c r="B3059" s="37" t="s">
        <v>298</v>
      </c>
      <c r="C3059" s="7" t="s">
        <v>28690</v>
      </c>
      <c r="D3059" s="37" t="s">
        <v>28691</v>
      </c>
    </row>
    <row r="3060">
      <c r="A3060" s="37" t="s">
        <v>28379</v>
      </c>
      <c r="B3060" s="37" t="s">
        <v>27284</v>
      </c>
      <c r="C3060" s="7" t="s">
        <v>28692</v>
      </c>
      <c r="D3060" s="37" t="s">
        <v>28693</v>
      </c>
    </row>
    <row r="3061">
      <c r="A3061" s="37" t="s">
        <v>28379</v>
      </c>
      <c r="B3061" s="37" t="s">
        <v>27284</v>
      </c>
      <c r="C3061" s="7" t="s">
        <v>28694</v>
      </c>
      <c r="D3061" s="37" t="s">
        <v>28695</v>
      </c>
    </row>
    <row r="3062">
      <c r="A3062" s="37" t="s">
        <v>51</v>
      </c>
      <c r="B3062" s="37" t="s">
        <v>1242</v>
      </c>
      <c r="C3062" s="7" t="s">
        <v>11836</v>
      </c>
      <c r="D3062" s="37" t="s">
        <v>28696</v>
      </c>
    </row>
    <row r="3063">
      <c r="A3063" s="37" t="s">
        <v>148</v>
      </c>
      <c r="B3063" s="37" t="s">
        <v>1096</v>
      </c>
      <c r="C3063" s="7" t="s">
        <v>28697</v>
      </c>
      <c r="D3063" s="37" t="s">
        <v>28698</v>
      </c>
    </row>
    <row r="3064">
      <c r="A3064" s="37" t="s">
        <v>1162</v>
      </c>
      <c r="B3064" s="37" t="s">
        <v>1054</v>
      </c>
      <c r="C3064" s="7" t="s">
        <v>28699</v>
      </c>
      <c r="D3064" s="37" t="s">
        <v>28700</v>
      </c>
    </row>
    <row r="3065">
      <c r="A3065" s="37" t="s">
        <v>1209</v>
      </c>
      <c r="B3065" s="37" t="s">
        <v>1208</v>
      </c>
      <c r="C3065" s="7" t="s">
        <v>28701</v>
      </c>
      <c r="D3065" s="37" t="s">
        <v>28702</v>
      </c>
    </row>
    <row r="3066">
      <c r="A3066" s="37" t="s">
        <v>1147</v>
      </c>
      <c r="B3066" s="37" t="s">
        <v>478</v>
      </c>
      <c r="C3066" s="7" t="s">
        <v>13282</v>
      </c>
      <c r="D3066" s="37" t="s">
        <v>28703</v>
      </c>
    </row>
    <row r="3067">
      <c r="A3067" s="37" t="s">
        <v>1147</v>
      </c>
      <c r="B3067" s="37" t="s">
        <v>478</v>
      </c>
      <c r="C3067" s="7" t="s">
        <v>28704</v>
      </c>
      <c r="D3067" s="37" t="s">
        <v>28705</v>
      </c>
    </row>
    <row r="3068">
      <c r="A3068" s="37" t="s">
        <v>1147</v>
      </c>
      <c r="B3068" s="37" t="s">
        <v>478</v>
      </c>
      <c r="C3068" s="7" t="s">
        <v>28706</v>
      </c>
      <c r="D3068" s="37" t="s">
        <v>28707</v>
      </c>
    </row>
    <row r="3069">
      <c r="A3069" s="37" t="s">
        <v>1147</v>
      </c>
      <c r="B3069" s="37" t="s">
        <v>478</v>
      </c>
      <c r="C3069" s="7" t="s">
        <v>27634</v>
      </c>
      <c r="D3069" s="37" t="s">
        <v>28708</v>
      </c>
    </row>
    <row r="3070">
      <c r="A3070" s="37" t="s">
        <v>1183</v>
      </c>
      <c r="B3070" s="37" t="s">
        <v>1268</v>
      </c>
      <c r="C3070" s="7" t="s">
        <v>28709</v>
      </c>
      <c r="D3070" s="37" t="s">
        <v>28710</v>
      </c>
    </row>
    <row r="3071">
      <c r="A3071" s="37" t="s">
        <v>1147</v>
      </c>
      <c r="B3071" s="37" t="s">
        <v>478</v>
      </c>
      <c r="C3071" s="7" t="s">
        <v>24223</v>
      </c>
      <c r="D3071" s="37" t="s">
        <v>28711</v>
      </c>
    </row>
    <row r="3072">
      <c r="A3072" s="37" t="s">
        <v>1147</v>
      </c>
      <c r="B3072" s="37" t="s">
        <v>478</v>
      </c>
      <c r="C3072" s="7" t="s">
        <v>7800</v>
      </c>
      <c r="D3072" s="37" t="s">
        <v>28712</v>
      </c>
    </row>
    <row r="3073">
      <c r="A3073" s="37" t="s">
        <v>399</v>
      </c>
      <c r="B3073" s="37" t="s">
        <v>391</v>
      </c>
      <c r="C3073" s="7" t="s">
        <v>28713</v>
      </c>
      <c r="D3073" s="37" t="s">
        <v>28714</v>
      </c>
    </row>
    <row r="3074">
      <c r="A3074" s="37" t="s">
        <v>1305</v>
      </c>
      <c r="B3074" s="37" t="s">
        <v>24942</v>
      </c>
      <c r="C3074" s="7" t="s">
        <v>28715</v>
      </c>
      <c r="D3074" s="37" t="s">
        <v>28716</v>
      </c>
    </row>
    <row r="3075">
      <c r="A3075" s="37" t="s">
        <v>1183</v>
      </c>
      <c r="B3075" s="37" t="s">
        <v>1268</v>
      </c>
      <c r="C3075" s="7" t="s">
        <v>28717</v>
      </c>
      <c r="D3075" s="37" t="s">
        <v>28718</v>
      </c>
    </row>
    <row r="3076">
      <c r="A3076" s="37" t="s">
        <v>1183</v>
      </c>
      <c r="B3076" s="37" t="s">
        <v>1268</v>
      </c>
      <c r="C3076" s="7" t="s">
        <v>28719</v>
      </c>
      <c r="D3076" s="37" t="s">
        <v>28720</v>
      </c>
    </row>
    <row r="3077">
      <c r="A3077" s="37" t="s">
        <v>1183</v>
      </c>
      <c r="B3077" s="37" t="s">
        <v>28721</v>
      </c>
      <c r="C3077" s="7" t="s">
        <v>28722</v>
      </c>
      <c r="D3077" s="37" t="s">
        <v>28723</v>
      </c>
    </row>
    <row r="3078">
      <c r="A3078" s="37" t="s">
        <v>1147</v>
      </c>
      <c r="B3078" s="37" t="s">
        <v>478</v>
      </c>
      <c r="C3078" s="7" t="s">
        <v>4005</v>
      </c>
      <c r="D3078" s="37" t="s">
        <v>28724</v>
      </c>
    </row>
    <row r="3079">
      <c r="A3079" s="37" t="s">
        <v>25897</v>
      </c>
      <c r="B3079" s="37" t="s">
        <v>298</v>
      </c>
      <c r="C3079" s="7" t="s">
        <v>28725</v>
      </c>
      <c r="D3079" s="37" t="s">
        <v>28726</v>
      </c>
    </row>
    <row r="3080">
      <c r="A3080" s="37" t="s">
        <v>1147</v>
      </c>
      <c r="B3080" s="37" t="s">
        <v>478</v>
      </c>
      <c r="C3080" s="7" t="s">
        <v>28727</v>
      </c>
      <c r="D3080" s="37" t="s">
        <v>28728</v>
      </c>
    </row>
    <row r="3081">
      <c r="A3081" s="37" t="s">
        <v>1146</v>
      </c>
      <c r="B3081" s="37" t="s">
        <v>478</v>
      </c>
      <c r="C3081" s="7" t="s">
        <v>9788</v>
      </c>
      <c r="D3081" s="37" t="s">
        <v>28729</v>
      </c>
    </row>
    <row r="3082">
      <c r="A3082" s="37" t="s">
        <v>4</v>
      </c>
      <c r="B3082" s="37" t="s">
        <v>1293</v>
      </c>
      <c r="C3082" s="7" t="s">
        <v>28730</v>
      </c>
      <c r="D3082" s="37" t="s">
        <v>28731</v>
      </c>
    </row>
    <row r="3083">
      <c r="A3083" s="37" t="s">
        <v>1360</v>
      </c>
      <c r="B3083" s="37" t="s">
        <v>1096</v>
      </c>
      <c r="C3083" s="7" t="s">
        <v>28732</v>
      </c>
      <c r="D3083" s="37" t="s">
        <v>28733</v>
      </c>
    </row>
    <row r="3084">
      <c r="A3084" s="37" t="s">
        <v>104</v>
      </c>
      <c r="B3084" s="37" t="s">
        <v>613</v>
      </c>
      <c r="C3084" s="7" t="s">
        <v>28734</v>
      </c>
      <c r="D3084" s="37" t="s">
        <v>28735</v>
      </c>
    </row>
    <row r="3085">
      <c r="A3085" s="37" t="s">
        <v>43</v>
      </c>
      <c r="B3085" s="37" t="s">
        <v>1242</v>
      </c>
      <c r="C3085" s="7" t="s">
        <v>27084</v>
      </c>
      <c r="D3085" s="37" t="s">
        <v>28736</v>
      </c>
    </row>
    <row r="3086">
      <c r="A3086" s="37" t="s">
        <v>28737</v>
      </c>
      <c r="B3086" s="37" t="s">
        <v>1054</v>
      </c>
      <c r="C3086" s="7" t="s">
        <v>28738</v>
      </c>
      <c r="D3086" s="37" t="s">
        <v>28739</v>
      </c>
    </row>
    <row r="3087">
      <c r="A3087" s="37" t="s">
        <v>1363</v>
      </c>
      <c r="B3087" s="37" t="s">
        <v>1096</v>
      </c>
      <c r="C3087" s="7" t="s">
        <v>28740</v>
      </c>
      <c r="D3087" s="37" t="s">
        <v>28741</v>
      </c>
    </row>
    <row r="3088">
      <c r="A3088" s="37" t="s">
        <v>1363</v>
      </c>
      <c r="B3088" s="37" t="s">
        <v>1096</v>
      </c>
      <c r="C3088" s="7" t="s">
        <v>28742</v>
      </c>
      <c r="D3088" s="37" t="s">
        <v>28743</v>
      </c>
    </row>
    <row r="3089">
      <c r="A3089" s="37" t="s">
        <v>1363</v>
      </c>
      <c r="B3089" s="37" t="s">
        <v>1096</v>
      </c>
      <c r="C3089" s="7" t="s">
        <v>28744</v>
      </c>
      <c r="D3089" s="37" t="s">
        <v>28745</v>
      </c>
    </row>
    <row r="3090">
      <c r="A3090" s="37" t="s">
        <v>1363</v>
      </c>
      <c r="B3090" s="37" t="s">
        <v>1096</v>
      </c>
      <c r="C3090" s="7" t="s">
        <v>28746</v>
      </c>
      <c r="D3090" s="37" t="s">
        <v>28747</v>
      </c>
    </row>
    <row r="3091">
      <c r="A3091" s="37" t="s">
        <v>1363</v>
      </c>
      <c r="B3091" s="37" t="s">
        <v>1096</v>
      </c>
      <c r="C3091" s="7" t="s">
        <v>28748</v>
      </c>
      <c r="D3091" s="37" t="s">
        <v>28749</v>
      </c>
    </row>
    <row r="3092">
      <c r="A3092" s="37" t="s">
        <v>1363</v>
      </c>
      <c r="B3092" s="37" t="s">
        <v>1096</v>
      </c>
      <c r="C3092" s="7" t="s">
        <v>28750</v>
      </c>
      <c r="D3092" s="37" t="s">
        <v>28751</v>
      </c>
    </row>
    <row r="3093">
      <c r="A3093" s="37" t="s">
        <v>23444</v>
      </c>
      <c r="B3093" s="37" t="s">
        <v>24942</v>
      </c>
      <c r="C3093" s="7" t="s">
        <v>28752</v>
      </c>
      <c r="D3093" s="37" t="s">
        <v>28753</v>
      </c>
    </row>
    <row r="3094">
      <c r="A3094" s="37" t="s">
        <v>1209</v>
      </c>
      <c r="B3094" s="37" t="s">
        <v>1208</v>
      </c>
      <c r="C3094" s="7" t="s">
        <v>28754</v>
      </c>
      <c r="D3094" s="37" t="s">
        <v>28755</v>
      </c>
    </row>
    <row r="3095">
      <c r="A3095" s="37" t="s">
        <v>1363</v>
      </c>
      <c r="B3095" s="37" t="s">
        <v>1096</v>
      </c>
      <c r="C3095" s="7" t="s">
        <v>28756</v>
      </c>
      <c r="D3095" s="37" t="s">
        <v>28757</v>
      </c>
    </row>
    <row r="3096">
      <c r="A3096" s="37" t="s">
        <v>1363</v>
      </c>
      <c r="B3096" s="37" t="s">
        <v>1096</v>
      </c>
      <c r="C3096" s="7" t="s">
        <v>27864</v>
      </c>
      <c r="D3096" s="37" t="s">
        <v>28758</v>
      </c>
    </row>
    <row r="3097">
      <c r="A3097" s="37" t="s">
        <v>1363</v>
      </c>
      <c r="B3097" s="37" t="s">
        <v>1096</v>
      </c>
      <c r="C3097" s="7" t="s">
        <v>27870</v>
      </c>
      <c r="D3097" s="37" t="s">
        <v>28759</v>
      </c>
    </row>
    <row r="3098">
      <c r="A3098" s="37" t="s">
        <v>1363</v>
      </c>
      <c r="B3098" s="37" t="s">
        <v>1096</v>
      </c>
      <c r="C3098" s="7" t="s">
        <v>28760</v>
      </c>
      <c r="D3098" s="37" t="s">
        <v>28761</v>
      </c>
    </row>
    <row r="3099">
      <c r="A3099" s="37" t="s">
        <v>51</v>
      </c>
      <c r="B3099" s="37" t="s">
        <v>1242</v>
      </c>
      <c r="C3099" s="7" t="s">
        <v>28762</v>
      </c>
      <c r="D3099" s="37" t="s">
        <v>28763</v>
      </c>
    </row>
    <row r="3100">
      <c r="A3100" s="37" t="s">
        <v>443</v>
      </c>
      <c r="B3100" s="37" t="s">
        <v>440</v>
      </c>
      <c r="C3100" s="7" t="s">
        <v>7779</v>
      </c>
      <c r="D3100" s="37" t="s">
        <v>28764</v>
      </c>
    </row>
    <row r="3101">
      <c r="A3101" s="37" t="s">
        <v>25156</v>
      </c>
      <c r="B3101" s="37" t="s">
        <v>24608</v>
      </c>
      <c r="C3101" s="7" t="s">
        <v>28765</v>
      </c>
      <c r="D3101" s="37" t="s">
        <v>28766</v>
      </c>
    </row>
    <row r="3102">
      <c r="A3102" s="37" t="s">
        <v>1183</v>
      </c>
      <c r="B3102" s="37" t="s">
        <v>1268</v>
      </c>
      <c r="C3102" s="7" t="s">
        <v>28767</v>
      </c>
      <c r="D3102" s="37" t="s">
        <v>28768</v>
      </c>
    </row>
    <row r="3103">
      <c r="A3103" s="37" t="s">
        <v>1183</v>
      </c>
      <c r="B3103" s="37" t="s">
        <v>1268</v>
      </c>
      <c r="C3103" s="7" t="s">
        <v>28769</v>
      </c>
      <c r="D3103" s="37" t="s">
        <v>28770</v>
      </c>
    </row>
    <row r="3104">
      <c r="A3104" s="37" t="s">
        <v>1183</v>
      </c>
      <c r="B3104" s="37" t="s">
        <v>1268</v>
      </c>
      <c r="C3104" s="7" t="s">
        <v>28771</v>
      </c>
      <c r="D3104" s="37" t="s">
        <v>28772</v>
      </c>
    </row>
    <row r="3105">
      <c r="A3105" s="37" t="s">
        <v>1602</v>
      </c>
      <c r="B3105" s="37" t="s">
        <v>24942</v>
      </c>
      <c r="C3105" s="7" t="s">
        <v>28773</v>
      </c>
      <c r="D3105" s="37" t="s">
        <v>28774</v>
      </c>
    </row>
    <row r="3106">
      <c r="A3106" s="37" t="s">
        <v>28775</v>
      </c>
      <c r="B3106" s="37" t="s">
        <v>28776</v>
      </c>
      <c r="C3106" s="7" t="s">
        <v>28777</v>
      </c>
      <c r="D3106" s="37" t="s">
        <v>28778</v>
      </c>
    </row>
    <row r="3107">
      <c r="A3107" s="37" t="s">
        <v>1602</v>
      </c>
      <c r="B3107" s="37" t="s">
        <v>24942</v>
      </c>
      <c r="C3107" s="7" t="s">
        <v>28779</v>
      </c>
      <c r="D3107" s="37" t="s">
        <v>28780</v>
      </c>
    </row>
    <row r="3108">
      <c r="A3108" s="37" t="s">
        <v>1156</v>
      </c>
      <c r="B3108" s="37" t="s">
        <v>693</v>
      </c>
      <c r="C3108" s="7" t="s">
        <v>28781</v>
      </c>
      <c r="D3108" s="37" t="s">
        <v>28782</v>
      </c>
    </row>
    <row r="3109">
      <c r="A3109" s="37" t="s">
        <v>1174</v>
      </c>
      <c r="B3109" s="37" t="s">
        <v>1096</v>
      </c>
      <c r="C3109" s="7" t="s">
        <v>28783</v>
      </c>
      <c r="D3109" s="37" t="s">
        <v>28784</v>
      </c>
    </row>
    <row r="3110">
      <c r="A3110" s="37" t="s">
        <v>1183</v>
      </c>
      <c r="B3110" s="37" t="s">
        <v>1268</v>
      </c>
      <c r="C3110" s="7" t="s">
        <v>28785</v>
      </c>
      <c r="D3110" s="37" t="s">
        <v>28786</v>
      </c>
    </row>
    <row r="3111">
      <c r="A3111" s="37" t="s">
        <v>1183</v>
      </c>
      <c r="B3111" s="37" t="s">
        <v>1268</v>
      </c>
      <c r="C3111" s="7" t="s">
        <v>28787</v>
      </c>
      <c r="D3111" s="37" t="s">
        <v>28788</v>
      </c>
    </row>
    <row r="3112">
      <c r="A3112" s="37" t="s">
        <v>104</v>
      </c>
      <c r="B3112" s="37" t="s">
        <v>613</v>
      </c>
      <c r="C3112" s="7" t="s">
        <v>28789</v>
      </c>
      <c r="D3112" s="37" t="s">
        <v>28790</v>
      </c>
    </row>
    <row r="3113">
      <c r="A3113" s="37" t="s">
        <v>1156</v>
      </c>
      <c r="B3113" s="37" t="s">
        <v>693</v>
      </c>
      <c r="C3113" s="7" t="s">
        <v>1625</v>
      </c>
      <c r="D3113" s="37" t="s">
        <v>28791</v>
      </c>
    </row>
    <row r="3114">
      <c r="A3114" s="37" t="s">
        <v>304</v>
      </c>
      <c r="B3114" s="37" t="s">
        <v>298</v>
      </c>
      <c r="C3114" s="7" t="s">
        <v>28792</v>
      </c>
      <c r="D3114" s="37" t="s">
        <v>28793</v>
      </c>
    </row>
    <row r="3115">
      <c r="A3115" s="37" t="s">
        <v>51</v>
      </c>
      <c r="B3115" s="37" t="s">
        <v>1242</v>
      </c>
      <c r="C3115" s="7" t="s">
        <v>28794</v>
      </c>
      <c r="D3115" s="37" t="s">
        <v>28795</v>
      </c>
    </row>
    <row r="3116">
      <c r="A3116" s="37" t="s">
        <v>1495</v>
      </c>
      <c r="B3116" s="37" t="s">
        <v>1273</v>
      </c>
      <c r="C3116" s="7" t="s">
        <v>28796</v>
      </c>
      <c r="D3116" s="37" t="s">
        <v>28797</v>
      </c>
    </row>
    <row r="3117">
      <c r="A3117" s="37" t="s">
        <v>1278</v>
      </c>
      <c r="B3117" s="37" t="s">
        <v>1273</v>
      </c>
      <c r="C3117" s="7" t="s">
        <v>28798</v>
      </c>
      <c r="D3117" s="37" t="s">
        <v>28799</v>
      </c>
    </row>
    <row r="3118">
      <c r="A3118" s="37" t="s">
        <v>1147</v>
      </c>
      <c r="B3118" s="37" t="s">
        <v>478</v>
      </c>
      <c r="C3118" s="7" t="s">
        <v>28800</v>
      </c>
      <c r="D3118" s="37" t="s">
        <v>28801</v>
      </c>
    </row>
    <row r="3119">
      <c r="A3119" s="37" t="s">
        <v>1147</v>
      </c>
      <c r="B3119" s="37" t="s">
        <v>478</v>
      </c>
      <c r="C3119" s="7" t="s">
        <v>28802</v>
      </c>
      <c r="D3119" s="37" t="s">
        <v>28803</v>
      </c>
    </row>
    <row r="3120">
      <c r="A3120" s="37" t="s">
        <v>1209</v>
      </c>
      <c r="B3120" s="37" t="s">
        <v>1208</v>
      </c>
      <c r="C3120" s="7" t="s">
        <v>28804</v>
      </c>
      <c r="D3120" s="37" t="s">
        <v>28805</v>
      </c>
    </row>
    <row r="3121">
      <c r="A3121" s="37" t="s">
        <v>104</v>
      </c>
      <c r="B3121" s="37" t="s">
        <v>613</v>
      </c>
      <c r="C3121" s="7" t="s">
        <v>28806</v>
      </c>
      <c r="D3121" s="37" t="s">
        <v>28807</v>
      </c>
    </row>
    <row r="3122">
      <c r="A3122" s="37" t="s">
        <v>1278</v>
      </c>
      <c r="B3122" s="37" t="s">
        <v>25880</v>
      </c>
      <c r="C3122" s="7" t="s">
        <v>28808</v>
      </c>
      <c r="D3122" s="37" t="s">
        <v>28809</v>
      </c>
    </row>
    <row r="3123">
      <c r="A3123" s="37" t="s">
        <v>1245</v>
      </c>
      <c r="B3123" s="37" t="s">
        <v>1242</v>
      </c>
      <c r="C3123" s="37" t="s">
        <v>28810</v>
      </c>
      <c r="D3123" s="37" t="s">
        <v>28811</v>
      </c>
    </row>
    <row r="3124">
      <c r="A3124" s="37" t="s">
        <v>1245</v>
      </c>
      <c r="B3124" s="37" t="s">
        <v>1242</v>
      </c>
      <c r="C3124" s="37" t="s">
        <v>28812</v>
      </c>
      <c r="D3124" s="37" t="s">
        <v>28813</v>
      </c>
    </row>
    <row r="3125">
      <c r="A3125" s="37" t="s">
        <v>1245</v>
      </c>
      <c r="B3125" s="37" t="s">
        <v>1242</v>
      </c>
      <c r="C3125" s="37" t="s">
        <v>28814</v>
      </c>
      <c r="D3125" s="37" t="s">
        <v>28815</v>
      </c>
    </row>
    <row r="3126">
      <c r="A3126" s="37" t="s">
        <v>148</v>
      </c>
      <c r="B3126" s="37" t="s">
        <v>26038</v>
      </c>
      <c r="C3126" s="7" t="s">
        <v>28816</v>
      </c>
      <c r="D3126" s="37" t="s">
        <v>28817</v>
      </c>
    </row>
    <row r="3127">
      <c r="A3127" s="37" t="s">
        <v>546</v>
      </c>
      <c r="B3127" s="37" t="s">
        <v>26160</v>
      </c>
      <c r="C3127" s="7" t="s">
        <v>28818</v>
      </c>
      <c r="D3127" s="37" t="s">
        <v>28819</v>
      </c>
    </row>
    <row r="3128">
      <c r="A3128" s="37" t="s">
        <v>1183</v>
      </c>
      <c r="B3128" s="37" t="s">
        <v>1268</v>
      </c>
      <c r="C3128" s="7" t="s">
        <v>28820</v>
      </c>
      <c r="D3128" s="37" t="s">
        <v>28821</v>
      </c>
    </row>
    <row r="3129">
      <c r="A3129" s="37" t="s">
        <v>484</v>
      </c>
      <c r="B3129" s="37" t="s">
        <v>478</v>
      </c>
      <c r="C3129" s="7" t="s">
        <v>28822</v>
      </c>
      <c r="D3129" s="37" t="s">
        <v>28823</v>
      </c>
    </row>
    <row r="3130">
      <c r="A3130" s="37" t="s">
        <v>546</v>
      </c>
      <c r="B3130" s="37" t="s">
        <v>26160</v>
      </c>
      <c r="C3130" s="7" t="s">
        <v>28824</v>
      </c>
      <c r="D3130" s="37" t="s">
        <v>28825</v>
      </c>
    </row>
    <row r="3131">
      <c r="A3131" s="37" t="s">
        <v>1156</v>
      </c>
      <c r="B3131" s="37" t="s">
        <v>693</v>
      </c>
      <c r="C3131" s="7" t="s">
        <v>28826</v>
      </c>
      <c r="D3131" s="37" t="s">
        <v>28827</v>
      </c>
    </row>
    <row r="3132">
      <c r="A3132" s="37" t="s">
        <v>28775</v>
      </c>
      <c r="B3132" s="37" t="s">
        <v>28776</v>
      </c>
      <c r="C3132" s="7" t="s">
        <v>28828</v>
      </c>
      <c r="D3132" s="37" t="s">
        <v>28829</v>
      </c>
    </row>
    <row r="3133">
      <c r="A3133" s="37" t="s">
        <v>28775</v>
      </c>
      <c r="B3133" s="37" t="s">
        <v>28776</v>
      </c>
      <c r="C3133" s="7" t="s">
        <v>28830</v>
      </c>
      <c r="D3133" s="37" t="s">
        <v>28831</v>
      </c>
    </row>
    <row r="3134">
      <c r="A3134" s="37" t="s">
        <v>28775</v>
      </c>
      <c r="B3134" s="37" t="s">
        <v>28776</v>
      </c>
      <c r="C3134" s="7" t="s">
        <v>28832</v>
      </c>
      <c r="D3134" s="37" t="s">
        <v>28833</v>
      </c>
    </row>
    <row r="3135">
      <c r="A3135" s="37" t="s">
        <v>28775</v>
      </c>
      <c r="B3135" s="37" t="s">
        <v>28776</v>
      </c>
      <c r="C3135" s="7" t="s">
        <v>28834</v>
      </c>
      <c r="D3135" s="37" t="s">
        <v>28835</v>
      </c>
    </row>
    <row r="3136">
      <c r="A3136" s="37" t="s">
        <v>304</v>
      </c>
      <c r="B3136" s="37" t="s">
        <v>298</v>
      </c>
      <c r="C3136" s="7" t="s">
        <v>28836</v>
      </c>
      <c r="D3136" s="37" t="s">
        <v>28837</v>
      </c>
    </row>
    <row r="3137">
      <c r="A3137" s="37" t="s">
        <v>443</v>
      </c>
      <c r="B3137" s="37" t="s">
        <v>440</v>
      </c>
      <c r="C3137" s="37" t="s">
        <v>28838</v>
      </c>
      <c r="D3137" s="37" t="s">
        <v>28839</v>
      </c>
    </row>
    <row r="3138">
      <c r="A3138" s="37" t="s">
        <v>1278</v>
      </c>
      <c r="B3138" s="37" t="s">
        <v>1273</v>
      </c>
      <c r="C3138" s="7" t="s">
        <v>28840</v>
      </c>
      <c r="D3138" s="37" t="s">
        <v>28841</v>
      </c>
    </row>
    <row r="3139">
      <c r="A3139" s="37" t="s">
        <v>1278</v>
      </c>
      <c r="B3139" s="37" t="s">
        <v>1273</v>
      </c>
      <c r="C3139" s="7" t="s">
        <v>28842</v>
      </c>
      <c r="D3139" s="37" t="s">
        <v>28843</v>
      </c>
    </row>
    <row r="3140">
      <c r="A3140" s="37" t="s">
        <v>1156</v>
      </c>
      <c r="B3140" s="37" t="s">
        <v>693</v>
      </c>
      <c r="C3140" s="7" t="s">
        <v>28844</v>
      </c>
      <c r="D3140" s="37" t="s">
        <v>28845</v>
      </c>
    </row>
    <row r="3141">
      <c r="A3141" s="37" t="s">
        <v>1495</v>
      </c>
      <c r="B3141" s="37" t="s">
        <v>391</v>
      </c>
      <c r="C3141" s="7" t="s">
        <v>28846</v>
      </c>
      <c r="D3141" s="37" t="s">
        <v>28847</v>
      </c>
    </row>
    <row r="3142">
      <c r="A3142" s="37" t="s">
        <v>1147</v>
      </c>
      <c r="B3142" s="37" t="s">
        <v>478</v>
      </c>
      <c r="C3142" s="7" t="s">
        <v>28848</v>
      </c>
      <c r="D3142" s="37" t="s">
        <v>28849</v>
      </c>
    </row>
    <row r="3143">
      <c r="A3143" s="37" t="s">
        <v>186</v>
      </c>
      <c r="B3143" s="37" t="s">
        <v>1495</v>
      </c>
      <c r="C3143" s="37" t="s">
        <v>28850</v>
      </c>
      <c r="D3143" s="37" t="s">
        <v>28851</v>
      </c>
    </row>
    <row r="3144">
      <c r="A3144" s="37" t="s">
        <v>25156</v>
      </c>
      <c r="B3144" s="37" t="s">
        <v>24608</v>
      </c>
      <c r="C3144" s="7" t="s">
        <v>28852</v>
      </c>
      <c r="D3144" s="37" t="s">
        <v>28853</v>
      </c>
    </row>
    <row r="3145">
      <c r="A3145" s="37" t="s">
        <v>1147</v>
      </c>
      <c r="B3145" s="37" t="s">
        <v>478</v>
      </c>
      <c r="C3145" s="7" t="s">
        <v>28854</v>
      </c>
      <c r="D3145" s="37" t="s">
        <v>28855</v>
      </c>
    </row>
    <row r="3146">
      <c r="A3146" s="37" t="s">
        <v>1174</v>
      </c>
      <c r="B3146" s="37" t="s">
        <v>1096</v>
      </c>
      <c r="C3146" s="7" t="s">
        <v>28856</v>
      </c>
      <c r="D3146" s="37" t="s">
        <v>28857</v>
      </c>
    </row>
    <row r="3147">
      <c r="A3147" s="37" t="s">
        <v>1183</v>
      </c>
      <c r="B3147" s="37" t="s">
        <v>1268</v>
      </c>
      <c r="C3147" s="7" t="s">
        <v>28858</v>
      </c>
      <c r="D3147" s="37" t="s">
        <v>28859</v>
      </c>
    </row>
    <row r="3148">
      <c r="A3148" s="37" t="s">
        <v>1278</v>
      </c>
      <c r="B3148" s="37" t="s">
        <v>1273</v>
      </c>
      <c r="C3148" s="7" t="s">
        <v>28860</v>
      </c>
      <c r="D3148" s="37" t="s">
        <v>28861</v>
      </c>
    </row>
    <row r="3149">
      <c r="A3149" s="37" t="s">
        <v>1246</v>
      </c>
      <c r="B3149" s="37" t="s">
        <v>38</v>
      </c>
      <c r="C3149" s="7" t="s">
        <v>28862</v>
      </c>
      <c r="D3149" s="37" t="s">
        <v>28863</v>
      </c>
    </row>
    <row r="3150">
      <c r="A3150" s="37" t="s">
        <v>1246</v>
      </c>
      <c r="B3150" s="37" t="s">
        <v>38</v>
      </c>
      <c r="C3150" s="7" t="s">
        <v>28864</v>
      </c>
      <c r="D3150" s="37" t="s">
        <v>28865</v>
      </c>
    </row>
    <row r="3151">
      <c r="A3151" s="37" t="s">
        <v>1246</v>
      </c>
      <c r="B3151" s="37" t="s">
        <v>38</v>
      </c>
      <c r="C3151" s="7" t="s">
        <v>28866</v>
      </c>
      <c r="D3151" s="37" t="s">
        <v>28867</v>
      </c>
    </row>
    <row r="3152">
      <c r="A3152" s="37" t="s">
        <v>1246</v>
      </c>
      <c r="B3152" s="37" t="s">
        <v>38</v>
      </c>
      <c r="C3152" s="7" t="s">
        <v>28868</v>
      </c>
      <c r="D3152" s="37" t="s">
        <v>28869</v>
      </c>
    </row>
    <row r="3153">
      <c r="A3153" s="37" t="s">
        <v>1156</v>
      </c>
      <c r="B3153" s="37" t="s">
        <v>693</v>
      </c>
      <c r="C3153" s="7" t="s">
        <v>28870</v>
      </c>
      <c r="D3153" s="37" t="s">
        <v>28871</v>
      </c>
    </row>
    <row r="3154">
      <c r="A3154" s="37" t="s">
        <v>1305</v>
      </c>
      <c r="B3154" s="37" t="s">
        <v>24942</v>
      </c>
      <c r="C3154" s="7" t="s">
        <v>28872</v>
      </c>
      <c r="D3154" s="37" t="s">
        <v>28873</v>
      </c>
    </row>
    <row r="3155">
      <c r="A3155" s="37" t="s">
        <v>1305</v>
      </c>
      <c r="B3155" s="37" t="s">
        <v>24942</v>
      </c>
      <c r="C3155" s="7" t="s">
        <v>28874</v>
      </c>
      <c r="D3155" s="37" t="s">
        <v>28875</v>
      </c>
    </row>
    <row r="3156">
      <c r="A3156" s="37" t="s">
        <v>1305</v>
      </c>
      <c r="B3156" s="37" t="s">
        <v>1054</v>
      </c>
      <c r="C3156" s="7" t="s">
        <v>28876</v>
      </c>
      <c r="D3156" s="37" t="s">
        <v>28877</v>
      </c>
    </row>
    <row r="3157">
      <c r="A3157" s="37" t="s">
        <v>28878</v>
      </c>
      <c r="B3157" s="37" t="s">
        <v>28878</v>
      </c>
      <c r="C3157" s="7" t="s">
        <v>28879</v>
      </c>
      <c r="D3157" s="37" t="s">
        <v>28880</v>
      </c>
    </row>
    <row r="3158">
      <c r="A3158" s="37" t="s">
        <v>1246</v>
      </c>
      <c r="B3158" s="37" t="s">
        <v>38</v>
      </c>
      <c r="C3158" s="7" t="s">
        <v>28881</v>
      </c>
      <c r="D3158" s="37" t="s">
        <v>28882</v>
      </c>
    </row>
    <row r="3159">
      <c r="A3159" s="37" t="s">
        <v>1283</v>
      </c>
      <c r="B3159" s="37" t="s">
        <v>298</v>
      </c>
      <c r="C3159" s="7" t="s">
        <v>28883</v>
      </c>
      <c r="D3159" s="37" t="s">
        <v>28884</v>
      </c>
    </row>
    <row r="3160">
      <c r="A3160" s="37" t="s">
        <v>1174</v>
      </c>
      <c r="B3160" s="37" t="s">
        <v>1096</v>
      </c>
      <c r="C3160" s="7" t="s">
        <v>10603</v>
      </c>
      <c r="D3160" s="37" t="s">
        <v>28885</v>
      </c>
    </row>
    <row r="3161">
      <c r="A3161" s="37" t="s">
        <v>286</v>
      </c>
      <c r="B3161" s="37" t="s">
        <v>28776</v>
      </c>
      <c r="C3161" s="7" t="s">
        <v>28886</v>
      </c>
      <c r="D3161" s="37" t="s">
        <v>28887</v>
      </c>
    </row>
    <row r="3162">
      <c r="A3162" s="37" t="s">
        <v>28888</v>
      </c>
      <c r="B3162" s="37" t="s">
        <v>24608</v>
      </c>
      <c r="C3162" s="37" t="s">
        <v>28889</v>
      </c>
      <c r="D3162" s="37" t="s">
        <v>28890</v>
      </c>
    </row>
    <row r="3163">
      <c r="A3163" s="37" t="s">
        <v>51</v>
      </c>
      <c r="B3163" s="37" t="s">
        <v>1242</v>
      </c>
      <c r="C3163" s="7" t="s">
        <v>28891</v>
      </c>
      <c r="D3163" s="37" t="s">
        <v>28892</v>
      </c>
    </row>
    <row r="3164">
      <c r="A3164" s="37" t="s">
        <v>1305</v>
      </c>
      <c r="B3164" s="37" t="s">
        <v>24942</v>
      </c>
      <c r="C3164" s="7" t="s">
        <v>28893</v>
      </c>
      <c r="D3164" s="37" t="s">
        <v>28894</v>
      </c>
    </row>
    <row r="3165">
      <c r="A3165" s="37" t="s">
        <v>1174</v>
      </c>
      <c r="B3165" s="37" t="s">
        <v>1096</v>
      </c>
      <c r="C3165" s="7" t="s">
        <v>2429</v>
      </c>
      <c r="D3165" s="37" t="s">
        <v>28895</v>
      </c>
    </row>
    <row r="3166">
      <c r="A3166" s="37" t="s">
        <v>1151</v>
      </c>
      <c r="B3166" s="37" t="s">
        <v>1273</v>
      </c>
      <c r="C3166" s="7" t="s">
        <v>28896</v>
      </c>
      <c r="D3166" s="37" t="s">
        <v>28897</v>
      </c>
    </row>
    <row r="3167">
      <c r="A3167" s="37" t="s">
        <v>1226</v>
      </c>
      <c r="B3167" s="37" t="s">
        <v>1268</v>
      </c>
      <c r="C3167" s="7" t="s">
        <v>28898</v>
      </c>
      <c r="D3167" s="37" t="s">
        <v>28899</v>
      </c>
    </row>
    <row r="3168">
      <c r="A3168" s="37" t="s">
        <v>1246</v>
      </c>
      <c r="B3168" s="37" t="s">
        <v>1242</v>
      </c>
      <c r="C3168" s="7" t="s">
        <v>28900</v>
      </c>
      <c r="D3168" s="37" t="s">
        <v>28901</v>
      </c>
    </row>
    <row r="3169">
      <c r="A3169" s="37" t="s">
        <v>28902</v>
      </c>
      <c r="B3169" s="37" t="s">
        <v>1495</v>
      </c>
      <c r="C3169" s="7" t="s">
        <v>28903</v>
      </c>
      <c r="D3169" s="37" t="s">
        <v>28904</v>
      </c>
    </row>
    <row r="3170">
      <c r="A3170" s="37" t="s">
        <v>28902</v>
      </c>
      <c r="B3170" s="37" t="s">
        <v>1495</v>
      </c>
      <c r="C3170" s="7" t="s">
        <v>28905</v>
      </c>
      <c r="D3170" s="37" t="s">
        <v>28906</v>
      </c>
    </row>
    <row r="3171">
      <c r="A3171" s="37" t="s">
        <v>28902</v>
      </c>
      <c r="B3171" s="37" t="s">
        <v>1495</v>
      </c>
      <c r="C3171" s="7" t="s">
        <v>28907</v>
      </c>
      <c r="D3171" s="37" t="s">
        <v>28908</v>
      </c>
    </row>
    <row r="3172">
      <c r="A3172" s="37" t="s">
        <v>28902</v>
      </c>
      <c r="B3172" s="37" t="s">
        <v>1495</v>
      </c>
      <c r="C3172" s="7" t="s">
        <v>28909</v>
      </c>
      <c r="D3172" s="37" t="s">
        <v>28910</v>
      </c>
    </row>
    <row r="3173">
      <c r="A3173" s="37" t="s">
        <v>28902</v>
      </c>
      <c r="B3173" s="37" t="s">
        <v>1495</v>
      </c>
      <c r="C3173" s="7" t="s">
        <v>28911</v>
      </c>
      <c r="D3173" s="37" t="s">
        <v>28912</v>
      </c>
    </row>
    <row r="3174">
      <c r="A3174" s="37" t="s">
        <v>28902</v>
      </c>
      <c r="B3174" s="37" t="s">
        <v>1495</v>
      </c>
      <c r="C3174" s="7" t="s">
        <v>28913</v>
      </c>
      <c r="D3174" s="37" t="s">
        <v>28914</v>
      </c>
    </row>
    <row r="3175">
      <c r="A3175" s="37" t="s">
        <v>28902</v>
      </c>
      <c r="B3175" s="37" t="s">
        <v>1495</v>
      </c>
      <c r="C3175" s="7" t="s">
        <v>28915</v>
      </c>
      <c r="D3175" s="37" t="s">
        <v>28916</v>
      </c>
    </row>
    <row r="3176">
      <c r="A3176" s="37" t="s">
        <v>28902</v>
      </c>
      <c r="B3176" s="37" t="s">
        <v>1495</v>
      </c>
      <c r="C3176" s="7" t="s">
        <v>28917</v>
      </c>
      <c r="D3176" s="37" t="s">
        <v>28918</v>
      </c>
    </row>
    <row r="3177">
      <c r="A3177" s="37" t="s">
        <v>28902</v>
      </c>
      <c r="B3177" s="37" t="s">
        <v>1495</v>
      </c>
      <c r="C3177" s="7" t="s">
        <v>28919</v>
      </c>
      <c r="D3177" s="37" t="s">
        <v>28920</v>
      </c>
    </row>
    <row r="3178">
      <c r="A3178" s="37" t="s">
        <v>28902</v>
      </c>
      <c r="B3178" s="37" t="s">
        <v>1495</v>
      </c>
      <c r="C3178" s="7" t="s">
        <v>28921</v>
      </c>
      <c r="D3178" s="37" t="s">
        <v>28922</v>
      </c>
    </row>
    <row r="3179">
      <c r="A3179" s="37" t="s">
        <v>28902</v>
      </c>
      <c r="B3179" s="37" t="s">
        <v>1495</v>
      </c>
      <c r="C3179" s="7" t="s">
        <v>28923</v>
      </c>
      <c r="D3179" s="37" t="s">
        <v>28924</v>
      </c>
    </row>
    <row r="3180">
      <c r="A3180" s="37" t="s">
        <v>28902</v>
      </c>
      <c r="B3180" s="37" t="s">
        <v>1495</v>
      </c>
      <c r="C3180" s="7" t="s">
        <v>28925</v>
      </c>
      <c r="D3180" s="37" t="s">
        <v>28926</v>
      </c>
    </row>
    <row r="3181">
      <c r="A3181" s="37" t="s">
        <v>28902</v>
      </c>
      <c r="B3181" s="37" t="s">
        <v>1495</v>
      </c>
      <c r="C3181" s="7" t="s">
        <v>28927</v>
      </c>
      <c r="D3181" s="37" t="s">
        <v>28928</v>
      </c>
    </row>
    <row r="3182">
      <c r="A3182" s="37" t="s">
        <v>28902</v>
      </c>
      <c r="B3182" s="37" t="s">
        <v>1495</v>
      </c>
      <c r="C3182" s="7" t="s">
        <v>28929</v>
      </c>
      <c r="D3182" s="37" t="s">
        <v>28930</v>
      </c>
    </row>
    <row r="3183">
      <c r="A3183" s="37" t="s">
        <v>28902</v>
      </c>
      <c r="B3183" s="37" t="s">
        <v>1495</v>
      </c>
      <c r="C3183" s="7" t="s">
        <v>28931</v>
      </c>
      <c r="D3183" s="37" t="s">
        <v>28932</v>
      </c>
    </row>
    <row r="3184">
      <c r="A3184" s="37" t="s">
        <v>28902</v>
      </c>
      <c r="B3184" s="37" t="s">
        <v>1495</v>
      </c>
      <c r="C3184" s="7" t="s">
        <v>28933</v>
      </c>
      <c r="D3184" s="37" t="s">
        <v>28934</v>
      </c>
    </row>
    <row r="3185">
      <c r="A3185" s="37" t="s">
        <v>28902</v>
      </c>
      <c r="B3185" s="37" t="s">
        <v>1495</v>
      </c>
      <c r="C3185" s="7" t="s">
        <v>28935</v>
      </c>
      <c r="D3185" s="37" t="s">
        <v>28936</v>
      </c>
    </row>
    <row r="3186">
      <c r="A3186" s="37" t="s">
        <v>28902</v>
      </c>
      <c r="B3186" s="37" t="s">
        <v>1495</v>
      </c>
      <c r="C3186" s="7" t="s">
        <v>28937</v>
      </c>
      <c r="D3186" s="37" t="s">
        <v>28938</v>
      </c>
    </row>
    <row r="3187">
      <c r="A3187" s="37" t="s">
        <v>28902</v>
      </c>
      <c r="B3187" s="37" t="s">
        <v>1495</v>
      </c>
      <c r="C3187" s="7" t="s">
        <v>28939</v>
      </c>
      <c r="D3187" s="37" t="s">
        <v>28940</v>
      </c>
    </row>
    <row r="3188">
      <c r="A3188" s="37" t="s">
        <v>28902</v>
      </c>
      <c r="B3188" s="37" t="s">
        <v>1495</v>
      </c>
      <c r="C3188" s="7" t="s">
        <v>28941</v>
      </c>
      <c r="D3188" s="37" t="s">
        <v>28942</v>
      </c>
    </row>
    <row r="3189">
      <c r="A3189" s="37" t="s">
        <v>28902</v>
      </c>
      <c r="B3189" s="37" t="s">
        <v>1495</v>
      </c>
      <c r="C3189" s="7" t="s">
        <v>28943</v>
      </c>
      <c r="D3189" s="37" t="s">
        <v>28944</v>
      </c>
    </row>
    <row r="3190">
      <c r="A3190" s="37" t="s">
        <v>28902</v>
      </c>
      <c r="B3190" s="37" t="s">
        <v>1495</v>
      </c>
      <c r="C3190" s="7" t="s">
        <v>28945</v>
      </c>
      <c r="D3190" s="37" t="s">
        <v>28946</v>
      </c>
    </row>
    <row r="3191">
      <c r="A3191" s="37" t="s">
        <v>28902</v>
      </c>
      <c r="B3191" s="37" t="s">
        <v>1495</v>
      </c>
      <c r="C3191" s="7" t="s">
        <v>28947</v>
      </c>
      <c r="D3191" s="37" t="s">
        <v>28948</v>
      </c>
    </row>
    <row r="3192">
      <c r="A3192" s="37" t="s">
        <v>28902</v>
      </c>
      <c r="B3192" s="37" t="s">
        <v>1495</v>
      </c>
      <c r="C3192" s="7" t="s">
        <v>28949</v>
      </c>
      <c r="D3192" s="37" t="s">
        <v>28950</v>
      </c>
    </row>
    <row r="3193">
      <c r="A3193" s="37" t="s">
        <v>28902</v>
      </c>
      <c r="B3193" s="37" t="s">
        <v>1495</v>
      </c>
      <c r="C3193" s="7" t="s">
        <v>28951</v>
      </c>
      <c r="D3193" s="37" t="s">
        <v>28952</v>
      </c>
    </row>
    <row r="3194">
      <c r="A3194" s="37" t="s">
        <v>1162</v>
      </c>
      <c r="B3194" s="37" t="s">
        <v>1054</v>
      </c>
      <c r="C3194" s="7" t="s">
        <v>3922</v>
      </c>
      <c r="D3194" s="37" t="s">
        <v>28953</v>
      </c>
    </row>
    <row r="3195">
      <c r="A3195" s="37" t="s">
        <v>1174</v>
      </c>
      <c r="B3195" s="37" t="s">
        <v>1096</v>
      </c>
      <c r="C3195" s="7" t="s">
        <v>28954</v>
      </c>
      <c r="D3195" s="37" t="s">
        <v>28955</v>
      </c>
    </row>
    <row r="3196">
      <c r="A3196" s="37" t="s">
        <v>28902</v>
      </c>
      <c r="B3196" s="37" t="s">
        <v>1495</v>
      </c>
      <c r="C3196" s="7" t="s">
        <v>28956</v>
      </c>
      <c r="D3196" s="37" t="s">
        <v>28957</v>
      </c>
    </row>
    <row r="3197">
      <c r="A3197" s="37" t="s">
        <v>28902</v>
      </c>
      <c r="B3197" s="37" t="s">
        <v>1495</v>
      </c>
      <c r="C3197" s="7" t="s">
        <v>28958</v>
      </c>
      <c r="D3197" s="37" t="s">
        <v>28959</v>
      </c>
    </row>
    <row r="3198">
      <c r="A3198" s="37" t="s">
        <v>28902</v>
      </c>
      <c r="B3198" s="37" t="s">
        <v>1495</v>
      </c>
      <c r="C3198" s="7" t="s">
        <v>28960</v>
      </c>
      <c r="D3198" s="37" t="s">
        <v>28961</v>
      </c>
    </row>
    <row r="3199">
      <c r="A3199" s="37" t="s">
        <v>28902</v>
      </c>
      <c r="B3199" s="37" t="s">
        <v>1495</v>
      </c>
      <c r="C3199" s="7" t="s">
        <v>28962</v>
      </c>
      <c r="D3199" s="37" t="s">
        <v>28963</v>
      </c>
    </row>
    <row r="3200">
      <c r="A3200" s="37" t="s">
        <v>28902</v>
      </c>
      <c r="B3200" s="37" t="s">
        <v>1495</v>
      </c>
      <c r="C3200" s="7" t="s">
        <v>28964</v>
      </c>
      <c r="D3200" s="37" t="s">
        <v>28965</v>
      </c>
    </row>
    <row r="3201">
      <c r="A3201" s="37" t="s">
        <v>28902</v>
      </c>
      <c r="B3201" s="37" t="s">
        <v>1495</v>
      </c>
      <c r="C3201" s="7" t="s">
        <v>28966</v>
      </c>
      <c r="D3201" s="37" t="s">
        <v>28967</v>
      </c>
    </row>
    <row r="3202">
      <c r="A3202" s="37" t="s">
        <v>28902</v>
      </c>
      <c r="B3202" s="37" t="s">
        <v>1495</v>
      </c>
      <c r="C3202" s="7" t="s">
        <v>28968</v>
      </c>
      <c r="D3202" s="37" t="s">
        <v>28969</v>
      </c>
    </row>
    <row r="3203">
      <c r="A3203" s="37" t="s">
        <v>28902</v>
      </c>
      <c r="B3203" s="37" t="s">
        <v>1495</v>
      </c>
      <c r="C3203" s="7" t="s">
        <v>28970</v>
      </c>
      <c r="D3203" s="37" t="s">
        <v>28971</v>
      </c>
    </row>
    <row r="3204">
      <c r="A3204" s="37" t="s">
        <v>28902</v>
      </c>
      <c r="B3204" s="37" t="s">
        <v>1495</v>
      </c>
      <c r="C3204" s="7" t="s">
        <v>28972</v>
      </c>
      <c r="D3204" s="37" t="s">
        <v>28973</v>
      </c>
    </row>
    <row r="3205">
      <c r="A3205" s="37" t="s">
        <v>28902</v>
      </c>
      <c r="B3205" s="37" t="s">
        <v>1495</v>
      </c>
      <c r="C3205" s="7" t="s">
        <v>28974</v>
      </c>
      <c r="D3205" s="37" t="s">
        <v>28975</v>
      </c>
    </row>
    <row r="3206">
      <c r="A3206" s="37" t="s">
        <v>28902</v>
      </c>
      <c r="B3206" s="37" t="s">
        <v>1495</v>
      </c>
      <c r="C3206" s="7" t="s">
        <v>26442</v>
      </c>
      <c r="D3206" s="37" t="s">
        <v>28976</v>
      </c>
    </row>
    <row r="3207">
      <c r="A3207" s="37" t="s">
        <v>28902</v>
      </c>
      <c r="B3207" s="37" t="s">
        <v>1495</v>
      </c>
      <c r="C3207" s="37" t="s">
        <v>28977</v>
      </c>
      <c r="D3207" s="37" t="s">
        <v>28978</v>
      </c>
    </row>
    <row r="3208">
      <c r="A3208" s="37" t="s">
        <v>27434</v>
      </c>
      <c r="B3208" s="37" t="s">
        <v>26038</v>
      </c>
      <c r="C3208" s="7" t="s">
        <v>28979</v>
      </c>
      <c r="D3208" s="37" t="s">
        <v>28980</v>
      </c>
    </row>
    <row r="3209">
      <c r="A3209" s="37" t="s">
        <v>443</v>
      </c>
      <c r="B3209" s="37" t="s">
        <v>440</v>
      </c>
      <c r="C3209" s="7" t="s">
        <v>28981</v>
      </c>
      <c r="D3209" s="37" t="s">
        <v>28982</v>
      </c>
    </row>
    <row r="3210">
      <c r="A3210" s="37" t="s">
        <v>28983</v>
      </c>
      <c r="B3210" s="37" t="s">
        <v>26160</v>
      </c>
      <c r="C3210" s="7" t="s">
        <v>27609</v>
      </c>
      <c r="D3210" s="37" t="s">
        <v>28984</v>
      </c>
    </row>
    <row r="3211">
      <c r="A3211" s="37" t="s">
        <v>1246</v>
      </c>
      <c r="B3211" s="37" t="s">
        <v>1242</v>
      </c>
      <c r="C3211" s="37" t="s">
        <v>28985</v>
      </c>
      <c r="D3211" s="37" t="s">
        <v>28986</v>
      </c>
    </row>
    <row r="3212">
      <c r="A3212" s="37" t="s">
        <v>28987</v>
      </c>
      <c r="B3212" s="37" t="s">
        <v>26245</v>
      </c>
      <c r="C3212" s="37" t="s">
        <v>28988</v>
      </c>
      <c r="D3212" s="37" t="s">
        <v>28989</v>
      </c>
    </row>
    <row r="3213">
      <c r="A3213" s="37" t="s">
        <v>28987</v>
      </c>
      <c r="B3213" s="37" t="s">
        <v>26245</v>
      </c>
      <c r="C3213" s="7" t="s">
        <v>28990</v>
      </c>
      <c r="D3213" s="37" t="s">
        <v>28991</v>
      </c>
    </row>
    <row r="3214">
      <c r="A3214" s="37" t="s">
        <v>1602</v>
      </c>
      <c r="B3214" s="37" t="s">
        <v>24942</v>
      </c>
      <c r="C3214" s="7" t="s">
        <v>28992</v>
      </c>
      <c r="D3214" s="37" t="s">
        <v>28993</v>
      </c>
    </row>
    <row r="3215">
      <c r="A3215" s="37" t="s">
        <v>1602</v>
      </c>
      <c r="B3215" s="37" t="s">
        <v>24942</v>
      </c>
      <c r="C3215" s="7" t="s">
        <v>28994</v>
      </c>
      <c r="D3215" s="37" t="s">
        <v>28995</v>
      </c>
    </row>
    <row r="3216">
      <c r="A3216" s="37" t="s">
        <v>1602</v>
      </c>
      <c r="B3216" s="37" t="s">
        <v>24942</v>
      </c>
      <c r="C3216" s="7" t="s">
        <v>28996</v>
      </c>
      <c r="D3216" s="37" t="s">
        <v>28997</v>
      </c>
    </row>
    <row r="3217">
      <c r="A3217" s="37" t="s">
        <v>1602</v>
      </c>
      <c r="B3217" s="37" t="s">
        <v>24942</v>
      </c>
      <c r="C3217" s="7" t="s">
        <v>28998</v>
      </c>
      <c r="D3217" s="37" t="s">
        <v>28999</v>
      </c>
    </row>
    <row r="3218">
      <c r="A3218" s="37" t="s">
        <v>1602</v>
      </c>
      <c r="B3218" s="37" t="s">
        <v>24942</v>
      </c>
      <c r="C3218" s="7" t="s">
        <v>29000</v>
      </c>
      <c r="D3218" s="37" t="s">
        <v>29001</v>
      </c>
    </row>
    <row r="3219">
      <c r="A3219" s="37" t="s">
        <v>1602</v>
      </c>
      <c r="B3219" s="37" t="s">
        <v>24942</v>
      </c>
      <c r="C3219" s="7" t="s">
        <v>29002</v>
      </c>
      <c r="D3219" s="37" t="s">
        <v>29003</v>
      </c>
    </row>
    <row r="3220">
      <c r="A3220" s="37" t="s">
        <v>1602</v>
      </c>
      <c r="B3220" s="37" t="s">
        <v>24942</v>
      </c>
      <c r="C3220" s="7" t="s">
        <v>29004</v>
      </c>
      <c r="D3220" s="37" t="s">
        <v>29005</v>
      </c>
    </row>
    <row r="3221">
      <c r="A3221" s="37" t="s">
        <v>1174</v>
      </c>
      <c r="B3221" s="37" t="s">
        <v>1096</v>
      </c>
      <c r="C3221" s="7" t="s">
        <v>29006</v>
      </c>
      <c r="D3221" s="37" t="s">
        <v>29007</v>
      </c>
    </row>
    <row r="3222">
      <c r="A3222" s="37" t="s">
        <v>1174</v>
      </c>
      <c r="B3222" s="37" t="s">
        <v>1096</v>
      </c>
      <c r="C3222" s="7" t="s">
        <v>29008</v>
      </c>
      <c r="D3222" s="37" t="s">
        <v>29009</v>
      </c>
    </row>
    <row r="3223">
      <c r="A3223" s="37" t="s">
        <v>1602</v>
      </c>
      <c r="B3223" s="37" t="s">
        <v>24942</v>
      </c>
      <c r="C3223" s="7" t="s">
        <v>29010</v>
      </c>
      <c r="D3223" s="37" t="s">
        <v>29011</v>
      </c>
    </row>
    <row r="3224">
      <c r="A3224" s="37" t="s">
        <v>1361</v>
      </c>
      <c r="B3224" s="37" t="s">
        <v>1096</v>
      </c>
      <c r="C3224" s="7" t="s">
        <v>29012</v>
      </c>
      <c r="D3224" s="37" t="s">
        <v>29013</v>
      </c>
    </row>
    <row r="3225">
      <c r="A3225" s="37" t="s">
        <v>1305</v>
      </c>
      <c r="B3225" s="37" t="s">
        <v>24942</v>
      </c>
      <c r="C3225" s="7" t="s">
        <v>29014</v>
      </c>
      <c r="D3225" s="37" t="s">
        <v>29015</v>
      </c>
    </row>
    <row r="3226">
      <c r="A3226" s="37" t="s">
        <v>1311</v>
      </c>
      <c r="B3226" s="37" t="s">
        <v>25880</v>
      </c>
      <c r="C3226" s="7" t="s">
        <v>1484</v>
      </c>
      <c r="D3226" s="37" t="s">
        <v>29016</v>
      </c>
    </row>
    <row r="3227">
      <c r="A3227" s="37" t="s">
        <v>1363</v>
      </c>
      <c r="B3227" s="37" t="s">
        <v>26038</v>
      </c>
      <c r="C3227" s="7" t="s">
        <v>29017</v>
      </c>
      <c r="D3227" s="37" t="s">
        <v>29018</v>
      </c>
    </row>
    <row r="3228">
      <c r="A3228" s="37" t="s">
        <v>1363</v>
      </c>
      <c r="B3228" s="37" t="s">
        <v>1096</v>
      </c>
      <c r="C3228" s="7" t="s">
        <v>27828</v>
      </c>
      <c r="D3228" s="37" t="s">
        <v>29019</v>
      </c>
    </row>
    <row r="3229">
      <c r="A3229" s="37" t="s">
        <v>1495</v>
      </c>
      <c r="B3229" s="37" t="s">
        <v>1096</v>
      </c>
      <c r="C3229" s="7" t="s">
        <v>29020</v>
      </c>
      <c r="D3229" s="37" t="s">
        <v>29021</v>
      </c>
    </row>
    <row r="3230">
      <c r="A3230" s="37" t="s">
        <v>1278</v>
      </c>
      <c r="B3230" s="37" t="s">
        <v>24942</v>
      </c>
      <c r="C3230" s="7" t="s">
        <v>28501</v>
      </c>
      <c r="D3230" s="37" t="s">
        <v>29022</v>
      </c>
    </row>
    <row r="3231">
      <c r="A3231" s="37" t="s">
        <v>436</v>
      </c>
      <c r="B3231" s="37" t="s">
        <v>429</v>
      </c>
      <c r="C3231" s="7" t="s">
        <v>29023</v>
      </c>
      <c r="D3231" s="37" t="s">
        <v>29024</v>
      </c>
    </row>
    <row r="3232">
      <c r="A3232" s="37" t="s">
        <v>118</v>
      </c>
      <c r="B3232" s="37" t="s">
        <v>24608</v>
      </c>
      <c r="C3232" s="7" t="s">
        <v>29025</v>
      </c>
      <c r="D3232" s="37" t="s">
        <v>29026</v>
      </c>
    </row>
    <row r="3233">
      <c r="A3233" s="37" t="s">
        <v>1245</v>
      </c>
      <c r="B3233" s="37" t="s">
        <v>29027</v>
      </c>
      <c r="C3233" s="37" t="s">
        <v>29028</v>
      </c>
      <c r="D3233" s="37" t="s">
        <v>29029</v>
      </c>
    </row>
    <row r="3234">
      <c r="A3234" s="37" t="s">
        <v>1305</v>
      </c>
      <c r="B3234" s="37" t="s">
        <v>24942</v>
      </c>
      <c r="C3234" s="7" t="s">
        <v>29030</v>
      </c>
      <c r="D3234" s="37" t="s">
        <v>29031</v>
      </c>
    </row>
    <row r="3235">
      <c r="A3235" s="37" t="s">
        <v>1305</v>
      </c>
      <c r="B3235" s="37" t="s">
        <v>24942</v>
      </c>
      <c r="C3235" s="7" t="s">
        <v>29032</v>
      </c>
      <c r="D3235" s="37" t="s">
        <v>29033</v>
      </c>
    </row>
    <row r="3236">
      <c r="A3236" s="37" t="s">
        <v>1246</v>
      </c>
      <c r="B3236" s="37" t="s">
        <v>1242</v>
      </c>
      <c r="C3236" s="7" t="s">
        <v>29034</v>
      </c>
      <c r="D3236" s="37" t="s">
        <v>29035</v>
      </c>
    </row>
    <row r="3237">
      <c r="A3237" s="37" t="s">
        <v>1151</v>
      </c>
      <c r="B3237" s="37" t="s">
        <v>1273</v>
      </c>
      <c r="C3237" s="7" t="s">
        <v>29036</v>
      </c>
      <c r="D3237" s="37" t="s">
        <v>29037</v>
      </c>
    </row>
    <row r="3238">
      <c r="A3238" s="37" t="s">
        <v>104</v>
      </c>
      <c r="B3238" s="37" t="s">
        <v>613</v>
      </c>
      <c r="C3238" s="37" t="s">
        <v>29038</v>
      </c>
      <c r="D3238" s="37" t="s">
        <v>29039</v>
      </c>
    </row>
    <row r="3239">
      <c r="A3239" s="37" t="s">
        <v>148</v>
      </c>
      <c r="B3239" s="37" t="s">
        <v>26038</v>
      </c>
      <c r="C3239" s="7" t="s">
        <v>29040</v>
      </c>
      <c r="D3239" s="37" t="s">
        <v>29041</v>
      </c>
    </row>
    <row r="3240">
      <c r="A3240" s="37" t="s">
        <v>148</v>
      </c>
      <c r="B3240" s="37" t="s">
        <v>26038</v>
      </c>
      <c r="C3240" s="7" t="s">
        <v>29042</v>
      </c>
      <c r="D3240" s="37" t="s">
        <v>29043</v>
      </c>
    </row>
    <row r="3241">
      <c r="A3241" s="37" t="s">
        <v>148</v>
      </c>
      <c r="B3241" s="37" t="s">
        <v>26038</v>
      </c>
      <c r="C3241" s="7" t="s">
        <v>29044</v>
      </c>
      <c r="D3241" s="37" t="s">
        <v>29045</v>
      </c>
    </row>
    <row r="3242">
      <c r="A3242" s="37" t="s">
        <v>28987</v>
      </c>
      <c r="B3242" s="37" t="s">
        <v>26245</v>
      </c>
      <c r="C3242" s="7" t="s">
        <v>29046</v>
      </c>
      <c r="D3242" s="37" t="s">
        <v>29047</v>
      </c>
    </row>
    <row r="3243">
      <c r="A3243" s="37" t="s">
        <v>1363</v>
      </c>
      <c r="B3243" s="37" t="s">
        <v>26038</v>
      </c>
      <c r="C3243" s="7" t="s">
        <v>29048</v>
      </c>
      <c r="D3243" s="37" t="s">
        <v>29049</v>
      </c>
    </row>
    <row r="3244">
      <c r="A3244" s="37" t="s">
        <v>1161</v>
      </c>
      <c r="B3244" s="37" t="s">
        <v>693</v>
      </c>
      <c r="C3244" s="7" t="s">
        <v>29050</v>
      </c>
      <c r="D3244" s="37" t="s">
        <v>29051</v>
      </c>
    </row>
    <row r="3245">
      <c r="A3245" s="37" t="s">
        <v>1161</v>
      </c>
      <c r="B3245" s="37" t="s">
        <v>693</v>
      </c>
      <c r="C3245" s="7" t="s">
        <v>29052</v>
      </c>
      <c r="D3245" s="37" t="s">
        <v>29053</v>
      </c>
    </row>
    <row r="3246">
      <c r="A3246" s="37" t="s">
        <v>1161</v>
      </c>
      <c r="B3246" s="37" t="s">
        <v>693</v>
      </c>
      <c r="C3246" s="7" t="s">
        <v>29054</v>
      </c>
      <c r="D3246" s="37" t="s">
        <v>29055</v>
      </c>
    </row>
    <row r="3247">
      <c r="A3247" s="37" t="s">
        <v>1161</v>
      </c>
      <c r="B3247" s="37" t="s">
        <v>693</v>
      </c>
      <c r="C3247" s="7" t="s">
        <v>29056</v>
      </c>
      <c r="D3247" s="37" t="s">
        <v>29057</v>
      </c>
    </row>
    <row r="3248">
      <c r="A3248" s="37" t="s">
        <v>1161</v>
      </c>
      <c r="B3248" s="37" t="s">
        <v>693</v>
      </c>
      <c r="C3248" s="7" t="s">
        <v>29058</v>
      </c>
      <c r="D3248" s="37" t="s">
        <v>29059</v>
      </c>
    </row>
    <row r="3249">
      <c r="A3249" s="37" t="s">
        <v>1161</v>
      </c>
      <c r="B3249" s="37" t="s">
        <v>693</v>
      </c>
      <c r="C3249" s="7" t="s">
        <v>29060</v>
      </c>
      <c r="D3249" s="37" t="s">
        <v>29061</v>
      </c>
    </row>
    <row r="3250">
      <c r="A3250" s="37" t="s">
        <v>1161</v>
      </c>
      <c r="B3250" s="37" t="s">
        <v>693</v>
      </c>
      <c r="C3250" s="7" t="s">
        <v>29062</v>
      </c>
      <c r="D3250" s="37" t="s">
        <v>29063</v>
      </c>
    </row>
    <row r="3251">
      <c r="A3251" s="37" t="s">
        <v>1161</v>
      </c>
      <c r="B3251" s="37" t="s">
        <v>693</v>
      </c>
      <c r="C3251" s="7" t="s">
        <v>29064</v>
      </c>
      <c r="D3251" s="37" t="s">
        <v>29065</v>
      </c>
    </row>
    <row r="3252">
      <c r="A3252" s="37" t="s">
        <v>1161</v>
      </c>
      <c r="B3252" s="37" t="s">
        <v>693</v>
      </c>
      <c r="C3252" s="7" t="s">
        <v>29066</v>
      </c>
      <c r="D3252" s="37" t="s">
        <v>29067</v>
      </c>
    </row>
    <row r="3253">
      <c r="A3253" s="37" t="s">
        <v>1161</v>
      </c>
      <c r="B3253" s="37" t="s">
        <v>693</v>
      </c>
      <c r="C3253" s="7" t="s">
        <v>29068</v>
      </c>
      <c r="D3253" s="37" t="s">
        <v>29069</v>
      </c>
    </row>
    <row r="3254">
      <c r="A3254" s="37" t="s">
        <v>1161</v>
      </c>
      <c r="B3254" s="37" t="s">
        <v>693</v>
      </c>
      <c r="C3254" s="7" t="s">
        <v>29070</v>
      </c>
      <c r="D3254" s="37" t="s">
        <v>29071</v>
      </c>
    </row>
    <row r="3255">
      <c r="A3255" s="37" t="s">
        <v>1161</v>
      </c>
      <c r="B3255" s="37" t="s">
        <v>693</v>
      </c>
      <c r="C3255" s="7" t="s">
        <v>29072</v>
      </c>
      <c r="D3255" s="37" t="s">
        <v>29073</v>
      </c>
    </row>
    <row r="3256">
      <c r="A3256" s="37" t="s">
        <v>1161</v>
      </c>
      <c r="B3256" s="37" t="s">
        <v>693</v>
      </c>
      <c r="C3256" s="7" t="s">
        <v>29074</v>
      </c>
      <c r="D3256" s="37" t="s">
        <v>29075</v>
      </c>
    </row>
    <row r="3257">
      <c r="A3257" s="37" t="s">
        <v>1161</v>
      </c>
      <c r="B3257" s="37" t="s">
        <v>693</v>
      </c>
      <c r="C3257" s="7" t="s">
        <v>29076</v>
      </c>
      <c r="D3257" s="37" t="s">
        <v>29077</v>
      </c>
    </row>
    <row r="3258">
      <c r="A3258" s="37" t="s">
        <v>1161</v>
      </c>
      <c r="B3258" s="37" t="s">
        <v>693</v>
      </c>
      <c r="C3258" s="7" t="s">
        <v>29078</v>
      </c>
      <c r="D3258" s="37" t="s">
        <v>29079</v>
      </c>
    </row>
    <row r="3259">
      <c r="A3259" s="37" t="s">
        <v>857</v>
      </c>
      <c r="B3259" s="37" t="s">
        <v>1268</v>
      </c>
      <c r="C3259" s="37" t="s">
        <v>29080</v>
      </c>
      <c r="D3259" s="37" t="s">
        <v>29081</v>
      </c>
    </row>
    <row r="3260">
      <c r="A3260" s="37" t="s">
        <v>1161</v>
      </c>
      <c r="B3260" s="37" t="s">
        <v>693</v>
      </c>
      <c r="C3260" s="7" t="s">
        <v>29082</v>
      </c>
      <c r="D3260" s="37" t="s">
        <v>29083</v>
      </c>
    </row>
    <row r="3261">
      <c r="A3261" s="37" t="s">
        <v>28595</v>
      </c>
      <c r="B3261" s="37" t="s">
        <v>1495</v>
      </c>
      <c r="C3261" s="7" t="s">
        <v>29084</v>
      </c>
      <c r="D3261" s="37" t="s">
        <v>29085</v>
      </c>
    </row>
    <row r="3262">
      <c r="A3262" s="37" t="s">
        <v>28987</v>
      </c>
      <c r="B3262" s="37" t="s">
        <v>26245</v>
      </c>
      <c r="C3262" s="7" t="s">
        <v>29086</v>
      </c>
      <c r="D3262" s="37" t="s">
        <v>29087</v>
      </c>
    </row>
    <row r="3263">
      <c r="A3263" s="37" t="s">
        <v>443</v>
      </c>
      <c r="B3263" s="37" t="s">
        <v>440</v>
      </c>
      <c r="C3263" s="7" t="s">
        <v>29088</v>
      </c>
      <c r="D3263" s="37" t="s">
        <v>29089</v>
      </c>
    </row>
    <row r="3264">
      <c r="A3264" s="37" t="s">
        <v>1183</v>
      </c>
      <c r="B3264" s="37" t="s">
        <v>1273</v>
      </c>
      <c r="C3264" s="7" t="s">
        <v>29090</v>
      </c>
      <c r="D3264" s="37" t="s">
        <v>29091</v>
      </c>
    </row>
    <row r="3265">
      <c r="A3265" s="37" t="s">
        <v>1363</v>
      </c>
      <c r="B3265" s="37" t="s">
        <v>26038</v>
      </c>
      <c r="C3265" s="7" t="s">
        <v>6873</v>
      </c>
      <c r="D3265" s="37" t="s">
        <v>29092</v>
      </c>
    </row>
    <row r="3266">
      <c r="A3266" s="37" t="s">
        <v>1161</v>
      </c>
      <c r="B3266" s="37" t="s">
        <v>693</v>
      </c>
      <c r="C3266" s="37" t="s">
        <v>29093</v>
      </c>
      <c r="D3266" s="37" t="s">
        <v>29094</v>
      </c>
    </row>
    <row r="3267">
      <c r="A3267" s="37" t="s">
        <v>23444</v>
      </c>
      <c r="B3267" s="37" t="s">
        <v>24942</v>
      </c>
      <c r="C3267" s="7" t="s">
        <v>29095</v>
      </c>
      <c r="D3267" s="37" t="s">
        <v>29096</v>
      </c>
    </row>
    <row r="3268">
      <c r="A3268" s="37" t="s">
        <v>23444</v>
      </c>
      <c r="B3268" s="37" t="s">
        <v>24942</v>
      </c>
      <c r="C3268" s="7" t="s">
        <v>29097</v>
      </c>
      <c r="D3268" s="37" t="s">
        <v>29098</v>
      </c>
    </row>
    <row r="3269">
      <c r="A3269" s="37" t="s">
        <v>1495</v>
      </c>
      <c r="B3269" s="37" t="s">
        <v>693</v>
      </c>
      <c r="C3269" s="7" t="s">
        <v>29099</v>
      </c>
      <c r="D3269" s="37" t="s">
        <v>29100</v>
      </c>
    </row>
    <row r="3270">
      <c r="A3270" s="37" t="s">
        <v>1360</v>
      </c>
      <c r="B3270" s="37" t="s">
        <v>1096</v>
      </c>
      <c r="C3270" s="7" t="s">
        <v>29101</v>
      </c>
      <c r="D3270" s="37" t="s">
        <v>29102</v>
      </c>
    </row>
    <row r="3271">
      <c r="A3271" s="37" t="s">
        <v>28595</v>
      </c>
      <c r="B3271" s="37" t="s">
        <v>28596</v>
      </c>
      <c r="C3271" s="7" t="s">
        <v>29103</v>
      </c>
      <c r="D3271" s="37" t="s">
        <v>29104</v>
      </c>
    </row>
    <row r="3272">
      <c r="A3272" s="37" t="s">
        <v>1156</v>
      </c>
      <c r="B3272" s="37" t="s">
        <v>693</v>
      </c>
      <c r="C3272" s="7" t="s">
        <v>29105</v>
      </c>
      <c r="D3272" s="37" t="s">
        <v>29106</v>
      </c>
    </row>
    <row r="3273">
      <c r="A3273" s="37" t="s">
        <v>1156</v>
      </c>
      <c r="B3273" s="37" t="s">
        <v>693</v>
      </c>
      <c r="C3273" s="7" t="s">
        <v>29107</v>
      </c>
      <c r="D3273" s="37" t="s">
        <v>29108</v>
      </c>
    </row>
    <row r="3274">
      <c r="A3274" s="37" t="s">
        <v>1156</v>
      </c>
      <c r="B3274" s="37" t="s">
        <v>693</v>
      </c>
      <c r="C3274" s="7" t="s">
        <v>29109</v>
      </c>
      <c r="D3274" s="37" t="s">
        <v>29110</v>
      </c>
    </row>
    <row r="3275">
      <c r="A3275" s="37" t="s">
        <v>1156</v>
      </c>
      <c r="B3275" s="37" t="s">
        <v>693</v>
      </c>
      <c r="C3275" s="7" t="s">
        <v>29111</v>
      </c>
      <c r="D3275" s="37" t="s">
        <v>29112</v>
      </c>
    </row>
    <row r="3276">
      <c r="A3276" s="37" t="s">
        <v>1246</v>
      </c>
      <c r="B3276" s="37" t="s">
        <v>38</v>
      </c>
      <c r="C3276" s="7" t="s">
        <v>29113</v>
      </c>
      <c r="D3276" s="37" t="s">
        <v>29114</v>
      </c>
    </row>
    <row r="3277">
      <c r="A3277" s="37" t="s">
        <v>124</v>
      </c>
      <c r="B3277" s="37" t="s">
        <v>24752</v>
      </c>
      <c r="C3277" s="7" t="s">
        <v>29115</v>
      </c>
      <c r="D3277" s="37" t="s">
        <v>29116</v>
      </c>
    </row>
    <row r="3278">
      <c r="A3278" s="37" t="s">
        <v>1147</v>
      </c>
      <c r="B3278" s="37" t="s">
        <v>478</v>
      </c>
      <c r="C3278" s="7" t="s">
        <v>29117</v>
      </c>
      <c r="D3278" s="37" t="s">
        <v>29118</v>
      </c>
    </row>
    <row r="3279">
      <c r="A3279" s="37" t="s">
        <v>1278</v>
      </c>
      <c r="B3279" s="37" t="s">
        <v>24942</v>
      </c>
      <c r="C3279" s="7" t="s">
        <v>29119</v>
      </c>
      <c r="D3279" s="37" t="s">
        <v>29120</v>
      </c>
    </row>
    <row r="3280">
      <c r="A3280" s="37" t="s">
        <v>484</v>
      </c>
      <c r="B3280" s="37" t="s">
        <v>478</v>
      </c>
      <c r="C3280" s="7" t="s">
        <v>29121</v>
      </c>
      <c r="D3280" s="37" t="s">
        <v>29122</v>
      </c>
    </row>
    <row r="3281">
      <c r="A3281" s="37" t="s">
        <v>484</v>
      </c>
      <c r="B3281" s="37" t="s">
        <v>478</v>
      </c>
      <c r="C3281" s="7" t="s">
        <v>29123</v>
      </c>
      <c r="D3281" s="37" t="s">
        <v>29124</v>
      </c>
    </row>
    <row r="3282">
      <c r="A3282" s="37" t="s">
        <v>484</v>
      </c>
      <c r="B3282" s="37" t="s">
        <v>478</v>
      </c>
      <c r="C3282" s="7" t="s">
        <v>29125</v>
      </c>
      <c r="D3282" s="37" t="s">
        <v>29126</v>
      </c>
    </row>
    <row r="3283">
      <c r="A3283" s="37" t="s">
        <v>484</v>
      </c>
      <c r="B3283" s="37" t="s">
        <v>478</v>
      </c>
      <c r="C3283" s="7" t="s">
        <v>29127</v>
      </c>
      <c r="D3283" s="37" t="s">
        <v>29128</v>
      </c>
    </row>
    <row r="3284">
      <c r="A3284" s="37" t="s">
        <v>484</v>
      </c>
      <c r="B3284" s="37" t="s">
        <v>478</v>
      </c>
      <c r="C3284" s="7" t="s">
        <v>29129</v>
      </c>
      <c r="D3284" s="37" t="s">
        <v>29130</v>
      </c>
    </row>
    <row r="3285">
      <c r="A3285" s="37" t="s">
        <v>484</v>
      </c>
      <c r="B3285" s="37" t="s">
        <v>478</v>
      </c>
      <c r="C3285" s="7" t="s">
        <v>29131</v>
      </c>
      <c r="D3285" s="37" t="s">
        <v>29132</v>
      </c>
    </row>
    <row r="3286">
      <c r="A3286" s="37" t="s">
        <v>484</v>
      </c>
      <c r="B3286" s="37" t="s">
        <v>478</v>
      </c>
      <c r="C3286" s="7" t="s">
        <v>29133</v>
      </c>
      <c r="D3286" s="37" t="s">
        <v>29134</v>
      </c>
    </row>
    <row r="3287">
      <c r="A3287" s="37" t="s">
        <v>484</v>
      </c>
      <c r="B3287" s="37" t="s">
        <v>478</v>
      </c>
      <c r="C3287" s="7" t="s">
        <v>29135</v>
      </c>
      <c r="D3287" s="37" t="s">
        <v>29136</v>
      </c>
    </row>
    <row r="3288">
      <c r="A3288" s="37" t="s">
        <v>484</v>
      </c>
      <c r="B3288" s="37" t="s">
        <v>478</v>
      </c>
      <c r="C3288" s="7" t="s">
        <v>29137</v>
      </c>
      <c r="D3288" s="37" t="s">
        <v>29138</v>
      </c>
    </row>
    <row r="3289">
      <c r="A3289" s="37" t="s">
        <v>484</v>
      </c>
      <c r="B3289" s="37" t="s">
        <v>478</v>
      </c>
      <c r="C3289" s="37" t="s">
        <v>29139</v>
      </c>
      <c r="D3289" s="37" t="s">
        <v>29140</v>
      </c>
    </row>
    <row r="3290">
      <c r="A3290" s="37" t="s">
        <v>1245</v>
      </c>
      <c r="B3290" s="37" t="s">
        <v>1242</v>
      </c>
      <c r="C3290" s="7" t="s">
        <v>29141</v>
      </c>
      <c r="D3290" s="37" t="s">
        <v>29142</v>
      </c>
    </row>
    <row r="3291">
      <c r="A3291" s="37" t="s">
        <v>1245</v>
      </c>
      <c r="B3291" s="37" t="s">
        <v>1242</v>
      </c>
      <c r="C3291" s="37" t="s">
        <v>29143</v>
      </c>
      <c r="D3291" s="37" t="s">
        <v>29144</v>
      </c>
    </row>
    <row r="3292">
      <c r="A3292" s="37" t="s">
        <v>1245</v>
      </c>
      <c r="B3292" s="37" t="s">
        <v>1242</v>
      </c>
      <c r="C3292" s="7" t="s">
        <v>29145</v>
      </c>
      <c r="D3292" s="37" t="s">
        <v>29146</v>
      </c>
    </row>
    <row r="3293">
      <c r="A3293" s="37" t="s">
        <v>1245</v>
      </c>
      <c r="B3293" s="37" t="s">
        <v>1242</v>
      </c>
      <c r="C3293" s="37" t="s">
        <v>29147</v>
      </c>
      <c r="D3293" s="37" t="s">
        <v>29148</v>
      </c>
    </row>
    <row r="3294">
      <c r="A3294" s="37" t="s">
        <v>1245</v>
      </c>
      <c r="B3294" s="37" t="s">
        <v>1242</v>
      </c>
      <c r="C3294" s="37" t="s">
        <v>29149</v>
      </c>
      <c r="D3294" s="37" t="s">
        <v>29150</v>
      </c>
    </row>
    <row r="3295">
      <c r="A3295" s="37" t="s">
        <v>1360</v>
      </c>
      <c r="B3295" s="37" t="s">
        <v>1096</v>
      </c>
      <c r="C3295" s="7" t="s">
        <v>29151</v>
      </c>
      <c r="D3295" s="37" t="s">
        <v>29152</v>
      </c>
    </row>
    <row r="3296">
      <c r="A3296" s="37" t="s">
        <v>1278</v>
      </c>
      <c r="B3296" s="37" t="s">
        <v>25880</v>
      </c>
      <c r="C3296" s="37" t="s">
        <v>29153</v>
      </c>
      <c r="D3296" s="37" t="s">
        <v>29154</v>
      </c>
    </row>
    <row r="3297">
      <c r="A3297" s="37" t="s">
        <v>29155</v>
      </c>
      <c r="B3297" s="37" t="s">
        <v>693</v>
      </c>
      <c r="C3297" s="7" t="s">
        <v>29156</v>
      </c>
      <c r="D3297" s="37" t="s">
        <v>29157</v>
      </c>
    </row>
    <row r="3298">
      <c r="A3298" s="37" t="s">
        <v>1307</v>
      </c>
      <c r="B3298" s="37" t="s">
        <v>24942</v>
      </c>
      <c r="C3298" s="7" t="s">
        <v>29158</v>
      </c>
      <c r="D3298" s="37" t="s">
        <v>29159</v>
      </c>
    </row>
    <row r="3299">
      <c r="A3299" s="37" t="s">
        <v>1363</v>
      </c>
      <c r="B3299" s="37" t="s">
        <v>26038</v>
      </c>
      <c r="C3299" s="7" t="s">
        <v>29160</v>
      </c>
      <c r="D3299" s="37" t="s">
        <v>29161</v>
      </c>
    </row>
    <row r="3300">
      <c r="A3300" s="37" t="s">
        <v>1363</v>
      </c>
      <c r="B3300" s="37" t="s">
        <v>26038</v>
      </c>
      <c r="C3300" s="7" t="s">
        <v>29162</v>
      </c>
      <c r="D3300" s="37" t="s">
        <v>29163</v>
      </c>
    </row>
    <row r="3301">
      <c r="A3301" s="37" t="s">
        <v>1278</v>
      </c>
      <c r="B3301" s="37" t="s">
        <v>25880</v>
      </c>
      <c r="C3301" s="37" t="s">
        <v>29164</v>
      </c>
      <c r="D3301" s="37" t="s">
        <v>29165</v>
      </c>
    </row>
    <row r="3302">
      <c r="A3302" s="37" t="s">
        <v>1245</v>
      </c>
      <c r="B3302" s="37" t="s">
        <v>1242</v>
      </c>
      <c r="C3302" s="7" t="s">
        <v>29166</v>
      </c>
      <c r="D3302" s="37" t="s">
        <v>29167</v>
      </c>
    </row>
    <row r="3303">
      <c r="A3303" s="37" t="s">
        <v>1360</v>
      </c>
      <c r="B3303" s="37" t="s">
        <v>1096</v>
      </c>
      <c r="C3303" s="7" t="s">
        <v>29168</v>
      </c>
      <c r="D3303" s="37" t="s">
        <v>29169</v>
      </c>
    </row>
    <row r="3304">
      <c r="A3304" s="37" t="s">
        <v>443</v>
      </c>
      <c r="B3304" s="37" t="s">
        <v>440</v>
      </c>
      <c r="C3304" s="37" t="s">
        <v>29170</v>
      </c>
      <c r="D3304" s="37" t="s">
        <v>29171</v>
      </c>
    </row>
    <row r="3305">
      <c r="A3305" s="37" t="s">
        <v>1146</v>
      </c>
      <c r="B3305" s="37" t="s">
        <v>478</v>
      </c>
      <c r="C3305" s="37" t="s">
        <v>29172</v>
      </c>
      <c r="D3305" s="37" t="s">
        <v>29173</v>
      </c>
    </row>
    <row r="3306">
      <c r="A3306" s="37" t="s">
        <v>1156</v>
      </c>
      <c r="B3306" s="37" t="s">
        <v>693</v>
      </c>
      <c r="C3306" s="7" t="s">
        <v>29174</v>
      </c>
      <c r="D3306" s="37" t="s">
        <v>29175</v>
      </c>
    </row>
    <row r="3307">
      <c r="A3307" s="37" t="s">
        <v>28595</v>
      </c>
      <c r="B3307" s="37" t="s">
        <v>1495</v>
      </c>
      <c r="C3307" s="7" t="s">
        <v>25772</v>
      </c>
      <c r="D3307" s="37" t="s">
        <v>29176</v>
      </c>
    </row>
    <row r="3308">
      <c r="A3308" s="37" t="s">
        <v>1183</v>
      </c>
      <c r="B3308" s="37" t="s">
        <v>1273</v>
      </c>
      <c r="C3308" s="7" t="s">
        <v>29177</v>
      </c>
      <c r="D3308" s="37" t="s">
        <v>29178</v>
      </c>
    </row>
    <row r="3309">
      <c r="A3309" s="37" t="s">
        <v>1183</v>
      </c>
      <c r="B3309" s="37" t="s">
        <v>1273</v>
      </c>
      <c r="C3309" s="7" t="s">
        <v>29179</v>
      </c>
      <c r="D3309" s="37" t="s">
        <v>29180</v>
      </c>
    </row>
    <row r="3310">
      <c r="A3310" s="37" t="s">
        <v>1209</v>
      </c>
      <c r="B3310" s="37" t="s">
        <v>1208</v>
      </c>
      <c r="C3310" s="37" t="s">
        <v>29181</v>
      </c>
      <c r="D3310" s="37" t="s">
        <v>29182</v>
      </c>
    </row>
    <row r="3311">
      <c r="A3311" s="37" t="s">
        <v>1174</v>
      </c>
      <c r="B3311" s="37" t="s">
        <v>1096</v>
      </c>
      <c r="C3311" s="7" t="s">
        <v>29183</v>
      </c>
      <c r="D3311" s="37" t="s">
        <v>29184</v>
      </c>
    </row>
    <row r="3312">
      <c r="A3312" s="37" t="s">
        <v>1495</v>
      </c>
      <c r="B3312" s="37" t="s">
        <v>1495</v>
      </c>
      <c r="C3312" s="37" t="s">
        <v>29185</v>
      </c>
      <c r="D3312" s="37" t="s">
        <v>29186</v>
      </c>
    </row>
    <row r="3313">
      <c r="A3313" s="37" t="s">
        <v>1246</v>
      </c>
      <c r="B3313" s="37" t="s">
        <v>1242</v>
      </c>
      <c r="C3313" s="7" t="s">
        <v>29187</v>
      </c>
      <c r="D3313" s="37" t="s">
        <v>29188</v>
      </c>
    </row>
    <row r="3314">
      <c r="A3314" s="37" t="s">
        <v>43</v>
      </c>
      <c r="B3314" s="37" t="s">
        <v>1242</v>
      </c>
      <c r="C3314" s="37" t="s">
        <v>29189</v>
      </c>
      <c r="D3314" s="37" t="s">
        <v>29190</v>
      </c>
    </row>
    <row r="3315">
      <c r="A3315" s="37" t="s">
        <v>1147</v>
      </c>
      <c r="B3315" s="37" t="s">
        <v>478</v>
      </c>
      <c r="C3315" s="7" t="s">
        <v>7397</v>
      </c>
      <c r="D3315" s="37" t="s">
        <v>29191</v>
      </c>
    </row>
    <row r="3316">
      <c r="A3316" s="37" t="s">
        <v>148</v>
      </c>
      <c r="B3316" s="37" t="s">
        <v>26038</v>
      </c>
      <c r="C3316" s="7" t="s">
        <v>29192</v>
      </c>
      <c r="D3316" s="37" t="s">
        <v>29193</v>
      </c>
    </row>
    <row r="3317">
      <c r="A3317" s="37" t="s">
        <v>29194</v>
      </c>
      <c r="B3317" s="37" t="s">
        <v>27127</v>
      </c>
      <c r="C3317" s="7" t="s">
        <v>29195</v>
      </c>
      <c r="D3317" s="37" t="s">
        <v>29196</v>
      </c>
    </row>
    <row r="3318">
      <c r="A3318" s="37" t="s">
        <v>1245</v>
      </c>
      <c r="B3318" s="37" t="s">
        <v>1242</v>
      </c>
      <c r="C3318" s="37" t="s">
        <v>29197</v>
      </c>
      <c r="D3318" s="37" t="s">
        <v>29198</v>
      </c>
    </row>
    <row r="3319">
      <c r="A3319" s="37" t="s">
        <v>1307</v>
      </c>
      <c r="B3319" s="37" t="s">
        <v>24942</v>
      </c>
      <c r="C3319" s="7" t="s">
        <v>29199</v>
      </c>
      <c r="D3319" s="37" t="s">
        <v>29200</v>
      </c>
    </row>
    <row r="3320">
      <c r="A3320" s="37" t="s">
        <v>436</v>
      </c>
      <c r="B3320" s="37" t="s">
        <v>429</v>
      </c>
      <c r="C3320" s="7" t="s">
        <v>29201</v>
      </c>
      <c r="D3320" s="37" t="s">
        <v>29202</v>
      </c>
    </row>
    <row r="3321">
      <c r="A3321" s="37" t="s">
        <v>436</v>
      </c>
      <c r="B3321" s="37" t="s">
        <v>429</v>
      </c>
      <c r="C3321" s="37" t="s">
        <v>29203</v>
      </c>
      <c r="D3321" s="37" t="s">
        <v>29204</v>
      </c>
    </row>
    <row r="3322">
      <c r="A3322" s="37" t="s">
        <v>1209</v>
      </c>
      <c r="B3322" s="37" t="s">
        <v>1208</v>
      </c>
      <c r="C3322" s="7" t="s">
        <v>29205</v>
      </c>
      <c r="D3322" s="37" t="s">
        <v>29206</v>
      </c>
    </row>
    <row r="3323">
      <c r="A3323" s="37" t="s">
        <v>1209</v>
      </c>
      <c r="B3323" s="37" t="s">
        <v>1208</v>
      </c>
      <c r="C3323" s="7" t="s">
        <v>29207</v>
      </c>
      <c r="D3323" s="37" t="s">
        <v>29208</v>
      </c>
    </row>
    <row r="3324">
      <c r="A3324" s="37" t="s">
        <v>1209</v>
      </c>
      <c r="B3324" s="37" t="s">
        <v>1208</v>
      </c>
      <c r="C3324" s="7" t="s">
        <v>29209</v>
      </c>
      <c r="D3324" s="37" t="s">
        <v>29210</v>
      </c>
    </row>
    <row r="3325">
      <c r="A3325" s="37" t="s">
        <v>1209</v>
      </c>
      <c r="B3325" s="37" t="s">
        <v>1208</v>
      </c>
      <c r="C3325" s="7" t="s">
        <v>29211</v>
      </c>
      <c r="D3325" s="37" t="s">
        <v>29212</v>
      </c>
    </row>
    <row r="3326">
      <c r="A3326" s="37" t="s">
        <v>1245</v>
      </c>
      <c r="B3326" s="37" t="s">
        <v>38</v>
      </c>
      <c r="C3326" s="7" t="s">
        <v>29213</v>
      </c>
      <c r="D3326" s="37" t="s">
        <v>29214</v>
      </c>
    </row>
    <row r="3327">
      <c r="A3327" s="37" t="s">
        <v>1245</v>
      </c>
      <c r="B3327" s="37" t="s">
        <v>38</v>
      </c>
      <c r="C3327" s="7" t="s">
        <v>29215</v>
      </c>
      <c r="D3327" s="37" t="s">
        <v>29216</v>
      </c>
    </row>
    <row r="3328">
      <c r="A3328" s="37" t="s">
        <v>1245</v>
      </c>
      <c r="B3328" s="37" t="s">
        <v>38</v>
      </c>
      <c r="C3328" s="7" t="s">
        <v>29217</v>
      </c>
      <c r="D3328" s="37" t="s">
        <v>29218</v>
      </c>
    </row>
    <row r="3329">
      <c r="A3329" s="37" t="s">
        <v>1245</v>
      </c>
      <c r="B3329" s="37" t="s">
        <v>38</v>
      </c>
      <c r="C3329" s="7" t="s">
        <v>29219</v>
      </c>
      <c r="D3329" s="37" t="s">
        <v>29220</v>
      </c>
    </row>
    <row r="3330">
      <c r="A3330" s="37" t="s">
        <v>1209</v>
      </c>
      <c r="B3330" s="37" t="s">
        <v>1208</v>
      </c>
      <c r="C3330" s="7" t="s">
        <v>29221</v>
      </c>
      <c r="D3330" s="37" t="s">
        <v>29222</v>
      </c>
    </row>
    <row r="3331">
      <c r="A3331" s="37" t="s">
        <v>1209</v>
      </c>
      <c r="B3331" s="37" t="s">
        <v>1208</v>
      </c>
      <c r="C3331" s="7" t="s">
        <v>29223</v>
      </c>
      <c r="D3331" s="37" t="s">
        <v>29224</v>
      </c>
    </row>
    <row r="3332">
      <c r="A3332" s="37" t="s">
        <v>1209</v>
      </c>
      <c r="B3332" s="37" t="s">
        <v>1208</v>
      </c>
      <c r="C3332" s="7" t="s">
        <v>29225</v>
      </c>
      <c r="D3332" s="37" t="s">
        <v>29226</v>
      </c>
    </row>
    <row r="3333">
      <c r="A3333" s="37" t="s">
        <v>1209</v>
      </c>
      <c r="B3333" s="37" t="s">
        <v>1208</v>
      </c>
      <c r="C3333" s="7" t="s">
        <v>29227</v>
      </c>
      <c r="D3333" s="37" t="s">
        <v>29228</v>
      </c>
    </row>
    <row r="3334">
      <c r="A3334" s="37" t="s">
        <v>1209</v>
      </c>
      <c r="B3334" s="37" t="s">
        <v>1208</v>
      </c>
      <c r="C3334" s="7" t="s">
        <v>29229</v>
      </c>
      <c r="D3334" s="37" t="s">
        <v>29230</v>
      </c>
    </row>
    <row r="3335">
      <c r="A3335" s="37" t="s">
        <v>1245</v>
      </c>
      <c r="B3335" s="37" t="s">
        <v>38</v>
      </c>
      <c r="C3335" s="7" t="s">
        <v>29231</v>
      </c>
      <c r="D3335" s="37" t="s">
        <v>29232</v>
      </c>
    </row>
    <row r="3336">
      <c r="A3336" s="37" t="s">
        <v>1209</v>
      </c>
      <c r="B3336" s="37" t="s">
        <v>1208</v>
      </c>
      <c r="C3336" s="7" t="s">
        <v>29233</v>
      </c>
      <c r="D3336" s="37" t="s">
        <v>29234</v>
      </c>
    </row>
    <row r="3337">
      <c r="A3337" s="37" t="s">
        <v>1209</v>
      </c>
      <c r="B3337" s="37" t="s">
        <v>1208</v>
      </c>
      <c r="C3337" s="7" t="s">
        <v>29235</v>
      </c>
      <c r="D3337" s="37" t="s">
        <v>29236</v>
      </c>
    </row>
    <row r="3338">
      <c r="A3338" s="37" t="s">
        <v>1245</v>
      </c>
      <c r="B3338" s="37" t="s">
        <v>38</v>
      </c>
      <c r="C3338" s="7" t="s">
        <v>29237</v>
      </c>
      <c r="D3338" s="37" t="s">
        <v>29238</v>
      </c>
    </row>
    <row r="3339">
      <c r="A3339" s="37" t="s">
        <v>1209</v>
      </c>
      <c r="B3339" s="37" t="s">
        <v>1208</v>
      </c>
      <c r="C3339" s="7" t="s">
        <v>29239</v>
      </c>
      <c r="D3339" s="37" t="s">
        <v>29240</v>
      </c>
    </row>
    <row r="3340">
      <c r="A3340" s="37" t="s">
        <v>1245</v>
      </c>
      <c r="B3340" s="37" t="s">
        <v>38</v>
      </c>
      <c r="C3340" s="7" t="s">
        <v>29241</v>
      </c>
      <c r="D3340" s="37" t="s">
        <v>29242</v>
      </c>
    </row>
    <row r="3341">
      <c r="A3341" s="37" t="s">
        <v>1209</v>
      </c>
      <c r="B3341" s="37" t="s">
        <v>1208</v>
      </c>
      <c r="C3341" s="7" t="s">
        <v>29243</v>
      </c>
      <c r="D3341" s="37" t="s">
        <v>29244</v>
      </c>
    </row>
    <row r="3342">
      <c r="A3342" s="37" t="s">
        <v>1245</v>
      </c>
      <c r="B3342" s="37" t="s">
        <v>38</v>
      </c>
      <c r="C3342" s="7" t="s">
        <v>29245</v>
      </c>
      <c r="D3342" s="37" t="s">
        <v>29246</v>
      </c>
    </row>
    <row r="3343">
      <c r="A3343" s="37" t="s">
        <v>1209</v>
      </c>
      <c r="B3343" s="37" t="s">
        <v>1208</v>
      </c>
      <c r="C3343" s="7" t="s">
        <v>29247</v>
      </c>
      <c r="D3343" s="37" t="s">
        <v>29248</v>
      </c>
    </row>
    <row r="3344">
      <c r="A3344" s="37" t="s">
        <v>1209</v>
      </c>
      <c r="B3344" s="37" t="s">
        <v>1208</v>
      </c>
      <c r="C3344" s="7" t="s">
        <v>29249</v>
      </c>
      <c r="D3344" s="37" t="s">
        <v>29250</v>
      </c>
    </row>
    <row r="3345">
      <c r="A3345" s="37" t="s">
        <v>1209</v>
      </c>
      <c r="B3345" s="37" t="s">
        <v>1208</v>
      </c>
      <c r="C3345" s="7" t="s">
        <v>29251</v>
      </c>
      <c r="D3345" s="37" t="s">
        <v>29252</v>
      </c>
    </row>
    <row r="3346">
      <c r="A3346" s="37" t="s">
        <v>1209</v>
      </c>
      <c r="B3346" s="37" t="s">
        <v>1208</v>
      </c>
      <c r="C3346" s="7" t="s">
        <v>29253</v>
      </c>
      <c r="D3346" s="37" t="s">
        <v>29254</v>
      </c>
    </row>
    <row r="3347">
      <c r="A3347" s="37" t="s">
        <v>1209</v>
      </c>
      <c r="B3347" s="37" t="s">
        <v>1208</v>
      </c>
      <c r="C3347" s="7" t="s">
        <v>29255</v>
      </c>
      <c r="D3347" s="37" t="s">
        <v>29256</v>
      </c>
    </row>
    <row r="3348">
      <c r="A3348" s="37" t="s">
        <v>1209</v>
      </c>
      <c r="B3348" s="37" t="s">
        <v>1208</v>
      </c>
      <c r="C3348" s="7" t="s">
        <v>29257</v>
      </c>
      <c r="D3348" s="37" t="s">
        <v>29258</v>
      </c>
    </row>
    <row r="3349">
      <c r="A3349" s="37" t="s">
        <v>1245</v>
      </c>
      <c r="B3349" s="37" t="s">
        <v>38</v>
      </c>
      <c r="C3349" s="7" t="s">
        <v>29259</v>
      </c>
      <c r="D3349" s="37" t="s">
        <v>29260</v>
      </c>
    </row>
    <row r="3350">
      <c r="A3350" s="37" t="s">
        <v>1209</v>
      </c>
      <c r="B3350" s="37" t="s">
        <v>1208</v>
      </c>
      <c r="C3350" s="7" t="s">
        <v>29261</v>
      </c>
      <c r="D3350" s="37" t="s">
        <v>29262</v>
      </c>
    </row>
    <row r="3351">
      <c r="A3351" s="37" t="s">
        <v>1245</v>
      </c>
      <c r="B3351" s="37" t="s">
        <v>38</v>
      </c>
      <c r="C3351" s="7" t="s">
        <v>29263</v>
      </c>
      <c r="D3351" s="37" t="s">
        <v>29264</v>
      </c>
    </row>
    <row r="3352">
      <c r="A3352" s="37" t="s">
        <v>1209</v>
      </c>
      <c r="B3352" s="37" t="s">
        <v>1208</v>
      </c>
      <c r="C3352" s="7" t="s">
        <v>29265</v>
      </c>
      <c r="D3352" s="37" t="s">
        <v>29266</v>
      </c>
    </row>
    <row r="3353">
      <c r="A3353" s="37" t="s">
        <v>1245</v>
      </c>
      <c r="B3353" s="37" t="s">
        <v>38</v>
      </c>
      <c r="C3353" s="7" t="s">
        <v>29267</v>
      </c>
      <c r="D3353" s="37" t="s">
        <v>29268</v>
      </c>
    </row>
    <row r="3354">
      <c r="A3354" s="37" t="s">
        <v>1209</v>
      </c>
      <c r="B3354" s="37" t="s">
        <v>1208</v>
      </c>
      <c r="C3354" s="7" t="s">
        <v>29269</v>
      </c>
      <c r="D3354" s="37" t="s">
        <v>29270</v>
      </c>
    </row>
    <row r="3355">
      <c r="A3355" s="37" t="s">
        <v>1209</v>
      </c>
      <c r="B3355" s="37" t="s">
        <v>1208</v>
      </c>
      <c r="C3355" s="7" t="s">
        <v>29271</v>
      </c>
      <c r="D3355" s="37" t="s">
        <v>29272</v>
      </c>
    </row>
    <row r="3356">
      <c r="A3356" s="37" t="s">
        <v>1209</v>
      </c>
      <c r="B3356" s="37" t="s">
        <v>1208</v>
      </c>
      <c r="C3356" s="7" t="s">
        <v>29273</v>
      </c>
      <c r="D3356" s="37" t="s">
        <v>29274</v>
      </c>
    </row>
    <row r="3357">
      <c r="A3357" s="37" t="s">
        <v>1209</v>
      </c>
      <c r="B3357" s="37" t="s">
        <v>1208</v>
      </c>
      <c r="C3357" s="7" t="s">
        <v>29275</v>
      </c>
      <c r="D3357" s="37" t="s">
        <v>29276</v>
      </c>
    </row>
    <row r="3358">
      <c r="A3358" s="37" t="s">
        <v>1245</v>
      </c>
      <c r="B3358" s="37" t="s">
        <v>38</v>
      </c>
      <c r="C3358" s="7" t="s">
        <v>29277</v>
      </c>
      <c r="D3358" s="37" t="s">
        <v>29278</v>
      </c>
    </row>
    <row r="3359">
      <c r="A3359" s="37" t="s">
        <v>29279</v>
      </c>
      <c r="B3359" s="37" t="s">
        <v>26245</v>
      </c>
      <c r="C3359" s="7" t="s">
        <v>29280</v>
      </c>
      <c r="D3359" s="37" t="s">
        <v>29281</v>
      </c>
    </row>
    <row r="3360">
      <c r="A3360" s="37" t="s">
        <v>1307</v>
      </c>
      <c r="B3360" s="37" t="s">
        <v>24942</v>
      </c>
      <c r="C3360" s="7" t="s">
        <v>24166</v>
      </c>
      <c r="D3360" s="37" t="s">
        <v>29282</v>
      </c>
    </row>
    <row r="3361">
      <c r="A3361" s="37" t="s">
        <v>1147</v>
      </c>
      <c r="B3361" s="37" t="s">
        <v>478</v>
      </c>
      <c r="C3361" s="7" t="s">
        <v>29283</v>
      </c>
      <c r="D3361" s="37" t="s">
        <v>29284</v>
      </c>
    </row>
    <row r="3362">
      <c r="A3362" s="37" t="s">
        <v>1147</v>
      </c>
      <c r="B3362" s="37" t="s">
        <v>478</v>
      </c>
      <c r="C3362" s="7" t="s">
        <v>29285</v>
      </c>
      <c r="D3362" s="37" t="s">
        <v>29286</v>
      </c>
    </row>
    <row r="3363">
      <c r="A3363" s="37" t="s">
        <v>1147</v>
      </c>
      <c r="B3363" s="37" t="s">
        <v>478</v>
      </c>
      <c r="C3363" s="7" t="s">
        <v>29287</v>
      </c>
      <c r="D3363" s="37" t="s">
        <v>29288</v>
      </c>
    </row>
    <row r="3364">
      <c r="A3364" s="37" t="s">
        <v>1307</v>
      </c>
      <c r="B3364" s="37" t="s">
        <v>24942</v>
      </c>
      <c r="C3364" s="7" t="s">
        <v>29289</v>
      </c>
      <c r="D3364" s="37" t="s">
        <v>29290</v>
      </c>
    </row>
    <row r="3365">
      <c r="A3365" s="37" t="s">
        <v>1174</v>
      </c>
      <c r="B3365" s="37" t="s">
        <v>1096</v>
      </c>
      <c r="C3365" s="7" t="s">
        <v>29291</v>
      </c>
      <c r="D3365" s="37" t="s">
        <v>29292</v>
      </c>
    </row>
    <row r="3366">
      <c r="A3366" s="37" t="s">
        <v>124</v>
      </c>
      <c r="B3366" s="37" t="s">
        <v>24752</v>
      </c>
      <c r="C3366" s="7" t="s">
        <v>12770</v>
      </c>
      <c r="D3366" s="37" t="s">
        <v>29293</v>
      </c>
    </row>
    <row r="3367">
      <c r="A3367" s="37" t="s">
        <v>29294</v>
      </c>
      <c r="B3367" s="37" t="s">
        <v>29295</v>
      </c>
      <c r="C3367" s="7" t="s">
        <v>29296</v>
      </c>
      <c r="D3367" s="37" t="s">
        <v>29297</v>
      </c>
    </row>
    <row r="3368">
      <c r="A3368" s="37" t="s">
        <v>1146</v>
      </c>
      <c r="B3368" s="37" t="s">
        <v>478</v>
      </c>
      <c r="C3368" s="7" t="s">
        <v>29298</v>
      </c>
      <c r="D3368" s="37" t="s">
        <v>29299</v>
      </c>
    </row>
    <row r="3369">
      <c r="A3369" s="37" t="s">
        <v>1602</v>
      </c>
      <c r="B3369" s="37" t="s">
        <v>24942</v>
      </c>
      <c r="C3369" s="7" t="s">
        <v>29300</v>
      </c>
      <c r="D3369" s="37" t="s">
        <v>29301</v>
      </c>
    </row>
    <row r="3370">
      <c r="A3370" s="37" t="s">
        <v>1245</v>
      </c>
      <c r="B3370" s="37" t="s">
        <v>1242</v>
      </c>
      <c r="C3370" s="37" t="s">
        <v>29302</v>
      </c>
      <c r="D3370" s="37" t="s">
        <v>29303</v>
      </c>
    </row>
    <row r="3371">
      <c r="A3371" s="37" t="s">
        <v>148</v>
      </c>
      <c r="B3371" s="37" t="s">
        <v>26038</v>
      </c>
      <c r="C3371" s="7" t="s">
        <v>29304</v>
      </c>
      <c r="D3371" s="37" t="s">
        <v>29305</v>
      </c>
    </row>
    <row r="3372">
      <c r="A3372" s="37" t="s">
        <v>148</v>
      </c>
      <c r="B3372" s="37" t="s">
        <v>26038</v>
      </c>
      <c r="C3372" s="7" t="s">
        <v>29306</v>
      </c>
      <c r="D3372" s="37" t="s">
        <v>29307</v>
      </c>
    </row>
    <row r="3373">
      <c r="A3373" s="37" t="s">
        <v>124</v>
      </c>
      <c r="B3373" s="37" t="s">
        <v>24752</v>
      </c>
      <c r="C3373" s="7" t="s">
        <v>29308</v>
      </c>
      <c r="D3373" s="37" t="s">
        <v>29309</v>
      </c>
    </row>
    <row r="3374">
      <c r="A3374" s="37" t="s">
        <v>1162</v>
      </c>
      <c r="B3374" s="37" t="s">
        <v>1054</v>
      </c>
      <c r="C3374" s="7" t="s">
        <v>11760</v>
      </c>
      <c r="D3374" s="37" t="s">
        <v>29310</v>
      </c>
    </row>
    <row r="3375">
      <c r="A3375" s="37" t="s">
        <v>1162</v>
      </c>
      <c r="B3375" s="37" t="s">
        <v>1054</v>
      </c>
      <c r="C3375" s="7" t="s">
        <v>8960</v>
      </c>
      <c r="D3375" s="37" t="s">
        <v>29311</v>
      </c>
    </row>
    <row r="3376">
      <c r="A3376" s="37" t="s">
        <v>1363</v>
      </c>
      <c r="B3376" s="37" t="s">
        <v>26038</v>
      </c>
      <c r="C3376" s="7" t="s">
        <v>29312</v>
      </c>
      <c r="D3376" s="37" t="s">
        <v>29313</v>
      </c>
    </row>
    <row r="3377">
      <c r="A3377" s="37" t="s">
        <v>1151</v>
      </c>
      <c r="B3377" s="37" t="s">
        <v>27331</v>
      </c>
      <c r="C3377" s="37" t="s">
        <v>29314</v>
      </c>
      <c r="D3377" s="37" t="s">
        <v>29315</v>
      </c>
    </row>
    <row r="3378">
      <c r="A3378" s="37" t="s">
        <v>29316</v>
      </c>
      <c r="B3378" s="37" t="s">
        <v>29317</v>
      </c>
      <c r="C3378" s="7" t="s">
        <v>29318</v>
      </c>
      <c r="D3378" s="37" t="s">
        <v>29319</v>
      </c>
    </row>
    <row r="3379">
      <c r="A3379" s="37" t="s">
        <v>1174</v>
      </c>
      <c r="B3379" s="37" t="s">
        <v>1096</v>
      </c>
      <c r="C3379" s="7" t="s">
        <v>29320</v>
      </c>
      <c r="D3379" s="37" t="s">
        <v>29321</v>
      </c>
    </row>
    <row r="3380">
      <c r="A3380" s="37" t="s">
        <v>23444</v>
      </c>
      <c r="B3380" s="37" t="s">
        <v>24942</v>
      </c>
      <c r="C3380" s="7" t="s">
        <v>29322</v>
      </c>
      <c r="D3380" s="37" t="s">
        <v>29323</v>
      </c>
    </row>
    <row r="3381">
      <c r="A3381" s="37" t="s">
        <v>28902</v>
      </c>
      <c r="B3381" s="37" t="s">
        <v>1495</v>
      </c>
      <c r="C3381" s="37" t="s">
        <v>29324</v>
      </c>
      <c r="D3381" s="37" t="s">
        <v>29325</v>
      </c>
    </row>
    <row r="3382">
      <c r="A3382" s="37" t="s">
        <v>1363</v>
      </c>
      <c r="B3382" s="37" t="s">
        <v>1096</v>
      </c>
      <c r="C3382" s="37" t="s">
        <v>29326</v>
      </c>
      <c r="D3382" s="37" t="s">
        <v>29327</v>
      </c>
    </row>
    <row r="3383">
      <c r="A3383" s="37" t="s">
        <v>4</v>
      </c>
      <c r="B3383" s="37" t="s">
        <v>1293</v>
      </c>
      <c r="C3383" s="7" t="s">
        <v>29328</v>
      </c>
      <c r="D3383" s="37" t="s">
        <v>29329</v>
      </c>
    </row>
    <row r="3384">
      <c r="A3384" s="37" t="s">
        <v>1209</v>
      </c>
      <c r="B3384" s="37" t="s">
        <v>1208</v>
      </c>
      <c r="C3384" s="7" t="s">
        <v>29330</v>
      </c>
      <c r="D3384" s="37" t="s">
        <v>29331</v>
      </c>
    </row>
    <row r="3385">
      <c r="A3385" s="37" t="s">
        <v>1209</v>
      </c>
      <c r="B3385" s="37" t="s">
        <v>1208</v>
      </c>
      <c r="C3385" s="37" t="s">
        <v>29332</v>
      </c>
      <c r="D3385" s="37" t="s">
        <v>29333</v>
      </c>
    </row>
    <row r="3386">
      <c r="A3386" s="37" t="s">
        <v>1209</v>
      </c>
      <c r="B3386" s="37" t="s">
        <v>1208</v>
      </c>
      <c r="C3386" s="7" t="s">
        <v>29334</v>
      </c>
      <c r="D3386" s="37" t="s">
        <v>29335</v>
      </c>
    </row>
    <row r="3387">
      <c r="A3387" s="37" t="s">
        <v>1209</v>
      </c>
      <c r="B3387" s="37" t="s">
        <v>1208</v>
      </c>
      <c r="C3387" s="7" t="s">
        <v>29336</v>
      </c>
      <c r="D3387" s="37" t="s">
        <v>29337</v>
      </c>
    </row>
    <row r="3388">
      <c r="A3388" s="37" t="s">
        <v>1209</v>
      </c>
      <c r="B3388" s="37" t="s">
        <v>1208</v>
      </c>
      <c r="C3388" s="7" t="s">
        <v>29338</v>
      </c>
      <c r="D3388" s="37" t="s">
        <v>29339</v>
      </c>
    </row>
    <row r="3389">
      <c r="A3389" s="37" t="s">
        <v>1209</v>
      </c>
      <c r="B3389" s="37" t="s">
        <v>1208</v>
      </c>
      <c r="C3389" s="7" t="s">
        <v>29340</v>
      </c>
      <c r="D3389" s="37" t="s">
        <v>29341</v>
      </c>
    </row>
    <row r="3390">
      <c r="A3390" s="37" t="s">
        <v>1209</v>
      </c>
      <c r="B3390" s="37" t="s">
        <v>1208</v>
      </c>
      <c r="C3390" s="37" t="s">
        <v>29342</v>
      </c>
      <c r="D3390" s="37" t="s">
        <v>29343</v>
      </c>
    </row>
    <row r="3391">
      <c r="A3391" s="37" t="s">
        <v>1146</v>
      </c>
      <c r="B3391" s="37" t="s">
        <v>478</v>
      </c>
      <c r="C3391" s="7" t="s">
        <v>10703</v>
      </c>
      <c r="D3391" s="37" t="s">
        <v>29344</v>
      </c>
    </row>
    <row r="3392">
      <c r="A3392" s="37" t="s">
        <v>1245</v>
      </c>
      <c r="B3392" s="37" t="s">
        <v>1242</v>
      </c>
      <c r="C3392" s="37" t="s">
        <v>29345</v>
      </c>
      <c r="D3392" s="37" t="s">
        <v>29346</v>
      </c>
    </row>
    <row r="3393">
      <c r="A3393" s="37" t="s">
        <v>29347</v>
      </c>
      <c r="B3393" s="37" t="s">
        <v>1268</v>
      </c>
      <c r="C3393" s="7" t="s">
        <v>29348</v>
      </c>
      <c r="D3393" s="37" t="s">
        <v>29349</v>
      </c>
    </row>
    <row r="3394">
      <c r="A3394" s="37" t="s">
        <v>29350</v>
      </c>
      <c r="B3394" s="37" t="s">
        <v>29351</v>
      </c>
      <c r="C3394" s="7" t="s">
        <v>29352</v>
      </c>
      <c r="D3394" s="37" t="s">
        <v>29353</v>
      </c>
    </row>
    <row r="3395">
      <c r="A3395" s="37" t="s">
        <v>29350</v>
      </c>
      <c r="B3395" s="37" t="s">
        <v>29354</v>
      </c>
      <c r="C3395" s="37" t="s">
        <v>29355</v>
      </c>
      <c r="D3395" s="37" t="s">
        <v>29356</v>
      </c>
    </row>
    <row r="3396">
      <c r="A3396" s="37" t="s">
        <v>1147</v>
      </c>
      <c r="B3396" s="37" t="s">
        <v>478</v>
      </c>
      <c r="C3396" s="7" t="s">
        <v>29357</v>
      </c>
      <c r="D3396" s="37" t="s">
        <v>29358</v>
      </c>
    </row>
    <row r="3397">
      <c r="A3397" s="37" t="s">
        <v>1147</v>
      </c>
      <c r="B3397" s="37" t="s">
        <v>478</v>
      </c>
      <c r="C3397" s="7" t="s">
        <v>29359</v>
      </c>
      <c r="D3397" s="37" t="s">
        <v>29360</v>
      </c>
    </row>
    <row r="3398">
      <c r="A3398" s="37" t="s">
        <v>1147</v>
      </c>
      <c r="B3398" s="37" t="s">
        <v>478</v>
      </c>
      <c r="C3398" s="7" t="s">
        <v>5255</v>
      </c>
      <c r="D3398" s="37" t="s">
        <v>29361</v>
      </c>
    </row>
    <row r="3399">
      <c r="A3399" s="37" t="s">
        <v>484</v>
      </c>
      <c r="B3399" s="37" t="s">
        <v>478</v>
      </c>
      <c r="C3399" s="7" t="s">
        <v>29362</v>
      </c>
      <c r="D3399" s="37" t="s">
        <v>29363</v>
      </c>
    </row>
    <row r="3400">
      <c r="A3400" s="37" t="s">
        <v>23444</v>
      </c>
      <c r="B3400" s="37" t="s">
        <v>24942</v>
      </c>
      <c r="C3400" s="7" t="s">
        <v>29364</v>
      </c>
      <c r="D3400" s="37" t="s">
        <v>29365</v>
      </c>
    </row>
    <row r="3401">
      <c r="A3401" s="37" t="s">
        <v>1209</v>
      </c>
      <c r="B3401" s="37" t="s">
        <v>1208</v>
      </c>
      <c r="C3401" s="37" t="s">
        <v>9444</v>
      </c>
      <c r="D3401" s="37" t="s">
        <v>29366</v>
      </c>
    </row>
    <row r="3402">
      <c r="A3402" s="37" t="s">
        <v>1363</v>
      </c>
      <c r="B3402" s="37" t="s">
        <v>26038</v>
      </c>
      <c r="C3402" s="7" t="s">
        <v>29367</v>
      </c>
      <c r="D3402" s="37" t="s">
        <v>29368</v>
      </c>
    </row>
    <row r="3403">
      <c r="A3403" s="37" t="s">
        <v>1307</v>
      </c>
      <c r="B3403" s="37" t="s">
        <v>24942</v>
      </c>
      <c r="C3403" s="7" t="s">
        <v>29369</v>
      </c>
      <c r="D3403" s="37" t="s">
        <v>29370</v>
      </c>
    </row>
    <row r="3404">
      <c r="A3404" s="37" t="s">
        <v>1283</v>
      </c>
      <c r="B3404" s="37" t="s">
        <v>298</v>
      </c>
      <c r="C3404" s="7" t="s">
        <v>29371</v>
      </c>
      <c r="D3404" s="37" t="s">
        <v>29372</v>
      </c>
    </row>
    <row r="3405">
      <c r="A3405" s="37" t="s">
        <v>1246</v>
      </c>
      <c r="B3405" s="37" t="s">
        <v>1242</v>
      </c>
      <c r="C3405" s="7" t="s">
        <v>11690</v>
      </c>
      <c r="D3405" s="37" t="s">
        <v>29373</v>
      </c>
    </row>
    <row r="3406">
      <c r="A3406" s="37" t="s">
        <v>27434</v>
      </c>
      <c r="B3406" s="37" t="s">
        <v>26038</v>
      </c>
      <c r="C3406" s="7" t="s">
        <v>29374</v>
      </c>
      <c r="D3406" s="37" t="s">
        <v>29375</v>
      </c>
    </row>
    <row r="3407">
      <c r="A3407" s="37" t="s">
        <v>1146</v>
      </c>
      <c r="B3407" s="37" t="s">
        <v>478</v>
      </c>
      <c r="C3407" s="7" t="s">
        <v>29376</v>
      </c>
      <c r="D3407" s="37" t="s">
        <v>29377</v>
      </c>
    </row>
    <row r="3408">
      <c r="A3408" s="37" t="s">
        <v>29378</v>
      </c>
      <c r="B3408" s="37" t="s">
        <v>29379</v>
      </c>
      <c r="C3408" s="7" t="s">
        <v>26963</v>
      </c>
      <c r="D3408" s="37" t="s">
        <v>29380</v>
      </c>
    </row>
    <row r="3409">
      <c r="A3409" s="37" t="s">
        <v>1156</v>
      </c>
      <c r="B3409" s="37" t="s">
        <v>693</v>
      </c>
      <c r="C3409" s="7" t="s">
        <v>9624</v>
      </c>
      <c r="D3409" s="37" t="s">
        <v>29381</v>
      </c>
    </row>
    <row r="3410">
      <c r="A3410" s="37" t="s">
        <v>1283</v>
      </c>
      <c r="B3410" s="37" t="s">
        <v>298</v>
      </c>
      <c r="C3410" s="7" t="s">
        <v>29382</v>
      </c>
      <c r="D3410" s="37" t="s">
        <v>29383</v>
      </c>
    </row>
    <row r="3411">
      <c r="A3411" s="37" t="s">
        <v>29384</v>
      </c>
      <c r="B3411" s="37" t="s">
        <v>1495</v>
      </c>
      <c r="C3411" s="7" t="s">
        <v>5233</v>
      </c>
      <c r="D3411" s="37" t="s">
        <v>29385</v>
      </c>
    </row>
    <row r="3412">
      <c r="A3412" s="37" t="s">
        <v>29384</v>
      </c>
      <c r="B3412" s="37" t="s">
        <v>1495</v>
      </c>
      <c r="C3412" s="7" t="s">
        <v>29386</v>
      </c>
      <c r="D3412" s="37" t="s">
        <v>29387</v>
      </c>
    </row>
    <row r="3413">
      <c r="A3413" s="37" t="s">
        <v>29384</v>
      </c>
      <c r="B3413" s="37" t="s">
        <v>1495</v>
      </c>
      <c r="C3413" s="7" t="s">
        <v>6581</v>
      </c>
      <c r="D3413" s="37" t="s">
        <v>29388</v>
      </c>
    </row>
    <row r="3414">
      <c r="A3414" s="37" t="s">
        <v>443</v>
      </c>
      <c r="B3414" s="37" t="s">
        <v>440</v>
      </c>
      <c r="C3414" s="37" t="s">
        <v>29389</v>
      </c>
      <c r="D3414" s="37" t="s">
        <v>29390</v>
      </c>
    </row>
    <row r="3415">
      <c r="A3415" s="37" t="s">
        <v>51</v>
      </c>
      <c r="B3415" s="37" t="s">
        <v>38</v>
      </c>
      <c r="C3415" s="37" t="s">
        <v>29391</v>
      </c>
      <c r="D3415" s="37" t="s">
        <v>29392</v>
      </c>
    </row>
    <row r="3416">
      <c r="A3416" s="37" t="s">
        <v>443</v>
      </c>
      <c r="B3416" s="37" t="s">
        <v>440</v>
      </c>
      <c r="C3416" s="7" t="s">
        <v>29393</v>
      </c>
      <c r="D3416" s="37" t="s">
        <v>29394</v>
      </c>
    </row>
    <row r="3417">
      <c r="A3417" s="37" t="s">
        <v>443</v>
      </c>
      <c r="B3417" s="37" t="s">
        <v>440</v>
      </c>
      <c r="C3417" s="37" t="s">
        <v>29395</v>
      </c>
      <c r="D3417" s="37" t="s">
        <v>29396</v>
      </c>
    </row>
    <row r="3418">
      <c r="A3418" s="37" t="s">
        <v>443</v>
      </c>
      <c r="B3418" s="37" t="s">
        <v>440</v>
      </c>
      <c r="C3418" s="37" t="s">
        <v>29397</v>
      </c>
      <c r="D3418" s="37" t="s">
        <v>29398</v>
      </c>
    </row>
    <row r="3419">
      <c r="A3419" s="37" t="s">
        <v>443</v>
      </c>
      <c r="B3419" s="37" t="s">
        <v>440</v>
      </c>
      <c r="C3419" s="37" t="s">
        <v>29399</v>
      </c>
      <c r="D3419" s="37" t="s">
        <v>29400</v>
      </c>
    </row>
    <row r="3420">
      <c r="A3420" s="37" t="s">
        <v>443</v>
      </c>
      <c r="B3420" s="37" t="s">
        <v>440</v>
      </c>
      <c r="C3420" s="37" t="s">
        <v>29401</v>
      </c>
      <c r="D3420" s="37" t="s">
        <v>29402</v>
      </c>
    </row>
    <row r="3421">
      <c r="A3421" s="37" t="s">
        <v>443</v>
      </c>
      <c r="B3421" s="37" t="s">
        <v>440</v>
      </c>
      <c r="C3421" s="37" t="s">
        <v>29403</v>
      </c>
      <c r="D3421" s="37" t="s">
        <v>29404</v>
      </c>
    </row>
    <row r="3422">
      <c r="A3422" s="37" t="s">
        <v>443</v>
      </c>
      <c r="B3422" s="37" t="s">
        <v>440</v>
      </c>
      <c r="C3422" s="7" t="s">
        <v>29405</v>
      </c>
      <c r="D3422" s="37" t="s">
        <v>29406</v>
      </c>
    </row>
    <row r="3423">
      <c r="A3423" s="37" t="s">
        <v>1602</v>
      </c>
      <c r="B3423" s="37" t="s">
        <v>24942</v>
      </c>
      <c r="C3423" s="7" t="s">
        <v>1601</v>
      </c>
      <c r="D3423" s="37" t="s">
        <v>29407</v>
      </c>
    </row>
    <row r="3424">
      <c r="A3424" s="37" t="s">
        <v>1602</v>
      </c>
      <c r="B3424" s="37" t="s">
        <v>24942</v>
      </c>
      <c r="C3424" s="7" t="s">
        <v>29408</v>
      </c>
      <c r="D3424" s="37" t="s">
        <v>29409</v>
      </c>
    </row>
    <row r="3425">
      <c r="A3425" s="37" t="s">
        <v>23444</v>
      </c>
      <c r="B3425" s="37" t="s">
        <v>24942</v>
      </c>
      <c r="C3425" s="7" t="s">
        <v>29410</v>
      </c>
      <c r="D3425" s="37" t="s">
        <v>29411</v>
      </c>
    </row>
    <row r="3426">
      <c r="A3426" s="37" t="s">
        <v>29412</v>
      </c>
      <c r="B3426" s="37" t="s">
        <v>29413</v>
      </c>
      <c r="C3426" s="7" t="s">
        <v>29414</v>
      </c>
      <c r="D3426" s="37" t="s">
        <v>29415</v>
      </c>
    </row>
    <row r="3427">
      <c r="A3427" s="37" t="s">
        <v>1161</v>
      </c>
      <c r="B3427" s="37" t="s">
        <v>693</v>
      </c>
      <c r="C3427" s="7" t="s">
        <v>29416</v>
      </c>
      <c r="D3427" s="37" t="s">
        <v>29417</v>
      </c>
    </row>
    <row r="3428">
      <c r="A3428" s="37" t="s">
        <v>1161</v>
      </c>
      <c r="B3428" s="37" t="s">
        <v>693</v>
      </c>
      <c r="C3428" s="7" t="s">
        <v>29418</v>
      </c>
      <c r="D3428" s="37" t="s">
        <v>29419</v>
      </c>
    </row>
    <row r="3429">
      <c r="A3429" s="37" t="s">
        <v>1161</v>
      </c>
      <c r="B3429" s="37" t="s">
        <v>693</v>
      </c>
      <c r="C3429" s="7" t="s">
        <v>29420</v>
      </c>
      <c r="D3429" s="37" t="s">
        <v>29421</v>
      </c>
    </row>
    <row r="3430">
      <c r="A3430" s="37" t="s">
        <v>1245</v>
      </c>
      <c r="B3430" s="37" t="s">
        <v>38</v>
      </c>
      <c r="C3430" s="7" t="s">
        <v>29422</v>
      </c>
      <c r="D3430" s="37" t="s">
        <v>29423</v>
      </c>
    </row>
    <row r="3431">
      <c r="A3431" s="37" t="s">
        <v>1147</v>
      </c>
      <c r="B3431" s="37" t="s">
        <v>478</v>
      </c>
      <c r="C3431" s="7" t="s">
        <v>29424</v>
      </c>
      <c r="D3431" s="37" t="s">
        <v>29425</v>
      </c>
    </row>
    <row r="3432">
      <c r="A3432" s="37" t="s">
        <v>1147</v>
      </c>
      <c r="B3432" s="37" t="s">
        <v>478</v>
      </c>
      <c r="C3432" s="7" t="s">
        <v>29426</v>
      </c>
      <c r="D3432" s="37" t="s">
        <v>29427</v>
      </c>
    </row>
    <row r="3433">
      <c r="A3433" s="37" t="s">
        <v>4</v>
      </c>
      <c r="B3433" s="37" t="s">
        <v>1293</v>
      </c>
      <c r="C3433" s="7" t="s">
        <v>28531</v>
      </c>
      <c r="D3433" s="37" t="s">
        <v>29428</v>
      </c>
    </row>
    <row r="3434">
      <c r="A3434" s="37" t="s">
        <v>286</v>
      </c>
      <c r="B3434" s="37" t="s">
        <v>1268</v>
      </c>
      <c r="C3434" s="37" t="s">
        <v>29429</v>
      </c>
      <c r="D3434" s="37" t="s">
        <v>29430</v>
      </c>
    </row>
    <row r="3435">
      <c r="A3435" s="37" t="s">
        <v>28902</v>
      </c>
      <c r="B3435" s="37" t="s">
        <v>1495</v>
      </c>
      <c r="C3435" s="37" t="s">
        <v>29431</v>
      </c>
      <c r="D3435" s="37" t="s">
        <v>29432</v>
      </c>
    </row>
    <row r="3436">
      <c r="A3436" s="37" t="s">
        <v>28902</v>
      </c>
      <c r="B3436" s="37" t="s">
        <v>1495</v>
      </c>
      <c r="C3436" s="37" t="s">
        <v>29433</v>
      </c>
      <c r="D3436" s="37" t="s">
        <v>29434</v>
      </c>
    </row>
    <row r="3437">
      <c r="A3437" s="37" t="s">
        <v>1146</v>
      </c>
      <c r="B3437" s="37" t="s">
        <v>478</v>
      </c>
      <c r="C3437" s="7" t="s">
        <v>29435</v>
      </c>
      <c r="D3437" s="37" t="s">
        <v>29436</v>
      </c>
    </row>
    <row r="3438">
      <c r="A3438" s="37" t="s">
        <v>1283</v>
      </c>
      <c r="B3438" s="37" t="s">
        <v>298</v>
      </c>
      <c r="C3438" s="7" t="s">
        <v>29437</v>
      </c>
      <c r="D3438" s="37" t="s">
        <v>29438</v>
      </c>
    </row>
    <row r="3439">
      <c r="A3439" s="37" t="s">
        <v>1236</v>
      </c>
      <c r="B3439" s="37" t="s">
        <v>440</v>
      </c>
      <c r="C3439" s="37" t="s">
        <v>29439</v>
      </c>
      <c r="D3439" s="37" t="s">
        <v>29440</v>
      </c>
    </row>
    <row r="3440">
      <c r="A3440" s="37" t="s">
        <v>1236</v>
      </c>
      <c r="B3440" s="37" t="s">
        <v>440</v>
      </c>
      <c r="C3440" s="37" t="s">
        <v>29441</v>
      </c>
      <c r="D3440" s="37" t="s">
        <v>29442</v>
      </c>
    </row>
    <row r="3441">
      <c r="A3441" s="37" t="s">
        <v>1236</v>
      </c>
      <c r="B3441" s="37" t="s">
        <v>440</v>
      </c>
      <c r="C3441" s="37" t="s">
        <v>29443</v>
      </c>
      <c r="D3441" s="37" t="s">
        <v>29444</v>
      </c>
    </row>
    <row r="3442">
      <c r="A3442" s="37" t="s">
        <v>1236</v>
      </c>
      <c r="B3442" s="37" t="s">
        <v>440</v>
      </c>
      <c r="C3442" s="37" t="s">
        <v>29445</v>
      </c>
      <c r="D3442" s="37" t="s">
        <v>29446</v>
      </c>
    </row>
    <row r="3443">
      <c r="A3443" s="37" t="s">
        <v>1236</v>
      </c>
      <c r="B3443" s="37" t="s">
        <v>440</v>
      </c>
      <c r="C3443" s="37" t="s">
        <v>29447</v>
      </c>
      <c r="D3443" s="37" t="s">
        <v>29448</v>
      </c>
    </row>
    <row r="3444">
      <c r="A3444" s="37" t="s">
        <v>1236</v>
      </c>
      <c r="B3444" s="37" t="s">
        <v>440</v>
      </c>
      <c r="C3444" s="37" t="s">
        <v>29449</v>
      </c>
      <c r="D3444" s="37" t="s">
        <v>29450</v>
      </c>
    </row>
    <row r="3445">
      <c r="A3445" s="37" t="s">
        <v>1236</v>
      </c>
      <c r="B3445" s="37" t="s">
        <v>440</v>
      </c>
      <c r="C3445" s="37" t="s">
        <v>29451</v>
      </c>
      <c r="D3445" s="37" t="s">
        <v>29452</v>
      </c>
    </row>
    <row r="3446">
      <c r="A3446" s="37" t="s">
        <v>1236</v>
      </c>
      <c r="B3446" s="37" t="s">
        <v>440</v>
      </c>
      <c r="C3446" s="37" t="s">
        <v>29453</v>
      </c>
      <c r="D3446" s="37" t="s">
        <v>29454</v>
      </c>
    </row>
    <row r="3447">
      <c r="A3447" s="37" t="s">
        <v>1236</v>
      </c>
      <c r="B3447" s="37" t="s">
        <v>1078</v>
      </c>
      <c r="C3447" s="37" t="s">
        <v>29455</v>
      </c>
      <c r="D3447" s="37" t="s">
        <v>29456</v>
      </c>
    </row>
    <row r="3448">
      <c r="A3448" s="37" t="s">
        <v>1147</v>
      </c>
      <c r="B3448" s="37" t="s">
        <v>478</v>
      </c>
      <c r="C3448" s="7" t="s">
        <v>29457</v>
      </c>
      <c r="D3448" s="37" t="s">
        <v>29458</v>
      </c>
    </row>
    <row r="3449">
      <c r="A3449" s="37" t="s">
        <v>1147</v>
      </c>
      <c r="B3449" s="37" t="s">
        <v>478</v>
      </c>
      <c r="C3449" s="7" t="s">
        <v>29459</v>
      </c>
      <c r="D3449" s="37" t="s">
        <v>29460</v>
      </c>
    </row>
    <row r="3450">
      <c r="A3450" s="37" t="s">
        <v>1363</v>
      </c>
      <c r="B3450" s="37" t="s">
        <v>1096</v>
      </c>
      <c r="C3450" s="37" t="s">
        <v>29461</v>
      </c>
      <c r="D3450" s="37" t="s">
        <v>29462</v>
      </c>
    </row>
    <row r="3451">
      <c r="A3451" s="37" t="s">
        <v>304</v>
      </c>
      <c r="B3451" s="37" t="s">
        <v>298</v>
      </c>
      <c r="C3451" s="7" t="s">
        <v>29463</v>
      </c>
      <c r="D3451" s="37" t="s">
        <v>29464</v>
      </c>
    </row>
    <row r="3452">
      <c r="A3452" s="37" t="s">
        <v>1363</v>
      </c>
      <c r="B3452" s="37" t="s">
        <v>26038</v>
      </c>
      <c r="C3452" s="7" t="s">
        <v>29465</v>
      </c>
      <c r="D3452" s="37" t="s">
        <v>29466</v>
      </c>
    </row>
    <row r="3453">
      <c r="A3453" s="37" t="s">
        <v>1156</v>
      </c>
      <c r="B3453" s="37" t="s">
        <v>693</v>
      </c>
      <c r="C3453" s="7" t="s">
        <v>29467</v>
      </c>
      <c r="D3453" s="37" t="s">
        <v>29468</v>
      </c>
    </row>
    <row r="3454">
      <c r="A3454" s="37" t="s">
        <v>1363</v>
      </c>
      <c r="B3454" s="37" t="s">
        <v>26038</v>
      </c>
      <c r="C3454" s="7" t="s">
        <v>4080</v>
      </c>
      <c r="D3454" s="37" t="s">
        <v>29469</v>
      </c>
    </row>
    <row r="3455">
      <c r="A3455" s="37" t="s">
        <v>1245</v>
      </c>
      <c r="B3455" s="37" t="s">
        <v>1242</v>
      </c>
      <c r="C3455" s="7" t="s">
        <v>29470</v>
      </c>
      <c r="D3455" s="37" t="s">
        <v>29471</v>
      </c>
    </row>
    <row r="3456">
      <c r="A3456" s="37" t="s">
        <v>1245</v>
      </c>
      <c r="B3456" s="37" t="s">
        <v>1242</v>
      </c>
      <c r="C3456" s="7" t="s">
        <v>29472</v>
      </c>
      <c r="D3456" s="37" t="s">
        <v>29473</v>
      </c>
    </row>
    <row r="3457">
      <c r="A3457" s="37" t="s">
        <v>1245</v>
      </c>
      <c r="B3457" s="37" t="s">
        <v>1242</v>
      </c>
      <c r="C3457" s="7" t="s">
        <v>29474</v>
      </c>
      <c r="D3457" s="37" t="s">
        <v>29475</v>
      </c>
    </row>
    <row r="3458">
      <c r="A3458" s="37" t="s">
        <v>1245</v>
      </c>
      <c r="B3458" s="37" t="s">
        <v>1242</v>
      </c>
      <c r="C3458" s="7" t="s">
        <v>29476</v>
      </c>
      <c r="D3458" s="37" t="s">
        <v>29477</v>
      </c>
    </row>
    <row r="3459">
      <c r="A3459" s="37" t="s">
        <v>1245</v>
      </c>
      <c r="B3459" s="37" t="s">
        <v>1242</v>
      </c>
      <c r="C3459" s="7" t="s">
        <v>29478</v>
      </c>
      <c r="D3459" s="37" t="s">
        <v>29479</v>
      </c>
    </row>
    <row r="3460">
      <c r="A3460" s="37" t="s">
        <v>1245</v>
      </c>
      <c r="B3460" s="37" t="s">
        <v>1242</v>
      </c>
      <c r="C3460" s="7" t="s">
        <v>29480</v>
      </c>
      <c r="D3460" s="37" t="s">
        <v>29481</v>
      </c>
    </row>
    <row r="3461">
      <c r="A3461" s="37" t="s">
        <v>1245</v>
      </c>
      <c r="B3461" s="37" t="s">
        <v>1242</v>
      </c>
      <c r="C3461" s="7" t="s">
        <v>29482</v>
      </c>
      <c r="D3461" s="37" t="s">
        <v>29483</v>
      </c>
    </row>
    <row r="3462">
      <c r="A3462" s="37" t="s">
        <v>1147</v>
      </c>
      <c r="B3462" s="37" t="s">
        <v>478</v>
      </c>
      <c r="C3462" s="7" t="s">
        <v>26121</v>
      </c>
      <c r="D3462" s="37" t="s">
        <v>29484</v>
      </c>
    </row>
    <row r="3463">
      <c r="A3463" s="37" t="s">
        <v>1147</v>
      </c>
      <c r="B3463" s="37" t="s">
        <v>478</v>
      </c>
      <c r="C3463" s="7" t="s">
        <v>29485</v>
      </c>
      <c r="D3463" s="37" t="s">
        <v>29486</v>
      </c>
    </row>
    <row r="3464">
      <c r="A3464" s="37" t="s">
        <v>1147</v>
      </c>
      <c r="B3464" s="37" t="s">
        <v>478</v>
      </c>
      <c r="C3464" s="7" t="s">
        <v>29487</v>
      </c>
      <c r="D3464" s="37" t="s">
        <v>29488</v>
      </c>
    </row>
    <row r="3465">
      <c r="A3465" s="37" t="s">
        <v>29350</v>
      </c>
      <c r="B3465" s="37" t="s">
        <v>29413</v>
      </c>
      <c r="C3465" s="7" t="s">
        <v>29489</v>
      </c>
      <c r="D3465" s="37" t="s">
        <v>29490</v>
      </c>
    </row>
    <row r="3466">
      <c r="A3466" s="37" t="s">
        <v>1495</v>
      </c>
      <c r="B3466" s="37" t="s">
        <v>1243</v>
      </c>
      <c r="C3466" s="7" t="s">
        <v>29491</v>
      </c>
      <c r="D3466" s="37" t="s">
        <v>29492</v>
      </c>
    </row>
    <row r="3467">
      <c r="A3467" s="37" t="s">
        <v>1495</v>
      </c>
      <c r="B3467" s="37" t="s">
        <v>1243</v>
      </c>
      <c r="C3467" s="7" t="s">
        <v>29493</v>
      </c>
      <c r="D3467" s="37" t="s">
        <v>29494</v>
      </c>
    </row>
    <row r="3468">
      <c r="A3468" s="37" t="s">
        <v>1183</v>
      </c>
      <c r="B3468" s="37" t="s">
        <v>1273</v>
      </c>
      <c r="C3468" s="7" t="s">
        <v>29495</v>
      </c>
      <c r="D3468" s="37" t="s">
        <v>29496</v>
      </c>
    </row>
    <row r="3469">
      <c r="A3469" s="37" t="s">
        <v>1363</v>
      </c>
      <c r="B3469" s="37" t="s">
        <v>26038</v>
      </c>
      <c r="C3469" s="37" t="s">
        <v>29497</v>
      </c>
      <c r="D3469" s="37" t="s">
        <v>29498</v>
      </c>
    </row>
    <row r="3470">
      <c r="A3470" s="37" t="s">
        <v>28902</v>
      </c>
      <c r="B3470" s="37" t="s">
        <v>1495</v>
      </c>
      <c r="C3470" s="37" t="s">
        <v>29499</v>
      </c>
      <c r="D3470" s="37" t="s">
        <v>29500</v>
      </c>
    </row>
    <row r="3471">
      <c r="A3471" s="37" t="s">
        <v>1307</v>
      </c>
      <c r="B3471" s="37" t="s">
        <v>24942</v>
      </c>
      <c r="C3471" s="7" t="s">
        <v>29501</v>
      </c>
      <c r="D3471" s="37" t="s">
        <v>29502</v>
      </c>
    </row>
    <row r="3472">
      <c r="A3472" s="37" t="s">
        <v>1307</v>
      </c>
      <c r="B3472" s="37" t="s">
        <v>24942</v>
      </c>
      <c r="C3472" s="7" t="s">
        <v>29503</v>
      </c>
      <c r="D3472" s="37" t="s">
        <v>29504</v>
      </c>
    </row>
    <row r="3473">
      <c r="A3473" s="37" t="s">
        <v>1307</v>
      </c>
      <c r="B3473" s="37" t="s">
        <v>24942</v>
      </c>
      <c r="C3473" s="7" t="s">
        <v>29505</v>
      </c>
      <c r="D3473" s="37" t="s">
        <v>29506</v>
      </c>
    </row>
    <row r="3474">
      <c r="A3474" s="37" t="s">
        <v>1278</v>
      </c>
      <c r="B3474" s="37" t="s">
        <v>29507</v>
      </c>
      <c r="C3474" s="37" t="s">
        <v>29508</v>
      </c>
      <c r="D3474" s="37" t="s">
        <v>29509</v>
      </c>
    </row>
    <row r="3475">
      <c r="A3475" s="37" t="s">
        <v>1602</v>
      </c>
      <c r="B3475" s="37" t="s">
        <v>24942</v>
      </c>
      <c r="C3475" s="7" t="s">
        <v>29510</v>
      </c>
      <c r="D3475" s="37" t="s">
        <v>29511</v>
      </c>
    </row>
    <row r="3476">
      <c r="A3476" s="37" t="s">
        <v>1246</v>
      </c>
      <c r="B3476" s="37" t="s">
        <v>38</v>
      </c>
      <c r="C3476" s="7" t="s">
        <v>29512</v>
      </c>
      <c r="D3476" s="37" t="s">
        <v>29513</v>
      </c>
    </row>
    <row r="3477">
      <c r="A3477" s="37" t="s">
        <v>1147</v>
      </c>
      <c r="B3477" s="37" t="s">
        <v>478</v>
      </c>
      <c r="C3477" s="7" t="s">
        <v>29514</v>
      </c>
      <c r="D3477" s="37" t="s">
        <v>29515</v>
      </c>
    </row>
    <row r="3478">
      <c r="A3478" s="37" t="s">
        <v>1495</v>
      </c>
      <c r="B3478" s="37" t="s">
        <v>29516</v>
      </c>
      <c r="C3478" s="7" t="s">
        <v>29517</v>
      </c>
      <c r="D3478" s="37" t="s">
        <v>29518</v>
      </c>
    </row>
    <row r="3479">
      <c r="A3479" s="37" t="s">
        <v>1495</v>
      </c>
      <c r="B3479" s="37" t="s">
        <v>21144</v>
      </c>
      <c r="C3479" s="7" t="s">
        <v>29519</v>
      </c>
      <c r="D3479" s="37" t="s">
        <v>29520</v>
      </c>
    </row>
    <row r="3480">
      <c r="A3480" s="37" t="s">
        <v>1146</v>
      </c>
      <c r="B3480" s="37" t="s">
        <v>478</v>
      </c>
      <c r="C3480" s="7" t="s">
        <v>29521</v>
      </c>
      <c r="D3480" s="37" t="s">
        <v>29522</v>
      </c>
    </row>
    <row r="3481">
      <c r="A3481" s="37" t="s">
        <v>1146</v>
      </c>
      <c r="B3481" s="37" t="s">
        <v>478</v>
      </c>
      <c r="C3481" s="7" t="s">
        <v>29523</v>
      </c>
      <c r="D3481" s="37" t="s">
        <v>29524</v>
      </c>
    </row>
    <row r="3482">
      <c r="A3482" s="37" t="s">
        <v>29155</v>
      </c>
      <c r="B3482" s="37" t="s">
        <v>693</v>
      </c>
      <c r="C3482" s="37" t="s">
        <v>29525</v>
      </c>
      <c r="D3482" s="37" t="s">
        <v>29526</v>
      </c>
    </row>
    <row r="3483">
      <c r="A3483" s="37" t="s">
        <v>51</v>
      </c>
      <c r="B3483" s="37" t="s">
        <v>38</v>
      </c>
      <c r="C3483" s="37" t="s">
        <v>29527</v>
      </c>
      <c r="D3483" s="37" t="s">
        <v>29528</v>
      </c>
    </row>
    <row r="3484">
      <c r="A3484" s="37" t="s">
        <v>1360</v>
      </c>
      <c r="B3484" s="37" t="s">
        <v>1096</v>
      </c>
      <c r="C3484" s="37" t="s">
        <v>29529</v>
      </c>
      <c r="D3484" s="37" t="s">
        <v>29530</v>
      </c>
    </row>
    <row r="3485">
      <c r="A3485" s="37" t="s">
        <v>29531</v>
      </c>
      <c r="B3485" s="37" t="s">
        <v>26038</v>
      </c>
      <c r="C3485" s="7" t="s">
        <v>29532</v>
      </c>
      <c r="D3485" s="37" t="s">
        <v>29533</v>
      </c>
    </row>
    <row r="3486">
      <c r="A3486" s="37" t="s">
        <v>1151</v>
      </c>
      <c r="B3486" s="37" t="s">
        <v>1273</v>
      </c>
      <c r="C3486" s="37" t="s">
        <v>29534</v>
      </c>
      <c r="D3486" s="37" t="s">
        <v>29535</v>
      </c>
    </row>
    <row r="3487">
      <c r="A3487" s="37" t="s">
        <v>1209</v>
      </c>
      <c r="B3487" s="37" t="s">
        <v>1208</v>
      </c>
      <c r="C3487" s="7" t="s">
        <v>29536</v>
      </c>
      <c r="D3487" s="37" t="s">
        <v>29537</v>
      </c>
    </row>
    <row r="3488">
      <c r="A3488" s="37" t="s">
        <v>25897</v>
      </c>
      <c r="B3488" s="37" t="s">
        <v>298</v>
      </c>
      <c r="C3488" s="7" t="s">
        <v>29538</v>
      </c>
      <c r="D3488" s="37" t="s">
        <v>29539</v>
      </c>
    </row>
    <row r="3489">
      <c r="A3489" s="37" t="s">
        <v>148</v>
      </c>
      <c r="B3489" s="37" t="s">
        <v>26038</v>
      </c>
      <c r="C3489" s="7" t="s">
        <v>29540</v>
      </c>
      <c r="D3489" s="37" t="s">
        <v>29541</v>
      </c>
    </row>
    <row r="3490">
      <c r="A3490" s="37" t="s">
        <v>1246</v>
      </c>
      <c r="B3490" s="37" t="s">
        <v>1242</v>
      </c>
      <c r="C3490" s="7" t="s">
        <v>29542</v>
      </c>
      <c r="D3490" s="37" t="s">
        <v>29543</v>
      </c>
    </row>
    <row r="3491">
      <c r="A3491" s="37" t="s">
        <v>23444</v>
      </c>
      <c r="B3491" s="37" t="s">
        <v>24942</v>
      </c>
      <c r="C3491" s="7" t="s">
        <v>29386</v>
      </c>
      <c r="D3491" s="37" t="s">
        <v>29544</v>
      </c>
    </row>
    <row r="3492">
      <c r="A3492" s="37" t="s">
        <v>443</v>
      </c>
      <c r="B3492" s="37" t="s">
        <v>440</v>
      </c>
      <c r="C3492" s="7" t="s">
        <v>29545</v>
      </c>
      <c r="D3492" s="37" t="s">
        <v>29546</v>
      </c>
    </row>
    <row r="3493">
      <c r="A3493" s="37" t="s">
        <v>443</v>
      </c>
      <c r="B3493" s="37" t="s">
        <v>440</v>
      </c>
      <c r="C3493" s="37" t="s">
        <v>29547</v>
      </c>
      <c r="D3493" s="37" t="s">
        <v>29548</v>
      </c>
    </row>
    <row r="3494">
      <c r="A3494" s="37" t="s">
        <v>1143</v>
      </c>
      <c r="B3494" s="37" t="s">
        <v>478</v>
      </c>
      <c r="C3494" s="7" t="s">
        <v>29549</v>
      </c>
      <c r="D3494" s="37" t="s">
        <v>29550</v>
      </c>
    </row>
    <row r="3495">
      <c r="A3495" s="37" t="s">
        <v>304</v>
      </c>
      <c r="B3495" s="37" t="s">
        <v>298</v>
      </c>
      <c r="C3495" s="7" t="s">
        <v>29551</v>
      </c>
      <c r="D3495" s="37" t="s">
        <v>29552</v>
      </c>
    </row>
    <row r="3496">
      <c r="A3496" s="37" t="s">
        <v>1307</v>
      </c>
      <c r="B3496" s="37" t="s">
        <v>25880</v>
      </c>
      <c r="C3496" s="7" t="s">
        <v>29553</v>
      </c>
      <c r="D3496" s="37" t="s">
        <v>29554</v>
      </c>
    </row>
    <row r="3497">
      <c r="A3497" s="37" t="s">
        <v>1495</v>
      </c>
      <c r="B3497" s="37" t="s">
        <v>391</v>
      </c>
      <c r="C3497" s="7" t="s">
        <v>29555</v>
      </c>
      <c r="D3497" s="37" t="s">
        <v>29556</v>
      </c>
    </row>
    <row r="3498">
      <c r="A3498" s="37" t="s">
        <v>1495</v>
      </c>
      <c r="B3498" s="37" t="s">
        <v>391</v>
      </c>
      <c r="C3498" s="7" t="s">
        <v>29557</v>
      </c>
      <c r="D3498" s="37" t="s">
        <v>29558</v>
      </c>
    </row>
    <row r="3499">
      <c r="A3499" s="37" t="s">
        <v>1246</v>
      </c>
      <c r="B3499" s="37" t="s">
        <v>38</v>
      </c>
      <c r="C3499" s="7" t="s">
        <v>29559</v>
      </c>
      <c r="D3499" s="37" t="s">
        <v>29560</v>
      </c>
    </row>
    <row r="3500">
      <c r="A3500" s="37" t="s">
        <v>1246</v>
      </c>
      <c r="B3500" s="37" t="s">
        <v>38</v>
      </c>
      <c r="C3500" s="7" t="s">
        <v>29561</v>
      </c>
      <c r="D3500" s="37" t="s">
        <v>29562</v>
      </c>
    </row>
    <row r="3501">
      <c r="A3501" s="37" t="s">
        <v>1246</v>
      </c>
      <c r="B3501" s="37" t="s">
        <v>38</v>
      </c>
      <c r="C3501" s="7" t="s">
        <v>29563</v>
      </c>
      <c r="D3501" s="37" t="s">
        <v>29564</v>
      </c>
    </row>
    <row r="3502">
      <c r="A3502" s="37" t="s">
        <v>1246</v>
      </c>
      <c r="B3502" s="37" t="s">
        <v>38</v>
      </c>
      <c r="C3502" s="37" t="s">
        <v>29565</v>
      </c>
      <c r="D3502" s="37" t="s">
        <v>29566</v>
      </c>
    </row>
    <row r="3503">
      <c r="A3503" s="37" t="s">
        <v>1246</v>
      </c>
      <c r="B3503" s="37" t="s">
        <v>38</v>
      </c>
      <c r="C3503" s="7" t="s">
        <v>29567</v>
      </c>
      <c r="D3503" s="37" t="s">
        <v>29568</v>
      </c>
    </row>
    <row r="3504">
      <c r="A3504" s="37" t="s">
        <v>1232</v>
      </c>
      <c r="B3504" s="37" t="s">
        <v>440</v>
      </c>
      <c r="C3504" s="7" t="s">
        <v>29569</v>
      </c>
      <c r="D3504" s="37" t="s">
        <v>29570</v>
      </c>
    </row>
    <row r="3505">
      <c r="A3505" s="37" t="s">
        <v>1232</v>
      </c>
      <c r="B3505" s="37" t="s">
        <v>440</v>
      </c>
      <c r="C3505" s="7" t="s">
        <v>29571</v>
      </c>
      <c r="D3505" s="37" t="s">
        <v>29572</v>
      </c>
    </row>
    <row r="3506">
      <c r="A3506" s="37" t="s">
        <v>1232</v>
      </c>
      <c r="B3506" s="37" t="s">
        <v>440</v>
      </c>
      <c r="C3506" s="7" t="s">
        <v>29573</v>
      </c>
      <c r="D3506" s="37" t="s">
        <v>29574</v>
      </c>
    </row>
    <row r="3507">
      <c r="A3507" s="37" t="s">
        <v>1232</v>
      </c>
      <c r="B3507" s="37" t="s">
        <v>440</v>
      </c>
      <c r="C3507" s="7" t="s">
        <v>29575</v>
      </c>
      <c r="D3507" s="37" t="s">
        <v>29576</v>
      </c>
    </row>
    <row r="3508">
      <c r="A3508" s="37" t="s">
        <v>28608</v>
      </c>
      <c r="B3508" s="37" t="s">
        <v>26245</v>
      </c>
      <c r="C3508" s="7" t="s">
        <v>29577</v>
      </c>
      <c r="D3508" s="37" t="s">
        <v>29578</v>
      </c>
    </row>
    <row r="3509">
      <c r="A3509" s="37" t="s">
        <v>28379</v>
      </c>
      <c r="B3509" s="37" t="s">
        <v>26245</v>
      </c>
      <c r="C3509" s="7" t="s">
        <v>29579</v>
      </c>
      <c r="D3509" s="37" t="s">
        <v>29580</v>
      </c>
    </row>
    <row r="3510">
      <c r="A3510" s="37" t="s">
        <v>1363</v>
      </c>
      <c r="B3510" s="37" t="s">
        <v>1096</v>
      </c>
      <c r="C3510" s="37" t="s">
        <v>29581</v>
      </c>
      <c r="D3510" s="37" t="s">
        <v>29582</v>
      </c>
    </row>
    <row r="3511">
      <c r="A3511" s="37" t="s">
        <v>1363</v>
      </c>
      <c r="B3511" s="37" t="s">
        <v>26038</v>
      </c>
      <c r="C3511" s="7" t="s">
        <v>29583</v>
      </c>
      <c r="D3511" s="37" t="s">
        <v>29584</v>
      </c>
    </row>
    <row r="3512">
      <c r="A3512" s="37" t="s">
        <v>1363</v>
      </c>
      <c r="B3512" s="37" t="s">
        <v>1096</v>
      </c>
      <c r="C3512" s="7" t="s">
        <v>29585</v>
      </c>
      <c r="D3512" s="37" t="s">
        <v>29586</v>
      </c>
    </row>
    <row r="3513">
      <c r="A3513" s="37" t="s">
        <v>1363</v>
      </c>
      <c r="B3513" s="37" t="s">
        <v>26038</v>
      </c>
      <c r="C3513" s="7" t="s">
        <v>29587</v>
      </c>
      <c r="D3513" s="37" t="s">
        <v>29588</v>
      </c>
    </row>
    <row r="3514">
      <c r="A3514" s="37" t="s">
        <v>23444</v>
      </c>
      <c r="B3514" s="37" t="s">
        <v>24942</v>
      </c>
      <c r="C3514" s="7" t="s">
        <v>29589</v>
      </c>
      <c r="D3514" s="37" t="s">
        <v>29590</v>
      </c>
    </row>
    <row r="3515">
      <c r="A3515" s="37" t="s">
        <v>23444</v>
      </c>
      <c r="B3515" s="37" t="s">
        <v>24942</v>
      </c>
      <c r="C3515" s="7" t="s">
        <v>29591</v>
      </c>
      <c r="D3515" s="37" t="s">
        <v>29592</v>
      </c>
    </row>
    <row r="3516">
      <c r="A3516" s="37" t="s">
        <v>23444</v>
      </c>
      <c r="B3516" s="37" t="s">
        <v>24942</v>
      </c>
      <c r="C3516" s="7" t="s">
        <v>29593</v>
      </c>
      <c r="D3516" s="37" t="s">
        <v>29594</v>
      </c>
    </row>
    <row r="3517">
      <c r="A3517" s="37" t="s">
        <v>29595</v>
      </c>
      <c r="B3517" s="37" t="s">
        <v>1495</v>
      </c>
      <c r="C3517" s="7" t="s">
        <v>29593</v>
      </c>
      <c r="D3517" s="37" t="s">
        <v>29596</v>
      </c>
    </row>
    <row r="3518">
      <c r="A3518" s="37" t="s">
        <v>29595</v>
      </c>
      <c r="B3518" s="37" t="s">
        <v>1495</v>
      </c>
      <c r="C3518" s="7" t="s">
        <v>29589</v>
      </c>
      <c r="D3518" s="37" t="s">
        <v>29597</v>
      </c>
    </row>
    <row r="3519">
      <c r="A3519" s="37" t="s">
        <v>29595</v>
      </c>
      <c r="B3519" s="37" t="s">
        <v>1495</v>
      </c>
      <c r="C3519" s="7" t="s">
        <v>29591</v>
      </c>
      <c r="D3519" s="37" t="s">
        <v>29598</v>
      </c>
    </row>
    <row r="3520">
      <c r="A3520" s="37" t="s">
        <v>1363</v>
      </c>
      <c r="B3520" s="37" t="s">
        <v>1096</v>
      </c>
      <c r="C3520" s="37" t="s">
        <v>29599</v>
      </c>
      <c r="D3520" s="37" t="s">
        <v>29600</v>
      </c>
    </row>
    <row r="3521">
      <c r="A3521" s="37" t="s">
        <v>1307</v>
      </c>
      <c r="B3521" s="37" t="s">
        <v>1054</v>
      </c>
      <c r="C3521" s="7" t="s">
        <v>29601</v>
      </c>
      <c r="D3521" s="37" t="s">
        <v>29602</v>
      </c>
    </row>
    <row r="3522">
      <c r="A3522" s="37" t="s">
        <v>1363</v>
      </c>
      <c r="B3522" s="37" t="s">
        <v>26038</v>
      </c>
      <c r="C3522" s="37" t="s">
        <v>29603</v>
      </c>
      <c r="D3522" s="37" t="s">
        <v>29604</v>
      </c>
    </row>
    <row r="3523">
      <c r="A3523" s="37" t="s">
        <v>1363</v>
      </c>
      <c r="B3523" s="37" t="s">
        <v>1096</v>
      </c>
      <c r="C3523" s="7" t="s">
        <v>29605</v>
      </c>
      <c r="D3523" s="37" t="s">
        <v>29606</v>
      </c>
    </row>
    <row r="3524">
      <c r="A3524" s="37" t="s">
        <v>104</v>
      </c>
      <c r="B3524" s="37" t="s">
        <v>613</v>
      </c>
      <c r="C3524" s="7" t="s">
        <v>29607</v>
      </c>
      <c r="D3524" s="37" t="s">
        <v>29608</v>
      </c>
    </row>
    <row r="3525">
      <c r="A3525" s="37" t="s">
        <v>104</v>
      </c>
      <c r="B3525" s="37" t="s">
        <v>613</v>
      </c>
      <c r="C3525" s="7" t="s">
        <v>29609</v>
      </c>
      <c r="D3525" s="37" t="s">
        <v>29610</v>
      </c>
    </row>
    <row r="3526">
      <c r="A3526" s="37" t="s">
        <v>104</v>
      </c>
      <c r="B3526" s="37" t="s">
        <v>613</v>
      </c>
      <c r="C3526" s="7" t="s">
        <v>29611</v>
      </c>
      <c r="D3526" s="37" t="s">
        <v>29612</v>
      </c>
    </row>
    <row r="3527">
      <c r="A3527" s="37" t="s">
        <v>104</v>
      </c>
      <c r="B3527" s="37" t="s">
        <v>613</v>
      </c>
      <c r="C3527" s="7" t="s">
        <v>29613</v>
      </c>
      <c r="D3527" s="37" t="s">
        <v>29614</v>
      </c>
    </row>
    <row r="3528">
      <c r="A3528" s="37" t="s">
        <v>104</v>
      </c>
      <c r="B3528" s="37" t="s">
        <v>613</v>
      </c>
      <c r="C3528" s="7" t="s">
        <v>29615</v>
      </c>
      <c r="D3528" s="37" t="s">
        <v>29616</v>
      </c>
    </row>
    <row r="3529">
      <c r="A3529" s="37" t="s">
        <v>104</v>
      </c>
      <c r="B3529" s="37" t="s">
        <v>613</v>
      </c>
      <c r="C3529" s="37" t="s">
        <v>29617</v>
      </c>
      <c r="D3529" s="37" t="s">
        <v>29618</v>
      </c>
    </row>
    <row r="3530">
      <c r="A3530" s="37" t="s">
        <v>1495</v>
      </c>
      <c r="B3530" s="37" t="s">
        <v>391</v>
      </c>
      <c r="C3530" s="7" t="s">
        <v>29619</v>
      </c>
      <c r="D3530" s="37" t="s">
        <v>29620</v>
      </c>
    </row>
    <row r="3531">
      <c r="A3531" s="37" t="s">
        <v>1495</v>
      </c>
      <c r="B3531" s="37" t="s">
        <v>29621</v>
      </c>
      <c r="C3531" s="7" t="s">
        <v>29622</v>
      </c>
      <c r="D3531" s="37" t="s">
        <v>29623</v>
      </c>
    </row>
    <row r="3532">
      <c r="A3532" s="37" t="s">
        <v>1245</v>
      </c>
      <c r="B3532" s="37" t="s">
        <v>1242</v>
      </c>
      <c r="C3532" s="7" t="s">
        <v>29624</v>
      </c>
      <c r="D3532" s="37" t="s">
        <v>29625</v>
      </c>
    </row>
    <row r="3533">
      <c r="A3533" s="37" t="s">
        <v>1283</v>
      </c>
      <c r="B3533" s="37" t="s">
        <v>298</v>
      </c>
      <c r="C3533" s="7" t="s">
        <v>29626</v>
      </c>
      <c r="D3533" s="37" t="s">
        <v>29627</v>
      </c>
    </row>
    <row r="3534">
      <c r="A3534" s="37" t="s">
        <v>1283</v>
      </c>
      <c r="B3534" s="37" t="s">
        <v>298</v>
      </c>
      <c r="C3534" s="7" t="s">
        <v>29628</v>
      </c>
      <c r="D3534" s="37" t="s">
        <v>29629</v>
      </c>
    </row>
    <row r="3535">
      <c r="A3535" s="37" t="s">
        <v>1283</v>
      </c>
      <c r="B3535" s="37" t="s">
        <v>298</v>
      </c>
      <c r="C3535" s="7" t="s">
        <v>29630</v>
      </c>
      <c r="D3535" s="37" t="s">
        <v>29631</v>
      </c>
    </row>
    <row r="3536">
      <c r="A3536" s="37" t="s">
        <v>1156</v>
      </c>
      <c r="B3536" s="37" t="s">
        <v>693</v>
      </c>
      <c r="C3536" s="37" t="s">
        <v>29632</v>
      </c>
      <c r="D3536" s="37" t="s">
        <v>29633</v>
      </c>
    </row>
    <row r="3537">
      <c r="A3537" s="37" t="s">
        <v>29634</v>
      </c>
      <c r="B3537" s="37" t="s">
        <v>1268</v>
      </c>
      <c r="C3537" s="37" t="s">
        <v>29635</v>
      </c>
      <c r="D3537" s="37" t="s">
        <v>29636</v>
      </c>
    </row>
    <row r="3538">
      <c r="A3538" s="37" t="s">
        <v>29634</v>
      </c>
      <c r="B3538" s="37" t="s">
        <v>1268</v>
      </c>
      <c r="C3538" s="37" t="s">
        <v>27745</v>
      </c>
      <c r="D3538" s="37" t="s">
        <v>29637</v>
      </c>
    </row>
    <row r="3539">
      <c r="A3539" s="37" t="s">
        <v>29347</v>
      </c>
      <c r="B3539" s="37" t="s">
        <v>29638</v>
      </c>
      <c r="C3539" s="7" t="s">
        <v>29639</v>
      </c>
      <c r="D3539" s="37" t="s">
        <v>29640</v>
      </c>
    </row>
    <row r="3540">
      <c r="A3540" s="37" t="s">
        <v>29641</v>
      </c>
      <c r="B3540" s="37" t="s">
        <v>1054</v>
      </c>
      <c r="C3540" s="7" t="s">
        <v>29642</v>
      </c>
      <c r="D3540" s="37" t="s">
        <v>29643</v>
      </c>
    </row>
    <row r="3541">
      <c r="A3541" s="37" t="s">
        <v>29641</v>
      </c>
      <c r="B3541" s="37" t="s">
        <v>1054</v>
      </c>
      <c r="C3541" s="7" t="s">
        <v>29644</v>
      </c>
      <c r="D3541" s="37" t="s">
        <v>29645</v>
      </c>
    </row>
    <row r="3542">
      <c r="A3542" s="37" t="s">
        <v>148</v>
      </c>
      <c r="B3542" s="37" t="s">
        <v>26038</v>
      </c>
      <c r="C3542" s="7" t="s">
        <v>29646</v>
      </c>
      <c r="D3542" s="37" t="s">
        <v>29647</v>
      </c>
    </row>
    <row r="3543">
      <c r="A3543" s="37" t="s">
        <v>23444</v>
      </c>
      <c r="B3543" s="37" t="s">
        <v>24942</v>
      </c>
      <c r="C3543" s="37" t="s">
        <v>29648</v>
      </c>
      <c r="D3543" s="37" t="s">
        <v>29649</v>
      </c>
    </row>
    <row r="3544">
      <c r="A3544" s="37" t="s">
        <v>1363</v>
      </c>
      <c r="B3544" s="37" t="s">
        <v>1096</v>
      </c>
      <c r="C3544" s="37" t="s">
        <v>29650</v>
      </c>
      <c r="D3544" s="37" t="s">
        <v>29651</v>
      </c>
    </row>
    <row r="3545">
      <c r="A3545" s="37" t="s">
        <v>1283</v>
      </c>
      <c r="B3545" s="37" t="s">
        <v>298</v>
      </c>
      <c r="C3545" s="7" t="s">
        <v>29652</v>
      </c>
      <c r="D3545" s="37" t="s">
        <v>29653</v>
      </c>
    </row>
    <row r="3546">
      <c r="A3546" s="37" t="s">
        <v>1146</v>
      </c>
      <c r="B3546" s="37" t="s">
        <v>478</v>
      </c>
      <c r="C3546" s="7" t="s">
        <v>29654</v>
      </c>
      <c r="D3546" s="37" t="s">
        <v>29655</v>
      </c>
    </row>
    <row r="3547">
      <c r="A3547" s="37" t="s">
        <v>1146</v>
      </c>
      <c r="B3547" s="37" t="s">
        <v>478</v>
      </c>
      <c r="C3547" s="7" t="s">
        <v>29656</v>
      </c>
      <c r="D3547" s="37" t="s">
        <v>29657</v>
      </c>
    </row>
    <row r="3548">
      <c r="A3548" s="37" t="s">
        <v>1162</v>
      </c>
      <c r="B3548" s="37" t="s">
        <v>1054</v>
      </c>
      <c r="C3548" s="7" t="s">
        <v>29658</v>
      </c>
      <c r="D3548" s="37" t="s">
        <v>29659</v>
      </c>
    </row>
    <row r="3549">
      <c r="A3549" s="37" t="s">
        <v>1156</v>
      </c>
      <c r="B3549" s="37" t="s">
        <v>693</v>
      </c>
      <c r="C3549" s="37" t="s">
        <v>29660</v>
      </c>
      <c r="D3549" s="37" t="s">
        <v>29661</v>
      </c>
    </row>
    <row r="3550">
      <c r="A3550" s="37" t="s">
        <v>1226</v>
      </c>
      <c r="B3550" s="37" t="s">
        <v>1272</v>
      </c>
      <c r="C3550" s="37" t="s">
        <v>29662</v>
      </c>
      <c r="D3550" s="37" t="s">
        <v>29663</v>
      </c>
    </row>
    <row r="3551">
      <c r="A3551" s="37" t="s">
        <v>1226</v>
      </c>
      <c r="B3551" s="37" t="s">
        <v>1272</v>
      </c>
      <c r="C3551" s="37" t="s">
        <v>29664</v>
      </c>
      <c r="D3551" s="37" t="s">
        <v>29665</v>
      </c>
    </row>
    <row r="3552">
      <c r="A3552" s="37" t="s">
        <v>29666</v>
      </c>
      <c r="B3552" s="37" t="s">
        <v>25276</v>
      </c>
      <c r="C3552" s="37" t="s">
        <v>29667</v>
      </c>
      <c r="D3552" s="37" t="s">
        <v>29668</v>
      </c>
    </row>
    <row r="3553">
      <c r="A3553" s="37" t="s">
        <v>857</v>
      </c>
      <c r="B3553" s="37" t="s">
        <v>1272</v>
      </c>
      <c r="C3553" s="7" t="s">
        <v>29669</v>
      </c>
      <c r="D3553" s="37" t="s">
        <v>29670</v>
      </c>
    </row>
    <row r="3554">
      <c r="A3554" s="37" t="s">
        <v>1495</v>
      </c>
      <c r="B3554" s="37" t="s">
        <v>29671</v>
      </c>
      <c r="C3554" s="7" t="s">
        <v>29672</v>
      </c>
      <c r="D3554" s="37" t="s">
        <v>29673</v>
      </c>
    </row>
    <row r="3555">
      <c r="A3555" s="37" t="s">
        <v>1495</v>
      </c>
      <c r="B3555" s="37" t="s">
        <v>1495</v>
      </c>
      <c r="C3555" s="7" t="s">
        <v>29674</v>
      </c>
      <c r="D3555" s="37" t="s">
        <v>29675</v>
      </c>
    </row>
    <row r="3556">
      <c r="A3556" s="37" t="s">
        <v>1246</v>
      </c>
      <c r="B3556" s="37" t="s">
        <v>1242</v>
      </c>
      <c r="C3556" s="37" t="s">
        <v>29676</v>
      </c>
      <c r="D3556" s="37" t="s">
        <v>29677</v>
      </c>
    </row>
    <row r="3557">
      <c r="A3557" s="37" t="s">
        <v>304</v>
      </c>
      <c r="B3557" s="37" t="s">
        <v>298</v>
      </c>
      <c r="C3557" s="7" t="s">
        <v>29678</v>
      </c>
      <c r="D3557" s="37" t="s">
        <v>29679</v>
      </c>
    </row>
    <row r="3558">
      <c r="A3558" s="37" t="s">
        <v>304</v>
      </c>
      <c r="B3558" s="37" t="s">
        <v>298</v>
      </c>
      <c r="C3558" s="7" t="s">
        <v>29680</v>
      </c>
      <c r="D3558" s="37" t="s">
        <v>29681</v>
      </c>
    </row>
    <row r="3559">
      <c r="A3559" s="37" t="s">
        <v>304</v>
      </c>
      <c r="B3559" s="37" t="s">
        <v>298</v>
      </c>
      <c r="C3559" s="7" t="s">
        <v>29682</v>
      </c>
      <c r="D3559" s="37" t="s">
        <v>29683</v>
      </c>
    </row>
    <row r="3560">
      <c r="A3560" s="37" t="s">
        <v>304</v>
      </c>
      <c r="B3560" s="37" t="s">
        <v>298</v>
      </c>
      <c r="C3560" s="7" t="s">
        <v>29684</v>
      </c>
      <c r="D3560" s="37" t="s">
        <v>29685</v>
      </c>
    </row>
    <row r="3561">
      <c r="A3561" s="37" t="s">
        <v>304</v>
      </c>
      <c r="B3561" s="37" t="s">
        <v>298</v>
      </c>
      <c r="C3561" s="7" t="s">
        <v>29686</v>
      </c>
      <c r="D3561" s="37" t="s">
        <v>29687</v>
      </c>
    </row>
    <row r="3562">
      <c r="A3562" s="37" t="s">
        <v>304</v>
      </c>
      <c r="B3562" s="37" t="s">
        <v>298</v>
      </c>
      <c r="C3562" s="7" t="s">
        <v>29688</v>
      </c>
      <c r="D3562" s="37" t="s">
        <v>29689</v>
      </c>
    </row>
    <row r="3563">
      <c r="A3563" s="37" t="s">
        <v>857</v>
      </c>
      <c r="B3563" s="37" t="s">
        <v>1272</v>
      </c>
      <c r="C3563" s="7" t="s">
        <v>29690</v>
      </c>
      <c r="D3563" s="37" t="s">
        <v>29691</v>
      </c>
    </row>
    <row r="3564">
      <c r="A3564" s="37" t="s">
        <v>1209</v>
      </c>
      <c r="B3564" s="37" t="s">
        <v>440</v>
      </c>
      <c r="C3564" s="37" t="s">
        <v>29692</v>
      </c>
      <c r="D3564" s="37" t="s">
        <v>29693</v>
      </c>
    </row>
    <row r="3565">
      <c r="A3565" s="37" t="s">
        <v>1209</v>
      </c>
      <c r="B3565" s="37" t="s">
        <v>440</v>
      </c>
      <c r="C3565" s="7" t="s">
        <v>29694</v>
      </c>
      <c r="D3565" s="37" t="s">
        <v>29695</v>
      </c>
    </row>
    <row r="3566">
      <c r="A3566" s="37" t="s">
        <v>1209</v>
      </c>
      <c r="B3566" s="37" t="s">
        <v>440</v>
      </c>
      <c r="C3566" s="7" t="s">
        <v>29696</v>
      </c>
      <c r="D3566" s="37" t="s">
        <v>29697</v>
      </c>
    </row>
    <row r="3567">
      <c r="A3567" s="37" t="s">
        <v>1143</v>
      </c>
      <c r="B3567" s="37" t="s">
        <v>478</v>
      </c>
      <c r="C3567" s="37" t="s">
        <v>29698</v>
      </c>
      <c r="D3567" s="37" t="s">
        <v>29699</v>
      </c>
    </row>
    <row r="3568">
      <c r="A3568" s="37" t="s">
        <v>286</v>
      </c>
      <c r="B3568" s="37" t="s">
        <v>1272</v>
      </c>
      <c r="C3568" s="7" t="s">
        <v>29700</v>
      </c>
      <c r="D3568" s="37" t="s">
        <v>29701</v>
      </c>
    </row>
    <row r="3569">
      <c r="A3569" s="37" t="s">
        <v>286</v>
      </c>
      <c r="B3569" s="37" t="s">
        <v>29702</v>
      </c>
      <c r="C3569" s="7" t="s">
        <v>29703</v>
      </c>
      <c r="D3569" s="37" t="s">
        <v>29704</v>
      </c>
    </row>
    <row r="3570">
      <c r="A3570" s="37" t="s">
        <v>29705</v>
      </c>
      <c r="B3570" s="37" t="s">
        <v>26245</v>
      </c>
      <c r="C3570" s="7" t="s">
        <v>29706</v>
      </c>
      <c r="D3570" s="37" t="s">
        <v>29707</v>
      </c>
    </row>
    <row r="3571">
      <c r="A3571" s="37" t="s">
        <v>148</v>
      </c>
      <c r="B3571" s="37" t="s">
        <v>26038</v>
      </c>
      <c r="C3571" s="7" t="s">
        <v>29708</v>
      </c>
      <c r="D3571" s="37" t="s">
        <v>29709</v>
      </c>
    </row>
    <row r="3572">
      <c r="A3572" s="37" t="s">
        <v>1360</v>
      </c>
      <c r="B3572" s="37" t="s">
        <v>1096</v>
      </c>
      <c r="C3572" s="7" t="s">
        <v>29710</v>
      </c>
      <c r="D3572" s="37" t="s">
        <v>29711</v>
      </c>
    </row>
    <row r="3573">
      <c r="A3573" s="37" t="s">
        <v>4</v>
      </c>
      <c r="B3573" s="37" t="s">
        <v>1293</v>
      </c>
      <c r="C3573" s="7" t="s">
        <v>29712</v>
      </c>
      <c r="D3573" s="37" t="s">
        <v>29713</v>
      </c>
    </row>
    <row r="3574">
      <c r="A3574" s="37" t="s">
        <v>1246</v>
      </c>
      <c r="B3574" s="37" t="s">
        <v>38</v>
      </c>
      <c r="C3574" s="7" t="s">
        <v>29714</v>
      </c>
      <c r="D3574" s="37" t="s">
        <v>29715</v>
      </c>
    </row>
    <row r="3575">
      <c r="A3575" s="37" t="s">
        <v>188</v>
      </c>
      <c r="B3575" s="37" t="s">
        <v>1273</v>
      </c>
      <c r="C3575" s="7" t="s">
        <v>6755</v>
      </c>
      <c r="D3575" s="37" t="s">
        <v>29716</v>
      </c>
    </row>
    <row r="3576">
      <c r="A3576" s="37" t="s">
        <v>857</v>
      </c>
      <c r="B3576" s="37" t="s">
        <v>1272</v>
      </c>
      <c r="C3576" s="37" t="s">
        <v>29717</v>
      </c>
      <c r="D3576" s="37" t="s">
        <v>29718</v>
      </c>
    </row>
    <row r="3577">
      <c r="A3577" s="37" t="s">
        <v>1151</v>
      </c>
      <c r="B3577" s="37" t="s">
        <v>29719</v>
      </c>
      <c r="C3577" s="7" t="s">
        <v>29720</v>
      </c>
      <c r="D3577" s="37" t="s">
        <v>29721</v>
      </c>
    </row>
    <row r="3578">
      <c r="A3578" s="37" t="s">
        <v>51</v>
      </c>
      <c r="B3578" s="37" t="s">
        <v>38</v>
      </c>
      <c r="C3578" s="7" t="s">
        <v>29722</v>
      </c>
      <c r="D3578" s="37" t="s">
        <v>29723</v>
      </c>
    </row>
    <row r="3579">
      <c r="A3579" s="37" t="s">
        <v>29724</v>
      </c>
      <c r="B3579" s="37" t="s">
        <v>192</v>
      </c>
      <c r="C3579" s="7" t="s">
        <v>29725</v>
      </c>
      <c r="D3579" s="37" t="s">
        <v>29726</v>
      </c>
    </row>
    <row r="3580">
      <c r="A3580" s="37" t="s">
        <v>29727</v>
      </c>
      <c r="B3580" s="37" t="s">
        <v>26245</v>
      </c>
      <c r="C3580" s="7" t="s">
        <v>29728</v>
      </c>
      <c r="D3580" s="37" t="s">
        <v>29729</v>
      </c>
    </row>
    <row r="3581">
      <c r="A3581" s="37" t="s">
        <v>1162</v>
      </c>
      <c r="B3581" s="37" t="s">
        <v>1054</v>
      </c>
      <c r="C3581" s="7" t="s">
        <v>29730</v>
      </c>
      <c r="D3581" s="37" t="s">
        <v>29731</v>
      </c>
    </row>
    <row r="3582">
      <c r="A3582" s="37" t="s">
        <v>29732</v>
      </c>
      <c r="B3582" s="37" t="s">
        <v>29733</v>
      </c>
      <c r="C3582" s="7" t="s">
        <v>29730</v>
      </c>
      <c r="D3582" s="37" t="s">
        <v>29731</v>
      </c>
    </row>
    <row r="3583">
      <c r="A3583" s="37" t="s">
        <v>484</v>
      </c>
      <c r="B3583" s="37" t="s">
        <v>478</v>
      </c>
      <c r="C3583" s="7" t="s">
        <v>1951</v>
      </c>
      <c r="D3583" s="37" t="s">
        <v>29734</v>
      </c>
    </row>
    <row r="3584">
      <c r="A3584" s="37" t="s">
        <v>1283</v>
      </c>
      <c r="B3584" s="37" t="s">
        <v>298</v>
      </c>
      <c r="C3584" s="7" t="s">
        <v>29735</v>
      </c>
      <c r="D3584" s="37" t="s">
        <v>29736</v>
      </c>
    </row>
    <row r="3585">
      <c r="A3585" s="37" t="s">
        <v>1283</v>
      </c>
      <c r="B3585" s="37" t="s">
        <v>298</v>
      </c>
      <c r="C3585" s="7" t="s">
        <v>29737</v>
      </c>
      <c r="D3585" s="37" t="s">
        <v>29738</v>
      </c>
    </row>
    <row r="3586">
      <c r="A3586" s="37" t="s">
        <v>286</v>
      </c>
      <c r="B3586" s="37" t="s">
        <v>29702</v>
      </c>
      <c r="C3586" s="7" t="s">
        <v>29739</v>
      </c>
      <c r="D3586" s="37" t="s">
        <v>29740</v>
      </c>
    </row>
    <row r="3587">
      <c r="A3587" s="37" t="s">
        <v>1174</v>
      </c>
      <c r="B3587" s="37" t="s">
        <v>1096</v>
      </c>
      <c r="C3587" s="7" t="s">
        <v>11307</v>
      </c>
      <c r="D3587" s="37" t="s">
        <v>29741</v>
      </c>
    </row>
    <row r="3588">
      <c r="A3588" s="37" t="s">
        <v>29347</v>
      </c>
      <c r="B3588" s="37" t="s">
        <v>29638</v>
      </c>
      <c r="C3588" s="37" t="s">
        <v>29742</v>
      </c>
      <c r="D3588" s="37" t="s">
        <v>29743</v>
      </c>
    </row>
    <row r="3589">
      <c r="A3589" s="37" t="s">
        <v>1226</v>
      </c>
      <c r="B3589" s="37" t="s">
        <v>1272</v>
      </c>
      <c r="C3589" s="37" t="s">
        <v>29744</v>
      </c>
      <c r="D3589" s="37" t="s">
        <v>29745</v>
      </c>
    </row>
    <row r="3590">
      <c r="A3590" s="37" t="s">
        <v>1360</v>
      </c>
      <c r="B3590" s="37" t="s">
        <v>1096</v>
      </c>
      <c r="C3590" s="7" t="s">
        <v>29746</v>
      </c>
      <c r="D3590" s="37" t="s">
        <v>29747</v>
      </c>
    </row>
    <row r="3591">
      <c r="A3591" s="37" t="s">
        <v>1602</v>
      </c>
      <c r="B3591" s="37" t="s">
        <v>24942</v>
      </c>
      <c r="C3591" s="7" t="s">
        <v>24724</v>
      </c>
      <c r="D3591" s="37" t="s">
        <v>29748</v>
      </c>
    </row>
    <row r="3592">
      <c r="A3592" s="37" t="s">
        <v>28902</v>
      </c>
      <c r="B3592" s="37" t="s">
        <v>1495</v>
      </c>
      <c r="C3592" s="37" t="s">
        <v>29749</v>
      </c>
      <c r="D3592" s="37" t="s">
        <v>29750</v>
      </c>
    </row>
    <row r="3593">
      <c r="A3593" s="37" t="s">
        <v>1602</v>
      </c>
      <c r="B3593" s="37" t="s">
        <v>24942</v>
      </c>
      <c r="C3593" s="7" t="s">
        <v>29751</v>
      </c>
      <c r="D3593" s="37" t="s">
        <v>29752</v>
      </c>
    </row>
    <row r="3594">
      <c r="A3594" s="37" t="s">
        <v>1602</v>
      </c>
      <c r="B3594" s="37" t="s">
        <v>24942</v>
      </c>
      <c r="C3594" s="7" t="s">
        <v>29753</v>
      </c>
      <c r="D3594" s="37" t="s">
        <v>29754</v>
      </c>
    </row>
    <row r="3595">
      <c r="A3595" s="37" t="s">
        <v>1602</v>
      </c>
      <c r="B3595" s="37" t="s">
        <v>24942</v>
      </c>
      <c r="C3595" s="7" t="s">
        <v>29755</v>
      </c>
      <c r="D3595" s="37" t="s">
        <v>29756</v>
      </c>
    </row>
    <row r="3596">
      <c r="A3596" s="37" t="s">
        <v>1602</v>
      </c>
      <c r="B3596" s="37" t="s">
        <v>24942</v>
      </c>
      <c r="C3596" s="7" t="s">
        <v>29757</v>
      </c>
      <c r="D3596" s="37" t="s">
        <v>29758</v>
      </c>
    </row>
    <row r="3597">
      <c r="A3597" s="37" t="s">
        <v>1602</v>
      </c>
      <c r="B3597" s="37" t="s">
        <v>24942</v>
      </c>
      <c r="C3597" s="7" t="s">
        <v>29759</v>
      </c>
      <c r="D3597" s="37" t="s">
        <v>29760</v>
      </c>
    </row>
    <row r="3598">
      <c r="A3598" s="37" t="s">
        <v>1602</v>
      </c>
      <c r="B3598" s="37" t="s">
        <v>24942</v>
      </c>
      <c r="C3598" s="7" t="s">
        <v>29761</v>
      </c>
      <c r="D3598" s="37" t="s">
        <v>29762</v>
      </c>
    </row>
    <row r="3599">
      <c r="A3599" s="37" t="s">
        <v>1602</v>
      </c>
      <c r="B3599" s="37" t="s">
        <v>24942</v>
      </c>
      <c r="C3599" s="7" t="s">
        <v>29763</v>
      </c>
      <c r="D3599" s="37" t="s">
        <v>29764</v>
      </c>
    </row>
    <row r="3600">
      <c r="A3600" s="37" t="s">
        <v>1602</v>
      </c>
      <c r="B3600" s="37" t="s">
        <v>24942</v>
      </c>
      <c r="C3600" s="7" t="s">
        <v>29765</v>
      </c>
      <c r="D3600" s="37" t="s">
        <v>29766</v>
      </c>
    </row>
    <row r="3601">
      <c r="A3601" s="37" t="s">
        <v>1602</v>
      </c>
      <c r="B3601" s="37" t="s">
        <v>24942</v>
      </c>
      <c r="C3601" s="7" t="s">
        <v>29767</v>
      </c>
      <c r="D3601" s="37" t="s">
        <v>29768</v>
      </c>
    </row>
    <row r="3602">
      <c r="A3602" s="37" t="s">
        <v>1602</v>
      </c>
      <c r="B3602" s="37" t="s">
        <v>24942</v>
      </c>
      <c r="C3602" s="7" t="s">
        <v>29769</v>
      </c>
      <c r="D3602" s="37" t="s">
        <v>29770</v>
      </c>
    </row>
    <row r="3603">
      <c r="A3603" s="37" t="s">
        <v>1602</v>
      </c>
      <c r="B3603" s="37" t="s">
        <v>24942</v>
      </c>
      <c r="C3603" s="7" t="s">
        <v>29771</v>
      </c>
      <c r="D3603" s="37" t="s">
        <v>29772</v>
      </c>
    </row>
    <row r="3604">
      <c r="A3604" s="37" t="s">
        <v>1162</v>
      </c>
      <c r="B3604" s="37" t="s">
        <v>1054</v>
      </c>
      <c r="C3604" s="7" t="s">
        <v>29773</v>
      </c>
      <c r="D3604" s="37" t="s">
        <v>29774</v>
      </c>
    </row>
    <row r="3605">
      <c r="A3605" s="37" t="s">
        <v>1162</v>
      </c>
      <c r="B3605" s="37" t="s">
        <v>1054</v>
      </c>
      <c r="C3605" s="7" t="s">
        <v>29775</v>
      </c>
      <c r="D3605" s="37" t="s">
        <v>29776</v>
      </c>
    </row>
    <row r="3606">
      <c r="A3606" s="37" t="s">
        <v>1146</v>
      </c>
      <c r="B3606" s="37" t="s">
        <v>478</v>
      </c>
      <c r="C3606" s="37" t="s">
        <v>29777</v>
      </c>
      <c r="D3606" s="37" t="s">
        <v>29778</v>
      </c>
    </row>
    <row r="3607">
      <c r="A3607" s="37" t="s">
        <v>1495</v>
      </c>
      <c r="B3607" s="37" t="s">
        <v>1243</v>
      </c>
      <c r="C3607" s="37" t="s">
        <v>29779</v>
      </c>
      <c r="D3607" s="37" t="s">
        <v>29780</v>
      </c>
    </row>
    <row r="3608">
      <c r="A3608" s="37" t="s">
        <v>1226</v>
      </c>
      <c r="B3608" s="37" t="s">
        <v>1272</v>
      </c>
      <c r="C3608" s="7" t="s">
        <v>29781</v>
      </c>
      <c r="D3608" s="37" t="s">
        <v>29782</v>
      </c>
    </row>
    <row r="3609">
      <c r="A3609" s="37" t="s">
        <v>1183</v>
      </c>
      <c r="B3609" s="37" t="s">
        <v>26245</v>
      </c>
      <c r="C3609" s="7" t="s">
        <v>29783</v>
      </c>
      <c r="D3609" s="37" t="s">
        <v>29784</v>
      </c>
    </row>
    <row r="3610">
      <c r="A3610" s="37" t="s">
        <v>484</v>
      </c>
      <c r="B3610" s="37" t="s">
        <v>478</v>
      </c>
      <c r="C3610" s="7" t="s">
        <v>29785</v>
      </c>
      <c r="D3610" s="37" t="s">
        <v>29786</v>
      </c>
    </row>
    <row r="3611">
      <c r="A3611" s="37" t="s">
        <v>1162</v>
      </c>
      <c r="B3611" s="37" t="s">
        <v>1054</v>
      </c>
      <c r="C3611" s="7" t="s">
        <v>29787</v>
      </c>
      <c r="D3611" s="37" t="s">
        <v>29788</v>
      </c>
    </row>
    <row r="3612">
      <c r="A3612" s="37" t="s">
        <v>1162</v>
      </c>
      <c r="B3612" s="37" t="s">
        <v>1054</v>
      </c>
      <c r="C3612" s="7" t="s">
        <v>29789</v>
      </c>
      <c r="D3612" s="37" t="s">
        <v>29790</v>
      </c>
    </row>
    <row r="3613">
      <c r="A3613" s="37" t="s">
        <v>1162</v>
      </c>
      <c r="B3613" s="37" t="s">
        <v>1054</v>
      </c>
      <c r="C3613" s="7" t="s">
        <v>29791</v>
      </c>
      <c r="D3613" s="37" t="s">
        <v>29792</v>
      </c>
    </row>
    <row r="3614">
      <c r="A3614" s="37" t="s">
        <v>1245</v>
      </c>
      <c r="B3614" s="37" t="s">
        <v>1242</v>
      </c>
      <c r="C3614" s="7" t="s">
        <v>29793</v>
      </c>
      <c r="D3614" s="37" t="s">
        <v>29794</v>
      </c>
    </row>
    <row r="3615">
      <c r="A3615" s="37" t="s">
        <v>1245</v>
      </c>
      <c r="B3615" s="37" t="s">
        <v>1242</v>
      </c>
      <c r="C3615" s="7" t="s">
        <v>29795</v>
      </c>
      <c r="D3615" s="37" t="s">
        <v>29796</v>
      </c>
    </row>
    <row r="3616">
      <c r="A3616" s="37" t="s">
        <v>1245</v>
      </c>
      <c r="B3616" s="37" t="s">
        <v>1242</v>
      </c>
      <c r="C3616" s="7" t="s">
        <v>29797</v>
      </c>
      <c r="D3616" s="37" t="s">
        <v>29798</v>
      </c>
    </row>
    <row r="3617">
      <c r="A3617" s="37" t="s">
        <v>1245</v>
      </c>
      <c r="B3617" s="37" t="s">
        <v>1242</v>
      </c>
      <c r="C3617" s="7" t="s">
        <v>29799</v>
      </c>
      <c r="D3617" s="37" t="s">
        <v>29800</v>
      </c>
    </row>
    <row r="3618">
      <c r="A3618" s="37" t="s">
        <v>1245</v>
      </c>
      <c r="B3618" s="37" t="s">
        <v>1242</v>
      </c>
      <c r="C3618" s="7" t="s">
        <v>29801</v>
      </c>
      <c r="D3618" s="37" t="s">
        <v>29802</v>
      </c>
    </row>
    <row r="3619">
      <c r="A3619" s="37" t="s">
        <v>1245</v>
      </c>
      <c r="B3619" s="37" t="s">
        <v>1242</v>
      </c>
      <c r="C3619" s="7" t="s">
        <v>29803</v>
      </c>
      <c r="D3619" s="37" t="s">
        <v>29804</v>
      </c>
    </row>
    <row r="3620">
      <c r="A3620" s="37" t="s">
        <v>1602</v>
      </c>
      <c r="B3620" s="37" t="s">
        <v>24942</v>
      </c>
      <c r="C3620" s="7" t="s">
        <v>29805</v>
      </c>
      <c r="D3620" s="37" t="s">
        <v>29806</v>
      </c>
    </row>
    <row r="3621">
      <c r="A3621" s="37" t="s">
        <v>1147</v>
      </c>
      <c r="B3621" s="37" t="s">
        <v>478</v>
      </c>
      <c r="C3621" s="7" t="s">
        <v>26121</v>
      </c>
      <c r="D3621" s="37" t="s">
        <v>29807</v>
      </c>
    </row>
    <row r="3622">
      <c r="A3622" s="37" t="s">
        <v>1283</v>
      </c>
      <c r="B3622" s="37" t="s">
        <v>298</v>
      </c>
      <c r="C3622" s="7" t="s">
        <v>29808</v>
      </c>
      <c r="D3622" s="37" t="s">
        <v>29809</v>
      </c>
    </row>
    <row r="3623">
      <c r="A3623" s="37" t="s">
        <v>1283</v>
      </c>
      <c r="B3623" s="37" t="s">
        <v>298</v>
      </c>
      <c r="C3623" s="7" t="s">
        <v>29810</v>
      </c>
      <c r="D3623" s="37" t="s">
        <v>29811</v>
      </c>
    </row>
    <row r="3624">
      <c r="A3624" s="37" t="s">
        <v>1363</v>
      </c>
      <c r="B3624" s="37" t="s">
        <v>1096</v>
      </c>
      <c r="C3624" s="37" t="s">
        <v>29812</v>
      </c>
      <c r="D3624" s="37" t="s">
        <v>29813</v>
      </c>
    </row>
    <row r="3625">
      <c r="A3625" s="37" t="s">
        <v>29814</v>
      </c>
      <c r="B3625" s="37" t="s">
        <v>26038</v>
      </c>
      <c r="C3625" s="7" t="s">
        <v>29815</v>
      </c>
      <c r="D3625" s="37" t="s">
        <v>29816</v>
      </c>
    </row>
    <row r="3626">
      <c r="A3626" s="37" t="s">
        <v>29531</v>
      </c>
      <c r="B3626" s="37" t="s">
        <v>26038</v>
      </c>
      <c r="C3626" s="7" t="s">
        <v>29817</v>
      </c>
      <c r="D3626" s="37" t="s">
        <v>29818</v>
      </c>
    </row>
    <row r="3627">
      <c r="A3627" s="37" t="s">
        <v>1162</v>
      </c>
      <c r="B3627" s="37" t="s">
        <v>1054</v>
      </c>
      <c r="C3627" s="7" t="s">
        <v>29819</v>
      </c>
      <c r="D3627" s="37" t="s">
        <v>29820</v>
      </c>
    </row>
    <row r="3628">
      <c r="A3628" s="37" t="s">
        <v>1246</v>
      </c>
      <c r="B3628" s="37" t="s">
        <v>1242</v>
      </c>
      <c r="C3628" s="7" t="s">
        <v>29821</v>
      </c>
      <c r="D3628" s="37" t="s">
        <v>29822</v>
      </c>
    </row>
    <row r="3629">
      <c r="A3629" s="37" t="s">
        <v>148</v>
      </c>
      <c r="B3629" s="37" t="s">
        <v>26038</v>
      </c>
      <c r="C3629" s="7" t="s">
        <v>29823</v>
      </c>
      <c r="D3629" s="37" t="s">
        <v>29824</v>
      </c>
    </row>
    <row r="3630">
      <c r="A3630" s="37" t="s">
        <v>148</v>
      </c>
      <c r="B3630" s="37" t="s">
        <v>26038</v>
      </c>
      <c r="C3630" s="7" t="s">
        <v>29825</v>
      </c>
      <c r="D3630" s="37" t="s">
        <v>29826</v>
      </c>
    </row>
    <row r="3631">
      <c r="A3631" s="37" t="s">
        <v>29732</v>
      </c>
      <c r="B3631" s="37" t="s">
        <v>29733</v>
      </c>
      <c r="C3631" s="7" t="s">
        <v>29775</v>
      </c>
      <c r="D3631" s="37" t="s">
        <v>29776</v>
      </c>
    </row>
    <row r="3632">
      <c r="A3632" s="37" t="s">
        <v>29732</v>
      </c>
      <c r="B3632" s="37" t="s">
        <v>29733</v>
      </c>
      <c r="C3632" s="7" t="s">
        <v>29773</v>
      </c>
      <c r="D3632" s="37" t="s">
        <v>29774</v>
      </c>
    </row>
    <row r="3633">
      <c r="A3633" s="37" t="s">
        <v>1072</v>
      </c>
      <c r="B3633" s="37" t="s">
        <v>478</v>
      </c>
      <c r="C3633" s="7" t="s">
        <v>29487</v>
      </c>
      <c r="D3633" s="37" t="s">
        <v>29827</v>
      </c>
    </row>
    <row r="3634">
      <c r="A3634" s="37" t="s">
        <v>1174</v>
      </c>
      <c r="B3634" s="37" t="s">
        <v>1096</v>
      </c>
      <c r="C3634" s="7" t="s">
        <v>29828</v>
      </c>
      <c r="D3634" s="37" t="s">
        <v>29829</v>
      </c>
    </row>
    <row r="3635">
      <c r="A3635" s="37" t="s">
        <v>28902</v>
      </c>
      <c r="B3635" s="37" t="s">
        <v>1495</v>
      </c>
      <c r="C3635" s="37" t="s">
        <v>29830</v>
      </c>
      <c r="D3635" s="37" t="s">
        <v>29831</v>
      </c>
    </row>
    <row r="3636">
      <c r="A3636" s="37" t="s">
        <v>148</v>
      </c>
      <c r="B3636" s="37" t="s">
        <v>26038</v>
      </c>
      <c r="C3636" s="7" t="s">
        <v>29832</v>
      </c>
      <c r="D3636" s="37" t="s">
        <v>29833</v>
      </c>
    </row>
    <row r="3637">
      <c r="A3637" s="37" t="s">
        <v>1162</v>
      </c>
      <c r="B3637" s="37" t="s">
        <v>1054</v>
      </c>
      <c r="C3637" s="7" t="s">
        <v>29364</v>
      </c>
      <c r="D3637" s="37" t="s">
        <v>29834</v>
      </c>
    </row>
    <row r="3638">
      <c r="A3638" s="37" t="s">
        <v>29835</v>
      </c>
      <c r="B3638" s="37" t="s">
        <v>29835</v>
      </c>
      <c r="C3638" s="7" t="s">
        <v>28340</v>
      </c>
      <c r="D3638" s="37" t="s">
        <v>29836</v>
      </c>
    </row>
    <row r="3639">
      <c r="A3639" s="37" t="s">
        <v>28902</v>
      </c>
      <c r="B3639" s="37" t="s">
        <v>1495</v>
      </c>
      <c r="C3639" s="37" t="s">
        <v>29837</v>
      </c>
      <c r="D3639" s="37" t="s">
        <v>29838</v>
      </c>
    </row>
    <row r="3640">
      <c r="A3640" s="37" t="s">
        <v>1363</v>
      </c>
      <c r="B3640" s="37" t="s">
        <v>26038</v>
      </c>
      <c r="C3640" s="37" t="s">
        <v>29839</v>
      </c>
      <c r="D3640" s="37" t="s">
        <v>29840</v>
      </c>
    </row>
    <row r="3641">
      <c r="A3641" s="37" t="s">
        <v>1363</v>
      </c>
      <c r="B3641" s="37" t="s">
        <v>26038</v>
      </c>
      <c r="C3641" s="37" t="s">
        <v>29841</v>
      </c>
      <c r="D3641" s="37" t="s">
        <v>29842</v>
      </c>
    </row>
    <row r="3642">
      <c r="A3642" s="37" t="s">
        <v>1363</v>
      </c>
      <c r="B3642" s="37" t="s">
        <v>26038</v>
      </c>
      <c r="C3642" s="37" t="s">
        <v>29843</v>
      </c>
      <c r="D3642" s="37" t="s">
        <v>29844</v>
      </c>
    </row>
    <row r="3643">
      <c r="A3643" s="37" t="s">
        <v>1363</v>
      </c>
      <c r="B3643" s="37" t="s">
        <v>26038</v>
      </c>
      <c r="C3643" s="37" t="s">
        <v>29845</v>
      </c>
      <c r="D3643" s="37" t="s">
        <v>29846</v>
      </c>
    </row>
    <row r="3644">
      <c r="A3644" s="37" t="s">
        <v>1363</v>
      </c>
      <c r="B3644" s="37" t="s">
        <v>26038</v>
      </c>
      <c r="C3644" s="37" t="s">
        <v>29847</v>
      </c>
      <c r="D3644" s="37" t="s">
        <v>29848</v>
      </c>
    </row>
    <row r="3645">
      <c r="A3645" s="37" t="s">
        <v>1363</v>
      </c>
      <c r="B3645" s="37" t="s">
        <v>26038</v>
      </c>
      <c r="C3645" s="37" t="s">
        <v>29849</v>
      </c>
      <c r="D3645" s="37" t="s">
        <v>29850</v>
      </c>
    </row>
    <row r="3646">
      <c r="A3646" s="37" t="s">
        <v>1363</v>
      </c>
      <c r="B3646" s="37" t="s">
        <v>26038</v>
      </c>
      <c r="C3646" s="37" t="s">
        <v>29851</v>
      </c>
      <c r="D3646" s="37" t="s">
        <v>29852</v>
      </c>
    </row>
    <row r="3647">
      <c r="A3647" s="37" t="s">
        <v>1363</v>
      </c>
      <c r="B3647" s="37" t="s">
        <v>26038</v>
      </c>
      <c r="C3647" s="37" t="s">
        <v>29853</v>
      </c>
      <c r="D3647" s="37" t="s">
        <v>29854</v>
      </c>
    </row>
    <row r="3648">
      <c r="A3648" s="37" t="s">
        <v>1363</v>
      </c>
      <c r="B3648" s="37" t="s">
        <v>26038</v>
      </c>
      <c r="C3648" s="37" t="s">
        <v>29855</v>
      </c>
      <c r="D3648" s="37" t="s">
        <v>29856</v>
      </c>
    </row>
    <row r="3649">
      <c r="A3649" s="37" t="s">
        <v>1363</v>
      </c>
      <c r="B3649" s="37" t="s">
        <v>26038</v>
      </c>
      <c r="C3649" s="37" t="s">
        <v>29857</v>
      </c>
      <c r="D3649" s="37" t="s">
        <v>29858</v>
      </c>
    </row>
    <row r="3650">
      <c r="A3650" s="37" t="s">
        <v>1363</v>
      </c>
      <c r="B3650" s="37" t="s">
        <v>26038</v>
      </c>
      <c r="C3650" s="37" t="s">
        <v>29859</v>
      </c>
      <c r="D3650" s="37" t="s">
        <v>29860</v>
      </c>
    </row>
    <row r="3651">
      <c r="A3651" s="37" t="s">
        <v>1363</v>
      </c>
      <c r="B3651" s="37" t="s">
        <v>26038</v>
      </c>
      <c r="C3651" s="37" t="s">
        <v>29861</v>
      </c>
      <c r="D3651" s="37" t="s">
        <v>29862</v>
      </c>
    </row>
    <row r="3652">
      <c r="A3652" s="37" t="s">
        <v>1363</v>
      </c>
      <c r="B3652" s="37" t="s">
        <v>26038</v>
      </c>
      <c r="C3652" s="37" t="s">
        <v>29863</v>
      </c>
      <c r="D3652" s="37" t="s">
        <v>29864</v>
      </c>
    </row>
    <row r="3653">
      <c r="A3653" s="37" t="s">
        <v>1363</v>
      </c>
      <c r="B3653" s="37" t="s">
        <v>26038</v>
      </c>
      <c r="C3653" s="37" t="s">
        <v>29865</v>
      </c>
      <c r="D3653" s="37" t="s">
        <v>29866</v>
      </c>
    </row>
    <row r="3654">
      <c r="A3654" s="37" t="s">
        <v>1226</v>
      </c>
      <c r="B3654" s="37" t="s">
        <v>1272</v>
      </c>
      <c r="C3654" s="37" t="s">
        <v>29867</v>
      </c>
      <c r="D3654" s="37" t="s">
        <v>29868</v>
      </c>
    </row>
    <row r="3655">
      <c r="A3655" s="37" t="s">
        <v>1363</v>
      </c>
      <c r="B3655" s="37" t="s">
        <v>26038</v>
      </c>
      <c r="C3655" s="37" t="s">
        <v>29869</v>
      </c>
      <c r="D3655" s="37" t="s">
        <v>29870</v>
      </c>
    </row>
    <row r="3656">
      <c r="A3656" s="37" t="s">
        <v>1363</v>
      </c>
      <c r="B3656" s="37" t="s">
        <v>26038</v>
      </c>
      <c r="C3656" s="37" t="s">
        <v>29871</v>
      </c>
      <c r="D3656" s="37" t="s">
        <v>29872</v>
      </c>
    </row>
    <row r="3657">
      <c r="A3657" s="37" t="s">
        <v>1363</v>
      </c>
      <c r="B3657" s="37" t="s">
        <v>26038</v>
      </c>
      <c r="C3657" s="37" t="s">
        <v>29873</v>
      </c>
      <c r="D3657" s="37" t="s">
        <v>29874</v>
      </c>
    </row>
    <row r="3658">
      <c r="A3658" s="37" t="s">
        <v>1363</v>
      </c>
      <c r="B3658" s="37" t="s">
        <v>26038</v>
      </c>
      <c r="C3658" s="37" t="s">
        <v>29875</v>
      </c>
      <c r="D3658" s="37" t="s">
        <v>29876</v>
      </c>
    </row>
    <row r="3659">
      <c r="A3659" s="37" t="s">
        <v>1363</v>
      </c>
      <c r="B3659" s="37" t="s">
        <v>26038</v>
      </c>
      <c r="C3659" s="37" t="s">
        <v>29877</v>
      </c>
      <c r="D3659" s="37" t="s">
        <v>29878</v>
      </c>
    </row>
    <row r="3660">
      <c r="A3660" s="37" t="s">
        <v>1363</v>
      </c>
      <c r="B3660" s="37" t="s">
        <v>26038</v>
      </c>
      <c r="C3660" s="37" t="s">
        <v>29879</v>
      </c>
      <c r="D3660" s="37" t="s">
        <v>29880</v>
      </c>
    </row>
    <row r="3661">
      <c r="A3661" s="37" t="s">
        <v>1363</v>
      </c>
      <c r="B3661" s="37" t="s">
        <v>26038</v>
      </c>
      <c r="C3661" s="37" t="s">
        <v>29881</v>
      </c>
      <c r="D3661" s="37" t="s">
        <v>29882</v>
      </c>
    </row>
    <row r="3662">
      <c r="A3662" s="37" t="s">
        <v>1363</v>
      </c>
      <c r="B3662" s="37" t="s">
        <v>26038</v>
      </c>
      <c r="C3662" s="37" t="s">
        <v>29883</v>
      </c>
      <c r="D3662" s="37" t="s">
        <v>29884</v>
      </c>
    </row>
    <row r="3663">
      <c r="A3663" s="37" t="s">
        <v>1363</v>
      </c>
      <c r="B3663" s="37" t="s">
        <v>1096</v>
      </c>
      <c r="C3663" s="37" t="s">
        <v>29885</v>
      </c>
      <c r="D3663" s="37" t="s">
        <v>29886</v>
      </c>
    </row>
    <row r="3664">
      <c r="A3664" s="37" t="s">
        <v>1363</v>
      </c>
      <c r="B3664" s="37" t="s">
        <v>26038</v>
      </c>
      <c r="C3664" s="37" t="s">
        <v>29887</v>
      </c>
      <c r="D3664" s="37" t="s">
        <v>29888</v>
      </c>
    </row>
    <row r="3665">
      <c r="A3665" s="37" t="s">
        <v>1363</v>
      </c>
      <c r="B3665" s="37" t="s">
        <v>26038</v>
      </c>
      <c r="C3665" s="37" t="s">
        <v>29889</v>
      </c>
      <c r="D3665" s="37" t="s">
        <v>29890</v>
      </c>
    </row>
    <row r="3666">
      <c r="A3666" s="37" t="s">
        <v>1363</v>
      </c>
      <c r="B3666" s="37" t="s">
        <v>26038</v>
      </c>
      <c r="C3666" s="37" t="s">
        <v>29891</v>
      </c>
      <c r="D3666" s="37" t="s">
        <v>29892</v>
      </c>
    </row>
    <row r="3667">
      <c r="A3667" s="37" t="s">
        <v>1363</v>
      </c>
      <c r="B3667" s="37" t="s">
        <v>26038</v>
      </c>
      <c r="C3667" s="37" t="s">
        <v>29893</v>
      </c>
      <c r="D3667" s="37" t="s">
        <v>29894</v>
      </c>
    </row>
    <row r="3668">
      <c r="A3668" s="37" t="s">
        <v>1363</v>
      </c>
      <c r="B3668" s="37" t="s">
        <v>26038</v>
      </c>
      <c r="C3668" s="37" t="s">
        <v>27898</v>
      </c>
      <c r="D3668" s="37" t="s">
        <v>29895</v>
      </c>
    </row>
    <row r="3669">
      <c r="A3669" s="37" t="s">
        <v>1363</v>
      </c>
      <c r="B3669" s="37" t="s">
        <v>26038</v>
      </c>
      <c r="C3669" s="37" t="s">
        <v>29896</v>
      </c>
      <c r="D3669" s="37" t="s">
        <v>29897</v>
      </c>
    </row>
    <row r="3670">
      <c r="A3670" s="37" t="s">
        <v>1363</v>
      </c>
      <c r="B3670" s="37" t="s">
        <v>26038</v>
      </c>
      <c r="C3670" s="37" t="s">
        <v>29898</v>
      </c>
      <c r="D3670" s="37" t="s">
        <v>29899</v>
      </c>
    </row>
    <row r="3671">
      <c r="A3671" s="37" t="s">
        <v>1363</v>
      </c>
      <c r="B3671" s="37" t="s">
        <v>26038</v>
      </c>
      <c r="C3671" s="7" t="s">
        <v>29900</v>
      </c>
      <c r="D3671" s="37" t="s">
        <v>29901</v>
      </c>
    </row>
    <row r="3672">
      <c r="A3672" s="37" t="s">
        <v>1363</v>
      </c>
      <c r="B3672" s="37" t="s">
        <v>26038</v>
      </c>
      <c r="C3672" s="37" t="s">
        <v>29902</v>
      </c>
      <c r="D3672" s="37" t="s">
        <v>29903</v>
      </c>
    </row>
    <row r="3673">
      <c r="A3673" s="37" t="s">
        <v>1363</v>
      </c>
      <c r="B3673" s="37" t="s">
        <v>26038</v>
      </c>
      <c r="C3673" s="7" t="s">
        <v>29904</v>
      </c>
      <c r="D3673" s="37" t="s">
        <v>29905</v>
      </c>
    </row>
    <row r="3674">
      <c r="A3674" s="37" t="s">
        <v>857</v>
      </c>
      <c r="B3674" s="37" t="s">
        <v>1272</v>
      </c>
      <c r="C3674" s="7" t="s">
        <v>29906</v>
      </c>
      <c r="D3674" s="37" t="s">
        <v>29907</v>
      </c>
    </row>
    <row r="3675">
      <c r="A3675" s="37" t="s">
        <v>4</v>
      </c>
      <c r="B3675" s="37" t="s">
        <v>1293</v>
      </c>
      <c r="C3675" s="37" t="s">
        <v>29908</v>
      </c>
      <c r="D3675" s="37" t="s">
        <v>29909</v>
      </c>
    </row>
    <row r="3676">
      <c r="A3676" s="37" t="s">
        <v>1363</v>
      </c>
      <c r="B3676" s="37" t="s">
        <v>26038</v>
      </c>
      <c r="C3676" s="7" t="s">
        <v>29910</v>
      </c>
      <c r="D3676" s="37" t="s">
        <v>29911</v>
      </c>
    </row>
    <row r="3677">
      <c r="A3677" s="37" t="s">
        <v>1237</v>
      </c>
      <c r="B3677" s="37" t="s">
        <v>29912</v>
      </c>
      <c r="C3677" s="7" t="s">
        <v>29913</v>
      </c>
      <c r="D3677" s="37" t="s">
        <v>29914</v>
      </c>
    </row>
    <row r="3678">
      <c r="A3678" s="37" t="s">
        <v>1363</v>
      </c>
      <c r="B3678" s="37" t="s">
        <v>1096</v>
      </c>
      <c r="C3678" s="7" t="s">
        <v>29915</v>
      </c>
      <c r="D3678" s="37" t="s">
        <v>29916</v>
      </c>
    </row>
    <row r="3679">
      <c r="A3679" s="37" t="s">
        <v>399</v>
      </c>
      <c r="B3679" s="37" t="s">
        <v>391</v>
      </c>
      <c r="C3679" s="7" t="s">
        <v>29917</v>
      </c>
      <c r="D3679" s="37" t="s">
        <v>29918</v>
      </c>
    </row>
    <row r="3680">
      <c r="A3680" s="37" t="s">
        <v>1227</v>
      </c>
      <c r="B3680" s="37" t="s">
        <v>1096</v>
      </c>
      <c r="C3680" s="37" t="s">
        <v>29919</v>
      </c>
      <c r="D3680" s="37" t="s">
        <v>29920</v>
      </c>
    </row>
    <row r="3681">
      <c r="A3681" s="37" t="s">
        <v>29921</v>
      </c>
      <c r="B3681" s="37" t="s">
        <v>29922</v>
      </c>
      <c r="C3681" s="7" t="s">
        <v>28898</v>
      </c>
      <c r="D3681" s="37" t="s">
        <v>29923</v>
      </c>
    </row>
    <row r="3682">
      <c r="A3682" s="37" t="s">
        <v>29924</v>
      </c>
      <c r="B3682" s="37" t="s">
        <v>1272</v>
      </c>
      <c r="C3682" s="37" t="s">
        <v>11205</v>
      </c>
      <c r="D3682" s="37" t="s">
        <v>29925</v>
      </c>
    </row>
    <row r="3683">
      <c r="A3683" s="37" t="s">
        <v>1311</v>
      </c>
      <c r="B3683" s="37" t="s">
        <v>24942</v>
      </c>
      <c r="C3683" s="7" t="s">
        <v>1834</v>
      </c>
      <c r="D3683" s="37" t="s">
        <v>29926</v>
      </c>
    </row>
    <row r="3684">
      <c r="A3684" s="37" t="s">
        <v>1314</v>
      </c>
      <c r="B3684" s="37" t="s">
        <v>1054</v>
      </c>
      <c r="C3684" s="37" t="s">
        <v>29927</v>
      </c>
      <c r="D3684" s="37" t="s">
        <v>29928</v>
      </c>
    </row>
    <row r="3685">
      <c r="A3685" s="37" t="s">
        <v>1363</v>
      </c>
      <c r="B3685" s="37" t="s">
        <v>26038</v>
      </c>
      <c r="C3685" s="7" t="s">
        <v>29929</v>
      </c>
      <c r="D3685" s="37" t="s">
        <v>29930</v>
      </c>
    </row>
    <row r="3686">
      <c r="A3686" s="37" t="s">
        <v>1157</v>
      </c>
      <c r="B3686" s="37" t="s">
        <v>693</v>
      </c>
      <c r="C3686" s="7" t="s">
        <v>29931</v>
      </c>
      <c r="D3686" s="37" t="s">
        <v>29932</v>
      </c>
    </row>
    <row r="3687">
      <c r="A3687" s="37" t="s">
        <v>1186</v>
      </c>
      <c r="B3687" s="37" t="s">
        <v>1272</v>
      </c>
      <c r="C3687" s="7" t="s">
        <v>29933</v>
      </c>
      <c r="D3687" s="37" t="s">
        <v>29934</v>
      </c>
    </row>
    <row r="3688">
      <c r="A3688" s="37" t="s">
        <v>1072</v>
      </c>
      <c r="B3688" s="37" t="s">
        <v>478</v>
      </c>
      <c r="C3688" s="7" t="s">
        <v>29459</v>
      </c>
      <c r="D3688" s="37" t="s">
        <v>29935</v>
      </c>
    </row>
    <row r="3689">
      <c r="A3689" s="37" t="s">
        <v>1072</v>
      </c>
      <c r="B3689" s="37" t="s">
        <v>478</v>
      </c>
      <c r="C3689" s="7" t="s">
        <v>24441</v>
      </c>
      <c r="D3689" s="37" t="s">
        <v>29936</v>
      </c>
    </row>
    <row r="3690">
      <c r="A3690" s="37" t="s">
        <v>51</v>
      </c>
      <c r="B3690" s="37" t="s">
        <v>38</v>
      </c>
      <c r="C3690" s="37" t="s">
        <v>29937</v>
      </c>
      <c r="D3690" s="37" t="s">
        <v>29938</v>
      </c>
    </row>
    <row r="3691">
      <c r="A3691" s="37" t="s">
        <v>1361</v>
      </c>
      <c r="B3691" s="37" t="s">
        <v>1096</v>
      </c>
      <c r="C3691" s="37" t="s">
        <v>7149</v>
      </c>
      <c r="D3691" s="37" t="s">
        <v>29939</v>
      </c>
    </row>
    <row r="3692">
      <c r="A3692" s="37" t="s">
        <v>1360</v>
      </c>
      <c r="B3692" s="37" t="s">
        <v>27172</v>
      </c>
      <c r="C3692" s="7" t="s">
        <v>29940</v>
      </c>
      <c r="D3692" s="37" t="s">
        <v>29941</v>
      </c>
    </row>
    <row r="3693">
      <c r="A3693" s="37" t="s">
        <v>29942</v>
      </c>
      <c r="B3693" s="37" t="s">
        <v>29733</v>
      </c>
      <c r="C3693" s="7" t="s">
        <v>10587</v>
      </c>
      <c r="D3693" s="37" t="s">
        <v>29943</v>
      </c>
    </row>
    <row r="3694">
      <c r="A3694" s="37" t="s">
        <v>29942</v>
      </c>
      <c r="B3694" s="37" t="s">
        <v>29733</v>
      </c>
      <c r="C3694" s="7" t="s">
        <v>4630</v>
      </c>
      <c r="D3694" s="37" t="s">
        <v>29944</v>
      </c>
    </row>
    <row r="3695">
      <c r="A3695" s="37" t="s">
        <v>29942</v>
      </c>
      <c r="B3695" s="37" t="s">
        <v>29733</v>
      </c>
      <c r="C3695" s="7" t="s">
        <v>13006</v>
      </c>
      <c r="D3695" s="37" t="s">
        <v>29945</v>
      </c>
    </row>
    <row r="3696">
      <c r="A3696" s="37" t="s">
        <v>29942</v>
      </c>
      <c r="B3696" s="37" t="s">
        <v>29733</v>
      </c>
      <c r="C3696" s="7" t="s">
        <v>6982</v>
      </c>
      <c r="D3696" s="37" t="s">
        <v>29946</v>
      </c>
    </row>
    <row r="3697">
      <c r="A3697" s="37" t="s">
        <v>29942</v>
      </c>
      <c r="B3697" s="37" t="s">
        <v>29733</v>
      </c>
      <c r="C3697" s="7" t="s">
        <v>8376</v>
      </c>
      <c r="D3697" s="37" t="s">
        <v>29947</v>
      </c>
    </row>
    <row r="3698">
      <c r="A3698" s="37" t="s">
        <v>29942</v>
      </c>
      <c r="B3698" s="37" t="s">
        <v>29733</v>
      </c>
      <c r="C3698" s="7" t="s">
        <v>29948</v>
      </c>
      <c r="D3698" s="37" t="s">
        <v>29949</v>
      </c>
    </row>
    <row r="3699">
      <c r="A3699" s="37" t="s">
        <v>29942</v>
      </c>
      <c r="B3699" s="37" t="s">
        <v>29733</v>
      </c>
      <c r="C3699" s="7" t="s">
        <v>26983</v>
      </c>
      <c r="D3699" s="37" t="s">
        <v>29950</v>
      </c>
    </row>
    <row r="3700">
      <c r="A3700" s="37" t="s">
        <v>29942</v>
      </c>
      <c r="B3700" s="37" t="s">
        <v>29733</v>
      </c>
      <c r="C3700" s="7" t="s">
        <v>26981</v>
      </c>
      <c r="D3700" s="37" t="s">
        <v>29951</v>
      </c>
    </row>
    <row r="3701">
      <c r="A3701" s="37" t="s">
        <v>29942</v>
      </c>
      <c r="B3701" s="37" t="s">
        <v>29733</v>
      </c>
      <c r="C3701" s="7" t="s">
        <v>11831</v>
      </c>
      <c r="D3701" s="37" t="s">
        <v>29952</v>
      </c>
    </row>
    <row r="3702">
      <c r="A3702" s="37" t="s">
        <v>29942</v>
      </c>
      <c r="B3702" s="37" t="s">
        <v>29733</v>
      </c>
      <c r="C3702" s="7" t="s">
        <v>26974</v>
      </c>
      <c r="D3702" s="37" t="s">
        <v>29953</v>
      </c>
    </row>
    <row r="3703">
      <c r="A3703" s="37" t="s">
        <v>29942</v>
      </c>
      <c r="B3703" s="37" t="s">
        <v>29733</v>
      </c>
      <c r="C3703" s="7" t="s">
        <v>26976</v>
      </c>
      <c r="D3703" s="37" t="s">
        <v>29954</v>
      </c>
    </row>
    <row r="3704">
      <c r="A3704" s="37" t="s">
        <v>29942</v>
      </c>
      <c r="B3704" s="37" t="s">
        <v>29733</v>
      </c>
      <c r="C3704" s="7" t="s">
        <v>27079</v>
      </c>
      <c r="D3704" s="37" t="s">
        <v>29955</v>
      </c>
    </row>
    <row r="3705">
      <c r="A3705" s="37" t="s">
        <v>29942</v>
      </c>
      <c r="B3705" s="37" t="s">
        <v>29733</v>
      </c>
      <c r="C3705" s="7" t="s">
        <v>24724</v>
      </c>
      <c r="D3705" s="37" t="s">
        <v>29748</v>
      </c>
    </row>
    <row r="3706">
      <c r="A3706" s="37" t="s">
        <v>29942</v>
      </c>
      <c r="B3706" s="37" t="s">
        <v>29733</v>
      </c>
      <c r="C3706" s="7" t="s">
        <v>26965</v>
      </c>
      <c r="D3706" s="37" t="s">
        <v>29956</v>
      </c>
    </row>
    <row r="3707">
      <c r="A3707" s="37" t="s">
        <v>29942</v>
      </c>
      <c r="B3707" s="37" t="s">
        <v>29733</v>
      </c>
      <c r="C3707" s="7" t="s">
        <v>29957</v>
      </c>
      <c r="D3707" s="37" t="s">
        <v>29958</v>
      </c>
    </row>
    <row r="3708">
      <c r="A3708" s="37" t="s">
        <v>29942</v>
      </c>
      <c r="B3708" s="37" t="s">
        <v>29733</v>
      </c>
      <c r="C3708" s="7" t="s">
        <v>29959</v>
      </c>
      <c r="D3708" s="37" t="s">
        <v>29960</v>
      </c>
    </row>
    <row r="3709">
      <c r="A3709" s="37" t="s">
        <v>29942</v>
      </c>
      <c r="B3709" s="37" t="s">
        <v>29733</v>
      </c>
      <c r="C3709" s="7" t="s">
        <v>29961</v>
      </c>
      <c r="D3709" s="37" t="s">
        <v>29962</v>
      </c>
    </row>
    <row r="3710">
      <c r="A3710" s="37" t="s">
        <v>29942</v>
      </c>
      <c r="B3710" s="37" t="s">
        <v>29733</v>
      </c>
      <c r="C3710" s="7" t="s">
        <v>29963</v>
      </c>
      <c r="D3710" s="37" t="s">
        <v>29964</v>
      </c>
    </row>
    <row r="3711">
      <c r="A3711" s="37" t="s">
        <v>29942</v>
      </c>
      <c r="B3711" s="37" t="s">
        <v>29733</v>
      </c>
      <c r="C3711" s="7" t="s">
        <v>29965</v>
      </c>
      <c r="D3711" s="37" t="s">
        <v>29966</v>
      </c>
    </row>
    <row r="3712">
      <c r="A3712" s="37" t="s">
        <v>29942</v>
      </c>
      <c r="B3712" s="37" t="s">
        <v>29733</v>
      </c>
      <c r="C3712" s="7" t="s">
        <v>29967</v>
      </c>
      <c r="D3712" s="37" t="s">
        <v>29968</v>
      </c>
    </row>
    <row r="3713">
      <c r="A3713" s="37" t="s">
        <v>29942</v>
      </c>
      <c r="B3713" s="37" t="s">
        <v>29733</v>
      </c>
      <c r="C3713" s="7" t="s">
        <v>29969</v>
      </c>
      <c r="D3713" s="37" t="s">
        <v>29970</v>
      </c>
    </row>
    <row r="3714">
      <c r="A3714" s="37" t="s">
        <v>29942</v>
      </c>
      <c r="B3714" s="37" t="s">
        <v>29733</v>
      </c>
      <c r="C3714" s="7" t="s">
        <v>29971</v>
      </c>
      <c r="D3714" s="37" t="s">
        <v>29972</v>
      </c>
    </row>
    <row r="3715">
      <c r="A3715" s="37" t="s">
        <v>29942</v>
      </c>
      <c r="B3715" s="37" t="s">
        <v>29733</v>
      </c>
      <c r="C3715" s="7" t="s">
        <v>29973</v>
      </c>
      <c r="D3715" s="37" t="s">
        <v>29974</v>
      </c>
    </row>
    <row r="3716">
      <c r="A3716" s="37" t="s">
        <v>29942</v>
      </c>
      <c r="B3716" s="37" t="s">
        <v>29733</v>
      </c>
      <c r="C3716" s="7" t="s">
        <v>29975</v>
      </c>
      <c r="D3716" s="37" t="s">
        <v>29976</v>
      </c>
    </row>
    <row r="3717">
      <c r="A3717" s="37" t="s">
        <v>29942</v>
      </c>
      <c r="B3717" s="37" t="s">
        <v>29733</v>
      </c>
      <c r="C3717" s="7" t="s">
        <v>29977</v>
      </c>
      <c r="D3717" s="37" t="s">
        <v>29978</v>
      </c>
    </row>
    <row r="3718">
      <c r="A3718" s="37" t="s">
        <v>1183</v>
      </c>
      <c r="B3718" s="37" t="s">
        <v>1179</v>
      </c>
      <c r="C3718" s="7" t="s">
        <v>28820</v>
      </c>
      <c r="D3718" s="37" t="s">
        <v>29979</v>
      </c>
    </row>
    <row r="3719">
      <c r="A3719" s="37" t="s">
        <v>29727</v>
      </c>
      <c r="B3719" s="37" t="s">
        <v>26245</v>
      </c>
      <c r="C3719" s="7" t="s">
        <v>29980</v>
      </c>
      <c r="D3719" s="37" t="s">
        <v>29981</v>
      </c>
    </row>
    <row r="3720">
      <c r="A3720" s="37" t="s">
        <v>1237</v>
      </c>
      <c r="B3720" s="37" t="s">
        <v>1062</v>
      </c>
      <c r="C3720" s="7" t="s">
        <v>29982</v>
      </c>
      <c r="D3720" s="37" t="s">
        <v>29983</v>
      </c>
    </row>
    <row r="3721">
      <c r="A3721" s="37" t="s">
        <v>802</v>
      </c>
      <c r="B3721" s="37" t="s">
        <v>1062</v>
      </c>
      <c r="C3721" s="37" t="s">
        <v>29984</v>
      </c>
      <c r="D3721" s="37" t="s">
        <v>29985</v>
      </c>
    </row>
    <row r="3722">
      <c r="A3722" s="37" t="s">
        <v>1314</v>
      </c>
      <c r="B3722" s="37" t="s">
        <v>29986</v>
      </c>
      <c r="C3722" s="37" t="s">
        <v>29987</v>
      </c>
      <c r="D3722" s="37" t="s">
        <v>29988</v>
      </c>
    </row>
    <row r="3723">
      <c r="A3723" s="37" t="s">
        <v>484</v>
      </c>
      <c r="B3723" s="37" t="s">
        <v>478</v>
      </c>
      <c r="C3723" s="37" t="s">
        <v>29989</v>
      </c>
      <c r="D3723" s="37" t="s">
        <v>29990</v>
      </c>
    </row>
    <row r="3724">
      <c r="A3724" s="37" t="s">
        <v>29991</v>
      </c>
      <c r="B3724" s="37" t="s">
        <v>29912</v>
      </c>
      <c r="C3724" s="7" t="s">
        <v>29992</v>
      </c>
      <c r="D3724" s="37" t="s">
        <v>29993</v>
      </c>
    </row>
    <row r="3725">
      <c r="A3725" s="37" t="s">
        <v>1174</v>
      </c>
      <c r="B3725" s="37" t="s">
        <v>1096</v>
      </c>
      <c r="C3725" s="7" t="s">
        <v>29994</v>
      </c>
      <c r="D3725" s="37" t="s">
        <v>29995</v>
      </c>
    </row>
    <row r="3726">
      <c r="A3726" s="37" t="s">
        <v>1156</v>
      </c>
      <c r="B3726" s="37" t="s">
        <v>693</v>
      </c>
      <c r="C3726" s="7" t="s">
        <v>29996</v>
      </c>
      <c r="D3726" s="37" t="s">
        <v>29997</v>
      </c>
    </row>
    <row r="3727">
      <c r="A3727" s="37" t="s">
        <v>1156</v>
      </c>
      <c r="B3727" s="37" t="s">
        <v>693</v>
      </c>
      <c r="C3727" s="7" t="s">
        <v>29998</v>
      </c>
      <c r="D3727" s="37" t="s">
        <v>29999</v>
      </c>
    </row>
    <row r="3728">
      <c r="A3728" s="37" t="s">
        <v>48</v>
      </c>
      <c r="B3728" s="37" t="s">
        <v>38</v>
      </c>
      <c r="C3728" s="7" t="s">
        <v>30000</v>
      </c>
      <c r="D3728" s="37" t="s">
        <v>30001</v>
      </c>
    </row>
    <row r="3729">
      <c r="A3729" s="37" t="s">
        <v>30002</v>
      </c>
      <c r="B3729" s="37" t="s">
        <v>24942</v>
      </c>
      <c r="C3729" s="7" t="s">
        <v>30003</v>
      </c>
      <c r="D3729" s="37" t="s">
        <v>30004</v>
      </c>
    </row>
    <row r="3730">
      <c r="A3730" s="37" t="s">
        <v>1363</v>
      </c>
      <c r="B3730" s="37" t="s">
        <v>1096</v>
      </c>
      <c r="C3730" s="37" t="s">
        <v>30005</v>
      </c>
      <c r="D3730" s="37" t="s">
        <v>30006</v>
      </c>
    </row>
    <row r="3731">
      <c r="A3731" s="37" t="s">
        <v>30002</v>
      </c>
      <c r="B3731" s="37" t="s">
        <v>24942</v>
      </c>
      <c r="C3731" s="7" t="s">
        <v>30007</v>
      </c>
      <c r="D3731" s="37" t="s">
        <v>30008</v>
      </c>
    </row>
    <row r="3732">
      <c r="A3732" s="37" t="s">
        <v>1185</v>
      </c>
      <c r="B3732" s="37" t="s">
        <v>30009</v>
      </c>
      <c r="C3732" s="7" t="s">
        <v>30010</v>
      </c>
      <c r="D3732" s="37" t="s">
        <v>30011</v>
      </c>
    </row>
    <row r="3733">
      <c r="A3733" s="37" t="s">
        <v>1278</v>
      </c>
      <c r="B3733" s="37" t="s">
        <v>24942</v>
      </c>
      <c r="C3733" s="7" t="s">
        <v>10874</v>
      </c>
      <c r="D3733" s="37" t="s">
        <v>30012</v>
      </c>
    </row>
    <row r="3734">
      <c r="A3734" s="37" t="s">
        <v>30013</v>
      </c>
      <c r="B3734" s="37" t="s">
        <v>29317</v>
      </c>
      <c r="C3734" s="7" t="s">
        <v>30014</v>
      </c>
      <c r="D3734" s="37" t="s">
        <v>30015</v>
      </c>
    </row>
    <row r="3735">
      <c r="A3735" s="37" t="s">
        <v>29727</v>
      </c>
      <c r="B3735" s="37" t="s">
        <v>1179</v>
      </c>
      <c r="C3735" s="7" t="s">
        <v>28040</v>
      </c>
      <c r="D3735" s="37" t="s">
        <v>30016</v>
      </c>
    </row>
    <row r="3736">
      <c r="A3736" s="37" t="s">
        <v>1237</v>
      </c>
      <c r="B3736" s="37" t="s">
        <v>1062</v>
      </c>
      <c r="C3736" s="7" t="s">
        <v>30017</v>
      </c>
      <c r="D3736" s="37" t="s">
        <v>30018</v>
      </c>
    </row>
    <row r="3737">
      <c r="A3737" s="37" t="s">
        <v>1157</v>
      </c>
      <c r="B3737" s="37" t="s">
        <v>693</v>
      </c>
      <c r="C3737" s="7" t="s">
        <v>30019</v>
      </c>
      <c r="D3737" s="37" t="s">
        <v>30020</v>
      </c>
    </row>
    <row r="3738">
      <c r="A3738" s="37" t="s">
        <v>148</v>
      </c>
      <c r="B3738" s="37" t="s">
        <v>26038</v>
      </c>
      <c r="C3738" s="7" t="s">
        <v>29042</v>
      </c>
      <c r="D3738" s="37" t="s">
        <v>30021</v>
      </c>
    </row>
    <row r="3739">
      <c r="A3739" s="37" t="s">
        <v>148</v>
      </c>
      <c r="B3739" s="37" t="s">
        <v>26038</v>
      </c>
      <c r="C3739" s="7" t="s">
        <v>29708</v>
      </c>
      <c r="D3739" s="37" t="s">
        <v>30022</v>
      </c>
    </row>
    <row r="3740">
      <c r="A3740" s="37" t="s">
        <v>1314</v>
      </c>
      <c r="B3740" s="37" t="s">
        <v>24942</v>
      </c>
      <c r="C3740" s="7" t="s">
        <v>30023</v>
      </c>
      <c r="D3740" s="37" t="s">
        <v>30024</v>
      </c>
    </row>
    <row r="3741">
      <c r="A3741" s="37" t="s">
        <v>1361</v>
      </c>
      <c r="B3741" s="37" t="s">
        <v>1096</v>
      </c>
      <c r="C3741" s="37" t="s">
        <v>30025</v>
      </c>
      <c r="D3741" s="37" t="s">
        <v>30026</v>
      </c>
    </row>
    <row r="3742">
      <c r="A3742" s="37" t="s">
        <v>1360</v>
      </c>
      <c r="B3742" s="37" t="s">
        <v>29317</v>
      </c>
      <c r="C3742" s="7" t="s">
        <v>30027</v>
      </c>
      <c r="D3742" s="37" t="s">
        <v>30028</v>
      </c>
    </row>
    <row r="3743">
      <c r="A3743" s="37" t="s">
        <v>484</v>
      </c>
      <c r="B3743" s="37" t="s">
        <v>478</v>
      </c>
      <c r="C3743" s="37" t="s">
        <v>30029</v>
      </c>
      <c r="D3743" s="37" t="s">
        <v>30030</v>
      </c>
    </row>
    <row r="3744">
      <c r="A3744" s="37" t="s">
        <v>30002</v>
      </c>
      <c r="B3744" s="37" t="s">
        <v>24942</v>
      </c>
      <c r="C3744" s="7" t="s">
        <v>30031</v>
      </c>
      <c r="D3744" s="37" t="s">
        <v>30032</v>
      </c>
    </row>
    <row r="3745">
      <c r="A3745" s="37" t="s">
        <v>148</v>
      </c>
      <c r="B3745" s="37" t="s">
        <v>1096</v>
      </c>
      <c r="C3745" s="7" t="s">
        <v>27715</v>
      </c>
      <c r="D3745" s="37" t="s">
        <v>30033</v>
      </c>
    </row>
    <row r="3746">
      <c r="A3746" s="37" t="s">
        <v>1156</v>
      </c>
      <c r="B3746" s="37" t="s">
        <v>693</v>
      </c>
      <c r="C3746" s="7" t="s">
        <v>30034</v>
      </c>
      <c r="D3746" s="37" t="s">
        <v>30035</v>
      </c>
    </row>
    <row r="3747">
      <c r="A3747" s="37" t="s">
        <v>1156</v>
      </c>
      <c r="B3747" s="37" t="s">
        <v>693</v>
      </c>
      <c r="C3747" s="7" t="s">
        <v>30036</v>
      </c>
      <c r="D3747" s="37" t="s">
        <v>30037</v>
      </c>
    </row>
    <row r="3748">
      <c r="A3748" s="37" t="s">
        <v>188</v>
      </c>
      <c r="B3748" s="37" t="s">
        <v>1179</v>
      </c>
      <c r="C3748" s="7" t="s">
        <v>30038</v>
      </c>
      <c r="D3748" s="37" t="s">
        <v>30039</v>
      </c>
    </row>
    <row r="3749">
      <c r="A3749" s="37" t="s">
        <v>1360</v>
      </c>
      <c r="B3749" s="37" t="s">
        <v>1096</v>
      </c>
      <c r="C3749" s="37" t="s">
        <v>30040</v>
      </c>
      <c r="D3749" s="37" t="s">
        <v>30041</v>
      </c>
    </row>
    <row r="3750">
      <c r="A3750" s="37" t="s">
        <v>148</v>
      </c>
      <c r="B3750" s="37" t="s">
        <v>1096</v>
      </c>
      <c r="C3750" s="7" t="s">
        <v>30042</v>
      </c>
      <c r="D3750" s="37" t="s">
        <v>30043</v>
      </c>
    </row>
    <row r="3751">
      <c r="A3751" s="37" t="s">
        <v>1072</v>
      </c>
      <c r="B3751" s="37" t="s">
        <v>478</v>
      </c>
      <c r="C3751" s="7" t="s">
        <v>30044</v>
      </c>
      <c r="D3751" s="37" t="s">
        <v>30045</v>
      </c>
    </row>
    <row r="3752">
      <c r="A3752" s="37" t="s">
        <v>1183</v>
      </c>
      <c r="B3752" s="37" t="s">
        <v>1179</v>
      </c>
      <c r="C3752" s="37" t="s">
        <v>30046</v>
      </c>
      <c r="D3752" s="37" t="s">
        <v>30047</v>
      </c>
    </row>
    <row r="3753">
      <c r="A3753" s="37" t="s">
        <v>1183</v>
      </c>
      <c r="B3753" s="37" t="s">
        <v>1179</v>
      </c>
      <c r="C3753" s="7" t="s">
        <v>30048</v>
      </c>
      <c r="D3753" s="37" t="s">
        <v>30049</v>
      </c>
    </row>
    <row r="3754">
      <c r="A3754" s="37" t="s">
        <v>51</v>
      </c>
      <c r="B3754" s="37" t="s">
        <v>1085</v>
      </c>
      <c r="C3754" s="7" t="s">
        <v>30050</v>
      </c>
      <c r="D3754" s="37" t="s">
        <v>30051</v>
      </c>
    </row>
    <row r="3755">
      <c r="A3755" s="37" t="s">
        <v>51</v>
      </c>
      <c r="B3755" s="37" t="s">
        <v>1085</v>
      </c>
      <c r="C3755" s="37" t="s">
        <v>30052</v>
      </c>
      <c r="D3755" s="37" t="s">
        <v>30053</v>
      </c>
    </row>
    <row r="3756">
      <c r="A3756" s="37" t="s">
        <v>51</v>
      </c>
      <c r="B3756" s="37" t="s">
        <v>38</v>
      </c>
      <c r="C3756" s="37" t="s">
        <v>30054</v>
      </c>
      <c r="D3756" s="37" t="s">
        <v>30055</v>
      </c>
    </row>
    <row r="3757">
      <c r="A3757" s="37" t="s">
        <v>1495</v>
      </c>
      <c r="B3757" s="37" t="s">
        <v>1495</v>
      </c>
      <c r="C3757" s="7" t="s">
        <v>30056</v>
      </c>
      <c r="D3757" s="37" t="s">
        <v>30057</v>
      </c>
    </row>
    <row r="3758">
      <c r="A3758" s="37" t="s">
        <v>1360</v>
      </c>
      <c r="B3758" s="37" t="s">
        <v>1096</v>
      </c>
      <c r="C3758" s="37" t="s">
        <v>30058</v>
      </c>
      <c r="D3758" s="37" t="s">
        <v>30059</v>
      </c>
    </row>
    <row r="3759">
      <c r="A3759" s="37" t="s">
        <v>28902</v>
      </c>
      <c r="B3759" s="37" t="s">
        <v>1495</v>
      </c>
      <c r="C3759" s="7" t="s">
        <v>30060</v>
      </c>
      <c r="D3759" s="37" t="s">
        <v>30061</v>
      </c>
    </row>
    <row r="3760">
      <c r="A3760" s="37" t="s">
        <v>28902</v>
      </c>
      <c r="B3760" s="37" t="s">
        <v>1495</v>
      </c>
      <c r="C3760" s="37" t="s">
        <v>30062</v>
      </c>
      <c r="D3760" s="37" t="s">
        <v>30063</v>
      </c>
    </row>
    <row r="3761">
      <c r="A3761" s="37" t="s">
        <v>28902</v>
      </c>
      <c r="B3761" s="37" t="s">
        <v>1495</v>
      </c>
      <c r="C3761" s="37" t="s">
        <v>30064</v>
      </c>
      <c r="D3761" s="37" t="s">
        <v>30065</v>
      </c>
    </row>
    <row r="3762">
      <c r="A3762" s="37" t="s">
        <v>1495</v>
      </c>
      <c r="B3762" s="37" t="s">
        <v>1243</v>
      </c>
      <c r="C3762" s="7" t="s">
        <v>30066</v>
      </c>
      <c r="D3762" s="37" t="s">
        <v>30067</v>
      </c>
    </row>
    <row r="3763">
      <c r="A3763" s="37" t="s">
        <v>1314</v>
      </c>
      <c r="B3763" s="37" t="s">
        <v>24942</v>
      </c>
      <c r="C3763" s="37" t="s">
        <v>30068</v>
      </c>
      <c r="D3763" s="37" t="s">
        <v>30069</v>
      </c>
    </row>
    <row r="3764">
      <c r="A3764" s="37" t="s">
        <v>188</v>
      </c>
      <c r="B3764" s="37" t="s">
        <v>1179</v>
      </c>
      <c r="C3764" s="7" t="s">
        <v>30070</v>
      </c>
      <c r="D3764" s="37" t="s">
        <v>30071</v>
      </c>
    </row>
    <row r="3765">
      <c r="A3765" s="37" t="s">
        <v>802</v>
      </c>
      <c r="B3765" s="37" t="s">
        <v>1062</v>
      </c>
      <c r="C3765" s="7" t="s">
        <v>30072</v>
      </c>
      <c r="D3765" s="37" t="s">
        <v>30073</v>
      </c>
    </row>
    <row r="3766">
      <c r="A3766" s="37" t="s">
        <v>30002</v>
      </c>
      <c r="B3766" s="37" t="s">
        <v>24942</v>
      </c>
      <c r="C3766" s="7" t="s">
        <v>30074</v>
      </c>
      <c r="D3766" s="37" t="s">
        <v>30075</v>
      </c>
    </row>
    <row r="3767">
      <c r="A3767" s="37" t="s">
        <v>30002</v>
      </c>
      <c r="B3767" s="37" t="s">
        <v>24942</v>
      </c>
      <c r="C3767" s="7" t="s">
        <v>30076</v>
      </c>
      <c r="D3767" s="37" t="s">
        <v>30077</v>
      </c>
    </row>
    <row r="3768">
      <c r="A3768" s="37" t="s">
        <v>29194</v>
      </c>
      <c r="B3768" s="37" t="s">
        <v>30078</v>
      </c>
      <c r="C3768" s="7" t="s">
        <v>30079</v>
      </c>
      <c r="D3768" s="37" t="s">
        <v>30080</v>
      </c>
    </row>
    <row r="3769">
      <c r="A3769" s="37" t="s">
        <v>1314</v>
      </c>
      <c r="B3769" s="37" t="s">
        <v>24942</v>
      </c>
      <c r="C3769" s="7" t="s">
        <v>30081</v>
      </c>
      <c r="D3769" s="37" t="s">
        <v>30082</v>
      </c>
    </row>
    <row r="3770">
      <c r="A3770" s="37" t="s">
        <v>1072</v>
      </c>
      <c r="B3770" s="37" t="s">
        <v>478</v>
      </c>
      <c r="C3770" s="7" t="s">
        <v>12727</v>
      </c>
      <c r="D3770" s="37" t="s">
        <v>30083</v>
      </c>
    </row>
    <row r="3771">
      <c r="A3771" s="37" t="s">
        <v>1072</v>
      </c>
      <c r="B3771" s="37" t="s">
        <v>478</v>
      </c>
      <c r="C3771" s="7" t="s">
        <v>10640</v>
      </c>
      <c r="D3771" s="37" t="s">
        <v>30084</v>
      </c>
    </row>
    <row r="3772">
      <c r="A3772" s="37" t="s">
        <v>1243</v>
      </c>
      <c r="B3772" s="37" t="s">
        <v>1242</v>
      </c>
      <c r="C3772" s="37" t="s">
        <v>30085</v>
      </c>
      <c r="D3772" s="37" t="s">
        <v>30086</v>
      </c>
    </row>
    <row r="3773">
      <c r="A3773" s="37" t="s">
        <v>26826</v>
      </c>
      <c r="B3773" s="37" t="s">
        <v>26038</v>
      </c>
      <c r="C3773" s="7" t="s">
        <v>30087</v>
      </c>
      <c r="D3773" s="37" t="s">
        <v>30088</v>
      </c>
    </row>
    <row r="3774">
      <c r="A3774" s="37" t="s">
        <v>1174</v>
      </c>
      <c r="B3774" s="37" t="s">
        <v>1096</v>
      </c>
      <c r="C3774" s="7" t="s">
        <v>30089</v>
      </c>
      <c r="D3774" s="37" t="s">
        <v>30090</v>
      </c>
    </row>
    <row r="3775">
      <c r="A3775" s="37" t="s">
        <v>1072</v>
      </c>
      <c r="B3775" s="37" t="s">
        <v>478</v>
      </c>
      <c r="C3775" s="7" t="s">
        <v>27968</v>
      </c>
      <c r="D3775" s="37" t="s">
        <v>30091</v>
      </c>
    </row>
    <row r="3776">
      <c r="A3776" s="37" t="s">
        <v>1314</v>
      </c>
      <c r="B3776" s="37" t="s">
        <v>24942</v>
      </c>
      <c r="C3776" s="7" t="s">
        <v>30092</v>
      </c>
      <c r="D3776" s="37" t="s">
        <v>30093</v>
      </c>
    </row>
    <row r="3777">
      <c r="A3777" s="37" t="s">
        <v>1311</v>
      </c>
      <c r="B3777" s="37" t="s">
        <v>1054</v>
      </c>
      <c r="C3777" s="7" t="s">
        <v>30094</v>
      </c>
      <c r="D3777" s="37" t="s">
        <v>30095</v>
      </c>
    </row>
    <row r="3778">
      <c r="A3778" s="37" t="s">
        <v>1311</v>
      </c>
      <c r="B3778" s="37" t="s">
        <v>1054</v>
      </c>
      <c r="C3778" s="7" t="s">
        <v>30096</v>
      </c>
      <c r="D3778" s="37" t="s">
        <v>30097</v>
      </c>
    </row>
    <row r="3779">
      <c r="A3779" s="37" t="s">
        <v>1311</v>
      </c>
      <c r="B3779" s="37" t="s">
        <v>1054</v>
      </c>
      <c r="C3779" s="7" t="s">
        <v>30098</v>
      </c>
      <c r="D3779" s="37" t="s">
        <v>30099</v>
      </c>
    </row>
    <row r="3780">
      <c r="A3780" s="37" t="s">
        <v>1311</v>
      </c>
      <c r="B3780" s="37" t="s">
        <v>1054</v>
      </c>
      <c r="C3780" s="7" t="s">
        <v>30100</v>
      </c>
      <c r="D3780" s="37" t="s">
        <v>30101</v>
      </c>
    </row>
    <row r="3781">
      <c r="A3781" s="37" t="s">
        <v>1311</v>
      </c>
      <c r="B3781" s="37" t="s">
        <v>1054</v>
      </c>
      <c r="C3781" s="7" t="s">
        <v>30102</v>
      </c>
      <c r="D3781" s="37" t="s">
        <v>30103</v>
      </c>
    </row>
    <row r="3782">
      <c r="A3782" s="37" t="s">
        <v>1311</v>
      </c>
      <c r="B3782" s="37" t="s">
        <v>1054</v>
      </c>
      <c r="C3782" s="7" t="s">
        <v>30104</v>
      </c>
      <c r="D3782" s="37" t="s">
        <v>30105</v>
      </c>
    </row>
    <row r="3783">
      <c r="A3783" s="37" t="s">
        <v>1311</v>
      </c>
      <c r="B3783" s="37" t="s">
        <v>1054</v>
      </c>
      <c r="C3783" s="7" t="s">
        <v>30106</v>
      </c>
      <c r="D3783" s="37" t="s">
        <v>30107</v>
      </c>
    </row>
    <row r="3784">
      <c r="A3784" s="37" t="s">
        <v>1311</v>
      </c>
      <c r="B3784" s="37" t="s">
        <v>1054</v>
      </c>
      <c r="C3784" s="7" t="s">
        <v>30108</v>
      </c>
      <c r="D3784" s="37" t="s">
        <v>30109</v>
      </c>
    </row>
    <row r="3785">
      <c r="A3785" s="37" t="s">
        <v>1311</v>
      </c>
      <c r="B3785" s="37" t="s">
        <v>1054</v>
      </c>
      <c r="C3785" s="7" t="s">
        <v>30110</v>
      </c>
      <c r="D3785" s="37" t="s">
        <v>30111</v>
      </c>
    </row>
    <row r="3786">
      <c r="A3786" s="37" t="s">
        <v>1311</v>
      </c>
      <c r="B3786" s="37" t="s">
        <v>1054</v>
      </c>
      <c r="C3786" s="7" t="s">
        <v>30112</v>
      </c>
      <c r="D3786" s="37" t="s">
        <v>30113</v>
      </c>
    </row>
    <row r="3787">
      <c r="A3787" s="37" t="s">
        <v>1311</v>
      </c>
      <c r="B3787" s="37" t="s">
        <v>1054</v>
      </c>
      <c r="C3787" s="7" t="s">
        <v>30114</v>
      </c>
      <c r="D3787" s="37" t="s">
        <v>30115</v>
      </c>
    </row>
    <row r="3788">
      <c r="A3788" s="37" t="s">
        <v>1311</v>
      </c>
      <c r="B3788" s="37" t="s">
        <v>1054</v>
      </c>
      <c r="C3788" s="7" t="s">
        <v>30116</v>
      </c>
      <c r="D3788" s="37" t="s">
        <v>30117</v>
      </c>
    </row>
    <row r="3789">
      <c r="A3789" s="37" t="s">
        <v>1183</v>
      </c>
      <c r="B3789" s="37" t="s">
        <v>1179</v>
      </c>
      <c r="C3789" s="37" t="s">
        <v>30118</v>
      </c>
      <c r="D3789" s="37" t="s">
        <v>30119</v>
      </c>
    </row>
    <row r="3790">
      <c r="A3790" s="37" t="s">
        <v>1226</v>
      </c>
      <c r="B3790" s="37" t="s">
        <v>1272</v>
      </c>
      <c r="C3790" s="7" t="s">
        <v>30120</v>
      </c>
      <c r="D3790" s="37" t="s">
        <v>30121</v>
      </c>
    </row>
    <row r="3791">
      <c r="A3791" s="37" t="s">
        <v>1226</v>
      </c>
      <c r="B3791" s="37" t="s">
        <v>1272</v>
      </c>
      <c r="C3791" s="7" t="s">
        <v>30122</v>
      </c>
      <c r="D3791" s="37" t="s">
        <v>30123</v>
      </c>
    </row>
    <row r="3792">
      <c r="A3792" s="37" t="s">
        <v>1226</v>
      </c>
      <c r="B3792" s="37" t="s">
        <v>1272</v>
      </c>
      <c r="C3792" s="37" t="s">
        <v>30124</v>
      </c>
      <c r="D3792" s="37" t="s">
        <v>30125</v>
      </c>
    </row>
    <row r="3793">
      <c r="A3793" s="37" t="s">
        <v>1151</v>
      </c>
      <c r="B3793" s="37" t="s">
        <v>1179</v>
      </c>
      <c r="C3793" s="7" t="s">
        <v>30126</v>
      </c>
      <c r="D3793" s="37" t="s">
        <v>30127</v>
      </c>
    </row>
    <row r="3794">
      <c r="A3794" s="37" t="s">
        <v>802</v>
      </c>
      <c r="B3794" s="37" t="s">
        <v>29912</v>
      </c>
      <c r="C3794" s="7" t="s">
        <v>12361</v>
      </c>
      <c r="D3794" s="37" t="s">
        <v>30128</v>
      </c>
    </row>
    <row r="3795">
      <c r="A3795" s="37" t="s">
        <v>1314</v>
      </c>
      <c r="B3795" s="37" t="s">
        <v>29986</v>
      </c>
      <c r="C3795" s="7" t="s">
        <v>30129</v>
      </c>
      <c r="D3795" s="37" t="s">
        <v>30130</v>
      </c>
    </row>
    <row r="3796">
      <c r="A3796" s="37" t="s">
        <v>1314</v>
      </c>
      <c r="B3796" s="37" t="s">
        <v>24942</v>
      </c>
      <c r="C3796" s="7" t="s">
        <v>30131</v>
      </c>
      <c r="D3796" s="37" t="s">
        <v>30132</v>
      </c>
    </row>
    <row r="3797">
      <c r="A3797" s="37" t="s">
        <v>1154</v>
      </c>
      <c r="B3797" s="37" t="s">
        <v>1149</v>
      </c>
      <c r="C3797" s="7" t="s">
        <v>30133</v>
      </c>
      <c r="D3797" s="37" t="s">
        <v>30134</v>
      </c>
    </row>
    <row r="3798">
      <c r="A3798" s="37" t="s">
        <v>1154</v>
      </c>
      <c r="B3798" s="37" t="s">
        <v>1149</v>
      </c>
      <c r="C3798" s="7" t="s">
        <v>30135</v>
      </c>
      <c r="D3798" s="37" t="s">
        <v>30136</v>
      </c>
    </row>
    <row r="3799">
      <c r="A3799" s="37" t="s">
        <v>1154</v>
      </c>
      <c r="B3799" s="37" t="s">
        <v>1149</v>
      </c>
      <c r="C3799" s="7" t="s">
        <v>30137</v>
      </c>
      <c r="D3799" s="37" t="s">
        <v>30138</v>
      </c>
    </row>
    <row r="3800">
      <c r="A3800" s="37" t="s">
        <v>1154</v>
      </c>
      <c r="B3800" s="37" t="s">
        <v>1149</v>
      </c>
      <c r="C3800" s="7" t="s">
        <v>30139</v>
      </c>
      <c r="D3800" s="37" t="s">
        <v>30140</v>
      </c>
    </row>
    <row r="3801">
      <c r="A3801" s="37" t="s">
        <v>1232</v>
      </c>
      <c r="B3801" s="37" t="s">
        <v>1078</v>
      </c>
      <c r="C3801" s="37" t="s">
        <v>30141</v>
      </c>
      <c r="D3801" s="37" t="s">
        <v>30142</v>
      </c>
    </row>
    <row r="3802">
      <c r="A3802" s="37" t="s">
        <v>29835</v>
      </c>
      <c r="B3802" s="37" t="s">
        <v>29835</v>
      </c>
      <c r="C3802" s="7" t="s">
        <v>30143</v>
      </c>
      <c r="D3802" s="37" t="s">
        <v>30144</v>
      </c>
    </row>
    <row r="3803">
      <c r="A3803" s="37" t="s">
        <v>1156</v>
      </c>
      <c r="B3803" s="37" t="s">
        <v>693</v>
      </c>
      <c r="C3803" s="37" t="s">
        <v>30145</v>
      </c>
      <c r="D3803" s="37" t="s">
        <v>30146</v>
      </c>
    </row>
    <row r="3804">
      <c r="A3804" s="37" t="s">
        <v>1209</v>
      </c>
      <c r="B3804" s="37" t="s">
        <v>1078</v>
      </c>
      <c r="C3804" s="37" t="s">
        <v>30147</v>
      </c>
      <c r="D3804" s="37" t="s">
        <v>30148</v>
      </c>
    </row>
    <row r="3805">
      <c r="A3805" s="37" t="s">
        <v>1357</v>
      </c>
      <c r="B3805" s="37" t="s">
        <v>1096</v>
      </c>
      <c r="C3805" s="7" t="s">
        <v>30149</v>
      </c>
      <c r="D3805" s="37" t="s">
        <v>30150</v>
      </c>
    </row>
    <row r="3806">
      <c r="A3806" s="37" t="s">
        <v>27036</v>
      </c>
      <c r="B3806" s="37" t="s">
        <v>26038</v>
      </c>
      <c r="C3806" s="7" t="s">
        <v>30151</v>
      </c>
      <c r="D3806" s="37" t="s">
        <v>30152</v>
      </c>
    </row>
    <row r="3807">
      <c r="A3807" s="37" t="s">
        <v>27036</v>
      </c>
      <c r="B3807" s="37" t="s">
        <v>26038</v>
      </c>
      <c r="C3807" s="7" t="s">
        <v>30153</v>
      </c>
      <c r="D3807" s="37" t="s">
        <v>30154</v>
      </c>
    </row>
    <row r="3808">
      <c r="A3808" s="37" t="s">
        <v>27036</v>
      </c>
      <c r="B3808" s="37" t="s">
        <v>26038</v>
      </c>
      <c r="C3808" s="7" t="s">
        <v>30155</v>
      </c>
      <c r="D3808" s="37" t="s">
        <v>30156</v>
      </c>
    </row>
    <row r="3809">
      <c r="A3809" s="37" t="s">
        <v>27036</v>
      </c>
      <c r="B3809" s="37" t="s">
        <v>26038</v>
      </c>
      <c r="C3809" s="7" t="s">
        <v>30157</v>
      </c>
      <c r="D3809" s="37" t="s">
        <v>30158</v>
      </c>
    </row>
    <row r="3810">
      <c r="A3810" s="37" t="s">
        <v>27036</v>
      </c>
      <c r="B3810" s="37" t="s">
        <v>29317</v>
      </c>
      <c r="C3810" s="7" t="s">
        <v>30159</v>
      </c>
      <c r="D3810" s="37" t="s">
        <v>30160</v>
      </c>
    </row>
    <row r="3811">
      <c r="A3811" s="37" t="s">
        <v>51</v>
      </c>
      <c r="B3811" s="37" t="s">
        <v>38</v>
      </c>
      <c r="C3811" s="37" t="s">
        <v>30161</v>
      </c>
      <c r="D3811" s="37" t="s">
        <v>30162</v>
      </c>
    </row>
    <row r="3812">
      <c r="A3812" s="37" t="s">
        <v>1495</v>
      </c>
      <c r="B3812" s="37" t="s">
        <v>391</v>
      </c>
      <c r="C3812" s="7" t="s">
        <v>30163</v>
      </c>
      <c r="D3812" s="37" t="s">
        <v>30164</v>
      </c>
    </row>
    <row r="3813">
      <c r="A3813" s="37" t="s">
        <v>486</v>
      </c>
      <c r="B3813" s="37" t="s">
        <v>1293</v>
      </c>
      <c r="C3813" s="7" t="s">
        <v>30165</v>
      </c>
      <c r="D3813" s="37" t="s">
        <v>30166</v>
      </c>
    </row>
    <row r="3814">
      <c r="A3814" s="37" t="s">
        <v>30002</v>
      </c>
      <c r="B3814" s="37" t="s">
        <v>24942</v>
      </c>
      <c r="C3814" s="7" t="s">
        <v>26331</v>
      </c>
      <c r="D3814" s="37" t="s">
        <v>30167</v>
      </c>
    </row>
    <row r="3815">
      <c r="A3815" s="37" t="s">
        <v>30168</v>
      </c>
      <c r="B3815" s="37" t="s">
        <v>29922</v>
      </c>
      <c r="C3815" s="37" t="s">
        <v>30169</v>
      </c>
      <c r="D3815" s="37" t="s">
        <v>30170</v>
      </c>
    </row>
    <row r="3816">
      <c r="A3816" s="37" t="s">
        <v>1361</v>
      </c>
      <c r="B3816" s="37" t="s">
        <v>1096</v>
      </c>
      <c r="C3816" s="7" t="s">
        <v>30171</v>
      </c>
      <c r="D3816" s="37" t="s">
        <v>30172</v>
      </c>
    </row>
    <row r="3817">
      <c r="A3817" s="37" t="s">
        <v>1198</v>
      </c>
      <c r="B3817" s="37" t="s">
        <v>1198</v>
      </c>
      <c r="C3817" s="37" t="s">
        <v>30173</v>
      </c>
      <c r="D3817" s="37" t="s">
        <v>30174</v>
      </c>
    </row>
    <row r="3818">
      <c r="A3818" s="37" t="s">
        <v>1278</v>
      </c>
      <c r="B3818" s="37" t="s">
        <v>1054</v>
      </c>
      <c r="C3818" s="37" t="s">
        <v>30175</v>
      </c>
      <c r="D3818" s="37" t="s">
        <v>30176</v>
      </c>
    </row>
    <row r="3819">
      <c r="A3819" s="37" t="s">
        <v>1311</v>
      </c>
      <c r="B3819" s="37" t="s">
        <v>1054</v>
      </c>
      <c r="C3819" s="37" t="s">
        <v>30177</v>
      </c>
      <c r="D3819" s="37" t="s">
        <v>30178</v>
      </c>
    </row>
    <row r="3820">
      <c r="A3820" s="37" t="s">
        <v>148</v>
      </c>
      <c r="B3820" s="37" t="s">
        <v>26038</v>
      </c>
      <c r="C3820" s="7" t="s">
        <v>30179</v>
      </c>
      <c r="D3820" s="37" t="s">
        <v>30180</v>
      </c>
    </row>
    <row r="3821">
      <c r="A3821" s="37" t="s">
        <v>104</v>
      </c>
      <c r="B3821" s="37" t="s">
        <v>613</v>
      </c>
      <c r="C3821" s="7" t="s">
        <v>30181</v>
      </c>
      <c r="D3821" s="37" t="s">
        <v>30182</v>
      </c>
    </row>
    <row r="3822">
      <c r="A3822" s="37" t="s">
        <v>1226</v>
      </c>
      <c r="B3822" s="37" t="s">
        <v>1272</v>
      </c>
      <c r="C3822" s="7" t="s">
        <v>30183</v>
      </c>
      <c r="D3822" s="37" t="s">
        <v>30184</v>
      </c>
    </row>
    <row r="3823">
      <c r="A3823" s="37" t="s">
        <v>1072</v>
      </c>
      <c r="B3823" s="37" t="s">
        <v>478</v>
      </c>
      <c r="C3823" s="7" t="s">
        <v>24200</v>
      </c>
      <c r="D3823" s="37" t="s">
        <v>30185</v>
      </c>
    </row>
    <row r="3824">
      <c r="A3824" s="37" t="s">
        <v>1245</v>
      </c>
      <c r="B3824" s="37" t="s">
        <v>1242</v>
      </c>
      <c r="C3824" s="7" t="s">
        <v>30186</v>
      </c>
      <c r="D3824" s="37" t="s">
        <v>30187</v>
      </c>
    </row>
    <row r="3825">
      <c r="A3825" s="37" t="s">
        <v>1311</v>
      </c>
      <c r="B3825" s="37" t="s">
        <v>1054</v>
      </c>
      <c r="C3825" s="37" t="s">
        <v>30188</v>
      </c>
      <c r="D3825" s="37" t="s">
        <v>30189</v>
      </c>
    </row>
    <row r="3826">
      <c r="A3826" s="37" t="s">
        <v>1311</v>
      </c>
      <c r="B3826" s="37" t="s">
        <v>1054</v>
      </c>
      <c r="C3826" s="37" t="s">
        <v>30190</v>
      </c>
      <c r="D3826" s="37" t="s">
        <v>30191</v>
      </c>
    </row>
    <row r="3827">
      <c r="A3827" s="37" t="s">
        <v>1311</v>
      </c>
      <c r="B3827" s="37" t="s">
        <v>1054</v>
      </c>
      <c r="C3827" s="37" t="s">
        <v>30192</v>
      </c>
      <c r="D3827" s="37" t="s">
        <v>30193</v>
      </c>
    </row>
    <row r="3828">
      <c r="A3828" s="37" t="s">
        <v>1311</v>
      </c>
      <c r="B3828" s="37" t="s">
        <v>1054</v>
      </c>
      <c r="C3828" s="37" t="s">
        <v>30194</v>
      </c>
      <c r="D3828" s="37" t="s">
        <v>30195</v>
      </c>
    </row>
    <row r="3829">
      <c r="A3829" s="37" t="s">
        <v>1311</v>
      </c>
      <c r="B3829" s="37" t="s">
        <v>1054</v>
      </c>
      <c r="C3829" s="37" t="s">
        <v>30196</v>
      </c>
      <c r="D3829" s="37" t="s">
        <v>30197</v>
      </c>
    </row>
    <row r="3830">
      <c r="A3830" s="37" t="s">
        <v>1311</v>
      </c>
      <c r="B3830" s="37" t="s">
        <v>1054</v>
      </c>
      <c r="C3830" s="37" t="s">
        <v>30198</v>
      </c>
      <c r="D3830" s="37" t="s">
        <v>30199</v>
      </c>
    </row>
    <row r="3831">
      <c r="A3831" s="37" t="s">
        <v>1161</v>
      </c>
      <c r="B3831" s="37" t="s">
        <v>693</v>
      </c>
      <c r="C3831" s="37" t="s">
        <v>30200</v>
      </c>
      <c r="D3831" s="37" t="s">
        <v>30201</v>
      </c>
    </row>
    <row r="3832">
      <c r="A3832" s="37" t="s">
        <v>1495</v>
      </c>
      <c r="B3832" s="37" t="s">
        <v>1149</v>
      </c>
      <c r="C3832" s="7" t="s">
        <v>30202</v>
      </c>
      <c r="D3832" s="37" t="s">
        <v>30203</v>
      </c>
    </row>
    <row r="3833">
      <c r="A3833" s="37" t="s">
        <v>1311</v>
      </c>
      <c r="B3833" s="37" t="s">
        <v>1054</v>
      </c>
      <c r="C3833" s="37" t="s">
        <v>30204</v>
      </c>
      <c r="D3833" s="37" t="s">
        <v>30205</v>
      </c>
    </row>
    <row r="3834">
      <c r="A3834" s="37" t="s">
        <v>1311</v>
      </c>
      <c r="B3834" s="37" t="s">
        <v>1054</v>
      </c>
      <c r="C3834" s="37" t="s">
        <v>30206</v>
      </c>
      <c r="D3834" s="37" t="s">
        <v>30207</v>
      </c>
    </row>
    <row r="3835">
      <c r="A3835" s="37" t="s">
        <v>1311</v>
      </c>
      <c r="B3835" s="37" t="s">
        <v>1054</v>
      </c>
      <c r="C3835" s="37" t="s">
        <v>30208</v>
      </c>
      <c r="D3835" s="37" t="s">
        <v>30209</v>
      </c>
    </row>
    <row r="3836">
      <c r="A3836" s="37" t="s">
        <v>1311</v>
      </c>
      <c r="B3836" s="37" t="s">
        <v>1054</v>
      </c>
      <c r="C3836" s="37" t="s">
        <v>30210</v>
      </c>
      <c r="D3836" s="37" t="s">
        <v>30211</v>
      </c>
    </row>
    <row r="3837">
      <c r="A3837" s="37" t="s">
        <v>1311</v>
      </c>
      <c r="B3837" s="37" t="s">
        <v>1054</v>
      </c>
      <c r="C3837" s="7" t="s">
        <v>30212</v>
      </c>
      <c r="D3837" s="37" t="s">
        <v>30213</v>
      </c>
    </row>
    <row r="3838">
      <c r="A3838" s="37" t="s">
        <v>1311</v>
      </c>
      <c r="B3838" s="37" t="s">
        <v>1054</v>
      </c>
      <c r="C3838" s="7" t="s">
        <v>30214</v>
      </c>
      <c r="D3838" s="37" t="s">
        <v>30215</v>
      </c>
    </row>
    <row r="3839">
      <c r="A3839" s="37" t="s">
        <v>1311</v>
      </c>
      <c r="B3839" s="37" t="s">
        <v>1054</v>
      </c>
      <c r="C3839" s="7" t="s">
        <v>30216</v>
      </c>
      <c r="D3839" s="37" t="s">
        <v>30217</v>
      </c>
    </row>
    <row r="3840">
      <c r="A3840" s="37" t="s">
        <v>1311</v>
      </c>
      <c r="B3840" s="37" t="s">
        <v>1054</v>
      </c>
      <c r="C3840" s="7" t="s">
        <v>30218</v>
      </c>
      <c r="D3840" s="37" t="s">
        <v>30219</v>
      </c>
    </row>
    <row r="3841">
      <c r="A3841" s="37" t="s">
        <v>1311</v>
      </c>
      <c r="B3841" s="37" t="s">
        <v>1054</v>
      </c>
      <c r="C3841" s="37" t="s">
        <v>30220</v>
      </c>
      <c r="D3841" s="37" t="s">
        <v>30221</v>
      </c>
    </row>
    <row r="3842">
      <c r="A3842" s="37" t="s">
        <v>1311</v>
      </c>
      <c r="B3842" s="37" t="s">
        <v>1054</v>
      </c>
      <c r="C3842" s="37" t="s">
        <v>30222</v>
      </c>
      <c r="D3842" s="37" t="s">
        <v>30223</v>
      </c>
    </row>
    <row r="3843">
      <c r="A3843" s="37" t="s">
        <v>1311</v>
      </c>
      <c r="B3843" s="37" t="s">
        <v>1054</v>
      </c>
      <c r="C3843" s="37" t="s">
        <v>30224</v>
      </c>
      <c r="D3843" s="37" t="s">
        <v>30225</v>
      </c>
    </row>
    <row r="3844">
      <c r="A3844" s="37" t="s">
        <v>1174</v>
      </c>
      <c r="B3844" s="37" t="s">
        <v>1096</v>
      </c>
      <c r="C3844" s="7" t="s">
        <v>30226</v>
      </c>
      <c r="D3844" s="37" t="s">
        <v>30227</v>
      </c>
    </row>
    <row r="3845">
      <c r="A3845" s="37" t="s">
        <v>443</v>
      </c>
      <c r="B3845" s="37" t="s">
        <v>1078</v>
      </c>
      <c r="C3845" s="7" t="s">
        <v>30228</v>
      </c>
      <c r="D3845" s="37" t="s">
        <v>30229</v>
      </c>
    </row>
    <row r="3846">
      <c r="A3846" s="37" t="s">
        <v>1495</v>
      </c>
      <c r="B3846" s="37" t="s">
        <v>1495</v>
      </c>
      <c r="C3846" s="7" t="s">
        <v>30230</v>
      </c>
      <c r="D3846" s="37" t="s">
        <v>30231</v>
      </c>
    </row>
    <row r="3847">
      <c r="A3847" s="37" t="s">
        <v>148</v>
      </c>
      <c r="B3847" s="37" t="s">
        <v>26038</v>
      </c>
      <c r="C3847" s="7" t="s">
        <v>9937</v>
      </c>
      <c r="D3847" s="37" t="s">
        <v>30232</v>
      </c>
    </row>
    <row r="3848">
      <c r="A3848" s="37" t="s">
        <v>1314</v>
      </c>
      <c r="B3848" s="37" t="s">
        <v>24942</v>
      </c>
      <c r="C3848" s="7" t="s">
        <v>26291</v>
      </c>
      <c r="D3848" s="37" t="s">
        <v>30233</v>
      </c>
    </row>
    <row r="3849">
      <c r="A3849" s="37" t="s">
        <v>1314</v>
      </c>
      <c r="B3849" s="37" t="s">
        <v>24942</v>
      </c>
      <c r="C3849" s="7" t="s">
        <v>30234</v>
      </c>
      <c r="D3849" s="37" t="s">
        <v>30235</v>
      </c>
    </row>
    <row r="3850">
      <c r="A3850" s="37" t="s">
        <v>1314</v>
      </c>
      <c r="B3850" s="37" t="s">
        <v>24942</v>
      </c>
      <c r="C3850" s="7" t="s">
        <v>30236</v>
      </c>
      <c r="D3850" s="37" t="s">
        <v>30237</v>
      </c>
    </row>
    <row r="3851">
      <c r="A3851" s="37" t="s">
        <v>1314</v>
      </c>
      <c r="B3851" s="37" t="s">
        <v>24942</v>
      </c>
      <c r="C3851" s="7" t="s">
        <v>30238</v>
      </c>
      <c r="D3851" s="37" t="s">
        <v>30239</v>
      </c>
    </row>
    <row r="3852">
      <c r="A3852" s="37" t="s">
        <v>1314</v>
      </c>
      <c r="B3852" s="37" t="s">
        <v>24942</v>
      </c>
      <c r="C3852" s="7" t="s">
        <v>30240</v>
      </c>
      <c r="D3852" s="37" t="s">
        <v>30241</v>
      </c>
    </row>
    <row r="3853">
      <c r="A3853" s="37" t="s">
        <v>148</v>
      </c>
      <c r="B3853" s="37" t="s">
        <v>1096</v>
      </c>
      <c r="C3853" s="7" t="s">
        <v>30242</v>
      </c>
      <c r="D3853" s="37" t="s">
        <v>30243</v>
      </c>
    </row>
    <row r="3854">
      <c r="A3854" s="37" t="s">
        <v>29194</v>
      </c>
      <c r="B3854" s="37" t="s">
        <v>30078</v>
      </c>
      <c r="C3854" s="7" t="s">
        <v>30244</v>
      </c>
      <c r="D3854" s="37" t="s">
        <v>30245</v>
      </c>
    </row>
    <row r="3855">
      <c r="A3855" s="37" t="s">
        <v>1311</v>
      </c>
      <c r="B3855" s="37" t="s">
        <v>1054</v>
      </c>
      <c r="C3855" s="7" t="s">
        <v>30246</v>
      </c>
      <c r="D3855" s="37" t="s">
        <v>30247</v>
      </c>
    </row>
    <row r="3856">
      <c r="A3856" s="37" t="s">
        <v>1161</v>
      </c>
      <c r="B3856" s="37" t="s">
        <v>693</v>
      </c>
      <c r="C3856" s="37" t="s">
        <v>30248</v>
      </c>
      <c r="D3856" s="37" t="s">
        <v>30249</v>
      </c>
    </row>
    <row r="3857">
      <c r="A3857" s="37" t="s">
        <v>1156</v>
      </c>
      <c r="B3857" s="37" t="s">
        <v>693</v>
      </c>
      <c r="C3857" s="37" t="s">
        <v>30250</v>
      </c>
      <c r="D3857" s="37" t="s">
        <v>30251</v>
      </c>
    </row>
    <row r="3858">
      <c r="A3858" s="37" t="s">
        <v>1314</v>
      </c>
      <c r="B3858" s="37" t="s">
        <v>24942</v>
      </c>
      <c r="C3858" s="7" t="s">
        <v>30252</v>
      </c>
      <c r="D3858" s="37" t="s">
        <v>30253</v>
      </c>
    </row>
    <row r="3859">
      <c r="A3859" s="37" t="s">
        <v>30254</v>
      </c>
      <c r="B3859" s="37" t="s">
        <v>29317</v>
      </c>
      <c r="C3859" s="37" t="s">
        <v>30255</v>
      </c>
      <c r="D3859" s="37" t="s">
        <v>30256</v>
      </c>
    </row>
    <row r="3860">
      <c r="A3860" s="37" t="s">
        <v>27036</v>
      </c>
      <c r="B3860" s="37" t="s">
        <v>26038</v>
      </c>
      <c r="C3860" s="7" t="s">
        <v>30257</v>
      </c>
      <c r="D3860" s="37" t="s">
        <v>30258</v>
      </c>
    </row>
    <row r="3861">
      <c r="A3861" s="37" t="s">
        <v>1361</v>
      </c>
      <c r="B3861" s="37" t="s">
        <v>1096</v>
      </c>
      <c r="C3861" s="37" t="s">
        <v>30259</v>
      </c>
      <c r="D3861" s="37" t="s">
        <v>30260</v>
      </c>
    </row>
    <row r="3862">
      <c r="A3862" s="37" t="s">
        <v>1191</v>
      </c>
      <c r="B3862" s="37" t="s">
        <v>1179</v>
      </c>
      <c r="C3862" s="7" t="s">
        <v>25465</v>
      </c>
      <c r="D3862" s="37" t="s">
        <v>30261</v>
      </c>
    </row>
    <row r="3863">
      <c r="A3863" s="37" t="s">
        <v>30262</v>
      </c>
      <c r="B3863" s="37" t="s">
        <v>1096</v>
      </c>
      <c r="C3863" s="37" t="s">
        <v>30263</v>
      </c>
      <c r="D3863" s="37" t="s">
        <v>30264</v>
      </c>
    </row>
    <row r="3864">
      <c r="A3864" s="37" t="s">
        <v>26826</v>
      </c>
      <c r="B3864" s="37" t="s">
        <v>26038</v>
      </c>
      <c r="C3864" s="7" t="s">
        <v>30265</v>
      </c>
      <c r="D3864" s="37" t="s">
        <v>30266</v>
      </c>
    </row>
    <row r="3865">
      <c r="A3865" s="37" t="s">
        <v>307</v>
      </c>
      <c r="B3865" s="37" t="s">
        <v>29912</v>
      </c>
      <c r="C3865" s="7" t="s">
        <v>30267</v>
      </c>
      <c r="D3865" s="37" t="s">
        <v>30268</v>
      </c>
    </row>
    <row r="3866">
      <c r="A3866" s="37" t="s">
        <v>307</v>
      </c>
      <c r="B3866" s="37" t="s">
        <v>29912</v>
      </c>
      <c r="C3866" s="7" t="s">
        <v>30269</v>
      </c>
      <c r="D3866" s="37" t="s">
        <v>30270</v>
      </c>
    </row>
    <row r="3867">
      <c r="A3867" s="37" t="s">
        <v>307</v>
      </c>
      <c r="B3867" s="37" t="s">
        <v>29912</v>
      </c>
      <c r="C3867" s="37" t="s">
        <v>30271</v>
      </c>
      <c r="D3867" s="37" t="s">
        <v>30272</v>
      </c>
    </row>
    <row r="3868">
      <c r="A3868" s="37" t="s">
        <v>307</v>
      </c>
      <c r="B3868" s="37" t="s">
        <v>29912</v>
      </c>
      <c r="C3868" s="7" t="s">
        <v>30273</v>
      </c>
      <c r="D3868" s="37" t="s">
        <v>30274</v>
      </c>
    </row>
    <row r="3869">
      <c r="A3869" s="37" t="s">
        <v>307</v>
      </c>
      <c r="B3869" s="37" t="s">
        <v>29912</v>
      </c>
      <c r="C3869" s="7" t="s">
        <v>30275</v>
      </c>
      <c r="D3869" s="37" t="s">
        <v>30276</v>
      </c>
    </row>
    <row r="3870">
      <c r="A3870" s="37" t="s">
        <v>307</v>
      </c>
      <c r="B3870" s="37" t="s">
        <v>29912</v>
      </c>
      <c r="C3870" s="7" t="s">
        <v>30277</v>
      </c>
      <c r="D3870" s="37" t="s">
        <v>30278</v>
      </c>
    </row>
    <row r="3871">
      <c r="A3871" s="37" t="s">
        <v>307</v>
      </c>
      <c r="B3871" s="37" t="s">
        <v>29912</v>
      </c>
      <c r="C3871" s="7" t="s">
        <v>30279</v>
      </c>
      <c r="D3871" s="37" t="s">
        <v>30280</v>
      </c>
    </row>
    <row r="3872">
      <c r="A3872" s="37" t="s">
        <v>1278</v>
      </c>
      <c r="B3872" s="37" t="s">
        <v>24942</v>
      </c>
      <c r="C3872" s="37" t="s">
        <v>30281</v>
      </c>
      <c r="D3872" s="37" t="s">
        <v>30282</v>
      </c>
    </row>
    <row r="3873">
      <c r="A3873" s="37" t="s">
        <v>188</v>
      </c>
      <c r="B3873" s="37" t="s">
        <v>1179</v>
      </c>
      <c r="C3873" s="7" t="s">
        <v>30283</v>
      </c>
      <c r="D3873" s="37" t="s">
        <v>30284</v>
      </c>
    </row>
    <row r="3874">
      <c r="A3874" s="37" t="s">
        <v>1363</v>
      </c>
      <c r="B3874" s="37" t="s">
        <v>26038</v>
      </c>
      <c r="C3874" s="7" t="s">
        <v>30285</v>
      </c>
      <c r="D3874" s="37" t="s">
        <v>30286</v>
      </c>
    </row>
    <row r="3875">
      <c r="A3875" s="37" t="s">
        <v>1243</v>
      </c>
      <c r="B3875" s="37" t="s">
        <v>1495</v>
      </c>
      <c r="C3875" s="37" t="s">
        <v>30287</v>
      </c>
      <c r="D3875" s="37" t="s">
        <v>30288</v>
      </c>
    </row>
    <row r="3876">
      <c r="A3876" s="37" t="s">
        <v>1314</v>
      </c>
      <c r="B3876" s="37" t="s">
        <v>24942</v>
      </c>
      <c r="C3876" s="7" t="s">
        <v>30289</v>
      </c>
      <c r="D3876" s="37" t="s">
        <v>30290</v>
      </c>
    </row>
    <row r="3877">
      <c r="A3877" s="37" t="s">
        <v>4</v>
      </c>
      <c r="B3877" s="37" t="s">
        <v>1293</v>
      </c>
      <c r="C3877" s="7" t="s">
        <v>30291</v>
      </c>
      <c r="D3877" s="37" t="s">
        <v>30292</v>
      </c>
    </row>
    <row r="3878">
      <c r="A3878" s="37" t="s">
        <v>1223</v>
      </c>
      <c r="B3878" s="37" t="s">
        <v>854</v>
      </c>
      <c r="C3878" s="7" t="s">
        <v>30293</v>
      </c>
      <c r="D3878" s="37" t="s">
        <v>30294</v>
      </c>
    </row>
    <row r="3879">
      <c r="A3879" s="37" t="s">
        <v>1137</v>
      </c>
      <c r="B3879" s="37" t="s">
        <v>1096</v>
      </c>
      <c r="C3879" s="7" t="s">
        <v>30295</v>
      </c>
      <c r="D3879" s="37" t="s">
        <v>30296</v>
      </c>
    </row>
    <row r="3880">
      <c r="A3880" s="37" t="s">
        <v>1314</v>
      </c>
      <c r="B3880" s="37" t="s">
        <v>24942</v>
      </c>
      <c r="C3880" s="7" t="s">
        <v>27914</v>
      </c>
      <c r="D3880" s="37" t="s">
        <v>30297</v>
      </c>
    </row>
    <row r="3881">
      <c r="A3881" s="37" t="s">
        <v>443</v>
      </c>
      <c r="B3881" s="37" t="s">
        <v>1078</v>
      </c>
      <c r="C3881" s="7" t="s">
        <v>30298</v>
      </c>
      <c r="D3881" s="37" t="s">
        <v>30299</v>
      </c>
    </row>
    <row r="3882">
      <c r="A3882" s="37" t="s">
        <v>1311</v>
      </c>
      <c r="B3882" s="37" t="s">
        <v>1054</v>
      </c>
      <c r="C3882" s="7" t="s">
        <v>30300</v>
      </c>
      <c r="D3882" s="37" t="s">
        <v>30301</v>
      </c>
    </row>
    <row r="3883">
      <c r="A3883" s="37" t="s">
        <v>802</v>
      </c>
      <c r="B3883" s="37" t="s">
        <v>1062</v>
      </c>
      <c r="C3883" s="7" t="s">
        <v>30302</v>
      </c>
      <c r="D3883" s="37" t="s">
        <v>30303</v>
      </c>
    </row>
    <row r="3884">
      <c r="A3884" s="37" t="s">
        <v>1495</v>
      </c>
      <c r="B3884" s="37" t="s">
        <v>1179</v>
      </c>
      <c r="C3884" s="7" t="s">
        <v>30304</v>
      </c>
      <c r="D3884" s="37" t="s">
        <v>30305</v>
      </c>
    </row>
    <row r="3885">
      <c r="A3885" s="37" t="s">
        <v>484</v>
      </c>
      <c r="B3885" s="37" t="s">
        <v>478</v>
      </c>
      <c r="C3885" s="7" t="s">
        <v>30306</v>
      </c>
      <c r="D3885" s="37" t="s">
        <v>30307</v>
      </c>
    </row>
    <row r="3886">
      <c r="A3886" s="37" t="s">
        <v>1314</v>
      </c>
      <c r="B3886" s="37" t="s">
        <v>24942</v>
      </c>
      <c r="C3886" s="7" t="s">
        <v>7604</v>
      </c>
      <c r="D3886" s="37" t="s">
        <v>30308</v>
      </c>
    </row>
    <row r="3887">
      <c r="A3887" s="37" t="s">
        <v>1314</v>
      </c>
      <c r="B3887" s="37" t="s">
        <v>24942</v>
      </c>
      <c r="C3887" s="7" t="s">
        <v>29095</v>
      </c>
      <c r="D3887" s="37" t="s">
        <v>30309</v>
      </c>
    </row>
    <row r="3888">
      <c r="A3888" s="37" t="s">
        <v>29942</v>
      </c>
      <c r="B3888" s="37" t="s">
        <v>1495</v>
      </c>
      <c r="C3888" s="7" t="s">
        <v>30310</v>
      </c>
      <c r="D3888" s="37" t="s">
        <v>30311</v>
      </c>
    </row>
    <row r="3889">
      <c r="A3889" s="37" t="s">
        <v>1311</v>
      </c>
      <c r="B3889" s="37" t="s">
        <v>1054</v>
      </c>
      <c r="C3889" s="37" t="s">
        <v>30312</v>
      </c>
      <c r="D3889" s="37" t="s">
        <v>30313</v>
      </c>
    </row>
    <row r="3890">
      <c r="A3890" s="37" t="s">
        <v>1157</v>
      </c>
      <c r="B3890" s="37" t="s">
        <v>693</v>
      </c>
      <c r="C3890" s="7" t="s">
        <v>30314</v>
      </c>
      <c r="D3890" s="37" t="s">
        <v>30315</v>
      </c>
    </row>
    <row r="3891">
      <c r="A3891" s="37" t="s">
        <v>1183</v>
      </c>
      <c r="B3891" s="37" t="s">
        <v>1179</v>
      </c>
      <c r="C3891" s="7" t="s">
        <v>27618</v>
      </c>
      <c r="D3891" s="37" t="s">
        <v>30316</v>
      </c>
    </row>
    <row r="3892">
      <c r="A3892" s="37" t="s">
        <v>1174</v>
      </c>
      <c r="B3892" s="37" t="s">
        <v>1096</v>
      </c>
      <c r="C3892" s="7" t="s">
        <v>12145</v>
      </c>
      <c r="D3892" s="37" t="s">
        <v>30317</v>
      </c>
    </row>
    <row r="3893">
      <c r="A3893" s="37" t="s">
        <v>1183</v>
      </c>
      <c r="B3893" s="37" t="s">
        <v>1179</v>
      </c>
      <c r="C3893" s="7" t="s">
        <v>23992</v>
      </c>
      <c r="D3893" s="37" t="s">
        <v>30318</v>
      </c>
    </row>
    <row r="3894">
      <c r="A3894" s="37" t="s">
        <v>1157</v>
      </c>
      <c r="B3894" s="37" t="s">
        <v>693</v>
      </c>
      <c r="C3894" s="7" t="s">
        <v>30319</v>
      </c>
      <c r="D3894" s="37" t="s">
        <v>30320</v>
      </c>
    </row>
    <row r="3895">
      <c r="A3895" s="37" t="s">
        <v>30321</v>
      </c>
      <c r="B3895" s="37" t="s">
        <v>27435</v>
      </c>
      <c r="C3895" s="7" t="s">
        <v>30322</v>
      </c>
      <c r="D3895" s="37" t="s">
        <v>30323</v>
      </c>
    </row>
    <row r="3896">
      <c r="A3896" s="37" t="s">
        <v>1174</v>
      </c>
      <c r="B3896" s="37" t="s">
        <v>1096</v>
      </c>
      <c r="C3896" s="7" t="s">
        <v>30324</v>
      </c>
      <c r="D3896" s="37" t="s">
        <v>30325</v>
      </c>
    </row>
    <row r="3897">
      <c r="A3897" s="37" t="s">
        <v>4</v>
      </c>
      <c r="B3897" s="37" t="s">
        <v>1293</v>
      </c>
      <c r="C3897" s="7" t="s">
        <v>30326</v>
      </c>
      <c r="D3897" s="37" t="s">
        <v>30327</v>
      </c>
    </row>
    <row r="3898">
      <c r="A3898" s="37" t="s">
        <v>4</v>
      </c>
      <c r="B3898" s="37" t="s">
        <v>1293</v>
      </c>
      <c r="C3898" s="7" t="s">
        <v>30328</v>
      </c>
      <c r="D3898" s="37" t="s">
        <v>30329</v>
      </c>
    </row>
    <row r="3899">
      <c r="A3899" s="37" t="s">
        <v>4</v>
      </c>
      <c r="B3899" s="37" t="s">
        <v>1293</v>
      </c>
      <c r="C3899" s="7" t="s">
        <v>30330</v>
      </c>
      <c r="D3899" s="37" t="s">
        <v>30331</v>
      </c>
    </row>
    <row r="3900">
      <c r="A3900" s="37" t="s">
        <v>4</v>
      </c>
      <c r="B3900" s="37" t="s">
        <v>1293</v>
      </c>
      <c r="C3900" s="7" t="s">
        <v>30291</v>
      </c>
      <c r="D3900" s="37" t="s">
        <v>30332</v>
      </c>
    </row>
    <row r="3901">
      <c r="A3901" s="37" t="s">
        <v>4</v>
      </c>
      <c r="B3901" s="37" t="s">
        <v>1293</v>
      </c>
      <c r="C3901" s="7" t="s">
        <v>30333</v>
      </c>
      <c r="D3901" s="37" t="s">
        <v>30334</v>
      </c>
    </row>
    <row r="3902">
      <c r="A3902" s="37" t="s">
        <v>4</v>
      </c>
      <c r="B3902" s="37" t="s">
        <v>1293</v>
      </c>
      <c r="C3902" s="7" t="s">
        <v>30335</v>
      </c>
      <c r="D3902" s="37" t="s">
        <v>30336</v>
      </c>
    </row>
    <row r="3903">
      <c r="A3903" s="37" t="s">
        <v>4</v>
      </c>
      <c r="B3903" s="37" t="s">
        <v>1293</v>
      </c>
      <c r="C3903" s="7" t="s">
        <v>30337</v>
      </c>
      <c r="D3903" s="37" t="s">
        <v>30338</v>
      </c>
    </row>
    <row r="3904">
      <c r="A3904" s="37" t="s">
        <v>4</v>
      </c>
      <c r="B3904" s="37" t="s">
        <v>1293</v>
      </c>
      <c r="C3904" s="7" t="s">
        <v>30339</v>
      </c>
      <c r="D3904" s="37" t="s">
        <v>30340</v>
      </c>
    </row>
    <row r="3905">
      <c r="A3905" s="37" t="s">
        <v>4</v>
      </c>
      <c r="B3905" s="37" t="s">
        <v>1293</v>
      </c>
      <c r="C3905" s="7" t="s">
        <v>30341</v>
      </c>
      <c r="D3905" s="37" t="s">
        <v>30342</v>
      </c>
    </row>
    <row r="3906">
      <c r="A3906" s="37" t="s">
        <v>4</v>
      </c>
      <c r="B3906" s="37" t="s">
        <v>1293</v>
      </c>
      <c r="C3906" s="7" t="s">
        <v>30343</v>
      </c>
      <c r="D3906" s="37" t="s">
        <v>30344</v>
      </c>
    </row>
    <row r="3907">
      <c r="A3907" s="37" t="s">
        <v>4</v>
      </c>
      <c r="B3907" s="37" t="s">
        <v>1293</v>
      </c>
      <c r="C3907" s="7" t="s">
        <v>30345</v>
      </c>
      <c r="D3907" s="37" t="s">
        <v>30346</v>
      </c>
    </row>
    <row r="3908">
      <c r="A3908" s="37" t="s">
        <v>4</v>
      </c>
      <c r="B3908" s="37" t="s">
        <v>1293</v>
      </c>
      <c r="C3908" s="7" t="s">
        <v>30347</v>
      </c>
      <c r="D3908" s="37" t="s">
        <v>30348</v>
      </c>
    </row>
    <row r="3909">
      <c r="A3909" s="37" t="s">
        <v>4</v>
      </c>
      <c r="B3909" s="37" t="s">
        <v>1293</v>
      </c>
      <c r="C3909" s="7" t="s">
        <v>30349</v>
      </c>
      <c r="D3909" s="37" t="s">
        <v>30350</v>
      </c>
    </row>
    <row r="3910">
      <c r="A3910" s="37" t="s">
        <v>4</v>
      </c>
      <c r="B3910" s="37" t="s">
        <v>1293</v>
      </c>
      <c r="C3910" s="7" t="s">
        <v>30351</v>
      </c>
      <c r="D3910" s="37" t="s">
        <v>30352</v>
      </c>
    </row>
    <row r="3911">
      <c r="A3911" s="37" t="s">
        <v>4</v>
      </c>
      <c r="B3911" s="37" t="s">
        <v>1293</v>
      </c>
      <c r="C3911" s="7" t="s">
        <v>30353</v>
      </c>
      <c r="D3911" s="37" t="s">
        <v>30354</v>
      </c>
    </row>
    <row r="3912">
      <c r="A3912" s="37" t="s">
        <v>1065</v>
      </c>
      <c r="B3912" s="37" t="s">
        <v>478</v>
      </c>
      <c r="C3912" s="7" t="s">
        <v>12720</v>
      </c>
      <c r="D3912" s="37" t="s">
        <v>30355</v>
      </c>
    </row>
    <row r="3913">
      <c r="A3913" s="37" t="s">
        <v>1361</v>
      </c>
      <c r="B3913" s="37" t="s">
        <v>1096</v>
      </c>
      <c r="C3913" s="7" t="s">
        <v>30356</v>
      </c>
      <c r="D3913" s="37" t="s">
        <v>30357</v>
      </c>
    </row>
    <row r="3914">
      <c r="A3914" s="37" t="s">
        <v>1361</v>
      </c>
      <c r="B3914" s="37" t="s">
        <v>1096</v>
      </c>
      <c r="C3914" s="7" t="s">
        <v>30358</v>
      </c>
      <c r="D3914" s="37" t="s">
        <v>30359</v>
      </c>
    </row>
    <row r="3915">
      <c r="A3915" s="37" t="s">
        <v>26826</v>
      </c>
      <c r="B3915" s="37" t="s">
        <v>26038</v>
      </c>
      <c r="C3915" s="7" t="s">
        <v>30360</v>
      </c>
      <c r="D3915" s="37" t="s">
        <v>30361</v>
      </c>
    </row>
    <row r="3916">
      <c r="A3916" s="37" t="s">
        <v>1314</v>
      </c>
      <c r="B3916" s="37" t="s">
        <v>24942</v>
      </c>
      <c r="C3916" s="7" t="s">
        <v>13418</v>
      </c>
      <c r="D3916" s="37" t="s">
        <v>30362</v>
      </c>
    </row>
    <row r="3917">
      <c r="A3917" s="37" t="s">
        <v>29155</v>
      </c>
      <c r="B3917" s="37" t="s">
        <v>693</v>
      </c>
      <c r="C3917" s="7" t="s">
        <v>30363</v>
      </c>
      <c r="D3917" s="37" t="s">
        <v>30364</v>
      </c>
    </row>
    <row r="3918">
      <c r="A3918" s="37" t="s">
        <v>30002</v>
      </c>
      <c r="B3918" s="37" t="s">
        <v>24942</v>
      </c>
      <c r="C3918" s="7" t="s">
        <v>30365</v>
      </c>
      <c r="D3918" s="37" t="s">
        <v>30366</v>
      </c>
    </row>
    <row r="3919">
      <c r="A3919" s="37" t="s">
        <v>30002</v>
      </c>
      <c r="B3919" s="37" t="s">
        <v>24942</v>
      </c>
      <c r="C3919" s="7" t="s">
        <v>30367</v>
      </c>
      <c r="D3919" s="37" t="s">
        <v>30368</v>
      </c>
    </row>
    <row r="3920">
      <c r="A3920" s="37" t="s">
        <v>148</v>
      </c>
      <c r="B3920" s="37" t="s">
        <v>26038</v>
      </c>
      <c r="C3920" s="7" t="s">
        <v>30369</v>
      </c>
      <c r="D3920" s="37" t="s">
        <v>30370</v>
      </c>
    </row>
    <row r="3921">
      <c r="A3921" s="37" t="s">
        <v>148</v>
      </c>
      <c r="B3921" s="37" t="s">
        <v>26038</v>
      </c>
      <c r="C3921" s="7" t="s">
        <v>30371</v>
      </c>
      <c r="D3921" s="37" t="s">
        <v>30372</v>
      </c>
    </row>
    <row r="3922">
      <c r="A3922" s="37" t="s">
        <v>1065</v>
      </c>
      <c r="B3922" s="37" t="s">
        <v>478</v>
      </c>
      <c r="C3922" s="7" t="s">
        <v>26121</v>
      </c>
      <c r="D3922" s="37" t="s">
        <v>30373</v>
      </c>
    </row>
    <row r="3923">
      <c r="A3923" s="37" t="s">
        <v>1571</v>
      </c>
      <c r="B3923" s="37" t="s">
        <v>363</v>
      </c>
      <c r="C3923" s="7" t="s">
        <v>30374</v>
      </c>
      <c r="D3923" s="37" t="s">
        <v>30375</v>
      </c>
    </row>
    <row r="3924">
      <c r="A3924" s="37" t="s">
        <v>1571</v>
      </c>
      <c r="B3924" s="37" t="s">
        <v>363</v>
      </c>
      <c r="C3924" s="7" t="s">
        <v>1572</v>
      </c>
      <c r="D3924" s="37" t="s">
        <v>30376</v>
      </c>
    </row>
    <row r="3925">
      <c r="A3925" s="37" t="s">
        <v>1157</v>
      </c>
      <c r="B3925" s="37" t="s">
        <v>693</v>
      </c>
      <c r="C3925" s="7" t="s">
        <v>30377</v>
      </c>
      <c r="D3925" s="37" t="s">
        <v>30378</v>
      </c>
    </row>
    <row r="3926">
      <c r="A3926" s="37" t="s">
        <v>29724</v>
      </c>
      <c r="B3926" s="37" t="s">
        <v>192</v>
      </c>
      <c r="C3926" s="7" t="s">
        <v>30379</v>
      </c>
      <c r="D3926" s="37" t="s">
        <v>30380</v>
      </c>
    </row>
    <row r="3927">
      <c r="A3927" s="37" t="s">
        <v>1245</v>
      </c>
      <c r="B3927" s="37" t="s">
        <v>1242</v>
      </c>
      <c r="C3927" s="37" t="s">
        <v>30381</v>
      </c>
      <c r="D3927" s="37" t="s">
        <v>30382</v>
      </c>
    </row>
    <row r="3928">
      <c r="A3928" s="37" t="s">
        <v>1065</v>
      </c>
      <c r="B3928" s="37" t="s">
        <v>478</v>
      </c>
      <c r="C3928" s="7" t="s">
        <v>30383</v>
      </c>
      <c r="D3928" s="37" t="s">
        <v>30384</v>
      </c>
    </row>
    <row r="3929">
      <c r="A3929" s="37" t="s">
        <v>4</v>
      </c>
      <c r="B3929" s="37" t="s">
        <v>1293</v>
      </c>
      <c r="C3929" s="7" t="s">
        <v>30385</v>
      </c>
      <c r="D3929" s="37" t="s">
        <v>30386</v>
      </c>
    </row>
    <row r="3930">
      <c r="A3930" s="37" t="s">
        <v>4</v>
      </c>
      <c r="B3930" s="37" t="s">
        <v>1293</v>
      </c>
      <c r="C3930" s="7" t="s">
        <v>9144</v>
      </c>
      <c r="D3930" s="37" t="s">
        <v>30387</v>
      </c>
    </row>
    <row r="3931">
      <c r="A3931" s="37" t="s">
        <v>4</v>
      </c>
      <c r="B3931" s="37" t="s">
        <v>1293</v>
      </c>
      <c r="C3931" s="7" t="s">
        <v>30388</v>
      </c>
      <c r="D3931" s="37" t="s">
        <v>30389</v>
      </c>
    </row>
    <row r="3932">
      <c r="A3932" s="37" t="s">
        <v>4</v>
      </c>
      <c r="B3932" s="37" t="s">
        <v>1293</v>
      </c>
      <c r="C3932" s="7" t="s">
        <v>30390</v>
      </c>
      <c r="D3932" s="37" t="s">
        <v>30391</v>
      </c>
    </row>
    <row r="3933">
      <c r="A3933" s="37" t="s">
        <v>1243</v>
      </c>
      <c r="B3933" s="37" t="s">
        <v>1495</v>
      </c>
      <c r="C3933" s="37" t="s">
        <v>30392</v>
      </c>
      <c r="D3933" s="37" t="s">
        <v>30393</v>
      </c>
    </row>
    <row r="3934">
      <c r="A3934" s="37" t="s">
        <v>29942</v>
      </c>
      <c r="B3934" s="37" t="s">
        <v>1495</v>
      </c>
      <c r="C3934" s="7" t="s">
        <v>30394</v>
      </c>
      <c r="D3934" s="37" t="s">
        <v>30395</v>
      </c>
    </row>
    <row r="3935">
      <c r="A3935" s="37" t="s">
        <v>1311</v>
      </c>
      <c r="B3935" s="37" t="s">
        <v>1054</v>
      </c>
      <c r="C3935" s="7" t="s">
        <v>30396</v>
      </c>
      <c r="D3935" s="37" t="s">
        <v>30397</v>
      </c>
    </row>
    <row r="3936">
      <c r="A3936" s="37" t="s">
        <v>1311</v>
      </c>
      <c r="B3936" s="37" t="s">
        <v>1054</v>
      </c>
      <c r="C3936" s="7" t="s">
        <v>30398</v>
      </c>
      <c r="D3936" s="37" t="s">
        <v>30399</v>
      </c>
    </row>
    <row r="3937">
      <c r="A3937" s="37" t="s">
        <v>30400</v>
      </c>
      <c r="B3937" s="37" t="s">
        <v>854</v>
      </c>
      <c r="C3937" s="37" t="s">
        <v>30401</v>
      </c>
      <c r="D3937" s="37" t="s">
        <v>30402</v>
      </c>
    </row>
    <row r="3938">
      <c r="A3938" s="37" t="s">
        <v>1156</v>
      </c>
      <c r="B3938" s="37" t="s">
        <v>192</v>
      </c>
      <c r="C3938" s="7" t="s">
        <v>30403</v>
      </c>
      <c r="D3938" s="37" t="s">
        <v>30404</v>
      </c>
    </row>
    <row r="3939">
      <c r="A3939" s="37" t="s">
        <v>30400</v>
      </c>
      <c r="B3939" s="37" t="s">
        <v>854</v>
      </c>
      <c r="C3939" s="37" t="s">
        <v>30405</v>
      </c>
      <c r="D3939" s="37" t="s">
        <v>30406</v>
      </c>
    </row>
    <row r="3940">
      <c r="A3940" s="37" t="s">
        <v>1245</v>
      </c>
      <c r="B3940" s="37" t="s">
        <v>1242</v>
      </c>
      <c r="C3940" s="7" t="s">
        <v>30407</v>
      </c>
      <c r="D3940" s="37" t="s">
        <v>30408</v>
      </c>
    </row>
    <row r="3941">
      <c r="A3941" s="37" t="s">
        <v>1245</v>
      </c>
      <c r="B3941" s="37" t="s">
        <v>1242</v>
      </c>
      <c r="C3941" s="7" t="s">
        <v>30409</v>
      </c>
      <c r="D3941" s="37" t="s">
        <v>30410</v>
      </c>
    </row>
    <row r="3942">
      <c r="A3942" s="37" t="s">
        <v>1065</v>
      </c>
      <c r="B3942" s="37" t="s">
        <v>478</v>
      </c>
      <c r="C3942" s="7" t="s">
        <v>13610</v>
      </c>
      <c r="D3942" s="37" t="s">
        <v>30411</v>
      </c>
    </row>
    <row r="3943">
      <c r="A3943" s="37" t="s">
        <v>1065</v>
      </c>
      <c r="B3943" s="37" t="s">
        <v>478</v>
      </c>
      <c r="C3943" s="7" t="s">
        <v>8714</v>
      </c>
      <c r="D3943" s="37" t="s">
        <v>30412</v>
      </c>
    </row>
    <row r="3944">
      <c r="A3944" s="37" t="s">
        <v>1245</v>
      </c>
      <c r="B3944" s="37" t="s">
        <v>1242</v>
      </c>
      <c r="C3944" s="7" t="s">
        <v>30413</v>
      </c>
      <c r="D3944" s="37" t="s">
        <v>30414</v>
      </c>
    </row>
    <row r="3945">
      <c r="A3945" s="37" t="s">
        <v>1237</v>
      </c>
      <c r="B3945" s="37" t="s">
        <v>1062</v>
      </c>
      <c r="C3945" s="7" t="s">
        <v>30415</v>
      </c>
      <c r="D3945" s="37" t="s">
        <v>30416</v>
      </c>
    </row>
    <row r="3946">
      <c r="A3946" s="37" t="s">
        <v>1245</v>
      </c>
      <c r="B3946" s="37" t="s">
        <v>1242</v>
      </c>
      <c r="C3946" s="7" t="s">
        <v>30417</v>
      </c>
      <c r="D3946" s="37" t="s">
        <v>30418</v>
      </c>
    </row>
    <row r="3947">
      <c r="A3947" s="37" t="s">
        <v>1246</v>
      </c>
      <c r="B3947" s="37" t="s">
        <v>1242</v>
      </c>
      <c r="C3947" s="7" t="s">
        <v>30419</v>
      </c>
      <c r="D3947" s="37" t="s">
        <v>30420</v>
      </c>
    </row>
    <row r="3948">
      <c r="A3948" s="37" t="s">
        <v>1161</v>
      </c>
      <c r="B3948" s="37" t="s">
        <v>693</v>
      </c>
      <c r="C3948" s="7" t="s">
        <v>30421</v>
      </c>
      <c r="D3948" s="37" t="s">
        <v>30422</v>
      </c>
    </row>
    <row r="3949">
      <c r="A3949" s="37" t="s">
        <v>30002</v>
      </c>
      <c r="B3949" s="37" t="s">
        <v>24942</v>
      </c>
      <c r="C3949" s="37" t="s">
        <v>30423</v>
      </c>
      <c r="D3949" s="37" t="s">
        <v>30424</v>
      </c>
    </row>
    <row r="3950">
      <c r="A3950" s="37" t="s">
        <v>30002</v>
      </c>
      <c r="B3950" s="37" t="s">
        <v>24942</v>
      </c>
      <c r="C3950" s="37" t="s">
        <v>30425</v>
      </c>
      <c r="D3950" s="37" t="s">
        <v>30426</v>
      </c>
    </row>
    <row r="3951">
      <c r="A3951" s="37" t="s">
        <v>30002</v>
      </c>
      <c r="B3951" s="37" t="s">
        <v>24942</v>
      </c>
      <c r="C3951" s="7" t="s">
        <v>30427</v>
      </c>
      <c r="D3951" s="37" t="s">
        <v>30428</v>
      </c>
    </row>
    <row r="3952">
      <c r="A3952" s="37" t="s">
        <v>30002</v>
      </c>
      <c r="B3952" s="37" t="s">
        <v>24942</v>
      </c>
      <c r="C3952" s="7" t="s">
        <v>30429</v>
      </c>
      <c r="D3952" s="37" t="s">
        <v>30430</v>
      </c>
    </row>
    <row r="3953">
      <c r="A3953" s="37" t="s">
        <v>30002</v>
      </c>
      <c r="B3953" s="37" t="s">
        <v>24942</v>
      </c>
      <c r="C3953" s="7" t="s">
        <v>30431</v>
      </c>
      <c r="D3953" s="37" t="s">
        <v>30432</v>
      </c>
    </row>
    <row r="3954">
      <c r="A3954" s="37" t="s">
        <v>30002</v>
      </c>
      <c r="B3954" s="37" t="s">
        <v>24942</v>
      </c>
      <c r="C3954" s="37" t="s">
        <v>30433</v>
      </c>
      <c r="D3954" s="37" t="s">
        <v>30434</v>
      </c>
    </row>
    <row r="3955">
      <c r="A3955" s="37" t="s">
        <v>1571</v>
      </c>
      <c r="B3955" s="37" t="s">
        <v>363</v>
      </c>
      <c r="C3955" s="7" t="s">
        <v>30435</v>
      </c>
      <c r="D3955" s="37" t="s">
        <v>30436</v>
      </c>
    </row>
    <row r="3956">
      <c r="A3956" s="37" t="s">
        <v>30002</v>
      </c>
      <c r="B3956" s="37" t="s">
        <v>24942</v>
      </c>
      <c r="C3956" s="37" t="s">
        <v>30437</v>
      </c>
      <c r="D3956" s="37" t="s">
        <v>30438</v>
      </c>
    </row>
    <row r="3957">
      <c r="A3957" s="37" t="s">
        <v>30439</v>
      </c>
      <c r="B3957" s="37" t="s">
        <v>1495</v>
      </c>
      <c r="C3957" s="7" t="s">
        <v>30440</v>
      </c>
      <c r="D3957" s="37" t="s">
        <v>30441</v>
      </c>
    </row>
    <row r="3958">
      <c r="A3958" s="37" t="s">
        <v>30439</v>
      </c>
      <c r="B3958" s="37" t="s">
        <v>1495</v>
      </c>
      <c r="C3958" s="7" t="s">
        <v>30442</v>
      </c>
      <c r="D3958" s="37" t="s">
        <v>30443</v>
      </c>
    </row>
    <row r="3959">
      <c r="A3959" s="37" t="s">
        <v>29727</v>
      </c>
      <c r="B3959" s="37" t="s">
        <v>1179</v>
      </c>
      <c r="C3959" s="7" t="s">
        <v>30444</v>
      </c>
      <c r="D3959" s="37" t="s">
        <v>30445</v>
      </c>
    </row>
    <row r="3960">
      <c r="A3960" s="37" t="s">
        <v>30002</v>
      </c>
      <c r="B3960" s="37" t="s">
        <v>24942</v>
      </c>
      <c r="C3960" s="7" t="s">
        <v>30446</v>
      </c>
      <c r="D3960" s="37" t="s">
        <v>30447</v>
      </c>
    </row>
    <row r="3961">
      <c r="A3961" s="37" t="s">
        <v>148</v>
      </c>
      <c r="B3961" s="37" t="s">
        <v>26038</v>
      </c>
      <c r="C3961" s="7" t="s">
        <v>30448</v>
      </c>
      <c r="D3961" s="37" t="s">
        <v>30449</v>
      </c>
    </row>
    <row r="3962">
      <c r="A3962" s="37" t="s">
        <v>1148</v>
      </c>
      <c r="B3962" s="37" t="s">
        <v>1495</v>
      </c>
      <c r="C3962" s="7" t="s">
        <v>30450</v>
      </c>
      <c r="D3962" s="37" t="s">
        <v>30451</v>
      </c>
    </row>
    <row r="3963">
      <c r="A3963" s="37" t="s">
        <v>1157</v>
      </c>
      <c r="B3963" s="37" t="s">
        <v>693</v>
      </c>
      <c r="C3963" s="7" t="s">
        <v>30452</v>
      </c>
      <c r="D3963" s="37" t="s">
        <v>30453</v>
      </c>
    </row>
    <row r="3964">
      <c r="A3964" s="37" t="s">
        <v>30002</v>
      </c>
      <c r="B3964" s="37" t="s">
        <v>24942</v>
      </c>
      <c r="C3964" s="37" t="s">
        <v>30454</v>
      </c>
      <c r="D3964" s="37" t="s">
        <v>30455</v>
      </c>
    </row>
    <row r="3965">
      <c r="A3965" s="37" t="s">
        <v>30002</v>
      </c>
      <c r="B3965" s="37" t="s">
        <v>24942</v>
      </c>
      <c r="C3965" s="37" t="s">
        <v>30456</v>
      </c>
      <c r="D3965" s="37" t="s">
        <v>30457</v>
      </c>
    </row>
    <row r="3966">
      <c r="A3966" s="37" t="s">
        <v>30002</v>
      </c>
      <c r="B3966" s="37" t="s">
        <v>24942</v>
      </c>
      <c r="C3966" s="7" t="s">
        <v>30458</v>
      </c>
      <c r="D3966" s="37" t="s">
        <v>30459</v>
      </c>
    </row>
    <row r="3967">
      <c r="A3967" s="37" t="s">
        <v>30439</v>
      </c>
      <c r="B3967" s="37" t="s">
        <v>1495</v>
      </c>
      <c r="C3967" s="7" t="s">
        <v>30460</v>
      </c>
      <c r="D3967" s="37" t="s">
        <v>30461</v>
      </c>
    </row>
    <row r="3968">
      <c r="A3968" s="37" t="s">
        <v>30439</v>
      </c>
      <c r="B3968" s="37" t="s">
        <v>1495</v>
      </c>
      <c r="C3968" s="7" t="s">
        <v>30462</v>
      </c>
      <c r="D3968" s="37" t="s">
        <v>30463</v>
      </c>
    </row>
    <row r="3969">
      <c r="A3969" s="37" t="s">
        <v>30464</v>
      </c>
      <c r="B3969" s="37" t="s">
        <v>26038</v>
      </c>
      <c r="C3969" s="7" t="s">
        <v>30465</v>
      </c>
      <c r="D3969" s="37" t="s">
        <v>30466</v>
      </c>
    </row>
    <row r="3970">
      <c r="A3970" s="37" t="s">
        <v>1602</v>
      </c>
      <c r="B3970" s="37" t="s">
        <v>24942</v>
      </c>
      <c r="C3970" s="7" t="s">
        <v>30467</v>
      </c>
      <c r="D3970" s="37" t="s">
        <v>30468</v>
      </c>
    </row>
    <row r="3971">
      <c r="A3971" s="37" t="s">
        <v>148</v>
      </c>
      <c r="B3971" s="37" t="s">
        <v>1096</v>
      </c>
      <c r="C3971" s="7" t="s">
        <v>30469</v>
      </c>
      <c r="D3971" s="37" t="s">
        <v>30470</v>
      </c>
    </row>
    <row r="3972">
      <c r="A3972" s="37" t="s">
        <v>26826</v>
      </c>
      <c r="B3972" s="37" t="s">
        <v>26038</v>
      </c>
      <c r="C3972" s="7" t="s">
        <v>30471</v>
      </c>
      <c r="D3972" s="37" t="s">
        <v>30472</v>
      </c>
    </row>
    <row r="3973">
      <c r="A3973" s="37" t="s">
        <v>28902</v>
      </c>
      <c r="B3973" s="37" t="s">
        <v>1495</v>
      </c>
      <c r="C3973" s="37" t="s">
        <v>30473</v>
      </c>
      <c r="D3973" s="37" t="s">
        <v>30474</v>
      </c>
    </row>
    <row r="3974">
      <c r="A3974" s="37" t="s">
        <v>28902</v>
      </c>
      <c r="B3974" s="37" t="s">
        <v>1495</v>
      </c>
      <c r="C3974" s="37" t="s">
        <v>30475</v>
      </c>
      <c r="D3974" s="37" t="s">
        <v>30476</v>
      </c>
    </row>
    <row r="3975">
      <c r="A3975" s="37" t="s">
        <v>1571</v>
      </c>
      <c r="B3975" s="37" t="s">
        <v>363</v>
      </c>
      <c r="C3975" s="7" t="s">
        <v>30477</v>
      </c>
      <c r="D3975" s="37" t="s">
        <v>30478</v>
      </c>
    </row>
    <row r="3976">
      <c r="A3976" s="37" t="s">
        <v>28902</v>
      </c>
      <c r="B3976" s="37" t="s">
        <v>1495</v>
      </c>
      <c r="C3976" s="37" t="s">
        <v>30479</v>
      </c>
      <c r="D3976" s="37" t="s">
        <v>30480</v>
      </c>
    </row>
    <row r="3977">
      <c r="A3977" s="37" t="s">
        <v>30262</v>
      </c>
      <c r="B3977" s="37" t="s">
        <v>363</v>
      </c>
      <c r="C3977" s="7" t="s">
        <v>30481</v>
      </c>
      <c r="D3977" s="37" t="s">
        <v>30482</v>
      </c>
    </row>
    <row r="3978">
      <c r="A3978" s="37" t="s">
        <v>48</v>
      </c>
      <c r="B3978" s="37" t="s">
        <v>1242</v>
      </c>
      <c r="C3978" s="37" t="s">
        <v>30483</v>
      </c>
      <c r="D3978" s="37" t="s">
        <v>30484</v>
      </c>
    </row>
    <row r="3979">
      <c r="A3979" s="37" t="s">
        <v>48</v>
      </c>
      <c r="B3979" s="37" t="s">
        <v>1242</v>
      </c>
      <c r="C3979" s="7" t="s">
        <v>30485</v>
      </c>
      <c r="D3979" s="37" t="s">
        <v>30486</v>
      </c>
    </row>
    <row r="3980">
      <c r="A3980" s="37" t="s">
        <v>1602</v>
      </c>
      <c r="B3980" s="37" t="s">
        <v>24942</v>
      </c>
      <c r="C3980" s="7" t="s">
        <v>30487</v>
      </c>
      <c r="D3980" s="37" t="s">
        <v>30488</v>
      </c>
    </row>
    <row r="3981">
      <c r="A3981" s="37" t="s">
        <v>1161</v>
      </c>
      <c r="B3981" s="37" t="s">
        <v>693</v>
      </c>
      <c r="C3981" s="37" t="s">
        <v>30489</v>
      </c>
      <c r="D3981" s="37" t="s">
        <v>30490</v>
      </c>
    </row>
    <row r="3982">
      <c r="A3982" s="37" t="s">
        <v>1245</v>
      </c>
      <c r="B3982" s="37" t="s">
        <v>1242</v>
      </c>
      <c r="C3982" s="7" t="s">
        <v>30491</v>
      </c>
      <c r="D3982" s="37" t="s">
        <v>30492</v>
      </c>
    </row>
    <row r="3983">
      <c r="A3983" s="37" t="s">
        <v>1245</v>
      </c>
      <c r="B3983" s="37" t="s">
        <v>1242</v>
      </c>
      <c r="C3983" s="7" t="s">
        <v>30493</v>
      </c>
      <c r="D3983" s="37" t="s">
        <v>30494</v>
      </c>
    </row>
    <row r="3984">
      <c r="A3984" s="37" t="s">
        <v>1065</v>
      </c>
      <c r="B3984" s="37" t="s">
        <v>478</v>
      </c>
      <c r="C3984" s="7" t="s">
        <v>24223</v>
      </c>
      <c r="D3984" s="37" t="s">
        <v>30495</v>
      </c>
    </row>
    <row r="3985">
      <c r="A3985" s="37" t="s">
        <v>1065</v>
      </c>
      <c r="B3985" s="37" t="s">
        <v>478</v>
      </c>
      <c r="C3985" s="7" t="s">
        <v>30496</v>
      </c>
      <c r="D3985" s="37" t="s">
        <v>30497</v>
      </c>
    </row>
    <row r="3986">
      <c r="A3986" s="37" t="s">
        <v>1065</v>
      </c>
      <c r="B3986" s="37" t="s">
        <v>478</v>
      </c>
      <c r="C3986" s="7" t="s">
        <v>30498</v>
      </c>
      <c r="D3986" s="37" t="s">
        <v>30499</v>
      </c>
    </row>
    <row r="3987">
      <c r="A3987" s="37" t="s">
        <v>188</v>
      </c>
      <c r="B3987" s="37" t="s">
        <v>1179</v>
      </c>
      <c r="C3987" s="7" t="s">
        <v>30500</v>
      </c>
      <c r="D3987" s="37" t="s">
        <v>30501</v>
      </c>
    </row>
    <row r="3988">
      <c r="A3988" s="37" t="s">
        <v>188</v>
      </c>
      <c r="B3988" s="37" t="s">
        <v>1179</v>
      </c>
      <c r="C3988" s="7" t="s">
        <v>30502</v>
      </c>
      <c r="D3988" s="37" t="s">
        <v>30503</v>
      </c>
    </row>
    <row r="3989">
      <c r="A3989" s="37" t="s">
        <v>1245</v>
      </c>
      <c r="B3989" s="37" t="s">
        <v>1242</v>
      </c>
      <c r="C3989" s="7" t="s">
        <v>30504</v>
      </c>
      <c r="D3989" s="37" t="s">
        <v>30505</v>
      </c>
    </row>
    <row r="3990">
      <c r="A3990" s="37" t="s">
        <v>1182</v>
      </c>
      <c r="B3990" s="37" t="s">
        <v>1179</v>
      </c>
      <c r="C3990" s="7" t="s">
        <v>30506</v>
      </c>
      <c r="D3990" s="37" t="s">
        <v>30507</v>
      </c>
    </row>
    <row r="3991">
      <c r="A3991" s="37" t="s">
        <v>1278</v>
      </c>
      <c r="B3991" s="37" t="s">
        <v>24942</v>
      </c>
      <c r="C3991" s="7" t="s">
        <v>30508</v>
      </c>
      <c r="D3991" s="37" t="s">
        <v>30509</v>
      </c>
    </row>
    <row r="3992">
      <c r="A3992" s="37" t="s">
        <v>29942</v>
      </c>
      <c r="B3992" s="37" t="s">
        <v>1495</v>
      </c>
      <c r="C3992" s="7" t="s">
        <v>30510</v>
      </c>
      <c r="D3992" s="37" t="s">
        <v>30511</v>
      </c>
    </row>
    <row r="3993">
      <c r="A3993" s="37" t="s">
        <v>4</v>
      </c>
      <c r="B3993" s="37" t="s">
        <v>1293</v>
      </c>
      <c r="C3993" s="37" t="s">
        <v>30512</v>
      </c>
      <c r="D3993" s="37" t="s">
        <v>30513</v>
      </c>
    </row>
    <row r="3994">
      <c r="A3994" s="37" t="s">
        <v>1246</v>
      </c>
      <c r="B3994" s="37" t="s">
        <v>1242</v>
      </c>
      <c r="C3994" s="7" t="s">
        <v>30514</v>
      </c>
      <c r="D3994" s="37" t="s">
        <v>30515</v>
      </c>
    </row>
    <row r="3995">
      <c r="A3995" s="37" t="s">
        <v>28902</v>
      </c>
      <c r="B3995" s="37" t="s">
        <v>1495</v>
      </c>
      <c r="C3995" s="7" t="s">
        <v>30516</v>
      </c>
      <c r="D3995" s="37" t="s">
        <v>30517</v>
      </c>
    </row>
    <row r="3996">
      <c r="A3996" s="37" t="s">
        <v>1357</v>
      </c>
      <c r="B3996" s="37" t="s">
        <v>1096</v>
      </c>
      <c r="C3996" s="37" t="s">
        <v>30518</v>
      </c>
      <c r="D3996" s="37" t="s">
        <v>30519</v>
      </c>
    </row>
    <row r="3997">
      <c r="A3997" s="37" t="s">
        <v>29727</v>
      </c>
      <c r="B3997" s="37" t="s">
        <v>1179</v>
      </c>
      <c r="C3997" s="7" t="s">
        <v>30520</v>
      </c>
      <c r="D3997" s="37" t="s">
        <v>30521</v>
      </c>
    </row>
    <row r="3998">
      <c r="A3998" s="37" t="s">
        <v>148</v>
      </c>
      <c r="B3998" s="37" t="s">
        <v>26038</v>
      </c>
      <c r="C3998" s="37" t="s">
        <v>30522</v>
      </c>
      <c r="D3998" s="37" t="s">
        <v>30523</v>
      </c>
    </row>
    <row r="3999">
      <c r="A3999" s="37" t="s">
        <v>1311</v>
      </c>
      <c r="B3999" s="37" t="s">
        <v>1054</v>
      </c>
      <c r="C3999" s="7" t="s">
        <v>30524</v>
      </c>
      <c r="D3999" s="37" t="s">
        <v>30525</v>
      </c>
    </row>
    <row r="4000">
      <c r="A4000" s="37" t="s">
        <v>1243</v>
      </c>
      <c r="B4000" s="37" t="s">
        <v>1495</v>
      </c>
      <c r="C4000" s="37" t="s">
        <v>30526</v>
      </c>
      <c r="D4000" s="37" t="s">
        <v>30527</v>
      </c>
    </row>
    <row r="4001">
      <c r="A4001" s="37" t="s">
        <v>1361</v>
      </c>
      <c r="B4001" s="37" t="s">
        <v>1096</v>
      </c>
      <c r="C4001" s="7" t="s">
        <v>30528</v>
      </c>
      <c r="D4001" s="37" t="s">
        <v>30529</v>
      </c>
    </row>
    <row r="4002">
      <c r="A4002" s="37" t="s">
        <v>1361</v>
      </c>
      <c r="B4002" s="37" t="s">
        <v>1096</v>
      </c>
      <c r="C4002" s="7" t="s">
        <v>30530</v>
      </c>
      <c r="D4002" s="37" t="s">
        <v>30531</v>
      </c>
    </row>
    <row r="4003">
      <c r="A4003" s="37" t="s">
        <v>29732</v>
      </c>
      <c r="B4003" s="37" t="s">
        <v>1495</v>
      </c>
      <c r="C4003" s="7" t="s">
        <v>30532</v>
      </c>
      <c r="D4003" s="37" t="s">
        <v>30533</v>
      </c>
    </row>
    <row r="4004">
      <c r="A4004" s="37" t="s">
        <v>1065</v>
      </c>
      <c r="B4004" s="37" t="s">
        <v>478</v>
      </c>
      <c r="C4004" s="7" t="s">
        <v>30534</v>
      </c>
      <c r="D4004" s="37" t="s">
        <v>30535</v>
      </c>
    </row>
    <row r="4005">
      <c r="A4005" s="37" t="s">
        <v>1065</v>
      </c>
      <c r="B4005" s="37" t="s">
        <v>478</v>
      </c>
      <c r="C4005" s="7" t="s">
        <v>13738</v>
      </c>
      <c r="D4005" s="37" t="s">
        <v>30536</v>
      </c>
    </row>
    <row r="4006">
      <c r="A4006" s="37" t="s">
        <v>1237</v>
      </c>
      <c r="B4006" s="37" t="s">
        <v>1062</v>
      </c>
      <c r="C4006" s="7" t="s">
        <v>30537</v>
      </c>
      <c r="D4006" s="37" t="s">
        <v>30538</v>
      </c>
    </row>
    <row r="4007">
      <c r="A4007" s="37" t="s">
        <v>29194</v>
      </c>
      <c r="B4007" s="37" t="s">
        <v>29912</v>
      </c>
      <c r="C4007" s="7" t="s">
        <v>30539</v>
      </c>
      <c r="D4007" s="37" t="s">
        <v>30540</v>
      </c>
    </row>
    <row r="4008">
      <c r="A4008" s="37" t="s">
        <v>148</v>
      </c>
      <c r="B4008" s="37" t="s">
        <v>26038</v>
      </c>
      <c r="C4008" s="7" t="s">
        <v>30541</v>
      </c>
      <c r="D4008" s="37" t="s">
        <v>30542</v>
      </c>
    </row>
    <row r="4009">
      <c r="A4009" s="37" t="s">
        <v>1236</v>
      </c>
      <c r="B4009" s="37" t="s">
        <v>1078</v>
      </c>
      <c r="C4009" s="37" t="s">
        <v>30543</v>
      </c>
      <c r="D4009" s="37" t="s">
        <v>30544</v>
      </c>
    </row>
    <row r="4010">
      <c r="A4010" s="37" t="s">
        <v>1236</v>
      </c>
      <c r="B4010" s="37" t="s">
        <v>1078</v>
      </c>
      <c r="C4010" s="37" t="s">
        <v>30545</v>
      </c>
      <c r="D4010" s="37" t="s">
        <v>30546</v>
      </c>
    </row>
    <row r="4011">
      <c r="A4011" s="37" t="s">
        <v>4</v>
      </c>
      <c r="B4011" s="37" t="s">
        <v>1293</v>
      </c>
      <c r="C4011" s="7" t="s">
        <v>30547</v>
      </c>
      <c r="D4011" s="37" t="s">
        <v>30548</v>
      </c>
    </row>
    <row r="4012">
      <c r="A4012" s="37" t="s">
        <v>4</v>
      </c>
      <c r="B4012" s="37" t="s">
        <v>1293</v>
      </c>
      <c r="C4012" s="7" t="s">
        <v>30549</v>
      </c>
      <c r="D4012" s="37" t="s">
        <v>30550</v>
      </c>
    </row>
    <row r="4013">
      <c r="A4013" s="37" t="s">
        <v>1245</v>
      </c>
      <c r="B4013" s="37" t="s">
        <v>1242</v>
      </c>
      <c r="C4013" s="7" t="s">
        <v>30551</v>
      </c>
      <c r="D4013" s="37" t="s">
        <v>30552</v>
      </c>
    </row>
    <row r="4014">
      <c r="A4014" s="37" t="s">
        <v>1185</v>
      </c>
      <c r="B4014" s="37" t="s">
        <v>1179</v>
      </c>
      <c r="C4014" s="7" t="s">
        <v>30553</v>
      </c>
      <c r="D4014" s="37" t="s">
        <v>30554</v>
      </c>
    </row>
    <row r="4015">
      <c r="A4015" s="37" t="s">
        <v>1185</v>
      </c>
      <c r="B4015" s="37" t="s">
        <v>1179</v>
      </c>
      <c r="C4015" s="7" t="s">
        <v>30555</v>
      </c>
      <c r="D4015" s="37" t="s">
        <v>30556</v>
      </c>
    </row>
    <row r="4016">
      <c r="A4016" s="37" t="s">
        <v>1185</v>
      </c>
      <c r="B4016" s="37" t="s">
        <v>1179</v>
      </c>
      <c r="C4016" s="7" t="s">
        <v>30557</v>
      </c>
      <c r="D4016" s="37" t="s">
        <v>30558</v>
      </c>
    </row>
    <row r="4017">
      <c r="A4017" s="37" t="s">
        <v>1185</v>
      </c>
      <c r="B4017" s="37" t="s">
        <v>1179</v>
      </c>
      <c r="C4017" s="7" t="s">
        <v>30559</v>
      </c>
      <c r="D4017" s="37" t="s">
        <v>30560</v>
      </c>
    </row>
    <row r="4018">
      <c r="A4018" s="37" t="s">
        <v>1495</v>
      </c>
      <c r="B4018" s="37" t="s">
        <v>391</v>
      </c>
      <c r="C4018" s="7" t="s">
        <v>30561</v>
      </c>
      <c r="D4018" s="37" t="s">
        <v>30562</v>
      </c>
    </row>
    <row r="4019">
      <c r="A4019" s="37" t="s">
        <v>1495</v>
      </c>
      <c r="B4019" s="37" t="s">
        <v>391</v>
      </c>
      <c r="C4019" s="7" t="s">
        <v>30563</v>
      </c>
      <c r="D4019" s="37" t="s">
        <v>30564</v>
      </c>
    </row>
    <row r="4020">
      <c r="A4020" s="37" t="s">
        <v>1361</v>
      </c>
      <c r="B4020" s="37" t="s">
        <v>1096</v>
      </c>
      <c r="C4020" s="7" t="s">
        <v>30565</v>
      </c>
      <c r="D4020" s="37" t="s">
        <v>30566</v>
      </c>
    </row>
    <row r="4021">
      <c r="A4021" s="37" t="s">
        <v>1314</v>
      </c>
      <c r="B4021" s="37" t="s">
        <v>24942</v>
      </c>
      <c r="C4021" s="7" t="s">
        <v>30567</v>
      </c>
      <c r="D4021" s="37" t="s">
        <v>30568</v>
      </c>
    </row>
    <row r="4022">
      <c r="A4022" s="37" t="s">
        <v>1314</v>
      </c>
      <c r="B4022" s="37" t="s">
        <v>24942</v>
      </c>
      <c r="C4022" s="7" t="s">
        <v>30569</v>
      </c>
      <c r="D4022" s="37" t="s">
        <v>30570</v>
      </c>
    </row>
    <row r="4023">
      <c r="A4023" s="37" t="s">
        <v>1207</v>
      </c>
      <c r="B4023" s="37" t="s">
        <v>1495</v>
      </c>
      <c r="C4023" s="7" t="s">
        <v>27715</v>
      </c>
      <c r="D4023" s="37" t="s">
        <v>30571</v>
      </c>
    </row>
    <row r="4024">
      <c r="A4024" s="37" t="s">
        <v>4</v>
      </c>
      <c r="B4024" s="37" t="s">
        <v>1293</v>
      </c>
      <c r="C4024" s="7" t="s">
        <v>30572</v>
      </c>
      <c r="D4024" s="37" t="s">
        <v>30573</v>
      </c>
    </row>
    <row r="4025">
      <c r="A4025" s="37" t="s">
        <v>148</v>
      </c>
      <c r="B4025" s="37" t="s">
        <v>26038</v>
      </c>
      <c r="C4025" s="7" t="s">
        <v>25066</v>
      </c>
      <c r="D4025" s="37" t="s">
        <v>30574</v>
      </c>
    </row>
    <row r="4026">
      <c r="A4026" s="37" t="s">
        <v>1245</v>
      </c>
      <c r="B4026" s="37" t="s">
        <v>1242</v>
      </c>
      <c r="C4026" s="7" t="s">
        <v>30575</v>
      </c>
      <c r="D4026" s="37" t="s">
        <v>30576</v>
      </c>
    </row>
    <row r="4027">
      <c r="A4027" s="37" t="s">
        <v>29942</v>
      </c>
      <c r="B4027" s="37" t="s">
        <v>1495</v>
      </c>
      <c r="C4027" s="7" t="s">
        <v>30577</v>
      </c>
      <c r="D4027" s="37" t="s">
        <v>30578</v>
      </c>
    </row>
    <row r="4028">
      <c r="A4028" s="37" t="s">
        <v>1495</v>
      </c>
      <c r="B4028" s="37" t="s">
        <v>1495</v>
      </c>
      <c r="C4028" s="7" t="s">
        <v>30579</v>
      </c>
      <c r="D4028" s="37" t="s">
        <v>30580</v>
      </c>
    </row>
    <row r="4029">
      <c r="A4029" s="37" t="s">
        <v>1495</v>
      </c>
      <c r="B4029" s="37" t="s">
        <v>1495</v>
      </c>
      <c r="C4029" s="7" t="s">
        <v>30581</v>
      </c>
      <c r="D4029" s="37" t="s">
        <v>30582</v>
      </c>
    </row>
    <row r="4030">
      <c r="A4030" s="37" t="s">
        <v>1495</v>
      </c>
      <c r="B4030" s="37" t="s">
        <v>1495</v>
      </c>
      <c r="C4030" s="7" t="s">
        <v>30583</v>
      </c>
      <c r="D4030" s="37" t="s">
        <v>30584</v>
      </c>
    </row>
    <row r="4031">
      <c r="A4031" s="37" t="s">
        <v>1495</v>
      </c>
      <c r="B4031" s="37" t="s">
        <v>1495</v>
      </c>
      <c r="C4031" s="7" t="s">
        <v>30585</v>
      </c>
      <c r="D4031" s="37" t="s">
        <v>30586</v>
      </c>
    </row>
    <row r="4032">
      <c r="A4032" s="37" t="s">
        <v>1495</v>
      </c>
      <c r="B4032" s="37" t="s">
        <v>1495</v>
      </c>
      <c r="C4032" s="7" t="s">
        <v>30587</v>
      </c>
      <c r="D4032" s="37" t="s">
        <v>30588</v>
      </c>
    </row>
    <row r="4033">
      <c r="A4033" s="37" t="s">
        <v>1174</v>
      </c>
      <c r="B4033" s="37" t="s">
        <v>1096</v>
      </c>
      <c r="C4033" s="7" t="s">
        <v>30589</v>
      </c>
      <c r="D4033" s="37" t="s">
        <v>30590</v>
      </c>
    </row>
    <row r="4034">
      <c r="A4034" s="37" t="s">
        <v>1246</v>
      </c>
      <c r="B4034" s="37" t="s">
        <v>1242</v>
      </c>
      <c r="C4034" s="7" t="s">
        <v>29821</v>
      </c>
      <c r="D4034" s="37" t="s">
        <v>30591</v>
      </c>
    </row>
    <row r="4035">
      <c r="A4035" s="37" t="s">
        <v>29194</v>
      </c>
      <c r="B4035" s="37" t="s">
        <v>30078</v>
      </c>
      <c r="C4035" s="7" t="s">
        <v>5771</v>
      </c>
      <c r="D4035" s="37" t="s">
        <v>30592</v>
      </c>
    </row>
    <row r="4036">
      <c r="A4036" s="37" t="s">
        <v>30002</v>
      </c>
      <c r="B4036" s="37" t="s">
        <v>24942</v>
      </c>
      <c r="C4036" s="7" t="s">
        <v>30593</v>
      </c>
      <c r="D4036" s="37" t="s">
        <v>30594</v>
      </c>
    </row>
    <row r="4037">
      <c r="A4037" s="37" t="s">
        <v>30439</v>
      </c>
      <c r="B4037" s="37" t="s">
        <v>1495</v>
      </c>
      <c r="C4037" s="7" t="s">
        <v>30595</v>
      </c>
      <c r="D4037" s="37" t="s">
        <v>30596</v>
      </c>
    </row>
    <row r="4038">
      <c r="A4038" s="37" t="s">
        <v>4</v>
      </c>
      <c r="B4038" s="37" t="s">
        <v>1293</v>
      </c>
      <c r="C4038" s="7" t="s">
        <v>30597</v>
      </c>
      <c r="D4038" s="37" t="s">
        <v>30598</v>
      </c>
    </row>
    <row r="4039">
      <c r="A4039" s="37" t="s">
        <v>1174</v>
      </c>
      <c r="B4039" s="37" t="s">
        <v>1096</v>
      </c>
      <c r="C4039" s="7" t="s">
        <v>30599</v>
      </c>
      <c r="D4039" s="37" t="s">
        <v>30600</v>
      </c>
    </row>
    <row r="4040">
      <c r="A4040" s="37" t="s">
        <v>1314</v>
      </c>
      <c r="B4040" s="37" t="s">
        <v>24942</v>
      </c>
      <c r="C4040" s="7" t="s">
        <v>25277</v>
      </c>
      <c r="D4040" s="37" t="s">
        <v>30601</v>
      </c>
    </row>
    <row r="4041">
      <c r="A4041" s="37" t="s">
        <v>1065</v>
      </c>
      <c r="B4041" s="37" t="s">
        <v>478</v>
      </c>
      <c r="C4041" s="7" t="s">
        <v>30602</v>
      </c>
      <c r="D4041" s="37" t="s">
        <v>30603</v>
      </c>
    </row>
    <row r="4042">
      <c r="A4042" s="37" t="s">
        <v>1065</v>
      </c>
      <c r="B4042" s="37" t="s">
        <v>478</v>
      </c>
      <c r="C4042" s="7" t="s">
        <v>6453</v>
      </c>
      <c r="D4042" s="37" t="s">
        <v>30604</v>
      </c>
    </row>
    <row r="4043">
      <c r="A4043" s="37" t="s">
        <v>1065</v>
      </c>
      <c r="B4043" s="37" t="s">
        <v>478</v>
      </c>
      <c r="C4043" s="7" t="s">
        <v>30605</v>
      </c>
      <c r="D4043" s="37" t="s">
        <v>30606</v>
      </c>
    </row>
    <row r="4044">
      <c r="A4044" s="37" t="s">
        <v>1065</v>
      </c>
      <c r="B4044" s="37" t="s">
        <v>478</v>
      </c>
      <c r="C4044" s="7" t="s">
        <v>30607</v>
      </c>
      <c r="D4044" s="37" t="s">
        <v>30608</v>
      </c>
    </row>
    <row r="4045">
      <c r="A4045" s="37" t="s">
        <v>1314</v>
      </c>
      <c r="B4045" s="37" t="s">
        <v>24942</v>
      </c>
      <c r="C4045" s="7" t="s">
        <v>30609</v>
      </c>
      <c r="D4045" s="37" t="s">
        <v>30610</v>
      </c>
    </row>
    <row r="4046">
      <c r="A4046" s="37" t="s">
        <v>1245</v>
      </c>
      <c r="B4046" s="37" t="s">
        <v>1242</v>
      </c>
      <c r="C4046" s="7" t="s">
        <v>30611</v>
      </c>
      <c r="D4046" s="37" t="s">
        <v>30612</v>
      </c>
    </row>
    <row r="4047">
      <c r="A4047" s="37" t="s">
        <v>1311</v>
      </c>
      <c r="B4047" s="37" t="s">
        <v>1054</v>
      </c>
      <c r="C4047" s="7" t="s">
        <v>30613</v>
      </c>
      <c r="D4047" s="37" t="s">
        <v>30614</v>
      </c>
    </row>
    <row r="4048">
      <c r="A4048" s="37" t="s">
        <v>1278</v>
      </c>
      <c r="B4048" s="37" t="s">
        <v>1054</v>
      </c>
      <c r="C4048" s="37" t="s">
        <v>30615</v>
      </c>
      <c r="D4048" s="37" t="s">
        <v>30616</v>
      </c>
    </row>
    <row r="4049">
      <c r="A4049" s="37" t="s">
        <v>51</v>
      </c>
      <c r="B4049" s="37" t="s">
        <v>854</v>
      </c>
      <c r="C4049" s="7" t="s">
        <v>30617</v>
      </c>
      <c r="D4049" s="37" t="s">
        <v>30618</v>
      </c>
    </row>
    <row r="4050">
      <c r="A4050" s="37" t="s">
        <v>1158</v>
      </c>
      <c r="B4050" s="37" t="s">
        <v>693</v>
      </c>
      <c r="C4050" s="7" t="s">
        <v>30619</v>
      </c>
      <c r="D4050" s="37" t="s">
        <v>30620</v>
      </c>
    </row>
    <row r="4051">
      <c r="A4051" s="37" t="s">
        <v>1158</v>
      </c>
      <c r="B4051" s="37" t="s">
        <v>693</v>
      </c>
      <c r="C4051" s="7" t="s">
        <v>30621</v>
      </c>
      <c r="D4051" s="37" t="s">
        <v>30622</v>
      </c>
    </row>
    <row r="4052">
      <c r="A4052" s="37" t="s">
        <v>1158</v>
      </c>
      <c r="B4052" s="37" t="s">
        <v>693</v>
      </c>
      <c r="C4052" s="7" t="s">
        <v>30623</v>
      </c>
      <c r="D4052" s="37" t="s">
        <v>30624</v>
      </c>
    </row>
    <row r="4053">
      <c r="A4053" s="37" t="s">
        <v>1174</v>
      </c>
      <c r="B4053" s="37" t="s">
        <v>1096</v>
      </c>
      <c r="C4053" s="7" t="s">
        <v>30625</v>
      </c>
      <c r="D4053" s="37" t="s">
        <v>30626</v>
      </c>
    </row>
    <row r="4054">
      <c r="A4054" s="37" t="s">
        <v>1361</v>
      </c>
      <c r="B4054" s="37" t="s">
        <v>1096</v>
      </c>
      <c r="C4054" s="7" t="s">
        <v>30025</v>
      </c>
      <c r="D4054" s="37" t="s">
        <v>30627</v>
      </c>
    </row>
    <row r="4055">
      <c r="A4055" s="37" t="s">
        <v>1361</v>
      </c>
      <c r="B4055" s="37" t="s">
        <v>1096</v>
      </c>
      <c r="C4055" s="7" t="s">
        <v>30628</v>
      </c>
      <c r="D4055" s="37" t="s">
        <v>30629</v>
      </c>
    </row>
    <row r="4056">
      <c r="A4056" s="37" t="s">
        <v>1065</v>
      </c>
      <c r="B4056" s="37" t="s">
        <v>478</v>
      </c>
      <c r="C4056" s="7" t="s">
        <v>30630</v>
      </c>
      <c r="D4056" s="37" t="s">
        <v>30631</v>
      </c>
    </row>
    <row r="4057">
      <c r="A4057" s="37" t="s">
        <v>1137</v>
      </c>
      <c r="B4057" s="37" t="s">
        <v>1096</v>
      </c>
      <c r="C4057" s="7" t="s">
        <v>30632</v>
      </c>
      <c r="D4057" s="37" t="s">
        <v>30633</v>
      </c>
    </row>
    <row r="4058">
      <c r="A4058" s="37" t="s">
        <v>286</v>
      </c>
      <c r="B4058" s="37" t="s">
        <v>854</v>
      </c>
      <c r="C4058" s="7" t="s">
        <v>30634</v>
      </c>
      <c r="D4058" s="37" t="s">
        <v>30635</v>
      </c>
    </row>
    <row r="4059">
      <c r="A4059" s="37" t="s">
        <v>1065</v>
      </c>
      <c r="B4059" s="37" t="s">
        <v>478</v>
      </c>
      <c r="C4059" s="7" t="s">
        <v>30636</v>
      </c>
      <c r="D4059" s="37" t="s">
        <v>30637</v>
      </c>
    </row>
    <row r="4060">
      <c r="A4060" s="37" t="s">
        <v>1065</v>
      </c>
      <c r="B4060" s="37" t="s">
        <v>478</v>
      </c>
      <c r="C4060" s="7" t="s">
        <v>30638</v>
      </c>
      <c r="D4060" s="37" t="s">
        <v>30639</v>
      </c>
    </row>
    <row r="4061">
      <c r="A4061" s="37" t="s">
        <v>443</v>
      </c>
      <c r="B4061" s="37" t="s">
        <v>1078</v>
      </c>
      <c r="C4061" s="7" t="s">
        <v>30640</v>
      </c>
      <c r="D4061" s="37" t="s">
        <v>30641</v>
      </c>
    </row>
    <row r="4062">
      <c r="A4062" s="37" t="s">
        <v>1361</v>
      </c>
      <c r="B4062" s="37" t="s">
        <v>1096</v>
      </c>
      <c r="C4062" s="7" t="s">
        <v>30642</v>
      </c>
      <c r="D4062" s="37" t="s">
        <v>30643</v>
      </c>
    </row>
    <row r="4063">
      <c r="A4063" s="37" t="s">
        <v>28902</v>
      </c>
      <c r="B4063" s="37" t="s">
        <v>1495</v>
      </c>
      <c r="C4063" s="37" t="s">
        <v>30644</v>
      </c>
      <c r="D4063" s="37" t="s">
        <v>30645</v>
      </c>
    </row>
    <row r="4064">
      <c r="A4064" s="37" t="s">
        <v>484</v>
      </c>
      <c r="B4064" s="37" t="s">
        <v>478</v>
      </c>
      <c r="C4064" s="7" t="s">
        <v>30646</v>
      </c>
      <c r="D4064" s="37" t="s">
        <v>30647</v>
      </c>
    </row>
    <row r="4065">
      <c r="A4065" s="37" t="s">
        <v>1245</v>
      </c>
      <c r="B4065" s="37" t="s">
        <v>1242</v>
      </c>
      <c r="C4065" s="7" t="s">
        <v>30648</v>
      </c>
      <c r="D4065" s="37" t="s">
        <v>30649</v>
      </c>
    </row>
    <row r="4066">
      <c r="A4066" s="37" t="s">
        <v>30262</v>
      </c>
      <c r="B4066" s="37" t="s">
        <v>363</v>
      </c>
      <c r="C4066" s="7" t="s">
        <v>30650</v>
      </c>
      <c r="D4066" s="37" t="s">
        <v>30651</v>
      </c>
    </row>
    <row r="4067">
      <c r="A4067" s="37" t="s">
        <v>29724</v>
      </c>
      <c r="B4067" s="37" t="s">
        <v>192</v>
      </c>
      <c r="C4067" s="7" t="s">
        <v>30652</v>
      </c>
      <c r="D4067" s="37" t="s">
        <v>30653</v>
      </c>
    </row>
    <row r="4068">
      <c r="A4068" s="37" t="s">
        <v>1174</v>
      </c>
      <c r="B4068" s="37" t="s">
        <v>1096</v>
      </c>
      <c r="C4068" s="7" t="s">
        <v>7180</v>
      </c>
      <c r="D4068" s="37" t="s">
        <v>30654</v>
      </c>
    </row>
    <row r="4069">
      <c r="A4069" s="37" t="s">
        <v>1571</v>
      </c>
      <c r="B4069" s="37" t="s">
        <v>363</v>
      </c>
      <c r="C4069" s="7" t="s">
        <v>30655</v>
      </c>
      <c r="D4069" s="37" t="s">
        <v>30656</v>
      </c>
    </row>
    <row r="4070">
      <c r="A4070" s="37" t="s">
        <v>4</v>
      </c>
      <c r="B4070" s="37" t="s">
        <v>1293</v>
      </c>
      <c r="C4070" s="7" t="s">
        <v>30657</v>
      </c>
      <c r="D4070" s="37" t="s">
        <v>30658</v>
      </c>
    </row>
    <row r="4071">
      <c r="A4071" s="37" t="s">
        <v>4</v>
      </c>
      <c r="B4071" s="37" t="s">
        <v>1293</v>
      </c>
      <c r="C4071" s="7" t="s">
        <v>30659</v>
      </c>
      <c r="D4071" s="37" t="s">
        <v>30660</v>
      </c>
    </row>
    <row r="4072">
      <c r="A4072" s="37" t="s">
        <v>1357</v>
      </c>
      <c r="B4072" s="37" t="s">
        <v>1096</v>
      </c>
      <c r="C4072" s="7" t="s">
        <v>30661</v>
      </c>
      <c r="D4072" s="37" t="s">
        <v>30662</v>
      </c>
    </row>
    <row r="4073">
      <c r="A4073" s="37" t="s">
        <v>1243</v>
      </c>
      <c r="B4073" s="37" t="s">
        <v>1242</v>
      </c>
      <c r="C4073" s="7" t="s">
        <v>30663</v>
      </c>
      <c r="D4073" s="37" t="s">
        <v>30664</v>
      </c>
    </row>
    <row r="4074">
      <c r="A4074" s="37" t="s">
        <v>1243</v>
      </c>
      <c r="B4074" s="37" t="s">
        <v>1243</v>
      </c>
      <c r="C4074" s="7" t="s">
        <v>30665</v>
      </c>
      <c r="D4074" s="37" t="s">
        <v>30666</v>
      </c>
    </row>
    <row r="4075">
      <c r="A4075" s="37" t="s">
        <v>4</v>
      </c>
      <c r="B4075" s="37" t="s">
        <v>1293</v>
      </c>
      <c r="C4075" s="7" t="s">
        <v>30667</v>
      </c>
      <c r="D4075" s="37" t="s">
        <v>30668</v>
      </c>
    </row>
    <row r="4076">
      <c r="A4076" s="37" t="s">
        <v>148</v>
      </c>
      <c r="B4076" s="37" t="s">
        <v>1096</v>
      </c>
      <c r="C4076" s="7" t="s">
        <v>30669</v>
      </c>
      <c r="D4076" s="37" t="s">
        <v>30670</v>
      </c>
    </row>
    <row r="4077">
      <c r="A4077" s="37" t="s">
        <v>1245</v>
      </c>
      <c r="B4077" s="37" t="s">
        <v>1242</v>
      </c>
      <c r="C4077" s="7" t="s">
        <v>30671</v>
      </c>
      <c r="D4077" s="37" t="s">
        <v>30672</v>
      </c>
    </row>
    <row r="4078">
      <c r="A4078" s="37" t="s">
        <v>1161</v>
      </c>
      <c r="B4078" s="37" t="s">
        <v>693</v>
      </c>
      <c r="C4078" s="37" t="s">
        <v>30673</v>
      </c>
      <c r="D4078" s="37" t="s">
        <v>30674</v>
      </c>
    </row>
    <row r="4079">
      <c r="A4079" s="37" t="s">
        <v>1065</v>
      </c>
      <c r="B4079" s="37" t="s">
        <v>478</v>
      </c>
      <c r="C4079" s="7" t="s">
        <v>30675</v>
      </c>
      <c r="D4079" s="37" t="s">
        <v>30676</v>
      </c>
    </row>
    <row r="4080">
      <c r="A4080" s="37" t="s">
        <v>1174</v>
      </c>
      <c r="B4080" s="37" t="s">
        <v>1096</v>
      </c>
      <c r="C4080" s="7" t="s">
        <v>4071</v>
      </c>
      <c r="D4080" s="37" t="s">
        <v>30677</v>
      </c>
    </row>
    <row r="4081">
      <c r="A4081" s="37" t="s">
        <v>1157</v>
      </c>
      <c r="B4081" s="37" t="s">
        <v>693</v>
      </c>
      <c r="C4081" s="7" t="s">
        <v>30678</v>
      </c>
      <c r="D4081" s="37" t="s">
        <v>30679</v>
      </c>
    </row>
    <row r="4082">
      <c r="A4082" s="37" t="s">
        <v>29724</v>
      </c>
      <c r="B4082" s="37" t="s">
        <v>192</v>
      </c>
      <c r="C4082" s="7" t="s">
        <v>30680</v>
      </c>
      <c r="D4082" s="37" t="s">
        <v>30681</v>
      </c>
    </row>
    <row r="4083">
      <c r="A4083" s="37" t="s">
        <v>1174</v>
      </c>
      <c r="B4083" s="37" t="s">
        <v>1096</v>
      </c>
      <c r="C4083" s="7" t="s">
        <v>30682</v>
      </c>
      <c r="D4083" s="37" t="s">
        <v>30683</v>
      </c>
    </row>
    <row r="4084">
      <c r="A4084" s="37" t="s">
        <v>1237</v>
      </c>
      <c r="B4084" s="37" t="s">
        <v>29912</v>
      </c>
      <c r="C4084" s="7" t="s">
        <v>30684</v>
      </c>
      <c r="D4084" s="37" t="s">
        <v>30685</v>
      </c>
    </row>
    <row r="4085">
      <c r="A4085" s="37" t="s">
        <v>1232</v>
      </c>
      <c r="B4085" s="37" t="s">
        <v>440</v>
      </c>
      <c r="C4085" s="7" t="s">
        <v>23934</v>
      </c>
      <c r="D4085" s="37" t="s">
        <v>30686</v>
      </c>
    </row>
    <row r="4086">
      <c r="A4086" s="37" t="s">
        <v>148</v>
      </c>
      <c r="B4086" s="37" t="s">
        <v>26038</v>
      </c>
      <c r="C4086" s="7" t="s">
        <v>30687</v>
      </c>
      <c r="D4086" s="37" t="s">
        <v>30688</v>
      </c>
    </row>
    <row r="4087">
      <c r="A4087" s="37" t="s">
        <v>148</v>
      </c>
      <c r="B4087" s="37" t="s">
        <v>26038</v>
      </c>
      <c r="C4087" s="7" t="s">
        <v>30689</v>
      </c>
      <c r="D4087" s="37" t="s">
        <v>30690</v>
      </c>
    </row>
    <row r="4088">
      <c r="A4088" s="37" t="s">
        <v>1246</v>
      </c>
      <c r="B4088" s="37" t="s">
        <v>38</v>
      </c>
      <c r="C4088" s="7" t="s">
        <v>30691</v>
      </c>
      <c r="D4088" s="37" t="s">
        <v>30692</v>
      </c>
    </row>
    <row r="4089">
      <c r="A4089" s="37" t="s">
        <v>51</v>
      </c>
      <c r="B4089" s="37" t="s">
        <v>363</v>
      </c>
      <c r="C4089" s="7" t="s">
        <v>30693</v>
      </c>
      <c r="D4089" s="37" t="s">
        <v>30694</v>
      </c>
    </row>
    <row r="4090">
      <c r="A4090" s="37" t="s">
        <v>1158</v>
      </c>
      <c r="B4090" s="37" t="s">
        <v>693</v>
      </c>
      <c r="C4090" s="7" t="s">
        <v>30695</v>
      </c>
      <c r="D4090" s="37" t="s">
        <v>30696</v>
      </c>
    </row>
    <row r="4091">
      <c r="A4091" s="37" t="s">
        <v>4</v>
      </c>
      <c r="B4091" s="37" t="s">
        <v>1293</v>
      </c>
      <c r="C4091" s="37" t="s">
        <v>30697</v>
      </c>
      <c r="D4091" s="37" t="s">
        <v>30698</v>
      </c>
    </row>
    <row r="4092">
      <c r="A4092" s="37" t="s">
        <v>4</v>
      </c>
      <c r="B4092" s="37" t="s">
        <v>1293</v>
      </c>
      <c r="C4092" s="7" t="s">
        <v>30699</v>
      </c>
      <c r="D4092" s="37" t="s">
        <v>30700</v>
      </c>
    </row>
    <row r="4093">
      <c r="A4093" s="37" t="s">
        <v>30002</v>
      </c>
      <c r="B4093" s="37" t="s">
        <v>24942</v>
      </c>
      <c r="C4093" s="7" t="s">
        <v>30701</v>
      </c>
      <c r="D4093" s="37" t="s">
        <v>30702</v>
      </c>
    </row>
    <row r="4094">
      <c r="A4094" s="37" t="s">
        <v>30002</v>
      </c>
      <c r="B4094" s="37" t="s">
        <v>24942</v>
      </c>
      <c r="C4094" s="7" t="s">
        <v>30703</v>
      </c>
      <c r="D4094" s="37" t="s">
        <v>30704</v>
      </c>
    </row>
    <row r="4095">
      <c r="A4095" s="37" t="s">
        <v>30002</v>
      </c>
      <c r="B4095" s="37" t="s">
        <v>24942</v>
      </c>
      <c r="C4095" s="7" t="s">
        <v>30705</v>
      </c>
      <c r="D4095" s="37" t="s">
        <v>30706</v>
      </c>
    </row>
    <row r="4096">
      <c r="A4096" s="37" t="s">
        <v>1137</v>
      </c>
      <c r="B4096" s="37" t="s">
        <v>30707</v>
      </c>
      <c r="C4096" s="37" t="s">
        <v>30708</v>
      </c>
      <c r="D4096" s="37" t="s">
        <v>30709</v>
      </c>
    </row>
    <row r="4097">
      <c r="A4097" s="37" t="s">
        <v>1065</v>
      </c>
      <c r="B4097" s="37" t="s">
        <v>478</v>
      </c>
      <c r="C4097" s="7" t="s">
        <v>30710</v>
      </c>
      <c r="D4097" s="37" t="s">
        <v>30711</v>
      </c>
    </row>
    <row r="4098">
      <c r="A4098" s="37" t="s">
        <v>1065</v>
      </c>
      <c r="B4098" s="37" t="s">
        <v>478</v>
      </c>
      <c r="C4098" s="7" t="s">
        <v>30712</v>
      </c>
      <c r="D4098" s="37" t="s">
        <v>30713</v>
      </c>
    </row>
    <row r="4099">
      <c r="A4099" s="37" t="s">
        <v>1065</v>
      </c>
      <c r="B4099" s="37" t="s">
        <v>478</v>
      </c>
      <c r="C4099" s="7" t="s">
        <v>30714</v>
      </c>
      <c r="D4099" s="37" t="s">
        <v>30715</v>
      </c>
    </row>
    <row r="4100">
      <c r="A4100" s="37" t="s">
        <v>1065</v>
      </c>
      <c r="B4100" s="37" t="s">
        <v>478</v>
      </c>
      <c r="C4100" s="7" t="s">
        <v>25127</v>
      </c>
      <c r="D4100" s="37" t="s">
        <v>30716</v>
      </c>
    </row>
    <row r="4101">
      <c r="A4101" s="37" t="s">
        <v>1495</v>
      </c>
      <c r="B4101" s="37" t="s">
        <v>391</v>
      </c>
      <c r="C4101" s="7" t="s">
        <v>30717</v>
      </c>
      <c r="D4101" s="37" t="s">
        <v>30718</v>
      </c>
    </row>
    <row r="4102">
      <c r="A4102" s="37" t="s">
        <v>30002</v>
      </c>
      <c r="B4102" s="37" t="s">
        <v>24942</v>
      </c>
      <c r="C4102" s="7" t="s">
        <v>30719</v>
      </c>
      <c r="D4102" s="37" t="s">
        <v>30720</v>
      </c>
    </row>
    <row r="4103">
      <c r="A4103" s="37" t="s">
        <v>29942</v>
      </c>
      <c r="B4103" s="37" t="s">
        <v>1495</v>
      </c>
      <c r="C4103" s="7" t="s">
        <v>30721</v>
      </c>
      <c r="D4103" s="37" t="s">
        <v>30722</v>
      </c>
    </row>
    <row r="4104">
      <c r="A4104" s="37" t="s">
        <v>30168</v>
      </c>
      <c r="B4104" s="37" t="s">
        <v>363</v>
      </c>
      <c r="C4104" s="7" t="s">
        <v>30723</v>
      </c>
      <c r="D4104" s="37" t="s">
        <v>30724</v>
      </c>
    </row>
    <row r="4105">
      <c r="A4105" s="37" t="s">
        <v>1174</v>
      </c>
      <c r="B4105" s="37" t="s">
        <v>1096</v>
      </c>
      <c r="C4105" s="7" t="s">
        <v>30725</v>
      </c>
      <c r="D4105" s="37" t="s">
        <v>30726</v>
      </c>
    </row>
    <row r="4106">
      <c r="A4106" s="37" t="s">
        <v>1278</v>
      </c>
      <c r="B4106" s="37" t="s">
        <v>24942</v>
      </c>
      <c r="C4106" s="7" t="s">
        <v>30727</v>
      </c>
      <c r="D4106" s="37" t="s">
        <v>30728</v>
      </c>
    </row>
    <row r="4107">
      <c r="A4107" s="37" t="s">
        <v>1495</v>
      </c>
      <c r="B4107" s="37" t="s">
        <v>854</v>
      </c>
      <c r="C4107" s="37" t="s">
        <v>30729</v>
      </c>
      <c r="D4107" s="37" t="s">
        <v>30730</v>
      </c>
    </row>
    <row r="4108">
      <c r="A4108" s="37" t="s">
        <v>1602</v>
      </c>
      <c r="B4108" s="37" t="s">
        <v>30731</v>
      </c>
      <c r="C4108" s="37" t="s">
        <v>30732</v>
      </c>
      <c r="D4108" s="37" t="s">
        <v>30733</v>
      </c>
    </row>
    <row r="4109">
      <c r="A4109" s="37" t="s">
        <v>1151</v>
      </c>
      <c r="B4109" s="37" t="s">
        <v>1179</v>
      </c>
      <c r="C4109" s="7" t="s">
        <v>30734</v>
      </c>
      <c r="D4109" s="37" t="s">
        <v>30735</v>
      </c>
    </row>
    <row r="4110">
      <c r="A4110" s="37" t="s">
        <v>1184</v>
      </c>
      <c r="B4110" s="37" t="s">
        <v>1179</v>
      </c>
      <c r="C4110" s="7" t="s">
        <v>1927</v>
      </c>
      <c r="D4110" s="37" t="s">
        <v>30736</v>
      </c>
    </row>
    <row r="4111">
      <c r="A4111" s="37" t="s">
        <v>1227</v>
      </c>
      <c r="B4111" s="37" t="s">
        <v>854</v>
      </c>
      <c r="C4111" s="7" t="s">
        <v>30737</v>
      </c>
      <c r="D4111" s="37" t="s">
        <v>30738</v>
      </c>
    </row>
    <row r="4112">
      <c r="A4112" s="37" t="s">
        <v>29724</v>
      </c>
      <c r="B4112" s="37" t="s">
        <v>192</v>
      </c>
      <c r="C4112" s="7" t="s">
        <v>30739</v>
      </c>
      <c r="D4112" s="37" t="s">
        <v>30740</v>
      </c>
    </row>
    <row r="4113">
      <c r="A4113" s="37" t="s">
        <v>1278</v>
      </c>
      <c r="B4113" s="37" t="s">
        <v>1054</v>
      </c>
      <c r="C4113" s="37" t="s">
        <v>30741</v>
      </c>
      <c r="D4113" s="37" t="s">
        <v>30742</v>
      </c>
    </row>
    <row r="4114">
      <c r="A4114" s="37" t="s">
        <v>1223</v>
      </c>
      <c r="B4114" s="37" t="s">
        <v>854</v>
      </c>
      <c r="C4114" s="7" t="s">
        <v>30743</v>
      </c>
      <c r="D4114" s="37" t="s">
        <v>30744</v>
      </c>
    </row>
    <row r="4115">
      <c r="A4115" s="37" t="s">
        <v>1223</v>
      </c>
      <c r="B4115" s="37" t="s">
        <v>854</v>
      </c>
      <c r="C4115" s="7" t="s">
        <v>30745</v>
      </c>
      <c r="D4115" s="37" t="s">
        <v>30746</v>
      </c>
    </row>
    <row r="4116">
      <c r="A4116" s="37" t="s">
        <v>1602</v>
      </c>
      <c r="B4116" s="37" t="s">
        <v>24942</v>
      </c>
      <c r="C4116" s="37" t="s">
        <v>30747</v>
      </c>
      <c r="D4116" s="37" t="s">
        <v>30748</v>
      </c>
    </row>
    <row r="4117">
      <c r="A4117" s="37" t="s">
        <v>443</v>
      </c>
      <c r="B4117" s="37" t="s">
        <v>1078</v>
      </c>
      <c r="C4117" s="7" t="s">
        <v>30749</v>
      </c>
      <c r="D4117" s="37" t="s">
        <v>30750</v>
      </c>
    </row>
    <row r="4118">
      <c r="A4118" s="37" t="s">
        <v>1311</v>
      </c>
      <c r="B4118" s="37" t="s">
        <v>1054</v>
      </c>
      <c r="C4118" s="7" t="s">
        <v>30751</v>
      </c>
      <c r="D4118" s="37" t="s">
        <v>30752</v>
      </c>
    </row>
    <row r="4119">
      <c r="A4119" s="37" t="s">
        <v>1602</v>
      </c>
      <c r="B4119" s="37" t="s">
        <v>24942</v>
      </c>
      <c r="C4119" s="7" t="s">
        <v>30753</v>
      </c>
      <c r="D4119" s="37" t="s">
        <v>30754</v>
      </c>
    </row>
    <row r="4120">
      <c r="A4120" s="37" t="s">
        <v>1602</v>
      </c>
      <c r="B4120" s="37" t="s">
        <v>24942</v>
      </c>
      <c r="C4120" s="7" t="s">
        <v>30755</v>
      </c>
      <c r="D4120" s="37" t="s">
        <v>30756</v>
      </c>
    </row>
    <row r="4121">
      <c r="A4121" s="37" t="s">
        <v>1602</v>
      </c>
      <c r="B4121" s="37" t="s">
        <v>24942</v>
      </c>
      <c r="C4121" s="7" t="s">
        <v>30757</v>
      </c>
      <c r="D4121" s="37" t="s">
        <v>30758</v>
      </c>
    </row>
    <row r="4122">
      <c r="A4122" s="37" t="s">
        <v>1602</v>
      </c>
      <c r="B4122" s="37" t="s">
        <v>24942</v>
      </c>
      <c r="C4122" s="7" t="s">
        <v>30759</v>
      </c>
      <c r="D4122" s="37" t="s">
        <v>30760</v>
      </c>
    </row>
    <row r="4123">
      <c r="A4123" s="37" t="s">
        <v>1602</v>
      </c>
      <c r="B4123" s="37" t="s">
        <v>24942</v>
      </c>
      <c r="C4123" s="7" t="s">
        <v>28380</v>
      </c>
      <c r="D4123" s="37" t="s">
        <v>30761</v>
      </c>
    </row>
    <row r="4124">
      <c r="A4124" s="37" t="s">
        <v>148</v>
      </c>
      <c r="B4124" s="37" t="s">
        <v>26038</v>
      </c>
      <c r="C4124" s="7" t="s">
        <v>30762</v>
      </c>
      <c r="D4124" s="37" t="s">
        <v>30763</v>
      </c>
    </row>
    <row r="4125">
      <c r="A4125" s="37" t="s">
        <v>148</v>
      </c>
      <c r="B4125" s="37" t="s">
        <v>26038</v>
      </c>
      <c r="C4125" s="7" t="s">
        <v>24931</v>
      </c>
      <c r="D4125" s="37" t="s">
        <v>30764</v>
      </c>
    </row>
    <row r="4126">
      <c r="A4126" s="37" t="s">
        <v>1278</v>
      </c>
      <c r="B4126" s="37" t="s">
        <v>24942</v>
      </c>
      <c r="C4126" s="7" t="s">
        <v>30765</v>
      </c>
      <c r="D4126" s="37" t="s">
        <v>30766</v>
      </c>
    </row>
    <row r="4127">
      <c r="A4127" s="37" t="s">
        <v>1161</v>
      </c>
      <c r="B4127" s="37" t="s">
        <v>693</v>
      </c>
      <c r="C4127" s="7" t="s">
        <v>30767</v>
      </c>
      <c r="D4127" s="37" t="s">
        <v>30768</v>
      </c>
    </row>
    <row r="4128">
      <c r="A4128" s="37" t="s">
        <v>4</v>
      </c>
      <c r="B4128" s="37" t="s">
        <v>1293</v>
      </c>
      <c r="C4128" s="7" t="s">
        <v>30769</v>
      </c>
      <c r="D4128" s="37" t="s">
        <v>30770</v>
      </c>
    </row>
    <row r="4129">
      <c r="A4129" s="37" t="s">
        <v>29942</v>
      </c>
      <c r="B4129" s="37" t="s">
        <v>1495</v>
      </c>
      <c r="C4129" s="7" t="s">
        <v>30771</v>
      </c>
      <c r="D4129" s="37" t="s">
        <v>30772</v>
      </c>
    </row>
    <row r="4130">
      <c r="A4130" s="37" t="s">
        <v>104</v>
      </c>
      <c r="B4130" s="37" t="s">
        <v>613</v>
      </c>
      <c r="C4130" s="7" t="s">
        <v>30773</v>
      </c>
      <c r="D4130" s="37" t="s">
        <v>30774</v>
      </c>
    </row>
    <row r="4131">
      <c r="A4131" s="37" t="s">
        <v>30002</v>
      </c>
      <c r="B4131" s="37" t="s">
        <v>24942</v>
      </c>
      <c r="C4131" s="7" t="s">
        <v>30775</v>
      </c>
      <c r="D4131" s="37" t="s">
        <v>30776</v>
      </c>
    </row>
    <row r="4132">
      <c r="A4132" s="37" t="s">
        <v>1495</v>
      </c>
      <c r="B4132" s="37" t="s">
        <v>1495</v>
      </c>
      <c r="C4132" s="37" t="s">
        <v>30777</v>
      </c>
      <c r="D4132" s="37" t="s">
        <v>30778</v>
      </c>
    </row>
    <row r="4133">
      <c r="A4133" s="37" t="s">
        <v>1237</v>
      </c>
      <c r="B4133" s="37" t="s">
        <v>29912</v>
      </c>
      <c r="C4133" s="7" t="s">
        <v>30779</v>
      </c>
      <c r="D4133" s="37" t="s">
        <v>30780</v>
      </c>
    </row>
    <row r="4134">
      <c r="A4134" s="37" t="s">
        <v>30002</v>
      </c>
      <c r="B4134" s="37" t="s">
        <v>24942</v>
      </c>
      <c r="C4134" s="7" t="s">
        <v>30781</v>
      </c>
      <c r="D4134" s="37" t="s">
        <v>30782</v>
      </c>
    </row>
    <row r="4135">
      <c r="A4135" s="37" t="s">
        <v>1161</v>
      </c>
      <c r="B4135" s="37" t="s">
        <v>693</v>
      </c>
      <c r="C4135" s="37" t="s">
        <v>30783</v>
      </c>
      <c r="D4135" s="37" t="s">
        <v>30784</v>
      </c>
    </row>
    <row r="4136">
      <c r="A4136" s="37" t="s">
        <v>1224</v>
      </c>
      <c r="B4136" s="37" t="s">
        <v>854</v>
      </c>
      <c r="C4136" s="7" t="s">
        <v>30785</v>
      </c>
      <c r="D4136" s="37" t="s">
        <v>30786</v>
      </c>
    </row>
    <row r="4137">
      <c r="A4137" s="37" t="s">
        <v>1245</v>
      </c>
      <c r="B4137" s="37" t="s">
        <v>1242</v>
      </c>
      <c r="C4137" s="7" t="s">
        <v>30787</v>
      </c>
      <c r="D4137" s="37" t="s">
        <v>30788</v>
      </c>
    </row>
    <row r="4138">
      <c r="A4138" s="37" t="s">
        <v>1245</v>
      </c>
      <c r="B4138" s="37" t="s">
        <v>1242</v>
      </c>
      <c r="C4138" s="7" t="s">
        <v>30789</v>
      </c>
      <c r="D4138" s="37" t="s">
        <v>30790</v>
      </c>
    </row>
    <row r="4139">
      <c r="A4139" s="37" t="s">
        <v>29727</v>
      </c>
      <c r="B4139" s="37" t="s">
        <v>1179</v>
      </c>
      <c r="C4139" s="7" t="s">
        <v>30791</v>
      </c>
      <c r="D4139" s="37" t="s">
        <v>30792</v>
      </c>
    </row>
    <row r="4140">
      <c r="A4140" s="37" t="s">
        <v>51</v>
      </c>
      <c r="B4140" s="37" t="s">
        <v>363</v>
      </c>
      <c r="C4140" s="7" t="s">
        <v>30793</v>
      </c>
      <c r="D4140" s="37" t="s">
        <v>30794</v>
      </c>
    </row>
    <row r="4141">
      <c r="A4141" s="37" t="s">
        <v>51</v>
      </c>
      <c r="B4141" s="37" t="s">
        <v>363</v>
      </c>
      <c r="C4141" s="7" t="s">
        <v>30795</v>
      </c>
      <c r="D4141" s="37" t="s">
        <v>30796</v>
      </c>
    </row>
    <row r="4142">
      <c r="A4142" s="37" t="s">
        <v>51</v>
      </c>
      <c r="B4142" s="37" t="s">
        <v>363</v>
      </c>
      <c r="C4142" s="7" t="s">
        <v>30797</v>
      </c>
      <c r="D4142" s="37" t="s">
        <v>30798</v>
      </c>
    </row>
    <row r="4143">
      <c r="A4143" s="37" t="s">
        <v>51</v>
      </c>
      <c r="B4143" s="37" t="s">
        <v>363</v>
      </c>
      <c r="C4143" s="37" t="s">
        <v>30799</v>
      </c>
      <c r="D4143" s="37" t="s">
        <v>30800</v>
      </c>
    </row>
    <row r="4144">
      <c r="A4144" s="37" t="s">
        <v>51</v>
      </c>
      <c r="B4144" s="37" t="s">
        <v>363</v>
      </c>
      <c r="C4144" s="7" t="s">
        <v>30801</v>
      </c>
      <c r="D4144" s="37" t="s">
        <v>30802</v>
      </c>
    </row>
    <row r="4145">
      <c r="A4145" s="37" t="s">
        <v>51</v>
      </c>
      <c r="B4145" s="37" t="s">
        <v>363</v>
      </c>
      <c r="C4145" s="7" t="s">
        <v>30803</v>
      </c>
      <c r="D4145" s="37" t="s">
        <v>30804</v>
      </c>
    </row>
    <row r="4146">
      <c r="A4146" s="37" t="s">
        <v>1153</v>
      </c>
      <c r="B4146" s="37" t="s">
        <v>1179</v>
      </c>
      <c r="C4146" s="37" t="s">
        <v>30805</v>
      </c>
      <c r="D4146" s="37" t="s">
        <v>30806</v>
      </c>
    </row>
    <row r="4147">
      <c r="A4147" s="37" t="s">
        <v>30002</v>
      </c>
      <c r="B4147" s="37" t="s">
        <v>24942</v>
      </c>
      <c r="C4147" s="7" t="s">
        <v>30427</v>
      </c>
      <c r="D4147" s="37" t="s">
        <v>30807</v>
      </c>
    </row>
    <row r="4148">
      <c r="A4148" s="37" t="s">
        <v>1065</v>
      </c>
      <c r="B4148" s="37" t="s">
        <v>478</v>
      </c>
      <c r="C4148" s="7" t="s">
        <v>30808</v>
      </c>
      <c r="D4148" s="37" t="s">
        <v>30809</v>
      </c>
    </row>
    <row r="4149">
      <c r="A4149" s="37" t="s">
        <v>148</v>
      </c>
      <c r="B4149" s="37" t="s">
        <v>1096</v>
      </c>
      <c r="C4149" s="7" t="s">
        <v>30810</v>
      </c>
      <c r="D4149" s="37" t="s">
        <v>30811</v>
      </c>
    </row>
    <row r="4150">
      <c r="A4150" s="37" t="s">
        <v>30002</v>
      </c>
      <c r="B4150" s="37" t="s">
        <v>24942</v>
      </c>
      <c r="C4150" s="7" t="s">
        <v>30812</v>
      </c>
      <c r="D4150" s="37" t="s">
        <v>30813</v>
      </c>
    </row>
    <row r="4151">
      <c r="A4151" s="37" t="s">
        <v>30002</v>
      </c>
      <c r="B4151" s="37" t="s">
        <v>24942</v>
      </c>
      <c r="C4151" s="7" t="s">
        <v>30814</v>
      </c>
      <c r="D4151" s="37" t="s">
        <v>30815</v>
      </c>
    </row>
    <row r="4152">
      <c r="A4152" s="37" t="s">
        <v>148</v>
      </c>
      <c r="B4152" s="37" t="s">
        <v>1096</v>
      </c>
      <c r="C4152" s="7" t="s">
        <v>30816</v>
      </c>
      <c r="D4152" s="37" t="s">
        <v>30817</v>
      </c>
    </row>
    <row r="4153">
      <c r="A4153" s="37" t="s">
        <v>1278</v>
      </c>
      <c r="B4153" s="37" t="s">
        <v>24942</v>
      </c>
      <c r="C4153" s="7" t="s">
        <v>30818</v>
      </c>
      <c r="D4153" s="37" t="s">
        <v>30819</v>
      </c>
    </row>
    <row r="4154">
      <c r="A4154" s="37" t="s">
        <v>802</v>
      </c>
      <c r="B4154" s="37" t="s">
        <v>1062</v>
      </c>
      <c r="C4154" s="7" t="s">
        <v>30820</v>
      </c>
      <c r="D4154" s="37" t="s">
        <v>30821</v>
      </c>
    </row>
    <row r="4155">
      <c r="A4155" s="37" t="s">
        <v>1602</v>
      </c>
      <c r="B4155" s="37" t="s">
        <v>24942</v>
      </c>
      <c r="C4155" s="7" t="s">
        <v>30822</v>
      </c>
      <c r="D4155" s="37" t="s">
        <v>30823</v>
      </c>
    </row>
    <row r="4156">
      <c r="A4156" s="37" t="s">
        <v>1602</v>
      </c>
      <c r="B4156" s="37" t="s">
        <v>24942</v>
      </c>
      <c r="C4156" s="7" t="s">
        <v>30824</v>
      </c>
      <c r="D4156" s="37" t="s">
        <v>30825</v>
      </c>
    </row>
    <row r="4157">
      <c r="A4157" s="37" t="s">
        <v>30002</v>
      </c>
      <c r="B4157" s="37" t="s">
        <v>24942</v>
      </c>
      <c r="C4157" s="7" t="s">
        <v>30826</v>
      </c>
      <c r="D4157" s="37" t="s">
        <v>30827</v>
      </c>
    </row>
    <row r="4158">
      <c r="A4158" s="37" t="s">
        <v>1361</v>
      </c>
      <c r="B4158" s="37" t="s">
        <v>1096</v>
      </c>
      <c r="C4158" s="7" t="s">
        <v>11226</v>
      </c>
      <c r="D4158" s="37" t="s">
        <v>30828</v>
      </c>
    </row>
    <row r="4159">
      <c r="A4159" s="37" t="s">
        <v>30002</v>
      </c>
      <c r="B4159" s="37" t="s">
        <v>24942</v>
      </c>
      <c r="C4159" s="7" t="s">
        <v>30829</v>
      </c>
      <c r="D4159" s="37" t="s">
        <v>30830</v>
      </c>
    </row>
    <row r="4160">
      <c r="A4160" s="37" t="s">
        <v>30002</v>
      </c>
      <c r="B4160" s="37" t="s">
        <v>24942</v>
      </c>
      <c r="C4160" s="7" t="s">
        <v>30831</v>
      </c>
      <c r="D4160" s="37" t="s">
        <v>30832</v>
      </c>
    </row>
    <row r="4161">
      <c r="A4161" s="37" t="s">
        <v>1237</v>
      </c>
      <c r="B4161" s="37" t="s">
        <v>1062</v>
      </c>
      <c r="C4161" s="7" t="s">
        <v>30833</v>
      </c>
      <c r="D4161" s="37" t="s">
        <v>30834</v>
      </c>
    </row>
    <row r="4162">
      <c r="A4162" s="37" t="s">
        <v>28902</v>
      </c>
      <c r="B4162" s="37" t="s">
        <v>1495</v>
      </c>
      <c r="C4162" s="37" t="s">
        <v>30835</v>
      </c>
      <c r="D4162" s="37" t="s">
        <v>30836</v>
      </c>
    </row>
    <row r="4163">
      <c r="A4163" s="37" t="s">
        <v>1157</v>
      </c>
      <c r="B4163" s="37" t="s">
        <v>693</v>
      </c>
      <c r="C4163" s="7" t="s">
        <v>30837</v>
      </c>
      <c r="D4163" s="37" t="s">
        <v>30838</v>
      </c>
    </row>
    <row r="4164">
      <c r="A4164" s="37" t="s">
        <v>30002</v>
      </c>
      <c r="B4164" s="37" t="s">
        <v>24942</v>
      </c>
      <c r="C4164" s="7" t="s">
        <v>30839</v>
      </c>
      <c r="D4164" s="37" t="s">
        <v>30840</v>
      </c>
    </row>
    <row r="4165">
      <c r="A4165" s="37" t="s">
        <v>1223</v>
      </c>
      <c r="B4165" s="37" t="s">
        <v>854</v>
      </c>
      <c r="C4165" s="7" t="s">
        <v>30841</v>
      </c>
      <c r="D4165" s="37" t="s">
        <v>30842</v>
      </c>
    </row>
    <row r="4166">
      <c r="A4166" s="37" t="s">
        <v>4</v>
      </c>
      <c r="B4166" s="37" t="s">
        <v>1293</v>
      </c>
      <c r="C4166" s="7" t="s">
        <v>14058</v>
      </c>
      <c r="D4166" s="37" t="s">
        <v>30843</v>
      </c>
    </row>
    <row r="4167">
      <c r="A4167" s="37" t="s">
        <v>1065</v>
      </c>
      <c r="B4167" s="37" t="s">
        <v>478</v>
      </c>
      <c r="C4167" s="7" t="s">
        <v>30844</v>
      </c>
      <c r="D4167" s="37" t="s">
        <v>30845</v>
      </c>
    </row>
    <row r="4168">
      <c r="A4168" s="37" t="s">
        <v>1137</v>
      </c>
      <c r="B4168" s="37" t="s">
        <v>1096</v>
      </c>
      <c r="C4168" s="37" t="s">
        <v>30846</v>
      </c>
      <c r="D4168" s="37" t="s">
        <v>30847</v>
      </c>
    </row>
    <row r="4169">
      <c r="A4169" s="37" t="s">
        <v>30439</v>
      </c>
      <c r="B4169" s="37" t="s">
        <v>1495</v>
      </c>
      <c r="C4169" s="7" t="s">
        <v>30848</v>
      </c>
      <c r="D4169" s="37" t="s">
        <v>30849</v>
      </c>
    </row>
    <row r="4170">
      <c r="A4170" s="37" t="s">
        <v>1185</v>
      </c>
      <c r="B4170" s="37" t="s">
        <v>1179</v>
      </c>
      <c r="C4170" s="7" t="s">
        <v>30850</v>
      </c>
      <c r="D4170" s="37" t="s">
        <v>30851</v>
      </c>
    </row>
    <row r="4171">
      <c r="A4171" s="37" t="s">
        <v>1311</v>
      </c>
      <c r="B4171" s="37" t="s">
        <v>24942</v>
      </c>
      <c r="C4171" s="7" t="s">
        <v>30852</v>
      </c>
      <c r="D4171" s="37" t="s">
        <v>30853</v>
      </c>
    </row>
    <row r="4172">
      <c r="A4172" s="37" t="s">
        <v>30262</v>
      </c>
      <c r="B4172" s="37" t="s">
        <v>363</v>
      </c>
      <c r="C4172" s="37" t="s">
        <v>30854</v>
      </c>
      <c r="D4172" s="37" t="s">
        <v>30855</v>
      </c>
    </row>
    <row r="4173">
      <c r="A4173" s="37" t="s">
        <v>1495</v>
      </c>
      <c r="B4173" s="37" t="s">
        <v>1495</v>
      </c>
      <c r="C4173" s="7" t="s">
        <v>30856</v>
      </c>
      <c r="D4173" s="37" t="s">
        <v>30857</v>
      </c>
    </row>
    <row r="4174">
      <c r="A4174" s="37" t="s">
        <v>1495</v>
      </c>
      <c r="B4174" s="37" t="s">
        <v>1495</v>
      </c>
      <c r="C4174" s="7" t="s">
        <v>30858</v>
      </c>
      <c r="D4174" s="37" t="s">
        <v>30859</v>
      </c>
    </row>
    <row r="4175">
      <c r="A4175" s="37" t="s">
        <v>1602</v>
      </c>
      <c r="B4175" s="37" t="s">
        <v>24942</v>
      </c>
      <c r="C4175" s="7" t="s">
        <v>30860</v>
      </c>
      <c r="D4175" s="37" t="s">
        <v>30861</v>
      </c>
    </row>
    <row r="4176">
      <c r="A4176" s="37" t="s">
        <v>1602</v>
      </c>
      <c r="B4176" s="37" t="s">
        <v>24942</v>
      </c>
      <c r="C4176" s="7" t="s">
        <v>30862</v>
      </c>
      <c r="D4176" s="37" t="s">
        <v>30863</v>
      </c>
    </row>
    <row r="4177">
      <c r="A4177" s="37" t="s">
        <v>1602</v>
      </c>
      <c r="B4177" s="37" t="s">
        <v>24942</v>
      </c>
      <c r="C4177" s="7" t="s">
        <v>30864</v>
      </c>
      <c r="D4177" s="37" t="s">
        <v>30865</v>
      </c>
    </row>
    <row r="4178">
      <c r="A4178" s="37" t="s">
        <v>30002</v>
      </c>
      <c r="B4178" s="37" t="s">
        <v>24942</v>
      </c>
      <c r="C4178" s="7" t="s">
        <v>30866</v>
      </c>
      <c r="D4178" s="37" t="s">
        <v>30867</v>
      </c>
    </row>
    <row r="4179">
      <c r="A4179" s="37" t="s">
        <v>1602</v>
      </c>
      <c r="B4179" s="37" t="s">
        <v>24942</v>
      </c>
      <c r="C4179" s="7" t="s">
        <v>30131</v>
      </c>
      <c r="D4179" s="37" t="s">
        <v>30868</v>
      </c>
    </row>
    <row r="4180">
      <c r="A4180" s="37" t="s">
        <v>1180</v>
      </c>
      <c r="B4180" s="37" t="s">
        <v>1179</v>
      </c>
      <c r="C4180" s="7" t="s">
        <v>30869</v>
      </c>
      <c r="D4180" s="37" t="s">
        <v>30870</v>
      </c>
    </row>
    <row r="4181">
      <c r="A4181" s="37" t="s">
        <v>1180</v>
      </c>
      <c r="B4181" s="37" t="s">
        <v>1179</v>
      </c>
      <c r="C4181" s="7" t="s">
        <v>30871</v>
      </c>
      <c r="D4181" s="37" t="s">
        <v>30872</v>
      </c>
    </row>
    <row r="4182">
      <c r="A4182" s="37" t="s">
        <v>1180</v>
      </c>
      <c r="B4182" s="37" t="s">
        <v>1179</v>
      </c>
      <c r="C4182" s="7" t="s">
        <v>30873</v>
      </c>
      <c r="D4182" s="37" t="s">
        <v>30874</v>
      </c>
    </row>
    <row r="4183">
      <c r="A4183" s="37" t="s">
        <v>1161</v>
      </c>
      <c r="B4183" s="37" t="s">
        <v>192</v>
      </c>
      <c r="C4183" s="37" t="s">
        <v>30875</v>
      </c>
      <c r="D4183" s="37" t="s">
        <v>30876</v>
      </c>
    </row>
    <row r="4184">
      <c r="A4184" s="37" t="s">
        <v>1161</v>
      </c>
      <c r="B4184" s="37" t="s">
        <v>192</v>
      </c>
      <c r="C4184" s="7" t="s">
        <v>30092</v>
      </c>
      <c r="D4184" s="37" t="s">
        <v>30877</v>
      </c>
    </row>
    <row r="4185">
      <c r="A4185" s="37" t="s">
        <v>148</v>
      </c>
      <c r="B4185" s="37" t="s">
        <v>26038</v>
      </c>
      <c r="C4185" s="7" t="s">
        <v>30878</v>
      </c>
      <c r="D4185" s="37" t="s">
        <v>30879</v>
      </c>
    </row>
    <row r="4186">
      <c r="A4186" s="37" t="s">
        <v>1161</v>
      </c>
      <c r="B4186" s="37" t="s">
        <v>693</v>
      </c>
      <c r="C4186" s="37" t="s">
        <v>30880</v>
      </c>
      <c r="D4186" s="37" t="s">
        <v>30881</v>
      </c>
    </row>
    <row r="4187">
      <c r="A4187" s="37" t="s">
        <v>1602</v>
      </c>
      <c r="B4187" s="37" t="s">
        <v>24942</v>
      </c>
      <c r="C4187" s="7" t="s">
        <v>30882</v>
      </c>
      <c r="D4187" s="37" t="s">
        <v>30883</v>
      </c>
    </row>
    <row r="4188">
      <c r="A4188" s="37" t="s">
        <v>1602</v>
      </c>
      <c r="B4188" s="37" t="s">
        <v>24942</v>
      </c>
      <c r="C4188" s="7" t="s">
        <v>30884</v>
      </c>
      <c r="D4188" s="37" t="s">
        <v>30885</v>
      </c>
    </row>
    <row r="4189">
      <c r="A4189" s="37" t="s">
        <v>1174</v>
      </c>
      <c r="B4189" s="37" t="s">
        <v>1096</v>
      </c>
      <c r="C4189" s="7" t="s">
        <v>30886</v>
      </c>
      <c r="D4189" s="37" t="s">
        <v>30887</v>
      </c>
    </row>
    <row r="4190">
      <c r="A4190" s="37" t="s">
        <v>443</v>
      </c>
      <c r="B4190" s="37" t="s">
        <v>30888</v>
      </c>
      <c r="C4190" s="7" t="s">
        <v>30889</v>
      </c>
      <c r="D4190" s="37" t="s">
        <v>30890</v>
      </c>
    </row>
    <row r="4191">
      <c r="A4191" s="37" t="s">
        <v>443</v>
      </c>
      <c r="B4191" s="37" t="s">
        <v>30888</v>
      </c>
      <c r="C4191" s="7" t="s">
        <v>30891</v>
      </c>
      <c r="D4191" s="37" t="s">
        <v>30892</v>
      </c>
    </row>
    <row r="4192">
      <c r="A4192" s="37" t="s">
        <v>1602</v>
      </c>
      <c r="B4192" s="37" t="s">
        <v>24942</v>
      </c>
      <c r="C4192" s="37" t="s">
        <v>30893</v>
      </c>
      <c r="D4192" s="37" t="s">
        <v>30894</v>
      </c>
    </row>
    <row r="4193">
      <c r="A4193" s="37" t="s">
        <v>30439</v>
      </c>
      <c r="B4193" s="37" t="s">
        <v>1495</v>
      </c>
      <c r="C4193" s="7" t="s">
        <v>30895</v>
      </c>
      <c r="D4193" s="37" t="s">
        <v>30896</v>
      </c>
    </row>
    <row r="4194">
      <c r="A4194" s="37" t="s">
        <v>30002</v>
      </c>
      <c r="B4194" s="37" t="s">
        <v>24942</v>
      </c>
      <c r="C4194" s="7" t="s">
        <v>30897</v>
      </c>
      <c r="D4194" s="37" t="s">
        <v>30898</v>
      </c>
    </row>
    <row r="4195">
      <c r="A4195" s="37" t="s">
        <v>286</v>
      </c>
      <c r="B4195" s="37" t="s">
        <v>363</v>
      </c>
      <c r="C4195" s="37" t="s">
        <v>30899</v>
      </c>
      <c r="D4195" s="37" t="s">
        <v>30900</v>
      </c>
    </row>
    <row r="4196">
      <c r="A4196" s="37" t="s">
        <v>1245</v>
      </c>
      <c r="B4196" s="37" t="s">
        <v>1242</v>
      </c>
      <c r="C4196" s="7" t="s">
        <v>30901</v>
      </c>
      <c r="D4196" s="37" t="s">
        <v>30902</v>
      </c>
    </row>
    <row r="4197">
      <c r="A4197" s="37" t="s">
        <v>1245</v>
      </c>
      <c r="B4197" s="37" t="s">
        <v>1242</v>
      </c>
      <c r="C4197" s="7" t="s">
        <v>30903</v>
      </c>
      <c r="D4197" s="37" t="s">
        <v>30904</v>
      </c>
    </row>
    <row r="4198">
      <c r="A4198" s="37" t="s">
        <v>1245</v>
      </c>
      <c r="B4198" s="37" t="s">
        <v>1242</v>
      </c>
      <c r="C4198" s="7" t="s">
        <v>30905</v>
      </c>
      <c r="D4198" s="37" t="s">
        <v>30906</v>
      </c>
    </row>
    <row r="4199">
      <c r="A4199" s="37" t="s">
        <v>1602</v>
      </c>
      <c r="B4199" s="37" t="s">
        <v>1054</v>
      </c>
      <c r="C4199" s="7" t="s">
        <v>30907</v>
      </c>
      <c r="D4199" s="37" t="s">
        <v>30908</v>
      </c>
    </row>
    <row r="4200">
      <c r="A4200" s="37" t="s">
        <v>1278</v>
      </c>
      <c r="B4200" s="37" t="s">
        <v>1054</v>
      </c>
      <c r="C4200" s="7" t="s">
        <v>28923</v>
      </c>
      <c r="D4200" s="37" t="s">
        <v>30909</v>
      </c>
    </row>
    <row r="4201">
      <c r="A4201" s="37" t="s">
        <v>1278</v>
      </c>
      <c r="B4201" s="37" t="s">
        <v>1054</v>
      </c>
      <c r="C4201" s="7" t="s">
        <v>30910</v>
      </c>
      <c r="D4201" s="37" t="s">
        <v>30911</v>
      </c>
    </row>
    <row r="4202">
      <c r="A4202" s="37" t="s">
        <v>1278</v>
      </c>
      <c r="B4202" s="37" t="s">
        <v>1054</v>
      </c>
      <c r="C4202" s="7" t="s">
        <v>30912</v>
      </c>
      <c r="D4202" s="37" t="s">
        <v>30913</v>
      </c>
    </row>
    <row r="4203">
      <c r="A4203" s="37" t="s">
        <v>1278</v>
      </c>
      <c r="B4203" s="37" t="s">
        <v>1054</v>
      </c>
      <c r="C4203" s="7" t="s">
        <v>30914</v>
      </c>
      <c r="D4203" s="37" t="s">
        <v>30915</v>
      </c>
    </row>
    <row r="4204">
      <c r="A4204" s="37" t="s">
        <v>148</v>
      </c>
      <c r="B4204" s="37" t="s">
        <v>26038</v>
      </c>
      <c r="C4204" s="7" t="s">
        <v>30916</v>
      </c>
      <c r="D4204" s="37" t="s">
        <v>30917</v>
      </c>
    </row>
    <row r="4205">
      <c r="A4205" s="37" t="s">
        <v>148</v>
      </c>
      <c r="B4205" s="37" t="s">
        <v>26038</v>
      </c>
      <c r="C4205" s="7" t="s">
        <v>30918</v>
      </c>
      <c r="D4205" s="37" t="s">
        <v>30919</v>
      </c>
    </row>
    <row r="4206">
      <c r="A4206" s="37" t="s">
        <v>1278</v>
      </c>
      <c r="B4206" s="37" t="s">
        <v>1054</v>
      </c>
      <c r="C4206" s="7" t="s">
        <v>30920</v>
      </c>
      <c r="D4206" s="37" t="s">
        <v>30921</v>
      </c>
    </row>
    <row r="4207">
      <c r="A4207" s="37" t="s">
        <v>1278</v>
      </c>
      <c r="B4207" s="37" t="s">
        <v>1054</v>
      </c>
      <c r="C4207" s="7" t="s">
        <v>30922</v>
      </c>
      <c r="D4207" s="37" t="s">
        <v>30923</v>
      </c>
    </row>
    <row r="4208">
      <c r="A4208" s="37" t="s">
        <v>1278</v>
      </c>
      <c r="B4208" s="37" t="s">
        <v>1054</v>
      </c>
      <c r="C4208" s="7" t="s">
        <v>30924</v>
      </c>
      <c r="D4208" s="37" t="s">
        <v>30925</v>
      </c>
    </row>
    <row r="4209">
      <c r="A4209" s="37" t="s">
        <v>1278</v>
      </c>
      <c r="B4209" s="37" t="s">
        <v>1054</v>
      </c>
      <c r="C4209" s="37" t="s">
        <v>30926</v>
      </c>
      <c r="D4209" s="37" t="s">
        <v>30927</v>
      </c>
    </row>
    <row r="4210">
      <c r="A4210" s="37" t="s">
        <v>1278</v>
      </c>
      <c r="B4210" s="37" t="s">
        <v>1054</v>
      </c>
      <c r="C4210" s="7" t="s">
        <v>30928</v>
      </c>
      <c r="D4210" s="37" t="s">
        <v>30929</v>
      </c>
    </row>
    <row r="4211">
      <c r="A4211" s="37" t="s">
        <v>30439</v>
      </c>
      <c r="B4211" s="37" t="s">
        <v>1495</v>
      </c>
      <c r="C4211" s="7" t="s">
        <v>30930</v>
      </c>
      <c r="D4211" s="37" t="s">
        <v>30931</v>
      </c>
    </row>
    <row r="4212">
      <c r="A4212" s="37" t="s">
        <v>1278</v>
      </c>
      <c r="B4212" s="37" t="s">
        <v>1054</v>
      </c>
      <c r="C4212" s="7" t="s">
        <v>30932</v>
      </c>
      <c r="D4212" s="37" t="s">
        <v>30933</v>
      </c>
    </row>
    <row r="4213">
      <c r="A4213" s="37" t="s">
        <v>1278</v>
      </c>
      <c r="B4213" s="37" t="s">
        <v>1054</v>
      </c>
      <c r="C4213" s="7" t="s">
        <v>30934</v>
      </c>
      <c r="D4213" s="37" t="s">
        <v>30935</v>
      </c>
    </row>
    <row r="4214">
      <c r="A4214" s="37" t="s">
        <v>1278</v>
      </c>
      <c r="B4214" s="37" t="s">
        <v>1054</v>
      </c>
      <c r="C4214" s="7" t="s">
        <v>30936</v>
      </c>
      <c r="D4214" s="37" t="s">
        <v>30937</v>
      </c>
    </row>
    <row r="4215">
      <c r="A4215" s="37" t="s">
        <v>1278</v>
      </c>
      <c r="B4215" s="37" t="s">
        <v>1054</v>
      </c>
      <c r="C4215" s="7" t="s">
        <v>30938</v>
      </c>
      <c r="D4215" s="37" t="s">
        <v>30939</v>
      </c>
    </row>
    <row r="4216">
      <c r="A4216" s="37" t="s">
        <v>1156</v>
      </c>
      <c r="B4216" s="37" t="s">
        <v>693</v>
      </c>
      <c r="C4216" s="7" t="s">
        <v>30940</v>
      </c>
      <c r="D4216" s="37" t="s">
        <v>30941</v>
      </c>
    </row>
    <row r="4217">
      <c r="A4217" s="37" t="s">
        <v>1156</v>
      </c>
      <c r="B4217" s="37" t="s">
        <v>693</v>
      </c>
      <c r="C4217" s="7" t="s">
        <v>30942</v>
      </c>
      <c r="D4217" s="37" t="s">
        <v>30943</v>
      </c>
    </row>
    <row r="4218">
      <c r="A4218" s="37" t="s">
        <v>1072</v>
      </c>
      <c r="B4218" s="37" t="s">
        <v>478</v>
      </c>
      <c r="C4218" s="7" t="s">
        <v>30944</v>
      </c>
      <c r="D4218" s="37" t="s">
        <v>30945</v>
      </c>
    </row>
    <row r="4219">
      <c r="A4219" s="37" t="s">
        <v>1150</v>
      </c>
      <c r="B4219" s="37" t="s">
        <v>1149</v>
      </c>
      <c r="C4219" s="7" t="s">
        <v>30946</v>
      </c>
      <c r="D4219" s="37" t="s">
        <v>30947</v>
      </c>
    </row>
    <row r="4220">
      <c r="A4220" s="37" t="s">
        <v>1161</v>
      </c>
      <c r="B4220" s="37" t="s">
        <v>192</v>
      </c>
      <c r="C4220" s="37" t="s">
        <v>30948</v>
      </c>
      <c r="D4220" s="37" t="s">
        <v>30949</v>
      </c>
    </row>
    <row r="4221">
      <c r="A4221" s="37" t="s">
        <v>1161</v>
      </c>
      <c r="B4221" s="37" t="s">
        <v>192</v>
      </c>
      <c r="C4221" s="37" t="s">
        <v>30950</v>
      </c>
      <c r="D4221" s="37" t="s">
        <v>30951</v>
      </c>
    </row>
    <row r="4222">
      <c r="A4222" s="37" t="s">
        <v>1161</v>
      </c>
      <c r="B4222" s="37" t="s">
        <v>192</v>
      </c>
      <c r="C4222" s="7" t="s">
        <v>30952</v>
      </c>
      <c r="D4222" s="37" t="s">
        <v>30953</v>
      </c>
    </row>
    <row r="4223">
      <c r="A4223" s="37" t="s">
        <v>1161</v>
      </c>
      <c r="B4223" s="37" t="s">
        <v>192</v>
      </c>
      <c r="C4223" s="37" t="s">
        <v>30954</v>
      </c>
      <c r="D4223" s="37" t="s">
        <v>30955</v>
      </c>
    </row>
    <row r="4224">
      <c r="A4224" s="37" t="s">
        <v>1161</v>
      </c>
      <c r="B4224" s="37" t="s">
        <v>192</v>
      </c>
      <c r="C4224" s="37" t="s">
        <v>30956</v>
      </c>
      <c r="D4224" s="37" t="s">
        <v>30957</v>
      </c>
    </row>
    <row r="4225">
      <c r="A4225" s="37" t="s">
        <v>1161</v>
      </c>
      <c r="B4225" s="37" t="s">
        <v>192</v>
      </c>
      <c r="C4225" s="37" t="s">
        <v>30958</v>
      </c>
      <c r="D4225" s="37" t="s">
        <v>30959</v>
      </c>
    </row>
    <row r="4226">
      <c r="A4226" s="37" t="s">
        <v>1161</v>
      </c>
      <c r="B4226" s="37" t="s">
        <v>192</v>
      </c>
      <c r="C4226" s="7" t="s">
        <v>30960</v>
      </c>
      <c r="D4226" s="37" t="s">
        <v>30961</v>
      </c>
    </row>
    <row r="4227">
      <c r="A4227" s="37" t="s">
        <v>1161</v>
      </c>
      <c r="B4227" s="37" t="s">
        <v>192</v>
      </c>
      <c r="C4227" s="7" t="s">
        <v>30962</v>
      </c>
      <c r="D4227" s="37" t="s">
        <v>30963</v>
      </c>
    </row>
    <row r="4228">
      <c r="A4228" s="37" t="s">
        <v>1161</v>
      </c>
      <c r="B4228" s="37" t="s">
        <v>192</v>
      </c>
      <c r="C4228" s="7" t="s">
        <v>30964</v>
      </c>
      <c r="D4228" s="37" t="s">
        <v>30965</v>
      </c>
    </row>
    <row r="4229">
      <c r="A4229" s="37" t="s">
        <v>1161</v>
      </c>
      <c r="B4229" s="37" t="s">
        <v>192</v>
      </c>
      <c r="C4229" s="37" t="s">
        <v>30966</v>
      </c>
      <c r="D4229" s="37" t="s">
        <v>30967</v>
      </c>
    </row>
    <row r="4230">
      <c r="A4230" s="37" t="s">
        <v>1161</v>
      </c>
      <c r="B4230" s="37" t="s">
        <v>192</v>
      </c>
      <c r="C4230" s="37" t="s">
        <v>30968</v>
      </c>
      <c r="D4230" s="37" t="s">
        <v>30969</v>
      </c>
    </row>
    <row r="4231">
      <c r="A4231" s="37" t="s">
        <v>30002</v>
      </c>
      <c r="B4231" s="37" t="s">
        <v>24942</v>
      </c>
      <c r="C4231" s="7" t="s">
        <v>30970</v>
      </c>
      <c r="D4231" s="37" t="s">
        <v>30971</v>
      </c>
    </row>
    <row r="4232">
      <c r="A4232" s="37" t="s">
        <v>30002</v>
      </c>
      <c r="B4232" s="37" t="s">
        <v>24942</v>
      </c>
      <c r="C4232" s="7" t="s">
        <v>30972</v>
      </c>
      <c r="D4232" s="37" t="s">
        <v>30973</v>
      </c>
    </row>
    <row r="4233">
      <c r="A4233" s="37" t="s">
        <v>30002</v>
      </c>
      <c r="B4233" s="37" t="s">
        <v>24942</v>
      </c>
      <c r="C4233" s="7" t="s">
        <v>30974</v>
      </c>
      <c r="D4233" s="37" t="s">
        <v>30975</v>
      </c>
    </row>
    <row r="4234">
      <c r="A4234" s="37" t="s">
        <v>30002</v>
      </c>
      <c r="B4234" s="37" t="s">
        <v>24942</v>
      </c>
      <c r="C4234" s="7" t="s">
        <v>30976</v>
      </c>
      <c r="D4234" s="37" t="s">
        <v>30977</v>
      </c>
    </row>
    <row r="4235">
      <c r="A4235" s="37" t="s">
        <v>30002</v>
      </c>
      <c r="B4235" s="37" t="s">
        <v>24942</v>
      </c>
      <c r="C4235" s="7" t="s">
        <v>30978</v>
      </c>
      <c r="D4235" s="37" t="s">
        <v>30979</v>
      </c>
    </row>
    <row r="4236">
      <c r="A4236" s="37" t="s">
        <v>30002</v>
      </c>
      <c r="B4236" s="37" t="s">
        <v>24942</v>
      </c>
      <c r="C4236" s="7" t="s">
        <v>30429</v>
      </c>
      <c r="D4236" s="37" t="s">
        <v>30980</v>
      </c>
    </row>
    <row r="4237">
      <c r="A4237" s="37" t="s">
        <v>30002</v>
      </c>
      <c r="B4237" s="37" t="s">
        <v>24942</v>
      </c>
      <c r="C4237" s="7" t="s">
        <v>30981</v>
      </c>
      <c r="D4237" s="37" t="s">
        <v>30982</v>
      </c>
    </row>
    <row r="4238">
      <c r="A4238" s="37" t="s">
        <v>30002</v>
      </c>
      <c r="B4238" s="37" t="s">
        <v>24942</v>
      </c>
      <c r="C4238" s="7" t="s">
        <v>30431</v>
      </c>
      <c r="D4238" s="37" t="s">
        <v>30983</v>
      </c>
    </row>
    <row r="4239">
      <c r="A4239" s="37" t="s">
        <v>30002</v>
      </c>
      <c r="B4239" s="37" t="s">
        <v>24942</v>
      </c>
      <c r="C4239" s="7" t="s">
        <v>30984</v>
      </c>
      <c r="D4239" s="37" t="s">
        <v>30985</v>
      </c>
    </row>
    <row r="4240">
      <c r="A4240" s="37" t="s">
        <v>1237</v>
      </c>
      <c r="B4240" s="37" t="s">
        <v>29912</v>
      </c>
      <c r="C4240" s="7" t="s">
        <v>30986</v>
      </c>
      <c r="D4240" s="37" t="s">
        <v>30987</v>
      </c>
    </row>
    <row r="4241">
      <c r="A4241" s="37" t="s">
        <v>148</v>
      </c>
      <c r="B4241" s="37" t="s">
        <v>26038</v>
      </c>
      <c r="C4241" s="7" t="s">
        <v>30988</v>
      </c>
      <c r="D4241" s="37" t="s">
        <v>30989</v>
      </c>
    </row>
    <row r="4242">
      <c r="A4242" s="37" t="s">
        <v>148</v>
      </c>
      <c r="B4242" s="37" t="s">
        <v>26038</v>
      </c>
      <c r="C4242" s="7" t="s">
        <v>30990</v>
      </c>
      <c r="D4242" s="37" t="s">
        <v>30991</v>
      </c>
    </row>
    <row r="4243">
      <c r="A4243" s="37" t="s">
        <v>148</v>
      </c>
      <c r="B4243" s="37" t="s">
        <v>26038</v>
      </c>
      <c r="C4243" s="7" t="s">
        <v>30992</v>
      </c>
      <c r="D4243" s="37" t="s">
        <v>30993</v>
      </c>
    </row>
    <row r="4244">
      <c r="A4244" s="37" t="s">
        <v>1278</v>
      </c>
      <c r="B4244" s="37" t="s">
        <v>1054</v>
      </c>
      <c r="C4244" s="37" t="s">
        <v>30994</v>
      </c>
      <c r="D4244" s="37" t="s">
        <v>30995</v>
      </c>
    </row>
    <row r="4245">
      <c r="A4245" s="37" t="s">
        <v>28902</v>
      </c>
      <c r="B4245" s="37" t="s">
        <v>1495</v>
      </c>
      <c r="C4245" s="37" t="s">
        <v>30996</v>
      </c>
      <c r="D4245" s="37" t="s">
        <v>30997</v>
      </c>
    </row>
    <row r="4246">
      <c r="A4246" s="37" t="s">
        <v>307</v>
      </c>
      <c r="B4246" s="37" t="s">
        <v>29912</v>
      </c>
      <c r="C4246" s="7" t="s">
        <v>30998</v>
      </c>
      <c r="D4246" s="37" t="s">
        <v>30999</v>
      </c>
    </row>
    <row r="4247">
      <c r="A4247" s="37" t="s">
        <v>1174</v>
      </c>
      <c r="B4247" s="37" t="s">
        <v>1096</v>
      </c>
      <c r="C4247" s="7" t="s">
        <v>30034</v>
      </c>
      <c r="D4247" s="37" t="s">
        <v>31000</v>
      </c>
    </row>
    <row r="4248">
      <c r="A4248" s="37" t="s">
        <v>1198</v>
      </c>
      <c r="B4248" s="37" t="s">
        <v>31001</v>
      </c>
      <c r="C4248" s="7" t="s">
        <v>31002</v>
      </c>
      <c r="D4248" s="37" t="s">
        <v>31003</v>
      </c>
    </row>
    <row r="4249">
      <c r="A4249" s="37" t="s">
        <v>51</v>
      </c>
      <c r="B4249" s="37" t="s">
        <v>363</v>
      </c>
      <c r="C4249" s="7" t="s">
        <v>31004</v>
      </c>
      <c r="D4249" s="37" t="s">
        <v>31005</v>
      </c>
    </row>
    <row r="4250">
      <c r="A4250" s="37" t="s">
        <v>26826</v>
      </c>
      <c r="B4250" s="37" t="s">
        <v>26038</v>
      </c>
      <c r="C4250" s="7" t="s">
        <v>31006</v>
      </c>
      <c r="D4250" s="37" t="s">
        <v>31007</v>
      </c>
    </row>
    <row r="4251">
      <c r="A4251" s="37" t="s">
        <v>29835</v>
      </c>
      <c r="B4251" s="37" t="s">
        <v>1495</v>
      </c>
      <c r="C4251" s="7" t="s">
        <v>31008</v>
      </c>
      <c r="D4251" s="37" t="s">
        <v>31009</v>
      </c>
    </row>
    <row r="4252">
      <c r="A4252" s="37" t="s">
        <v>28902</v>
      </c>
      <c r="B4252" s="37" t="s">
        <v>1495</v>
      </c>
      <c r="C4252" s="37" t="s">
        <v>31010</v>
      </c>
      <c r="D4252" s="37" t="s">
        <v>31011</v>
      </c>
    </row>
    <row r="4253">
      <c r="A4253" s="37" t="s">
        <v>28902</v>
      </c>
      <c r="B4253" s="37" t="s">
        <v>1495</v>
      </c>
      <c r="C4253" s="37" t="s">
        <v>31012</v>
      </c>
      <c r="D4253" s="37" t="s">
        <v>31013</v>
      </c>
    </row>
    <row r="4254">
      <c r="A4254" s="37" t="s">
        <v>28902</v>
      </c>
      <c r="B4254" s="37" t="s">
        <v>1495</v>
      </c>
      <c r="C4254" s="37" t="s">
        <v>31014</v>
      </c>
      <c r="D4254" s="37" t="s">
        <v>31015</v>
      </c>
    </row>
    <row r="4255">
      <c r="A4255" s="37" t="s">
        <v>188</v>
      </c>
      <c r="B4255" s="37" t="s">
        <v>1179</v>
      </c>
      <c r="C4255" s="7" t="s">
        <v>9208</v>
      </c>
      <c r="D4255" s="37" t="s">
        <v>31016</v>
      </c>
    </row>
    <row r="4256">
      <c r="A4256" s="37" t="s">
        <v>51</v>
      </c>
      <c r="B4256" s="37" t="s">
        <v>363</v>
      </c>
      <c r="C4256" s="7" t="s">
        <v>31017</v>
      </c>
      <c r="D4256" s="37" t="s">
        <v>31018</v>
      </c>
    </row>
    <row r="4257">
      <c r="A4257" s="37" t="s">
        <v>1180</v>
      </c>
      <c r="B4257" s="37" t="s">
        <v>1179</v>
      </c>
      <c r="C4257" s="7" t="s">
        <v>31019</v>
      </c>
      <c r="D4257" s="37" t="s">
        <v>31020</v>
      </c>
    </row>
    <row r="4258">
      <c r="A4258" s="37" t="s">
        <v>51</v>
      </c>
      <c r="B4258" s="37" t="s">
        <v>363</v>
      </c>
      <c r="C4258" s="37" t="s">
        <v>31021</v>
      </c>
      <c r="D4258" s="37" t="s">
        <v>31022</v>
      </c>
    </row>
    <row r="4259">
      <c r="A4259" s="37" t="s">
        <v>188</v>
      </c>
      <c r="B4259" s="37" t="s">
        <v>1179</v>
      </c>
      <c r="C4259" s="7" t="s">
        <v>31023</v>
      </c>
      <c r="D4259" s="37" t="s">
        <v>31024</v>
      </c>
    </row>
    <row r="4260">
      <c r="A4260" s="37" t="s">
        <v>1161</v>
      </c>
      <c r="B4260" s="37" t="s">
        <v>693</v>
      </c>
      <c r="C4260" s="7" t="s">
        <v>31025</v>
      </c>
      <c r="D4260" s="37" t="s">
        <v>31026</v>
      </c>
    </row>
    <row r="4261">
      <c r="A4261" s="37" t="s">
        <v>148</v>
      </c>
      <c r="B4261" s="37" t="s">
        <v>26038</v>
      </c>
      <c r="C4261" s="7" t="s">
        <v>31027</v>
      </c>
      <c r="D4261" s="37" t="s">
        <v>31028</v>
      </c>
    </row>
    <row r="4262">
      <c r="A4262" s="37" t="s">
        <v>148</v>
      </c>
      <c r="B4262" s="37" t="s">
        <v>26038</v>
      </c>
      <c r="C4262" s="7" t="s">
        <v>31029</v>
      </c>
      <c r="D4262" s="37" t="s">
        <v>31030</v>
      </c>
    </row>
    <row r="4263">
      <c r="A4263" s="37" t="s">
        <v>1495</v>
      </c>
      <c r="B4263" s="37" t="s">
        <v>1495</v>
      </c>
      <c r="C4263" s="7" t="s">
        <v>31031</v>
      </c>
      <c r="D4263" s="37" t="s">
        <v>31032</v>
      </c>
    </row>
    <row r="4264">
      <c r="A4264" s="37" t="s">
        <v>1185</v>
      </c>
      <c r="B4264" s="37" t="s">
        <v>1179</v>
      </c>
      <c r="C4264" s="7" t="s">
        <v>31033</v>
      </c>
      <c r="D4264" s="37" t="s">
        <v>31034</v>
      </c>
    </row>
    <row r="4265">
      <c r="A4265" s="37" t="s">
        <v>1495</v>
      </c>
      <c r="B4265" s="37" t="s">
        <v>1495</v>
      </c>
      <c r="C4265" s="37" t="s">
        <v>31035</v>
      </c>
      <c r="D4265" s="37" t="s">
        <v>31036</v>
      </c>
    </row>
    <row r="4266">
      <c r="A4266" s="37" t="s">
        <v>30002</v>
      </c>
      <c r="B4266" s="37" t="s">
        <v>24942</v>
      </c>
      <c r="C4266" s="7" t="s">
        <v>31037</v>
      </c>
      <c r="D4266" s="37" t="s">
        <v>31038</v>
      </c>
    </row>
    <row r="4267">
      <c r="A4267" s="37" t="s">
        <v>28596</v>
      </c>
      <c r="B4267" s="37" t="s">
        <v>1243</v>
      </c>
      <c r="C4267" s="7" t="s">
        <v>31039</v>
      </c>
      <c r="D4267" s="37" t="s">
        <v>31040</v>
      </c>
    </row>
    <row r="4268">
      <c r="A4268" s="37" t="s">
        <v>148</v>
      </c>
      <c r="B4268" s="37" t="s">
        <v>1096</v>
      </c>
      <c r="C4268" s="7" t="s">
        <v>31041</v>
      </c>
      <c r="D4268" s="37" t="s">
        <v>31042</v>
      </c>
    </row>
    <row r="4269">
      <c r="A4269" s="37" t="s">
        <v>27036</v>
      </c>
      <c r="B4269" s="37" t="s">
        <v>31043</v>
      </c>
      <c r="C4269" s="37" t="s">
        <v>31044</v>
      </c>
      <c r="D4269" s="37" t="s">
        <v>31045</v>
      </c>
    </row>
    <row r="4270">
      <c r="A4270" s="37" t="s">
        <v>1065</v>
      </c>
      <c r="B4270" s="37" t="s">
        <v>478</v>
      </c>
      <c r="C4270" s="37" t="s">
        <v>31046</v>
      </c>
      <c r="D4270" s="37" t="s">
        <v>31047</v>
      </c>
    </row>
    <row r="4271">
      <c r="A4271" s="37" t="s">
        <v>1244</v>
      </c>
      <c r="B4271" s="37" t="s">
        <v>1242</v>
      </c>
      <c r="C4271" s="37" t="s">
        <v>31048</v>
      </c>
      <c r="D4271" s="37" t="s">
        <v>31049</v>
      </c>
    </row>
    <row r="4272">
      <c r="A4272" s="37" t="s">
        <v>1245</v>
      </c>
      <c r="B4272" s="37" t="s">
        <v>1242</v>
      </c>
      <c r="C4272" s="7" t="s">
        <v>31050</v>
      </c>
      <c r="D4272" s="37" t="s">
        <v>31051</v>
      </c>
    </row>
    <row r="4273">
      <c r="A4273" s="37" t="s">
        <v>26826</v>
      </c>
      <c r="B4273" s="37" t="s">
        <v>26038</v>
      </c>
      <c r="C4273" s="7" t="s">
        <v>31052</v>
      </c>
      <c r="D4273" s="37" t="s">
        <v>31053</v>
      </c>
    </row>
    <row r="4274">
      <c r="A4274" s="37" t="s">
        <v>31054</v>
      </c>
      <c r="B4274" s="37" t="s">
        <v>693</v>
      </c>
      <c r="C4274" s="7" t="s">
        <v>31055</v>
      </c>
      <c r="D4274" s="37" t="s">
        <v>31056</v>
      </c>
    </row>
    <row r="4275">
      <c r="A4275" s="37" t="s">
        <v>484</v>
      </c>
      <c r="B4275" s="37" t="s">
        <v>478</v>
      </c>
      <c r="C4275" s="7" t="s">
        <v>31057</v>
      </c>
      <c r="D4275" s="37" t="s">
        <v>31058</v>
      </c>
    </row>
    <row r="4276">
      <c r="A4276" s="37" t="s">
        <v>1245</v>
      </c>
      <c r="B4276" s="37" t="s">
        <v>1242</v>
      </c>
      <c r="C4276" s="7" t="s">
        <v>31059</v>
      </c>
      <c r="D4276" s="37" t="s">
        <v>31060</v>
      </c>
    </row>
    <row r="4277">
      <c r="A4277" s="37" t="s">
        <v>1157</v>
      </c>
      <c r="B4277" s="37" t="s">
        <v>693</v>
      </c>
      <c r="C4277" s="7" t="s">
        <v>31061</v>
      </c>
      <c r="D4277" s="37" t="s">
        <v>31062</v>
      </c>
    </row>
    <row r="4278">
      <c r="A4278" s="37" t="s">
        <v>148</v>
      </c>
      <c r="B4278" s="37" t="s">
        <v>26038</v>
      </c>
      <c r="C4278" s="7" t="s">
        <v>31063</v>
      </c>
      <c r="D4278" s="37" t="s">
        <v>31064</v>
      </c>
    </row>
    <row r="4279">
      <c r="A4279" s="37" t="s">
        <v>148</v>
      </c>
      <c r="B4279" s="37" t="s">
        <v>26038</v>
      </c>
      <c r="C4279" s="7" t="s">
        <v>31065</v>
      </c>
      <c r="D4279" s="37" t="s">
        <v>31066</v>
      </c>
    </row>
    <row r="4280">
      <c r="A4280" s="37" t="s">
        <v>51</v>
      </c>
      <c r="B4280" s="37" t="s">
        <v>854</v>
      </c>
      <c r="C4280" s="7" t="s">
        <v>31067</v>
      </c>
      <c r="D4280" s="37" t="s">
        <v>31068</v>
      </c>
    </row>
    <row r="4281">
      <c r="A4281" s="37" t="s">
        <v>27036</v>
      </c>
      <c r="B4281" s="37" t="s">
        <v>1096</v>
      </c>
      <c r="C4281" s="37" t="s">
        <v>31069</v>
      </c>
      <c r="D4281" s="37" t="s">
        <v>31070</v>
      </c>
    </row>
    <row r="4282">
      <c r="A4282" s="37" t="s">
        <v>1184</v>
      </c>
      <c r="B4282" s="37" t="s">
        <v>1179</v>
      </c>
      <c r="C4282" s="7" t="s">
        <v>31071</v>
      </c>
      <c r="D4282" s="37" t="s">
        <v>31072</v>
      </c>
    </row>
    <row r="4283">
      <c r="A4283" s="37" t="s">
        <v>30439</v>
      </c>
      <c r="B4283" s="37" t="s">
        <v>1495</v>
      </c>
      <c r="C4283" s="7" t="s">
        <v>31073</v>
      </c>
      <c r="D4283" s="37" t="s">
        <v>31074</v>
      </c>
    </row>
    <row r="4284">
      <c r="A4284" s="37" t="s">
        <v>30439</v>
      </c>
      <c r="B4284" s="37" t="s">
        <v>1495</v>
      </c>
      <c r="C4284" s="7" t="s">
        <v>31075</v>
      </c>
      <c r="D4284" s="37" t="s">
        <v>31076</v>
      </c>
    </row>
    <row r="4285">
      <c r="A4285" s="37" t="s">
        <v>1156</v>
      </c>
      <c r="B4285" s="37" t="s">
        <v>192</v>
      </c>
      <c r="C4285" s="7" t="s">
        <v>31077</v>
      </c>
      <c r="D4285" s="37" t="s">
        <v>31078</v>
      </c>
    </row>
    <row r="4286">
      <c r="A4286" s="37" t="s">
        <v>30002</v>
      </c>
      <c r="B4286" s="37" t="s">
        <v>24942</v>
      </c>
      <c r="C4286" s="7" t="s">
        <v>31079</v>
      </c>
      <c r="D4286" s="37" t="s">
        <v>31080</v>
      </c>
    </row>
    <row r="4287">
      <c r="A4287" s="37" t="s">
        <v>30002</v>
      </c>
      <c r="B4287" s="37" t="s">
        <v>24942</v>
      </c>
      <c r="C4287" s="7" t="s">
        <v>31081</v>
      </c>
      <c r="D4287" s="37" t="s">
        <v>31082</v>
      </c>
    </row>
    <row r="4288">
      <c r="A4288" s="37" t="s">
        <v>1227</v>
      </c>
      <c r="B4288" s="37" t="s">
        <v>854</v>
      </c>
      <c r="C4288" s="7" t="s">
        <v>31083</v>
      </c>
      <c r="D4288" s="37" t="s">
        <v>31084</v>
      </c>
    </row>
    <row r="4289">
      <c r="A4289" s="37" t="s">
        <v>1278</v>
      </c>
      <c r="B4289" s="37" t="s">
        <v>1054</v>
      </c>
      <c r="C4289" s="37" t="s">
        <v>31085</v>
      </c>
      <c r="D4289" s="37" t="s">
        <v>31086</v>
      </c>
    </row>
    <row r="4290">
      <c r="A4290" s="37" t="s">
        <v>1198</v>
      </c>
      <c r="B4290" s="37" t="s">
        <v>31001</v>
      </c>
      <c r="C4290" s="37" t="s">
        <v>31087</v>
      </c>
      <c r="D4290" s="37" t="s">
        <v>31088</v>
      </c>
    </row>
    <row r="4291">
      <c r="A4291" s="37" t="s">
        <v>1224</v>
      </c>
      <c r="B4291" s="37" t="s">
        <v>854</v>
      </c>
      <c r="C4291" s="7" t="s">
        <v>24782</v>
      </c>
      <c r="D4291" s="37" t="s">
        <v>31089</v>
      </c>
    </row>
    <row r="4292">
      <c r="A4292" s="37" t="s">
        <v>1224</v>
      </c>
      <c r="B4292" s="37" t="s">
        <v>854</v>
      </c>
      <c r="C4292" s="7" t="s">
        <v>31090</v>
      </c>
      <c r="D4292" s="37" t="s">
        <v>31091</v>
      </c>
    </row>
    <row r="4293">
      <c r="A4293" s="37" t="s">
        <v>188</v>
      </c>
      <c r="B4293" s="37" t="s">
        <v>1179</v>
      </c>
      <c r="C4293" s="7" t="s">
        <v>31092</v>
      </c>
      <c r="D4293" s="37" t="s">
        <v>31093</v>
      </c>
    </row>
    <row r="4294">
      <c r="A4294" s="37" t="s">
        <v>28902</v>
      </c>
      <c r="B4294" s="37" t="s">
        <v>1495</v>
      </c>
      <c r="C4294" s="37" t="s">
        <v>31094</v>
      </c>
      <c r="D4294" s="37" t="s">
        <v>31095</v>
      </c>
    </row>
    <row r="4295">
      <c r="A4295" s="37" t="s">
        <v>1224</v>
      </c>
      <c r="B4295" s="37" t="s">
        <v>854</v>
      </c>
      <c r="C4295" s="7" t="s">
        <v>31096</v>
      </c>
      <c r="D4295" s="37" t="s">
        <v>31097</v>
      </c>
    </row>
    <row r="4296">
      <c r="A4296" s="37" t="s">
        <v>30002</v>
      </c>
      <c r="B4296" s="37" t="s">
        <v>24942</v>
      </c>
      <c r="C4296" s="7" t="s">
        <v>31098</v>
      </c>
      <c r="D4296" s="37" t="s">
        <v>31099</v>
      </c>
    </row>
    <row r="4297">
      <c r="A4297" s="37" t="s">
        <v>30002</v>
      </c>
      <c r="B4297" s="37" t="s">
        <v>24942</v>
      </c>
      <c r="C4297" s="7" t="s">
        <v>31100</v>
      </c>
      <c r="D4297" s="37" t="s">
        <v>31101</v>
      </c>
    </row>
    <row r="4298">
      <c r="A4298" s="37" t="s">
        <v>30002</v>
      </c>
      <c r="B4298" s="37" t="s">
        <v>24942</v>
      </c>
      <c r="C4298" s="7" t="s">
        <v>29581</v>
      </c>
      <c r="D4298" s="37" t="s">
        <v>31102</v>
      </c>
    </row>
    <row r="4299">
      <c r="A4299" s="37" t="s">
        <v>1174</v>
      </c>
      <c r="B4299" s="37" t="s">
        <v>1096</v>
      </c>
      <c r="C4299" s="7" t="s">
        <v>28604</v>
      </c>
      <c r="D4299" s="37" t="s">
        <v>31103</v>
      </c>
    </row>
    <row r="4300">
      <c r="A4300" s="37" t="s">
        <v>30002</v>
      </c>
      <c r="B4300" s="37" t="s">
        <v>24942</v>
      </c>
      <c r="C4300" s="7" t="s">
        <v>31104</v>
      </c>
      <c r="D4300" s="37" t="s">
        <v>31105</v>
      </c>
    </row>
    <row r="4301">
      <c r="A4301" s="37" t="s">
        <v>28902</v>
      </c>
      <c r="B4301" s="37" t="s">
        <v>1495</v>
      </c>
      <c r="C4301" s="37" t="s">
        <v>31106</v>
      </c>
      <c r="D4301" s="37" t="s">
        <v>31107</v>
      </c>
    </row>
    <row r="4302">
      <c r="A4302" s="37" t="s">
        <v>188</v>
      </c>
      <c r="B4302" s="37" t="s">
        <v>1179</v>
      </c>
      <c r="C4302" s="7" t="s">
        <v>31108</v>
      </c>
      <c r="D4302" s="37" t="s">
        <v>31109</v>
      </c>
    </row>
    <row r="4303">
      <c r="A4303" s="37" t="s">
        <v>1072</v>
      </c>
      <c r="B4303" s="37" t="s">
        <v>478</v>
      </c>
      <c r="C4303" s="7" t="s">
        <v>31110</v>
      </c>
      <c r="D4303" s="37" t="s">
        <v>31111</v>
      </c>
    </row>
    <row r="4304">
      <c r="A4304" s="37" t="s">
        <v>30002</v>
      </c>
      <c r="B4304" s="37" t="s">
        <v>24942</v>
      </c>
      <c r="C4304" s="7" t="s">
        <v>31112</v>
      </c>
      <c r="D4304" s="37" t="s">
        <v>31113</v>
      </c>
    </row>
    <row r="4305">
      <c r="A4305" s="37" t="s">
        <v>104</v>
      </c>
      <c r="B4305" s="37" t="s">
        <v>1293</v>
      </c>
      <c r="C4305" s="7" t="s">
        <v>31114</v>
      </c>
      <c r="D4305" s="37" t="s">
        <v>31115</v>
      </c>
    </row>
    <row r="4306">
      <c r="A4306" s="37" t="s">
        <v>4</v>
      </c>
      <c r="B4306" s="37" t="s">
        <v>1293</v>
      </c>
      <c r="C4306" s="7" t="s">
        <v>31116</v>
      </c>
      <c r="D4306" s="37" t="s">
        <v>31117</v>
      </c>
    </row>
    <row r="4307">
      <c r="A4307" s="37" t="s">
        <v>30002</v>
      </c>
      <c r="B4307" s="37" t="s">
        <v>24942</v>
      </c>
      <c r="C4307" s="7" t="s">
        <v>31118</v>
      </c>
      <c r="D4307" s="37" t="s">
        <v>31119</v>
      </c>
    </row>
    <row r="4308">
      <c r="A4308" s="37" t="s">
        <v>1245</v>
      </c>
      <c r="B4308" s="37" t="s">
        <v>31120</v>
      </c>
      <c r="C4308" s="7" t="s">
        <v>31121</v>
      </c>
      <c r="D4308" s="37" t="s">
        <v>31122</v>
      </c>
    </row>
    <row r="4309">
      <c r="A4309" s="37" t="s">
        <v>1065</v>
      </c>
      <c r="B4309" s="37" t="s">
        <v>478</v>
      </c>
      <c r="C4309" s="7" t="s">
        <v>31123</v>
      </c>
      <c r="D4309" s="37" t="s">
        <v>31124</v>
      </c>
    </row>
    <row r="4310">
      <c r="A4310" s="37" t="s">
        <v>1357</v>
      </c>
      <c r="B4310" s="37" t="s">
        <v>1096</v>
      </c>
      <c r="C4310" s="37" t="s">
        <v>31125</v>
      </c>
      <c r="D4310" s="37" t="s">
        <v>31126</v>
      </c>
    </row>
    <row r="4311">
      <c r="A4311" s="37" t="s">
        <v>4</v>
      </c>
      <c r="B4311" s="37" t="s">
        <v>1293</v>
      </c>
      <c r="C4311" s="37" t="s">
        <v>31127</v>
      </c>
      <c r="D4311" s="37" t="s">
        <v>31128</v>
      </c>
    </row>
    <row r="4312">
      <c r="A4312" s="37" t="s">
        <v>1072</v>
      </c>
      <c r="B4312" s="37" t="s">
        <v>478</v>
      </c>
      <c r="C4312" s="7" t="s">
        <v>31129</v>
      </c>
      <c r="D4312" s="37" t="s">
        <v>31130</v>
      </c>
    </row>
    <row r="4313">
      <c r="A4313" s="37" t="s">
        <v>1237</v>
      </c>
      <c r="B4313" s="37" t="s">
        <v>29912</v>
      </c>
      <c r="C4313" s="7" t="s">
        <v>31131</v>
      </c>
      <c r="D4313" s="37" t="s">
        <v>31132</v>
      </c>
    </row>
    <row r="4314">
      <c r="A4314" s="37" t="s">
        <v>43</v>
      </c>
      <c r="B4314" s="37" t="s">
        <v>24942</v>
      </c>
      <c r="C4314" s="7" t="s">
        <v>31133</v>
      </c>
      <c r="D4314" s="37" t="s">
        <v>31134</v>
      </c>
    </row>
    <row r="4315">
      <c r="A4315" s="37" t="s">
        <v>28902</v>
      </c>
      <c r="B4315" s="37" t="s">
        <v>1495</v>
      </c>
      <c r="C4315" s="37" t="s">
        <v>31135</v>
      </c>
      <c r="D4315" s="37" t="s">
        <v>31136</v>
      </c>
    </row>
    <row r="4316">
      <c r="A4316" s="37" t="s">
        <v>148</v>
      </c>
      <c r="B4316" s="37" t="s">
        <v>26038</v>
      </c>
      <c r="C4316" s="7" t="s">
        <v>31137</v>
      </c>
      <c r="D4316" s="37" t="s">
        <v>31138</v>
      </c>
    </row>
    <row r="4317">
      <c r="A4317" s="37" t="s">
        <v>104</v>
      </c>
      <c r="B4317" s="37" t="s">
        <v>1293</v>
      </c>
      <c r="C4317" s="7" t="s">
        <v>31139</v>
      </c>
      <c r="D4317" s="37" t="s">
        <v>31140</v>
      </c>
    </row>
    <row r="4318">
      <c r="A4318" s="37" t="s">
        <v>104</v>
      </c>
      <c r="B4318" s="37" t="s">
        <v>1293</v>
      </c>
      <c r="C4318" s="7" t="s">
        <v>31141</v>
      </c>
      <c r="D4318" s="37" t="s">
        <v>31142</v>
      </c>
    </row>
    <row r="4319">
      <c r="A4319" s="37" t="s">
        <v>104</v>
      </c>
      <c r="B4319" s="37" t="s">
        <v>1293</v>
      </c>
      <c r="C4319" s="37" t="s">
        <v>31143</v>
      </c>
      <c r="D4319" s="37" t="s">
        <v>31144</v>
      </c>
    </row>
    <row r="4320">
      <c r="A4320" s="37" t="s">
        <v>4</v>
      </c>
      <c r="B4320" s="37" t="s">
        <v>1293</v>
      </c>
      <c r="C4320" s="7" t="s">
        <v>31145</v>
      </c>
      <c r="D4320" s="37" t="s">
        <v>31146</v>
      </c>
    </row>
    <row r="4321">
      <c r="A4321" s="37" t="s">
        <v>30002</v>
      </c>
      <c r="B4321" s="37" t="s">
        <v>24942</v>
      </c>
      <c r="C4321" s="7" t="s">
        <v>31147</v>
      </c>
      <c r="D4321" s="37" t="s">
        <v>31148</v>
      </c>
    </row>
    <row r="4322">
      <c r="A4322" s="37" t="s">
        <v>188</v>
      </c>
      <c r="B4322" s="37" t="s">
        <v>1179</v>
      </c>
      <c r="C4322" s="37" t="s">
        <v>31149</v>
      </c>
      <c r="D4322" s="37" t="s">
        <v>31150</v>
      </c>
    </row>
    <row r="4323">
      <c r="A4323" s="37" t="s">
        <v>1245</v>
      </c>
      <c r="B4323" s="37" t="s">
        <v>1242</v>
      </c>
      <c r="C4323" s="7" t="s">
        <v>31151</v>
      </c>
      <c r="D4323" s="37" t="s">
        <v>31152</v>
      </c>
    </row>
    <row r="4324">
      <c r="A4324" s="37" t="s">
        <v>30002</v>
      </c>
      <c r="B4324" s="37" t="s">
        <v>24942</v>
      </c>
      <c r="C4324" s="7" t="s">
        <v>31153</v>
      </c>
      <c r="D4324" s="37" t="s">
        <v>31154</v>
      </c>
    </row>
    <row r="4325">
      <c r="A4325" s="37" t="s">
        <v>30002</v>
      </c>
      <c r="B4325" s="37" t="s">
        <v>24942</v>
      </c>
      <c r="C4325" s="7" t="s">
        <v>31155</v>
      </c>
      <c r="D4325" s="37" t="s">
        <v>31156</v>
      </c>
    </row>
    <row r="4326">
      <c r="A4326" s="37" t="s">
        <v>28902</v>
      </c>
      <c r="B4326" s="37" t="s">
        <v>1495</v>
      </c>
      <c r="C4326" s="37" t="s">
        <v>31157</v>
      </c>
      <c r="D4326" s="37" t="s">
        <v>31158</v>
      </c>
    </row>
    <row r="4327">
      <c r="A4327" s="37" t="s">
        <v>1243</v>
      </c>
      <c r="B4327" s="37" t="s">
        <v>1242</v>
      </c>
      <c r="C4327" s="7" t="s">
        <v>30665</v>
      </c>
      <c r="D4327" s="37" t="s">
        <v>31159</v>
      </c>
    </row>
    <row r="4328">
      <c r="A4328" s="37" t="s">
        <v>1227</v>
      </c>
      <c r="B4328" s="37" t="s">
        <v>854</v>
      </c>
      <c r="C4328" s="7" t="s">
        <v>31160</v>
      </c>
      <c r="D4328" s="37" t="s">
        <v>31161</v>
      </c>
    </row>
    <row r="4329">
      <c r="A4329" s="37" t="s">
        <v>1495</v>
      </c>
      <c r="B4329" s="37" t="s">
        <v>1495</v>
      </c>
      <c r="C4329" s="7" t="s">
        <v>31162</v>
      </c>
      <c r="D4329" s="37" t="s">
        <v>31163</v>
      </c>
    </row>
    <row r="4330">
      <c r="A4330" s="37" t="s">
        <v>148</v>
      </c>
      <c r="B4330" s="37" t="s">
        <v>1096</v>
      </c>
      <c r="C4330" s="7" t="s">
        <v>31164</v>
      </c>
      <c r="D4330" s="37" t="s">
        <v>31165</v>
      </c>
    </row>
    <row r="4331">
      <c r="A4331" s="37" t="s">
        <v>188</v>
      </c>
      <c r="B4331" s="37" t="s">
        <v>1179</v>
      </c>
      <c r="C4331" s="37" t="s">
        <v>31166</v>
      </c>
      <c r="D4331" s="37" t="s">
        <v>31167</v>
      </c>
    </row>
    <row r="4332">
      <c r="A4332" s="37" t="s">
        <v>1161</v>
      </c>
      <c r="B4332" s="37" t="s">
        <v>1054</v>
      </c>
      <c r="C4332" s="7" t="s">
        <v>29728</v>
      </c>
      <c r="D4332" s="37" t="s">
        <v>31168</v>
      </c>
    </row>
    <row r="4333">
      <c r="A4333" s="37" t="s">
        <v>1161</v>
      </c>
      <c r="B4333" s="37" t="s">
        <v>1054</v>
      </c>
      <c r="C4333" s="37" t="s">
        <v>31169</v>
      </c>
      <c r="D4333" s="37" t="s">
        <v>31170</v>
      </c>
    </row>
    <row r="4334">
      <c r="A4334" s="37" t="s">
        <v>27065</v>
      </c>
      <c r="B4334" s="37" t="s">
        <v>1495</v>
      </c>
      <c r="C4334" s="7" t="s">
        <v>31171</v>
      </c>
      <c r="D4334" s="37" t="s">
        <v>31172</v>
      </c>
    </row>
    <row r="4335">
      <c r="A4335" s="37" t="s">
        <v>1237</v>
      </c>
      <c r="B4335" s="37" t="s">
        <v>440</v>
      </c>
      <c r="C4335" s="7" t="s">
        <v>31173</v>
      </c>
      <c r="D4335" s="37" t="s">
        <v>31174</v>
      </c>
    </row>
    <row r="4336">
      <c r="A4336" s="37" t="s">
        <v>1154</v>
      </c>
      <c r="B4336" s="37" t="s">
        <v>1149</v>
      </c>
      <c r="C4336" s="7" t="s">
        <v>31175</v>
      </c>
      <c r="D4336" s="37" t="s">
        <v>31176</v>
      </c>
    </row>
    <row r="4337">
      <c r="A4337" s="37" t="s">
        <v>28902</v>
      </c>
      <c r="B4337" s="37" t="s">
        <v>1495</v>
      </c>
      <c r="C4337" s="37" t="s">
        <v>31177</v>
      </c>
      <c r="D4337" s="37" t="s">
        <v>31178</v>
      </c>
    </row>
    <row r="4338">
      <c r="A4338" s="37" t="s">
        <v>28902</v>
      </c>
      <c r="B4338" s="37" t="s">
        <v>1495</v>
      </c>
      <c r="C4338" s="37" t="s">
        <v>31179</v>
      </c>
      <c r="D4338" s="37" t="s">
        <v>31180</v>
      </c>
    </row>
    <row r="4339">
      <c r="A4339" s="37" t="s">
        <v>28902</v>
      </c>
      <c r="B4339" s="37" t="s">
        <v>1495</v>
      </c>
      <c r="C4339" s="37" t="s">
        <v>31181</v>
      </c>
      <c r="D4339" s="37" t="s">
        <v>31182</v>
      </c>
    </row>
    <row r="4340">
      <c r="A4340" s="37" t="s">
        <v>28902</v>
      </c>
      <c r="B4340" s="37" t="s">
        <v>1495</v>
      </c>
      <c r="C4340" s="37" t="s">
        <v>31183</v>
      </c>
      <c r="D4340" s="37" t="s">
        <v>31184</v>
      </c>
    </row>
    <row r="4341">
      <c r="A4341" s="37" t="s">
        <v>31185</v>
      </c>
      <c r="B4341" s="37" t="s">
        <v>1427</v>
      </c>
      <c r="C4341" s="7" t="s">
        <v>31186</v>
      </c>
      <c r="D4341" s="37" t="s">
        <v>31187</v>
      </c>
    </row>
    <row r="4342">
      <c r="A4342" s="37" t="s">
        <v>31185</v>
      </c>
      <c r="B4342" s="37" t="s">
        <v>1427</v>
      </c>
      <c r="C4342" s="7" t="s">
        <v>31188</v>
      </c>
      <c r="D4342" s="37" t="s">
        <v>31189</v>
      </c>
    </row>
    <row r="4343">
      <c r="A4343" s="37" t="s">
        <v>31185</v>
      </c>
      <c r="B4343" s="37" t="s">
        <v>1427</v>
      </c>
      <c r="C4343" s="7" t="s">
        <v>31190</v>
      </c>
      <c r="D4343" s="37" t="s">
        <v>31191</v>
      </c>
    </row>
    <row r="4344">
      <c r="A4344" s="37" t="s">
        <v>31185</v>
      </c>
      <c r="B4344" s="37" t="s">
        <v>1427</v>
      </c>
      <c r="C4344" s="7" t="s">
        <v>31192</v>
      </c>
      <c r="D4344" s="37" t="s">
        <v>31193</v>
      </c>
    </row>
    <row r="4345">
      <c r="A4345" s="37" t="s">
        <v>31185</v>
      </c>
      <c r="B4345" s="37" t="s">
        <v>1427</v>
      </c>
      <c r="C4345" s="7" t="s">
        <v>31194</v>
      </c>
      <c r="D4345" s="37" t="s">
        <v>31195</v>
      </c>
    </row>
    <row r="4346">
      <c r="A4346" s="37" t="s">
        <v>31185</v>
      </c>
      <c r="B4346" s="37" t="s">
        <v>1427</v>
      </c>
      <c r="C4346" s="7" t="s">
        <v>31196</v>
      </c>
      <c r="D4346" s="37" t="s">
        <v>31197</v>
      </c>
    </row>
    <row r="4347">
      <c r="A4347" s="37" t="s">
        <v>31185</v>
      </c>
      <c r="B4347" s="37" t="s">
        <v>1427</v>
      </c>
      <c r="C4347" s="7" t="s">
        <v>31198</v>
      </c>
      <c r="D4347" s="37" t="s">
        <v>31199</v>
      </c>
    </row>
    <row r="4348">
      <c r="A4348" s="37" t="s">
        <v>31185</v>
      </c>
      <c r="B4348" s="37" t="s">
        <v>1427</v>
      </c>
      <c r="C4348" s="7" t="s">
        <v>31200</v>
      </c>
      <c r="D4348" s="37" t="s">
        <v>31201</v>
      </c>
    </row>
    <row r="4349">
      <c r="A4349" s="37" t="s">
        <v>31185</v>
      </c>
      <c r="B4349" s="37" t="s">
        <v>1427</v>
      </c>
      <c r="C4349" s="7" t="s">
        <v>31202</v>
      </c>
      <c r="D4349" s="37" t="s">
        <v>31203</v>
      </c>
    </row>
    <row r="4350">
      <c r="A4350" s="37" t="s">
        <v>31185</v>
      </c>
      <c r="B4350" s="37" t="s">
        <v>1427</v>
      </c>
      <c r="C4350" s="7" t="s">
        <v>31204</v>
      </c>
      <c r="D4350" s="37" t="s">
        <v>31205</v>
      </c>
    </row>
    <row r="4351">
      <c r="A4351" s="37" t="s">
        <v>31185</v>
      </c>
      <c r="B4351" s="37" t="s">
        <v>1427</v>
      </c>
      <c r="C4351" s="7" t="s">
        <v>31206</v>
      </c>
      <c r="D4351" s="37" t="s">
        <v>31207</v>
      </c>
    </row>
    <row r="4352">
      <c r="A4352" s="37" t="s">
        <v>31185</v>
      </c>
      <c r="B4352" s="37" t="s">
        <v>1427</v>
      </c>
      <c r="C4352" s="7" t="s">
        <v>31208</v>
      </c>
      <c r="D4352" s="37" t="s">
        <v>31209</v>
      </c>
    </row>
    <row r="4353">
      <c r="A4353" s="37" t="s">
        <v>31185</v>
      </c>
      <c r="B4353" s="37" t="s">
        <v>1427</v>
      </c>
      <c r="C4353" s="7" t="s">
        <v>31210</v>
      </c>
      <c r="D4353" s="37" t="s">
        <v>31211</v>
      </c>
    </row>
    <row r="4354">
      <c r="A4354" s="37" t="s">
        <v>31185</v>
      </c>
      <c r="B4354" s="37" t="s">
        <v>1427</v>
      </c>
      <c r="C4354" s="7" t="s">
        <v>31212</v>
      </c>
      <c r="D4354" s="37" t="s">
        <v>31213</v>
      </c>
    </row>
    <row r="4355">
      <c r="A4355" s="37" t="s">
        <v>31185</v>
      </c>
      <c r="B4355" s="37" t="s">
        <v>1427</v>
      </c>
      <c r="C4355" s="7" t="s">
        <v>31214</v>
      </c>
      <c r="D4355" s="37" t="s">
        <v>31215</v>
      </c>
    </row>
    <row r="4356">
      <c r="A4356" s="37" t="s">
        <v>31185</v>
      </c>
      <c r="B4356" s="37" t="s">
        <v>1427</v>
      </c>
      <c r="C4356" s="7" t="s">
        <v>31216</v>
      </c>
      <c r="D4356" s="37" t="s">
        <v>31217</v>
      </c>
    </row>
    <row r="4357">
      <c r="A4357" s="37" t="s">
        <v>31185</v>
      </c>
      <c r="B4357" s="37" t="s">
        <v>1427</v>
      </c>
      <c r="C4357" s="7" t="s">
        <v>31218</v>
      </c>
      <c r="D4357" s="37" t="s">
        <v>31219</v>
      </c>
    </row>
    <row r="4358">
      <c r="A4358" s="37" t="s">
        <v>31185</v>
      </c>
      <c r="B4358" s="37" t="s">
        <v>1427</v>
      </c>
      <c r="C4358" s="7" t="s">
        <v>31220</v>
      </c>
      <c r="D4358" s="37" t="s">
        <v>31221</v>
      </c>
    </row>
    <row r="4359">
      <c r="A4359" s="37" t="s">
        <v>31185</v>
      </c>
      <c r="B4359" s="37" t="s">
        <v>1427</v>
      </c>
      <c r="C4359" s="7" t="s">
        <v>31222</v>
      </c>
      <c r="D4359" s="37" t="s">
        <v>31223</v>
      </c>
    </row>
    <row r="4360">
      <c r="A4360" s="37" t="s">
        <v>31185</v>
      </c>
      <c r="B4360" s="37" t="s">
        <v>1427</v>
      </c>
      <c r="C4360" s="7" t="s">
        <v>31224</v>
      </c>
      <c r="D4360" s="37" t="s">
        <v>31225</v>
      </c>
    </row>
    <row r="4361">
      <c r="A4361" s="37" t="s">
        <v>31185</v>
      </c>
      <c r="B4361" s="37" t="s">
        <v>1427</v>
      </c>
      <c r="C4361" s="7" t="s">
        <v>31226</v>
      </c>
      <c r="D4361" s="37" t="s">
        <v>31227</v>
      </c>
    </row>
    <row r="4362">
      <c r="A4362" s="37" t="s">
        <v>31185</v>
      </c>
      <c r="B4362" s="37" t="s">
        <v>1427</v>
      </c>
      <c r="C4362" s="7" t="s">
        <v>31228</v>
      </c>
      <c r="D4362" s="37" t="s">
        <v>31229</v>
      </c>
    </row>
    <row r="4363">
      <c r="A4363" s="37" t="s">
        <v>31185</v>
      </c>
      <c r="B4363" s="37" t="s">
        <v>1427</v>
      </c>
      <c r="C4363" s="7" t="s">
        <v>31230</v>
      </c>
      <c r="D4363" s="37" t="s">
        <v>31231</v>
      </c>
    </row>
    <row r="4364">
      <c r="A4364" s="37" t="s">
        <v>31185</v>
      </c>
      <c r="B4364" s="37" t="s">
        <v>1427</v>
      </c>
      <c r="C4364" s="7" t="s">
        <v>31232</v>
      </c>
      <c r="D4364" s="37" t="s">
        <v>31233</v>
      </c>
    </row>
    <row r="4365">
      <c r="A4365" s="37" t="s">
        <v>31185</v>
      </c>
      <c r="B4365" s="37" t="s">
        <v>1427</v>
      </c>
      <c r="C4365" s="7" t="s">
        <v>31234</v>
      </c>
      <c r="D4365" s="37" t="s">
        <v>31235</v>
      </c>
    </row>
    <row r="4366">
      <c r="A4366" s="37" t="s">
        <v>31185</v>
      </c>
      <c r="B4366" s="37" t="s">
        <v>1427</v>
      </c>
      <c r="C4366" s="7" t="s">
        <v>31236</v>
      </c>
      <c r="D4366" s="37" t="s">
        <v>31237</v>
      </c>
    </row>
    <row r="4367">
      <c r="A4367" s="37" t="s">
        <v>1427</v>
      </c>
      <c r="B4367" s="37" t="s">
        <v>1427</v>
      </c>
      <c r="C4367" s="7" t="s">
        <v>1428</v>
      </c>
      <c r="D4367" s="37" t="s">
        <v>31238</v>
      </c>
    </row>
    <row r="4368">
      <c r="A4368" s="37" t="s">
        <v>1209</v>
      </c>
      <c r="B4368" s="37" t="s">
        <v>440</v>
      </c>
      <c r="C4368" s="37" t="s">
        <v>1739</v>
      </c>
      <c r="D4368" s="37" t="s">
        <v>31239</v>
      </c>
    </row>
    <row r="4369">
      <c r="A4369" s="37" t="s">
        <v>484</v>
      </c>
      <c r="B4369" s="37" t="s">
        <v>478</v>
      </c>
      <c r="C4369" s="7" t="s">
        <v>31240</v>
      </c>
      <c r="D4369" s="37" t="s">
        <v>31241</v>
      </c>
    </row>
    <row r="4370">
      <c r="A4370" s="37" t="s">
        <v>30002</v>
      </c>
      <c r="B4370" s="37" t="s">
        <v>24942</v>
      </c>
      <c r="C4370" s="7" t="s">
        <v>31242</v>
      </c>
      <c r="D4370" s="37" t="s">
        <v>31243</v>
      </c>
    </row>
    <row r="4371">
      <c r="A4371" s="37" t="s">
        <v>30002</v>
      </c>
      <c r="B4371" s="37" t="s">
        <v>24942</v>
      </c>
      <c r="C4371" s="7" t="s">
        <v>31244</v>
      </c>
      <c r="D4371" s="37" t="s">
        <v>31245</v>
      </c>
    </row>
    <row r="4372">
      <c r="A4372" s="37" t="s">
        <v>1072</v>
      </c>
      <c r="B4372" s="37" t="s">
        <v>478</v>
      </c>
      <c r="C4372" s="37" t="s">
        <v>10640</v>
      </c>
      <c r="D4372" s="37" t="s">
        <v>31246</v>
      </c>
    </row>
    <row r="4373">
      <c r="A4373" s="37" t="s">
        <v>148</v>
      </c>
      <c r="B4373" s="37" t="s">
        <v>26038</v>
      </c>
      <c r="C4373" s="7" t="s">
        <v>31247</v>
      </c>
      <c r="D4373" s="37" t="s">
        <v>31248</v>
      </c>
    </row>
    <row r="4374">
      <c r="A4374" s="37" t="s">
        <v>148</v>
      </c>
      <c r="B4374" s="37" t="s">
        <v>26038</v>
      </c>
      <c r="C4374" s="7" t="s">
        <v>31249</v>
      </c>
      <c r="D4374" s="37" t="s">
        <v>31250</v>
      </c>
    </row>
    <row r="4375">
      <c r="A4375" s="37" t="s">
        <v>31251</v>
      </c>
      <c r="B4375" s="37" t="s">
        <v>1054</v>
      </c>
      <c r="C4375" s="7" t="s">
        <v>31252</v>
      </c>
      <c r="D4375" s="37" t="s">
        <v>31253</v>
      </c>
    </row>
    <row r="4376">
      <c r="A4376" s="37" t="s">
        <v>31251</v>
      </c>
      <c r="B4376" s="37" t="s">
        <v>1054</v>
      </c>
      <c r="C4376" s="7" t="s">
        <v>31254</v>
      </c>
      <c r="D4376" s="37" t="s">
        <v>31255</v>
      </c>
    </row>
    <row r="4377">
      <c r="A4377" s="37" t="s">
        <v>31251</v>
      </c>
      <c r="B4377" s="37" t="s">
        <v>1054</v>
      </c>
      <c r="C4377" s="7" t="s">
        <v>31256</v>
      </c>
      <c r="D4377" s="37" t="s">
        <v>31257</v>
      </c>
    </row>
    <row r="4378">
      <c r="A4378" s="37" t="s">
        <v>31251</v>
      </c>
      <c r="B4378" s="37" t="s">
        <v>1054</v>
      </c>
      <c r="C4378" s="7" t="s">
        <v>31258</v>
      </c>
      <c r="D4378" s="37" t="s">
        <v>31259</v>
      </c>
    </row>
    <row r="4379">
      <c r="A4379" s="37" t="s">
        <v>31251</v>
      </c>
      <c r="B4379" s="37" t="s">
        <v>1054</v>
      </c>
      <c r="C4379" s="7" t="s">
        <v>31260</v>
      </c>
      <c r="D4379" s="37" t="s">
        <v>31261</v>
      </c>
    </row>
    <row r="4380">
      <c r="A4380" s="37" t="s">
        <v>31251</v>
      </c>
      <c r="B4380" s="37" t="s">
        <v>1054</v>
      </c>
      <c r="C4380" s="7" t="s">
        <v>31262</v>
      </c>
      <c r="D4380" s="37" t="s">
        <v>31263</v>
      </c>
    </row>
    <row r="4381">
      <c r="A4381" s="37" t="s">
        <v>31251</v>
      </c>
      <c r="B4381" s="37" t="s">
        <v>1054</v>
      </c>
      <c r="C4381" s="7" t="s">
        <v>31264</v>
      </c>
      <c r="D4381" s="37" t="s">
        <v>31265</v>
      </c>
    </row>
    <row r="4382">
      <c r="A4382" s="37" t="s">
        <v>31251</v>
      </c>
      <c r="B4382" s="37" t="s">
        <v>1054</v>
      </c>
      <c r="C4382" s="7" t="s">
        <v>31266</v>
      </c>
      <c r="D4382" s="37" t="s">
        <v>31267</v>
      </c>
    </row>
    <row r="4383">
      <c r="A4383" s="37" t="s">
        <v>28902</v>
      </c>
      <c r="B4383" s="37" t="s">
        <v>1495</v>
      </c>
      <c r="C4383" s="37" t="s">
        <v>31268</v>
      </c>
      <c r="D4383" s="37" t="s">
        <v>31269</v>
      </c>
    </row>
    <row r="4384">
      <c r="A4384" s="37" t="s">
        <v>28902</v>
      </c>
      <c r="B4384" s="37" t="s">
        <v>1495</v>
      </c>
      <c r="C4384" s="37" t="s">
        <v>31270</v>
      </c>
      <c r="D4384" s="37" t="s">
        <v>31271</v>
      </c>
    </row>
    <row r="4385">
      <c r="A4385" s="37" t="s">
        <v>148</v>
      </c>
      <c r="B4385" s="37" t="s">
        <v>26038</v>
      </c>
      <c r="C4385" s="7" t="s">
        <v>31272</v>
      </c>
      <c r="D4385" s="37" t="s">
        <v>31273</v>
      </c>
    </row>
    <row r="4386">
      <c r="A4386" s="37" t="s">
        <v>1246</v>
      </c>
      <c r="B4386" s="37" t="s">
        <v>38</v>
      </c>
      <c r="C4386" s="7" t="s">
        <v>26189</v>
      </c>
      <c r="D4386" s="37" t="s">
        <v>31274</v>
      </c>
    </row>
    <row r="4387">
      <c r="A4387" s="37" t="s">
        <v>31275</v>
      </c>
      <c r="B4387" s="37" t="s">
        <v>24942</v>
      </c>
      <c r="C4387" s="7" t="s">
        <v>30581</v>
      </c>
      <c r="D4387" s="37" t="s">
        <v>31276</v>
      </c>
    </row>
    <row r="4388">
      <c r="A4388" s="37" t="s">
        <v>27036</v>
      </c>
      <c r="B4388" s="37" t="s">
        <v>26038</v>
      </c>
      <c r="C4388" s="37" t="s">
        <v>9377</v>
      </c>
      <c r="D4388" s="37" t="s">
        <v>31277</v>
      </c>
    </row>
    <row r="4389">
      <c r="A4389" s="37" t="s">
        <v>43</v>
      </c>
      <c r="B4389" s="37" t="s">
        <v>24942</v>
      </c>
      <c r="C4389" s="37" t="s">
        <v>31278</v>
      </c>
      <c r="D4389" s="37" t="s">
        <v>31279</v>
      </c>
    </row>
    <row r="4390">
      <c r="A4390" s="37" t="s">
        <v>1154</v>
      </c>
      <c r="B4390" s="37" t="s">
        <v>1149</v>
      </c>
      <c r="C4390" s="7" t="s">
        <v>31280</v>
      </c>
      <c r="D4390" s="37" t="s">
        <v>31281</v>
      </c>
    </row>
    <row r="4391">
      <c r="A4391" s="37" t="s">
        <v>1154</v>
      </c>
      <c r="B4391" s="37" t="s">
        <v>1149</v>
      </c>
      <c r="C4391" s="7" t="s">
        <v>31282</v>
      </c>
      <c r="D4391" s="37" t="s">
        <v>31283</v>
      </c>
    </row>
    <row r="4392">
      <c r="A4392" s="37" t="s">
        <v>1156</v>
      </c>
      <c r="B4392" s="37" t="s">
        <v>693</v>
      </c>
      <c r="C4392" s="7" t="s">
        <v>29998</v>
      </c>
      <c r="D4392" s="37" t="s">
        <v>31284</v>
      </c>
    </row>
    <row r="4393">
      <c r="A4393" s="37" t="s">
        <v>43</v>
      </c>
      <c r="B4393" s="37" t="s">
        <v>24942</v>
      </c>
      <c r="C4393" s="7" t="s">
        <v>31285</v>
      </c>
      <c r="D4393" s="37" t="s">
        <v>31286</v>
      </c>
    </row>
    <row r="4394">
      <c r="A4394" s="37" t="s">
        <v>43</v>
      </c>
      <c r="B4394" s="37" t="s">
        <v>24942</v>
      </c>
      <c r="C4394" s="7" t="s">
        <v>31287</v>
      </c>
      <c r="D4394" s="37" t="s">
        <v>31288</v>
      </c>
    </row>
    <row r="4395">
      <c r="A4395" s="37" t="s">
        <v>43</v>
      </c>
      <c r="B4395" s="37" t="s">
        <v>24942</v>
      </c>
      <c r="C4395" s="7" t="s">
        <v>29805</v>
      </c>
      <c r="D4395" s="37" t="s">
        <v>31289</v>
      </c>
    </row>
    <row r="4396">
      <c r="A4396" s="37" t="s">
        <v>43</v>
      </c>
      <c r="B4396" s="37" t="s">
        <v>24942</v>
      </c>
      <c r="C4396" s="7" t="s">
        <v>31290</v>
      </c>
      <c r="D4396" s="37" t="s">
        <v>31291</v>
      </c>
    </row>
    <row r="4397">
      <c r="A4397" s="37" t="s">
        <v>43</v>
      </c>
      <c r="B4397" s="37" t="s">
        <v>24942</v>
      </c>
      <c r="C4397" s="7" t="s">
        <v>31292</v>
      </c>
      <c r="D4397" s="37" t="s">
        <v>31293</v>
      </c>
    </row>
    <row r="4398">
      <c r="A4398" s="37" t="s">
        <v>43</v>
      </c>
      <c r="B4398" s="37" t="s">
        <v>24942</v>
      </c>
      <c r="C4398" s="7" t="s">
        <v>31294</v>
      </c>
      <c r="D4398" s="37" t="s">
        <v>31295</v>
      </c>
    </row>
    <row r="4399">
      <c r="A4399" s="37" t="s">
        <v>43</v>
      </c>
      <c r="B4399" s="37" t="s">
        <v>24942</v>
      </c>
      <c r="C4399" s="7" t="s">
        <v>31296</v>
      </c>
      <c r="D4399" s="37" t="s">
        <v>31297</v>
      </c>
    </row>
    <row r="4400">
      <c r="A4400" s="37" t="s">
        <v>43</v>
      </c>
      <c r="B4400" s="37" t="s">
        <v>24942</v>
      </c>
      <c r="C4400" s="7" t="s">
        <v>31298</v>
      </c>
      <c r="D4400" s="37" t="s">
        <v>31299</v>
      </c>
    </row>
    <row r="4401">
      <c r="A4401" s="37" t="s">
        <v>43</v>
      </c>
      <c r="B4401" s="37" t="s">
        <v>24942</v>
      </c>
      <c r="C4401" s="7" t="s">
        <v>31300</v>
      </c>
      <c r="D4401" s="37" t="s">
        <v>31301</v>
      </c>
    </row>
    <row r="4402">
      <c r="A4402" s="37" t="s">
        <v>1158</v>
      </c>
      <c r="B4402" s="37" t="s">
        <v>693</v>
      </c>
      <c r="C4402" s="7" t="s">
        <v>31302</v>
      </c>
      <c r="D4402" s="37" t="s">
        <v>31303</v>
      </c>
    </row>
    <row r="4403">
      <c r="A4403" s="37" t="s">
        <v>1065</v>
      </c>
      <c r="B4403" s="37" t="s">
        <v>478</v>
      </c>
      <c r="C4403" s="7" t="s">
        <v>31304</v>
      </c>
      <c r="D4403" s="37" t="s">
        <v>31305</v>
      </c>
    </row>
    <row r="4404">
      <c r="A4404" s="37" t="s">
        <v>1065</v>
      </c>
      <c r="B4404" s="37" t="s">
        <v>478</v>
      </c>
      <c r="C4404" s="7" t="s">
        <v>28469</v>
      </c>
      <c r="D4404" s="37" t="s">
        <v>31306</v>
      </c>
    </row>
    <row r="4405">
      <c r="A4405" s="37" t="s">
        <v>51</v>
      </c>
      <c r="B4405" s="37" t="s">
        <v>363</v>
      </c>
      <c r="C4405" s="7" t="s">
        <v>31307</v>
      </c>
      <c r="D4405" s="37" t="s">
        <v>31308</v>
      </c>
    </row>
    <row r="4406">
      <c r="A4406" s="37" t="s">
        <v>1065</v>
      </c>
      <c r="B4406" s="37" t="s">
        <v>478</v>
      </c>
      <c r="C4406" s="37" t="s">
        <v>1473</v>
      </c>
      <c r="D4406" s="37" t="s">
        <v>31309</v>
      </c>
    </row>
    <row r="4407">
      <c r="A4407" s="37" t="s">
        <v>1065</v>
      </c>
      <c r="B4407" s="37" t="s">
        <v>478</v>
      </c>
      <c r="C4407" s="7" t="s">
        <v>31310</v>
      </c>
      <c r="D4407" s="37" t="s">
        <v>31311</v>
      </c>
    </row>
    <row r="4408">
      <c r="A4408" s="37" t="s">
        <v>51</v>
      </c>
      <c r="B4408" s="37" t="s">
        <v>363</v>
      </c>
      <c r="C4408" s="7" t="s">
        <v>31312</v>
      </c>
      <c r="D4408" s="37" t="s">
        <v>31313</v>
      </c>
    </row>
    <row r="4409">
      <c r="A4409" s="37" t="s">
        <v>31314</v>
      </c>
      <c r="B4409" s="37" t="s">
        <v>1495</v>
      </c>
      <c r="C4409" s="7" t="s">
        <v>31315</v>
      </c>
      <c r="D4409" s="37" t="s">
        <v>31316</v>
      </c>
    </row>
    <row r="4410">
      <c r="A4410" s="37" t="s">
        <v>31314</v>
      </c>
      <c r="B4410" s="37" t="s">
        <v>1495</v>
      </c>
      <c r="C4410" s="7" t="s">
        <v>31317</v>
      </c>
      <c r="D4410" s="37" t="s">
        <v>31318</v>
      </c>
    </row>
    <row r="4411">
      <c r="A4411" s="37" t="s">
        <v>31314</v>
      </c>
      <c r="B4411" s="37" t="s">
        <v>1495</v>
      </c>
      <c r="C4411" s="7" t="s">
        <v>31319</v>
      </c>
      <c r="D4411" s="37" t="s">
        <v>31320</v>
      </c>
    </row>
    <row r="4412">
      <c r="A4412" s="37" t="s">
        <v>31321</v>
      </c>
      <c r="B4412" s="37" t="s">
        <v>1179</v>
      </c>
      <c r="C4412" s="7" t="s">
        <v>8693</v>
      </c>
      <c r="D4412" s="37" t="s">
        <v>31322</v>
      </c>
    </row>
    <row r="4413">
      <c r="A4413" s="37" t="s">
        <v>307</v>
      </c>
      <c r="B4413" s="37" t="s">
        <v>31323</v>
      </c>
      <c r="C4413" s="7" t="s">
        <v>31324</v>
      </c>
      <c r="D4413" s="37" t="s">
        <v>31325</v>
      </c>
    </row>
    <row r="4414">
      <c r="A4414" s="37" t="s">
        <v>359</v>
      </c>
      <c r="B4414" s="37" t="s">
        <v>24942</v>
      </c>
      <c r="C4414" s="37" t="s">
        <v>31326</v>
      </c>
      <c r="D4414" s="37" t="s">
        <v>31327</v>
      </c>
    </row>
    <row r="4415">
      <c r="A4415" s="37" t="s">
        <v>1185</v>
      </c>
      <c r="B4415" s="37" t="s">
        <v>1179</v>
      </c>
      <c r="C4415" s="7" t="s">
        <v>31328</v>
      </c>
      <c r="D4415" s="37" t="s">
        <v>31329</v>
      </c>
    </row>
    <row r="4416">
      <c r="A4416" s="37" t="s">
        <v>1361</v>
      </c>
      <c r="B4416" s="37" t="s">
        <v>1096</v>
      </c>
      <c r="C4416" s="7" t="s">
        <v>31330</v>
      </c>
      <c r="D4416" s="37" t="s">
        <v>31331</v>
      </c>
    </row>
    <row r="4417">
      <c r="A4417" s="37" t="s">
        <v>1361</v>
      </c>
      <c r="B4417" s="37" t="s">
        <v>1096</v>
      </c>
      <c r="C4417" s="7" t="s">
        <v>31332</v>
      </c>
      <c r="D4417" s="37" t="s">
        <v>31333</v>
      </c>
    </row>
    <row r="4418">
      <c r="A4418" s="37" t="s">
        <v>1072</v>
      </c>
      <c r="B4418" s="37" t="s">
        <v>478</v>
      </c>
      <c r="C4418" s="37" t="s">
        <v>31334</v>
      </c>
      <c r="D4418" s="37" t="s">
        <v>31335</v>
      </c>
    </row>
    <row r="4419">
      <c r="A4419" s="37" t="s">
        <v>1237</v>
      </c>
      <c r="B4419" s="37" t="s">
        <v>440</v>
      </c>
      <c r="C4419" s="7" t="s">
        <v>2025</v>
      </c>
      <c r="D4419" s="37" t="s">
        <v>31336</v>
      </c>
    </row>
    <row r="4420">
      <c r="A4420" s="37" t="s">
        <v>1072</v>
      </c>
      <c r="B4420" s="37" t="s">
        <v>478</v>
      </c>
      <c r="C4420" s="7" t="s">
        <v>31337</v>
      </c>
      <c r="D4420" s="37" t="s">
        <v>31338</v>
      </c>
    </row>
    <row r="4421">
      <c r="A4421" s="37" t="s">
        <v>1072</v>
      </c>
      <c r="B4421" s="37" t="s">
        <v>478</v>
      </c>
      <c r="C4421" s="7" t="s">
        <v>24200</v>
      </c>
      <c r="D4421" s="37" t="s">
        <v>31339</v>
      </c>
    </row>
    <row r="4422">
      <c r="A4422" s="37" t="s">
        <v>1237</v>
      </c>
      <c r="B4422" s="37" t="s">
        <v>440</v>
      </c>
      <c r="C4422" s="7" t="s">
        <v>31340</v>
      </c>
      <c r="D4422" s="37" t="s">
        <v>31341</v>
      </c>
    </row>
    <row r="4423">
      <c r="A4423" s="37" t="s">
        <v>1237</v>
      </c>
      <c r="B4423" s="37" t="s">
        <v>440</v>
      </c>
      <c r="C4423" s="7" t="s">
        <v>31342</v>
      </c>
      <c r="D4423" s="37" t="s">
        <v>31343</v>
      </c>
    </row>
    <row r="4424">
      <c r="A4424" s="37" t="s">
        <v>1232</v>
      </c>
      <c r="B4424" s="37" t="s">
        <v>440</v>
      </c>
      <c r="C4424" s="37" t="s">
        <v>28075</v>
      </c>
      <c r="D4424" s="37" t="s">
        <v>31344</v>
      </c>
    </row>
    <row r="4425">
      <c r="A4425" s="37" t="s">
        <v>148</v>
      </c>
      <c r="B4425" s="37" t="s">
        <v>1096</v>
      </c>
      <c r="C4425" s="7" t="s">
        <v>31345</v>
      </c>
      <c r="D4425" s="37" t="s">
        <v>31346</v>
      </c>
    </row>
    <row r="4426">
      <c r="A4426" s="37" t="s">
        <v>1156</v>
      </c>
      <c r="B4426" s="37" t="s">
        <v>693</v>
      </c>
      <c r="C4426" s="7" t="s">
        <v>31347</v>
      </c>
      <c r="D4426" s="37" t="s">
        <v>31348</v>
      </c>
    </row>
    <row r="4427">
      <c r="A4427" s="37" t="s">
        <v>1237</v>
      </c>
      <c r="B4427" s="37" t="s">
        <v>440</v>
      </c>
      <c r="C4427" s="7" t="s">
        <v>31349</v>
      </c>
      <c r="D4427" s="37" t="s">
        <v>31350</v>
      </c>
    </row>
    <row r="4428">
      <c r="A4428" s="37" t="s">
        <v>1237</v>
      </c>
      <c r="B4428" s="37" t="s">
        <v>440</v>
      </c>
      <c r="C4428" s="7" t="s">
        <v>31351</v>
      </c>
      <c r="D4428" s="37" t="s">
        <v>31352</v>
      </c>
    </row>
    <row r="4429">
      <c r="A4429" s="37" t="s">
        <v>1237</v>
      </c>
      <c r="B4429" s="37" t="s">
        <v>440</v>
      </c>
      <c r="C4429" s="7" t="s">
        <v>31353</v>
      </c>
      <c r="D4429" s="37" t="s">
        <v>31354</v>
      </c>
    </row>
    <row r="4430">
      <c r="A4430" s="37" t="s">
        <v>1237</v>
      </c>
      <c r="B4430" s="37" t="s">
        <v>440</v>
      </c>
      <c r="C4430" s="7" t="s">
        <v>31355</v>
      </c>
      <c r="D4430" s="37" t="s">
        <v>31356</v>
      </c>
    </row>
    <row r="4431">
      <c r="A4431" s="37" t="s">
        <v>31357</v>
      </c>
      <c r="B4431" s="37" t="s">
        <v>30009</v>
      </c>
      <c r="C4431" s="7" t="s">
        <v>31358</v>
      </c>
      <c r="D4431" s="37" t="s">
        <v>31359</v>
      </c>
    </row>
    <row r="4432">
      <c r="A4432" s="37" t="s">
        <v>1193</v>
      </c>
      <c r="B4432" s="37" t="s">
        <v>391</v>
      </c>
      <c r="C4432" s="7" t="s">
        <v>31360</v>
      </c>
      <c r="D4432" s="37" t="s">
        <v>31361</v>
      </c>
    </row>
    <row r="4433">
      <c r="A4433" s="37" t="s">
        <v>1072</v>
      </c>
      <c r="B4433" s="37" t="s">
        <v>478</v>
      </c>
      <c r="C4433" s="7" t="s">
        <v>7404</v>
      </c>
      <c r="D4433" s="37" t="s">
        <v>31362</v>
      </c>
    </row>
    <row r="4434">
      <c r="A4434" s="37" t="s">
        <v>43</v>
      </c>
      <c r="B4434" s="37" t="s">
        <v>24942</v>
      </c>
      <c r="C4434" s="7" t="s">
        <v>31363</v>
      </c>
      <c r="D4434" s="37" t="s">
        <v>31364</v>
      </c>
    </row>
    <row r="4435">
      <c r="A4435" s="37" t="s">
        <v>1161</v>
      </c>
      <c r="B4435" s="37" t="s">
        <v>24942</v>
      </c>
      <c r="C4435" s="7" t="s">
        <v>31365</v>
      </c>
      <c r="D4435" s="37" t="s">
        <v>31366</v>
      </c>
    </row>
    <row r="4436">
      <c r="A4436" s="37" t="s">
        <v>1072</v>
      </c>
      <c r="B4436" s="37" t="s">
        <v>478</v>
      </c>
      <c r="C4436" s="7" t="s">
        <v>31367</v>
      </c>
      <c r="D4436" s="37" t="s">
        <v>31368</v>
      </c>
    </row>
    <row r="4437">
      <c r="A4437" s="37" t="s">
        <v>1072</v>
      </c>
      <c r="B4437" s="37" t="s">
        <v>478</v>
      </c>
      <c r="C4437" s="7" t="s">
        <v>31369</v>
      </c>
      <c r="D4437" s="37" t="s">
        <v>31370</v>
      </c>
    </row>
    <row r="4438">
      <c r="A4438" s="37" t="s">
        <v>28902</v>
      </c>
      <c r="B4438" s="37" t="s">
        <v>1495</v>
      </c>
      <c r="C4438" s="37" t="s">
        <v>31371</v>
      </c>
      <c r="D4438" s="37" t="s">
        <v>31372</v>
      </c>
    </row>
    <row r="4439">
      <c r="A4439" s="37" t="s">
        <v>28902</v>
      </c>
      <c r="B4439" s="37" t="s">
        <v>1495</v>
      </c>
      <c r="C4439" s="37" t="s">
        <v>31373</v>
      </c>
      <c r="D4439" s="37" t="s">
        <v>31374</v>
      </c>
    </row>
    <row r="4440">
      <c r="A4440" s="37" t="s">
        <v>1161</v>
      </c>
      <c r="B4440" s="37" t="s">
        <v>24942</v>
      </c>
      <c r="C4440" s="7" t="s">
        <v>31375</v>
      </c>
      <c r="D4440" s="37" t="s">
        <v>31376</v>
      </c>
    </row>
    <row r="4441">
      <c r="A4441" s="37" t="s">
        <v>1161</v>
      </c>
      <c r="B4441" s="37" t="s">
        <v>24942</v>
      </c>
      <c r="C4441" s="7" t="s">
        <v>31377</v>
      </c>
      <c r="D4441" s="37" t="s">
        <v>31378</v>
      </c>
    </row>
    <row r="4442">
      <c r="A4442" s="37" t="s">
        <v>1180</v>
      </c>
      <c r="B4442" s="37" t="s">
        <v>1179</v>
      </c>
      <c r="C4442" s="7" t="s">
        <v>31379</v>
      </c>
      <c r="D4442" s="37" t="s">
        <v>31380</v>
      </c>
    </row>
    <row r="4443">
      <c r="A4443" s="37" t="s">
        <v>31314</v>
      </c>
      <c r="B4443" s="37" t="s">
        <v>1495</v>
      </c>
      <c r="C4443" s="7" t="s">
        <v>31381</v>
      </c>
      <c r="D4443" s="37" t="s">
        <v>31382</v>
      </c>
    </row>
    <row r="4444">
      <c r="A4444" s="37" t="s">
        <v>1072</v>
      </c>
      <c r="B4444" s="37" t="s">
        <v>478</v>
      </c>
      <c r="C4444" s="7" t="s">
        <v>28322</v>
      </c>
      <c r="D4444" s="37" t="s">
        <v>31383</v>
      </c>
    </row>
    <row r="4445">
      <c r="A4445" s="37" t="s">
        <v>359</v>
      </c>
      <c r="B4445" s="37" t="s">
        <v>24942</v>
      </c>
      <c r="C4445" s="37" t="s">
        <v>31384</v>
      </c>
      <c r="D4445" s="37" t="s">
        <v>31385</v>
      </c>
    </row>
    <row r="4446">
      <c r="A4446" s="37" t="s">
        <v>1065</v>
      </c>
      <c r="B4446" s="37" t="s">
        <v>478</v>
      </c>
      <c r="C4446" s="7" t="s">
        <v>31386</v>
      </c>
      <c r="D4446" s="37" t="s">
        <v>31387</v>
      </c>
    </row>
    <row r="4447">
      <c r="A4447" s="37" t="s">
        <v>1065</v>
      </c>
      <c r="B4447" s="37" t="s">
        <v>478</v>
      </c>
      <c r="C4447" s="7" t="s">
        <v>29523</v>
      </c>
      <c r="D4447" s="37" t="s">
        <v>31388</v>
      </c>
    </row>
    <row r="4448">
      <c r="A4448" s="37" t="s">
        <v>1151</v>
      </c>
      <c r="B4448" s="37" t="s">
        <v>1149</v>
      </c>
      <c r="C4448" s="37" t="s">
        <v>31389</v>
      </c>
      <c r="D4448" s="37" t="s">
        <v>31390</v>
      </c>
    </row>
    <row r="4449">
      <c r="A4449" s="37" t="s">
        <v>31251</v>
      </c>
      <c r="B4449" s="37" t="s">
        <v>1054</v>
      </c>
      <c r="C4449" s="37" t="s">
        <v>31391</v>
      </c>
      <c r="D4449" s="37" t="s">
        <v>31392</v>
      </c>
    </row>
    <row r="4450">
      <c r="A4450" s="37" t="s">
        <v>1245</v>
      </c>
      <c r="B4450" s="37" t="s">
        <v>1242</v>
      </c>
      <c r="C4450" s="7" t="s">
        <v>31393</v>
      </c>
      <c r="D4450" s="37" t="s">
        <v>31394</v>
      </c>
    </row>
    <row r="4451">
      <c r="A4451" s="37" t="s">
        <v>1072</v>
      </c>
      <c r="B4451" s="37" t="s">
        <v>478</v>
      </c>
      <c r="C4451" s="7" t="s">
        <v>9225</v>
      </c>
      <c r="D4451" s="37" t="s">
        <v>31395</v>
      </c>
    </row>
    <row r="4452">
      <c r="A4452" s="37" t="s">
        <v>1072</v>
      </c>
      <c r="B4452" s="37" t="s">
        <v>478</v>
      </c>
      <c r="C4452" s="7" t="s">
        <v>8727</v>
      </c>
      <c r="D4452" s="37" t="s">
        <v>31396</v>
      </c>
    </row>
    <row r="4453">
      <c r="A4453" s="37" t="s">
        <v>359</v>
      </c>
      <c r="B4453" s="37" t="s">
        <v>1054</v>
      </c>
      <c r="C4453" s="37" t="s">
        <v>31397</v>
      </c>
      <c r="D4453" s="37" t="s">
        <v>31398</v>
      </c>
    </row>
    <row r="4454">
      <c r="A4454" s="37" t="s">
        <v>1495</v>
      </c>
      <c r="B4454" s="37" t="s">
        <v>1495</v>
      </c>
      <c r="C4454" s="7" t="s">
        <v>31399</v>
      </c>
      <c r="D4454" s="37" t="s">
        <v>31400</v>
      </c>
    </row>
    <row r="4455">
      <c r="A4455" s="37" t="s">
        <v>43</v>
      </c>
      <c r="B4455" s="37" t="s">
        <v>24942</v>
      </c>
      <c r="C4455" s="37" t="s">
        <v>23932</v>
      </c>
      <c r="D4455" s="37" t="s">
        <v>31401</v>
      </c>
    </row>
    <row r="4456">
      <c r="A4456" s="37" t="s">
        <v>1495</v>
      </c>
      <c r="B4456" s="37" t="s">
        <v>1495</v>
      </c>
      <c r="C4456" s="7" t="s">
        <v>31402</v>
      </c>
      <c r="D4456" s="37" t="s">
        <v>31403</v>
      </c>
    </row>
    <row r="4457">
      <c r="A4457" s="37" t="s">
        <v>1223</v>
      </c>
      <c r="B4457" s="37" t="s">
        <v>854</v>
      </c>
      <c r="C4457" s="7" t="s">
        <v>31404</v>
      </c>
      <c r="D4457" s="37" t="s">
        <v>31405</v>
      </c>
    </row>
    <row r="4458">
      <c r="A4458" s="37" t="s">
        <v>31321</v>
      </c>
      <c r="B4458" s="37" t="s">
        <v>1179</v>
      </c>
      <c r="C4458" s="7" t="s">
        <v>31406</v>
      </c>
      <c r="D4458" s="37" t="s">
        <v>31407</v>
      </c>
    </row>
    <row r="4459">
      <c r="A4459" s="37" t="s">
        <v>31321</v>
      </c>
      <c r="B4459" s="37" t="s">
        <v>30009</v>
      </c>
      <c r="C4459" s="7" t="s">
        <v>31408</v>
      </c>
      <c r="D4459" s="37" t="s">
        <v>31409</v>
      </c>
    </row>
    <row r="4460">
      <c r="A4460" s="37" t="s">
        <v>31321</v>
      </c>
      <c r="B4460" s="37" t="s">
        <v>30009</v>
      </c>
      <c r="C4460" s="7" t="s">
        <v>31410</v>
      </c>
      <c r="D4460" s="37" t="s">
        <v>31411</v>
      </c>
    </row>
    <row r="4461">
      <c r="A4461" s="37" t="s">
        <v>148</v>
      </c>
      <c r="B4461" s="37" t="s">
        <v>1096</v>
      </c>
      <c r="C4461" s="7" t="s">
        <v>31412</v>
      </c>
      <c r="D4461" s="37" t="s">
        <v>31413</v>
      </c>
    </row>
    <row r="4462">
      <c r="A4462" s="37" t="s">
        <v>148</v>
      </c>
      <c r="B4462" s="37" t="s">
        <v>1096</v>
      </c>
      <c r="C4462" s="7" t="s">
        <v>29823</v>
      </c>
      <c r="D4462" s="37" t="s">
        <v>31414</v>
      </c>
    </row>
    <row r="4463">
      <c r="A4463" s="37" t="s">
        <v>30002</v>
      </c>
      <c r="B4463" s="37" t="s">
        <v>24942</v>
      </c>
      <c r="C4463" s="7" t="s">
        <v>31415</v>
      </c>
      <c r="D4463" s="37" t="s">
        <v>31416</v>
      </c>
    </row>
    <row r="4464">
      <c r="A4464" s="37" t="s">
        <v>30002</v>
      </c>
      <c r="B4464" s="37" t="s">
        <v>24942</v>
      </c>
      <c r="C4464" s="7" t="s">
        <v>31417</v>
      </c>
      <c r="D4464" s="37" t="s">
        <v>31418</v>
      </c>
    </row>
    <row r="4465">
      <c r="A4465" s="37" t="s">
        <v>1361</v>
      </c>
      <c r="B4465" s="37" t="s">
        <v>1096</v>
      </c>
      <c r="C4465" s="7" t="s">
        <v>31419</v>
      </c>
      <c r="D4465" s="37" t="s">
        <v>31420</v>
      </c>
    </row>
    <row r="4466">
      <c r="A4466" s="37" t="s">
        <v>1361</v>
      </c>
      <c r="B4466" s="37" t="s">
        <v>1096</v>
      </c>
      <c r="C4466" s="7" t="s">
        <v>31421</v>
      </c>
      <c r="D4466" s="37" t="s">
        <v>31422</v>
      </c>
    </row>
    <row r="4467">
      <c r="A4467" s="37" t="s">
        <v>28902</v>
      </c>
      <c r="B4467" s="37" t="s">
        <v>1495</v>
      </c>
      <c r="C4467" s="37" t="s">
        <v>31423</v>
      </c>
      <c r="D4467" s="37" t="s">
        <v>31424</v>
      </c>
    </row>
    <row r="4468">
      <c r="A4468" s="37" t="s">
        <v>1430</v>
      </c>
      <c r="B4468" s="37" t="s">
        <v>1495</v>
      </c>
      <c r="C4468" s="7" t="s">
        <v>1429</v>
      </c>
      <c r="D4468" s="37" t="s">
        <v>31425</v>
      </c>
    </row>
    <row r="4469">
      <c r="A4469" s="37" t="s">
        <v>1072</v>
      </c>
      <c r="B4469" s="37" t="s">
        <v>478</v>
      </c>
      <c r="C4469" s="7" t="s">
        <v>7340</v>
      </c>
      <c r="D4469" s="37" t="s">
        <v>31426</v>
      </c>
    </row>
    <row r="4470">
      <c r="A4470" s="37" t="s">
        <v>1495</v>
      </c>
      <c r="B4470" s="37" t="s">
        <v>1495</v>
      </c>
      <c r="C4470" s="7" t="s">
        <v>31427</v>
      </c>
      <c r="D4470" s="37" t="s">
        <v>31428</v>
      </c>
    </row>
    <row r="4471">
      <c r="A4471" s="37" t="s">
        <v>1495</v>
      </c>
      <c r="B4471" s="37" t="s">
        <v>1495</v>
      </c>
      <c r="C4471" s="7" t="s">
        <v>31429</v>
      </c>
      <c r="D4471" s="37" t="s">
        <v>31430</v>
      </c>
    </row>
    <row r="4472">
      <c r="A4472" s="37" t="s">
        <v>1245</v>
      </c>
      <c r="B4472" s="37" t="s">
        <v>1242</v>
      </c>
      <c r="C4472" s="7" t="s">
        <v>31431</v>
      </c>
      <c r="D4472" s="37" t="s">
        <v>31432</v>
      </c>
    </row>
    <row r="4473">
      <c r="A4473" s="37" t="s">
        <v>51</v>
      </c>
      <c r="B4473" s="37" t="s">
        <v>38</v>
      </c>
      <c r="C4473" s="7" t="s">
        <v>31433</v>
      </c>
      <c r="D4473" s="37" t="s">
        <v>31434</v>
      </c>
    </row>
    <row r="4474">
      <c r="A4474" s="37" t="s">
        <v>51</v>
      </c>
      <c r="B4474" s="37" t="s">
        <v>38</v>
      </c>
      <c r="C4474" s="7" t="s">
        <v>31435</v>
      </c>
      <c r="D4474" s="37" t="s">
        <v>31436</v>
      </c>
    </row>
    <row r="4475">
      <c r="A4475" s="37" t="s">
        <v>51</v>
      </c>
      <c r="B4475" s="37" t="s">
        <v>38</v>
      </c>
      <c r="C4475" s="7" t="s">
        <v>31437</v>
      </c>
      <c r="D4475" s="37" t="s">
        <v>31438</v>
      </c>
    </row>
    <row r="4476">
      <c r="A4476" s="37" t="s">
        <v>51</v>
      </c>
      <c r="B4476" s="37" t="s">
        <v>38</v>
      </c>
      <c r="C4476" s="7" t="s">
        <v>31439</v>
      </c>
      <c r="D4476" s="37" t="s">
        <v>31440</v>
      </c>
    </row>
    <row r="4477">
      <c r="A4477" s="37" t="s">
        <v>51</v>
      </c>
      <c r="B4477" s="37" t="s">
        <v>38</v>
      </c>
      <c r="C4477" s="7" t="s">
        <v>31441</v>
      </c>
      <c r="D4477" s="37" t="s">
        <v>31442</v>
      </c>
    </row>
    <row r="4478">
      <c r="A4478" s="37" t="s">
        <v>51</v>
      </c>
      <c r="B4478" s="37" t="s">
        <v>38</v>
      </c>
      <c r="C4478" s="7" t="s">
        <v>31443</v>
      </c>
      <c r="D4478" s="37" t="s">
        <v>31444</v>
      </c>
    </row>
    <row r="4479">
      <c r="A4479" s="37" t="s">
        <v>1218</v>
      </c>
      <c r="B4479" s="37" t="s">
        <v>1216</v>
      </c>
      <c r="C4479" s="7" t="s">
        <v>31445</v>
      </c>
      <c r="D4479" s="37" t="s">
        <v>31446</v>
      </c>
    </row>
    <row r="4480">
      <c r="A4480" s="37" t="s">
        <v>27065</v>
      </c>
      <c r="B4480" s="37" t="s">
        <v>1495</v>
      </c>
      <c r="C4480" s="7" t="s">
        <v>31447</v>
      </c>
      <c r="D4480" s="37" t="s">
        <v>31448</v>
      </c>
    </row>
    <row r="4481">
      <c r="A4481" s="37" t="s">
        <v>51</v>
      </c>
      <c r="B4481" s="37" t="s">
        <v>38</v>
      </c>
      <c r="C4481" s="7" t="s">
        <v>31449</v>
      </c>
      <c r="D4481" s="37" t="s">
        <v>31450</v>
      </c>
    </row>
    <row r="4482">
      <c r="A4482" s="37" t="s">
        <v>51</v>
      </c>
      <c r="B4482" s="37" t="s">
        <v>38</v>
      </c>
      <c r="C4482" s="7" t="s">
        <v>31451</v>
      </c>
      <c r="D4482" s="37" t="s">
        <v>31452</v>
      </c>
    </row>
    <row r="4483">
      <c r="A4483" s="37" t="s">
        <v>51</v>
      </c>
      <c r="B4483" s="37" t="s">
        <v>38</v>
      </c>
      <c r="C4483" s="7" t="s">
        <v>31453</v>
      </c>
      <c r="D4483" s="37" t="s">
        <v>31454</v>
      </c>
    </row>
    <row r="4484">
      <c r="A4484" s="37" t="s">
        <v>51</v>
      </c>
      <c r="B4484" s="37" t="s">
        <v>38</v>
      </c>
      <c r="C4484" s="7" t="s">
        <v>31455</v>
      </c>
      <c r="D4484" s="37" t="s">
        <v>31456</v>
      </c>
    </row>
    <row r="4485">
      <c r="A4485" s="37" t="s">
        <v>51</v>
      </c>
      <c r="B4485" s="37" t="s">
        <v>363</v>
      </c>
      <c r="C4485" s="7" t="s">
        <v>31457</v>
      </c>
      <c r="D4485" s="37" t="s">
        <v>31458</v>
      </c>
    </row>
    <row r="4486">
      <c r="A4486" s="37" t="s">
        <v>51</v>
      </c>
      <c r="B4486" s="37" t="s">
        <v>38</v>
      </c>
      <c r="C4486" s="7" t="s">
        <v>31459</v>
      </c>
      <c r="D4486" s="37" t="s">
        <v>31460</v>
      </c>
    </row>
    <row r="4487">
      <c r="A4487" s="37" t="s">
        <v>1237</v>
      </c>
      <c r="B4487" s="37" t="s">
        <v>440</v>
      </c>
      <c r="C4487" s="7" t="s">
        <v>31461</v>
      </c>
      <c r="D4487" s="37" t="s">
        <v>31462</v>
      </c>
    </row>
    <row r="4488">
      <c r="A4488" s="37" t="s">
        <v>43</v>
      </c>
      <c r="B4488" s="37" t="s">
        <v>24942</v>
      </c>
      <c r="C4488" s="7" t="s">
        <v>31463</v>
      </c>
      <c r="D4488" s="37" t="s">
        <v>31464</v>
      </c>
    </row>
    <row r="4489">
      <c r="A4489" s="37" t="s">
        <v>1361</v>
      </c>
      <c r="B4489" s="37" t="s">
        <v>1096</v>
      </c>
      <c r="C4489" s="7" t="s">
        <v>31465</v>
      </c>
      <c r="D4489" s="37" t="s">
        <v>31466</v>
      </c>
    </row>
    <row r="4490">
      <c r="A4490" s="37" t="s">
        <v>188</v>
      </c>
      <c r="B4490" s="37" t="s">
        <v>1179</v>
      </c>
      <c r="C4490" s="7" t="s">
        <v>31467</v>
      </c>
      <c r="D4490" s="37" t="s">
        <v>31468</v>
      </c>
    </row>
    <row r="4491">
      <c r="A4491" s="37" t="s">
        <v>43</v>
      </c>
      <c r="B4491" s="37" t="s">
        <v>24942</v>
      </c>
      <c r="C4491" s="7" t="s">
        <v>31469</v>
      </c>
      <c r="D4491" s="37" t="s">
        <v>31470</v>
      </c>
    </row>
    <row r="4492">
      <c r="A4492" s="37" t="s">
        <v>43</v>
      </c>
      <c r="B4492" s="37" t="s">
        <v>24942</v>
      </c>
      <c r="C4492" s="7" t="s">
        <v>31471</v>
      </c>
      <c r="D4492" s="37" t="s">
        <v>31472</v>
      </c>
    </row>
    <row r="4493">
      <c r="A4493" s="37" t="s">
        <v>43</v>
      </c>
      <c r="B4493" s="37" t="s">
        <v>24942</v>
      </c>
      <c r="C4493" s="7" t="s">
        <v>31473</v>
      </c>
      <c r="D4493" s="37" t="s">
        <v>31474</v>
      </c>
    </row>
    <row r="4494">
      <c r="A4494" s="37" t="s">
        <v>1180</v>
      </c>
      <c r="B4494" s="37" t="s">
        <v>1179</v>
      </c>
      <c r="C4494" s="7" t="s">
        <v>30506</v>
      </c>
      <c r="D4494" s="37" t="s">
        <v>31475</v>
      </c>
    </row>
    <row r="4495">
      <c r="A4495" s="37" t="s">
        <v>148</v>
      </c>
      <c r="B4495" s="37" t="s">
        <v>26038</v>
      </c>
      <c r="C4495" s="7" t="s">
        <v>31476</v>
      </c>
      <c r="D4495" s="37" t="s">
        <v>31477</v>
      </c>
    </row>
    <row r="4496">
      <c r="A4496" s="37" t="s">
        <v>1161</v>
      </c>
      <c r="B4496" s="37" t="s">
        <v>24942</v>
      </c>
      <c r="C4496" s="7" t="s">
        <v>31478</v>
      </c>
      <c r="D4496" s="37" t="s">
        <v>31479</v>
      </c>
    </row>
    <row r="4497">
      <c r="A4497" s="37" t="s">
        <v>1161</v>
      </c>
      <c r="B4497" s="37" t="s">
        <v>24942</v>
      </c>
      <c r="C4497" s="7" t="s">
        <v>31480</v>
      </c>
      <c r="D4497" s="37" t="s">
        <v>31481</v>
      </c>
    </row>
    <row r="4498">
      <c r="A4498" s="37" t="s">
        <v>359</v>
      </c>
      <c r="B4498" s="37" t="s">
        <v>24942</v>
      </c>
      <c r="C4498" s="7" t="s">
        <v>31482</v>
      </c>
      <c r="D4498" s="37" t="s">
        <v>31483</v>
      </c>
    </row>
    <row r="4499">
      <c r="A4499" s="37" t="s">
        <v>51</v>
      </c>
      <c r="B4499" s="37" t="s">
        <v>854</v>
      </c>
      <c r="C4499" s="37" t="s">
        <v>31484</v>
      </c>
      <c r="D4499" s="37" t="s">
        <v>31485</v>
      </c>
    </row>
    <row r="4500">
      <c r="A4500" s="37" t="s">
        <v>31275</v>
      </c>
      <c r="B4500" s="37" t="s">
        <v>440</v>
      </c>
      <c r="C4500" s="7" t="s">
        <v>31486</v>
      </c>
      <c r="D4500" s="37" t="s">
        <v>31487</v>
      </c>
    </row>
    <row r="4501">
      <c r="A4501" s="37" t="s">
        <v>1072</v>
      </c>
      <c r="B4501" s="37" t="s">
        <v>478</v>
      </c>
      <c r="C4501" s="7" t="s">
        <v>25446</v>
      </c>
      <c r="D4501" s="37" t="s">
        <v>31488</v>
      </c>
    </row>
    <row r="4502">
      <c r="A4502" s="37" t="s">
        <v>1232</v>
      </c>
      <c r="B4502" s="37" t="s">
        <v>440</v>
      </c>
      <c r="C4502" s="37" t="s">
        <v>31489</v>
      </c>
      <c r="D4502" s="37" t="s">
        <v>31490</v>
      </c>
    </row>
    <row r="4503">
      <c r="A4503" s="37" t="s">
        <v>148</v>
      </c>
      <c r="B4503" s="37" t="s">
        <v>1096</v>
      </c>
      <c r="C4503" s="7" t="s">
        <v>31491</v>
      </c>
      <c r="D4503" s="37" t="s">
        <v>31492</v>
      </c>
    </row>
    <row r="4504">
      <c r="A4504" s="37" t="s">
        <v>1072</v>
      </c>
      <c r="B4504" s="37" t="s">
        <v>478</v>
      </c>
      <c r="C4504" s="7" t="s">
        <v>27668</v>
      </c>
      <c r="D4504" s="37" t="s">
        <v>31493</v>
      </c>
    </row>
    <row r="4505">
      <c r="A4505" s="37" t="s">
        <v>28902</v>
      </c>
      <c r="B4505" s="37" t="s">
        <v>1495</v>
      </c>
      <c r="C4505" s="37" t="s">
        <v>31494</v>
      </c>
      <c r="D4505" s="37" t="s">
        <v>31495</v>
      </c>
    </row>
    <row r="4506">
      <c r="A4506" s="37" t="s">
        <v>188</v>
      </c>
      <c r="B4506" s="37" t="s">
        <v>1179</v>
      </c>
      <c r="C4506" s="7" t="s">
        <v>31496</v>
      </c>
      <c r="D4506" s="37" t="s">
        <v>31497</v>
      </c>
    </row>
    <row r="4507">
      <c r="A4507" s="37" t="s">
        <v>1161</v>
      </c>
      <c r="B4507" s="37" t="s">
        <v>1054</v>
      </c>
      <c r="C4507" s="37" t="s">
        <v>31169</v>
      </c>
      <c r="D4507" s="37" t="s">
        <v>31498</v>
      </c>
    </row>
    <row r="4508">
      <c r="A4508" s="37" t="s">
        <v>28902</v>
      </c>
      <c r="B4508" s="37" t="s">
        <v>1495</v>
      </c>
      <c r="C4508" s="7" t="s">
        <v>31499</v>
      </c>
      <c r="D4508" s="37" t="s">
        <v>31500</v>
      </c>
    </row>
    <row r="4509">
      <c r="A4509" s="37" t="s">
        <v>28902</v>
      </c>
      <c r="B4509" s="37" t="s">
        <v>1495</v>
      </c>
      <c r="C4509" s="7" t="s">
        <v>31501</v>
      </c>
      <c r="D4509" s="37" t="s">
        <v>31502</v>
      </c>
    </row>
    <row r="4510">
      <c r="A4510" s="37" t="s">
        <v>31314</v>
      </c>
      <c r="B4510" s="37" t="s">
        <v>1495</v>
      </c>
      <c r="C4510" s="7" t="s">
        <v>31503</v>
      </c>
      <c r="D4510" s="37" t="s">
        <v>31504</v>
      </c>
    </row>
    <row r="4511">
      <c r="A4511" s="37" t="s">
        <v>1246</v>
      </c>
      <c r="B4511" s="37" t="s">
        <v>38</v>
      </c>
      <c r="C4511" s="37" t="s">
        <v>31505</v>
      </c>
      <c r="D4511" s="37" t="s">
        <v>31506</v>
      </c>
    </row>
    <row r="4512">
      <c r="A4512" s="37" t="s">
        <v>1233</v>
      </c>
      <c r="B4512" s="37" t="s">
        <v>440</v>
      </c>
      <c r="C4512" s="7" t="s">
        <v>31507</v>
      </c>
      <c r="D4512" s="37" t="s">
        <v>31508</v>
      </c>
    </row>
    <row r="4513">
      <c r="A4513" s="37" t="s">
        <v>1233</v>
      </c>
      <c r="B4513" s="37" t="s">
        <v>440</v>
      </c>
      <c r="C4513" s="7" t="s">
        <v>31509</v>
      </c>
      <c r="D4513" s="37" t="s">
        <v>31510</v>
      </c>
    </row>
    <row r="4514">
      <c r="A4514" s="37" t="s">
        <v>1233</v>
      </c>
      <c r="B4514" s="37" t="s">
        <v>440</v>
      </c>
      <c r="C4514" s="7" t="s">
        <v>31511</v>
      </c>
      <c r="D4514" s="37" t="s">
        <v>31512</v>
      </c>
    </row>
    <row r="4515">
      <c r="A4515" s="37" t="s">
        <v>1233</v>
      </c>
      <c r="B4515" s="37" t="s">
        <v>440</v>
      </c>
      <c r="C4515" s="7" t="s">
        <v>31513</v>
      </c>
      <c r="D4515" s="37" t="s">
        <v>31514</v>
      </c>
    </row>
    <row r="4516">
      <c r="A4516" s="37" t="s">
        <v>1233</v>
      </c>
      <c r="B4516" s="37" t="s">
        <v>440</v>
      </c>
      <c r="C4516" s="7" t="s">
        <v>31515</v>
      </c>
      <c r="D4516" s="37" t="s">
        <v>31516</v>
      </c>
    </row>
    <row r="4517">
      <c r="A4517" s="37" t="s">
        <v>1233</v>
      </c>
      <c r="B4517" s="37" t="s">
        <v>440</v>
      </c>
      <c r="C4517" s="7" t="s">
        <v>31517</v>
      </c>
      <c r="D4517" s="37" t="s">
        <v>31518</v>
      </c>
    </row>
    <row r="4518">
      <c r="A4518" s="37" t="s">
        <v>1233</v>
      </c>
      <c r="B4518" s="37" t="s">
        <v>440</v>
      </c>
      <c r="C4518" s="7" t="s">
        <v>31519</v>
      </c>
      <c r="D4518" s="37" t="s">
        <v>31520</v>
      </c>
    </row>
    <row r="4519">
      <c r="A4519" s="37" t="s">
        <v>1233</v>
      </c>
      <c r="B4519" s="37" t="s">
        <v>440</v>
      </c>
      <c r="C4519" s="7" t="s">
        <v>31521</v>
      </c>
      <c r="D4519" s="37" t="s">
        <v>31522</v>
      </c>
    </row>
    <row r="4520">
      <c r="A4520" s="37" t="s">
        <v>1233</v>
      </c>
      <c r="B4520" s="37" t="s">
        <v>440</v>
      </c>
      <c r="C4520" s="7" t="s">
        <v>31523</v>
      </c>
      <c r="D4520" s="37" t="s">
        <v>31524</v>
      </c>
    </row>
    <row r="4521">
      <c r="A4521" s="37" t="s">
        <v>1233</v>
      </c>
      <c r="B4521" s="37" t="s">
        <v>440</v>
      </c>
      <c r="C4521" s="7" t="s">
        <v>31525</v>
      </c>
      <c r="D4521" s="37" t="s">
        <v>31526</v>
      </c>
    </row>
    <row r="4522">
      <c r="A4522" s="37" t="s">
        <v>1233</v>
      </c>
      <c r="B4522" s="37" t="s">
        <v>440</v>
      </c>
      <c r="C4522" s="7" t="s">
        <v>31527</v>
      </c>
      <c r="D4522" s="37" t="s">
        <v>31528</v>
      </c>
    </row>
    <row r="4523">
      <c r="A4523" s="37" t="s">
        <v>1233</v>
      </c>
      <c r="B4523" s="37" t="s">
        <v>440</v>
      </c>
      <c r="C4523" s="7" t="s">
        <v>31529</v>
      </c>
      <c r="D4523" s="37" t="s">
        <v>31530</v>
      </c>
    </row>
    <row r="4524">
      <c r="A4524" s="37" t="s">
        <v>1233</v>
      </c>
      <c r="B4524" s="37" t="s">
        <v>440</v>
      </c>
      <c r="C4524" s="7" t="s">
        <v>31531</v>
      </c>
      <c r="D4524" s="37" t="s">
        <v>31532</v>
      </c>
    </row>
    <row r="4525">
      <c r="A4525" s="37" t="s">
        <v>1233</v>
      </c>
      <c r="B4525" s="37" t="s">
        <v>440</v>
      </c>
      <c r="C4525" s="7" t="s">
        <v>31533</v>
      </c>
      <c r="D4525" s="37" t="s">
        <v>31534</v>
      </c>
    </row>
    <row r="4526">
      <c r="A4526" s="37" t="s">
        <v>1233</v>
      </c>
      <c r="B4526" s="37" t="s">
        <v>440</v>
      </c>
      <c r="C4526" s="7" t="s">
        <v>31535</v>
      </c>
      <c r="D4526" s="37" t="s">
        <v>31536</v>
      </c>
    </row>
    <row r="4527">
      <c r="A4527" s="37" t="s">
        <v>1233</v>
      </c>
      <c r="B4527" s="37" t="s">
        <v>440</v>
      </c>
      <c r="C4527" s="7" t="s">
        <v>31537</v>
      </c>
      <c r="D4527" s="37" t="s">
        <v>31538</v>
      </c>
    </row>
    <row r="4528">
      <c r="A4528" s="37" t="s">
        <v>1233</v>
      </c>
      <c r="B4528" s="37" t="s">
        <v>440</v>
      </c>
      <c r="C4528" s="7" t="s">
        <v>31539</v>
      </c>
      <c r="D4528" s="37" t="s">
        <v>31540</v>
      </c>
    </row>
    <row r="4529">
      <c r="A4529" s="37" t="s">
        <v>1233</v>
      </c>
      <c r="B4529" s="37" t="s">
        <v>440</v>
      </c>
      <c r="C4529" s="7" t="s">
        <v>31541</v>
      </c>
      <c r="D4529" s="37" t="s">
        <v>31542</v>
      </c>
    </row>
    <row r="4530">
      <c r="A4530" s="37" t="s">
        <v>1233</v>
      </c>
      <c r="B4530" s="37" t="s">
        <v>440</v>
      </c>
      <c r="C4530" s="7" t="s">
        <v>31543</v>
      </c>
      <c r="D4530" s="37" t="s">
        <v>31544</v>
      </c>
    </row>
    <row r="4531">
      <c r="A4531" s="37" t="s">
        <v>1233</v>
      </c>
      <c r="B4531" s="37" t="s">
        <v>440</v>
      </c>
      <c r="C4531" s="7" t="s">
        <v>31545</v>
      </c>
      <c r="D4531" s="37" t="s">
        <v>31546</v>
      </c>
    </row>
    <row r="4532">
      <c r="A4532" s="37" t="s">
        <v>1233</v>
      </c>
      <c r="B4532" s="37" t="s">
        <v>440</v>
      </c>
      <c r="C4532" s="7" t="s">
        <v>31547</v>
      </c>
      <c r="D4532" s="37" t="s">
        <v>31548</v>
      </c>
    </row>
    <row r="4533">
      <c r="A4533" s="37" t="s">
        <v>1233</v>
      </c>
      <c r="B4533" s="37" t="s">
        <v>440</v>
      </c>
      <c r="C4533" s="7" t="s">
        <v>31549</v>
      </c>
      <c r="D4533" s="37" t="s">
        <v>31550</v>
      </c>
    </row>
    <row r="4534">
      <c r="A4534" s="37" t="s">
        <v>1233</v>
      </c>
      <c r="B4534" s="37" t="s">
        <v>440</v>
      </c>
      <c r="C4534" s="7" t="s">
        <v>31551</v>
      </c>
      <c r="D4534" s="37" t="s">
        <v>31552</v>
      </c>
    </row>
    <row r="4535">
      <c r="A4535" s="37" t="s">
        <v>1233</v>
      </c>
      <c r="B4535" s="37" t="s">
        <v>440</v>
      </c>
      <c r="C4535" s="7" t="s">
        <v>31553</v>
      </c>
      <c r="D4535" s="37" t="s">
        <v>31554</v>
      </c>
    </row>
    <row r="4536">
      <c r="A4536" s="37" t="s">
        <v>1233</v>
      </c>
      <c r="B4536" s="37" t="s">
        <v>440</v>
      </c>
      <c r="C4536" s="7" t="s">
        <v>31555</v>
      </c>
      <c r="D4536" s="37" t="s">
        <v>31556</v>
      </c>
    </row>
    <row r="4537">
      <c r="A4537" s="37" t="s">
        <v>1233</v>
      </c>
      <c r="B4537" s="37" t="s">
        <v>440</v>
      </c>
      <c r="C4537" s="7" t="s">
        <v>31557</v>
      </c>
      <c r="D4537" s="37" t="s">
        <v>31558</v>
      </c>
    </row>
    <row r="4538">
      <c r="A4538" s="37" t="s">
        <v>1233</v>
      </c>
      <c r="B4538" s="37" t="s">
        <v>440</v>
      </c>
      <c r="C4538" s="7" t="s">
        <v>31559</v>
      </c>
      <c r="D4538" s="37" t="s">
        <v>31560</v>
      </c>
    </row>
    <row r="4539">
      <c r="A4539" s="37" t="s">
        <v>1233</v>
      </c>
      <c r="B4539" s="37" t="s">
        <v>440</v>
      </c>
      <c r="C4539" s="7" t="s">
        <v>31561</v>
      </c>
      <c r="D4539" s="37" t="s">
        <v>31562</v>
      </c>
    </row>
    <row r="4540">
      <c r="A4540" s="37" t="s">
        <v>1233</v>
      </c>
      <c r="B4540" s="37" t="s">
        <v>440</v>
      </c>
      <c r="C4540" s="7" t="s">
        <v>31563</v>
      </c>
      <c r="D4540" s="37" t="s">
        <v>31564</v>
      </c>
    </row>
    <row r="4541">
      <c r="A4541" s="37" t="s">
        <v>1233</v>
      </c>
      <c r="B4541" s="37" t="s">
        <v>440</v>
      </c>
      <c r="C4541" s="7" t="s">
        <v>31565</v>
      </c>
      <c r="D4541" s="37" t="s">
        <v>31566</v>
      </c>
    </row>
    <row r="4542">
      <c r="A4542" s="37" t="s">
        <v>1233</v>
      </c>
      <c r="B4542" s="37" t="s">
        <v>440</v>
      </c>
      <c r="C4542" s="7" t="s">
        <v>31567</v>
      </c>
      <c r="D4542" s="37" t="s">
        <v>31568</v>
      </c>
    </row>
    <row r="4543">
      <c r="A4543" s="37" t="s">
        <v>1233</v>
      </c>
      <c r="B4543" s="37" t="s">
        <v>440</v>
      </c>
      <c r="C4543" s="7" t="s">
        <v>31569</v>
      </c>
      <c r="D4543" s="37" t="s">
        <v>31570</v>
      </c>
    </row>
    <row r="4544">
      <c r="A4544" s="37" t="s">
        <v>1233</v>
      </c>
      <c r="B4544" s="37" t="s">
        <v>440</v>
      </c>
      <c r="C4544" s="7" t="s">
        <v>31571</v>
      </c>
      <c r="D4544" s="37" t="s">
        <v>31572</v>
      </c>
    </row>
    <row r="4545">
      <c r="A4545" s="37" t="s">
        <v>1233</v>
      </c>
      <c r="B4545" s="37" t="s">
        <v>440</v>
      </c>
      <c r="C4545" s="7" t="s">
        <v>31573</v>
      </c>
      <c r="D4545" s="37" t="s">
        <v>31574</v>
      </c>
    </row>
    <row r="4546">
      <c r="A4546" s="37" t="s">
        <v>1233</v>
      </c>
      <c r="B4546" s="37" t="s">
        <v>440</v>
      </c>
      <c r="C4546" s="7" t="s">
        <v>31575</v>
      </c>
      <c r="D4546" s="37" t="s">
        <v>31576</v>
      </c>
    </row>
    <row r="4547">
      <c r="A4547" s="37" t="s">
        <v>1233</v>
      </c>
      <c r="B4547" s="37" t="s">
        <v>440</v>
      </c>
      <c r="C4547" s="7" t="s">
        <v>31577</v>
      </c>
      <c r="D4547" s="37" t="s">
        <v>31578</v>
      </c>
    </row>
    <row r="4548">
      <c r="A4548" s="37" t="s">
        <v>1233</v>
      </c>
      <c r="B4548" s="37" t="s">
        <v>440</v>
      </c>
      <c r="C4548" s="7" t="s">
        <v>31579</v>
      </c>
      <c r="D4548" s="37" t="s">
        <v>31580</v>
      </c>
    </row>
    <row r="4549">
      <c r="A4549" s="37" t="s">
        <v>1233</v>
      </c>
      <c r="B4549" s="37" t="s">
        <v>440</v>
      </c>
      <c r="C4549" s="7" t="s">
        <v>31581</v>
      </c>
      <c r="D4549" s="37" t="s">
        <v>31582</v>
      </c>
    </row>
    <row r="4550">
      <c r="A4550" s="37" t="s">
        <v>1233</v>
      </c>
      <c r="B4550" s="37" t="s">
        <v>440</v>
      </c>
      <c r="C4550" s="7" t="s">
        <v>31583</v>
      </c>
      <c r="D4550" s="37" t="s">
        <v>31584</v>
      </c>
    </row>
    <row r="4551">
      <c r="A4551" s="37" t="s">
        <v>1233</v>
      </c>
      <c r="B4551" s="37" t="s">
        <v>440</v>
      </c>
      <c r="C4551" s="7" t="s">
        <v>31585</v>
      </c>
      <c r="D4551" s="37" t="s">
        <v>31586</v>
      </c>
    </row>
    <row r="4552">
      <c r="A4552" s="37" t="s">
        <v>1233</v>
      </c>
      <c r="B4552" s="37" t="s">
        <v>440</v>
      </c>
      <c r="C4552" s="7" t="s">
        <v>31587</v>
      </c>
      <c r="D4552" s="37" t="s">
        <v>31588</v>
      </c>
    </row>
    <row r="4553">
      <c r="A4553" s="37" t="s">
        <v>1233</v>
      </c>
      <c r="B4553" s="37" t="s">
        <v>440</v>
      </c>
      <c r="C4553" s="7" t="s">
        <v>31589</v>
      </c>
      <c r="D4553" s="37" t="s">
        <v>31590</v>
      </c>
    </row>
    <row r="4554">
      <c r="A4554" s="37" t="s">
        <v>1233</v>
      </c>
      <c r="B4554" s="37" t="s">
        <v>440</v>
      </c>
      <c r="C4554" s="7" t="s">
        <v>31591</v>
      </c>
      <c r="D4554" s="37" t="s">
        <v>31592</v>
      </c>
    </row>
    <row r="4555">
      <c r="A4555" s="37" t="s">
        <v>1233</v>
      </c>
      <c r="B4555" s="37" t="s">
        <v>440</v>
      </c>
      <c r="C4555" s="7" t="s">
        <v>31593</v>
      </c>
      <c r="D4555" s="37" t="s">
        <v>31594</v>
      </c>
    </row>
    <row r="4556">
      <c r="A4556" s="37" t="s">
        <v>1233</v>
      </c>
      <c r="B4556" s="37" t="s">
        <v>440</v>
      </c>
      <c r="C4556" s="7" t="s">
        <v>31595</v>
      </c>
      <c r="D4556" s="37" t="s">
        <v>31596</v>
      </c>
    </row>
    <row r="4557">
      <c r="A4557" s="37" t="s">
        <v>1233</v>
      </c>
      <c r="B4557" s="37" t="s">
        <v>440</v>
      </c>
      <c r="C4557" s="7" t="s">
        <v>31597</v>
      </c>
      <c r="D4557" s="37" t="s">
        <v>31598</v>
      </c>
    </row>
    <row r="4558">
      <c r="A4558" s="37" t="s">
        <v>1233</v>
      </c>
      <c r="B4558" s="37" t="s">
        <v>440</v>
      </c>
      <c r="C4558" s="7" t="s">
        <v>31599</v>
      </c>
      <c r="D4558" s="37" t="s">
        <v>31600</v>
      </c>
    </row>
    <row r="4559">
      <c r="A4559" s="37" t="s">
        <v>1233</v>
      </c>
      <c r="B4559" s="37" t="s">
        <v>440</v>
      </c>
      <c r="C4559" s="7" t="s">
        <v>31601</v>
      </c>
      <c r="D4559" s="37" t="s">
        <v>31602</v>
      </c>
    </row>
    <row r="4560">
      <c r="A4560" s="37" t="s">
        <v>1233</v>
      </c>
      <c r="B4560" s="37" t="s">
        <v>440</v>
      </c>
      <c r="C4560" s="7" t="s">
        <v>31603</v>
      </c>
      <c r="D4560" s="37" t="s">
        <v>31604</v>
      </c>
    </row>
    <row r="4561">
      <c r="A4561" s="37" t="s">
        <v>1233</v>
      </c>
      <c r="B4561" s="37" t="s">
        <v>440</v>
      </c>
      <c r="C4561" s="7" t="s">
        <v>31605</v>
      </c>
      <c r="D4561" s="37" t="s">
        <v>31606</v>
      </c>
    </row>
    <row r="4562">
      <c r="A4562" s="37" t="s">
        <v>1233</v>
      </c>
      <c r="B4562" s="37" t="s">
        <v>440</v>
      </c>
      <c r="C4562" s="7" t="s">
        <v>31607</v>
      </c>
      <c r="D4562" s="37" t="s">
        <v>31608</v>
      </c>
    </row>
    <row r="4563">
      <c r="A4563" s="37" t="s">
        <v>1233</v>
      </c>
      <c r="B4563" s="37" t="s">
        <v>440</v>
      </c>
      <c r="C4563" s="7" t="s">
        <v>31609</v>
      </c>
      <c r="D4563" s="37" t="s">
        <v>31610</v>
      </c>
    </row>
    <row r="4564">
      <c r="A4564" s="37" t="s">
        <v>1233</v>
      </c>
      <c r="B4564" s="37" t="s">
        <v>440</v>
      </c>
      <c r="C4564" s="7" t="s">
        <v>31611</v>
      </c>
      <c r="D4564" s="37" t="s">
        <v>31612</v>
      </c>
    </row>
    <row r="4565">
      <c r="A4565" s="37" t="s">
        <v>1233</v>
      </c>
      <c r="B4565" s="37" t="s">
        <v>440</v>
      </c>
      <c r="C4565" s="7" t="s">
        <v>31613</v>
      </c>
      <c r="D4565" s="37" t="s">
        <v>31614</v>
      </c>
    </row>
    <row r="4566">
      <c r="A4566" s="37" t="s">
        <v>1233</v>
      </c>
      <c r="B4566" s="37" t="s">
        <v>440</v>
      </c>
      <c r="C4566" s="7" t="s">
        <v>31615</v>
      </c>
      <c r="D4566" s="37" t="s">
        <v>31616</v>
      </c>
    </row>
    <row r="4567">
      <c r="A4567" s="37" t="s">
        <v>1233</v>
      </c>
      <c r="B4567" s="37" t="s">
        <v>440</v>
      </c>
      <c r="C4567" s="7" t="s">
        <v>31617</v>
      </c>
      <c r="D4567" s="37" t="s">
        <v>31618</v>
      </c>
    </row>
    <row r="4568">
      <c r="A4568" s="37" t="s">
        <v>1233</v>
      </c>
      <c r="B4568" s="37" t="s">
        <v>440</v>
      </c>
      <c r="C4568" s="7" t="s">
        <v>31619</v>
      </c>
      <c r="D4568" s="37" t="s">
        <v>31620</v>
      </c>
    </row>
    <row r="4569">
      <c r="A4569" s="37" t="s">
        <v>1233</v>
      </c>
      <c r="B4569" s="37" t="s">
        <v>440</v>
      </c>
      <c r="C4569" s="7" t="s">
        <v>31621</v>
      </c>
      <c r="D4569" s="37" t="s">
        <v>31622</v>
      </c>
    </row>
    <row r="4570">
      <c r="A4570" s="37" t="s">
        <v>1233</v>
      </c>
      <c r="B4570" s="37" t="s">
        <v>440</v>
      </c>
      <c r="C4570" s="7" t="s">
        <v>31623</v>
      </c>
      <c r="D4570" s="37" t="s">
        <v>31624</v>
      </c>
    </row>
    <row r="4571">
      <c r="A4571" s="37" t="s">
        <v>1233</v>
      </c>
      <c r="B4571" s="37" t="s">
        <v>440</v>
      </c>
      <c r="C4571" s="7" t="s">
        <v>31625</v>
      </c>
      <c r="D4571" s="37" t="s">
        <v>31626</v>
      </c>
    </row>
    <row r="4572">
      <c r="A4572" s="37" t="s">
        <v>1233</v>
      </c>
      <c r="B4572" s="37" t="s">
        <v>440</v>
      </c>
      <c r="C4572" s="7" t="s">
        <v>31627</v>
      </c>
      <c r="D4572" s="37" t="s">
        <v>31628</v>
      </c>
    </row>
    <row r="4573">
      <c r="A4573" s="37" t="s">
        <v>1233</v>
      </c>
      <c r="B4573" s="37" t="s">
        <v>440</v>
      </c>
      <c r="C4573" s="7" t="s">
        <v>31629</v>
      </c>
      <c r="D4573" s="37" t="s">
        <v>31630</v>
      </c>
    </row>
    <row r="4574">
      <c r="A4574" s="37" t="s">
        <v>1233</v>
      </c>
      <c r="B4574" s="37" t="s">
        <v>440</v>
      </c>
      <c r="C4574" s="7" t="s">
        <v>31631</v>
      </c>
      <c r="D4574" s="37" t="s">
        <v>31632</v>
      </c>
    </row>
    <row r="4575">
      <c r="A4575" s="37" t="s">
        <v>1233</v>
      </c>
      <c r="B4575" s="37" t="s">
        <v>440</v>
      </c>
      <c r="C4575" s="7" t="s">
        <v>31633</v>
      </c>
      <c r="D4575" s="37" t="s">
        <v>31634</v>
      </c>
    </row>
    <row r="4576">
      <c r="A4576" s="37" t="s">
        <v>1233</v>
      </c>
      <c r="B4576" s="37" t="s">
        <v>440</v>
      </c>
      <c r="C4576" s="7" t="s">
        <v>31635</v>
      </c>
      <c r="D4576" s="37" t="s">
        <v>31636</v>
      </c>
    </row>
    <row r="4577">
      <c r="A4577" s="37" t="s">
        <v>1233</v>
      </c>
      <c r="B4577" s="37" t="s">
        <v>440</v>
      </c>
      <c r="C4577" s="7" t="s">
        <v>31637</v>
      </c>
      <c r="D4577" s="37" t="s">
        <v>31638</v>
      </c>
    </row>
    <row r="4578">
      <c r="A4578" s="37" t="s">
        <v>1233</v>
      </c>
      <c r="B4578" s="37" t="s">
        <v>440</v>
      </c>
      <c r="C4578" s="7" t="s">
        <v>31639</v>
      </c>
      <c r="D4578" s="37" t="s">
        <v>31640</v>
      </c>
    </row>
    <row r="4579">
      <c r="A4579" s="37" t="s">
        <v>1233</v>
      </c>
      <c r="B4579" s="37" t="s">
        <v>440</v>
      </c>
      <c r="C4579" s="7" t="s">
        <v>31641</v>
      </c>
      <c r="D4579" s="37" t="s">
        <v>31642</v>
      </c>
    </row>
    <row r="4580">
      <c r="A4580" s="37" t="s">
        <v>1233</v>
      </c>
      <c r="B4580" s="37" t="s">
        <v>440</v>
      </c>
      <c r="C4580" s="7" t="s">
        <v>31643</v>
      </c>
      <c r="D4580" s="37" t="s">
        <v>31644</v>
      </c>
    </row>
    <row r="4581">
      <c r="A4581" s="37" t="s">
        <v>1233</v>
      </c>
      <c r="B4581" s="37" t="s">
        <v>440</v>
      </c>
      <c r="C4581" s="7" t="s">
        <v>31645</v>
      </c>
      <c r="D4581" s="37" t="s">
        <v>31646</v>
      </c>
    </row>
    <row r="4582">
      <c r="A4582" s="37" t="s">
        <v>1233</v>
      </c>
      <c r="B4582" s="37" t="s">
        <v>440</v>
      </c>
      <c r="C4582" s="7" t="s">
        <v>31647</v>
      </c>
      <c r="D4582" s="37" t="s">
        <v>31648</v>
      </c>
    </row>
    <row r="4583">
      <c r="A4583" s="37" t="s">
        <v>1233</v>
      </c>
      <c r="B4583" s="37" t="s">
        <v>440</v>
      </c>
      <c r="C4583" s="7" t="s">
        <v>31649</v>
      </c>
      <c r="D4583" s="37" t="s">
        <v>31650</v>
      </c>
    </row>
    <row r="4584">
      <c r="A4584" s="37" t="s">
        <v>1233</v>
      </c>
      <c r="B4584" s="37" t="s">
        <v>440</v>
      </c>
      <c r="C4584" s="7" t="s">
        <v>31651</v>
      </c>
      <c r="D4584" s="37" t="s">
        <v>31652</v>
      </c>
    </row>
    <row r="4585">
      <c r="A4585" s="37" t="s">
        <v>1233</v>
      </c>
      <c r="B4585" s="37" t="s">
        <v>440</v>
      </c>
      <c r="C4585" s="7" t="s">
        <v>31653</v>
      </c>
      <c r="D4585" s="37" t="s">
        <v>31654</v>
      </c>
    </row>
    <row r="4586">
      <c r="A4586" s="37" t="s">
        <v>1233</v>
      </c>
      <c r="B4586" s="37" t="s">
        <v>440</v>
      </c>
      <c r="C4586" s="7" t="s">
        <v>29418</v>
      </c>
      <c r="D4586" s="37" t="s">
        <v>31655</v>
      </c>
    </row>
    <row r="4587">
      <c r="A4587" s="37" t="s">
        <v>1233</v>
      </c>
      <c r="B4587" s="37" t="s">
        <v>440</v>
      </c>
      <c r="C4587" s="7" t="s">
        <v>31656</v>
      </c>
      <c r="D4587" s="37" t="s">
        <v>31657</v>
      </c>
    </row>
    <row r="4588">
      <c r="A4588" s="37" t="s">
        <v>1233</v>
      </c>
      <c r="B4588" s="37" t="s">
        <v>440</v>
      </c>
      <c r="C4588" s="7" t="s">
        <v>31658</v>
      </c>
      <c r="D4588" s="37" t="s">
        <v>31659</v>
      </c>
    </row>
    <row r="4589">
      <c r="A4589" s="37" t="s">
        <v>1233</v>
      </c>
      <c r="B4589" s="37" t="s">
        <v>440</v>
      </c>
      <c r="C4589" s="7" t="s">
        <v>31660</v>
      </c>
      <c r="D4589" s="37" t="s">
        <v>31661</v>
      </c>
    </row>
    <row r="4590">
      <c r="A4590" s="37" t="s">
        <v>1233</v>
      </c>
      <c r="B4590" s="37" t="s">
        <v>440</v>
      </c>
      <c r="C4590" s="7" t="s">
        <v>31662</v>
      </c>
      <c r="D4590" s="37" t="s">
        <v>31663</v>
      </c>
    </row>
    <row r="4591">
      <c r="A4591" s="37" t="s">
        <v>1233</v>
      </c>
      <c r="B4591" s="37" t="s">
        <v>440</v>
      </c>
      <c r="C4591" s="7" t="s">
        <v>31664</v>
      </c>
      <c r="D4591" s="37" t="s">
        <v>31665</v>
      </c>
    </row>
    <row r="4592">
      <c r="A4592" s="37" t="s">
        <v>1233</v>
      </c>
      <c r="B4592" s="37" t="s">
        <v>440</v>
      </c>
      <c r="C4592" s="7" t="s">
        <v>31666</v>
      </c>
      <c r="D4592" s="37" t="s">
        <v>31667</v>
      </c>
    </row>
    <row r="4593">
      <c r="A4593" s="37" t="s">
        <v>1233</v>
      </c>
      <c r="B4593" s="37" t="s">
        <v>440</v>
      </c>
      <c r="C4593" s="7" t="s">
        <v>31668</v>
      </c>
      <c r="D4593" s="37" t="s">
        <v>31669</v>
      </c>
    </row>
    <row r="4594">
      <c r="A4594" s="37" t="s">
        <v>1233</v>
      </c>
      <c r="B4594" s="37" t="s">
        <v>440</v>
      </c>
      <c r="C4594" s="7" t="s">
        <v>31670</v>
      </c>
      <c r="D4594" s="37" t="s">
        <v>31671</v>
      </c>
    </row>
    <row r="4595">
      <c r="A4595" s="37" t="s">
        <v>1233</v>
      </c>
      <c r="B4595" s="37" t="s">
        <v>440</v>
      </c>
      <c r="C4595" s="7" t="s">
        <v>31672</v>
      </c>
      <c r="D4595" s="37" t="s">
        <v>31673</v>
      </c>
    </row>
    <row r="4596">
      <c r="A4596" s="37" t="s">
        <v>1233</v>
      </c>
      <c r="B4596" s="37" t="s">
        <v>440</v>
      </c>
      <c r="C4596" s="7" t="s">
        <v>31674</v>
      </c>
      <c r="D4596" s="37" t="s">
        <v>31675</v>
      </c>
    </row>
    <row r="4597">
      <c r="A4597" s="37" t="s">
        <v>1233</v>
      </c>
      <c r="B4597" s="37" t="s">
        <v>440</v>
      </c>
      <c r="C4597" s="7" t="s">
        <v>31676</v>
      </c>
      <c r="D4597" s="37" t="s">
        <v>31677</v>
      </c>
    </row>
    <row r="4598">
      <c r="A4598" s="37" t="s">
        <v>1233</v>
      </c>
      <c r="B4598" s="37" t="s">
        <v>440</v>
      </c>
      <c r="C4598" s="7" t="s">
        <v>31678</v>
      </c>
      <c r="D4598" s="37" t="s">
        <v>31679</v>
      </c>
    </row>
    <row r="4599">
      <c r="A4599" s="37" t="s">
        <v>1233</v>
      </c>
      <c r="B4599" s="37" t="s">
        <v>440</v>
      </c>
      <c r="C4599" s="7" t="s">
        <v>31680</v>
      </c>
      <c r="D4599" s="37" t="s">
        <v>31681</v>
      </c>
    </row>
    <row r="4600">
      <c r="A4600" s="37" t="s">
        <v>1233</v>
      </c>
      <c r="B4600" s="37" t="s">
        <v>440</v>
      </c>
      <c r="C4600" s="7" t="s">
        <v>31682</v>
      </c>
      <c r="D4600" s="37" t="s">
        <v>31683</v>
      </c>
    </row>
    <row r="4601">
      <c r="A4601" s="37" t="s">
        <v>1233</v>
      </c>
      <c r="B4601" s="37" t="s">
        <v>440</v>
      </c>
      <c r="C4601" s="7" t="s">
        <v>31684</v>
      </c>
      <c r="D4601" s="37" t="s">
        <v>31685</v>
      </c>
    </row>
    <row r="4602">
      <c r="A4602" s="37" t="s">
        <v>1233</v>
      </c>
      <c r="B4602" s="37" t="s">
        <v>440</v>
      </c>
      <c r="C4602" s="7" t="s">
        <v>31686</v>
      </c>
      <c r="D4602" s="37" t="s">
        <v>31687</v>
      </c>
    </row>
    <row r="4603">
      <c r="A4603" s="37" t="s">
        <v>1233</v>
      </c>
      <c r="B4603" s="37" t="s">
        <v>440</v>
      </c>
      <c r="C4603" s="7" t="s">
        <v>31688</v>
      </c>
      <c r="D4603" s="37" t="s">
        <v>31689</v>
      </c>
    </row>
    <row r="4604">
      <c r="A4604" s="37" t="s">
        <v>1233</v>
      </c>
      <c r="B4604" s="37" t="s">
        <v>440</v>
      </c>
      <c r="C4604" s="7" t="s">
        <v>31690</v>
      </c>
      <c r="D4604" s="37" t="s">
        <v>31691</v>
      </c>
    </row>
    <row r="4605">
      <c r="A4605" s="37" t="s">
        <v>1233</v>
      </c>
      <c r="B4605" s="37" t="s">
        <v>440</v>
      </c>
      <c r="C4605" s="7" t="s">
        <v>31692</v>
      </c>
      <c r="D4605" s="37" t="s">
        <v>31693</v>
      </c>
    </row>
    <row r="4606">
      <c r="A4606" s="37" t="s">
        <v>1233</v>
      </c>
      <c r="B4606" s="37" t="s">
        <v>440</v>
      </c>
      <c r="C4606" s="7" t="s">
        <v>31694</v>
      </c>
      <c r="D4606" s="37" t="s">
        <v>31695</v>
      </c>
    </row>
    <row r="4607">
      <c r="A4607" s="37" t="s">
        <v>1233</v>
      </c>
      <c r="B4607" s="37" t="s">
        <v>440</v>
      </c>
      <c r="C4607" s="7" t="s">
        <v>31696</v>
      </c>
      <c r="D4607" s="37" t="s">
        <v>31697</v>
      </c>
    </row>
    <row r="4608">
      <c r="A4608" s="37" t="s">
        <v>1233</v>
      </c>
      <c r="B4608" s="37" t="s">
        <v>440</v>
      </c>
      <c r="C4608" s="7" t="s">
        <v>31698</v>
      </c>
      <c r="D4608" s="37" t="s">
        <v>31699</v>
      </c>
    </row>
    <row r="4609">
      <c r="A4609" s="37" t="s">
        <v>1233</v>
      </c>
      <c r="B4609" s="37" t="s">
        <v>440</v>
      </c>
      <c r="C4609" s="7" t="s">
        <v>31700</v>
      </c>
      <c r="D4609" s="37" t="s">
        <v>31701</v>
      </c>
    </row>
    <row r="4610">
      <c r="A4610" s="37" t="s">
        <v>1233</v>
      </c>
      <c r="B4610" s="37" t="s">
        <v>440</v>
      </c>
      <c r="C4610" s="7" t="s">
        <v>31702</v>
      </c>
      <c r="D4610" s="37" t="s">
        <v>31703</v>
      </c>
    </row>
    <row r="4611">
      <c r="A4611" s="37" t="s">
        <v>48</v>
      </c>
      <c r="B4611" s="37" t="s">
        <v>38</v>
      </c>
      <c r="C4611" s="7" t="s">
        <v>31704</v>
      </c>
      <c r="D4611" s="37" t="s">
        <v>31705</v>
      </c>
    </row>
    <row r="4612">
      <c r="A4612" s="37" t="s">
        <v>1161</v>
      </c>
      <c r="B4612" s="37" t="s">
        <v>1054</v>
      </c>
      <c r="C4612" s="7" t="s">
        <v>31706</v>
      </c>
      <c r="D4612" s="37" t="s">
        <v>31707</v>
      </c>
    </row>
    <row r="4613">
      <c r="A4613" s="37" t="s">
        <v>475</v>
      </c>
      <c r="B4613" s="37" t="s">
        <v>1495</v>
      </c>
      <c r="C4613" s="7" t="s">
        <v>31708</v>
      </c>
      <c r="D4613" s="37" t="s">
        <v>31709</v>
      </c>
    </row>
    <row r="4614">
      <c r="A4614" s="37" t="s">
        <v>188</v>
      </c>
      <c r="B4614" s="37" t="s">
        <v>1179</v>
      </c>
      <c r="C4614" s="7" t="s">
        <v>31710</v>
      </c>
      <c r="D4614" s="37" t="s">
        <v>31711</v>
      </c>
    </row>
    <row r="4615">
      <c r="A4615" s="37" t="s">
        <v>31712</v>
      </c>
      <c r="B4615" s="37" t="s">
        <v>31323</v>
      </c>
      <c r="C4615" s="7" t="s">
        <v>31713</v>
      </c>
      <c r="D4615" s="37" t="s">
        <v>31714</v>
      </c>
    </row>
    <row r="4616">
      <c r="A4616" s="37" t="s">
        <v>1361</v>
      </c>
      <c r="B4616" s="37" t="s">
        <v>1096</v>
      </c>
      <c r="C4616" s="7" t="s">
        <v>31715</v>
      </c>
      <c r="D4616" s="37" t="s">
        <v>31716</v>
      </c>
    </row>
    <row r="4617">
      <c r="A4617" s="37" t="s">
        <v>1361</v>
      </c>
      <c r="B4617" s="37" t="s">
        <v>1096</v>
      </c>
      <c r="C4617" s="7" t="s">
        <v>31717</v>
      </c>
      <c r="D4617" s="37" t="s">
        <v>31718</v>
      </c>
    </row>
    <row r="4618">
      <c r="A4618" s="37" t="s">
        <v>1361</v>
      </c>
      <c r="B4618" s="37" t="s">
        <v>1096</v>
      </c>
      <c r="C4618" s="7" t="s">
        <v>31719</v>
      </c>
      <c r="D4618" s="37" t="s">
        <v>31720</v>
      </c>
    </row>
    <row r="4619">
      <c r="A4619" s="37" t="s">
        <v>28902</v>
      </c>
      <c r="B4619" s="37" t="s">
        <v>1495</v>
      </c>
      <c r="C4619" s="7" t="s">
        <v>31721</v>
      </c>
      <c r="D4619" s="37" t="s">
        <v>31722</v>
      </c>
    </row>
    <row r="4620">
      <c r="A4620" s="37" t="s">
        <v>28902</v>
      </c>
      <c r="B4620" s="37" t="s">
        <v>1495</v>
      </c>
      <c r="C4620" s="7" t="s">
        <v>31723</v>
      </c>
      <c r="D4620" s="37" t="s">
        <v>31724</v>
      </c>
    </row>
    <row r="4621">
      <c r="A4621" s="37" t="s">
        <v>31314</v>
      </c>
      <c r="B4621" s="37" t="s">
        <v>1495</v>
      </c>
      <c r="C4621" s="7" t="s">
        <v>31725</v>
      </c>
      <c r="D4621" s="37" t="s">
        <v>31726</v>
      </c>
    </row>
    <row r="4622">
      <c r="A4622" s="37" t="s">
        <v>1245</v>
      </c>
      <c r="B4622" s="37" t="s">
        <v>1242</v>
      </c>
      <c r="C4622" s="7" t="s">
        <v>29478</v>
      </c>
      <c r="D4622" s="37" t="s">
        <v>31727</v>
      </c>
    </row>
    <row r="4623">
      <c r="A4623" s="37" t="s">
        <v>1245</v>
      </c>
      <c r="B4623" s="37" t="s">
        <v>1242</v>
      </c>
      <c r="C4623" s="7" t="s">
        <v>31728</v>
      </c>
      <c r="D4623" s="37" t="s">
        <v>31729</v>
      </c>
    </row>
    <row r="4624">
      <c r="A4624" s="37" t="s">
        <v>1245</v>
      </c>
      <c r="B4624" s="37" t="s">
        <v>1242</v>
      </c>
      <c r="C4624" s="7" t="s">
        <v>31730</v>
      </c>
      <c r="D4624" s="37" t="s">
        <v>31731</v>
      </c>
    </row>
    <row r="4625">
      <c r="A4625" s="37" t="s">
        <v>1245</v>
      </c>
      <c r="B4625" s="37" t="s">
        <v>1242</v>
      </c>
      <c r="C4625" s="7" t="s">
        <v>29476</v>
      </c>
      <c r="D4625" s="37" t="s">
        <v>31732</v>
      </c>
    </row>
    <row r="4626">
      <c r="A4626" s="37" t="s">
        <v>4</v>
      </c>
      <c r="B4626" s="37" t="s">
        <v>1293</v>
      </c>
      <c r="C4626" s="7" t="s">
        <v>8027</v>
      </c>
      <c r="D4626" s="37" t="s">
        <v>31733</v>
      </c>
    </row>
    <row r="4627">
      <c r="A4627" s="37" t="s">
        <v>1237</v>
      </c>
      <c r="B4627" s="37" t="s">
        <v>440</v>
      </c>
      <c r="C4627" s="7" t="s">
        <v>31734</v>
      </c>
      <c r="D4627" s="37" t="s">
        <v>31735</v>
      </c>
    </row>
    <row r="4628">
      <c r="A4628" s="37" t="s">
        <v>1193</v>
      </c>
      <c r="B4628" s="37" t="s">
        <v>391</v>
      </c>
      <c r="C4628" s="7" t="s">
        <v>1679</v>
      </c>
      <c r="D4628" s="37" t="s">
        <v>31736</v>
      </c>
    </row>
    <row r="4629">
      <c r="A4629" s="37" t="s">
        <v>1236</v>
      </c>
      <c r="B4629" s="37" t="s">
        <v>440</v>
      </c>
      <c r="C4629" s="37" t="s">
        <v>31737</v>
      </c>
      <c r="D4629" s="37" t="s">
        <v>31738</v>
      </c>
    </row>
    <row r="4630">
      <c r="A4630" s="37" t="s">
        <v>1236</v>
      </c>
      <c r="B4630" s="37" t="s">
        <v>440</v>
      </c>
      <c r="C4630" s="37" t="s">
        <v>31739</v>
      </c>
      <c r="D4630" s="37" t="s">
        <v>31740</v>
      </c>
    </row>
    <row r="4631">
      <c r="A4631" s="37" t="s">
        <v>1236</v>
      </c>
      <c r="B4631" s="37" t="s">
        <v>440</v>
      </c>
      <c r="C4631" s="37" t="s">
        <v>31741</v>
      </c>
      <c r="D4631" s="37" t="s">
        <v>31742</v>
      </c>
    </row>
    <row r="4632">
      <c r="A4632" s="37" t="s">
        <v>1236</v>
      </c>
      <c r="B4632" s="37" t="s">
        <v>440</v>
      </c>
      <c r="C4632" s="37" t="s">
        <v>31743</v>
      </c>
      <c r="D4632" s="37" t="s">
        <v>31744</v>
      </c>
    </row>
    <row r="4633">
      <c r="A4633" s="37" t="s">
        <v>1236</v>
      </c>
      <c r="B4633" s="37" t="s">
        <v>440</v>
      </c>
      <c r="C4633" s="37" t="s">
        <v>31745</v>
      </c>
      <c r="D4633" s="37" t="s">
        <v>31746</v>
      </c>
    </row>
    <row r="4634">
      <c r="A4634" s="37" t="s">
        <v>1236</v>
      </c>
      <c r="B4634" s="37" t="s">
        <v>440</v>
      </c>
      <c r="C4634" s="37" t="s">
        <v>31747</v>
      </c>
      <c r="D4634" s="37" t="s">
        <v>31748</v>
      </c>
    </row>
    <row r="4635">
      <c r="A4635" s="37" t="s">
        <v>1236</v>
      </c>
      <c r="B4635" s="37" t="s">
        <v>440</v>
      </c>
      <c r="C4635" s="37" t="s">
        <v>31749</v>
      </c>
      <c r="D4635" s="37" t="s">
        <v>31750</v>
      </c>
    </row>
    <row r="4636">
      <c r="A4636" s="37" t="s">
        <v>1236</v>
      </c>
      <c r="B4636" s="37" t="s">
        <v>440</v>
      </c>
      <c r="C4636" s="37" t="s">
        <v>31751</v>
      </c>
      <c r="D4636" s="37" t="s">
        <v>31752</v>
      </c>
    </row>
    <row r="4637">
      <c r="A4637" s="37" t="s">
        <v>51</v>
      </c>
      <c r="B4637" s="37" t="s">
        <v>854</v>
      </c>
      <c r="C4637" s="7" t="s">
        <v>31753</v>
      </c>
      <c r="D4637" s="37" t="s">
        <v>31754</v>
      </c>
    </row>
    <row r="4638">
      <c r="A4638" s="37" t="s">
        <v>188</v>
      </c>
      <c r="B4638" s="37" t="s">
        <v>1179</v>
      </c>
      <c r="C4638" s="7" t="s">
        <v>31755</v>
      </c>
      <c r="D4638" s="37" t="s">
        <v>31756</v>
      </c>
    </row>
    <row r="4639">
      <c r="A4639" s="37" t="s">
        <v>359</v>
      </c>
      <c r="B4639" s="37" t="s">
        <v>24942</v>
      </c>
      <c r="C4639" s="7" t="s">
        <v>31757</v>
      </c>
      <c r="D4639" s="37" t="s">
        <v>31758</v>
      </c>
    </row>
    <row r="4640">
      <c r="A4640" s="37" t="s">
        <v>148</v>
      </c>
      <c r="B4640" s="37" t="s">
        <v>26038</v>
      </c>
      <c r="C4640" s="7" t="s">
        <v>31759</v>
      </c>
      <c r="D4640" s="37" t="s">
        <v>31760</v>
      </c>
    </row>
    <row r="4641">
      <c r="A4641" s="37" t="s">
        <v>1161</v>
      </c>
      <c r="B4641" s="37" t="s">
        <v>24942</v>
      </c>
      <c r="C4641" s="7" t="s">
        <v>31761</v>
      </c>
      <c r="D4641" s="37" t="s">
        <v>31762</v>
      </c>
    </row>
    <row r="4642">
      <c r="A4642" s="37" t="s">
        <v>51</v>
      </c>
      <c r="B4642" s="37" t="s">
        <v>854</v>
      </c>
      <c r="C4642" s="7" t="s">
        <v>31763</v>
      </c>
      <c r="D4642" s="37" t="s">
        <v>31764</v>
      </c>
    </row>
    <row r="4643">
      <c r="A4643" s="37" t="s">
        <v>51</v>
      </c>
      <c r="B4643" s="37" t="s">
        <v>363</v>
      </c>
      <c r="C4643" s="7" t="s">
        <v>31765</v>
      </c>
      <c r="D4643" s="37" t="s">
        <v>31766</v>
      </c>
    </row>
    <row r="4644">
      <c r="A4644" s="37" t="s">
        <v>48</v>
      </c>
      <c r="B4644" s="37" t="s">
        <v>1242</v>
      </c>
      <c r="C4644" s="7" t="s">
        <v>31767</v>
      </c>
      <c r="D4644" s="37" t="s">
        <v>31768</v>
      </c>
    </row>
    <row r="4645">
      <c r="A4645" s="37" t="s">
        <v>51</v>
      </c>
      <c r="B4645" s="37" t="s">
        <v>363</v>
      </c>
      <c r="C4645" s="37" t="s">
        <v>31769</v>
      </c>
      <c r="D4645" s="37" t="s">
        <v>31770</v>
      </c>
    </row>
    <row r="4646">
      <c r="A4646" s="37" t="s">
        <v>1174</v>
      </c>
      <c r="B4646" s="37" t="s">
        <v>1096</v>
      </c>
      <c r="C4646" s="7" t="s">
        <v>31771</v>
      </c>
      <c r="D4646" s="37" t="s">
        <v>31772</v>
      </c>
    </row>
    <row r="4647">
      <c r="A4647" s="37" t="s">
        <v>1495</v>
      </c>
      <c r="B4647" s="37" t="s">
        <v>1495</v>
      </c>
      <c r="C4647" s="37" t="s">
        <v>31773</v>
      </c>
      <c r="D4647" s="37" t="s">
        <v>31774</v>
      </c>
    </row>
    <row r="4648">
      <c r="A4648" s="37" t="s">
        <v>1495</v>
      </c>
      <c r="B4648" s="37" t="s">
        <v>1495</v>
      </c>
      <c r="C4648" s="7" t="s">
        <v>31775</v>
      </c>
      <c r="D4648" s="37" t="s">
        <v>31776</v>
      </c>
    </row>
    <row r="4649">
      <c r="A4649" s="37" t="s">
        <v>1495</v>
      </c>
      <c r="B4649" s="37" t="s">
        <v>1495</v>
      </c>
      <c r="C4649" s="7" t="s">
        <v>31777</v>
      </c>
      <c r="D4649" s="37" t="s">
        <v>31778</v>
      </c>
    </row>
    <row r="4650">
      <c r="A4650" s="37" t="s">
        <v>1495</v>
      </c>
      <c r="B4650" s="37" t="s">
        <v>1495</v>
      </c>
      <c r="C4650" s="7" t="s">
        <v>30559</v>
      </c>
      <c r="D4650" s="37" t="s">
        <v>31779</v>
      </c>
    </row>
    <row r="4651">
      <c r="A4651" s="37" t="s">
        <v>1072</v>
      </c>
      <c r="B4651" s="37" t="s">
        <v>478</v>
      </c>
      <c r="C4651" s="7" t="s">
        <v>25127</v>
      </c>
      <c r="D4651" s="37" t="s">
        <v>31780</v>
      </c>
    </row>
    <row r="4652">
      <c r="A4652" s="37" t="s">
        <v>1174</v>
      </c>
      <c r="B4652" s="37" t="s">
        <v>1096</v>
      </c>
      <c r="C4652" s="7" t="s">
        <v>6297</v>
      </c>
      <c r="D4652" s="37" t="s">
        <v>31781</v>
      </c>
    </row>
    <row r="4653">
      <c r="A4653" s="37" t="s">
        <v>1245</v>
      </c>
      <c r="B4653" s="37" t="s">
        <v>38</v>
      </c>
      <c r="C4653" s="7" t="s">
        <v>31782</v>
      </c>
      <c r="D4653" s="37" t="s">
        <v>31783</v>
      </c>
    </row>
    <row r="4654">
      <c r="A4654" s="37" t="s">
        <v>1233</v>
      </c>
      <c r="B4654" s="37" t="s">
        <v>440</v>
      </c>
      <c r="C4654" s="37" t="s">
        <v>31784</v>
      </c>
      <c r="D4654" s="37" t="s">
        <v>31785</v>
      </c>
    </row>
    <row r="4655">
      <c r="A4655" s="37" t="s">
        <v>104</v>
      </c>
      <c r="B4655" s="37" t="s">
        <v>1293</v>
      </c>
      <c r="C4655" s="7" t="s">
        <v>31786</v>
      </c>
      <c r="D4655" s="37" t="s">
        <v>31787</v>
      </c>
    </row>
    <row r="4656">
      <c r="A4656" s="37" t="s">
        <v>953</v>
      </c>
      <c r="B4656" s="37" t="s">
        <v>1242</v>
      </c>
      <c r="C4656" s="37" t="s">
        <v>31788</v>
      </c>
      <c r="D4656" s="37" t="s">
        <v>31789</v>
      </c>
    </row>
    <row r="4657">
      <c r="A4657" s="37" t="s">
        <v>1137</v>
      </c>
      <c r="B4657" s="37" t="s">
        <v>1096</v>
      </c>
      <c r="C4657" s="37" t="s">
        <v>31790</v>
      </c>
      <c r="D4657" s="37" t="s">
        <v>31791</v>
      </c>
    </row>
    <row r="4658">
      <c r="A4658" s="37" t="s">
        <v>1361</v>
      </c>
      <c r="B4658" s="37" t="s">
        <v>1096</v>
      </c>
      <c r="C4658" s="7" t="s">
        <v>31792</v>
      </c>
      <c r="D4658" s="37" t="s">
        <v>31793</v>
      </c>
    </row>
    <row r="4659">
      <c r="A4659" s="37" t="s">
        <v>1361</v>
      </c>
      <c r="B4659" s="37" t="s">
        <v>1096</v>
      </c>
      <c r="C4659" s="7" t="s">
        <v>31794</v>
      </c>
      <c r="D4659" s="37" t="s">
        <v>31795</v>
      </c>
    </row>
    <row r="4660">
      <c r="A4660" s="37" t="s">
        <v>1245</v>
      </c>
      <c r="B4660" s="37" t="s">
        <v>38</v>
      </c>
      <c r="C4660" s="7" t="s">
        <v>31796</v>
      </c>
      <c r="D4660" s="37" t="s">
        <v>31797</v>
      </c>
    </row>
    <row r="4661">
      <c r="A4661" s="37" t="s">
        <v>28902</v>
      </c>
      <c r="B4661" s="37" t="s">
        <v>28596</v>
      </c>
      <c r="C4661" s="37" t="s">
        <v>31798</v>
      </c>
      <c r="D4661" s="37" t="s">
        <v>31799</v>
      </c>
    </row>
    <row r="4662">
      <c r="A4662" s="37" t="s">
        <v>28902</v>
      </c>
      <c r="B4662" s="37" t="s">
        <v>1495</v>
      </c>
      <c r="C4662" s="7" t="s">
        <v>31800</v>
      </c>
      <c r="D4662" s="37" t="s">
        <v>31801</v>
      </c>
    </row>
    <row r="4663">
      <c r="A4663" s="37" t="s">
        <v>1233</v>
      </c>
      <c r="B4663" s="37" t="s">
        <v>440</v>
      </c>
      <c r="C4663" s="7" t="s">
        <v>31802</v>
      </c>
      <c r="D4663" s="37" t="s">
        <v>31803</v>
      </c>
    </row>
    <row r="4664">
      <c r="A4664" s="37" t="s">
        <v>1233</v>
      </c>
      <c r="B4664" s="37" t="s">
        <v>440</v>
      </c>
      <c r="C4664" s="37" t="s">
        <v>31804</v>
      </c>
      <c r="D4664" s="37" t="s">
        <v>31805</v>
      </c>
    </row>
    <row r="4665">
      <c r="A4665" s="37" t="s">
        <v>1245</v>
      </c>
      <c r="B4665" s="37" t="s">
        <v>1242</v>
      </c>
      <c r="C4665" s="7" t="s">
        <v>31806</v>
      </c>
      <c r="D4665" s="37" t="s">
        <v>31807</v>
      </c>
    </row>
    <row r="4666">
      <c r="A4666" s="37" t="s">
        <v>1245</v>
      </c>
      <c r="B4666" s="37" t="s">
        <v>1242</v>
      </c>
      <c r="C4666" s="7" t="s">
        <v>31808</v>
      </c>
      <c r="D4666" s="37" t="s">
        <v>31809</v>
      </c>
    </row>
    <row r="4667">
      <c r="A4667" s="37" t="s">
        <v>104</v>
      </c>
      <c r="B4667" s="37" t="s">
        <v>1293</v>
      </c>
      <c r="C4667" s="7" t="s">
        <v>31810</v>
      </c>
      <c r="D4667" s="37" t="s">
        <v>31811</v>
      </c>
    </row>
    <row r="4668">
      <c r="A4668" s="37" t="s">
        <v>30002</v>
      </c>
      <c r="B4668" s="37" t="s">
        <v>24942</v>
      </c>
      <c r="C4668" s="7" t="s">
        <v>31812</v>
      </c>
      <c r="D4668" s="37" t="s">
        <v>31813</v>
      </c>
    </row>
    <row r="4669">
      <c r="A4669" s="37" t="s">
        <v>30002</v>
      </c>
      <c r="B4669" s="37" t="s">
        <v>24942</v>
      </c>
      <c r="C4669" s="7" t="s">
        <v>31814</v>
      </c>
      <c r="D4669" s="37" t="s">
        <v>31815</v>
      </c>
    </row>
    <row r="4670">
      <c r="A4670" s="37" t="s">
        <v>30002</v>
      </c>
      <c r="B4670" s="37" t="s">
        <v>24942</v>
      </c>
      <c r="C4670" s="7" t="s">
        <v>31816</v>
      </c>
      <c r="D4670" s="37" t="s">
        <v>31817</v>
      </c>
    </row>
    <row r="4671">
      <c r="A4671" s="37" t="s">
        <v>31275</v>
      </c>
      <c r="B4671" s="37" t="s">
        <v>440</v>
      </c>
      <c r="C4671" s="7" t="s">
        <v>27636</v>
      </c>
      <c r="D4671" s="37" t="s">
        <v>31818</v>
      </c>
    </row>
    <row r="4672">
      <c r="A4672" s="37" t="s">
        <v>1233</v>
      </c>
      <c r="B4672" s="37" t="s">
        <v>440</v>
      </c>
      <c r="C4672" s="37" t="s">
        <v>31819</v>
      </c>
      <c r="D4672" s="37" t="s">
        <v>31820</v>
      </c>
    </row>
    <row r="4673">
      <c r="A4673" s="37" t="s">
        <v>1233</v>
      </c>
      <c r="B4673" s="37" t="s">
        <v>440</v>
      </c>
      <c r="C4673" s="37" t="s">
        <v>9208</v>
      </c>
      <c r="D4673" s="37" t="s">
        <v>31821</v>
      </c>
    </row>
    <row r="4674">
      <c r="A4674" s="37" t="s">
        <v>27065</v>
      </c>
      <c r="B4674" s="37" t="s">
        <v>1495</v>
      </c>
      <c r="C4674" s="7" t="s">
        <v>31822</v>
      </c>
      <c r="D4674" s="37" t="s">
        <v>31823</v>
      </c>
    </row>
    <row r="4675">
      <c r="A4675" s="37" t="s">
        <v>31824</v>
      </c>
      <c r="B4675" s="37" t="s">
        <v>440</v>
      </c>
      <c r="C4675" s="7" t="s">
        <v>31825</v>
      </c>
      <c r="D4675" s="37" t="s">
        <v>31826</v>
      </c>
    </row>
    <row r="4676">
      <c r="A4676" s="37" t="s">
        <v>51</v>
      </c>
      <c r="B4676" s="37" t="s">
        <v>363</v>
      </c>
      <c r="C4676" s="37" t="s">
        <v>31827</v>
      </c>
      <c r="D4676" s="37" t="s">
        <v>31828</v>
      </c>
    </row>
    <row r="4677">
      <c r="A4677" s="37" t="s">
        <v>27036</v>
      </c>
      <c r="B4677" s="37" t="s">
        <v>26038</v>
      </c>
      <c r="C4677" s="7" t="s">
        <v>31790</v>
      </c>
      <c r="D4677" s="37" t="s">
        <v>31829</v>
      </c>
    </row>
    <row r="4678">
      <c r="A4678" s="37" t="s">
        <v>1243</v>
      </c>
      <c r="B4678" s="37" t="s">
        <v>1495</v>
      </c>
      <c r="C4678" s="7" t="s">
        <v>30575</v>
      </c>
      <c r="D4678" s="37" t="s">
        <v>31830</v>
      </c>
    </row>
    <row r="4679">
      <c r="A4679" s="37" t="s">
        <v>475</v>
      </c>
      <c r="B4679" s="37" t="s">
        <v>28596</v>
      </c>
      <c r="C4679" s="7" t="s">
        <v>31831</v>
      </c>
      <c r="D4679" s="37" t="s">
        <v>31832</v>
      </c>
    </row>
    <row r="4680">
      <c r="A4680" s="37" t="s">
        <v>148</v>
      </c>
      <c r="B4680" s="37" t="s">
        <v>1096</v>
      </c>
      <c r="C4680" s="7" t="s">
        <v>31833</v>
      </c>
      <c r="D4680" s="37" t="s">
        <v>31834</v>
      </c>
    </row>
    <row r="4681">
      <c r="A4681" s="37" t="s">
        <v>43</v>
      </c>
      <c r="B4681" s="37" t="s">
        <v>24942</v>
      </c>
      <c r="C4681" s="7" t="s">
        <v>31835</v>
      </c>
      <c r="D4681" s="37" t="s">
        <v>31836</v>
      </c>
    </row>
    <row r="4682">
      <c r="A4682" s="37" t="s">
        <v>188</v>
      </c>
      <c r="B4682" s="37" t="s">
        <v>30009</v>
      </c>
      <c r="C4682" s="7" t="s">
        <v>31837</v>
      </c>
      <c r="D4682" s="37" t="s">
        <v>31838</v>
      </c>
    </row>
    <row r="4683">
      <c r="A4683" s="37" t="s">
        <v>188</v>
      </c>
      <c r="B4683" s="37" t="s">
        <v>1179</v>
      </c>
      <c r="C4683" s="7" t="s">
        <v>31837</v>
      </c>
      <c r="D4683" s="37" t="s">
        <v>31839</v>
      </c>
    </row>
    <row r="4684">
      <c r="A4684" s="37" t="s">
        <v>51</v>
      </c>
      <c r="B4684" s="37" t="s">
        <v>363</v>
      </c>
      <c r="C4684" s="37" t="s">
        <v>31840</v>
      </c>
      <c r="D4684" s="37" t="s">
        <v>31841</v>
      </c>
    </row>
    <row r="4685">
      <c r="A4685" s="37" t="s">
        <v>1227</v>
      </c>
      <c r="B4685" s="37" t="s">
        <v>854</v>
      </c>
      <c r="C4685" s="37" t="s">
        <v>31842</v>
      </c>
      <c r="D4685" s="37" t="s">
        <v>31843</v>
      </c>
    </row>
    <row r="4686">
      <c r="A4686" s="37" t="s">
        <v>1233</v>
      </c>
      <c r="B4686" s="37" t="s">
        <v>440</v>
      </c>
      <c r="C4686" s="37" t="s">
        <v>8748</v>
      </c>
      <c r="D4686" s="37" t="s">
        <v>31844</v>
      </c>
    </row>
    <row r="4687">
      <c r="A4687" s="37" t="s">
        <v>1193</v>
      </c>
      <c r="B4687" s="37" t="s">
        <v>391</v>
      </c>
      <c r="C4687" s="7" t="s">
        <v>31845</v>
      </c>
      <c r="D4687" s="37" t="s">
        <v>31846</v>
      </c>
    </row>
    <row r="4688">
      <c r="A4688" s="37" t="s">
        <v>43</v>
      </c>
      <c r="B4688" s="37" t="s">
        <v>1242</v>
      </c>
      <c r="C4688" s="37" t="s">
        <v>31847</v>
      </c>
      <c r="D4688" s="37" t="s">
        <v>31848</v>
      </c>
    </row>
    <row r="4689">
      <c r="A4689" s="37" t="s">
        <v>43</v>
      </c>
      <c r="B4689" s="37" t="s">
        <v>38</v>
      </c>
      <c r="C4689" s="37" t="s">
        <v>31849</v>
      </c>
      <c r="D4689" s="37" t="s">
        <v>31850</v>
      </c>
    </row>
    <row r="4690">
      <c r="A4690" s="37" t="s">
        <v>1536</v>
      </c>
      <c r="B4690" s="37" t="s">
        <v>1536</v>
      </c>
      <c r="C4690" s="7" t="s">
        <v>1537</v>
      </c>
      <c r="D4690" s="37" t="s">
        <v>31851</v>
      </c>
    </row>
    <row r="4691">
      <c r="A4691" s="37" t="s">
        <v>1536</v>
      </c>
      <c r="B4691" s="37" t="s">
        <v>1536</v>
      </c>
      <c r="C4691" s="7" t="s">
        <v>30036</v>
      </c>
      <c r="D4691" s="37" t="s">
        <v>31852</v>
      </c>
    </row>
    <row r="4692">
      <c r="A4692" s="37" t="s">
        <v>359</v>
      </c>
      <c r="B4692" s="37" t="s">
        <v>24942</v>
      </c>
      <c r="C4692" s="7" t="s">
        <v>31853</v>
      </c>
      <c r="D4692" s="37" t="s">
        <v>31854</v>
      </c>
    </row>
    <row r="4693">
      <c r="A4693" s="37" t="s">
        <v>31824</v>
      </c>
      <c r="B4693" s="37" t="s">
        <v>440</v>
      </c>
      <c r="C4693" s="37" t="s">
        <v>31855</v>
      </c>
      <c r="D4693" s="37" t="s">
        <v>31856</v>
      </c>
    </row>
    <row r="4694">
      <c r="A4694" s="37" t="s">
        <v>1536</v>
      </c>
      <c r="B4694" s="37" t="s">
        <v>1536</v>
      </c>
      <c r="C4694" s="7" t="s">
        <v>31857</v>
      </c>
      <c r="D4694" s="37" t="s">
        <v>31858</v>
      </c>
    </row>
    <row r="4695">
      <c r="A4695" s="37" t="s">
        <v>1536</v>
      </c>
      <c r="B4695" s="37" t="s">
        <v>1536</v>
      </c>
      <c r="C4695" s="7" t="s">
        <v>6154</v>
      </c>
      <c r="D4695" s="37" t="s">
        <v>31859</v>
      </c>
    </row>
    <row r="4696">
      <c r="A4696" s="37" t="s">
        <v>1536</v>
      </c>
      <c r="B4696" s="37" t="s">
        <v>1536</v>
      </c>
      <c r="C4696" s="37" t="s">
        <v>31860</v>
      </c>
      <c r="D4696" s="37" t="s">
        <v>31861</v>
      </c>
    </row>
    <row r="4697">
      <c r="A4697" s="37" t="s">
        <v>1536</v>
      </c>
      <c r="B4697" s="37" t="s">
        <v>1536</v>
      </c>
      <c r="C4697" s="7" t="s">
        <v>31862</v>
      </c>
      <c r="D4697" s="37" t="s">
        <v>31863</v>
      </c>
    </row>
    <row r="4698">
      <c r="A4698" s="37" t="s">
        <v>1237</v>
      </c>
      <c r="B4698" s="37" t="s">
        <v>440</v>
      </c>
      <c r="C4698" s="7" t="s">
        <v>31864</v>
      </c>
      <c r="D4698" s="37" t="s">
        <v>31865</v>
      </c>
    </row>
    <row r="4699">
      <c r="A4699" s="37" t="s">
        <v>1237</v>
      </c>
      <c r="B4699" s="37" t="s">
        <v>440</v>
      </c>
      <c r="C4699" s="7" t="s">
        <v>31866</v>
      </c>
      <c r="D4699" s="37" t="s">
        <v>31867</v>
      </c>
    </row>
    <row r="4700">
      <c r="A4700" s="37" t="s">
        <v>29724</v>
      </c>
      <c r="B4700" s="37" t="s">
        <v>192</v>
      </c>
      <c r="C4700" s="7" t="s">
        <v>14007</v>
      </c>
      <c r="D4700" s="37" t="s">
        <v>31868</v>
      </c>
    </row>
    <row r="4701">
      <c r="A4701" s="37" t="s">
        <v>1536</v>
      </c>
      <c r="B4701" s="37" t="s">
        <v>1536</v>
      </c>
      <c r="C4701" s="37" t="s">
        <v>31869</v>
      </c>
      <c r="D4701" s="37" t="s">
        <v>31870</v>
      </c>
    </row>
    <row r="4702">
      <c r="A4702" s="37" t="s">
        <v>1536</v>
      </c>
      <c r="B4702" s="37" t="s">
        <v>1536</v>
      </c>
      <c r="C4702" s="7" t="s">
        <v>31149</v>
      </c>
      <c r="D4702" s="37" t="s">
        <v>31871</v>
      </c>
    </row>
    <row r="4703">
      <c r="A4703" s="37" t="s">
        <v>31872</v>
      </c>
      <c r="B4703" s="37" t="s">
        <v>31872</v>
      </c>
      <c r="C4703" s="7" t="s">
        <v>11326</v>
      </c>
      <c r="D4703" s="37" t="s">
        <v>31873</v>
      </c>
    </row>
    <row r="4704">
      <c r="A4704" s="37" t="s">
        <v>1536</v>
      </c>
      <c r="B4704" s="37" t="s">
        <v>1536</v>
      </c>
      <c r="C4704" s="37" t="s">
        <v>31874</v>
      </c>
      <c r="D4704" s="37" t="s">
        <v>31875</v>
      </c>
    </row>
    <row r="4705">
      <c r="A4705" s="37" t="s">
        <v>1536</v>
      </c>
      <c r="B4705" s="37" t="s">
        <v>1536</v>
      </c>
      <c r="C4705" s="7" t="s">
        <v>31876</v>
      </c>
      <c r="D4705" s="37" t="s">
        <v>31877</v>
      </c>
    </row>
    <row r="4706">
      <c r="A4706" s="37" t="s">
        <v>31824</v>
      </c>
      <c r="B4706" s="37" t="s">
        <v>440</v>
      </c>
      <c r="C4706" s="37" t="s">
        <v>31878</v>
      </c>
      <c r="D4706" s="37" t="s">
        <v>31879</v>
      </c>
    </row>
    <row r="4707">
      <c r="A4707" s="37" t="s">
        <v>1536</v>
      </c>
      <c r="B4707" s="37" t="s">
        <v>1536</v>
      </c>
      <c r="C4707" s="7" t="s">
        <v>31880</v>
      </c>
      <c r="D4707" s="37" t="s">
        <v>31881</v>
      </c>
    </row>
    <row r="4708">
      <c r="A4708" s="37" t="s">
        <v>1267</v>
      </c>
      <c r="B4708" s="37" t="s">
        <v>24942</v>
      </c>
      <c r="C4708" s="37" t="s">
        <v>31882</v>
      </c>
      <c r="D4708" s="37" t="s">
        <v>31883</v>
      </c>
    </row>
    <row r="4709">
      <c r="A4709" s="37" t="s">
        <v>1536</v>
      </c>
      <c r="B4709" s="37" t="s">
        <v>1536</v>
      </c>
      <c r="C4709" s="37" t="s">
        <v>31884</v>
      </c>
      <c r="D4709" s="37" t="s">
        <v>31885</v>
      </c>
    </row>
    <row r="4710">
      <c r="A4710" s="37" t="s">
        <v>1536</v>
      </c>
      <c r="B4710" s="37" t="s">
        <v>1536</v>
      </c>
      <c r="C4710" s="7" t="s">
        <v>31886</v>
      </c>
      <c r="D4710" s="37" t="s">
        <v>31887</v>
      </c>
    </row>
    <row r="4711">
      <c r="A4711" s="37" t="s">
        <v>1571</v>
      </c>
      <c r="B4711" s="37" t="s">
        <v>363</v>
      </c>
      <c r="C4711" s="37" t="s">
        <v>31888</v>
      </c>
      <c r="D4711" s="37" t="s">
        <v>31889</v>
      </c>
    </row>
    <row r="4712">
      <c r="A4712" s="37" t="s">
        <v>1536</v>
      </c>
      <c r="B4712" s="37" t="s">
        <v>1536</v>
      </c>
      <c r="C4712" s="37" t="s">
        <v>31890</v>
      </c>
      <c r="D4712" s="37" t="s">
        <v>31891</v>
      </c>
    </row>
    <row r="4713">
      <c r="A4713" s="37" t="s">
        <v>1536</v>
      </c>
      <c r="B4713" s="37" t="s">
        <v>1536</v>
      </c>
      <c r="C4713" s="37" t="s">
        <v>31892</v>
      </c>
      <c r="D4713" s="37" t="s">
        <v>31893</v>
      </c>
    </row>
    <row r="4714">
      <c r="A4714" s="37" t="s">
        <v>1536</v>
      </c>
      <c r="B4714" s="37" t="s">
        <v>1536</v>
      </c>
      <c r="C4714" s="37" t="s">
        <v>31894</v>
      </c>
      <c r="D4714" s="37" t="s">
        <v>31895</v>
      </c>
    </row>
    <row r="4715">
      <c r="A4715" s="37" t="s">
        <v>1536</v>
      </c>
      <c r="B4715" s="37" t="s">
        <v>1536</v>
      </c>
      <c r="C4715" s="37" t="s">
        <v>31896</v>
      </c>
      <c r="D4715" s="37" t="s">
        <v>31897</v>
      </c>
    </row>
    <row r="4716">
      <c r="A4716" s="37" t="s">
        <v>30002</v>
      </c>
      <c r="B4716" s="37" t="s">
        <v>24942</v>
      </c>
      <c r="C4716" s="37" t="s">
        <v>31898</v>
      </c>
      <c r="D4716" s="37" t="s">
        <v>31899</v>
      </c>
    </row>
    <row r="4717">
      <c r="A4717" s="37" t="s">
        <v>1536</v>
      </c>
      <c r="B4717" s="37" t="s">
        <v>1536</v>
      </c>
      <c r="C4717" s="7" t="s">
        <v>31900</v>
      </c>
      <c r="D4717" s="37" t="s">
        <v>31901</v>
      </c>
    </row>
    <row r="4718">
      <c r="A4718" s="37" t="s">
        <v>1536</v>
      </c>
      <c r="B4718" s="37" t="s">
        <v>1536</v>
      </c>
      <c r="C4718" s="37" t="s">
        <v>31902</v>
      </c>
      <c r="D4718" s="37" t="s">
        <v>31903</v>
      </c>
    </row>
    <row r="4719">
      <c r="A4719" s="37" t="s">
        <v>1536</v>
      </c>
      <c r="B4719" s="37" t="s">
        <v>1536</v>
      </c>
      <c r="C4719" s="7" t="s">
        <v>26626</v>
      </c>
      <c r="D4719" s="37" t="s">
        <v>31904</v>
      </c>
    </row>
    <row r="4720">
      <c r="A4720" s="37" t="s">
        <v>1536</v>
      </c>
      <c r="B4720" s="37" t="s">
        <v>1536</v>
      </c>
      <c r="C4720" s="7" t="s">
        <v>31149</v>
      </c>
      <c r="D4720" s="37" t="s">
        <v>31905</v>
      </c>
    </row>
    <row r="4721">
      <c r="A4721" s="37" t="s">
        <v>1536</v>
      </c>
      <c r="B4721" s="37" t="s">
        <v>1536</v>
      </c>
      <c r="C4721" s="7" t="s">
        <v>31906</v>
      </c>
      <c r="D4721" s="37" t="s">
        <v>31907</v>
      </c>
    </row>
    <row r="4722">
      <c r="A4722" s="37" t="s">
        <v>1536</v>
      </c>
      <c r="B4722" s="37" t="s">
        <v>1536</v>
      </c>
      <c r="C4722" s="7" t="s">
        <v>31908</v>
      </c>
      <c r="D4722" s="37" t="s">
        <v>31909</v>
      </c>
    </row>
    <row r="4723">
      <c r="A4723" s="37" t="s">
        <v>1536</v>
      </c>
      <c r="B4723" s="37" t="s">
        <v>1536</v>
      </c>
      <c r="C4723" s="7" t="s">
        <v>31910</v>
      </c>
      <c r="D4723" s="37" t="s">
        <v>31911</v>
      </c>
    </row>
    <row r="4724">
      <c r="A4724" s="37" t="s">
        <v>1536</v>
      </c>
      <c r="B4724" s="37" t="s">
        <v>1536</v>
      </c>
      <c r="C4724" s="7" t="s">
        <v>31912</v>
      </c>
      <c r="D4724" s="37" t="s">
        <v>31913</v>
      </c>
    </row>
    <row r="4725">
      <c r="A4725" s="37" t="s">
        <v>1536</v>
      </c>
      <c r="B4725" s="37" t="s">
        <v>1536</v>
      </c>
      <c r="C4725" s="7" t="s">
        <v>31914</v>
      </c>
      <c r="D4725" s="37" t="s">
        <v>31915</v>
      </c>
    </row>
    <row r="4726">
      <c r="A4726" s="37" t="s">
        <v>1536</v>
      </c>
      <c r="B4726" s="37" t="s">
        <v>1536</v>
      </c>
      <c r="C4726" s="7" t="s">
        <v>31916</v>
      </c>
      <c r="D4726" s="37" t="s">
        <v>31917</v>
      </c>
    </row>
    <row r="4727">
      <c r="A4727" s="37" t="s">
        <v>1536</v>
      </c>
      <c r="B4727" s="37" t="s">
        <v>1536</v>
      </c>
      <c r="C4727" s="7" t="s">
        <v>31918</v>
      </c>
      <c r="D4727" s="37" t="s">
        <v>31919</v>
      </c>
    </row>
    <row r="4728">
      <c r="A4728" s="37" t="s">
        <v>1536</v>
      </c>
      <c r="B4728" s="37" t="s">
        <v>1536</v>
      </c>
      <c r="C4728" s="7" t="s">
        <v>31920</v>
      </c>
      <c r="D4728" s="37" t="s">
        <v>31921</v>
      </c>
    </row>
    <row r="4729">
      <c r="A4729" s="37" t="s">
        <v>1536</v>
      </c>
      <c r="B4729" s="37" t="s">
        <v>1536</v>
      </c>
      <c r="C4729" s="7" t="s">
        <v>31922</v>
      </c>
      <c r="D4729" s="37" t="s">
        <v>31923</v>
      </c>
    </row>
    <row r="4730">
      <c r="A4730" s="37" t="s">
        <v>1536</v>
      </c>
      <c r="B4730" s="37" t="s">
        <v>1536</v>
      </c>
      <c r="C4730" s="7" t="s">
        <v>31924</v>
      </c>
      <c r="D4730" s="37" t="s">
        <v>31925</v>
      </c>
    </row>
    <row r="4731">
      <c r="A4731" s="37" t="s">
        <v>1536</v>
      </c>
      <c r="B4731" s="37" t="s">
        <v>1536</v>
      </c>
      <c r="C4731" s="7" t="s">
        <v>31926</v>
      </c>
      <c r="D4731" s="37" t="s">
        <v>31927</v>
      </c>
    </row>
    <row r="4732">
      <c r="A4732" s="37" t="s">
        <v>1536</v>
      </c>
      <c r="B4732" s="37" t="s">
        <v>1536</v>
      </c>
      <c r="C4732" s="7" t="s">
        <v>31928</v>
      </c>
      <c r="D4732" s="37" t="s">
        <v>31929</v>
      </c>
    </row>
    <row r="4733">
      <c r="A4733" s="37" t="s">
        <v>1536</v>
      </c>
      <c r="B4733" s="37" t="s">
        <v>1536</v>
      </c>
      <c r="C4733" s="7" t="s">
        <v>31930</v>
      </c>
      <c r="D4733" s="37" t="s">
        <v>31931</v>
      </c>
    </row>
    <row r="4734">
      <c r="A4734" s="37" t="s">
        <v>1536</v>
      </c>
      <c r="B4734" s="37" t="s">
        <v>1536</v>
      </c>
      <c r="C4734" s="7" t="s">
        <v>31932</v>
      </c>
      <c r="D4734" s="37" t="s">
        <v>31933</v>
      </c>
    </row>
    <row r="4735">
      <c r="A4735" s="37" t="s">
        <v>1536</v>
      </c>
      <c r="B4735" s="37" t="s">
        <v>1536</v>
      </c>
      <c r="C4735" s="7" t="s">
        <v>31934</v>
      </c>
      <c r="D4735" s="37" t="s">
        <v>31935</v>
      </c>
    </row>
    <row r="4736">
      <c r="A4736" s="37" t="s">
        <v>1536</v>
      </c>
      <c r="B4736" s="37" t="s">
        <v>1536</v>
      </c>
      <c r="C4736" s="7" t="s">
        <v>31936</v>
      </c>
      <c r="D4736" s="37" t="s">
        <v>31937</v>
      </c>
    </row>
    <row r="4737">
      <c r="A4737" s="37" t="s">
        <v>1536</v>
      </c>
      <c r="B4737" s="37" t="s">
        <v>1536</v>
      </c>
      <c r="C4737" s="7" t="s">
        <v>31938</v>
      </c>
      <c r="D4737" s="37" t="s">
        <v>31939</v>
      </c>
    </row>
    <row r="4738">
      <c r="A4738" s="37" t="s">
        <v>1536</v>
      </c>
      <c r="B4738" s="37" t="s">
        <v>1536</v>
      </c>
      <c r="C4738" s="7" t="s">
        <v>31940</v>
      </c>
      <c r="D4738" s="37" t="s">
        <v>31941</v>
      </c>
    </row>
    <row r="4739">
      <c r="A4739" s="37" t="s">
        <v>1536</v>
      </c>
      <c r="B4739" s="37" t="s">
        <v>1536</v>
      </c>
      <c r="C4739" s="7" t="s">
        <v>31942</v>
      </c>
      <c r="D4739" s="37" t="s">
        <v>31943</v>
      </c>
    </row>
    <row r="4740">
      <c r="A4740" s="37" t="s">
        <v>1536</v>
      </c>
      <c r="B4740" s="37" t="s">
        <v>1536</v>
      </c>
      <c r="C4740" s="7" t="s">
        <v>31944</v>
      </c>
      <c r="D4740" s="37" t="s">
        <v>31945</v>
      </c>
    </row>
    <row r="4741">
      <c r="A4741" s="37" t="s">
        <v>1536</v>
      </c>
      <c r="B4741" s="37" t="s">
        <v>1536</v>
      </c>
      <c r="C4741" s="7" t="s">
        <v>31946</v>
      </c>
      <c r="D4741" s="37" t="s">
        <v>31947</v>
      </c>
    </row>
    <row r="4742">
      <c r="A4742" s="37" t="s">
        <v>1536</v>
      </c>
      <c r="B4742" s="37" t="s">
        <v>1536</v>
      </c>
      <c r="C4742" s="7" t="s">
        <v>31948</v>
      </c>
      <c r="D4742" s="37" t="s">
        <v>31949</v>
      </c>
    </row>
    <row r="4743">
      <c r="A4743" s="37" t="s">
        <v>1536</v>
      </c>
      <c r="B4743" s="37" t="s">
        <v>1536</v>
      </c>
      <c r="C4743" s="7" t="s">
        <v>31285</v>
      </c>
      <c r="D4743" s="37" t="s">
        <v>31950</v>
      </c>
    </row>
    <row r="4744">
      <c r="A4744" s="37" t="s">
        <v>1536</v>
      </c>
      <c r="B4744" s="37" t="s">
        <v>1536</v>
      </c>
      <c r="C4744" s="7" t="s">
        <v>31951</v>
      </c>
      <c r="D4744" s="37" t="s">
        <v>31952</v>
      </c>
    </row>
    <row r="4745">
      <c r="A4745" s="37" t="s">
        <v>1536</v>
      </c>
      <c r="B4745" s="37" t="s">
        <v>1536</v>
      </c>
      <c r="C4745" s="7" t="s">
        <v>31953</v>
      </c>
      <c r="D4745" s="37" t="s">
        <v>31954</v>
      </c>
    </row>
    <row r="4746">
      <c r="A4746" s="37" t="s">
        <v>1536</v>
      </c>
      <c r="B4746" s="37" t="s">
        <v>1536</v>
      </c>
      <c r="C4746" s="7" t="s">
        <v>31955</v>
      </c>
      <c r="D4746" s="37" t="s">
        <v>31956</v>
      </c>
    </row>
    <row r="4747">
      <c r="A4747" s="37" t="s">
        <v>1536</v>
      </c>
      <c r="B4747" s="37" t="s">
        <v>1536</v>
      </c>
      <c r="C4747" s="7" t="s">
        <v>31957</v>
      </c>
      <c r="D4747" s="37" t="s">
        <v>31958</v>
      </c>
    </row>
    <row r="4748">
      <c r="A4748" s="37" t="s">
        <v>1536</v>
      </c>
      <c r="B4748" s="37" t="s">
        <v>1536</v>
      </c>
      <c r="C4748" s="7" t="s">
        <v>31959</v>
      </c>
      <c r="D4748" s="37" t="s">
        <v>31960</v>
      </c>
    </row>
    <row r="4749">
      <c r="A4749" s="37" t="s">
        <v>51</v>
      </c>
      <c r="B4749" s="37" t="s">
        <v>363</v>
      </c>
      <c r="C4749" s="37" t="s">
        <v>31961</v>
      </c>
      <c r="D4749" s="37" t="s">
        <v>31962</v>
      </c>
    </row>
    <row r="4750">
      <c r="A4750" s="37" t="s">
        <v>1245</v>
      </c>
      <c r="B4750" s="37" t="s">
        <v>38</v>
      </c>
      <c r="C4750" s="7" t="s">
        <v>31963</v>
      </c>
      <c r="D4750" s="37" t="s">
        <v>31964</v>
      </c>
    </row>
    <row r="4751">
      <c r="A4751" s="37" t="s">
        <v>1536</v>
      </c>
      <c r="B4751" s="37" t="s">
        <v>1536</v>
      </c>
      <c r="C4751" s="7" t="s">
        <v>31965</v>
      </c>
      <c r="D4751" s="37" t="s">
        <v>31966</v>
      </c>
    </row>
    <row r="4752">
      <c r="A4752" s="37" t="s">
        <v>1536</v>
      </c>
      <c r="B4752" s="37" t="s">
        <v>1536</v>
      </c>
      <c r="C4752" s="7" t="s">
        <v>31212</v>
      </c>
      <c r="D4752" s="37" t="s">
        <v>31967</v>
      </c>
    </row>
    <row r="4753">
      <c r="A4753" s="37" t="s">
        <v>1536</v>
      </c>
      <c r="B4753" s="37" t="s">
        <v>1536</v>
      </c>
      <c r="C4753" s="7" t="s">
        <v>31968</v>
      </c>
      <c r="D4753" s="37" t="s">
        <v>31969</v>
      </c>
    </row>
    <row r="4754">
      <c r="A4754" s="37" t="s">
        <v>1536</v>
      </c>
      <c r="B4754" s="37" t="s">
        <v>1536</v>
      </c>
      <c r="C4754" s="37" t="s">
        <v>31970</v>
      </c>
      <c r="D4754" s="37" t="s">
        <v>31971</v>
      </c>
    </row>
    <row r="4755">
      <c r="A4755" s="37" t="s">
        <v>1536</v>
      </c>
      <c r="B4755" s="37" t="s">
        <v>1536</v>
      </c>
      <c r="C4755" s="37" t="s">
        <v>31972</v>
      </c>
      <c r="D4755" s="37" t="s">
        <v>31973</v>
      </c>
    </row>
    <row r="4756">
      <c r="A4756" s="37" t="s">
        <v>1536</v>
      </c>
      <c r="B4756" s="37" t="s">
        <v>1536</v>
      </c>
      <c r="C4756" s="7" t="s">
        <v>31974</v>
      </c>
      <c r="D4756" s="37" t="s">
        <v>31975</v>
      </c>
    </row>
    <row r="4757">
      <c r="A4757" s="37" t="s">
        <v>1536</v>
      </c>
      <c r="B4757" s="37" t="s">
        <v>1536</v>
      </c>
      <c r="C4757" s="37" t="s">
        <v>31976</v>
      </c>
      <c r="D4757" s="37" t="s">
        <v>31977</v>
      </c>
    </row>
    <row r="4758">
      <c r="A4758" s="37" t="s">
        <v>1536</v>
      </c>
      <c r="B4758" s="37" t="s">
        <v>1536</v>
      </c>
      <c r="C4758" s="7" t="s">
        <v>31978</v>
      </c>
      <c r="D4758" s="37" t="s">
        <v>31979</v>
      </c>
    </row>
    <row r="4759">
      <c r="A4759" s="37" t="s">
        <v>1536</v>
      </c>
      <c r="B4759" s="37" t="s">
        <v>1536</v>
      </c>
      <c r="C4759" s="7" t="s">
        <v>31980</v>
      </c>
      <c r="D4759" s="37" t="s">
        <v>31981</v>
      </c>
    </row>
    <row r="4760">
      <c r="A4760" s="37" t="s">
        <v>1237</v>
      </c>
      <c r="B4760" s="37" t="s">
        <v>440</v>
      </c>
      <c r="C4760" s="37" t="s">
        <v>28690</v>
      </c>
      <c r="D4760" s="37" t="s">
        <v>31982</v>
      </c>
    </row>
    <row r="4761">
      <c r="A4761" s="37" t="s">
        <v>31824</v>
      </c>
      <c r="B4761" s="37" t="s">
        <v>440</v>
      </c>
      <c r="C4761" s="7" t="s">
        <v>31983</v>
      </c>
      <c r="D4761" s="37" t="s">
        <v>31984</v>
      </c>
    </row>
    <row r="4762">
      <c r="A4762" s="37" t="s">
        <v>1536</v>
      </c>
      <c r="B4762" s="37" t="s">
        <v>1536</v>
      </c>
      <c r="C4762" s="37" t="s">
        <v>31985</v>
      </c>
      <c r="D4762" s="37" t="s">
        <v>31986</v>
      </c>
    </row>
    <row r="4763">
      <c r="A4763" s="37" t="s">
        <v>1536</v>
      </c>
      <c r="B4763" s="37" t="s">
        <v>1536</v>
      </c>
      <c r="C4763" s="37" t="s">
        <v>31987</v>
      </c>
      <c r="D4763" s="37" t="s">
        <v>31988</v>
      </c>
    </row>
    <row r="4764">
      <c r="A4764" s="37" t="s">
        <v>1536</v>
      </c>
      <c r="B4764" s="37" t="s">
        <v>1536</v>
      </c>
      <c r="C4764" s="37" t="s">
        <v>31989</v>
      </c>
      <c r="D4764" s="37" t="s">
        <v>31990</v>
      </c>
    </row>
    <row r="4765">
      <c r="A4765" s="37" t="s">
        <v>1536</v>
      </c>
      <c r="B4765" s="37" t="s">
        <v>1536</v>
      </c>
      <c r="C4765" s="7" t="s">
        <v>31991</v>
      </c>
      <c r="D4765" s="37" t="s">
        <v>31992</v>
      </c>
    </row>
    <row r="4766">
      <c r="A4766" s="37" t="s">
        <v>1536</v>
      </c>
      <c r="B4766" s="37" t="s">
        <v>1536</v>
      </c>
      <c r="C4766" s="7" t="s">
        <v>31993</v>
      </c>
      <c r="D4766" s="37" t="s">
        <v>31994</v>
      </c>
    </row>
    <row r="4767">
      <c r="A4767" s="37" t="s">
        <v>1536</v>
      </c>
      <c r="B4767" s="37" t="s">
        <v>1536</v>
      </c>
      <c r="C4767" s="7" t="s">
        <v>31995</v>
      </c>
      <c r="D4767" s="37" t="s">
        <v>31996</v>
      </c>
    </row>
    <row r="4768">
      <c r="A4768" s="37" t="s">
        <v>31997</v>
      </c>
      <c r="B4768" s="37" t="s">
        <v>27435</v>
      </c>
      <c r="C4768" s="37" t="s">
        <v>31998</v>
      </c>
      <c r="D4768" s="37" t="s">
        <v>31999</v>
      </c>
    </row>
    <row r="4769">
      <c r="A4769" s="37" t="s">
        <v>1536</v>
      </c>
      <c r="B4769" s="37" t="s">
        <v>1536</v>
      </c>
      <c r="C4769" s="37" t="s">
        <v>32000</v>
      </c>
      <c r="D4769" s="37" t="s">
        <v>32001</v>
      </c>
    </row>
    <row r="4770">
      <c r="A4770" s="37" t="s">
        <v>1536</v>
      </c>
      <c r="B4770" s="37" t="s">
        <v>1536</v>
      </c>
      <c r="C4770" s="7" t="s">
        <v>32002</v>
      </c>
      <c r="D4770" s="37" t="s">
        <v>32003</v>
      </c>
    </row>
    <row r="4771">
      <c r="A4771" s="37" t="s">
        <v>1536</v>
      </c>
      <c r="B4771" s="37" t="s">
        <v>1536</v>
      </c>
      <c r="C4771" s="7" t="s">
        <v>32004</v>
      </c>
      <c r="D4771" s="37" t="s">
        <v>32005</v>
      </c>
    </row>
    <row r="4772">
      <c r="A4772" s="37" t="s">
        <v>1536</v>
      </c>
      <c r="B4772" s="37" t="s">
        <v>1536</v>
      </c>
      <c r="C4772" s="7" t="s">
        <v>32006</v>
      </c>
      <c r="D4772" s="37" t="s">
        <v>32007</v>
      </c>
    </row>
    <row r="4773">
      <c r="A4773" s="37" t="s">
        <v>1536</v>
      </c>
      <c r="B4773" s="37" t="s">
        <v>1536</v>
      </c>
      <c r="C4773" s="37" t="s">
        <v>32008</v>
      </c>
      <c r="D4773" s="37" t="s">
        <v>32009</v>
      </c>
    </row>
    <row r="4774">
      <c r="A4774" s="37" t="s">
        <v>1536</v>
      </c>
      <c r="B4774" s="37" t="s">
        <v>1536</v>
      </c>
      <c r="C4774" s="7" t="s">
        <v>32010</v>
      </c>
      <c r="D4774" s="37" t="s">
        <v>32011</v>
      </c>
    </row>
    <row r="4775">
      <c r="A4775" s="37" t="s">
        <v>1536</v>
      </c>
      <c r="B4775" s="37" t="s">
        <v>1536</v>
      </c>
      <c r="C4775" s="7" t="s">
        <v>32012</v>
      </c>
      <c r="D4775" s="37" t="s">
        <v>32013</v>
      </c>
    </row>
    <row r="4776">
      <c r="A4776" s="37" t="s">
        <v>1536</v>
      </c>
      <c r="B4776" s="37" t="s">
        <v>1536</v>
      </c>
      <c r="C4776" s="7" t="s">
        <v>32014</v>
      </c>
      <c r="D4776" s="37" t="s">
        <v>32015</v>
      </c>
    </row>
    <row r="4777">
      <c r="A4777" s="37" t="s">
        <v>1536</v>
      </c>
      <c r="B4777" s="37" t="s">
        <v>1536</v>
      </c>
      <c r="C4777" s="7" t="s">
        <v>32016</v>
      </c>
      <c r="D4777" s="37" t="s">
        <v>32017</v>
      </c>
    </row>
    <row r="4778">
      <c r="A4778" s="37" t="s">
        <v>1536</v>
      </c>
      <c r="B4778" s="37" t="s">
        <v>1536</v>
      </c>
      <c r="C4778" s="7" t="s">
        <v>32018</v>
      </c>
      <c r="D4778" s="37" t="s">
        <v>32019</v>
      </c>
    </row>
    <row r="4779">
      <c r="A4779" s="37" t="s">
        <v>1536</v>
      </c>
      <c r="B4779" s="37" t="s">
        <v>1536</v>
      </c>
      <c r="C4779" s="7" t="s">
        <v>30345</v>
      </c>
      <c r="D4779" s="37" t="s">
        <v>32020</v>
      </c>
    </row>
    <row r="4780">
      <c r="A4780" s="37" t="s">
        <v>1536</v>
      </c>
      <c r="B4780" s="37" t="s">
        <v>1536</v>
      </c>
      <c r="C4780" s="7" t="s">
        <v>32021</v>
      </c>
      <c r="D4780" s="37" t="s">
        <v>32022</v>
      </c>
    </row>
    <row r="4781">
      <c r="A4781" s="37" t="s">
        <v>1536</v>
      </c>
      <c r="B4781" s="37" t="s">
        <v>1536</v>
      </c>
      <c r="C4781" s="37" t="s">
        <v>32023</v>
      </c>
      <c r="D4781" s="37" t="s">
        <v>32024</v>
      </c>
    </row>
    <row r="4782">
      <c r="A4782" s="37" t="s">
        <v>1536</v>
      </c>
      <c r="B4782" s="37" t="s">
        <v>1536</v>
      </c>
      <c r="C4782" s="7" t="s">
        <v>32025</v>
      </c>
      <c r="D4782" s="37" t="s">
        <v>32026</v>
      </c>
    </row>
    <row r="4783">
      <c r="A4783" s="37" t="s">
        <v>1536</v>
      </c>
      <c r="B4783" s="37" t="s">
        <v>1536</v>
      </c>
      <c r="C4783" s="7" t="s">
        <v>31972</v>
      </c>
      <c r="D4783" s="37" t="s">
        <v>32027</v>
      </c>
    </row>
    <row r="4784">
      <c r="A4784" s="37" t="s">
        <v>1536</v>
      </c>
      <c r="B4784" s="37" t="s">
        <v>1536</v>
      </c>
      <c r="C4784" s="7" t="s">
        <v>32028</v>
      </c>
      <c r="D4784" s="37" t="s">
        <v>32029</v>
      </c>
    </row>
    <row r="4785">
      <c r="A4785" s="37" t="s">
        <v>1536</v>
      </c>
      <c r="B4785" s="37" t="s">
        <v>1536</v>
      </c>
      <c r="C4785" s="7" t="s">
        <v>32030</v>
      </c>
      <c r="D4785" s="37" t="s">
        <v>32031</v>
      </c>
    </row>
    <row r="4786">
      <c r="A4786" s="37" t="s">
        <v>1536</v>
      </c>
      <c r="B4786" s="37" t="s">
        <v>1536</v>
      </c>
      <c r="C4786" s="7" t="s">
        <v>32032</v>
      </c>
      <c r="D4786" s="37" t="s">
        <v>32033</v>
      </c>
    </row>
    <row r="4787">
      <c r="A4787" s="37" t="s">
        <v>1536</v>
      </c>
      <c r="B4787" s="37" t="s">
        <v>1536</v>
      </c>
      <c r="C4787" s="7" t="s">
        <v>32034</v>
      </c>
      <c r="D4787" s="37" t="s">
        <v>32035</v>
      </c>
    </row>
    <row r="4788">
      <c r="A4788" s="37" t="s">
        <v>1536</v>
      </c>
      <c r="B4788" s="37" t="s">
        <v>1536</v>
      </c>
      <c r="C4788" s="7" t="s">
        <v>32036</v>
      </c>
      <c r="D4788" s="37" t="s">
        <v>32037</v>
      </c>
    </row>
    <row r="4789">
      <c r="A4789" s="37" t="s">
        <v>1536</v>
      </c>
      <c r="B4789" s="37" t="s">
        <v>1536</v>
      </c>
      <c r="C4789" s="7" t="s">
        <v>32038</v>
      </c>
      <c r="D4789" s="37" t="s">
        <v>32039</v>
      </c>
    </row>
    <row r="4790">
      <c r="A4790" s="37" t="s">
        <v>1536</v>
      </c>
      <c r="B4790" s="37" t="s">
        <v>1536</v>
      </c>
      <c r="C4790" s="7" t="s">
        <v>31166</v>
      </c>
      <c r="D4790" s="37" t="s">
        <v>32040</v>
      </c>
    </row>
    <row r="4791">
      <c r="A4791" s="37" t="s">
        <v>1536</v>
      </c>
      <c r="B4791" s="37" t="s">
        <v>1536</v>
      </c>
      <c r="C4791" s="7" t="s">
        <v>32041</v>
      </c>
      <c r="D4791" s="37" t="s">
        <v>32042</v>
      </c>
    </row>
    <row r="4792">
      <c r="A4792" s="37" t="s">
        <v>1536</v>
      </c>
      <c r="B4792" s="37" t="s">
        <v>1536</v>
      </c>
      <c r="C4792" s="7" t="s">
        <v>32043</v>
      </c>
      <c r="D4792" s="37" t="s">
        <v>32044</v>
      </c>
    </row>
    <row r="4793">
      <c r="A4793" s="37" t="s">
        <v>1536</v>
      </c>
      <c r="B4793" s="37" t="s">
        <v>1536</v>
      </c>
      <c r="C4793" s="7" t="s">
        <v>32045</v>
      </c>
      <c r="D4793" s="37" t="s">
        <v>32046</v>
      </c>
    </row>
    <row r="4794">
      <c r="A4794" s="37" t="s">
        <v>1536</v>
      </c>
      <c r="B4794" s="37" t="s">
        <v>1536</v>
      </c>
      <c r="C4794" s="7" t="s">
        <v>32047</v>
      </c>
      <c r="D4794" s="37" t="s">
        <v>32048</v>
      </c>
    </row>
    <row r="4795">
      <c r="A4795" s="37" t="s">
        <v>1536</v>
      </c>
      <c r="B4795" s="37" t="s">
        <v>1536</v>
      </c>
      <c r="C4795" s="7" t="s">
        <v>24007</v>
      </c>
      <c r="D4795" s="37" t="s">
        <v>32049</v>
      </c>
    </row>
    <row r="4796">
      <c r="A4796" s="37" t="s">
        <v>1536</v>
      </c>
      <c r="B4796" s="37" t="s">
        <v>1536</v>
      </c>
      <c r="C4796" s="37" t="s">
        <v>32050</v>
      </c>
      <c r="D4796" s="37" t="s">
        <v>32051</v>
      </c>
    </row>
    <row r="4797">
      <c r="A4797" s="37" t="s">
        <v>1536</v>
      </c>
      <c r="B4797" s="37" t="s">
        <v>1536</v>
      </c>
      <c r="C4797" s="37" t="s">
        <v>32052</v>
      </c>
      <c r="D4797" s="37" t="s">
        <v>32053</v>
      </c>
    </row>
    <row r="4798">
      <c r="A4798" s="37" t="s">
        <v>1536</v>
      </c>
      <c r="B4798" s="37" t="s">
        <v>1536</v>
      </c>
      <c r="C4798" s="7" t="s">
        <v>32054</v>
      </c>
      <c r="D4798" s="37" t="s">
        <v>32055</v>
      </c>
    </row>
    <row r="4799">
      <c r="A4799" s="37" t="s">
        <v>1536</v>
      </c>
      <c r="B4799" s="37" t="s">
        <v>1536</v>
      </c>
      <c r="C4799" s="7" t="s">
        <v>32056</v>
      </c>
      <c r="D4799" s="37" t="s">
        <v>32057</v>
      </c>
    </row>
    <row r="4800">
      <c r="A4800" s="37" t="s">
        <v>1536</v>
      </c>
      <c r="B4800" s="37" t="s">
        <v>1536</v>
      </c>
      <c r="C4800" s="37" t="s">
        <v>32058</v>
      </c>
      <c r="D4800" s="37" t="s">
        <v>32059</v>
      </c>
    </row>
    <row r="4801">
      <c r="A4801" s="37" t="s">
        <v>1536</v>
      </c>
      <c r="B4801" s="37" t="s">
        <v>1536</v>
      </c>
      <c r="C4801" s="7" t="s">
        <v>32060</v>
      </c>
      <c r="D4801" s="37" t="s">
        <v>32061</v>
      </c>
    </row>
    <row r="4802">
      <c r="A4802" s="37" t="s">
        <v>1536</v>
      </c>
      <c r="B4802" s="37" t="s">
        <v>1536</v>
      </c>
      <c r="C4802" s="7" t="s">
        <v>32062</v>
      </c>
      <c r="D4802" s="37" t="s">
        <v>32063</v>
      </c>
    </row>
    <row r="4803">
      <c r="A4803" s="37" t="s">
        <v>1536</v>
      </c>
      <c r="B4803" s="37" t="s">
        <v>1536</v>
      </c>
      <c r="C4803" s="7" t="s">
        <v>32064</v>
      </c>
      <c r="D4803" s="37" t="s">
        <v>32065</v>
      </c>
    </row>
    <row r="4804">
      <c r="A4804" s="37" t="s">
        <v>1536</v>
      </c>
      <c r="B4804" s="37" t="s">
        <v>1536</v>
      </c>
      <c r="C4804" s="7" t="s">
        <v>26762</v>
      </c>
      <c r="D4804" s="37" t="s">
        <v>32066</v>
      </c>
    </row>
    <row r="4805">
      <c r="A4805" s="37" t="s">
        <v>1536</v>
      </c>
      <c r="B4805" s="37" t="s">
        <v>1536</v>
      </c>
      <c r="C4805" s="7" t="s">
        <v>29906</v>
      </c>
      <c r="D4805" s="37" t="s">
        <v>32067</v>
      </c>
    </row>
    <row r="4806">
      <c r="A4806" s="37" t="s">
        <v>1536</v>
      </c>
      <c r="B4806" s="37" t="s">
        <v>1536</v>
      </c>
      <c r="C4806" s="7" t="s">
        <v>32068</v>
      </c>
      <c r="D4806" s="37" t="s">
        <v>32069</v>
      </c>
    </row>
    <row r="4807">
      <c r="A4807" s="37" t="s">
        <v>1536</v>
      </c>
      <c r="B4807" s="37" t="s">
        <v>1536</v>
      </c>
      <c r="C4807" s="37" t="s">
        <v>32070</v>
      </c>
      <c r="D4807" s="37" t="s">
        <v>32071</v>
      </c>
    </row>
    <row r="4808">
      <c r="A4808" s="37" t="s">
        <v>1536</v>
      </c>
      <c r="B4808" s="37" t="s">
        <v>1536</v>
      </c>
      <c r="C4808" s="7" t="s">
        <v>32072</v>
      </c>
      <c r="D4808" s="37" t="s">
        <v>32073</v>
      </c>
    </row>
    <row r="4809">
      <c r="A4809" s="37" t="s">
        <v>1536</v>
      </c>
      <c r="B4809" s="37" t="s">
        <v>1536</v>
      </c>
      <c r="C4809" s="7" t="s">
        <v>32074</v>
      </c>
      <c r="D4809" s="37" t="s">
        <v>32075</v>
      </c>
    </row>
    <row r="4810">
      <c r="A4810" s="37" t="s">
        <v>1536</v>
      </c>
      <c r="B4810" s="37" t="s">
        <v>1536</v>
      </c>
      <c r="C4810" s="7" t="s">
        <v>32076</v>
      </c>
      <c r="D4810" s="37" t="s">
        <v>32077</v>
      </c>
    </row>
    <row r="4811">
      <c r="A4811" s="37" t="s">
        <v>1536</v>
      </c>
      <c r="B4811" s="37" t="s">
        <v>1536</v>
      </c>
      <c r="C4811" s="7" t="s">
        <v>6097</v>
      </c>
      <c r="D4811" s="37" t="s">
        <v>32078</v>
      </c>
    </row>
    <row r="4812">
      <c r="A4812" s="37" t="s">
        <v>1536</v>
      </c>
      <c r="B4812" s="37" t="s">
        <v>1536</v>
      </c>
      <c r="C4812" s="7" t="s">
        <v>27715</v>
      </c>
      <c r="D4812" s="37" t="s">
        <v>32079</v>
      </c>
    </row>
    <row r="4813">
      <c r="A4813" s="37" t="s">
        <v>1536</v>
      </c>
      <c r="B4813" s="37" t="s">
        <v>1536</v>
      </c>
      <c r="C4813" s="7" t="s">
        <v>31050</v>
      </c>
      <c r="D4813" s="37" t="s">
        <v>32080</v>
      </c>
    </row>
    <row r="4814">
      <c r="A4814" s="37" t="s">
        <v>1536</v>
      </c>
      <c r="B4814" s="37" t="s">
        <v>1536</v>
      </c>
      <c r="C4814" s="7" t="s">
        <v>32081</v>
      </c>
      <c r="D4814" s="37" t="s">
        <v>32082</v>
      </c>
    </row>
    <row r="4815">
      <c r="A4815" s="37" t="s">
        <v>1536</v>
      </c>
      <c r="B4815" s="37" t="s">
        <v>1536</v>
      </c>
      <c r="C4815" s="7" t="s">
        <v>32083</v>
      </c>
      <c r="D4815" s="37" t="s">
        <v>32084</v>
      </c>
    </row>
    <row r="4816">
      <c r="A4816" s="37" t="s">
        <v>1536</v>
      </c>
      <c r="B4816" s="37" t="s">
        <v>1536</v>
      </c>
      <c r="C4816" s="7" t="s">
        <v>32085</v>
      </c>
      <c r="D4816" s="37" t="s">
        <v>32086</v>
      </c>
    </row>
    <row r="4817">
      <c r="A4817" s="37" t="s">
        <v>1536</v>
      </c>
      <c r="B4817" s="37" t="s">
        <v>1536</v>
      </c>
      <c r="C4817" s="7" t="s">
        <v>28324</v>
      </c>
      <c r="D4817" s="37" t="s">
        <v>32087</v>
      </c>
    </row>
    <row r="4818">
      <c r="A4818" s="37" t="s">
        <v>1536</v>
      </c>
      <c r="B4818" s="37" t="s">
        <v>1536</v>
      </c>
      <c r="C4818" s="7" t="s">
        <v>10640</v>
      </c>
      <c r="D4818" s="37" t="s">
        <v>32088</v>
      </c>
    </row>
    <row r="4819">
      <c r="A4819" s="37" t="s">
        <v>1536</v>
      </c>
      <c r="B4819" s="37" t="s">
        <v>1536</v>
      </c>
      <c r="C4819" s="37" t="s">
        <v>32089</v>
      </c>
      <c r="D4819" s="37" t="s">
        <v>32090</v>
      </c>
    </row>
    <row r="4820">
      <c r="A4820" s="37" t="s">
        <v>1536</v>
      </c>
      <c r="B4820" s="37" t="s">
        <v>1536</v>
      </c>
      <c r="C4820" s="7" t="s">
        <v>32091</v>
      </c>
      <c r="D4820" s="37" t="s">
        <v>32092</v>
      </c>
    </row>
    <row r="4821">
      <c r="A4821" s="37" t="s">
        <v>1536</v>
      </c>
      <c r="B4821" s="37" t="s">
        <v>1536</v>
      </c>
      <c r="C4821" s="7" t="s">
        <v>32093</v>
      </c>
      <c r="D4821" s="37" t="s">
        <v>32094</v>
      </c>
    </row>
    <row r="4822">
      <c r="A4822" s="37" t="s">
        <v>1536</v>
      </c>
      <c r="B4822" s="37" t="s">
        <v>1536</v>
      </c>
      <c r="C4822" s="7" t="s">
        <v>32095</v>
      </c>
      <c r="D4822" s="37" t="s">
        <v>32096</v>
      </c>
    </row>
    <row r="4823">
      <c r="A4823" s="37" t="s">
        <v>1536</v>
      </c>
      <c r="B4823" s="37" t="s">
        <v>1536</v>
      </c>
      <c r="C4823" s="7" t="s">
        <v>10349</v>
      </c>
      <c r="D4823" s="37" t="s">
        <v>32097</v>
      </c>
    </row>
    <row r="4824">
      <c r="A4824" s="37" t="s">
        <v>1536</v>
      </c>
      <c r="B4824" s="37" t="s">
        <v>1536</v>
      </c>
      <c r="C4824" s="7" t="s">
        <v>32098</v>
      </c>
      <c r="D4824" s="37" t="s">
        <v>32099</v>
      </c>
    </row>
    <row r="4825">
      <c r="A4825" s="37" t="s">
        <v>1536</v>
      </c>
      <c r="B4825" s="37" t="s">
        <v>1536</v>
      </c>
      <c r="C4825" s="37" t="s">
        <v>32100</v>
      </c>
      <c r="D4825" s="37" t="s">
        <v>32101</v>
      </c>
    </row>
    <row r="4826">
      <c r="A4826" s="37" t="s">
        <v>1536</v>
      </c>
      <c r="B4826" s="37" t="s">
        <v>1536</v>
      </c>
      <c r="C4826" s="7" t="s">
        <v>32102</v>
      </c>
      <c r="D4826" s="37" t="s">
        <v>32103</v>
      </c>
    </row>
    <row r="4827">
      <c r="A4827" s="37" t="s">
        <v>1536</v>
      </c>
      <c r="B4827" s="37" t="s">
        <v>1536</v>
      </c>
      <c r="C4827" s="7" t="s">
        <v>3943</v>
      </c>
      <c r="D4827" s="37" t="s">
        <v>32104</v>
      </c>
    </row>
    <row r="4828">
      <c r="A4828" s="37" t="s">
        <v>1536</v>
      </c>
      <c r="B4828" s="37" t="s">
        <v>1536</v>
      </c>
      <c r="C4828" s="7" t="s">
        <v>32105</v>
      </c>
      <c r="D4828" s="37" t="s">
        <v>32106</v>
      </c>
    </row>
    <row r="4829">
      <c r="A4829" s="37" t="s">
        <v>1536</v>
      </c>
      <c r="B4829" s="37" t="s">
        <v>1536</v>
      </c>
      <c r="C4829" s="7" t="s">
        <v>32107</v>
      </c>
      <c r="D4829" s="37" t="s">
        <v>32108</v>
      </c>
    </row>
    <row r="4830">
      <c r="A4830" s="37" t="s">
        <v>1536</v>
      </c>
      <c r="B4830" s="37" t="s">
        <v>1536</v>
      </c>
      <c r="C4830" s="37" t="s">
        <v>13884</v>
      </c>
      <c r="D4830" s="37" t="s">
        <v>32109</v>
      </c>
    </row>
    <row r="4831">
      <c r="A4831" s="37" t="s">
        <v>1536</v>
      </c>
      <c r="B4831" s="37" t="s">
        <v>1536</v>
      </c>
      <c r="C4831" s="7" t="s">
        <v>32110</v>
      </c>
      <c r="D4831" s="37" t="s">
        <v>32111</v>
      </c>
    </row>
    <row r="4832">
      <c r="A4832" s="37" t="s">
        <v>1536</v>
      </c>
      <c r="B4832" s="37" t="s">
        <v>1536</v>
      </c>
      <c r="C4832" s="7" t="s">
        <v>1552</v>
      </c>
      <c r="D4832" s="37" t="s">
        <v>32112</v>
      </c>
    </row>
    <row r="4833">
      <c r="A4833" s="37" t="s">
        <v>1536</v>
      </c>
      <c r="B4833" s="37" t="s">
        <v>1536</v>
      </c>
      <c r="C4833" s="37" t="s">
        <v>32113</v>
      </c>
      <c r="D4833" s="37" t="s">
        <v>32114</v>
      </c>
    </row>
    <row r="4834">
      <c r="A4834" s="37" t="s">
        <v>1536</v>
      </c>
      <c r="B4834" s="37" t="s">
        <v>1536</v>
      </c>
      <c r="C4834" s="37" t="s">
        <v>32115</v>
      </c>
      <c r="D4834" s="37" t="s">
        <v>32116</v>
      </c>
    </row>
    <row r="4835">
      <c r="A4835" s="37" t="s">
        <v>1536</v>
      </c>
      <c r="B4835" s="37" t="s">
        <v>1536</v>
      </c>
      <c r="C4835" s="37" t="s">
        <v>32117</v>
      </c>
      <c r="D4835" s="37" t="s">
        <v>32118</v>
      </c>
    </row>
    <row r="4836">
      <c r="A4836" s="37" t="s">
        <v>1536</v>
      </c>
      <c r="B4836" s="37" t="s">
        <v>1536</v>
      </c>
      <c r="C4836" s="37" t="s">
        <v>32119</v>
      </c>
      <c r="D4836" s="37" t="s">
        <v>32120</v>
      </c>
    </row>
    <row r="4837">
      <c r="A4837" s="37" t="s">
        <v>1536</v>
      </c>
      <c r="B4837" s="37" t="s">
        <v>1536</v>
      </c>
      <c r="C4837" s="7" t="s">
        <v>31513</v>
      </c>
      <c r="D4837" s="37" t="s">
        <v>32121</v>
      </c>
    </row>
    <row r="4838">
      <c r="A4838" s="37" t="s">
        <v>1536</v>
      </c>
      <c r="B4838" s="37" t="s">
        <v>1536</v>
      </c>
      <c r="C4838" s="7" t="s">
        <v>32122</v>
      </c>
      <c r="D4838" s="37" t="s">
        <v>32123</v>
      </c>
    </row>
    <row r="4839">
      <c r="A4839" s="37" t="s">
        <v>1536</v>
      </c>
      <c r="B4839" s="37" t="s">
        <v>1536</v>
      </c>
      <c r="C4839" s="7" t="s">
        <v>32124</v>
      </c>
      <c r="D4839" s="37" t="s">
        <v>32125</v>
      </c>
    </row>
    <row r="4840">
      <c r="A4840" s="37" t="s">
        <v>1536</v>
      </c>
      <c r="B4840" s="37" t="s">
        <v>1536</v>
      </c>
      <c r="C4840" s="7" t="s">
        <v>32126</v>
      </c>
      <c r="D4840" s="37" t="s">
        <v>32127</v>
      </c>
    </row>
    <row r="4841">
      <c r="A4841" s="37" t="s">
        <v>1536</v>
      </c>
      <c r="B4841" s="37" t="s">
        <v>1536</v>
      </c>
      <c r="C4841" s="7" t="s">
        <v>32128</v>
      </c>
      <c r="D4841" s="37" t="s">
        <v>32129</v>
      </c>
    </row>
    <row r="4842">
      <c r="A4842" s="37" t="s">
        <v>1536</v>
      </c>
      <c r="B4842" s="37" t="s">
        <v>1536</v>
      </c>
      <c r="C4842" s="7" t="s">
        <v>32130</v>
      </c>
      <c r="D4842" s="37" t="s">
        <v>32131</v>
      </c>
    </row>
    <row r="4843">
      <c r="A4843" s="37" t="s">
        <v>1536</v>
      </c>
      <c r="B4843" s="37" t="s">
        <v>1536</v>
      </c>
      <c r="C4843" s="7" t="s">
        <v>32132</v>
      </c>
      <c r="D4843" s="37" t="s">
        <v>32133</v>
      </c>
    </row>
    <row r="4844">
      <c r="A4844" s="37" t="s">
        <v>1536</v>
      </c>
      <c r="B4844" s="37" t="s">
        <v>1536</v>
      </c>
      <c r="C4844" s="7" t="s">
        <v>32134</v>
      </c>
      <c r="D4844" s="37" t="s">
        <v>32135</v>
      </c>
    </row>
    <row r="4845">
      <c r="A4845" s="37" t="s">
        <v>1536</v>
      </c>
      <c r="B4845" s="37" t="s">
        <v>1536</v>
      </c>
      <c r="C4845" s="7" t="s">
        <v>32136</v>
      </c>
      <c r="D4845" s="37" t="s">
        <v>32137</v>
      </c>
    </row>
    <row r="4846">
      <c r="A4846" s="37" t="s">
        <v>1536</v>
      </c>
      <c r="B4846" s="37" t="s">
        <v>1536</v>
      </c>
      <c r="C4846" s="7" t="s">
        <v>32138</v>
      </c>
      <c r="D4846" s="37" t="s">
        <v>32139</v>
      </c>
    </row>
    <row r="4847">
      <c r="A4847" s="37" t="s">
        <v>1536</v>
      </c>
      <c r="B4847" s="37" t="s">
        <v>1536</v>
      </c>
      <c r="C4847" s="7" t="s">
        <v>24200</v>
      </c>
      <c r="D4847" s="37" t="s">
        <v>32140</v>
      </c>
    </row>
    <row r="4848">
      <c r="A4848" s="37" t="s">
        <v>1536</v>
      </c>
      <c r="B4848" s="37" t="s">
        <v>1536</v>
      </c>
      <c r="C4848" s="7" t="s">
        <v>32141</v>
      </c>
      <c r="D4848" s="37" t="s">
        <v>32142</v>
      </c>
    </row>
    <row r="4849">
      <c r="A4849" s="37" t="s">
        <v>1536</v>
      </c>
      <c r="B4849" s="37" t="s">
        <v>1536</v>
      </c>
      <c r="C4849" s="7" t="s">
        <v>32143</v>
      </c>
      <c r="D4849" s="37" t="s">
        <v>32144</v>
      </c>
    </row>
    <row r="4850">
      <c r="A4850" s="37" t="s">
        <v>1536</v>
      </c>
      <c r="B4850" s="37" t="s">
        <v>1536</v>
      </c>
      <c r="C4850" s="7" t="s">
        <v>31431</v>
      </c>
      <c r="D4850" s="37" t="s">
        <v>32145</v>
      </c>
    </row>
    <row r="4851">
      <c r="A4851" s="37" t="s">
        <v>1536</v>
      </c>
      <c r="B4851" s="37" t="s">
        <v>1536</v>
      </c>
      <c r="C4851" s="37" t="s">
        <v>32146</v>
      </c>
      <c r="D4851" s="37" t="s">
        <v>32147</v>
      </c>
    </row>
    <row r="4852">
      <c r="A4852" s="37" t="s">
        <v>1536</v>
      </c>
      <c r="B4852" s="37" t="s">
        <v>1536</v>
      </c>
      <c r="C4852" s="7" t="s">
        <v>27743</v>
      </c>
      <c r="D4852" s="37" t="s">
        <v>32148</v>
      </c>
    </row>
    <row r="4853">
      <c r="A4853" s="37" t="s">
        <v>1536</v>
      </c>
      <c r="B4853" s="37" t="s">
        <v>1536</v>
      </c>
      <c r="C4853" s="7" t="s">
        <v>28424</v>
      </c>
      <c r="D4853" s="37" t="s">
        <v>32149</v>
      </c>
    </row>
    <row r="4854">
      <c r="A4854" s="37" t="s">
        <v>1536</v>
      </c>
      <c r="B4854" s="37" t="s">
        <v>1536</v>
      </c>
      <c r="C4854" s="7" t="s">
        <v>32150</v>
      </c>
      <c r="D4854" s="37" t="s">
        <v>32151</v>
      </c>
    </row>
    <row r="4855">
      <c r="A4855" s="37" t="s">
        <v>1536</v>
      </c>
      <c r="B4855" s="37" t="s">
        <v>1536</v>
      </c>
      <c r="C4855" s="7" t="s">
        <v>32152</v>
      </c>
      <c r="D4855" s="37" t="s">
        <v>32153</v>
      </c>
    </row>
    <row r="4856">
      <c r="A4856" s="37" t="s">
        <v>1536</v>
      </c>
      <c r="B4856" s="37" t="s">
        <v>1536</v>
      </c>
      <c r="C4856" s="37" t="s">
        <v>1495</v>
      </c>
      <c r="D4856" s="37" t="s">
        <v>32154</v>
      </c>
    </row>
    <row r="4857">
      <c r="A4857" s="37" t="s">
        <v>1536</v>
      </c>
      <c r="B4857" s="37" t="s">
        <v>1536</v>
      </c>
      <c r="C4857" s="7" t="s">
        <v>32155</v>
      </c>
      <c r="D4857" s="37" t="s">
        <v>32156</v>
      </c>
    </row>
    <row r="4858">
      <c r="A4858" s="37" t="s">
        <v>1536</v>
      </c>
      <c r="B4858" s="37" t="s">
        <v>1536</v>
      </c>
      <c r="C4858" s="7" t="s">
        <v>32157</v>
      </c>
      <c r="D4858" s="37" t="s">
        <v>32158</v>
      </c>
    </row>
    <row r="4859">
      <c r="A4859" s="37" t="s">
        <v>1536</v>
      </c>
      <c r="B4859" s="37" t="s">
        <v>1536</v>
      </c>
      <c r="C4859" s="7" t="s">
        <v>32159</v>
      </c>
      <c r="D4859" s="37" t="s">
        <v>32160</v>
      </c>
    </row>
    <row r="4860">
      <c r="A4860" s="37" t="s">
        <v>1536</v>
      </c>
      <c r="B4860" s="37" t="s">
        <v>1536</v>
      </c>
      <c r="C4860" s="7" t="s">
        <v>29495</v>
      </c>
      <c r="D4860" s="37" t="s">
        <v>32161</v>
      </c>
    </row>
    <row r="4861">
      <c r="A4861" s="37" t="s">
        <v>1536</v>
      </c>
      <c r="B4861" s="37" t="s">
        <v>1536</v>
      </c>
      <c r="C4861" s="7" t="s">
        <v>26110</v>
      </c>
      <c r="D4861" s="37" t="s">
        <v>32162</v>
      </c>
    </row>
    <row r="4862">
      <c r="A4862" s="37" t="s">
        <v>1536</v>
      </c>
      <c r="B4862" s="37" t="s">
        <v>1536</v>
      </c>
      <c r="C4862" s="7" t="s">
        <v>32163</v>
      </c>
      <c r="D4862" s="37" t="s">
        <v>32164</v>
      </c>
    </row>
    <row r="4863">
      <c r="A4863" s="37" t="s">
        <v>1536</v>
      </c>
      <c r="B4863" s="37" t="s">
        <v>1536</v>
      </c>
      <c r="C4863" s="7" t="s">
        <v>32102</v>
      </c>
      <c r="D4863" s="37" t="s">
        <v>32165</v>
      </c>
    </row>
    <row r="4864">
      <c r="A4864" s="37" t="s">
        <v>1536</v>
      </c>
      <c r="B4864" s="37" t="s">
        <v>1536</v>
      </c>
      <c r="C4864" s="7" t="s">
        <v>9097</v>
      </c>
      <c r="D4864" s="37" t="s">
        <v>32166</v>
      </c>
    </row>
    <row r="4865">
      <c r="A4865" s="37" t="s">
        <v>1536</v>
      </c>
      <c r="B4865" s="37" t="s">
        <v>1536</v>
      </c>
      <c r="C4865" s="7" t="s">
        <v>6512</v>
      </c>
      <c r="D4865" s="37" t="s">
        <v>32167</v>
      </c>
    </row>
    <row r="4866">
      <c r="A4866" s="37" t="s">
        <v>1536</v>
      </c>
      <c r="B4866" s="37" t="s">
        <v>1536</v>
      </c>
      <c r="C4866" s="7" t="s">
        <v>27745</v>
      </c>
      <c r="D4866" s="37" t="s">
        <v>32168</v>
      </c>
    </row>
    <row r="4867">
      <c r="A4867" s="37" t="s">
        <v>1536</v>
      </c>
      <c r="B4867" s="37" t="s">
        <v>1536</v>
      </c>
      <c r="C4867" s="7" t="s">
        <v>31337</v>
      </c>
      <c r="D4867" s="37" t="s">
        <v>32169</v>
      </c>
    </row>
    <row r="4868">
      <c r="A4868" s="37" t="s">
        <v>1536</v>
      </c>
      <c r="B4868" s="37" t="s">
        <v>1536</v>
      </c>
      <c r="C4868" s="7" t="s">
        <v>14420</v>
      </c>
      <c r="D4868" s="37" t="s">
        <v>32170</v>
      </c>
    </row>
    <row r="4869">
      <c r="A4869" s="37" t="s">
        <v>1536</v>
      </c>
      <c r="B4869" s="37" t="s">
        <v>1536</v>
      </c>
      <c r="C4869" s="7" t="s">
        <v>32171</v>
      </c>
      <c r="D4869" s="37" t="s">
        <v>32172</v>
      </c>
    </row>
    <row r="4870">
      <c r="A4870" s="37" t="s">
        <v>1536</v>
      </c>
      <c r="B4870" s="37" t="s">
        <v>1536</v>
      </c>
      <c r="C4870" s="7" t="s">
        <v>32173</v>
      </c>
      <c r="D4870" s="37" t="s">
        <v>32174</v>
      </c>
    </row>
    <row r="4871">
      <c r="A4871" s="37" t="s">
        <v>1536</v>
      </c>
      <c r="B4871" s="37" t="s">
        <v>1536</v>
      </c>
      <c r="C4871" s="7" t="s">
        <v>32175</v>
      </c>
      <c r="D4871" s="37" t="s">
        <v>32176</v>
      </c>
    </row>
    <row r="4872">
      <c r="A4872" s="37" t="s">
        <v>1536</v>
      </c>
      <c r="B4872" s="37" t="s">
        <v>1536</v>
      </c>
      <c r="C4872" s="7" t="s">
        <v>32177</v>
      </c>
      <c r="D4872" s="37" t="s">
        <v>32178</v>
      </c>
    </row>
    <row r="4873">
      <c r="A4873" s="37" t="s">
        <v>1536</v>
      </c>
      <c r="B4873" s="37" t="s">
        <v>1536</v>
      </c>
      <c r="C4873" s="7" t="s">
        <v>29328</v>
      </c>
      <c r="D4873" s="37" t="s">
        <v>32179</v>
      </c>
    </row>
    <row r="4874">
      <c r="A4874" s="37" t="s">
        <v>1536</v>
      </c>
      <c r="B4874" s="37" t="s">
        <v>1536</v>
      </c>
      <c r="C4874" s="7" t="s">
        <v>32180</v>
      </c>
      <c r="D4874" s="37" t="s">
        <v>32181</v>
      </c>
    </row>
    <row r="4875">
      <c r="A4875" s="37" t="s">
        <v>1536</v>
      </c>
      <c r="B4875" s="37" t="s">
        <v>1536</v>
      </c>
      <c r="C4875" s="7" t="s">
        <v>32182</v>
      </c>
      <c r="D4875" s="37" t="s">
        <v>32183</v>
      </c>
    </row>
    <row r="4876">
      <c r="A4876" s="37" t="s">
        <v>1536</v>
      </c>
      <c r="B4876" s="37" t="s">
        <v>1536</v>
      </c>
      <c r="C4876" s="7" t="s">
        <v>32184</v>
      </c>
      <c r="D4876" s="37" t="s">
        <v>32185</v>
      </c>
    </row>
    <row r="4877">
      <c r="A4877" s="37" t="s">
        <v>1536</v>
      </c>
      <c r="B4877" s="37" t="s">
        <v>1536</v>
      </c>
      <c r="C4877" s="7" t="s">
        <v>32186</v>
      </c>
      <c r="D4877" s="37" t="s">
        <v>32187</v>
      </c>
    </row>
    <row r="4878">
      <c r="A4878" s="37" t="s">
        <v>1536</v>
      </c>
      <c r="B4878" s="37" t="s">
        <v>1536</v>
      </c>
      <c r="C4878" s="7" t="s">
        <v>32188</v>
      </c>
      <c r="D4878" s="37" t="s">
        <v>32189</v>
      </c>
    </row>
    <row r="4879">
      <c r="A4879" s="37" t="s">
        <v>1536</v>
      </c>
      <c r="B4879" s="37" t="s">
        <v>1536</v>
      </c>
      <c r="C4879" s="7" t="s">
        <v>31447</v>
      </c>
      <c r="D4879" s="37" t="s">
        <v>32190</v>
      </c>
    </row>
    <row r="4880">
      <c r="A4880" s="37" t="s">
        <v>1536</v>
      </c>
      <c r="B4880" s="37" t="s">
        <v>1536</v>
      </c>
      <c r="C4880" s="37" t="s">
        <v>32191</v>
      </c>
      <c r="D4880" s="37" t="s">
        <v>32192</v>
      </c>
    </row>
    <row r="4881">
      <c r="A4881" s="37" t="s">
        <v>1536</v>
      </c>
      <c r="B4881" s="37" t="s">
        <v>1536</v>
      </c>
      <c r="C4881" s="37" t="s">
        <v>32193</v>
      </c>
      <c r="D4881" s="37" t="s">
        <v>32194</v>
      </c>
    </row>
    <row r="4882">
      <c r="A4882" s="37" t="s">
        <v>1536</v>
      </c>
      <c r="B4882" s="37" t="s">
        <v>1536</v>
      </c>
      <c r="C4882" s="37" t="s">
        <v>32195</v>
      </c>
      <c r="D4882" s="37" t="s">
        <v>32196</v>
      </c>
    </row>
    <row r="4883">
      <c r="A4883" s="37" t="s">
        <v>1536</v>
      </c>
      <c r="B4883" s="37" t="s">
        <v>1536</v>
      </c>
      <c r="C4883" s="37" t="s">
        <v>32197</v>
      </c>
      <c r="D4883" s="37" t="s">
        <v>32198</v>
      </c>
    </row>
    <row r="4884">
      <c r="A4884" s="37" t="s">
        <v>1536</v>
      </c>
      <c r="B4884" s="37" t="s">
        <v>1536</v>
      </c>
      <c r="C4884" s="37" t="s">
        <v>32199</v>
      </c>
      <c r="D4884" s="37" t="s">
        <v>32200</v>
      </c>
    </row>
    <row r="4885">
      <c r="A4885" s="37" t="s">
        <v>1536</v>
      </c>
      <c r="B4885" s="37" t="s">
        <v>1536</v>
      </c>
      <c r="C4885" s="37" t="s">
        <v>32201</v>
      </c>
      <c r="D4885" s="37" t="s">
        <v>32202</v>
      </c>
    </row>
    <row r="4886">
      <c r="A4886" s="37" t="s">
        <v>1536</v>
      </c>
      <c r="B4886" s="37" t="s">
        <v>1536</v>
      </c>
      <c r="C4886" s="37" t="s">
        <v>32203</v>
      </c>
      <c r="D4886" s="37" t="s">
        <v>32204</v>
      </c>
    </row>
    <row r="4887">
      <c r="A4887" s="37" t="s">
        <v>1536</v>
      </c>
      <c r="B4887" s="37" t="s">
        <v>1536</v>
      </c>
      <c r="C4887" s="7" t="s">
        <v>6764</v>
      </c>
      <c r="D4887" s="37" t="s">
        <v>32205</v>
      </c>
    </row>
    <row r="4888">
      <c r="A4888" s="37" t="s">
        <v>1536</v>
      </c>
      <c r="B4888" s="37" t="s">
        <v>1536</v>
      </c>
      <c r="C4888" s="7" t="s">
        <v>32206</v>
      </c>
      <c r="D4888" s="37" t="s">
        <v>32207</v>
      </c>
    </row>
    <row r="4889">
      <c r="A4889" s="37" t="s">
        <v>1536</v>
      </c>
      <c r="B4889" s="37" t="s">
        <v>1536</v>
      </c>
      <c r="C4889" s="7" t="s">
        <v>32208</v>
      </c>
      <c r="D4889" s="37" t="s">
        <v>32209</v>
      </c>
    </row>
    <row r="4890">
      <c r="A4890" s="37" t="s">
        <v>1536</v>
      </c>
      <c r="B4890" s="37" t="s">
        <v>1536</v>
      </c>
      <c r="C4890" s="37" t="s">
        <v>32210</v>
      </c>
      <c r="D4890" s="37" t="s">
        <v>32211</v>
      </c>
    </row>
    <row r="4891">
      <c r="A4891" s="37" t="s">
        <v>1536</v>
      </c>
      <c r="B4891" s="37" t="s">
        <v>1536</v>
      </c>
      <c r="C4891" s="37" t="s">
        <v>12896</v>
      </c>
      <c r="D4891" s="37" t="s">
        <v>32212</v>
      </c>
    </row>
    <row r="4892">
      <c r="A4892" s="37" t="s">
        <v>1536</v>
      </c>
      <c r="B4892" s="37" t="s">
        <v>1536</v>
      </c>
      <c r="C4892" s="7" t="s">
        <v>32213</v>
      </c>
      <c r="D4892" s="37" t="s">
        <v>32214</v>
      </c>
    </row>
    <row r="4893">
      <c r="A4893" s="37" t="s">
        <v>1536</v>
      </c>
      <c r="B4893" s="37" t="s">
        <v>1536</v>
      </c>
      <c r="C4893" s="7" t="s">
        <v>32215</v>
      </c>
      <c r="D4893" s="37" t="s">
        <v>32216</v>
      </c>
    </row>
    <row r="4894">
      <c r="A4894" s="37" t="s">
        <v>1536</v>
      </c>
      <c r="B4894" s="37" t="s">
        <v>1536</v>
      </c>
      <c r="C4894" s="7" t="s">
        <v>32217</v>
      </c>
      <c r="D4894" s="37" t="s">
        <v>32218</v>
      </c>
    </row>
    <row r="4895">
      <c r="A4895" s="37" t="s">
        <v>1536</v>
      </c>
      <c r="B4895" s="37" t="s">
        <v>1536</v>
      </c>
      <c r="C4895" s="7" t="s">
        <v>32219</v>
      </c>
      <c r="D4895" s="37" t="s">
        <v>32220</v>
      </c>
    </row>
    <row r="4896">
      <c r="A4896" s="37" t="s">
        <v>1536</v>
      </c>
      <c r="B4896" s="37" t="s">
        <v>1536</v>
      </c>
      <c r="C4896" s="7" t="s">
        <v>32221</v>
      </c>
      <c r="D4896" s="37" t="s">
        <v>32222</v>
      </c>
    </row>
    <row r="4897">
      <c r="A4897" s="37" t="s">
        <v>1536</v>
      </c>
      <c r="B4897" s="37" t="s">
        <v>1536</v>
      </c>
      <c r="C4897" s="37" t="s">
        <v>32223</v>
      </c>
      <c r="D4897" s="37" t="s">
        <v>32224</v>
      </c>
    </row>
    <row r="4898">
      <c r="A4898" s="37" t="s">
        <v>1536</v>
      </c>
      <c r="B4898" s="37" t="s">
        <v>1536</v>
      </c>
      <c r="C4898" s="7" t="s">
        <v>32225</v>
      </c>
      <c r="D4898" s="37" t="s">
        <v>32226</v>
      </c>
    </row>
    <row r="4899">
      <c r="A4899" s="37" t="s">
        <v>1536</v>
      </c>
      <c r="B4899" s="37" t="s">
        <v>1536</v>
      </c>
      <c r="C4899" s="37" t="s">
        <v>32227</v>
      </c>
      <c r="D4899" s="37" t="s">
        <v>32228</v>
      </c>
    </row>
    <row r="4900">
      <c r="A4900" s="37" t="s">
        <v>1536</v>
      </c>
      <c r="B4900" s="37" t="s">
        <v>1536</v>
      </c>
      <c r="C4900" s="37" t="s">
        <v>32229</v>
      </c>
      <c r="D4900" s="37" t="s">
        <v>32230</v>
      </c>
    </row>
    <row r="4901">
      <c r="A4901" s="37" t="s">
        <v>1536</v>
      </c>
      <c r="B4901" s="37" t="s">
        <v>1536</v>
      </c>
      <c r="C4901" s="7" t="s">
        <v>32231</v>
      </c>
      <c r="D4901" s="37" t="s">
        <v>32232</v>
      </c>
    </row>
    <row r="4902">
      <c r="A4902" s="37" t="s">
        <v>1536</v>
      </c>
      <c r="B4902" s="37" t="s">
        <v>1536</v>
      </c>
      <c r="C4902" s="37" t="s">
        <v>32233</v>
      </c>
      <c r="D4902" s="37" t="s">
        <v>32234</v>
      </c>
    </row>
    <row r="4903">
      <c r="A4903" s="37" t="s">
        <v>1536</v>
      </c>
      <c r="B4903" s="37" t="s">
        <v>1536</v>
      </c>
      <c r="C4903" s="7" t="s">
        <v>26731</v>
      </c>
      <c r="D4903" s="37" t="s">
        <v>32235</v>
      </c>
    </row>
    <row r="4904">
      <c r="A4904" s="37" t="s">
        <v>1536</v>
      </c>
      <c r="B4904" s="37" t="s">
        <v>1536</v>
      </c>
      <c r="C4904" s="7" t="s">
        <v>32236</v>
      </c>
      <c r="D4904" s="37" t="s">
        <v>32237</v>
      </c>
    </row>
    <row r="4905">
      <c r="A4905" s="37" t="s">
        <v>1536</v>
      </c>
      <c r="B4905" s="37" t="s">
        <v>1536</v>
      </c>
      <c r="C4905" s="7" t="s">
        <v>32238</v>
      </c>
      <c r="D4905" s="37" t="s">
        <v>32239</v>
      </c>
    </row>
    <row r="4906">
      <c r="A4906" s="37" t="s">
        <v>1536</v>
      </c>
      <c r="B4906" s="37" t="s">
        <v>1536</v>
      </c>
      <c r="C4906" s="37" t="s">
        <v>32240</v>
      </c>
      <c r="D4906" s="37" t="s">
        <v>32241</v>
      </c>
    </row>
    <row r="4907">
      <c r="A4907" s="37" t="s">
        <v>1536</v>
      </c>
      <c r="B4907" s="37" t="s">
        <v>1536</v>
      </c>
      <c r="C4907" s="7" t="s">
        <v>32242</v>
      </c>
      <c r="D4907" s="37" t="s">
        <v>32243</v>
      </c>
    </row>
    <row r="4908">
      <c r="A4908" s="37" t="s">
        <v>1536</v>
      </c>
      <c r="B4908" s="37" t="s">
        <v>1536</v>
      </c>
      <c r="C4908" s="7" t="s">
        <v>32244</v>
      </c>
      <c r="D4908" s="37" t="s">
        <v>32245</v>
      </c>
    </row>
    <row r="4909">
      <c r="A4909" s="37" t="s">
        <v>1536</v>
      </c>
      <c r="B4909" s="37" t="s">
        <v>1536</v>
      </c>
      <c r="C4909" s="37" t="s">
        <v>32246</v>
      </c>
      <c r="D4909" s="37" t="s">
        <v>32247</v>
      </c>
    </row>
    <row r="4910">
      <c r="A4910" s="37" t="s">
        <v>1536</v>
      </c>
      <c r="B4910" s="37" t="s">
        <v>1536</v>
      </c>
      <c r="C4910" s="7" t="s">
        <v>32248</v>
      </c>
      <c r="D4910" s="37" t="s">
        <v>32249</v>
      </c>
    </row>
    <row r="4911">
      <c r="A4911" s="37" t="s">
        <v>1536</v>
      </c>
      <c r="B4911" s="37" t="s">
        <v>1536</v>
      </c>
      <c r="C4911" s="7" t="s">
        <v>32250</v>
      </c>
      <c r="D4911" s="37" t="s">
        <v>32251</v>
      </c>
    </row>
    <row r="4912">
      <c r="A4912" s="37" t="s">
        <v>1536</v>
      </c>
      <c r="B4912" s="37" t="s">
        <v>1536</v>
      </c>
      <c r="C4912" s="7" t="s">
        <v>32252</v>
      </c>
      <c r="D4912" s="37" t="s">
        <v>32253</v>
      </c>
    </row>
    <row r="4913">
      <c r="A4913" s="37" t="s">
        <v>1536</v>
      </c>
      <c r="B4913" s="37" t="s">
        <v>1536</v>
      </c>
      <c r="C4913" s="7" t="s">
        <v>32254</v>
      </c>
      <c r="D4913" s="37" t="s">
        <v>32255</v>
      </c>
    </row>
    <row r="4914">
      <c r="A4914" s="37" t="s">
        <v>1536</v>
      </c>
      <c r="B4914" s="37" t="s">
        <v>1536</v>
      </c>
      <c r="C4914" s="7" t="s">
        <v>28709</v>
      </c>
      <c r="D4914" s="37" t="s">
        <v>32256</v>
      </c>
    </row>
    <row r="4915">
      <c r="A4915" s="37" t="s">
        <v>1536</v>
      </c>
      <c r="B4915" s="37" t="s">
        <v>1536</v>
      </c>
      <c r="C4915" s="7" t="s">
        <v>32257</v>
      </c>
      <c r="D4915" s="37" t="s">
        <v>32258</v>
      </c>
    </row>
    <row r="4916">
      <c r="A4916" s="37" t="s">
        <v>1536</v>
      </c>
      <c r="B4916" s="37" t="s">
        <v>1536</v>
      </c>
      <c r="C4916" s="7" t="s">
        <v>32259</v>
      </c>
      <c r="D4916" s="37" t="s">
        <v>32260</v>
      </c>
    </row>
    <row r="4917">
      <c r="A4917" s="37" t="s">
        <v>1536</v>
      </c>
      <c r="B4917" s="37" t="s">
        <v>1536</v>
      </c>
      <c r="C4917" s="7" t="s">
        <v>32261</v>
      </c>
      <c r="D4917" s="37" t="s">
        <v>32262</v>
      </c>
    </row>
    <row r="4918">
      <c r="A4918" s="37" t="s">
        <v>1536</v>
      </c>
      <c r="B4918" s="37" t="s">
        <v>1536</v>
      </c>
      <c r="C4918" s="7" t="s">
        <v>32263</v>
      </c>
      <c r="D4918" s="37" t="s">
        <v>32264</v>
      </c>
    </row>
    <row r="4919">
      <c r="A4919" s="37" t="s">
        <v>1536</v>
      </c>
      <c r="B4919" s="37" t="s">
        <v>1536</v>
      </c>
      <c r="C4919" s="7" t="s">
        <v>32265</v>
      </c>
      <c r="D4919" s="37" t="s">
        <v>32266</v>
      </c>
    </row>
    <row r="4920">
      <c r="A4920" s="37" t="s">
        <v>1536</v>
      </c>
      <c r="B4920" s="37" t="s">
        <v>1536</v>
      </c>
      <c r="C4920" s="7" t="s">
        <v>32267</v>
      </c>
      <c r="D4920" s="37" t="s">
        <v>32268</v>
      </c>
    </row>
    <row r="4921">
      <c r="A4921" s="37" t="s">
        <v>1536</v>
      </c>
      <c r="B4921" s="37" t="s">
        <v>1536</v>
      </c>
      <c r="C4921" s="7" t="s">
        <v>32269</v>
      </c>
      <c r="D4921" s="37" t="s">
        <v>32270</v>
      </c>
    </row>
    <row r="4922">
      <c r="A4922" s="37" t="s">
        <v>1536</v>
      </c>
      <c r="B4922" s="37" t="s">
        <v>1536</v>
      </c>
      <c r="C4922" s="7" t="s">
        <v>32064</v>
      </c>
      <c r="D4922" s="37" t="s">
        <v>32271</v>
      </c>
    </row>
    <row r="4923">
      <c r="A4923" s="37" t="s">
        <v>1536</v>
      </c>
      <c r="B4923" s="37" t="s">
        <v>1536</v>
      </c>
      <c r="C4923" s="7" t="s">
        <v>29467</v>
      </c>
      <c r="D4923" s="37" t="s">
        <v>32272</v>
      </c>
    </row>
    <row r="4924">
      <c r="A4924" s="37" t="s">
        <v>1536</v>
      </c>
      <c r="B4924" s="37" t="s">
        <v>1536</v>
      </c>
      <c r="C4924" s="7" t="s">
        <v>32273</v>
      </c>
      <c r="D4924" s="37" t="s">
        <v>32274</v>
      </c>
    </row>
    <row r="4925">
      <c r="A4925" s="37" t="s">
        <v>1536</v>
      </c>
      <c r="B4925" s="37" t="s">
        <v>1536</v>
      </c>
      <c r="C4925" s="7" t="s">
        <v>4756</v>
      </c>
      <c r="D4925" s="37" t="s">
        <v>32275</v>
      </c>
    </row>
    <row r="4926">
      <c r="A4926" s="37" t="s">
        <v>1536</v>
      </c>
      <c r="B4926" s="37" t="s">
        <v>1536</v>
      </c>
      <c r="C4926" s="37" t="s">
        <v>32276</v>
      </c>
      <c r="D4926" s="37" t="s">
        <v>32277</v>
      </c>
    </row>
    <row r="4927">
      <c r="A4927" s="37" t="s">
        <v>1536</v>
      </c>
      <c r="B4927" s="37" t="s">
        <v>1536</v>
      </c>
      <c r="C4927" s="7" t="s">
        <v>32278</v>
      </c>
      <c r="D4927" s="37" t="s">
        <v>32279</v>
      </c>
    </row>
    <row r="4928">
      <c r="A4928" s="37" t="s">
        <v>1536</v>
      </c>
      <c r="B4928" s="37" t="s">
        <v>1536</v>
      </c>
      <c r="C4928" s="7" t="s">
        <v>32280</v>
      </c>
      <c r="D4928" s="37" t="s">
        <v>32281</v>
      </c>
    </row>
    <row r="4929">
      <c r="A4929" s="37" t="s">
        <v>1536</v>
      </c>
      <c r="B4929" s="37" t="s">
        <v>1536</v>
      </c>
      <c r="C4929" s="7" t="s">
        <v>32282</v>
      </c>
      <c r="D4929" s="37" t="s">
        <v>32283</v>
      </c>
    </row>
    <row r="4930">
      <c r="A4930" s="37" t="s">
        <v>1536</v>
      </c>
      <c r="B4930" s="37" t="s">
        <v>1536</v>
      </c>
      <c r="C4930" s="7" t="s">
        <v>31342</v>
      </c>
      <c r="D4930" s="37" t="s">
        <v>32284</v>
      </c>
    </row>
    <row r="4931">
      <c r="A4931" s="37" t="s">
        <v>1536</v>
      </c>
      <c r="B4931" s="37" t="s">
        <v>1536</v>
      </c>
      <c r="C4931" s="7" t="s">
        <v>30833</v>
      </c>
      <c r="D4931" s="37" t="s">
        <v>32285</v>
      </c>
    </row>
    <row r="4932">
      <c r="A4932" s="37" t="s">
        <v>1536</v>
      </c>
      <c r="B4932" s="37" t="s">
        <v>1536</v>
      </c>
      <c r="C4932" s="7" t="s">
        <v>32286</v>
      </c>
      <c r="D4932" s="37" t="s">
        <v>32287</v>
      </c>
    </row>
    <row r="4933">
      <c r="A4933" s="37" t="s">
        <v>1536</v>
      </c>
      <c r="B4933" s="37" t="s">
        <v>1536</v>
      </c>
      <c r="C4933" s="7" t="s">
        <v>32288</v>
      </c>
      <c r="D4933" s="37" t="s">
        <v>32289</v>
      </c>
    </row>
    <row r="4934">
      <c r="A4934" s="37" t="s">
        <v>1536</v>
      </c>
      <c r="B4934" s="37" t="s">
        <v>1536</v>
      </c>
      <c r="C4934" s="7" t="s">
        <v>32290</v>
      </c>
      <c r="D4934" s="37" t="s">
        <v>32291</v>
      </c>
    </row>
    <row r="4935">
      <c r="A4935" s="37" t="s">
        <v>1536</v>
      </c>
      <c r="B4935" s="37" t="s">
        <v>1536</v>
      </c>
      <c r="C4935" s="7" t="s">
        <v>32292</v>
      </c>
      <c r="D4935" s="37" t="s">
        <v>32293</v>
      </c>
    </row>
    <row r="4936">
      <c r="A4936" s="37" t="s">
        <v>1536</v>
      </c>
      <c r="B4936" s="37" t="s">
        <v>1536</v>
      </c>
      <c r="C4936" s="7" t="s">
        <v>32294</v>
      </c>
      <c r="D4936" s="37" t="s">
        <v>32295</v>
      </c>
    </row>
    <row r="4937">
      <c r="A4937" s="37" t="s">
        <v>1536</v>
      </c>
      <c r="B4937" s="37" t="s">
        <v>1536</v>
      </c>
      <c r="C4937" s="7" t="s">
        <v>32296</v>
      </c>
      <c r="D4937" s="37" t="s">
        <v>32297</v>
      </c>
    </row>
    <row r="4938">
      <c r="A4938" s="37" t="s">
        <v>1536</v>
      </c>
      <c r="B4938" s="37" t="s">
        <v>1536</v>
      </c>
      <c r="C4938" s="7" t="s">
        <v>32298</v>
      </c>
      <c r="D4938" s="37" t="s">
        <v>32299</v>
      </c>
    </row>
    <row r="4939">
      <c r="A4939" s="37" t="s">
        <v>1536</v>
      </c>
      <c r="B4939" s="37" t="s">
        <v>1536</v>
      </c>
      <c r="C4939" s="7" t="s">
        <v>32300</v>
      </c>
      <c r="D4939" s="37" t="s">
        <v>32301</v>
      </c>
    </row>
    <row r="4940">
      <c r="A4940" s="37" t="s">
        <v>1536</v>
      </c>
      <c r="B4940" s="37" t="s">
        <v>1536</v>
      </c>
      <c r="C4940" s="7" t="s">
        <v>32302</v>
      </c>
      <c r="D4940" s="37" t="s">
        <v>32303</v>
      </c>
    </row>
    <row r="4941">
      <c r="A4941" s="37" t="s">
        <v>1536</v>
      </c>
      <c r="B4941" s="37" t="s">
        <v>1536</v>
      </c>
      <c r="C4941" s="37" t="s">
        <v>28734</v>
      </c>
      <c r="D4941" s="37" t="s">
        <v>32304</v>
      </c>
    </row>
    <row r="4942">
      <c r="A4942" s="37" t="s">
        <v>1536</v>
      </c>
      <c r="B4942" s="37" t="s">
        <v>1536</v>
      </c>
      <c r="C4942" s="7" t="s">
        <v>32305</v>
      </c>
      <c r="D4942" s="37" t="s">
        <v>32306</v>
      </c>
    </row>
    <row r="4943">
      <c r="A4943" s="37" t="s">
        <v>1536</v>
      </c>
      <c r="B4943" s="37" t="s">
        <v>1536</v>
      </c>
      <c r="C4943" s="7" t="s">
        <v>32307</v>
      </c>
      <c r="D4943" s="37" t="s">
        <v>32308</v>
      </c>
    </row>
    <row r="4944">
      <c r="A4944" s="37" t="s">
        <v>1536</v>
      </c>
      <c r="B4944" s="37" t="s">
        <v>1536</v>
      </c>
      <c r="C4944" s="7" t="s">
        <v>32309</v>
      </c>
      <c r="D4944" s="37" t="s">
        <v>32310</v>
      </c>
    </row>
    <row r="4945">
      <c r="A4945" s="37" t="s">
        <v>1536</v>
      </c>
      <c r="B4945" s="37" t="s">
        <v>1536</v>
      </c>
      <c r="C4945" s="7" t="s">
        <v>28796</v>
      </c>
      <c r="D4945" s="37" t="s">
        <v>32311</v>
      </c>
    </row>
    <row r="4946">
      <c r="A4946" s="37" t="s">
        <v>1536</v>
      </c>
      <c r="B4946" s="37" t="s">
        <v>1536</v>
      </c>
      <c r="C4946" s="37" t="s">
        <v>32312</v>
      </c>
      <c r="D4946" s="37" t="s">
        <v>32313</v>
      </c>
    </row>
    <row r="4947">
      <c r="A4947" s="37" t="s">
        <v>1536</v>
      </c>
      <c r="B4947" s="37" t="s">
        <v>1536</v>
      </c>
      <c r="C4947" s="7" t="s">
        <v>32314</v>
      </c>
      <c r="D4947" s="37" t="s">
        <v>32315</v>
      </c>
    </row>
    <row r="4948">
      <c r="A4948" s="37" t="s">
        <v>1536</v>
      </c>
      <c r="B4948" s="37" t="s">
        <v>1536</v>
      </c>
      <c r="C4948" s="7" t="s">
        <v>32316</v>
      </c>
      <c r="D4948" s="37" t="s">
        <v>32317</v>
      </c>
    </row>
    <row r="4949">
      <c r="A4949" s="37" t="s">
        <v>1536</v>
      </c>
      <c r="B4949" s="37" t="s">
        <v>1536</v>
      </c>
      <c r="C4949" s="7" t="s">
        <v>32318</v>
      </c>
      <c r="D4949" s="37" t="s">
        <v>32319</v>
      </c>
    </row>
    <row r="4950">
      <c r="A4950" s="37" t="s">
        <v>1536</v>
      </c>
      <c r="B4950" s="37" t="s">
        <v>1536</v>
      </c>
      <c r="C4950" s="7" t="s">
        <v>32320</v>
      </c>
      <c r="D4950" s="37" t="s">
        <v>32321</v>
      </c>
    </row>
    <row r="4951">
      <c r="A4951" s="37" t="s">
        <v>1536</v>
      </c>
      <c r="B4951" s="37" t="s">
        <v>1536</v>
      </c>
      <c r="C4951" s="7" t="s">
        <v>32322</v>
      </c>
      <c r="D4951" s="37" t="s">
        <v>32323</v>
      </c>
    </row>
    <row r="4952">
      <c r="A4952" s="37" t="s">
        <v>1536</v>
      </c>
      <c r="B4952" s="37" t="s">
        <v>1536</v>
      </c>
      <c r="C4952" s="7" t="s">
        <v>32324</v>
      </c>
      <c r="D4952" s="37" t="s">
        <v>32325</v>
      </c>
    </row>
    <row r="4953">
      <c r="A4953" s="37" t="s">
        <v>1536</v>
      </c>
      <c r="B4953" s="37" t="s">
        <v>1536</v>
      </c>
      <c r="C4953" s="7" t="s">
        <v>32326</v>
      </c>
      <c r="D4953" s="37" t="s">
        <v>32327</v>
      </c>
    </row>
    <row r="4954">
      <c r="A4954" s="37" t="s">
        <v>1536</v>
      </c>
      <c r="B4954" s="37" t="s">
        <v>1536</v>
      </c>
      <c r="C4954" s="7" t="s">
        <v>32328</v>
      </c>
      <c r="D4954" s="37" t="s">
        <v>32329</v>
      </c>
    </row>
    <row r="4955">
      <c r="A4955" s="37" t="s">
        <v>1536</v>
      </c>
      <c r="B4955" s="37" t="s">
        <v>1536</v>
      </c>
      <c r="C4955" s="7" t="s">
        <v>32330</v>
      </c>
      <c r="D4955" s="37" t="s">
        <v>32331</v>
      </c>
    </row>
    <row r="4956">
      <c r="A4956" s="37" t="s">
        <v>1536</v>
      </c>
      <c r="B4956" s="37" t="s">
        <v>1536</v>
      </c>
      <c r="C4956" s="7" t="s">
        <v>32332</v>
      </c>
      <c r="D4956" s="37" t="s">
        <v>32333</v>
      </c>
    </row>
    <row r="4957">
      <c r="A4957" s="37" t="s">
        <v>1536</v>
      </c>
      <c r="B4957" s="37" t="s">
        <v>1536</v>
      </c>
      <c r="C4957" s="7" t="s">
        <v>32334</v>
      </c>
      <c r="D4957" s="37" t="s">
        <v>32335</v>
      </c>
    </row>
    <row r="4958">
      <c r="A4958" s="37" t="s">
        <v>1536</v>
      </c>
      <c r="B4958" s="37" t="s">
        <v>1536</v>
      </c>
      <c r="C4958" s="7" t="s">
        <v>32336</v>
      </c>
      <c r="D4958" s="37" t="s">
        <v>32337</v>
      </c>
    </row>
    <row r="4959">
      <c r="A4959" s="37" t="s">
        <v>1536</v>
      </c>
      <c r="B4959" s="37" t="s">
        <v>1536</v>
      </c>
      <c r="C4959" s="7" t="s">
        <v>32338</v>
      </c>
      <c r="D4959" s="37" t="s">
        <v>32339</v>
      </c>
    </row>
    <row r="4960">
      <c r="A4960" s="37" t="s">
        <v>1536</v>
      </c>
      <c r="B4960" s="37" t="s">
        <v>1536</v>
      </c>
      <c r="C4960" s="7" t="s">
        <v>6097</v>
      </c>
      <c r="D4960" s="37" t="s">
        <v>32340</v>
      </c>
    </row>
    <row r="4961">
      <c r="A4961" s="37" t="s">
        <v>1536</v>
      </c>
      <c r="B4961" s="37" t="s">
        <v>1536</v>
      </c>
      <c r="C4961" s="7" t="s">
        <v>32076</v>
      </c>
      <c r="D4961" s="37" t="s">
        <v>32341</v>
      </c>
    </row>
    <row r="4962">
      <c r="A4962" s="37" t="s">
        <v>1536</v>
      </c>
      <c r="B4962" s="37" t="s">
        <v>1536</v>
      </c>
      <c r="C4962" s="7" t="s">
        <v>31491</v>
      </c>
      <c r="D4962" s="37" t="s">
        <v>32342</v>
      </c>
    </row>
    <row r="4963">
      <c r="A4963" s="37" t="s">
        <v>1536</v>
      </c>
      <c r="B4963" s="37" t="s">
        <v>1536</v>
      </c>
      <c r="C4963" s="7" t="s">
        <v>32343</v>
      </c>
      <c r="D4963" s="37" t="s">
        <v>32344</v>
      </c>
    </row>
    <row r="4964">
      <c r="A4964" s="37" t="s">
        <v>1536</v>
      </c>
      <c r="B4964" s="37" t="s">
        <v>1536</v>
      </c>
      <c r="C4964" s="7" t="s">
        <v>32345</v>
      </c>
      <c r="D4964" s="37" t="s">
        <v>32346</v>
      </c>
    </row>
    <row r="4965">
      <c r="A4965" s="37" t="s">
        <v>1536</v>
      </c>
      <c r="B4965" s="37" t="s">
        <v>1536</v>
      </c>
      <c r="C4965" s="37" t="s">
        <v>32347</v>
      </c>
      <c r="D4965" s="37" t="s">
        <v>32348</v>
      </c>
    </row>
    <row r="4966">
      <c r="A4966" s="37" t="s">
        <v>1536</v>
      </c>
      <c r="B4966" s="37" t="s">
        <v>1536</v>
      </c>
      <c r="C4966" s="7" t="s">
        <v>32349</v>
      </c>
      <c r="D4966" s="37" t="s">
        <v>32350</v>
      </c>
    </row>
    <row r="4967">
      <c r="A4967" s="37" t="s">
        <v>1536</v>
      </c>
      <c r="B4967" s="37" t="s">
        <v>1536</v>
      </c>
      <c r="C4967" s="37" t="s">
        <v>32351</v>
      </c>
      <c r="D4967" s="37" t="s">
        <v>32352</v>
      </c>
    </row>
    <row r="4968">
      <c r="A4968" s="37" t="s">
        <v>1536</v>
      </c>
      <c r="B4968" s="37" t="s">
        <v>1536</v>
      </c>
      <c r="C4968" s="7" t="s">
        <v>32353</v>
      </c>
      <c r="D4968" s="37" t="s">
        <v>32354</v>
      </c>
    </row>
    <row r="4969">
      <c r="A4969" s="37" t="s">
        <v>1536</v>
      </c>
      <c r="B4969" s="37" t="s">
        <v>1536</v>
      </c>
      <c r="C4969" s="7" t="s">
        <v>32355</v>
      </c>
      <c r="D4969" s="37" t="s">
        <v>32356</v>
      </c>
    </row>
    <row r="4970">
      <c r="A4970" s="37" t="s">
        <v>1536</v>
      </c>
      <c r="B4970" s="37" t="s">
        <v>1536</v>
      </c>
      <c r="C4970" s="7" t="s">
        <v>32357</v>
      </c>
      <c r="D4970" s="37" t="s">
        <v>32358</v>
      </c>
    </row>
    <row r="4971">
      <c r="A4971" s="37" t="s">
        <v>1536</v>
      </c>
      <c r="B4971" s="37" t="s">
        <v>1536</v>
      </c>
      <c r="C4971" s="7" t="s">
        <v>32359</v>
      </c>
      <c r="D4971" s="37" t="s">
        <v>32360</v>
      </c>
    </row>
    <row r="4972">
      <c r="A4972" s="37" t="s">
        <v>1536</v>
      </c>
      <c r="B4972" s="37" t="s">
        <v>1536</v>
      </c>
      <c r="C4972" s="37" t="s">
        <v>1105</v>
      </c>
      <c r="D4972" s="37" t="s">
        <v>32361</v>
      </c>
    </row>
    <row r="4973">
      <c r="A4973" s="37" t="s">
        <v>1536</v>
      </c>
      <c r="B4973" s="37" t="s">
        <v>1536</v>
      </c>
      <c r="C4973" s="7" t="s">
        <v>32362</v>
      </c>
      <c r="D4973" s="37" t="s">
        <v>32363</v>
      </c>
    </row>
    <row r="4974">
      <c r="A4974" s="37" t="s">
        <v>1536</v>
      </c>
      <c r="B4974" s="37" t="s">
        <v>1536</v>
      </c>
      <c r="C4974" s="37" t="s">
        <v>32364</v>
      </c>
      <c r="D4974" s="37" t="s">
        <v>32365</v>
      </c>
    </row>
    <row r="4975">
      <c r="A4975" s="37" t="s">
        <v>1536</v>
      </c>
      <c r="B4975" s="37" t="s">
        <v>1536</v>
      </c>
      <c r="C4975" s="7" t="s">
        <v>32366</v>
      </c>
      <c r="D4975" s="37" t="s">
        <v>32367</v>
      </c>
    </row>
    <row r="4976">
      <c r="A4976" s="37" t="s">
        <v>1536</v>
      </c>
      <c r="B4976" s="37" t="s">
        <v>1536</v>
      </c>
      <c r="C4976" s="7" t="s">
        <v>32368</v>
      </c>
      <c r="D4976" s="37" t="s">
        <v>32369</v>
      </c>
    </row>
    <row r="4977">
      <c r="A4977" s="37" t="s">
        <v>1536</v>
      </c>
      <c r="B4977" s="37" t="s">
        <v>1536</v>
      </c>
      <c r="C4977" s="7" t="s">
        <v>32370</v>
      </c>
      <c r="D4977" s="37" t="s">
        <v>32371</v>
      </c>
    </row>
    <row r="4978">
      <c r="A4978" s="37" t="s">
        <v>1536</v>
      </c>
      <c r="B4978" s="37" t="s">
        <v>1536</v>
      </c>
      <c r="C4978" s="7" t="s">
        <v>32372</v>
      </c>
      <c r="D4978" s="37" t="s">
        <v>32373</v>
      </c>
    </row>
    <row r="4979">
      <c r="A4979" s="37" t="s">
        <v>1536</v>
      </c>
      <c r="B4979" s="37" t="s">
        <v>1536</v>
      </c>
      <c r="C4979" s="7" t="s">
        <v>32374</v>
      </c>
      <c r="D4979" s="37" t="s">
        <v>32375</v>
      </c>
    </row>
    <row r="4980">
      <c r="A4980" s="37" t="s">
        <v>1536</v>
      </c>
      <c r="B4980" s="37" t="s">
        <v>1536</v>
      </c>
      <c r="C4980" s="7" t="s">
        <v>30743</v>
      </c>
      <c r="D4980" s="37" t="s">
        <v>32376</v>
      </c>
    </row>
    <row r="4981">
      <c r="A4981" s="37" t="s">
        <v>1536</v>
      </c>
      <c r="B4981" s="37" t="s">
        <v>1536</v>
      </c>
      <c r="C4981" s="7" t="s">
        <v>32377</v>
      </c>
      <c r="D4981" s="37" t="s">
        <v>32378</v>
      </c>
    </row>
    <row r="4982">
      <c r="A4982" s="37" t="s">
        <v>1536</v>
      </c>
      <c r="B4982" s="37" t="s">
        <v>1536</v>
      </c>
      <c r="C4982" s="7" t="s">
        <v>32379</v>
      </c>
      <c r="D4982" s="37" t="s">
        <v>32380</v>
      </c>
    </row>
    <row r="4983">
      <c r="A4983" s="37" t="s">
        <v>1536</v>
      </c>
      <c r="B4983" s="37" t="s">
        <v>1536</v>
      </c>
      <c r="C4983" s="37" t="s">
        <v>32381</v>
      </c>
      <c r="D4983" s="37" t="s">
        <v>32382</v>
      </c>
    </row>
    <row r="4984">
      <c r="A4984" s="37" t="s">
        <v>1536</v>
      </c>
      <c r="B4984" s="37" t="s">
        <v>1536</v>
      </c>
      <c r="C4984" s="37" t="s">
        <v>32383</v>
      </c>
      <c r="D4984" s="37" t="s">
        <v>32384</v>
      </c>
    </row>
    <row r="4985">
      <c r="A4985" s="37" t="s">
        <v>1536</v>
      </c>
      <c r="B4985" s="37" t="s">
        <v>1536</v>
      </c>
      <c r="C4985" s="37" t="s">
        <v>32385</v>
      </c>
      <c r="D4985" s="37" t="s">
        <v>32386</v>
      </c>
    </row>
    <row r="4986">
      <c r="A4986" s="37" t="s">
        <v>1536</v>
      </c>
      <c r="B4986" s="37" t="s">
        <v>1536</v>
      </c>
      <c r="C4986" s="7" t="s">
        <v>32387</v>
      </c>
      <c r="D4986" s="37" t="s">
        <v>32388</v>
      </c>
    </row>
    <row r="4987">
      <c r="A4987" s="37" t="s">
        <v>1536</v>
      </c>
      <c r="B4987" s="37" t="s">
        <v>1536</v>
      </c>
      <c r="C4987" s="37" t="s">
        <v>32389</v>
      </c>
      <c r="D4987" s="37" t="s">
        <v>32390</v>
      </c>
    </row>
    <row r="4988">
      <c r="A4988" s="37" t="s">
        <v>1536</v>
      </c>
      <c r="B4988" s="37" t="s">
        <v>1536</v>
      </c>
      <c r="C4988" s="37" t="s">
        <v>32391</v>
      </c>
      <c r="D4988" s="37" t="s">
        <v>32392</v>
      </c>
    </row>
    <row r="4989">
      <c r="A4989" s="37" t="s">
        <v>1536</v>
      </c>
      <c r="B4989" s="37" t="s">
        <v>1536</v>
      </c>
      <c r="C4989" s="37" t="s">
        <v>32393</v>
      </c>
      <c r="D4989" s="37" t="s">
        <v>32394</v>
      </c>
    </row>
    <row r="4990">
      <c r="A4990" s="37" t="s">
        <v>1536</v>
      </c>
      <c r="B4990" s="37" t="s">
        <v>1536</v>
      </c>
      <c r="C4990" s="37" t="s">
        <v>32395</v>
      </c>
      <c r="D4990" s="37" t="s">
        <v>32396</v>
      </c>
    </row>
    <row r="4991">
      <c r="A4991" s="37" t="s">
        <v>1536</v>
      </c>
      <c r="B4991" s="37" t="s">
        <v>1536</v>
      </c>
      <c r="C4991" s="37" t="s">
        <v>32397</v>
      </c>
      <c r="D4991" s="37" t="s">
        <v>32398</v>
      </c>
    </row>
    <row r="4992">
      <c r="A4992" s="37" t="s">
        <v>1536</v>
      </c>
      <c r="B4992" s="37" t="s">
        <v>1536</v>
      </c>
      <c r="C4992" s="7" t="s">
        <v>32399</v>
      </c>
      <c r="D4992" s="37" t="s">
        <v>32400</v>
      </c>
    </row>
    <row r="4993">
      <c r="A4993" s="37" t="s">
        <v>1536</v>
      </c>
      <c r="B4993" s="37" t="s">
        <v>1536</v>
      </c>
      <c r="C4993" s="7" t="s">
        <v>32401</v>
      </c>
      <c r="D4993" s="37" t="s">
        <v>32402</v>
      </c>
    </row>
    <row r="4994">
      <c r="A4994" s="37" t="s">
        <v>1536</v>
      </c>
      <c r="B4994" s="37" t="s">
        <v>1536</v>
      </c>
      <c r="C4994" s="7" t="s">
        <v>9748</v>
      </c>
      <c r="D4994" s="37" t="s">
        <v>32403</v>
      </c>
    </row>
    <row r="4995">
      <c r="A4995" s="37" t="s">
        <v>1536</v>
      </c>
      <c r="B4995" s="37" t="s">
        <v>1536</v>
      </c>
      <c r="C4995" s="7" t="s">
        <v>25106</v>
      </c>
      <c r="D4995" s="37" t="s">
        <v>32404</v>
      </c>
    </row>
    <row r="4996">
      <c r="A4996" s="37" t="s">
        <v>1536</v>
      </c>
      <c r="B4996" s="37" t="s">
        <v>1536</v>
      </c>
      <c r="C4996" s="37" t="s">
        <v>32405</v>
      </c>
      <c r="D4996" s="37" t="s">
        <v>32406</v>
      </c>
    </row>
    <row r="4997">
      <c r="A4997" s="37" t="s">
        <v>1536</v>
      </c>
      <c r="B4997" s="37" t="s">
        <v>1536</v>
      </c>
      <c r="C4997" s="37" t="s">
        <v>32407</v>
      </c>
      <c r="D4997" s="37" t="s">
        <v>32408</v>
      </c>
    </row>
    <row r="4998">
      <c r="A4998" s="37" t="s">
        <v>1536</v>
      </c>
      <c r="B4998" s="37" t="s">
        <v>1536</v>
      </c>
      <c r="C4998" s="7" t="s">
        <v>32409</v>
      </c>
      <c r="D4998" s="37" t="s">
        <v>32410</v>
      </c>
    </row>
    <row r="4999">
      <c r="A4999" s="37" t="s">
        <v>1536</v>
      </c>
      <c r="B4999" s="37" t="s">
        <v>1536</v>
      </c>
      <c r="C4999" s="7" t="s">
        <v>32411</v>
      </c>
      <c r="D4999" s="37" t="s">
        <v>32412</v>
      </c>
    </row>
    <row r="5000">
      <c r="A5000" s="37" t="s">
        <v>1536</v>
      </c>
      <c r="B5000" s="37" t="s">
        <v>1536</v>
      </c>
      <c r="C5000" s="37" t="s">
        <v>32413</v>
      </c>
      <c r="D5000" s="37" t="s">
        <v>32414</v>
      </c>
    </row>
    <row r="5001">
      <c r="A5001" s="37" t="s">
        <v>1536</v>
      </c>
      <c r="B5001" s="37" t="s">
        <v>1536</v>
      </c>
      <c r="C5001" s="7" t="s">
        <v>32415</v>
      </c>
      <c r="D5001" s="37" t="s">
        <v>32416</v>
      </c>
    </row>
    <row r="5002">
      <c r="A5002" s="37" t="s">
        <v>1536</v>
      </c>
      <c r="B5002" s="37" t="s">
        <v>1536</v>
      </c>
      <c r="C5002" s="7" t="s">
        <v>32417</v>
      </c>
      <c r="D5002" s="37" t="s">
        <v>32418</v>
      </c>
    </row>
    <row r="5003">
      <c r="A5003" s="37" t="s">
        <v>1536</v>
      </c>
      <c r="B5003" s="37" t="s">
        <v>1536</v>
      </c>
      <c r="C5003" s="7" t="s">
        <v>32419</v>
      </c>
      <c r="D5003" s="37" t="s">
        <v>32420</v>
      </c>
    </row>
    <row r="5004">
      <c r="A5004" s="37" t="s">
        <v>1536</v>
      </c>
      <c r="B5004" s="37" t="s">
        <v>1536</v>
      </c>
      <c r="C5004" s="7" t="s">
        <v>32421</v>
      </c>
      <c r="D5004" s="37" t="s">
        <v>32422</v>
      </c>
    </row>
    <row r="5005">
      <c r="A5005" s="37" t="s">
        <v>1536</v>
      </c>
      <c r="B5005" s="37" t="s">
        <v>1536</v>
      </c>
      <c r="C5005" s="37" t="s">
        <v>32423</v>
      </c>
      <c r="D5005" s="37" t="s">
        <v>32424</v>
      </c>
    </row>
    <row r="5006">
      <c r="A5006" s="37" t="s">
        <v>1536</v>
      </c>
      <c r="B5006" s="37" t="s">
        <v>1536</v>
      </c>
      <c r="C5006" s="7" t="s">
        <v>32425</v>
      </c>
      <c r="D5006" s="37" t="s">
        <v>32426</v>
      </c>
    </row>
    <row r="5007">
      <c r="A5007" s="37" t="s">
        <v>1536</v>
      </c>
      <c r="B5007" s="37" t="s">
        <v>1536</v>
      </c>
      <c r="C5007" s="7" t="s">
        <v>32427</v>
      </c>
      <c r="D5007" s="37" t="s">
        <v>32428</v>
      </c>
    </row>
    <row r="5008">
      <c r="A5008" s="37" t="s">
        <v>1536</v>
      </c>
      <c r="B5008" s="37" t="s">
        <v>1536</v>
      </c>
      <c r="C5008" s="7" t="s">
        <v>32429</v>
      </c>
      <c r="D5008" s="37" t="s">
        <v>32430</v>
      </c>
    </row>
    <row r="5009">
      <c r="A5009" s="37" t="s">
        <v>1536</v>
      </c>
      <c r="B5009" s="37" t="s">
        <v>1536</v>
      </c>
      <c r="C5009" s="7" t="s">
        <v>32431</v>
      </c>
      <c r="D5009" s="37" t="s">
        <v>32432</v>
      </c>
    </row>
    <row r="5010">
      <c r="A5010" s="37" t="s">
        <v>1536</v>
      </c>
      <c r="B5010" s="37" t="s">
        <v>1536</v>
      </c>
      <c r="C5010" s="7" t="s">
        <v>32433</v>
      </c>
      <c r="D5010" s="37" t="s">
        <v>32434</v>
      </c>
    </row>
    <row r="5011">
      <c r="A5011" s="37" t="s">
        <v>1536</v>
      </c>
      <c r="B5011" s="37" t="s">
        <v>1536</v>
      </c>
      <c r="C5011" s="37" t="s">
        <v>32435</v>
      </c>
      <c r="D5011" s="37" t="s">
        <v>32436</v>
      </c>
    </row>
    <row r="5012">
      <c r="A5012" s="37" t="s">
        <v>1536</v>
      </c>
      <c r="B5012" s="37" t="s">
        <v>1536</v>
      </c>
      <c r="C5012" s="7" t="s">
        <v>32437</v>
      </c>
      <c r="D5012" s="37" t="s">
        <v>32438</v>
      </c>
    </row>
    <row r="5013">
      <c r="A5013" s="37" t="s">
        <v>1536</v>
      </c>
      <c r="B5013" s="37" t="s">
        <v>1536</v>
      </c>
      <c r="C5013" s="7" t="s">
        <v>32439</v>
      </c>
      <c r="D5013" s="37" t="s">
        <v>32440</v>
      </c>
    </row>
    <row r="5014">
      <c r="A5014" s="37" t="s">
        <v>1536</v>
      </c>
      <c r="B5014" s="37" t="s">
        <v>1536</v>
      </c>
      <c r="C5014" s="7" t="s">
        <v>32441</v>
      </c>
      <c r="D5014" s="37" t="s">
        <v>32442</v>
      </c>
    </row>
    <row r="5015">
      <c r="A5015" s="37" t="s">
        <v>1536</v>
      </c>
      <c r="B5015" s="37" t="s">
        <v>1536</v>
      </c>
      <c r="C5015" s="37" t="s">
        <v>31397</v>
      </c>
      <c r="D5015" s="37" t="s">
        <v>32443</v>
      </c>
    </row>
    <row r="5016">
      <c r="A5016" s="37" t="s">
        <v>1536</v>
      </c>
      <c r="B5016" s="37" t="s">
        <v>1536</v>
      </c>
      <c r="C5016" s="7" t="s">
        <v>32444</v>
      </c>
      <c r="D5016" s="37" t="s">
        <v>32445</v>
      </c>
    </row>
    <row r="5017">
      <c r="A5017" s="37" t="s">
        <v>1536</v>
      </c>
      <c r="B5017" s="37" t="s">
        <v>1536</v>
      </c>
      <c r="C5017" s="7" t="s">
        <v>32446</v>
      </c>
      <c r="D5017" s="37" t="s">
        <v>32447</v>
      </c>
    </row>
    <row r="5018">
      <c r="A5018" s="37" t="s">
        <v>1536</v>
      </c>
      <c r="B5018" s="37" t="s">
        <v>1536</v>
      </c>
      <c r="C5018" s="7" t="s">
        <v>32448</v>
      </c>
      <c r="D5018" s="37" t="s">
        <v>32449</v>
      </c>
    </row>
    <row r="5019">
      <c r="A5019" s="37" t="s">
        <v>1536</v>
      </c>
      <c r="B5019" s="37" t="s">
        <v>1536</v>
      </c>
      <c r="C5019" s="7" t="s">
        <v>32450</v>
      </c>
      <c r="D5019" s="37" t="s">
        <v>32451</v>
      </c>
    </row>
    <row r="5020">
      <c r="A5020" s="37" t="s">
        <v>1536</v>
      </c>
      <c r="B5020" s="37" t="s">
        <v>1536</v>
      </c>
      <c r="C5020" s="7" t="s">
        <v>32452</v>
      </c>
      <c r="D5020" s="37" t="s">
        <v>32453</v>
      </c>
    </row>
    <row r="5021">
      <c r="A5021" s="37" t="s">
        <v>1536</v>
      </c>
      <c r="B5021" s="37" t="s">
        <v>1536</v>
      </c>
      <c r="C5021" s="7" t="s">
        <v>32454</v>
      </c>
      <c r="D5021" s="37" t="s">
        <v>32455</v>
      </c>
    </row>
    <row r="5022">
      <c r="A5022" s="37" t="s">
        <v>1536</v>
      </c>
      <c r="B5022" s="37" t="s">
        <v>1536</v>
      </c>
      <c r="C5022" s="37" t="s">
        <v>32456</v>
      </c>
      <c r="D5022" s="37" t="s">
        <v>32457</v>
      </c>
    </row>
    <row r="5023">
      <c r="A5023" s="37" t="s">
        <v>1536</v>
      </c>
      <c r="B5023" s="37" t="s">
        <v>1536</v>
      </c>
      <c r="C5023" s="7" t="s">
        <v>32458</v>
      </c>
      <c r="D5023" s="37" t="s">
        <v>32459</v>
      </c>
    </row>
    <row r="5024">
      <c r="A5024" s="37" t="s">
        <v>1536</v>
      </c>
      <c r="B5024" s="37" t="s">
        <v>1536</v>
      </c>
      <c r="C5024" s="7" t="s">
        <v>32460</v>
      </c>
      <c r="D5024" s="37" t="s">
        <v>32461</v>
      </c>
    </row>
    <row r="5025">
      <c r="A5025" s="37" t="s">
        <v>1536</v>
      </c>
      <c r="B5025" s="37" t="s">
        <v>1536</v>
      </c>
      <c r="C5025" s="7" t="s">
        <v>32462</v>
      </c>
      <c r="D5025" s="37" t="s">
        <v>32463</v>
      </c>
    </row>
    <row r="5026">
      <c r="A5026" s="37" t="s">
        <v>1536</v>
      </c>
      <c r="B5026" s="37" t="s">
        <v>1536</v>
      </c>
      <c r="C5026" s="7" t="s">
        <v>32464</v>
      </c>
      <c r="D5026" s="37" t="s">
        <v>32465</v>
      </c>
    </row>
    <row r="5027">
      <c r="A5027" s="37" t="s">
        <v>1536</v>
      </c>
      <c r="B5027" s="37" t="s">
        <v>1536</v>
      </c>
      <c r="C5027" s="7" t="s">
        <v>32466</v>
      </c>
      <c r="D5027" s="37" t="s">
        <v>32467</v>
      </c>
    </row>
    <row r="5028">
      <c r="A5028" s="37" t="s">
        <v>1536</v>
      </c>
      <c r="B5028" s="37" t="s">
        <v>1536</v>
      </c>
      <c r="C5028" s="7" t="s">
        <v>32468</v>
      </c>
      <c r="D5028" s="37" t="s">
        <v>32469</v>
      </c>
    </row>
    <row r="5029">
      <c r="A5029" s="37" t="s">
        <v>1536</v>
      </c>
      <c r="B5029" s="37" t="s">
        <v>1536</v>
      </c>
      <c r="C5029" s="7" t="s">
        <v>32470</v>
      </c>
      <c r="D5029" s="37" t="s">
        <v>32471</v>
      </c>
    </row>
    <row r="5030">
      <c r="A5030" s="37" t="s">
        <v>1536</v>
      </c>
      <c r="B5030" s="37" t="s">
        <v>1536</v>
      </c>
      <c r="C5030" s="7" t="s">
        <v>32472</v>
      </c>
      <c r="D5030" s="37" t="s">
        <v>32473</v>
      </c>
    </row>
    <row r="5031">
      <c r="A5031" s="37" t="s">
        <v>1536</v>
      </c>
      <c r="B5031" s="37" t="s">
        <v>1536</v>
      </c>
      <c r="C5031" s="37" t="s">
        <v>32474</v>
      </c>
      <c r="D5031" s="37" t="s">
        <v>32475</v>
      </c>
    </row>
    <row r="5032">
      <c r="A5032" s="37" t="s">
        <v>1536</v>
      </c>
      <c r="B5032" s="37" t="s">
        <v>1536</v>
      </c>
      <c r="C5032" s="7" t="s">
        <v>32476</v>
      </c>
      <c r="D5032" s="37" t="s">
        <v>32477</v>
      </c>
    </row>
    <row r="5033">
      <c r="A5033" s="37" t="s">
        <v>1536</v>
      </c>
      <c r="B5033" s="37" t="s">
        <v>1536</v>
      </c>
      <c r="C5033" s="7" t="s">
        <v>32478</v>
      </c>
      <c r="D5033" s="37" t="s">
        <v>32479</v>
      </c>
    </row>
    <row r="5034">
      <c r="A5034" s="37" t="s">
        <v>1536</v>
      </c>
      <c r="B5034" s="37" t="s">
        <v>1536</v>
      </c>
      <c r="C5034" s="7" t="s">
        <v>32480</v>
      </c>
      <c r="D5034" s="37" t="s">
        <v>32481</v>
      </c>
    </row>
    <row r="5035">
      <c r="A5035" s="37" t="s">
        <v>1536</v>
      </c>
      <c r="B5035" s="37" t="s">
        <v>1536</v>
      </c>
      <c r="C5035" s="37" t="s">
        <v>32482</v>
      </c>
      <c r="D5035" s="37" t="s">
        <v>32483</v>
      </c>
    </row>
    <row r="5036">
      <c r="A5036" s="37" t="s">
        <v>1536</v>
      </c>
      <c r="B5036" s="37" t="s">
        <v>1536</v>
      </c>
      <c r="C5036" s="7" t="s">
        <v>32484</v>
      </c>
      <c r="D5036" s="37" t="s">
        <v>32485</v>
      </c>
    </row>
    <row r="5037">
      <c r="A5037" s="37" t="s">
        <v>1536</v>
      </c>
      <c r="B5037" s="37" t="s">
        <v>1536</v>
      </c>
      <c r="C5037" s="37" t="s">
        <v>32486</v>
      </c>
      <c r="D5037" s="37" t="s">
        <v>32487</v>
      </c>
    </row>
    <row r="5038">
      <c r="A5038" s="37" t="s">
        <v>1536</v>
      </c>
      <c r="B5038" s="37" t="s">
        <v>1536</v>
      </c>
      <c r="C5038" s="37" t="s">
        <v>27059</v>
      </c>
      <c r="D5038" s="37" t="s">
        <v>32488</v>
      </c>
    </row>
    <row r="5039">
      <c r="A5039" s="37" t="s">
        <v>1536</v>
      </c>
      <c r="B5039" s="37" t="s">
        <v>1536</v>
      </c>
      <c r="C5039" s="7" t="s">
        <v>32489</v>
      </c>
      <c r="D5039" s="37" t="s">
        <v>32490</v>
      </c>
    </row>
    <row r="5040">
      <c r="A5040" s="37" t="s">
        <v>1536</v>
      </c>
      <c r="B5040" s="37" t="s">
        <v>1536</v>
      </c>
      <c r="C5040" s="7" t="s">
        <v>32491</v>
      </c>
      <c r="D5040" s="37" t="s">
        <v>32492</v>
      </c>
    </row>
    <row r="5041">
      <c r="A5041" s="37" t="s">
        <v>1536</v>
      </c>
      <c r="B5041" s="37" t="s">
        <v>1536</v>
      </c>
      <c r="C5041" s="37" t="s">
        <v>32493</v>
      </c>
      <c r="D5041" s="37" t="s">
        <v>32494</v>
      </c>
    </row>
    <row r="5042">
      <c r="A5042" s="37" t="s">
        <v>1536</v>
      </c>
      <c r="B5042" s="37" t="s">
        <v>1536</v>
      </c>
      <c r="C5042" s="7" t="s">
        <v>32495</v>
      </c>
      <c r="D5042" s="37" t="s">
        <v>32496</v>
      </c>
    </row>
    <row r="5043">
      <c r="A5043" s="37" t="s">
        <v>1536</v>
      </c>
      <c r="B5043" s="37" t="s">
        <v>1536</v>
      </c>
      <c r="C5043" s="7" t="s">
        <v>32497</v>
      </c>
      <c r="D5043" s="37" t="s">
        <v>32498</v>
      </c>
    </row>
    <row r="5044">
      <c r="A5044" s="37" t="s">
        <v>1536</v>
      </c>
      <c r="B5044" s="37" t="s">
        <v>1536</v>
      </c>
      <c r="C5044" s="7" t="s">
        <v>32499</v>
      </c>
      <c r="D5044" s="37" t="s">
        <v>32500</v>
      </c>
    </row>
    <row r="5045">
      <c r="A5045" s="37" t="s">
        <v>1536</v>
      </c>
      <c r="B5045" s="37" t="s">
        <v>1536</v>
      </c>
      <c r="C5045" s="37" t="s">
        <v>32501</v>
      </c>
      <c r="D5045" s="37" t="s">
        <v>32502</v>
      </c>
    </row>
    <row r="5046">
      <c r="A5046" s="37" t="s">
        <v>1536</v>
      </c>
      <c r="B5046" s="37" t="s">
        <v>1536</v>
      </c>
      <c r="C5046" s="7" t="s">
        <v>32503</v>
      </c>
      <c r="D5046" s="37" t="s">
        <v>32504</v>
      </c>
    </row>
    <row r="5047">
      <c r="A5047" s="37" t="s">
        <v>1536</v>
      </c>
      <c r="B5047" s="37" t="s">
        <v>1536</v>
      </c>
      <c r="C5047" s="7" t="s">
        <v>27690</v>
      </c>
      <c r="D5047" s="37" t="s">
        <v>32505</v>
      </c>
    </row>
    <row r="5048">
      <c r="A5048" s="37" t="s">
        <v>1536</v>
      </c>
      <c r="B5048" s="37" t="s">
        <v>1536</v>
      </c>
      <c r="C5048" s="37" t="s">
        <v>32506</v>
      </c>
      <c r="D5048" s="37" t="s">
        <v>32507</v>
      </c>
    </row>
    <row r="5049">
      <c r="A5049" s="37" t="s">
        <v>1536</v>
      </c>
      <c r="B5049" s="37" t="s">
        <v>1536</v>
      </c>
      <c r="C5049" s="7" t="s">
        <v>31247</v>
      </c>
      <c r="D5049" s="37" t="s">
        <v>32508</v>
      </c>
    </row>
    <row r="5050">
      <c r="A5050" s="37" t="s">
        <v>1536</v>
      </c>
      <c r="B5050" s="37" t="s">
        <v>1536</v>
      </c>
      <c r="C5050" s="7" t="s">
        <v>30619</v>
      </c>
      <c r="D5050" s="37" t="s">
        <v>32509</v>
      </c>
    </row>
    <row r="5051">
      <c r="A5051" s="37" t="s">
        <v>1536</v>
      </c>
      <c r="B5051" s="37" t="s">
        <v>1536</v>
      </c>
      <c r="D5051" s="37" t="s">
        <v>32510</v>
      </c>
    </row>
    <row r="5052">
      <c r="A5052" s="37" t="s">
        <v>1536</v>
      </c>
      <c r="B5052" s="37" t="s">
        <v>1536</v>
      </c>
      <c r="C5052" s="37" t="s">
        <v>32511</v>
      </c>
      <c r="D5052" s="37" t="s">
        <v>32512</v>
      </c>
    </row>
    <row r="5053">
      <c r="A5053" s="37" t="s">
        <v>1536</v>
      </c>
      <c r="B5053" s="37" t="s">
        <v>1536</v>
      </c>
      <c r="C5053" s="7" t="s">
        <v>32513</v>
      </c>
      <c r="D5053" s="37" t="s">
        <v>32514</v>
      </c>
    </row>
    <row r="5054">
      <c r="A5054" s="37" t="s">
        <v>1536</v>
      </c>
      <c r="B5054" s="37" t="s">
        <v>1536</v>
      </c>
      <c r="C5054" s="7" t="s">
        <v>32515</v>
      </c>
      <c r="D5054" s="37" t="s">
        <v>32516</v>
      </c>
    </row>
    <row r="5055">
      <c r="A5055" s="37" t="s">
        <v>1536</v>
      </c>
      <c r="B5055" s="37" t="s">
        <v>1536</v>
      </c>
      <c r="C5055" s="7" t="s">
        <v>32517</v>
      </c>
      <c r="D5055" s="37" t="s">
        <v>32518</v>
      </c>
    </row>
    <row r="5056">
      <c r="A5056" s="37" t="s">
        <v>1536</v>
      </c>
      <c r="B5056" s="37" t="s">
        <v>1536</v>
      </c>
      <c r="C5056" s="7" t="s">
        <v>32519</v>
      </c>
      <c r="D5056" s="37" t="s">
        <v>32520</v>
      </c>
    </row>
    <row r="5057">
      <c r="A5057" s="37" t="s">
        <v>1536</v>
      </c>
      <c r="B5057" s="37" t="s">
        <v>1536</v>
      </c>
      <c r="C5057" s="7" t="s">
        <v>32521</v>
      </c>
      <c r="D5057" s="37" t="s">
        <v>32522</v>
      </c>
    </row>
    <row r="5058">
      <c r="A5058" s="37" t="s">
        <v>1536</v>
      </c>
      <c r="B5058" s="37" t="s">
        <v>1536</v>
      </c>
      <c r="C5058" s="7" t="s">
        <v>32523</v>
      </c>
      <c r="D5058" s="37" t="s">
        <v>32524</v>
      </c>
    </row>
    <row r="5059">
      <c r="A5059" s="37" t="s">
        <v>1536</v>
      </c>
      <c r="B5059" s="37" t="s">
        <v>1536</v>
      </c>
      <c r="C5059" s="7" t="s">
        <v>32525</v>
      </c>
      <c r="D5059" s="37" t="s">
        <v>32526</v>
      </c>
    </row>
    <row r="5060">
      <c r="A5060" s="37" t="s">
        <v>1536</v>
      </c>
      <c r="B5060" s="37" t="s">
        <v>1536</v>
      </c>
      <c r="C5060" s="7" t="s">
        <v>32527</v>
      </c>
      <c r="D5060" s="37" t="s">
        <v>32528</v>
      </c>
    </row>
    <row r="5061">
      <c r="A5061" s="37" t="s">
        <v>1536</v>
      </c>
      <c r="B5061" s="37" t="s">
        <v>1536</v>
      </c>
      <c r="C5061" s="37" t="s">
        <v>32529</v>
      </c>
      <c r="D5061" s="37" t="s">
        <v>32530</v>
      </c>
    </row>
    <row r="5062">
      <c r="A5062" s="37" t="s">
        <v>1536</v>
      </c>
      <c r="B5062" s="37" t="s">
        <v>1536</v>
      </c>
      <c r="C5062" s="7" t="s">
        <v>32531</v>
      </c>
      <c r="D5062" s="37" t="s">
        <v>32532</v>
      </c>
    </row>
    <row r="5063">
      <c r="A5063" s="37" t="s">
        <v>1536</v>
      </c>
      <c r="B5063" s="37" t="s">
        <v>1536</v>
      </c>
      <c r="C5063" s="7" t="s">
        <v>32533</v>
      </c>
      <c r="D5063" s="37" t="s">
        <v>32534</v>
      </c>
    </row>
    <row r="5064">
      <c r="A5064" s="37" t="s">
        <v>1536</v>
      </c>
      <c r="B5064" s="37" t="s">
        <v>1536</v>
      </c>
      <c r="C5064" s="7" t="s">
        <v>32535</v>
      </c>
      <c r="D5064" s="37" t="s">
        <v>32536</v>
      </c>
    </row>
    <row r="5065">
      <c r="A5065" s="37" t="s">
        <v>1536</v>
      </c>
      <c r="B5065" s="37" t="s">
        <v>1536</v>
      </c>
      <c r="C5065" s="7" t="s">
        <v>32537</v>
      </c>
      <c r="D5065" s="37" t="s">
        <v>32538</v>
      </c>
    </row>
    <row r="5066">
      <c r="A5066" s="37" t="s">
        <v>1536</v>
      </c>
      <c r="B5066" s="37" t="s">
        <v>1536</v>
      </c>
      <c r="C5066" s="7" t="s">
        <v>32539</v>
      </c>
      <c r="D5066" s="37" t="s">
        <v>32540</v>
      </c>
    </row>
    <row r="5067">
      <c r="A5067" s="37" t="s">
        <v>1536</v>
      </c>
      <c r="B5067" s="37" t="s">
        <v>1536</v>
      </c>
      <c r="C5067" s="37" t="s">
        <v>32541</v>
      </c>
      <c r="D5067" s="37" t="s">
        <v>32542</v>
      </c>
    </row>
    <row r="5068">
      <c r="A5068" s="37" t="s">
        <v>1536</v>
      </c>
      <c r="B5068" s="37" t="s">
        <v>1536</v>
      </c>
      <c r="C5068" s="37" t="s">
        <v>30337</v>
      </c>
      <c r="D5068" s="37" t="s">
        <v>32543</v>
      </c>
    </row>
    <row r="5069">
      <c r="A5069" s="37" t="s">
        <v>1536</v>
      </c>
      <c r="B5069" s="37" t="s">
        <v>1536</v>
      </c>
      <c r="C5069" s="7" t="s">
        <v>32544</v>
      </c>
      <c r="D5069" s="37" t="s">
        <v>32545</v>
      </c>
    </row>
    <row r="5070">
      <c r="A5070" s="37" t="s">
        <v>1536</v>
      </c>
      <c r="B5070" s="37" t="s">
        <v>1536</v>
      </c>
      <c r="C5070" s="7" t="s">
        <v>32546</v>
      </c>
      <c r="D5070" s="37" t="s">
        <v>32547</v>
      </c>
    </row>
    <row r="5071">
      <c r="A5071" s="37" t="s">
        <v>1536</v>
      </c>
      <c r="B5071" s="37" t="s">
        <v>1536</v>
      </c>
      <c r="C5071" s="37" t="s">
        <v>32548</v>
      </c>
      <c r="D5071" s="37" t="s">
        <v>32549</v>
      </c>
    </row>
    <row r="5072">
      <c r="A5072" s="37" t="s">
        <v>1536</v>
      </c>
      <c r="B5072" s="37" t="s">
        <v>1536</v>
      </c>
      <c r="C5072" s="37" t="s">
        <v>32550</v>
      </c>
      <c r="D5072" s="37" t="s">
        <v>32551</v>
      </c>
    </row>
    <row r="5073">
      <c r="A5073" s="37" t="s">
        <v>1536</v>
      </c>
      <c r="B5073" s="37" t="s">
        <v>1536</v>
      </c>
      <c r="C5073" s="7" t="s">
        <v>32552</v>
      </c>
      <c r="D5073" s="37" t="s">
        <v>32553</v>
      </c>
    </row>
    <row r="5074">
      <c r="A5074" s="37" t="s">
        <v>1536</v>
      </c>
      <c r="B5074" s="37" t="s">
        <v>1536</v>
      </c>
      <c r="C5074" s="7" t="s">
        <v>32554</v>
      </c>
      <c r="D5074" s="37" t="s">
        <v>32555</v>
      </c>
    </row>
    <row r="5075">
      <c r="A5075" s="37" t="s">
        <v>1536</v>
      </c>
      <c r="B5075" s="37" t="s">
        <v>1536</v>
      </c>
      <c r="C5075" s="7" t="s">
        <v>11437</v>
      </c>
      <c r="D5075" s="37" t="s">
        <v>32556</v>
      </c>
    </row>
    <row r="5076">
      <c r="A5076" s="37" t="s">
        <v>1536</v>
      </c>
      <c r="B5076" s="37" t="s">
        <v>1536</v>
      </c>
      <c r="C5076" s="7" t="s">
        <v>32557</v>
      </c>
      <c r="D5076" s="37" t="s">
        <v>32558</v>
      </c>
    </row>
    <row r="5077">
      <c r="A5077" s="37" t="s">
        <v>1536</v>
      </c>
      <c r="B5077" s="37" t="s">
        <v>1536</v>
      </c>
      <c r="C5077" s="7" t="s">
        <v>32559</v>
      </c>
      <c r="D5077" s="37" t="s">
        <v>32560</v>
      </c>
    </row>
    <row r="5078">
      <c r="A5078" s="37" t="s">
        <v>1536</v>
      </c>
      <c r="B5078" s="37" t="s">
        <v>1536</v>
      </c>
      <c r="C5078" s="37" t="s">
        <v>31106</v>
      </c>
      <c r="D5078" s="37" t="s">
        <v>32561</v>
      </c>
    </row>
    <row r="5079">
      <c r="A5079" s="37" t="s">
        <v>1536</v>
      </c>
      <c r="B5079" s="37" t="s">
        <v>1536</v>
      </c>
      <c r="C5079" s="7" t="s">
        <v>13793</v>
      </c>
      <c r="D5079" s="37" t="s">
        <v>32562</v>
      </c>
    </row>
    <row r="5080">
      <c r="A5080" s="37" t="s">
        <v>1536</v>
      </c>
      <c r="B5080" s="37" t="s">
        <v>1536</v>
      </c>
      <c r="C5080" s="7" t="s">
        <v>32563</v>
      </c>
      <c r="D5080" s="37" t="s">
        <v>32564</v>
      </c>
    </row>
    <row r="5081">
      <c r="A5081" s="37" t="s">
        <v>1536</v>
      </c>
      <c r="B5081" s="37" t="s">
        <v>1536</v>
      </c>
      <c r="C5081" s="7" t="s">
        <v>32565</v>
      </c>
      <c r="D5081" s="37" t="s">
        <v>32566</v>
      </c>
    </row>
    <row r="5082">
      <c r="A5082" s="37" t="s">
        <v>1536</v>
      </c>
      <c r="B5082" s="37" t="s">
        <v>1536</v>
      </c>
      <c r="C5082" s="7" t="s">
        <v>32567</v>
      </c>
      <c r="D5082" s="37" t="s">
        <v>32568</v>
      </c>
    </row>
    <row r="5083">
      <c r="A5083" s="37" t="s">
        <v>1536</v>
      </c>
      <c r="B5083" s="37" t="s">
        <v>1536</v>
      </c>
      <c r="C5083" s="7" t="s">
        <v>32569</v>
      </c>
      <c r="D5083" s="37" t="s">
        <v>32570</v>
      </c>
    </row>
    <row r="5084">
      <c r="A5084" s="37" t="s">
        <v>1536</v>
      </c>
      <c r="B5084" s="37" t="s">
        <v>1536</v>
      </c>
      <c r="C5084" s="37" t="s">
        <v>32571</v>
      </c>
      <c r="D5084" s="37" t="s">
        <v>32572</v>
      </c>
    </row>
    <row r="5085">
      <c r="A5085" s="37" t="s">
        <v>1536</v>
      </c>
      <c r="B5085" s="37" t="s">
        <v>1536</v>
      </c>
      <c r="C5085" s="7" t="s">
        <v>32573</v>
      </c>
      <c r="D5085" s="37" t="s">
        <v>32574</v>
      </c>
    </row>
    <row r="5086">
      <c r="A5086" s="37" t="s">
        <v>1536</v>
      </c>
      <c r="B5086" s="37" t="s">
        <v>1536</v>
      </c>
      <c r="C5086" s="7" t="s">
        <v>32575</v>
      </c>
      <c r="D5086" s="37" t="s">
        <v>32576</v>
      </c>
    </row>
    <row r="5087">
      <c r="A5087" s="37" t="s">
        <v>1536</v>
      </c>
      <c r="B5087" s="37" t="s">
        <v>1536</v>
      </c>
      <c r="C5087" s="7" t="s">
        <v>32577</v>
      </c>
      <c r="D5087" s="37" t="s">
        <v>32578</v>
      </c>
    </row>
    <row r="5088">
      <c r="A5088" s="37" t="s">
        <v>1536</v>
      </c>
      <c r="B5088" s="37" t="s">
        <v>1536</v>
      </c>
      <c r="C5088" s="7" t="s">
        <v>32579</v>
      </c>
      <c r="D5088" s="37" t="s">
        <v>32580</v>
      </c>
    </row>
    <row r="5089">
      <c r="A5089" s="37" t="s">
        <v>1536</v>
      </c>
      <c r="B5089" s="37" t="s">
        <v>1536</v>
      </c>
      <c r="C5089" s="7" t="s">
        <v>32581</v>
      </c>
      <c r="D5089" s="37" t="s">
        <v>32582</v>
      </c>
    </row>
    <row r="5090">
      <c r="A5090" s="37" t="s">
        <v>1536</v>
      </c>
      <c r="B5090" s="37" t="s">
        <v>1536</v>
      </c>
      <c r="C5090" s="7" t="s">
        <v>29012</v>
      </c>
      <c r="D5090" s="37" t="s">
        <v>32583</v>
      </c>
    </row>
    <row r="5091">
      <c r="A5091" s="37" t="s">
        <v>1536</v>
      </c>
      <c r="B5091" s="37" t="s">
        <v>1536</v>
      </c>
      <c r="C5091" s="7" t="s">
        <v>32584</v>
      </c>
      <c r="D5091" s="37" t="s">
        <v>32585</v>
      </c>
    </row>
    <row r="5092">
      <c r="A5092" s="37" t="s">
        <v>1536</v>
      </c>
      <c r="B5092" s="37" t="s">
        <v>1536</v>
      </c>
      <c r="C5092" s="7" t="s">
        <v>32586</v>
      </c>
      <c r="D5092" s="37" t="s">
        <v>32587</v>
      </c>
    </row>
    <row r="5093">
      <c r="A5093" s="37" t="s">
        <v>1536</v>
      </c>
      <c r="B5093" s="37" t="s">
        <v>1536</v>
      </c>
      <c r="C5093" s="7" t="s">
        <v>32588</v>
      </c>
      <c r="D5093" s="37" t="s">
        <v>32589</v>
      </c>
    </row>
    <row r="5094">
      <c r="A5094" s="37" t="s">
        <v>1536</v>
      </c>
      <c r="B5094" s="37" t="s">
        <v>1536</v>
      </c>
      <c r="C5094" s="7" t="s">
        <v>32590</v>
      </c>
      <c r="D5094" s="37" t="s">
        <v>32591</v>
      </c>
    </row>
    <row r="5095">
      <c r="A5095" s="37" t="s">
        <v>1536</v>
      </c>
      <c r="B5095" s="37" t="s">
        <v>1536</v>
      </c>
      <c r="C5095" s="7" t="s">
        <v>32592</v>
      </c>
      <c r="D5095" s="37" t="s">
        <v>32593</v>
      </c>
    </row>
    <row r="5096">
      <c r="A5096" s="37" t="s">
        <v>1536</v>
      </c>
      <c r="B5096" s="37" t="s">
        <v>1536</v>
      </c>
      <c r="C5096" s="7" t="s">
        <v>9923</v>
      </c>
      <c r="D5096" s="37" t="s">
        <v>32594</v>
      </c>
    </row>
    <row r="5097">
      <c r="A5097" s="37" t="s">
        <v>1536</v>
      </c>
      <c r="B5097" s="37" t="s">
        <v>1536</v>
      </c>
      <c r="C5097" s="7" t="s">
        <v>32595</v>
      </c>
      <c r="D5097" s="37" t="s">
        <v>32596</v>
      </c>
    </row>
    <row r="5098">
      <c r="A5098" s="37" t="s">
        <v>1536</v>
      </c>
      <c r="B5098" s="37" t="s">
        <v>1536</v>
      </c>
      <c r="C5098" s="37" t="s">
        <v>32597</v>
      </c>
      <c r="D5098" s="37" t="s">
        <v>32598</v>
      </c>
    </row>
    <row r="5099">
      <c r="A5099" s="37" t="s">
        <v>1536</v>
      </c>
      <c r="B5099" s="37" t="s">
        <v>1536</v>
      </c>
      <c r="C5099" s="7" t="s">
        <v>32599</v>
      </c>
      <c r="D5099" s="37" t="s">
        <v>32600</v>
      </c>
    </row>
    <row r="5100">
      <c r="A5100" s="37" t="s">
        <v>1536</v>
      </c>
      <c r="B5100" s="37" t="s">
        <v>1536</v>
      </c>
      <c r="C5100" s="37" t="s">
        <v>32601</v>
      </c>
      <c r="D5100" s="37" t="s">
        <v>32602</v>
      </c>
    </row>
    <row r="5101">
      <c r="A5101" s="37" t="s">
        <v>1536</v>
      </c>
      <c r="B5101" s="37" t="s">
        <v>1536</v>
      </c>
      <c r="C5101" s="37" t="s">
        <v>32603</v>
      </c>
      <c r="D5101" s="37" t="s">
        <v>32604</v>
      </c>
    </row>
    <row r="5102">
      <c r="A5102" s="37" t="s">
        <v>1536</v>
      </c>
      <c r="B5102" s="37" t="s">
        <v>1536</v>
      </c>
      <c r="C5102" s="37" t="s">
        <v>32605</v>
      </c>
      <c r="D5102" s="37" t="s">
        <v>32606</v>
      </c>
    </row>
    <row r="5103">
      <c r="A5103" s="37" t="s">
        <v>1536</v>
      </c>
      <c r="B5103" s="37" t="s">
        <v>1536</v>
      </c>
      <c r="C5103" s="37" t="s">
        <v>32607</v>
      </c>
      <c r="D5103" s="37" t="s">
        <v>32608</v>
      </c>
    </row>
    <row r="5104">
      <c r="A5104" s="37" t="s">
        <v>1536</v>
      </c>
      <c r="B5104" s="37" t="s">
        <v>1536</v>
      </c>
      <c r="C5104" s="37" t="s">
        <v>32609</v>
      </c>
      <c r="D5104" s="37" t="s">
        <v>32610</v>
      </c>
    </row>
    <row r="5105">
      <c r="A5105" s="37" t="s">
        <v>1536</v>
      </c>
      <c r="B5105" s="37" t="s">
        <v>1536</v>
      </c>
      <c r="C5105" s="37" t="s">
        <v>32611</v>
      </c>
      <c r="D5105" s="37" t="s">
        <v>32612</v>
      </c>
    </row>
    <row r="5106">
      <c r="A5106" s="37" t="s">
        <v>1536</v>
      </c>
      <c r="B5106" s="37" t="s">
        <v>1536</v>
      </c>
      <c r="C5106" s="7" t="s">
        <v>32613</v>
      </c>
      <c r="D5106" s="37" t="s">
        <v>32614</v>
      </c>
    </row>
    <row r="5107">
      <c r="A5107" s="37" t="s">
        <v>1536</v>
      </c>
      <c r="B5107" s="37" t="s">
        <v>1536</v>
      </c>
      <c r="C5107" s="7" t="s">
        <v>32615</v>
      </c>
      <c r="D5107" s="37" t="s">
        <v>32616</v>
      </c>
    </row>
    <row r="5108">
      <c r="A5108" s="37" t="s">
        <v>1536</v>
      </c>
      <c r="B5108" s="37" t="s">
        <v>1536</v>
      </c>
      <c r="C5108" s="7" t="s">
        <v>32617</v>
      </c>
      <c r="D5108" s="37" t="s">
        <v>32618</v>
      </c>
    </row>
    <row r="5109">
      <c r="A5109" s="37" t="s">
        <v>1536</v>
      </c>
      <c r="B5109" s="37" t="s">
        <v>1536</v>
      </c>
      <c r="C5109" s="37" t="s">
        <v>32619</v>
      </c>
      <c r="D5109" s="37" t="s">
        <v>32620</v>
      </c>
    </row>
    <row r="5110">
      <c r="A5110" s="37" t="s">
        <v>1536</v>
      </c>
      <c r="B5110" s="37" t="s">
        <v>1536</v>
      </c>
      <c r="C5110" s="7" t="s">
        <v>32621</v>
      </c>
      <c r="D5110" s="37" t="s">
        <v>32622</v>
      </c>
    </row>
    <row r="5111">
      <c r="A5111" s="37" t="s">
        <v>1536</v>
      </c>
      <c r="B5111" s="37" t="s">
        <v>1536</v>
      </c>
      <c r="C5111" s="7" t="s">
        <v>32345</v>
      </c>
      <c r="D5111" s="37" t="s">
        <v>32623</v>
      </c>
    </row>
    <row r="5112">
      <c r="A5112" s="37" t="s">
        <v>1536</v>
      </c>
      <c r="B5112" s="37" t="s">
        <v>1536</v>
      </c>
      <c r="C5112" s="7" t="s">
        <v>32624</v>
      </c>
      <c r="D5112" s="37" t="s">
        <v>32625</v>
      </c>
    </row>
    <row r="5113">
      <c r="A5113" s="37" t="s">
        <v>1536</v>
      </c>
      <c r="B5113" s="37" t="s">
        <v>1536</v>
      </c>
      <c r="C5113" s="7" t="s">
        <v>32626</v>
      </c>
      <c r="D5113" s="37" t="s">
        <v>32627</v>
      </c>
    </row>
    <row r="5114">
      <c r="A5114" s="37" t="s">
        <v>1536</v>
      </c>
      <c r="B5114" s="37" t="s">
        <v>1536</v>
      </c>
      <c r="C5114" s="37" t="s">
        <v>32628</v>
      </c>
      <c r="D5114" s="37" t="s">
        <v>32629</v>
      </c>
    </row>
    <row r="5115">
      <c r="A5115" s="37" t="s">
        <v>1536</v>
      </c>
      <c r="B5115" s="37" t="s">
        <v>1536</v>
      </c>
      <c r="C5115" s="7" t="s">
        <v>10013</v>
      </c>
      <c r="D5115" s="37" t="s">
        <v>32630</v>
      </c>
    </row>
    <row r="5116">
      <c r="A5116" s="37" t="s">
        <v>1536</v>
      </c>
      <c r="B5116" s="37" t="s">
        <v>1536</v>
      </c>
      <c r="C5116" s="7" t="s">
        <v>27072</v>
      </c>
      <c r="D5116" s="37" t="s">
        <v>32631</v>
      </c>
    </row>
    <row r="5117">
      <c r="A5117" s="37" t="s">
        <v>1536</v>
      </c>
      <c r="B5117" s="37" t="s">
        <v>1536</v>
      </c>
      <c r="C5117" s="7" t="s">
        <v>5841</v>
      </c>
      <c r="D5117" s="37" t="s">
        <v>32632</v>
      </c>
    </row>
    <row r="5118">
      <c r="A5118" s="37" t="s">
        <v>1536</v>
      </c>
      <c r="B5118" s="37" t="s">
        <v>1536</v>
      </c>
      <c r="C5118" s="37" t="s">
        <v>32633</v>
      </c>
      <c r="D5118" s="37" t="s">
        <v>32634</v>
      </c>
    </row>
    <row r="5119">
      <c r="A5119" s="37" t="s">
        <v>1536</v>
      </c>
      <c r="B5119" s="37" t="s">
        <v>1536</v>
      </c>
      <c r="C5119" s="37" t="s">
        <v>32635</v>
      </c>
      <c r="D5119" s="37" t="s">
        <v>32636</v>
      </c>
    </row>
    <row r="5120">
      <c r="A5120" s="37" t="s">
        <v>1536</v>
      </c>
      <c r="B5120" s="37" t="s">
        <v>1536</v>
      </c>
      <c r="C5120" s="37" t="s">
        <v>32637</v>
      </c>
      <c r="D5120" s="37" t="s">
        <v>32638</v>
      </c>
    </row>
    <row r="5121">
      <c r="A5121" s="37" t="s">
        <v>1536</v>
      </c>
      <c r="B5121" s="37" t="s">
        <v>1536</v>
      </c>
      <c r="C5121" s="7" t="s">
        <v>31059</v>
      </c>
      <c r="D5121" s="37" t="s">
        <v>32639</v>
      </c>
    </row>
    <row r="5122">
      <c r="A5122" s="37" t="s">
        <v>1536</v>
      </c>
      <c r="B5122" s="37" t="s">
        <v>1536</v>
      </c>
      <c r="C5122" s="7" t="s">
        <v>6049</v>
      </c>
      <c r="D5122" s="37" t="s">
        <v>32640</v>
      </c>
    </row>
    <row r="5123">
      <c r="A5123" s="37" t="s">
        <v>1536</v>
      </c>
      <c r="B5123" s="37" t="s">
        <v>1536</v>
      </c>
      <c r="C5123" s="7" t="s">
        <v>31160</v>
      </c>
      <c r="D5123" s="37" t="s">
        <v>32641</v>
      </c>
    </row>
    <row r="5124">
      <c r="A5124" s="37" t="s">
        <v>1536</v>
      </c>
      <c r="B5124" s="37" t="s">
        <v>1536</v>
      </c>
      <c r="C5124" s="37" t="s">
        <v>32642</v>
      </c>
      <c r="D5124" s="37" t="s">
        <v>32643</v>
      </c>
    </row>
    <row r="5125">
      <c r="A5125" s="37" t="s">
        <v>1536</v>
      </c>
      <c r="B5125" s="37" t="s">
        <v>1536</v>
      </c>
      <c r="C5125" s="7" t="s">
        <v>32644</v>
      </c>
      <c r="D5125" s="37" t="s">
        <v>32645</v>
      </c>
    </row>
    <row r="5126">
      <c r="A5126" s="37" t="s">
        <v>1536</v>
      </c>
      <c r="B5126" s="37" t="s">
        <v>1536</v>
      </c>
      <c r="C5126" s="7" t="s">
        <v>32646</v>
      </c>
      <c r="D5126" s="37" t="s">
        <v>32647</v>
      </c>
    </row>
    <row r="5127">
      <c r="A5127" s="37" t="s">
        <v>1536</v>
      </c>
      <c r="B5127" s="37" t="s">
        <v>1536</v>
      </c>
      <c r="C5127" s="7" t="s">
        <v>32648</v>
      </c>
      <c r="D5127" s="37" t="s">
        <v>32649</v>
      </c>
    </row>
    <row r="5128">
      <c r="A5128" s="37" t="s">
        <v>1536</v>
      </c>
      <c r="B5128" s="37" t="s">
        <v>1536</v>
      </c>
      <c r="C5128" s="7" t="s">
        <v>32650</v>
      </c>
      <c r="D5128" s="37" t="s">
        <v>32651</v>
      </c>
    </row>
    <row r="5129">
      <c r="A5129" s="37" t="s">
        <v>1536</v>
      </c>
      <c r="B5129" s="37" t="s">
        <v>1536</v>
      </c>
      <c r="C5129" s="7" t="s">
        <v>5625</v>
      </c>
      <c r="D5129" s="37" t="s">
        <v>32652</v>
      </c>
    </row>
    <row r="5130">
      <c r="A5130" s="37" t="s">
        <v>1536</v>
      </c>
      <c r="B5130" s="37" t="s">
        <v>1536</v>
      </c>
      <c r="C5130" s="37" t="s">
        <v>32653</v>
      </c>
      <c r="D5130" s="37" t="s">
        <v>32654</v>
      </c>
    </row>
    <row r="5131">
      <c r="A5131" s="37" t="s">
        <v>1536</v>
      </c>
      <c r="B5131" s="37" t="s">
        <v>1536</v>
      </c>
      <c r="C5131" s="7" t="s">
        <v>32655</v>
      </c>
      <c r="D5131" s="37" t="s">
        <v>32656</v>
      </c>
    </row>
    <row r="5132">
      <c r="A5132" s="37" t="s">
        <v>1536</v>
      </c>
      <c r="B5132" s="37" t="s">
        <v>1536</v>
      </c>
      <c r="C5132" s="7" t="s">
        <v>32657</v>
      </c>
      <c r="D5132" s="37" t="s">
        <v>32658</v>
      </c>
    </row>
    <row r="5133">
      <c r="A5133" s="37" t="s">
        <v>1536</v>
      </c>
      <c r="B5133" s="37" t="s">
        <v>1536</v>
      </c>
      <c r="C5133" s="37" t="s">
        <v>32659</v>
      </c>
      <c r="D5133" s="37" t="s">
        <v>32660</v>
      </c>
    </row>
    <row r="5134">
      <c r="A5134" s="37" t="s">
        <v>1536</v>
      </c>
      <c r="B5134" s="37" t="s">
        <v>1536</v>
      </c>
      <c r="C5134" s="7" t="s">
        <v>32661</v>
      </c>
      <c r="D5134" s="37" t="s">
        <v>32662</v>
      </c>
    </row>
    <row r="5135">
      <c r="A5135" s="37" t="s">
        <v>1536</v>
      </c>
      <c r="B5135" s="37" t="s">
        <v>1536</v>
      </c>
      <c r="C5135" s="7" t="s">
        <v>32663</v>
      </c>
      <c r="D5135" s="37" t="s">
        <v>32664</v>
      </c>
    </row>
    <row r="5136">
      <c r="A5136" s="37" t="s">
        <v>1536</v>
      </c>
      <c r="B5136" s="37" t="s">
        <v>1536</v>
      </c>
      <c r="C5136" s="7" t="s">
        <v>32665</v>
      </c>
      <c r="D5136" s="37" t="s">
        <v>32666</v>
      </c>
    </row>
    <row r="5137">
      <c r="A5137" s="37" t="s">
        <v>1536</v>
      </c>
      <c r="B5137" s="37" t="s">
        <v>1536</v>
      </c>
      <c r="C5137" s="37" t="s">
        <v>32667</v>
      </c>
      <c r="D5137" s="37" t="s">
        <v>32668</v>
      </c>
    </row>
    <row r="5138">
      <c r="A5138" s="37" t="s">
        <v>1536</v>
      </c>
      <c r="B5138" s="37" t="s">
        <v>1536</v>
      </c>
      <c r="C5138" s="37" t="s">
        <v>32669</v>
      </c>
      <c r="D5138" s="37" t="s">
        <v>32670</v>
      </c>
    </row>
    <row r="5139">
      <c r="A5139" s="37" t="s">
        <v>1536</v>
      </c>
      <c r="B5139" s="37" t="s">
        <v>1536</v>
      </c>
      <c r="C5139" s="7" t="s">
        <v>32671</v>
      </c>
      <c r="D5139" s="37" t="s">
        <v>32672</v>
      </c>
    </row>
    <row r="5140">
      <c r="A5140" s="37" t="s">
        <v>1536</v>
      </c>
      <c r="B5140" s="37" t="s">
        <v>1536</v>
      </c>
      <c r="C5140" s="7" t="s">
        <v>32673</v>
      </c>
      <c r="D5140" s="37" t="s">
        <v>32674</v>
      </c>
    </row>
    <row r="5141">
      <c r="A5141" s="37" t="s">
        <v>1536</v>
      </c>
      <c r="B5141" s="37" t="s">
        <v>1536</v>
      </c>
      <c r="C5141" s="7" t="s">
        <v>32675</v>
      </c>
      <c r="D5141" s="37" t="s">
        <v>32676</v>
      </c>
    </row>
    <row r="5142">
      <c r="A5142" s="37" t="s">
        <v>1536</v>
      </c>
      <c r="B5142" s="37" t="s">
        <v>1536</v>
      </c>
      <c r="C5142" s="7" t="s">
        <v>32677</v>
      </c>
      <c r="D5142" s="37" t="s">
        <v>32678</v>
      </c>
    </row>
    <row r="5143">
      <c r="A5143" s="37" t="s">
        <v>1536</v>
      </c>
      <c r="B5143" s="37" t="s">
        <v>1536</v>
      </c>
      <c r="C5143" s="7" t="s">
        <v>32679</v>
      </c>
      <c r="D5143" s="37" t="s">
        <v>32680</v>
      </c>
    </row>
    <row r="5144">
      <c r="A5144" s="37" t="s">
        <v>1536</v>
      </c>
      <c r="B5144" s="37" t="s">
        <v>1536</v>
      </c>
      <c r="C5144" s="7" t="s">
        <v>32681</v>
      </c>
      <c r="D5144" s="37" t="s">
        <v>32682</v>
      </c>
    </row>
    <row r="5145">
      <c r="A5145" s="37" t="s">
        <v>1536</v>
      </c>
      <c r="B5145" s="37" t="s">
        <v>1536</v>
      </c>
      <c r="C5145" s="7" t="s">
        <v>32683</v>
      </c>
      <c r="D5145" s="37" t="s">
        <v>32684</v>
      </c>
    </row>
    <row r="5146">
      <c r="A5146" s="37" t="s">
        <v>1536</v>
      </c>
      <c r="B5146" s="37" t="s">
        <v>1536</v>
      </c>
      <c r="C5146" s="7" t="s">
        <v>32685</v>
      </c>
      <c r="D5146" s="37" t="s">
        <v>32686</v>
      </c>
    </row>
    <row r="5147">
      <c r="A5147" s="37" t="s">
        <v>1536</v>
      </c>
      <c r="B5147" s="37" t="s">
        <v>1536</v>
      </c>
      <c r="C5147" s="7" t="s">
        <v>32687</v>
      </c>
      <c r="D5147" s="37" t="s">
        <v>32688</v>
      </c>
    </row>
    <row r="5148">
      <c r="A5148" s="37" t="s">
        <v>1536</v>
      </c>
      <c r="B5148" s="37" t="s">
        <v>1536</v>
      </c>
      <c r="C5148" s="37" t="s">
        <v>32689</v>
      </c>
      <c r="D5148" s="37" t="s">
        <v>32690</v>
      </c>
    </row>
    <row r="5149">
      <c r="A5149" s="37" t="s">
        <v>1536</v>
      </c>
      <c r="B5149" s="37" t="s">
        <v>1536</v>
      </c>
      <c r="C5149" s="37" t="s">
        <v>31166</v>
      </c>
      <c r="D5149" s="37" t="s">
        <v>32691</v>
      </c>
    </row>
    <row r="5150">
      <c r="A5150" s="37" t="s">
        <v>1536</v>
      </c>
      <c r="B5150" s="37" t="s">
        <v>1536</v>
      </c>
      <c r="C5150" s="7" t="s">
        <v>32692</v>
      </c>
      <c r="D5150" s="37" t="s">
        <v>32693</v>
      </c>
    </row>
    <row r="5151">
      <c r="A5151" s="37" t="s">
        <v>1536</v>
      </c>
      <c r="B5151" s="37" t="s">
        <v>1536</v>
      </c>
      <c r="C5151" s="37" t="s">
        <v>32694</v>
      </c>
      <c r="D5151" s="37" t="s">
        <v>32695</v>
      </c>
    </row>
    <row r="5152">
      <c r="A5152" s="37" t="s">
        <v>1536</v>
      </c>
      <c r="B5152" s="37" t="s">
        <v>1536</v>
      </c>
      <c r="C5152" s="7" t="s">
        <v>1924</v>
      </c>
      <c r="D5152" s="37" t="s">
        <v>32696</v>
      </c>
    </row>
    <row r="5153">
      <c r="A5153" s="37" t="s">
        <v>1536</v>
      </c>
      <c r="B5153" s="37" t="s">
        <v>1536</v>
      </c>
      <c r="C5153" s="7" t="s">
        <v>32697</v>
      </c>
      <c r="D5153" s="37" t="s">
        <v>32698</v>
      </c>
    </row>
    <row r="5154">
      <c r="A5154" s="37" t="s">
        <v>1536</v>
      </c>
      <c r="B5154" s="37" t="s">
        <v>1536</v>
      </c>
      <c r="C5154" s="7" t="s">
        <v>32699</v>
      </c>
      <c r="D5154" s="37" t="s">
        <v>32700</v>
      </c>
    </row>
    <row r="5155">
      <c r="A5155" s="37" t="s">
        <v>1536</v>
      </c>
      <c r="B5155" s="37" t="s">
        <v>1536</v>
      </c>
      <c r="C5155" s="37" t="s">
        <v>32701</v>
      </c>
      <c r="D5155" s="37" t="s">
        <v>32702</v>
      </c>
    </row>
    <row r="5156">
      <c r="A5156" s="37" t="s">
        <v>1536</v>
      </c>
      <c r="B5156" s="37" t="s">
        <v>1536</v>
      </c>
      <c r="C5156" s="7" t="s">
        <v>14129</v>
      </c>
      <c r="D5156" s="37" t="s">
        <v>32703</v>
      </c>
    </row>
    <row r="5157">
      <c r="A5157" s="37" t="s">
        <v>1536</v>
      </c>
      <c r="B5157" s="37" t="s">
        <v>1536</v>
      </c>
      <c r="C5157" s="37" t="s">
        <v>32704</v>
      </c>
      <c r="D5157" s="37" t="s">
        <v>32705</v>
      </c>
    </row>
    <row r="5158">
      <c r="A5158" s="37" t="s">
        <v>1536</v>
      </c>
      <c r="B5158" s="37" t="s">
        <v>1536</v>
      </c>
      <c r="C5158" s="7" t="s">
        <v>32706</v>
      </c>
      <c r="D5158" s="37" t="s">
        <v>32707</v>
      </c>
    </row>
    <row r="5159">
      <c r="A5159" s="37" t="s">
        <v>1536</v>
      </c>
      <c r="B5159" s="37" t="s">
        <v>1536</v>
      </c>
      <c r="C5159" s="7" t="s">
        <v>32708</v>
      </c>
      <c r="D5159" s="37" t="s">
        <v>32709</v>
      </c>
    </row>
    <row r="5160">
      <c r="A5160" s="37" t="s">
        <v>1536</v>
      </c>
      <c r="B5160" s="37" t="s">
        <v>1536</v>
      </c>
      <c r="C5160" s="7" t="s">
        <v>1705</v>
      </c>
      <c r="D5160" s="37" t="s">
        <v>32710</v>
      </c>
    </row>
    <row r="5161">
      <c r="A5161" s="37" t="s">
        <v>1536</v>
      </c>
      <c r="B5161" s="37" t="s">
        <v>1536</v>
      </c>
      <c r="C5161" s="37" t="s">
        <v>32711</v>
      </c>
      <c r="D5161" s="37" t="s">
        <v>32712</v>
      </c>
    </row>
    <row r="5162">
      <c r="A5162" s="37" t="s">
        <v>1536</v>
      </c>
      <c r="B5162" s="37" t="s">
        <v>1536</v>
      </c>
      <c r="C5162" s="37" t="s">
        <v>32713</v>
      </c>
      <c r="D5162" s="37" t="s">
        <v>32714</v>
      </c>
    </row>
    <row r="5163">
      <c r="A5163" s="37" t="s">
        <v>1536</v>
      </c>
      <c r="B5163" s="37" t="s">
        <v>1536</v>
      </c>
      <c r="C5163" s="7" t="s">
        <v>32715</v>
      </c>
      <c r="D5163" s="37" t="s">
        <v>32716</v>
      </c>
    </row>
    <row r="5164">
      <c r="A5164" s="37" t="s">
        <v>1536</v>
      </c>
      <c r="B5164" s="37" t="s">
        <v>1536</v>
      </c>
      <c r="C5164" s="37" t="s">
        <v>32717</v>
      </c>
      <c r="D5164" s="37" t="s">
        <v>32718</v>
      </c>
    </row>
    <row r="5165">
      <c r="A5165" s="37" t="s">
        <v>1536</v>
      </c>
      <c r="B5165" s="37" t="s">
        <v>1536</v>
      </c>
      <c r="C5165" s="7" t="s">
        <v>32719</v>
      </c>
      <c r="D5165" s="37" t="s">
        <v>32720</v>
      </c>
    </row>
    <row r="5166">
      <c r="A5166" s="37" t="s">
        <v>1536</v>
      </c>
      <c r="B5166" s="37" t="s">
        <v>1536</v>
      </c>
      <c r="C5166" s="7" t="s">
        <v>32721</v>
      </c>
      <c r="D5166" s="37" t="s">
        <v>32722</v>
      </c>
    </row>
    <row r="5167">
      <c r="A5167" s="37" t="s">
        <v>1536</v>
      </c>
      <c r="B5167" s="37" t="s">
        <v>1536</v>
      </c>
      <c r="C5167" s="7" t="s">
        <v>32723</v>
      </c>
      <c r="D5167" s="37" t="s">
        <v>32724</v>
      </c>
    </row>
    <row r="5168">
      <c r="A5168" s="37" t="s">
        <v>1536</v>
      </c>
      <c r="B5168" s="37" t="s">
        <v>1536</v>
      </c>
      <c r="C5168" s="7" t="s">
        <v>32725</v>
      </c>
      <c r="D5168" s="37" t="s">
        <v>32726</v>
      </c>
    </row>
    <row r="5169">
      <c r="A5169" s="37" t="s">
        <v>1536</v>
      </c>
      <c r="B5169" s="37" t="s">
        <v>1536</v>
      </c>
      <c r="C5169" s="7" t="s">
        <v>32727</v>
      </c>
      <c r="D5169" s="37" t="s">
        <v>32728</v>
      </c>
    </row>
    <row r="5170">
      <c r="A5170" s="37" t="s">
        <v>1536</v>
      </c>
      <c r="B5170" s="37" t="s">
        <v>1536</v>
      </c>
      <c r="C5170" s="7" t="s">
        <v>32729</v>
      </c>
      <c r="D5170" s="37" t="s">
        <v>32730</v>
      </c>
    </row>
    <row r="5171">
      <c r="A5171" s="37" t="s">
        <v>1536</v>
      </c>
      <c r="B5171" s="37" t="s">
        <v>1536</v>
      </c>
      <c r="C5171" s="37" t="s">
        <v>32731</v>
      </c>
      <c r="D5171" s="37" t="s">
        <v>32732</v>
      </c>
    </row>
    <row r="5172">
      <c r="A5172" s="37" t="s">
        <v>1536</v>
      </c>
      <c r="B5172" s="37" t="s">
        <v>1536</v>
      </c>
      <c r="C5172" s="7" t="s">
        <v>32733</v>
      </c>
      <c r="D5172" s="37" t="s">
        <v>32734</v>
      </c>
    </row>
    <row r="5173">
      <c r="A5173" s="37" t="s">
        <v>1536</v>
      </c>
      <c r="B5173" s="37" t="s">
        <v>1536</v>
      </c>
      <c r="C5173" s="7" t="s">
        <v>32143</v>
      </c>
      <c r="D5173" s="37" t="s">
        <v>32735</v>
      </c>
    </row>
    <row r="5174">
      <c r="A5174" s="37" t="s">
        <v>1536</v>
      </c>
      <c r="B5174" s="37" t="s">
        <v>1536</v>
      </c>
      <c r="C5174" s="7" t="s">
        <v>32736</v>
      </c>
      <c r="D5174" s="37" t="s">
        <v>32737</v>
      </c>
    </row>
    <row r="5175">
      <c r="A5175" s="37" t="s">
        <v>1536</v>
      </c>
      <c r="B5175" s="37" t="s">
        <v>1536</v>
      </c>
      <c r="C5175" s="37" t="s">
        <v>32738</v>
      </c>
      <c r="D5175" s="37" t="s">
        <v>32739</v>
      </c>
    </row>
    <row r="5176">
      <c r="A5176" s="37" t="s">
        <v>1536</v>
      </c>
      <c r="B5176" s="37" t="s">
        <v>1536</v>
      </c>
      <c r="C5176" s="7" t="s">
        <v>8403</v>
      </c>
      <c r="D5176" s="37" t="s">
        <v>32740</v>
      </c>
    </row>
    <row r="5177">
      <c r="A5177" s="37" t="s">
        <v>1536</v>
      </c>
      <c r="B5177" s="37" t="s">
        <v>1536</v>
      </c>
      <c r="C5177" s="7" t="s">
        <v>32741</v>
      </c>
      <c r="D5177" s="37" t="s">
        <v>32742</v>
      </c>
    </row>
    <row r="5178">
      <c r="A5178" s="37" t="s">
        <v>1536</v>
      </c>
      <c r="B5178" s="37" t="s">
        <v>1536</v>
      </c>
      <c r="C5178" s="37" t="s">
        <v>32143</v>
      </c>
      <c r="D5178" s="37" t="s">
        <v>32743</v>
      </c>
    </row>
    <row r="5179">
      <c r="A5179" s="37" t="s">
        <v>1536</v>
      </c>
      <c r="B5179" s="37" t="s">
        <v>1536</v>
      </c>
      <c r="C5179" s="7" t="s">
        <v>32744</v>
      </c>
      <c r="D5179" s="37" t="s">
        <v>32745</v>
      </c>
    </row>
    <row r="5180">
      <c r="A5180" s="37" t="s">
        <v>1536</v>
      </c>
      <c r="B5180" s="37" t="s">
        <v>1536</v>
      </c>
      <c r="C5180" s="7" t="s">
        <v>32746</v>
      </c>
      <c r="D5180" s="37" t="s">
        <v>32747</v>
      </c>
    </row>
    <row r="5181">
      <c r="A5181" s="37" t="s">
        <v>1536</v>
      </c>
      <c r="B5181" s="37" t="s">
        <v>1536</v>
      </c>
      <c r="C5181" s="37" t="s">
        <v>32748</v>
      </c>
      <c r="D5181" s="37" t="s">
        <v>32749</v>
      </c>
    </row>
    <row r="5182">
      <c r="A5182" s="37" t="s">
        <v>1536</v>
      </c>
      <c r="B5182" s="37" t="s">
        <v>1536</v>
      </c>
      <c r="C5182" s="7" t="s">
        <v>32750</v>
      </c>
      <c r="D5182" s="37" t="s">
        <v>32751</v>
      </c>
    </row>
    <row r="5183">
      <c r="A5183" s="37" t="s">
        <v>1536</v>
      </c>
      <c r="B5183" s="37" t="s">
        <v>1536</v>
      </c>
      <c r="C5183" s="7" t="s">
        <v>32752</v>
      </c>
      <c r="D5183" s="37" t="s">
        <v>32753</v>
      </c>
    </row>
    <row r="5184">
      <c r="A5184" s="37" t="s">
        <v>1536</v>
      </c>
      <c r="B5184" s="37" t="s">
        <v>1536</v>
      </c>
      <c r="C5184" s="37" t="s">
        <v>32754</v>
      </c>
      <c r="D5184" s="37" t="s">
        <v>32755</v>
      </c>
    </row>
    <row r="5185">
      <c r="A5185" s="37" t="s">
        <v>1536</v>
      </c>
      <c r="B5185" s="37" t="s">
        <v>1536</v>
      </c>
      <c r="C5185" s="7" t="s">
        <v>32756</v>
      </c>
      <c r="D5185" s="37" t="s">
        <v>32757</v>
      </c>
    </row>
    <row r="5186">
      <c r="A5186" s="37" t="s">
        <v>1536</v>
      </c>
      <c r="B5186" s="37" t="s">
        <v>1536</v>
      </c>
      <c r="C5186" s="7" t="s">
        <v>32419</v>
      </c>
      <c r="D5186" s="37" t="s">
        <v>32758</v>
      </c>
    </row>
    <row r="5187">
      <c r="A5187" s="37" t="s">
        <v>1536</v>
      </c>
      <c r="B5187" s="37" t="s">
        <v>1536</v>
      </c>
      <c r="C5187" s="7" t="s">
        <v>32759</v>
      </c>
      <c r="D5187" s="37" t="s">
        <v>32760</v>
      </c>
    </row>
    <row r="5188">
      <c r="A5188" s="37" t="s">
        <v>1536</v>
      </c>
      <c r="B5188" s="37" t="s">
        <v>1536</v>
      </c>
      <c r="C5188" s="7" t="s">
        <v>32761</v>
      </c>
      <c r="D5188" s="37" t="s">
        <v>32762</v>
      </c>
    </row>
    <row r="5189">
      <c r="A5189" s="37" t="s">
        <v>1536</v>
      </c>
      <c r="B5189" s="37" t="s">
        <v>1536</v>
      </c>
      <c r="C5189" s="7" t="s">
        <v>32763</v>
      </c>
      <c r="D5189" s="37" t="s">
        <v>32764</v>
      </c>
    </row>
    <row r="5190">
      <c r="A5190" s="37" t="s">
        <v>1536</v>
      </c>
      <c r="B5190" s="37" t="s">
        <v>1536</v>
      </c>
      <c r="C5190" s="37" t="s">
        <v>32765</v>
      </c>
      <c r="D5190" s="37" t="s">
        <v>32766</v>
      </c>
    </row>
    <row r="5191">
      <c r="A5191" s="37" t="s">
        <v>1536</v>
      </c>
      <c r="B5191" s="37" t="s">
        <v>1536</v>
      </c>
      <c r="C5191" s="7" t="s">
        <v>32767</v>
      </c>
      <c r="D5191" s="37" t="s">
        <v>32768</v>
      </c>
    </row>
    <row r="5192">
      <c r="A5192" s="37" t="s">
        <v>1536</v>
      </c>
      <c r="B5192" s="37" t="s">
        <v>1536</v>
      </c>
      <c r="C5192" s="7" t="s">
        <v>32769</v>
      </c>
      <c r="D5192" s="37" t="s">
        <v>32770</v>
      </c>
    </row>
    <row r="5193">
      <c r="A5193" s="37" t="s">
        <v>1536</v>
      </c>
      <c r="B5193" s="37" t="s">
        <v>1536</v>
      </c>
      <c r="C5193" s="7" t="s">
        <v>32771</v>
      </c>
      <c r="D5193" s="37" t="s">
        <v>32772</v>
      </c>
    </row>
    <row r="5194">
      <c r="A5194" s="37" t="s">
        <v>1536</v>
      </c>
      <c r="B5194" s="37" t="s">
        <v>1536</v>
      </c>
      <c r="C5194" s="7" t="s">
        <v>32773</v>
      </c>
      <c r="D5194" s="37" t="s">
        <v>32774</v>
      </c>
    </row>
    <row r="5195">
      <c r="A5195" s="37" t="s">
        <v>1536</v>
      </c>
      <c r="B5195" s="37" t="s">
        <v>1536</v>
      </c>
      <c r="C5195" s="7" t="s">
        <v>32775</v>
      </c>
      <c r="D5195" s="37" t="s">
        <v>32776</v>
      </c>
    </row>
    <row r="5196">
      <c r="A5196" s="37" t="s">
        <v>1536</v>
      </c>
      <c r="B5196" s="37" t="s">
        <v>1536</v>
      </c>
      <c r="C5196" s="7" t="s">
        <v>32777</v>
      </c>
      <c r="D5196" s="37" t="s">
        <v>32778</v>
      </c>
    </row>
    <row r="5197">
      <c r="A5197" s="37" t="s">
        <v>1536</v>
      </c>
      <c r="B5197" s="37" t="s">
        <v>1536</v>
      </c>
      <c r="C5197" s="7" t="s">
        <v>32779</v>
      </c>
      <c r="D5197" s="37" t="s">
        <v>32780</v>
      </c>
    </row>
    <row r="5198">
      <c r="A5198" s="37" t="s">
        <v>1536</v>
      </c>
      <c r="B5198" s="37" t="s">
        <v>1536</v>
      </c>
      <c r="C5198" s="7" t="s">
        <v>32781</v>
      </c>
      <c r="D5198" s="37" t="s">
        <v>32782</v>
      </c>
    </row>
    <row r="5199">
      <c r="A5199" s="37" t="s">
        <v>1536</v>
      </c>
      <c r="B5199" s="37" t="s">
        <v>1536</v>
      </c>
      <c r="C5199" s="7" t="s">
        <v>32783</v>
      </c>
      <c r="D5199" s="37" t="s">
        <v>32784</v>
      </c>
    </row>
    <row r="5200">
      <c r="A5200" s="37" t="s">
        <v>1536</v>
      </c>
      <c r="B5200" s="37" t="s">
        <v>1536</v>
      </c>
      <c r="C5200" s="7" t="s">
        <v>32785</v>
      </c>
      <c r="D5200" s="37" t="s">
        <v>32786</v>
      </c>
    </row>
    <row r="5201">
      <c r="A5201" s="37" t="s">
        <v>1536</v>
      </c>
      <c r="B5201" s="37" t="s">
        <v>1536</v>
      </c>
      <c r="C5201" s="7" t="s">
        <v>32787</v>
      </c>
      <c r="D5201" s="37" t="s">
        <v>32788</v>
      </c>
    </row>
    <row r="5202">
      <c r="A5202" s="37" t="s">
        <v>1536</v>
      </c>
      <c r="B5202" s="37" t="s">
        <v>1536</v>
      </c>
      <c r="C5202" s="7" t="s">
        <v>32789</v>
      </c>
      <c r="D5202" s="37" t="s">
        <v>32790</v>
      </c>
    </row>
    <row r="5203">
      <c r="A5203" s="37" t="s">
        <v>1536</v>
      </c>
      <c r="B5203" s="37" t="s">
        <v>1536</v>
      </c>
      <c r="C5203" s="7" t="s">
        <v>32791</v>
      </c>
      <c r="D5203" s="37" t="s">
        <v>32792</v>
      </c>
    </row>
    <row r="5204">
      <c r="A5204" s="37" t="s">
        <v>1536</v>
      </c>
      <c r="B5204" s="37" t="s">
        <v>1536</v>
      </c>
      <c r="C5204" s="7" t="s">
        <v>32793</v>
      </c>
      <c r="D5204" s="37" t="s">
        <v>32794</v>
      </c>
    </row>
    <row r="5205">
      <c r="A5205" s="37" t="s">
        <v>1536</v>
      </c>
      <c r="B5205" s="37" t="s">
        <v>1536</v>
      </c>
      <c r="C5205" s="7" t="s">
        <v>32795</v>
      </c>
      <c r="D5205" s="37" t="s">
        <v>32796</v>
      </c>
    </row>
    <row r="5206">
      <c r="A5206" s="37" t="s">
        <v>1536</v>
      </c>
      <c r="B5206" s="37" t="s">
        <v>1536</v>
      </c>
      <c r="C5206" s="7" t="s">
        <v>32797</v>
      </c>
      <c r="D5206" s="37" t="s">
        <v>32798</v>
      </c>
    </row>
    <row r="5207">
      <c r="A5207" s="37" t="s">
        <v>1536</v>
      </c>
      <c r="B5207" s="37" t="s">
        <v>1536</v>
      </c>
      <c r="C5207" s="7" t="s">
        <v>32799</v>
      </c>
      <c r="D5207" s="37" t="s">
        <v>32800</v>
      </c>
    </row>
    <row r="5208">
      <c r="A5208" s="37" t="s">
        <v>1536</v>
      </c>
      <c r="B5208" s="37" t="s">
        <v>1536</v>
      </c>
      <c r="C5208" s="7" t="s">
        <v>32801</v>
      </c>
      <c r="D5208" s="37" t="s">
        <v>32802</v>
      </c>
    </row>
    <row r="5209">
      <c r="A5209" s="37" t="s">
        <v>1536</v>
      </c>
      <c r="B5209" s="37" t="s">
        <v>1536</v>
      </c>
      <c r="C5209" s="7" t="s">
        <v>32803</v>
      </c>
      <c r="D5209" s="37" t="s">
        <v>32804</v>
      </c>
    </row>
    <row r="5210">
      <c r="A5210" s="37" t="s">
        <v>1536</v>
      </c>
      <c r="B5210" s="37" t="s">
        <v>1536</v>
      </c>
      <c r="C5210" s="37" t="s">
        <v>32805</v>
      </c>
      <c r="D5210" s="37" t="s">
        <v>32806</v>
      </c>
    </row>
    <row r="5211">
      <c r="A5211" s="37" t="s">
        <v>1536</v>
      </c>
      <c r="B5211" s="37" t="s">
        <v>1536</v>
      </c>
      <c r="C5211" s="7" t="s">
        <v>32807</v>
      </c>
      <c r="D5211" s="37" t="s">
        <v>32808</v>
      </c>
    </row>
    <row r="5212">
      <c r="A5212" s="37" t="s">
        <v>1536</v>
      </c>
      <c r="B5212" s="37" t="s">
        <v>1536</v>
      </c>
      <c r="C5212" s="7" t="s">
        <v>32809</v>
      </c>
      <c r="D5212" s="37" t="s">
        <v>32810</v>
      </c>
    </row>
    <row r="5213">
      <c r="A5213" s="37" t="s">
        <v>1536</v>
      </c>
      <c r="B5213" s="37" t="s">
        <v>1536</v>
      </c>
      <c r="C5213" s="7" t="s">
        <v>32811</v>
      </c>
      <c r="D5213" s="37" t="s">
        <v>32812</v>
      </c>
    </row>
    <row r="5214">
      <c r="A5214" s="37" t="s">
        <v>1536</v>
      </c>
      <c r="B5214" s="37" t="s">
        <v>1536</v>
      </c>
      <c r="C5214" s="7" t="s">
        <v>32813</v>
      </c>
      <c r="D5214" s="37" t="s">
        <v>32814</v>
      </c>
    </row>
    <row r="5215">
      <c r="A5215" s="37" t="s">
        <v>1536</v>
      </c>
      <c r="B5215" s="37" t="s">
        <v>1536</v>
      </c>
      <c r="C5215" s="7" t="s">
        <v>32815</v>
      </c>
      <c r="D5215" s="37" t="s">
        <v>32816</v>
      </c>
    </row>
    <row r="5216">
      <c r="A5216" s="37" t="s">
        <v>1536</v>
      </c>
      <c r="B5216" s="37" t="s">
        <v>1536</v>
      </c>
      <c r="C5216" s="7" t="s">
        <v>32817</v>
      </c>
      <c r="D5216" s="37" t="s">
        <v>32818</v>
      </c>
    </row>
    <row r="5217">
      <c r="A5217" s="37" t="s">
        <v>1536</v>
      </c>
      <c r="B5217" s="37" t="s">
        <v>1536</v>
      </c>
      <c r="C5217" s="7" t="s">
        <v>32819</v>
      </c>
      <c r="D5217" s="37" t="s">
        <v>32820</v>
      </c>
    </row>
    <row r="5218">
      <c r="A5218" s="37" t="s">
        <v>1536</v>
      </c>
      <c r="B5218" s="37" t="s">
        <v>1536</v>
      </c>
      <c r="C5218" s="7" t="s">
        <v>32821</v>
      </c>
      <c r="D5218" s="37" t="s">
        <v>32822</v>
      </c>
    </row>
    <row r="5219">
      <c r="A5219" s="37" t="s">
        <v>1536</v>
      </c>
      <c r="B5219" s="37" t="s">
        <v>1536</v>
      </c>
      <c r="C5219" s="7" t="s">
        <v>31445</v>
      </c>
      <c r="D5219" s="37" t="s">
        <v>32823</v>
      </c>
    </row>
    <row r="5220">
      <c r="A5220" s="37" t="s">
        <v>1536</v>
      </c>
      <c r="B5220" s="37" t="s">
        <v>1536</v>
      </c>
      <c r="C5220" s="7" t="s">
        <v>32824</v>
      </c>
      <c r="D5220" s="37" t="s">
        <v>32825</v>
      </c>
    </row>
    <row r="5221">
      <c r="A5221" s="37" t="s">
        <v>1536</v>
      </c>
      <c r="B5221" s="37" t="s">
        <v>1536</v>
      </c>
      <c r="C5221" s="7" t="s">
        <v>32826</v>
      </c>
      <c r="D5221" s="37" t="s">
        <v>32827</v>
      </c>
    </row>
    <row r="5222">
      <c r="A5222" s="37" t="s">
        <v>1536</v>
      </c>
      <c r="B5222" s="37" t="s">
        <v>1536</v>
      </c>
      <c r="C5222" s="7" t="s">
        <v>32513</v>
      </c>
      <c r="D5222" s="37" t="s">
        <v>32828</v>
      </c>
    </row>
    <row r="5223">
      <c r="A5223" s="37" t="s">
        <v>1536</v>
      </c>
      <c r="B5223" s="37" t="s">
        <v>1536</v>
      </c>
      <c r="C5223" s="7" t="s">
        <v>31980</v>
      </c>
      <c r="D5223" s="37" t="s">
        <v>32829</v>
      </c>
    </row>
    <row r="5224">
      <c r="A5224" s="37" t="s">
        <v>1536</v>
      </c>
      <c r="B5224" s="37" t="s">
        <v>1536</v>
      </c>
      <c r="C5224" s="7" t="s">
        <v>31381</v>
      </c>
      <c r="D5224" s="37" t="s">
        <v>32830</v>
      </c>
    </row>
    <row r="5225">
      <c r="A5225" s="37" t="s">
        <v>1536</v>
      </c>
      <c r="B5225" s="37" t="s">
        <v>1536</v>
      </c>
      <c r="C5225" s="7" t="s">
        <v>28424</v>
      </c>
      <c r="D5225" s="37" t="s">
        <v>32831</v>
      </c>
    </row>
    <row r="5226">
      <c r="A5226" s="37" t="s">
        <v>1536</v>
      </c>
      <c r="B5226" s="37" t="s">
        <v>1536</v>
      </c>
      <c r="C5226" s="7" t="s">
        <v>29635</v>
      </c>
      <c r="D5226" s="37" t="s">
        <v>32832</v>
      </c>
    </row>
    <row r="5227">
      <c r="A5227" s="37" t="s">
        <v>1536</v>
      </c>
      <c r="B5227" s="37" t="s">
        <v>1536</v>
      </c>
      <c r="C5227" s="7" t="s">
        <v>8403</v>
      </c>
      <c r="D5227" s="37" t="s">
        <v>32833</v>
      </c>
    </row>
    <row r="5228">
      <c r="A5228" s="37" t="s">
        <v>1536</v>
      </c>
      <c r="B5228" s="37" t="s">
        <v>1536</v>
      </c>
      <c r="C5228" s="7" t="s">
        <v>32834</v>
      </c>
      <c r="D5228" s="37" t="s">
        <v>32835</v>
      </c>
    </row>
    <row r="5229">
      <c r="A5229" s="37" t="s">
        <v>1536</v>
      </c>
      <c r="B5229" s="37" t="s">
        <v>1536</v>
      </c>
      <c r="C5229" s="7" t="s">
        <v>27531</v>
      </c>
      <c r="D5229" s="37" t="s">
        <v>32836</v>
      </c>
    </row>
    <row r="5230">
      <c r="A5230" s="37" t="s">
        <v>1536</v>
      </c>
      <c r="B5230" s="37" t="s">
        <v>1536</v>
      </c>
      <c r="C5230" s="7" t="s">
        <v>32837</v>
      </c>
      <c r="D5230" s="37" t="s">
        <v>32838</v>
      </c>
    </row>
    <row r="5231">
      <c r="A5231" s="37" t="s">
        <v>1536</v>
      </c>
      <c r="B5231" s="37" t="s">
        <v>1536</v>
      </c>
      <c r="C5231" s="37" t="s">
        <v>32839</v>
      </c>
      <c r="D5231" s="37" t="s">
        <v>32840</v>
      </c>
    </row>
    <row r="5232">
      <c r="A5232" s="37" t="s">
        <v>1536</v>
      </c>
      <c r="B5232" s="37" t="s">
        <v>1536</v>
      </c>
      <c r="C5232" s="7" t="s">
        <v>32841</v>
      </c>
      <c r="D5232" s="37" t="s">
        <v>32842</v>
      </c>
    </row>
    <row r="5233">
      <c r="A5233" s="37" t="s">
        <v>1536</v>
      </c>
      <c r="B5233" s="37" t="s">
        <v>1536</v>
      </c>
      <c r="C5233" s="7" t="s">
        <v>32843</v>
      </c>
      <c r="D5233" s="37" t="s">
        <v>32844</v>
      </c>
    </row>
    <row r="5234">
      <c r="A5234" s="37" t="s">
        <v>1536</v>
      </c>
      <c r="B5234" s="37" t="s">
        <v>1536</v>
      </c>
      <c r="C5234" s="7" t="s">
        <v>32845</v>
      </c>
      <c r="D5234" s="37" t="s">
        <v>32846</v>
      </c>
    </row>
    <row r="5235">
      <c r="A5235" s="37" t="s">
        <v>1536</v>
      </c>
      <c r="B5235" s="37" t="s">
        <v>1536</v>
      </c>
      <c r="C5235" s="7" t="s">
        <v>6171</v>
      </c>
      <c r="D5235" s="37" t="s">
        <v>32847</v>
      </c>
    </row>
    <row r="5236">
      <c r="A5236" s="37" t="s">
        <v>1536</v>
      </c>
      <c r="B5236" s="37" t="s">
        <v>1536</v>
      </c>
      <c r="C5236" s="7" t="s">
        <v>32848</v>
      </c>
      <c r="D5236" s="37" t="s">
        <v>32849</v>
      </c>
    </row>
    <row r="5237">
      <c r="A5237" s="37" t="s">
        <v>1536</v>
      </c>
      <c r="B5237" s="37" t="s">
        <v>1536</v>
      </c>
      <c r="C5237" s="7" t="s">
        <v>32850</v>
      </c>
      <c r="D5237" s="37" t="s">
        <v>32851</v>
      </c>
    </row>
    <row r="5238">
      <c r="A5238" s="37" t="s">
        <v>1536</v>
      </c>
      <c r="B5238" s="37" t="s">
        <v>1536</v>
      </c>
      <c r="C5238" s="7" t="s">
        <v>32852</v>
      </c>
      <c r="D5238" s="37" t="s">
        <v>32853</v>
      </c>
    </row>
    <row r="5239">
      <c r="A5239" s="37" t="s">
        <v>1536</v>
      </c>
      <c r="B5239" s="37" t="s">
        <v>1536</v>
      </c>
      <c r="C5239" s="37" t="s">
        <v>32854</v>
      </c>
      <c r="D5239" s="37" t="s">
        <v>32855</v>
      </c>
    </row>
    <row r="5240">
      <c r="A5240" s="37" t="s">
        <v>1536</v>
      </c>
      <c r="B5240" s="37" t="s">
        <v>1536</v>
      </c>
      <c r="C5240" s="7" t="s">
        <v>32856</v>
      </c>
      <c r="D5240" s="37" t="s">
        <v>32857</v>
      </c>
    </row>
    <row r="5241">
      <c r="A5241" s="37" t="s">
        <v>1536</v>
      </c>
      <c r="B5241" s="37" t="s">
        <v>1536</v>
      </c>
      <c r="C5241" s="7" t="s">
        <v>32858</v>
      </c>
      <c r="D5241" s="37" t="s">
        <v>32859</v>
      </c>
    </row>
    <row r="5242">
      <c r="A5242" s="37" t="s">
        <v>1536</v>
      </c>
      <c r="B5242" s="37" t="s">
        <v>1536</v>
      </c>
      <c r="C5242" s="7" t="s">
        <v>32860</v>
      </c>
      <c r="D5242" s="37" t="s">
        <v>32861</v>
      </c>
    </row>
    <row r="5243">
      <c r="A5243" s="37" t="s">
        <v>1536</v>
      </c>
      <c r="B5243" s="37" t="s">
        <v>1536</v>
      </c>
      <c r="C5243" s="7" t="s">
        <v>32626</v>
      </c>
      <c r="D5243" s="37" t="s">
        <v>32862</v>
      </c>
    </row>
    <row r="5244">
      <c r="A5244" s="37" t="s">
        <v>1536</v>
      </c>
      <c r="B5244" s="37" t="s">
        <v>1536</v>
      </c>
      <c r="C5244" s="7" t="s">
        <v>32863</v>
      </c>
      <c r="D5244" s="37" t="s">
        <v>32864</v>
      </c>
    </row>
    <row r="5245">
      <c r="A5245" s="37" t="s">
        <v>1536</v>
      </c>
      <c r="B5245" s="37" t="s">
        <v>1536</v>
      </c>
      <c r="C5245" s="7" t="s">
        <v>32865</v>
      </c>
      <c r="D5245" s="37" t="s">
        <v>32866</v>
      </c>
    </row>
    <row r="5246">
      <c r="A5246" s="37" t="s">
        <v>1536</v>
      </c>
      <c r="B5246" s="37" t="s">
        <v>1536</v>
      </c>
      <c r="C5246" s="7" t="s">
        <v>32867</v>
      </c>
      <c r="D5246" s="37" t="s">
        <v>32868</v>
      </c>
    </row>
    <row r="5247">
      <c r="A5247" s="37" t="s">
        <v>1536</v>
      </c>
      <c r="B5247" s="37" t="s">
        <v>1536</v>
      </c>
      <c r="C5247" s="7" t="s">
        <v>32869</v>
      </c>
      <c r="D5247" s="37" t="s">
        <v>32870</v>
      </c>
    </row>
    <row r="5248">
      <c r="A5248" s="37" t="s">
        <v>1536</v>
      </c>
      <c r="B5248" s="37" t="s">
        <v>1536</v>
      </c>
      <c r="C5248" s="7" t="s">
        <v>5227</v>
      </c>
      <c r="D5248" s="37" t="s">
        <v>32871</v>
      </c>
    </row>
    <row r="5249">
      <c r="A5249" s="37" t="s">
        <v>1536</v>
      </c>
      <c r="B5249" s="37" t="s">
        <v>1536</v>
      </c>
      <c r="C5249" s="7" t="s">
        <v>32872</v>
      </c>
      <c r="D5249" s="37" t="s">
        <v>32873</v>
      </c>
    </row>
    <row r="5250">
      <c r="A5250" s="37" t="s">
        <v>1536</v>
      </c>
      <c r="B5250" s="37" t="s">
        <v>1536</v>
      </c>
      <c r="C5250" s="37" t="s">
        <v>32874</v>
      </c>
      <c r="D5250" s="37" t="s">
        <v>32875</v>
      </c>
    </row>
    <row r="5251">
      <c r="A5251" s="37" t="s">
        <v>1536</v>
      </c>
      <c r="B5251" s="37" t="s">
        <v>1536</v>
      </c>
      <c r="C5251" s="37" t="s">
        <v>32876</v>
      </c>
      <c r="D5251" s="37" t="s">
        <v>32877</v>
      </c>
    </row>
    <row r="5252">
      <c r="A5252" s="37" t="s">
        <v>1536</v>
      </c>
      <c r="B5252" s="37" t="s">
        <v>1536</v>
      </c>
      <c r="C5252" s="37" t="s">
        <v>32878</v>
      </c>
      <c r="D5252" s="37" t="s">
        <v>32879</v>
      </c>
    </row>
    <row r="5253">
      <c r="A5253" s="37" t="s">
        <v>1536</v>
      </c>
      <c r="B5253" s="37" t="s">
        <v>1536</v>
      </c>
      <c r="C5253" s="37" t="s">
        <v>32023</v>
      </c>
      <c r="D5253" s="37" t="s">
        <v>32880</v>
      </c>
    </row>
    <row r="5254">
      <c r="A5254" s="37" t="s">
        <v>1536</v>
      </c>
      <c r="B5254" s="37" t="s">
        <v>1536</v>
      </c>
      <c r="C5254" s="37" t="s">
        <v>32881</v>
      </c>
      <c r="D5254" s="37" t="s">
        <v>32882</v>
      </c>
    </row>
    <row r="5255">
      <c r="A5255" s="37" t="s">
        <v>1536</v>
      </c>
      <c r="B5255" s="37" t="s">
        <v>1536</v>
      </c>
      <c r="C5255" s="7" t="s">
        <v>32883</v>
      </c>
      <c r="D5255" s="37" t="s">
        <v>32884</v>
      </c>
    </row>
    <row r="5256">
      <c r="A5256" s="37" t="s">
        <v>1536</v>
      </c>
      <c r="B5256" s="37" t="s">
        <v>1536</v>
      </c>
      <c r="C5256" s="7" t="s">
        <v>32885</v>
      </c>
      <c r="D5256" s="37" t="s">
        <v>32886</v>
      </c>
    </row>
    <row r="5257">
      <c r="A5257" s="37" t="s">
        <v>1536</v>
      </c>
      <c r="B5257" s="37" t="s">
        <v>1536</v>
      </c>
      <c r="C5257" s="7" t="s">
        <v>32887</v>
      </c>
      <c r="D5257" s="37" t="s">
        <v>32888</v>
      </c>
    </row>
    <row r="5258">
      <c r="A5258" s="37" t="s">
        <v>1536</v>
      </c>
      <c r="B5258" s="37" t="s">
        <v>1536</v>
      </c>
      <c r="C5258" s="7" t="s">
        <v>32889</v>
      </c>
      <c r="D5258" s="37" t="s">
        <v>32890</v>
      </c>
    </row>
    <row r="5259">
      <c r="A5259" s="37" t="s">
        <v>1536</v>
      </c>
      <c r="B5259" s="37" t="s">
        <v>1536</v>
      </c>
      <c r="C5259" s="37" t="s">
        <v>32891</v>
      </c>
      <c r="D5259" s="37" t="s">
        <v>32892</v>
      </c>
    </row>
    <row r="5260">
      <c r="A5260" s="37" t="s">
        <v>1536</v>
      </c>
      <c r="B5260" s="37" t="s">
        <v>1536</v>
      </c>
      <c r="C5260" s="7" t="s">
        <v>32893</v>
      </c>
      <c r="D5260" s="37" t="s">
        <v>32894</v>
      </c>
    </row>
    <row r="5261">
      <c r="A5261" s="37" t="s">
        <v>1536</v>
      </c>
      <c r="B5261" s="37" t="s">
        <v>1536</v>
      </c>
      <c r="C5261" s="7" t="s">
        <v>32895</v>
      </c>
      <c r="D5261" s="37" t="s">
        <v>32896</v>
      </c>
    </row>
    <row r="5262">
      <c r="A5262" s="37" t="s">
        <v>1536</v>
      </c>
      <c r="B5262" s="37" t="s">
        <v>1536</v>
      </c>
      <c r="C5262" s="37" t="s">
        <v>32897</v>
      </c>
      <c r="D5262" s="37" t="s">
        <v>32898</v>
      </c>
    </row>
    <row r="5263">
      <c r="A5263" s="37" t="s">
        <v>1536</v>
      </c>
      <c r="B5263" s="37" t="s">
        <v>1536</v>
      </c>
      <c r="C5263" s="7" t="s">
        <v>32899</v>
      </c>
      <c r="D5263" s="37" t="s">
        <v>32900</v>
      </c>
    </row>
    <row r="5264">
      <c r="A5264" s="37" t="s">
        <v>1536</v>
      </c>
      <c r="B5264" s="37" t="s">
        <v>1536</v>
      </c>
      <c r="C5264" s="7" t="s">
        <v>23075</v>
      </c>
      <c r="D5264" s="37" t="s">
        <v>32901</v>
      </c>
    </row>
    <row r="5265">
      <c r="A5265" s="37" t="s">
        <v>1536</v>
      </c>
      <c r="B5265" s="37" t="s">
        <v>1536</v>
      </c>
      <c r="C5265" s="7" t="s">
        <v>32902</v>
      </c>
      <c r="D5265" s="37" t="s">
        <v>32903</v>
      </c>
    </row>
    <row r="5266">
      <c r="A5266" s="37" t="s">
        <v>1536</v>
      </c>
      <c r="B5266" s="37" t="s">
        <v>1536</v>
      </c>
      <c r="C5266" s="7" t="s">
        <v>32904</v>
      </c>
      <c r="D5266" s="37" t="s">
        <v>32905</v>
      </c>
    </row>
    <row r="5267">
      <c r="A5267" s="37" t="s">
        <v>1536</v>
      </c>
      <c r="B5267" s="37" t="s">
        <v>1536</v>
      </c>
      <c r="C5267" s="7" t="s">
        <v>32906</v>
      </c>
      <c r="D5267" s="37" t="s">
        <v>32907</v>
      </c>
    </row>
    <row r="5268">
      <c r="A5268" s="37" t="s">
        <v>1536</v>
      </c>
      <c r="B5268" s="37" t="s">
        <v>1536</v>
      </c>
      <c r="C5268" s="7" t="s">
        <v>32908</v>
      </c>
      <c r="D5268" s="37" t="s">
        <v>32909</v>
      </c>
    </row>
    <row r="5269">
      <c r="A5269" s="37" t="s">
        <v>1536</v>
      </c>
      <c r="B5269" s="37" t="s">
        <v>1536</v>
      </c>
      <c r="C5269" s="7" t="s">
        <v>32910</v>
      </c>
      <c r="D5269" s="37" t="s">
        <v>32911</v>
      </c>
    </row>
    <row r="5270">
      <c r="A5270" s="37" t="s">
        <v>1536</v>
      </c>
      <c r="B5270" s="37" t="s">
        <v>1536</v>
      </c>
      <c r="C5270" s="7" t="s">
        <v>32912</v>
      </c>
      <c r="D5270" s="37" t="s">
        <v>32913</v>
      </c>
    </row>
    <row r="5271">
      <c r="A5271" s="37" t="s">
        <v>1536</v>
      </c>
      <c r="B5271" s="37" t="s">
        <v>1536</v>
      </c>
      <c r="C5271" s="7" t="s">
        <v>32914</v>
      </c>
      <c r="D5271" s="37" t="s">
        <v>32915</v>
      </c>
    </row>
    <row r="5272">
      <c r="A5272" s="37" t="s">
        <v>1536</v>
      </c>
      <c r="B5272" s="37" t="s">
        <v>1536</v>
      </c>
      <c r="C5272" s="7" t="s">
        <v>32916</v>
      </c>
      <c r="D5272" s="37" t="s">
        <v>32917</v>
      </c>
    </row>
    <row r="5273">
      <c r="A5273" s="37" t="s">
        <v>1536</v>
      </c>
      <c r="B5273" s="37" t="s">
        <v>1536</v>
      </c>
      <c r="C5273" s="7" t="s">
        <v>32918</v>
      </c>
      <c r="D5273" s="37" t="s">
        <v>32919</v>
      </c>
    </row>
    <row r="5274">
      <c r="A5274" s="37" t="s">
        <v>1536</v>
      </c>
      <c r="B5274" s="37" t="s">
        <v>1536</v>
      </c>
      <c r="C5274" s="7" t="s">
        <v>32920</v>
      </c>
      <c r="D5274" s="37" t="s">
        <v>32921</v>
      </c>
    </row>
    <row r="5275">
      <c r="A5275" s="37" t="s">
        <v>1536</v>
      </c>
      <c r="B5275" s="37" t="s">
        <v>1536</v>
      </c>
      <c r="C5275" s="7" t="s">
        <v>32922</v>
      </c>
      <c r="D5275" s="37" t="s">
        <v>32923</v>
      </c>
    </row>
    <row r="5276">
      <c r="A5276" s="37" t="s">
        <v>1536</v>
      </c>
      <c r="B5276" s="37" t="s">
        <v>1536</v>
      </c>
      <c r="C5276" s="7" t="s">
        <v>32924</v>
      </c>
      <c r="D5276" s="37" t="s">
        <v>32925</v>
      </c>
    </row>
    <row r="5277">
      <c r="A5277" s="37" t="s">
        <v>1536</v>
      </c>
      <c r="B5277" s="37" t="s">
        <v>1536</v>
      </c>
      <c r="C5277" s="7" t="s">
        <v>32926</v>
      </c>
      <c r="D5277" s="37" t="s">
        <v>32927</v>
      </c>
    </row>
    <row r="5278">
      <c r="A5278" s="37" t="s">
        <v>1536</v>
      </c>
      <c r="B5278" s="37" t="s">
        <v>1536</v>
      </c>
      <c r="C5278" s="37" t="s">
        <v>32928</v>
      </c>
      <c r="D5278" s="37" t="s">
        <v>32929</v>
      </c>
    </row>
    <row r="5279">
      <c r="A5279" s="37" t="s">
        <v>1536</v>
      </c>
      <c r="B5279" s="37" t="s">
        <v>1536</v>
      </c>
      <c r="C5279" s="37" t="s">
        <v>32930</v>
      </c>
      <c r="D5279" s="37" t="s">
        <v>32931</v>
      </c>
    </row>
    <row r="5280">
      <c r="A5280" s="37" t="s">
        <v>1536</v>
      </c>
      <c r="B5280" s="37" t="s">
        <v>1536</v>
      </c>
      <c r="C5280" s="7" t="s">
        <v>32932</v>
      </c>
      <c r="D5280" s="37" t="s">
        <v>32933</v>
      </c>
    </row>
    <row r="5281">
      <c r="A5281" s="37" t="s">
        <v>1536</v>
      </c>
      <c r="B5281" s="37" t="s">
        <v>1536</v>
      </c>
      <c r="C5281" s="7" t="s">
        <v>32934</v>
      </c>
      <c r="D5281" s="37" t="s">
        <v>32935</v>
      </c>
    </row>
    <row r="5282">
      <c r="A5282" s="37" t="s">
        <v>1536</v>
      </c>
      <c r="B5282" s="37" t="s">
        <v>1536</v>
      </c>
      <c r="C5282" s="7" t="s">
        <v>32936</v>
      </c>
      <c r="D5282" s="37" t="s">
        <v>32937</v>
      </c>
    </row>
    <row r="5283">
      <c r="A5283" s="37" t="s">
        <v>1536</v>
      </c>
      <c r="B5283" s="37" t="s">
        <v>1536</v>
      </c>
      <c r="C5283" s="7" t="s">
        <v>32938</v>
      </c>
      <c r="D5283" s="37" t="s">
        <v>32939</v>
      </c>
    </row>
    <row r="5284">
      <c r="A5284" s="37" t="s">
        <v>1536</v>
      </c>
      <c r="B5284" s="37" t="s">
        <v>1536</v>
      </c>
      <c r="C5284" s="7" t="s">
        <v>32940</v>
      </c>
      <c r="D5284" s="37" t="s">
        <v>32941</v>
      </c>
    </row>
    <row r="5285">
      <c r="A5285" s="37" t="s">
        <v>1536</v>
      </c>
      <c r="B5285" s="37" t="s">
        <v>1536</v>
      </c>
      <c r="C5285" s="7" t="s">
        <v>32942</v>
      </c>
      <c r="D5285" s="37" t="s">
        <v>32943</v>
      </c>
    </row>
    <row r="5286">
      <c r="A5286" s="37" t="s">
        <v>1536</v>
      </c>
      <c r="B5286" s="37" t="s">
        <v>1536</v>
      </c>
      <c r="C5286" s="7" t="s">
        <v>32944</v>
      </c>
      <c r="D5286" s="37" t="s">
        <v>32945</v>
      </c>
    </row>
    <row r="5287">
      <c r="A5287" s="37" t="s">
        <v>1536</v>
      </c>
      <c r="B5287" s="37" t="s">
        <v>1536</v>
      </c>
      <c r="C5287" s="7" t="s">
        <v>32946</v>
      </c>
      <c r="D5287" s="37" t="s">
        <v>32947</v>
      </c>
    </row>
    <row r="5288">
      <c r="A5288" s="37" t="s">
        <v>1536</v>
      </c>
      <c r="B5288" s="37" t="s">
        <v>1536</v>
      </c>
      <c r="C5288" s="7" t="s">
        <v>30333</v>
      </c>
      <c r="D5288" s="37" t="s">
        <v>32948</v>
      </c>
    </row>
    <row r="5289">
      <c r="A5289" s="37" t="s">
        <v>1536</v>
      </c>
      <c r="B5289" s="37" t="s">
        <v>1536</v>
      </c>
      <c r="C5289" s="37" t="s">
        <v>32949</v>
      </c>
      <c r="D5289" s="37" t="s">
        <v>32950</v>
      </c>
    </row>
    <row r="5290">
      <c r="A5290" s="37" t="s">
        <v>1536</v>
      </c>
      <c r="B5290" s="37" t="s">
        <v>1536</v>
      </c>
      <c r="C5290" s="37" t="s">
        <v>32951</v>
      </c>
      <c r="D5290" s="37" t="s">
        <v>32952</v>
      </c>
    </row>
    <row r="5291">
      <c r="A5291" s="37" t="s">
        <v>1536</v>
      </c>
      <c r="B5291" s="37" t="s">
        <v>1536</v>
      </c>
      <c r="C5291" s="37" t="s">
        <v>32953</v>
      </c>
      <c r="D5291" s="37" t="s">
        <v>32954</v>
      </c>
    </row>
    <row r="5292">
      <c r="A5292" s="37" t="s">
        <v>1536</v>
      </c>
      <c r="B5292" s="37" t="s">
        <v>1536</v>
      </c>
      <c r="C5292" s="7" t="s">
        <v>32955</v>
      </c>
      <c r="D5292" s="37" t="s">
        <v>32956</v>
      </c>
    </row>
    <row r="5293">
      <c r="A5293" s="37" t="s">
        <v>1536</v>
      </c>
      <c r="B5293" s="37" t="s">
        <v>1536</v>
      </c>
      <c r="C5293" s="7" t="s">
        <v>30559</v>
      </c>
      <c r="D5293" s="37" t="s">
        <v>32957</v>
      </c>
    </row>
    <row r="5294">
      <c r="A5294" s="37" t="s">
        <v>1536</v>
      </c>
      <c r="B5294" s="37" t="s">
        <v>1536</v>
      </c>
      <c r="C5294" s="7" t="s">
        <v>32958</v>
      </c>
      <c r="D5294" s="37" t="s">
        <v>32959</v>
      </c>
    </row>
    <row r="5295">
      <c r="A5295" s="37" t="s">
        <v>1536</v>
      </c>
      <c r="B5295" s="37" t="s">
        <v>1536</v>
      </c>
      <c r="C5295" s="7" t="s">
        <v>32960</v>
      </c>
      <c r="D5295" s="37" t="s">
        <v>32961</v>
      </c>
    </row>
    <row r="5296">
      <c r="A5296" s="37" t="s">
        <v>1536</v>
      </c>
      <c r="B5296" s="37" t="s">
        <v>1536</v>
      </c>
      <c r="C5296" s="7" t="s">
        <v>32962</v>
      </c>
      <c r="D5296" s="37" t="s">
        <v>32963</v>
      </c>
    </row>
    <row r="5297">
      <c r="A5297" s="37" t="s">
        <v>1536</v>
      </c>
      <c r="B5297" s="37" t="s">
        <v>1536</v>
      </c>
      <c r="C5297" s="7" t="s">
        <v>32964</v>
      </c>
      <c r="D5297" s="37" t="s">
        <v>32965</v>
      </c>
    </row>
    <row r="5298">
      <c r="A5298" s="37" t="s">
        <v>1536</v>
      </c>
      <c r="B5298" s="37" t="s">
        <v>1536</v>
      </c>
      <c r="C5298" s="7" t="s">
        <v>32966</v>
      </c>
      <c r="D5298" s="37" t="s">
        <v>32967</v>
      </c>
    </row>
    <row r="5299">
      <c r="A5299" s="37" t="s">
        <v>1536</v>
      </c>
      <c r="B5299" s="37" t="s">
        <v>1536</v>
      </c>
      <c r="C5299" s="7" t="s">
        <v>28992</v>
      </c>
      <c r="D5299" s="37" t="s">
        <v>32968</v>
      </c>
    </row>
    <row r="5300">
      <c r="A5300" s="37" t="s">
        <v>1536</v>
      </c>
      <c r="B5300" s="37" t="s">
        <v>1536</v>
      </c>
      <c r="C5300" s="7" t="s">
        <v>32969</v>
      </c>
      <c r="D5300" s="37" t="s">
        <v>32970</v>
      </c>
    </row>
    <row r="5301">
      <c r="A5301" s="37" t="s">
        <v>1536</v>
      </c>
      <c r="B5301" s="37" t="s">
        <v>1536</v>
      </c>
      <c r="C5301" s="37" t="s">
        <v>32971</v>
      </c>
      <c r="D5301" s="37" t="s">
        <v>32972</v>
      </c>
    </row>
    <row r="5302">
      <c r="A5302" s="37" t="s">
        <v>1536</v>
      </c>
      <c r="B5302" s="37" t="s">
        <v>1536</v>
      </c>
      <c r="C5302" s="7" t="s">
        <v>32973</v>
      </c>
      <c r="D5302" s="37" t="s">
        <v>32974</v>
      </c>
    </row>
    <row r="5303">
      <c r="A5303" s="37" t="s">
        <v>1536</v>
      </c>
      <c r="B5303" s="37" t="s">
        <v>1536</v>
      </c>
      <c r="C5303" s="37" t="s">
        <v>32975</v>
      </c>
      <c r="D5303" s="37" t="s">
        <v>32976</v>
      </c>
    </row>
    <row r="5304">
      <c r="A5304" s="37" t="s">
        <v>1536</v>
      </c>
      <c r="B5304" s="37" t="s">
        <v>1536</v>
      </c>
      <c r="C5304" s="37" t="s">
        <v>32977</v>
      </c>
      <c r="D5304" s="37" t="s">
        <v>32978</v>
      </c>
    </row>
    <row r="5305">
      <c r="A5305" s="37" t="s">
        <v>1536</v>
      </c>
      <c r="B5305" s="37" t="s">
        <v>1536</v>
      </c>
      <c r="C5305" s="7" t="s">
        <v>32979</v>
      </c>
      <c r="D5305" s="37" t="s">
        <v>32980</v>
      </c>
    </row>
    <row r="5306">
      <c r="A5306" s="37" t="s">
        <v>1536</v>
      </c>
      <c r="B5306" s="37" t="s">
        <v>1536</v>
      </c>
      <c r="C5306" s="7" t="s">
        <v>32981</v>
      </c>
      <c r="D5306" s="37" t="s">
        <v>32982</v>
      </c>
    </row>
    <row r="5307">
      <c r="A5307" s="37" t="s">
        <v>1536</v>
      </c>
      <c r="B5307" s="37" t="s">
        <v>1536</v>
      </c>
      <c r="C5307" s="7" t="s">
        <v>32983</v>
      </c>
      <c r="D5307" s="37" t="s">
        <v>32984</v>
      </c>
    </row>
    <row r="5308">
      <c r="A5308" s="37" t="s">
        <v>1536</v>
      </c>
      <c r="B5308" s="37" t="s">
        <v>1536</v>
      </c>
      <c r="C5308" s="37" t="s">
        <v>32985</v>
      </c>
      <c r="D5308" s="37" t="s">
        <v>32986</v>
      </c>
    </row>
    <row r="5309">
      <c r="A5309" s="37" t="s">
        <v>1536</v>
      </c>
      <c r="B5309" s="37" t="s">
        <v>1536</v>
      </c>
      <c r="C5309" s="37" t="s">
        <v>5039</v>
      </c>
      <c r="D5309" s="37" t="s">
        <v>32987</v>
      </c>
    </row>
    <row r="5310">
      <c r="A5310" s="37" t="s">
        <v>1536</v>
      </c>
      <c r="B5310" s="37" t="s">
        <v>1536</v>
      </c>
      <c r="C5310" s="7" t="s">
        <v>32988</v>
      </c>
      <c r="D5310" s="37" t="s">
        <v>32989</v>
      </c>
    </row>
    <row r="5311">
      <c r="A5311" s="37" t="s">
        <v>1536</v>
      </c>
      <c r="B5311" s="37" t="s">
        <v>1536</v>
      </c>
      <c r="C5311" s="7" t="s">
        <v>32990</v>
      </c>
      <c r="D5311" s="37" t="s">
        <v>32991</v>
      </c>
    </row>
    <row r="5312">
      <c r="A5312" s="37" t="s">
        <v>1536</v>
      </c>
      <c r="B5312" s="37" t="s">
        <v>1536</v>
      </c>
      <c r="C5312" s="7" t="s">
        <v>32992</v>
      </c>
      <c r="D5312" s="37" t="s">
        <v>32993</v>
      </c>
    </row>
    <row r="5313">
      <c r="A5313" s="37" t="s">
        <v>1536</v>
      </c>
      <c r="B5313" s="37" t="s">
        <v>1536</v>
      </c>
      <c r="C5313" s="7" t="s">
        <v>32994</v>
      </c>
      <c r="D5313" s="37" t="s">
        <v>32995</v>
      </c>
    </row>
    <row r="5314">
      <c r="A5314" s="37" t="s">
        <v>1536</v>
      </c>
      <c r="B5314" s="37" t="s">
        <v>1536</v>
      </c>
      <c r="C5314" s="37" t="s">
        <v>30581</v>
      </c>
      <c r="D5314" s="37" t="s">
        <v>32996</v>
      </c>
    </row>
    <row r="5315">
      <c r="A5315" s="37" t="s">
        <v>1536</v>
      </c>
      <c r="B5315" s="37" t="s">
        <v>1536</v>
      </c>
      <c r="C5315" s="37" t="s">
        <v>32997</v>
      </c>
      <c r="D5315" s="37" t="s">
        <v>32998</v>
      </c>
    </row>
    <row r="5316">
      <c r="A5316" s="37" t="s">
        <v>1536</v>
      </c>
      <c r="B5316" s="37" t="s">
        <v>1536</v>
      </c>
      <c r="C5316" s="37" t="s">
        <v>32999</v>
      </c>
      <c r="D5316" s="37" t="s">
        <v>33000</v>
      </c>
    </row>
    <row r="5317">
      <c r="A5317" s="37" t="s">
        <v>1536</v>
      </c>
      <c r="B5317" s="37" t="s">
        <v>1536</v>
      </c>
      <c r="C5317" s="37" t="s">
        <v>33001</v>
      </c>
      <c r="D5317" s="37" t="s">
        <v>33002</v>
      </c>
    </row>
    <row r="5318">
      <c r="A5318" s="37" t="s">
        <v>1536</v>
      </c>
      <c r="B5318" s="37" t="s">
        <v>1536</v>
      </c>
      <c r="C5318" s="37" t="s">
        <v>33003</v>
      </c>
      <c r="D5318" s="37" t="s">
        <v>33004</v>
      </c>
    </row>
    <row r="5319">
      <c r="A5319" s="37" t="s">
        <v>1536</v>
      </c>
      <c r="B5319" s="37" t="s">
        <v>1536</v>
      </c>
      <c r="C5319" s="37" t="s">
        <v>33005</v>
      </c>
      <c r="D5319" s="37" t="s">
        <v>33006</v>
      </c>
    </row>
    <row r="5320">
      <c r="A5320" s="37" t="s">
        <v>1536</v>
      </c>
      <c r="B5320" s="37" t="s">
        <v>1536</v>
      </c>
      <c r="C5320" s="7" t="s">
        <v>33007</v>
      </c>
      <c r="D5320" s="37" t="s">
        <v>33008</v>
      </c>
    </row>
    <row r="5321">
      <c r="A5321" s="37" t="s">
        <v>1536</v>
      </c>
      <c r="B5321" s="37" t="s">
        <v>1536</v>
      </c>
      <c r="C5321" s="37" t="s">
        <v>33009</v>
      </c>
      <c r="D5321" s="37" t="s">
        <v>33010</v>
      </c>
    </row>
    <row r="5322">
      <c r="A5322" s="37" t="s">
        <v>1536</v>
      </c>
      <c r="B5322" s="37" t="s">
        <v>1536</v>
      </c>
      <c r="C5322" s="7" t="s">
        <v>33011</v>
      </c>
      <c r="D5322" s="37" t="s">
        <v>33012</v>
      </c>
    </row>
    <row r="5323">
      <c r="A5323" s="37" t="s">
        <v>1536</v>
      </c>
      <c r="B5323" s="37" t="s">
        <v>1536</v>
      </c>
      <c r="C5323" s="7" t="s">
        <v>30869</v>
      </c>
      <c r="D5323" s="37" t="s">
        <v>33013</v>
      </c>
    </row>
    <row r="5324">
      <c r="A5324" s="37" t="s">
        <v>1536</v>
      </c>
      <c r="B5324" s="37" t="s">
        <v>1536</v>
      </c>
      <c r="C5324" s="7" t="s">
        <v>33014</v>
      </c>
      <c r="D5324" s="37" t="s">
        <v>33015</v>
      </c>
    </row>
    <row r="5325">
      <c r="A5325" s="37" t="s">
        <v>1536</v>
      </c>
      <c r="B5325" s="37" t="s">
        <v>1536</v>
      </c>
      <c r="C5325" s="7" t="s">
        <v>33016</v>
      </c>
      <c r="D5325" s="37" t="s">
        <v>33017</v>
      </c>
    </row>
    <row r="5326">
      <c r="A5326" s="37" t="s">
        <v>1536</v>
      </c>
      <c r="B5326" s="37" t="s">
        <v>1536</v>
      </c>
      <c r="C5326" s="7" t="s">
        <v>33018</v>
      </c>
      <c r="D5326" s="37" t="s">
        <v>33019</v>
      </c>
    </row>
    <row r="5327">
      <c r="A5327" s="37" t="s">
        <v>1536</v>
      </c>
      <c r="B5327" s="37" t="s">
        <v>1536</v>
      </c>
      <c r="C5327" s="7" t="s">
        <v>12757</v>
      </c>
      <c r="D5327" s="37" t="s">
        <v>33020</v>
      </c>
    </row>
    <row r="5328">
      <c r="A5328" s="37" t="s">
        <v>1536</v>
      </c>
      <c r="B5328" s="37" t="s">
        <v>1536</v>
      </c>
      <c r="C5328" s="7" t="s">
        <v>27747</v>
      </c>
      <c r="D5328" s="37" t="s">
        <v>33021</v>
      </c>
    </row>
    <row r="5329">
      <c r="A5329" s="37" t="s">
        <v>1536</v>
      </c>
      <c r="B5329" s="37" t="s">
        <v>1536</v>
      </c>
      <c r="C5329" s="7" t="s">
        <v>23101</v>
      </c>
      <c r="D5329" s="37" t="s">
        <v>33022</v>
      </c>
    </row>
    <row r="5330">
      <c r="A5330" s="37" t="s">
        <v>1536</v>
      </c>
      <c r="B5330" s="37" t="s">
        <v>1536</v>
      </c>
      <c r="C5330" s="7" t="s">
        <v>14459</v>
      </c>
      <c r="D5330" s="37" t="s">
        <v>33023</v>
      </c>
    </row>
    <row r="5331">
      <c r="A5331" s="37" t="s">
        <v>1536</v>
      </c>
      <c r="B5331" s="37" t="s">
        <v>1536</v>
      </c>
      <c r="C5331" s="37" t="s">
        <v>33024</v>
      </c>
      <c r="D5331" s="37" t="s">
        <v>33025</v>
      </c>
    </row>
    <row r="5332">
      <c r="A5332" s="37" t="s">
        <v>1536</v>
      </c>
      <c r="B5332" s="37" t="s">
        <v>1536</v>
      </c>
      <c r="C5332" s="37" t="s">
        <v>33026</v>
      </c>
      <c r="D5332" s="37" t="s">
        <v>33027</v>
      </c>
    </row>
    <row r="5333">
      <c r="A5333" s="37" t="s">
        <v>1536</v>
      </c>
      <c r="B5333" s="37" t="s">
        <v>1536</v>
      </c>
      <c r="C5333" s="7" t="s">
        <v>24155</v>
      </c>
      <c r="D5333" s="37" t="s">
        <v>33028</v>
      </c>
    </row>
    <row r="5334">
      <c r="A5334" s="37" t="s">
        <v>1536</v>
      </c>
      <c r="B5334" s="37" t="s">
        <v>1536</v>
      </c>
      <c r="C5334" s="7" t="s">
        <v>33029</v>
      </c>
      <c r="D5334" s="37" t="s">
        <v>33030</v>
      </c>
    </row>
    <row r="5335">
      <c r="A5335" s="37" t="s">
        <v>1536</v>
      </c>
      <c r="B5335" s="37" t="s">
        <v>1536</v>
      </c>
      <c r="C5335" s="7" t="s">
        <v>33031</v>
      </c>
      <c r="D5335" s="37" t="s">
        <v>33032</v>
      </c>
    </row>
    <row r="5336">
      <c r="A5336" s="37" t="s">
        <v>1536</v>
      </c>
      <c r="B5336" s="37" t="s">
        <v>1536</v>
      </c>
      <c r="C5336" s="7" t="s">
        <v>33033</v>
      </c>
      <c r="D5336" s="37" t="s">
        <v>33034</v>
      </c>
    </row>
    <row r="5337">
      <c r="A5337" s="37" t="s">
        <v>1536</v>
      </c>
      <c r="B5337" s="37" t="s">
        <v>1536</v>
      </c>
      <c r="C5337" s="7" t="s">
        <v>33035</v>
      </c>
      <c r="D5337" s="37" t="s">
        <v>33036</v>
      </c>
    </row>
    <row r="5338">
      <c r="A5338" s="37" t="s">
        <v>1536</v>
      </c>
      <c r="B5338" s="37" t="s">
        <v>1536</v>
      </c>
      <c r="C5338" s="7" t="s">
        <v>33037</v>
      </c>
      <c r="D5338" s="37" t="s">
        <v>33038</v>
      </c>
    </row>
    <row r="5339">
      <c r="A5339" s="37" t="s">
        <v>1536</v>
      </c>
      <c r="B5339" s="37" t="s">
        <v>1536</v>
      </c>
      <c r="C5339" s="7" t="s">
        <v>33039</v>
      </c>
      <c r="D5339" s="37" t="s">
        <v>33040</v>
      </c>
    </row>
    <row r="5340">
      <c r="A5340" s="37" t="s">
        <v>1536</v>
      </c>
      <c r="B5340" s="37" t="s">
        <v>1536</v>
      </c>
      <c r="C5340" s="7" t="s">
        <v>33041</v>
      </c>
      <c r="D5340" s="37" t="s">
        <v>33042</v>
      </c>
    </row>
    <row r="5341">
      <c r="A5341" s="37" t="s">
        <v>1536</v>
      </c>
      <c r="B5341" s="37" t="s">
        <v>1536</v>
      </c>
      <c r="C5341" s="7" t="s">
        <v>33043</v>
      </c>
      <c r="D5341" s="37" t="s">
        <v>33044</v>
      </c>
    </row>
    <row r="5342">
      <c r="A5342" s="37" t="s">
        <v>1536</v>
      </c>
      <c r="B5342" s="37" t="s">
        <v>1536</v>
      </c>
      <c r="C5342" s="7" t="s">
        <v>33045</v>
      </c>
      <c r="D5342" s="37" t="s">
        <v>33046</v>
      </c>
    </row>
    <row r="5343">
      <c r="A5343" s="37" t="s">
        <v>1536</v>
      </c>
      <c r="B5343" s="37" t="s">
        <v>1536</v>
      </c>
      <c r="C5343" s="7" t="s">
        <v>33047</v>
      </c>
      <c r="D5343" s="37" t="s">
        <v>33048</v>
      </c>
    </row>
    <row r="5344">
      <c r="A5344" s="37" t="s">
        <v>1536</v>
      </c>
      <c r="B5344" s="37" t="s">
        <v>1536</v>
      </c>
      <c r="C5344" s="7" t="s">
        <v>33049</v>
      </c>
      <c r="D5344" s="37" t="s">
        <v>33050</v>
      </c>
    </row>
    <row r="5345">
      <c r="A5345" s="37" t="s">
        <v>1536</v>
      </c>
      <c r="B5345" s="37" t="s">
        <v>1536</v>
      </c>
      <c r="C5345" s="7" t="s">
        <v>33051</v>
      </c>
      <c r="D5345" s="37" t="s">
        <v>33052</v>
      </c>
    </row>
    <row r="5346">
      <c r="A5346" s="37" t="s">
        <v>1536</v>
      </c>
      <c r="B5346" s="37" t="s">
        <v>1536</v>
      </c>
      <c r="C5346" s="7" t="s">
        <v>33053</v>
      </c>
      <c r="D5346" s="37" t="s">
        <v>33054</v>
      </c>
    </row>
    <row r="5347">
      <c r="A5347" s="37" t="s">
        <v>1536</v>
      </c>
      <c r="B5347" s="37" t="s">
        <v>1536</v>
      </c>
      <c r="C5347" s="7" t="s">
        <v>33055</v>
      </c>
      <c r="D5347" s="37" t="s">
        <v>33056</v>
      </c>
    </row>
    <row r="5348">
      <c r="A5348" s="37" t="s">
        <v>1536</v>
      </c>
      <c r="B5348" s="37" t="s">
        <v>1536</v>
      </c>
      <c r="C5348" s="7" t="s">
        <v>33057</v>
      </c>
      <c r="D5348" s="37" t="s">
        <v>33058</v>
      </c>
    </row>
    <row r="5349">
      <c r="A5349" s="37" t="s">
        <v>1536</v>
      </c>
      <c r="B5349" s="37" t="s">
        <v>1536</v>
      </c>
      <c r="C5349" s="7" t="s">
        <v>33059</v>
      </c>
      <c r="D5349" s="37" t="s">
        <v>33060</v>
      </c>
    </row>
    <row r="5350">
      <c r="A5350" s="37" t="s">
        <v>1536</v>
      </c>
      <c r="B5350" s="37" t="s">
        <v>1536</v>
      </c>
      <c r="C5350" s="7" t="s">
        <v>33061</v>
      </c>
      <c r="D5350" s="37" t="s">
        <v>33062</v>
      </c>
    </row>
    <row r="5351">
      <c r="A5351" s="37" t="s">
        <v>1536</v>
      </c>
      <c r="B5351" s="37" t="s">
        <v>1536</v>
      </c>
      <c r="C5351" s="7" t="s">
        <v>33063</v>
      </c>
      <c r="D5351" s="37" t="s">
        <v>33064</v>
      </c>
    </row>
    <row r="5352">
      <c r="A5352" s="37" t="s">
        <v>1536</v>
      </c>
      <c r="B5352" s="37" t="s">
        <v>1536</v>
      </c>
      <c r="C5352" s="37" t="s">
        <v>33065</v>
      </c>
      <c r="D5352" s="37" t="s">
        <v>33066</v>
      </c>
    </row>
    <row r="5353">
      <c r="A5353" s="37" t="s">
        <v>1536</v>
      </c>
      <c r="B5353" s="37" t="s">
        <v>1536</v>
      </c>
      <c r="C5353" s="7" t="s">
        <v>33067</v>
      </c>
      <c r="D5353" s="37" t="s">
        <v>33068</v>
      </c>
    </row>
    <row r="5354">
      <c r="A5354" s="37" t="s">
        <v>1536</v>
      </c>
      <c r="B5354" s="37" t="s">
        <v>1536</v>
      </c>
      <c r="C5354" s="7" t="s">
        <v>33069</v>
      </c>
      <c r="D5354" s="37" t="s">
        <v>33070</v>
      </c>
    </row>
    <row r="5355">
      <c r="A5355" s="37" t="s">
        <v>1536</v>
      </c>
      <c r="B5355" s="37" t="s">
        <v>1536</v>
      </c>
      <c r="C5355" s="37" t="s">
        <v>33071</v>
      </c>
      <c r="D5355" s="37" t="s">
        <v>33072</v>
      </c>
    </row>
    <row r="5356">
      <c r="A5356" s="37" t="s">
        <v>1536</v>
      </c>
      <c r="B5356" s="37" t="s">
        <v>1536</v>
      </c>
      <c r="C5356" s="7" t="s">
        <v>32667</v>
      </c>
      <c r="D5356" s="37" t="s">
        <v>33073</v>
      </c>
    </row>
    <row r="5357">
      <c r="A5357" s="37" t="s">
        <v>1536</v>
      </c>
      <c r="B5357" s="37" t="s">
        <v>1536</v>
      </c>
      <c r="C5357" s="7" t="s">
        <v>33074</v>
      </c>
      <c r="D5357" s="37" t="s">
        <v>33075</v>
      </c>
    </row>
    <row r="5358">
      <c r="A5358" s="37" t="s">
        <v>1536</v>
      </c>
      <c r="B5358" s="37" t="s">
        <v>1536</v>
      </c>
      <c r="C5358" s="7" t="s">
        <v>33076</v>
      </c>
      <c r="D5358" s="37" t="s">
        <v>33077</v>
      </c>
    </row>
    <row r="5359">
      <c r="A5359" s="37" t="s">
        <v>1536</v>
      </c>
      <c r="B5359" s="37" t="s">
        <v>1536</v>
      </c>
      <c r="C5359" s="7" t="s">
        <v>33078</v>
      </c>
      <c r="D5359" s="37" t="s">
        <v>33079</v>
      </c>
    </row>
    <row r="5360">
      <c r="A5360" s="37" t="s">
        <v>1536</v>
      </c>
      <c r="B5360" s="37" t="s">
        <v>1536</v>
      </c>
      <c r="C5360" s="7" t="s">
        <v>33080</v>
      </c>
      <c r="D5360" s="37" t="s">
        <v>33081</v>
      </c>
    </row>
    <row r="5361">
      <c r="A5361" s="37" t="s">
        <v>1536</v>
      </c>
      <c r="B5361" s="37" t="s">
        <v>1536</v>
      </c>
      <c r="C5361" s="7" t="s">
        <v>33082</v>
      </c>
      <c r="D5361" s="37" t="s">
        <v>33083</v>
      </c>
    </row>
    <row r="5362">
      <c r="A5362" s="37" t="s">
        <v>1536</v>
      </c>
      <c r="B5362" s="37" t="s">
        <v>1536</v>
      </c>
      <c r="C5362" s="7" t="s">
        <v>33084</v>
      </c>
      <c r="D5362" s="37" t="s">
        <v>33085</v>
      </c>
    </row>
    <row r="5363">
      <c r="A5363" s="37" t="s">
        <v>1536</v>
      </c>
      <c r="B5363" s="37" t="s">
        <v>1536</v>
      </c>
      <c r="C5363" s="37" t="s">
        <v>33086</v>
      </c>
      <c r="D5363" s="37" t="s">
        <v>33087</v>
      </c>
    </row>
    <row r="5364">
      <c r="A5364" s="37" t="s">
        <v>1536</v>
      </c>
      <c r="B5364" s="37" t="s">
        <v>1536</v>
      </c>
      <c r="C5364" s="7" t="s">
        <v>33088</v>
      </c>
      <c r="D5364" s="37" t="s">
        <v>33089</v>
      </c>
    </row>
    <row r="5365">
      <c r="A5365" s="37" t="s">
        <v>1536</v>
      </c>
      <c r="B5365" s="37" t="s">
        <v>1536</v>
      </c>
      <c r="C5365" s="7" t="s">
        <v>33090</v>
      </c>
      <c r="D5365" s="37" t="s">
        <v>33091</v>
      </c>
    </row>
    <row r="5366">
      <c r="A5366" s="37" t="s">
        <v>1536</v>
      </c>
      <c r="B5366" s="37" t="s">
        <v>1536</v>
      </c>
      <c r="C5366" s="7" t="s">
        <v>33092</v>
      </c>
      <c r="D5366" s="37" t="s">
        <v>33093</v>
      </c>
    </row>
    <row r="5367">
      <c r="A5367" s="37" t="s">
        <v>1536</v>
      </c>
      <c r="B5367" s="37" t="s">
        <v>1536</v>
      </c>
      <c r="C5367" s="7" t="s">
        <v>33094</v>
      </c>
      <c r="D5367" s="37" t="s">
        <v>33095</v>
      </c>
    </row>
    <row r="5368">
      <c r="A5368" s="37" t="s">
        <v>1536</v>
      </c>
      <c r="B5368" s="37" t="s">
        <v>1536</v>
      </c>
      <c r="C5368" s="7" t="s">
        <v>32659</v>
      </c>
      <c r="D5368" s="37" t="s">
        <v>33096</v>
      </c>
    </row>
    <row r="5369">
      <c r="A5369" s="37" t="s">
        <v>1536</v>
      </c>
      <c r="B5369" s="37" t="s">
        <v>1536</v>
      </c>
      <c r="C5369" s="37" t="s">
        <v>33097</v>
      </c>
      <c r="D5369" s="37" t="s">
        <v>33098</v>
      </c>
    </row>
    <row r="5370">
      <c r="A5370" s="37" t="s">
        <v>1536</v>
      </c>
      <c r="B5370" s="37" t="s">
        <v>1536</v>
      </c>
      <c r="C5370" s="7" t="s">
        <v>33099</v>
      </c>
      <c r="D5370" s="37" t="s">
        <v>33100</v>
      </c>
    </row>
    <row r="5371">
      <c r="A5371" s="37" t="s">
        <v>1536</v>
      </c>
      <c r="B5371" s="37" t="s">
        <v>1536</v>
      </c>
      <c r="C5371" s="7" t="s">
        <v>33101</v>
      </c>
      <c r="D5371" s="37" t="s">
        <v>33102</v>
      </c>
    </row>
    <row r="5372">
      <c r="A5372" s="37" t="s">
        <v>1536</v>
      </c>
      <c r="B5372" s="37" t="s">
        <v>1536</v>
      </c>
      <c r="C5372" s="7" t="s">
        <v>33103</v>
      </c>
      <c r="D5372" s="37" t="s">
        <v>33104</v>
      </c>
    </row>
    <row r="5373">
      <c r="A5373" s="37" t="s">
        <v>1536</v>
      </c>
      <c r="B5373" s="37" t="s">
        <v>1536</v>
      </c>
      <c r="C5373" s="7" t="s">
        <v>33105</v>
      </c>
      <c r="D5373" s="37" t="s">
        <v>33106</v>
      </c>
    </row>
    <row r="5374">
      <c r="A5374" s="37" t="s">
        <v>1536</v>
      </c>
      <c r="B5374" s="37" t="s">
        <v>1536</v>
      </c>
      <c r="C5374" s="37" t="s">
        <v>33107</v>
      </c>
      <c r="D5374" s="37" t="s">
        <v>33108</v>
      </c>
    </row>
    <row r="5375">
      <c r="A5375" s="37" t="s">
        <v>1536</v>
      </c>
      <c r="B5375" s="37" t="s">
        <v>1536</v>
      </c>
      <c r="C5375" s="7" t="s">
        <v>33109</v>
      </c>
      <c r="D5375" s="37" t="s">
        <v>33110</v>
      </c>
    </row>
    <row r="5376">
      <c r="A5376" s="37" t="s">
        <v>1536</v>
      </c>
      <c r="B5376" s="37" t="s">
        <v>1536</v>
      </c>
      <c r="C5376" s="7" t="s">
        <v>33111</v>
      </c>
      <c r="D5376" s="37" t="s">
        <v>33112</v>
      </c>
    </row>
    <row r="5377">
      <c r="A5377" s="37" t="s">
        <v>1536</v>
      </c>
      <c r="B5377" s="37" t="s">
        <v>1536</v>
      </c>
      <c r="C5377" s="37" t="s">
        <v>33113</v>
      </c>
      <c r="D5377" s="37" t="s">
        <v>33114</v>
      </c>
    </row>
    <row r="5378">
      <c r="A5378" s="37" t="s">
        <v>1536</v>
      </c>
      <c r="B5378" s="37" t="s">
        <v>1536</v>
      </c>
      <c r="C5378" s="37" t="s">
        <v>33115</v>
      </c>
      <c r="D5378" s="37" t="s">
        <v>33116</v>
      </c>
    </row>
    <row r="5379">
      <c r="A5379" s="37" t="s">
        <v>1536</v>
      </c>
      <c r="B5379" s="37" t="s">
        <v>1536</v>
      </c>
      <c r="C5379" s="37" t="s">
        <v>33117</v>
      </c>
      <c r="D5379" s="37" t="s">
        <v>33118</v>
      </c>
    </row>
    <row r="5380">
      <c r="A5380" s="37" t="s">
        <v>1536</v>
      </c>
      <c r="B5380" s="37" t="s">
        <v>1536</v>
      </c>
      <c r="C5380" s="7" t="s">
        <v>33119</v>
      </c>
      <c r="D5380" s="37" t="s">
        <v>33120</v>
      </c>
    </row>
    <row r="5381">
      <c r="A5381" s="37" t="s">
        <v>1536</v>
      </c>
      <c r="B5381" s="37" t="s">
        <v>1536</v>
      </c>
      <c r="C5381" s="7" t="s">
        <v>29199</v>
      </c>
      <c r="D5381" s="37" t="s">
        <v>33121</v>
      </c>
    </row>
    <row r="5382">
      <c r="A5382" s="37" t="s">
        <v>1536</v>
      </c>
      <c r="B5382" s="37" t="s">
        <v>1536</v>
      </c>
      <c r="C5382" s="7" t="s">
        <v>33122</v>
      </c>
      <c r="D5382" s="37" t="s">
        <v>33123</v>
      </c>
    </row>
    <row r="5383">
      <c r="A5383" s="37" t="s">
        <v>1536</v>
      </c>
      <c r="B5383" s="37" t="s">
        <v>1536</v>
      </c>
      <c r="C5383" s="37" t="s">
        <v>33124</v>
      </c>
      <c r="D5383" s="37" t="s">
        <v>33125</v>
      </c>
    </row>
    <row r="5384">
      <c r="A5384" s="37" t="s">
        <v>1536</v>
      </c>
      <c r="B5384" s="37" t="s">
        <v>1536</v>
      </c>
      <c r="C5384" s="7" t="s">
        <v>33126</v>
      </c>
      <c r="D5384" s="37" t="s">
        <v>33127</v>
      </c>
    </row>
    <row r="5385">
      <c r="A5385" s="37" t="s">
        <v>1536</v>
      </c>
      <c r="B5385" s="37" t="s">
        <v>1536</v>
      </c>
      <c r="C5385" s="7" t="s">
        <v>33128</v>
      </c>
      <c r="D5385" s="37" t="s">
        <v>33129</v>
      </c>
    </row>
    <row r="5386">
      <c r="A5386" s="37" t="s">
        <v>1536</v>
      </c>
      <c r="B5386" s="37" t="s">
        <v>1536</v>
      </c>
      <c r="C5386" s="7" t="s">
        <v>33130</v>
      </c>
      <c r="D5386" s="37" t="s">
        <v>33131</v>
      </c>
    </row>
    <row r="5387">
      <c r="A5387" s="37" t="s">
        <v>1536</v>
      </c>
      <c r="B5387" s="37" t="s">
        <v>1536</v>
      </c>
      <c r="C5387" s="7" t="s">
        <v>28886</v>
      </c>
      <c r="D5387" s="37" t="s">
        <v>33132</v>
      </c>
    </row>
    <row r="5388">
      <c r="A5388" s="37" t="s">
        <v>1536</v>
      </c>
      <c r="B5388" s="37" t="s">
        <v>1536</v>
      </c>
      <c r="C5388" s="37" t="s">
        <v>31547</v>
      </c>
      <c r="D5388" s="37" t="s">
        <v>33133</v>
      </c>
    </row>
    <row r="5389">
      <c r="A5389" s="37" t="s">
        <v>1536</v>
      </c>
      <c r="B5389" s="37" t="s">
        <v>1536</v>
      </c>
      <c r="C5389" s="7" t="s">
        <v>32338</v>
      </c>
      <c r="D5389" s="37" t="s">
        <v>33134</v>
      </c>
    </row>
    <row r="5390">
      <c r="A5390" s="37" t="s">
        <v>1536</v>
      </c>
      <c r="B5390" s="37" t="s">
        <v>1536</v>
      </c>
      <c r="C5390" s="37" t="s">
        <v>33135</v>
      </c>
      <c r="D5390" s="37" t="s">
        <v>33136</v>
      </c>
    </row>
    <row r="5391">
      <c r="A5391" s="37" t="s">
        <v>1536</v>
      </c>
      <c r="B5391" s="37" t="s">
        <v>1536</v>
      </c>
      <c r="C5391" s="37" t="s">
        <v>33137</v>
      </c>
      <c r="D5391" s="37" t="s">
        <v>33138</v>
      </c>
    </row>
    <row r="5392">
      <c r="A5392" s="37" t="s">
        <v>1536</v>
      </c>
      <c r="B5392" s="37" t="s">
        <v>1536</v>
      </c>
      <c r="C5392" s="7" t="s">
        <v>33139</v>
      </c>
      <c r="D5392" s="37" t="s">
        <v>33140</v>
      </c>
    </row>
    <row r="5393">
      <c r="A5393" s="37" t="s">
        <v>1536</v>
      </c>
      <c r="B5393" s="37" t="s">
        <v>1536</v>
      </c>
      <c r="C5393" s="37" t="s">
        <v>33141</v>
      </c>
      <c r="D5393" s="37" t="s">
        <v>33142</v>
      </c>
    </row>
    <row r="5394">
      <c r="A5394" s="37" t="s">
        <v>1536</v>
      </c>
      <c r="B5394" s="37" t="s">
        <v>1536</v>
      </c>
      <c r="C5394" s="37" t="s">
        <v>30094</v>
      </c>
      <c r="D5394" s="37" t="s">
        <v>33143</v>
      </c>
    </row>
    <row r="5395">
      <c r="A5395" s="37" t="s">
        <v>1536</v>
      </c>
      <c r="B5395" s="37" t="s">
        <v>1536</v>
      </c>
      <c r="C5395" s="7" t="s">
        <v>33144</v>
      </c>
      <c r="D5395" s="37" t="s">
        <v>33145</v>
      </c>
    </row>
    <row r="5396">
      <c r="A5396" s="37" t="s">
        <v>1536</v>
      </c>
      <c r="B5396" s="37" t="s">
        <v>1536</v>
      </c>
      <c r="C5396" s="7" t="s">
        <v>33146</v>
      </c>
      <c r="D5396" s="37" t="s">
        <v>33147</v>
      </c>
    </row>
    <row r="5397">
      <c r="A5397" s="37" t="s">
        <v>1536</v>
      </c>
      <c r="B5397" s="37" t="s">
        <v>1536</v>
      </c>
      <c r="C5397" s="7" t="s">
        <v>33148</v>
      </c>
      <c r="D5397" s="37" t="s">
        <v>33149</v>
      </c>
    </row>
    <row r="5398">
      <c r="A5398" s="37" t="s">
        <v>1536</v>
      </c>
      <c r="B5398" s="37" t="s">
        <v>1536</v>
      </c>
      <c r="C5398" s="7" t="s">
        <v>30978</v>
      </c>
      <c r="D5398" s="37" t="s">
        <v>33150</v>
      </c>
    </row>
    <row r="5399">
      <c r="A5399" s="37" t="s">
        <v>1536</v>
      </c>
      <c r="B5399" s="37" t="s">
        <v>1536</v>
      </c>
      <c r="C5399" s="7" t="s">
        <v>33151</v>
      </c>
      <c r="D5399" s="37" t="s">
        <v>33152</v>
      </c>
    </row>
    <row r="5400">
      <c r="A5400" s="37" t="s">
        <v>1536</v>
      </c>
      <c r="B5400" s="37" t="s">
        <v>1536</v>
      </c>
      <c r="C5400" s="7" t="s">
        <v>33153</v>
      </c>
      <c r="D5400" s="37" t="s">
        <v>33154</v>
      </c>
    </row>
    <row r="5401">
      <c r="A5401" s="37" t="s">
        <v>1536</v>
      </c>
      <c r="B5401" s="37" t="s">
        <v>1536</v>
      </c>
      <c r="C5401" s="7" t="s">
        <v>33155</v>
      </c>
      <c r="D5401" s="37" t="s">
        <v>33156</v>
      </c>
    </row>
    <row r="5402">
      <c r="A5402" s="37" t="s">
        <v>1536</v>
      </c>
      <c r="B5402" s="37" t="s">
        <v>1536</v>
      </c>
      <c r="C5402" s="7" t="s">
        <v>33157</v>
      </c>
      <c r="D5402" s="37" t="s">
        <v>33158</v>
      </c>
    </row>
    <row r="5403">
      <c r="A5403" s="37" t="s">
        <v>1536</v>
      </c>
      <c r="B5403" s="37" t="s">
        <v>1536</v>
      </c>
      <c r="C5403" s="7" t="s">
        <v>33159</v>
      </c>
      <c r="D5403" s="37" t="s">
        <v>33160</v>
      </c>
    </row>
    <row r="5404">
      <c r="A5404" s="37" t="s">
        <v>1536</v>
      </c>
      <c r="B5404" s="37" t="s">
        <v>1536</v>
      </c>
      <c r="C5404" s="7" t="s">
        <v>33161</v>
      </c>
      <c r="D5404" s="37" t="s">
        <v>33162</v>
      </c>
    </row>
    <row r="5405">
      <c r="A5405" s="37" t="s">
        <v>1134</v>
      </c>
      <c r="B5405" s="37" t="s">
        <v>1264</v>
      </c>
      <c r="C5405" s="7" t="s">
        <v>31814</v>
      </c>
      <c r="D5405" s="37" t="s">
        <v>33163</v>
      </c>
    </row>
    <row r="5406">
      <c r="A5406" s="37" t="s">
        <v>1536</v>
      </c>
      <c r="B5406" s="37" t="s">
        <v>1536</v>
      </c>
      <c r="C5406" s="7" t="s">
        <v>33164</v>
      </c>
      <c r="D5406" s="37" t="s">
        <v>33165</v>
      </c>
    </row>
    <row r="5407">
      <c r="A5407" s="37" t="s">
        <v>1536</v>
      </c>
      <c r="B5407" s="37" t="s">
        <v>1536</v>
      </c>
      <c r="C5407" s="7" t="s">
        <v>33166</v>
      </c>
      <c r="D5407" s="37" t="s">
        <v>33167</v>
      </c>
    </row>
    <row r="5408">
      <c r="A5408" s="37" t="s">
        <v>1536</v>
      </c>
      <c r="B5408" s="37" t="s">
        <v>1536</v>
      </c>
      <c r="C5408" s="7" t="s">
        <v>33168</v>
      </c>
      <c r="D5408" s="37" t="s">
        <v>33169</v>
      </c>
    </row>
    <row r="5409">
      <c r="A5409" s="37" t="s">
        <v>1536</v>
      </c>
      <c r="B5409" s="37" t="s">
        <v>1536</v>
      </c>
      <c r="C5409" s="7" t="s">
        <v>33170</v>
      </c>
      <c r="D5409" s="37" t="s">
        <v>33171</v>
      </c>
    </row>
    <row r="5410">
      <c r="A5410" s="37" t="s">
        <v>1536</v>
      </c>
      <c r="B5410" s="37" t="s">
        <v>1536</v>
      </c>
      <c r="C5410" s="7" t="s">
        <v>33172</v>
      </c>
      <c r="D5410" s="37" t="s">
        <v>33173</v>
      </c>
    </row>
    <row r="5411">
      <c r="A5411" s="37" t="s">
        <v>1536</v>
      </c>
      <c r="B5411" s="37" t="s">
        <v>1536</v>
      </c>
      <c r="C5411" s="7" t="s">
        <v>33174</v>
      </c>
      <c r="D5411" s="37" t="s">
        <v>33175</v>
      </c>
    </row>
    <row r="5412">
      <c r="A5412" s="37" t="s">
        <v>1536</v>
      </c>
      <c r="B5412" s="37" t="s">
        <v>1536</v>
      </c>
      <c r="C5412" s="7" t="s">
        <v>33176</v>
      </c>
      <c r="D5412" s="37" t="s">
        <v>33177</v>
      </c>
    </row>
    <row r="5413">
      <c r="A5413" s="37" t="s">
        <v>1536</v>
      </c>
      <c r="B5413" s="37" t="s">
        <v>1536</v>
      </c>
      <c r="C5413" s="7" t="s">
        <v>33178</v>
      </c>
      <c r="D5413" s="37" t="s">
        <v>33179</v>
      </c>
    </row>
    <row r="5414">
      <c r="A5414" s="37" t="s">
        <v>1536</v>
      </c>
      <c r="B5414" s="37" t="s">
        <v>1536</v>
      </c>
      <c r="C5414" s="37" t="s">
        <v>31457</v>
      </c>
      <c r="D5414" s="37" t="s">
        <v>33180</v>
      </c>
    </row>
    <row r="5415">
      <c r="A5415" s="37" t="s">
        <v>1536</v>
      </c>
      <c r="B5415" s="37" t="s">
        <v>1536</v>
      </c>
      <c r="C5415" s="37" t="s">
        <v>28886</v>
      </c>
      <c r="D5415" s="37" t="s">
        <v>33181</v>
      </c>
    </row>
    <row r="5416">
      <c r="A5416" s="37" t="s">
        <v>1536</v>
      </c>
      <c r="B5416" s="37" t="s">
        <v>1536</v>
      </c>
      <c r="C5416" s="7" t="s">
        <v>26967</v>
      </c>
      <c r="D5416" s="37" t="s">
        <v>33182</v>
      </c>
    </row>
    <row r="5417">
      <c r="A5417" s="37" t="s">
        <v>1536</v>
      </c>
      <c r="B5417" s="37" t="s">
        <v>1536</v>
      </c>
      <c r="C5417" s="37" t="s">
        <v>1876</v>
      </c>
      <c r="D5417" s="37" t="s">
        <v>33183</v>
      </c>
    </row>
    <row r="5418">
      <c r="A5418" s="37" t="s">
        <v>1536</v>
      </c>
      <c r="B5418" s="37" t="s">
        <v>1536</v>
      </c>
      <c r="C5418" s="7" t="s">
        <v>33184</v>
      </c>
      <c r="D5418" s="37" t="s">
        <v>33185</v>
      </c>
    </row>
    <row r="5419">
      <c r="A5419" s="37" t="s">
        <v>1536</v>
      </c>
      <c r="B5419" s="37" t="s">
        <v>1536</v>
      </c>
      <c r="C5419" s="37" t="s">
        <v>33186</v>
      </c>
      <c r="D5419" s="37" t="s">
        <v>33187</v>
      </c>
    </row>
    <row r="5420">
      <c r="A5420" s="37" t="s">
        <v>1536</v>
      </c>
      <c r="B5420" s="37" t="s">
        <v>1536</v>
      </c>
      <c r="C5420" s="37" t="s">
        <v>33188</v>
      </c>
      <c r="D5420" s="37" t="s">
        <v>33189</v>
      </c>
    </row>
    <row r="5421">
      <c r="A5421" s="37" t="s">
        <v>1536</v>
      </c>
      <c r="B5421" s="37" t="s">
        <v>1536</v>
      </c>
      <c r="C5421" s="7" t="s">
        <v>33190</v>
      </c>
      <c r="D5421" s="37" t="s">
        <v>33191</v>
      </c>
    </row>
    <row r="5422">
      <c r="A5422" s="37" t="s">
        <v>1536</v>
      </c>
      <c r="B5422" s="37" t="s">
        <v>1536</v>
      </c>
      <c r="C5422" s="37" t="s">
        <v>33192</v>
      </c>
      <c r="D5422" s="37" t="s">
        <v>33193</v>
      </c>
    </row>
    <row r="5423">
      <c r="A5423" s="37" t="s">
        <v>1536</v>
      </c>
      <c r="B5423" s="37" t="s">
        <v>1536</v>
      </c>
      <c r="C5423" s="37" t="s">
        <v>33194</v>
      </c>
      <c r="D5423" s="37" t="s">
        <v>33195</v>
      </c>
    </row>
    <row r="5424">
      <c r="A5424" s="37" t="s">
        <v>1536</v>
      </c>
      <c r="B5424" s="37" t="s">
        <v>1536</v>
      </c>
      <c r="C5424" s="37" t="s">
        <v>33196</v>
      </c>
      <c r="D5424" s="37" t="s">
        <v>33197</v>
      </c>
    </row>
    <row r="5425">
      <c r="A5425" s="37" t="s">
        <v>1536</v>
      </c>
      <c r="B5425" s="37" t="s">
        <v>1536</v>
      </c>
      <c r="C5425" s="7" t="s">
        <v>33198</v>
      </c>
      <c r="D5425" s="37" t="s">
        <v>33199</v>
      </c>
    </row>
    <row r="5426">
      <c r="A5426" s="37" t="s">
        <v>1536</v>
      </c>
      <c r="B5426" s="37" t="s">
        <v>1536</v>
      </c>
      <c r="C5426" s="7" t="s">
        <v>33200</v>
      </c>
      <c r="D5426" s="37" t="s">
        <v>33201</v>
      </c>
    </row>
    <row r="5427">
      <c r="A5427" s="37" t="s">
        <v>1536</v>
      </c>
      <c r="B5427" s="37" t="s">
        <v>1536</v>
      </c>
      <c r="C5427" s="37" t="s">
        <v>33202</v>
      </c>
      <c r="D5427" s="37" t="s">
        <v>33203</v>
      </c>
    </row>
    <row r="5428">
      <c r="A5428" s="37" t="s">
        <v>1536</v>
      </c>
      <c r="B5428" s="37" t="s">
        <v>1536</v>
      </c>
      <c r="C5428" s="7" t="s">
        <v>33204</v>
      </c>
      <c r="D5428" s="37" t="s">
        <v>33205</v>
      </c>
    </row>
    <row r="5429">
      <c r="A5429" s="37" t="s">
        <v>1536</v>
      </c>
      <c r="B5429" s="37" t="s">
        <v>1536</v>
      </c>
      <c r="C5429" s="7" t="s">
        <v>33206</v>
      </c>
      <c r="D5429" s="37" t="s">
        <v>33207</v>
      </c>
    </row>
    <row r="5430">
      <c r="A5430" s="37" t="s">
        <v>1536</v>
      </c>
      <c r="B5430" s="37" t="s">
        <v>1536</v>
      </c>
      <c r="C5430" s="37" t="s">
        <v>31543</v>
      </c>
      <c r="D5430" s="37" t="s">
        <v>33208</v>
      </c>
    </row>
    <row r="5431">
      <c r="A5431" s="37" t="s">
        <v>1536</v>
      </c>
      <c r="B5431" s="37" t="s">
        <v>1536</v>
      </c>
      <c r="C5431" s="37" t="s">
        <v>33209</v>
      </c>
      <c r="D5431" s="37" t="s">
        <v>33210</v>
      </c>
    </row>
    <row r="5432">
      <c r="A5432" s="37" t="s">
        <v>1536</v>
      </c>
      <c r="B5432" s="37" t="s">
        <v>1536</v>
      </c>
      <c r="C5432" s="37" t="s">
        <v>33211</v>
      </c>
      <c r="D5432" s="37" t="s">
        <v>33212</v>
      </c>
    </row>
    <row r="5433">
      <c r="A5433" s="37" t="s">
        <v>1536</v>
      </c>
      <c r="B5433" s="37" t="s">
        <v>1536</v>
      </c>
      <c r="C5433" s="7" t="s">
        <v>33213</v>
      </c>
      <c r="D5433" s="37" t="s">
        <v>33214</v>
      </c>
    </row>
    <row r="5434">
      <c r="A5434" s="37" t="s">
        <v>1536</v>
      </c>
      <c r="B5434" s="37" t="s">
        <v>1536</v>
      </c>
      <c r="C5434" s="7" t="s">
        <v>33215</v>
      </c>
      <c r="D5434" s="37" t="s">
        <v>33216</v>
      </c>
    </row>
    <row r="5435">
      <c r="A5435" s="37" t="s">
        <v>1536</v>
      </c>
      <c r="B5435" s="37" t="s">
        <v>1536</v>
      </c>
      <c r="C5435" s="7" t="s">
        <v>33217</v>
      </c>
      <c r="D5435" s="37" t="s">
        <v>33218</v>
      </c>
    </row>
    <row r="5436">
      <c r="A5436" s="37" t="s">
        <v>1536</v>
      </c>
      <c r="B5436" s="37" t="s">
        <v>1536</v>
      </c>
      <c r="C5436" s="7" t="s">
        <v>33219</v>
      </c>
      <c r="D5436" s="37" t="s">
        <v>33220</v>
      </c>
    </row>
    <row r="5437">
      <c r="A5437" s="37" t="s">
        <v>1536</v>
      </c>
      <c r="B5437" s="37" t="s">
        <v>1536</v>
      </c>
      <c r="C5437" s="7" t="s">
        <v>33221</v>
      </c>
      <c r="D5437" s="37" t="s">
        <v>33222</v>
      </c>
    </row>
    <row r="5438">
      <c r="A5438" s="37" t="s">
        <v>1536</v>
      </c>
      <c r="B5438" s="37" t="s">
        <v>1536</v>
      </c>
      <c r="C5438" s="7" t="s">
        <v>33223</v>
      </c>
      <c r="D5438" s="37" t="s">
        <v>33224</v>
      </c>
    </row>
    <row r="5439">
      <c r="A5439" s="37" t="s">
        <v>1536</v>
      </c>
      <c r="B5439" s="37" t="s">
        <v>1536</v>
      </c>
      <c r="C5439" s="7" t="s">
        <v>33209</v>
      </c>
      <c r="D5439" s="37" t="s">
        <v>33225</v>
      </c>
    </row>
    <row r="5440">
      <c r="A5440" s="37" t="s">
        <v>1536</v>
      </c>
      <c r="B5440" s="37" t="s">
        <v>1536</v>
      </c>
      <c r="C5440" s="7" t="s">
        <v>33226</v>
      </c>
      <c r="D5440" s="37" t="s">
        <v>33227</v>
      </c>
    </row>
    <row r="5441">
      <c r="A5441" s="37" t="s">
        <v>1536</v>
      </c>
      <c r="B5441" s="37" t="s">
        <v>1536</v>
      </c>
      <c r="C5441" s="37" t="s">
        <v>33228</v>
      </c>
      <c r="D5441" s="37" t="s">
        <v>33229</v>
      </c>
    </row>
    <row r="5442">
      <c r="A5442" s="37" t="s">
        <v>1536</v>
      </c>
      <c r="B5442" s="37" t="s">
        <v>1536</v>
      </c>
      <c r="C5442" s="7" t="s">
        <v>33230</v>
      </c>
      <c r="D5442" s="37" t="s">
        <v>33231</v>
      </c>
    </row>
    <row r="5443">
      <c r="A5443" s="37" t="s">
        <v>1536</v>
      </c>
      <c r="B5443" s="37" t="s">
        <v>1536</v>
      </c>
      <c r="C5443" s="37" t="s">
        <v>33232</v>
      </c>
      <c r="D5443" s="37" t="s">
        <v>33233</v>
      </c>
    </row>
    <row r="5444">
      <c r="A5444" s="37" t="s">
        <v>1536</v>
      </c>
      <c r="B5444" s="37" t="s">
        <v>1536</v>
      </c>
      <c r="C5444" s="37" t="s">
        <v>33234</v>
      </c>
      <c r="D5444" s="37" t="s">
        <v>33235</v>
      </c>
    </row>
    <row r="5445">
      <c r="A5445" s="37" t="s">
        <v>1536</v>
      </c>
      <c r="B5445" s="37" t="s">
        <v>1536</v>
      </c>
      <c r="C5445" s="37" t="s">
        <v>33236</v>
      </c>
      <c r="D5445" s="37" t="s">
        <v>33237</v>
      </c>
    </row>
    <row r="5446">
      <c r="A5446" s="37" t="s">
        <v>1536</v>
      </c>
      <c r="B5446" s="37" t="s">
        <v>1536</v>
      </c>
      <c r="C5446" s="7" t="s">
        <v>33238</v>
      </c>
      <c r="D5446" s="37" t="s">
        <v>33239</v>
      </c>
    </row>
    <row r="5447">
      <c r="A5447" s="37" t="s">
        <v>1536</v>
      </c>
      <c r="B5447" s="37" t="s">
        <v>1536</v>
      </c>
      <c r="C5447" s="7" t="s">
        <v>33240</v>
      </c>
      <c r="D5447" s="37" t="s">
        <v>33241</v>
      </c>
    </row>
    <row r="5448">
      <c r="A5448" s="37" t="s">
        <v>1536</v>
      </c>
      <c r="B5448" s="37" t="s">
        <v>1536</v>
      </c>
      <c r="C5448" s="7" t="s">
        <v>33242</v>
      </c>
      <c r="D5448" s="37" t="s">
        <v>33243</v>
      </c>
    </row>
    <row r="5449">
      <c r="A5449" s="37" t="s">
        <v>1536</v>
      </c>
      <c r="B5449" s="37" t="s">
        <v>1536</v>
      </c>
      <c r="C5449" s="37" t="s">
        <v>31603</v>
      </c>
      <c r="D5449" s="37" t="s">
        <v>33244</v>
      </c>
    </row>
    <row r="5450">
      <c r="A5450" s="37" t="s">
        <v>1536</v>
      </c>
      <c r="B5450" s="37" t="s">
        <v>1536</v>
      </c>
      <c r="C5450" s="37" t="s">
        <v>33245</v>
      </c>
      <c r="D5450" s="37" t="s">
        <v>33246</v>
      </c>
    </row>
    <row r="5451">
      <c r="A5451" s="37" t="s">
        <v>1536</v>
      </c>
      <c r="B5451" s="37" t="s">
        <v>1536</v>
      </c>
      <c r="C5451" s="37" t="s">
        <v>31605</v>
      </c>
      <c r="D5451" s="37" t="s">
        <v>33247</v>
      </c>
    </row>
    <row r="5452">
      <c r="A5452" s="37" t="s">
        <v>1536</v>
      </c>
      <c r="B5452" s="37" t="s">
        <v>1536</v>
      </c>
      <c r="C5452" s="37" t="s">
        <v>33248</v>
      </c>
      <c r="D5452" s="37" t="s">
        <v>33249</v>
      </c>
    </row>
    <row r="5453">
      <c r="A5453" s="37" t="s">
        <v>1536</v>
      </c>
      <c r="B5453" s="37" t="s">
        <v>1536</v>
      </c>
      <c r="C5453" s="37" t="s">
        <v>33250</v>
      </c>
      <c r="D5453" s="37" t="s">
        <v>33251</v>
      </c>
    </row>
    <row r="5454">
      <c r="A5454" s="37" t="s">
        <v>1536</v>
      </c>
      <c r="B5454" s="37" t="s">
        <v>1536</v>
      </c>
      <c r="C5454" s="7" t="s">
        <v>33252</v>
      </c>
      <c r="D5454" s="37" t="s">
        <v>33253</v>
      </c>
    </row>
    <row r="5455">
      <c r="A5455" s="37" t="s">
        <v>1536</v>
      </c>
      <c r="B5455" s="37" t="s">
        <v>1536</v>
      </c>
      <c r="C5455" s="7" t="s">
        <v>33254</v>
      </c>
      <c r="D5455" s="37" t="s">
        <v>33255</v>
      </c>
    </row>
    <row r="5456">
      <c r="A5456" s="37" t="s">
        <v>1536</v>
      </c>
      <c r="B5456" s="37" t="s">
        <v>1536</v>
      </c>
      <c r="C5456" s="7" t="s">
        <v>33256</v>
      </c>
      <c r="D5456" s="37" t="s">
        <v>33257</v>
      </c>
    </row>
    <row r="5457">
      <c r="A5457" s="37" t="s">
        <v>1536</v>
      </c>
      <c r="B5457" s="37" t="s">
        <v>1536</v>
      </c>
      <c r="C5457" s="7" t="s">
        <v>31515</v>
      </c>
      <c r="D5457" s="37" t="s">
        <v>33258</v>
      </c>
    </row>
    <row r="5458">
      <c r="A5458" s="37" t="s">
        <v>1536</v>
      </c>
      <c r="B5458" s="37" t="s">
        <v>1536</v>
      </c>
      <c r="C5458" s="37" t="s">
        <v>33259</v>
      </c>
      <c r="D5458" s="37" t="s">
        <v>33260</v>
      </c>
    </row>
    <row r="5459">
      <c r="A5459" s="37" t="s">
        <v>1536</v>
      </c>
      <c r="B5459" s="37" t="s">
        <v>1536</v>
      </c>
      <c r="C5459" s="37" t="s">
        <v>33261</v>
      </c>
      <c r="D5459" s="37" t="s">
        <v>33262</v>
      </c>
    </row>
    <row r="5460">
      <c r="A5460" s="37" t="s">
        <v>1536</v>
      </c>
      <c r="B5460" s="37" t="s">
        <v>1536</v>
      </c>
      <c r="C5460" s="7" t="s">
        <v>33263</v>
      </c>
      <c r="D5460" s="37" t="s">
        <v>33264</v>
      </c>
    </row>
    <row r="5461">
      <c r="A5461" s="37" t="s">
        <v>1536</v>
      </c>
      <c r="B5461" s="37" t="s">
        <v>1536</v>
      </c>
      <c r="C5461" s="37" t="s">
        <v>33265</v>
      </c>
      <c r="D5461" s="37" t="s">
        <v>33266</v>
      </c>
    </row>
    <row r="5462">
      <c r="A5462" s="37" t="s">
        <v>1536</v>
      </c>
      <c r="B5462" s="37" t="s">
        <v>1536</v>
      </c>
      <c r="C5462" s="7" t="s">
        <v>33267</v>
      </c>
      <c r="D5462" s="37" t="s">
        <v>33268</v>
      </c>
    </row>
    <row r="5463">
      <c r="A5463" s="37" t="s">
        <v>1536</v>
      </c>
      <c r="B5463" s="37" t="s">
        <v>1536</v>
      </c>
      <c r="C5463" s="37" t="s">
        <v>33269</v>
      </c>
      <c r="D5463" s="37" t="s">
        <v>33270</v>
      </c>
    </row>
    <row r="5464">
      <c r="A5464" s="37" t="s">
        <v>1536</v>
      </c>
      <c r="B5464" s="37" t="s">
        <v>1536</v>
      </c>
      <c r="C5464" s="37" t="s">
        <v>33271</v>
      </c>
      <c r="D5464" s="37" t="s">
        <v>33272</v>
      </c>
    </row>
    <row r="5465">
      <c r="A5465" s="37" t="s">
        <v>1536</v>
      </c>
      <c r="B5465" s="37" t="s">
        <v>1536</v>
      </c>
      <c r="C5465" s="7" t="s">
        <v>33273</v>
      </c>
      <c r="D5465" s="37" t="s">
        <v>33274</v>
      </c>
    </row>
    <row r="5466">
      <c r="A5466" s="37" t="s">
        <v>1536</v>
      </c>
      <c r="B5466" s="37" t="s">
        <v>1536</v>
      </c>
      <c r="C5466" s="7" t="s">
        <v>33275</v>
      </c>
      <c r="D5466" s="37" t="s">
        <v>33276</v>
      </c>
    </row>
    <row r="5467">
      <c r="A5467" s="37" t="s">
        <v>1536</v>
      </c>
      <c r="B5467" s="37" t="s">
        <v>1536</v>
      </c>
      <c r="C5467" s="7" t="s">
        <v>33277</v>
      </c>
      <c r="D5467" s="37" t="s">
        <v>33278</v>
      </c>
    </row>
    <row r="5468">
      <c r="A5468" s="37" t="s">
        <v>1536</v>
      </c>
      <c r="B5468" s="37" t="s">
        <v>1536</v>
      </c>
      <c r="C5468" s="7" t="s">
        <v>33279</v>
      </c>
      <c r="D5468" s="37" t="s">
        <v>33280</v>
      </c>
    </row>
    <row r="5469">
      <c r="A5469" s="37" t="s">
        <v>1536</v>
      </c>
      <c r="B5469" s="37" t="s">
        <v>1536</v>
      </c>
      <c r="C5469" s="7" t="s">
        <v>33281</v>
      </c>
      <c r="D5469" s="37" t="s">
        <v>33282</v>
      </c>
    </row>
    <row r="5470">
      <c r="A5470" s="37" t="s">
        <v>1536</v>
      </c>
      <c r="B5470" s="37" t="s">
        <v>1536</v>
      </c>
      <c r="C5470" s="7" t="s">
        <v>33283</v>
      </c>
      <c r="D5470" s="37" t="s">
        <v>33284</v>
      </c>
    </row>
    <row r="5471">
      <c r="A5471" s="37" t="s">
        <v>1536</v>
      </c>
      <c r="B5471" s="37" t="s">
        <v>1536</v>
      </c>
      <c r="C5471" s="7" t="s">
        <v>33285</v>
      </c>
      <c r="D5471" s="37" t="s">
        <v>33286</v>
      </c>
    </row>
    <row r="5472">
      <c r="A5472" s="37" t="s">
        <v>1536</v>
      </c>
      <c r="B5472" s="37" t="s">
        <v>1536</v>
      </c>
      <c r="C5472" s="7" t="s">
        <v>33287</v>
      </c>
      <c r="D5472" s="37" t="s">
        <v>33288</v>
      </c>
    </row>
    <row r="5473">
      <c r="A5473" s="37" t="s">
        <v>1536</v>
      </c>
      <c r="B5473" s="37" t="s">
        <v>1536</v>
      </c>
      <c r="C5473" s="7" t="s">
        <v>33289</v>
      </c>
      <c r="D5473" s="37" t="s">
        <v>33290</v>
      </c>
    </row>
    <row r="5474">
      <c r="A5474" s="37" t="s">
        <v>1536</v>
      </c>
      <c r="B5474" s="37" t="s">
        <v>1536</v>
      </c>
      <c r="C5474" s="7" t="s">
        <v>33291</v>
      </c>
      <c r="D5474" s="37" t="s">
        <v>33292</v>
      </c>
    </row>
    <row r="5475">
      <c r="A5475" s="37" t="s">
        <v>1536</v>
      </c>
      <c r="B5475" s="37" t="s">
        <v>1536</v>
      </c>
      <c r="C5475" s="37" t="s">
        <v>33293</v>
      </c>
      <c r="D5475" s="37" t="s">
        <v>33294</v>
      </c>
    </row>
    <row r="5476">
      <c r="A5476" s="37" t="s">
        <v>1536</v>
      </c>
      <c r="B5476" s="37" t="s">
        <v>1536</v>
      </c>
      <c r="C5476" s="7" t="s">
        <v>33295</v>
      </c>
      <c r="D5476" s="37" t="s">
        <v>33296</v>
      </c>
    </row>
    <row r="5477">
      <c r="A5477" s="37" t="s">
        <v>1536</v>
      </c>
      <c r="B5477" s="37" t="s">
        <v>1536</v>
      </c>
      <c r="C5477" s="37" t="s">
        <v>33297</v>
      </c>
      <c r="D5477" s="37" t="s">
        <v>33298</v>
      </c>
    </row>
    <row r="5478">
      <c r="A5478" s="37" t="s">
        <v>1536</v>
      </c>
      <c r="B5478" s="37" t="s">
        <v>1536</v>
      </c>
      <c r="C5478" s="7" t="s">
        <v>33299</v>
      </c>
      <c r="D5478" s="37" t="s">
        <v>33300</v>
      </c>
    </row>
    <row r="5479">
      <c r="A5479" s="37" t="s">
        <v>1536</v>
      </c>
      <c r="B5479" s="37" t="s">
        <v>1536</v>
      </c>
      <c r="C5479" s="7" t="s">
        <v>33301</v>
      </c>
      <c r="D5479" s="37" t="s">
        <v>33302</v>
      </c>
    </row>
    <row r="5480">
      <c r="A5480" s="37" t="s">
        <v>1536</v>
      </c>
      <c r="B5480" s="37" t="s">
        <v>1536</v>
      </c>
      <c r="C5480" s="37" t="s">
        <v>1781</v>
      </c>
      <c r="D5480" s="37" t="s">
        <v>33303</v>
      </c>
    </row>
    <row r="5481">
      <c r="A5481" s="37" t="s">
        <v>1536</v>
      </c>
      <c r="B5481" s="37" t="s">
        <v>1536</v>
      </c>
      <c r="C5481" s="37" t="s">
        <v>33304</v>
      </c>
      <c r="D5481" s="37" t="s">
        <v>33305</v>
      </c>
    </row>
    <row r="5482">
      <c r="A5482" s="37" t="s">
        <v>1536</v>
      </c>
      <c r="B5482" s="37" t="s">
        <v>1536</v>
      </c>
      <c r="C5482" s="37" t="s">
        <v>33306</v>
      </c>
      <c r="D5482" s="37" t="s">
        <v>33307</v>
      </c>
    </row>
    <row r="5483">
      <c r="A5483" s="37" t="s">
        <v>1536</v>
      </c>
      <c r="B5483" s="37" t="s">
        <v>1536</v>
      </c>
      <c r="C5483" s="7" t="s">
        <v>33308</v>
      </c>
      <c r="D5483" s="37" t="s">
        <v>33309</v>
      </c>
    </row>
    <row r="5484">
      <c r="A5484" s="37" t="s">
        <v>1536</v>
      </c>
      <c r="B5484" s="37" t="s">
        <v>1536</v>
      </c>
      <c r="C5484" s="7" t="s">
        <v>33310</v>
      </c>
      <c r="D5484" s="37" t="s">
        <v>33311</v>
      </c>
    </row>
    <row r="5485">
      <c r="A5485" s="37" t="s">
        <v>1536</v>
      </c>
      <c r="B5485" s="37" t="s">
        <v>1536</v>
      </c>
      <c r="C5485" s="37" t="s">
        <v>33312</v>
      </c>
      <c r="D5485" s="37" t="s">
        <v>33313</v>
      </c>
    </row>
    <row r="5486">
      <c r="A5486" s="37" t="s">
        <v>1536</v>
      </c>
      <c r="B5486" s="37" t="s">
        <v>1536</v>
      </c>
      <c r="C5486" s="37" t="s">
        <v>33314</v>
      </c>
      <c r="D5486" s="37" t="s">
        <v>33315</v>
      </c>
    </row>
    <row r="5487">
      <c r="A5487" s="37" t="s">
        <v>1536</v>
      </c>
      <c r="B5487" s="37" t="s">
        <v>1536</v>
      </c>
      <c r="C5487" s="7" t="s">
        <v>33316</v>
      </c>
      <c r="D5487" s="37" t="s">
        <v>33317</v>
      </c>
    </row>
    <row r="5488">
      <c r="A5488" s="37" t="s">
        <v>1536</v>
      </c>
      <c r="B5488" s="37" t="s">
        <v>1536</v>
      </c>
      <c r="C5488" s="7" t="s">
        <v>33318</v>
      </c>
      <c r="D5488" s="37" t="s">
        <v>33319</v>
      </c>
    </row>
    <row r="5489">
      <c r="A5489" s="37" t="s">
        <v>1536</v>
      </c>
      <c r="B5489" s="37" t="s">
        <v>1536</v>
      </c>
      <c r="C5489" s="7" t="s">
        <v>33320</v>
      </c>
      <c r="D5489" s="37" t="s">
        <v>33321</v>
      </c>
    </row>
    <row r="5490">
      <c r="A5490" s="37" t="s">
        <v>1536</v>
      </c>
      <c r="B5490" s="37" t="s">
        <v>1536</v>
      </c>
      <c r="C5490" s="37" t="s">
        <v>33322</v>
      </c>
      <c r="D5490" s="37" t="s">
        <v>33323</v>
      </c>
    </row>
    <row r="5491">
      <c r="A5491" s="37" t="s">
        <v>1536</v>
      </c>
      <c r="B5491" s="37" t="s">
        <v>1536</v>
      </c>
      <c r="C5491" s="37" t="s">
        <v>33324</v>
      </c>
      <c r="D5491" s="37" t="s">
        <v>33325</v>
      </c>
    </row>
    <row r="5492">
      <c r="A5492" s="37" t="s">
        <v>1536</v>
      </c>
      <c r="B5492" s="37" t="s">
        <v>1536</v>
      </c>
      <c r="C5492" s="7" t="s">
        <v>33326</v>
      </c>
      <c r="D5492" s="37" t="s">
        <v>33327</v>
      </c>
    </row>
    <row r="5493">
      <c r="A5493" s="37" t="s">
        <v>1536</v>
      </c>
      <c r="B5493" s="37" t="s">
        <v>1536</v>
      </c>
      <c r="C5493" s="7" t="s">
        <v>33328</v>
      </c>
      <c r="D5493" s="37" t="s">
        <v>33329</v>
      </c>
    </row>
    <row r="5494">
      <c r="A5494" s="37" t="s">
        <v>1536</v>
      </c>
      <c r="B5494" s="37" t="s">
        <v>1536</v>
      </c>
      <c r="C5494" s="7" t="s">
        <v>33330</v>
      </c>
      <c r="D5494" s="37" t="s">
        <v>33331</v>
      </c>
    </row>
    <row r="5495">
      <c r="A5495" s="37" t="s">
        <v>1536</v>
      </c>
      <c r="B5495" s="37" t="s">
        <v>1536</v>
      </c>
      <c r="C5495" s="7" t="s">
        <v>33332</v>
      </c>
      <c r="D5495" s="37" t="s">
        <v>33333</v>
      </c>
    </row>
    <row r="5496">
      <c r="A5496" s="37" t="s">
        <v>1536</v>
      </c>
      <c r="B5496" s="37" t="s">
        <v>1536</v>
      </c>
      <c r="C5496" s="37" t="s">
        <v>33334</v>
      </c>
      <c r="D5496" s="37" t="s">
        <v>33335</v>
      </c>
    </row>
    <row r="5497">
      <c r="A5497" s="37" t="s">
        <v>1536</v>
      </c>
      <c r="B5497" s="37" t="s">
        <v>1536</v>
      </c>
      <c r="C5497" s="7" t="s">
        <v>33336</v>
      </c>
      <c r="D5497" s="37" t="s">
        <v>33337</v>
      </c>
    </row>
    <row r="5498">
      <c r="A5498" s="37" t="s">
        <v>1536</v>
      </c>
      <c r="B5498" s="37" t="s">
        <v>1536</v>
      </c>
      <c r="C5498" s="7" t="s">
        <v>33338</v>
      </c>
      <c r="D5498" s="37" t="s">
        <v>33339</v>
      </c>
    </row>
    <row r="5499">
      <c r="A5499" s="37" t="s">
        <v>1536</v>
      </c>
      <c r="B5499" s="37" t="s">
        <v>1536</v>
      </c>
      <c r="C5499" s="7" t="s">
        <v>33340</v>
      </c>
      <c r="D5499" s="37" t="s">
        <v>33341</v>
      </c>
    </row>
    <row r="5500">
      <c r="A5500" s="37" t="s">
        <v>1536</v>
      </c>
      <c r="B5500" s="37" t="s">
        <v>1536</v>
      </c>
      <c r="C5500" s="37" t="s">
        <v>33342</v>
      </c>
      <c r="D5500" s="37" t="s">
        <v>33343</v>
      </c>
    </row>
    <row r="5501">
      <c r="A5501" s="37" t="s">
        <v>1536</v>
      </c>
      <c r="B5501" s="37" t="s">
        <v>1536</v>
      </c>
      <c r="C5501" s="7" t="s">
        <v>33344</v>
      </c>
      <c r="D5501" s="37" t="s">
        <v>33345</v>
      </c>
    </row>
    <row r="5502">
      <c r="A5502" s="37" t="s">
        <v>1536</v>
      </c>
      <c r="B5502" s="37" t="s">
        <v>1536</v>
      </c>
      <c r="C5502" s="37" t="s">
        <v>33346</v>
      </c>
      <c r="D5502" s="37" t="s">
        <v>33347</v>
      </c>
    </row>
    <row r="5503">
      <c r="A5503" s="37" t="s">
        <v>1536</v>
      </c>
      <c r="B5503" s="37" t="s">
        <v>1536</v>
      </c>
      <c r="C5503" s="37" t="s">
        <v>33348</v>
      </c>
      <c r="D5503" s="37" t="s">
        <v>33349</v>
      </c>
    </row>
    <row r="5504">
      <c r="A5504" s="37" t="s">
        <v>1536</v>
      </c>
      <c r="B5504" s="37" t="s">
        <v>1536</v>
      </c>
      <c r="C5504" s="37" t="s">
        <v>33350</v>
      </c>
      <c r="D5504" s="37" t="s">
        <v>33351</v>
      </c>
    </row>
    <row r="5505">
      <c r="A5505" s="37" t="s">
        <v>1536</v>
      </c>
      <c r="B5505" s="37" t="s">
        <v>1536</v>
      </c>
      <c r="C5505" s="37" t="s">
        <v>33259</v>
      </c>
      <c r="D5505" s="37" t="s">
        <v>33352</v>
      </c>
    </row>
    <row r="5506">
      <c r="A5506" s="37" t="s">
        <v>1536</v>
      </c>
      <c r="B5506" s="37" t="s">
        <v>1536</v>
      </c>
      <c r="C5506" s="7" t="s">
        <v>33353</v>
      </c>
      <c r="D5506" s="37" t="s">
        <v>33354</v>
      </c>
    </row>
    <row r="5507">
      <c r="A5507" s="37" t="s">
        <v>1536</v>
      </c>
      <c r="B5507" s="37" t="s">
        <v>1536</v>
      </c>
      <c r="C5507" s="7" t="s">
        <v>33355</v>
      </c>
      <c r="D5507" s="37" t="s">
        <v>33356</v>
      </c>
    </row>
    <row r="5508">
      <c r="A5508" s="37" t="s">
        <v>1536</v>
      </c>
      <c r="B5508" s="37" t="s">
        <v>1536</v>
      </c>
      <c r="C5508" s="7" t="s">
        <v>33357</v>
      </c>
      <c r="D5508" s="37" t="s">
        <v>33358</v>
      </c>
    </row>
    <row r="5509">
      <c r="A5509" s="37" t="s">
        <v>1536</v>
      </c>
      <c r="B5509" s="37" t="s">
        <v>1536</v>
      </c>
      <c r="C5509" s="7" t="s">
        <v>33359</v>
      </c>
      <c r="D5509" s="37" t="s">
        <v>33360</v>
      </c>
    </row>
    <row r="5510">
      <c r="A5510" s="37" t="s">
        <v>1536</v>
      </c>
      <c r="B5510" s="37" t="s">
        <v>1536</v>
      </c>
      <c r="C5510" s="7" t="s">
        <v>33361</v>
      </c>
      <c r="D5510" s="37" t="s">
        <v>33362</v>
      </c>
    </row>
    <row r="5511">
      <c r="A5511" s="37" t="s">
        <v>1536</v>
      </c>
      <c r="B5511" s="37" t="s">
        <v>1536</v>
      </c>
      <c r="C5511" s="7" t="s">
        <v>33363</v>
      </c>
      <c r="D5511" s="37" t="s">
        <v>33364</v>
      </c>
    </row>
    <row r="5512">
      <c r="A5512" s="37" t="s">
        <v>1536</v>
      </c>
      <c r="B5512" s="37" t="s">
        <v>1536</v>
      </c>
      <c r="C5512" s="7" t="s">
        <v>33365</v>
      </c>
      <c r="D5512" s="37" t="s">
        <v>33366</v>
      </c>
    </row>
    <row r="5513">
      <c r="A5513" s="37" t="s">
        <v>1536</v>
      </c>
      <c r="B5513" s="37" t="s">
        <v>1536</v>
      </c>
      <c r="C5513" s="7" t="s">
        <v>33367</v>
      </c>
      <c r="D5513" s="37" t="s">
        <v>33368</v>
      </c>
    </row>
    <row r="5514">
      <c r="A5514" s="37" t="s">
        <v>1536</v>
      </c>
      <c r="B5514" s="37" t="s">
        <v>1536</v>
      </c>
      <c r="C5514" s="7" t="s">
        <v>33369</v>
      </c>
      <c r="D5514" s="37" t="s">
        <v>33370</v>
      </c>
    </row>
    <row r="5515">
      <c r="A5515" s="37" t="s">
        <v>1536</v>
      </c>
      <c r="B5515" s="37" t="s">
        <v>1536</v>
      </c>
      <c r="C5515" s="7" t="s">
        <v>33371</v>
      </c>
      <c r="D5515" s="37" t="s">
        <v>33372</v>
      </c>
    </row>
    <row r="5516">
      <c r="A5516" s="37" t="s">
        <v>1536</v>
      </c>
      <c r="B5516" s="37" t="s">
        <v>1536</v>
      </c>
      <c r="C5516" s="37" t="s">
        <v>33373</v>
      </c>
      <c r="D5516" s="37" t="s">
        <v>33374</v>
      </c>
    </row>
    <row r="5517">
      <c r="A5517" s="37" t="s">
        <v>1536</v>
      </c>
      <c r="B5517" s="37" t="s">
        <v>1536</v>
      </c>
      <c r="C5517" s="37" t="s">
        <v>33375</v>
      </c>
      <c r="D5517" s="37" t="s">
        <v>33376</v>
      </c>
    </row>
    <row r="5518">
      <c r="A5518" s="37" t="s">
        <v>1536</v>
      </c>
      <c r="B5518" s="37" t="s">
        <v>1536</v>
      </c>
      <c r="C5518" s="37" t="s">
        <v>33377</v>
      </c>
      <c r="D5518" s="37" t="s">
        <v>33378</v>
      </c>
    </row>
    <row r="5519">
      <c r="A5519" s="37" t="s">
        <v>1536</v>
      </c>
      <c r="B5519" s="37" t="s">
        <v>1536</v>
      </c>
      <c r="C5519" s="37" t="s">
        <v>33379</v>
      </c>
      <c r="D5519" s="37" t="s">
        <v>33380</v>
      </c>
    </row>
    <row r="5520">
      <c r="A5520" s="37" t="s">
        <v>1536</v>
      </c>
      <c r="B5520" s="37" t="s">
        <v>1536</v>
      </c>
      <c r="C5520" s="37" t="s">
        <v>33381</v>
      </c>
      <c r="D5520" s="37" t="s">
        <v>33382</v>
      </c>
    </row>
    <row r="5521">
      <c r="A5521" s="37" t="s">
        <v>1536</v>
      </c>
      <c r="B5521" s="37" t="s">
        <v>1536</v>
      </c>
      <c r="C5521" s="37" t="s">
        <v>33383</v>
      </c>
      <c r="D5521" s="37" t="s">
        <v>33384</v>
      </c>
    </row>
    <row r="5522">
      <c r="A5522" s="37" t="s">
        <v>1536</v>
      </c>
      <c r="B5522" s="37" t="s">
        <v>1536</v>
      </c>
      <c r="C5522" s="37" t="s">
        <v>33385</v>
      </c>
      <c r="D5522" s="37" t="s">
        <v>33386</v>
      </c>
    </row>
    <row r="5523">
      <c r="A5523" s="37" t="s">
        <v>1536</v>
      </c>
      <c r="B5523" s="37" t="s">
        <v>1536</v>
      </c>
      <c r="C5523" s="37" t="s">
        <v>4956</v>
      </c>
      <c r="D5523" s="37" t="s">
        <v>33387</v>
      </c>
    </row>
    <row r="5524">
      <c r="A5524" s="37" t="s">
        <v>1536</v>
      </c>
      <c r="B5524" s="37" t="s">
        <v>1536</v>
      </c>
      <c r="C5524" s="37" t="s">
        <v>33388</v>
      </c>
      <c r="D5524" s="37" t="s">
        <v>33389</v>
      </c>
    </row>
    <row r="5525">
      <c r="A5525" s="37" t="s">
        <v>1536</v>
      </c>
      <c r="B5525" s="37" t="s">
        <v>1536</v>
      </c>
      <c r="C5525" s="37" t="s">
        <v>33390</v>
      </c>
      <c r="D5525" s="37" t="s">
        <v>33391</v>
      </c>
    </row>
    <row r="5526">
      <c r="A5526" s="37" t="s">
        <v>1536</v>
      </c>
      <c r="B5526" s="37" t="s">
        <v>1536</v>
      </c>
      <c r="C5526" s="7" t="s">
        <v>33392</v>
      </c>
      <c r="D5526" s="37" t="s">
        <v>33393</v>
      </c>
    </row>
    <row r="5527">
      <c r="A5527" s="37" t="s">
        <v>1536</v>
      </c>
      <c r="B5527" s="37" t="s">
        <v>1536</v>
      </c>
      <c r="C5527" s="7" t="s">
        <v>33394</v>
      </c>
      <c r="D5527" s="37" t="s">
        <v>33395</v>
      </c>
    </row>
    <row r="5528">
      <c r="A5528" s="37" t="s">
        <v>1536</v>
      </c>
      <c r="B5528" s="37" t="s">
        <v>1536</v>
      </c>
      <c r="C5528" s="7" t="s">
        <v>33396</v>
      </c>
      <c r="D5528" s="37" t="s">
        <v>33397</v>
      </c>
    </row>
    <row r="5529">
      <c r="A5529" s="37" t="s">
        <v>1536</v>
      </c>
      <c r="B5529" s="37" t="s">
        <v>1536</v>
      </c>
      <c r="C5529" s="7" t="s">
        <v>33398</v>
      </c>
      <c r="D5529" s="37" t="s">
        <v>33399</v>
      </c>
    </row>
    <row r="5530">
      <c r="A5530" s="37" t="s">
        <v>1536</v>
      </c>
      <c r="B5530" s="37" t="s">
        <v>1536</v>
      </c>
      <c r="C5530" s="7" t="s">
        <v>33400</v>
      </c>
      <c r="D5530" s="37" t="s">
        <v>33401</v>
      </c>
    </row>
    <row r="5531">
      <c r="A5531" s="37" t="s">
        <v>1536</v>
      </c>
      <c r="B5531" s="37" t="s">
        <v>1536</v>
      </c>
      <c r="C5531" s="37" t="s">
        <v>33148</v>
      </c>
      <c r="D5531" s="37" t="s">
        <v>33402</v>
      </c>
    </row>
    <row r="5532">
      <c r="A5532" s="37" t="s">
        <v>1536</v>
      </c>
      <c r="B5532" s="37" t="s">
        <v>1536</v>
      </c>
      <c r="C5532" s="37" t="s">
        <v>33166</v>
      </c>
      <c r="D5532" s="37" t="s">
        <v>33403</v>
      </c>
    </row>
    <row r="5533">
      <c r="A5533" s="37" t="s">
        <v>1536</v>
      </c>
      <c r="B5533" s="37" t="s">
        <v>1536</v>
      </c>
      <c r="C5533" s="37" t="s">
        <v>33170</v>
      </c>
      <c r="D5533" s="37" t="s">
        <v>33404</v>
      </c>
    </row>
    <row r="5534">
      <c r="A5534" s="37" t="s">
        <v>1536</v>
      </c>
      <c r="B5534" s="37" t="s">
        <v>1536</v>
      </c>
      <c r="C5534" s="37" t="s">
        <v>33405</v>
      </c>
      <c r="D5534" s="37" t="s">
        <v>33406</v>
      </c>
    </row>
    <row r="5535">
      <c r="A5535" s="37" t="s">
        <v>1536</v>
      </c>
      <c r="B5535" s="37" t="s">
        <v>1536</v>
      </c>
      <c r="C5535" s="37" t="s">
        <v>33176</v>
      </c>
      <c r="D5535" s="37" t="s">
        <v>33407</v>
      </c>
    </row>
    <row r="5536">
      <c r="A5536" s="37" t="s">
        <v>1536</v>
      </c>
      <c r="B5536" s="37" t="s">
        <v>1536</v>
      </c>
      <c r="C5536" s="37" t="s">
        <v>33178</v>
      </c>
      <c r="D5536" s="37" t="s">
        <v>33408</v>
      </c>
    </row>
    <row r="5537">
      <c r="A5537" s="37" t="s">
        <v>1536</v>
      </c>
      <c r="B5537" s="37" t="s">
        <v>1536</v>
      </c>
      <c r="C5537" s="37" t="s">
        <v>33409</v>
      </c>
      <c r="D5537" s="37" t="s">
        <v>33410</v>
      </c>
    </row>
    <row r="5538">
      <c r="A5538" s="37" t="s">
        <v>1536</v>
      </c>
      <c r="B5538" s="37" t="s">
        <v>1536</v>
      </c>
      <c r="C5538" s="37" t="s">
        <v>33411</v>
      </c>
      <c r="D5538" s="37" t="s">
        <v>33412</v>
      </c>
    </row>
    <row r="5539">
      <c r="A5539" s="37" t="s">
        <v>1536</v>
      </c>
      <c r="B5539" s="37" t="s">
        <v>1536</v>
      </c>
      <c r="C5539" s="37" t="s">
        <v>33413</v>
      </c>
      <c r="D5539" s="37" t="s">
        <v>33414</v>
      </c>
    </row>
    <row r="5540">
      <c r="A5540" s="37" t="s">
        <v>1536</v>
      </c>
      <c r="B5540" s="37" t="s">
        <v>1536</v>
      </c>
      <c r="C5540" s="37" t="s">
        <v>33415</v>
      </c>
      <c r="D5540" s="37" t="s">
        <v>33416</v>
      </c>
    </row>
    <row r="5541">
      <c r="A5541" s="37" t="s">
        <v>1536</v>
      </c>
      <c r="B5541" s="37" t="s">
        <v>1536</v>
      </c>
      <c r="C5541" s="37" t="s">
        <v>33417</v>
      </c>
      <c r="D5541" s="37" t="s">
        <v>33418</v>
      </c>
    </row>
    <row r="5542">
      <c r="A5542" s="37" t="s">
        <v>1536</v>
      </c>
      <c r="B5542" s="37" t="s">
        <v>1536</v>
      </c>
      <c r="C5542" s="37" t="s">
        <v>33419</v>
      </c>
      <c r="D5542" s="37" t="s">
        <v>33420</v>
      </c>
    </row>
    <row r="5543">
      <c r="A5543" s="37" t="s">
        <v>1536</v>
      </c>
      <c r="B5543" s="37" t="s">
        <v>1536</v>
      </c>
      <c r="C5543" s="37" t="s">
        <v>33421</v>
      </c>
      <c r="D5543" s="37" t="s">
        <v>33422</v>
      </c>
    </row>
    <row r="5544">
      <c r="A5544" s="37" t="s">
        <v>1536</v>
      </c>
      <c r="B5544" s="37" t="s">
        <v>1536</v>
      </c>
      <c r="C5544" s="37" t="s">
        <v>33423</v>
      </c>
      <c r="D5544" s="37" t="s">
        <v>33424</v>
      </c>
    </row>
    <row r="5545">
      <c r="A5545" s="37" t="s">
        <v>1536</v>
      </c>
      <c r="B5545" s="37" t="s">
        <v>1536</v>
      </c>
      <c r="C5545" s="37" t="s">
        <v>33425</v>
      </c>
      <c r="D5545" s="37" t="s">
        <v>33426</v>
      </c>
    </row>
    <row r="5546">
      <c r="A5546" s="37" t="s">
        <v>1536</v>
      </c>
      <c r="B5546" s="37" t="s">
        <v>1536</v>
      </c>
      <c r="C5546" s="37" t="s">
        <v>33427</v>
      </c>
      <c r="D5546" s="37" t="s">
        <v>33428</v>
      </c>
    </row>
    <row r="5547">
      <c r="A5547" s="37" t="s">
        <v>1536</v>
      </c>
      <c r="B5547" s="37" t="s">
        <v>1536</v>
      </c>
      <c r="C5547" s="37" t="s">
        <v>33429</v>
      </c>
      <c r="D5547" s="37" t="s">
        <v>33430</v>
      </c>
    </row>
    <row r="5548">
      <c r="A5548" s="37" t="s">
        <v>1536</v>
      </c>
      <c r="B5548" s="37" t="s">
        <v>1536</v>
      </c>
      <c r="C5548" s="7" t="s">
        <v>33431</v>
      </c>
      <c r="D5548" s="37" t="s">
        <v>33432</v>
      </c>
    </row>
    <row r="5549">
      <c r="A5549" s="37" t="s">
        <v>1536</v>
      </c>
      <c r="B5549" s="37" t="s">
        <v>1536</v>
      </c>
      <c r="C5549" s="37" t="s">
        <v>33433</v>
      </c>
      <c r="D5549" s="37" t="s">
        <v>33434</v>
      </c>
    </row>
    <row r="5550">
      <c r="A5550" s="37" t="s">
        <v>1536</v>
      </c>
      <c r="B5550" s="37" t="s">
        <v>1536</v>
      </c>
      <c r="C5550" s="7" t="s">
        <v>33435</v>
      </c>
      <c r="D5550" s="37" t="s">
        <v>33436</v>
      </c>
    </row>
    <row r="5551">
      <c r="A5551" s="37" t="s">
        <v>1536</v>
      </c>
      <c r="B5551" s="37" t="s">
        <v>1536</v>
      </c>
      <c r="C5551" s="37" t="s">
        <v>33437</v>
      </c>
      <c r="D5551" s="37" t="s">
        <v>33438</v>
      </c>
    </row>
    <row r="5552">
      <c r="A5552" s="37" t="s">
        <v>1536</v>
      </c>
      <c r="B5552" s="37" t="s">
        <v>1536</v>
      </c>
      <c r="C5552" s="37" t="s">
        <v>33439</v>
      </c>
      <c r="D5552" s="37" t="s">
        <v>33440</v>
      </c>
    </row>
    <row r="5553">
      <c r="A5553" s="37" t="s">
        <v>1536</v>
      </c>
      <c r="B5553" s="37" t="s">
        <v>1536</v>
      </c>
      <c r="C5553" s="7" t="s">
        <v>33441</v>
      </c>
      <c r="D5553" s="37" t="s">
        <v>33442</v>
      </c>
    </row>
    <row r="5554">
      <c r="A5554" s="37" t="s">
        <v>1536</v>
      </c>
      <c r="B5554" s="37" t="s">
        <v>1536</v>
      </c>
      <c r="C5554" s="37" t="s">
        <v>33443</v>
      </c>
      <c r="D5554" s="37" t="s">
        <v>33444</v>
      </c>
    </row>
    <row r="5555">
      <c r="A5555" s="37" t="s">
        <v>1536</v>
      </c>
      <c r="B5555" s="37" t="s">
        <v>1536</v>
      </c>
      <c r="C5555" s="37" t="s">
        <v>33445</v>
      </c>
      <c r="D5555" s="37" t="s">
        <v>33446</v>
      </c>
    </row>
    <row r="5556">
      <c r="A5556" s="37" t="s">
        <v>1536</v>
      </c>
      <c r="B5556" s="37" t="s">
        <v>1536</v>
      </c>
      <c r="C5556" s="7" t="s">
        <v>31198</v>
      </c>
      <c r="D5556" s="37" t="s">
        <v>33447</v>
      </c>
    </row>
    <row r="5557">
      <c r="A5557" s="37" t="s">
        <v>1536</v>
      </c>
      <c r="B5557" s="37" t="s">
        <v>1536</v>
      </c>
      <c r="C5557" s="7" t="s">
        <v>31190</v>
      </c>
      <c r="D5557" s="37" t="s">
        <v>33448</v>
      </c>
    </row>
    <row r="5558">
      <c r="A5558" s="37" t="s">
        <v>1536</v>
      </c>
      <c r="B5558" s="37" t="s">
        <v>1536</v>
      </c>
      <c r="C5558" s="7" t="s">
        <v>31226</v>
      </c>
      <c r="D5558" s="37" t="s">
        <v>33449</v>
      </c>
    </row>
    <row r="5559">
      <c r="A5559" s="37" t="s">
        <v>1536</v>
      </c>
      <c r="B5559" s="37" t="s">
        <v>1536</v>
      </c>
      <c r="C5559" s="7" t="s">
        <v>33450</v>
      </c>
      <c r="D5559" s="37" t="s">
        <v>33451</v>
      </c>
    </row>
    <row r="5560">
      <c r="A5560" s="37" t="s">
        <v>1536</v>
      </c>
      <c r="B5560" s="37" t="s">
        <v>1536</v>
      </c>
      <c r="C5560" s="7" t="s">
        <v>33452</v>
      </c>
      <c r="D5560" s="37" t="s">
        <v>33453</v>
      </c>
    </row>
    <row r="5561">
      <c r="A5561" s="37" t="s">
        <v>1536</v>
      </c>
      <c r="B5561" s="37" t="s">
        <v>1536</v>
      </c>
      <c r="C5561" s="37" t="s">
        <v>33454</v>
      </c>
      <c r="D5561" s="37" t="s">
        <v>33455</v>
      </c>
    </row>
    <row r="5562">
      <c r="A5562" s="37" t="s">
        <v>1536</v>
      </c>
      <c r="B5562" s="37" t="s">
        <v>1536</v>
      </c>
      <c r="C5562" s="7" t="s">
        <v>27197</v>
      </c>
      <c r="D5562" s="37" t="s">
        <v>33456</v>
      </c>
    </row>
    <row r="5563">
      <c r="A5563" s="37" t="s">
        <v>1536</v>
      </c>
      <c r="B5563" s="37" t="s">
        <v>1536</v>
      </c>
      <c r="C5563" s="37" t="s">
        <v>33457</v>
      </c>
      <c r="D5563" s="37" t="s">
        <v>33458</v>
      </c>
    </row>
    <row r="5564">
      <c r="A5564" s="37" t="s">
        <v>1536</v>
      </c>
      <c r="B5564" s="37" t="s">
        <v>1536</v>
      </c>
      <c r="C5564" s="37" t="s">
        <v>33459</v>
      </c>
      <c r="D5564" s="37" t="s">
        <v>33460</v>
      </c>
    </row>
    <row r="5565">
      <c r="A5565" s="37" t="s">
        <v>1536</v>
      </c>
      <c r="B5565" s="37" t="s">
        <v>1536</v>
      </c>
      <c r="C5565" s="7" t="s">
        <v>33461</v>
      </c>
      <c r="D5565" s="37" t="s">
        <v>33462</v>
      </c>
    </row>
    <row r="5566">
      <c r="A5566" s="37" t="s">
        <v>1536</v>
      </c>
      <c r="B5566" s="37" t="s">
        <v>1536</v>
      </c>
      <c r="C5566" s="7" t="s">
        <v>33463</v>
      </c>
      <c r="D5566" s="37" t="s">
        <v>33464</v>
      </c>
    </row>
    <row r="5567">
      <c r="A5567" s="37" t="s">
        <v>1536</v>
      </c>
      <c r="B5567" s="37" t="s">
        <v>1536</v>
      </c>
      <c r="C5567" s="7" t="s">
        <v>33465</v>
      </c>
      <c r="D5567" s="37" t="s">
        <v>33466</v>
      </c>
    </row>
    <row r="5568">
      <c r="A5568" s="37" t="s">
        <v>1536</v>
      </c>
      <c r="B5568" s="37" t="s">
        <v>1536</v>
      </c>
      <c r="C5568" s="7" t="s">
        <v>33467</v>
      </c>
      <c r="D5568" s="37" t="s">
        <v>33468</v>
      </c>
    </row>
    <row r="5569">
      <c r="A5569" s="37" t="s">
        <v>1536</v>
      </c>
      <c r="B5569" s="37" t="s">
        <v>1536</v>
      </c>
      <c r="C5569" s="7" t="s">
        <v>33469</v>
      </c>
      <c r="D5569" s="37" t="s">
        <v>33470</v>
      </c>
    </row>
    <row r="5570">
      <c r="A5570" s="37" t="s">
        <v>1536</v>
      </c>
      <c r="B5570" s="37" t="s">
        <v>1536</v>
      </c>
      <c r="C5570" s="7" t="s">
        <v>33471</v>
      </c>
      <c r="D5570" s="37" t="s">
        <v>33472</v>
      </c>
    </row>
    <row r="5571">
      <c r="A5571" s="37" t="s">
        <v>1536</v>
      </c>
      <c r="B5571" s="37" t="s">
        <v>1536</v>
      </c>
      <c r="C5571" s="7" t="s">
        <v>33473</v>
      </c>
      <c r="D5571" s="37" t="s">
        <v>33474</v>
      </c>
    </row>
    <row r="5572">
      <c r="A5572" s="37" t="s">
        <v>1536</v>
      </c>
      <c r="B5572" s="37" t="s">
        <v>1536</v>
      </c>
      <c r="C5572" s="7" t="s">
        <v>33475</v>
      </c>
      <c r="D5572" s="37" t="s">
        <v>33476</v>
      </c>
    </row>
    <row r="5573">
      <c r="A5573" s="37" t="s">
        <v>1536</v>
      </c>
      <c r="B5573" s="37" t="s">
        <v>1536</v>
      </c>
      <c r="C5573" s="7" t="s">
        <v>33477</v>
      </c>
      <c r="D5573" s="37" t="s">
        <v>33478</v>
      </c>
    </row>
    <row r="5574">
      <c r="A5574" s="37" t="s">
        <v>1536</v>
      </c>
      <c r="B5574" s="37" t="s">
        <v>1536</v>
      </c>
      <c r="C5574" s="7" t="s">
        <v>26224</v>
      </c>
      <c r="D5574" s="37" t="s">
        <v>33479</v>
      </c>
    </row>
    <row r="5575">
      <c r="A5575" s="37" t="s">
        <v>1536</v>
      </c>
      <c r="B5575" s="37" t="s">
        <v>1536</v>
      </c>
      <c r="C5575" s="7" t="s">
        <v>27021</v>
      </c>
      <c r="D5575" s="37" t="s">
        <v>33480</v>
      </c>
    </row>
    <row r="5576">
      <c r="A5576" s="37" t="s">
        <v>1536</v>
      </c>
      <c r="B5576" s="37" t="s">
        <v>1536</v>
      </c>
      <c r="C5576" s="7" t="s">
        <v>33481</v>
      </c>
      <c r="D5576" s="37" t="s">
        <v>33482</v>
      </c>
    </row>
    <row r="5577">
      <c r="A5577" s="37" t="s">
        <v>1536</v>
      </c>
      <c r="B5577" s="37" t="s">
        <v>1536</v>
      </c>
      <c r="C5577" s="7" t="s">
        <v>24424</v>
      </c>
      <c r="D5577" s="37" t="s">
        <v>33483</v>
      </c>
    </row>
    <row r="5578">
      <c r="A5578" s="37" t="s">
        <v>1536</v>
      </c>
      <c r="B5578" s="37" t="s">
        <v>1536</v>
      </c>
      <c r="C5578" s="37" t="s">
        <v>33484</v>
      </c>
      <c r="D5578" s="37" t="s">
        <v>33485</v>
      </c>
    </row>
    <row r="5579">
      <c r="A5579" s="37" t="s">
        <v>1536</v>
      </c>
      <c r="B5579" s="37" t="s">
        <v>1536</v>
      </c>
      <c r="C5579" s="7" t="s">
        <v>30405</v>
      </c>
      <c r="D5579" s="37" t="s">
        <v>33486</v>
      </c>
    </row>
    <row r="5580">
      <c r="A5580" s="37" t="s">
        <v>1536</v>
      </c>
      <c r="B5580" s="37" t="s">
        <v>1536</v>
      </c>
      <c r="C5580" s="7" t="s">
        <v>10738</v>
      </c>
      <c r="D5580" s="37" t="s">
        <v>33487</v>
      </c>
    </row>
    <row r="5581">
      <c r="A5581" s="37" t="s">
        <v>1536</v>
      </c>
      <c r="B5581" s="37" t="s">
        <v>1536</v>
      </c>
      <c r="C5581" s="37" t="s">
        <v>33488</v>
      </c>
      <c r="D5581" s="37" t="s">
        <v>33489</v>
      </c>
    </row>
    <row r="5582">
      <c r="A5582" s="37" t="s">
        <v>1536</v>
      </c>
      <c r="B5582" s="37" t="s">
        <v>1536</v>
      </c>
      <c r="C5582" s="7" t="s">
        <v>33490</v>
      </c>
      <c r="D5582" s="37" t="s">
        <v>33491</v>
      </c>
    </row>
    <row r="5583">
      <c r="A5583" s="37" t="s">
        <v>1536</v>
      </c>
      <c r="B5583" s="37" t="s">
        <v>1536</v>
      </c>
      <c r="C5583" s="7" t="s">
        <v>31069</v>
      </c>
      <c r="D5583" s="37" t="s">
        <v>33492</v>
      </c>
    </row>
    <row r="5584">
      <c r="A5584" s="37" t="s">
        <v>1536</v>
      </c>
      <c r="B5584" s="37" t="s">
        <v>1536</v>
      </c>
      <c r="C5584" s="7" t="s">
        <v>31505</v>
      </c>
      <c r="D5584" s="37" t="s">
        <v>33493</v>
      </c>
    </row>
    <row r="5585">
      <c r="A5585" s="37" t="s">
        <v>1536</v>
      </c>
      <c r="B5585" s="37" t="s">
        <v>1536</v>
      </c>
      <c r="C5585" s="37" t="s">
        <v>24797</v>
      </c>
      <c r="D5585" s="37" t="s">
        <v>33494</v>
      </c>
    </row>
    <row r="5586">
      <c r="A5586" s="37" t="s">
        <v>1536</v>
      </c>
      <c r="B5586" s="37" t="s">
        <v>1536</v>
      </c>
      <c r="C5586" s="7" t="s">
        <v>33495</v>
      </c>
      <c r="D5586" s="37" t="s">
        <v>33496</v>
      </c>
    </row>
    <row r="5587">
      <c r="A5587" s="37" t="s">
        <v>1536</v>
      </c>
      <c r="B5587" s="37" t="s">
        <v>1536</v>
      </c>
      <c r="C5587" s="37" t="s">
        <v>31547</v>
      </c>
      <c r="D5587" s="37" t="s">
        <v>33497</v>
      </c>
    </row>
    <row r="5588">
      <c r="A5588" s="37" t="s">
        <v>1536</v>
      </c>
      <c r="B5588" s="37" t="s">
        <v>1536</v>
      </c>
      <c r="C5588" s="37" t="s">
        <v>33498</v>
      </c>
      <c r="D5588" s="37" t="s">
        <v>33499</v>
      </c>
    </row>
    <row r="5589">
      <c r="A5589" s="37" t="s">
        <v>1536</v>
      </c>
      <c r="B5589" s="37" t="s">
        <v>1536</v>
      </c>
      <c r="C5589" s="7" t="s">
        <v>33500</v>
      </c>
      <c r="D5589" s="37" t="s">
        <v>33501</v>
      </c>
    </row>
    <row r="5590">
      <c r="A5590" s="37" t="s">
        <v>1536</v>
      </c>
      <c r="B5590" s="37" t="s">
        <v>1536</v>
      </c>
      <c r="C5590" s="37" t="s">
        <v>33082</v>
      </c>
      <c r="D5590" s="37" t="s">
        <v>33502</v>
      </c>
    </row>
    <row r="5591">
      <c r="A5591" s="37" t="s">
        <v>1536</v>
      </c>
      <c r="B5591" s="37" t="s">
        <v>1536</v>
      </c>
      <c r="C5591" s="37" t="s">
        <v>33503</v>
      </c>
      <c r="D5591" s="37" t="s">
        <v>33504</v>
      </c>
    </row>
    <row r="5592">
      <c r="A5592" s="37" t="s">
        <v>1536</v>
      </c>
      <c r="B5592" s="37" t="s">
        <v>1536</v>
      </c>
      <c r="C5592" s="37" t="s">
        <v>33505</v>
      </c>
      <c r="D5592" s="37" t="s">
        <v>33506</v>
      </c>
    </row>
    <row r="5593">
      <c r="A5593" s="37" t="s">
        <v>1536</v>
      </c>
      <c r="B5593" s="37" t="s">
        <v>1536</v>
      </c>
      <c r="C5593" s="7" t="s">
        <v>33507</v>
      </c>
      <c r="D5593" s="37" t="s">
        <v>33508</v>
      </c>
    </row>
    <row r="5594">
      <c r="A5594" s="37" t="s">
        <v>1536</v>
      </c>
      <c r="B5594" s="37" t="s">
        <v>1536</v>
      </c>
      <c r="C5594" s="7" t="s">
        <v>7794</v>
      </c>
      <c r="D5594" s="37" t="s">
        <v>33509</v>
      </c>
    </row>
    <row r="5595">
      <c r="A5595" s="37" t="s">
        <v>1536</v>
      </c>
      <c r="B5595" s="37" t="s">
        <v>1536</v>
      </c>
      <c r="C5595" s="7" t="s">
        <v>33510</v>
      </c>
      <c r="D5595" s="37" t="s">
        <v>33511</v>
      </c>
    </row>
    <row r="5596">
      <c r="A5596" s="37" t="s">
        <v>1536</v>
      </c>
      <c r="B5596" s="37" t="s">
        <v>1536</v>
      </c>
      <c r="C5596" s="7" t="s">
        <v>33512</v>
      </c>
      <c r="D5596" s="37" t="s">
        <v>33513</v>
      </c>
    </row>
    <row r="5597">
      <c r="A5597" s="37" t="s">
        <v>1536</v>
      </c>
      <c r="B5597" s="37" t="s">
        <v>1536</v>
      </c>
      <c r="C5597" s="37" t="s">
        <v>33514</v>
      </c>
      <c r="D5597" s="37" t="s">
        <v>33515</v>
      </c>
    </row>
    <row r="5598">
      <c r="A5598" s="37" t="s">
        <v>1536</v>
      </c>
      <c r="B5598" s="37" t="s">
        <v>1536</v>
      </c>
      <c r="C5598" s="37" t="s">
        <v>33516</v>
      </c>
      <c r="D5598" s="37" t="s">
        <v>33517</v>
      </c>
    </row>
    <row r="5599">
      <c r="A5599" s="37" t="s">
        <v>1536</v>
      </c>
      <c r="B5599" s="37" t="s">
        <v>1536</v>
      </c>
      <c r="C5599" s="7" t="s">
        <v>27815</v>
      </c>
      <c r="D5599" s="37" t="s">
        <v>33518</v>
      </c>
    </row>
    <row r="5600">
      <c r="A5600" s="37" t="s">
        <v>1536</v>
      </c>
      <c r="B5600" s="37" t="s">
        <v>1536</v>
      </c>
      <c r="C5600" s="7" t="s">
        <v>24536</v>
      </c>
      <c r="D5600" s="37" t="s">
        <v>33519</v>
      </c>
    </row>
    <row r="5601">
      <c r="A5601" s="37" t="s">
        <v>1536</v>
      </c>
      <c r="B5601" s="37" t="s">
        <v>1536</v>
      </c>
      <c r="C5601" s="7" t="s">
        <v>4578</v>
      </c>
      <c r="D5601" s="37" t="s">
        <v>33520</v>
      </c>
    </row>
    <row r="5602">
      <c r="A5602" s="37" t="s">
        <v>1536</v>
      </c>
      <c r="B5602" s="37" t="s">
        <v>1536</v>
      </c>
      <c r="C5602" s="37" t="s">
        <v>9498</v>
      </c>
      <c r="D5602" s="37" t="s">
        <v>33521</v>
      </c>
    </row>
    <row r="5603">
      <c r="A5603" s="37" t="s">
        <v>1536</v>
      </c>
      <c r="B5603" s="37" t="s">
        <v>1536</v>
      </c>
      <c r="C5603" s="7" t="s">
        <v>24159</v>
      </c>
      <c r="D5603" s="37" t="s">
        <v>33522</v>
      </c>
    </row>
    <row r="5604">
      <c r="A5604" s="37" t="s">
        <v>1536</v>
      </c>
      <c r="B5604" s="37" t="s">
        <v>1536</v>
      </c>
      <c r="C5604" s="7" t="s">
        <v>33523</v>
      </c>
      <c r="D5604" s="37" t="s">
        <v>33524</v>
      </c>
    </row>
    <row r="5605">
      <c r="A5605" s="37" t="s">
        <v>1536</v>
      </c>
      <c r="B5605" s="37" t="s">
        <v>1536</v>
      </c>
      <c r="C5605" s="7" t="s">
        <v>33525</v>
      </c>
      <c r="D5605" s="37" t="s">
        <v>33526</v>
      </c>
    </row>
    <row r="5606">
      <c r="A5606" s="37" t="s">
        <v>1536</v>
      </c>
      <c r="B5606" s="37" t="s">
        <v>1536</v>
      </c>
      <c r="C5606" s="7" t="s">
        <v>33527</v>
      </c>
      <c r="D5606" s="37" t="s">
        <v>33528</v>
      </c>
    </row>
    <row r="5607">
      <c r="A5607" s="37" t="s">
        <v>1536</v>
      </c>
      <c r="B5607" s="37" t="s">
        <v>1536</v>
      </c>
      <c r="C5607" s="7" t="s">
        <v>33529</v>
      </c>
      <c r="D5607" s="37" t="s">
        <v>33530</v>
      </c>
    </row>
    <row r="5608">
      <c r="A5608" s="37" t="s">
        <v>1536</v>
      </c>
      <c r="B5608" s="37" t="s">
        <v>1536</v>
      </c>
      <c r="C5608" s="7" t="s">
        <v>33531</v>
      </c>
      <c r="D5608" s="37" t="s">
        <v>33532</v>
      </c>
    </row>
    <row r="5609">
      <c r="A5609" s="37" t="s">
        <v>1536</v>
      </c>
      <c r="B5609" s="37" t="s">
        <v>1536</v>
      </c>
      <c r="C5609" s="7" t="s">
        <v>33533</v>
      </c>
      <c r="D5609" s="37" t="s">
        <v>33534</v>
      </c>
    </row>
    <row r="5610">
      <c r="A5610" s="37" t="s">
        <v>1536</v>
      </c>
      <c r="B5610" s="37" t="s">
        <v>1536</v>
      </c>
      <c r="C5610" s="7" t="s">
        <v>33535</v>
      </c>
      <c r="D5610" s="37" t="s">
        <v>33536</v>
      </c>
    </row>
    <row r="5611">
      <c r="A5611" s="37" t="s">
        <v>1536</v>
      </c>
      <c r="B5611" s="37" t="s">
        <v>1536</v>
      </c>
      <c r="C5611" s="7" t="s">
        <v>33537</v>
      </c>
      <c r="D5611" s="37" t="s">
        <v>33538</v>
      </c>
    </row>
    <row r="5612">
      <c r="A5612" s="37" t="s">
        <v>1536</v>
      </c>
      <c r="B5612" s="37" t="s">
        <v>1536</v>
      </c>
      <c r="C5612" s="7" t="s">
        <v>33539</v>
      </c>
      <c r="D5612" s="37" t="s">
        <v>33540</v>
      </c>
    </row>
    <row r="5613">
      <c r="A5613" s="37" t="s">
        <v>1536</v>
      </c>
      <c r="B5613" s="37" t="s">
        <v>1536</v>
      </c>
      <c r="C5613" s="7" t="s">
        <v>33541</v>
      </c>
      <c r="D5613" s="37" t="s">
        <v>33542</v>
      </c>
    </row>
    <row r="5614">
      <c r="A5614" s="37" t="s">
        <v>1536</v>
      </c>
      <c r="B5614" s="37" t="s">
        <v>1536</v>
      </c>
      <c r="C5614" s="7" t="s">
        <v>33543</v>
      </c>
      <c r="D5614" s="37" t="s">
        <v>33544</v>
      </c>
    </row>
    <row r="5615">
      <c r="A5615" s="37" t="s">
        <v>1536</v>
      </c>
      <c r="B5615" s="37" t="s">
        <v>1536</v>
      </c>
      <c r="C5615" s="7" t="s">
        <v>33545</v>
      </c>
      <c r="D5615" s="37" t="s">
        <v>33546</v>
      </c>
    </row>
    <row r="5616">
      <c r="A5616" s="37" t="s">
        <v>1536</v>
      </c>
      <c r="B5616" s="37" t="s">
        <v>1536</v>
      </c>
      <c r="C5616" s="7" t="s">
        <v>33547</v>
      </c>
      <c r="D5616" s="37" t="s">
        <v>33548</v>
      </c>
    </row>
    <row r="5617">
      <c r="A5617" s="37" t="s">
        <v>1536</v>
      </c>
      <c r="B5617" s="37" t="s">
        <v>1536</v>
      </c>
      <c r="C5617" s="7" t="s">
        <v>33549</v>
      </c>
      <c r="D5617" s="37" t="s">
        <v>33550</v>
      </c>
    </row>
    <row r="5618">
      <c r="A5618" s="37" t="s">
        <v>1536</v>
      </c>
      <c r="B5618" s="37" t="s">
        <v>1536</v>
      </c>
      <c r="C5618" s="7" t="s">
        <v>33551</v>
      </c>
      <c r="D5618" s="37" t="s">
        <v>33552</v>
      </c>
    </row>
    <row r="5619">
      <c r="A5619" s="37" t="s">
        <v>1536</v>
      </c>
      <c r="B5619" s="37" t="s">
        <v>1536</v>
      </c>
      <c r="C5619" s="7" t="s">
        <v>33553</v>
      </c>
      <c r="D5619" s="37" t="s">
        <v>33554</v>
      </c>
    </row>
    <row r="5620">
      <c r="A5620" s="37" t="s">
        <v>1536</v>
      </c>
      <c r="B5620" s="37" t="s">
        <v>1536</v>
      </c>
      <c r="C5620" s="7" t="s">
        <v>1105</v>
      </c>
      <c r="D5620" s="37" t="s">
        <v>33555</v>
      </c>
    </row>
    <row r="5621">
      <c r="A5621" s="37" t="s">
        <v>1536</v>
      </c>
      <c r="B5621" s="37" t="s">
        <v>1536</v>
      </c>
      <c r="C5621" s="37" t="s">
        <v>33556</v>
      </c>
      <c r="D5621" s="37" t="s">
        <v>33557</v>
      </c>
    </row>
    <row r="5622">
      <c r="A5622" s="37" t="s">
        <v>1536</v>
      </c>
      <c r="B5622" s="37" t="s">
        <v>1536</v>
      </c>
      <c r="C5622" s="37" t="s">
        <v>33558</v>
      </c>
      <c r="D5622" s="37" t="s">
        <v>33559</v>
      </c>
    </row>
    <row r="5623">
      <c r="A5623" s="37" t="s">
        <v>1536</v>
      </c>
      <c r="B5623" s="37" t="s">
        <v>1536</v>
      </c>
      <c r="C5623" s="37" t="s">
        <v>33560</v>
      </c>
      <c r="D5623" s="37" t="s">
        <v>33561</v>
      </c>
    </row>
    <row r="5624">
      <c r="A5624" s="37" t="s">
        <v>1536</v>
      </c>
      <c r="B5624" s="37" t="s">
        <v>1536</v>
      </c>
      <c r="C5624" s="7" t="s">
        <v>33562</v>
      </c>
      <c r="D5624" s="37" t="s">
        <v>33563</v>
      </c>
    </row>
    <row r="5625">
      <c r="A5625" s="37" t="s">
        <v>1536</v>
      </c>
      <c r="B5625" s="37" t="s">
        <v>1536</v>
      </c>
      <c r="C5625" s="37" t="s">
        <v>4246</v>
      </c>
      <c r="D5625" s="37" t="s">
        <v>33564</v>
      </c>
    </row>
    <row r="5626">
      <c r="A5626" s="37" t="s">
        <v>1536</v>
      </c>
      <c r="B5626" s="37" t="s">
        <v>1536</v>
      </c>
      <c r="C5626" s="7" t="s">
        <v>33565</v>
      </c>
      <c r="D5626" s="37" t="s">
        <v>33566</v>
      </c>
    </row>
    <row r="5627">
      <c r="A5627" s="37" t="s">
        <v>1536</v>
      </c>
      <c r="B5627" s="37" t="s">
        <v>1536</v>
      </c>
      <c r="C5627" s="7" t="s">
        <v>33567</v>
      </c>
      <c r="D5627" s="37" t="s">
        <v>33568</v>
      </c>
    </row>
    <row r="5628">
      <c r="A5628" s="37" t="s">
        <v>1536</v>
      </c>
      <c r="B5628" s="37" t="s">
        <v>1536</v>
      </c>
      <c r="C5628" s="7" t="s">
        <v>33569</v>
      </c>
      <c r="D5628" s="37" t="s">
        <v>33570</v>
      </c>
    </row>
    <row r="5629">
      <c r="A5629" s="37" t="s">
        <v>1536</v>
      </c>
      <c r="B5629" s="37" t="s">
        <v>1536</v>
      </c>
      <c r="C5629" s="7" t="s">
        <v>33571</v>
      </c>
      <c r="D5629" s="37" t="s">
        <v>33572</v>
      </c>
    </row>
    <row r="5630">
      <c r="A5630" s="37" t="s">
        <v>1536</v>
      </c>
      <c r="B5630" s="37" t="s">
        <v>1536</v>
      </c>
      <c r="C5630" s="37" t="s">
        <v>33573</v>
      </c>
      <c r="D5630" s="37" t="s">
        <v>33574</v>
      </c>
    </row>
    <row r="5631">
      <c r="A5631" s="37" t="s">
        <v>1536</v>
      </c>
      <c r="B5631" s="37" t="s">
        <v>1536</v>
      </c>
      <c r="C5631" s="7" t="s">
        <v>33575</v>
      </c>
      <c r="D5631" s="37" t="s">
        <v>33576</v>
      </c>
    </row>
    <row r="5632">
      <c r="A5632" s="37" t="s">
        <v>1536</v>
      </c>
      <c r="B5632" s="37" t="s">
        <v>1536</v>
      </c>
      <c r="C5632" s="7" t="s">
        <v>33577</v>
      </c>
      <c r="D5632" s="37" t="s">
        <v>33578</v>
      </c>
    </row>
    <row r="5633">
      <c r="A5633" s="37" t="s">
        <v>1536</v>
      </c>
      <c r="B5633" s="37" t="s">
        <v>1536</v>
      </c>
      <c r="C5633" s="37" t="s">
        <v>33579</v>
      </c>
      <c r="D5633" s="37" t="s">
        <v>33580</v>
      </c>
    </row>
    <row r="5634">
      <c r="A5634" s="37" t="s">
        <v>1536</v>
      </c>
      <c r="B5634" s="37" t="s">
        <v>1536</v>
      </c>
      <c r="C5634" s="7" t="s">
        <v>33581</v>
      </c>
      <c r="D5634" s="37" t="s">
        <v>33582</v>
      </c>
    </row>
    <row r="5635">
      <c r="A5635" s="37" t="s">
        <v>1536</v>
      </c>
      <c r="B5635" s="37" t="s">
        <v>1536</v>
      </c>
      <c r="C5635" s="7" t="s">
        <v>33583</v>
      </c>
      <c r="D5635" s="37" t="s">
        <v>33584</v>
      </c>
    </row>
    <row r="5636">
      <c r="A5636" s="37" t="s">
        <v>1536</v>
      </c>
      <c r="B5636" s="37" t="s">
        <v>1536</v>
      </c>
      <c r="C5636" s="37" t="s">
        <v>33585</v>
      </c>
      <c r="D5636" s="37" t="s">
        <v>33586</v>
      </c>
    </row>
    <row r="5637">
      <c r="A5637" s="37" t="s">
        <v>1536</v>
      </c>
      <c r="B5637" s="37" t="s">
        <v>1536</v>
      </c>
      <c r="C5637" s="7" t="s">
        <v>33587</v>
      </c>
      <c r="D5637" s="37" t="s">
        <v>33588</v>
      </c>
    </row>
    <row r="5638">
      <c r="A5638" s="37" t="s">
        <v>1536</v>
      </c>
      <c r="B5638" s="37" t="s">
        <v>1536</v>
      </c>
      <c r="C5638" s="37" t="s">
        <v>33589</v>
      </c>
      <c r="D5638" s="37" t="s">
        <v>33590</v>
      </c>
    </row>
    <row r="5639">
      <c r="A5639" s="37" t="s">
        <v>1536</v>
      </c>
      <c r="B5639" s="37" t="s">
        <v>1536</v>
      </c>
      <c r="C5639" s="37" t="s">
        <v>33591</v>
      </c>
      <c r="D5639" s="37" t="s">
        <v>33592</v>
      </c>
    </row>
    <row r="5640">
      <c r="A5640" s="37" t="s">
        <v>1536</v>
      </c>
      <c r="B5640" s="37" t="s">
        <v>1536</v>
      </c>
      <c r="C5640" s="37" t="s">
        <v>33593</v>
      </c>
      <c r="D5640" s="37" t="s">
        <v>33594</v>
      </c>
    </row>
    <row r="5641">
      <c r="A5641" s="37" t="s">
        <v>1536</v>
      </c>
      <c r="B5641" s="37" t="s">
        <v>1536</v>
      </c>
      <c r="C5641" s="7" t="s">
        <v>33595</v>
      </c>
      <c r="D5641" s="37" t="s">
        <v>33596</v>
      </c>
    </row>
    <row r="5642">
      <c r="A5642" s="37" t="s">
        <v>1536</v>
      </c>
      <c r="B5642" s="37" t="s">
        <v>1536</v>
      </c>
      <c r="C5642" s="7" t="s">
        <v>33597</v>
      </c>
      <c r="D5642" s="37" t="s">
        <v>33598</v>
      </c>
    </row>
    <row r="5643">
      <c r="A5643" s="37" t="s">
        <v>1536</v>
      </c>
      <c r="B5643" s="37" t="s">
        <v>1536</v>
      </c>
      <c r="C5643" s="7" t="s">
        <v>33599</v>
      </c>
      <c r="D5643" s="37" t="s">
        <v>33600</v>
      </c>
    </row>
    <row r="5644">
      <c r="A5644" s="37" t="s">
        <v>1536</v>
      </c>
      <c r="B5644" s="37" t="s">
        <v>1536</v>
      </c>
      <c r="C5644" s="37" t="s">
        <v>27405</v>
      </c>
      <c r="D5644" s="37" t="s">
        <v>33601</v>
      </c>
    </row>
    <row r="5645">
      <c r="A5645" s="37" t="s">
        <v>1536</v>
      </c>
      <c r="B5645" s="37" t="s">
        <v>1536</v>
      </c>
      <c r="C5645" s="37" t="s">
        <v>33602</v>
      </c>
      <c r="D5645" s="37" t="s">
        <v>33603</v>
      </c>
    </row>
    <row r="5646">
      <c r="A5646" s="37" t="s">
        <v>1536</v>
      </c>
      <c r="B5646" s="37" t="s">
        <v>1536</v>
      </c>
      <c r="C5646" s="37" t="s">
        <v>14129</v>
      </c>
      <c r="D5646" s="37" t="s">
        <v>33604</v>
      </c>
    </row>
    <row r="5647">
      <c r="A5647" s="37" t="s">
        <v>1536</v>
      </c>
      <c r="B5647" s="37" t="s">
        <v>1536</v>
      </c>
      <c r="C5647" s="37" t="s">
        <v>1646</v>
      </c>
      <c r="D5647" s="37" t="s">
        <v>33605</v>
      </c>
    </row>
    <row r="5648">
      <c r="A5648" s="37" t="s">
        <v>1536</v>
      </c>
      <c r="B5648" s="37" t="s">
        <v>1536</v>
      </c>
      <c r="C5648" s="7" t="s">
        <v>33606</v>
      </c>
      <c r="D5648" s="37" t="s">
        <v>33607</v>
      </c>
    </row>
    <row r="5649">
      <c r="A5649" s="37" t="s">
        <v>1536</v>
      </c>
      <c r="B5649" s="37" t="s">
        <v>1536</v>
      </c>
      <c r="C5649" s="7" t="s">
        <v>13749</v>
      </c>
      <c r="D5649" s="37" t="s">
        <v>33608</v>
      </c>
    </row>
    <row r="5650">
      <c r="A5650" s="37" t="s">
        <v>1536</v>
      </c>
      <c r="B5650" s="37" t="s">
        <v>1536</v>
      </c>
      <c r="C5650" s="37" t="s">
        <v>33609</v>
      </c>
      <c r="D5650" s="37" t="s">
        <v>33610</v>
      </c>
    </row>
    <row r="5651">
      <c r="A5651" s="37" t="s">
        <v>1536</v>
      </c>
      <c r="B5651" s="37" t="s">
        <v>1536</v>
      </c>
      <c r="C5651" s="7" t="s">
        <v>33611</v>
      </c>
      <c r="D5651" s="37" t="s">
        <v>33612</v>
      </c>
    </row>
    <row r="5652">
      <c r="A5652" s="37" t="s">
        <v>1536</v>
      </c>
      <c r="B5652" s="37" t="s">
        <v>1536</v>
      </c>
      <c r="C5652" s="7" t="s">
        <v>33613</v>
      </c>
      <c r="D5652" s="37" t="s">
        <v>33614</v>
      </c>
    </row>
    <row r="5653">
      <c r="A5653" s="37" t="s">
        <v>1536</v>
      </c>
      <c r="B5653" s="37" t="s">
        <v>1536</v>
      </c>
      <c r="C5653" s="7" t="s">
        <v>33615</v>
      </c>
      <c r="D5653" s="37" t="s">
        <v>33616</v>
      </c>
    </row>
    <row r="5654">
      <c r="A5654" s="37" t="s">
        <v>1536</v>
      </c>
      <c r="B5654" s="37" t="s">
        <v>1536</v>
      </c>
      <c r="C5654" s="37" t="s">
        <v>33617</v>
      </c>
      <c r="D5654" s="37" t="s">
        <v>33618</v>
      </c>
    </row>
    <row r="5655">
      <c r="A5655" s="37" t="s">
        <v>1536</v>
      </c>
      <c r="B5655" s="37" t="s">
        <v>1536</v>
      </c>
      <c r="C5655" s="7" t="s">
        <v>33619</v>
      </c>
      <c r="D5655" s="37" t="s">
        <v>33620</v>
      </c>
    </row>
    <row r="5656">
      <c r="A5656" s="37" t="s">
        <v>1536</v>
      </c>
      <c r="B5656" s="37" t="s">
        <v>1536</v>
      </c>
      <c r="C5656" s="7" t="s">
        <v>33621</v>
      </c>
      <c r="D5656" s="37" t="s">
        <v>33622</v>
      </c>
    </row>
    <row r="5657">
      <c r="A5657" s="37" t="s">
        <v>1536</v>
      </c>
      <c r="B5657" s="37" t="s">
        <v>1536</v>
      </c>
      <c r="C5657" s="7" t="s">
        <v>33623</v>
      </c>
      <c r="D5657" s="37" t="s">
        <v>33624</v>
      </c>
    </row>
    <row r="5658">
      <c r="A5658" s="37" t="s">
        <v>1536</v>
      </c>
      <c r="B5658" s="37" t="s">
        <v>1536</v>
      </c>
      <c r="C5658" s="7" t="s">
        <v>33625</v>
      </c>
      <c r="D5658" s="37" t="s">
        <v>33626</v>
      </c>
    </row>
    <row r="5659">
      <c r="A5659" s="37" t="s">
        <v>1536</v>
      </c>
      <c r="B5659" s="37" t="s">
        <v>1536</v>
      </c>
      <c r="C5659" s="7" t="s">
        <v>33627</v>
      </c>
      <c r="D5659" s="37" t="s">
        <v>33628</v>
      </c>
    </row>
    <row r="5660">
      <c r="A5660" s="37" t="s">
        <v>1536</v>
      </c>
      <c r="B5660" s="37" t="s">
        <v>1536</v>
      </c>
      <c r="C5660" s="7" t="s">
        <v>25973</v>
      </c>
      <c r="D5660" s="37" t="s">
        <v>33629</v>
      </c>
    </row>
    <row r="5661">
      <c r="A5661" s="37" t="s">
        <v>1536</v>
      </c>
      <c r="B5661" s="37" t="s">
        <v>1536</v>
      </c>
      <c r="C5661" s="7" t="s">
        <v>33630</v>
      </c>
      <c r="D5661" s="37" t="s">
        <v>33631</v>
      </c>
    </row>
    <row r="5662">
      <c r="A5662" s="37" t="s">
        <v>1536</v>
      </c>
      <c r="B5662" s="37" t="s">
        <v>1536</v>
      </c>
      <c r="C5662" s="7" t="s">
        <v>33632</v>
      </c>
      <c r="D5662" s="37" t="s">
        <v>33633</v>
      </c>
    </row>
    <row r="5663">
      <c r="A5663" s="37" t="s">
        <v>1536</v>
      </c>
      <c r="B5663" s="37" t="s">
        <v>1536</v>
      </c>
      <c r="C5663" s="37" t="s">
        <v>33634</v>
      </c>
      <c r="D5663" s="37" t="s">
        <v>33635</v>
      </c>
    </row>
    <row r="5664">
      <c r="A5664" s="37" t="s">
        <v>1536</v>
      </c>
      <c r="B5664" s="37" t="s">
        <v>1536</v>
      </c>
      <c r="C5664" s="37" t="s">
        <v>32379</v>
      </c>
      <c r="D5664" s="37" t="s">
        <v>33636</v>
      </c>
    </row>
    <row r="5665">
      <c r="A5665" s="37" t="s">
        <v>1536</v>
      </c>
      <c r="B5665" s="37" t="s">
        <v>1536</v>
      </c>
      <c r="C5665" s="37" t="s">
        <v>33637</v>
      </c>
      <c r="D5665" s="37" t="s">
        <v>33638</v>
      </c>
    </row>
    <row r="5666">
      <c r="A5666" s="37" t="s">
        <v>1536</v>
      </c>
      <c r="B5666" s="37" t="s">
        <v>1536</v>
      </c>
      <c r="C5666" s="7" t="s">
        <v>33639</v>
      </c>
      <c r="D5666" s="37" t="s">
        <v>33640</v>
      </c>
    </row>
    <row r="5667">
      <c r="A5667" s="37" t="s">
        <v>1536</v>
      </c>
      <c r="B5667" s="37" t="s">
        <v>1536</v>
      </c>
      <c r="C5667" s="37" t="s">
        <v>33641</v>
      </c>
      <c r="D5667" s="37" t="s">
        <v>33642</v>
      </c>
    </row>
    <row r="5668">
      <c r="A5668" s="37" t="s">
        <v>1536</v>
      </c>
      <c r="B5668" s="37" t="s">
        <v>1536</v>
      </c>
      <c r="C5668" s="7" t="s">
        <v>33643</v>
      </c>
      <c r="D5668" s="37" t="s">
        <v>33644</v>
      </c>
    </row>
    <row r="5669">
      <c r="A5669" s="37" t="s">
        <v>1536</v>
      </c>
      <c r="B5669" s="37" t="s">
        <v>1536</v>
      </c>
      <c r="C5669" s="7" t="s">
        <v>33645</v>
      </c>
      <c r="D5669" s="37" t="s">
        <v>33646</v>
      </c>
    </row>
    <row r="5670">
      <c r="A5670" s="37" t="s">
        <v>1536</v>
      </c>
      <c r="B5670" s="37" t="s">
        <v>1536</v>
      </c>
      <c r="C5670" s="7" t="s">
        <v>33647</v>
      </c>
      <c r="D5670" s="37" t="s">
        <v>33648</v>
      </c>
    </row>
    <row r="5671">
      <c r="A5671" s="37" t="s">
        <v>1536</v>
      </c>
      <c r="B5671" s="37" t="s">
        <v>1536</v>
      </c>
      <c r="C5671" s="7" t="s">
        <v>33649</v>
      </c>
      <c r="D5671" s="37" t="s">
        <v>33650</v>
      </c>
    </row>
    <row r="5672">
      <c r="A5672" s="37" t="s">
        <v>1536</v>
      </c>
      <c r="B5672" s="37" t="s">
        <v>1536</v>
      </c>
      <c r="C5672" s="37" t="s">
        <v>33651</v>
      </c>
      <c r="D5672" s="37" t="s">
        <v>33652</v>
      </c>
    </row>
    <row r="5673">
      <c r="A5673" s="37" t="s">
        <v>1536</v>
      </c>
      <c r="B5673" s="37" t="s">
        <v>1536</v>
      </c>
      <c r="C5673" s="7" t="s">
        <v>33308</v>
      </c>
      <c r="D5673" s="37" t="s">
        <v>33653</v>
      </c>
    </row>
    <row r="5674">
      <c r="A5674" s="37" t="s">
        <v>1536</v>
      </c>
      <c r="B5674" s="37" t="s">
        <v>1536</v>
      </c>
      <c r="C5674" s="37" t="s">
        <v>33654</v>
      </c>
      <c r="D5674" s="37" t="s">
        <v>33655</v>
      </c>
    </row>
    <row r="5675">
      <c r="A5675" s="37" t="s">
        <v>1536</v>
      </c>
      <c r="B5675" s="37" t="s">
        <v>1536</v>
      </c>
      <c r="C5675" s="7" t="s">
        <v>33656</v>
      </c>
      <c r="D5675" s="37" t="s">
        <v>33657</v>
      </c>
    </row>
    <row r="5676">
      <c r="A5676" s="37" t="s">
        <v>1536</v>
      </c>
      <c r="B5676" s="37" t="s">
        <v>1536</v>
      </c>
      <c r="C5676" s="7" t="s">
        <v>33658</v>
      </c>
      <c r="D5676" s="37" t="s">
        <v>33659</v>
      </c>
    </row>
    <row r="5677">
      <c r="A5677" s="37" t="s">
        <v>1536</v>
      </c>
      <c r="B5677" s="37" t="s">
        <v>1536</v>
      </c>
      <c r="C5677" s="7" t="s">
        <v>33660</v>
      </c>
      <c r="D5677" s="37" t="s">
        <v>33661</v>
      </c>
    </row>
    <row r="5678">
      <c r="A5678" s="37" t="s">
        <v>1536</v>
      </c>
      <c r="B5678" s="37" t="s">
        <v>1536</v>
      </c>
      <c r="C5678" s="7" t="s">
        <v>33662</v>
      </c>
      <c r="D5678" s="37" t="s">
        <v>33663</v>
      </c>
    </row>
    <row r="5679">
      <c r="A5679" s="37" t="s">
        <v>1536</v>
      </c>
      <c r="B5679" s="37" t="s">
        <v>1536</v>
      </c>
      <c r="C5679" s="7" t="s">
        <v>33664</v>
      </c>
      <c r="D5679" s="37" t="s">
        <v>33665</v>
      </c>
    </row>
    <row r="5680">
      <c r="A5680" s="37" t="s">
        <v>1536</v>
      </c>
      <c r="B5680" s="37" t="s">
        <v>1536</v>
      </c>
      <c r="C5680" s="7" t="s">
        <v>33666</v>
      </c>
      <c r="D5680" s="37" t="s">
        <v>33667</v>
      </c>
    </row>
    <row r="5681">
      <c r="A5681" s="37" t="s">
        <v>1536</v>
      </c>
      <c r="B5681" s="37" t="s">
        <v>1536</v>
      </c>
      <c r="C5681" s="7" t="s">
        <v>33668</v>
      </c>
      <c r="D5681" s="37" t="s">
        <v>33669</v>
      </c>
    </row>
    <row r="5682">
      <c r="A5682" s="37" t="s">
        <v>1536</v>
      </c>
      <c r="B5682" s="37" t="s">
        <v>1536</v>
      </c>
      <c r="C5682" s="7" t="s">
        <v>1735</v>
      </c>
      <c r="D5682" s="37" t="s">
        <v>33670</v>
      </c>
    </row>
    <row r="5683">
      <c r="A5683" s="37" t="s">
        <v>1536</v>
      </c>
      <c r="B5683" s="37" t="s">
        <v>1536</v>
      </c>
      <c r="C5683" s="37" t="s">
        <v>33671</v>
      </c>
      <c r="D5683" s="37" t="s">
        <v>33672</v>
      </c>
    </row>
    <row r="5684">
      <c r="A5684" s="37" t="s">
        <v>1536</v>
      </c>
      <c r="B5684" s="37" t="s">
        <v>1536</v>
      </c>
      <c r="C5684" s="7" t="s">
        <v>33673</v>
      </c>
      <c r="D5684" s="37" t="s">
        <v>33674</v>
      </c>
    </row>
    <row r="5685">
      <c r="A5685" s="37" t="s">
        <v>1536</v>
      </c>
      <c r="B5685" s="37" t="s">
        <v>1536</v>
      </c>
      <c r="C5685" s="7" t="s">
        <v>33675</v>
      </c>
      <c r="D5685" s="37" t="s">
        <v>33676</v>
      </c>
    </row>
    <row r="5686">
      <c r="A5686" s="37" t="s">
        <v>1536</v>
      </c>
      <c r="B5686" s="37" t="s">
        <v>1536</v>
      </c>
      <c r="C5686" s="7" t="s">
        <v>33677</v>
      </c>
      <c r="D5686" s="37" t="s">
        <v>33678</v>
      </c>
    </row>
    <row r="5687">
      <c r="A5687" s="37" t="s">
        <v>1536</v>
      </c>
      <c r="B5687" s="37" t="s">
        <v>1536</v>
      </c>
      <c r="C5687" s="7" t="s">
        <v>33679</v>
      </c>
      <c r="D5687" s="37" t="s">
        <v>33680</v>
      </c>
    </row>
    <row r="5688">
      <c r="A5688" s="37" t="s">
        <v>1536</v>
      </c>
      <c r="B5688" s="37" t="s">
        <v>1536</v>
      </c>
      <c r="C5688" s="7" t="s">
        <v>33681</v>
      </c>
      <c r="D5688" s="37" t="s">
        <v>33682</v>
      </c>
    </row>
    <row r="5689">
      <c r="A5689" s="37" t="s">
        <v>1536</v>
      </c>
      <c r="B5689" s="37" t="s">
        <v>1536</v>
      </c>
      <c r="C5689" s="7" t="s">
        <v>33683</v>
      </c>
      <c r="D5689" s="37" t="s">
        <v>33684</v>
      </c>
    </row>
    <row r="5690">
      <c r="A5690" s="37" t="s">
        <v>1536</v>
      </c>
      <c r="B5690" s="37" t="s">
        <v>1536</v>
      </c>
      <c r="C5690" s="7" t="s">
        <v>33685</v>
      </c>
      <c r="D5690" s="37" t="s">
        <v>33686</v>
      </c>
    </row>
    <row r="5691">
      <c r="A5691" s="37" t="s">
        <v>1536</v>
      </c>
      <c r="B5691" s="37" t="s">
        <v>1536</v>
      </c>
      <c r="C5691" s="7" t="s">
        <v>33687</v>
      </c>
      <c r="D5691" s="37" t="s">
        <v>33688</v>
      </c>
    </row>
    <row r="5692">
      <c r="A5692" s="37" t="s">
        <v>1536</v>
      </c>
      <c r="B5692" s="37" t="s">
        <v>1536</v>
      </c>
      <c r="C5692" s="7" t="s">
        <v>33689</v>
      </c>
      <c r="D5692" s="37" t="s">
        <v>33690</v>
      </c>
    </row>
    <row r="5693">
      <c r="A5693" s="37" t="s">
        <v>1536</v>
      </c>
      <c r="B5693" s="37" t="s">
        <v>1536</v>
      </c>
      <c r="C5693" s="7" t="s">
        <v>33691</v>
      </c>
      <c r="D5693" s="37" t="s">
        <v>33692</v>
      </c>
    </row>
    <row r="5694">
      <c r="A5694" s="37" t="s">
        <v>1536</v>
      </c>
      <c r="B5694" s="37" t="s">
        <v>1536</v>
      </c>
      <c r="C5694" s="7" t="s">
        <v>33693</v>
      </c>
      <c r="D5694" s="37" t="s">
        <v>33694</v>
      </c>
    </row>
    <row r="5695">
      <c r="A5695" s="37" t="s">
        <v>1536</v>
      </c>
      <c r="B5695" s="37" t="s">
        <v>1536</v>
      </c>
      <c r="C5695" s="7" t="s">
        <v>33695</v>
      </c>
      <c r="D5695" s="37" t="s">
        <v>33696</v>
      </c>
    </row>
    <row r="5696">
      <c r="A5696" s="37" t="s">
        <v>1536</v>
      </c>
      <c r="B5696" s="37" t="s">
        <v>1536</v>
      </c>
      <c r="C5696" s="7" t="s">
        <v>33697</v>
      </c>
      <c r="D5696" s="37" t="s">
        <v>33698</v>
      </c>
    </row>
    <row r="5697">
      <c r="A5697" s="37" t="s">
        <v>1536</v>
      </c>
      <c r="B5697" s="37" t="s">
        <v>1536</v>
      </c>
      <c r="C5697" s="7" t="s">
        <v>8428</v>
      </c>
      <c r="D5697" s="37" t="s">
        <v>33699</v>
      </c>
    </row>
    <row r="5698">
      <c r="A5698" s="37" t="s">
        <v>1536</v>
      </c>
      <c r="B5698" s="37" t="s">
        <v>1536</v>
      </c>
      <c r="C5698" s="7" t="s">
        <v>33700</v>
      </c>
      <c r="D5698" s="37" t="s">
        <v>33701</v>
      </c>
    </row>
    <row r="5699">
      <c r="A5699" s="37" t="s">
        <v>1536</v>
      </c>
      <c r="B5699" s="37" t="s">
        <v>1536</v>
      </c>
      <c r="C5699" s="7" t="s">
        <v>33702</v>
      </c>
      <c r="D5699" s="37" t="s">
        <v>33703</v>
      </c>
    </row>
    <row r="5700">
      <c r="A5700" s="37" t="s">
        <v>1536</v>
      </c>
      <c r="B5700" s="37" t="s">
        <v>1536</v>
      </c>
      <c r="C5700" s="37" t="s">
        <v>33510</v>
      </c>
      <c r="D5700" s="37" t="s">
        <v>33704</v>
      </c>
    </row>
    <row r="5701">
      <c r="A5701" s="37" t="s">
        <v>1536</v>
      </c>
      <c r="B5701" s="37" t="s">
        <v>1536</v>
      </c>
      <c r="C5701" s="7" t="s">
        <v>33705</v>
      </c>
      <c r="D5701" s="37" t="s">
        <v>33706</v>
      </c>
    </row>
    <row r="5702">
      <c r="A5702" s="37" t="s">
        <v>1536</v>
      </c>
      <c r="B5702" s="37" t="s">
        <v>1536</v>
      </c>
      <c r="C5702" s="37" t="s">
        <v>33707</v>
      </c>
      <c r="D5702" s="37" t="s">
        <v>33708</v>
      </c>
    </row>
    <row r="5703">
      <c r="A5703" s="37" t="s">
        <v>1536</v>
      </c>
      <c r="B5703" s="37" t="s">
        <v>1536</v>
      </c>
      <c r="C5703" s="7" t="s">
        <v>33709</v>
      </c>
      <c r="D5703" s="37" t="s">
        <v>33710</v>
      </c>
    </row>
    <row r="5704">
      <c r="A5704" s="37" t="s">
        <v>1536</v>
      </c>
      <c r="B5704" s="37" t="s">
        <v>1536</v>
      </c>
      <c r="C5704" s="7" t="s">
        <v>33711</v>
      </c>
      <c r="D5704" s="37" t="s">
        <v>33712</v>
      </c>
    </row>
    <row r="5705">
      <c r="A5705" s="37" t="s">
        <v>1536</v>
      </c>
      <c r="B5705" s="37" t="s">
        <v>1536</v>
      </c>
      <c r="C5705" s="7" t="s">
        <v>33713</v>
      </c>
      <c r="D5705" s="37" t="s">
        <v>33714</v>
      </c>
    </row>
    <row r="5706">
      <c r="A5706" s="37" t="s">
        <v>1536</v>
      </c>
      <c r="B5706" s="37" t="s">
        <v>1536</v>
      </c>
      <c r="C5706" s="7" t="s">
        <v>33715</v>
      </c>
      <c r="D5706" s="37" t="s">
        <v>33716</v>
      </c>
    </row>
    <row r="5707">
      <c r="A5707" s="37" t="s">
        <v>1536</v>
      </c>
      <c r="B5707" s="37" t="s">
        <v>1536</v>
      </c>
      <c r="C5707" s="7" t="s">
        <v>33717</v>
      </c>
      <c r="D5707" s="37" t="s">
        <v>33718</v>
      </c>
    </row>
    <row r="5708">
      <c r="A5708" s="37" t="s">
        <v>1536</v>
      </c>
      <c r="B5708" s="37" t="s">
        <v>1536</v>
      </c>
      <c r="C5708" s="7" t="s">
        <v>26191</v>
      </c>
      <c r="D5708" s="37" t="s">
        <v>33719</v>
      </c>
    </row>
    <row r="5709">
      <c r="A5709" s="37" t="s">
        <v>1536</v>
      </c>
      <c r="B5709" s="37" t="s">
        <v>1536</v>
      </c>
      <c r="C5709" s="7" t="s">
        <v>1496</v>
      </c>
      <c r="D5709" s="37" t="s">
        <v>33720</v>
      </c>
    </row>
    <row r="5710">
      <c r="A5710" s="37" t="s">
        <v>1536</v>
      </c>
      <c r="B5710" s="37" t="s">
        <v>1536</v>
      </c>
      <c r="C5710" s="7" t="s">
        <v>33721</v>
      </c>
      <c r="D5710" s="37" t="s">
        <v>33722</v>
      </c>
    </row>
    <row r="5711">
      <c r="A5711" s="37" t="s">
        <v>1536</v>
      </c>
      <c r="B5711" s="37" t="s">
        <v>1536</v>
      </c>
      <c r="C5711" s="37" t="s">
        <v>33723</v>
      </c>
      <c r="D5711" s="37" t="s">
        <v>33724</v>
      </c>
    </row>
    <row r="5712">
      <c r="A5712" s="37" t="s">
        <v>1536</v>
      </c>
      <c r="B5712" s="37" t="s">
        <v>1536</v>
      </c>
      <c r="C5712" s="7" t="s">
        <v>33725</v>
      </c>
      <c r="D5712" s="37" t="s">
        <v>33726</v>
      </c>
    </row>
    <row r="5713">
      <c r="A5713" s="37" t="s">
        <v>1536</v>
      </c>
      <c r="B5713" s="37" t="s">
        <v>1536</v>
      </c>
      <c r="C5713" s="7" t="s">
        <v>33727</v>
      </c>
      <c r="D5713" s="37" t="s">
        <v>33728</v>
      </c>
    </row>
    <row r="5714">
      <c r="A5714" s="37" t="s">
        <v>1536</v>
      </c>
      <c r="B5714" s="37" t="s">
        <v>1536</v>
      </c>
      <c r="C5714" s="7" t="s">
        <v>33729</v>
      </c>
      <c r="D5714" s="37" t="s">
        <v>33730</v>
      </c>
    </row>
    <row r="5715">
      <c r="A5715" s="37" t="s">
        <v>1536</v>
      </c>
      <c r="B5715" s="37" t="s">
        <v>1536</v>
      </c>
      <c r="C5715" s="7" t="s">
        <v>33731</v>
      </c>
      <c r="D5715" s="37" t="s">
        <v>33732</v>
      </c>
    </row>
    <row r="5716">
      <c r="A5716" s="37" t="s">
        <v>1536</v>
      </c>
      <c r="B5716" s="37" t="s">
        <v>1536</v>
      </c>
      <c r="C5716" s="7" t="s">
        <v>33733</v>
      </c>
      <c r="D5716" s="37" t="s">
        <v>33734</v>
      </c>
    </row>
    <row r="5717">
      <c r="A5717" s="37" t="s">
        <v>1536</v>
      </c>
      <c r="B5717" s="37" t="s">
        <v>1536</v>
      </c>
      <c r="C5717" s="7" t="s">
        <v>33735</v>
      </c>
      <c r="D5717" s="37" t="s">
        <v>33736</v>
      </c>
    </row>
    <row r="5718">
      <c r="A5718" s="37" t="s">
        <v>1536</v>
      </c>
      <c r="B5718" s="37" t="s">
        <v>1536</v>
      </c>
      <c r="C5718" s="7" t="s">
        <v>33737</v>
      </c>
      <c r="D5718" s="37" t="s">
        <v>33738</v>
      </c>
    </row>
    <row r="5719">
      <c r="A5719" s="37" t="s">
        <v>1536</v>
      </c>
      <c r="B5719" s="37" t="s">
        <v>1536</v>
      </c>
      <c r="C5719" s="7" t="s">
        <v>32439</v>
      </c>
      <c r="D5719" s="37" t="s">
        <v>33739</v>
      </c>
    </row>
    <row r="5720">
      <c r="A5720" s="37" t="s">
        <v>1536</v>
      </c>
      <c r="B5720" s="37" t="s">
        <v>1536</v>
      </c>
      <c r="C5720" s="7" t="s">
        <v>26705</v>
      </c>
      <c r="D5720" s="37" t="s">
        <v>33740</v>
      </c>
    </row>
    <row r="5721">
      <c r="A5721" s="37" t="s">
        <v>1536</v>
      </c>
      <c r="B5721" s="37" t="s">
        <v>1536</v>
      </c>
      <c r="C5721" s="7" t="s">
        <v>33369</v>
      </c>
      <c r="D5721" s="37" t="s">
        <v>33741</v>
      </c>
    </row>
    <row r="5722">
      <c r="A5722" s="37" t="s">
        <v>1536</v>
      </c>
      <c r="B5722" s="37" t="s">
        <v>1536</v>
      </c>
      <c r="C5722" s="7" t="s">
        <v>33742</v>
      </c>
      <c r="D5722" s="37" t="s">
        <v>33743</v>
      </c>
    </row>
    <row r="5723">
      <c r="A5723" s="37" t="s">
        <v>1536</v>
      </c>
      <c r="B5723" s="37" t="s">
        <v>1536</v>
      </c>
      <c r="C5723" s="37" t="s">
        <v>33744</v>
      </c>
      <c r="D5723" s="37" t="s">
        <v>33745</v>
      </c>
    </row>
    <row r="5724">
      <c r="A5724" s="37" t="s">
        <v>1536</v>
      </c>
      <c r="B5724" s="37" t="s">
        <v>1536</v>
      </c>
      <c r="C5724" s="7" t="s">
        <v>33746</v>
      </c>
      <c r="D5724" s="37" t="s">
        <v>33747</v>
      </c>
    </row>
    <row r="5725">
      <c r="A5725" s="37" t="s">
        <v>1536</v>
      </c>
      <c r="B5725" s="37" t="s">
        <v>1536</v>
      </c>
      <c r="C5725" s="7" t="s">
        <v>33748</v>
      </c>
      <c r="D5725" s="37" t="s">
        <v>33749</v>
      </c>
    </row>
    <row r="5726">
      <c r="A5726" s="37" t="s">
        <v>1536</v>
      </c>
      <c r="B5726" s="37" t="s">
        <v>1536</v>
      </c>
      <c r="C5726" s="7" t="s">
        <v>33750</v>
      </c>
      <c r="D5726" s="37" t="s">
        <v>33751</v>
      </c>
    </row>
    <row r="5727">
      <c r="A5727" s="37" t="s">
        <v>1536</v>
      </c>
      <c r="B5727" s="37" t="s">
        <v>1536</v>
      </c>
      <c r="C5727" s="37" t="s">
        <v>33752</v>
      </c>
      <c r="D5727" s="37" t="s">
        <v>33753</v>
      </c>
    </row>
    <row r="5728">
      <c r="A5728" s="37" t="s">
        <v>1536</v>
      </c>
      <c r="B5728" s="37" t="s">
        <v>1536</v>
      </c>
      <c r="C5728" s="37" t="s">
        <v>33754</v>
      </c>
      <c r="D5728" s="37" t="s">
        <v>33755</v>
      </c>
    </row>
    <row r="5729">
      <c r="A5729" s="37" t="s">
        <v>1536</v>
      </c>
      <c r="B5729" s="37" t="s">
        <v>1536</v>
      </c>
      <c r="C5729" s="7" t="s">
        <v>33756</v>
      </c>
      <c r="D5729" s="37" t="s">
        <v>33757</v>
      </c>
    </row>
    <row r="5730">
      <c r="A5730" s="37" t="s">
        <v>1536</v>
      </c>
      <c r="B5730" s="37" t="s">
        <v>1536</v>
      </c>
      <c r="C5730" s="7" t="s">
        <v>33758</v>
      </c>
      <c r="D5730" s="37" t="s">
        <v>33759</v>
      </c>
    </row>
    <row r="5731">
      <c r="A5731" s="37" t="s">
        <v>1536</v>
      </c>
      <c r="B5731" s="37" t="s">
        <v>1536</v>
      </c>
      <c r="C5731" s="37" t="s">
        <v>33760</v>
      </c>
      <c r="D5731" s="37" t="s">
        <v>33761</v>
      </c>
    </row>
    <row r="5732">
      <c r="A5732" s="37" t="s">
        <v>1536</v>
      </c>
      <c r="B5732" s="37" t="s">
        <v>1536</v>
      </c>
      <c r="C5732" s="7" t="s">
        <v>33762</v>
      </c>
      <c r="D5732" s="37" t="s">
        <v>33763</v>
      </c>
    </row>
    <row r="5733">
      <c r="A5733" s="37" t="s">
        <v>1536</v>
      </c>
      <c r="B5733" s="37" t="s">
        <v>1536</v>
      </c>
      <c r="C5733" s="7" t="s">
        <v>33764</v>
      </c>
      <c r="D5733" s="37" t="s">
        <v>33765</v>
      </c>
    </row>
    <row r="5734">
      <c r="A5734" s="37" t="s">
        <v>1536</v>
      </c>
      <c r="B5734" s="37" t="s">
        <v>1536</v>
      </c>
      <c r="C5734" s="37" t="s">
        <v>33766</v>
      </c>
      <c r="D5734" s="37" t="s">
        <v>33767</v>
      </c>
    </row>
    <row r="5735">
      <c r="A5735" s="37" t="s">
        <v>1536</v>
      </c>
      <c r="B5735" s="37" t="s">
        <v>1536</v>
      </c>
      <c r="C5735" s="7" t="s">
        <v>31039</v>
      </c>
      <c r="D5735" s="37" t="s">
        <v>33768</v>
      </c>
    </row>
    <row r="5736">
      <c r="A5736" s="37" t="s">
        <v>1536</v>
      </c>
      <c r="B5736" s="37" t="s">
        <v>1536</v>
      </c>
      <c r="C5736" s="7" t="s">
        <v>1643</v>
      </c>
      <c r="D5736" s="37" t="s">
        <v>33769</v>
      </c>
    </row>
    <row r="5737">
      <c r="A5737" s="37" t="s">
        <v>1536</v>
      </c>
      <c r="B5737" s="37" t="s">
        <v>1536</v>
      </c>
      <c r="C5737" s="7" t="s">
        <v>33770</v>
      </c>
      <c r="D5737" s="37" t="s">
        <v>33771</v>
      </c>
    </row>
    <row r="5738">
      <c r="A5738" s="37" t="s">
        <v>1536</v>
      </c>
      <c r="B5738" s="37" t="s">
        <v>1536</v>
      </c>
      <c r="C5738" s="7" t="s">
        <v>33772</v>
      </c>
      <c r="D5738" s="37" t="s">
        <v>33773</v>
      </c>
    </row>
    <row r="5739">
      <c r="A5739" s="37" t="s">
        <v>1536</v>
      </c>
      <c r="B5739" s="37" t="s">
        <v>1536</v>
      </c>
      <c r="C5739" s="37" t="s">
        <v>33774</v>
      </c>
      <c r="D5739" s="37" t="s">
        <v>33775</v>
      </c>
    </row>
    <row r="5740">
      <c r="A5740" s="37" t="s">
        <v>1536</v>
      </c>
      <c r="B5740" s="37" t="s">
        <v>1536</v>
      </c>
      <c r="C5740" s="37" t="s">
        <v>33776</v>
      </c>
      <c r="D5740" s="37" t="s">
        <v>33777</v>
      </c>
    </row>
    <row r="5741">
      <c r="A5741" s="37" t="s">
        <v>1536</v>
      </c>
      <c r="B5741" s="37" t="s">
        <v>1536</v>
      </c>
      <c r="C5741" s="37" t="s">
        <v>33778</v>
      </c>
      <c r="D5741" s="37" t="s">
        <v>33779</v>
      </c>
    </row>
    <row r="5742">
      <c r="A5742" s="37" t="s">
        <v>1536</v>
      </c>
      <c r="B5742" s="37" t="s">
        <v>1536</v>
      </c>
      <c r="C5742" s="37" t="s">
        <v>33780</v>
      </c>
      <c r="D5742" s="37" t="s">
        <v>33781</v>
      </c>
    </row>
    <row r="5743">
      <c r="A5743" s="37" t="s">
        <v>1536</v>
      </c>
      <c r="B5743" s="37" t="s">
        <v>1536</v>
      </c>
      <c r="C5743" s="7" t="s">
        <v>33782</v>
      </c>
      <c r="D5743" s="37" t="s">
        <v>33783</v>
      </c>
    </row>
    <row r="5744">
      <c r="A5744" s="37" t="s">
        <v>1536</v>
      </c>
      <c r="B5744" s="37" t="s">
        <v>1536</v>
      </c>
      <c r="C5744" s="7" t="s">
        <v>33784</v>
      </c>
      <c r="D5744" s="37" t="s">
        <v>33785</v>
      </c>
    </row>
    <row r="5745">
      <c r="A5745" s="37" t="s">
        <v>1536</v>
      </c>
      <c r="B5745" s="37" t="s">
        <v>1536</v>
      </c>
      <c r="C5745" s="7" t="s">
        <v>33786</v>
      </c>
      <c r="D5745" s="37" t="s">
        <v>33787</v>
      </c>
    </row>
    <row r="5746">
      <c r="A5746" s="37" t="s">
        <v>1536</v>
      </c>
      <c r="B5746" s="37" t="s">
        <v>1536</v>
      </c>
      <c r="C5746" s="7" t="s">
        <v>33788</v>
      </c>
      <c r="D5746" s="37" t="s">
        <v>33789</v>
      </c>
    </row>
    <row r="5747">
      <c r="A5747" s="37" t="s">
        <v>1536</v>
      </c>
      <c r="B5747" s="37" t="s">
        <v>1536</v>
      </c>
      <c r="C5747" s="7" t="s">
        <v>33790</v>
      </c>
      <c r="D5747" s="37" t="s">
        <v>33791</v>
      </c>
    </row>
    <row r="5748">
      <c r="A5748" s="37" t="s">
        <v>1536</v>
      </c>
      <c r="B5748" s="37" t="s">
        <v>1536</v>
      </c>
      <c r="C5748" s="7" t="s">
        <v>31819</v>
      </c>
      <c r="D5748" s="37" t="s">
        <v>33792</v>
      </c>
    </row>
    <row r="5749">
      <c r="A5749" s="37" t="s">
        <v>1536</v>
      </c>
      <c r="B5749" s="37" t="s">
        <v>1536</v>
      </c>
      <c r="C5749" s="37" t="s">
        <v>33558</v>
      </c>
      <c r="D5749" s="37" t="s">
        <v>33793</v>
      </c>
    </row>
    <row r="5750">
      <c r="A5750" s="37" t="s">
        <v>1536</v>
      </c>
      <c r="B5750" s="37" t="s">
        <v>1536</v>
      </c>
      <c r="C5750" s="37" t="s">
        <v>33794</v>
      </c>
      <c r="D5750" s="37" t="s">
        <v>33795</v>
      </c>
    </row>
    <row r="5751">
      <c r="A5751" s="37" t="s">
        <v>1536</v>
      </c>
      <c r="B5751" s="37" t="s">
        <v>1536</v>
      </c>
      <c r="C5751" s="37" t="s">
        <v>33796</v>
      </c>
      <c r="D5751" s="37" t="s">
        <v>33797</v>
      </c>
    </row>
    <row r="5752">
      <c r="A5752" s="37" t="s">
        <v>1536</v>
      </c>
      <c r="B5752" s="37" t="s">
        <v>1536</v>
      </c>
      <c r="C5752" s="7" t="s">
        <v>33798</v>
      </c>
      <c r="D5752" s="37" t="s">
        <v>33799</v>
      </c>
    </row>
    <row r="5753">
      <c r="A5753" s="37" t="s">
        <v>1536</v>
      </c>
      <c r="B5753" s="37" t="s">
        <v>1536</v>
      </c>
      <c r="C5753" s="7" t="s">
        <v>33800</v>
      </c>
      <c r="D5753" s="37" t="s">
        <v>33801</v>
      </c>
    </row>
    <row r="5754">
      <c r="A5754" s="37" t="s">
        <v>1536</v>
      </c>
      <c r="B5754" s="37" t="s">
        <v>1536</v>
      </c>
      <c r="C5754" s="7" t="s">
        <v>33802</v>
      </c>
      <c r="D5754" s="37" t="s">
        <v>33803</v>
      </c>
    </row>
    <row r="5755">
      <c r="A5755" s="37" t="s">
        <v>1536</v>
      </c>
      <c r="B5755" s="37" t="s">
        <v>1536</v>
      </c>
      <c r="C5755" s="7" t="s">
        <v>33804</v>
      </c>
      <c r="D5755" s="37" t="s">
        <v>33805</v>
      </c>
    </row>
    <row r="5756">
      <c r="A5756" s="37" t="s">
        <v>1536</v>
      </c>
      <c r="B5756" s="37" t="s">
        <v>1536</v>
      </c>
      <c r="C5756" s="7" t="s">
        <v>24159</v>
      </c>
      <c r="D5756" s="37" t="s">
        <v>33806</v>
      </c>
    </row>
    <row r="5757">
      <c r="A5757" s="37" t="s">
        <v>1536</v>
      </c>
      <c r="B5757" s="37" t="s">
        <v>1536</v>
      </c>
      <c r="C5757" s="7" t="s">
        <v>33807</v>
      </c>
      <c r="D5757" s="37" t="s">
        <v>33808</v>
      </c>
    </row>
    <row r="5758">
      <c r="A5758" s="37" t="s">
        <v>1536</v>
      </c>
      <c r="B5758" s="37" t="s">
        <v>1536</v>
      </c>
      <c r="C5758" s="7" t="s">
        <v>31678</v>
      </c>
      <c r="D5758" s="37" t="s">
        <v>33809</v>
      </c>
    </row>
    <row r="5759">
      <c r="A5759" s="37" t="s">
        <v>1536</v>
      </c>
      <c r="B5759" s="37" t="s">
        <v>1536</v>
      </c>
      <c r="C5759" s="7" t="s">
        <v>33810</v>
      </c>
      <c r="D5759" s="37" t="s">
        <v>33811</v>
      </c>
    </row>
    <row r="5760">
      <c r="A5760" s="37" t="s">
        <v>1536</v>
      </c>
      <c r="B5760" s="37" t="s">
        <v>1536</v>
      </c>
      <c r="C5760" s="7" t="s">
        <v>32990</v>
      </c>
      <c r="D5760" s="37" t="s">
        <v>33812</v>
      </c>
    </row>
    <row r="5761">
      <c r="A5761" s="37" t="s">
        <v>1536</v>
      </c>
      <c r="B5761" s="37" t="s">
        <v>1536</v>
      </c>
      <c r="C5761" s="7" t="s">
        <v>33813</v>
      </c>
      <c r="D5761" s="37" t="s">
        <v>33814</v>
      </c>
    </row>
    <row r="5762">
      <c r="A5762" s="37" t="s">
        <v>1536</v>
      </c>
      <c r="B5762" s="37" t="s">
        <v>1536</v>
      </c>
      <c r="C5762" s="7" t="s">
        <v>33815</v>
      </c>
      <c r="D5762" s="37" t="s">
        <v>33816</v>
      </c>
    </row>
    <row r="5763">
      <c r="A5763" s="37" t="s">
        <v>1536</v>
      </c>
      <c r="B5763" s="37" t="s">
        <v>1536</v>
      </c>
      <c r="C5763" s="7" t="s">
        <v>33817</v>
      </c>
      <c r="D5763" s="37" t="s">
        <v>33818</v>
      </c>
    </row>
    <row r="5764">
      <c r="A5764" s="37" t="s">
        <v>1536</v>
      </c>
      <c r="B5764" s="37" t="s">
        <v>1536</v>
      </c>
      <c r="C5764" s="7" t="s">
        <v>23370</v>
      </c>
      <c r="D5764" s="37" t="s">
        <v>33819</v>
      </c>
    </row>
    <row r="5765">
      <c r="A5765" s="37" t="s">
        <v>1536</v>
      </c>
      <c r="B5765" s="37" t="s">
        <v>1536</v>
      </c>
      <c r="C5765" s="7" t="s">
        <v>33820</v>
      </c>
      <c r="D5765" s="37" t="s">
        <v>33821</v>
      </c>
    </row>
    <row r="5766">
      <c r="A5766" s="37" t="s">
        <v>1536</v>
      </c>
      <c r="B5766" s="37" t="s">
        <v>1536</v>
      </c>
      <c r="C5766" s="7" t="s">
        <v>24155</v>
      </c>
      <c r="D5766" s="37" t="s">
        <v>33822</v>
      </c>
    </row>
    <row r="5767">
      <c r="A5767" s="37" t="s">
        <v>1536</v>
      </c>
      <c r="B5767" s="37" t="s">
        <v>1536</v>
      </c>
      <c r="C5767" s="7" t="s">
        <v>33823</v>
      </c>
      <c r="D5767" s="37" t="s">
        <v>33824</v>
      </c>
    </row>
    <row r="5768">
      <c r="A5768" s="37" t="s">
        <v>1536</v>
      </c>
      <c r="B5768" s="37" t="s">
        <v>1536</v>
      </c>
      <c r="C5768" s="7" t="s">
        <v>33825</v>
      </c>
      <c r="D5768" s="37" t="s">
        <v>33826</v>
      </c>
    </row>
    <row r="5769">
      <c r="A5769" s="37" t="s">
        <v>1536</v>
      </c>
      <c r="B5769" s="37" t="s">
        <v>1536</v>
      </c>
      <c r="C5769" s="7" t="s">
        <v>33827</v>
      </c>
      <c r="D5769" s="37" t="s">
        <v>33828</v>
      </c>
    </row>
    <row r="5770">
      <c r="A5770" s="37" t="s">
        <v>1536</v>
      </c>
      <c r="B5770" s="37" t="s">
        <v>1536</v>
      </c>
      <c r="C5770" s="37" t="s">
        <v>33829</v>
      </c>
      <c r="D5770" s="37" t="s">
        <v>33830</v>
      </c>
    </row>
    <row r="5771">
      <c r="A5771" s="37" t="s">
        <v>1536</v>
      </c>
      <c r="B5771" s="37" t="s">
        <v>1536</v>
      </c>
      <c r="C5771" s="7" t="s">
        <v>33831</v>
      </c>
      <c r="D5771" s="37" t="s">
        <v>33832</v>
      </c>
    </row>
    <row r="5772">
      <c r="A5772" s="37" t="s">
        <v>1536</v>
      </c>
      <c r="B5772" s="37" t="s">
        <v>1536</v>
      </c>
      <c r="C5772" s="7" t="s">
        <v>32592</v>
      </c>
      <c r="D5772" s="37" t="s">
        <v>33833</v>
      </c>
    </row>
    <row r="5773">
      <c r="A5773" s="37" t="s">
        <v>1536</v>
      </c>
      <c r="B5773" s="37" t="s">
        <v>1536</v>
      </c>
      <c r="C5773" s="7" t="s">
        <v>33834</v>
      </c>
      <c r="D5773" s="37" t="s">
        <v>33835</v>
      </c>
    </row>
    <row r="5774">
      <c r="A5774" s="37" t="s">
        <v>1536</v>
      </c>
      <c r="B5774" s="37" t="s">
        <v>1536</v>
      </c>
      <c r="C5774" s="37" t="s">
        <v>33836</v>
      </c>
      <c r="D5774" s="37" t="s">
        <v>33837</v>
      </c>
    </row>
    <row r="5775">
      <c r="A5775" s="37" t="s">
        <v>1536</v>
      </c>
      <c r="B5775" s="37" t="s">
        <v>1536</v>
      </c>
      <c r="C5775" s="37" t="s">
        <v>32697</v>
      </c>
      <c r="D5775" s="37" t="s">
        <v>33838</v>
      </c>
    </row>
    <row r="5776">
      <c r="A5776" s="37" t="s">
        <v>1536</v>
      </c>
      <c r="B5776" s="37" t="s">
        <v>1536</v>
      </c>
      <c r="C5776" s="7" t="s">
        <v>33839</v>
      </c>
      <c r="D5776" s="37" t="s">
        <v>33840</v>
      </c>
    </row>
    <row r="5777">
      <c r="A5777" s="37" t="s">
        <v>1536</v>
      </c>
      <c r="B5777" s="37" t="s">
        <v>1536</v>
      </c>
      <c r="C5777" s="7" t="s">
        <v>33841</v>
      </c>
      <c r="D5777" s="37" t="s">
        <v>33842</v>
      </c>
    </row>
    <row r="5778">
      <c r="A5778" s="37" t="s">
        <v>1536</v>
      </c>
      <c r="B5778" s="37" t="s">
        <v>1536</v>
      </c>
      <c r="C5778" s="7" t="s">
        <v>33843</v>
      </c>
      <c r="D5778" s="37" t="s">
        <v>33844</v>
      </c>
    </row>
    <row r="5779">
      <c r="A5779" s="37" t="s">
        <v>1536</v>
      </c>
      <c r="B5779" s="37" t="s">
        <v>1536</v>
      </c>
      <c r="C5779" s="7" t="s">
        <v>33845</v>
      </c>
      <c r="D5779" s="37" t="s">
        <v>33846</v>
      </c>
    </row>
    <row r="5780">
      <c r="A5780" s="37" t="s">
        <v>1536</v>
      </c>
      <c r="B5780" s="37" t="s">
        <v>1536</v>
      </c>
      <c r="C5780" s="7" t="s">
        <v>33847</v>
      </c>
      <c r="D5780" s="37" t="s">
        <v>33848</v>
      </c>
    </row>
    <row r="5781">
      <c r="A5781" s="37" t="s">
        <v>1536</v>
      </c>
      <c r="B5781" s="37" t="s">
        <v>1536</v>
      </c>
      <c r="C5781" s="7" t="s">
        <v>33849</v>
      </c>
      <c r="D5781" s="37" t="s">
        <v>33850</v>
      </c>
    </row>
    <row r="5782">
      <c r="A5782" s="37" t="s">
        <v>1536</v>
      </c>
      <c r="B5782" s="37" t="s">
        <v>1536</v>
      </c>
      <c r="C5782" s="37" t="s">
        <v>33851</v>
      </c>
      <c r="D5782" s="37" t="s">
        <v>33852</v>
      </c>
    </row>
    <row r="5783">
      <c r="A5783" s="37" t="s">
        <v>1536</v>
      </c>
      <c r="B5783" s="37" t="s">
        <v>1536</v>
      </c>
      <c r="C5783" s="7" t="s">
        <v>33853</v>
      </c>
      <c r="D5783" s="37" t="s">
        <v>33854</v>
      </c>
    </row>
    <row r="5784">
      <c r="A5784" s="37" t="s">
        <v>1536</v>
      </c>
      <c r="B5784" s="37" t="s">
        <v>1536</v>
      </c>
      <c r="C5784" s="7" t="s">
        <v>33855</v>
      </c>
      <c r="D5784" s="37" t="s">
        <v>33856</v>
      </c>
    </row>
    <row r="5785">
      <c r="A5785" s="37" t="s">
        <v>1536</v>
      </c>
      <c r="B5785" s="37" t="s">
        <v>1536</v>
      </c>
      <c r="C5785" s="7" t="s">
        <v>14129</v>
      </c>
      <c r="D5785" s="37" t="s">
        <v>33857</v>
      </c>
    </row>
    <row r="5786">
      <c r="A5786" s="37" t="s">
        <v>1536</v>
      </c>
      <c r="B5786" s="37" t="s">
        <v>1536</v>
      </c>
      <c r="C5786" s="7" t="s">
        <v>13604</v>
      </c>
      <c r="D5786" s="37" t="s">
        <v>33858</v>
      </c>
    </row>
    <row r="5787">
      <c r="A5787" s="37" t="s">
        <v>1536</v>
      </c>
      <c r="B5787" s="37" t="s">
        <v>1536</v>
      </c>
      <c r="C5787" s="7" t="s">
        <v>33859</v>
      </c>
      <c r="D5787" s="37" t="s">
        <v>33860</v>
      </c>
    </row>
    <row r="5788">
      <c r="A5788" s="37" t="s">
        <v>1536</v>
      </c>
      <c r="B5788" s="37" t="s">
        <v>1536</v>
      </c>
      <c r="C5788" s="7" t="s">
        <v>33861</v>
      </c>
      <c r="D5788" s="37" t="s">
        <v>33862</v>
      </c>
    </row>
    <row r="5789">
      <c r="A5789" s="37" t="s">
        <v>1536</v>
      </c>
      <c r="B5789" s="37" t="s">
        <v>1536</v>
      </c>
      <c r="C5789" s="7" t="s">
        <v>33863</v>
      </c>
      <c r="D5789" s="37" t="s">
        <v>33864</v>
      </c>
    </row>
    <row r="5790">
      <c r="A5790" s="37" t="s">
        <v>1536</v>
      </c>
      <c r="B5790" s="37" t="s">
        <v>1536</v>
      </c>
      <c r="C5790" s="7" t="s">
        <v>33865</v>
      </c>
      <c r="D5790" s="37" t="s">
        <v>33866</v>
      </c>
    </row>
    <row r="5791">
      <c r="A5791" s="37" t="s">
        <v>1536</v>
      </c>
      <c r="B5791" s="37" t="s">
        <v>1536</v>
      </c>
      <c r="C5791" s="7" t="s">
        <v>33867</v>
      </c>
      <c r="D5791" s="37" t="s">
        <v>33868</v>
      </c>
    </row>
    <row r="5792">
      <c r="A5792" s="37" t="s">
        <v>1536</v>
      </c>
      <c r="B5792" s="37" t="s">
        <v>1536</v>
      </c>
      <c r="C5792" s="7" t="s">
        <v>33869</v>
      </c>
      <c r="D5792" s="37" t="s">
        <v>33870</v>
      </c>
    </row>
    <row r="5793">
      <c r="A5793" s="37" t="s">
        <v>1536</v>
      </c>
      <c r="B5793" s="37" t="s">
        <v>1536</v>
      </c>
      <c r="C5793" s="7" t="s">
        <v>33871</v>
      </c>
      <c r="D5793" s="37" t="s">
        <v>33872</v>
      </c>
    </row>
    <row r="5794">
      <c r="A5794" s="37" t="s">
        <v>1536</v>
      </c>
      <c r="B5794" s="37" t="s">
        <v>1536</v>
      </c>
      <c r="C5794" s="7" t="s">
        <v>33873</v>
      </c>
      <c r="D5794" s="37" t="s">
        <v>33874</v>
      </c>
    </row>
    <row r="5795">
      <c r="A5795" s="37" t="s">
        <v>1536</v>
      </c>
      <c r="B5795" s="37" t="s">
        <v>1536</v>
      </c>
      <c r="C5795" s="7" t="s">
        <v>1654</v>
      </c>
      <c r="D5795" s="37" t="s">
        <v>33875</v>
      </c>
    </row>
    <row r="5796">
      <c r="A5796" s="37" t="s">
        <v>1536</v>
      </c>
      <c r="B5796" s="37" t="s">
        <v>1536</v>
      </c>
      <c r="C5796" s="37" t="s">
        <v>33876</v>
      </c>
      <c r="D5796" s="37" t="s">
        <v>33877</v>
      </c>
    </row>
    <row r="5797">
      <c r="A5797" s="37" t="s">
        <v>1536</v>
      </c>
      <c r="B5797" s="37" t="s">
        <v>1536</v>
      </c>
      <c r="C5797" s="7" t="s">
        <v>32988</v>
      </c>
      <c r="D5797" s="37" t="s">
        <v>33878</v>
      </c>
    </row>
    <row r="5798">
      <c r="A5798" s="37" t="s">
        <v>1536</v>
      </c>
      <c r="B5798" s="37" t="s">
        <v>1536</v>
      </c>
      <c r="C5798" s="7" t="s">
        <v>33879</v>
      </c>
      <c r="D5798" s="37" t="s">
        <v>33880</v>
      </c>
    </row>
    <row r="5799">
      <c r="A5799" s="37" t="s">
        <v>1536</v>
      </c>
      <c r="B5799" s="37" t="s">
        <v>1536</v>
      </c>
      <c r="C5799" s="7" t="s">
        <v>33881</v>
      </c>
      <c r="D5799" s="37" t="s">
        <v>33882</v>
      </c>
    </row>
    <row r="5800">
      <c r="A5800" s="37" t="s">
        <v>1536</v>
      </c>
      <c r="B5800" s="37" t="s">
        <v>1536</v>
      </c>
      <c r="C5800" s="7" t="s">
        <v>33883</v>
      </c>
      <c r="D5800" s="37" t="s">
        <v>33884</v>
      </c>
    </row>
    <row r="5801">
      <c r="A5801" s="37" t="s">
        <v>1536</v>
      </c>
      <c r="B5801" s="37" t="s">
        <v>1536</v>
      </c>
      <c r="C5801" s="7" t="s">
        <v>33885</v>
      </c>
      <c r="D5801" s="37" t="s">
        <v>33886</v>
      </c>
    </row>
    <row r="5802">
      <c r="A5802" s="37" t="s">
        <v>1536</v>
      </c>
      <c r="B5802" s="37" t="s">
        <v>1536</v>
      </c>
      <c r="C5802" s="37" t="s">
        <v>33887</v>
      </c>
      <c r="D5802" s="37" t="s">
        <v>33888</v>
      </c>
    </row>
    <row r="5803">
      <c r="A5803" s="37" t="s">
        <v>1536</v>
      </c>
      <c r="B5803" s="37" t="s">
        <v>1536</v>
      </c>
      <c r="C5803" s="37" t="s">
        <v>33889</v>
      </c>
      <c r="D5803" s="37" t="s">
        <v>33890</v>
      </c>
    </row>
    <row r="5804">
      <c r="A5804" s="37" t="s">
        <v>1536</v>
      </c>
      <c r="B5804" s="37" t="s">
        <v>1536</v>
      </c>
      <c r="C5804" s="37" t="s">
        <v>33891</v>
      </c>
      <c r="D5804" s="37" t="s">
        <v>33892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7.63"/>
  </cols>
  <sheetData>
    <row r="1">
      <c r="A1" s="7" t="s">
        <v>33893</v>
      </c>
      <c r="B1" s="7" t="s">
        <v>3461</v>
      </c>
      <c r="C1" s="7" t="s">
        <v>33894</v>
      </c>
      <c r="D1" s="7" t="s">
        <v>33895</v>
      </c>
      <c r="E1" s="7" t="s">
        <v>1021</v>
      </c>
    </row>
    <row r="2">
      <c r="A2" s="119">
        <v>45931.0</v>
      </c>
      <c r="B2" s="7" t="s">
        <v>648</v>
      </c>
      <c r="C2" s="7" t="s">
        <v>668</v>
      </c>
      <c r="E2" s="7" t="s">
        <v>1052</v>
      </c>
      <c r="F2" s="114" t="str">
        <f t="shared" ref="F2:F148" si="1">B2&amp;"/"&amp;C2</f>
        <v>ソーシャルベッティング事業本部/新規プロダクト開発室</v>
      </c>
    </row>
    <row r="3">
      <c r="B3" s="7" t="s">
        <v>648</v>
      </c>
      <c r="D3" s="7" t="s">
        <v>155</v>
      </c>
      <c r="E3" s="7" t="s">
        <v>33896</v>
      </c>
      <c r="F3" s="114" t="str">
        <f t="shared" si="1"/>
        <v>ソーシャルベッティング事業本部/</v>
      </c>
    </row>
    <row r="4">
      <c r="B4" s="7" t="s">
        <v>440</v>
      </c>
      <c r="C4" s="7" t="s">
        <v>1238</v>
      </c>
      <c r="D4" s="7" t="s">
        <v>924</v>
      </c>
      <c r="E4" s="7" t="s">
        <v>33897</v>
      </c>
      <c r="F4" s="114" t="str">
        <f t="shared" si="1"/>
        <v>経営推進本部/グループ会社主計部</v>
      </c>
    </row>
    <row r="5">
      <c r="A5" s="119">
        <v>45901.0</v>
      </c>
      <c r="B5" s="7" t="s">
        <v>587</v>
      </c>
      <c r="D5" s="7" t="s">
        <v>81</v>
      </c>
      <c r="E5" s="7" t="s">
        <v>33896</v>
      </c>
      <c r="F5" s="114" t="str">
        <f t="shared" si="1"/>
        <v>コーポレートデベロップメント本部/</v>
      </c>
    </row>
    <row r="6">
      <c r="A6" s="119">
        <v>45839.0</v>
      </c>
      <c r="B6" s="7" t="s">
        <v>33898</v>
      </c>
      <c r="D6" s="7" t="s">
        <v>475</v>
      </c>
      <c r="E6" s="7" t="s">
        <v>33896</v>
      </c>
      <c r="F6" s="114" t="str">
        <f t="shared" si="1"/>
        <v>取締役直下/</v>
      </c>
    </row>
    <row r="7">
      <c r="A7" s="119">
        <v>45809.0</v>
      </c>
      <c r="B7" s="7" t="s">
        <v>391</v>
      </c>
      <c r="D7" s="7" t="s">
        <v>890</v>
      </c>
      <c r="E7" s="7" t="s">
        <v>33896</v>
      </c>
      <c r="F7" s="114" t="str">
        <f t="shared" si="1"/>
        <v>開発本部/</v>
      </c>
    </row>
    <row r="8">
      <c r="A8" s="119">
        <v>45748.0</v>
      </c>
      <c r="B8" s="7" t="s">
        <v>22223</v>
      </c>
      <c r="D8" s="7" t="s">
        <v>583</v>
      </c>
      <c r="E8" s="7" t="s">
        <v>33896</v>
      </c>
      <c r="F8" s="114" t="str">
        <f t="shared" si="1"/>
        <v>エンターテインメントクリエイション室(本部格)/</v>
      </c>
    </row>
    <row r="9">
      <c r="B9" s="7" t="s">
        <v>1208</v>
      </c>
      <c r="C9" s="7" t="s">
        <v>1188</v>
      </c>
      <c r="E9" s="7" t="s">
        <v>1052</v>
      </c>
      <c r="F9" s="114" t="str">
        <f t="shared" si="1"/>
        <v>投資事業推進本部/事業推進部</v>
      </c>
    </row>
    <row r="10">
      <c r="B10" s="7" t="s">
        <v>648</v>
      </c>
      <c r="D10" s="7" t="s">
        <v>662</v>
      </c>
      <c r="E10" s="7" t="s">
        <v>33896</v>
      </c>
      <c r="F10" s="114" t="str">
        <f t="shared" si="1"/>
        <v>ソーシャルベッティング事業本部/</v>
      </c>
    </row>
    <row r="11">
      <c r="B11" s="7" t="s">
        <v>478</v>
      </c>
      <c r="D11" s="7" t="s">
        <v>479</v>
      </c>
      <c r="E11" s="7" t="s">
        <v>33896</v>
      </c>
      <c r="F11" s="114" t="str">
        <f t="shared" si="1"/>
        <v>人事本部/</v>
      </c>
    </row>
    <row r="12">
      <c r="B12" s="7" t="s">
        <v>478</v>
      </c>
      <c r="D12" s="7" t="s">
        <v>491</v>
      </c>
      <c r="E12" s="7" t="s">
        <v>33896</v>
      </c>
      <c r="F12" s="114" t="str">
        <f t="shared" si="1"/>
        <v>人事本部/</v>
      </c>
    </row>
    <row r="13">
      <c r="B13" s="7" t="s">
        <v>478</v>
      </c>
      <c r="D13" s="7" t="s">
        <v>958</v>
      </c>
      <c r="E13" s="7" t="s">
        <v>33896</v>
      </c>
      <c r="F13" s="114" t="str">
        <f t="shared" si="1"/>
        <v>人事本部/</v>
      </c>
    </row>
    <row r="14">
      <c r="B14" s="7" t="s">
        <v>478</v>
      </c>
      <c r="C14" s="7" t="s">
        <v>1146</v>
      </c>
      <c r="D14" s="7" t="s">
        <v>487</v>
      </c>
      <c r="E14" s="7" t="s">
        <v>33897</v>
      </c>
      <c r="F14" s="114" t="str">
        <f t="shared" si="1"/>
        <v>人事本部/人材採用部</v>
      </c>
    </row>
    <row r="15">
      <c r="B15" s="7" t="s">
        <v>440</v>
      </c>
      <c r="D15" s="7" t="s">
        <v>19453</v>
      </c>
      <c r="E15" s="7" t="s">
        <v>33896</v>
      </c>
      <c r="F15" s="114" t="str">
        <f t="shared" si="1"/>
        <v>経営推進本部/</v>
      </c>
    </row>
    <row r="16">
      <c r="B16" s="7" t="s">
        <v>717</v>
      </c>
      <c r="C16" s="7" t="s">
        <v>1162</v>
      </c>
      <c r="D16" s="7" t="s">
        <v>738</v>
      </c>
      <c r="E16" s="7" t="s">
        <v>33897</v>
      </c>
      <c r="F16" s="114" t="str">
        <f t="shared" si="1"/>
        <v>デジタルエンターテインメントオペレーションズ本部/コトダマン事業部</v>
      </c>
    </row>
    <row r="17">
      <c r="B17" s="7" t="s">
        <v>717</v>
      </c>
      <c r="D17" s="7" t="s">
        <v>722</v>
      </c>
      <c r="E17" s="7" t="s">
        <v>33896</v>
      </c>
      <c r="F17" s="114" t="str">
        <f t="shared" si="1"/>
        <v>デジタルエンターテインメントオペレーションズ本部/</v>
      </c>
    </row>
    <row r="18">
      <c r="A18" s="119">
        <v>45717.0</v>
      </c>
      <c r="B18" s="7" t="s">
        <v>1208</v>
      </c>
      <c r="C18" s="7" t="s">
        <v>1210</v>
      </c>
      <c r="E18" s="7" t="s">
        <v>1052</v>
      </c>
      <c r="F18" s="114" t="str">
        <f t="shared" si="1"/>
        <v>投資事業推進本部/アライアンス室</v>
      </c>
    </row>
    <row r="19">
      <c r="B19" s="7" t="s">
        <v>648</v>
      </c>
      <c r="C19" s="7" t="s">
        <v>1262</v>
      </c>
      <c r="D19" s="7" t="s">
        <v>141</v>
      </c>
      <c r="E19" s="7" t="s">
        <v>33897</v>
      </c>
      <c r="F19" s="114" t="str">
        <f t="shared" si="1"/>
        <v>ソーシャルベッティング事業本部/戦略室</v>
      </c>
    </row>
    <row r="20">
      <c r="B20" s="7" t="s">
        <v>648</v>
      </c>
      <c r="C20" s="7" t="s">
        <v>1263</v>
      </c>
      <c r="D20" s="7" t="s">
        <v>668</v>
      </c>
      <c r="E20" s="7" t="s">
        <v>33897</v>
      </c>
      <c r="F20" s="114" t="str">
        <f t="shared" si="1"/>
        <v>ソーシャルベッティング事業本部/海外ベッティング事業部</v>
      </c>
    </row>
    <row r="21">
      <c r="B21" s="7" t="s">
        <v>1242</v>
      </c>
      <c r="D21" s="7" t="s">
        <v>821</v>
      </c>
      <c r="E21" s="7" t="s">
        <v>33896</v>
      </c>
      <c r="F21" s="114" t="str">
        <f t="shared" si="1"/>
        <v>Vantageスタジオ/</v>
      </c>
    </row>
    <row r="22">
      <c r="A22" s="119">
        <v>45597.0</v>
      </c>
      <c r="B22" s="7" t="s">
        <v>693</v>
      </c>
      <c r="D22" s="7" t="s">
        <v>703</v>
      </c>
      <c r="E22" s="7" t="s">
        <v>33896</v>
      </c>
      <c r="F22" s="114" t="str">
        <f t="shared" si="1"/>
        <v>デザイン本部/</v>
      </c>
    </row>
    <row r="23">
      <c r="A23" s="119">
        <v>45505.0</v>
      </c>
      <c r="B23" s="7" t="s">
        <v>1208</v>
      </c>
      <c r="D23" s="7" t="s">
        <v>1210</v>
      </c>
      <c r="E23" s="7" t="s">
        <v>33896</v>
      </c>
      <c r="F23" s="114" t="str">
        <f t="shared" si="1"/>
        <v>投資事業推進本部/</v>
      </c>
    </row>
    <row r="24">
      <c r="A24" s="119">
        <v>45444.0</v>
      </c>
      <c r="B24" s="7" t="s">
        <v>1208</v>
      </c>
      <c r="D24" s="7" t="s">
        <v>651</v>
      </c>
      <c r="E24" s="7" t="s">
        <v>33896</v>
      </c>
      <c r="F24" s="114" t="str">
        <f t="shared" si="1"/>
        <v>投資事業推進本部/</v>
      </c>
    </row>
    <row r="25">
      <c r="A25" s="119">
        <v>45413.0</v>
      </c>
      <c r="B25" s="7" t="s">
        <v>3</v>
      </c>
      <c r="C25" s="7" t="s">
        <v>1207</v>
      </c>
      <c r="E25" s="7" t="s">
        <v>1052</v>
      </c>
      <c r="F25" s="114" t="str">
        <f t="shared" si="1"/>
        <v>CS本部/技術部</v>
      </c>
    </row>
    <row r="26">
      <c r="A26" s="119">
        <v>45383.0</v>
      </c>
      <c r="B26" s="7" t="s">
        <v>1242</v>
      </c>
      <c r="C26" s="7" t="s">
        <v>1245</v>
      </c>
      <c r="E26" s="7" t="s">
        <v>1052</v>
      </c>
      <c r="F26" s="114" t="str">
        <f t="shared" si="1"/>
        <v>Vantageスタジオ/新規事業開発室</v>
      </c>
    </row>
    <row r="27">
      <c r="B27" s="7" t="s">
        <v>1242</v>
      </c>
      <c r="C27" s="7" t="s">
        <v>1243</v>
      </c>
      <c r="E27" s="7" t="s">
        <v>1052</v>
      </c>
      <c r="F27" s="114" t="str">
        <f t="shared" si="1"/>
        <v>Vantageスタジオ/ミクシィ・リクルートメント事業部</v>
      </c>
    </row>
    <row r="28">
      <c r="A28" s="119">
        <v>45323.0</v>
      </c>
      <c r="B28" s="7" t="s">
        <v>780</v>
      </c>
      <c r="D28" s="7" t="s">
        <v>786</v>
      </c>
      <c r="E28" s="7" t="s">
        <v>33896</v>
      </c>
      <c r="F28" s="114" t="str">
        <f t="shared" si="1"/>
        <v>デジタルエンターテインメントパブリッシング本部/</v>
      </c>
    </row>
    <row r="29">
      <c r="D29" s="7" t="s">
        <v>284</v>
      </c>
      <c r="E29" s="7" t="s">
        <v>33896</v>
      </c>
      <c r="F29" s="114" t="str">
        <f t="shared" si="1"/>
        <v>/</v>
      </c>
    </row>
    <row r="30">
      <c r="D30" s="7" t="s">
        <v>286</v>
      </c>
      <c r="E30" s="7" t="s">
        <v>33896</v>
      </c>
      <c r="F30" s="114" t="str">
        <f t="shared" si="1"/>
        <v>/</v>
      </c>
    </row>
    <row r="31">
      <c r="B31" s="7" t="s">
        <v>717</v>
      </c>
      <c r="D31" s="7" t="s">
        <v>725</v>
      </c>
      <c r="E31" s="7" t="s">
        <v>33896</v>
      </c>
      <c r="F31" s="114" t="str">
        <f t="shared" si="1"/>
        <v>デジタルエンターテインメントオペレーションズ本部/</v>
      </c>
    </row>
    <row r="32">
      <c r="D32" s="7" t="s">
        <v>251</v>
      </c>
      <c r="E32" s="7" t="s">
        <v>33896</v>
      </c>
      <c r="F32" s="114" t="str">
        <f t="shared" si="1"/>
        <v>/</v>
      </c>
    </row>
    <row r="33">
      <c r="D33" s="7" t="s">
        <v>730</v>
      </c>
      <c r="E33" s="7" t="s">
        <v>33896</v>
      </c>
      <c r="F33" s="114" t="str">
        <f t="shared" si="1"/>
        <v>/</v>
      </c>
    </row>
    <row r="34">
      <c r="B34" s="7" t="s">
        <v>1242</v>
      </c>
      <c r="C34" s="7" t="s">
        <v>1312</v>
      </c>
      <c r="E34" s="7" t="s">
        <v>1052</v>
      </c>
      <c r="F34" s="114" t="str">
        <f t="shared" si="1"/>
        <v>Vantageスタジオ/モンストIPエンハンス部</v>
      </c>
    </row>
    <row r="35">
      <c r="B35" s="7" t="s">
        <v>1242</v>
      </c>
      <c r="C35" s="7" t="s">
        <v>1308</v>
      </c>
      <c r="E35" s="7" t="s">
        <v>1052</v>
      </c>
      <c r="F35" s="114" t="str">
        <f t="shared" si="1"/>
        <v>Vantageスタジオ/新規開発領域長室</v>
      </c>
    </row>
    <row r="36">
      <c r="B36" s="7" t="s">
        <v>1242</v>
      </c>
      <c r="C36" s="7" t="s">
        <v>1315</v>
      </c>
      <c r="E36" s="7" t="s">
        <v>1052</v>
      </c>
      <c r="F36" s="114" t="str">
        <f t="shared" si="1"/>
        <v>Vantageスタジオ/モンストシリーズゲーム事業部</v>
      </c>
    </row>
    <row r="37">
      <c r="B37" s="7" t="s">
        <v>1242</v>
      </c>
      <c r="C37" s="7" t="s">
        <v>1278</v>
      </c>
      <c r="E37" s="7" t="s">
        <v>1052</v>
      </c>
      <c r="F37" s="114" t="str">
        <f t="shared" si="1"/>
        <v>Vantageスタジオ/事業企画部</v>
      </c>
    </row>
    <row r="38">
      <c r="B38" s="7" t="s">
        <v>1242</v>
      </c>
      <c r="C38" s="7" t="s">
        <v>1302</v>
      </c>
      <c r="E38" s="7" t="s">
        <v>1052</v>
      </c>
      <c r="F38" s="114" t="str">
        <f t="shared" si="1"/>
        <v>Vantageスタジオ/ゲーム開発部</v>
      </c>
    </row>
    <row r="39">
      <c r="B39" s="7" t="s">
        <v>1242</v>
      </c>
      <c r="C39" s="7" t="s">
        <v>1228</v>
      </c>
      <c r="E39" s="7" t="s">
        <v>1052</v>
      </c>
      <c r="F39" s="114" t="str">
        <f t="shared" si="1"/>
        <v>Vantageスタジオ/事業管理部</v>
      </c>
    </row>
    <row r="40">
      <c r="B40" s="7" t="s">
        <v>1242</v>
      </c>
      <c r="C40" s="7" t="s">
        <v>1310</v>
      </c>
      <c r="E40" s="7" t="s">
        <v>1052</v>
      </c>
      <c r="F40" s="114" t="str">
        <f t="shared" si="1"/>
        <v>Vantageスタジオ/HRBP部</v>
      </c>
    </row>
    <row r="41">
      <c r="B41" s="7" t="s">
        <v>1242</v>
      </c>
      <c r="C41" s="7" t="s">
        <v>1303</v>
      </c>
      <c r="D41" s="7" t="s">
        <v>720</v>
      </c>
      <c r="E41" s="7" t="s">
        <v>33897</v>
      </c>
      <c r="F41" s="114" t="str">
        <f t="shared" si="1"/>
        <v>Vantageスタジオ/モンストゲーム運営部</v>
      </c>
    </row>
    <row r="42">
      <c r="B42" s="7" t="s">
        <v>1242</v>
      </c>
      <c r="C42" s="7" t="s">
        <v>1309</v>
      </c>
      <c r="D42" s="7" t="s">
        <v>223</v>
      </c>
      <c r="E42" s="7" t="s">
        <v>33897</v>
      </c>
      <c r="F42" s="114" t="str">
        <f t="shared" si="1"/>
        <v>Vantageスタジオ/モンストマーケティング部</v>
      </c>
    </row>
    <row r="43">
      <c r="A43" s="119">
        <v>45261.0</v>
      </c>
      <c r="B43" s="7" t="s">
        <v>854</v>
      </c>
      <c r="C43" s="7" t="s">
        <v>286</v>
      </c>
      <c r="E43" s="7" t="s">
        <v>1052</v>
      </c>
      <c r="F43" s="114" t="str">
        <f t="shared" si="1"/>
        <v>ライブエクスペリエンス事業本部/事業戦略室</v>
      </c>
    </row>
    <row r="44">
      <c r="D44" s="7" t="s">
        <v>861</v>
      </c>
      <c r="E44" s="7" t="s">
        <v>33896</v>
      </c>
      <c r="F44" s="114" t="str">
        <f t="shared" si="1"/>
        <v>/</v>
      </c>
    </row>
    <row r="45">
      <c r="A45" s="119">
        <v>45200.0</v>
      </c>
      <c r="B45" s="7" t="s">
        <v>298</v>
      </c>
      <c r="D45" s="7" t="s">
        <v>798</v>
      </c>
      <c r="E45" s="7" t="s">
        <v>33896</v>
      </c>
      <c r="F45" s="114" t="str">
        <f t="shared" si="1"/>
        <v>はたらく環境推進本部/</v>
      </c>
    </row>
    <row r="46">
      <c r="B46" s="7" t="s">
        <v>854</v>
      </c>
      <c r="C46" s="7" t="s">
        <v>1283</v>
      </c>
      <c r="D46" s="7" t="s">
        <v>1284</v>
      </c>
      <c r="E46" s="7" t="s">
        <v>33897</v>
      </c>
      <c r="F46" s="114" t="str">
        <f t="shared" si="1"/>
        <v>ライブエクスペリエンス事業本部/社内IT室</v>
      </c>
    </row>
    <row r="47">
      <c r="A47" s="119">
        <v>45108.0</v>
      </c>
      <c r="B47" s="7" t="s">
        <v>1054</v>
      </c>
      <c r="D47" s="7" t="s">
        <v>1302</v>
      </c>
      <c r="E47" s="7" t="s">
        <v>33896</v>
      </c>
      <c r="F47" s="114" t="str">
        <f t="shared" si="1"/>
        <v>デジタルエンターテインメント事業本部/</v>
      </c>
    </row>
    <row r="48">
      <c r="B48" s="7" t="s">
        <v>854</v>
      </c>
      <c r="C48" s="7" t="s">
        <v>1300</v>
      </c>
      <c r="E48" s="7" t="s">
        <v>1052</v>
      </c>
      <c r="F48" s="114" t="str">
        <f t="shared" si="1"/>
        <v>ライブエクスペリエンス事業本部/開発推進部</v>
      </c>
    </row>
    <row r="49">
      <c r="B49" s="7" t="s">
        <v>854</v>
      </c>
      <c r="C49" s="7" t="s">
        <v>1306</v>
      </c>
      <c r="D49" s="7" t="s">
        <v>1308</v>
      </c>
      <c r="E49" s="7" t="s">
        <v>33897</v>
      </c>
      <c r="F49" s="114" t="str">
        <f t="shared" si="1"/>
        <v>ライブエクスペリエンス事業本部/ネクストゲーム事業部</v>
      </c>
    </row>
    <row r="50">
      <c r="B50" s="7" t="s">
        <v>391</v>
      </c>
      <c r="D50" s="7" t="s">
        <v>392</v>
      </c>
      <c r="E50" s="7" t="s">
        <v>33896</v>
      </c>
      <c r="F50" s="114" t="str">
        <f t="shared" si="1"/>
        <v>開発本部/</v>
      </c>
    </row>
    <row r="51">
      <c r="A51" s="119">
        <v>45047.0</v>
      </c>
      <c r="B51" s="7" t="s">
        <v>440</v>
      </c>
      <c r="D51" s="7" t="s">
        <v>1238</v>
      </c>
      <c r="E51" s="7" t="s">
        <v>33896</v>
      </c>
      <c r="F51" s="114" t="str">
        <f t="shared" si="1"/>
        <v>経営推進本部/</v>
      </c>
    </row>
    <row r="52">
      <c r="A52" s="119">
        <v>45017.0</v>
      </c>
      <c r="B52" s="7" t="s">
        <v>1054</v>
      </c>
      <c r="D52" s="7" t="s">
        <v>1312</v>
      </c>
      <c r="E52" s="7" t="s">
        <v>33896</v>
      </c>
      <c r="F52" s="114" t="str">
        <f t="shared" si="1"/>
        <v>デジタルエンターテインメント事業本部/</v>
      </c>
    </row>
    <row r="53">
      <c r="D53" s="7" t="s">
        <v>1300</v>
      </c>
      <c r="E53" s="7" t="s">
        <v>33896</v>
      </c>
      <c r="F53" s="114" t="str">
        <f t="shared" si="1"/>
        <v>/</v>
      </c>
    </row>
    <row r="54">
      <c r="D54" s="7" t="s">
        <v>1228</v>
      </c>
      <c r="E54" s="7" t="s">
        <v>33896</v>
      </c>
      <c r="F54" s="114" t="str">
        <f t="shared" si="1"/>
        <v>/</v>
      </c>
    </row>
    <row r="55">
      <c r="D55" s="7" t="s">
        <v>1310</v>
      </c>
      <c r="E55" s="7" t="s">
        <v>33896</v>
      </c>
      <c r="F55" s="114" t="str">
        <f t="shared" si="1"/>
        <v>/</v>
      </c>
    </row>
    <row r="56">
      <c r="B56" s="7" t="s">
        <v>854</v>
      </c>
      <c r="C56" s="7" t="s">
        <v>1363</v>
      </c>
      <c r="E56" s="7" t="s">
        <v>1052</v>
      </c>
      <c r="F56" s="114" t="str">
        <f t="shared" si="1"/>
        <v>ライブエクスペリエンス事業本部/事業支援室</v>
      </c>
    </row>
    <row r="57">
      <c r="B57" s="7" t="s">
        <v>854</v>
      </c>
      <c r="C57" s="7" t="s">
        <v>1304</v>
      </c>
      <c r="E57" s="7" t="s">
        <v>1052</v>
      </c>
      <c r="F57" s="114" t="str">
        <f t="shared" si="1"/>
        <v>ライブエクスペリエンス事業本部/Lily事業部</v>
      </c>
    </row>
    <row r="58">
      <c r="B58" s="7" t="s">
        <v>854</v>
      </c>
      <c r="C58" s="7" t="s">
        <v>1137</v>
      </c>
      <c r="E58" s="7" t="s">
        <v>1052</v>
      </c>
      <c r="F58" s="114" t="str">
        <f t="shared" si="1"/>
        <v>ライブエクスペリエンス事業本部/マーケティング部</v>
      </c>
    </row>
    <row r="59">
      <c r="B59" s="7" t="s">
        <v>854</v>
      </c>
      <c r="C59" s="7" t="s">
        <v>1361</v>
      </c>
      <c r="D59" s="7" t="s">
        <v>1303</v>
      </c>
      <c r="E59" s="7" t="s">
        <v>33897</v>
      </c>
      <c r="F59" s="114" t="str">
        <f t="shared" si="1"/>
        <v>ライブエクスペリエンス事業本部/ゲーム運営部</v>
      </c>
    </row>
    <row r="60">
      <c r="B60" s="7" t="s">
        <v>854</v>
      </c>
      <c r="C60" s="7" t="s">
        <v>1137</v>
      </c>
      <c r="D60" s="7" t="s">
        <v>1309</v>
      </c>
      <c r="E60" s="7" t="s">
        <v>33897</v>
      </c>
      <c r="F60" s="114" t="str">
        <f t="shared" si="1"/>
        <v>ライブエクスペリエンス事業本部/マーケティング部</v>
      </c>
    </row>
    <row r="61">
      <c r="B61" s="7" t="s">
        <v>854</v>
      </c>
      <c r="C61" s="7" t="s">
        <v>1362</v>
      </c>
      <c r="D61" s="7" t="s">
        <v>1163</v>
      </c>
      <c r="E61" s="7" t="s">
        <v>33897</v>
      </c>
      <c r="F61" s="114" t="str">
        <f t="shared" si="1"/>
        <v>ライブエクスペリエンス事業本部/コンテンツクリエイション室</v>
      </c>
    </row>
    <row r="62">
      <c r="B62" s="7" t="s">
        <v>854</v>
      </c>
      <c r="C62" s="7" t="s">
        <v>1311</v>
      </c>
      <c r="D62" s="7" t="s">
        <v>1306</v>
      </c>
      <c r="E62" s="7" t="s">
        <v>33897</v>
      </c>
      <c r="F62" s="114" t="str">
        <f t="shared" si="1"/>
        <v>ライブエクスペリエンス事業本部/インキュベーション事業部</v>
      </c>
    </row>
    <row r="63">
      <c r="B63" s="7" t="s">
        <v>648</v>
      </c>
      <c r="D63" s="7" t="s">
        <v>1263</v>
      </c>
      <c r="E63" s="7" t="s">
        <v>33896</v>
      </c>
      <c r="F63" s="114" t="str">
        <f t="shared" si="1"/>
        <v>ソーシャルベッティング事業本部/</v>
      </c>
    </row>
    <row r="64">
      <c r="B64" s="7" t="s">
        <v>854</v>
      </c>
      <c r="C64" s="7" t="s">
        <v>1189</v>
      </c>
      <c r="E64" s="7" t="s">
        <v>1052</v>
      </c>
      <c r="F64" s="114" t="str">
        <f t="shared" si="1"/>
        <v>ライブエクスペリエンス事業本部/次世代エンターテインメント室</v>
      </c>
    </row>
    <row r="65">
      <c r="B65" s="7" t="s">
        <v>854</v>
      </c>
      <c r="C65" s="7" t="s">
        <v>1279</v>
      </c>
      <c r="E65" s="7" t="s">
        <v>1052</v>
      </c>
      <c r="F65" s="114" t="str">
        <f t="shared" si="1"/>
        <v>ライブエクスペリエンス事業本部/PIST6事業部</v>
      </c>
    </row>
    <row r="66">
      <c r="B66" s="7" t="s">
        <v>854</v>
      </c>
      <c r="C66" s="7" t="s">
        <v>1280</v>
      </c>
      <c r="D66" s="7" t="s">
        <v>143</v>
      </c>
      <c r="E66" s="7" t="s">
        <v>33897</v>
      </c>
      <c r="F66" s="114" t="str">
        <f t="shared" si="1"/>
        <v>ライブエクスペリエンス事業本部/TIPSTAR事業企画部</v>
      </c>
    </row>
    <row r="67">
      <c r="B67" s="7" t="s">
        <v>854</v>
      </c>
      <c r="C67" s="7" t="s">
        <v>1274</v>
      </c>
      <c r="D67" s="7" t="s">
        <v>148</v>
      </c>
      <c r="E67" s="7" t="s">
        <v>33897</v>
      </c>
      <c r="F67" s="114" t="str">
        <f t="shared" si="1"/>
        <v>ライブエクスペリエンス事業本部/TIPSTAR開発部</v>
      </c>
    </row>
    <row r="68">
      <c r="B68" s="7" t="s">
        <v>440</v>
      </c>
      <c r="C68" s="7" t="s">
        <v>430</v>
      </c>
      <c r="E68" s="7" t="s">
        <v>1052</v>
      </c>
      <c r="F68" s="114" t="str">
        <f t="shared" si="1"/>
        <v>経営推進本部/経営管理部</v>
      </c>
    </row>
    <row r="69">
      <c r="A69" s="119">
        <v>44986.0</v>
      </c>
      <c r="B69" s="7" t="s">
        <v>1242</v>
      </c>
      <c r="D69" s="7" t="s">
        <v>824</v>
      </c>
      <c r="E69" s="7" t="s">
        <v>33896</v>
      </c>
      <c r="F69" s="114" t="str">
        <f t="shared" si="1"/>
        <v>Vantageスタジオ/</v>
      </c>
    </row>
    <row r="70">
      <c r="D70" s="7" t="s">
        <v>324</v>
      </c>
      <c r="E70" s="7" t="s">
        <v>33896</v>
      </c>
      <c r="F70" s="114" t="str">
        <f t="shared" si="1"/>
        <v>/</v>
      </c>
    </row>
    <row r="71">
      <c r="B71" s="7" t="s">
        <v>440</v>
      </c>
      <c r="C71" s="7" t="s">
        <v>1246</v>
      </c>
      <c r="D71" s="7" t="s">
        <v>819</v>
      </c>
      <c r="E71" s="7" t="s">
        <v>33897</v>
      </c>
      <c r="F71" s="114" t="str">
        <f t="shared" si="1"/>
        <v>経営推進本部/みてね事業部</v>
      </c>
    </row>
    <row r="72">
      <c r="A72" s="119">
        <v>44958.0</v>
      </c>
      <c r="B72" s="7" t="s">
        <v>693</v>
      </c>
      <c r="D72" s="7" t="s">
        <v>701</v>
      </c>
      <c r="E72" s="7" t="s">
        <v>33896</v>
      </c>
      <c r="F72" s="114" t="str">
        <f t="shared" si="1"/>
        <v>デザイン本部/</v>
      </c>
    </row>
    <row r="73">
      <c r="A73" s="119">
        <v>44927.0</v>
      </c>
      <c r="B73" s="7" t="s">
        <v>854</v>
      </c>
      <c r="C73" s="7" t="s">
        <v>1226</v>
      </c>
      <c r="E73" s="7" t="s">
        <v>1052</v>
      </c>
      <c r="F73" s="114" t="str">
        <f t="shared" si="1"/>
        <v>ライブエクスペリエンス事業本部/システム部</v>
      </c>
    </row>
    <row r="74">
      <c r="B74" s="7" t="s">
        <v>854</v>
      </c>
      <c r="C74" s="7" t="s">
        <v>1228</v>
      </c>
      <c r="D74" s="7" t="s">
        <v>173</v>
      </c>
      <c r="E74" s="7" t="s">
        <v>33897</v>
      </c>
      <c r="F74" s="114" t="str">
        <f t="shared" si="1"/>
        <v>ライブエクスペリエンス事業本部/事業管理部</v>
      </c>
    </row>
    <row r="75">
      <c r="A75" s="119">
        <v>44805.0</v>
      </c>
      <c r="B75" s="7" t="s">
        <v>1273</v>
      </c>
      <c r="D75" s="7" t="s">
        <v>1280</v>
      </c>
      <c r="E75" s="7" t="s">
        <v>33896</v>
      </c>
      <c r="F75" s="114" t="str">
        <f t="shared" si="1"/>
        <v>次世代エンターテインメント事業本部/</v>
      </c>
    </row>
    <row r="76">
      <c r="B76" s="7" t="s">
        <v>854</v>
      </c>
      <c r="C76" s="7" t="s">
        <v>1120</v>
      </c>
      <c r="E76" s="7" t="s">
        <v>1052</v>
      </c>
      <c r="F76" s="114" t="str">
        <f t="shared" si="1"/>
        <v>ライブエクスペリエンス事業本部/マーケティング室</v>
      </c>
    </row>
    <row r="77">
      <c r="A77" s="119">
        <v>44743.0</v>
      </c>
      <c r="B77" s="7" t="s">
        <v>1273</v>
      </c>
      <c r="C77" s="7" t="s">
        <v>1148</v>
      </c>
      <c r="E77" s="7" t="s">
        <v>1052</v>
      </c>
      <c r="F77" s="114" t="str">
        <f t="shared" si="1"/>
        <v>次世代エンターテインメント事業本部/事業開発部</v>
      </c>
    </row>
    <row r="78">
      <c r="B78" s="7" t="s">
        <v>1273</v>
      </c>
      <c r="C78" s="7" t="s">
        <v>1119</v>
      </c>
      <c r="E78" s="7" t="s">
        <v>1052</v>
      </c>
      <c r="F78" s="114" t="str">
        <f t="shared" si="1"/>
        <v>次世代エンターテインメント事業本部/ビジネス推進室</v>
      </c>
    </row>
    <row r="79">
      <c r="A79" s="119">
        <v>44713.0</v>
      </c>
      <c r="B79" s="7" t="s">
        <v>1054</v>
      </c>
      <c r="D79" s="7" t="s">
        <v>1304</v>
      </c>
      <c r="E79" s="7" t="s">
        <v>33896</v>
      </c>
      <c r="F79" s="114" t="str">
        <f t="shared" si="1"/>
        <v>デジタルエンターテインメント事業本部/</v>
      </c>
    </row>
    <row r="80">
      <c r="B80" s="7" t="s">
        <v>1273</v>
      </c>
      <c r="C80" s="7" t="s">
        <v>1305</v>
      </c>
      <c r="E80" s="7" t="s">
        <v>1052</v>
      </c>
      <c r="F80" s="114" t="str">
        <f t="shared" si="1"/>
        <v>次世代エンターテインメント事業本部/スタースマッシュ事業部</v>
      </c>
    </row>
    <row r="81">
      <c r="A81" s="119">
        <v>44652.0</v>
      </c>
      <c r="B81" s="7" t="s">
        <v>693</v>
      </c>
      <c r="D81" s="7" t="s">
        <v>696</v>
      </c>
      <c r="E81" s="7" t="s">
        <v>33896</v>
      </c>
      <c r="F81" s="114" t="str">
        <f t="shared" si="1"/>
        <v>デザイン本部/</v>
      </c>
    </row>
    <row r="82">
      <c r="D82" s="7" t="s">
        <v>698</v>
      </c>
      <c r="E82" s="7" t="s">
        <v>33896</v>
      </c>
      <c r="F82" s="114" t="str">
        <f t="shared" si="1"/>
        <v>/</v>
      </c>
    </row>
    <row r="83">
      <c r="B83" s="7" t="s">
        <v>1273</v>
      </c>
      <c r="C83" s="7" t="s">
        <v>1155</v>
      </c>
      <c r="E83" s="7" t="s">
        <v>1052</v>
      </c>
      <c r="F83" s="114" t="str">
        <f t="shared" si="1"/>
        <v>次世代エンターテインメント事業本部/クリエイティブ室</v>
      </c>
    </row>
    <row r="84">
      <c r="B84" s="7" t="s">
        <v>854</v>
      </c>
      <c r="C84" s="7" t="s">
        <v>1182</v>
      </c>
      <c r="D84" s="7" t="s">
        <v>1228</v>
      </c>
      <c r="E84" s="7" t="s">
        <v>33897</v>
      </c>
      <c r="F84" s="114" t="str">
        <f t="shared" si="1"/>
        <v>ライブエクスペリエンス事業本部/スポーツ事業部</v>
      </c>
    </row>
    <row r="85">
      <c r="B85" s="7" t="s">
        <v>1273</v>
      </c>
      <c r="C85" s="7" t="s">
        <v>1281</v>
      </c>
      <c r="E85" s="7" t="s">
        <v>1052</v>
      </c>
      <c r="F85" s="114" t="str">
        <f t="shared" si="1"/>
        <v>次世代エンターテインメント事業本部/TIPSTAR企画運営部</v>
      </c>
    </row>
    <row r="86">
      <c r="B86" s="7" t="s">
        <v>1096</v>
      </c>
      <c r="C86" s="7" t="s">
        <v>1356</v>
      </c>
      <c r="D86" s="7" t="s">
        <v>1229</v>
      </c>
      <c r="E86" s="7" t="s">
        <v>33897</v>
      </c>
      <c r="F86" s="114" t="str">
        <f t="shared" si="1"/>
        <v>モンスト事業本部/MSスピンオフゲーム事業部</v>
      </c>
    </row>
    <row r="87">
      <c r="B87" s="7" t="s">
        <v>440</v>
      </c>
      <c r="D87" s="7" t="s">
        <v>430</v>
      </c>
      <c r="E87" s="7" t="s">
        <v>33896</v>
      </c>
      <c r="F87" s="114" t="str">
        <f t="shared" si="1"/>
        <v>経営推進本部/</v>
      </c>
    </row>
    <row r="88">
      <c r="D88" s="7" t="s">
        <v>441</v>
      </c>
      <c r="E88" s="7" t="s">
        <v>33896</v>
      </c>
      <c r="F88" s="114" t="str">
        <f t="shared" si="1"/>
        <v>/</v>
      </c>
    </row>
    <row r="89">
      <c r="A89" s="119">
        <v>44593.0</v>
      </c>
      <c r="B89" s="7" t="s">
        <v>1273</v>
      </c>
      <c r="C89" s="7" t="s">
        <v>1185</v>
      </c>
      <c r="D89" s="7" t="s">
        <v>1110</v>
      </c>
      <c r="E89" s="7" t="s">
        <v>33897</v>
      </c>
      <c r="F89" s="114" t="str">
        <f t="shared" si="1"/>
        <v>次世代エンターテインメント事業本部/ID・ペイメント事業部</v>
      </c>
    </row>
    <row r="90">
      <c r="A90" s="119">
        <v>44562.0</v>
      </c>
      <c r="B90" s="7" t="s">
        <v>854</v>
      </c>
      <c r="D90" s="7" t="s">
        <v>859</v>
      </c>
      <c r="E90" s="7" t="s">
        <v>33896</v>
      </c>
      <c r="F90" s="114" t="str">
        <f t="shared" si="1"/>
        <v>ライブエクスペリエンス事業本部/</v>
      </c>
    </row>
    <row r="91">
      <c r="B91" s="7" t="s">
        <v>1096</v>
      </c>
      <c r="C91" s="7" t="s">
        <v>1358</v>
      </c>
      <c r="E91" s="7" t="s">
        <v>1052</v>
      </c>
      <c r="F91" s="114" t="str">
        <f t="shared" si="1"/>
        <v>モンスト事業本部/ライフコミュニケーション部</v>
      </c>
    </row>
    <row r="92">
      <c r="A92" s="119">
        <v>44531.0</v>
      </c>
      <c r="B92" s="7" t="s">
        <v>1096</v>
      </c>
      <c r="C92" s="7" t="s">
        <v>148</v>
      </c>
      <c r="E92" s="7" t="s">
        <v>1052</v>
      </c>
      <c r="F92" s="114" t="str">
        <f t="shared" si="1"/>
        <v>モンスト事業本部/開発室</v>
      </c>
    </row>
    <row r="93">
      <c r="B93" s="7" t="s">
        <v>1208</v>
      </c>
      <c r="D93" s="7" t="s">
        <v>1148</v>
      </c>
      <c r="E93" s="7" t="s">
        <v>33896</v>
      </c>
      <c r="F93" s="114" t="str">
        <f t="shared" si="1"/>
        <v>投資事業推進本部/</v>
      </c>
    </row>
    <row r="94">
      <c r="A94" s="119">
        <v>44501.0</v>
      </c>
      <c r="B94" s="7" t="s">
        <v>27331</v>
      </c>
      <c r="D94" s="7" t="s">
        <v>1279</v>
      </c>
      <c r="E94" s="7" t="s">
        <v>33896</v>
      </c>
      <c r="F94" s="114" t="str">
        <f t="shared" si="1"/>
        <v>次世代エンターテイメント事業本部/</v>
      </c>
    </row>
    <row r="95">
      <c r="D95" s="7" t="s">
        <v>1274</v>
      </c>
      <c r="E95" s="7" t="s">
        <v>33896</v>
      </c>
      <c r="F95" s="114" t="str">
        <f t="shared" si="1"/>
        <v>/</v>
      </c>
    </row>
    <row r="96">
      <c r="D96" s="7" t="s">
        <v>1120</v>
      </c>
      <c r="E96" s="7" t="s">
        <v>33896</v>
      </c>
      <c r="F96" s="114" t="str">
        <f t="shared" si="1"/>
        <v>/</v>
      </c>
    </row>
    <row r="97">
      <c r="D97" s="7" t="s">
        <v>1148</v>
      </c>
      <c r="E97" s="7" t="s">
        <v>33896</v>
      </c>
      <c r="F97" s="114" t="str">
        <f t="shared" si="1"/>
        <v>/</v>
      </c>
    </row>
    <row r="98">
      <c r="D98" s="7" t="s">
        <v>1262</v>
      </c>
      <c r="E98" s="7" t="s">
        <v>33896</v>
      </c>
      <c r="F98" s="114" t="str">
        <f t="shared" si="1"/>
        <v>/</v>
      </c>
    </row>
    <row r="99">
      <c r="B99" s="7" t="s">
        <v>1096</v>
      </c>
      <c r="C99" s="7" t="s">
        <v>143</v>
      </c>
      <c r="D99" s="7" t="s">
        <v>1281</v>
      </c>
      <c r="E99" s="7" t="s">
        <v>33897</v>
      </c>
      <c r="F99" s="114" t="str">
        <f t="shared" si="1"/>
        <v>モンスト事業本部/TIPSTAR事業部</v>
      </c>
    </row>
    <row r="100">
      <c r="A100" s="119">
        <v>44470.0</v>
      </c>
      <c r="B100" s="7" t="s">
        <v>854</v>
      </c>
      <c r="C100" s="7" t="s">
        <v>1183</v>
      </c>
      <c r="E100" s="7" t="s">
        <v>1052</v>
      </c>
      <c r="F100" s="114" t="str">
        <f t="shared" si="1"/>
        <v>ライブエクスペリエンス事業本部/スポーツギフティング部</v>
      </c>
    </row>
    <row r="101">
      <c r="A101" s="119">
        <v>44440.0</v>
      </c>
      <c r="B101" s="7" t="s">
        <v>27331</v>
      </c>
      <c r="C101" s="7" t="s">
        <v>1277</v>
      </c>
      <c r="D101" s="7" t="s">
        <v>143</v>
      </c>
      <c r="E101" s="7" t="s">
        <v>33897</v>
      </c>
      <c r="F101" s="114" t="str">
        <f t="shared" si="1"/>
        <v>次世代エンターテイメント事業本部/ライブ動画プロダクト開発室</v>
      </c>
    </row>
    <row r="102">
      <c r="B102" s="7" t="s">
        <v>27331</v>
      </c>
      <c r="C102" s="7" t="s">
        <v>1276</v>
      </c>
      <c r="D102" s="7" t="s">
        <v>1119</v>
      </c>
      <c r="E102" s="7" t="s">
        <v>33897</v>
      </c>
      <c r="F102" s="114" t="str">
        <f t="shared" si="1"/>
        <v>次世代エンターテイメント事業本部/ライブ動画ビジネス推進室</v>
      </c>
    </row>
    <row r="103">
      <c r="A103" s="119">
        <v>44317.0</v>
      </c>
      <c r="B103" s="7" t="s">
        <v>1096</v>
      </c>
      <c r="C103" s="7" t="s">
        <v>1355</v>
      </c>
      <c r="E103" s="7" t="s">
        <v>1052</v>
      </c>
      <c r="F103" s="114" t="str">
        <f t="shared" si="1"/>
        <v>モンスト事業本部/データマーケティング室</v>
      </c>
    </row>
    <row r="104">
      <c r="B104" s="7" t="s">
        <v>1096</v>
      </c>
      <c r="C104" s="7" t="s">
        <v>1360</v>
      </c>
      <c r="D104" s="7" t="s">
        <v>1137</v>
      </c>
      <c r="E104" s="7" t="s">
        <v>33897</v>
      </c>
      <c r="F104" s="114" t="str">
        <f t="shared" si="1"/>
        <v>モンスト事業本部/マーケティングコミュニケーション部</v>
      </c>
    </row>
    <row r="105">
      <c r="A105" s="119">
        <v>44287.0</v>
      </c>
      <c r="B105" s="7" t="s">
        <v>1096</v>
      </c>
      <c r="D105" s="7" t="s">
        <v>1356</v>
      </c>
      <c r="E105" s="7" t="s">
        <v>33896</v>
      </c>
      <c r="F105" s="114" t="str">
        <f t="shared" si="1"/>
        <v>モンスト事業本部/</v>
      </c>
    </row>
    <row r="106">
      <c r="B106" s="7" t="s">
        <v>1096</v>
      </c>
      <c r="C106" s="7" t="s">
        <v>1174</v>
      </c>
      <c r="D106" s="7" t="s">
        <v>1362</v>
      </c>
      <c r="E106" s="7" t="s">
        <v>33897</v>
      </c>
      <c r="F106" s="114" t="str">
        <f t="shared" si="1"/>
        <v>モンスト事業本部/デザイン室</v>
      </c>
    </row>
    <row r="107">
      <c r="B107" s="7" t="s">
        <v>3</v>
      </c>
      <c r="D107" s="7" t="s">
        <v>9</v>
      </c>
      <c r="E107" s="7" t="s">
        <v>33896</v>
      </c>
      <c r="F107" s="114" t="str">
        <f t="shared" si="1"/>
        <v>CS本部/</v>
      </c>
    </row>
    <row r="108">
      <c r="D108" s="7" t="s">
        <v>1207</v>
      </c>
      <c r="E108" s="7" t="s">
        <v>33896</v>
      </c>
      <c r="F108" s="114" t="str">
        <f t="shared" si="1"/>
        <v>/</v>
      </c>
    </row>
    <row r="109">
      <c r="B109" s="7" t="s">
        <v>1273</v>
      </c>
      <c r="C109" s="7" t="s">
        <v>1278</v>
      </c>
      <c r="E109" s="7" t="s">
        <v>1052</v>
      </c>
      <c r="F109" s="114" t="str">
        <f t="shared" si="1"/>
        <v>次世代エンターテインメント事業本部/事業企画部</v>
      </c>
    </row>
    <row r="110">
      <c r="B110" s="7" t="s">
        <v>693</v>
      </c>
      <c r="C110" s="7" t="s">
        <v>1156</v>
      </c>
      <c r="E110" s="7" t="s">
        <v>1052</v>
      </c>
      <c r="F110" s="114" t="str">
        <f t="shared" si="1"/>
        <v>デザイン本部/制作室</v>
      </c>
    </row>
    <row r="111">
      <c r="B111" s="7" t="s">
        <v>693</v>
      </c>
      <c r="C111" s="7" t="s">
        <v>1157</v>
      </c>
      <c r="D111" s="7" t="s">
        <v>1155</v>
      </c>
      <c r="E111" s="7" t="s">
        <v>33897</v>
      </c>
      <c r="F111" s="114" t="str">
        <f t="shared" si="1"/>
        <v>デザイン本部/デザイン戦略室</v>
      </c>
    </row>
    <row r="112">
      <c r="B112" s="7" t="s">
        <v>1208</v>
      </c>
      <c r="D112" s="7" t="s">
        <v>1188</v>
      </c>
      <c r="E112" s="7" t="s">
        <v>33896</v>
      </c>
      <c r="F112" s="114" t="str">
        <f t="shared" si="1"/>
        <v>投資事業推進本部/</v>
      </c>
    </row>
    <row r="113">
      <c r="B113" s="7" t="s">
        <v>693</v>
      </c>
      <c r="C113" s="7" t="s">
        <v>1209</v>
      </c>
      <c r="D113" s="7" t="s">
        <v>74</v>
      </c>
      <c r="E113" s="7" t="s">
        <v>33897</v>
      </c>
      <c r="F113" s="114" t="str">
        <f t="shared" si="1"/>
        <v>デザイン本部/投資事業推進部</v>
      </c>
    </row>
    <row r="114">
      <c r="B114" s="7" t="s">
        <v>1054</v>
      </c>
      <c r="D114" s="7" t="s">
        <v>1137</v>
      </c>
      <c r="E114" s="7" t="s">
        <v>33896</v>
      </c>
      <c r="F114" s="114" t="str">
        <f t="shared" si="1"/>
        <v>デジタルエンターテインメント事業本部/</v>
      </c>
    </row>
    <row r="115">
      <c r="D115" s="7" t="s">
        <v>1301</v>
      </c>
      <c r="E115" s="7" t="s">
        <v>33896</v>
      </c>
      <c r="F115" s="114" t="str">
        <f t="shared" si="1"/>
        <v>/</v>
      </c>
    </row>
    <row r="116">
      <c r="A116" s="119">
        <v>44228.0</v>
      </c>
      <c r="B116" s="7" t="s">
        <v>1273</v>
      </c>
      <c r="C116" s="7" t="s">
        <v>1151</v>
      </c>
      <c r="E116" s="7" t="s">
        <v>1052</v>
      </c>
      <c r="F116" s="114" t="str">
        <f t="shared" si="1"/>
        <v>次世代エンターテインメント事業本部/ブランド戦略室</v>
      </c>
    </row>
    <row r="117">
      <c r="A117" s="119">
        <v>44197.0</v>
      </c>
      <c r="B117" s="7" t="s">
        <v>440</v>
      </c>
      <c r="D117" s="7" t="s">
        <v>188</v>
      </c>
      <c r="E117" s="7" t="s">
        <v>33896</v>
      </c>
      <c r="F117" s="114" t="str">
        <f t="shared" si="1"/>
        <v>経営推進本部/</v>
      </c>
    </row>
    <row r="118">
      <c r="B118" s="7" t="s">
        <v>1273</v>
      </c>
      <c r="C118" s="7" t="s">
        <v>430</v>
      </c>
      <c r="D118" s="7" t="s">
        <v>97</v>
      </c>
      <c r="E118" s="7" t="s">
        <v>33897</v>
      </c>
      <c r="F118" s="114" t="str">
        <f t="shared" si="1"/>
        <v>次世代エンターテインメント事業本部/経営管理部</v>
      </c>
    </row>
    <row r="119">
      <c r="B119" s="7" t="s">
        <v>1273</v>
      </c>
      <c r="C119" s="7" t="s">
        <v>188</v>
      </c>
      <c r="D119" s="7" t="s">
        <v>1278</v>
      </c>
      <c r="E119" s="7" t="s">
        <v>33897</v>
      </c>
      <c r="F119" s="114" t="str">
        <f t="shared" si="1"/>
        <v>次世代エンターテインメント事業本部/社長室</v>
      </c>
    </row>
    <row r="120">
      <c r="B120" s="7" t="s">
        <v>1273</v>
      </c>
      <c r="C120" s="7" t="s">
        <v>1187</v>
      </c>
      <c r="E120" s="7" t="s">
        <v>1052</v>
      </c>
      <c r="F120" s="114" t="str">
        <f t="shared" si="1"/>
        <v>次世代エンターテインメント事業本部/ビジネス開発室</v>
      </c>
    </row>
    <row r="121">
      <c r="B121" s="7" t="s">
        <v>693</v>
      </c>
      <c r="C121" s="7" t="s">
        <v>1161</v>
      </c>
      <c r="E121" s="7" t="s">
        <v>1052</v>
      </c>
      <c r="F121" s="114" t="str">
        <f t="shared" si="1"/>
        <v>デザイン本部/XFLAG PICTURES</v>
      </c>
    </row>
    <row r="122">
      <c r="B122" s="7" t="s">
        <v>1268</v>
      </c>
      <c r="D122" s="7" t="s">
        <v>1182</v>
      </c>
      <c r="E122" s="7" t="s">
        <v>33896</v>
      </c>
      <c r="F122" s="114" t="str">
        <f t="shared" si="1"/>
        <v>アライアンス統括本部/</v>
      </c>
    </row>
    <row r="123">
      <c r="D123" s="7" t="s">
        <v>864</v>
      </c>
      <c r="E123" s="7" t="s">
        <v>33896</v>
      </c>
      <c r="F123" s="114" t="str">
        <f t="shared" si="1"/>
        <v>/</v>
      </c>
    </row>
    <row r="124">
      <c r="B124" s="7" t="s">
        <v>693</v>
      </c>
      <c r="C124" s="7" t="s">
        <v>859</v>
      </c>
      <c r="E124" s="7" t="s">
        <v>1052</v>
      </c>
      <c r="F124" s="114" t="str">
        <f t="shared" si="1"/>
        <v>デザイン本部/フットボール事業部</v>
      </c>
    </row>
    <row r="125">
      <c r="B125" s="7" t="s">
        <v>693</v>
      </c>
      <c r="C125" s="7" t="s">
        <v>1225</v>
      </c>
      <c r="E125" s="7" t="s">
        <v>1052</v>
      </c>
      <c r="F125" s="114" t="str">
        <f t="shared" si="1"/>
        <v>デザイン本部/ビバレッジ事業推進室</v>
      </c>
    </row>
    <row r="126">
      <c r="B126" s="7" t="s">
        <v>391</v>
      </c>
      <c r="D126" s="7" t="s">
        <v>644</v>
      </c>
      <c r="E126" s="7" t="s">
        <v>33896</v>
      </c>
      <c r="F126" s="114" t="str">
        <f t="shared" si="1"/>
        <v>開発本部/</v>
      </c>
    </row>
    <row r="127">
      <c r="A127" s="119">
        <v>44166.0</v>
      </c>
      <c r="B127" s="7" t="s">
        <v>1054</v>
      </c>
      <c r="C127" s="7" t="s">
        <v>29666</v>
      </c>
      <c r="D127" s="7" t="s">
        <v>1305</v>
      </c>
      <c r="E127" s="7" t="s">
        <v>33897</v>
      </c>
      <c r="F127" s="114" t="str">
        <f t="shared" si="1"/>
        <v>デジタルエンターテインメント事業本部/Honey事業部</v>
      </c>
    </row>
    <row r="128">
      <c r="B128" s="7" t="s">
        <v>1096</v>
      </c>
      <c r="C128" s="7" t="s">
        <v>1227</v>
      </c>
      <c r="D128" s="7" t="s">
        <v>1358</v>
      </c>
      <c r="E128" s="7" t="s">
        <v>33897</v>
      </c>
      <c r="F128" s="114" t="str">
        <f t="shared" si="1"/>
        <v>モンスト事業本部/マーチャンダイジング部</v>
      </c>
    </row>
    <row r="129">
      <c r="A129" s="119">
        <v>44105.0</v>
      </c>
      <c r="B129" s="7" t="s">
        <v>440</v>
      </c>
      <c r="C129" s="7" t="s">
        <v>1236</v>
      </c>
      <c r="D129" s="7" t="s">
        <v>90</v>
      </c>
      <c r="E129" s="7" t="s">
        <v>33897</v>
      </c>
      <c r="F129" s="114" t="str">
        <f t="shared" si="1"/>
        <v>経営推進本部/経理財務部</v>
      </c>
    </row>
    <row r="130">
      <c r="A130" s="119">
        <v>44013.0</v>
      </c>
      <c r="B130" s="7" t="s">
        <v>27331</v>
      </c>
      <c r="C130" s="7" t="s">
        <v>1191</v>
      </c>
      <c r="E130" s="7" t="s">
        <v>1052</v>
      </c>
      <c r="F130" s="114" t="str">
        <f t="shared" si="1"/>
        <v>次世代エンターテイメント事業本部/ライブ動画プラットフォーム事業部</v>
      </c>
    </row>
    <row r="131">
      <c r="D131" s="7" t="s">
        <v>1277</v>
      </c>
      <c r="E131" s="7" t="s">
        <v>33896</v>
      </c>
      <c r="F131" s="114" t="str">
        <f t="shared" si="1"/>
        <v>/</v>
      </c>
    </row>
    <row r="132">
      <c r="D132" s="7" t="s">
        <v>1276</v>
      </c>
      <c r="E132" s="7" t="s">
        <v>33896</v>
      </c>
      <c r="F132" s="114" t="str">
        <f t="shared" si="1"/>
        <v>/</v>
      </c>
    </row>
    <row r="133">
      <c r="A133" s="119">
        <v>43922.0</v>
      </c>
      <c r="B133" s="7" t="s">
        <v>298</v>
      </c>
      <c r="D133" s="7" t="s">
        <v>1283</v>
      </c>
      <c r="E133" s="7" t="s">
        <v>33896</v>
      </c>
      <c r="F133" s="114" t="str">
        <f t="shared" si="1"/>
        <v>はたらく環境推進本部/</v>
      </c>
    </row>
    <row r="134">
      <c r="B134" s="7" t="s">
        <v>27331</v>
      </c>
      <c r="C134" s="7" t="s">
        <v>1237</v>
      </c>
      <c r="D134" s="7" t="s">
        <v>304</v>
      </c>
      <c r="E134" s="7" t="s">
        <v>33897</v>
      </c>
      <c r="F134" s="114" t="str">
        <f t="shared" si="1"/>
        <v>次世代エンターテイメント事業本部/はたらく環境室</v>
      </c>
    </row>
    <row r="135">
      <c r="B135" s="7" t="s">
        <v>1272</v>
      </c>
      <c r="C135" s="7" t="s">
        <v>1186</v>
      </c>
      <c r="E135" s="7" t="s">
        <v>1052</v>
      </c>
      <c r="F135" s="114" t="str">
        <f t="shared" si="1"/>
        <v>スポーツ事業本部/スポーツマーケティング室</v>
      </c>
    </row>
    <row r="136">
      <c r="B136" s="7" t="s">
        <v>1054</v>
      </c>
      <c r="D136" s="7" t="s">
        <v>29666</v>
      </c>
      <c r="E136" s="7" t="s">
        <v>33896</v>
      </c>
      <c r="F136" s="114" t="str">
        <f t="shared" si="1"/>
        <v>デジタルエンターテインメント事業本部/</v>
      </c>
    </row>
    <row r="137">
      <c r="B137" s="7" t="s">
        <v>1272</v>
      </c>
      <c r="C137" s="7" t="s">
        <v>1266</v>
      </c>
      <c r="E137" s="7" t="s">
        <v>1052</v>
      </c>
      <c r="F137" s="114" t="str">
        <f t="shared" si="1"/>
        <v>スポーツ事業本部/ファイトリーグ事業部</v>
      </c>
    </row>
    <row r="138">
      <c r="B138" s="7" t="s">
        <v>1272</v>
      </c>
      <c r="C138" s="7" t="s">
        <v>1314</v>
      </c>
      <c r="D138" s="7" t="s">
        <v>1162</v>
      </c>
      <c r="E138" s="7" t="s">
        <v>33897</v>
      </c>
      <c r="F138" s="114" t="str">
        <f t="shared" si="1"/>
        <v>スポーツ事業本部/MKP事業部</v>
      </c>
    </row>
    <row r="139">
      <c r="B139" s="7" t="s">
        <v>478</v>
      </c>
      <c r="D139" s="7" t="s">
        <v>1143</v>
      </c>
      <c r="E139" s="7" t="s">
        <v>33896</v>
      </c>
      <c r="F139" s="114" t="str">
        <f t="shared" si="1"/>
        <v>人事本部/</v>
      </c>
    </row>
    <row r="140">
      <c r="B140" s="7" t="s">
        <v>1272</v>
      </c>
      <c r="C140" s="7" t="s">
        <v>1065</v>
      </c>
      <c r="D140" s="7" t="s">
        <v>1146</v>
      </c>
      <c r="E140" s="7" t="s">
        <v>33897</v>
      </c>
      <c r="F140" s="114" t="str">
        <f t="shared" si="1"/>
        <v>スポーツ事業本部/人事部</v>
      </c>
    </row>
    <row r="141">
      <c r="A141" s="119">
        <v>43891.0</v>
      </c>
      <c r="B141" s="7" t="s">
        <v>1096</v>
      </c>
      <c r="C141" s="7" t="s">
        <v>1137</v>
      </c>
      <c r="D141" s="7" t="s">
        <v>1360</v>
      </c>
      <c r="E141" s="7" t="s">
        <v>33897</v>
      </c>
      <c r="F141" s="114" t="str">
        <f t="shared" si="1"/>
        <v>モンスト事業本部/マーケティング部</v>
      </c>
    </row>
    <row r="142">
      <c r="B142" s="7" t="s">
        <v>1096</v>
      </c>
      <c r="C142" s="7" t="s">
        <v>1150</v>
      </c>
      <c r="D142" s="7" t="s">
        <v>1355</v>
      </c>
      <c r="E142" s="7" t="s">
        <v>33897</v>
      </c>
      <c r="F142" s="114" t="str">
        <f t="shared" si="1"/>
        <v>モンスト事業本部/デジタルマーケティング室</v>
      </c>
    </row>
    <row r="143">
      <c r="B143" s="7" t="s">
        <v>1096</v>
      </c>
      <c r="C143" s="7" t="s">
        <v>1357</v>
      </c>
      <c r="E143" s="7" t="s">
        <v>1052</v>
      </c>
      <c r="F143" s="114" t="str">
        <f t="shared" si="1"/>
        <v>モンスト事業本部/ブランドコミュニケーション室</v>
      </c>
    </row>
    <row r="144">
      <c r="A144" s="119">
        <v>43831.0</v>
      </c>
      <c r="B144" s="7" t="s">
        <v>1179</v>
      </c>
      <c r="C144" s="7" t="s">
        <v>1184</v>
      </c>
      <c r="E144" s="7" t="s">
        <v>1052</v>
      </c>
      <c r="F144" s="114" t="str">
        <f t="shared" si="1"/>
        <v>社長本部/コーポレートコミュニケーション部</v>
      </c>
    </row>
    <row r="145">
      <c r="B145" s="7" t="s">
        <v>854</v>
      </c>
      <c r="C145" s="7" t="s">
        <v>1222</v>
      </c>
      <c r="E145" s="7" t="s">
        <v>1052</v>
      </c>
      <c r="F145" s="114" t="str">
        <f t="shared" si="1"/>
        <v>ライブエクスペリエンス事業本部/ライセンス事業部</v>
      </c>
    </row>
    <row r="146">
      <c r="B146" s="7" t="s">
        <v>693</v>
      </c>
      <c r="C146" s="7" t="s">
        <v>1158</v>
      </c>
      <c r="E146" s="7" t="s">
        <v>1052</v>
      </c>
      <c r="F146" s="114" t="str">
        <f t="shared" si="1"/>
        <v>デザイン本部/デザイン推進室</v>
      </c>
    </row>
    <row r="147">
      <c r="B147" s="7" t="s">
        <v>1078</v>
      </c>
      <c r="C147" s="7" t="s">
        <v>1330</v>
      </c>
      <c r="D147" s="7" t="s">
        <v>430</v>
      </c>
      <c r="E147" s="7" t="s">
        <v>33897</v>
      </c>
      <c r="F147" s="114" t="str">
        <f t="shared" si="1"/>
        <v>経営企画本部/IR室</v>
      </c>
    </row>
    <row r="148">
      <c r="B148" s="7" t="s">
        <v>1272</v>
      </c>
      <c r="C148" s="7" t="s">
        <v>1223</v>
      </c>
      <c r="D148" s="7" t="s">
        <v>1226</v>
      </c>
      <c r="E148" s="7" t="s">
        <v>33897</v>
      </c>
      <c r="F148" s="114" t="str">
        <f t="shared" si="1"/>
        <v>スポーツ事業本部/LX開発室</v>
      </c>
    </row>
  </sheetData>
  <autoFilter ref="$A$1:$E$148"/>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38"/>
    <col customWidth="1" min="2" max="2" width="30.38"/>
    <col customWidth="1" min="7" max="193" width="0.38"/>
  </cols>
  <sheetData>
    <row r="1">
      <c r="A1" s="124" t="s">
        <v>33899</v>
      </c>
      <c r="B1" s="125" t="s">
        <v>33900</v>
      </c>
      <c r="C1" s="126"/>
      <c r="D1" s="126"/>
      <c r="E1" s="126"/>
      <c r="F1" s="126"/>
      <c r="G1" s="127">
        <v>2010.0</v>
      </c>
      <c r="H1" s="128"/>
      <c r="I1" s="128"/>
      <c r="J1" s="128"/>
      <c r="K1" s="128"/>
      <c r="L1" s="128"/>
      <c r="M1" s="128"/>
      <c r="N1" s="128"/>
      <c r="O1" s="128"/>
      <c r="P1" s="128"/>
      <c r="Q1" s="128"/>
      <c r="R1" s="128"/>
      <c r="S1" s="127">
        <v>2011.0</v>
      </c>
      <c r="T1" s="128"/>
      <c r="U1" s="128"/>
      <c r="V1" s="128"/>
      <c r="W1" s="128"/>
      <c r="X1" s="128"/>
      <c r="Y1" s="128"/>
      <c r="Z1" s="128"/>
      <c r="AA1" s="128"/>
      <c r="AB1" s="128"/>
      <c r="AC1" s="128"/>
      <c r="AD1" s="128"/>
      <c r="AE1" s="127">
        <v>2012.0</v>
      </c>
      <c r="AF1" s="128"/>
      <c r="AG1" s="128"/>
      <c r="AH1" s="128"/>
      <c r="AI1" s="128"/>
      <c r="AJ1" s="128"/>
      <c r="AK1" s="128"/>
      <c r="AL1" s="128"/>
      <c r="AM1" s="128"/>
      <c r="AN1" s="128"/>
      <c r="AO1" s="128"/>
      <c r="AP1" s="128"/>
      <c r="AQ1" s="127">
        <v>2013.0</v>
      </c>
      <c r="AR1" s="128"/>
      <c r="AS1" s="128"/>
      <c r="AT1" s="128"/>
      <c r="AU1" s="128"/>
      <c r="AV1" s="128"/>
      <c r="AW1" s="128"/>
      <c r="AX1" s="128"/>
      <c r="AY1" s="128"/>
      <c r="AZ1" s="128"/>
      <c r="BA1" s="128"/>
      <c r="BB1" s="128"/>
      <c r="BC1" s="127">
        <v>2014.0</v>
      </c>
      <c r="BD1" s="128"/>
      <c r="BE1" s="128"/>
      <c r="BF1" s="128"/>
      <c r="BG1" s="128"/>
      <c r="BH1" s="128"/>
      <c r="BI1" s="128"/>
      <c r="BJ1" s="128"/>
      <c r="BK1" s="128"/>
      <c r="BL1" s="128"/>
      <c r="BM1" s="128"/>
      <c r="BN1" s="128"/>
      <c r="BO1" s="127">
        <v>2015.0</v>
      </c>
      <c r="BP1" s="128"/>
      <c r="BQ1" s="128"/>
      <c r="BR1" s="128"/>
      <c r="BS1" s="128"/>
      <c r="BT1" s="128"/>
      <c r="BU1" s="128"/>
      <c r="BV1" s="128"/>
      <c r="BW1" s="128"/>
      <c r="BX1" s="128"/>
      <c r="BY1" s="128"/>
      <c r="BZ1" s="128"/>
      <c r="CA1" s="127">
        <v>2016.0</v>
      </c>
      <c r="CB1" s="128"/>
      <c r="CC1" s="128"/>
      <c r="CD1" s="128"/>
      <c r="CE1" s="128"/>
      <c r="CF1" s="128"/>
      <c r="CG1" s="128"/>
      <c r="CH1" s="128"/>
      <c r="CI1" s="128"/>
      <c r="CJ1" s="128"/>
      <c r="CK1" s="128"/>
      <c r="CL1" s="128"/>
      <c r="CM1" s="127">
        <v>2017.0</v>
      </c>
      <c r="CN1" s="128"/>
      <c r="CO1" s="128"/>
      <c r="CP1" s="128"/>
      <c r="CQ1" s="128"/>
      <c r="CR1" s="128"/>
      <c r="CS1" s="128"/>
      <c r="CT1" s="128"/>
      <c r="CU1" s="128"/>
      <c r="CV1" s="128"/>
      <c r="CW1" s="128"/>
      <c r="CX1" s="128"/>
      <c r="CY1" s="127">
        <v>2018.0</v>
      </c>
      <c r="CZ1" s="128"/>
      <c r="DA1" s="128"/>
      <c r="DB1" s="128"/>
      <c r="DC1" s="128"/>
      <c r="DD1" s="128"/>
      <c r="DE1" s="128"/>
      <c r="DF1" s="128"/>
      <c r="DG1" s="128"/>
      <c r="DH1" s="128"/>
      <c r="DI1" s="128"/>
      <c r="DJ1" s="128"/>
      <c r="DK1" s="127">
        <v>2019.0</v>
      </c>
      <c r="DL1" s="128"/>
      <c r="DM1" s="128"/>
      <c r="DN1" s="128"/>
      <c r="DO1" s="128"/>
      <c r="DP1" s="128"/>
      <c r="DQ1" s="128"/>
      <c r="DR1" s="128"/>
      <c r="DS1" s="128"/>
      <c r="DT1" s="128"/>
      <c r="DU1" s="128"/>
      <c r="DV1" s="128"/>
      <c r="DW1" s="127">
        <v>2020.0</v>
      </c>
      <c r="DX1" s="128"/>
      <c r="DY1" s="128"/>
      <c r="DZ1" s="128"/>
      <c r="EA1" s="128"/>
      <c r="EB1" s="128"/>
      <c r="EC1" s="128"/>
      <c r="ED1" s="128"/>
      <c r="EE1" s="128"/>
      <c r="EF1" s="128"/>
      <c r="EG1" s="128"/>
      <c r="EH1" s="128"/>
      <c r="EI1" s="127">
        <v>2021.0</v>
      </c>
      <c r="EJ1" s="128"/>
      <c r="EK1" s="128"/>
      <c r="EL1" s="128"/>
      <c r="EM1" s="128"/>
      <c r="EN1" s="128"/>
      <c r="EO1" s="128"/>
      <c r="EP1" s="128"/>
      <c r="EQ1" s="128"/>
      <c r="ER1" s="128"/>
      <c r="ES1" s="128"/>
      <c r="ET1" s="128"/>
      <c r="EU1" s="127">
        <v>2022.0</v>
      </c>
      <c r="EV1" s="128"/>
      <c r="EW1" s="128"/>
      <c r="EX1" s="128"/>
      <c r="EY1" s="128"/>
      <c r="EZ1" s="128"/>
      <c r="FA1" s="128"/>
      <c r="FB1" s="128"/>
      <c r="FC1" s="128"/>
      <c r="FD1" s="128"/>
      <c r="FE1" s="128"/>
      <c r="FF1" s="128"/>
      <c r="FG1" s="127">
        <v>2023.0</v>
      </c>
      <c r="FH1" s="128"/>
      <c r="FI1" s="128"/>
      <c r="FJ1" s="128"/>
      <c r="FK1" s="128"/>
      <c r="FL1" s="128"/>
      <c r="FM1" s="128"/>
      <c r="FN1" s="128"/>
      <c r="FO1" s="128"/>
      <c r="FP1" s="128"/>
      <c r="FQ1" s="128"/>
      <c r="FR1" s="128"/>
      <c r="FS1" s="127">
        <v>2024.0</v>
      </c>
      <c r="FT1" s="128"/>
      <c r="FU1" s="128"/>
      <c r="FV1" s="128"/>
      <c r="FW1" s="128"/>
      <c r="FX1" s="128"/>
      <c r="FY1" s="128"/>
      <c r="FZ1" s="128"/>
      <c r="GA1" s="128"/>
      <c r="GB1" s="128"/>
      <c r="GC1" s="128"/>
      <c r="GD1" s="128"/>
      <c r="GE1" s="127">
        <v>2025.0</v>
      </c>
      <c r="GF1" s="128"/>
      <c r="GG1" s="128"/>
      <c r="GH1" s="128"/>
      <c r="GI1" s="128"/>
      <c r="GJ1" s="128"/>
      <c r="GK1" s="128"/>
    </row>
    <row r="2">
      <c r="A2" s="129" t="s">
        <v>33901</v>
      </c>
      <c r="B2" s="129" t="s">
        <v>33902</v>
      </c>
      <c r="C2" s="130" t="s">
        <v>33903</v>
      </c>
      <c r="D2" s="130" t="s">
        <v>33904</v>
      </c>
      <c r="E2" s="129" t="s">
        <v>33905</v>
      </c>
      <c r="F2" s="129" t="s">
        <v>33906</v>
      </c>
      <c r="G2" s="131">
        <v>40179.0</v>
      </c>
      <c r="H2" s="131">
        <v>40210.0</v>
      </c>
      <c r="I2" s="131">
        <v>40238.0</v>
      </c>
      <c r="J2" s="131">
        <v>40269.0</v>
      </c>
      <c r="K2" s="131">
        <v>40299.0</v>
      </c>
      <c r="L2" s="131">
        <v>40330.0</v>
      </c>
      <c r="M2" s="131">
        <v>40360.0</v>
      </c>
      <c r="N2" s="131">
        <v>40391.0</v>
      </c>
      <c r="O2" s="131">
        <v>40422.0</v>
      </c>
      <c r="P2" s="131">
        <v>40452.0</v>
      </c>
      <c r="Q2" s="131">
        <v>40483.0</v>
      </c>
      <c r="R2" s="131">
        <v>40513.0</v>
      </c>
      <c r="S2" s="131">
        <v>40544.0</v>
      </c>
      <c r="T2" s="131">
        <v>40575.0</v>
      </c>
      <c r="U2" s="131">
        <v>40603.0</v>
      </c>
      <c r="V2" s="131">
        <v>40634.0</v>
      </c>
      <c r="W2" s="131">
        <v>40664.0</v>
      </c>
      <c r="X2" s="131">
        <v>40695.0</v>
      </c>
      <c r="Y2" s="131">
        <v>40725.0</v>
      </c>
      <c r="Z2" s="131">
        <v>40756.0</v>
      </c>
      <c r="AA2" s="131">
        <v>40787.0</v>
      </c>
      <c r="AB2" s="131">
        <v>40817.0</v>
      </c>
      <c r="AC2" s="131">
        <v>40848.0</v>
      </c>
      <c r="AD2" s="131">
        <v>40878.0</v>
      </c>
      <c r="AE2" s="131">
        <v>40909.0</v>
      </c>
      <c r="AF2" s="131">
        <v>40940.0</v>
      </c>
      <c r="AG2" s="131">
        <v>40969.0</v>
      </c>
      <c r="AH2" s="131">
        <v>41000.0</v>
      </c>
      <c r="AI2" s="131">
        <v>41030.0</v>
      </c>
      <c r="AJ2" s="131">
        <v>41061.0</v>
      </c>
      <c r="AK2" s="131">
        <v>41091.0</v>
      </c>
      <c r="AL2" s="131">
        <v>41122.0</v>
      </c>
      <c r="AM2" s="131">
        <v>41153.0</v>
      </c>
      <c r="AN2" s="131">
        <v>41183.0</v>
      </c>
      <c r="AO2" s="131">
        <v>41214.0</v>
      </c>
      <c r="AP2" s="131">
        <v>41244.0</v>
      </c>
      <c r="AQ2" s="131">
        <v>41275.0</v>
      </c>
      <c r="AR2" s="131">
        <v>41306.0</v>
      </c>
      <c r="AS2" s="131">
        <v>41334.0</v>
      </c>
      <c r="AT2" s="131">
        <v>41365.0</v>
      </c>
      <c r="AU2" s="131">
        <v>41395.0</v>
      </c>
      <c r="AV2" s="131">
        <v>41426.0</v>
      </c>
      <c r="AW2" s="131">
        <v>41456.0</v>
      </c>
      <c r="AX2" s="131">
        <v>41487.0</v>
      </c>
      <c r="AY2" s="131">
        <v>41518.0</v>
      </c>
      <c r="AZ2" s="131">
        <v>41548.0</v>
      </c>
      <c r="BA2" s="131">
        <v>41579.0</v>
      </c>
      <c r="BB2" s="131">
        <v>41609.0</v>
      </c>
      <c r="BC2" s="131">
        <v>41640.0</v>
      </c>
      <c r="BD2" s="131">
        <v>41671.0</v>
      </c>
      <c r="BE2" s="131">
        <v>41699.0</v>
      </c>
      <c r="BF2" s="131">
        <v>41730.0</v>
      </c>
      <c r="BG2" s="131">
        <v>41760.0</v>
      </c>
      <c r="BH2" s="131">
        <v>41791.0</v>
      </c>
      <c r="BI2" s="131">
        <v>41821.0</v>
      </c>
      <c r="BJ2" s="131">
        <v>41852.0</v>
      </c>
      <c r="BK2" s="131">
        <v>41883.0</v>
      </c>
      <c r="BL2" s="131">
        <v>41913.0</v>
      </c>
      <c r="BM2" s="131">
        <v>41944.0</v>
      </c>
      <c r="BN2" s="131">
        <v>41974.0</v>
      </c>
      <c r="BO2" s="131">
        <v>42005.0</v>
      </c>
      <c r="BP2" s="131">
        <v>42036.0</v>
      </c>
      <c r="BQ2" s="131">
        <v>42064.0</v>
      </c>
      <c r="BR2" s="131">
        <v>42095.0</v>
      </c>
      <c r="BS2" s="131">
        <v>42125.0</v>
      </c>
      <c r="BT2" s="131">
        <v>42156.0</v>
      </c>
      <c r="BU2" s="131">
        <v>42186.0</v>
      </c>
      <c r="BV2" s="131">
        <v>42217.0</v>
      </c>
      <c r="BW2" s="131">
        <v>42248.0</v>
      </c>
      <c r="BX2" s="131">
        <v>42278.0</v>
      </c>
      <c r="BY2" s="131">
        <v>42309.0</v>
      </c>
      <c r="BZ2" s="131">
        <v>42339.0</v>
      </c>
      <c r="CA2" s="131">
        <v>42370.0</v>
      </c>
      <c r="CB2" s="131">
        <v>42401.0</v>
      </c>
      <c r="CC2" s="131">
        <v>42430.0</v>
      </c>
      <c r="CD2" s="131">
        <v>42461.0</v>
      </c>
      <c r="CE2" s="131">
        <v>42491.0</v>
      </c>
      <c r="CF2" s="131">
        <v>42522.0</v>
      </c>
      <c r="CG2" s="131">
        <v>42552.0</v>
      </c>
      <c r="CH2" s="131">
        <v>42583.0</v>
      </c>
      <c r="CI2" s="131">
        <v>42614.0</v>
      </c>
      <c r="CJ2" s="131">
        <v>42644.0</v>
      </c>
      <c r="CK2" s="131">
        <v>42675.0</v>
      </c>
      <c r="CL2" s="131">
        <v>42705.0</v>
      </c>
      <c r="CM2" s="131">
        <v>42736.0</v>
      </c>
      <c r="CN2" s="131">
        <v>42767.0</v>
      </c>
      <c r="CO2" s="131">
        <v>42795.0</v>
      </c>
      <c r="CP2" s="131">
        <v>42826.0</v>
      </c>
      <c r="CQ2" s="131">
        <v>42856.0</v>
      </c>
      <c r="CR2" s="131">
        <v>42887.0</v>
      </c>
      <c r="CS2" s="131">
        <v>42917.0</v>
      </c>
      <c r="CT2" s="131">
        <v>42948.0</v>
      </c>
      <c r="CU2" s="131">
        <v>42979.0</v>
      </c>
      <c r="CV2" s="131">
        <v>43009.0</v>
      </c>
      <c r="CW2" s="131">
        <v>43040.0</v>
      </c>
      <c r="CX2" s="131">
        <v>43070.0</v>
      </c>
      <c r="CY2" s="131">
        <v>43101.0</v>
      </c>
      <c r="CZ2" s="131">
        <v>43132.0</v>
      </c>
      <c r="DA2" s="131">
        <v>43160.0</v>
      </c>
      <c r="DB2" s="131">
        <v>43191.0</v>
      </c>
      <c r="DC2" s="131">
        <v>43221.0</v>
      </c>
      <c r="DD2" s="131">
        <v>43252.0</v>
      </c>
      <c r="DE2" s="131">
        <v>43282.0</v>
      </c>
      <c r="DF2" s="131">
        <v>43313.0</v>
      </c>
      <c r="DG2" s="131">
        <v>43344.0</v>
      </c>
      <c r="DH2" s="131">
        <v>43374.0</v>
      </c>
      <c r="DI2" s="131">
        <v>43405.0</v>
      </c>
      <c r="DJ2" s="131">
        <v>43435.0</v>
      </c>
      <c r="DK2" s="131">
        <v>43466.0</v>
      </c>
      <c r="DL2" s="131">
        <v>43497.0</v>
      </c>
      <c r="DM2" s="131">
        <v>43525.0</v>
      </c>
      <c r="DN2" s="131">
        <v>43556.0</v>
      </c>
      <c r="DO2" s="131">
        <v>43586.0</v>
      </c>
      <c r="DP2" s="131">
        <v>43617.0</v>
      </c>
      <c r="DQ2" s="131">
        <v>43647.0</v>
      </c>
      <c r="DR2" s="131">
        <v>43678.0</v>
      </c>
      <c r="DS2" s="131">
        <v>43709.0</v>
      </c>
      <c r="DT2" s="131">
        <v>43739.0</v>
      </c>
      <c r="DU2" s="131">
        <v>43770.0</v>
      </c>
      <c r="DV2" s="131">
        <v>43800.0</v>
      </c>
      <c r="DW2" s="131">
        <v>43831.0</v>
      </c>
      <c r="DX2" s="131">
        <v>43862.0</v>
      </c>
      <c r="DY2" s="131">
        <v>43891.0</v>
      </c>
      <c r="DZ2" s="131">
        <v>43922.0</v>
      </c>
      <c r="EA2" s="131">
        <v>43952.0</v>
      </c>
      <c r="EB2" s="131">
        <v>43983.0</v>
      </c>
      <c r="EC2" s="131">
        <v>44013.0</v>
      </c>
      <c r="ED2" s="131">
        <v>44044.0</v>
      </c>
      <c r="EE2" s="131">
        <v>44075.0</v>
      </c>
      <c r="EF2" s="131">
        <v>44105.0</v>
      </c>
      <c r="EG2" s="131">
        <v>44136.0</v>
      </c>
      <c r="EH2" s="131">
        <v>44166.0</v>
      </c>
      <c r="EI2" s="131">
        <v>44197.0</v>
      </c>
      <c r="EJ2" s="131">
        <v>44228.0</v>
      </c>
      <c r="EK2" s="131">
        <v>44256.0</v>
      </c>
      <c r="EL2" s="131">
        <v>44287.0</v>
      </c>
      <c r="EM2" s="131">
        <v>44317.0</v>
      </c>
      <c r="EN2" s="131">
        <v>44348.0</v>
      </c>
      <c r="EO2" s="131">
        <v>44378.0</v>
      </c>
      <c r="EP2" s="131">
        <v>44409.0</v>
      </c>
      <c r="EQ2" s="131">
        <v>44440.0</v>
      </c>
      <c r="ER2" s="131">
        <v>44470.0</v>
      </c>
      <c r="ES2" s="131">
        <v>44501.0</v>
      </c>
      <c r="ET2" s="131">
        <v>44531.0</v>
      </c>
      <c r="EU2" s="131">
        <v>44562.0</v>
      </c>
      <c r="EV2" s="131">
        <v>44593.0</v>
      </c>
      <c r="EW2" s="131">
        <v>44621.0</v>
      </c>
      <c r="EX2" s="131">
        <v>44652.0</v>
      </c>
      <c r="EY2" s="131">
        <v>44682.0</v>
      </c>
      <c r="EZ2" s="131">
        <v>44713.0</v>
      </c>
      <c r="FA2" s="131">
        <v>44743.0</v>
      </c>
      <c r="FB2" s="131">
        <v>44774.0</v>
      </c>
      <c r="FC2" s="131">
        <v>44805.0</v>
      </c>
      <c r="FD2" s="131">
        <v>44835.0</v>
      </c>
      <c r="FE2" s="131">
        <v>44866.0</v>
      </c>
      <c r="FF2" s="131">
        <v>44896.0</v>
      </c>
      <c r="FG2" s="131">
        <v>44927.0</v>
      </c>
      <c r="FH2" s="131">
        <v>44958.0</v>
      </c>
      <c r="FI2" s="131">
        <v>44986.0</v>
      </c>
      <c r="FJ2" s="131">
        <v>45017.0</v>
      </c>
      <c r="FK2" s="131">
        <v>45047.0</v>
      </c>
      <c r="FL2" s="131">
        <v>45078.0</v>
      </c>
      <c r="FM2" s="131">
        <v>45108.0</v>
      </c>
      <c r="FN2" s="131">
        <v>45139.0</v>
      </c>
      <c r="FO2" s="131">
        <v>45170.0</v>
      </c>
      <c r="FP2" s="131">
        <v>45200.0</v>
      </c>
      <c r="FQ2" s="131">
        <v>45231.0</v>
      </c>
      <c r="FR2" s="131">
        <v>45261.0</v>
      </c>
      <c r="FS2" s="131">
        <v>45292.0</v>
      </c>
      <c r="FT2" s="131">
        <v>45323.0</v>
      </c>
      <c r="FU2" s="131">
        <v>45352.0</v>
      </c>
      <c r="FV2" s="131">
        <v>45383.0</v>
      </c>
      <c r="FW2" s="131">
        <v>45413.0</v>
      </c>
      <c r="FX2" s="131">
        <v>45444.0</v>
      </c>
      <c r="FY2" s="131">
        <v>45474.0</v>
      </c>
      <c r="FZ2" s="131">
        <v>45505.0</v>
      </c>
      <c r="GA2" s="131">
        <v>45536.0</v>
      </c>
      <c r="GB2" s="131">
        <v>45566.0</v>
      </c>
      <c r="GC2" s="131">
        <v>45597.0</v>
      </c>
      <c r="GD2" s="131">
        <v>45627.0</v>
      </c>
      <c r="GE2" s="131">
        <v>45658.0</v>
      </c>
      <c r="GF2" s="131">
        <v>45689.0</v>
      </c>
      <c r="GG2" s="131">
        <v>45717.0</v>
      </c>
      <c r="GH2" s="131">
        <v>45748.0</v>
      </c>
      <c r="GI2" s="131">
        <v>45778.0</v>
      </c>
      <c r="GJ2" s="131">
        <v>45809.0</v>
      </c>
      <c r="GK2" s="131">
        <v>45839.0</v>
      </c>
    </row>
    <row r="3">
      <c r="A3" s="132" t="s">
        <v>33907</v>
      </c>
      <c r="B3" s="133" t="s">
        <v>1346</v>
      </c>
      <c r="C3" s="134">
        <v>40241.43515046296</v>
      </c>
      <c r="D3" s="135" t="str">
        <f t="shared" ref="D3:D193" si="1">TEXT(C3,"yyyy/mm/dd")</f>
        <v>2010/03/04</v>
      </c>
      <c r="E3" s="136" t="s">
        <v>33908</v>
      </c>
      <c r="F3" s="137">
        <v>0.0</v>
      </c>
      <c r="G3" s="138">
        <v>40179.0</v>
      </c>
      <c r="H3" s="138">
        <v>40210.0</v>
      </c>
      <c r="I3" s="138">
        <v>40238.0</v>
      </c>
      <c r="J3" s="139">
        <v>40269.0</v>
      </c>
      <c r="K3" s="139">
        <v>40299.0</v>
      </c>
      <c r="L3" s="139">
        <v>40330.0</v>
      </c>
      <c r="M3" s="139">
        <v>40360.0</v>
      </c>
      <c r="N3" s="139">
        <v>40391.0</v>
      </c>
      <c r="O3" s="139">
        <v>40422.0</v>
      </c>
      <c r="P3" s="139">
        <v>40452.0</v>
      </c>
      <c r="Q3" s="139">
        <v>40483.0</v>
      </c>
      <c r="R3" s="139">
        <v>40513.0</v>
      </c>
      <c r="S3" s="139">
        <v>40544.0</v>
      </c>
      <c r="T3" s="139">
        <v>40575.0</v>
      </c>
      <c r="U3" s="139">
        <v>40603.0</v>
      </c>
      <c r="V3" s="139">
        <v>40634.0</v>
      </c>
      <c r="W3" s="139">
        <v>40664.0</v>
      </c>
      <c r="X3" s="139">
        <v>40695.0</v>
      </c>
      <c r="Y3" s="139">
        <v>40725.0</v>
      </c>
      <c r="Z3" s="139">
        <v>40756.0</v>
      </c>
      <c r="AA3" s="139">
        <v>40787.0</v>
      </c>
      <c r="AB3" s="139">
        <v>40817.0</v>
      </c>
      <c r="AC3" s="139">
        <v>40848.0</v>
      </c>
      <c r="AD3" s="139">
        <v>40878.0</v>
      </c>
      <c r="AE3" s="139">
        <v>40909.0</v>
      </c>
      <c r="AF3" s="139">
        <v>40940.0</v>
      </c>
      <c r="AG3" s="139">
        <v>40969.0</v>
      </c>
      <c r="AH3" s="139">
        <v>41000.0</v>
      </c>
      <c r="AI3" s="139">
        <v>41030.0</v>
      </c>
      <c r="AJ3" s="139">
        <v>41061.0</v>
      </c>
      <c r="AK3" s="139">
        <v>41091.0</v>
      </c>
      <c r="AL3" s="139">
        <v>41122.0</v>
      </c>
      <c r="AM3" s="139">
        <v>41153.0</v>
      </c>
      <c r="AN3" s="139">
        <v>41183.0</v>
      </c>
      <c r="AO3" s="139">
        <v>41214.0</v>
      </c>
      <c r="AP3" s="139">
        <v>41244.0</v>
      </c>
      <c r="AQ3" s="139">
        <v>41275.0</v>
      </c>
      <c r="AR3" s="139">
        <v>41306.0</v>
      </c>
      <c r="AS3" s="139">
        <v>41334.0</v>
      </c>
      <c r="AT3" s="139">
        <v>41365.0</v>
      </c>
      <c r="AU3" s="139">
        <v>41395.0</v>
      </c>
      <c r="AV3" s="139">
        <v>41426.0</v>
      </c>
      <c r="AW3" s="139">
        <v>41456.0</v>
      </c>
      <c r="AX3" s="139">
        <v>41487.0</v>
      </c>
      <c r="AY3" s="139">
        <v>41518.0</v>
      </c>
      <c r="AZ3" s="139">
        <v>41548.0</v>
      </c>
      <c r="BA3" s="139">
        <v>41579.0</v>
      </c>
      <c r="BB3" s="139">
        <v>41609.0</v>
      </c>
      <c r="BC3" s="139">
        <v>41640.0</v>
      </c>
      <c r="BD3" s="139">
        <v>41671.0</v>
      </c>
      <c r="BE3" s="139">
        <v>41699.0</v>
      </c>
      <c r="BF3" s="139">
        <v>41730.0</v>
      </c>
      <c r="BG3" s="139">
        <v>41760.0</v>
      </c>
      <c r="BH3" s="139">
        <v>41791.0</v>
      </c>
      <c r="BI3" s="139">
        <v>41821.0</v>
      </c>
      <c r="BJ3" s="139">
        <v>41852.0</v>
      </c>
      <c r="BK3" s="139">
        <v>41883.0</v>
      </c>
      <c r="BL3" s="139">
        <v>41913.0</v>
      </c>
      <c r="BM3" s="139">
        <v>41944.0</v>
      </c>
      <c r="BN3" s="139">
        <v>41974.0</v>
      </c>
      <c r="BO3" s="139">
        <v>42005.0</v>
      </c>
      <c r="BP3" s="139">
        <v>42036.0</v>
      </c>
      <c r="BQ3" s="139">
        <v>42064.0</v>
      </c>
      <c r="BR3" s="139">
        <v>42095.0</v>
      </c>
      <c r="BS3" s="139">
        <v>42125.0</v>
      </c>
      <c r="BT3" s="139">
        <v>42156.0</v>
      </c>
      <c r="BU3" s="139">
        <v>42186.0</v>
      </c>
      <c r="BV3" s="139">
        <v>42217.0</v>
      </c>
      <c r="BW3" s="139">
        <v>42248.0</v>
      </c>
      <c r="BX3" s="139">
        <v>42278.0</v>
      </c>
      <c r="BY3" s="139">
        <v>42309.0</v>
      </c>
      <c r="BZ3" s="139">
        <v>42339.0</v>
      </c>
      <c r="CA3" s="139">
        <v>42370.0</v>
      </c>
      <c r="CB3" s="139">
        <v>42401.0</v>
      </c>
      <c r="CC3" s="139">
        <v>42430.0</v>
      </c>
      <c r="CD3" s="139">
        <v>42461.0</v>
      </c>
      <c r="CE3" s="139">
        <v>42491.0</v>
      </c>
      <c r="CF3" s="139">
        <v>42522.0</v>
      </c>
      <c r="CG3" s="139">
        <v>42552.0</v>
      </c>
      <c r="CH3" s="139">
        <v>42583.0</v>
      </c>
      <c r="CI3" s="139">
        <v>42614.0</v>
      </c>
      <c r="CJ3" s="139">
        <v>42644.0</v>
      </c>
      <c r="CK3" s="139">
        <v>42675.0</v>
      </c>
      <c r="CL3" s="139">
        <v>42705.0</v>
      </c>
      <c r="CM3" s="139">
        <v>42736.0</v>
      </c>
      <c r="CN3" s="139">
        <v>42767.0</v>
      </c>
      <c r="CO3" s="139">
        <v>42795.0</v>
      </c>
      <c r="CP3" s="139">
        <v>42826.0</v>
      </c>
      <c r="CQ3" s="139">
        <v>42856.0</v>
      </c>
      <c r="CR3" s="139">
        <v>42887.0</v>
      </c>
      <c r="CS3" s="139">
        <v>42917.0</v>
      </c>
      <c r="CT3" s="139">
        <v>42948.0</v>
      </c>
      <c r="CU3" s="139">
        <v>42979.0</v>
      </c>
      <c r="CV3" s="139">
        <v>43009.0</v>
      </c>
      <c r="CW3" s="139">
        <v>43040.0</v>
      </c>
      <c r="CX3" s="139">
        <v>43070.0</v>
      </c>
      <c r="CY3" s="139">
        <v>43101.0</v>
      </c>
      <c r="CZ3" s="139">
        <v>43132.0</v>
      </c>
      <c r="DA3" s="139">
        <v>43160.0</v>
      </c>
      <c r="DB3" s="139">
        <v>43191.0</v>
      </c>
      <c r="DC3" s="139">
        <v>43221.0</v>
      </c>
      <c r="DD3" s="139">
        <v>43252.0</v>
      </c>
      <c r="DE3" s="139">
        <v>43282.0</v>
      </c>
      <c r="DF3" s="139">
        <v>43313.0</v>
      </c>
      <c r="DG3" s="139">
        <v>43344.0</v>
      </c>
      <c r="DH3" s="139">
        <v>43374.0</v>
      </c>
      <c r="DI3" s="139">
        <v>43405.0</v>
      </c>
      <c r="DJ3" s="139">
        <v>43435.0</v>
      </c>
      <c r="DK3" s="139">
        <v>43466.0</v>
      </c>
      <c r="DL3" s="139">
        <v>43497.0</v>
      </c>
      <c r="DM3" s="139">
        <v>43525.0</v>
      </c>
      <c r="DN3" s="139">
        <v>43556.0</v>
      </c>
      <c r="DO3" s="139">
        <v>43586.0</v>
      </c>
      <c r="DP3" s="139">
        <v>43617.0</v>
      </c>
      <c r="DQ3" s="139">
        <v>43647.0</v>
      </c>
      <c r="DR3" s="139">
        <v>43678.0</v>
      </c>
      <c r="DS3" s="139">
        <v>43709.0</v>
      </c>
      <c r="DT3" s="139">
        <v>43739.0</v>
      </c>
      <c r="DU3" s="139">
        <v>43770.0</v>
      </c>
      <c r="DV3" s="139">
        <v>43800.0</v>
      </c>
      <c r="DW3" s="139">
        <v>43831.0</v>
      </c>
      <c r="DX3" s="139">
        <v>43862.0</v>
      </c>
      <c r="DY3" s="139">
        <v>43891.0</v>
      </c>
      <c r="DZ3" s="139">
        <v>43922.0</v>
      </c>
      <c r="EA3" s="139">
        <v>43952.0</v>
      </c>
      <c r="EB3" s="139">
        <v>43983.0</v>
      </c>
      <c r="EC3" s="139">
        <v>44013.0</v>
      </c>
      <c r="ED3" s="139">
        <v>44044.0</v>
      </c>
      <c r="EE3" s="139">
        <v>44075.0</v>
      </c>
      <c r="EF3" s="139">
        <v>44105.0</v>
      </c>
      <c r="EG3" s="139">
        <v>44136.0</v>
      </c>
      <c r="EH3" s="139">
        <v>44166.0</v>
      </c>
      <c r="EI3" s="139">
        <v>44197.0</v>
      </c>
      <c r="EJ3" s="139">
        <v>44228.0</v>
      </c>
      <c r="EK3" s="139">
        <v>44256.0</v>
      </c>
      <c r="EL3" s="139">
        <v>44287.0</v>
      </c>
      <c r="EM3" s="139">
        <v>44317.0</v>
      </c>
      <c r="EN3" s="139">
        <v>44348.0</v>
      </c>
      <c r="EO3" s="139">
        <v>44378.0</v>
      </c>
      <c r="EP3" s="139">
        <v>44409.0</v>
      </c>
      <c r="EQ3" s="139">
        <v>44440.0</v>
      </c>
      <c r="ER3" s="139">
        <v>44470.0</v>
      </c>
      <c r="ES3" s="139">
        <v>44501.0</v>
      </c>
      <c r="ET3" s="139">
        <v>44531.0</v>
      </c>
      <c r="EU3" s="139">
        <v>44562.0</v>
      </c>
      <c r="EV3" s="139">
        <v>44593.0</v>
      </c>
      <c r="EW3" s="139">
        <v>44621.0</v>
      </c>
      <c r="EX3" s="139">
        <v>44652.0</v>
      </c>
      <c r="EY3" s="139">
        <v>44682.0</v>
      </c>
      <c r="EZ3" s="139">
        <v>44713.0</v>
      </c>
      <c r="FA3" s="139">
        <v>44743.0</v>
      </c>
      <c r="FB3" s="139">
        <v>44774.0</v>
      </c>
      <c r="FC3" s="139">
        <v>44805.0</v>
      </c>
      <c r="FD3" s="139">
        <v>44835.0</v>
      </c>
      <c r="FE3" s="139">
        <v>44866.0</v>
      </c>
      <c r="FF3" s="139">
        <v>44896.0</v>
      </c>
      <c r="FG3" s="139">
        <v>44927.0</v>
      </c>
      <c r="FH3" s="139">
        <v>44958.0</v>
      </c>
      <c r="FI3" s="139">
        <v>44986.0</v>
      </c>
      <c r="FJ3" s="139">
        <v>45017.0</v>
      </c>
      <c r="FK3" s="139">
        <v>45047.0</v>
      </c>
      <c r="FL3" s="139">
        <v>45078.0</v>
      </c>
      <c r="FM3" s="139">
        <v>45108.0</v>
      </c>
      <c r="FN3" s="139">
        <v>45139.0</v>
      </c>
      <c r="FO3" s="139">
        <v>45170.0</v>
      </c>
      <c r="FP3" s="139">
        <v>45200.0</v>
      </c>
      <c r="FQ3" s="139">
        <v>45231.0</v>
      </c>
      <c r="FR3" s="139">
        <v>45261.0</v>
      </c>
      <c r="FS3" s="139">
        <v>45292.0</v>
      </c>
      <c r="FT3" s="139">
        <v>45323.0</v>
      </c>
      <c r="FU3" s="139">
        <v>45352.0</v>
      </c>
      <c r="FV3" s="139">
        <v>45383.0</v>
      </c>
      <c r="FW3" s="139">
        <v>45413.0</v>
      </c>
      <c r="FX3" s="139">
        <v>45444.0</v>
      </c>
      <c r="FY3" s="139">
        <v>45474.0</v>
      </c>
      <c r="FZ3" s="139">
        <v>45505.0</v>
      </c>
      <c r="GA3" s="139">
        <v>45536.0</v>
      </c>
      <c r="GB3" s="139">
        <v>45566.0</v>
      </c>
      <c r="GC3" s="139">
        <v>45597.0</v>
      </c>
      <c r="GD3" s="139">
        <v>45627.0</v>
      </c>
      <c r="GE3" s="139">
        <v>45658.0</v>
      </c>
      <c r="GF3" s="139">
        <v>45689.0</v>
      </c>
      <c r="GG3" s="139">
        <v>45717.0</v>
      </c>
      <c r="GH3" s="139">
        <v>45748.0</v>
      </c>
      <c r="GI3" s="139">
        <v>45778.0</v>
      </c>
      <c r="GJ3" s="139">
        <v>45809.0</v>
      </c>
      <c r="GK3" s="139">
        <v>45839.0</v>
      </c>
    </row>
    <row r="4">
      <c r="A4" s="132" t="s">
        <v>33909</v>
      </c>
      <c r="B4" s="133" t="s">
        <v>1253</v>
      </c>
      <c r="C4" s="134">
        <v>41127.43318287037</v>
      </c>
      <c r="D4" s="135" t="str">
        <f t="shared" si="1"/>
        <v>2012/08/06</v>
      </c>
      <c r="E4" s="136" t="s">
        <v>33910</v>
      </c>
      <c r="F4" s="137">
        <v>1.0E-5</v>
      </c>
      <c r="G4" s="138">
        <v>40179.0</v>
      </c>
      <c r="H4" s="138">
        <v>40210.0</v>
      </c>
      <c r="I4" s="138">
        <v>40238.0</v>
      </c>
      <c r="J4" s="138">
        <v>40269.0</v>
      </c>
      <c r="K4" s="138">
        <v>40299.0</v>
      </c>
      <c r="L4" s="138">
        <v>40330.0</v>
      </c>
      <c r="M4" s="138">
        <v>40360.0</v>
      </c>
      <c r="N4" s="138">
        <v>40391.0</v>
      </c>
      <c r="O4" s="138">
        <v>40422.0</v>
      </c>
      <c r="P4" s="138">
        <v>40452.0</v>
      </c>
      <c r="Q4" s="138">
        <v>40483.0</v>
      </c>
      <c r="R4" s="138">
        <v>40513.0</v>
      </c>
      <c r="S4" s="138">
        <v>40544.0</v>
      </c>
      <c r="T4" s="138">
        <v>40575.0</v>
      </c>
      <c r="U4" s="138">
        <v>40603.0</v>
      </c>
      <c r="V4" s="138">
        <v>40634.0</v>
      </c>
      <c r="W4" s="138">
        <v>40664.0</v>
      </c>
      <c r="X4" s="138">
        <v>40695.0</v>
      </c>
      <c r="Y4" s="138">
        <v>40725.0</v>
      </c>
      <c r="Z4" s="138">
        <v>40756.0</v>
      </c>
      <c r="AA4" s="138">
        <v>40787.0</v>
      </c>
      <c r="AB4" s="138">
        <v>40817.0</v>
      </c>
      <c r="AC4" s="138">
        <v>40848.0</v>
      </c>
      <c r="AD4" s="138">
        <v>40878.0</v>
      </c>
      <c r="AE4" s="138">
        <v>40909.0</v>
      </c>
      <c r="AF4" s="138">
        <v>40940.0</v>
      </c>
      <c r="AG4" s="138">
        <v>40969.0</v>
      </c>
      <c r="AH4" s="138">
        <v>41000.0</v>
      </c>
      <c r="AI4" s="138">
        <v>41030.0</v>
      </c>
      <c r="AJ4" s="138">
        <v>41061.0</v>
      </c>
      <c r="AK4" s="138">
        <v>41091.0</v>
      </c>
      <c r="AL4" s="138">
        <v>41122.0</v>
      </c>
      <c r="AM4" s="139">
        <v>41153.0</v>
      </c>
      <c r="AN4" s="139">
        <v>41183.0</v>
      </c>
      <c r="AO4" s="139">
        <v>41214.0</v>
      </c>
      <c r="AP4" s="139">
        <v>41244.0</v>
      </c>
      <c r="AQ4" s="139">
        <v>41275.0</v>
      </c>
      <c r="AR4" s="139">
        <v>41306.0</v>
      </c>
      <c r="AS4" s="139">
        <v>41334.0</v>
      </c>
      <c r="AT4" s="139">
        <v>41365.0</v>
      </c>
      <c r="AU4" s="139">
        <v>41395.0</v>
      </c>
      <c r="AV4" s="139">
        <v>41426.0</v>
      </c>
      <c r="AW4" s="139">
        <v>41456.0</v>
      </c>
      <c r="AX4" s="139">
        <v>41487.0</v>
      </c>
      <c r="AY4" s="139">
        <v>41518.0</v>
      </c>
      <c r="AZ4" s="139">
        <v>41548.0</v>
      </c>
      <c r="BA4" s="139">
        <v>41579.0</v>
      </c>
      <c r="BB4" s="139">
        <v>41609.0</v>
      </c>
      <c r="BC4" s="139">
        <v>41640.0</v>
      </c>
      <c r="BD4" s="139">
        <v>41671.0</v>
      </c>
      <c r="BE4" s="139">
        <v>41699.0</v>
      </c>
      <c r="BF4" s="139">
        <v>41730.0</v>
      </c>
      <c r="BG4" s="139">
        <v>41760.0</v>
      </c>
      <c r="BH4" s="139">
        <v>41791.0</v>
      </c>
      <c r="BI4" s="139">
        <v>41821.0</v>
      </c>
      <c r="BJ4" s="139">
        <v>41852.0</v>
      </c>
      <c r="BK4" s="139">
        <v>41883.0</v>
      </c>
      <c r="BL4" s="139">
        <v>41913.0</v>
      </c>
      <c r="BM4" s="139">
        <v>41944.0</v>
      </c>
      <c r="BN4" s="139">
        <v>41974.0</v>
      </c>
      <c r="BO4" s="139">
        <v>42005.0</v>
      </c>
      <c r="BP4" s="139">
        <v>42036.0</v>
      </c>
      <c r="BQ4" s="139">
        <v>42064.0</v>
      </c>
      <c r="BR4" s="139">
        <v>42095.0</v>
      </c>
      <c r="BS4" s="139">
        <v>42125.0</v>
      </c>
      <c r="BT4" s="139">
        <v>42156.0</v>
      </c>
      <c r="BU4" s="139">
        <v>42186.0</v>
      </c>
      <c r="BV4" s="139">
        <v>42217.0</v>
      </c>
      <c r="BW4" s="139">
        <v>42248.0</v>
      </c>
      <c r="BX4" s="139">
        <v>42278.0</v>
      </c>
      <c r="BY4" s="139">
        <v>42309.0</v>
      </c>
      <c r="BZ4" s="139">
        <v>42339.0</v>
      </c>
      <c r="CA4" s="139">
        <v>42370.0</v>
      </c>
      <c r="CB4" s="139">
        <v>42401.0</v>
      </c>
      <c r="CC4" s="139">
        <v>42430.0</v>
      </c>
      <c r="CD4" s="139">
        <v>42461.0</v>
      </c>
      <c r="CE4" s="139">
        <v>42491.0</v>
      </c>
      <c r="CF4" s="139">
        <v>42522.0</v>
      </c>
      <c r="CG4" s="139">
        <v>42552.0</v>
      </c>
      <c r="CH4" s="139">
        <v>42583.0</v>
      </c>
      <c r="CI4" s="139">
        <v>42614.0</v>
      </c>
      <c r="CJ4" s="139">
        <v>42644.0</v>
      </c>
      <c r="CK4" s="139">
        <v>42675.0</v>
      </c>
      <c r="CL4" s="139">
        <v>42705.0</v>
      </c>
      <c r="CM4" s="139">
        <v>42736.0</v>
      </c>
      <c r="CN4" s="139">
        <v>42767.0</v>
      </c>
      <c r="CO4" s="139">
        <v>42795.0</v>
      </c>
      <c r="CP4" s="139">
        <v>42826.0</v>
      </c>
      <c r="CQ4" s="139">
        <v>42856.0</v>
      </c>
      <c r="CR4" s="139">
        <v>42887.0</v>
      </c>
      <c r="CS4" s="139">
        <v>42917.0</v>
      </c>
      <c r="CT4" s="139">
        <v>42948.0</v>
      </c>
      <c r="CU4" s="139">
        <v>42979.0</v>
      </c>
      <c r="CV4" s="139">
        <v>43009.0</v>
      </c>
      <c r="CW4" s="139">
        <v>43040.0</v>
      </c>
      <c r="CX4" s="139">
        <v>43070.0</v>
      </c>
      <c r="CY4" s="139">
        <v>43101.0</v>
      </c>
      <c r="CZ4" s="139">
        <v>43132.0</v>
      </c>
      <c r="DA4" s="139">
        <v>43160.0</v>
      </c>
      <c r="DB4" s="139">
        <v>43191.0</v>
      </c>
      <c r="DC4" s="139">
        <v>43221.0</v>
      </c>
      <c r="DD4" s="139">
        <v>43252.0</v>
      </c>
      <c r="DE4" s="139">
        <v>43282.0</v>
      </c>
      <c r="DF4" s="139">
        <v>43313.0</v>
      </c>
      <c r="DG4" s="139">
        <v>43344.0</v>
      </c>
      <c r="DH4" s="139">
        <v>43374.0</v>
      </c>
      <c r="DI4" s="139">
        <v>43405.0</v>
      </c>
      <c r="DJ4" s="139">
        <v>43435.0</v>
      </c>
      <c r="DK4" s="139">
        <v>43466.0</v>
      </c>
      <c r="DL4" s="139">
        <v>43497.0</v>
      </c>
      <c r="DM4" s="139">
        <v>43525.0</v>
      </c>
      <c r="DN4" s="139">
        <v>43556.0</v>
      </c>
      <c r="DO4" s="139">
        <v>43586.0</v>
      </c>
      <c r="DP4" s="139">
        <v>43617.0</v>
      </c>
      <c r="DQ4" s="139">
        <v>43647.0</v>
      </c>
      <c r="DR4" s="139">
        <v>43678.0</v>
      </c>
      <c r="DS4" s="139">
        <v>43709.0</v>
      </c>
      <c r="DT4" s="139">
        <v>43739.0</v>
      </c>
      <c r="DU4" s="139">
        <v>43770.0</v>
      </c>
      <c r="DV4" s="139">
        <v>43800.0</v>
      </c>
      <c r="DW4" s="139">
        <v>43831.0</v>
      </c>
      <c r="DX4" s="139">
        <v>43862.0</v>
      </c>
      <c r="DY4" s="139">
        <v>43891.0</v>
      </c>
      <c r="DZ4" s="139">
        <v>43922.0</v>
      </c>
      <c r="EA4" s="139">
        <v>43952.0</v>
      </c>
      <c r="EB4" s="139">
        <v>43983.0</v>
      </c>
      <c r="EC4" s="139">
        <v>44013.0</v>
      </c>
      <c r="ED4" s="139">
        <v>44044.0</v>
      </c>
      <c r="EE4" s="139">
        <v>44075.0</v>
      </c>
      <c r="EF4" s="139">
        <v>44105.0</v>
      </c>
      <c r="EG4" s="139">
        <v>44136.0</v>
      </c>
      <c r="EH4" s="139">
        <v>44166.0</v>
      </c>
      <c r="EI4" s="139">
        <v>44197.0</v>
      </c>
      <c r="EJ4" s="139">
        <v>44228.0</v>
      </c>
      <c r="EK4" s="139">
        <v>44256.0</v>
      </c>
      <c r="EL4" s="139">
        <v>44287.0</v>
      </c>
      <c r="EM4" s="139">
        <v>44317.0</v>
      </c>
      <c r="EN4" s="139">
        <v>44348.0</v>
      </c>
      <c r="EO4" s="139">
        <v>44378.0</v>
      </c>
      <c r="EP4" s="139">
        <v>44409.0</v>
      </c>
      <c r="EQ4" s="139">
        <v>44440.0</v>
      </c>
      <c r="ER4" s="139">
        <v>44470.0</v>
      </c>
      <c r="ES4" s="139">
        <v>44501.0</v>
      </c>
      <c r="ET4" s="139">
        <v>44531.0</v>
      </c>
      <c r="EU4" s="139">
        <v>44562.0</v>
      </c>
      <c r="EV4" s="139">
        <v>44593.0</v>
      </c>
      <c r="EW4" s="139">
        <v>44621.0</v>
      </c>
      <c r="EX4" s="139">
        <v>44652.0</v>
      </c>
      <c r="EY4" s="139">
        <v>44682.0</v>
      </c>
      <c r="EZ4" s="139">
        <v>44713.0</v>
      </c>
      <c r="FA4" s="139">
        <v>44743.0</v>
      </c>
      <c r="FB4" s="139">
        <v>44774.0</v>
      </c>
      <c r="FC4" s="139">
        <v>44805.0</v>
      </c>
      <c r="FD4" s="139">
        <v>44835.0</v>
      </c>
      <c r="FE4" s="139">
        <v>44866.0</v>
      </c>
      <c r="FF4" s="139">
        <v>44896.0</v>
      </c>
      <c r="FG4" s="139">
        <v>44927.0</v>
      </c>
      <c r="FH4" s="139">
        <v>44958.0</v>
      </c>
      <c r="FI4" s="139">
        <v>44986.0</v>
      </c>
      <c r="FJ4" s="139">
        <v>45017.0</v>
      </c>
      <c r="FK4" s="139">
        <v>45047.0</v>
      </c>
      <c r="FL4" s="139">
        <v>45078.0</v>
      </c>
      <c r="FM4" s="139">
        <v>45108.0</v>
      </c>
      <c r="FN4" s="139">
        <v>45139.0</v>
      </c>
      <c r="FO4" s="139">
        <v>45170.0</v>
      </c>
      <c r="FP4" s="139">
        <v>45200.0</v>
      </c>
      <c r="FQ4" s="139">
        <v>45231.0</v>
      </c>
      <c r="FR4" s="139">
        <v>45261.0</v>
      </c>
      <c r="FS4" s="139">
        <v>45292.0</v>
      </c>
      <c r="FT4" s="139">
        <v>45323.0</v>
      </c>
      <c r="FU4" s="139">
        <v>45352.0</v>
      </c>
      <c r="FV4" s="139">
        <v>45383.0</v>
      </c>
      <c r="FW4" s="139">
        <v>45413.0</v>
      </c>
      <c r="FX4" s="139">
        <v>45444.0</v>
      </c>
      <c r="FY4" s="139">
        <v>45474.0</v>
      </c>
      <c r="FZ4" s="139">
        <v>45505.0</v>
      </c>
      <c r="GA4" s="139">
        <v>45536.0</v>
      </c>
      <c r="GB4" s="139">
        <v>45566.0</v>
      </c>
      <c r="GC4" s="139">
        <v>45597.0</v>
      </c>
      <c r="GD4" s="139">
        <v>45627.0</v>
      </c>
      <c r="GE4" s="139">
        <v>45658.0</v>
      </c>
      <c r="GF4" s="139">
        <v>45689.0</v>
      </c>
      <c r="GG4" s="139">
        <v>45717.0</v>
      </c>
      <c r="GH4" s="139">
        <v>45748.0</v>
      </c>
      <c r="GI4" s="139">
        <v>45778.0</v>
      </c>
      <c r="GJ4" s="139">
        <v>45809.0</v>
      </c>
      <c r="GK4" s="139">
        <v>45839.0</v>
      </c>
    </row>
    <row r="5">
      <c r="A5" s="132" t="s">
        <v>33911</v>
      </c>
      <c r="B5" s="133" t="s">
        <v>1111</v>
      </c>
      <c r="C5" s="134">
        <v>41431.78159722222</v>
      </c>
      <c r="D5" s="135" t="str">
        <f t="shared" si="1"/>
        <v>2013/06/06</v>
      </c>
      <c r="E5" s="136" t="s">
        <v>33912</v>
      </c>
      <c r="F5" s="137">
        <v>0.0</v>
      </c>
      <c r="G5" s="138">
        <v>40179.0</v>
      </c>
      <c r="H5" s="138">
        <v>40210.0</v>
      </c>
      <c r="I5" s="138">
        <v>40238.0</v>
      </c>
      <c r="J5" s="138">
        <v>40269.0</v>
      </c>
      <c r="K5" s="138">
        <v>40299.0</v>
      </c>
      <c r="L5" s="138">
        <v>40330.0</v>
      </c>
      <c r="M5" s="138">
        <v>40360.0</v>
      </c>
      <c r="N5" s="138">
        <v>40391.0</v>
      </c>
      <c r="O5" s="138">
        <v>40422.0</v>
      </c>
      <c r="P5" s="138">
        <v>40452.0</v>
      </c>
      <c r="Q5" s="138">
        <v>40483.0</v>
      </c>
      <c r="R5" s="138">
        <v>40513.0</v>
      </c>
      <c r="S5" s="138">
        <v>40544.0</v>
      </c>
      <c r="T5" s="138">
        <v>40575.0</v>
      </c>
      <c r="U5" s="138">
        <v>40603.0</v>
      </c>
      <c r="V5" s="138">
        <v>40634.0</v>
      </c>
      <c r="W5" s="138">
        <v>40664.0</v>
      </c>
      <c r="X5" s="138">
        <v>40695.0</v>
      </c>
      <c r="Y5" s="138">
        <v>40725.0</v>
      </c>
      <c r="Z5" s="138">
        <v>40756.0</v>
      </c>
      <c r="AA5" s="138">
        <v>40787.0</v>
      </c>
      <c r="AB5" s="138">
        <v>40817.0</v>
      </c>
      <c r="AC5" s="138">
        <v>40848.0</v>
      </c>
      <c r="AD5" s="138">
        <v>40878.0</v>
      </c>
      <c r="AE5" s="138">
        <v>40909.0</v>
      </c>
      <c r="AF5" s="138">
        <v>40940.0</v>
      </c>
      <c r="AG5" s="138">
        <v>40969.0</v>
      </c>
      <c r="AH5" s="138">
        <v>41000.0</v>
      </c>
      <c r="AI5" s="138">
        <v>41030.0</v>
      </c>
      <c r="AJ5" s="138">
        <v>41061.0</v>
      </c>
      <c r="AK5" s="138">
        <v>41091.0</v>
      </c>
      <c r="AL5" s="138">
        <v>41122.0</v>
      </c>
      <c r="AM5" s="138">
        <v>41153.0</v>
      </c>
      <c r="AN5" s="138">
        <v>41183.0</v>
      </c>
      <c r="AO5" s="138">
        <v>41214.0</v>
      </c>
      <c r="AP5" s="138">
        <v>41244.0</v>
      </c>
      <c r="AQ5" s="138">
        <v>41275.0</v>
      </c>
      <c r="AR5" s="138">
        <v>41306.0</v>
      </c>
      <c r="AS5" s="138">
        <v>41334.0</v>
      </c>
      <c r="AT5" s="138">
        <v>41365.0</v>
      </c>
      <c r="AU5" s="138">
        <v>41395.0</v>
      </c>
      <c r="AV5" s="138">
        <v>41426.0</v>
      </c>
      <c r="AW5" s="139">
        <v>41456.0</v>
      </c>
      <c r="AX5" s="139">
        <v>41487.0</v>
      </c>
      <c r="AY5" s="139">
        <v>41518.0</v>
      </c>
      <c r="AZ5" s="139">
        <v>41548.0</v>
      </c>
      <c r="BA5" s="139">
        <v>41579.0</v>
      </c>
      <c r="BB5" s="139">
        <v>41609.0</v>
      </c>
      <c r="BC5" s="139">
        <v>41640.0</v>
      </c>
      <c r="BD5" s="139">
        <v>41671.0</v>
      </c>
      <c r="BE5" s="139">
        <v>41699.0</v>
      </c>
      <c r="BF5" s="139">
        <v>41730.0</v>
      </c>
      <c r="BG5" s="139">
        <v>41760.0</v>
      </c>
      <c r="BH5" s="139">
        <v>41791.0</v>
      </c>
      <c r="BI5" s="139">
        <v>41821.0</v>
      </c>
      <c r="BJ5" s="139">
        <v>41852.0</v>
      </c>
      <c r="BK5" s="139">
        <v>41883.0</v>
      </c>
      <c r="BL5" s="139">
        <v>41913.0</v>
      </c>
      <c r="BM5" s="139">
        <v>41944.0</v>
      </c>
      <c r="BN5" s="139">
        <v>41974.0</v>
      </c>
      <c r="BO5" s="139">
        <v>42005.0</v>
      </c>
      <c r="BP5" s="139">
        <v>42036.0</v>
      </c>
      <c r="BQ5" s="139">
        <v>42064.0</v>
      </c>
      <c r="BR5" s="139">
        <v>42095.0</v>
      </c>
      <c r="BS5" s="139">
        <v>42125.0</v>
      </c>
      <c r="BT5" s="139">
        <v>42156.0</v>
      </c>
      <c r="BU5" s="139">
        <v>42186.0</v>
      </c>
      <c r="BV5" s="139">
        <v>42217.0</v>
      </c>
      <c r="BW5" s="139">
        <v>42248.0</v>
      </c>
      <c r="BX5" s="139">
        <v>42278.0</v>
      </c>
      <c r="BY5" s="139">
        <v>42309.0</v>
      </c>
      <c r="BZ5" s="139">
        <v>42339.0</v>
      </c>
      <c r="CA5" s="139">
        <v>42370.0</v>
      </c>
      <c r="CB5" s="139">
        <v>42401.0</v>
      </c>
      <c r="CC5" s="139">
        <v>42430.0</v>
      </c>
      <c r="CD5" s="139">
        <v>42461.0</v>
      </c>
      <c r="CE5" s="139">
        <v>42491.0</v>
      </c>
      <c r="CF5" s="139">
        <v>42522.0</v>
      </c>
      <c r="CG5" s="139">
        <v>42552.0</v>
      </c>
      <c r="CH5" s="139">
        <v>42583.0</v>
      </c>
      <c r="CI5" s="139">
        <v>42614.0</v>
      </c>
      <c r="CJ5" s="139">
        <v>42644.0</v>
      </c>
      <c r="CK5" s="139">
        <v>42675.0</v>
      </c>
      <c r="CL5" s="139">
        <v>42705.0</v>
      </c>
      <c r="CM5" s="139">
        <v>42736.0</v>
      </c>
      <c r="CN5" s="139">
        <v>42767.0</v>
      </c>
      <c r="CO5" s="139">
        <v>42795.0</v>
      </c>
      <c r="CP5" s="139">
        <v>42826.0</v>
      </c>
      <c r="CQ5" s="139">
        <v>42856.0</v>
      </c>
      <c r="CR5" s="139">
        <v>42887.0</v>
      </c>
      <c r="CS5" s="139">
        <v>42917.0</v>
      </c>
      <c r="CT5" s="139">
        <v>42948.0</v>
      </c>
      <c r="CU5" s="139">
        <v>42979.0</v>
      </c>
      <c r="CV5" s="139">
        <v>43009.0</v>
      </c>
      <c r="CW5" s="139">
        <v>43040.0</v>
      </c>
      <c r="CX5" s="139">
        <v>43070.0</v>
      </c>
      <c r="CY5" s="139">
        <v>43101.0</v>
      </c>
      <c r="CZ5" s="139">
        <v>43132.0</v>
      </c>
      <c r="DA5" s="139">
        <v>43160.0</v>
      </c>
      <c r="DB5" s="139">
        <v>43191.0</v>
      </c>
      <c r="DC5" s="139">
        <v>43221.0</v>
      </c>
      <c r="DD5" s="139">
        <v>43252.0</v>
      </c>
      <c r="DE5" s="139">
        <v>43282.0</v>
      </c>
      <c r="DF5" s="139">
        <v>43313.0</v>
      </c>
      <c r="DG5" s="139">
        <v>43344.0</v>
      </c>
      <c r="DH5" s="139">
        <v>43374.0</v>
      </c>
      <c r="DI5" s="139">
        <v>43405.0</v>
      </c>
      <c r="DJ5" s="139">
        <v>43435.0</v>
      </c>
      <c r="DK5" s="139">
        <v>43466.0</v>
      </c>
      <c r="DL5" s="139">
        <v>43497.0</v>
      </c>
      <c r="DM5" s="139">
        <v>43525.0</v>
      </c>
      <c r="DN5" s="139">
        <v>43556.0</v>
      </c>
      <c r="DO5" s="139">
        <v>43586.0</v>
      </c>
      <c r="DP5" s="139">
        <v>43617.0</v>
      </c>
      <c r="DQ5" s="139">
        <v>43647.0</v>
      </c>
      <c r="DR5" s="139">
        <v>43678.0</v>
      </c>
      <c r="DS5" s="139">
        <v>43709.0</v>
      </c>
      <c r="DT5" s="139">
        <v>43739.0</v>
      </c>
      <c r="DU5" s="139">
        <v>43770.0</v>
      </c>
      <c r="DV5" s="139">
        <v>43800.0</v>
      </c>
      <c r="DW5" s="139">
        <v>43831.0</v>
      </c>
      <c r="DX5" s="139">
        <v>43862.0</v>
      </c>
      <c r="DY5" s="139">
        <v>43891.0</v>
      </c>
      <c r="DZ5" s="139">
        <v>43922.0</v>
      </c>
      <c r="EA5" s="139">
        <v>43952.0</v>
      </c>
      <c r="EB5" s="139">
        <v>43983.0</v>
      </c>
      <c r="EC5" s="139">
        <v>44013.0</v>
      </c>
      <c r="ED5" s="139">
        <v>44044.0</v>
      </c>
      <c r="EE5" s="139">
        <v>44075.0</v>
      </c>
      <c r="EF5" s="139">
        <v>44105.0</v>
      </c>
      <c r="EG5" s="139">
        <v>44136.0</v>
      </c>
      <c r="EH5" s="139">
        <v>44166.0</v>
      </c>
      <c r="EI5" s="139">
        <v>44197.0</v>
      </c>
      <c r="EJ5" s="139">
        <v>44228.0</v>
      </c>
      <c r="EK5" s="139">
        <v>44256.0</v>
      </c>
      <c r="EL5" s="139">
        <v>44287.0</v>
      </c>
      <c r="EM5" s="139">
        <v>44317.0</v>
      </c>
      <c r="EN5" s="139">
        <v>44348.0</v>
      </c>
      <c r="EO5" s="139">
        <v>44378.0</v>
      </c>
      <c r="EP5" s="139">
        <v>44409.0</v>
      </c>
      <c r="EQ5" s="139">
        <v>44440.0</v>
      </c>
      <c r="ER5" s="139">
        <v>44470.0</v>
      </c>
      <c r="ES5" s="139">
        <v>44501.0</v>
      </c>
      <c r="ET5" s="139">
        <v>44531.0</v>
      </c>
      <c r="EU5" s="139">
        <v>44562.0</v>
      </c>
      <c r="EV5" s="139">
        <v>44593.0</v>
      </c>
      <c r="EW5" s="139">
        <v>44621.0</v>
      </c>
      <c r="EX5" s="139">
        <v>44652.0</v>
      </c>
      <c r="EY5" s="139">
        <v>44682.0</v>
      </c>
      <c r="EZ5" s="139">
        <v>44713.0</v>
      </c>
      <c r="FA5" s="139">
        <v>44743.0</v>
      </c>
      <c r="FB5" s="139">
        <v>44774.0</v>
      </c>
      <c r="FC5" s="139">
        <v>44805.0</v>
      </c>
      <c r="FD5" s="139">
        <v>44835.0</v>
      </c>
      <c r="FE5" s="139">
        <v>44866.0</v>
      </c>
      <c r="FF5" s="139">
        <v>44896.0</v>
      </c>
      <c r="FG5" s="139">
        <v>44927.0</v>
      </c>
      <c r="FH5" s="139">
        <v>44958.0</v>
      </c>
      <c r="FI5" s="139">
        <v>44986.0</v>
      </c>
      <c r="FJ5" s="139">
        <v>45017.0</v>
      </c>
      <c r="FK5" s="139">
        <v>45047.0</v>
      </c>
      <c r="FL5" s="139">
        <v>45078.0</v>
      </c>
      <c r="FM5" s="139">
        <v>45108.0</v>
      </c>
      <c r="FN5" s="139">
        <v>45139.0</v>
      </c>
      <c r="FO5" s="139">
        <v>45170.0</v>
      </c>
      <c r="FP5" s="139">
        <v>45200.0</v>
      </c>
      <c r="FQ5" s="139">
        <v>45231.0</v>
      </c>
      <c r="FR5" s="139">
        <v>45261.0</v>
      </c>
      <c r="FS5" s="139">
        <v>45292.0</v>
      </c>
      <c r="FT5" s="139">
        <v>45323.0</v>
      </c>
      <c r="FU5" s="139">
        <v>45352.0</v>
      </c>
      <c r="FV5" s="139">
        <v>45383.0</v>
      </c>
      <c r="FW5" s="139">
        <v>45413.0</v>
      </c>
      <c r="FX5" s="139">
        <v>45444.0</v>
      </c>
      <c r="FY5" s="139">
        <v>45474.0</v>
      </c>
      <c r="FZ5" s="139">
        <v>45505.0</v>
      </c>
      <c r="GA5" s="139">
        <v>45536.0</v>
      </c>
      <c r="GB5" s="139">
        <v>45566.0</v>
      </c>
      <c r="GC5" s="139">
        <v>45597.0</v>
      </c>
      <c r="GD5" s="139">
        <v>45627.0</v>
      </c>
      <c r="GE5" s="139">
        <v>45658.0</v>
      </c>
      <c r="GF5" s="139">
        <v>45689.0</v>
      </c>
      <c r="GG5" s="139">
        <v>45717.0</v>
      </c>
      <c r="GH5" s="139">
        <v>45748.0</v>
      </c>
      <c r="GI5" s="139">
        <v>45778.0</v>
      </c>
      <c r="GJ5" s="139">
        <v>45809.0</v>
      </c>
      <c r="GK5" s="139">
        <v>45839.0</v>
      </c>
    </row>
    <row r="6">
      <c r="A6" s="132" t="s">
        <v>33913</v>
      </c>
      <c r="B6" s="133" t="s">
        <v>1104</v>
      </c>
      <c r="C6" s="134">
        <v>41479.45506944445</v>
      </c>
      <c r="D6" s="135" t="str">
        <f t="shared" si="1"/>
        <v>2013/07/24</v>
      </c>
      <c r="E6" s="136" t="s">
        <v>33914</v>
      </c>
      <c r="F6" s="137">
        <v>0.0</v>
      </c>
      <c r="G6" s="138">
        <v>40179.0</v>
      </c>
      <c r="H6" s="138">
        <v>40210.0</v>
      </c>
      <c r="I6" s="138">
        <v>40238.0</v>
      </c>
      <c r="J6" s="138">
        <v>40269.0</v>
      </c>
      <c r="K6" s="138">
        <v>40299.0</v>
      </c>
      <c r="L6" s="138">
        <v>40330.0</v>
      </c>
      <c r="M6" s="138">
        <v>40360.0</v>
      </c>
      <c r="N6" s="138">
        <v>40391.0</v>
      </c>
      <c r="O6" s="138">
        <v>40422.0</v>
      </c>
      <c r="P6" s="138">
        <v>40452.0</v>
      </c>
      <c r="Q6" s="138">
        <v>40483.0</v>
      </c>
      <c r="R6" s="138">
        <v>40513.0</v>
      </c>
      <c r="S6" s="138">
        <v>40544.0</v>
      </c>
      <c r="T6" s="138">
        <v>40575.0</v>
      </c>
      <c r="U6" s="138">
        <v>40603.0</v>
      </c>
      <c r="V6" s="138">
        <v>40634.0</v>
      </c>
      <c r="W6" s="138">
        <v>40664.0</v>
      </c>
      <c r="X6" s="138">
        <v>40695.0</v>
      </c>
      <c r="Y6" s="138">
        <v>40725.0</v>
      </c>
      <c r="Z6" s="138">
        <v>40756.0</v>
      </c>
      <c r="AA6" s="138">
        <v>40787.0</v>
      </c>
      <c r="AB6" s="138">
        <v>40817.0</v>
      </c>
      <c r="AC6" s="138">
        <v>40848.0</v>
      </c>
      <c r="AD6" s="138">
        <v>40878.0</v>
      </c>
      <c r="AE6" s="138">
        <v>40909.0</v>
      </c>
      <c r="AF6" s="138">
        <v>40940.0</v>
      </c>
      <c r="AG6" s="138">
        <v>40969.0</v>
      </c>
      <c r="AH6" s="138">
        <v>41000.0</v>
      </c>
      <c r="AI6" s="138">
        <v>41030.0</v>
      </c>
      <c r="AJ6" s="138">
        <v>41061.0</v>
      </c>
      <c r="AK6" s="138">
        <v>41091.0</v>
      </c>
      <c r="AL6" s="138">
        <v>41122.0</v>
      </c>
      <c r="AM6" s="138">
        <v>41153.0</v>
      </c>
      <c r="AN6" s="138">
        <v>41183.0</v>
      </c>
      <c r="AO6" s="138">
        <v>41214.0</v>
      </c>
      <c r="AP6" s="138">
        <v>41244.0</v>
      </c>
      <c r="AQ6" s="138">
        <v>41275.0</v>
      </c>
      <c r="AR6" s="138">
        <v>41306.0</v>
      </c>
      <c r="AS6" s="138">
        <v>41334.0</v>
      </c>
      <c r="AT6" s="138">
        <v>41365.0</v>
      </c>
      <c r="AU6" s="138">
        <v>41395.0</v>
      </c>
      <c r="AV6" s="138">
        <v>41426.0</v>
      </c>
      <c r="AW6" s="138">
        <v>41456.0</v>
      </c>
      <c r="AX6" s="139">
        <v>41487.0</v>
      </c>
      <c r="AY6" s="139">
        <v>41518.0</v>
      </c>
      <c r="AZ6" s="139">
        <v>41548.0</v>
      </c>
      <c r="BA6" s="139">
        <v>41579.0</v>
      </c>
      <c r="BB6" s="139">
        <v>41609.0</v>
      </c>
      <c r="BC6" s="139">
        <v>41640.0</v>
      </c>
      <c r="BD6" s="139">
        <v>41671.0</v>
      </c>
      <c r="BE6" s="139">
        <v>41699.0</v>
      </c>
      <c r="BF6" s="139">
        <v>41730.0</v>
      </c>
      <c r="BG6" s="139">
        <v>41760.0</v>
      </c>
      <c r="BH6" s="139">
        <v>41791.0</v>
      </c>
      <c r="BI6" s="139">
        <v>41821.0</v>
      </c>
      <c r="BJ6" s="139">
        <v>41852.0</v>
      </c>
      <c r="BK6" s="139">
        <v>41883.0</v>
      </c>
      <c r="BL6" s="139">
        <v>41913.0</v>
      </c>
      <c r="BM6" s="139">
        <v>41944.0</v>
      </c>
      <c r="BN6" s="139">
        <v>41974.0</v>
      </c>
      <c r="BO6" s="139">
        <v>42005.0</v>
      </c>
      <c r="BP6" s="139">
        <v>42036.0</v>
      </c>
      <c r="BQ6" s="139">
        <v>42064.0</v>
      </c>
      <c r="BR6" s="139">
        <v>42095.0</v>
      </c>
      <c r="BS6" s="139">
        <v>42125.0</v>
      </c>
      <c r="BT6" s="139">
        <v>42156.0</v>
      </c>
      <c r="BU6" s="139">
        <v>42186.0</v>
      </c>
      <c r="BV6" s="139">
        <v>42217.0</v>
      </c>
      <c r="BW6" s="139">
        <v>42248.0</v>
      </c>
      <c r="BX6" s="139">
        <v>42278.0</v>
      </c>
      <c r="BY6" s="139">
        <v>42309.0</v>
      </c>
      <c r="BZ6" s="139">
        <v>42339.0</v>
      </c>
      <c r="CA6" s="139">
        <v>42370.0</v>
      </c>
      <c r="CB6" s="139">
        <v>42401.0</v>
      </c>
      <c r="CC6" s="139">
        <v>42430.0</v>
      </c>
      <c r="CD6" s="139">
        <v>42461.0</v>
      </c>
      <c r="CE6" s="139">
        <v>42491.0</v>
      </c>
      <c r="CF6" s="139">
        <v>42522.0</v>
      </c>
      <c r="CG6" s="139">
        <v>42552.0</v>
      </c>
      <c r="CH6" s="139">
        <v>42583.0</v>
      </c>
      <c r="CI6" s="139">
        <v>42614.0</v>
      </c>
      <c r="CJ6" s="139">
        <v>42644.0</v>
      </c>
      <c r="CK6" s="139">
        <v>42675.0</v>
      </c>
      <c r="CL6" s="139">
        <v>42705.0</v>
      </c>
      <c r="CM6" s="139">
        <v>42736.0</v>
      </c>
      <c r="CN6" s="139">
        <v>42767.0</v>
      </c>
      <c r="CO6" s="139">
        <v>42795.0</v>
      </c>
      <c r="CP6" s="139">
        <v>42826.0</v>
      </c>
      <c r="CQ6" s="139">
        <v>42856.0</v>
      </c>
      <c r="CR6" s="139">
        <v>42887.0</v>
      </c>
      <c r="CS6" s="139">
        <v>42917.0</v>
      </c>
      <c r="CT6" s="139">
        <v>42948.0</v>
      </c>
      <c r="CU6" s="139">
        <v>42979.0</v>
      </c>
      <c r="CV6" s="139">
        <v>43009.0</v>
      </c>
      <c r="CW6" s="139">
        <v>43040.0</v>
      </c>
      <c r="CX6" s="139">
        <v>43070.0</v>
      </c>
      <c r="CY6" s="139">
        <v>43101.0</v>
      </c>
      <c r="CZ6" s="139">
        <v>43132.0</v>
      </c>
      <c r="DA6" s="139">
        <v>43160.0</v>
      </c>
      <c r="DB6" s="139">
        <v>43191.0</v>
      </c>
      <c r="DC6" s="139">
        <v>43221.0</v>
      </c>
      <c r="DD6" s="139">
        <v>43252.0</v>
      </c>
      <c r="DE6" s="139">
        <v>43282.0</v>
      </c>
      <c r="DF6" s="139">
        <v>43313.0</v>
      </c>
      <c r="DG6" s="139">
        <v>43344.0</v>
      </c>
      <c r="DH6" s="139">
        <v>43374.0</v>
      </c>
      <c r="DI6" s="139">
        <v>43405.0</v>
      </c>
      <c r="DJ6" s="139">
        <v>43435.0</v>
      </c>
      <c r="DK6" s="139">
        <v>43466.0</v>
      </c>
      <c r="DL6" s="139">
        <v>43497.0</v>
      </c>
      <c r="DM6" s="139">
        <v>43525.0</v>
      </c>
      <c r="DN6" s="139">
        <v>43556.0</v>
      </c>
      <c r="DO6" s="139">
        <v>43586.0</v>
      </c>
      <c r="DP6" s="139">
        <v>43617.0</v>
      </c>
      <c r="DQ6" s="139">
        <v>43647.0</v>
      </c>
      <c r="DR6" s="139">
        <v>43678.0</v>
      </c>
      <c r="DS6" s="139">
        <v>43709.0</v>
      </c>
      <c r="DT6" s="139">
        <v>43739.0</v>
      </c>
      <c r="DU6" s="139">
        <v>43770.0</v>
      </c>
      <c r="DV6" s="139">
        <v>43800.0</v>
      </c>
      <c r="DW6" s="139">
        <v>43831.0</v>
      </c>
      <c r="DX6" s="139">
        <v>43862.0</v>
      </c>
      <c r="DY6" s="139">
        <v>43891.0</v>
      </c>
      <c r="DZ6" s="139">
        <v>43922.0</v>
      </c>
      <c r="EA6" s="139">
        <v>43952.0</v>
      </c>
      <c r="EB6" s="139">
        <v>43983.0</v>
      </c>
      <c r="EC6" s="139">
        <v>44013.0</v>
      </c>
      <c r="ED6" s="139">
        <v>44044.0</v>
      </c>
      <c r="EE6" s="139">
        <v>44075.0</v>
      </c>
      <c r="EF6" s="139">
        <v>44105.0</v>
      </c>
      <c r="EG6" s="139">
        <v>44136.0</v>
      </c>
      <c r="EH6" s="139">
        <v>44166.0</v>
      </c>
      <c r="EI6" s="139">
        <v>44197.0</v>
      </c>
      <c r="EJ6" s="139">
        <v>44228.0</v>
      </c>
      <c r="EK6" s="139">
        <v>44256.0</v>
      </c>
      <c r="EL6" s="139">
        <v>44287.0</v>
      </c>
      <c r="EM6" s="139">
        <v>44317.0</v>
      </c>
      <c r="EN6" s="139">
        <v>44348.0</v>
      </c>
      <c r="EO6" s="139">
        <v>44378.0</v>
      </c>
      <c r="EP6" s="139">
        <v>44409.0</v>
      </c>
      <c r="EQ6" s="139">
        <v>44440.0</v>
      </c>
      <c r="ER6" s="139">
        <v>44470.0</v>
      </c>
      <c r="ES6" s="139">
        <v>44501.0</v>
      </c>
      <c r="ET6" s="139">
        <v>44531.0</v>
      </c>
      <c r="EU6" s="139">
        <v>44562.0</v>
      </c>
      <c r="EV6" s="139">
        <v>44593.0</v>
      </c>
      <c r="EW6" s="139">
        <v>44621.0</v>
      </c>
      <c r="EX6" s="139">
        <v>44652.0</v>
      </c>
      <c r="EY6" s="139">
        <v>44682.0</v>
      </c>
      <c r="EZ6" s="139">
        <v>44713.0</v>
      </c>
      <c r="FA6" s="139">
        <v>44743.0</v>
      </c>
      <c r="FB6" s="139">
        <v>44774.0</v>
      </c>
      <c r="FC6" s="139">
        <v>44805.0</v>
      </c>
      <c r="FD6" s="139">
        <v>44835.0</v>
      </c>
      <c r="FE6" s="139">
        <v>44866.0</v>
      </c>
      <c r="FF6" s="139">
        <v>44896.0</v>
      </c>
      <c r="FG6" s="139">
        <v>44927.0</v>
      </c>
      <c r="FH6" s="139">
        <v>44958.0</v>
      </c>
      <c r="FI6" s="139">
        <v>44986.0</v>
      </c>
      <c r="FJ6" s="139">
        <v>45017.0</v>
      </c>
      <c r="FK6" s="139">
        <v>45047.0</v>
      </c>
      <c r="FL6" s="139">
        <v>45078.0</v>
      </c>
      <c r="FM6" s="139">
        <v>45108.0</v>
      </c>
      <c r="FN6" s="139">
        <v>45139.0</v>
      </c>
      <c r="FO6" s="139">
        <v>45170.0</v>
      </c>
      <c r="FP6" s="139">
        <v>45200.0</v>
      </c>
      <c r="FQ6" s="139">
        <v>45231.0</v>
      </c>
      <c r="FR6" s="139">
        <v>45261.0</v>
      </c>
      <c r="FS6" s="139">
        <v>45292.0</v>
      </c>
      <c r="FT6" s="139">
        <v>45323.0</v>
      </c>
      <c r="FU6" s="139">
        <v>45352.0</v>
      </c>
      <c r="FV6" s="139">
        <v>45383.0</v>
      </c>
      <c r="FW6" s="139">
        <v>45413.0</v>
      </c>
      <c r="FX6" s="139">
        <v>45444.0</v>
      </c>
      <c r="FY6" s="139">
        <v>45474.0</v>
      </c>
      <c r="FZ6" s="139">
        <v>45505.0</v>
      </c>
      <c r="GA6" s="139">
        <v>45536.0</v>
      </c>
      <c r="GB6" s="139">
        <v>45566.0</v>
      </c>
      <c r="GC6" s="139">
        <v>45597.0</v>
      </c>
      <c r="GD6" s="139">
        <v>45627.0</v>
      </c>
      <c r="GE6" s="139">
        <v>45658.0</v>
      </c>
      <c r="GF6" s="139">
        <v>45689.0</v>
      </c>
      <c r="GG6" s="139">
        <v>45717.0</v>
      </c>
      <c r="GH6" s="139">
        <v>45748.0</v>
      </c>
      <c r="GI6" s="139">
        <v>45778.0</v>
      </c>
      <c r="GJ6" s="139">
        <v>45809.0</v>
      </c>
      <c r="GK6" s="139">
        <v>45839.0</v>
      </c>
    </row>
    <row r="7">
      <c r="A7" s="132" t="s">
        <v>33915</v>
      </c>
      <c r="B7" s="133" t="s">
        <v>1111</v>
      </c>
      <c r="C7" s="134">
        <v>41521.446226851855</v>
      </c>
      <c r="D7" s="135" t="str">
        <f t="shared" si="1"/>
        <v>2013/09/04</v>
      </c>
      <c r="E7" s="136" t="s">
        <v>33916</v>
      </c>
      <c r="F7" s="137">
        <v>1.0E-5</v>
      </c>
      <c r="G7" s="138">
        <v>40179.0</v>
      </c>
      <c r="H7" s="138">
        <v>40210.0</v>
      </c>
      <c r="I7" s="138">
        <v>40238.0</v>
      </c>
      <c r="J7" s="138">
        <v>40269.0</v>
      </c>
      <c r="K7" s="138">
        <v>40299.0</v>
      </c>
      <c r="L7" s="138">
        <v>40330.0</v>
      </c>
      <c r="M7" s="138">
        <v>40360.0</v>
      </c>
      <c r="N7" s="138">
        <v>40391.0</v>
      </c>
      <c r="O7" s="138">
        <v>40422.0</v>
      </c>
      <c r="P7" s="138">
        <v>40452.0</v>
      </c>
      <c r="Q7" s="138">
        <v>40483.0</v>
      </c>
      <c r="R7" s="138">
        <v>40513.0</v>
      </c>
      <c r="S7" s="138">
        <v>40544.0</v>
      </c>
      <c r="T7" s="138">
        <v>40575.0</v>
      </c>
      <c r="U7" s="138">
        <v>40603.0</v>
      </c>
      <c r="V7" s="138">
        <v>40634.0</v>
      </c>
      <c r="W7" s="138">
        <v>40664.0</v>
      </c>
      <c r="X7" s="138">
        <v>40695.0</v>
      </c>
      <c r="Y7" s="138">
        <v>40725.0</v>
      </c>
      <c r="Z7" s="138">
        <v>40756.0</v>
      </c>
      <c r="AA7" s="138">
        <v>40787.0</v>
      </c>
      <c r="AB7" s="138">
        <v>40817.0</v>
      </c>
      <c r="AC7" s="138">
        <v>40848.0</v>
      </c>
      <c r="AD7" s="138">
        <v>40878.0</v>
      </c>
      <c r="AE7" s="138">
        <v>40909.0</v>
      </c>
      <c r="AF7" s="138">
        <v>40940.0</v>
      </c>
      <c r="AG7" s="138">
        <v>40969.0</v>
      </c>
      <c r="AH7" s="138">
        <v>41000.0</v>
      </c>
      <c r="AI7" s="138">
        <v>41030.0</v>
      </c>
      <c r="AJ7" s="138">
        <v>41061.0</v>
      </c>
      <c r="AK7" s="138">
        <v>41091.0</v>
      </c>
      <c r="AL7" s="138">
        <v>41122.0</v>
      </c>
      <c r="AM7" s="138">
        <v>41153.0</v>
      </c>
      <c r="AN7" s="138">
        <v>41183.0</v>
      </c>
      <c r="AO7" s="138">
        <v>41214.0</v>
      </c>
      <c r="AP7" s="138">
        <v>41244.0</v>
      </c>
      <c r="AQ7" s="138">
        <v>41275.0</v>
      </c>
      <c r="AR7" s="138">
        <v>41306.0</v>
      </c>
      <c r="AS7" s="138">
        <v>41334.0</v>
      </c>
      <c r="AT7" s="138">
        <v>41365.0</v>
      </c>
      <c r="AU7" s="138">
        <v>41395.0</v>
      </c>
      <c r="AV7" s="138">
        <v>41426.0</v>
      </c>
      <c r="AW7" s="138">
        <v>41456.0</v>
      </c>
      <c r="AX7" s="138">
        <v>41487.0</v>
      </c>
      <c r="AY7" s="138">
        <v>41518.0</v>
      </c>
      <c r="AZ7" s="139">
        <v>41548.0</v>
      </c>
      <c r="BA7" s="139">
        <v>41579.0</v>
      </c>
      <c r="BB7" s="139">
        <v>41609.0</v>
      </c>
      <c r="BC7" s="139">
        <v>41640.0</v>
      </c>
      <c r="BD7" s="139">
        <v>41671.0</v>
      </c>
      <c r="BE7" s="139">
        <v>41699.0</v>
      </c>
      <c r="BF7" s="139">
        <v>41730.0</v>
      </c>
      <c r="BG7" s="139">
        <v>41760.0</v>
      </c>
      <c r="BH7" s="139">
        <v>41791.0</v>
      </c>
      <c r="BI7" s="139">
        <v>41821.0</v>
      </c>
      <c r="BJ7" s="139">
        <v>41852.0</v>
      </c>
      <c r="BK7" s="139">
        <v>41883.0</v>
      </c>
      <c r="BL7" s="139">
        <v>41913.0</v>
      </c>
      <c r="BM7" s="139">
        <v>41944.0</v>
      </c>
      <c r="BN7" s="139">
        <v>41974.0</v>
      </c>
      <c r="BO7" s="139">
        <v>42005.0</v>
      </c>
      <c r="BP7" s="139">
        <v>42036.0</v>
      </c>
      <c r="BQ7" s="139">
        <v>42064.0</v>
      </c>
      <c r="BR7" s="139">
        <v>42095.0</v>
      </c>
      <c r="BS7" s="139">
        <v>42125.0</v>
      </c>
      <c r="BT7" s="139">
        <v>42156.0</v>
      </c>
      <c r="BU7" s="139">
        <v>42186.0</v>
      </c>
      <c r="BV7" s="139">
        <v>42217.0</v>
      </c>
      <c r="BW7" s="139">
        <v>42248.0</v>
      </c>
      <c r="BX7" s="139">
        <v>42278.0</v>
      </c>
      <c r="BY7" s="139">
        <v>42309.0</v>
      </c>
      <c r="BZ7" s="139">
        <v>42339.0</v>
      </c>
      <c r="CA7" s="139">
        <v>42370.0</v>
      </c>
      <c r="CB7" s="139">
        <v>42401.0</v>
      </c>
      <c r="CC7" s="139">
        <v>42430.0</v>
      </c>
      <c r="CD7" s="139">
        <v>42461.0</v>
      </c>
      <c r="CE7" s="139">
        <v>42491.0</v>
      </c>
      <c r="CF7" s="139">
        <v>42522.0</v>
      </c>
      <c r="CG7" s="139">
        <v>42552.0</v>
      </c>
      <c r="CH7" s="139">
        <v>42583.0</v>
      </c>
      <c r="CI7" s="139">
        <v>42614.0</v>
      </c>
      <c r="CJ7" s="139">
        <v>42644.0</v>
      </c>
      <c r="CK7" s="139">
        <v>42675.0</v>
      </c>
      <c r="CL7" s="139">
        <v>42705.0</v>
      </c>
      <c r="CM7" s="139">
        <v>42736.0</v>
      </c>
      <c r="CN7" s="139">
        <v>42767.0</v>
      </c>
      <c r="CO7" s="139">
        <v>42795.0</v>
      </c>
      <c r="CP7" s="139">
        <v>42826.0</v>
      </c>
      <c r="CQ7" s="139">
        <v>42856.0</v>
      </c>
      <c r="CR7" s="139">
        <v>42887.0</v>
      </c>
      <c r="CS7" s="139">
        <v>42917.0</v>
      </c>
      <c r="CT7" s="139">
        <v>42948.0</v>
      </c>
      <c r="CU7" s="139">
        <v>42979.0</v>
      </c>
      <c r="CV7" s="139">
        <v>43009.0</v>
      </c>
      <c r="CW7" s="139">
        <v>43040.0</v>
      </c>
      <c r="CX7" s="139">
        <v>43070.0</v>
      </c>
      <c r="CY7" s="139">
        <v>43101.0</v>
      </c>
      <c r="CZ7" s="139">
        <v>43132.0</v>
      </c>
      <c r="DA7" s="139">
        <v>43160.0</v>
      </c>
      <c r="DB7" s="139">
        <v>43191.0</v>
      </c>
      <c r="DC7" s="139">
        <v>43221.0</v>
      </c>
      <c r="DD7" s="139">
        <v>43252.0</v>
      </c>
      <c r="DE7" s="139">
        <v>43282.0</v>
      </c>
      <c r="DF7" s="139">
        <v>43313.0</v>
      </c>
      <c r="DG7" s="139">
        <v>43344.0</v>
      </c>
      <c r="DH7" s="139">
        <v>43374.0</v>
      </c>
      <c r="DI7" s="139">
        <v>43405.0</v>
      </c>
      <c r="DJ7" s="139">
        <v>43435.0</v>
      </c>
      <c r="DK7" s="139">
        <v>43466.0</v>
      </c>
      <c r="DL7" s="139">
        <v>43497.0</v>
      </c>
      <c r="DM7" s="139">
        <v>43525.0</v>
      </c>
      <c r="DN7" s="139">
        <v>43556.0</v>
      </c>
      <c r="DO7" s="139">
        <v>43586.0</v>
      </c>
      <c r="DP7" s="139">
        <v>43617.0</v>
      </c>
      <c r="DQ7" s="139">
        <v>43647.0</v>
      </c>
      <c r="DR7" s="139">
        <v>43678.0</v>
      </c>
      <c r="DS7" s="139">
        <v>43709.0</v>
      </c>
      <c r="DT7" s="139">
        <v>43739.0</v>
      </c>
      <c r="DU7" s="139">
        <v>43770.0</v>
      </c>
      <c r="DV7" s="139">
        <v>43800.0</v>
      </c>
      <c r="DW7" s="139">
        <v>43831.0</v>
      </c>
      <c r="DX7" s="139">
        <v>43862.0</v>
      </c>
      <c r="DY7" s="139">
        <v>43891.0</v>
      </c>
      <c r="DZ7" s="139">
        <v>43922.0</v>
      </c>
      <c r="EA7" s="139">
        <v>43952.0</v>
      </c>
      <c r="EB7" s="139">
        <v>43983.0</v>
      </c>
      <c r="EC7" s="139">
        <v>44013.0</v>
      </c>
      <c r="ED7" s="139">
        <v>44044.0</v>
      </c>
      <c r="EE7" s="139">
        <v>44075.0</v>
      </c>
      <c r="EF7" s="139">
        <v>44105.0</v>
      </c>
      <c r="EG7" s="139">
        <v>44136.0</v>
      </c>
      <c r="EH7" s="139">
        <v>44166.0</v>
      </c>
      <c r="EI7" s="139">
        <v>44197.0</v>
      </c>
      <c r="EJ7" s="139">
        <v>44228.0</v>
      </c>
      <c r="EK7" s="139">
        <v>44256.0</v>
      </c>
      <c r="EL7" s="139">
        <v>44287.0</v>
      </c>
      <c r="EM7" s="139">
        <v>44317.0</v>
      </c>
      <c r="EN7" s="139">
        <v>44348.0</v>
      </c>
      <c r="EO7" s="139">
        <v>44378.0</v>
      </c>
      <c r="EP7" s="139">
        <v>44409.0</v>
      </c>
      <c r="EQ7" s="139">
        <v>44440.0</v>
      </c>
      <c r="ER7" s="139">
        <v>44470.0</v>
      </c>
      <c r="ES7" s="139">
        <v>44501.0</v>
      </c>
      <c r="ET7" s="139">
        <v>44531.0</v>
      </c>
      <c r="EU7" s="139">
        <v>44562.0</v>
      </c>
      <c r="EV7" s="139">
        <v>44593.0</v>
      </c>
      <c r="EW7" s="139">
        <v>44621.0</v>
      </c>
      <c r="EX7" s="139">
        <v>44652.0</v>
      </c>
      <c r="EY7" s="139">
        <v>44682.0</v>
      </c>
      <c r="EZ7" s="139">
        <v>44713.0</v>
      </c>
      <c r="FA7" s="139">
        <v>44743.0</v>
      </c>
      <c r="FB7" s="139">
        <v>44774.0</v>
      </c>
      <c r="FC7" s="139">
        <v>44805.0</v>
      </c>
      <c r="FD7" s="139">
        <v>44835.0</v>
      </c>
      <c r="FE7" s="139">
        <v>44866.0</v>
      </c>
      <c r="FF7" s="139">
        <v>44896.0</v>
      </c>
      <c r="FG7" s="139">
        <v>44927.0</v>
      </c>
      <c r="FH7" s="139">
        <v>44958.0</v>
      </c>
      <c r="FI7" s="139">
        <v>44986.0</v>
      </c>
      <c r="FJ7" s="139">
        <v>45017.0</v>
      </c>
      <c r="FK7" s="139">
        <v>45047.0</v>
      </c>
      <c r="FL7" s="139">
        <v>45078.0</v>
      </c>
      <c r="FM7" s="139">
        <v>45108.0</v>
      </c>
      <c r="FN7" s="139">
        <v>45139.0</v>
      </c>
      <c r="FO7" s="139">
        <v>45170.0</v>
      </c>
      <c r="FP7" s="139">
        <v>45200.0</v>
      </c>
      <c r="FQ7" s="139">
        <v>45231.0</v>
      </c>
      <c r="FR7" s="139">
        <v>45261.0</v>
      </c>
      <c r="FS7" s="139">
        <v>45292.0</v>
      </c>
      <c r="FT7" s="139">
        <v>45323.0</v>
      </c>
      <c r="FU7" s="139">
        <v>45352.0</v>
      </c>
      <c r="FV7" s="139">
        <v>45383.0</v>
      </c>
      <c r="FW7" s="139">
        <v>45413.0</v>
      </c>
      <c r="FX7" s="139">
        <v>45444.0</v>
      </c>
      <c r="FY7" s="139">
        <v>45474.0</v>
      </c>
      <c r="FZ7" s="139">
        <v>45505.0</v>
      </c>
      <c r="GA7" s="139">
        <v>45536.0</v>
      </c>
      <c r="GB7" s="139">
        <v>45566.0</v>
      </c>
      <c r="GC7" s="139">
        <v>45597.0</v>
      </c>
      <c r="GD7" s="139">
        <v>45627.0</v>
      </c>
      <c r="GE7" s="139">
        <v>45658.0</v>
      </c>
      <c r="GF7" s="139">
        <v>45689.0</v>
      </c>
      <c r="GG7" s="139">
        <v>45717.0</v>
      </c>
      <c r="GH7" s="139">
        <v>45748.0</v>
      </c>
      <c r="GI7" s="139">
        <v>45778.0</v>
      </c>
      <c r="GJ7" s="139">
        <v>45809.0</v>
      </c>
      <c r="GK7" s="139">
        <v>45839.0</v>
      </c>
    </row>
    <row r="8">
      <c r="A8" s="132" t="s">
        <v>33917</v>
      </c>
      <c r="B8" s="133" t="s">
        <v>1104</v>
      </c>
      <c r="C8" s="134">
        <v>41529.71179398148</v>
      </c>
      <c r="D8" s="135" t="str">
        <f t="shared" si="1"/>
        <v>2013/09/12</v>
      </c>
      <c r="E8" s="136" t="s">
        <v>33918</v>
      </c>
      <c r="F8" s="137">
        <v>5.0E-5</v>
      </c>
      <c r="G8" s="138">
        <v>40179.0</v>
      </c>
      <c r="H8" s="138">
        <v>40210.0</v>
      </c>
      <c r="I8" s="138">
        <v>40238.0</v>
      </c>
      <c r="J8" s="138">
        <v>40269.0</v>
      </c>
      <c r="K8" s="138">
        <v>40299.0</v>
      </c>
      <c r="L8" s="138">
        <v>40330.0</v>
      </c>
      <c r="M8" s="138">
        <v>40360.0</v>
      </c>
      <c r="N8" s="138">
        <v>40391.0</v>
      </c>
      <c r="O8" s="138">
        <v>40422.0</v>
      </c>
      <c r="P8" s="138">
        <v>40452.0</v>
      </c>
      <c r="Q8" s="138">
        <v>40483.0</v>
      </c>
      <c r="R8" s="138">
        <v>40513.0</v>
      </c>
      <c r="S8" s="138">
        <v>40544.0</v>
      </c>
      <c r="T8" s="138">
        <v>40575.0</v>
      </c>
      <c r="U8" s="138">
        <v>40603.0</v>
      </c>
      <c r="V8" s="138">
        <v>40634.0</v>
      </c>
      <c r="W8" s="138">
        <v>40664.0</v>
      </c>
      <c r="X8" s="138">
        <v>40695.0</v>
      </c>
      <c r="Y8" s="138">
        <v>40725.0</v>
      </c>
      <c r="Z8" s="138">
        <v>40756.0</v>
      </c>
      <c r="AA8" s="138">
        <v>40787.0</v>
      </c>
      <c r="AB8" s="138">
        <v>40817.0</v>
      </c>
      <c r="AC8" s="138">
        <v>40848.0</v>
      </c>
      <c r="AD8" s="138">
        <v>40878.0</v>
      </c>
      <c r="AE8" s="138">
        <v>40909.0</v>
      </c>
      <c r="AF8" s="138">
        <v>40940.0</v>
      </c>
      <c r="AG8" s="138">
        <v>40969.0</v>
      </c>
      <c r="AH8" s="138">
        <v>41000.0</v>
      </c>
      <c r="AI8" s="138">
        <v>41030.0</v>
      </c>
      <c r="AJ8" s="138">
        <v>41061.0</v>
      </c>
      <c r="AK8" s="138">
        <v>41091.0</v>
      </c>
      <c r="AL8" s="138">
        <v>41122.0</v>
      </c>
      <c r="AM8" s="138">
        <v>41153.0</v>
      </c>
      <c r="AN8" s="138">
        <v>41183.0</v>
      </c>
      <c r="AO8" s="138">
        <v>41214.0</v>
      </c>
      <c r="AP8" s="138">
        <v>41244.0</v>
      </c>
      <c r="AQ8" s="138">
        <v>41275.0</v>
      </c>
      <c r="AR8" s="138">
        <v>41306.0</v>
      </c>
      <c r="AS8" s="138">
        <v>41334.0</v>
      </c>
      <c r="AT8" s="138">
        <v>41365.0</v>
      </c>
      <c r="AU8" s="138">
        <v>41395.0</v>
      </c>
      <c r="AV8" s="138">
        <v>41426.0</v>
      </c>
      <c r="AW8" s="138">
        <v>41456.0</v>
      </c>
      <c r="AX8" s="138">
        <v>41487.0</v>
      </c>
      <c r="AY8" s="138">
        <v>41518.0</v>
      </c>
      <c r="AZ8" s="139">
        <v>41548.0</v>
      </c>
      <c r="BA8" s="139">
        <v>41579.0</v>
      </c>
      <c r="BB8" s="139">
        <v>41609.0</v>
      </c>
      <c r="BC8" s="139">
        <v>41640.0</v>
      </c>
      <c r="BD8" s="139">
        <v>41671.0</v>
      </c>
      <c r="BE8" s="139">
        <v>41699.0</v>
      </c>
      <c r="BF8" s="139">
        <v>41730.0</v>
      </c>
      <c r="BG8" s="139">
        <v>41760.0</v>
      </c>
      <c r="BH8" s="139">
        <v>41791.0</v>
      </c>
      <c r="BI8" s="139">
        <v>41821.0</v>
      </c>
      <c r="BJ8" s="139">
        <v>41852.0</v>
      </c>
      <c r="BK8" s="139">
        <v>41883.0</v>
      </c>
      <c r="BL8" s="139">
        <v>41913.0</v>
      </c>
      <c r="BM8" s="139">
        <v>41944.0</v>
      </c>
      <c r="BN8" s="139">
        <v>41974.0</v>
      </c>
      <c r="BO8" s="139">
        <v>42005.0</v>
      </c>
      <c r="BP8" s="139">
        <v>42036.0</v>
      </c>
      <c r="BQ8" s="139">
        <v>42064.0</v>
      </c>
      <c r="BR8" s="139">
        <v>42095.0</v>
      </c>
      <c r="BS8" s="139">
        <v>42125.0</v>
      </c>
      <c r="BT8" s="139">
        <v>42156.0</v>
      </c>
      <c r="BU8" s="139">
        <v>42186.0</v>
      </c>
      <c r="BV8" s="139">
        <v>42217.0</v>
      </c>
      <c r="BW8" s="139">
        <v>42248.0</v>
      </c>
      <c r="BX8" s="139">
        <v>42278.0</v>
      </c>
      <c r="BY8" s="139">
        <v>42309.0</v>
      </c>
      <c r="BZ8" s="139">
        <v>42339.0</v>
      </c>
      <c r="CA8" s="139">
        <v>42370.0</v>
      </c>
      <c r="CB8" s="139">
        <v>42401.0</v>
      </c>
      <c r="CC8" s="139">
        <v>42430.0</v>
      </c>
      <c r="CD8" s="139">
        <v>42461.0</v>
      </c>
      <c r="CE8" s="139">
        <v>42491.0</v>
      </c>
      <c r="CF8" s="139">
        <v>42522.0</v>
      </c>
      <c r="CG8" s="139">
        <v>42552.0</v>
      </c>
      <c r="CH8" s="139">
        <v>42583.0</v>
      </c>
      <c r="CI8" s="139">
        <v>42614.0</v>
      </c>
      <c r="CJ8" s="139">
        <v>42644.0</v>
      </c>
      <c r="CK8" s="139">
        <v>42675.0</v>
      </c>
      <c r="CL8" s="139">
        <v>42705.0</v>
      </c>
      <c r="CM8" s="139">
        <v>42736.0</v>
      </c>
      <c r="CN8" s="139">
        <v>42767.0</v>
      </c>
      <c r="CO8" s="139">
        <v>42795.0</v>
      </c>
      <c r="CP8" s="139">
        <v>42826.0</v>
      </c>
      <c r="CQ8" s="139">
        <v>42856.0</v>
      </c>
      <c r="CR8" s="139">
        <v>42887.0</v>
      </c>
      <c r="CS8" s="139">
        <v>42917.0</v>
      </c>
      <c r="CT8" s="139">
        <v>42948.0</v>
      </c>
      <c r="CU8" s="139">
        <v>42979.0</v>
      </c>
      <c r="CV8" s="139">
        <v>43009.0</v>
      </c>
      <c r="CW8" s="139">
        <v>43040.0</v>
      </c>
      <c r="CX8" s="139">
        <v>43070.0</v>
      </c>
      <c r="CY8" s="139">
        <v>43101.0</v>
      </c>
      <c r="CZ8" s="139">
        <v>43132.0</v>
      </c>
      <c r="DA8" s="139">
        <v>43160.0</v>
      </c>
      <c r="DB8" s="139">
        <v>43191.0</v>
      </c>
      <c r="DC8" s="139">
        <v>43221.0</v>
      </c>
      <c r="DD8" s="139">
        <v>43252.0</v>
      </c>
      <c r="DE8" s="139">
        <v>43282.0</v>
      </c>
      <c r="DF8" s="139">
        <v>43313.0</v>
      </c>
      <c r="DG8" s="139">
        <v>43344.0</v>
      </c>
      <c r="DH8" s="139">
        <v>43374.0</v>
      </c>
      <c r="DI8" s="139">
        <v>43405.0</v>
      </c>
      <c r="DJ8" s="139">
        <v>43435.0</v>
      </c>
      <c r="DK8" s="139">
        <v>43466.0</v>
      </c>
      <c r="DL8" s="139">
        <v>43497.0</v>
      </c>
      <c r="DM8" s="139">
        <v>43525.0</v>
      </c>
      <c r="DN8" s="139">
        <v>43556.0</v>
      </c>
      <c r="DO8" s="139">
        <v>43586.0</v>
      </c>
      <c r="DP8" s="139">
        <v>43617.0</v>
      </c>
      <c r="DQ8" s="139">
        <v>43647.0</v>
      </c>
      <c r="DR8" s="139">
        <v>43678.0</v>
      </c>
      <c r="DS8" s="139">
        <v>43709.0</v>
      </c>
      <c r="DT8" s="139">
        <v>43739.0</v>
      </c>
      <c r="DU8" s="139">
        <v>43770.0</v>
      </c>
      <c r="DV8" s="139">
        <v>43800.0</v>
      </c>
      <c r="DW8" s="139">
        <v>43831.0</v>
      </c>
      <c r="DX8" s="139">
        <v>43862.0</v>
      </c>
      <c r="DY8" s="139">
        <v>43891.0</v>
      </c>
      <c r="DZ8" s="139">
        <v>43922.0</v>
      </c>
      <c r="EA8" s="139">
        <v>43952.0</v>
      </c>
      <c r="EB8" s="139">
        <v>43983.0</v>
      </c>
      <c r="EC8" s="139">
        <v>44013.0</v>
      </c>
      <c r="ED8" s="139">
        <v>44044.0</v>
      </c>
      <c r="EE8" s="139">
        <v>44075.0</v>
      </c>
      <c r="EF8" s="139">
        <v>44105.0</v>
      </c>
      <c r="EG8" s="139">
        <v>44136.0</v>
      </c>
      <c r="EH8" s="139">
        <v>44166.0</v>
      </c>
      <c r="EI8" s="139">
        <v>44197.0</v>
      </c>
      <c r="EJ8" s="139">
        <v>44228.0</v>
      </c>
      <c r="EK8" s="139">
        <v>44256.0</v>
      </c>
      <c r="EL8" s="139">
        <v>44287.0</v>
      </c>
      <c r="EM8" s="139">
        <v>44317.0</v>
      </c>
      <c r="EN8" s="139">
        <v>44348.0</v>
      </c>
      <c r="EO8" s="139">
        <v>44378.0</v>
      </c>
      <c r="EP8" s="139">
        <v>44409.0</v>
      </c>
      <c r="EQ8" s="139">
        <v>44440.0</v>
      </c>
      <c r="ER8" s="139">
        <v>44470.0</v>
      </c>
      <c r="ES8" s="139">
        <v>44501.0</v>
      </c>
      <c r="ET8" s="139">
        <v>44531.0</v>
      </c>
      <c r="EU8" s="139">
        <v>44562.0</v>
      </c>
      <c r="EV8" s="139">
        <v>44593.0</v>
      </c>
      <c r="EW8" s="139">
        <v>44621.0</v>
      </c>
      <c r="EX8" s="139">
        <v>44652.0</v>
      </c>
      <c r="EY8" s="139">
        <v>44682.0</v>
      </c>
      <c r="EZ8" s="139">
        <v>44713.0</v>
      </c>
      <c r="FA8" s="139">
        <v>44743.0</v>
      </c>
      <c r="FB8" s="139">
        <v>44774.0</v>
      </c>
      <c r="FC8" s="139">
        <v>44805.0</v>
      </c>
      <c r="FD8" s="139">
        <v>44835.0</v>
      </c>
      <c r="FE8" s="139">
        <v>44866.0</v>
      </c>
      <c r="FF8" s="139">
        <v>44896.0</v>
      </c>
      <c r="FG8" s="139">
        <v>44927.0</v>
      </c>
      <c r="FH8" s="139">
        <v>44958.0</v>
      </c>
      <c r="FI8" s="139">
        <v>44986.0</v>
      </c>
      <c r="FJ8" s="139">
        <v>45017.0</v>
      </c>
      <c r="FK8" s="139">
        <v>45047.0</v>
      </c>
      <c r="FL8" s="139">
        <v>45078.0</v>
      </c>
      <c r="FM8" s="139">
        <v>45108.0</v>
      </c>
      <c r="FN8" s="139">
        <v>45139.0</v>
      </c>
      <c r="FO8" s="139">
        <v>45170.0</v>
      </c>
      <c r="FP8" s="139">
        <v>45200.0</v>
      </c>
      <c r="FQ8" s="139">
        <v>45231.0</v>
      </c>
      <c r="FR8" s="139">
        <v>45261.0</v>
      </c>
      <c r="FS8" s="139">
        <v>45292.0</v>
      </c>
      <c r="FT8" s="139">
        <v>45323.0</v>
      </c>
      <c r="FU8" s="139">
        <v>45352.0</v>
      </c>
      <c r="FV8" s="139">
        <v>45383.0</v>
      </c>
      <c r="FW8" s="139">
        <v>45413.0</v>
      </c>
      <c r="FX8" s="139">
        <v>45444.0</v>
      </c>
      <c r="FY8" s="139">
        <v>45474.0</v>
      </c>
      <c r="FZ8" s="139">
        <v>45505.0</v>
      </c>
      <c r="GA8" s="139">
        <v>45536.0</v>
      </c>
      <c r="GB8" s="139">
        <v>45566.0</v>
      </c>
      <c r="GC8" s="139">
        <v>45597.0</v>
      </c>
      <c r="GD8" s="139">
        <v>45627.0</v>
      </c>
      <c r="GE8" s="139">
        <v>45658.0</v>
      </c>
      <c r="GF8" s="139">
        <v>45689.0</v>
      </c>
      <c r="GG8" s="139">
        <v>45717.0</v>
      </c>
      <c r="GH8" s="139">
        <v>45748.0</v>
      </c>
      <c r="GI8" s="139">
        <v>45778.0</v>
      </c>
      <c r="GJ8" s="139">
        <v>45809.0</v>
      </c>
      <c r="GK8" s="139">
        <v>45839.0</v>
      </c>
    </row>
    <row r="9">
      <c r="A9" s="132" t="s">
        <v>33919</v>
      </c>
      <c r="B9" s="133" t="s">
        <v>1254</v>
      </c>
      <c r="C9" s="134">
        <v>41557.48575231482</v>
      </c>
      <c r="D9" s="135" t="str">
        <f t="shared" si="1"/>
        <v>2013/10/10</v>
      </c>
      <c r="E9" s="136" t="s">
        <v>33920</v>
      </c>
      <c r="F9" s="137">
        <v>0.0</v>
      </c>
      <c r="G9" s="138">
        <v>40179.0</v>
      </c>
      <c r="H9" s="138">
        <v>40210.0</v>
      </c>
      <c r="I9" s="138">
        <v>40238.0</v>
      </c>
      <c r="J9" s="138">
        <v>40269.0</v>
      </c>
      <c r="K9" s="138">
        <v>40299.0</v>
      </c>
      <c r="L9" s="138">
        <v>40330.0</v>
      </c>
      <c r="M9" s="138">
        <v>40360.0</v>
      </c>
      <c r="N9" s="138">
        <v>40391.0</v>
      </c>
      <c r="O9" s="138">
        <v>40422.0</v>
      </c>
      <c r="P9" s="138">
        <v>40452.0</v>
      </c>
      <c r="Q9" s="138">
        <v>40483.0</v>
      </c>
      <c r="R9" s="138">
        <v>40513.0</v>
      </c>
      <c r="S9" s="138">
        <v>40544.0</v>
      </c>
      <c r="T9" s="138">
        <v>40575.0</v>
      </c>
      <c r="U9" s="138">
        <v>40603.0</v>
      </c>
      <c r="V9" s="138">
        <v>40634.0</v>
      </c>
      <c r="W9" s="138">
        <v>40664.0</v>
      </c>
      <c r="X9" s="138">
        <v>40695.0</v>
      </c>
      <c r="Y9" s="138">
        <v>40725.0</v>
      </c>
      <c r="Z9" s="138">
        <v>40756.0</v>
      </c>
      <c r="AA9" s="138">
        <v>40787.0</v>
      </c>
      <c r="AB9" s="138">
        <v>40817.0</v>
      </c>
      <c r="AC9" s="138">
        <v>40848.0</v>
      </c>
      <c r="AD9" s="138">
        <v>40878.0</v>
      </c>
      <c r="AE9" s="138">
        <v>40909.0</v>
      </c>
      <c r="AF9" s="138">
        <v>40940.0</v>
      </c>
      <c r="AG9" s="138">
        <v>40969.0</v>
      </c>
      <c r="AH9" s="138">
        <v>41000.0</v>
      </c>
      <c r="AI9" s="138">
        <v>41030.0</v>
      </c>
      <c r="AJ9" s="138">
        <v>41061.0</v>
      </c>
      <c r="AK9" s="138">
        <v>41091.0</v>
      </c>
      <c r="AL9" s="138">
        <v>41122.0</v>
      </c>
      <c r="AM9" s="138">
        <v>41153.0</v>
      </c>
      <c r="AN9" s="138">
        <v>41183.0</v>
      </c>
      <c r="AO9" s="138">
        <v>41214.0</v>
      </c>
      <c r="AP9" s="138">
        <v>41244.0</v>
      </c>
      <c r="AQ9" s="138">
        <v>41275.0</v>
      </c>
      <c r="AR9" s="138">
        <v>41306.0</v>
      </c>
      <c r="AS9" s="138">
        <v>41334.0</v>
      </c>
      <c r="AT9" s="138">
        <v>41365.0</v>
      </c>
      <c r="AU9" s="138">
        <v>41395.0</v>
      </c>
      <c r="AV9" s="138">
        <v>41426.0</v>
      </c>
      <c r="AW9" s="138">
        <v>41456.0</v>
      </c>
      <c r="AX9" s="138">
        <v>41487.0</v>
      </c>
      <c r="AY9" s="138">
        <v>41518.0</v>
      </c>
      <c r="AZ9" s="138">
        <v>41548.0</v>
      </c>
      <c r="BA9" s="139">
        <v>41579.0</v>
      </c>
      <c r="BB9" s="139">
        <v>41609.0</v>
      </c>
      <c r="BC9" s="139">
        <v>41640.0</v>
      </c>
      <c r="BD9" s="139">
        <v>41671.0</v>
      </c>
      <c r="BE9" s="139">
        <v>41699.0</v>
      </c>
      <c r="BF9" s="139">
        <v>41730.0</v>
      </c>
      <c r="BG9" s="139">
        <v>41760.0</v>
      </c>
      <c r="BH9" s="139">
        <v>41791.0</v>
      </c>
      <c r="BI9" s="139">
        <v>41821.0</v>
      </c>
      <c r="BJ9" s="139">
        <v>41852.0</v>
      </c>
      <c r="BK9" s="139">
        <v>41883.0</v>
      </c>
      <c r="BL9" s="139">
        <v>41913.0</v>
      </c>
      <c r="BM9" s="139">
        <v>41944.0</v>
      </c>
      <c r="BN9" s="139">
        <v>41974.0</v>
      </c>
      <c r="BO9" s="139">
        <v>42005.0</v>
      </c>
      <c r="BP9" s="139">
        <v>42036.0</v>
      </c>
      <c r="BQ9" s="139">
        <v>42064.0</v>
      </c>
      <c r="BR9" s="139">
        <v>42095.0</v>
      </c>
      <c r="BS9" s="139">
        <v>42125.0</v>
      </c>
      <c r="BT9" s="139">
        <v>42156.0</v>
      </c>
      <c r="BU9" s="139">
        <v>42186.0</v>
      </c>
      <c r="BV9" s="139">
        <v>42217.0</v>
      </c>
      <c r="BW9" s="139">
        <v>42248.0</v>
      </c>
      <c r="BX9" s="139">
        <v>42278.0</v>
      </c>
      <c r="BY9" s="139">
        <v>42309.0</v>
      </c>
      <c r="BZ9" s="139">
        <v>42339.0</v>
      </c>
      <c r="CA9" s="139">
        <v>42370.0</v>
      </c>
      <c r="CB9" s="139">
        <v>42401.0</v>
      </c>
      <c r="CC9" s="139">
        <v>42430.0</v>
      </c>
      <c r="CD9" s="139">
        <v>42461.0</v>
      </c>
      <c r="CE9" s="139">
        <v>42491.0</v>
      </c>
      <c r="CF9" s="139">
        <v>42522.0</v>
      </c>
      <c r="CG9" s="139">
        <v>42552.0</v>
      </c>
      <c r="CH9" s="139">
        <v>42583.0</v>
      </c>
      <c r="CI9" s="139">
        <v>42614.0</v>
      </c>
      <c r="CJ9" s="139">
        <v>42644.0</v>
      </c>
      <c r="CK9" s="139">
        <v>42675.0</v>
      </c>
      <c r="CL9" s="139">
        <v>42705.0</v>
      </c>
      <c r="CM9" s="139">
        <v>42736.0</v>
      </c>
      <c r="CN9" s="139">
        <v>42767.0</v>
      </c>
      <c r="CO9" s="139">
        <v>42795.0</v>
      </c>
      <c r="CP9" s="139">
        <v>42826.0</v>
      </c>
      <c r="CQ9" s="139">
        <v>42856.0</v>
      </c>
      <c r="CR9" s="139">
        <v>42887.0</v>
      </c>
      <c r="CS9" s="139">
        <v>42917.0</v>
      </c>
      <c r="CT9" s="139">
        <v>42948.0</v>
      </c>
      <c r="CU9" s="139">
        <v>42979.0</v>
      </c>
      <c r="CV9" s="139">
        <v>43009.0</v>
      </c>
      <c r="CW9" s="139">
        <v>43040.0</v>
      </c>
      <c r="CX9" s="139">
        <v>43070.0</v>
      </c>
      <c r="CY9" s="139">
        <v>43101.0</v>
      </c>
      <c r="CZ9" s="139">
        <v>43132.0</v>
      </c>
      <c r="DA9" s="139">
        <v>43160.0</v>
      </c>
      <c r="DB9" s="139">
        <v>43191.0</v>
      </c>
      <c r="DC9" s="139">
        <v>43221.0</v>
      </c>
      <c r="DD9" s="139">
        <v>43252.0</v>
      </c>
      <c r="DE9" s="139">
        <v>43282.0</v>
      </c>
      <c r="DF9" s="139">
        <v>43313.0</v>
      </c>
      <c r="DG9" s="139">
        <v>43344.0</v>
      </c>
      <c r="DH9" s="139">
        <v>43374.0</v>
      </c>
      <c r="DI9" s="139">
        <v>43405.0</v>
      </c>
      <c r="DJ9" s="139">
        <v>43435.0</v>
      </c>
      <c r="DK9" s="139">
        <v>43466.0</v>
      </c>
      <c r="DL9" s="139">
        <v>43497.0</v>
      </c>
      <c r="DM9" s="139">
        <v>43525.0</v>
      </c>
      <c r="DN9" s="139">
        <v>43556.0</v>
      </c>
      <c r="DO9" s="139">
        <v>43586.0</v>
      </c>
      <c r="DP9" s="139">
        <v>43617.0</v>
      </c>
      <c r="DQ9" s="139">
        <v>43647.0</v>
      </c>
      <c r="DR9" s="139">
        <v>43678.0</v>
      </c>
      <c r="DS9" s="139">
        <v>43709.0</v>
      </c>
      <c r="DT9" s="139">
        <v>43739.0</v>
      </c>
      <c r="DU9" s="139">
        <v>43770.0</v>
      </c>
      <c r="DV9" s="139">
        <v>43800.0</v>
      </c>
      <c r="DW9" s="139">
        <v>43831.0</v>
      </c>
      <c r="DX9" s="139">
        <v>43862.0</v>
      </c>
      <c r="DY9" s="139">
        <v>43891.0</v>
      </c>
      <c r="DZ9" s="139">
        <v>43922.0</v>
      </c>
      <c r="EA9" s="139">
        <v>43952.0</v>
      </c>
      <c r="EB9" s="139">
        <v>43983.0</v>
      </c>
      <c r="EC9" s="139">
        <v>44013.0</v>
      </c>
      <c r="ED9" s="139">
        <v>44044.0</v>
      </c>
      <c r="EE9" s="139">
        <v>44075.0</v>
      </c>
      <c r="EF9" s="139">
        <v>44105.0</v>
      </c>
      <c r="EG9" s="139">
        <v>44136.0</v>
      </c>
      <c r="EH9" s="139">
        <v>44166.0</v>
      </c>
      <c r="EI9" s="139">
        <v>44197.0</v>
      </c>
      <c r="EJ9" s="139">
        <v>44228.0</v>
      </c>
      <c r="EK9" s="139">
        <v>44256.0</v>
      </c>
      <c r="EL9" s="139">
        <v>44287.0</v>
      </c>
      <c r="EM9" s="139">
        <v>44317.0</v>
      </c>
      <c r="EN9" s="139">
        <v>44348.0</v>
      </c>
      <c r="EO9" s="139">
        <v>44378.0</v>
      </c>
      <c r="EP9" s="139">
        <v>44409.0</v>
      </c>
      <c r="EQ9" s="139">
        <v>44440.0</v>
      </c>
      <c r="ER9" s="139">
        <v>44470.0</v>
      </c>
      <c r="ES9" s="139">
        <v>44501.0</v>
      </c>
      <c r="ET9" s="139">
        <v>44531.0</v>
      </c>
      <c r="EU9" s="139">
        <v>44562.0</v>
      </c>
      <c r="EV9" s="139">
        <v>44593.0</v>
      </c>
      <c r="EW9" s="139">
        <v>44621.0</v>
      </c>
      <c r="EX9" s="139">
        <v>44652.0</v>
      </c>
      <c r="EY9" s="139">
        <v>44682.0</v>
      </c>
      <c r="EZ9" s="139">
        <v>44713.0</v>
      </c>
      <c r="FA9" s="139">
        <v>44743.0</v>
      </c>
      <c r="FB9" s="139">
        <v>44774.0</v>
      </c>
      <c r="FC9" s="139">
        <v>44805.0</v>
      </c>
      <c r="FD9" s="139">
        <v>44835.0</v>
      </c>
      <c r="FE9" s="139">
        <v>44866.0</v>
      </c>
      <c r="FF9" s="139">
        <v>44896.0</v>
      </c>
      <c r="FG9" s="139">
        <v>44927.0</v>
      </c>
      <c r="FH9" s="139">
        <v>44958.0</v>
      </c>
      <c r="FI9" s="139">
        <v>44986.0</v>
      </c>
      <c r="FJ9" s="139">
        <v>45017.0</v>
      </c>
      <c r="FK9" s="139">
        <v>45047.0</v>
      </c>
      <c r="FL9" s="139">
        <v>45078.0</v>
      </c>
      <c r="FM9" s="139">
        <v>45108.0</v>
      </c>
      <c r="FN9" s="139">
        <v>45139.0</v>
      </c>
      <c r="FO9" s="139">
        <v>45170.0</v>
      </c>
      <c r="FP9" s="139">
        <v>45200.0</v>
      </c>
      <c r="FQ9" s="139">
        <v>45231.0</v>
      </c>
      <c r="FR9" s="139">
        <v>45261.0</v>
      </c>
      <c r="FS9" s="139">
        <v>45292.0</v>
      </c>
      <c r="FT9" s="139">
        <v>45323.0</v>
      </c>
      <c r="FU9" s="139">
        <v>45352.0</v>
      </c>
      <c r="FV9" s="139">
        <v>45383.0</v>
      </c>
      <c r="FW9" s="139">
        <v>45413.0</v>
      </c>
      <c r="FX9" s="139">
        <v>45444.0</v>
      </c>
      <c r="FY9" s="139">
        <v>45474.0</v>
      </c>
      <c r="FZ9" s="139">
        <v>45505.0</v>
      </c>
      <c r="GA9" s="139">
        <v>45536.0</v>
      </c>
      <c r="GB9" s="139">
        <v>45566.0</v>
      </c>
      <c r="GC9" s="139">
        <v>45597.0</v>
      </c>
      <c r="GD9" s="139">
        <v>45627.0</v>
      </c>
      <c r="GE9" s="139">
        <v>45658.0</v>
      </c>
      <c r="GF9" s="139">
        <v>45689.0</v>
      </c>
      <c r="GG9" s="139">
        <v>45717.0</v>
      </c>
      <c r="GH9" s="139">
        <v>45748.0</v>
      </c>
      <c r="GI9" s="139">
        <v>45778.0</v>
      </c>
      <c r="GJ9" s="139">
        <v>45809.0</v>
      </c>
      <c r="GK9" s="139">
        <v>45839.0</v>
      </c>
    </row>
    <row r="10">
      <c r="A10" s="132" t="s">
        <v>33921</v>
      </c>
      <c r="B10" s="133" t="s">
        <v>1287</v>
      </c>
      <c r="C10" s="134">
        <v>41610.42597222222</v>
      </c>
      <c r="D10" s="135" t="str">
        <f t="shared" si="1"/>
        <v>2013/12/02</v>
      </c>
      <c r="E10" s="136" t="s">
        <v>33922</v>
      </c>
      <c r="F10" s="137">
        <v>9.0E-5</v>
      </c>
      <c r="G10" s="138">
        <v>40179.0</v>
      </c>
      <c r="H10" s="138">
        <v>40210.0</v>
      </c>
      <c r="I10" s="138">
        <v>40238.0</v>
      </c>
      <c r="J10" s="138">
        <v>40269.0</v>
      </c>
      <c r="K10" s="138">
        <v>40299.0</v>
      </c>
      <c r="L10" s="138">
        <v>40330.0</v>
      </c>
      <c r="M10" s="138">
        <v>40360.0</v>
      </c>
      <c r="N10" s="138">
        <v>40391.0</v>
      </c>
      <c r="O10" s="138">
        <v>40422.0</v>
      </c>
      <c r="P10" s="138">
        <v>40452.0</v>
      </c>
      <c r="Q10" s="138">
        <v>40483.0</v>
      </c>
      <c r="R10" s="138">
        <v>40513.0</v>
      </c>
      <c r="S10" s="138">
        <v>40544.0</v>
      </c>
      <c r="T10" s="138">
        <v>40575.0</v>
      </c>
      <c r="U10" s="138">
        <v>40603.0</v>
      </c>
      <c r="V10" s="138">
        <v>40634.0</v>
      </c>
      <c r="W10" s="138">
        <v>40664.0</v>
      </c>
      <c r="X10" s="138">
        <v>40695.0</v>
      </c>
      <c r="Y10" s="138">
        <v>40725.0</v>
      </c>
      <c r="Z10" s="138">
        <v>40756.0</v>
      </c>
      <c r="AA10" s="138">
        <v>40787.0</v>
      </c>
      <c r="AB10" s="138">
        <v>40817.0</v>
      </c>
      <c r="AC10" s="138">
        <v>40848.0</v>
      </c>
      <c r="AD10" s="138">
        <v>40878.0</v>
      </c>
      <c r="AE10" s="138">
        <v>40909.0</v>
      </c>
      <c r="AF10" s="138">
        <v>40940.0</v>
      </c>
      <c r="AG10" s="138">
        <v>40969.0</v>
      </c>
      <c r="AH10" s="138">
        <v>41000.0</v>
      </c>
      <c r="AI10" s="138">
        <v>41030.0</v>
      </c>
      <c r="AJ10" s="138">
        <v>41061.0</v>
      </c>
      <c r="AK10" s="138">
        <v>41091.0</v>
      </c>
      <c r="AL10" s="138">
        <v>41122.0</v>
      </c>
      <c r="AM10" s="138">
        <v>41153.0</v>
      </c>
      <c r="AN10" s="138">
        <v>41183.0</v>
      </c>
      <c r="AO10" s="138">
        <v>41214.0</v>
      </c>
      <c r="AP10" s="138">
        <v>41244.0</v>
      </c>
      <c r="AQ10" s="138">
        <v>41275.0</v>
      </c>
      <c r="AR10" s="138">
        <v>41306.0</v>
      </c>
      <c r="AS10" s="138">
        <v>41334.0</v>
      </c>
      <c r="AT10" s="138">
        <v>41365.0</v>
      </c>
      <c r="AU10" s="138">
        <v>41395.0</v>
      </c>
      <c r="AV10" s="138">
        <v>41426.0</v>
      </c>
      <c r="AW10" s="138">
        <v>41456.0</v>
      </c>
      <c r="AX10" s="138">
        <v>41487.0</v>
      </c>
      <c r="AY10" s="138">
        <v>41518.0</v>
      </c>
      <c r="AZ10" s="138">
        <v>41548.0</v>
      </c>
      <c r="BA10" s="138">
        <v>41579.0</v>
      </c>
      <c r="BB10" s="138">
        <v>41609.0</v>
      </c>
      <c r="BC10" s="139">
        <v>41640.0</v>
      </c>
      <c r="BD10" s="139">
        <v>41671.0</v>
      </c>
      <c r="BE10" s="139">
        <v>41699.0</v>
      </c>
      <c r="BF10" s="139">
        <v>41730.0</v>
      </c>
      <c r="BG10" s="139">
        <v>41760.0</v>
      </c>
      <c r="BH10" s="139">
        <v>41791.0</v>
      </c>
      <c r="BI10" s="139">
        <v>41821.0</v>
      </c>
      <c r="BJ10" s="139">
        <v>41852.0</v>
      </c>
      <c r="BK10" s="139">
        <v>41883.0</v>
      </c>
      <c r="BL10" s="139">
        <v>41913.0</v>
      </c>
      <c r="BM10" s="139">
        <v>41944.0</v>
      </c>
      <c r="BN10" s="139">
        <v>41974.0</v>
      </c>
      <c r="BO10" s="139">
        <v>42005.0</v>
      </c>
      <c r="BP10" s="139">
        <v>42036.0</v>
      </c>
      <c r="BQ10" s="139">
        <v>42064.0</v>
      </c>
      <c r="BR10" s="139">
        <v>42095.0</v>
      </c>
      <c r="BS10" s="139">
        <v>42125.0</v>
      </c>
      <c r="BT10" s="139">
        <v>42156.0</v>
      </c>
      <c r="BU10" s="139">
        <v>42186.0</v>
      </c>
      <c r="BV10" s="139">
        <v>42217.0</v>
      </c>
      <c r="BW10" s="139">
        <v>42248.0</v>
      </c>
      <c r="BX10" s="139">
        <v>42278.0</v>
      </c>
      <c r="BY10" s="139">
        <v>42309.0</v>
      </c>
      <c r="BZ10" s="139">
        <v>42339.0</v>
      </c>
      <c r="CA10" s="139">
        <v>42370.0</v>
      </c>
      <c r="CB10" s="139">
        <v>42401.0</v>
      </c>
      <c r="CC10" s="139">
        <v>42430.0</v>
      </c>
      <c r="CD10" s="139">
        <v>42461.0</v>
      </c>
      <c r="CE10" s="139">
        <v>42491.0</v>
      </c>
      <c r="CF10" s="139">
        <v>42522.0</v>
      </c>
      <c r="CG10" s="139">
        <v>42552.0</v>
      </c>
      <c r="CH10" s="139">
        <v>42583.0</v>
      </c>
      <c r="CI10" s="139">
        <v>42614.0</v>
      </c>
      <c r="CJ10" s="139">
        <v>42644.0</v>
      </c>
      <c r="CK10" s="139">
        <v>42675.0</v>
      </c>
      <c r="CL10" s="139">
        <v>42705.0</v>
      </c>
      <c r="CM10" s="139">
        <v>42736.0</v>
      </c>
      <c r="CN10" s="139">
        <v>42767.0</v>
      </c>
      <c r="CO10" s="139">
        <v>42795.0</v>
      </c>
      <c r="CP10" s="139">
        <v>42826.0</v>
      </c>
      <c r="CQ10" s="139">
        <v>42856.0</v>
      </c>
      <c r="CR10" s="139">
        <v>42887.0</v>
      </c>
      <c r="CS10" s="139">
        <v>42917.0</v>
      </c>
      <c r="CT10" s="139">
        <v>42948.0</v>
      </c>
      <c r="CU10" s="139">
        <v>42979.0</v>
      </c>
      <c r="CV10" s="139">
        <v>43009.0</v>
      </c>
      <c r="CW10" s="139">
        <v>43040.0</v>
      </c>
      <c r="CX10" s="139">
        <v>43070.0</v>
      </c>
      <c r="CY10" s="139">
        <v>43101.0</v>
      </c>
      <c r="CZ10" s="139">
        <v>43132.0</v>
      </c>
      <c r="DA10" s="139">
        <v>43160.0</v>
      </c>
      <c r="DB10" s="139">
        <v>43191.0</v>
      </c>
      <c r="DC10" s="139">
        <v>43221.0</v>
      </c>
      <c r="DD10" s="139">
        <v>43252.0</v>
      </c>
      <c r="DE10" s="139">
        <v>43282.0</v>
      </c>
      <c r="DF10" s="139">
        <v>43313.0</v>
      </c>
      <c r="DG10" s="139">
        <v>43344.0</v>
      </c>
      <c r="DH10" s="139">
        <v>43374.0</v>
      </c>
      <c r="DI10" s="139">
        <v>43405.0</v>
      </c>
      <c r="DJ10" s="139">
        <v>43435.0</v>
      </c>
      <c r="DK10" s="139">
        <v>43466.0</v>
      </c>
      <c r="DL10" s="139">
        <v>43497.0</v>
      </c>
      <c r="DM10" s="139">
        <v>43525.0</v>
      </c>
      <c r="DN10" s="139">
        <v>43556.0</v>
      </c>
      <c r="DO10" s="139">
        <v>43586.0</v>
      </c>
      <c r="DP10" s="139">
        <v>43617.0</v>
      </c>
      <c r="DQ10" s="139">
        <v>43647.0</v>
      </c>
      <c r="DR10" s="139">
        <v>43678.0</v>
      </c>
      <c r="DS10" s="139">
        <v>43709.0</v>
      </c>
      <c r="DT10" s="139">
        <v>43739.0</v>
      </c>
      <c r="DU10" s="139">
        <v>43770.0</v>
      </c>
      <c r="DV10" s="139">
        <v>43800.0</v>
      </c>
      <c r="DW10" s="139">
        <v>43831.0</v>
      </c>
      <c r="DX10" s="139">
        <v>43862.0</v>
      </c>
      <c r="DY10" s="139">
        <v>43891.0</v>
      </c>
      <c r="DZ10" s="139">
        <v>43922.0</v>
      </c>
      <c r="EA10" s="139">
        <v>43952.0</v>
      </c>
      <c r="EB10" s="139">
        <v>43983.0</v>
      </c>
      <c r="EC10" s="139">
        <v>44013.0</v>
      </c>
      <c r="ED10" s="139">
        <v>44044.0</v>
      </c>
      <c r="EE10" s="139">
        <v>44075.0</v>
      </c>
      <c r="EF10" s="139">
        <v>44105.0</v>
      </c>
      <c r="EG10" s="139">
        <v>44136.0</v>
      </c>
      <c r="EH10" s="139">
        <v>44166.0</v>
      </c>
      <c r="EI10" s="139">
        <v>44197.0</v>
      </c>
      <c r="EJ10" s="139">
        <v>44228.0</v>
      </c>
      <c r="EK10" s="139">
        <v>44256.0</v>
      </c>
      <c r="EL10" s="139">
        <v>44287.0</v>
      </c>
      <c r="EM10" s="139">
        <v>44317.0</v>
      </c>
      <c r="EN10" s="139">
        <v>44348.0</v>
      </c>
      <c r="EO10" s="139">
        <v>44378.0</v>
      </c>
      <c r="EP10" s="139">
        <v>44409.0</v>
      </c>
      <c r="EQ10" s="139">
        <v>44440.0</v>
      </c>
      <c r="ER10" s="139">
        <v>44470.0</v>
      </c>
      <c r="ES10" s="139">
        <v>44501.0</v>
      </c>
      <c r="ET10" s="139">
        <v>44531.0</v>
      </c>
      <c r="EU10" s="139">
        <v>44562.0</v>
      </c>
      <c r="EV10" s="139">
        <v>44593.0</v>
      </c>
      <c r="EW10" s="139">
        <v>44621.0</v>
      </c>
      <c r="EX10" s="139">
        <v>44652.0</v>
      </c>
      <c r="EY10" s="139">
        <v>44682.0</v>
      </c>
      <c r="EZ10" s="139">
        <v>44713.0</v>
      </c>
      <c r="FA10" s="139">
        <v>44743.0</v>
      </c>
      <c r="FB10" s="139">
        <v>44774.0</v>
      </c>
      <c r="FC10" s="139">
        <v>44805.0</v>
      </c>
      <c r="FD10" s="139">
        <v>44835.0</v>
      </c>
      <c r="FE10" s="139">
        <v>44866.0</v>
      </c>
      <c r="FF10" s="139">
        <v>44896.0</v>
      </c>
      <c r="FG10" s="139">
        <v>44927.0</v>
      </c>
      <c r="FH10" s="139">
        <v>44958.0</v>
      </c>
      <c r="FI10" s="139">
        <v>44986.0</v>
      </c>
      <c r="FJ10" s="139">
        <v>45017.0</v>
      </c>
      <c r="FK10" s="139">
        <v>45047.0</v>
      </c>
      <c r="FL10" s="139">
        <v>45078.0</v>
      </c>
      <c r="FM10" s="139">
        <v>45108.0</v>
      </c>
      <c r="FN10" s="139">
        <v>45139.0</v>
      </c>
      <c r="FO10" s="139">
        <v>45170.0</v>
      </c>
      <c r="FP10" s="139">
        <v>45200.0</v>
      </c>
      <c r="FQ10" s="139">
        <v>45231.0</v>
      </c>
      <c r="FR10" s="139">
        <v>45261.0</v>
      </c>
      <c r="FS10" s="139">
        <v>45292.0</v>
      </c>
      <c r="FT10" s="139">
        <v>45323.0</v>
      </c>
      <c r="FU10" s="139">
        <v>45352.0</v>
      </c>
      <c r="FV10" s="139">
        <v>45383.0</v>
      </c>
      <c r="FW10" s="139">
        <v>45413.0</v>
      </c>
      <c r="FX10" s="139">
        <v>45444.0</v>
      </c>
      <c r="FY10" s="139">
        <v>45474.0</v>
      </c>
      <c r="FZ10" s="139">
        <v>45505.0</v>
      </c>
      <c r="GA10" s="139">
        <v>45536.0</v>
      </c>
      <c r="GB10" s="139">
        <v>45566.0</v>
      </c>
      <c r="GC10" s="139">
        <v>45597.0</v>
      </c>
      <c r="GD10" s="139">
        <v>45627.0</v>
      </c>
      <c r="GE10" s="139">
        <v>45658.0</v>
      </c>
      <c r="GF10" s="139">
        <v>45689.0</v>
      </c>
      <c r="GG10" s="139">
        <v>45717.0</v>
      </c>
      <c r="GH10" s="139">
        <v>45748.0</v>
      </c>
      <c r="GI10" s="139">
        <v>45778.0</v>
      </c>
      <c r="GJ10" s="139">
        <v>45809.0</v>
      </c>
      <c r="GK10" s="139">
        <v>45839.0</v>
      </c>
    </row>
    <row r="11">
      <c r="A11" s="132" t="s">
        <v>33923</v>
      </c>
      <c r="B11" s="133" t="s">
        <v>1065</v>
      </c>
      <c r="C11" s="134">
        <v>41620.8596875</v>
      </c>
      <c r="D11" s="135" t="str">
        <f t="shared" si="1"/>
        <v>2013/12/12</v>
      </c>
      <c r="E11" s="136" t="s">
        <v>33924</v>
      </c>
      <c r="F11" s="137">
        <v>0.00491</v>
      </c>
      <c r="G11" s="138">
        <v>40179.0</v>
      </c>
      <c r="H11" s="138">
        <v>40210.0</v>
      </c>
      <c r="I11" s="138">
        <v>40238.0</v>
      </c>
      <c r="J11" s="138">
        <v>40269.0</v>
      </c>
      <c r="K11" s="138">
        <v>40299.0</v>
      </c>
      <c r="L11" s="138">
        <v>40330.0</v>
      </c>
      <c r="M11" s="138">
        <v>40360.0</v>
      </c>
      <c r="N11" s="138">
        <v>40391.0</v>
      </c>
      <c r="O11" s="138">
        <v>40422.0</v>
      </c>
      <c r="P11" s="138">
        <v>40452.0</v>
      </c>
      <c r="Q11" s="138">
        <v>40483.0</v>
      </c>
      <c r="R11" s="138">
        <v>40513.0</v>
      </c>
      <c r="S11" s="138">
        <v>40544.0</v>
      </c>
      <c r="T11" s="138">
        <v>40575.0</v>
      </c>
      <c r="U11" s="138">
        <v>40603.0</v>
      </c>
      <c r="V11" s="138">
        <v>40634.0</v>
      </c>
      <c r="W11" s="138">
        <v>40664.0</v>
      </c>
      <c r="X11" s="138">
        <v>40695.0</v>
      </c>
      <c r="Y11" s="138">
        <v>40725.0</v>
      </c>
      <c r="Z11" s="138">
        <v>40756.0</v>
      </c>
      <c r="AA11" s="138">
        <v>40787.0</v>
      </c>
      <c r="AB11" s="138">
        <v>40817.0</v>
      </c>
      <c r="AC11" s="138">
        <v>40848.0</v>
      </c>
      <c r="AD11" s="138">
        <v>40878.0</v>
      </c>
      <c r="AE11" s="138">
        <v>40909.0</v>
      </c>
      <c r="AF11" s="138">
        <v>40940.0</v>
      </c>
      <c r="AG11" s="138">
        <v>40969.0</v>
      </c>
      <c r="AH11" s="138">
        <v>41000.0</v>
      </c>
      <c r="AI11" s="138">
        <v>41030.0</v>
      </c>
      <c r="AJ11" s="138">
        <v>41061.0</v>
      </c>
      <c r="AK11" s="138">
        <v>41091.0</v>
      </c>
      <c r="AL11" s="138">
        <v>41122.0</v>
      </c>
      <c r="AM11" s="138">
        <v>41153.0</v>
      </c>
      <c r="AN11" s="138">
        <v>41183.0</v>
      </c>
      <c r="AO11" s="138">
        <v>41214.0</v>
      </c>
      <c r="AP11" s="138">
        <v>41244.0</v>
      </c>
      <c r="AQ11" s="138">
        <v>41275.0</v>
      </c>
      <c r="AR11" s="138">
        <v>41306.0</v>
      </c>
      <c r="AS11" s="138">
        <v>41334.0</v>
      </c>
      <c r="AT11" s="138">
        <v>41365.0</v>
      </c>
      <c r="AU11" s="138">
        <v>41395.0</v>
      </c>
      <c r="AV11" s="138">
        <v>41426.0</v>
      </c>
      <c r="AW11" s="138">
        <v>41456.0</v>
      </c>
      <c r="AX11" s="138">
        <v>41487.0</v>
      </c>
      <c r="AY11" s="138">
        <v>41518.0</v>
      </c>
      <c r="AZ11" s="138">
        <v>41548.0</v>
      </c>
      <c r="BA11" s="138">
        <v>41579.0</v>
      </c>
      <c r="BB11" s="138">
        <v>41609.0</v>
      </c>
      <c r="BC11" s="139">
        <v>41640.0</v>
      </c>
      <c r="BD11" s="139">
        <v>41671.0</v>
      </c>
      <c r="BE11" s="139">
        <v>41699.0</v>
      </c>
      <c r="BF11" s="139">
        <v>41730.0</v>
      </c>
      <c r="BG11" s="139">
        <v>41760.0</v>
      </c>
      <c r="BH11" s="139">
        <v>41791.0</v>
      </c>
      <c r="BI11" s="139">
        <v>41821.0</v>
      </c>
      <c r="BJ11" s="139">
        <v>41852.0</v>
      </c>
      <c r="BK11" s="139">
        <v>41883.0</v>
      </c>
      <c r="BL11" s="139">
        <v>41913.0</v>
      </c>
      <c r="BM11" s="139">
        <v>41944.0</v>
      </c>
      <c r="BN11" s="139">
        <v>41974.0</v>
      </c>
      <c r="BO11" s="139">
        <v>42005.0</v>
      </c>
      <c r="BP11" s="139">
        <v>42036.0</v>
      </c>
      <c r="BQ11" s="139">
        <v>42064.0</v>
      </c>
      <c r="BR11" s="139">
        <v>42095.0</v>
      </c>
      <c r="BS11" s="139">
        <v>42125.0</v>
      </c>
      <c r="BT11" s="139">
        <v>42156.0</v>
      </c>
      <c r="BU11" s="139">
        <v>42186.0</v>
      </c>
      <c r="BV11" s="139">
        <v>42217.0</v>
      </c>
      <c r="BW11" s="139">
        <v>42248.0</v>
      </c>
      <c r="BX11" s="139">
        <v>42278.0</v>
      </c>
      <c r="BY11" s="139">
        <v>42309.0</v>
      </c>
      <c r="BZ11" s="139">
        <v>42339.0</v>
      </c>
      <c r="CA11" s="139">
        <v>42370.0</v>
      </c>
      <c r="CB11" s="139">
        <v>42401.0</v>
      </c>
      <c r="CC11" s="139">
        <v>42430.0</v>
      </c>
      <c r="CD11" s="139">
        <v>42461.0</v>
      </c>
      <c r="CE11" s="139">
        <v>42491.0</v>
      </c>
      <c r="CF11" s="139">
        <v>42522.0</v>
      </c>
      <c r="CG11" s="139">
        <v>42552.0</v>
      </c>
      <c r="CH11" s="139">
        <v>42583.0</v>
      </c>
      <c r="CI11" s="139">
        <v>42614.0</v>
      </c>
      <c r="CJ11" s="139">
        <v>42644.0</v>
      </c>
      <c r="CK11" s="139">
        <v>42675.0</v>
      </c>
      <c r="CL11" s="139">
        <v>42705.0</v>
      </c>
      <c r="CM11" s="139">
        <v>42736.0</v>
      </c>
      <c r="CN11" s="139">
        <v>42767.0</v>
      </c>
      <c r="CO11" s="139">
        <v>42795.0</v>
      </c>
      <c r="CP11" s="139">
        <v>42826.0</v>
      </c>
      <c r="CQ11" s="139">
        <v>42856.0</v>
      </c>
      <c r="CR11" s="139">
        <v>42887.0</v>
      </c>
      <c r="CS11" s="139">
        <v>42917.0</v>
      </c>
      <c r="CT11" s="139">
        <v>42948.0</v>
      </c>
      <c r="CU11" s="139">
        <v>42979.0</v>
      </c>
      <c r="CV11" s="139">
        <v>43009.0</v>
      </c>
      <c r="CW11" s="139">
        <v>43040.0</v>
      </c>
      <c r="CX11" s="139">
        <v>43070.0</v>
      </c>
      <c r="CY11" s="139">
        <v>43101.0</v>
      </c>
      <c r="CZ11" s="139">
        <v>43132.0</v>
      </c>
      <c r="DA11" s="139">
        <v>43160.0</v>
      </c>
      <c r="DB11" s="139">
        <v>43191.0</v>
      </c>
      <c r="DC11" s="139">
        <v>43221.0</v>
      </c>
      <c r="DD11" s="139">
        <v>43252.0</v>
      </c>
      <c r="DE11" s="139">
        <v>43282.0</v>
      </c>
      <c r="DF11" s="139">
        <v>43313.0</v>
      </c>
      <c r="DG11" s="139">
        <v>43344.0</v>
      </c>
      <c r="DH11" s="139">
        <v>43374.0</v>
      </c>
      <c r="DI11" s="139">
        <v>43405.0</v>
      </c>
      <c r="DJ11" s="139">
        <v>43435.0</v>
      </c>
      <c r="DK11" s="139">
        <v>43466.0</v>
      </c>
      <c r="DL11" s="139">
        <v>43497.0</v>
      </c>
      <c r="DM11" s="139">
        <v>43525.0</v>
      </c>
      <c r="DN11" s="139">
        <v>43556.0</v>
      </c>
      <c r="DO11" s="139">
        <v>43586.0</v>
      </c>
      <c r="DP11" s="139">
        <v>43617.0</v>
      </c>
      <c r="DQ11" s="139">
        <v>43647.0</v>
      </c>
      <c r="DR11" s="139">
        <v>43678.0</v>
      </c>
      <c r="DS11" s="139">
        <v>43709.0</v>
      </c>
      <c r="DT11" s="139">
        <v>43739.0</v>
      </c>
      <c r="DU11" s="139">
        <v>43770.0</v>
      </c>
      <c r="DV11" s="139">
        <v>43800.0</v>
      </c>
      <c r="DW11" s="139">
        <v>43831.0</v>
      </c>
      <c r="DX11" s="139">
        <v>43862.0</v>
      </c>
      <c r="DY11" s="139">
        <v>43891.0</v>
      </c>
      <c r="DZ11" s="139">
        <v>43922.0</v>
      </c>
      <c r="EA11" s="139">
        <v>43952.0</v>
      </c>
      <c r="EB11" s="139">
        <v>43983.0</v>
      </c>
      <c r="EC11" s="139">
        <v>44013.0</v>
      </c>
      <c r="ED11" s="139">
        <v>44044.0</v>
      </c>
      <c r="EE11" s="139">
        <v>44075.0</v>
      </c>
      <c r="EF11" s="139">
        <v>44105.0</v>
      </c>
      <c r="EG11" s="139">
        <v>44136.0</v>
      </c>
      <c r="EH11" s="139">
        <v>44166.0</v>
      </c>
      <c r="EI11" s="139">
        <v>44197.0</v>
      </c>
      <c r="EJ11" s="139">
        <v>44228.0</v>
      </c>
      <c r="EK11" s="139">
        <v>44256.0</v>
      </c>
      <c r="EL11" s="139">
        <v>44287.0</v>
      </c>
      <c r="EM11" s="139">
        <v>44317.0</v>
      </c>
      <c r="EN11" s="139">
        <v>44348.0</v>
      </c>
      <c r="EO11" s="139">
        <v>44378.0</v>
      </c>
      <c r="EP11" s="139">
        <v>44409.0</v>
      </c>
      <c r="EQ11" s="139">
        <v>44440.0</v>
      </c>
      <c r="ER11" s="139">
        <v>44470.0</v>
      </c>
      <c r="ES11" s="139">
        <v>44501.0</v>
      </c>
      <c r="ET11" s="139">
        <v>44531.0</v>
      </c>
      <c r="EU11" s="139">
        <v>44562.0</v>
      </c>
      <c r="EV11" s="139">
        <v>44593.0</v>
      </c>
      <c r="EW11" s="139">
        <v>44621.0</v>
      </c>
      <c r="EX11" s="139">
        <v>44652.0</v>
      </c>
      <c r="EY11" s="139">
        <v>44682.0</v>
      </c>
      <c r="EZ11" s="139">
        <v>44713.0</v>
      </c>
      <c r="FA11" s="139">
        <v>44743.0</v>
      </c>
      <c r="FB11" s="139">
        <v>44774.0</v>
      </c>
      <c r="FC11" s="139">
        <v>44805.0</v>
      </c>
      <c r="FD11" s="139">
        <v>44835.0</v>
      </c>
      <c r="FE11" s="139">
        <v>44866.0</v>
      </c>
      <c r="FF11" s="139">
        <v>44896.0</v>
      </c>
      <c r="FG11" s="139">
        <v>44927.0</v>
      </c>
      <c r="FH11" s="139">
        <v>44958.0</v>
      </c>
      <c r="FI11" s="139">
        <v>44986.0</v>
      </c>
      <c r="FJ11" s="139">
        <v>45017.0</v>
      </c>
      <c r="FK11" s="139">
        <v>45047.0</v>
      </c>
      <c r="FL11" s="139">
        <v>45078.0</v>
      </c>
      <c r="FM11" s="139">
        <v>45108.0</v>
      </c>
      <c r="FN11" s="139">
        <v>45139.0</v>
      </c>
      <c r="FO11" s="139">
        <v>45170.0</v>
      </c>
      <c r="FP11" s="139">
        <v>45200.0</v>
      </c>
      <c r="FQ11" s="139">
        <v>45231.0</v>
      </c>
      <c r="FR11" s="139">
        <v>45261.0</v>
      </c>
      <c r="FS11" s="139">
        <v>45292.0</v>
      </c>
      <c r="FT11" s="139">
        <v>45323.0</v>
      </c>
      <c r="FU11" s="139">
        <v>45352.0</v>
      </c>
      <c r="FV11" s="139">
        <v>45383.0</v>
      </c>
      <c r="FW11" s="139">
        <v>45413.0</v>
      </c>
      <c r="FX11" s="139">
        <v>45444.0</v>
      </c>
      <c r="FY11" s="139">
        <v>45474.0</v>
      </c>
      <c r="FZ11" s="139">
        <v>45505.0</v>
      </c>
      <c r="GA11" s="139">
        <v>45536.0</v>
      </c>
      <c r="GB11" s="139">
        <v>45566.0</v>
      </c>
      <c r="GC11" s="139">
        <v>45597.0</v>
      </c>
      <c r="GD11" s="139">
        <v>45627.0</v>
      </c>
      <c r="GE11" s="139">
        <v>45658.0</v>
      </c>
      <c r="GF11" s="139">
        <v>45689.0</v>
      </c>
      <c r="GG11" s="139">
        <v>45717.0</v>
      </c>
      <c r="GH11" s="139">
        <v>45748.0</v>
      </c>
      <c r="GI11" s="139">
        <v>45778.0</v>
      </c>
      <c r="GJ11" s="139">
        <v>45809.0</v>
      </c>
      <c r="GK11" s="139">
        <v>45839.0</v>
      </c>
    </row>
    <row r="12">
      <c r="A12" s="132" t="s">
        <v>33925</v>
      </c>
      <c r="B12" s="133" t="s">
        <v>1250</v>
      </c>
      <c r="C12" s="134">
        <v>41682.71994212963</v>
      </c>
      <c r="D12" s="135" t="str">
        <f t="shared" si="1"/>
        <v>2014/02/12</v>
      </c>
      <c r="E12" s="136" t="s">
        <v>33920</v>
      </c>
      <c r="F12" s="137">
        <v>0.0</v>
      </c>
      <c r="G12" s="138">
        <v>40179.0</v>
      </c>
      <c r="H12" s="138">
        <v>40210.0</v>
      </c>
      <c r="I12" s="138">
        <v>40238.0</v>
      </c>
      <c r="J12" s="138">
        <v>40269.0</v>
      </c>
      <c r="K12" s="138">
        <v>40299.0</v>
      </c>
      <c r="L12" s="138">
        <v>40330.0</v>
      </c>
      <c r="M12" s="138">
        <v>40360.0</v>
      </c>
      <c r="N12" s="138">
        <v>40391.0</v>
      </c>
      <c r="O12" s="138">
        <v>40422.0</v>
      </c>
      <c r="P12" s="138">
        <v>40452.0</v>
      </c>
      <c r="Q12" s="138">
        <v>40483.0</v>
      </c>
      <c r="R12" s="138">
        <v>40513.0</v>
      </c>
      <c r="S12" s="138">
        <v>40544.0</v>
      </c>
      <c r="T12" s="138">
        <v>40575.0</v>
      </c>
      <c r="U12" s="138">
        <v>40603.0</v>
      </c>
      <c r="V12" s="138">
        <v>40634.0</v>
      </c>
      <c r="W12" s="138">
        <v>40664.0</v>
      </c>
      <c r="X12" s="138">
        <v>40695.0</v>
      </c>
      <c r="Y12" s="138">
        <v>40725.0</v>
      </c>
      <c r="Z12" s="138">
        <v>40756.0</v>
      </c>
      <c r="AA12" s="138">
        <v>40787.0</v>
      </c>
      <c r="AB12" s="138">
        <v>40817.0</v>
      </c>
      <c r="AC12" s="138">
        <v>40848.0</v>
      </c>
      <c r="AD12" s="138">
        <v>40878.0</v>
      </c>
      <c r="AE12" s="138">
        <v>40909.0</v>
      </c>
      <c r="AF12" s="138">
        <v>40940.0</v>
      </c>
      <c r="AG12" s="138">
        <v>40969.0</v>
      </c>
      <c r="AH12" s="138">
        <v>41000.0</v>
      </c>
      <c r="AI12" s="138">
        <v>41030.0</v>
      </c>
      <c r="AJ12" s="138">
        <v>41061.0</v>
      </c>
      <c r="AK12" s="138">
        <v>41091.0</v>
      </c>
      <c r="AL12" s="138">
        <v>41122.0</v>
      </c>
      <c r="AM12" s="138">
        <v>41153.0</v>
      </c>
      <c r="AN12" s="138">
        <v>41183.0</v>
      </c>
      <c r="AO12" s="138">
        <v>41214.0</v>
      </c>
      <c r="AP12" s="138">
        <v>41244.0</v>
      </c>
      <c r="AQ12" s="138">
        <v>41275.0</v>
      </c>
      <c r="AR12" s="138">
        <v>41306.0</v>
      </c>
      <c r="AS12" s="138">
        <v>41334.0</v>
      </c>
      <c r="AT12" s="138">
        <v>41365.0</v>
      </c>
      <c r="AU12" s="138">
        <v>41395.0</v>
      </c>
      <c r="AV12" s="138">
        <v>41426.0</v>
      </c>
      <c r="AW12" s="138">
        <v>41456.0</v>
      </c>
      <c r="AX12" s="138">
        <v>41487.0</v>
      </c>
      <c r="AY12" s="138">
        <v>41518.0</v>
      </c>
      <c r="AZ12" s="138">
        <v>41548.0</v>
      </c>
      <c r="BA12" s="138">
        <v>41579.0</v>
      </c>
      <c r="BB12" s="138">
        <v>41609.0</v>
      </c>
      <c r="BC12" s="138">
        <v>41640.0</v>
      </c>
      <c r="BD12" s="138">
        <v>41671.0</v>
      </c>
      <c r="BE12" s="139">
        <v>41699.0</v>
      </c>
      <c r="BF12" s="139">
        <v>41730.0</v>
      </c>
      <c r="BG12" s="139">
        <v>41760.0</v>
      </c>
      <c r="BH12" s="139">
        <v>41791.0</v>
      </c>
      <c r="BI12" s="139">
        <v>41821.0</v>
      </c>
      <c r="BJ12" s="139">
        <v>41852.0</v>
      </c>
      <c r="BK12" s="139">
        <v>41883.0</v>
      </c>
      <c r="BL12" s="139">
        <v>41913.0</v>
      </c>
      <c r="BM12" s="139">
        <v>41944.0</v>
      </c>
      <c r="BN12" s="139">
        <v>41974.0</v>
      </c>
      <c r="BO12" s="139">
        <v>42005.0</v>
      </c>
      <c r="BP12" s="139">
        <v>42036.0</v>
      </c>
      <c r="BQ12" s="139">
        <v>42064.0</v>
      </c>
      <c r="BR12" s="139">
        <v>42095.0</v>
      </c>
      <c r="BS12" s="139">
        <v>42125.0</v>
      </c>
      <c r="BT12" s="139">
        <v>42156.0</v>
      </c>
      <c r="BU12" s="139">
        <v>42186.0</v>
      </c>
      <c r="BV12" s="139">
        <v>42217.0</v>
      </c>
      <c r="BW12" s="139">
        <v>42248.0</v>
      </c>
      <c r="BX12" s="139">
        <v>42278.0</v>
      </c>
      <c r="BY12" s="139">
        <v>42309.0</v>
      </c>
      <c r="BZ12" s="139">
        <v>42339.0</v>
      </c>
      <c r="CA12" s="139">
        <v>42370.0</v>
      </c>
      <c r="CB12" s="139">
        <v>42401.0</v>
      </c>
      <c r="CC12" s="139">
        <v>42430.0</v>
      </c>
      <c r="CD12" s="139">
        <v>42461.0</v>
      </c>
      <c r="CE12" s="139">
        <v>42491.0</v>
      </c>
      <c r="CF12" s="139">
        <v>42522.0</v>
      </c>
      <c r="CG12" s="139">
        <v>42552.0</v>
      </c>
      <c r="CH12" s="139">
        <v>42583.0</v>
      </c>
      <c r="CI12" s="139">
        <v>42614.0</v>
      </c>
      <c r="CJ12" s="139">
        <v>42644.0</v>
      </c>
      <c r="CK12" s="139">
        <v>42675.0</v>
      </c>
      <c r="CL12" s="139">
        <v>42705.0</v>
      </c>
      <c r="CM12" s="139">
        <v>42736.0</v>
      </c>
      <c r="CN12" s="139">
        <v>42767.0</v>
      </c>
      <c r="CO12" s="139">
        <v>42795.0</v>
      </c>
      <c r="CP12" s="139">
        <v>42826.0</v>
      </c>
      <c r="CQ12" s="139">
        <v>42856.0</v>
      </c>
      <c r="CR12" s="139">
        <v>42887.0</v>
      </c>
      <c r="CS12" s="139">
        <v>42917.0</v>
      </c>
      <c r="CT12" s="139">
        <v>42948.0</v>
      </c>
      <c r="CU12" s="139">
        <v>42979.0</v>
      </c>
      <c r="CV12" s="139">
        <v>43009.0</v>
      </c>
      <c r="CW12" s="139">
        <v>43040.0</v>
      </c>
      <c r="CX12" s="139">
        <v>43070.0</v>
      </c>
      <c r="CY12" s="139">
        <v>43101.0</v>
      </c>
      <c r="CZ12" s="139">
        <v>43132.0</v>
      </c>
      <c r="DA12" s="139">
        <v>43160.0</v>
      </c>
      <c r="DB12" s="139">
        <v>43191.0</v>
      </c>
      <c r="DC12" s="139">
        <v>43221.0</v>
      </c>
      <c r="DD12" s="139">
        <v>43252.0</v>
      </c>
      <c r="DE12" s="139">
        <v>43282.0</v>
      </c>
      <c r="DF12" s="139">
        <v>43313.0</v>
      </c>
      <c r="DG12" s="139">
        <v>43344.0</v>
      </c>
      <c r="DH12" s="139">
        <v>43374.0</v>
      </c>
      <c r="DI12" s="139">
        <v>43405.0</v>
      </c>
      <c r="DJ12" s="139">
        <v>43435.0</v>
      </c>
      <c r="DK12" s="139">
        <v>43466.0</v>
      </c>
      <c r="DL12" s="139">
        <v>43497.0</v>
      </c>
      <c r="DM12" s="139">
        <v>43525.0</v>
      </c>
      <c r="DN12" s="139">
        <v>43556.0</v>
      </c>
      <c r="DO12" s="139">
        <v>43586.0</v>
      </c>
      <c r="DP12" s="139">
        <v>43617.0</v>
      </c>
      <c r="DQ12" s="139">
        <v>43647.0</v>
      </c>
      <c r="DR12" s="139">
        <v>43678.0</v>
      </c>
      <c r="DS12" s="139">
        <v>43709.0</v>
      </c>
      <c r="DT12" s="139">
        <v>43739.0</v>
      </c>
      <c r="DU12" s="139">
        <v>43770.0</v>
      </c>
      <c r="DV12" s="139">
        <v>43800.0</v>
      </c>
      <c r="DW12" s="139">
        <v>43831.0</v>
      </c>
      <c r="DX12" s="139">
        <v>43862.0</v>
      </c>
      <c r="DY12" s="139">
        <v>43891.0</v>
      </c>
      <c r="DZ12" s="139">
        <v>43922.0</v>
      </c>
      <c r="EA12" s="139">
        <v>43952.0</v>
      </c>
      <c r="EB12" s="139">
        <v>43983.0</v>
      </c>
      <c r="EC12" s="139">
        <v>44013.0</v>
      </c>
      <c r="ED12" s="139">
        <v>44044.0</v>
      </c>
      <c r="EE12" s="139">
        <v>44075.0</v>
      </c>
      <c r="EF12" s="139">
        <v>44105.0</v>
      </c>
      <c r="EG12" s="139">
        <v>44136.0</v>
      </c>
      <c r="EH12" s="139">
        <v>44166.0</v>
      </c>
      <c r="EI12" s="139">
        <v>44197.0</v>
      </c>
      <c r="EJ12" s="139">
        <v>44228.0</v>
      </c>
      <c r="EK12" s="139">
        <v>44256.0</v>
      </c>
      <c r="EL12" s="139">
        <v>44287.0</v>
      </c>
      <c r="EM12" s="139">
        <v>44317.0</v>
      </c>
      <c r="EN12" s="139">
        <v>44348.0</v>
      </c>
      <c r="EO12" s="139">
        <v>44378.0</v>
      </c>
      <c r="EP12" s="139">
        <v>44409.0</v>
      </c>
      <c r="EQ12" s="139">
        <v>44440.0</v>
      </c>
      <c r="ER12" s="139">
        <v>44470.0</v>
      </c>
      <c r="ES12" s="139">
        <v>44501.0</v>
      </c>
      <c r="ET12" s="139">
        <v>44531.0</v>
      </c>
      <c r="EU12" s="139">
        <v>44562.0</v>
      </c>
      <c r="EV12" s="139">
        <v>44593.0</v>
      </c>
      <c r="EW12" s="139">
        <v>44621.0</v>
      </c>
      <c r="EX12" s="139">
        <v>44652.0</v>
      </c>
      <c r="EY12" s="139">
        <v>44682.0</v>
      </c>
      <c r="EZ12" s="139">
        <v>44713.0</v>
      </c>
      <c r="FA12" s="139">
        <v>44743.0</v>
      </c>
      <c r="FB12" s="139">
        <v>44774.0</v>
      </c>
      <c r="FC12" s="139">
        <v>44805.0</v>
      </c>
      <c r="FD12" s="139">
        <v>44835.0</v>
      </c>
      <c r="FE12" s="139">
        <v>44866.0</v>
      </c>
      <c r="FF12" s="139">
        <v>44896.0</v>
      </c>
      <c r="FG12" s="139">
        <v>44927.0</v>
      </c>
      <c r="FH12" s="139">
        <v>44958.0</v>
      </c>
      <c r="FI12" s="139">
        <v>44986.0</v>
      </c>
      <c r="FJ12" s="139">
        <v>45017.0</v>
      </c>
      <c r="FK12" s="139">
        <v>45047.0</v>
      </c>
      <c r="FL12" s="139">
        <v>45078.0</v>
      </c>
      <c r="FM12" s="139">
        <v>45108.0</v>
      </c>
      <c r="FN12" s="139">
        <v>45139.0</v>
      </c>
      <c r="FO12" s="139">
        <v>45170.0</v>
      </c>
      <c r="FP12" s="139">
        <v>45200.0</v>
      </c>
      <c r="FQ12" s="139">
        <v>45231.0</v>
      </c>
      <c r="FR12" s="139">
        <v>45261.0</v>
      </c>
      <c r="FS12" s="139">
        <v>45292.0</v>
      </c>
      <c r="FT12" s="139">
        <v>45323.0</v>
      </c>
      <c r="FU12" s="139">
        <v>45352.0</v>
      </c>
      <c r="FV12" s="139">
        <v>45383.0</v>
      </c>
      <c r="FW12" s="139">
        <v>45413.0</v>
      </c>
      <c r="FX12" s="139">
        <v>45444.0</v>
      </c>
      <c r="FY12" s="139">
        <v>45474.0</v>
      </c>
      <c r="FZ12" s="139">
        <v>45505.0</v>
      </c>
      <c r="GA12" s="139">
        <v>45536.0</v>
      </c>
      <c r="GB12" s="139">
        <v>45566.0</v>
      </c>
      <c r="GC12" s="139">
        <v>45597.0</v>
      </c>
      <c r="GD12" s="139">
        <v>45627.0</v>
      </c>
      <c r="GE12" s="139">
        <v>45658.0</v>
      </c>
      <c r="GF12" s="139">
        <v>45689.0</v>
      </c>
      <c r="GG12" s="139">
        <v>45717.0</v>
      </c>
      <c r="GH12" s="139">
        <v>45748.0</v>
      </c>
      <c r="GI12" s="139">
        <v>45778.0</v>
      </c>
      <c r="GJ12" s="139">
        <v>45809.0</v>
      </c>
      <c r="GK12" s="139">
        <v>45839.0</v>
      </c>
    </row>
    <row r="13">
      <c r="A13" s="132" t="s">
        <v>33926</v>
      </c>
      <c r="B13" s="133" t="s">
        <v>1317</v>
      </c>
      <c r="C13" s="134">
        <v>41698.82494212963</v>
      </c>
      <c r="D13" s="135" t="str">
        <f t="shared" si="1"/>
        <v>2014/02/28</v>
      </c>
      <c r="E13" s="136" t="s">
        <v>33927</v>
      </c>
      <c r="F13" s="137">
        <v>1.8E-4</v>
      </c>
      <c r="G13" s="138">
        <v>40179.0</v>
      </c>
      <c r="H13" s="138">
        <v>40210.0</v>
      </c>
      <c r="I13" s="138">
        <v>40238.0</v>
      </c>
      <c r="J13" s="138">
        <v>40269.0</v>
      </c>
      <c r="K13" s="138">
        <v>40299.0</v>
      </c>
      <c r="L13" s="138">
        <v>40330.0</v>
      </c>
      <c r="M13" s="138">
        <v>40360.0</v>
      </c>
      <c r="N13" s="138">
        <v>40391.0</v>
      </c>
      <c r="O13" s="138">
        <v>40422.0</v>
      </c>
      <c r="P13" s="138">
        <v>40452.0</v>
      </c>
      <c r="Q13" s="138">
        <v>40483.0</v>
      </c>
      <c r="R13" s="138">
        <v>40513.0</v>
      </c>
      <c r="S13" s="138">
        <v>40544.0</v>
      </c>
      <c r="T13" s="138">
        <v>40575.0</v>
      </c>
      <c r="U13" s="138">
        <v>40603.0</v>
      </c>
      <c r="V13" s="138">
        <v>40634.0</v>
      </c>
      <c r="W13" s="138">
        <v>40664.0</v>
      </c>
      <c r="X13" s="138">
        <v>40695.0</v>
      </c>
      <c r="Y13" s="138">
        <v>40725.0</v>
      </c>
      <c r="Z13" s="138">
        <v>40756.0</v>
      </c>
      <c r="AA13" s="138">
        <v>40787.0</v>
      </c>
      <c r="AB13" s="138">
        <v>40817.0</v>
      </c>
      <c r="AC13" s="138">
        <v>40848.0</v>
      </c>
      <c r="AD13" s="138">
        <v>40878.0</v>
      </c>
      <c r="AE13" s="138">
        <v>40909.0</v>
      </c>
      <c r="AF13" s="138">
        <v>40940.0</v>
      </c>
      <c r="AG13" s="138">
        <v>40969.0</v>
      </c>
      <c r="AH13" s="138">
        <v>41000.0</v>
      </c>
      <c r="AI13" s="138">
        <v>41030.0</v>
      </c>
      <c r="AJ13" s="138">
        <v>41061.0</v>
      </c>
      <c r="AK13" s="138">
        <v>41091.0</v>
      </c>
      <c r="AL13" s="138">
        <v>41122.0</v>
      </c>
      <c r="AM13" s="138">
        <v>41153.0</v>
      </c>
      <c r="AN13" s="138">
        <v>41183.0</v>
      </c>
      <c r="AO13" s="138">
        <v>41214.0</v>
      </c>
      <c r="AP13" s="138">
        <v>41244.0</v>
      </c>
      <c r="AQ13" s="138">
        <v>41275.0</v>
      </c>
      <c r="AR13" s="138">
        <v>41306.0</v>
      </c>
      <c r="AS13" s="138">
        <v>41334.0</v>
      </c>
      <c r="AT13" s="138">
        <v>41365.0</v>
      </c>
      <c r="AU13" s="138">
        <v>41395.0</v>
      </c>
      <c r="AV13" s="138">
        <v>41426.0</v>
      </c>
      <c r="AW13" s="138">
        <v>41456.0</v>
      </c>
      <c r="AX13" s="138">
        <v>41487.0</v>
      </c>
      <c r="AY13" s="138">
        <v>41518.0</v>
      </c>
      <c r="AZ13" s="138">
        <v>41548.0</v>
      </c>
      <c r="BA13" s="138">
        <v>41579.0</v>
      </c>
      <c r="BB13" s="138">
        <v>41609.0</v>
      </c>
      <c r="BC13" s="138">
        <v>41640.0</v>
      </c>
      <c r="BD13" s="138">
        <v>41671.0</v>
      </c>
      <c r="BE13" s="139">
        <v>41699.0</v>
      </c>
      <c r="BF13" s="139">
        <v>41730.0</v>
      </c>
      <c r="BG13" s="139">
        <v>41760.0</v>
      </c>
      <c r="BH13" s="139">
        <v>41791.0</v>
      </c>
      <c r="BI13" s="139">
        <v>41821.0</v>
      </c>
      <c r="BJ13" s="139">
        <v>41852.0</v>
      </c>
      <c r="BK13" s="139">
        <v>41883.0</v>
      </c>
      <c r="BL13" s="139">
        <v>41913.0</v>
      </c>
      <c r="BM13" s="139">
        <v>41944.0</v>
      </c>
      <c r="BN13" s="139">
        <v>41974.0</v>
      </c>
      <c r="BO13" s="139">
        <v>42005.0</v>
      </c>
      <c r="BP13" s="139">
        <v>42036.0</v>
      </c>
      <c r="BQ13" s="139">
        <v>42064.0</v>
      </c>
      <c r="BR13" s="139">
        <v>42095.0</v>
      </c>
      <c r="BS13" s="139">
        <v>42125.0</v>
      </c>
      <c r="BT13" s="139">
        <v>42156.0</v>
      </c>
      <c r="BU13" s="139">
        <v>42186.0</v>
      </c>
      <c r="BV13" s="139">
        <v>42217.0</v>
      </c>
      <c r="BW13" s="139">
        <v>42248.0</v>
      </c>
      <c r="BX13" s="139">
        <v>42278.0</v>
      </c>
      <c r="BY13" s="139">
        <v>42309.0</v>
      </c>
      <c r="BZ13" s="139">
        <v>42339.0</v>
      </c>
      <c r="CA13" s="139">
        <v>42370.0</v>
      </c>
      <c r="CB13" s="139">
        <v>42401.0</v>
      </c>
      <c r="CC13" s="139">
        <v>42430.0</v>
      </c>
      <c r="CD13" s="139">
        <v>42461.0</v>
      </c>
      <c r="CE13" s="139">
        <v>42491.0</v>
      </c>
      <c r="CF13" s="139">
        <v>42522.0</v>
      </c>
      <c r="CG13" s="139">
        <v>42552.0</v>
      </c>
      <c r="CH13" s="139">
        <v>42583.0</v>
      </c>
      <c r="CI13" s="139">
        <v>42614.0</v>
      </c>
      <c r="CJ13" s="139">
        <v>42644.0</v>
      </c>
      <c r="CK13" s="139">
        <v>42675.0</v>
      </c>
      <c r="CL13" s="139">
        <v>42705.0</v>
      </c>
      <c r="CM13" s="139">
        <v>42736.0</v>
      </c>
      <c r="CN13" s="139">
        <v>42767.0</v>
      </c>
      <c r="CO13" s="139">
        <v>42795.0</v>
      </c>
      <c r="CP13" s="139">
        <v>42826.0</v>
      </c>
      <c r="CQ13" s="139">
        <v>42856.0</v>
      </c>
      <c r="CR13" s="139">
        <v>42887.0</v>
      </c>
      <c r="CS13" s="139">
        <v>42917.0</v>
      </c>
      <c r="CT13" s="139">
        <v>42948.0</v>
      </c>
      <c r="CU13" s="139">
        <v>42979.0</v>
      </c>
      <c r="CV13" s="139">
        <v>43009.0</v>
      </c>
      <c r="CW13" s="139">
        <v>43040.0</v>
      </c>
      <c r="CX13" s="139">
        <v>43070.0</v>
      </c>
      <c r="CY13" s="139">
        <v>43101.0</v>
      </c>
      <c r="CZ13" s="139">
        <v>43132.0</v>
      </c>
      <c r="DA13" s="139">
        <v>43160.0</v>
      </c>
      <c r="DB13" s="139">
        <v>43191.0</v>
      </c>
      <c r="DC13" s="139">
        <v>43221.0</v>
      </c>
      <c r="DD13" s="139">
        <v>43252.0</v>
      </c>
      <c r="DE13" s="139">
        <v>43282.0</v>
      </c>
      <c r="DF13" s="139">
        <v>43313.0</v>
      </c>
      <c r="DG13" s="139">
        <v>43344.0</v>
      </c>
      <c r="DH13" s="139">
        <v>43374.0</v>
      </c>
      <c r="DI13" s="139">
        <v>43405.0</v>
      </c>
      <c r="DJ13" s="139">
        <v>43435.0</v>
      </c>
      <c r="DK13" s="139">
        <v>43466.0</v>
      </c>
      <c r="DL13" s="139">
        <v>43497.0</v>
      </c>
      <c r="DM13" s="139">
        <v>43525.0</v>
      </c>
      <c r="DN13" s="139">
        <v>43556.0</v>
      </c>
      <c r="DO13" s="139">
        <v>43586.0</v>
      </c>
      <c r="DP13" s="139">
        <v>43617.0</v>
      </c>
      <c r="DQ13" s="139">
        <v>43647.0</v>
      </c>
      <c r="DR13" s="139">
        <v>43678.0</v>
      </c>
      <c r="DS13" s="139">
        <v>43709.0</v>
      </c>
      <c r="DT13" s="139">
        <v>43739.0</v>
      </c>
      <c r="DU13" s="139">
        <v>43770.0</v>
      </c>
      <c r="DV13" s="139">
        <v>43800.0</v>
      </c>
      <c r="DW13" s="139">
        <v>43831.0</v>
      </c>
      <c r="DX13" s="139">
        <v>43862.0</v>
      </c>
      <c r="DY13" s="139">
        <v>43891.0</v>
      </c>
      <c r="DZ13" s="139">
        <v>43922.0</v>
      </c>
      <c r="EA13" s="139">
        <v>43952.0</v>
      </c>
      <c r="EB13" s="139">
        <v>43983.0</v>
      </c>
      <c r="EC13" s="139">
        <v>44013.0</v>
      </c>
      <c r="ED13" s="139">
        <v>44044.0</v>
      </c>
      <c r="EE13" s="139">
        <v>44075.0</v>
      </c>
      <c r="EF13" s="139">
        <v>44105.0</v>
      </c>
      <c r="EG13" s="139">
        <v>44136.0</v>
      </c>
      <c r="EH13" s="139">
        <v>44166.0</v>
      </c>
      <c r="EI13" s="139">
        <v>44197.0</v>
      </c>
      <c r="EJ13" s="139">
        <v>44228.0</v>
      </c>
      <c r="EK13" s="139">
        <v>44256.0</v>
      </c>
      <c r="EL13" s="139">
        <v>44287.0</v>
      </c>
      <c r="EM13" s="139">
        <v>44317.0</v>
      </c>
      <c r="EN13" s="139">
        <v>44348.0</v>
      </c>
      <c r="EO13" s="139">
        <v>44378.0</v>
      </c>
      <c r="EP13" s="139">
        <v>44409.0</v>
      </c>
      <c r="EQ13" s="139">
        <v>44440.0</v>
      </c>
      <c r="ER13" s="139">
        <v>44470.0</v>
      </c>
      <c r="ES13" s="139">
        <v>44501.0</v>
      </c>
      <c r="ET13" s="139">
        <v>44531.0</v>
      </c>
      <c r="EU13" s="139">
        <v>44562.0</v>
      </c>
      <c r="EV13" s="139">
        <v>44593.0</v>
      </c>
      <c r="EW13" s="139">
        <v>44621.0</v>
      </c>
      <c r="EX13" s="139">
        <v>44652.0</v>
      </c>
      <c r="EY13" s="139">
        <v>44682.0</v>
      </c>
      <c r="EZ13" s="139">
        <v>44713.0</v>
      </c>
      <c r="FA13" s="139">
        <v>44743.0</v>
      </c>
      <c r="FB13" s="139">
        <v>44774.0</v>
      </c>
      <c r="FC13" s="139">
        <v>44805.0</v>
      </c>
      <c r="FD13" s="139">
        <v>44835.0</v>
      </c>
      <c r="FE13" s="139">
        <v>44866.0</v>
      </c>
      <c r="FF13" s="139">
        <v>44896.0</v>
      </c>
      <c r="FG13" s="139">
        <v>44927.0</v>
      </c>
      <c r="FH13" s="139">
        <v>44958.0</v>
      </c>
      <c r="FI13" s="139">
        <v>44986.0</v>
      </c>
      <c r="FJ13" s="139">
        <v>45017.0</v>
      </c>
      <c r="FK13" s="139">
        <v>45047.0</v>
      </c>
      <c r="FL13" s="139">
        <v>45078.0</v>
      </c>
      <c r="FM13" s="139">
        <v>45108.0</v>
      </c>
      <c r="FN13" s="139">
        <v>45139.0</v>
      </c>
      <c r="FO13" s="139">
        <v>45170.0</v>
      </c>
      <c r="FP13" s="139">
        <v>45200.0</v>
      </c>
      <c r="FQ13" s="139">
        <v>45231.0</v>
      </c>
      <c r="FR13" s="139">
        <v>45261.0</v>
      </c>
      <c r="FS13" s="139">
        <v>45292.0</v>
      </c>
      <c r="FT13" s="139">
        <v>45323.0</v>
      </c>
      <c r="FU13" s="139">
        <v>45352.0</v>
      </c>
      <c r="FV13" s="139">
        <v>45383.0</v>
      </c>
      <c r="FW13" s="139">
        <v>45413.0</v>
      </c>
      <c r="FX13" s="139">
        <v>45444.0</v>
      </c>
      <c r="FY13" s="139">
        <v>45474.0</v>
      </c>
      <c r="FZ13" s="139">
        <v>45505.0</v>
      </c>
      <c r="GA13" s="139">
        <v>45536.0</v>
      </c>
      <c r="GB13" s="139">
        <v>45566.0</v>
      </c>
      <c r="GC13" s="139">
        <v>45597.0</v>
      </c>
      <c r="GD13" s="139">
        <v>45627.0</v>
      </c>
      <c r="GE13" s="139">
        <v>45658.0</v>
      </c>
      <c r="GF13" s="139">
        <v>45689.0</v>
      </c>
      <c r="GG13" s="139">
        <v>45717.0</v>
      </c>
      <c r="GH13" s="139">
        <v>45748.0</v>
      </c>
      <c r="GI13" s="139">
        <v>45778.0</v>
      </c>
      <c r="GJ13" s="139">
        <v>45809.0</v>
      </c>
      <c r="GK13" s="139">
        <v>45839.0</v>
      </c>
    </row>
    <row r="14">
      <c r="A14" s="132" t="s">
        <v>33928</v>
      </c>
      <c r="B14" s="133" t="s">
        <v>1111</v>
      </c>
      <c r="C14" s="134">
        <v>41785.66626157407</v>
      </c>
      <c r="D14" s="135" t="str">
        <f t="shared" si="1"/>
        <v>2014/05/26</v>
      </c>
      <c r="E14" s="136" t="s">
        <v>33929</v>
      </c>
      <c r="F14" s="137">
        <v>1.0E-5</v>
      </c>
      <c r="G14" s="138">
        <v>40179.0</v>
      </c>
      <c r="H14" s="138">
        <v>40210.0</v>
      </c>
      <c r="I14" s="138">
        <v>40238.0</v>
      </c>
      <c r="J14" s="138">
        <v>40269.0</v>
      </c>
      <c r="K14" s="138">
        <v>40299.0</v>
      </c>
      <c r="L14" s="138">
        <v>40330.0</v>
      </c>
      <c r="M14" s="138">
        <v>40360.0</v>
      </c>
      <c r="N14" s="138">
        <v>40391.0</v>
      </c>
      <c r="O14" s="138">
        <v>40422.0</v>
      </c>
      <c r="P14" s="138">
        <v>40452.0</v>
      </c>
      <c r="Q14" s="138">
        <v>40483.0</v>
      </c>
      <c r="R14" s="138">
        <v>40513.0</v>
      </c>
      <c r="S14" s="138">
        <v>40544.0</v>
      </c>
      <c r="T14" s="138">
        <v>40575.0</v>
      </c>
      <c r="U14" s="138">
        <v>40603.0</v>
      </c>
      <c r="V14" s="138">
        <v>40634.0</v>
      </c>
      <c r="W14" s="138">
        <v>40664.0</v>
      </c>
      <c r="X14" s="138">
        <v>40695.0</v>
      </c>
      <c r="Y14" s="138">
        <v>40725.0</v>
      </c>
      <c r="Z14" s="138">
        <v>40756.0</v>
      </c>
      <c r="AA14" s="138">
        <v>40787.0</v>
      </c>
      <c r="AB14" s="138">
        <v>40817.0</v>
      </c>
      <c r="AC14" s="138">
        <v>40848.0</v>
      </c>
      <c r="AD14" s="138">
        <v>40878.0</v>
      </c>
      <c r="AE14" s="138">
        <v>40909.0</v>
      </c>
      <c r="AF14" s="138">
        <v>40940.0</v>
      </c>
      <c r="AG14" s="138">
        <v>40969.0</v>
      </c>
      <c r="AH14" s="138">
        <v>41000.0</v>
      </c>
      <c r="AI14" s="138">
        <v>41030.0</v>
      </c>
      <c r="AJ14" s="138">
        <v>41061.0</v>
      </c>
      <c r="AK14" s="138">
        <v>41091.0</v>
      </c>
      <c r="AL14" s="138">
        <v>41122.0</v>
      </c>
      <c r="AM14" s="138">
        <v>41153.0</v>
      </c>
      <c r="AN14" s="138">
        <v>41183.0</v>
      </c>
      <c r="AO14" s="138">
        <v>41214.0</v>
      </c>
      <c r="AP14" s="138">
        <v>41244.0</v>
      </c>
      <c r="AQ14" s="138">
        <v>41275.0</v>
      </c>
      <c r="AR14" s="138">
        <v>41306.0</v>
      </c>
      <c r="AS14" s="138">
        <v>41334.0</v>
      </c>
      <c r="AT14" s="138">
        <v>41365.0</v>
      </c>
      <c r="AU14" s="138">
        <v>41395.0</v>
      </c>
      <c r="AV14" s="138">
        <v>41426.0</v>
      </c>
      <c r="AW14" s="138">
        <v>41456.0</v>
      </c>
      <c r="AX14" s="138">
        <v>41487.0</v>
      </c>
      <c r="AY14" s="138">
        <v>41518.0</v>
      </c>
      <c r="AZ14" s="138">
        <v>41548.0</v>
      </c>
      <c r="BA14" s="138">
        <v>41579.0</v>
      </c>
      <c r="BB14" s="138">
        <v>41609.0</v>
      </c>
      <c r="BC14" s="138">
        <v>41640.0</v>
      </c>
      <c r="BD14" s="138">
        <v>41671.0</v>
      </c>
      <c r="BE14" s="138">
        <v>41699.0</v>
      </c>
      <c r="BF14" s="138">
        <v>41730.0</v>
      </c>
      <c r="BG14" s="138">
        <v>41760.0</v>
      </c>
      <c r="BH14" s="139">
        <v>41791.0</v>
      </c>
      <c r="BI14" s="139">
        <v>41821.0</v>
      </c>
      <c r="BJ14" s="139">
        <v>41852.0</v>
      </c>
      <c r="BK14" s="139">
        <v>41883.0</v>
      </c>
      <c r="BL14" s="139">
        <v>41913.0</v>
      </c>
      <c r="BM14" s="139">
        <v>41944.0</v>
      </c>
      <c r="BN14" s="139">
        <v>41974.0</v>
      </c>
      <c r="BO14" s="139">
        <v>42005.0</v>
      </c>
      <c r="BP14" s="139">
        <v>42036.0</v>
      </c>
      <c r="BQ14" s="139">
        <v>42064.0</v>
      </c>
      <c r="BR14" s="139">
        <v>42095.0</v>
      </c>
      <c r="BS14" s="139">
        <v>42125.0</v>
      </c>
      <c r="BT14" s="139">
        <v>42156.0</v>
      </c>
      <c r="BU14" s="139">
        <v>42186.0</v>
      </c>
      <c r="BV14" s="139">
        <v>42217.0</v>
      </c>
      <c r="BW14" s="139">
        <v>42248.0</v>
      </c>
      <c r="BX14" s="139">
        <v>42278.0</v>
      </c>
      <c r="BY14" s="139">
        <v>42309.0</v>
      </c>
      <c r="BZ14" s="139">
        <v>42339.0</v>
      </c>
      <c r="CA14" s="139">
        <v>42370.0</v>
      </c>
      <c r="CB14" s="139">
        <v>42401.0</v>
      </c>
      <c r="CC14" s="139">
        <v>42430.0</v>
      </c>
      <c r="CD14" s="139">
        <v>42461.0</v>
      </c>
      <c r="CE14" s="139">
        <v>42491.0</v>
      </c>
      <c r="CF14" s="139">
        <v>42522.0</v>
      </c>
      <c r="CG14" s="139">
        <v>42552.0</v>
      </c>
      <c r="CH14" s="139">
        <v>42583.0</v>
      </c>
      <c r="CI14" s="139">
        <v>42614.0</v>
      </c>
      <c r="CJ14" s="139">
        <v>42644.0</v>
      </c>
      <c r="CK14" s="139">
        <v>42675.0</v>
      </c>
      <c r="CL14" s="139">
        <v>42705.0</v>
      </c>
      <c r="CM14" s="139">
        <v>42736.0</v>
      </c>
      <c r="CN14" s="139">
        <v>42767.0</v>
      </c>
      <c r="CO14" s="139">
        <v>42795.0</v>
      </c>
      <c r="CP14" s="139">
        <v>42826.0</v>
      </c>
      <c r="CQ14" s="139">
        <v>42856.0</v>
      </c>
      <c r="CR14" s="139">
        <v>42887.0</v>
      </c>
      <c r="CS14" s="139">
        <v>42917.0</v>
      </c>
      <c r="CT14" s="139">
        <v>42948.0</v>
      </c>
      <c r="CU14" s="139">
        <v>42979.0</v>
      </c>
      <c r="CV14" s="139">
        <v>43009.0</v>
      </c>
      <c r="CW14" s="139">
        <v>43040.0</v>
      </c>
      <c r="CX14" s="139">
        <v>43070.0</v>
      </c>
      <c r="CY14" s="139">
        <v>43101.0</v>
      </c>
      <c r="CZ14" s="139">
        <v>43132.0</v>
      </c>
      <c r="DA14" s="139">
        <v>43160.0</v>
      </c>
      <c r="DB14" s="139">
        <v>43191.0</v>
      </c>
      <c r="DC14" s="139">
        <v>43221.0</v>
      </c>
      <c r="DD14" s="139">
        <v>43252.0</v>
      </c>
      <c r="DE14" s="139">
        <v>43282.0</v>
      </c>
      <c r="DF14" s="139">
        <v>43313.0</v>
      </c>
      <c r="DG14" s="139">
        <v>43344.0</v>
      </c>
      <c r="DH14" s="139">
        <v>43374.0</v>
      </c>
      <c r="DI14" s="139">
        <v>43405.0</v>
      </c>
      <c r="DJ14" s="139">
        <v>43435.0</v>
      </c>
      <c r="DK14" s="139">
        <v>43466.0</v>
      </c>
      <c r="DL14" s="139">
        <v>43497.0</v>
      </c>
      <c r="DM14" s="139">
        <v>43525.0</v>
      </c>
      <c r="DN14" s="139">
        <v>43556.0</v>
      </c>
      <c r="DO14" s="139">
        <v>43586.0</v>
      </c>
      <c r="DP14" s="139">
        <v>43617.0</v>
      </c>
      <c r="DQ14" s="139">
        <v>43647.0</v>
      </c>
      <c r="DR14" s="139">
        <v>43678.0</v>
      </c>
      <c r="DS14" s="139">
        <v>43709.0</v>
      </c>
      <c r="DT14" s="139">
        <v>43739.0</v>
      </c>
      <c r="DU14" s="139">
        <v>43770.0</v>
      </c>
      <c r="DV14" s="139">
        <v>43800.0</v>
      </c>
      <c r="DW14" s="139">
        <v>43831.0</v>
      </c>
      <c r="DX14" s="139">
        <v>43862.0</v>
      </c>
      <c r="DY14" s="139">
        <v>43891.0</v>
      </c>
      <c r="DZ14" s="139">
        <v>43922.0</v>
      </c>
      <c r="EA14" s="139">
        <v>43952.0</v>
      </c>
      <c r="EB14" s="139">
        <v>43983.0</v>
      </c>
      <c r="EC14" s="139">
        <v>44013.0</v>
      </c>
      <c r="ED14" s="139">
        <v>44044.0</v>
      </c>
      <c r="EE14" s="139">
        <v>44075.0</v>
      </c>
      <c r="EF14" s="139">
        <v>44105.0</v>
      </c>
      <c r="EG14" s="139">
        <v>44136.0</v>
      </c>
      <c r="EH14" s="139">
        <v>44166.0</v>
      </c>
      <c r="EI14" s="139">
        <v>44197.0</v>
      </c>
      <c r="EJ14" s="139">
        <v>44228.0</v>
      </c>
      <c r="EK14" s="139">
        <v>44256.0</v>
      </c>
      <c r="EL14" s="139">
        <v>44287.0</v>
      </c>
      <c r="EM14" s="139">
        <v>44317.0</v>
      </c>
      <c r="EN14" s="139">
        <v>44348.0</v>
      </c>
      <c r="EO14" s="139">
        <v>44378.0</v>
      </c>
      <c r="EP14" s="139">
        <v>44409.0</v>
      </c>
      <c r="EQ14" s="139">
        <v>44440.0</v>
      </c>
      <c r="ER14" s="139">
        <v>44470.0</v>
      </c>
      <c r="ES14" s="139">
        <v>44501.0</v>
      </c>
      <c r="ET14" s="139">
        <v>44531.0</v>
      </c>
      <c r="EU14" s="139">
        <v>44562.0</v>
      </c>
      <c r="EV14" s="139">
        <v>44593.0</v>
      </c>
      <c r="EW14" s="139">
        <v>44621.0</v>
      </c>
      <c r="EX14" s="139">
        <v>44652.0</v>
      </c>
      <c r="EY14" s="139">
        <v>44682.0</v>
      </c>
      <c r="EZ14" s="139">
        <v>44713.0</v>
      </c>
      <c r="FA14" s="139">
        <v>44743.0</v>
      </c>
      <c r="FB14" s="139">
        <v>44774.0</v>
      </c>
      <c r="FC14" s="139">
        <v>44805.0</v>
      </c>
      <c r="FD14" s="139">
        <v>44835.0</v>
      </c>
      <c r="FE14" s="139">
        <v>44866.0</v>
      </c>
      <c r="FF14" s="139">
        <v>44896.0</v>
      </c>
      <c r="FG14" s="139">
        <v>44927.0</v>
      </c>
      <c r="FH14" s="139">
        <v>44958.0</v>
      </c>
      <c r="FI14" s="139">
        <v>44986.0</v>
      </c>
      <c r="FJ14" s="139">
        <v>45017.0</v>
      </c>
      <c r="FK14" s="139">
        <v>45047.0</v>
      </c>
      <c r="FL14" s="139">
        <v>45078.0</v>
      </c>
      <c r="FM14" s="139">
        <v>45108.0</v>
      </c>
      <c r="FN14" s="139">
        <v>45139.0</v>
      </c>
      <c r="FO14" s="139">
        <v>45170.0</v>
      </c>
      <c r="FP14" s="139">
        <v>45200.0</v>
      </c>
      <c r="FQ14" s="139">
        <v>45231.0</v>
      </c>
      <c r="FR14" s="139">
        <v>45261.0</v>
      </c>
      <c r="FS14" s="139">
        <v>45292.0</v>
      </c>
      <c r="FT14" s="139">
        <v>45323.0</v>
      </c>
      <c r="FU14" s="139">
        <v>45352.0</v>
      </c>
      <c r="FV14" s="139">
        <v>45383.0</v>
      </c>
      <c r="FW14" s="139">
        <v>45413.0</v>
      </c>
      <c r="FX14" s="139">
        <v>45444.0</v>
      </c>
      <c r="FY14" s="139">
        <v>45474.0</v>
      </c>
      <c r="FZ14" s="139">
        <v>45505.0</v>
      </c>
      <c r="GA14" s="139">
        <v>45536.0</v>
      </c>
      <c r="GB14" s="139">
        <v>45566.0</v>
      </c>
      <c r="GC14" s="139">
        <v>45597.0</v>
      </c>
      <c r="GD14" s="139">
        <v>45627.0</v>
      </c>
      <c r="GE14" s="139">
        <v>45658.0</v>
      </c>
      <c r="GF14" s="139">
        <v>45689.0</v>
      </c>
      <c r="GG14" s="139">
        <v>45717.0</v>
      </c>
      <c r="GH14" s="139">
        <v>45748.0</v>
      </c>
      <c r="GI14" s="139">
        <v>45778.0</v>
      </c>
      <c r="GJ14" s="139">
        <v>45809.0</v>
      </c>
      <c r="GK14" s="139">
        <v>45839.0</v>
      </c>
    </row>
    <row r="15">
      <c r="A15" s="132" t="s">
        <v>33930</v>
      </c>
      <c r="B15" s="133" t="s">
        <v>1108</v>
      </c>
      <c r="C15" s="134">
        <v>41789.79565972222</v>
      </c>
      <c r="D15" s="135" t="str">
        <f t="shared" si="1"/>
        <v>2014/05/30</v>
      </c>
      <c r="E15" s="136" t="s">
        <v>33931</v>
      </c>
      <c r="F15" s="137">
        <v>3.0E-4</v>
      </c>
      <c r="G15" s="138">
        <v>40179.0</v>
      </c>
      <c r="H15" s="138">
        <v>40210.0</v>
      </c>
      <c r="I15" s="138">
        <v>40238.0</v>
      </c>
      <c r="J15" s="138">
        <v>40269.0</v>
      </c>
      <c r="K15" s="138">
        <v>40299.0</v>
      </c>
      <c r="L15" s="138">
        <v>40330.0</v>
      </c>
      <c r="M15" s="138">
        <v>40360.0</v>
      </c>
      <c r="N15" s="138">
        <v>40391.0</v>
      </c>
      <c r="O15" s="138">
        <v>40422.0</v>
      </c>
      <c r="P15" s="138">
        <v>40452.0</v>
      </c>
      <c r="Q15" s="138">
        <v>40483.0</v>
      </c>
      <c r="R15" s="138">
        <v>40513.0</v>
      </c>
      <c r="S15" s="138">
        <v>40544.0</v>
      </c>
      <c r="T15" s="138">
        <v>40575.0</v>
      </c>
      <c r="U15" s="138">
        <v>40603.0</v>
      </c>
      <c r="V15" s="138">
        <v>40634.0</v>
      </c>
      <c r="W15" s="138">
        <v>40664.0</v>
      </c>
      <c r="X15" s="138">
        <v>40695.0</v>
      </c>
      <c r="Y15" s="138">
        <v>40725.0</v>
      </c>
      <c r="Z15" s="138">
        <v>40756.0</v>
      </c>
      <c r="AA15" s="138">
        <v>40787.0</v>
      </c>
      <c r="AB15" s="138">
        <v>40817.0</v>
      </c>
      <c r="AC15" s="138">
        <v>40848.0</v>
      </c>
      <c r="AD15" s="138">
        <v>40878.0</v>
      </c>
      <c r="AE15" s="138">
        <v>40909.0</v>
      </c>
      <c r="AF15" s="138">
        <v>40940.0</v>
      </c>
      <c r="AG15" s="138">
        <v>40969.0</v>
      </c>
      <c r="AH15" s="138">
        <v>41000.0</v>
      </c>
      <c r="AI15" s="138">
        <v>41030.0</v>
      </c>
      <c r="AJ15" s="138">
        <v>41061.0</v>
      </c>
      <c r="AK15" s="138">
        <v>41091.0</v>
      </c>
      <c r="AL15" s="138">
        <v>41122.0</v>
      </c>
      <c r="AM15" s="138">
        <v>41153.0</v>
      </c>
      <c r="AN15" s="138">
        <v>41183.0</v>
      </c>
      <c r="AO15" s="138">
        <v>41214.0</v>
      </c>
      <c r="AP15" s="138">
        <v>41244.0</v>
      </c>
      <c r="AQ15" s="138">
        <v>41275.0</v>
      </c>
      <c r="AR15" s="138">
        <v>41306.0</v>
      </c>
      <c r="AS15" s="138">
        <v>41334.0</v>
      </c>
      <c r="AT15" s="138">
        <v>41365.0</v>
      </c>
      <c r="AU15" s="138">
        <v>41395.0</v>
      </c>
      <c r="AV15" s="138">
        <v>41426.0</v>
      </c>
      <c r="AW15" s="138">
        <v>41456.0</v>
      </c>
      <c r="AX15" s="138">
        <v>41487.0</v>
      </c>
      <c r="AY15" s="138">
        <v>41518.0</v>
      </c>
      <c r="AZ15" s="138">
        <v>41548.0</v>
      </c>
      <c r="BA15" s="138">
        <v>41579.0</v>
      </c>
      <c r="BB15" s="138">
        <v>41609.0</v>
      </c>
      <c r="BC15" s="138">
        <v>41640.0</v>
      </c>
      <c r="BD15" s="138">
        <v>41671.0</v>
      </c>
      <c r="BE15" s="138">
        <v>41699.0</v>
      </c>
      <c r="BF15" s="138">
        <v>41730.0</v>
      </c>
      <c r="BG15" s="138">
        <v>41760.0</v>
      </c>
      <c r="BH15" s="139">
        <v>41791.0</v>
      </c>
      <c r="BI15" s="139">
        <v>41821.0</v>
      </c>
      <c r="BJ15" s="139">
        <v>41852.0</v>
      </c>
      <c r="BK15" s="139">
        <v>41883.0</v>
      </c>
      <c r="BL15" s="139">
        <v>41913.0</v>
      </c>
      <c r="BM15" s="139">
        <v>41944.0</v>
      </c>
      <c r="BN15" s="139">
        <v>41974.0</v>
      </c>
      <c r="BO15" s="139">
        <v>42005.0</v>
      </c>
      <c r="BP15" s="139">
        <v>42036.0</v>
      </c>
      <c r="BQ15" s="139">
        <v>42064.0</v>
      </c>
      <c r="BR15" s="139">
        <v>42095.0</v>
      </c>
      <c r="BS15" s="139">
        <v>42125.0</v>
      </c>
      <c r="BT15" s="139">
        <v>42156.0</v>
      </c>
      <c r="BU15" s="139">
        <v>42186.0</v>
      </c>
      <c r="BV15" s="139">
        <v>42217.0</v>
      </c>
      <c r="BW15" s="139">
        <v>42248.0</v>
      </c>
      <c r="BX15" s="139">
        <v>42278.0</v>
      </c>
      <c r="BY15" s="139">
        <v>42309.0</v>
      </c>
      <c r="BZ15" s="139">
        <v>42339.0</v>
      </c>
      <c r="CA15" s="139">
        <v>42370.0</v>
      </c>
      <c r="CB15" s="139">
        <v>42401.0</v>
      </c>
      <c r="CC15" s="139">
        <v>42430.0</v>
      </c>
      <c r="CD15" s="139">
        <v>42461.0</v>
      </c>
      <c r="CE15" s="139">
        <v>42491.0</v>
      </c>
      <c r="CF15" s="139">
        <v>42522.0</v>
      </c>
      <c r="CG15" s="139">
        <v>42552.0</v>
      </c>
      <c r="CH15" s="139">
        <v>42583.0</v>
      </c>
      <c r="CI15" s="139">
        <v>42614.0</v>
      </c>
      <c r="CJ15" s="139">
        <v>42644.0</v>
      </c>
      <c r="CK15" s="139">
        <v>42675.0</v>
      </c>
      <c r="CL15" s="139">
        <v>42705.0</v>
      </c>
      <c r="CM15" s="139">
        <v>42736.0</v>
      </c>
      <c r="CN15" s="139">
        <v>42767.0</v>
      </c>
      <c r="CO15" s="139">
        <v>42795.0</v>
      </c>
      <c r="CP15" s="139">
        <v>42826.0</v>
      </c>
      <c r="CQ15" s="139">
        <v>42856.0</v>
      </c>
      <c r="CR15" s="139">
        <v>42887.0</v>
      </c>
      <c r="CS15" s="139">
        <v>42917.0</v>
      </c>
      <c r="CT15" s="139">
        <v>42948.0</v>
      </c>
      <c r="CU15" s="139">
        <v>42979.0</v>
      </c>
      <c r="CV15" s="139">
        <v>43009.0</v>
      </c>
      <c r="CW15" s="139">
        <v>43040.0</v>
      </c>
      <c r="CX15" s="139">
        <v>43070.0</v>
      </c>
      <c r="CY15" s="139">
        <v>43101.0</v>
      </c>
      <c r="CZ15" s="139">
        <v>43132.0</v>
      </c>
      <c r="DA15" s="139">
        <v>43160.0</v>
      </c>
      <c r="DB15" s="139">
        <v>43191.0</v>
      </c>
      <c r="DC15" s="139">
        <v>43221.0</v>
      </c>
      <c r="DD15" s="139">
        <v>43252.0</v>
      </c>
      <c r="DE15" s="139">
        <v>43282.0</v>
      </c>
      <c r="DF15" s="139">
        <v>43313.0</v>
      </c>
      <c r="DG15" s="139">
        <v>43344.0</v>
      </c>
      <c r="DH15" s="139">
        <v>43374.0</v>
      </c>
      <c r="DI15" s="139">
        <v>43405.0</v>
      </c>
      <c r="DJ15" s="139">
        <v>43435.0</v>
      </c>
      <c r="DK15" s="139">
        <v>43466.0</v>
      </c>
      <c r="DL15" s="139">
        <v>43497.0</v>
      </c>
      <c r="DM15" s="139">
        <v>43525.0</v>
      </c>
      <c r="DN15" s="139">
        <v>43556.0</v>
      </c>
      <c r="DO15" s="139">
        <v>43586.0</v>
      </c>
      <c r="DP15" s="139">
        <v>43617.0</v>
      </c>
      <c r="DQ15" s="139">
        <v>43647.0</v>
      </c>
      <c r="DR15" s="139">
        <v>43678.0</v>
      </c>
      <c r="DS15" s="139">
        <v>43709.0</v>
      </c>
      <c r="DT15" s="139">
        <v>43739.0</v>
      </c>
      <c r="DU15" s="139">
        <v>43770.0</v>
      </c>
      <c r="DV15" s="139">
        <v>43800.0</v>
      </c>
      <c r="DW15" s="139">
        <v>43831.0</v>
      </c>
      <c r="DX15" s="139">
        <v>43862.0</v>
      </c>
      <c r="DY15" s="139">
        <v>43891.0</v>
      </c>
      <c r="DZ15" s="139">
        <v>43922.0</v>
      </c>
      <c r="EA15" s="139">
        <v>43952.0</v>
      </c>
      <c r="EB15" s="139">
        <v>43983.0</v>
      </c>
      <c r="EC15" s="139">
        <v>44013.0</v>
      </c>
      <c r="ED15" s="139">
        <v>44044.0</v>
      </c>
      <c r="EE15" s="139">
        <v>44075.0</v>
      </c>
      <c r="EF15" s="139">
        <v>44105.0</v>
      </c>
      <c r="EG15" s="139">
        <v>44136.0</v>
      </c>
      <c r="EH15" s="139">
        <v>44166.0</v>
      </c>
      <c r="EI15" s="139">
        <v>44197.0</v>
      </c>
      <c r="EJ15" s="139">
        <v>44228.0</v>
      </c>
      <c r="EK15" s="139">
        <v>44256.0</v>
      </c>
      <c r="EL15" s="139">
        <v>44287.0</v>
      </c>
      <c r="EM15" s="139">
        <v>44317.0</v>
      </c>
      <c r="EN15" s="139">
        <v>44348.0</v>
      </c>
      <c r="EO15" s="139">
        <v>44378.0</v>
      </c>
      <c r="EP15" s="139">
        <v>44409.0</v>
      </c>
      <c r="EQ15" s="139">
        <v>44440.0</v>
      </c>
      <c r="ER15" s="139">
        <v>44470.0</v>
      </c>
      <c r="ES15" s="139">
        <v>44501.0</v>
      </c>
      <c r="ET15" s="139">
        <v>44531.0</v>
      </c>
      <c r="EU15" s="139">
        <v>44562.0</v>
      </c>
      <c r="EV15" s="139">
        <v>44593.0</v>
      </c>
      <c r="EW15" s="139">
        <v>44621.0</v>
      </c>
      <c r="EX15" s="139">
        <v>44652.0</v>
      </c>
      <c r="EY15" s="139">
        <v>44682.0</v>
      </c>
      <c r="EZ15" s="139">
        <v>44713.0</v>
      </c>
      <c r="FA15" s="139">
        <v>44743.0</v>
      </c>
      <c r="FB15" s="139">
        <v>44774.0</v>
      </c>
      <c r="FC15" s="139">
        <v>44805.0</v>
      </c>
      <c r="FD15" s="139">
        <v>44835.0</v>
      </c>
      <c r="FE15" s="139">
        <v>44866.0</v>
      </c>
      <c r="FF15" s="139">
        <v>44896.0</v>
      </c>
      <c r="FG15" s="139">
        <v>44927.0</v>
      </c>
      <c r="FH15" s="139">
        <v>44958.0</v>
      </c>
      <c r="FI15" s="139">
        <v>44986.0</v>
      </c>
      <c r="FJ15" s="139">
        <v>45017.0</v>
      </c>
      <c r="FK15" s="139">
        <v>45047.0</v>
      </c>
      <c r="FL15" s="139">
        <v>45078.0</v>
      </c>
      <c r="FM15" s="139">
        <v>45108.0</v>
      </c>
      <c r="FN15" s="139">
        <v>45139.0</v>
      </c>
      <c r="FO15" s="139">
        <v>45170.0</v>
      </c>
      <c r="FP15" s="139">
        <v>45200.0</v>
      </c>
      <c r="FQ15" s="139">
        <v>45231.0</v>
      </c>
      <c r="FR15" s="139">
        <v>45261.0</v>
      </c>
      <c r="FS15" s="139">
        <v>45292.0</v>
      </c>
      <c r="FT15" s="139">
        <v>45323.0</v>
      </c>
      <c r="FU15" s="139">
        <v>45352.0</v>
      </c>
      <c r="FV15" s="139">
        <v>45383.0</v>
      </c>
      <c r="FW15" s="139">
        <v>45413.0</v>
      </c>
      <c r="FX15" s="139">
        <v>45444.0</v>
      </c>
      <c r="FY15" s="139">
        <v>45474.0</v>
      </c>
      <c r="FZ15" s="139">
        <v>45505.0</v>
      </c>
      <c r="GA15" s="139">
        <v>45536.0</v>
      </c>
      <c r="GB15" s="139">
        <v>45566.0</v>
      </c>
      <c r="GC15" s="139">
        <v>45597.0</v>
      </c>
      <c r="GD15" s="139">
        <v>45627.0</v>
      </c>
      <c r="GE15" s="139">
        <v>45658.0</v>
      </c>
      <c r="GF15" s="139">
        <v>45689.0</v>
      </c>
      <c r="GG15" s="139">
        <v>45717.0</v>
      </c>
      <c r="GH15" s="139">
        <v>45748.0</v>
      </c>
      <c r="GI15" s="139">
        <v>45778.0</v>
      </c>
      <c r="GJ15" s="139">
        <v>45809.0</v>
      </c>
      <c r="GK15" s="139">
        <v>45839.0</v>
      </c>
    </row>
    <row r="16">
      <c r="A16" s="132" t="s">
        <v>33932</v>
      </c>
      <c r="B16" s="133" t="s">
        <v>1214</v>
      </c>
      <c r="C16" s="134">
        <v>41800.810648148145</v>
      </c>
      <c r="D16" s="135" t="str">
        <f t="shared" si="1"/>
        <v>2014/06/10</v>
      </c>
      <c r="E16" s="136" t="s">
        <v>33933</v>
      </c>
      <c r="F16" s="137">
        <v>4.1E-4</v>
      </c>
      <c r="G16" s="138">
        <v>40179.0</v>
      </c>
      <c r="H16" s="138">
        <v>40210.0</v>
      </c>
      <c r="I16" s="138">
        <v>40238.0</v>
      </c>
      <c r="J16" s="138">
        <v>40269.0</v>
      </c>
      <c r="K16" s="138">
        <v>40299.0</v>
      </c>
      <c r="L16" s="138">
        <v>40330.0</v>
      </c>
      <c r="M16" s="138">
        <v>40360.0</v>
      </c>
      <c r="N16" s="138">
        <v>40391.0</v>
      </c>
      <c r="O16" s="138">
        <v>40422.0</v>
      </c>
      <c r="P16" s="138">
        <v>40452.0</v>
      </c>
      <c r="Q16" s="138">
        <v>40483.0</v>
      </c>
      <c r="R16" s="138">
        <v>40513.0</v>
      </c>
      <c r="S16" s="138">
        <v>40544.0</v>
      </c>
      <c r="T16" s="138">
        <v>40575.0</v>
      </c>
      <c r="U16" s="138">
        <v>40603.0</v>
      </c>
      <c r="V16" s="138">
        <v>40634.0</v>
      </c>
      <c r="W16" s="138">
        <v>40664.0</v>
      </c>
      <c r="X16" s="138">
        <v>40695.0</v>
      </c>
      <c r="Y16" s="138">
        <v>40725.0</v>
      </c>
      <c r="Z16" s="138">
        <v>40756.0</v>
      </c>
      <c r="AA16" s="138">
        <v>40787.0</v>
      </c>
      <c r="AB16" s="138">
        <v>40817.0</v>
      </c>
      <c r="AC16" s="138">
        <v>40848.0</v>
      </c>
      <c r="AD16" s="138">
        <v>40878.0</v>
      </c>
      <c r="AE16" s="138">
        <v>40909.0</v>
      </c>
      <c r="AF16" s="138">
        <v>40940.0</v>
      </c>
      <c r="AG16" s="138">
        <v>40969.0</v>
      </c>
      <c r="AH16" s="138">
        <v>41000.0</v>
      </c>
      <c r="AI16" s="138">
        <v>41030.0</v>
      </c>
      <c r="AJ16" s="138">
        <v>41061.0</v>
      </c>
      <c r="AK16" s="138">
        <v>41091.0</v>
      </c>
      <c r="AL16" s="138">
        <v>41122.0</v>
      </c>
      <c r="AM16" s="138">
        <v>41153.0</v>
      </c>
      <c r="AN16" s="138">
        <v>41183.0</v>
      </c>
      <c r="AO16" s="138">
        <v>41214.0</v>
      </c>
      <c r="AP16" s="138">
        <v>41244.0</v>
      </c>
      <c r="AQ16" s="138">
        <v>41275.0</v>
      </c>
      <c r="AR16" s="138">
        <v>41306.0</v>
      </c>
      <c r="AS16" s="138">
        <v>41334.0</v>
      </c>
      <c r="AT16" s="138">
        <v>41365.0</v>
      </c>
      <c r="AU16" s="138">
        <v>41395.0</v>
      </c>
      <c r="AV16" s="138">
        <v>41426.0</v>
      </c>
      <c r="AW16" s="138">
        <v>41456.0</v>
      </c>
      <c r="AX16" s="138">
        <v>41487.0</v>
      </c>
      <c r="AY16" s="138">
        <v>41518.0</v>
      </c>
      <c r="AZ16" s="138">
        <v>41548.0</v>
      </c>
      <c r="BA16" s="138">
        <v>41579.0</v>
      </c>
      <c r="BB16" s="138">
        <v>41609.0</v>
      </c>
      <c r="BC16" s="138">
        <v>41640.0</v>
      </c>
      <c r="BD16" s="138">
        <v>41671.0</v>
      </c>
      <c r="BE16" s="138">
        <v>41699.0</v>
      </c>
      <c r="BF16" s="138">
        <v>41730.0</v>
      </c>
      <c r="BG16" s="138">
        <v>41760.0</v>
      </c>
      <c r="BH16" s="138">
        <v>41791.0</v>
      </c>
      <c r="BI16" s="139">
        <v>41821.0</v>
      </c>
      <c r="BJ16" s="139">
        <v>41852.0</v>
      </c>
      <c r="BK16" s="139">
        <v>41883.0</v>
      </c>
      <c r="BL16" s="139">
        <v>41913.0</v>
      </c>
      <c r="BM16" s="139">
        <v>41944.0</v>
      </c>
      <c r="BN16" s="139">
        <v>41974.0</v>
      </c>
      <c r="BO16" s="139">
        <v>42005.0</v>
      </c>
      <c r="BP16" s="139">
        <v>42036.0</v>
      </c>
      <c r="BQ16" s="139">
        <v>42064.0</v>
      </c>
      <c r="BR16" s="139">
        <v>42095.0</v>
      </c>
      <c r="BS16" s="139">
        <v>42125.0</v>
      </c>
      <c r="BT16" s="139">
        <v>42156.0</v>
      </c>
      <c r="BU16" s="139">
        <v>42186.0</v>
      </c>
      <c r="BV16" s="139">
        <v>42217.0</v>
      </c>
      <c r="BW16" s="139">
        <v>42248.0</v>
      </c>
      <c r="BX16" s="139">
        <v>42278.0</v>
      </c>
      <c r="BY16" s="139">
        <v>42309.0</v>
      </c>
      <c r="BZ16" s="139">
        <v>42339.0</v>
      </c>
      <c r="CA16" s="139">
        <v>42370.0</v>
      </c>
      <c r="CB16" s="139">
        <v>42401.0</v>
      </c>
      <c r="CC16" s="139">
        <v>42430.0</v>
      </c>
      <c r="CD16" s="139">
        <v>42461.0</v>
      </c>
      <c r="CE16" s="139">
        <v>42491.0</v>
      </c>
      <c r="CF16" s="139">
        <v>42522.0</v>
      </c>
      <c r="CG16" s="139">
        <v>42552.0</v>
      </c>
      <c r="CH16" s="139">
        <v>42583.0</v>
      </c>
      <c r="CI16" s="139">
        <v>42614.0</v>
      </c>
      <c r="CJ16" s="139">
        <v>42644.0</v>
      </c>
      <c r="CK16" s="139">
        <v>42675.0</v>
      </c>
      <c r="CL16" s="139">
        <v>42705.0</v>
      </c>
      <c r="CM16" s="139">
        <v>42736.0</v>
      </c>
      <c r="CN16" s="139">
        <v>42767.0</v>
      </c>
      <c r="CO16" s="139">
        <v>42795.0</v>
      </c>
      <c r="CP16" s="139">
        <v>42826.0</v>
      </c>
      <c r="CQ16" s="139">
        <v>42856.0</v>
      </c>
      <c r="CR16" s="139">
        <v>42887.0</v>
      </c>
      <c r="CS16" s="139">
        <v>42917.0</v>
      </c>
      <c r="CT16" s="139">
        <v>42948.0</v>
      </c>
      <c r="CU16" s="139">
        <v>42979.0</v>
      </c>
      <c r="CV16" s="139">
        <v>43009.0</v>
      </c>
      <c r="CW16" s="139">
        <v>43040.0</v>
      </c>
      <c r="CX16" s="139">
        <v>43070.0</v>
      </c>
      <c r="CY16" s="139">
        <v>43101.0</v>
      </c>
      <c r="CZ16" s="139">
        <v>43132.0</v>
      </c>
      <c r="DA16" s="139">
        <v>43160.0</v>
      </c>
      <c r="DB16" s="139">
        <v>43191.0</v>
      </c>
      <c r="DC16" s="139">
        <v>43221.0</v>
      </c>
      <c r="DD16" s="139">
        <v>43252.0</v>
      </c>
      <c r="DE16" s="139">
        <v>43282.0</v>
      </c>
      <c r="DF16" s="139">
        <v>43313.0</v>
      </c>
      <c r="DG16" s="139">
        <v>43344.0</v>
      </c>
      <c r="DH16" s="139">
        <v>43374.0</v>
      </c>
      <c r="DI16" s="139">
        <v>43405.0</v>
      </c>
      <c r="DJ16" s="139">
        <v>43435.0</v>
      </c>
      <c r="DK16" s="139">
        <v>43466.0</v>
      </c>
      <c r="DL16" s="139">
        <v>43497.0</v>
      </c>
      <c r="DM16" s="139">
        <v>43525.0</v>
      </c>
      <c r="DN16" s="139">
        <v>43556.0</v>
      </c>
      <c r="DO16" s="139">
        <v>43586.0</v>
      </c>
      <c r="DP16" s="139">
        <v>43617.0</v>
      </c>
      <c r="DQ16" s="139">
        <v>43647.0</v>
      </c>
      <c r="DR16" s="139">
        <v>43678.0</v>
      </c>
      <c r="DS16" s="139">
        <v>43709.0</v>
      </c>
      <c r="DT16" s="139">
        <v>43739.0</v>
      </c>
      <c r="DU16" s="139">
        <v>43770.0</v>
      </c>
      <c r="DV16" s="139">
        <v>43800.0</v>
      </c>
      <c r="DW16" s="139">
        <v>43831.0</v>
      </c>
      <c r="DX16" s="139">
        <v>43862.0</v>
      </c>
      <c r="DY16" s="139">
        <v>43891.0</v>
      </c>
      <c r="DZ16" s="139">
        <v>43922.0</v>
      </c>
      <c r="EA16" s="139">
        <v>43952.0</v>
      </c>
      <c r="EB16" s="139">
        <v>43983.0</v>
      </c>
      <c r="EC16" s="139">
        <v>44013.0</v>
      </c>
      <c r="ED16" s="139">
        <v>44044.0</v>
      </c>
      <c r="EE16" s="139">
        <v>44075.0</v>
      </c>
      <c r="EF16" s="139">
        <v>44105.0</v>
      </c>
      <c r="EG16" s="139">
        <v>44136.0</v>
      </c>
      <c r="EH16" s="139">
        <v>44166.0</v>
      </c>
      <c r="EI16" s="139">
        <v>44197.0</v>
      </c>
      <c r="EJ16" s="139">
        <v>44228.0</v>
      </c>
      <c r="EK16" s="139">
        <v>44256.0</v>
      </c>
      <c r="EL16" s="139">
        <v>44287.0</v>
      </c>
      <c r="EM16" s="139">
        <v>44317.0</v>
      </c>
      <c r="EN16" s="139">
        <v>44348.0</v>
      </c>
      <c r="EO16" s="139">
        <v>44378.0</v>
      </c>
      <c r="EP16" s="139">
        <v>44409.0</v>
      </c>
      <c r="EQ16" s="139">
        <v>44440.0</v>
      </c>
      <c r="ER16" s="139">
        <v>44470.0</v>
      </c>
      <c r="ES16" s="139">
        <v>44501.0</v>
      </c>
      <c r="ET16" s="139">
        <v>44531.0</v>
      </c>
      <c r="EU16" s="139">
        <v>44562.0</v>
      </c>
      <c r="EV16" s="139">
        <v>44593.0</v>
      </c>
      <c r="EW16" s="139">
        <v>44621.0</v>
      </c>
      <c r="EX16" s="139">
        <v>44652.0</v>
      </c>
      <c r="EY16" s="139">
        <v>44682.0</v>
      </c>
      <c r="EZ16" s="139">
        <v>44713.0</v>
      </c>
      <c r="FA16" s="139">
        <v>44743.0</v>
      </c>
      <c r="FB16" s="139">
        <v>44774.0</v>
      </c>
      <c r="FC16" s="139">
        <v>44805.0</v>
      </c>
      <c r="FD16" s="139">
        <v>44835.0</v>
      </c>
      <c r="FE16" s="139">
        <v>44866.0</v>
      </c>
      <c r="FF16" s="139">
        <v>44896.0</v>
      </c>
      <c r="FG16" s="139">
        <v>44927.0</v>
      </c>
      <c r="FH16" s="139">
        <v>44958.0</v>
      </c>
      <c r="FI16" s="139">
        <v>44986.0</v>
      </c>
      <c r="FJ16" s="139">
        <v>45017.0</v>
      </c>
      <c r="FK16" s="139">
        <v>45047.0</v>
      </c>
      <c r="FL16" s="139">
        <v>45078.0</v>
      </c>
      <c r="FM16" s="139">
        <v>45108.0</v>
      </c>
      <c r="FN16" s="139">
        <v>45139.0</v>
      </c>
      <c r="FO16" s="139">
        <v>45170.0</v>
      </c>
      <c r="FP16" s="139">
        <v>45200.0</v>
      </c>
      <c r="FQ16" s="139">
        <v>45231.0</v>
      </c>
      <c r="FR16" s="139">
        <v>45261.0</v>
      </c>
      <c r="FS16" s="139">
        <v>45292.0</v>
      </c>
      <c r="FT16" s="139">
        <v>45323.0</v>
      </c>
      <c r="FU16" s="139">
        <v>45352.0</v>
      </c>
      <c r="FV16" s="139">
        <v>45383.0</v>
      </c>
      <c r="FW16" s="139">
        <v>45413.0</v>
      </c>
      <c r="FX16" s="139">
        <v>45444.0</v>
      </c>
      <c r="FY16" s="139">
        <v>45474.0</v>
      </c>
      <c r="FZ16" s="139">
        <v>45505.0</v>
      </c>
      <c r="GA16" s="139">
        <v>45536.0</v>
      </c>
      <c r="GB16" s="139">
        <v>45566.0</v>
      </c>
      <c r="GC16" s="139">
        <v>45597.0</v>
      </c>
      <c r="GD16" s="139">
        <v>45627.0</v>
      </c>
      <c r="GE16" s="139">
        <v>45658.0</v>
      </c>
      <c r="GF16" s="139">
        <v>45689.0</v>
      </c>
      <c r="GG16" s="139">
        <v>45717.0</v>
      </c>
      <c r="GH16" s="139">
        <v>45748.0</v>
      </c>
      <c r="GI16" s="139">
        <v>45778.0</v>
      </c>
      <c r="GJ16" s="139">
        <v>45809.0</v>
      </c>
      <c r="GK16" s="139">
        <v>45839.0</v>
      </c>
    </row>
    <row r="17">
      <c r="A17" s="132" t="s">
        <v>33934</v>
      </c>
      <c r="B17" s="133" t="s">
        <v>1326</v>
      </c>
      <c r="C17" s="134">
        <v>41844.751076388886</v>
      </c>
      <c r="D17" s="135" t="str">
        <f t="shared" si="1"/>
        <v>2014/07/24</v>
      </c>
      <c r="E17" s="136" t="s">
        <v>33935</v>
      </c>
      <c r="F17" s="137">
        <v>7.0E-5</v>
      </c>
      <c r="G17" s="138">
        <v>40179.0</v>
      </c>
      <c r="H17" s="138">
        <v>40210.0</v>
      </c>
      <c r="I17" s="138">
        <v>40238.0</v>
      </c>
      <c r="J17" s="138">
        <v>40269.0</v>
      </c>
      <c r="K17" s="138">
        <v>40299.0</v>
      </c>
      <c r="L17" s="138">
        <v>40330.0</v>
      </c>
      <c r="M17" s="138">
        <v>40360.0</v>
      </c>
      <c r="N17" s="138">
        <v>40391.0</v>
      </c>
      <c r="O17" s="138">
        <v>40422.0</v>
      </c>
      <c r="P17" s="138">
        <v>40452.0</v>
      </c>
      <c r="Q17" s="138">
        <v>40483.0</v>
      </c>
      <c r="R17" s="138">
        <v>40513.0</v>
      </c>
      <c r="S17" s="138">
        <v>40544.0</v>
      </c>
      <c r="T17" s="138">
        <v>40575.0</v>
      </c>
      <c r="U17" s="138">
        <v>40603.0</v>
      </c>
      <c r="V17" s="138">
        <v>40634.0</v>
      </c>
      <c r="W17" s="138">
        <v>40664.0</v>
      </c>
      <c r="X17" s="138">
        <v>40695.0</v>
      </c>
      <c r="Y17" s="138">
        <v>40725.0</v>
      </c>
      <c r="Z17" s="138">
        <v>40756.0</v>
      </c>
      <c r="AA17" s="138">
        <v>40787.0</v>
      </c>
      <c r="AB17" s="138">
        <v>40817.0</v>
      </c>
      <c r="AC17" s="138">
        <v>40848.0</v>
      </c>
      <c r="AD17" s="138">
        <v>40878.0</v>
      </c>
      <c r="AE17" s="138">
        <v>40909.0</v>
      </c>
      <c r="AF17" s="138">
        <v>40940.0</v>
      </c>
      <c r="AG17" s="138">
        <v>40969.0</v>
      </c>
      <c r="AH17" s="138">
        <v>41000.0</v>
      </c>
      <c r="AI17" s="138">
        <v>41030.0</v>
      </c>
      <c r="AJ17" s="138">
        <v>41061.0</v>
      </c>
      <c r="AK17" s="138">
        <v>41091.0</v>
      </c>
      <c r="AL17" s="138">
        <v>41122.0</v>
      </c>
      <c r="AM17" s="138">
        <v>41153.0</v>
      </c>
      <c r="AN17" s="138">
        <v>41183.0</v>
      </c>
      <c r="AO17" s="138">
        <v>41214.0</v>
      </c>
      <c r="AP17" s="138">
        <v>41244.0</v>
      </c>
      <c r="AQ17" s="138">
        <v>41275.0</v>
      </c>
      <c r="AR17" s="138">
        <v>41306.0</v>
      </c>
      <c r="AS17" s="138">
        <v>41334.0</v>
      </c>
      <c r="AT17" s="138">
        <v>41365.0</v>
      </c>
      <c r="AU17" s="138">
        <v>41395.0</v>
      </c>
      <c r="AV17" s="138">
        <v>41426.0</v>
      </c>
      <c r="AW17" s="138">
        <v>41456.0</v>
      </c>
      <c r="AX17" s="138">
        <v>41487.0</v>
      </c>
      <c r="AY17" s="138">
        <v>41518.0</v>
      </c>
      <c r="AZ17" s="138">
        <v>41548.0</v>
      </c>
      <c r="BA17" s="138">
        <v>41579.0</v>
      </c>
      <c r="BB17" s="138">
        <v>41609.0</v>
      </c>
      <c r="BC17" s="138">
        <v>41640.0</v>
      </c>
      <c r="BD17" s="138">
        <v>41671.0</v>
      </c>
      <c r="BE17" s="138">
        <v>41699.0</v>
      </c>
      <c r="BF17" s="138">
        <v>41730.0</v>
      </c>
      <c r="BG17" s="138">
        <v>41760.0</v>
      </c>
      <c r="BH17" s="138">
        <v>41791.0</v>
      </c>
      <c r="BI17" s="138">
        <v>41821.0</v>
      </c>
      <c r="BJ17" s="139">
        <v>41852.0</v>
      </c>
      <c r="BK17" s="139">
        <v>41883.0</v>
      </c>
      <c r="BL17" s="139">
        <v>41913.0</v>
      </c>
      <c r="BM17" s="139">
        <v>41944.0</v>
      </c>
      <c r="BN17" s="139">
        <v>41974.0</v>
      </c>
      <c r="BO17" s="139">
        <v>42005.0</v>
      </c>
      <c r="BP17" s="139">
        <v>42036.0</v>
      </c>
      <c r="BQ17" s="139">
        <v>42064.0</v>
      </c>
      <c r="BR17" s="139">
        <v>42095.0</v>
      </c>
      <c r="BS17" s="139">
        <v>42125.0</v>
      </c>
      <c r="BT17" s="139">
        <v>42156.0</v>
      </c>
      <c r="BU17" s="139">
        <v>42186.0</v>
      </c>
      <c r="BV17" s="139">
        <v>42217.0</v>
      </c>
      <c r="BW17" s="139">
        <v>42248.0</v>
      </c>
      <c r="BX17" s="139">
        <v>42278.0</v>
      </c>
      <c r="BY17" s="139">
        <v>42309.0</v>
      </c>
      <c r="BZ17" s="139">
        <v>42339.0</v>
      </c>
      <c r="CA17" s="139">
        <v>42370.0</v>
      </c>
      <c r="CB17" s="139">
        <v>42401.0</v>
      </c>
      <c r="CC17" s="139">
        <v>42430.0</v>
      </c>
      <c r="CD17" s="139">
        <v>42461.0</v>
      </c>
      <c r="CE17" s="139">
        <v>42491.0</v>
      </c>
      <c r="CF17" s="139">
        <v>42522.0</v>
      </c>
      <c r="CG17" s="139">
        <v>42552.0</v>
      </c>
      <c r="CH17" s="139">
        <v>42583.0</v>
      </c>
      <c r="CI17" s="139">
        <v>42614.0</v>
      </c>
      <c r="CJ17" s="139">
        <v>42644.0</v>
      </c>
      <c r="CK17" s="139">
        <v>42675.0</v>
      </c>
      <c r="CL17" s="139">
        <v>42705.0</v>
      </c>
      <c r="CM17" s="139">
        <v>42736.0</v>
      </c>
      <c r="CN17" s="139">
        <v>42767.0</v>
      </c>
      <c r="CO17" s="139">
        <v>42795.0</v>
      </c>
      <c r="CP17" s="139">
        <v>42826.0</v>
      </c>
      <c r="CQ17" s="139">
        <v>42856.0</v>
      </c>
      <c r="CR17" s="139">
        <v>42887.0</v>
      </c>
      <c r="CS17" s="139">
        <v>42917.0</v>
      </c>
      <c r="CT17" s="139">
        <v>42948.0</v>
      </c>
      <c r="CU17" s="139">
        <v>42979.0</v>
      </c>
      <c r="CV17" s="139">
        <v>43009.0</v>
      </c>
      <c r="CW17" s="139">
        <v>43040.0</v>
      </c>
      <c r="CX17" s="139">
        <v>43070.0</v>
      </c>
      <c r="CY17" s="139">
        <v>43101.0</v>
      </c>
      <c r="CZ17" s="139">
        <v>43132.0</v>
      </c>
      <c r="DA17" s="139">
        <v>43160.0</v>
      </c>
      <c r="DB17" s="139">
        <v>43191.0</v>
      </c>
      <c r="DC17" s="139">
        <v>43221.0</v>
      </c>
      <c r="DD17" s="139">
        <v>43252.0</v>
      </c>
      <c r="DE17" s="139">
        <v>43282.0</v>
      </c>
      <c r="DF17" s="139">
        <v>43313.0</v>
      </c>
      <c r="DG17" s="139">
        <v>43344.0</v>
      </c>
      <c r="DH17" s="139">
        <v>43374.0</v>
      </c>
      <c r="DI17" s="139">
        <v>43405.0</v>
      </c>
      <c r="DJ17" s="139">
        <v>43435.0</v>
      </c>
      <c r="DK17" s="139">
        <v>43466.0</v>
      </c>
      <c r="DL17" s="139">
        <v>43497.0</v>
      </c>
      <c r="DM17" s="139">
        <v>43525.0</v>
      </c>
      <c r="DN17" s="139">
        <v>43556.0</v>
      </c>
      <c r="DO17" s="139">
        <v>43586.0</v>
      </c>
      <c r="DP17" s="139">
        <v>43617.0</v>
      </c>
      <c r="DQ17" s="139">
        <v>43647.0</v>
      </c>
      <c r="DR17" s="139">
        <v>43678.0</v>
      </c>
      <c r="DS17" s="139">
        <v>43709.0</v>
      </c>
      <c r="DT17" s="139">
        <v>43739.0</v>
      </c>
      <c r="DU17" s="139">
        <v>43770.0</v>
      </c>
      <c r="DV17" s="139">
        <v>43800.0</v>
      </c>
      <c r="DW17" s="139">
        <v>43831.0</v>
      </c>
      <c r="DX17" s="139">
        <v>43862.0</v>
      </c>
      <c r="DY17" s="139">
        <v>43891.0</v>
      </c>
      <c r="DZ17" s="139">
        <v>43922.0</v>
      </c>
      <c r="EA17" s="139">
        <v>43952.0</v>
      </c>
      <c r="EB17" s="139">
        <v>43983.0</v>
      </c>
      <c r="EC17" s="139">
        <v>44013.0</v>
      </c>
      <c r="ED17" s="139">
        <v>44044.0</v>
      </c>
      <c r="EE17" s="139">
        <v>44075.0</v>
      </c>
      <c r="EF17" s="139">
        <v>44105.0</v>
      </c>
      <c r="EG17" s="139">
        <v>44136.0</v>
      </c>
      <c r="EH17" s="139">
        <v>44166.0</v>
      </c>
      <c r="EI17" s="139">
        <v>44197.0</v>
      </c>
      <c r="EJ17" s="139">
        <v>44228.0</v>
      </c>
      <c r="EK17" s="139">
        <v>44256.0</v>
      </c>
      <c r="EL17" s="139">
        <v>44287.0</v>
      </c>
      <c r="EM17" s="139">
        <v>44317.0</v>
      </c>
      <c r="EN17" s="139">
        <v>44348.0</v>
      </c>
      <c r="EO17" s="139">
        <v>44378.0</v>
      </c>
      <c r="EP17" s="139">
        <v>44409.0</v>
      </c>
      <c r="EQ17" s="139">
        <v>44440.0</v>
      </c>
      <c r="ER17" s="139">
        <v>44470.0</v>
      </c>
      <c r="ES17" s="139">
        <v>44501.0</v>
      </c>
      <c r="ET17" s="139">
        <v>44531.0</v>
      </c>
      <c r="EU17" s="139">
        <v>44562.0</v>
      </c>
      <c r="EV17" s="139">
        <v>44593.0</v>
      </c>
      <c r="EW17" s="139">
        <v>44621.0</v>
      </c>
      <c r="EX17" s="139">
        <v>44652.0</v>
      </c>
      <c r="EY17" s="139">
        <v>44682.0</v>
      </c>
      <c r="EZ17" s="139">
        <v>44713.0</v>
      </c>
      <c r="FA17" s="139">
        <v>44743.0</v>
      </c>
      <c r="FB17" s="139">
        <v>44774.0</v>
      </c>
      <c r="FC17" s="139">
        <v>44805.0</v>
      </c>
      <c r="FD17" s="139">
        <v>44835.0</v>
      </c>
      <c r="FE17" s="139">
        <v>44866.0</v>
      </c>
      <c r="FF17" s="139">
        <v>44896.0</v>
      </c>
      <c r="FG17" s="139">
        <v>44927.0</v>
      </c>
      <c r="FH17" s="139">
        <v>44958.0</v>
      </c>
      <c r="FI17" s="139">
        <v>44986.0</v>
      </c>
      <c r="FJ17" s="139">
        <v>45017.0</v>
      </c>
      <c r="FK17" s="139">
        <v>45047.0</v>
      </c>
      <c r="FL17" s="139">
        <v>45078.0</v>
      </c>
      <c r="FM17" s="139">
        <v>45108.0</v>
      </c>
      <c r="FN17" s="139">
        <v>45139.0</v>
      </c>
      <c r="FO17" s="139">
        <v>45170.0</v>
      </c>
      <c r="FP17" s="139">
        <v>45200.0</v>
      </c>
      <c r="FQ17" s="139">
        <v>45231.0</v>
      </c>
      <c r="FR17" s="139">
        <v>45261.0</v>
      </c>
      <c r="FS17" s="139">
        <v>45292.0</v>
      </c>
      <c r="FT17" s="139">
        <v>45323.0</v>
      </c>
      <c r="FU17" s="139">
        <v>45352.0</v>
      </c>
      <c r="FV17" s="139">
        <v>45383.0</v>
      </c>
      <c r="FW17" s="139">
        <v>45413.0</v>
      </c>
      <c r="FX17" s="139">
        <v>45444.0</v>
      </c>
      <c r="FY17" s="139">
        <v>45474.0</v>
      </c>
      <c r="FZ17" s="139">
        <v>45505.0</v>
      </c>
      <c r="GA17" s="139">
        <v>45536.0</v>
      </c>
      <c r="GB17" s="139">
        <v>45566.0</v>
      </c>
      <c r="GC17" s="139">
        <v>45597.0</v>
      </c>
      <c r="GD17" s="139">
        <v>45627.0</v>
      </c>
      <c r="GE17" s="139">
        <v>45658.0</v>
      </c>
      <c r="GF17" s="139">
        <v>45689.0</v>
      </c>
      <c r="GG17" s="139">
        <v>45717.0</v>
      </c>
      <c r="GH17" s="139">
        <v>45748.0</v>
      </c>
      <c r="GI17" s="139">
        <v>45778.0</v>
      </c>
      <c r="GJ17" s="139">
        <v>45809.0</v>
      </c>
      <c r="GK17" s="139">
        <v>45839.0</v>
      </c>
    </row>
    <row r="18">
      <c r="A18" s="132" t="s">
        <v>33936</v>
      </c>
      <c r="B18" s="133" t="s">
        <v>1323</v>
      </c>
      <c r="C18" s="134">
        <v>41926.73627314815</v>
      </c>
      <c r="D18" s="135" t="str">
        <f t="shared" si="1"/>
        <v>2014/10/14</v>
      </c>
      <c r="E18" s="136" t="s">
        <v>33937</v>
      </c>
      <c r="F18" s="137">
        <v>0.00263</v>
      </c>
      <c r="G18" s="138">
        <v>40179.0</v>
      </c>
      <c r="H18" s="138">
        <v>40210.0</v>
      </c>
      <c r="I18" s="138">
        <v>40238.0</v>
      </c>
      <c r="J18" s="138">
        <v>40269.0</v>
      </c>
      <c r="K18" s="138">
        <v>40299.0</v>
      </c>
      <c r="L18" s="138">
        <v>40330.0</v>
      </c>
      <c r="M18" s="138">
        <v>40360.0</v>
      </c>
      <c r="N18" s="138">
        <v>40391.0</v>
      </c>
      <c r="O18" s="138">
        <v>40422.0</v>
      </c>
      <c r="P18" s="138">
        <v>40452.0</v>
      </c>
      <c r="Q18" s="138">
        <v>40483.0</v>
      </c>
      <c r="R18" s="138">
        <v>40513.0</v>
      </c>
      <c r="S18" s="138">
        <v>40544.0</v>
      </c>
      <c r="T18" s="138">
        <v>40575.0</v>
      </c>
      <c r="U18" s="138">
        <v>40603.0</v>
      </c>
      <c r="V18" s="138">
        <v>40634.0</v>
      </c>
      <c r="W18" s="138">
        <v>40664.0</v>
      </c>
      <c r="X18" s="138">
        <v>40695.0</v>
      </c>
      <c r="Y18" s="138">
        <v>40725.0</v>
      </c>
      <c r="Z18" s="138">
        <v>40756.0</v>
      </c>
      <c r="AA18" s="138">
        <v>40787.0</v>
      </c>
      <c r="AB18" s="138">
        <v>40817.0</v>
      </c>
      <c r="AC18" s="138">
        <v>40848.0</v>
      </c>
      <c r="AD18" s="138">
        <v>40878.0</v>
      </c>
      <c r="AE18" s="138">
        <v>40909.0</v>
      </c>
      <c r="AF18" s="138">
        <v>40940.0</v>
      </c>
      <c r="AG18" s="138">
        <v>40969.0</v>
      </c>
      <c r="AH18" s="138">
        <v>41000.0</v>
      </c>
      <c r="AI18" s="138">
        <v>41030.0</v>
      </c>
      <c r="AJ18" s="138">
        <v>41061.0</v>
      </c>
      <c r="AK18" s="138">
        <v>41091.0</v>
      </c>
      <c r="AL18" s="138">
        <v>41122.0</v>
      </c>
      <c r="AM18" s="138">
        <v>41153.0</v>
      </c>
      <c r="AN18" s="138">
        <v>41183.0</v>
      </c>
      <c r="AO18" s="138">
        <v>41214.0</v>
      </c>
      <c r="AP18" s="138">
        <v>41244.0</v>
      </c>
      <c r="AQ18" s="138">
        <v>41275.0</v>
      </c>
      <c r="AR18" s="138">
        <v>41306.0</v>
      </c>
      <c r="AS18" s="138">
        <v>41334.0</v>
      </c>
      <c r="AT18" s="138">
        <v>41365.0</v>
      </c>
      <c r="AU18" s="138">
        <v>41395.0</v>
      </c>
      <c r="AV18" s="138">
        <v>41426.0</v>
      </c>
      <c r="AW18" s="138">
        <v>41456.0</v>
      </c>
      <c r="AX18" s="138">
        <v>41487.0</v>
      </c>
      <c r="AY18" s="138">
        <v>41518.0</v>
      </c>
      <c r="AZ18" s="138">
        <v>41548.0</v>
      </c>
      <c r="BA18" s="138">
        <v>41579.0</v>
      </c>
      <c r="BB18" s="138">
        <v>41609.0</v>
      </c>
      <c r="BC18" s="138">
        <v>41640.0</v>
      </c>
      <c r="BD18" s="138">
        <v>41671.0</v>
      </c>
      <c r="BE18" s="138">
        <v>41699.0</v>
      </c>
      <c r="BF18" s="138">
        <v>41730.0</v>
      </c>
      <c r="BG18" s="138">
        <v>41760.0</v>
      </c>
      <c r="BH18" s="138">
        <v>41791.0</v>
      </c>
      <c r="BI18" s="138">
        <v>41821.0</v>
      </c>
      <c r="BJ18" s="138">
        <v>41852.0</v>
      </c>
      <c r="BK18" s="138">
        <v>41883.0</v>
      </c>
      <c r="BL18" s="138">
        <v>41913.0</v>
      </c>
      <c r="BM18" s="139">
        <v>41944.0</v>
      </c>
      <c r="BN18" s="139">
        <v>41974.0</v>
      </c>
      <c r="BO18" s="139">
        <v>42005.0</v>
      </c>
      <c r="BP18" s="139">
        <v>42036.0</v>
      </c>
      <c r="BQ18" s="139">
        <v>42064.0</v>
      </c>
      <c r="BR18" s="139">
        <v>42095.0</v>
      </c>
      <c r="BS18" s="139">
        <v>42125.0</v>
      </c>
      <c r="BT18" s="139">
        <v>42156.0</v>
      </c>
      <c r="BU18" s="139">
        <v>42186.0</v>
      </c>
      <c r="BV18" s="139">
        <v>42217.0</v>
      </c>
      <c r="BW18" s="139">
        <v>42248.0</v>
      </c>
      <c r="BX18" s="139">
        <v>42278.0</v>
      </c>
      <c r="BY18" s="139">
        <v>42309.0</v>
      </c>
      <c r="BZ18" s="139">
        <v>42339.0</v>
      </c>
      <c r="CA18" s="139">
        <v>42370.0</v>
      </c>
      <c r="CB18" s="139">
        <v>42401.0</v>
      </c>
      <c r="CC18" s="139">
        <v>42430.0</v>
      </c>
      <c r="CD18" s="139">
        <v>42461.0</v>
      </c>
      <c r="CE18" s="139">
        <v>42491.0</v>
      </c>
      <c r="CF18" s="139">
        <v>42522.0</v>
      </c>
      <c r="CG18" s="139">
        <v>42552.0</v>
      </c>
      <c r="CH18" s="139">
        <v>42583.0</v>
      </c>
      <c r="CI18" s="139">
        <v>42614.0</v>
      </c>
      <c r="CJ18" s="139">
        <v>42644.0</v>
      </c>
      <c r="CK18" s="139">
        <v>42675.0</v>
      </c>
      <c r="CL18" s="139">
        <v>42705.0</v>
      </c>
      <c r="CM18" s="139">
        <v>42736.0</v>
      </c>
      <c r="CN18" s="139">
        <v>42767.0</v>
      </c>
      <c r="CO18" s="139">
        <v>42795.0</v>
      </c>
      <c r="CP18" s="139">
        <v>42826.0</v>
      </c>
      <c r="CQ18" s="139">
        <v>42856.0</v>
      </c>
      <c r="CR18" s="139">
        <v>42887.0</v>
      </c>
      <c r="CS18" s="139">
        <v>42917.0</v>
      </c>
      <c r="CT18" s="139">
        <v>42948.0</v>
      </c>
      <c r="CU18" s="139">
        <v>42979.0</v>
      </c>
      <c r="CV18" s="139">
        <v>43009.0</v>
      </c>
      <c r="CW18" s="139">
        <v>43040.0</v>
      </c>
      <c r="CX18" s="139">
        <v>43070.0</v>
      </c>
      <c r="CY18" s="139">
        <v>43101.0</v>
      </c>
      <c r="CZ18" s="139">
        <v>43132.0</v>
      </c>
      <c r="DA18" s="139">
        <v>43160.0</v>
      </c>
      <c r="DB18" s="139">
        <v>43191.0</v>
      </c>
      <c r="DC18" s="139">
        <v>43221.0</v>
      </c>
      <c r="DD18" s="139">
        <v>43252.0</v>
      </c>
      <c r="DE18" s="139">
        <v>43282.0</v>
      </c>
      <c r="DF18" s="139">
        <v>43313.0</v>
      </c>
      <c r="DG18" s="139">
        <v>43344.0</v>
      </c>
      <c r="DH18" s="139">
        <v>43374.0</v>
      </c>
      <c r="DI18" s="139">
        <v>43405.0</v>
      </c>
      <c r="DJ18" s="139">
        <v>43435.0</v>
      </c>
      <c r="DK18" s="139">
        <v>43466.0</v>
      </c>
      <c r="DL18" s="139">
        <v>43497.0</v>
      </c>
      <c r="DM18" s="139">
        <v>43525.0</v>
      </c>
      <c r="DN18" s="139">
        <v>43556.0</v>
      </c>
      <c r="DO18" s="139">
        <v>43586.0</v>
      </c>
      <c r="DP18" s="139">
        <v>43617.0</v>
      </c>
      <c r="DQ18" s="139">
        <v>43647.0</v>
      </c>
      <c r="DR18" s="139">
        <v>43678.0</v>
      </c>
      <c r="DS18" s="139">
        <v>43709.0</v>
      </c>
      <c r="DT18" s="139">
        <v>43739.0</v>
      </c>
      <c r="DU18" s="139">
        <v>43770.0</v>
      </c>
      <c r="DV18" s="139">
        <v>43800.0</v>
      </c>
      <c r="DW18" s="139">
        <v>43831.0</v>
      </c>
      <c r="DX18" s="139">
        <v>43862.0</v>
      </c>
      <c r="DY18" s="139">
        <v>43891.0</v>
      </c>
      <c r="DZ18" s="139">
        <v>43922.0</v>
      </c>
      <c r="EA18" s="139">
        <v>43952.0</v>
      </c>
      <c r="EB18" s="139">
        <v>43983.0</v>
      </c>
      <c r="EC18" s="139">
        <v>44013.0</v>
      </c>
      <c r="ED18" s="139">
        <v>44044.0</v>
      </c>
      <c r="EE18" s="139">
        <v>44075.0</v>
      </c>
      <c r="EF18" s="139">
        <v>44105.0</v>
      </c>
      <c r="EG18" s="139">
        <v>44136.0</v>
      </c>
      <c r="EH18" s="139">
        <v>44166.0</v>
      </c>
      <c r="EI18" s="139">
        <v>44197.0</v>
      </c>
      <c r="EJ18" s="139">
        <v>44228.0</v>
      </c>
      <c r="EK18" s="139">
        <v>44256.0</v>
      </c>
      <c r="EL18" s="139">
        <v>44287.0</v>
      </c>
      <c r="EM18" s="139">
        <v>44317.0</v>
      </c>
      <c r="EN18" s="139">
        <v>44348.0</v>
      </c>
      <c r="EO18" s="139">
        <v>44378.0</v>
      </c>
      <c r="EP18" s="139">
        <v>44409.0</v>
      </c>
      <c r="EQ18" s="139">
        <v>44440.0</v>
      </c>
      <c r="ER18" s="139">
        <v>44470.0</v>
      </c>
      <c r="ES18" s="139">
        <v>44501.0</v>
      </c>
      <c r="ET18" s="139">
        <v>44531.0</v>
      </c>
      <c r="EU18" s="139">
        <v>44562.0</v>
      </c>
      <c r="EV18" s="139">
        <v>44593.0</v>
      </c>
      <c r="EW18" s="139">
        <v>44621.0</v>
      </c>
      <c r="EX18" s="139">
        <v>44652.0</v>
      </c>
      <c r="EY18" s="139">
        <v>44682.0</v>
      </c>
      <c r="EZ18" s="139">
        <v>44713.0</v>
      </c>
      <c r="FA18" s="139">
        <v>44743.0</v>
      </c>
      <c r="FB18" s="139">
        <v>44774.0</v>
      </c>
      <c r="FC18" s="139">
        <v>44805.0</v>
      </c>
      <c r="FD18" s="139">
        <v>44835.0</v>
      </c>
      <c r="FE18" s="139">
        <v>44866.0</v>
      </c>
      <c r="FF18" s="139">
        <v>44896.0</v>
      </c>
      <c r="FG18" s="139">
        <v>44927.0</v>
      </c>
      <c r="FH18" s="139">
        <v>44958.0</v>
      </c>
      <c r="FI18" s="139">
        <v>44986.0</v>
      </c>
      <c r="FJ18" s="139">
        <v>45017.0</v>
      </c>
      <c r="FK18" s="139">
        <v>45047.0</v>
      </c>
      <c r="FL18" s="139">
        <v>45078.0</v>
      </c>
      <c r="FM18" s="139">
        <v>45108.0</v>
      </c>
      <c r="FN18" s="139">
        <v>45139.0</v>
      </c>
      <c r="FO18" s="139">
        <v>45170.0</v>
      </c>
      <c r="FP18" s="139">
        <v>45200.0</v>
      </c>
      <c r="FQ18" s="139">
        <v>45231.0</v>
      </c>
      <c r="FR18" s="139">
        <v>45261.0</v>
      </c>
      <c r="FS18" s="139">
        <v>45292.0</v>
      </c>
      <c r="FT18" s="139">
        <v>45323.0</v>
      </c>
      <c r="FU18" s="139">
        <v>45352.0</v>
      </c>
      <c r="FV18" s="139">
        <v>45383.0</v>
      </c>
      <c r="FW18" s="139">
        <v>45413.0</v>
      </c>
      <c r="FX18" s="139">
        <v>45444.0</v>
      </c>
      <c r="FY18" s="139">
        <v>45474.0</v>
      </c>
      <c r="FZ18" s="139">
        <v>45505.0</v>
      </c>
      <c r="GA18" s="139">
        <v>45536.0</v>
      </c>
      <c r="GB18" s="139">
        <v>45566.0</v>
      </c>
      <c r="GC18" s="139">
        <v>45597.0</v>
      </c>
      <c r="GD18" s="139">
        <v>45627.0</v>
      </c>
      <c r="GE18" s="139">
        <v>45658.0</v>
      </c>
      <c r="GF18" s="139">
        <v>45689.0</v>
      </c>
      <c r="GG18" s="139">
        <v>45717.0</v>
      </c>
      <c r="GH18" s="139">
        <v>45748.0</v>
      </c>
      <c r="GI18" s="139">
        <v>45778.0</v>
      </c>
      <c r="GJ18" s="139">
        <v>45809.0</v>
      </c>
      <c r="GK18" s="139">
        <v>45839.0</v>
      </c>
    </row>
    <row r="19">
      <c r="A19" s="132" t="s">
        <v>33938</v>
      </c>
      <c r="B19" s="133" t="s">
        <v>1241</v>
      </c>
      <c r="C19" s="134">
        <v>41934.68493055556</v>
      </c>
      <c r="D19" s="135" t="str">
        <f t="shared" si="1"/>
        <v>2014/10/22</v>
      </c>
      <c r="E19" s="136" t="s">
        <v>33939</v>
      </c>
      <c r="F19" s="137">
        <v>0.00395</v>
      </c>
      <c r="G19" s="138">
        <v>40179.0</v>
      </c>
      <c r="H19" s="138">
        <v>40210.0</v>
      </c>
      <c r="I19" s="138">
        <v>40238.0</v>
      </c>
      <c r="J19" s="138">
        <v>40269.0</v>
      </c>
      <c r="K19" s="138">
        <v>40299.0</v>
      </c>
      <c r="L19" s="138">
        <v>40330.0</v>
      </c>
      <c r="M19" s="138">
        <v>40360.0</v>
      </c>
      <c r="N19" s="138">
        <v>40391.0</v>
      </c>
      <c r="O19" s="138">
        <v>40422.0</v>
      </c>
      <c r="P19" s="138">
        <v>40452.0</v>
      </c>
      <c r="Q19" s="138">
        <v>40483.0</v>
      </c>
      <c r="R19" s="138">
        <v>40513.0</v>
      </c>
      <c r="S19" s="138">
        <v>40544.0</v>
      </c>
      <c r="T19" s="138">
        <v>40575.0</v>
      </c>
      <c r="U19" s="138">
        <v>40603.0</v>
      </c>
      <c r="V19" s="138">
        <v>40634.0</v>
      </c>
      <c r="W19" s="138">
        <v>40664.0</v>
      </c>
      <c r="X19" s="138">
        <v>40695.0</v>
      </c>
      <c r="Y19" s="138">
        <v>40725.0</v>
      </c>
      <c r="Z19" s="138">
        <v>40756.0</v>
      </c>
      <c r="AA19" s="138">
        <v>40787.0</v>
      </c>
      <c r="AB19" s="138">
        <v>40817.0</v>
      </c>
      <c r="AC19" s="138">
        <v>40848.0</v>
      </c>
      <c r="AD19" s="138">
        <v>40878.0</v>
      </c>
      <c r="AE19" s="138">
        <v>40909.0</v>
      </c>
      <c r="AF19" s="138">
        <v>40940.0</v>
      </c>
      <c r="AG19" s="138">
        <v>40969.0</v>
      </c>
      <c r="AH19" s="138">
        <v>41000.0</v>
      </c>
      <c r="AI19" s="138">
        <v>41030.0</v>
      </c>
      <c r="AJ19" s="138">
        <v>41061.0</v>
      </c>
      <c r="AK19" s="138">
        <v>41091.0</v>
      </c>
      <c r="AL19" s="138">
        <v>41122.0</v>
      </c>
      <c r="AM19" s="138">
        <v>41153.0</v>
      </c>
      <c r="AN19" s="138">
        <v>41183.0</v>
      </c>
      <c r="AO19" s="138">
        <v>41214.0</v>
      </c>
      <c r="AP19" s="138">
        <v>41244.0</v>
      </c>
      <c r="AQ19" s="138">
        <v>41275.0</v>
      </c>
      <c r="AR19" s="138">
        <v>41306.0</v>
      </c>
      <c r="AS19" s="138">
        <v>41334.0</v>
      </c>
      <c r="AT19" s="138">
        <v>41365.0</v>
      </c>
      <c r="AU19" s="138">
        <v>41395.0</v>
      </c>
      <c r="AV19" s="138">
        <v>41426.0</v>
      </c>
      <c r="AW19" s="138">
        <v>41456.0</v>
      </c>
      <c r="AX19" s="138">
        <v>41487.0</v>
      </c>
      <c r="AY19" s="138">
        <v>41518.0</v>
      </c>
      <c r="AZ19" s="138">
        <v>41548.0</v>
      </c>
      <c r="BA19" s="138">
        <v>41579.0</v>
      </c>
      <c r="BB19" s="138">
        <v>41609.0</v>
      </c>
      <c r="BC19" s="138">
        <v>41640.0</v>
      </c>
      <c r="BD19" s="138">
        <v>41671.0</v>
      </c>
      <c r="BE19" s="138">
        <v>41699.0</v>
      </c>
      <c r="BF19" s="138">
        <v>41730.0</v>
      </c>
      <c r="BG19" s="138">
        <v>41760.0</v>
      </c>
      <c r="BH19" s="138">
        <v>41791.0</v>
      </c>
      <c r="BI19" s="138">
        <v>41821.0</v>
      </c>
      <c r="BJ19" s="138">
        <v>41852.0</v>
      </c>
      <c r="BK19" s="138">
        <v>41883.0</v>
      </c>
      <c r="BL19" s="138">
        <v>41913.0</v>
      </c>
      <c r="BM19" s="139">
        <v>41944.0</v>
      </c>
      <c r="BN19" s="139">
        <v>41974.0</v>
      </c>
      <c r="BO19" s="139">
        <v>42005.0</v>
      </c>
      <c r="BP19" s="139">
        <v>42036.0</v>
      </c>
      <c r="BQ19" s="139">
        <v>42064.0</v>
      </c>
      <c r="BR19" s="139">
        <v>42095.0</v>
      </c>
      <c r="BS19" s="139">
        <v>42125.0</v>
      </c>
      <c r="BT19" s="139">
        <v>42156.0</v>
      </c>
      <c r="BU19" s="139">
        <v>42186.0</v>
      </c>
      <c r="BV19" s="139">
        <v>42217.0</v>
      </c>
      <c r="BW19" s="139">
        <v>42248.0</v>
      </c>
      <c r="BX19" s="139">
        <v>42278.0</v>
      </c>
      <c r="BY19" s="139">
        <v>42309.0</v>
      </c>
      <c r="BZ19" s="139">
        <v>42339.0</v>
      </c>
      <c r="CA19" s="139">
        <v>42370.0</v>
      </c>
      <c r="CB19" s="139">
        <v>42401.0</v>
      </c>
      <c r="CC19" s="139">
        <v>42430.0</v>
      </c>
      <c r="CD19" s="139">
        <v>42461.0</v>
      </c>
      <c r="CE19" s="139">
        <v>42491.0</v>
      </c>
      <c r="CF19" s="139">
        <v>42522.0</v>
      </c>
      <c r="CG19" s="139">
        <v>42552.0</v>
      </c>
      <c r="CH19" s="139">
        <v>42583.0</v>
      </c>
      <c r="CI19" s="139">
        <v>42614.0</v>
      </c>
      <c r="CJ19" s="139">
        <v>42644.0</v>
      </c>
      <c r="CK19" s="139">
        <v>42675.0</v>
      </c>
      <c r="CL19" s="139">
        <v>42705.0</v>
      </c>
      <c r="CM19" s="139">
        <v>42736.0</v>
      </c>
      <c r="CN19" s="139">
        <v>42767.0</v>
      </c>
      <c r="CO19" s="139">
        <v>42795.0</v>
      </c>
      <c r="CP19" s="139">
        <v>42826.0</v>
      </c>
      <c r="CQ19" s="139">
        <v>42856.0</v>
      </c>
      <c r="CR19" s="139">
        <v>42887.0</v>
      </c>
      <c r="CS19" s="139">
        <v>42917.0</v>
      </c>
      <c r="CT19" s="139">
        <v>42948.0</v>
      </c>
      <c r="CU19" s="139">
        <v>42979.0</v>
      </c>
      <c r="CV19" s="139">
        <v>43009.0</v>
      </c>
      <c r="CW19" s="139">
        <v>43040.0</v>
      </c>
      <c r="CX19" s="139">
        <v>43070.0</v>
      </c>
      <c r="CY19" s="139">
        <v>43101.0</v>
      </c>
      <c r="CZ19" s="139">
        <v>43132.0</v>
      </c>
      <c r="DA19" s="139">
        <v>43160.0</v>
      </c>
      <c r="DB19" s="139">
        <v>43191.0</v>
      </c>
      <c r="DC19" s="139">
        <v>43221.0</v>
      </c>
      <c r="DD19" s="139">
        <v>43252.0</v>
      </c>
      <c r="DE19" s="139">
        <v>43282.0</v>
      </c>
      <c r="DF19" s="139">
        <v>43313.0</v>
      </c>
      <c r="DG19" s="139">
        <v>43344.0</v>
      </c>
      <c r="DH19" s="139">
        <v>43374.0</v>
      </c>
      <c r="DI19" s="139">
        <v>43405.0</v>
      </c>
      <c r="DJ19" s="139">
        <v>43435.0</v>
      </c>
      <c r="DK19" s="139">
        <v>43466.0</v>
      </c>
      <c r="DL19" s="139">
        <v>43497.0</v>
      </c>
      <c r="DM19" s="139">
        <v>43525.0</v>
      </c>
      <c r="DN19" s="139">
        <v>43556.0</v>
      </c>
      <c r="DO19" s="139">
        <v>43586.0</v>
      </c>
      <c r="DP19" s="139">
        <v>43617.0</v>
      </c>
      <c r="DQ19" s="139">
        <v>43647.0</v>
      </c>
      <c r="DR19" s="139">
        <v>43678.0</v>
      </c>
      <c r="DS19" s="139">
        <v>43709.0</v>
      </c>
      <c r="DT19" s="139">
        <v>43739.0</v>
      </c>
      <c r="DU19" s="139">
        <v>43770.0</v>
      </c>
      <c r="DV19" s="139">
        <v>43800.0</v>
      </c>
      <c r="DW19" s="139">
        <v>43831.0</v>
      </c>
      <c r="DX19" s="139">
        <v>43862.0</v>
      </c>
      <c r="DY19" s="139">
        <v>43891.0</v>
      </c>
      <c r="DZ19" s="139">
        <v>43922.0</v>
      </c>
      <c r="EA19" s="139">
        <v>43952.0</v>
      </c>
      <c r="EB19" s="139">
        <v>43983.0</v>
      </c>
      <c r="EC19" s="139">
        <v>44013.0</v>
      </c>
      <c r="ED19" s="139">
        <v>44044.0</v>
      </c>
      <c r="EE19" s="139">
        <v>44075.0</v>
      </c>
      <c r="EF19" s="139">
        <v>44105.0</v>
      </c>
      <c r="EG19" s="139">
        <v>44136.0</v>
      </c>
      <c r="EH19" s="139">
        <v>44166.0</v>
      </c>
      <c r="EI19" s="139">
        <v>44197.0</v>
      </c>
      <c r="EJ19" s="139">
        <v>44228.0</v>
      </c>
      <c r="EK19" s="139">
        <v>44256.0</v>
      </c>
      <c r="EL19" s="139">
        <v>44287.0</v>
      </c>
      <c r="EM19" s="139">
        <v>44317.0</v>
      </c>
      <c r="EN19" s="139">
        <v>44348.0</v>
      </c>
      <c r="EO19" s="139">
        <v>44378.0</v>
      </c>
      <c r="EP19" s="139">
        <v>44409.0</v>
      </c>
      <c r="EQ19" s="139">
        <v>44440.0</v>
      </c>
      <c r="ER19" s="139">
        <v>44470.0</v>
      </c>
      <c r="ES19" s="139">
        <v>44501.0</v>
      </c>
      <c r="ET19" s="139">
        <v>44531.0</v>
      </c>
      <c r="EU19" s="139">
        <v>44562.0</v>
      </c>
      <c r="EV19" s="139">
        <v>44593.0</v>
      </c>
      <c r="EW19" s="139">
        <v>44621.0</v>
      </c>
      <c r="EX19" s="139">
        <v>44652.0</v>
      </c>
      <c r="EY19" s="139">
        <v>44682.0</v>
      </c>
      <c r="EZ19" s="139">
        <v>44713.0</v>
      </c>
      <c r="FA19" s="139">
        <v>44743.0</v>
      </c>
      <c r="FB19" s="139">
        <v>44774.0</v>
      </c>
      <c r="FC19" s="139">
        <v>44805.0</v>
      </c>
      <c r="FD19" s="139">
        <v>44835.0</v>
      </c>
      <c r="FE19" s="139">
        <v>44866.0</v>
      </c>
      <c r="FF19" s="139">
        <v>44896.0</v>
      </c>
      <c r="FG19" s="139">
        <v>44927.0</v>
      </c>
      <c r="FH19" s="139">
        <v>44958.0</v>
      </c>
      <c r="FI19" s="139">
        <v>44986.0</v>
      </c>
      <c r="FJ19" s="139">
        <v>45017.0</v>
      </c>
      <c r="FK19" s="139">
        <v>45047.0</v>
      </c>
      <c r="FL19" s="139">
        <v>45078.0</v>
      </c>
      <c r="FM19" s="139">
        <v>45108.0</v>
      </c>
      <c r="FN19" s="139">
        <v>45139.0</v>
      </c>
      <c r="FO19" s="139">
        <v>45170.0</v>
      </c>
      <c r="FP19" s="139">
        <v>45200.0</v>
      </c>
      <c r="FQ19" s="139">
        <v>45231.0</v>
      </c>
      <c r="FR19" s="139">
        <v>45261.0</v>
      </c>
      <c r="FS19" s="139">
        <v>45292.0</v>
      </c>
      <c r="FT19" s="139">
        <v>45323.0</v>
      </c>
      <c r="FU19" s="139">
        <v>45352.0</v>
      </c>
      <c r="FV19" s="139">
        <v>45383.0</v>
      </c>
      <c r="FW19" s="139">
        <v>45413.0</v>
      </c>
      <c r="FX19" s="139">
        <v>45444.0</v>
      </c>
      <c r="FY19" s="139">
        <v>45474.0</v>
      </c>
      <c r="FZ19" s="139">
        <v>45505.0</v>
      </c>
      <c r="GA19" s="139">
        <v>45536.0</v>
      </c>
      <c r="GB19" s="139">
        <v>45566.0</v>
      </c>
      <c r="GC19" s="139">
        <v>45597.0</v>
      </c>
      <c r="GD19" s="139">
        <v>45627.0</v>
      </c>
      <c r="GE19" s="139">
        <v>45658.0</v>
      </c>
      <c r="GF19" s="139">
        <v>45689.0</v>
      </c>
      <c r="GG19" s="139">
        <v>45717.0</v>
      </c>
      <c r="GH19" s="139">
        <v>45748.0</v>
      </c>
      <c r="GI19" s="139">
        <v>45778.0</v>
      </c>
      <c r="GJ19" s="139">
        <v>45809.0</v>
      </c>
      <c r="GK19" s="139">
        <v>45839.0</v>
      </c>
    </row>
    <row r="20">
      <c r="A20" s="132" t="s">
        <v>33940</v>
      </c>
      <c r="B20" s="133" t="s">
        <v>1132</v>
      </c>
      <c r="C20" s="134">
        <v>41989.706041666665</v>
      </c>
      <c r="D20" s="135" t="str">
        <f t="shared" si="1"/>
        <v>2014/12/16</v>
      </c>
      <c r="E20" s="136" t="s">
        <v>33941</v>
      </c>
      <c r="F20" s="137">
        <v>7.3E-4</v>
      </c>
      <c r="G20" s="138">
        <v>40179.0</v>
      </c>
      <c r="H20" s="138">
        <v>40210.0</v>
      </c>
      <c r="I20" s="138">
        <v>40238.0</v>
      </c>
      <c r="J20" s="138">
        <v>40269.0</v>
      </c>
      <c r="K20" s="138">
        <v>40299.0</v>
      </c>
      <c r="L20" s="138">
        <v>40330.0</v>
      </c>
      <c r="M20" s="138">
        <v>40360.0</v>
      </c>
      <c r="N20" s="138">
        <v>40391.0</v>
      </c>
      <c r="O20" s="138">
        <v>40422.0</v>
      </c>
      <c r="P20" s="138">
        <v>40452.0</v>
      </c>
      <c r="Q20" s="138">
        <v>40483.0</v>
      </c>
      <c r="R20" s="138">
        <v>40513.0</v>
      </c>
      <c r="S20" s="138">
        <v>40544.0</v>
      </c>
      <c r="T20" s="138">
        <v>40575.0</v>
      </c>
      <c r="U20" s="138">
        <v>40603.0</v>
      </c>
      <c r="V20" s="138">
        <v>40634.0</v>
      </c>
      <c r="W20" s="138">
        <v>40664.0</v>
      </c>
      <c r="X20" s="138">
        <v>40695.0</v>
      </c>
      <c r="Y20" s="138">
        <v>40725.0</v>
      </c>
      <c r="Z20" s="138">
        <v>40756.0</v>
      </c>
      <c r="AA20" s="138">
        <v>40787.0</v>
      </c>
      <c r="AB20" s="138">
        <v>40817.0</v>
      </c>
      <c r="AC20" s="138">
        <v>40848.0</v>
      </c>
      <c r="AD20" s="138">
        <v>40878.0</v>
      </c>
      <c r="AE20" s="138">
        <v>40909.0</v>
      </c>
      <c r="AF20" s="138">
        <v>40940.0</v>
      </c>
      <c r="AG20" s="138">
        <v>40969.0</v>
      </c>
      <c r="AH20" s="138">
        <v>41000.0</v>
      </c>
      <c r="AI20" s="138">
        <v>41030.0</v>
      </c>
      <c r="AJ20" s="138">
        <v>41061.0</v>
      </c>
      <c r="AK20" s="138">
        <v>41091.0</v>
      </c>
      <c r="AL20" s="138">
        <v>41122.0</v>
      </c>
      <c r="AM20" s="138">
        <v>41153.0</v>
      </c>
      <c r="AN20" s="138">
        <v>41183.0</v>
      </c>
      <c r="AO20" s="138">
        <v>41214.0</v>
      </c>
      <c r="AP20" s="138">
        <v>41244.0</v>
      </c>
      <c r="AQ20" s="138">
        <v>41275.0</v>
      </c>
      <c r="AR20" s="138">
        <v>41306.0</v>
      </c>
      <c r="AS20" s="138">
        <v>41334.0</v>
      </c>
      <c r="AT20" s="138">
        <v>41365.0</v>
      </c>
      <c r="AU20" s="138">
        <v>41395.0</v>
      </c>
      <c r="AV20" s="138">
        <v>41426.0</v>
      </c>
      <c r="AW20" s="138">
        <v>41456.0</v>
      </c>
      <c r="AX20" s="138">
        <v>41487.0</v>
      </c>
      <c r="AY20" s="138">
        <v>41518.0</v>
      </c>
      <c r="AZ20" s="138">
        <v>41548.0</v>
      </c>
      <c r="BA20" s="138">
        <v>41579.0</v>
      </c>
      <c r="BB20" s="138">
        <v>41609.0</v>
      </c>
      <c r="BC20" s="138">
        <v>41640.0</v>
      </c>
      <c r="BD20" s="138">
        <v>41671.0</v>
      </c>
      <c r="BE20" s="138">
        <v>41699.0</v>
      </c>
      <c r="BF20" s="138">
        <v>41730.0</v>
      </c>
      <c r="BG20" s="138">
        <v>41760.0</v>
      </c>
      <c r="BH20" s="138">
        <v>41791.0</v>
      </c>
      <c r="BI20" s="138">
        <v>41821.0</v>
      </c>
      <c r="BJ20" s="138">
        <v>41852.0</v>
      </c>
      <c r="BK20" s="138">
        <v>41883.0</v>
      </c>
      <c r="BL20" s="138">
        <v>41913.0</v>
      </c>
      <c r="BM20" s="138">
        <v>41944.0</v>
      </c>
      <c r="BN20" s="138">
        <v>41974.0</v>
      </c>
      <c r="BO20" s="139">
        <v>42005.0</v>
      </c>
      <c r="BP20" s="139">
        <v>42036.0</v>
      </c>
      <c r="BQ20" s="139">
        <v>42064.0</v>
      </c>
      <c r="BR20" s="139">
        <v>42095.0</v>
      </c>
      <c r="BS20" s="139">
        <v>42125.0</v>
      </c>
      <c r="BT20" s="139">
        <v>42156.0</v>
      </c>
      <c r="BU20" s="139">
        <v>42186.0</v>
      </c>
      <c r="BV20" s="139">
        <v>42217.0</v>
      </c>
      <c r="BW20" s="139">
        <v>42248.0</v>
      </c>
      <c r="BX20" s="139">
        <v>42278.0</v>
      </c>
      <c r="BY20" s="139">
        <v>42309.0</v>
      </c>
      <c r="BZ20" s="139">
        <v>42339.0</v>
      </c>
      <c r="CA20" s="139">
        <v>42370.0</v>
      </c>
      <c r="CB20" s="139">
        <v>42401.0</v>
      </c>
      <c r="CC20" s="139">
        <v>42430.0</v>
      </c>
      <c r="CD20" s="139">
        <v>42461.0</v>
      </c>
      <c r="CE20" s="139">
        <v>42491.0</v>
      </c>
      <c r="CF20" s="139">
        <v>42522.0</v>
      </c>
      <c r="CG20" s="139">
        <v>42552.0</v>
      </c>
      <c r="CH20" s="139">
        <v>42583.0</v>
      </c>
      <c r="CI20" s="139">
        <v>42614.0</v>
      </c>
      <c r="CJ20" s="139">
        <v>42644.0</v>
      </c>
      <c r="CK20" s="139">
        <v>42675.0</v>
      </c>
      <c r="CL20" s="139">
        <v>42705.0</v>
      </c>
      <c r="CM20" s="139">
        <v>42736.0</v>
      </c>
      <c r="CN20" s="139">
        <v>42767.0</v>
      </c>
      <c r="CO20" s="139">
        <v>42795.0</v>
      </c>
      <c r="CP20" s="139">
        <v>42826.0</v>
      </c>
      <c r="CQ20" s="139">
        <v>42856.0</v>
      </c>
      <c r="CR20" s="139">
        <v>42887.0</v>
      </c>
      <c r="CS20" s="139">
        <v>42917.0</v>
      </c>
      <c r="CT20" s="139">
        <v>42948.0</v>
      </c>
      <c r="CU20" s="139">
        <v>42979.0</v>
      </c>
      <c r="CV20" s="139">
        <v>43009.0</v>
      </c>
      <c r="CW20" s="139">
        <v>43040.0</v>
      </c>
      <c r="CX20" s="139">
        <v>43070.0</v>
      </c>
      <c r="CY20" s="139">
        <v>43101.0</v>
      </c>
      <c r="CZ20" s="139">
        <v>43132.0</v>
      </c>
      <c r="DA20" s="139">
        <v>43160.0</v>
      </c>
      <c r="DB20" s="139">
        <v>43191.0</v>
      </c>
      <c r="DC20" s="139">
        <v>43221.0</v>
      </c>
      <c r="DD20" s="139">
        <v>43252.0</v>
      </c>
      <c r="DE20" s="139">
        <v>43282.0</v>
      </c>
      <c r="DF20" s="139">
        <v>43313.0</v>
      </c>
      <c r="DG20" s="139">
        <v>43344.0</v>
      </c>
      <c r="DH20" s="139">
        <v>43374.0</v>
      </c>
      <c r="DI20" s="139">
        <v>43405.0</v>
      </c>
      <c r="DJ20" s="139">
        <v>43435.0</v>
      </c>
      <c r="DK20" s="139">
        <v>43466.0</v>
      </c>
      <c r="DL20" s="139">
        <v>43497.0</v>
      </c>
      <c r="DM20" s="139">
        <v>43525.0</v>
      </c>
      <c r="DN20" s="139">
        <v>43556.0</v>
      </c>
      <c r="DO20" s="139">
        <v>43586.0</v>
      </c>
      <c r="DP20" s="139">
        <v>43617.0</v>
      </c>
      <c r="DQ20" s="139">
        <v>43647.0</v>
      </c>
      <c r="DR20" s="139">
        <v>43678.0</v>
      </c>
      <c r="DS20" s="139">
        <v>43709.0</v>
      </c>
      <c r="DT20" s="139">
        <v>43739.0</v>
      </c>
      <c r="DU20" s="139">
        <v>43770.0</v>
      </c>
      <c r="DV20" s="139">
        <v>43800.0</v>
      </c>
      <c r="DW20" s="139">
        <v>43831.0</v>
      </c>
      <c r="DX20" s="139">
        <v>43862.0</v>
      </c>
      <c r="DY20" s="139">
        <v>43891.0</v>
      </c>
      <c r="DZ20" s="139">
        <v>43922.0</v>
      </c>
      <c r="EA20" s="139">
        <v>43952.0</v>
      </c>
      <c r="EB20" s="139">
        <v>43983.0</v>
      </c>
      <c r="EC20" s="139">
        <v>44013.0</v>
      </c>
      <c r="ED20" s="139">
        <v>44044.0</v>
      </c>
      <c r="EE20" s="139">
        <v>44075.0</v>
      </c>
      <c r="EF20" s="139">
        <v>44105.0</v>
      </c>
      <c r="EG20" s="139">
        <v>44136.0</v>
      </c>
      <c r="EH20" s="139">
        <v>44166.0</v>
      </c>
      <c r="EI20" s="139">
        <v>44197.0</v>
      </c>
      <c r="EJ20" s="139">
        <v>44228.0</v>
      </c>
      <c r="EK20" s="139">
        <v>44256.0</v>
      </c>
      <c r="EL20" s="139">
        <v>44287.0</v>
      </c>
      <c r="EM20" s="139">
        <v>44317.0</v>
      </c>
      <c r="EN20" s="139">
        <v>44348.0</v>
      </c>
      <c r="EO20" s="139">
        <v>44378.0</v>
      </c>
      <c r="EP20" s="139">
        <v>44409.0</v>
      </c>
      <c r="EQ20" s="139">
        <v>44440.0</v>
      </c>
      <c r="ER20" s="139">
        <v>44470.0</v>
      </c>
      <c r="ES20" s="139">
        <v>44501.0</v>
      </c>
      <c r="ET20" s="139">
        <v>44531.0</v>
      </c>
      <c r="EU20" s="139">
        <v>44562.0</v>
      </c>
      <c r="EV20" s="139">
        <v>44593.0</v>
      </c>
      <c r="EW20" s="139">
        <v>44621.0</v>
      </c>
      <c r="EX20" s="139">
        <v>44652.0</v>
      </c>
      <c r="EY20" s="139">
        <v>44682.0</v>
      </c>
      <c r="EZ20" s="139">
        <v>44713.0</v>
      </c>
      <c r="FA20" s="139">
        <v>44743.0</v>
      </c>
      <c r="FB20" s="139">
        <v>44774.0</v>
      </c>
      <c r="FC20" s="139">
        <v>44805.0</v>
      </c>
      <c r="FD20" s="139">
        <v>44835.0</v>
      </c>
      <c r="FE20" s="139">
        <v>44866.0</v>
      </c>
      <c r="FF20" s="139">
        <v>44896.0</v>
      </c>
      <c r="FG20" s="139">
        <v>44927.0</v>
      </c>
      <c r="FH20" s="139">
        <v>44958.0</v>
      </c>
      <c r="FI20" s="139">
        <v>44986.0</v>
      </c>
      <c r="FJ20" s="139">
        <v>45017.0</v>
      </c>
      <c r="FK20" s="139">
        <v>45047.0</v>
      </c>
      <c r="FL20" s="139">
        <v>45078.0</v>
      </c>
      <c r="FM20" s="139">
        <v>45108.0</v>
      </c>
      <c r="FN20" s="139">
        <v>45139.0</v>
      </c>
      <c r="FO20" s="139">
        <v>45170.0</v>
      </c>
      <c r="FP20" s="139">
        <v>45200.0</v>
      </c>
      <c r="FQ20" s="139">
        <v>45231.0</v>
      </c>
      <c r="FR20" s="139">
        <v>45261.0</v>
      </c>
      <c r="FS20" s="139">
        <v>45292.0</v>
      </c>
      <c r="FT20" s="139">
        <v>45323.0</v>
      </c>
      <c r="FU20" s="139">
        <v>45352.0</v>
      </c>
      <c r="FV20" s="139">
        <v>45383.0</v>
      </c>
      <c r="FW20" s="139">
        <v>45413.0</v>
      </c>
      <c r="FX20" s="139">
        <v>45444.0</v>
      </c>
      <c r="FY20" s="139">
        <v>45474.0</v>
      </c>
      <c r="FZ20" s="139">
        <v>45505.0</v>
      </c>
      <c r="GA20" s="139">
        <v>45536.0</v>
      </c>
      <c r="GB20" s="139">
        <v>45566.0</v>
      </c>
      <c r="GC20" s="139">
        <v>45597.0</v>
      </c>
      <c r="GD20" s="139">
        <v>45627.0</v>
      </c>
      <c r="GE20" s="139">
        <v>45658.0</v>
      </c>
      <c r="GF20" s="139">
        <v>45689.0</v>
      </c>
      <c r="GG20" s="139">
        <v>45717.0</v>
      </c>
      <c r="GH20" s="139">
        <v>45748.0</v>
      </c>
      <c r="GI20" s="139">
        <v>45778.0</v>
      </c>
      <c r="GJ20" s="139">
        <v>45809.0</v>
      </c>
      <c r="GK20" s="139">
        <v>45839.0</v>
      </c>
    </row>
    <row r="21">
      <c r="A21" s="132" t="s">
        <v>33942</v>
      </c>
      <c r="B21" s="133" t="s">
        <v>1065</v>
      </c>
      <c r="C21" s="134">
        <v>41998.45072916667</v>
      </c>
      <c r="D21" s="135" t="str">
        <f t="shared" si="1"/>
        <v>2014/12/25</v>
      </c>
      <c r="E21" s="136" t="s">
        <v>33943</v>
      </c>
      <c r="F21" s="137">
        <v>0.0136</v>
      </c>
      <c r="G21" s="138">
        <v>40179.0</v>
      </c>
      <c r="H21" s="138">
        <v>40210.0</v>
      </c>
      <c r="I21" s="138">
        <v>40238.0</v>
      </c>
      <c r="J21" s="138">
        <v>40269.0</v>
      </c>
      <c r="K21" s="138">
        <v>40299.0</v>
      </c>
      <c r="L21" s="138">
        <v>40330.0</v>
      </c>
      <c r="M21" s="138">
        <v>40360.0</v>
      </c>
      <c r="N21" s="138">
        <v>40391.0</v>
      </c>
      <c r="O21" s="138">
        <v>40422.0</v>
      </c>
      <c r="P21" s="138">
        <v>40452.0</v>
      </c>
      <c r="Q21" s="138">
        <v>40483.0</v>
      </c>
      <c r="R21" s="138">
        <v>40513.0</v>
      </c>
      <c r="S21" s="138">
        <v>40544.0</v>
      </c>
      <c r="T21" s="138">
        <v>40575.0</v>
      </c>
      <c r="U21" s="138">
        <v>40603.0</v>
      </c>
      <c r="V21" s="138">
        <v>40634.0</v>
      </c>
      <c r="W21" s="138">
        <v>40664.0</v>
      </c>
      <c r="X21" s="138">
        <v>40695.0</v>
      </c>
      <c r="Y21" s="138">
        <v>40725.0</v>
      </c>
      <c r="Z21" s="138">
        <v>40756.0</v>
      </c>
      <c r="AA21" s="138">
        <v>40787.0</v>
      </c>
      <c r="AB21" s="138">
        <v>40817.0</v>
      </c>
      <c r="AC21" s="138">
        <v>40848.0</v>
      </c>
      <c r="AD21" s="138">
        <v>40878.0</v>
      </c>
      <c r="AE21" s="138">
        <v>40909.0</v>
      </c>
      <c r="AF21" s="138">
        <v>40940.0</v>
      </c>
      <c r="AG21" s="138">
        <v>40969.0</v>
      </c>
      <c r="AH21" s="138">
        <v>41000.0</v>
      </c>
      <c r="AI21" s="138">
        <v>41030.0</v>
      </c>
      <c r="AJ21" s="138">
        <v>41061.0</v>
      </c>
      <c r="AK21" s="138">
        <v>41091.0</v>
      </c>
      <c r="AL21" s="138">
        <v>41122.0</v>
      </c>
      <c r="AM21" s="138">
        <v>41153.0</v>
      </c>
      <c r="AN21" s="138">
        <v>41183.0</v>
      </c>
      <c r="AO21" s="138">
        <v>41214.0</v>
      </c>
      <c r="AP21" s="138">
        <v>41244.0</v>
      </c>
      <c r="AQ21" s="138">
        <v>41275.0</v>
      </c>
      <c r="AR21" s="138">
        <v>41306.0</v>
      </c>
      <c r="AS21" s="138">
        <v>41334.0</v>
      </c>
      <c r="AT21" s="138">
        <v>41365.0</v>
      </c>
      <c r="AU21" s="138">
        <v>41395.0</v>
      </c>
      <c r="AV21" s="138">
        <v>41426.0</v>
      </c>
      <c r="AW21" s="138">
        <v>41456.0</v>
      </c>
      <c r="AX21" s="138">
        <v>41487.0</v>
      </c>
      <c r="AY21" s="138">
        <v>41518.0</v>
      </c>
      <c r="AZ21" s="138">
        <v>41548.0</v>
      </c>
      <c r="BA21" s="138">
        <v>41579.0</v>
      </c>
      <c r="BB21" s="138">
        <v>41609.0</v>
      </c>
      <c r="BC21" s="138">
        <v>41640.0</v>
      </c>
      <c r="BD21" s="138">
        <v>41671.0</v>
      </c>
      <c r="BE21" s="138">
        <v>41699.0</v>
      </c>
      <c r="BF21" s="138">
        <v>41730.0</v>
      </c>
      <c r="BG21" s="138">
        <v>41760.0</v>
      </c>
      <c r="BH21" s="138">
        <v>41791.0</v>
      </c>
      <c r="BI21" s="138">
        <v>41821.0</v>
      </c>
      <c r="BJ21" s="138">
        <v>41852.0</v>
      </c>
      <c r="BK21" s="138">
        <v>41883.0</v>
      </c>
      <c r="BL21" s="138">
        <v>41913.0</v>
      </c>
      <c r="BM21" s="138">
        <v>41944.0</v>
      </c>
      <c r="BN21" s="138">
        <v>41974.0</v>
      </c>
      <c r="BO21" s="139">
        <v>42005.0</v>
      </c>
      <c r="BP21" s="139">
        <v>42036.0</v>
      </c>
      <c r="BQ21" s="139">
        <v>42064.0</v>
      </c>
      <c r="BR21" s="139">
        <v>42095.0</v>
      </c>
      <c r="BS21" s="139">
        <v>42125.0</v>
      </c>
      <c r="BT21" s="139">
        <v>42156.0</v>
      </c>
      <c r="BU21" s="139">
        <v>42186.0</v>
      </c>
      <c r="BV21" s="139">
        <v>42217.0</v>
      </c>
      <c r="BW21" s="139">
        <v>42248.0</v>
      </c>
      <c r="BX21" s="139">
        <v>42278.0</v>
      </c>
      <c r="BY21" s="139">
        <v>42309.0</v>
      </c>
      <c r="BZ21" s="139">
        <v>42339.0</v>
      </c>
      <c r="CA21" s="139">
        <v>42370.0</v>
      </c>
      <c r="CB21" s="139">
        <v>42401.0</v>
      </c>
      <c r="CC21" s="139">
        <v>42430.0</v>
      </c>
      <c r="CD21" s="139">
        <v>42461.0</v>
      </c>
      <c r="CE21" s="139">
        <v>42491.0</v>
      </c>
      <c r="CF21" s="139">
        <v>42522.0</v>
      </c>
      <c r="CG21" s="139">
        <v>42552.0</v>
      </c>
      <c r="CH21" s="139">
        <v>42583.0</v>
      </c>
      <c r="CI21" s="139">
        <v>42614.0</v>
      </c>
      <c r="CJ21" s="139">
        <v>42644.0</v>
      </c>
      <c r="CK21" s="139">
        <v>42675.0</v>
      </c>
      <c r="CL21" s="139">
        <v>42705.0</v>
      </c>
      <c r="CM21" s="139">
        <v>42736.0</v>
      </c>
      <c r="CN21" s="139">
        <v>42767.0</v>
      </c>
      <c r="CO21" s="139">
        <v>42795.0</v>
      </c>
      <c r="CP21" s="139">
        <v>42826.0</v>
      </c>
      <c r="CQ21" s="139">
        <v>42856.0</v>
      </c>
      <c r="CR21" s="139">
        <v>42887.0</v>
      </c>
      <c r="CS21" s="139">
        <v>42917.0</v>
      </c>
      <c r="CT21" s="139">
        <v>42948.0</v>
      </c>
      <c r="CU21" s="139">
        <v>42979.0</v>
      </c>
      <c r="CV21" s="139">
        <v>43009.0</v>
      </c>
      <c r="CW21" s="139">
        <v>43040.0</v>
      </c>
      <c r="CX21" s="139">
        <v>43070.0</v>
      </c>
      <c r="CY21" s="139">
        <v>43101.0</v>
      </c>
      <c r="CZ21" s="139">
        <v>43132.0</v>
      </c>
      <c r="DA21" s="139">
        <v>43160.0</v>
      </c>
      <c r="DB21" s="139">
        <v>43191.0</v>
      </c>
      <c r="DC21" s="139">
        <v>43221.0</v>
      </c>
      <c r="DD21" s="139">
        <v>43252.0</v>
      </c>
      <c r="DE21" s="139">
        <v>43282.0</v>
      </c>
      <c r="DF21" s="139">
        <v>43313.0</v>
      </c>
      <c r="DG21" s="139">
        <v>43344.0</v>
      </c>
      <c r="DH21" s="139">
        <v>43374.0</v>
      </c>
      <c r="DI21" s="139">
        <v>43405.0</v>
      </c>
      <c r="DJ21" s="139">
        <v>43435.0</v>
      </c>
      <c r="DK21" s="139">
        <v>43466.0</v>
      </c>
      <c r="DL21" s="139">
        <v>43497.0</v>
      </c>
      <c r="DM21" s="139">
        <v>43525.0</v>
      </c>
      <c r="DN21" s="139">
        <v>43556.0</v>
      </c>
      <c r="DO21" s="139">
        <v>43586.0</v>
      </c>
      <c r="DP21" s="139">
        <v>43617.0</v>
      </c>
      <c r="DQ21" s="139">
        <v>43647.0</v>
      </c>
      <c r="DR21" s="139">
        <v>43678.0</v>
      </c>
      <c r="DS21" s="139">
        <v>43709.0</v>
      </c>
      <c r="DT21" s="139">
        <v>43739.0</v>
      </c>
      <c r="DU21" s="139">
        <v>43770.0</v>
      </c>
      <c r="DV21" s="139">
        <v>43800.0</v>
      </c>
      <c r="DW21" s="139">
        <v>43831.0</v>
      </c>
      <c r="DX21" s="139">
        <v>43862.0</v>
      </c>
      <c r="DY21" s="139">
        <v>43891.0</v>
      </c>
      <c r="DZ21" s="139">
        <v>43922.0</v>
      </c>
      <c r="EA21" s="139">
        <v>43952.0</v>
      </c>
      <c r="EB21" s="139">
        <v>43983.0</v>
      </c>
      <c r="EC21" s="139">
        <v>44013.0</v>
      </c>
      <c r="ED21" s="139">
        <v>44044.0</v>
      </c>
      <c r="EE21" s="139">
        <v>44075.0</v>
      </c>
      <c r="EF21" s="139">
        <v>44105.0</v>
      </c>
      <c r="EG21" s="139">
        <v>44136.0</v>
      </c>
      <c r="EH21" s="139">
        <v>44166.0</v>
      </c>
      <c r="EI21" s="139">
        <v>44197.0</v>
      </c>
      <c r="EJ21" s="139">
        <v>44228.0</v>
      </c>
      <c r="EK21" s="139">
        <v>44256.0</v>
      </c>
      <c r="EL21" s="139">
        <v>44287.0</v>
      </c>
      <c r="EM21" s="139">
        <v>44317.0</v>
      </c>
      <c r="EN21" s="139">
        <v>44348.0</v>
      </c>
      <c r="EO21" s="139">
        <v>44378.0</v>
      </c>
      <c r="EP21" s="139">
        <v>44409.0</v>
      </c>
      <c r="EQ21" s="139">
        <v>44440.0</v>
      </c>
      <c r="ER21" s="139">
        <v>44470.0</v>
      </c>
      <c r="ES21" s="139">
        <v>44501.0</v>
      </c>
      <c r="ET21" s="139">
        <v>44531.0</v>
      </c>
      <c r="EU21" s="139">
        <v>44562.0</v>
      </c>
      <c r="EV21" s="139">
        <v>44593.0</v>
      </c>
      <c r="EW21" s="139">
        <v>44621.0</v>
      </c>
      <c r="EX21" s="139">
        <v>44652.0</v>
      </c>
      <c r="EY21" s="139">
        <v>44682.0</v>
      </c>
      <c r="EZ21" s="139">
        <v>44713.0</v>
      </c>
      <c r="FA21" s="139">
        <v>44743.0</v>
      </c>
      <c r="FB21" s="139">
        <v>44774.0</v>
      </c>
      <c r="FC21" s="139">
        <v>44805.0</v>
      </c>
      <c r="FD21" s="139">
        <v>44835.0</v>
      </c>
      <c r="FE21" s="139">
        <v>44866.0</v>
      </c>
      <c r="FF21" s="139">
        <v>44896.0</v>
      </c>
      <c r="FG21" s="139">
        <v>44927.0</v>
      </c>
      <c r="FH21" s="139">
        <v>44958.0</v>
      </c>
      <c r="FI21" s="139">
        <v>44986.0</v>
      </c>
      <c r="FJ21" s="139">
        <v>45017.0</v>
      </c>
      <c r="FK21" s="139">
        <v>45047.0</v>
      </c>
      <c r="FL21" s="139">
        <v>45078.0</v>
      </c>
      <c r="FM21" s="139">
        <v>45108.0</v>
      </c>
      <c r="FN21" s="139">
        <v>45139.0</v>
      </c>
      <c r="FO21" s="139">
        <v>45170.0</v>
      </c>
      <c r="FP21" s="139">
        <v>45200.0</v>
      </c>
      <c r="FQ21" s="139">
        <v>45231.0</v>
      </c>
      <c r="FR21" s="139">
        <v>45261.0</v>
      </c>
      <c r="FS21" s="139">
        <v>45292.0</v>
      </c>
      <c r="FT21" s="139">
        <v>45323.0</v>
      </c>
      <c r="FU21" s="139">
        <v>45352.0</v>
      </c>
      <c r="FV21" s="139">
        <v>45383.0</v>
      </c>
      <c r="FW21" s="139">
        <v>45413.0</v>
      </c>
      <c r="FX21" s="139">
        <v>45444.0</v>
      </c>
      <c r="FY21" s="139">
        <v>45474.0</v>
      </c>
      <c r="FZ21" s="139">
        <v>45505.0</v>
      </c>
      <c r="GA21" s="139">
        <v>45536.0</v>
      </c>
      <c r="GB21" s="139">
        <v>45566.0</v>
      </c>
      <c r="GC21" s="139">
        <v>45597.0</v>
      </c>
      <c r="GD21" s="139">
        <v>45627.0</v>
      </c>
      <c r="GE21" s="139">
        <v>45658.0</v>
      </c>
      <c r="GF21" s="139">
        <v>45689.0</v>
      </c>
      <c r="GG21" s="139">
        <v>45717.0</v>
      </c>
      <c r="GH21" s="139">
        <v>45748.0</v>
      </c>
      <c r="GI21" s="139">
        <v>45778.0</v>
      </c>
      <c r="GJ21" s="139">
        <v>45809.0</v>
      </c>
      <c r="GK21" s="139">
        <v>45839.0</v>
      </c>
    </row>
    <row r="22">
      <c r="A22" s="132" t="s">
        <v>33944</v>
      </c>
      <c r="B22" s="133" t="s">
        <v>444</v>
      </c>
      <c r="C22" s="134">
        <v>42004.69789351852</v>
      </c>
      <c r="D22" s="135" t="str">
        <f t="shared" si="1"/>
        <v>2014/12/31</v>
      </c>
      <c r="E22" s="136" t="s">
        <v>33945</v>
      </c>
      <c r="F22" s="137">
        <v>0.0</v>
      </c>
      <c r="G22" s="138">
        <v>40179.0</v>
      </c>
      <c r="H22" s="138">
        <v>40210.0</v>
      </c>
      <c r="I22" s="138">
        <v>40238.0</v>
      </c>
      <c r="J22" s="138">
        <v>40269.0</v>
      </c>
      <c r="K22" s="138">
        <v>40299.0</v>
      </c>
      <c r="L22" s="138">
        <v>40330.0</v>
      </c>
      <c r="M22" s="138">
        <v>40360.0</v>
      </c>
      <c r="N22" s="138">
        <v>40391.0</v>
      </c>
      <c r="O22" s="138">
        <v>40422.0</v>
      </c>
      <c r="P22" s="138">
        <v>40452.0</v>
      </c>
      <c r="Q22" s="138">
        <v>40483.0</v>
      </c>
      <c r="R22" s="138">
        <v>40513.0</v>
      </c>
      <c r="S22" s="138">
        <v>40544.0</v>
      </c>
      <c r="T22" s="138">
        <v>40575.0</v>
      </c>
      <c r="U22" s="138">
        <v>40603.0</v>
      </c>
      <c r="V22" s="138">
        <v>40634.0</v>
      </c>
      <c r="W22" s="138">
        <v>40664.0</v>
      </c>
      <c r="X22" s="138">
        <v>40695.0</v>
      </c>
      <c r="Y22" s="138">
        <v>40725.0</v>
      </c>
      <c r="Z22" s="138">
        <v>40756.0</v>
      </c>
      <c r="AA22" s="138">
        <v>40787.0</v>
      </c>
      <c r="AB22" s="138">
        <v>40817.0</v>
      </c>
      <c r="AC22" s="138">
        <v>40848.0</v>
      </c>
      <c r="AD22" s="138">
        <v>40878.0</v>
      </c>
      <c r="AE22" s="138">
        <v>40909.0</v>
      </c>
      <c r="AF22" s="138">
        <v>40940.0</v>
      </c>
      <c r="AG22" s="138">
        <v>40969.0</v>
      </c>
      <c r="AH22" s="138">
        <v>41000.0</v>
      </c>
      <c r="AI22" s="138">
        <v>41030.0</v>
      </c>
      <c r="AJ22" s="138">
        <v>41061.0</v>
      </c>
      <c r="AK22" s="138">
        <v>41091.0</v>
      </c>
      <c r="AL22" s="138">
        <v>41122.0</v>
      </c>
      <c r="AM22" s="138">
        <v>41153.0</v>
      </c>
      <c r="AN22" s="138">
        <v>41183.0</v>
      </c>
      <c r="AO22" s="138">
        <v>41214.0</v>
      </c>
      <c r="AP22" s="138">
        <v>41244.0</v>
      </c>
      <c r="AQ22" s="138">
        <v>41275.0</v>
      </c>
      <c r="AR22" s="138">
        <v>41306.0</v>
      </c>
      <c r="AS22" s="138">
        <v>41334.0</v>
      </c>
      <c r="AT22" s="138">
        <v>41365.0</v>
      </c>
      <c r="AU22" s="138">
        <v>41395.0</v>
      </c>
      <c r="AV22" s="138">
        <v>41426.0</v>
      </c>
      <c r="AW22" s="138">
        <v>41456.0</v>
      </c>
      <c r="AX22" s="138">
        <v>41487.0</v>
      </c>
      <c r="AY22" s="138">
        <v>41518.0</v>
      </c>
      <c r="AZ22" s="138">
        <v>41548.0</v>
      </c>
      <c r="BA22" s="138">
        <v>41579.0</v>
      </c>
      <c r="BB22" s="138">
        <v>41609.0</v>
      </c>
      <c r="BC22" s="138">
        <v>41640.0</v>
      </c>
      <c r="BD22" s="138">
        <v>41671.0</v>
      </c>
      <c r="BE22" s="138">
        <v>41699.0</v>
      </c>
      <c r="BF22" s="138">
        <v>41730.0</v>
      </c>
      <c r="BG22" s="138">
        <v>41760.0</v>
      </c>
      <c r="BH22" s="138">
        <v>41791.0</v>
      </c>
      <c r="BI22" s="138">
        <v>41821.0</v>
      </c>
      <c r="BJ22" s="138">
        <v>41852.0</v>
      </c>
      <c r="BK22" s="138">
        <v>41883.0</v>
      </c>
      <c r="BL22" s="138">
        <v>41913.0</v>
      </c>
      <c r="BM22" s="138">
        <v>41944.0</v>
      </c>
      <c r="BN22" s="138">
        <v>41974.0</v>
      </c>
      <c r="BO22" s="139">
        <v>42005.0</v>
      </c>
      <c r="BP22" s="139">
        <v>42036.0</v>
      </c>
      <c r="BQ22" s="139">
        <v>42064.0</v>
      </c>
      <c r="BR22" s="139">
        <v>42095.0</v>
      </c>
      <c r="BS22" s="139">
        <v>42125.0</v>
      </c>
      <c r="BT22" s="139">
        <v>42156.0</v>
      </c>
      <c r="BU22" s="139">
        <v>42186.0</v>
      </c>
      <c r="BV22" s="139">
        <v>42217.0</v>
      </c>
      <c r="BW22" s="139">
        <v>42248.0</v>
      </c>
      <c r="BX22" s="139">
        <v>42278.0</v>
      </c>
      <c r="BY22" s="139">
        <v>42309.0</v>
      </c>
      <c r="BZ22" s="139">
        <v>42339.0</v>
      </c>
      <c r="CA22" s="139">
        <v>42370.0</v>
      </c>
      <c r="CB22" s="139">
        <v>42401.0</v>
      </c>
      <c r="CC22" s="139">
        <v>42430.0</v>
      </c>
      <c r="CD22" s="139">
        <v>42461.0</v>
      </c>
      <c r="CE22" s="139">
        <v>42491.0</v>
      </c>
      <c r="CF22" s="139">
        <v>42522.0</v>
      </c>
      <c r="CG22" s="139">
        <v>42552.0</v>
      </c>
      <c r="CH22" s="139">
        <v>42583.0</v>
      </c>
      <c r="CI22" s="139">
        <v>42614.0</v>
      </c>
      <c r="CJ22" s="139">
        <v>42644.0</v>
      </c>
      <c r="CK22" s="139">
        <v>42675.0</v>
      </c>
      <c r="CL22" s="139">
        <v>42705.0</v>
      </c>
      <c r="CM22" s="139">
        <v>42736.0</v>
      </c>
      <c r="CN22" s="139">
        <v>42767.0</v>
      </c>
      <c r="CO22" s="139">
        <v>42795.0</v>
      </c>
      <c r="CP22" s="139">
        <v>42826.0</v>
      </c>
      <c r="CQ22" s="139">
        <v>42856.0</v>
      </c>
      <c r="CR22" s="139">
        <v>42887.0</v>
      </c>
      <c r="CS22" s="139">
        <v>42917.0</v>
      </c>
      <c r="CT22" s="139">
        <v>42948.0</v>
      </c>
      <c r="CU22" s="139">
        <v>42979.0</v>
      </c>
      <c r="CV22" s="139">
        <v>43009.0</v>
      </c>
      <c r="CW22" s="139">
        <v>43040.0</v>
      </c>
      <c r="CX22" s="139">
        <v>43070.0</v>
      </c>
      <c r="CY22" s="139">
        <v>43101.0</v>
      </c>
      <c r="CZ22" s="139">
        <v>43132.0</v>
      </c>
      <c r="DA22" s="139">
        <v>43160.0</v>
      </c>
      <c r="DB22" s="139">
        <v>43191.0</v>
      </c>
      <c r="DC22" s="139">
        <v>43221.0</v>
      </c>
      <c r="DD22" s="139">
        <v>43252.0</v>
      </c>
      <c r="DE22" s="139">
        <v>43282.0</v>
      </c>
      <c r="DF22" s="139">
        <v>43313.0</v>
      </c>
      <c r="DG22" s="139">
        <v>43344.0</v>
      </c>
      <c r="DH22" s="139">
        <v>43374.0</v>
      </c>
      <c r="DI22" s="139">
        <v>43405.0</v>
      </c>
      <c r="DJ22" s="139">
        <v>43435.0</v>
      </c>
      <c r="DK22" s="139">
        <v>43466.0</v>
      </c>
      <c r="DL22" s="139">
        <v>43497.0</v>
      </c>
      <c r="DM22" s="139">
        <v>43525.0</v>
      </c>
      <c r="DN22" s="139">
        <v>43556.0</v>
      </c>
      <c r="DO22" s="139">
        <v>43586.0</v>
      </c>
      <c r="DP22" s="139">
        <v>43617.0</v>
      </c>
      <c r="DQ22" s="139">
        <v>43647.0</v>
      </c>
      <c r="DR22" s="139">
        <v>43678.0</v>
      </c>
      <c r="DS22" s="139">
        <v>43709.0</v>
      </c>
      <c r="DT22" s="139">
        <v>43739.0</v>
      </c>
      <c r="DU22" s="139">
        <v>43770.0</v>
      </c>
      <c r="DV22" s="139">
        <v>43800.0</v>
      </c>
      <c r="DW22" s="139">
        <v>43831.0</v>
      </c>
      <c r="DX22" s="139">
        <v>43862.0</v>
      </c>
      <c r="DY22" s="139">
        <v>43891.0</v>
      </c>
      <c r="DZ22" s="139">
        <v>43922.0</v>
      </c>
      <c r="EA22" s="139">
        <v>43952.0</v>
      </c>
      <c r="EB22" s="139">
        <v>43983.0</v>
      </c>
      <c r="EC22" s="139">
        <v>44013.0</v>
      </c>
      <c r="ED22" s="139">
        <v>44044.0</v>
      </c>
      <c r="EE22" s="139">
        <v>44075.0</v>
      </c>
      <c r="EF22" s="139">
        <v>44105.0</v>
      </c>
      <c r="EG22" s="139">
        <v>44136.0</v>
      </c>
      <c r="EH22" s="139">
        <v>44166.0</v>
      </c>
      <c r="EI22" s="139">
        <v>44197.0</v>
      </c>
      <c r="EJ22" s="139">
        <v>44228.0</v>
      </c>
      <c r="EK22" s="139">
        <v>44256.0</v>
      </c>
      <c r="EL22" s="139">
        <v>44287.0</v>
      </c>
      <c r="EM22" s="139">
        <v>44317.0</v>
      </c>
      <c r="EN22" s="139">
        <v>44348.0</v>
      </c>
      <c r="EO22" s="139">
        <v>44378.0</v>
      </c>
      <c r="EP22" s="139">
        <v>44409.0</v>
      </c>
      <c r="EQ22" s="139">
        <v>44440.0</v>
      </c>
      <c r="ER22" s="139">
        <v>44470.0</v>
      </c>
      <c r="ES22" s="139">
        <v>44501.0</v>
      </c>
      <c r="ET22" s="139">
        <v>44531.0</v>
      </c>
      <c r="EU22" s="139">
        <v>44562.0</v>
      </c>
      <c r="EV22" s="139">
        <v>44593.0</v>
      </c>
      <c r="EW22" s="139">
        <v>44621.0</v>
      </c>
      <c r="EX22" s="139">
        <v>44652.0</v>
      </c>
      <c r="EY22" s="139">
        <v>44682.0</v>
      </c>
      <c r="EZ22" s="139">
        <v>44713.0</v>
      </c>
      <c r="FA22" s="139">
        <v>44743.0</v>
      </c>
      <c r="FB22" s="139">
        <v>44774.0</v>
      </c>
      <c r="FC22" s="139">
        <v>44805.0</v>
      </c>
      <c r="FD22" s="139">
        <v>44835.0</v>
      </c>
      <c r="FE22" s="139">
        <v>44866.0</v>
      </c>
      <c r="FF22" s="139">
        <v>44896.0</v>
      </c>
      <c r="FG22" s="139">
        <v>44927.0</v>
      </c>
      <c r="FH22" s="139">
        <v>44958.0</v>
      </c>
      <c r="FI22" s="139">
        <v>44986.0</v>
      </c>
      <c r="FJ22" s="139">
        <v>45017.0</v>
      </c>
      <c r="FK22" s="139">
        <v>45047.0</v>
      </c>
      <c r="FL22" s="139">
        <v>45078.0</v>
      </c>
      <c r="FM22" s="139">
        <v>45108.0</v>
      </c>
      <c r="FN22" s="139">
        <v>45139.0</v>
      </c>
      <c r="FO22" s="139">
        <v>45170.0</v>
      </c>
      <c r="FP22" s="139">
        <v>45200.0</v>
      </c>
      <c r="FQ22" s="139">
        <v>45231.0</v>
      </c>
      <c r="FR22" s="139">
        <v>45261.0</v>
      </c>
      <c r="FS22" s="139">
        <v>45292.0</v>
      </c>
      <c r="FT22" s="139">
        <v>45323.0</v>
      </c>
      <c r="FU22" s="139">
        <v>45352.0</v>
      </c>
      <c r="FV22" s="139">
        <v>45383.0</v>
      </c>
      <c r="FW22" s="139">
        <v>45413.0</v>
      </c>
      <c r="FX22" s="139">
        <v>45444.0</v>
      </c>
      <c r="FY22" s="139">
        <v>45474.0</v>
      </c>
      <c r="FZ22" s="139">
        <v>45505.0</v>
      </c>
      <c r="GA22" s="139">
        <v>45536.0</v>
      </c>
      <c r="GB22" s="139">
        <v>45566.0</v>
      </c>
      <c r="GC22" s="139">
        <v>45597.0</v>
      </c>
      <c r="GD22" s="139">
        <v>45627.0</v>
      </c>
      <c r="GE22" s="139">
        <v>45658.0</v>
      </c>
      <c r="GF22" s="139">
        <v>45689.0</v>
      </c>
      <c r="GG22" s="139">
        <v>45717.0</v>
      </c>
      <c r="GH22" s="139">
        <v>45748.0</v>
      </c>
      <c r="GI22" s="139">
        <v>45778.0</v>
      </c>
      <c r="GJ22" s="139">
        <v>45809.0</v>
      </c>
      <c r="GK22" s="139">
        <v>45839.0</v>
      </c>
    </row>
    <row r="23">
      <c r="A23" s="132" t="s">
        <v>33946</v>
      </c>
      <c r="B23" s="133" t="s">
        <v>1218</v>
      </c>
      <c r="C23" s="134">
        <v>42038.62300925926</v>
      </c>
      <c r="D23" s="135" t="str">
        <f t="shared" si="1"/>
        <v>2015/02/03</v>
      </c>
      <c r="E23" s="136" t="s">
        <v>33947</v>
      </c>
      <c r="F23" s="137">
        <v>2.9E-4</v>
      </c>
      <c r="G23" s="138">
        <v>40179.0</v>
      </c>
      <c r="H23" s="138">
        <v>40210.0</v>
      </c>
      <c r="I23" s="138">
        <v>40238.0</v>
      </c>
      <c r="J23" s="138">
        <v>40269.0</v>
      </c>
      <c r="K23" s="138">
        <v>40299.0</v>
      </c>
      <c r="L23" s="138">
        <v>40330.0</v>
      </c>
      <c r="M23" s="138">
        <v>40360.0</v>
      </c>
      <c r="N23" s="138">
        <v>40391.0</v>
      </c>
      <c r="O23" s="138">
        <v>40422.0</v>
      </c>
      <c r="P23" s="138">
        <v>40452.0</v>
      </c>
      <c r="Q23" s="138">
        <v>40483.0</v>
      </c>
      <c r="R23" s="138">
        <v>40513.0</v>
      </c>
      <c r="S23" s="138">
        <v>40544.0</v>
      </c>
      <c r="T23" s="138">
        <v>40575.0</v>
      </c>
      <c r="U23" s="138">
        <v>40603.0</v>
      </c>
      <c r="V23" s="138">
        <v>40634.0</v>
      </c>
      <c r="W23" s="138">
        <v>40664.0</v>
      </c>
      <c r="X23" s="138">
        <v>40695.0</v>
      </c>
      <c r="Y23" s="138">
        <v>40725.0</v>
      </c>
      <c r="Z23" s="138">
        <v>40756.0</v>
      </c>
      <c r="AA23" s="138">
        <v>40787.0</v>
      </c>
      <c r="AB23" s="138">
        <v>40817.0</v>
      </c>
      <c r="AC23" s="138">
        <v>40848.0</v>
      </c>
      <c r="AD23" s="138">
        <v>40878.0</v>
      </c>
      <c r="AE23" s="138">
        <v>40909.0</v>
      </c>
      <c r="AF23" s="138">
        <v>40940.0</v>
      </c>
      <c r="AG23" s="138">
        <v>40969.0</v>
      </c>
      <c r="AH23" s="138">
        <v>41000.0</v>
      </c>
      <c r="AI23" s="138">
        <v>41030.0</v>
      </c>
      <c r="AJ23" s="138">
        <v>41061.0</v>
      </c>
      <c r="AK23" s="138">
        <v>41091.0</v>
      </c>
      <c r="AL23" s="138">
        <v>41122.0</v>
      </c>
      <c r="AM23" s="138">
        <v>41153.0</v>
      </c>
      <c r="AN23" s="138">
        <v>41183.0</v>
      </c>
      <c r="AO23" s="138">
        <v>41214.0</v>
      </c>
      <c r="AP23" s="138">
        <v>41244.0</v>
      </c>
      <c r="AQ23" s="138">
        <v>41275.0</v>
      </c>
      <c r="AR23" s="138">
        <v>41306.0</v>
      </c>
      <c r="AS23" s="138">
        <v>41334.0</v>
      </c>
      <c r="AT23" s="138">
        <v>41365.0</v>
      </c>
      <c r="AU23" s="138">
        <v>41395.0</v>
      </c>
      <c r="AV23" s="138">
        <v>41426.0</v>
      </c>
      <c r="AW23" s="138">
        <v>41456.0</v>
      </c>
      <c r="AX23" s="138">
        <v>41487.0</v>
      </c>
      <c r="AY23" s="138">
        <v>41518.0</v>
      </c>
      <c r="AZ23" s="138">
        <v>41548.0</v>
      </c>
      <c r="BA23" s="138">
        <v>41579.0</v>
      </c>
      <c r="BB23" s="138">
        <v>41609.0</v>
      </c>
      <c r="BC23" s="138">
        <v>41640.0</v>
      </c>
      <c r="BD23" s="138">
        <v>41671.0</v>
      </c>
      <c r="BE23" s="138">
        <v>41699.0</v>
      </c>
      <c r="BF23" s="138">
        <v>41730.0</v>
      </c>
      <c r="BG23" s="138">
        <v>41760.0</v>
      </c>
      <c r="BH23" s="138">
        <v>41791.0</v>
      </c>
      <c r="BI23" s="138">
        <v>41821.0</v>
      </c>
      <c r="BJ23" s="138">
        <v>41852.0</v>
      </c>
      <c r="BK23" s="138">
        <v>41883.0</v>
      </c>
      <c r="BL23" s="138">
        <v>41913.0</v>
      </c>
      <c r="BM23" s="138">
        <v>41944.0</v>
      </c>
      <c r="BN23" s="138">
        <v>41974.0</v>
      </c>
      <c r="BO23" s="138">
        <v>42005.0</v>
      </c>
      <c r="BP23" s="138">
        <v>42036.0</v>
      </c>
      <c r="BQ23" s="139">
        <v>42064.0</v>
      </c>
      <c r="BR23" s="139">
        <v>42095.0</v>
      </c>
      <c r="BS23" s="139">
        <v>42125.0</v>
      </c>
      <c r="BT23" s="139">
        <v>42156.0</v>
      </c>
      <c r="BU23" s="139">
        <v>42186.0</v>
      </c>
      <c r="BV23" s="139">
        <v>42217.0</v>
      </c>
      <c r="BW23" s="139">
        <v>42248.0</v>
      </c>
      <c r="BX23" s="139">
        <v>42278.0</v>
      </c>
      <c r="BY23" s="139">
        <v>42309.0</v>
      </c>
      <c r="BZ23" s="139">
        <v>42339.0</v>
      </c>
      <c r="CA23" s="139">
        <v>42370.0</v>
      </c>
      <c r="CB23" s="139">
        <v>42401.0</v>
      </c>
      <c r="CC23" s="139">
        <v>42430.0</v>
      </c>
      <c r="CD23" s="139">
        <v>42461.0</v>
      </c>
      <c r="CE23" s="139">
        <v>42491.0</v>
      </c>
      <c r="CF23" s="139">
        <v>42522.0</v>
      </c>
      <c r="CG23" s="139">
        <v>42552.0</v>
      </c>
      <c r="CH23" s="139">
        <v>42583.0</v>
      </c>
      <c r="CI23" s="139">
        <v>42614.0</v>
      </c>
      <c r="CJ23" s="139">
        <v>42644.0</v>
      </c>
      <c r="CK23" s="139">
        <v>42675.0</v>
      </c>
      <c r="CL23" s="139">
        <v>42705.0</v>
      </c>
      <c r="CM23" s="139">
        <v>42736.0</v>
      </c>
      <c r="CN23" s="139">
        <v>42767.0</v>
      </c>
      <c r="CO23" s="139">
        <v>42795.0</v>
      </c>
      <c r="CP23" s="139">
        <v>42826.0</v>
      </c>
      <c r="CQ23" s="139">
        <v>42856.0</v>
      </c>
      <c r="CR23" s="139">
        <v>42887.0</v>
      </c>
      <c r="CS23" s="139">
        <v>42917.0</v>
      </c>
      <c r="CT23" s="139">
        <v>42948.0</v>
      </c>
      <c r="CU23" s="139">
        <v>42979.0</v>
      </c>
      <c r="CV23" s="139">
        <v>43009.0</v>
      </c>
      <c r="CW23" s="139">
        <v>43040.0</v>
      </c>
      <c r="CX23" s="139">
        <v>43070.0</v>
      </c>
      <c r="CY23" s="139">
        <v>43101.0</v>
      </c>
      <c r="CZ23" s="139">
        <v>43132.0</v>
      </c>
      <c r="DA23" s="139">
        <v>43160.0</v>
      </c>
      <c r="DB23" s="139">
        <v>43191.0</v>
      </c>
      <c r="DC23" s="139">
        <v>43221.0</v>
      </c>
      <c r="DD23" s="139">
        <v>43252.0</v>
      </c>
      <c r="DE23" s="139">
        <v>43282.0</v>
      </c>
      <c r="DF23" s="139">
        <v>43313.0</v>
      </c>
      <c r="DG23" s="139">
        <v>43344.0</v>
      </c>
      <c r="DH23" s="139">
        <v>43374.0</v>
      </c>
      <c r="DI23" s="139">
        <v>43405.0</v>
      </c>
      <c r="DJ23" s="139">
        <v>43435.0</v>
      </c>
      <c r="DK23" s="139">
        <v>43466.0</v>
      </c>
      <c r="DL23" s="139">
        <v>43497.0</v>
      </c>
      <c r="DM23" s="139">
        <v>43525.0</v>
      </c>
      <c r="DN23" s="139">
        <v>43556.0</v>
      </c>
      <c r="DO23" s="139">
        <v>43586.0</v>
      </c>
      <c r="DP23" s="139">
        <v>43617.0</v>
      </c>
      <c r="DQ23" s="139">
        <v>43647.0</v>
      </c>
      <c r="DR23" s="139">
        <v>43678.0</v>
      </c>
      <c r="DS23" s="139">
        <v>43709.0</v>
      </c>
      <c r="DT23" s="139">
        <v>43739.0</v>
      </c>
      <c r="DU23" s="139">
        <v>43770.0</v>
      </c>
      <c r="DV23" s="139">
        <v>43800.0</v>
      </c>
      <c r="DW23" s="139">
        <v>43831.0</v>
      </c>
      <c r="DX23" s="139">
        <v>43862.0</v>
      </c>
      <c r="DY23" s="139">
        <v>43891.0</v>
      </c>
      <c r="DZ23" s="139">
        <v>43922.0</v>
      </c>
      <c r="EA23" s="139">
        <v>43952.0</v>
      </c>
      <c r="EB23" s="139">
        <v>43983.0</v>
      </c>
      <c r="EC23" s="139">
        <v>44013.0</v>
      </c>
      <c r="ED23" s="139">
        <v>44044.0</v>
      </c>
      <c r="EE23" s="139">
        <v>44075.0</v>
      </c>
      <c r="EF23" s="139">
        <v>44105.0</v>
      </c>
      <c r="EG23" s="139">
        <v>44136.0</v>
      </c>
      <c r="EH23" s="139">
        <v>44166.0</v>
      </c>
      <c r="EI23" s="139">
        <v>44197.0</v>
      </c>
      <c r="EJ23" s="139">
        <v>44228.0</v>
      </c>
      <c r="EK23" s="139">
        <v>44256.0</v>
      </c>
      <c r="EL23" s="139">
        <v>44287.0</v>
      </c>
      <c r="EM23" s="139">
        <v>44317.0</v>
      </c>
      <c r="EN23" s="139">
        <v>44348.0</v>
      </c>
      <c r="EO23" s="139">
        <v>44378.0</v>
      </c>
      <c r="EP23" s="139">
        <v>44409.0</v>
      </c>
      <c r="EQ23" s="139">
        <v>44440.0</v>
      </c>
      <c r="ER23" s="139">
        <v>44470.0</v>
      </c>
      <c r="ES23" s="139">
        <v>44501.0</v>
      </c>
      <c r="ET23" s="139">
        <v>44531.0</v>
      </c>
      <c r="EU23" s="139">
        <v>44562.0</v>
      </c>
      <c r="EV23" s="139">
        <v>44593.0</v>
      </c>
      <c r="EW23" s="139">
        <v>44621.0</v>
      </c>
      <c r="EX23" s="139">
        <v>44652.0</v>
      </c>
      <c r="EY23" s="139">
        <v>44682.0</v>
      </c>
      <c r="EZ23" s="139">
        <v>44713.0</v>
      </c>
      <c r="FA23" s="139">
        <v>44743.0</v>
      </c>
      <c r="FB23" s="139">
        <v>44774.0</v>
      </c>
      <c r="FC23" s="139">
        <v>44805.0</v>
      </c>
      <c r="FD23" s="139">
        <v>44835.0</v>
      </c>
      <c r="FE23" s="139">
        <v>44866.0</v>
      </c>
      <c r="FF23" s="139">
        <v>44896.0</v>
      </c>
      <c r="FG23" s="139">
        <v>44927.0</v>
      </c>
      <c r="FH23" s="139">
        <v>44958.0</v>
      </c>
      <c r="FI23" s="139">
        <v>44986.0</v>
      </c>
      <c r="FJ23" s="139">
        <v>45017.0</v>
      </c>
      <c r="FK23" s="139">
        <v>45047.0</v>
      </c>
      <c r="FL23" s="139">
        <v>45078.0</v>
      </c>
      <c r="FM23" s="139">
        <v>45108.0</v>
      </c>
      <c r="FN23" s="139">
        <v>45139.0</v>
      </c>
      <c r="FO23" s="139">
        <v>45170.0</v>
      </c>
      <c r="FP23" s="139">
        <v>45200.0</v>
      </c>
      <c r="FQ23" s="139">
        <v>45231.0</v>
      </c>
      <c r="FR23" s="139">
        <v>45261.0</v>
      </c>
      <c r="FS23" s="139">
        <v>45292.0</v>
      </c>
      <c r="FT23" s="139">
        <v>45323.0</v>
      </c>
      <c r="FU23" s="139">
        <v>45352.0</v>
      </c>
      <c r="FV23" s="139">
        <v>45383.0</v>
      </c>
      <c r="FW23" s="139">
        <v>45413.0</v>
      </c>
      <c r="FX23" s="139">
        <v>45444.0</v>
      </c>
      <c r="FY23" s="139">
        <v>45474.0</v>
      </c>
      <c r="FZ23" s="139">
        <v>45505.0</v>
      </c>
      <c r="GA23" s="139">
        <v>45536.0</v>
      </c>
      <c r="GB23" s="139">
        <v>45566.0</v>
      </c>
      <c r="GC23" s="139">
        <v>45597.0</v>
      </c>
      <c r="GD23" s="139">
        <v>45627.0</v>
      </c>
      <c r="GE23" s="139">
        <v>45658.0</v>
      </c>
      <c r="GF23" s="139">
        <v>45689.0</v>
      </c>
      <c r="GG23" s="139">
        <v>45717.0</v>
      </c>
      <c r="GH23" s="139">
        <v>45748.0</v>
      </c>
      <c r="GI23" s="139">
        <v>45778.0</v>
      </c>
      <c r="GJ23" s="139">
        <v>45809.0</v>
      </c>
      <c r="GK23" s="139">
        <v>45839.0</v>
      </c>
    </row>
    <row r="24">
      <c r="A24" s="132" t="s">
        <v>33948</v>
      </c>
      <c r="B24" s="133" t="s">
        <v>1286</v>
      </c>
      <c r="C24" s="134">
        <v>42044.79641203704</v>
      </c>
      <c r="D24" s="135" t="str">
        <f t="shared" si="1"/>
        <v>2015/02/09</v>
      </c>
      <c r="E24" s="136" t="s">
        <v>33949</v>
      </c>
      <c r="F24" s="137">
        <v>0.0</v>
      </c>
      <c r="G24" s="138">
        <v>40179.0</v>
      </c>
      <c r="H24" s="138">
        <v>40210.0</v>
      </c>
      <c r="I24" s="138">
        <v>40238.0</v>
      </c>
      <c r="J24" s="138">
        <v>40269.0</v>
      </c>
      <c r="K24" s="138">
        <v>40299.0</v>
      </c>
      <c r="L24" s="138">
        <v>40330.0</v>
      </c>
      <c r="M24" s="138">
        <v>40360.0</v>
      </c>
      <c r="N24" s="138">
        <v>40391.0</v>
      </c>
      <c r="O24" s="138">
        <v>40422.0</v>
      </c>
      <c r="P24" s="138">
        <v>40452.0</v>
      </c>
      <c r="Q24" s="138">
        <v>40483.0</v>
      </c>
      <c r="R24" s="138">
        <v>40513.0</v>
      </c>
      <c r="S24" s="138">
        <v>40544.0</v>
      </c>
      <c r="T24" s="138">
        <v>40575.0</v>
      </c>
      <c r="U24" s="138">
        <v>40603.0</v>
      </c>
      <c r="V24" s="138">
        <v>40634.0</v>
      </c>
      <c r="W24" s="138">
        <v>40664.0</v>
      </c>
      <c r="X24" s="138">
        <v>40695.0</v>
      </c>
      <c r="Y24" s="138">
        <v>40725.0</v>
      </c>
      <c r="Z24" s="138">
        <v>40756.0</v>
      </c>
      <c r="AA24" s="138">
        <v>40787.0</v>
      </c>
      <c r="AB24" s="138">
        <v>40817.0</v>
      </c>
      <c r="AC24" s="138">
        <v>40848.0</v>
      </c>
      <c r="AD24" s="138">
        <v>40878.0</v>
      </c>
      <c r="AE24" s="138">
        <v>40909.0</v>
      </c>
      <c r="AF24" s="138">
        <v>40940.0</v>
      </c>
      <c r="AG24" s="138">
        <v>40969.0</v>
      </c>
      <c r="AH24" s="138">
        <v>41000.0</v>
      </c>
      <c r="AI24" s="138">
        <v>41030.0</v>
      </c>
      <c r="AJ24" s="138">
        <v>41061.0</v>
      </c>
      <c r="AK24" s="138">
        <v>41091.0</v>
      </c>
      <c r="AL24" s="138">
        <v>41122.0</v>
      </c>
      <c r="AM24" s="138">
        <v>41153.0</v>
      </c>
      <c r="AN24" s="138">
        <v>41183.0</v>
      </c>
      <c r="AO24" s="138">
        <v>41214.0</v>
      </c>
      <c r="AP24" s="138">
        <v>41244.0</v>
      </c>
      <c r="AQ24" s="138">
        <v>41275.0</v>
      </c>
      <c r="AR24" s="138">
        <v>41306.0</v>
      </c>
      <c r="AS24" s="138">
        <v>41334.0</v>
      </c>
      <c r="AT24" s="138">
        <v>41365.0</v>
      </c>
      <c r="AU24" s="138">
        <v>41395.0</v>
      </c>
      <c r="AV24" s="138">
        <v>41426.0</v>
      </c>
      <c r="AW24" s="138">
        <v>41456.0</v>
      </c>
      <c r="AX24" s="138">
        <v>41487.0</v>
      </c>
      <c r="AY24" s="138">
        <v>41518.0</v>
      </c>
      <c r="AZ24" s="138">
        <v>41548.0</v>
      </c>
      <c r="BA24" s="138">
        <v>41579.0</v>
      </c>
      <c r="BB24" s="138">
        <v>41609.0</v>
      </c>
      <c r="BC24" s="138">
        <v>41640.0</v>
      </c>
      <c r="BD24" s="138">
        <v>41671.0</v>
      </c>
      <c r="BE24" s="138">
        <v>41699.0</v>
      </c>
      <c r="BF24" s="138">
        <v>41730.0</v>
      </c>
      <c r="BG24" s="138">
        <v>41760.0</v>
      </c>
      <c r="BH24" s="138">
        <v>41791.0</v>
      </c>
      <c r="BI24" s="138">
        <v>41821.0</v>
      </c>
      <c r="BJ24" s="138">
        <v>41852.0</v>
      </c>
      <c r="BK24" s="138">
        <v>41883.0</v>
      </c>
      <c r="BL24" s="138">
        <v>41913.0</v>
      </c>
      <c r="BM24" s="138">
        <v>41944.0</v>
      </c>
      <c r="BN24" s="138">
        <v>41974.0</v>
      </c>
      <c r="BO24" s="138">
        <v>42005.0</v>
      </c>
      <c r="BP24" s="138">
        <v>42036.0</v>
      </c>
      <c r="BQ24" s="139">
        <v>42064.0</v>
      </c>
      <c r="BR24" s="139">
        <v>42095.0</v>
      </c>
      <c r="BS24" s="139">
        <v>42125.0</v>
      </c>
      <c r="BT24" s="139">
        <v>42156.0</v>
      </c>
      <c r="BU24" s="139">
        <v>42186.0</v>
      </c>
      <c r="BV24" s="139">
        <v>42217.0</v>
      </c>
      <c r="BW24" s="139">
        <v>42248.0</v>
      </c>
      <c r="BX24" s="139">
        <v>42278.0</v>
      </c>
      <c r="BY24" s="139">
        <v>42309.0</v>
      </c>
      <c r="BZ24" s="139">
        <v>42339.0</v>
      </c>
      <c r="CA24" s="139">
        <v>42370.0</v>
      </c>
      <c r="CB24" s="139">
        <v>42401.0</v>
      </c>
      <c r="CC24" s="139">
        <v>42430.0</v>
      </c>
      <c r="CD24" s="139">
        <v>42461.0</v>
      </c>
      <c r="CE24" s="139">
        <v>42491.0</v>
      </c>
      <c r="CF24" s="139">
        <v>42522.0</v>
      </c>
      <c r="CG24" s="139">
        <v>42552.0</v>
      </c>
      <c r="CH24" s="139">
        <v>42583.0</v>
      </c>
      <c r="CI24" s="139">
        <v>42614.0</v>
      </c>
      <c r="CJ24" s="139">
        <v>42644.0</v>
      </c>
      <c r="CK24" s="139">
        <v>42675.0</v>
      </c>
      <c r="CL24" s="139">
        <v>42705.0</v>
      </c>
      <c r="CM24" s="139">
        <v>42736.0</v>
      </c>
      <c r="CN24" s="139">
        <v>42767.0</v>
      </c>
      <c r="CO24" s="139">
        <v>42795.0</v>
      </c>
      <c r="CP24" s="139">
        <v>42826.0</v>
      </c>
      <c r="CQ24" s="139">
        <v>42856.0</v>
      </c>
      <c r="CR24" s="139">
        <v>42887.0</v>
      </c>
      <c r="CS24" s="139">
        <v>42917.0</v>
      </c>
      <c r="CT24" s="139">
        <v>42948.0</v>
      </c>
      <c r="CU24" s="139">
        <v>42979.0</v>
      </c>
      <c r="CV24" s="139">
        <v>43009.0</v>
      </c>
      <c r="CW24" s="139">
        <v>43040.0</v>
      </c>
      <c r="CX24" s="139">
        <v>43070.0</v>
      </c>
      <c r="CY24" s="139">
        <v>43101.0</v>
      </c>
      <c r="CZ24" s="139">
        <v>43132.0</v>
      </c>
      <c r="DA24" s="139">
        <v>43160.0</v>
      </c>
      <c r="DB24" s="139">
        <v>43191.0</v>
      </c>
      <c r="DC24" s="139">
        <v>43221.0</v>
      </c>
      <c r="DD24" s="139">
        <v>43252.0</v>
      </c>
      <c r="DE24" s="139">
        <v>43282.0</v>
      </c>
      <c r="DF24" s="139">
        <v>43313.0</v>
      </c>
      <c r="DG24" s="139">
        <v>43344.0</v>
      </c>
      <c r="DH24" s="139">
        <v>43374.0</v>
      </c>
      <c r="DI24" s="139">
        <v>43405.0</v>
      </c>
      <c r="DJ24" s="139">
        <v>43435.0</v>
      </c>
      <c r="DK24" s="139">
        <v>43466.0</v>
      </c>
      <c r="DL24" s="139">
        <v>43497.0</v>
      </c>
      <c r="DM24" s="139">
        <v>43525.0</v>
      </c>
      <c r="DN24" s="139">
        <v>43556.0</v>
      </c>
      <c r="DO24" s="139">
        <v>43586.0</v>
      </c>
      <c r="DP24" s="139">
        <v>43617.0</v>
      </c>
      <c r="DQ24" s="139">
        <v>43647.0</v>
      </c>
      <c r="DR24" s="139">
        <v>43678.0</v>
      </c>
      <c r="DS24" s="139">
        <v>43709.0</v>
      </c>
      <c r="DT24" s="139">
        <v>43739.0</v>
      </c>
      <c r="DU24" s="139">
        <v>43770.0</v>
      </c>
      <c r="DV24" s="139">
        <v>43800.0</v>
      </c>
      <c r="DW24" s="139">
        <v>43831.0</v>
      </c>
      <c r="DX24" s="139">
        <v>43862.0</v>
      </c>
      <c r="DY24" s="139">
        <v>43891.0</v>
      </c>
      <c r="DZ24" s="139">
        <v>43922.0</v>
      </c>
      <c r="EA24" s="139">
        <v>43952.0</v>
      </c>
      <c r="EB24" s="139">
        <v>43983.0</v>
      </c>
      <c r="EC24" s="139">
        <v>44013.0</v>
      </c>
      <c r="ED24" s="139">
        <v>44044.0</v>
      </c>
      <c r="EE24" s="139">
        <v>44075.0</v>
      </c>
      <c r="EF24" s="139">
        <v>44105.0</v>
      </c>
      <c r="EG24" s="139">
        <v>44136.0</v>
      </c>
      <c r="EH24" s="139">
        <v>44166.0</v>
      </c>
      <c r="EI24" s="139">
        <v>44197.0</v>
      </c>
      <c r="EJ24" s="139">
        <v>44228.0</v>
      </c>
      <c r="EK24" s="139">
        <v>44256.0</v>
      </c>
      <c r="EL24" s="139">
        <v>44287.0</v>
      </c>
      <c r="EM24" s="139">
        <v>44317.0</v>
      </c>
      <c r="EN24" s="139">
        <v>44348.0</v>
      </c>
      <c r="EO24" s="139">
        <v>44378.0</v>
      </c>
      <c r="EP24" s="139">
        <v>44409.0</v>
      </c>
      <c r="EQ24" s="139">
        <v>44440.0</v>
      </c>
      <c r="ER24" s="139">
        <v>44470.0</v>
      </c>
      <c r="ES24" s="139">
        <v>44501.0</v>
      </c>
      <c r="ET24" s="139">
        <v>44531.0</v>
      </c>
      <c r="EU24" s="139">
        <v>44562.0</v>
      </c>
      <c r="EV24" s="139">
        <v>44593.0</v>
      </c>
      <c r="EW24" s="139">
        <v>44621.0</v>
      </c>
      <c r="EX24" s="139">
        <v>44652.0</v>
      </c>
      <c r="EY24" s="139">
        <v>44682.0</v>
      </c>
      <c r="EZ24" s="139">
        <v>44713.0</v>
      </c>
      <c r="FA24" s="139">
        <v>44743.0</v>
      </c>
      <c r="FB24" s="139">
        <v>44774.0</v>
      </c>
      <c r="FC24" s="139">
        <v>44805.0</v>
      </c>
      <c r="FD24" s="139">
        <v>44835.0</v>
      </c>
      <c r="FE24" s="139">
        <v>44866.0</v>
      </c>
      <c r="FF24" s="139">
        <v>44896.0</v>
      </c>
      <c r="FG24" s="139">
        <v>44927.0</v>
      </c>
      <c r="FH24" s="139">
        <v>44958.0</v>
      </c>
      <c r="FI24" s="139">
        <v>44986.0</v>
      </c>
      <c r="FJ24" s="139">
        <v>45017.0</v>
      </c>
      <c r="FK24" s="139">
        <v>45047.0</v>
      </c>
      <c r="FL24" s="139">
        <v>45078.0</v>
      </c>
      <c r="FM24" s="139">
        <v>45108.0</v>
      </c>
      <c r="FN24" s="139">
        <v>45139.0</v>
      </c>
      <c r="FO24" s="139">
        <v>45170.0</v>
      </c>
      <c r="FP24" s="139">
        <v>45200.0</v>
      </c>
      <c r="FQ24" s="139">
        <v>45231.0</v>
      </c>
      <c r="FR24" s="139">
        <v>45261.0</v>
      </c>
      <c r="FS24" s="139">
        <v>45292.0</v>
      </c>
      <c r="FT24" s="139">
        <v>45323.0</v>
      </c>
      <c r="FU24" s="139">
        <v>45352.0</v>
      </c>
      <c r="FV24" s="139">
        <v>45383.0</v>
      </c>
      <c r="FW24" s="139">
        <v>45413.0</v>
      </c>
      <c r="FX24" s="139">
        <v>45444.0</v>
      </c>
      <c r="FY24" s="139">
        <v>45474.0</v>
      </c>
      <c r="FZ24" s="139">
        <v>45505.0</v>
      </c>
      <c r="GA24" s="139">
        <v>45536.0</v>
      </c>
      <c r="GB24" s="139">
        <v>45566.0</v>
      </c>
      <c r="GC24" s="139">
        <v>45597.0</v>
      </c>
      <c r="GD24" s="139">
        <v>45627.0</v>
      </c>
      <c r="GE24" s="139">
        <v>45658.0</v>
      </c>
      <c r="GF24" s="139">
        <v>45689.0</v>
      </c>
      <c r="GG24" s="139">
        <v>45717.0</v>
      </c>
      <c r="GH24" s="139">
        <v>45748.0</v>
      </c>
      <c r="GI24" s="139">
        <v>45778.0</v>
      </c>
      <c r="GJ24" s="139">
        <v>45809.0</v>
      </c>
      <c r="GK24" s="139">
        <v>45839.0</v>
      </c>
    </row>
    <row r="25">
      <c r="A25" s="132" t="s">
        <v>33950</v>
      </c>
      <c r="B25" s="133" t="s">
        <v>1212</v>
      </c>
      <c r="C25" s="134">
        <v>42095.54782407408</v>
      </c>
      <c r="D25" s="135" t="str">
        <f t="shared" si="1"/>
        <v>2015/04/01</v>
      </c>
      <c r="E25" s="136" t="s">
        <v>33951</v>
      </c>
      <c r="F25" s="137">
        <v>6.0E-5</v>
      </c>
      <c r="G25" s="138">
        <v>40179.0</v>
      </c>
      <c r="H25" s="138">
        <v>40210.0</v>
      </c>
      <c r="I25" s="138">
        <v>40238.0</v>
      </c>
      <c r="J25" s="138">
        <v>40269.0</v>
      </c>
      <c r="K25" s="138">
        <v>40299.0</v>
      </c>
      <c r="L25" s="138">
        <v>40330.0</v>
      </c>
      <c r="M25" s="138">
        <v>40360.0</v>
      </c>
      <c r="N25" s="138">
        <v>40391.0</v>
      </c>
      <c r="O25" s="138">
        <v>40422.0</v>
      </c>
      <c r="P25" s="138">
        <v>40452.0</v>
      </c>
      <c r="Q25" s="138">
        <v>40483.0</v>
      </c>
      <c r="R25" s="138">
        <v>40513.0</v>
      </c>
      <c r="S25" s="138">
        <v>40544.0</v>
      </c>
      <c r="T25" s="138">
        <v>40575.0</v>
      </c>
      <c r="U25" s="138">
        <v>40603.0</v>
      </c>
      <c r="V25" s="138">
        <v>40634.0</v>
      </c>
      <c r="W25" s="138">
        <v>40664.0</v>
      </c>
      <c r="X25" s="138">
        <v>40695.0</v>
      </c>
      <c r="Y25" s="138">
        <v>40725.0</v>
      </c>
      <c r="Z25" s="138">
        <v>40756.0</v>
      </c>
      <c r="AA25" s="138">
        <v>40787.0</v>
      </c>
      <c r="AB25" s="138">
        <v>40817.0</v>
      </c>
      <c r="AC25" s="138">
        <v>40848.0</v>
      </c>
      <c r="AD25" s="138">
        <v>40878.0</v>
      </c>
      <c r="AE25" s="138">
        <v>40909.0</v>
      </c>
      <c r="AF25" s="138">
        <v>40940.0</v>
      </c>
      <c r="AG25" s="138">
        <v>40969.0</v>
      </c>
      <c r="AH25" s="138">
        <v>41000.0</v>
      </c>
      <c r="AI25" s="138">
        <v>41030.0</v>
      </c>
      <c r="AJ25" s="138">
        <v>41061.0</v>
      </c>
      <c r="AK25" s="138">
        <v>41091.0</v>
      </c>
      <c r="AL25" s="138">
        <v>41122.0</v>
      </c>
      <c r="AM25" s="138">
        <v>41153.0</v>
      </c>
      <c r="AN25" s="138">
        <v>41183.0</v>
      </c>
      <c r="AO25" s="138">
        <v>41214.0</v>
      </c>
      <c r="AP25" s="138">
        <v>41244.0</v>
      </c>
      <c r="AQ25" s="138">
        <v>41275.0</v>
      </c>
      <c r="AR25" s="138">
        <v>41306.0</v>
      </c>
      <c r="AS25" s="138">
        <v>41334.0</v>
      </c>
      <c r="AT25" s="138">
        <v>41365.0</v>
      </c>
      <c r="AU25" s="138">
        <v>41395.0</v>
      </c>
      <c r="AV25" s="138">
        <v>41426.0</v>
      </c>
      <c r="AW25" s="138">
        <v>41456.0</v>
      </c>
      <c r="AX25" s="138">
        <v>41487.0</v>
      </c>
      <c r="AY25" s="138">
        <v>41518.0</v>
      </c>
      <c r="AZ25" s="138">
        <v>41548.0</v>
      </c>
      <c r="BA25" s="138">
        <v>41579.0</v>
      </c>
      <c r="BB25" s="138">
        <v>41609.0</v>
      </c>
      <c r="BC25" s="138">
        <v>41640.0</v>
      </c>
      <c r="BD25" s="138">
        <v>41671.0</v>
      </c>
      <c r="BE25" s="138">
        <v>41699.0</v>
      </c>
      <c r="BF25" s="138">
        <v>41730.0</v>
      </c>
      <c r="BG25" s="138">
        <v>41760.0</v>
      </c>
      <c r="BH25" s="138">
        <v>41791.0</v>
      </c>
      <c r="BI25" s="138">
        <v>41821.0</v>
      </c>
      <c r="BJ25" s="138">
        <v>41852.0</v>
      </c>
      <c r="BK25" s="138">
        <v>41883.0</v>
      </c>
      <c r="BL25" s="138">
        <v>41913.0</v>
      </c>
      <c r="BM25" s="138">
        <v>41944.0</v>
      </c>
      <c r="BN25" s="138">
        <v>41974.0</v>
      </c>
      <c r="BO25" s="138">
        <v>42005.0</v>
      </c>
      <c r="BP25" s="138">
        <v>42036.0</v>
      </c>
      <c r="BQ25" s="138">
        <v>42064.0</v>
      </c>
      <c r="BR25" s="138">
        <v>42095.0</v>
      </c>
      <c r="BS25" s="139">
        <v>42125.0</v>
      </c>
      <c r="BT25" s="139">
        <v>42156.0</v>
      </c>
      <c r="BU25" s="139">
        <v>42186.0</v>
      </c>
      <c r="BV25" s="139">
        <v>42217.0</v>
      </c>
      <c r="BW25" s="139">
        <v>42248.0</v>
      </c>
      <c r="BX25" s="139">
        <v>42278.0</v>
      </c>
      <c r="BY25" s="139">
        <v>42309.0</v>
      </c>
      <c r="BZ25" s="139">
        <v>42339.0</v>
      </c>
      <c r="CA25" s="139">
        <v>42370.0</v>
      </c>
      <c r="CB25" s="139">
        <v>42401.0</v>
      </c>
      <c r="CC25" s="139">
        <v>42430.0</v>
      </c>
      <c r="CD25" s="139">
        <v>42461.0</v>
      </c>
      <c r="CE25" s="139">
        <v>42491.0</v>
      </c>
      <c r="CF25" s="139">
        <v>42522.0</v>
      </c>
      <c r="CG25" s="139">
        <v>42552.0</v>
      </c>
      <c r="CH25" s="139">
        <v>42583.0</v>
      </c>
      <c r="CI25" s="139">
        <v>42614.0</v>
      </c>
      <c r="CJ25" s="139">
        <v>42644.0</v>
      </c>
      <c r="CK25" s="139">
        <v>42675.0</v>
      </c>
      <c r="CL25" s="139">
        <v>42705.0</v>
      </c>
      <c r="CM25" s="139">
        <v>42736.0</v>
      </c>
      <c r="CN25" s="139">
        <v>42767.0</v>
      </c>
      <c r="CO25" s="139">
        <v>42795.0</v>
      </c>
      <c r="CP25" s="139">
        <v>42826.0</v>
      </c>
      <c r="CQ25" s="139">
        <v>42856.0</v>
      </c>
      <c r="CR25" s="139">
        <v>42887.0</v>
      </c>
      <c r="CS25" s="139">
        <v>42917.0</v>
      </c>
      <c r="CT25" s="139">
        <v>42948.0</v>
      </c>
      <c r="CU25" s="139">
        <v>42979.0</v>
      </c>
      <c r="CV25" s="139">
        <v>43009.0</v>
      </c>
      <c r="CW25" s="139">
        <v>43040.0</v>
      </c>
      <c r="CX25" s="139">
        <v>43070.0</v>
      </c>
      <c r="CY25" s="139">
        <v>43101.0</v>
      </c>
      <c r="CZ25" s="139">
        <v>43132.0</v>
      </c>
      <c r="DA25" s="139">
        <v>43160.0</v>
      </c>
      <c r="DB25" s="139">
        <v>43191.0</v>
      </c>
      <c r="DC25" s="139">
        <v>43221.0</v>
      </c>
      <c r="DD25" s="139">
        <v>43252.0</v>
      </c>
      <c r="DE25" s="139">
        <v>43282.0</v>
      </c>
      <c r="DF25" s="139">
        <v>43313.0</v>
      </c>
      <c r="DG25" s="139">
        <v>43344.0</v>
      </c>
      <c r="DH25" s="139">
        <v>43374.0</v>
      </c>
      <c r="DI25" s="139">
        <v>43405.0</v>
      </c>
      <c r="DJ25" s="139">
        <v>43435.0</v>
      </c>
      <c r="DK25" s="139">
        <v>43466.0</v>
      </c>
      <c r="DL25" s="139">
        <v>43497.0</v>
      </c>
      <c r="DM25" s="139">
        <v>43525.0</v>
      </c>
      <c r="DN25" s="139">
        <v>43556.0</v>
      </c>
      <c r="DO25" s="139">
        <v>43586.0</v>
      </c>
      <c r="DP25" s="139">
        <v>43617.0</v>
      </c>
      <c r="DQ25" s="139">
        <v>43647.0</v>
      </c>
      <c r="DR25" s="139">
        <v>43678.0</v>
      </c>
      <c r="DS25" s="139">
        <v>43709.0</v>
      </c>
      <c r="DT25" s="139">
        <v>43739.0</v>
      </c>
      <c r="DU25" s="139">
        <v>43770.0</v>
      </c>
      <c r="DV25" s="139">
        <v>43800.0</v>
      </c>
      <c r="DW25" s="139">
        <v>43831.0</v>
      </c>
      <c r="DX25" s="139">
        <v>43862.0</v>
      </c>
      <c r="DY25" s="139">
        <v>43891.0</v>
      </c>
      <c r="DZ25" s="139">
        <v>43922.0</v>
      </c>
      <c r="EA25" s="139">
        <v>43952.0</v>
      </c>
      <c r="EB25" s="139">
        <v>43983.0</v>
      </c>
      <c r="EC25" s="139">
        <v>44013.0</v>
      </c>
      <c r="ED25" s="139">
        <v>44044.0</v>
      </c>
      <c r="EE25" s="139">
        <v>44075.0</v>
      </c>
      <c r="EF25" s="139">
        <v>44105.0</v>
      </c>
      <c r="EG25" s="139">
        <v>44136.0</v>
      </c>
      <c r="EH25" s="139">
        <v>44166.0</v>
      </c>
      <c r="EI25" s="139">
        <v>44197.0</v>
      </c>
      <c r="EJ25" s="139">
        <v>44228.0</v>
      </c>
      <c r="EK25" s="139">
        <v>44256.0</v>
      </c>
      <c r="EL25" s="139">
        <v>44287.0</v>
      </c>
      <c r="EM25" s="139">
        <v>44317.0</v>
      </c>
      <c r="EN25" s="139">
        <v>44348.0</v>
      </c>
      <c r="EO25" s="139">
        <v>44378.0</v>
      </c>
      <c r="EP25" s="139">
        <v>44409.0</v>
      </c>
      <c r="EQ25" s="139">
        <v>44440.0</v>
      </c>
      <c r="ER25" s="139">
        <v>44470.0</v>
      </c>
      <c r="ES25" s="139">
        <v>44501.0</v>
      </c>
      <c r="ET25" s="139">
        <v>44531.0</v>
      </c>
      <c r="EU25" s="139">
        <v>44562.0</v>
      </c>
      <c r="EV25" s="139">
        <v>44593.0</v>
      </c>
      <c r="EW25" s="139">
        <v>44621.0</v>
      </c>
      <c r="EX25" s="139">
        <v>44652.0</v>
      </c>
      <c r="EY25" s="139">
        <v>44682.0</v>
      </c>
      <c r="EZ25" s="139">
        <v>44713.0</v>
      </c>
      <c r="FA25" s="139">
        <v>44743.0</v>
      </c>
      <c r="FB25" s="139">
        <v>44774.0</v>
      </c>
      <c r="FC25" s="139">
        <v>44805.0</v>
      </c>
      <c r="FD25" s="139">
        <v>44835.0</v>
      </c>
      <c r="FE25" s="139">
        <v>44866.0</v>
      </c>
      <c r="FF25" s="139">
        <v>44896.0</v>
      </c>
      <c r="FG25" s="139">
        <v>44927.0</v>
      </c>
      <c r="FH25" s="139">
        <v>44958.0</v>
      </c>
      <c r="FI25" s="139">
        <v>44986.0</v>
      </c>
      <c r="FJ25" s="139">
        <v>45017.0</v>
      </c>
      <c r="FK25" s="139">
        <v>45047.0</v>
      </c>
      <c r="FL25" s="139">
        <v>45078.0</v>
      </c>
      <c r="FM25" s="139">
        <v>45108.0</v>
      </c>
      <c r="FN25" s="139">
        <v>45139.0</v>
      </c>
      <c r="FO25" s="139">
        <v>45170.0</v>
      </c>
      <c r="FP25" s="139">
        <v>45200.0</v>
      </c>
      <c r="FQ25" s="139">
        <v>45231.0</v>
      </c>
      <c r="FR25" s="139">
        <v>45261.0</v>
      </c>
      <c r="FS25" s="139">
        <v>45292.0</v>
      </c>
      <c r="FT25" s="139">
        <v>45323.0</v>
      </c>
      <c r="FU25" s="139">
        <v>45352.0</v>
      </c>
      <c r="FV25" s="139">
        <v>45383.0</v>
      </c>
      <c r="FW25" s="139">
        <v>45413.0</v>
      </c>
      <c r="FX25" s="139">
        <v>45444.0</v>
      </c>
      <c r="FY25" s="139">
        <v>45474.0</v>
      </c>
      <c r="FZ25" s="139">
        <v>45505.0</v>
      </c>
      <c r="GA25" s="139">
        <v>45536.0</v>
      </c>
      <c r="GB25" s="139">
        <v>45566.0</v>
      </c>
      <c r="GC25" s="139">
        <v>45597.0</v>
      </c>
      <c r="GD25" s="139">
        <v>45627.0</v>
      </c>
      <c r="GE25" s="139">
        <v>45658.0</v>
      </c>
      <c r="GF25" s="139">
        <v>45689.0</v>
      </c>
      <c r="GG25" s="139">
        <v>45717.0</v>
      </c>
      <c r="GH25" s="139">
        <v>45748.0</v>
      </c>
      <c r="GI25" s="139">
        <v>45778.0</v>
      </c>
      <c r="GJ25" s="139">
        <v>45809.0</v>
      </c>
      <c r="GK25" s="139">
        <v>45839.0</v>
      </c>
    </row>
    <row r="26">
      <c r="A26" s="132" t="s">
        <v>33952</v>
      </c>
      <c r="B26" s="133" t="s">
        <v>1213</v>
      </c>
      <c r="C26" s="134">
        <v>42100.78655092593</v>
      </c>
      <c r="D26" s="135" t="str">
        <f t="shared" si="1"/>
        <v>2015/04/06</v>
      </c>
      <c r="E26" s="136" t="s">
        <v>33953</v>
      </c>
      <c r="F26" s="137">
        <v>1.9E-4</v>
      </c>
      <c r="G26" s="138">
        <v>40179.0</v>
      </c>
      <c r="H26" s="138">
        <v>40210.0</v>
      </c>
      <c r="I26" s="138">
        <v>40238.0</v>
      </c>
      <c r="J26" s="138">
        <v>40269.0</v>
      </c>
      <c r="K26" s="138">
        <v>40299.0</v>
      </c>
      <c r="L26" s="138">
        <v>40330.0</v>
      </c>
      <c r="M26" s="138">
        <v>40360.0</v>
      </c>
      <c r="N26" s="138">
        <v>40391.0</v>
      </c>
      <c r="O26" s="138">
        <v>40422.0</v>
      </c>
      <c r="P26" s="138">
        <v>40452.0</v>
      </c>
      <c r="Q26" s="138">
        <v>40483.0</v>
      </c>
      <c r="R26" s="138">
        <v>40513.0</v>
      </c>
      <c r="S26" s="138">
        <v>40544.0</v>
      </c>
      <c r="T26" s="138">
        <v>40575.0</v>
      </c>
      <c r="U26" s="138">
        <v>40603.0</v>
      </c>
      <c r="V26" s="138">
        <v>40634.0</v>
      </c>
      <c r="W26" s="138">
        <v>40664.0</v>
      </c>
      <c r="X26" s="138">
        <v>40695.0</v>
      </c>
      <c r="Y26" s="138">
        <v>40725.0</v>
      </c>
      <c r="Z26" s="138">
        <v>40756.0</v>
      </c>
      <c r="AA26" s="138">
        <v>40787.0</v>
      </c>
      <c r="AB26" s="138">
        <v>40817.0</v>
      </c>
      <c r="AC26" s="138">
        <v>40848.0</v>
      </c>
      <c r="AD26" s="138">
        <v>40878.0</v>
      </c>
      <c r="AE26" s="138">
        <v>40909.0</v>
      </c>
      <c r="AF26" s="138">
        <v>40940.0</v>
      </c>
      <c r="AG26" s="138">
        <v>40969.0</v>
      </c>
      <c r="AH26" s="138">
        <v>41000.0</v>
      </c>
      <c r="AI26" s="138">
        <v>41030.0</v>
      </c>
      <c r="AJ26" s="138">
        <v>41061.0</v>
      </c>
      <c r="AK26" s="138">
        <v>41091.0</v>
      </c>
      <c r="AL26" s="138">
        <v>41122.0</v>
      </c>
      <c r="AM26" s="138">
        <v>41153.0</v>
      </c>
      <c r="AN26" s="138">
        <v>41183.0</v>
      </c>
      <c r="AO26" s="138">
        <v>41214.0</v>
      </c>
      <c r="AP26" s="138">
        <v>41244.0</v>
      </c>
      <c r="AQ26" s="138">
        <v>41275.0</v>
      </c>
      <c r="AR26" s="138">
        <v>41306.0</v>
      </c>
      <c r="AS26" s="138">
        <v>41334.0</v>
      </c>
      <c r="AT26" s="138">
        <v>41365.0</v>
      </c>
      <c r="AU26" s="138">
        <v>41395.0</v>
      </c>
      <c r="AV26" s="138">
        <v>41426.0</v>
      </c>
      <c r="AW26" s="138">
        <v>41456.0</v>
      </c>
      <c r="AX26" s="138">
        <v>41487.0</v>
      </c>
      <c r="AY26" s="138">
        <v>41518.0</v>
      </c>
      <c r="AZ26" s="138">
        <v>41548.0</v>
      </c>
      <c r="BA26" s="138">
        <v>41579.0</v>
      </c>
      <c r="BB26" s="138">
        <v>41609.0</v>
      </c>
      <c r="BC26" s="138">
        <v>41640.0</v>
      </c>
      <c r="BD26" s="138">
        <v>41671.0</v>
      </c>
      <c r="BE26" s="138">
        <v>41699.0</v>
      </c>
      <c r="BF26" s="138">
        <v>41730.0</v>
      </c>
      <c r="BG26" s="138">
        <v>41760.0</v>
      </c>
      <c r="BH26" s="138">
        <v>41791.0</v>
      </c>
      <c r="BI26" s="138">
        <v>41821.0</v>
      </c>
      <c r="BJ26" s="138">
        <v>41852.0</v>
      </c>
      <c r="BK26" s="138">
        <v>41883.0</v>
      </c>
      <c r="BL26" s="138">
        <v>41913.0</v>
      </c>
      <c r="BM26" s="138">
        <v>41944.0</v>
      </c>
      <c r="BN26" s="138">
        <v>41974.0</v>
      </c>
      <c r="BO26" s="138">
        <v>42005.0</v>
      </c>
      <c r="BP26" s="138">
        <v>42036.0</v>
      </c>
      <c r="BQ26" s="138">
        <v>42064.0</v>
      </c>
      <c r="BR26" s="138">
        <v>42095.0</v>
      </c>
      <c r="BS26" s="139">
        <v>42125.0</v>
      </c>
      <c r="BT26" s="139">
        <v>42156.0</v>
      </c>
      <c r="BU26" s="139">
        <v>42186.0</v>
      </c>
      <c r="BV26" s="139">
        <v>42217.0</v>
      </c>
      <c r="BW26" s="139">
        <v>42248.0</v>
      </c>
      <c r="BX26" s="139">
        <v>42278.0</v>
      </c>
      <c r="BY26" s="139">
        <v>42309.0</v>
      </c>
      <c r="BZ26" s="139">
        <v>42339.0</v>
      </c>
      <c r="CA26" s="139">
        <v>42370.0</v>
      </c>
      <c r="CB26" s="139">
        <v>42401.0</v>
      </c>
      <c r="CC26" s="139">
        <v>42430.0</v>
      </c>
      <c r="CD26" s="139">
        <v>42461.0</v>
      </c>
      <c r="CE26" s="139">
        <v>42491.0</v>
      </c>
      <c r="CF26" s="139">
        <v>42522.0</v>
      </c>
      <c r="CG26" s="139">
        <v>42552.0</v>
      </c>
      <c r="CH26" s="139">
        <v>42583.0</v>
      </c>
      <c r="CI26" s="139">
        <v>42614.0</v>
      </c>
      <c r="CJ26" s="139">
        <v>42644.0</v>
      </c>
      <c r="CK26" s="139">
        <v>42675.0</v>
      </c>
      <c r="CL26" s="139">
        <v>42705.0</v>
      </c>
      <c r="CM26" s="139">
        <v>42736.0</v>
      </c>
      <c r="CN26" s="139">
        <v>42767.0</v>
      </c>
      <c r="CO26" s="139">
        <v>42795.0</v>
      </c>
      <c r="CP26" s="139">
        <v>42826.0</v>
      </c>
      <c r="CQ26" s="139">
        <v>42856.0</v>
      </c>
      <c r="CR26" s="139">
        <v>42887.0</v>
      </c>
      <c r="CS26" s="139">
        <v>42917.0</v>
      </c>
      <c r="CT26" s="139">
        <v>42948.0</v>
      </c>
      <c r="CU26" s="139">
        <v>42979.0</v>
      </c>
      <c r="CV26" s="139">
        <v>43009.0</v>
      </c>
      <c r="CW26" s="139">
        <v>43040.0</v>
      </c>
      <c r="CX26" s="139">
        <v>43070.0</v>
      </c>
      <c r="CY26" s="139">
        <v>43101.0</v>
      </c>
      <c r="CZ26" s="139">
        <v>43132.0</v>
      </c>
      <c r="DA26" s="139">
        <v>43160.0</v>
      </c>
      <c r="DB26" s="139">
        <v>43191.0</v>
      </c>
      <c r="DC26" s="139">
        <v>43221.0</v>
      </c>
      <c r="DD26" s="139">
        <v>43252.0</v>
      </c>
      <c r="DE26" s="139">
        <v>43282.0</v>
      </c>
      <c r="DF26" s="139">
        <v>43313.0</v>
      </c>
      <c r="DG26" s="139">
        <v>43344.0</v>
      </c>
      <c r="DH26" s="139">
        <v>43374.0</v>
      </c>
      <c r="DI26" s="139">
        <v>43405.0</v>
      </c>
      <c r="DJ26" s="139">
        <v>43435.0</v>
      </c>
      <c r="DK26" s="139">
        <v>43466.0</v>
      </c>
      <c r="DL26" s="139">
        <v>43497.0</v>
      </c>
      <c r="DM26" s="139">
        <v>43525.0</v>
      </c>
      <c r="DN26" s="139">
        <v>43556.0</v>
      </c>
      <c r="DO26" s="139">
        <v>43586.0</v>
      </c>
      <c r="DP26" s="139">
        <v>43617.0</v>
      </c>
      <c r="DQ26" s="139">
        <v>43647.0</v>
      </c>
      <c r="DR26" s="139">
        <v>43678.0</v>
      </c>
      <c r="DS26" s="139">
        <v>43709.0</v>
      </c>
      <c r="DT26" s="139">
        <v>43739.0</v>
      </c>
      <c r="DU26" s="139">
        <v>43770.0</v>
      </c>
      <c r="DV26" s="139">
        <v>43800.0</v>
      </c>
      <c r="DW26" s="139">
        <v>43831.0</v>
      </c>
      <c r="DX26" s="139">
        <v>43862.0</v>
      </c>
      <c r="DY26" s="139">
        <v>43891.0</v>
      </c>
      <c r="DZ26" s="139">
        <v>43922.0</v>
      </c>
      <c r="EA26" s="139">
        <v>43952.0</v>
      </c>
      <c r="EB26" s="139">
        <v>43983.0</v>
      </c>
      <c r="EC26" s="139">
        <v>44013.0</v>
      </c>
      <c r="ED26" s="139">
        <v>44044.0</v>
      </c>
      <c r="EE26" s="139">
        <v>44075.0</v>
      </c>
      <c r="EF26" s="139">
        <v>44105.0</v>
      </c>
      <c r="EG26" s="139">
        <v>44136.0</v>
      </c>
      <c r="EH26" s="139">
        <v>44166.0</v>
      </c>
      <c r="EI26" s="139">
        <v>44197.0</v>
      </c>
      <c r="EJ26" s="139">
        <v>44228.0</v>
      </c>
      <c r="EK26" s="139">
        <v>44256.0</v>
      </c>
      <c r="EL26" s="139">
        <v>44287.0</v>
      </c>
      <c r="EM26" s="139">
        <v>44317.0</v>
      </c>
      <c r="EN26" s="139">
        <v>44348.0</v>
      </c>
      <c r="EO26" s="139">
        <v>44378.0</v>
      </c>
      <c r="EP26" s="139">
        <v>44409.0</v>
      </c>
      <c r="EQ26" s="139">
        <v>44440.0</v>
      </c>
      <c r="ER26" s="139">
        <v>44470.0</v>
      </c>
      <c r="ES26" s="139">
        <v>44501.0</v>
      </c>
      <c r="ET26" s="139">
        <v>44531.0</v>
      </c>
      <c r="EU26" s="139">
        <v>44562.0</v>
      </c>
      <c r="EV26" s="139">
        <v>44593.0</v>
      </c>
      <c r="EW26" s="139">
        <v>44621.0</v>
      </c>
      <c r="EX26" s="139">
        <v>44652.0</v>
      </c>
      <c r="EY26" s="139">
        <v>44682.0</v>
      </c>
      <c r="EZ26" s="139">
        <v>44713.0</v>
      </c>
      <c r="FA26" s="139">
        <v>44743.0</v>
      </c>
      <c r="FB26" s="139">
        <v>44774.0</v>
      </c>
      <c r="FC26" s="139">
        <v>44805.0</v>
      </c>
      <c r="FD26" s="139">
        <v>44835.0</v>
      </c>
      <c r="FE26" s="139">
        <v>44866.0</v>
      </c>
      <c r="FF26" s="139">
        <v>44896.0</v>
      </c>
      <c r="FG26" s="139">
        <v>44927.0</v>
      </c>
      <c r="FH26" s="139">
        <v>44958.0</v>
      </c>
      <c r="FI26" s="139">
        <v>44986.0</v>
      </c>
      <c r="FJ26" s="139">
        <v>45017.0</v>
      </c>
      <c r="FK26" s="139">
        <v>45047.0</v>
      </c>
      <c r="FL26" s="139">
        <v>45078.0</v>
      </c>
      <c r="FM26" s="139">
        <v>45108.0</v>
      </c>
      <c r="FN26" s="139">
        <v>45139.0</v>
      </c>
      <c r="FO26" s="139">
        <v>45170.0</v>
      </c>
      <c r="FP26" s="139">
        <v>45200.0</v>
      </c>
      <c r="FQ26" s="139">
        <v>45231.0</v>
      </c>
      <c r="FR26" s="139">
        <v>45261.0</v>
      </c>
      <c r="FS26" s="139">
        <v>45292.0</v>
      </c>
      <c r="FT26" s="139">
        <v>45323.0</v>
      </c>
      <c r="FU26" s="139">
        <v>45352.0</v>
      </c>
      <c r="FV26" s="139">
        <v>45383.0</v>
      </c>
      <c r="FW26" s="139">
        <v>45413.0</v>
      </c>
      <c r="FX26" s="139">
        <v>45444.0</v>
      </c>
      <c r="FY26" s="139">
        <v>45474.0</v>
      </c>
      <c r="FZ26" s="139">
        <v>45505.0</v>
      </c>
      <c r="GA26" s="139">
        <v>45536.0</v>
      </c>
      <c r="GB26" s="139">
        <v>45566.0</v>
      </c>
      <c r="GC26" s="139">
        <v>45597.0</v>
      </c>
      <c r="GD26" s="139">
        <v>45627.0</v>
      </c>
      <c r="GE26" s="139">
        <v>45658.0</v>
      </c>
      <c r="GF26" s="139">
        <v>45689.0</v>
      </c>
      <c r="GG26" s="139">
        <v>45717.0</v>
      </c>
      <c r="GH26" s="139">
        <v>45748.0</v>
      </c>
      <c r="GI26" s="139">
        <v>45778.0</v>
      </c>
      <c r="GJ26" s="139">
        <v>45809.0</v>
      </c>
      <c r="GK26" s="139">
        <v>45839.0</v>
      </c>
    </row>
    <row r="27">
      <c r="A27" s="132" t="s">
        <v>33954</v>
      </c>
      <c r="B27" s="133" t="s">
        <v>1256</v>
      </c>
      <c r="C27" s="134">
        <v>42124.5369212963</v>
      </c>
      <c r="D27" s="135" t="str">
        <f t="shared" si="1"/>
        <v>2015/04/30</v>
      </c>
      <c r="E27" s="136" t="s">
        <v>33955</v>
      </c>
      <c r="F27" s="137">
        <v>0.00129</v>
      </c>
      <c r="G27" s="138">
        <v>40179.0</v>
      </c>
      <c r="H27" s="138">
        <v>40210.0</v>
      </c>
      <c r="I27" s="138">
        <v>40238.0</v>
      </c>
      <c r="J27" s="138">
        <v>40269.0</v>
      </c>
      <c r="K27" s="138">
        <v>40299.0</v>
      </c>
      <c r="L27" s="138">
        <v>40330.0</v>
      </c>
      <c r="M27" s="138">
        <v>40360.0</v>
      </c>
      <c r="N27" s="138">
        <v>40391.0</v>
      </c>
      <c r="O27" s="138">
        <v>40422.0</v>
      </c>
      <c r="P27" s="138">
        <v>40452.0</v>
      </c>
      <c r="Q27" s="138">
        <v>40483.0</v>
      </c>
      <c r="R27" s="138">
        <v>40513.0</v>
      </c>
      <c r="S27" s="138">
        <v>40544.0</v>
      </c>
      <c r="T27" s="138">
        <v>40575.0</v>
      </c>
      <c r="U27" s="138">
        <v>40603.0</v>
      </c>
      <c r="V27" s="138">
        <v>40634.0</v>
      </c>
      <c r="W27" s="138">
        <v>40664.0</v>
      </c>
      <c r="X27" s="138">
        <v>40695.0</v>
      </c>
      <c r="Y27" s="138">
        <v>40725.0</v>
      </c>
      <c r="Z27" s="138">
        <v>40756.0</v>
      </c>
      <c r="AA27" s="138">
        <v>40787.0</v>
      </c>
      <c r="AB27" s="138">
        <v>40817.0</v>
      </c>
      <c r="AC27" s="138">
        <v>40848.0</v>
      </c>
      <c r="AD27" s="138">
        <v>40878.0</v>
      </c>
      <c r="AE27" s="138">
        <v>40909.0</v>
      </c>
      <c r="AF27" s="138">
        <v>40940.0</v>
      </c>
      <c r="AG27" s="138">
        <v>40969.0</v>
      </c>
      <c r="AH27" s="138">
        <v>41000.0</v>
      </c>
      <c r="AI27" s="138">
        <v>41030.0</v>
      </c>
      <c r="AJ27" s="138">
        <v>41061.0</v>
      </c>
      <c r="AK27" s="138">
        <v>41091.0</v>
      </c>
      <c r="AL27" s="138">
        <v>41122.0</v>
      </c>
      <c r="AM27" s="138">
        <v>41153.0</v>
      </c>
      <c r="AN27" s="138">
        <v>41183.0</v>
      </c>
      <c r="AO27" s="138">
        <v>41214.0</v>
      </c>
      <c r="AP27" s="138">
        <v>41244.0</v>
      </c>
      <c r="AQ27" s="138">
        <v>41275.0</v>
      </c>
      <c r="AR27" s="138">
        <v>41306.0</v>
      </c>
      <c r="AS27" s="138">
        <v>41334.0</v>
      </c>
      <c r="AT27" s="138">
        <v>41365.0</v>
      </c>
      <c r="AU27" s="138">
        <v>41395.0</v>
      </c>
      <c r="AV27" s="138">
        <v>41426.0</v>
      </c>
      <c r="AW27" s="138">
        <v>41456.0</v>
      </c>
      <c r="AX27" s="138">
        <v>41487.0</v>
      </c>
      <c r="AY27" s="138">
        <v>41518.0</v>
      </c>
      <c r="AZ27" s="138">
        <v>41548.0</v>
      </c>
      <c r="BA27" s="138">
        <v>41579.0</v>
      </c>
      <c r="BB27" s="138">
        <v>41609.0</v>
      </c>
      <c r="BC27" s="138">
        <v>41640.0</v>
      </c>
      <c r="BD27" s="138">
        <v>41671.0</v>
      </c>
      <c r="BE27" s="138">
        <v>41699.0</v>
      </c>
      <c r="BF27" s="138">
        <v>41730.0</v>
      </c>
      <c r="BG27" s="138">
        <v>41760.0</v>
      </c>
      <c r="BH27" s="138">
        <v>41791.0</v>
      </c>
      <c r="BI27" s="138">
        <v>41821.0</v>
      </c>
      <c r="BJ27" s="138">
        <v>41852.0</v>
      </c>
      <c r="BK27" s="138">
        <v>41883.0</v>
      </c>
      <c r="BL27" s="138">
        <v>41913.0</v>
      </c>
      <c r="BM27" s="138">
        <v>41944.0</v>
      </c>
      <c r="BN27" s="138">
        <v>41974.0</v>
      </c>
      <c r="BO27" s="138">
        <v>42005.0</v>
      </c>
      <c r="BP27" s="138">
        <v>42036.0</v>
      </c>
      <c r="BQ27" s="138">
        <v>42064.0</v>
      </c>
      <c r="BR27" s="138">
        <v>42095.0</v>
      </c>
      <c r="BS27" s="139">
        <v>42125.0</v>
      </c>
      <c r="BT27" s="139">
        <v>42156.0</v>
      </c>
      <c r="BU27" s="139">
        <v>42186.0</v>
      </c>
      <c r="BV27" s="139">
        <v>42217.0</v>
      </c>
      <c r="BW27" s="139">
        <v>42248.0</v>
      </c>
      <c r="BX27" s="139">
        <v>42278.0</v>
      </c>
      <c r="BY27" s="139">
        <v>42309.0</v>
      </c>
      <c r="BZ27" s="139">
        <v>42339.0</v>
      </c>
      <c r="CA27" s="139">
        <v>42370.0</v>
      </c>
      <c r="CB27" s="139">
        <v>42401.0</v>
      </c>
      <c r="CC27" s="139">
        <v>42430.0</v>
      </c>
      <c r="CD27" s="139">
        <v>42461.0</v>
      </c>
      <c r="CE27" s="139">
        <v>42491.0</v>
      </c>
      <c r="CF27" s="139">
        <v>42522.0</v>
      </c>
      <c r="CG27" s="139">
        <v>42552.0</v>
      </c>
      <c r="CH27" s="139">
        <v>42583.0</v>
      </c>
      <c r="CI27" s="139">
        <v>42614.0</v>
      </c>
      <c r="CJ27" s="139">
        <v>42644.0</v>
      </c>
      <c r="CK27" s="139">
        <v>42675.0</v>
      </c>
      <c r="CL27" s="139">
        <v>42705.0</v>
      </c>
      <c r="CM27" s="139">
        <v>42736.0</v>
      </c>
      <c r="CN27" s="139">
        <v>42767.0</v>
      </c>
      <c r="CO27" s="139">
        <v>42795.0</v>
      </c>
      <c r="CP27" s="139">
        <v>42826.0</v>
      </c>
      <c r="CQ27" s="139">
        <v>42856.0</v>
      </c>
      <c r="CR27" s="139">
        <v>42887.0</v>
      </c>
      <c r="CS27" s="139">
        <v>42917.0</v>
      </c>
      <c r="CT27" s="139">
        <v>42948.0</v>
      </c>
      <c r="CU27" s="139">
        <v>42979.0</v>
      </c>
      <c r="CV27" s="139">
        <v>43009.0</v>
      </c>
      <c r="CW27" s="139">
        <v>43040.0</v>
      </c>
      <c r="CX27" s="139">
        <v>43070.0</v>
      </c>
      <c r="CY27" s="139">
        <v>43101.0</v>
      </c>
      <c r="CZ27" s="139">
        <v>43132.0</v>
      </c>
      <c r="DA27" s="139">
        <v>43160.0</v>
      </c>
      <c r="DB27" s="139">
        <v>43191.0</v>
      </c>
      <c r="DC27" s="139">
        <v>43221.0</v>
      </c>
      <c r="DD27" s="139">
        <v>43252.0</v>
      </c>
      <c r="DE27" s="139">
        <v>43282.0</v>
      </c>
      <c r="DF27" s="139">
        <v>43313.0</v>
      </c>
      <c r="DG27" s="139">
        <v>43344.0</v>
      </c>
      <c r="DH27" s="139">
        <v>43374.0</v>
      </c>
      <c r="DI27" s="139">
        <v>43405.0</v>
      </c>
      <c r="DJ27" s="139">
        <v>43435.0</v>
      </c>
      <c r="DK27" s="139">
        <v>43466.0</v>
      </c>
      <c r="DL27" s="139">
        <v>43497.0</v>
      </c>
      <c r="DM27" s="139">
        <v>43525.0</v>
      </c>
      <c r="DN27" s="139">
        <v>43556.0</v>
      </c>
      <c r="DO27" s="139">
        <v>43586.0</v>
      </c>
      <c r="DP27" s="139">
        <v>43617.0</v>
      </c>
      <c r="DQ27" s="139">
        <v>43647.0</v>
      </c>
      <c r="DR27" s="139">
        <v>43678.0</v>
      </c>
      <c r="DS27" s="139">
        <v>43709.0</v>
      </c>
      <c r="DT27" s="139">
        <v>43739.0</v>
      </c>
      <c r="DU27" s="139">
        <v>43770.0</v>
      </c>
      <c r="DV27" s="139">
        <v>43800.0</v>
      </c>
      <c r="DW27" s="139">
        <v>43831.0</v>
      </c>
      <c r="DX27" s="139">
        <v>43862.0</v>
      </c>
      <c r="DY27" s="139">
        <v>43891.0</v>
      </c>
      <c r="DZ27" s="139">
        <v>43922.0</v>
      </c>
      <c r="EA27" s="139">
        <v>43952.0</v>
      </c>
      <c r="EB27" s="139">
        <v>43983.0</v>
      </c>
      <c r="EC27" s="139">
        <v>44013.0</v>
      </c>
      <c r="ED27" s="139">
        <v>44044.0</v>
      </c>
      <c r="EE27" s="139">
        <v>44075.0</v>
      </c>
      <c r="EF27" s="139">
        <v>44105.0</v>
      </c>
      <c r="EG27" s="139">
        <v>44136.0</v>
      </c>
      <c r="EH27" s="139">
        <v>44166.0</v>
      </c>
      <c r="EI27" s="139">
        <v>44197.0</v>
      </c>
      <c r="EJ27" s="139">
        <v>44228.0</v>
      </c>
      <c r="EK27" s="139">
        <v>44256.0</v>
      </c>
      <c r="EL27" s="139">
        <v>44287.0</v>
      </c>
      <c r="EM27" s="139">
        <v>44317.0</v>
      </c>
      <c r="EN27" s="139">
        <v>44348.0</v>
      </c>
      <c r="EO27" s="139">
        <v>44378.0</v>
      </c>
      <c r="EP27" s="139">
        <v>44409.0</v>
      </c>
      <c r="EQ27" s="139">
        <v>44440.0</v>
      </c>
      <c r="ER27" s="139">
        <v>44470.0</v>
      </c>
      <c r="ES27" s="139">
        <v>44501.0</v>
      </c>
      <c r="ET27" s="139">
        <v>44531.0</v>
      </c>
      <c r="EU27" s="139">
        <v>44562.0</v>
      </c>
      <c r="EV27" s="139">
        <v>44593.0</v>
      </c>
      <c r="EW27" s="139">
        <v>44621.0</v>
      </c>
      <c r="EX27" s="139">
        <v>44652.0</v>
      </c>
      <c r="EY27" s="139">
        <v>44682.0</v>
      </c>
      <c r="EZ27" s="139">
        <v>44713.0</v>
      </c>
      <c r="FA27" s="139">
        <v>44743.0</v>
      </c>
      <c r="FB27" s="139">
        <v>44774.0</v>
      </c>
      <c r="FC27" s="139">
        <v>44805.0</v>
      </c>
      <c r="FD27" s="139">
        <v>44835.0</v>
      </c>
      <c r="FE27" s="139">
        <v>44866.0</v>
      </c>
      <c r="FF27" s="139">
        <v>44896.0</v>
      </c>
      <c r="FG27" s="139">
        <v>44927.0</v>
      </c>
      <c r="FH27" s="139">
        <v>44958.0</v>
      </c>
      <c r="FI27" s="139">
        <v>44986.0</v>
      </c>
      <c r="FJ27" s="139">
        <v>45017.0</v>
      </c>
      <c r="FK27" s="139">
        <v>45047.0</v>
      </c>
      <c r="FL27" s="139">
        <v>45078.0</v>
      </c>
      <c r="FM27" s="139">
        <v>45108.0</v>
      </c>
      <c r="FN27" s="139">
        <v>45139.0</v>
      </c>
      <c r="FO27" s="139">
        <v>45170.0</v>
      </c>
      <c r="FP27" s="139">
        <v>45200.0</v>
      </c>
      <c r="FQ27" s="139">
        <v>45231.0</v>
      </c>
      <c r="FR27" s="139">
        <v>45261.0</v>
      </c>
      <c r="FS27" s="139">
        <v>45292.0</v>
      </c>
      <c r="FT27" s="139">
        <v>45323.0</v>
      </c>
      <c r="FU27" s="139">
        <v>45352.0</v>
      </c>
      <c r="FV27" s="139">
        <v>45383.0</v>
      </c>
      <c r="FW27" s="139">
        <v>45413.0</v>
      </c>
      <c r="FX27" s="139">
        <v>45444.0</v>
      </c>
      <c r="FY27" s="139">
        <v>45474.0</v>
      </c>
      <c r="FZ27" s="139">
        <v>45505.0</v>
      </c>
      <c r="GA27" s="139">
        <v>45536.0</v>
      </c>
      <c r="GB27" s="139">
        <v>45566.0</v>
      </c>
      <c r="GC27" s="139">
        <v>45597.0</v>
      </c>
      <c r="GD27" s="139">
        <v>45627.0</v>
      </c>
      <c r="GE27" s="139">
        <v>45658.0</v>
      </c>
      <c r="GF27" s="139">
        <v>45689.0</v>
      </c>
      <c r="GG27" s="139">
        <v>45717.0</v>
      </c>
      <c r="GH27" s="139">
        <v>45748.0</v>
      </c>
      <c r="GI27" s="139">
        <v>45778.0</v>
      </c>
      <c r="GJ27" s="139">
        <v>45809.0</v>
      </c>
      <c r="GK27" s="139">
        <v>45839.0</v>
      </c>
    </row>
    <row r="28">
      <c r="A28" s="132" t="s">
        <v>33956</v>
      </c>
      <c r="B28" s="133" t="s">
        <v>1327</v>
      </c>
      <c r="C28" s="134">
        <v>42124.53864583333</v>
      </c>
      <c r="D28" s="135" t="str">
        <f t="shared" si="1"/>
        <v>2015/04/30</v>
      </c>
      <c r="E28" s="136" t="s">
        <v>33957</v>
      </c>
      <c r="F28" s="137">
        <v>2.0E-5</v>
      </c>
      <c r="G28" s="138">
        <v>40179.0</v>
      </c>
      <c r="H28" s="138">
        <v>40210.0</v>
      </c>
      <c r="I28" s="138">
        <v>40238.0</v>
      </c>
      <c r="J28" s="138">
        <v>40269.0</v>
      </c>
      <c r="K28" s="138">
        <v>40299.0</v>
      </c>
      <c r="L28" s="138">
        <v>40330.0</v>
      </c>
      <c r="M28" s="138">
        <v>40360.0</v>
      </c>
      <c r="N28" s="138">
        <v>40391.0</v>
      </c>
      <c r="O28" s="138">
        <v>40422.0</v>
      </c>
      <c r="P28" s="138">
        <v>40452.0</v>
      </c>
      <c r="Q28" s="138">
        <v>40483.0</v>
      </c>
      <c r="R28" s="138">
        <v>40513.0</v>
      </c>
      <c r="S28" s="138">
        <v>40544.0</v>
      </c>
      <c r="T28" s="138">
        <v>40575.0</v>
      </c>
      <c r="U28" s="138">
        <v>40603.0</v>
      </c>
      <c r="V28" s="138">
        <v>40634.0</v>
      </c>
      <c r="W28" s="138">
        <v>40664.0</v>
      </c>
      <c r="X28" s="138">
        <v>40695.0</v>
      </c>
      <c r="Y28" s="138">
        <v>40725.0</v>
      </c>
      <c r="Z28" s="138">
        <v>40756.0</v>
      </c>
      <c r="AA28" s="138">
        <v>40787.0</v>
      </c>
      <c r="AB28" s="138">
        <v>40817.0</v>
      </c>
      <c r="AC28" s="138">
        <v>40848.0</v>
      </c>
      <c r="AD28" s="138">
        <v>40878.0</v>
      </c>
      <c r="AE28" s="138">
        <v>40909.0</v>
      </c>
      <c r="AF28" s="138">
        <v>40940.0</v>
      </c>
      <c r="AG28" s="138">
        <v>40969.0</v>
      </c>
      <c r="AH28" s="138">
        <v>41000.0</v>
      </c>
      <c r="AI28" s="138">
        <v>41030.0</v>
      </c>
      <c r="AJ28" s="138">
        <v>41061.0</v>
      </c>
      <c r="AK28" s="138">
        <v>41091.0</v>
      </c>
      <c r="AL28" s="138">
        <v>41122.0</v>
      </c>
      <c r="AM28" s="138">
        <v>41153.0</v>
      </c>
      <c r="AN28" s="138">
        <v>41183.0</v>
      </c>
      <c r="AO28" s="138">
        <v>41214.0</v>
      </c>
      <c r="AP28" s="138">
        <v>41244.0</v>
      </c>
      <c r="AQ28" s="138">
        <v>41275.0</v>
      </c>
      <c r="AR28" s="138">
        <v>41306.0</v>
      </c>
      <c r="AS28" s="138">
        <v>41334.0</v>
      </c>
      <c r="AT28" s="138">
        <v>41365.0</v>
      </c>
      <c r="AU28" s="138">
        <v>41395.0</v>
      </c>
      <c r="AV28" s="138">
        <v>41426.0</v>
      </c>
      <c r="AW28" s="138">
        <v>41456.0</v>
      </c>
      <c r="AX28" s="138">
        <v>41487.0</v>
      </c>
      <c r="AY28" s="138">
        <v>41518.0</v>
      </c>
      <c r="AZ28" s="138">
        <v>41548.0</v>
      </c>
      <c r="BA28" s="138">
        <v>41579.0</v>
      </c>
      <c r="BB28" s="138">
        <v>41609.0</v>
      </c>
      <c r="BC28" s="138">
        <v>41640.0</v>
      </c>
      <c r="BD28" s="138">
        <v>41671.0</v>
      </c>
      <c r="BE28" s="138">
        <v>41699.0</v>
      </c>
      <c r="BF28" s="138">
        <v>41730.0</v>
      </c>
      <c r="BG28" s="138">
        <v>41760.0</v>
      </c>
      <c r="BH28" s="138">
        <v>41791.0</v>
      </c>
      <c r="BI28" s="138">
        <v>41821.0</v>
      </c>
      <c r="BJ28" s="138">
        <v>41852.0</v>
      </c>
      <c r="BK28" s="138">
        <v>41883.0</v>
      </c>
      <c r="BL28" s="138">
        <v>41913.0</v>
      </c>
      <c r="BM28" s="138">
        <v>41944.0</v>
      </c>
      <c r="BN28" s="138">
        <v>41974.0</v>
      </c>
      <c r="BO28" s="138">
        <v>42005.0</v>
      </c>
      <c r="BP28" s="138">
        <v>42036.0</v>
      </c>
      <c r="BQ28" s="138">
        <v>42064.0</v>
      </c>
      <c r="BR28" s="138">
        <v>42095.0</v>
      </c>
      <c r="BS28" s="139">
        <v>42125.0</v>
      </c>
      <c r="BT28" s="139">
        <v>42156.0</v>
      </c>
      <c r="BU28" s="139">
        <v>42186.0</v>
      </c>
      <c r="BV28" s="139">
        <v>42217.0</v>
      </c>
      <c r="BW28" s="139">
        <v>42248.0</v>
      </c>
      <c r="BX28" s="139">
        <v>42278.0</v>
      </c>
      <c r="BY28" s="139">
        <v>42309.0</v>
      </c>
      <c r="BZ28" s="139">
        <v>42339.0</v>
      </c>
      <c r="CA28" s="139">
        <v>42370.0</v>
      </c>
      <c r="CB28" s="139">
        <v>42401.0</v>
      </c>
      <c r="CC28" s="139">
        <v>42430.0</v>
      </c>
      <c r="CD28" s="139">
        <v>42461.0</v>
      </c>
      <c r="CE28" s="139">
        <v>42491.0</v>
      </c>
      <c r="CF28" s="139">
        <v>42522.0</v>
      </c>
      <c r="CG28" s="139">
        <v>42552.0</v>
      </c>
      <c r="CH28" s="139">
        <v>42583.0</v>
      </c>
      <c r="CI28" s="139">
        <v>42614.0</v>
      </c>
      <c r="CJ28" s="139">
        <v>42644.0</v>
      </c>
      <c r="CK28" s="139">
        <v>42675.0</v>
      </c>
      <c r="CL28" s="139">
        <v>42705.0</v>
      </c>
      <c r="CM28" s="139">
        <v>42736.0</v>
      </c>
      <c r="CN28" s="139">
        <v>42767.0</v>
      </c>
      <c r="CO28" s="139">
        <v>42795.0</v>
      </c>
      <c r="CP28" s="139">
        <v>42826.0</v>
      </c>
      <c r="CQ28" s="139">
        <v>42856.0</v>
      </c>
      <c r="CR28" s="139">
        <v>42887.0</v>
      </c>
      <c r="CS28" s="139">
        <v>42917.0</v>
      </c>
      <c r="CT28" s="139">
        <v>42948.0</v>
      </c>
      <c r="CU28" s="139">
        <v>42979.0</v>
      </c>
      <c r="CV28" s="139">
        <v>43009.0</v>
      </c>
      <c r="CW28" s="139">
        <v>43040.0</v>
      </c>
      <c r="CX28" s="139">
        <v>43070.0</v>
      </c>
      <c r="CY28" s="139">
        <v>43101.0</v>
      </c>
      <c r="CZ28" s="139">
        <v>43132.0</v>
      </c>
      <c r="DA28" s="139">
        <v>43160.0</v>
      </c>
      <c r="DB28" s="139">
        <v>43191.0</v>
      </c>
      <c r="DC28" s="139">
        <v>43221.0</v>
      </c>
      <c r="DD28" s="139">
        <v>43252.0</v>
      </c>
      <c r="DE28" s="139">
        <v>43282.0</v>
      </c>
      <c r="DF28" s="139">
        <v>43313.0</v>
      </c>
      <c r="DG28" s="139">
        <v>43344.0</v>
      </c>
      <c r="DH28" s="139">
        <v>43374.0</v>
      </c>
      <c r="DI28" s="139">
        <v>43405.0</v>
      </c>
      <c r="DJ28" s="139">
        <v>43435.0</v>
      </c>
      <c r="DK28" s="139">
        <v>43466.0</v>
      </c>
      <c r="DL28" s="139">
        <v>43497.0</v>
      </c>
      <c r="DM28" s="139">
        <v>43525.0</v>
      </c>
      <c r="DN28" s="139">
        <v>43556.0</v>
      </c>
      <c r="DO28" s="139">
        <v>43586.0</v>
      </c>
      <c r="DP28" s="139">
        <v>43617.0</v>
      </c>
      <c r="DQ28" s="139">
        <v>43647.0</v>
      </c>
      <c r="DR28" s="139">
        <v>43678.0</v>
      </c>
      <c r="DS28" s="139">
        <v>43709.0</v>
      </c>
      <c r="DT28" s="139">
        <v>43739.0</v>
      </c>
      <c r="DU28" s="139">
        <v>43770.0</v>
      </c>
      <c r="DV28" s="139">
        <v>43800.0</v>
      </c>
      <c r="DW28" s="139">
        <v>43831.0</v>
      </c>
      <c r="DX28" s="139">
        <v>43862.0</v>
      </c>
      <c r="DY28" s="139">
        <v>43891.0</v>
      </c>
      <c r="DZ28" s="139">
        <v>43922.0</v>
      </c>
      <c r="EA28" s="139">
        <v>43952.0</v>
      </c>
      <c r="EB28" s="139">
        <v>43983.0</v>
      </c>
      <c r="EC28" s="139">
        <v>44013.0</v>
      </c>
      <c r="ED28" s="139">
        <v>44044.0</v>
      </c>
      <c r="EE28" s="139">
        <v>44075.0</v>
      </c>
      <c r="EF28" s="139">
        <v>44105.0</v>
      </c>
      <c r="EG28" s="139">
        <v>44136.0</v>
      </c>
      <c r="EH28" s="139">
        <v>44166.0</v>
      </c>
      <c r="EI28" s="139">
        <v>44197.0</v>
      </c>
      <c r="EJ28" s="139">
        <v>44228.0</v>
      </c>
      <c r="EK28" s="139">
        <v>44256.0</v>
      </c>
      <c r="EL28" s="139">
        <v>44287.0</v>
      </c>
      <c r="EM28" s="139">
        <v>44317.0</v>
      </c>
      <c r="EN28" s="139">
        <v>44348.0</v>
      </c>
      <c r="EO28" s="139">
        <v>44378.0</v>
      </c>
      <c r="EP28" s="139">
        <v>44409.0</v>
      </c>
      <c r="EQ28" s="139">
        <v>44440.0</v>
      </c>
      <c r="ER28" s="139">
        <v>44470.0</v>
      </c>
      <c r="ES28" s="139">
        <v>44501.0</v>
      </c>
      <c r="ET28" s="139">
        <v>44531.0</v>
      </c>
      <c r="EU28" s="139">
        <v>44562.0</v>
      </c>
      <c r="EV28" s="139">
        <v>44593.0</v>
      </c>
      <c r="EW28" s="139">
        <v>44621.0</v>
      </c>
      <c r="EX28" s="139">
        <v>44652.0</v>
      </c>
      <c r="EY28" s="139">
        <v>44682.0</v>
      </c>
      <c r="EZ28" s="139">
        <v>44713.0</v>
      </c>
      <c r="FA28" s="139">
        <v>44743.0</v>
      </c>
      <c r="FB28" s="139">
        <v>44774.0</v>
      </c>
      <c r="FC28" s="139">
        <v>44805.0</v>
      </c>
      <c r="FD28" s="139">
        <v>44835.0</v>
      </c>
      <c r="FE28" s="139">
        <v>44866.0</v>
      </c>
      <c r="FF28" s="139">
        <v>44896.0</v>
      </c>
      <c r="FG28" s="139">
        <v>44927.0</v>
      </c>
      <c r="FH28" s="139">
        <v>44958.0</v>
      </c>
      <c r="FI28" s="139">
        <v>44986.0</v>
      </c>
      <c r="FJ28" s="139">
        <v>45017.0</v>
      </c>
      <c r="FK28" s="139">
        <v>45047.0</v>
      </c>
      <c r="FL28" s="139">
        <v>45078.0</v>
      </c>
      <c r="FM28" s="139">
        <v>45108.0</v>
      </c>
      <c r="FN28" s="139">
        <v>45139.0</v>
      </c>
      <c r="FO28" s="139">
        <v>45170.0</v>
      </c>
      <c r="FP28" s="139">
        <v>45200.0</v>
      </c>
      <c r="FQ28" s="139">
        <v>45231.0</v>
      </c>
      <c r="FR28" s="139">
        <v>45261.0</v>
      </c>
      <c r="FS28" s="139">
        <v>45292.0</v>
      </c>
      <c r="FT28" s="139">
        <v>45323.0</v>
      </c>
      <c r="FU28" s="139">
        <v>45352.0</v>
      </c>
      <c r="FV28" s="139">
        <v>45383.0</v>
      </c>
      <c r="FW28" s="139">
        <v>45413.0</v>
      </c>
      <c r="FX28" s="139">
        <v>45444.0</v>
      </c>
      <c r="FY28" s="139">
        <v>45474.0</v>
      </c>
      <c r="FZ28" s="139">
        <v>45505.0</v>
      </c>
      <c r="GA28" s="139">
        <v>45536.0</v>
      </c>
      <c r="GB28" s="139">
        <v>45566.0</v>
      </c>
      <c r="GC28" s="139">
        <v>45597.0</v>
      </c>
      <c r="GD28" s="139">
        <v>45627.0</v>
      </c>
      <c r="GE28" s="139">
        <v>45658.0</v>
      </c>
      <c r="GF28" s="139">
        <v>45689.0</v>
      </c>
      <c r="GG28" s="139">
        <v>45717.0</v>
      </c>
      <c r="GH28" s="139">
        <v>45748.0</v>
      </c>
      <c r="GI28" s="139">
        <v>45778.0</v>
      </c>
      <c r="GJ28" s="139">
        <v>45809.0</v>
      </c>
      <c r="GK28" s="139">
        <v>45839.0</v>
      </c>
    </row>
    <row r="29">
      <c r="A29" s="132" t="s">
        <v>33958</v>
      </c>
      <c r="B29" s="133" t="s">
        <v>1111</v>
      </c>
      <c r="C29" s="134">
        <v>42170.52429398148</v>
      </c>
      <c r="D29" s="135" t="str">
        <f t="shared" si="1"/>
        <v>2015/06/15</v>
      </c>
      <c r="E29" s="136" t="s">
        <v>33959</v>
      </c>
      <c r="F29" s="137">
        <v>1.0E-5</v>
      </c>
      <c r="G29" s="138">
        <v>40179.0</v>
      </c>
      <c r="H29" s="138">
        <v>40210.0</v>
      </c>
      <c r="I29" s="138">
        <v>40238.0</v>
      </c>
      <c r="J29" s="138">
        <v>40269.0</v>
      </c>
      <c r="K29" s="138">
        <v>40299.0</v>
      </c>
      <c r="L29" s="138">
        <v>40330.0</v>
      </c>
      <c r="M29" s="138">
        <v>40360.0</v>
      </c>
      <c r="N29" s="138">
        <v>40391.0</v>
      </c>
      <c r="O29" s="138">
        <v>40422.0</v>
      </c>
      <c r="P29" s="138">
        <v>40452.0</v>
      </c>
      <c r="Q29" s="138">
        <v>40483.0</v>
      </c>
      <c r="R29" s="138">
        <v>40513.0</v>
      </c>
      <c r="S29" s="138">
        <v>40544.0</v>
      </c>
      <c r="T29" s="138">
        <v>40575.0</v>
      </c>
      <c r="U29" s="138">
        <v>40603.0</v>
      </c>
      <c r="V29" s="138">
        <v>40634.0</v>
      </c>
      <c r="W29" s="138">
        <v>40664.0</v>
      </c>
      <c r="X29" s="138">
        <v>40695.0</v>
      </c>
      <c r="Y29" s="138">
        <v>40725.0</v>
      </c>
      <c r="Z29" s="138">
        <v>40756.0</v>
      </c>
      <c r="AA29" s="138">
        <v>40787.0</v>
      </c>
      <c r="AB29" s="138">
        <v>40817.0</v>
      </c>
      <c r="AC29" s="138">
        <v>40848.0</v>
      </c>
      <c r="AD29" s="138">
        <v>40878.0</v>
      </c>
      <c r="AE29" s="138">
        <v>40909.0</v>
      </c>
      <c r="AF29" s="138">
        <v>40940.0</v>
      </c>
      <c r="AG29" s="138">
        <v>40969.0</v>
      </c>
      <c r="AH29" s="138">
        <v>41000.0</v>
      </c>
      <c r="AI29" s="138">
        <v>41030.0</v>
      </c>
      <c r="AJ29" s="138">
        <v>41061.0</v>
      </c>
      <c r="AK29" s="138">
        <v>41091.0</v>
      </c>
      <c r="AL29" s="138">
        <v>41122.0</v>
      </c>
      <c r="AM29" s="138">
        <v>41153.0</v>
      </c>
      <c r="AN29" s="138">
        <v>41183.0</v>
      </c>
      <c r="AO29" s="138">
        <v>41214.0</v>
      </c>
      <c r="AP29" s="138">
        <v>41244.0</v>
      </c>
      <c r="AQ29" s="138">
        <v>41275.0</v>
      </c>
      <c r="AR29" s="138">
        <v>41306.0</v>
      </c>
      <c r="AS29" s="138">
        <v>41334.0</v>
      </c>
      <c r="AT29" s="138">
        <v>41365.0</v>
      </c>
      <c r="AU29" s="138">
        <v>41395.0</v>
      </c>
      <c r="AV29" s="138">
        <v>41426.0</v>
      </c>
      <c r="AW29" s="138">
        <v>41456.0</v>
      </c>
      <c r="AX29" s="138">
        <v>41487.0</v>
      </c>
      <c r="AY29" s="138">
        <v>41518.0</v>
      </c>
      <c r="AZ29" s="138">
        <v>41548.0</v>
      </c>
      <c r="BA29" s="138">
        <v>41579.0</v>
      </c>
      <c r="BB29" s="138">
        <v>41609.0</v>
      </c>
      <c r="BC29" s="138">
        <v>41640.0</v>
      </c>
      <c r="BD29" s="138">
        <v>41671.0</v>
      </c>
      <c r="BE29" s="138">
        <v>41699.0</v>
      </c>
      <c r="BF29" s="138">
        <v>41730.0</v>
      </c>
      <c r="BG29" s="138">
        <v>41760.0</v>
      </c>
      <c r="BH29" s="138">
        <v>41791.0</v>
      </c>
      <c r="BI29" s="138">
        <v>41821.0</v>
      </c>
      <c r="BJ29" s="138">
        <v>41852.0</v>
      </c>
      <c r="BK29" s="138">
        <v>41883.0</v>
      </c>
      <c r="BL29" s="138">
        <v>41913.0</v>
      </c>
      <c r="BM29" s="138">
        <v>41944.0</v>
      </c>
      <c r="BN29" s="138">
        <v>41974.0</v>
      </c>
      <c r="BO29" s="138">
        <v>42005.0</v>
      </c>
      <c r="BP29" s="138">
        <v>42036.0</v>
      </c>
      <c r="BQ29" s="138">
        <v>42064.0</v>
      </c>
      <c r="BR29" s="138">
        <v>42095.0</v>
      </c>
      <c r="BS29" s="138">
        <v>42125.0</v>
      </c>
      <c r="BT29" s="138">
        <v>42156.0</v>
      </c>
      <c r="BU29" s="139">
        <v>42186.0</v>
      </c>
      <c r="BV29" s="139">
        <v>42217.0</v>
      </c>
      <c r="BW29" s="139">
        <v>42248.0</v>
      </c>
      <c r="BX29" s="139">
        <v>42278.0</v>
      </c>
      <c r="BY29" s="139">
        <v>42309.0</v>
      </c>
      <c r="BZ29" s="139">
        <v>42339.0</v>
      </c>
      <c r="CA29" s="139">
        <v>42370.0</v>
      </c>
      <c r="CB29" s="139">
        <v>42401.0</v>
      </c>
      <c r="CC29" s="139">
        <v>42430.0</v>
      </c>
      <c r="CD29" s="139">
        <v>42461.0</v>
      </c>
      <c r="CE29" s="139">
        <v>42491.0</v>
      </c>
      <c r="CF29" s="139">
        <v>42522.0</v>
      </c>
      <c r="CG29" s="139">
        <v>42552.0</v>
      </c>
      <c r="CH29" s="139">
        <v>42583.0</v>
      </c>
      <c r="CI29" s="139">
        <v>42614.0</v>
      </c>
      <c r="CJ29" s="139">
        <v>42644.0</v>
      </c>
      <c r="CK29" s="139">
        <v>42675.0</v>
      </c>
      <c r="CL29" s="139">
        <v>42705.0</v>
      </c>
      <c r="CM29" s="139">
        <v>42736.0</v>
      </c>
      <c r="CN29" s="139">
        <v>42767.0</v>
      </c>
      <c r="CO29" s="139">
        <v>42795.0</v>
      </c>
      <c r="CP29" s="139">
        <v>42826.0</v>
      </c>
      <c r="CQ29" s="139">
        <v>42856.0</v>
      </c>
      <c r="CR29" s="139">
        <v>42887.0</v>
      </c>
      <c r="CS29" s="139">
        <v>42917.0</v>
      </c>
      <c r="CT29" s="139">
        <v>42948.0</v>
      </c>
      <c r="CU29" s="139">
        <v>42979.0</v>
      </c>
      <c r="CV29" s="139">
        <v>43009.0</v>
      </c>
      <c r="CW29" s="139">
        <v>43040.0</v>
      </c>
      <c r="CX29" s="139">
        <v>43070.0</v>
      </c>
      <c r="CY29" s="139">
        <v>43101.0</v>
      </c>
      <c r="CZ29" s="139">
        <v>43132.0</v>
      </c>
      <c r="DA29" s="139">
        <v>43160.0</v>
      </c>
      <c r="DB29" s="139">
        <v>43191.0</v>
      </c>
      <c r="DC29" s="139">
        <v>43221.0</v>
      </c>
      <c r="DD29" s="139">
        <v>43252.0</v>
      </c>
      <c r="DE29" s="139">
        <v>43282.0</v>
      </c>
      <c r="DF29" s="139">
        <v>43313.0</v>
      </c>
      <c r="DG29" s="139">
        <v>43344.0</v>
      </c>
      <c r="DH29" s="139">
        <v>43374.0</v>
      </c>
      <c r="DI29" s="139">
        <v>43405.0</v>
      </c>
      <c r="DJ29" s="139">
        <v>43435.0</v>
      </c>
      <c r="DK29" s="139">
        <v>43466.0</v>
      </c>
      <c r="DL29" s="139">
        <v>43497.0</v>
      </c>
      <c r="DM29" s="139">
        <v>43525.0</v>
      </c>
      <c r="DN29" s="139">
        <v>43556.0</v>
      </c>
      <c r="DO29" s="139">
        <v>43586.0</v>
      </c>
      <c r="DP29" s="139">
        <v>43617.0</v>
      </c>
      <c r="DQ29" s="139">
        <v>43647.0</v>
      </c>
      <c r="DR29" s="139">
        <v>43678.0</v>
      </c>
      <c r="DS29" s="139">
        <v>43709.0</v>
      </c>
      <c r="DT29" s="139">
        <v>43739.0</v>
      </c>
      <c r="DU29" s="139">
        <v>43770.0</v>
      </c>
      <c r="DV29" s="139">
        <v>43800.0</v>
      </c>
      <c r="DW29" s="139">
        <v>43831.0</v>
      </c>
      <c r="DX29" s="139">
        <v>43862.0</v>
      </c>
      <c r="DY29" s="139">
        <v>43891.0</v>
      </c>
      <c r="DZ29" s="139">
        <v>43922.0</v>
      </c>
      <c r="EA29" s="139">
        <v>43952.0</v>
      </c>
      <c r="EB29" s="139">
        <v>43983.0</v>
      </c>
      <c r="EC29" s="139">
        <v>44013.0</v>
      </c>
      <c r="ED29" s="139">
        <v>44044.0</v>
      </c>
      <c r="EE29" s="139">
        <v>44075.0</v>
      </c>
      <c r="EF29" s="139">
        <v>44105.0</v>
      </c>
      <c r="EG29" s="139">
        <v>44136.0</v>
      </c>
      <c r="EH29" s="139">
        <v>44166.0</v>
      </c>
      <c r="EI29" s="139">
        <v>44197.0</v>
      </c>
      <c r="EJ29" s="139">
        <v>44228.0</v>
      </c>
      <c r="EK29" s="139">
        <v>44256.0</v>
      </c>
      <c r="EL29" s="139">
        <v>44287.0</v>
      </c>
      <c r="EM29" s="139">
        <v>44317.0</v>
      </c>
      <c r="EN29" s="139">
        <v>44348.0</v>
      </c>
      <c r="EO29" s="139">
        <v>44378.0</v>
      </c>
      <c r="EP29" s="139">
        <v>44409.0</v>
      </c>
      <c r="EQ29" s="139">
        <v>44440.0</v>
      </c>
      <c r="ER29" s="139">
        <v>44470.0</v>
      </c>
      <c r="ES29" s="139">
        <v>44501.0</v>
      </c>
      <c r="ET29" s="139">
        <v>44531.0</v>
      </c>
      <c r="EU29" s="139">
        <v>44562.0</v>
      </c>
      <c r="EV29" s="139">
        <v>44593.0</v>
      </c>
      <c r="EW29" s="139">
        <v>44621.0</v>
      </c>
      <c r="EX29" s="139">
        <v>44652.0</v>
      </c>
      <c r="EY29" s="139">
        <v>44682.0</v>
      </c>
      <c r="EZ29" s="139">
        <v>44713.0</v>
      </c>
      <c r="FA29" s="139">
        <v>44743.0</v>
      </c>
      <c r="FB29" s="139">
        <v>44774.0</v>
      </c>
      <c r="FC29" s="139">
        <v>44805.0</v>
      </c>
      <c r="FD29" s="139">
        <v>44835.0</v>
      </c>
      <c r="FE29" s="139">
        <v>44866.0</v>
      </c>
      <c r="FF29" s="139">
        <v>44896.0</v>
      </c>
      <c r="FG29" s="139">
        <v>44927.0</v>
      </c>
      <c r="FH29" s="139">
        <v>44958.0</v>
      </c>
      <c r="FI29" s="139">
        <v>44986.0</v>
      </c>
      <c r="FJ29" s="139">
        <v>45017.0</v>
      </c>
      <c r="FK29" s="139">
        <v>45047.0</v>
      </c>
      <c r="FL29" s="139">
        <v>45078.0</v>
      </c>
      <c r="FM29" s="139">
        <v>45108.0</v>
      </c>
      <c r="FN29" s="139">
        <v>45139.0</v>
      </c>
      <c r="FO29" s="139">
        <v>45170.0</v>
      </c>
      <c r="FP29" s="139">
        <v>45200.0</v>
      </c>
      <c r="FQ29" s="139">
        <v>45231.0</v>
      </c>
      <c r="FR29" s="139">
        <v>45261.0</v>
      </c>
      <c r="FS29" s="139">
        <v>45292.0</v>
      </c>
      <c r="FT29" s="139">
        <v>45323.0</v>
      </c>
      <c r="FU29" s="139">
        <v>45352.0</v>
      </c>
      <c r="FV29" s="139">
        <v>45383.0</v>
      </c>
      <c r="FW29" s="139">
        <v>45413.0</v>
      </c>
      <c r="FX29" s="139">
        <v>45444.0</v>
      </c>
      <c r="FY29" s="139">
        <v>45474.0</v>
      </c>
      <c r="FZ29" s="139">
        <v>45505.0</v>
      </c>
      <c r="GA29" s="139">
        <v>45536.0</v>
      </c>
      <c r="GB29" s="139">
        <v>45566.0</v>
      </c>
      <c r="GC29" s="139">
        <v>45597.0</v>
      </c>
      <c r="GD29" s="139">
        <v>45627.0</v>
      </c>
      <c r="GE29" s="139">
        <v>45658.0</v>
      </c>
      <c r="GF29" s="139">
        <v>45689.0</v>
      </c>
      <c r="GG29" s="139">
        <v>45717.0</v>
      </c>
      <c r="GH29" s="139">
        <v>45748.0</v>
      </c>
      <c r="GI29" s="139">
        <v>45778.0</v>
      </c>
      <c r="GJ29" s="139">
        <v>45809.0</v>
      </c>
      <c r="GK29" s="139">
        <v>45839.0</v>
      </c>
    </row>
    <row r="30">
      <c r="A30" s="132" t="s">
        <v>33960</v>
      </c>
      <c r="B30" s="133" t="s">
        <v>1332</v>
      </c>
      <c r="C30" s="134">
        <v>42235.61346064815</v>
      </c>
      <c r="D30" s="135" t="str">
        <f t="shared" si="1"/>
        <v>2015/08/19</v>
      </c>
      <c r="E30" s="136" t="s">
        <v>33961</v>
      </c>
      <c r="F30" s="137">
        <v>9.0E-5</v>
      </c>
      <c r="G30" s="138">
        <v>40179.0</v>
      </c>
      <c r="H30" s="138">
        <v>40210.0</v>
      </c>
      <c r="I30" s="138">
        <v>40238.0</v>
      </c>
      <c r="J30" s="138">
        <v>40269.0</v>
      </c>
      <c r="K30" s="138">
        <v>40299.0</v>
      </c>
      <c r="L30" s="138">
        <v>40330.0</v>
      </c>
      <c r="M30" s="138">
        <v>40360.0</v>
      </c>
      <c r="N30" s="138">
        <v>40391.0</v>
      </c>
      <c r="O30" s="138">
        <v>40422.0</v>
      </c>
      <c r="P30" s="138">
        <v>40452.0</v>
      </c>
      <c r="Q30" s="138">
        <v>40483.0</v>
      </c>
      <c r="R30" s="138">
        <v>40513.0</v>
      </c>
      <c r="S30" s="138">
        <v>40544.0</v>
      </c>
      <c r="T30" s="138">
        <v>40575.0</v>
      </c>
      <c r="U30" s="138">
        <v>40603.0</v>
      </c>
      <c r="V30" s="138">
        <v>40634.0</v>
      </c>
      <c r="W30" s="138">
        <v>40664.0</v>
      </c>
      <c r="X30" s="138">
        <v>40695.0</v>
      </c>
      <c r="Y30" s="138">
        <v>40725.0</v>
      </c>
      <c r="Z30" s="138">
        <v>40756.0</v>
      </c>
      <c r="AA30" s="138">
        <v>40787.0</v>
      </c>
      <c r="AB30" s="138">
        <v>40817.0</v>
      </c>
      <c r="AC30" s="138">
        <v>40848.0</v>
      </c>
      <c r="AD30" s="138">
        <v>40878.0</v>
      </c>
      <c r="AE30" s="138">
        <v>40909.0</v>
      </c>
      <c r="AF30" s="138">
        <v>40940.0</v>
      </c>
      <c r="AG30" s="138">
        <v>40969.0</v>
      </c>
      <c r="AH30" s="138">
        <v>41000.0</v>
      </c>
      <c r="AI30" s="138">
        <v>41030.0</v>
      </c>
      <c r="AJ30" s="138">
        <v>41061.0</v>
      </c>
      <c r="AK30" s="138">
        <v>41091.0</v>
      </c>
      <c r="AL30" s="138">
        <v>41122.0</v>
      </c>
      <c r="AM30" s="138">
        <v>41153.0</v>
      </c>
      <c r="AN30" s="138">
        <v>41183.0</v>
      </c>
      <c r="AO30" s="138">
        <v>41214.0</v>
      </c>
      <c r="AP30" s="138">
        <v>41244.0</v>
      </c>
      <c r="AQ30" s="138">
        <v>41275.0</v>
      </c>
      <c r="AR30" s="138">
        <v>41306.0</v>
      </c>
      <c r="AS30" s="138">
        <v>41334.0</v>
      </c>
      <c r="AT30" s="138">
        <v>41365.0</v>
      </c>
      <c r="AU30" s="138">
        <v>41395.0</v>
      </c>
      <c r="AV30" s="138">
        <v>41426.0</v>
      </c>
      <c r="AW30" s="138">
        <v>41456.0</v>
      </c>
      <c r="AX30" s="138">
        <v>41487.0</v>
      </c>
      <c r="AY30" s="138">
        <v>41518.0</v>
      </c>
      <c r="AZ30" s="138">
        <v>41548.0</v>
      </c>
      <c r="BA30" s="138">
        <v>41579.0</v>
      </c>
      <c r="BB30" s="138">
        <v>41609.0</v>
      </c>
      <c r="BC30" s="138">
        <v>41640.0</v>
      </c>
      <c r="BD30" s="138">
        <v>41671.0</v>
      </c>
      <c r="BE30" s="138">
        <v>41699.0</v>
      </c>
      <c r="BF30" s="138">
        <v>41730.0</v>
      </c>
      <c r="BG30" s="138">
        <v>41760.0</v>
      </c>
      <c r="BH30" s="138">
        <v>41791.0</v>
      </c>
      <c r="BI30" s="138">
        <v>41821.0</v>
      </c>
      <c r="BJ30" s="138">
        <v>41852.0</v>
      </c>
      <c r="BK30" s="138">
        <v>41883.0</v>
      </c>
      <c r="BL30" s="138">
        <v>41913.0</v>
      </c>
      <c r="BM30" s="138">
        <v>41944.0</v>
      </c>
      <c r="BN30" s="138">
        <v>41974.0</v>
      </c>
      <c r="BO30" s="138">
        <v>42005.0</v>
      </c>
      <c r="BP30" s="138">
        <v>42036.0</v>
      </c>
      <c r="BQ30" s="138">
        <v>42064.0</v>
      </c>
      <c r="BR30" s="138">
        <v>42095.0</v>
      </c>
      <c r="BS30" s="138">
        <v>42125.0</v>
      </c>
      <c r="BT30" s="138">
        <v>42156.0</v>
      </c>
      <c r="BU30" s="138">
        <v>42186.0</v>
      </c>
      <c r="BV30" s="138">
        <v>42217.0</v>
      </c>
      <c r="BW30" s="139">
        <v>42248.0</v>
      </c>
      <c r="BX30" s="139">
        <v>42278.0</v>
      </c>
      <c r="BY30" s="139">
        <v>42309.0</v>
      </c>
      <c r="BZ30" s="139">
        <v>42339.0</v>
      </c>
      <c r="CA30" s="139">
        <v>42370.0</v>
      </c>
      <c r="CB30" s="139">
        <v>42401.0</v>
      </c>
      <c r="CC30" s="139">
        <v>42430.0</v>
      </c>
      <c r="CD30" s="139">
        <v>42461.0</v>
      </c>
      <c r="CE30" s="139">
        <v>42491.0</v>
      </c>
      <c r="CF30" s="139">
        <v>42522.0</v>
      </c>
      <c r="CG30" s="139">
        <v>42552.0</v>
      </c>
      <c r="CH30" s="139">
        <v>42583.0</v>
      </c>
      <c r="CI30" s="139">
        <v>42614.0</v>
      </c>
      <c r="CJ30" s="139">
        <v>42644.0</v>
      </c>
      <c r="CK30" s="139">
        <v>42675.0</v>
      </c>
      <c r="CL30" s="139">
        <v>42705.0</v>
      </c>
      <c r="CM30" s="139">
        <v>42736.0</v>
      </c>
      <c r="CN30" s="139">
        <v>42767.0</v>
      </c>
      <c r="CO30" s="139">
        <v>42795.0</v>
      </c>
      <c r="CP30" s="139">
        <v>42826.0</v>
      </c>
      <c r="CQ30" s="139">
        <v>42856.0</v>
      </c>
      <c r="CR30" s="139">
        <v>42887.0</v>
      </c>
      <c r="CS30" s="139">
        <v>42917.0</v>
      </c>
      <c r="CT30" s="139">
        <v>42948.0</v>
      </c>
      <c r="CU30" s="139">
        <v>42979.0</v>
      </c>
      <c r="CV30" s="139">
        <v>43009.0</v>
      </c>
      <c r="CW30" s="139">
        <v>43040.0</v>
      </c>
      <c r="CX30" s="139">
        <v>43070.0</v>
      </c>
      <c r="CY30" s="139">
        <v>43101.0</v>
      </c>
      <c r="CZ30" s="139">
        <v>43132.0</v>
      </c>
      <c r="DA30" s="139">
        <v>43160.0</v>
      </c>
      <c r="DB30" s="139">
        <v>43191.0</v>
      </c>
      <c r="DC30" s="139">
        <v>43221.0</v>
      </c>
      <c r="DD30" s="139">
        <v>43252.0</v>
      </c>
      <c r="DE30" s="139">
        <v>43282.0</v>
      </c>
      <c r="DF30" s="139">
        <v>43313.0</v>
      </c>
      <c r="DG30" s="139">
        <v>43344.0</v>
      </c>
      <c r="DH30" s="139">
        <v>43374.0</v>
      </c>
      <c r="DI30" s="139">
        <v>43405.0</v>
      </c>
      <c r="DJ30" s="139">
        <v>43435.0</v>
      </c>
      <c r="DK30" s="139">
        <v>43466.0</v>
      </c>
      <c r="DL30" s="139">
        <v>43497.0</v>
      </c>
      <c r="DM30" s="139">
        <v>43525.0</v>
      </c>
      <c r="DN30" s="139">
        <v>43556.0</v>
      </c>
      <c r="DO30" s="139">
        <v>43586.0</v>
      </c>
      <c r="DP30" s="139">
        <v>43617.0</v>
      </c>
      <c r="DQ30" s="139">
        <v>43647.0</v>
      </c>
      <c r="DR30" s="139">
        <v>43678.0</v>
      </c>
      <c r="DS30" s="139">
        <v>43709.0</v>
      </c>
      <c r="DT30" s="139">
        <v>43739.0</v>
      </c>
      <c r="DU30" s="139">
        <v>43770.0</v>
      </c>
      <c r="DV30" s="139">
        <v>43800.0</v>
      </c>
      <c r="DW30" s="139">
        <v>43831.0</v>
      </c>
      <c r="DX30" s="139">
        <v>43862.0</v>
      </c>
      <c r="DY30" s="139">
        <v>43891.0</v>
      </c>
      <c r="DZ30" s="139">
        <v>43922.0</v>
      </c>
      <c r="EA30" s="139">
        <v>43952.0</v>
      </c>
      <c r="EB30" s="139">
        <v>43983.0</v>
      </c>
      <c r="EC30" s="139">
        <v>44013.0</v>
      </c>
      <c r="ED30" s="139">
        <v>44044.0</v>
      </c>
      <c r="EE30" s="139">
        <v>44075.0</v>
      </c>
      <c r="EF30" s="139">
        <v>44105.0</v>
      </c>
      <c r="EG30" s="139">
        <v>44136.0</v>
      </c>
      <c r="EH30" s="139">
        <v>44166.0</v>
      </c>
      <c r="EI30" s="139">
        <v>44197.0</v>
      </c>
      <c r="EJ30" s="139">
        <v>44228.0</v>
      </c>
      <c r="EK30" s="139">
        <v>44256.0</v>
      </c>
      <c r="EL30" s="139">
        <v>44287.0</v>
      </c>
      <c r="EM30" s="139">
        <v>44317.0</v>
      </c>
      <c r="EN30" s="139">
        <v>44348.0</v>
      </c>
      <c r="EO30" s="139">
        <v>44378.0</v>
      </c>
      <c r="EP30" s="139">
        <v>44409.0</v>
      </c>
      <c r="EQ30" s="139">
        <v>44440.0</v>
      </c>
      <c r="ER30" s="139">
        <v>44470.0</v>
      </c>
      <c r="ES30" s="139">
        <v>44501.0</v>
      </c>
      <c r="ET30" s="139">
        <v>44531.0</v>
      </c>
      <c r="EU30" s="139">
        <v>44562.0</v>
      </c>
      <c r="EV30" s="139">
        <v>44593.0</v>
      </c>
      <c r="EW30" s="139">
        <v>44621.0</v>
      </c>
      <c r="EX30" s="139">
        <v>44652.0</v>
      </c>
      <c r="EY30" s="139">
        <v>44682.0</v>
      </c>
      <c r="EZ30" s="139">
        <v>44713.0</v>
      </c>
      <c r="FA30" s="139">
        <v>44743.0</v>
      </c>
      <c r="FB30" s="139">
        <v>44774.0</v>
      </c>
      <c r="FC30" s="139">
        <v>44805.0</v>
      </c>
      <c r="FD30" s="139">
        <v>44835.0</v>
      </c>
      <c r="FE30" s="139">
        <v>44866.0</v>
      </c>
      <c r="FF30" s="139">
        <v>44896.0</v>
      </c>
      <c r="FG30" s="139">
        <v>44927.0</v>
      </c>
      <c r="FH30" s="139">
        <v>44958.0</v>
      </c>
      <c r="FI30" s="139">
        <v>44986.0</v>
      </c>
      <c r="FJ30" s="139">
        <v>45017.0</v>
      </c>
      <c r="FK30" s="139">
        <v>45047.0</v>
      </c>
      <c r="FL30" s="139">
        <v>45078.0</v>
      </c>
      <c r="FM30" s="139">
        <v>45108.0</v>
      </c>
      <c r="FN30" s="139">
        <v>45139.0</v>
      </c>
      <c r="FO30" s="139">
        <v>45170.0</v>
      </c>
      <c r="FP30" s="139">
        <v>45200.0</v>
      </c>
      <c r="FQ30" s="139">
        <v>45231.0</v>
      </c>
      <c r="FR30" s="139">
        <v>45261.0</v>
      </c>
      <c r="FS30" s="139">
        <v>45292.0</v>
      </c>
      <c r="FT30" s="139">
        <v>45323.0</v>
      </c>
      <c r="FU30" s="139">
        <v>45352.0</v>
      </c>
      <c r="FV30" s="139">
        <v>45383.0</v>
      </c>
      <c r="FW30" s="139">
        <v>45413.0</v>
      </c>
      <c r="FX30" s="139">
        <v>45444.0</v>
      </c>
      <c r="FY30" s="139">
        <v>45474.0</v>
      </c>
      <c r="FZ30" s="139">
        <v>45505.0</v>
      </c>
      <c r="GA30" s="139">
        <v>45536.0</v>
      </c>
      <c r="GB30" s="139">
        <v>45566.0</v>
      </c>
      <c r="GC30" s="139">
        <v>45597.0</v>
      </c>
      <c r="GD30" s="139">
        <v>45627.0</v>
      </c>
      <c r="GE30" s="139">
        <v>45658.0</v>
      </c>
      <c r="GF30" s="139">
        <v>45689.0</v>
      </c>
      <c r="GG30" s="139">
        <v>45717.0</v>
      </c>
      <c r="GH30" s="139">
        <v>45748.0</v>
      </c>
      <c r="GI30" s="139">
        <v>45778.0</v>
      </c>
      <c r="GJ30" s="139">
        <v>45809.0</v>
      </c>
      <c r="GK30" s="139">
        <v>45839.0</v>
      </c>
    </row>
    <row r="31">
      <c r="A31" s="132" t="s">
        <v>33962</v>
      </c>
      <c r="B31" s="133" t="s">
        <v>1328</v>
      </c>
      <c r="C31" s="134">
        <v>42249.72518518518</v>
      </c>
      <c r="D31" s="135" t="str">
        <f t="shared" si="1"/>
        <v>2015/09/02</v>
      </c>
      <c r="E31" s="136" t="s">
        <v>33963</v>
      </c>
      <c r="F31" s="137">
        <v>1.0E-5</v>
      </c>
      <c r="G31" s="138">
        <v>40179.0</v>
      </c>
      <c r="H31" s="138">
        <v>40210.0</v>
      </c>
      <c r="I31" s="138">
        <v>40238.0</v>
      </c>
      <c r="J31" s="138">
        <v>40269.0</v>
      </c>
      <c r="K31" s="138">
        <v>40299.0</v>
      </c>
      <c r="L31" s="138">
        <v>40330.0</v>
      </c>
      <c r="M31" s="138">
        <v>40360.0</v>
      </c>
      <c r="N31" s="138">
        <v>40391.0</v>
      </c>
      <c r="O31" s="138">
        <v>40422.0</v>
      </c>
      <c r="P31" s="138">
        <v>40452.0</v>
      </c>
      <c r="Q31" s="138">
        <v>40483.0</v>
      </c>
      <c r="R31" s="138">
        <v>40513.0</v>
      </c>
      <c r="S31" s="138">
        <v>40544.0</v>
      </c>
      <c r="T31" s="138">
        <v>40575.0</v>
      </c>
      <c r="U31" s="138">
        <v>40603.0</v>
      </c>
      <c r="V31" s="138">
        <v>40634.0</v>
      </c>
      <c r="W31" s="138">
        <v>40664.0</v>
      </c>
      <c r="X31" s="138">
        <v>40695.0</v>
      </c>
      <c r="Y31" s="138">
        <v>40725.0</v>
      </c>
      <c r="Z31" s="138">
        <v>40756.0</v>
      </c>
      <c r="AA31" s="138">
        <v>40787.0</v>
      </c>
      <c r="AB31" s="138">
        <v>40817.0</v>
      </c>
      <c r="AC31" s="138">
        <v>40848.0</v>
      </c>
      <c r="AD31" s="138">
        <v>40878.0</v>
      </c>
      <c r="AE31" s="138">
        <v>40909.0</v>
      </c>
      <c r="AF31" s="138">
        <v>40940.0</v>
      </c>
      <c r="AG31" s="138">
        <v>40969.0</v>
      </c>
      <c r="AH31" s="138">
        <v>41000.0</v>
      </c>
      <c r="AI31" s="138">
        <v>41030.0</v>
      </c>
      <c r="AJ31" s="138">
        <v>41061.0</v>
      </c>
      <c r="AK31" s="138">
        <v>41091.0</v>
      </c>
      <c r="AL31" s="138">
        <v>41122.0</v>
      </c>
      <c r="AM31" s="138">
        <v>41153.0</v>
      </c>
      <c r="AN31" s="138">
        <v>41183.0</v>
      </c>
      <c r="AO31" s="138">
        <v>41214.0</v>
      </c>
      <c r="AP31" s="138">
        <v>41244.0</v>
      </c>
      <c r="AQ31" s="138">
        <v>41275.0</v>
      </c>
      <c r="AR31" s="138">
        <v>41306.0</v>
      </c>
      <c r="AS31" s="138">
        <v>41334.0</v>
      </c>
      <c r="AT31" s="138">
        <v>41365.0</v>
      </c>
      <c r="AU31" s="138">
        <v>41395.0</v>
      </c>
      <c r="AV31" s="138">
        <v>41426.0</v>
      </c>
      <c r="AW31" s="138">
        <v>41456.0</v>
      </c>
      <c r="AX31" s="138">
        <v>41487.0</v>
      </c>
      <c r="AY31" s="138">
        <v>41518.0</v>
      </c>
      <c r="AZ31" s="138">
        <v>41548.0</v>
      </c>
      <c r="BA31" s="138">
        <v>41579.0</v>
      </c>
      <c r="BB31" s="138">
        <v>41609.0</v>
      </c>
      <c r="BC31" s="138">
        <v>41640.0</v>
      </c>
      <c r="BD31" s="138">
        <v>41671.0</v>
      </c>
      <c r="BE31" s="138">
        <v>41699.0</v>
      </c>
      <c r="BF31" s="138">
        <v>41730.0</v>
      </c>
      <c r="BG31" s="138">
        <v>41760.0</v>
      </c>
      <c r="BH31" s="138">
        <v>41791.0</v>
      </c>
      <c r="BI31" s="138">
        <v>41821.0</v>
      </c>
      <c r="BJ31" s="138">
        <v>41852.0</v>
      </c>
      <c r="BK31" s="138">
        <v>41883.0</v>
      </c>
      <c r="BL31" s="138">
        <v>41913.0</v>
      </c>
      <c r="BM31" s="138">
        <v>41944.0</v>
      </c>
      <c r="BN31" s="138">
        <v>41974.0</v>
      </c>
      <c r="BO31" s="138">
        <v>42005.0</v>
      </c>
      <c r="BP31" s="138">
        <v>42036.0</v>
      </c>
      <c r="BQ31" s="138">
        <v>42064.0</v>
      </c>
      <c r="BR31" s="138">
        <v>42095.0</v>
      </c>
      <c r="BS31" s="138">
        <v>42125.0</v>
      </c>
      <c r="BT31" s="138">
        <v>42156.0</v>
      </c>
      <c r="BU31" s="138">
        <v>42186.0</v>
      </c>
      <c r="BV31" s="138">
        <v>42217.0</v>
      </c>
      <c r="BW31" s="138">
        <v>42248.0</v>
      </c>
      <c r="BX31" s="139">
        <v>42278.0</v>
      </c>
      <c r="BY31" s="139">
        <v>42309.0</v>
      </c>
      <c r="BZ31" s="139">
        <v>42339.0</v>
      </c>
      <c r="CA31" s="139">
        <v>42370.0</v>
      </c>
      <c r="CB31" s="139">
        <v>42401.0</v>
      </c>
      <c r="CC31" s="139">
        <v>42430.0</v>
      </c>
      <c r="CD31" s="139">
        <v>42461.0</v>
      </c>
      <c r="CE31" s="139">
        <v>42491.0</v>
      </c>
      <c r="CF31" s="139">
        <v>42522.0</v>
      </c>
      <c r="CG31" s="139">
        <v>42552.0</v>
      </c>
      <c r="CH31" s="139">
        <v>42583.0</v>
      </c>
      <c r="CI31" s="139">
        <v>42614.0</v>
      </c>
      <c r="CJ31" s="139">
        <v>42644.0</v>
      </c>
      <c r="CK31" s="139">
        <v>42675.0</v>
      </c>
      <c r="CL31" s="139">
        <v>42705.0</v>
      </c>
      <c r="CM31" s="139">
        <v>42736.0</v>
      </c>
      <c r="CN31" s="139">
        <v>42767.0</v>
      </c>
      <c r="CO31" s="139">
        <v>42795.0</v>
      </c>
      <c r="CP31" s="139">
        <v>42826.0</v>
      </c>
      <c r="CQ31" s="139">
        <v>42856.0</v>
      </c>
      <c r="CR31" s="139">
        <v>42887.0</v>
      </c>
      <c r="CS31" s="139">
        <v>42917.0</v>
      </c>
      <c r="CT31" s="139">
        <v>42948.0</v>
      </c>
      <c r="CU31" s="139">
        <v>42979.0</v>
      </c>
      <c r="CV31" s="139">
        <v>43009.0</v>
      </c>
      <c r="CW31" s="139">
        <v>43040.0</v>
      </c>
      <c r="CX31" s="139">
        <v>43070.0</v>
      </c>
      <c r="CY31" s="139">
        <v>43101.0</v>
      </c>
      <c r="CZ31" s="139">
        <v>43132.0</v>
      </c>
      <c r="DA31" s="139">
        <v>43160.0</v>
      </c>
      <c r="DB31" s="139">
        <v>43191.0</v>
      </c>
      <c r="DC31" s="139">
        <v>43221.0</v>
      </c>
      <c r="DD31" s="139">
        <v>43252.0</v>
      </c>
      <c r="DE31" s="139">
        <v>43282.0</v>
      </c>
      <c r="DF31" s="139">
        <v>43313.0</v>
      </c>
      <c r="DG31" s="139">
        <v>43344.0</v>
      </c>
      <c r="DH31" s="139">
        <v>43374.0</v>
      </c>
      <c r="DI31" s="139">
        <v>43405.0</v>
      </c>
      <c r="DJ31" s="139">
        <v>43435.0</v>
      </c>
      <c r="DK31" s="139">
        <v>43466.0</v>
      </c>
      <c r="DL31" s="139">
        <v>43497.0</v>
      </c>
      <c r="DM31" s="139">
        <v>43525.0</v>
      </c>
      <c r="DN31" s="139">
        <v>43556.0</v>
      </c>
      <c r="DO31" s="139">
        <v>43586.0</v>
      </c>
      <c r="DP31" s="139">
        <v>43617.0</v>
      </c>
      <c r="DQ31" s="139">
        <v>43647.0</v>
      </c>
      <c r="DR31" s="139">
        <v>43678.0</v>
      </c>
      <c r="DS31" s="139">
        <v>43709.0</v>
      </c>
      <c r="DT31" s="139">
        <v>43739.0</v>
      </c>
      <c r="DU31" s="139">
        <v>43770.0</v>
      </c>
      <c r="DV31" s="139">
        <v>43800.0</v>
      </c>
      <c r="DW31" s="139">
        <v>43831.0</v>
      </c>
      <c r="DX31" s="139">
        <v>43862.0</v>
      </c>
      <c r="DY31" s="139">
        <v>43891.0</v>
      </c>
      <c r="DZ31" s="139">
        <v>43922.0</v>
      </c>
      <c r="EA31" s="139">
        <v>43952.0</v>
      </c>
      <c r="EB31" s="139">
        <v>43983.0</v>
      </c>
      <c r="EC31" s="139">
        <v>44013.0</v>
      </c>
      <c r="ED31" s="139">
        <v>44044.0</v>
      </c>
      <c r="EE31" s="139">
        <v>44075.0</v>
      </c>
      <c r="EF31" s="139">
        <v>44105.0</v>
      </c>
      <c r="EG31" s="139">
        <v>44136.0</v>
      </c>
      <c r="EH31" s="139">
        <v>44166.0</v>
      </c>
      <c r="EI31" s="139">
        <v>44197.0</v>
      </c>
      <c r="EJ31" s="139">
        <v>44228.0</v>
      </c>
      <c r="EK31" s="139">
        <v>44256.0</v>
      </c>
      <c r="EL31" s="139">
        <v>44287.0</v>
      </c>
      <c r="EM31" s="139">
        <v>44317.0</v>
      </c>
      <c r="EN31" s="139">
        <v>44348.0</v>
      </c>
      <c r="EO31" s="139">
        <v>44378.0</v>
      </c>
      <c r="EP31" s="139">
        <v>44409.0</v>
      </c>
      <c r="EQ31" s="139">
        <v>44440.0</v>
      </c>
      <c r="ER31" s="139">
        <v>44470.0</v>
      </c>
      <c r="ES31" s="139">
        <v>44501.0</v>
      </c>
      <c r="ET31" s="139">
        <v>44531.0</v>
      </c>
      <c r="EU31" s="139">
        <v>44562.0</v>
      </c>
      <c r="EV31" s="139">
        <v>44593.0</v>
      </c>
      <c r="EW31" s="139">
        <v>44621.0</v>
      </c>
      <c r="EX31" s="139">
        <v>44652.0</v>
      </c>
      <c r="EY31" s="139">
        <v>44682.0</v>
      </c>
      <c r="EZ31" s="139">
        <v>44713.0</v>
      </c>
      <c r="FA31" s="139">
        <v>44743.0</v>
      </c>
      <c r="FB31" s="139">
        <v>44774.0</v>
      </c>
      <c r="FC31" s="139">
        <v>44805.0</v>
      </c>
      <c r="FD31" s="139">
        <v>44835.0</v>
      </c>
      <c r="FE31" s="139">
        <v>44866.0</v>
      </c>
      <c r="FF31" s="139">
        <v>44896.0</v>
      </c>
      <c r="FG31" s="139">
        <v>44927.0</v>
      </c>
      <c r="FH31" s="139">
        <v>44958.0</v>
      </c>
      <c r="FI31" s="139">
        <v>44986.0</v>
      </c>
      <c r="FJ31" s="139">
        <v>45017.0</v>
      </c>
      <c r="FK31" s="139">
        <v>45047.0</v>
      </c>
      <c r="FL31" s="139">
        <v>45078.0</v>
      </c>
      <c r="FM31" s="139">
        <v>45108.0</v>
      </c>
      <c r="FN31" s="139">
        <v>45139.0</v>
      </c>
      <c r="FO31" s="139">
        <v>45170.0</v>
      </c>
      <c r="FP31" s="139">
        <v>45200.0</v>
      </c>
      <c r="FQ31" s="139">
        <v>45231.0</v>
      </c>
      <c r="FR31" s="139">
        <v>45261.0</v>
      </c>
      <c r="FS31" s="139">
        <v>45292.0</v>
      </c>
      <c r="FT31" s="139">
        <v>45323.0</v>
      </c>
      <c r="FU31" s="139">
        <v>45352.0</v>
      </c>
      <c r="FV31" s="139">
        <v>45383.0</v>
      </c>
      <c r="FW31" s="139">
        <v>45413.0</v>
      </c>
      <c r="FX31" s="139">
        <v>45444.0</v>
      </c>
      <c r="FY31" s="139">
        <v>45474.0</v>
      </c>
      <c r="FZ31" s="139">
        <v>45505.0</v>
      </c>
      <c r="GA31" s="139">
        <v>45536.0</v>
      </c>
      <c r="GB31" s="139">
        <v>45566.0</v>
      </c>
      <c r="GC31" s="139">
        <v>45597.0</v>
      </c>
      <c r="GD31" s="139">
        <v>45627.0</v>
      </c>
      <c r="GE31" s="139">
        <v>45658.0</v>
      </c>
      <c r="GF31" s="139">
        <v>45689.0</v>
      </c>
      <c r="GG31" s="139">
        <v>45717.0</v>
      </c>
      <c r="GH31" s="139">
        <v>45748.0</v>
      </c>
      <c r="GI31" s="139">
        <v>45778.0</v>
      </c>
      <c r="GJ31" s="139">
        <v>45809.0</v>
      </c>
      <c r="GK31" s="139">
        <v>45839.0</v>
      </c>
    </row>
    <row r="32">
      <c r="A32" s="132" t="s">
        <v>33964</v>
      </c>
      <c r="B32" s="133" t="s">
        <v>1134</v>
      </c>
      <c r="C32" s="134">
        <v>42339.59574074074</v>
      </c>
      <c r="D32" s="135" t="str">
        <f t="shared" si="1"/>
        <v>2015/12/01</v>
      </c>
      <c r="E32" s="136" t="s">
        <v>33949</v>
      </c>
      <c r="F32" s="137">
        <v>0.0</v>
      </c>
      <c r="G32" s="138">
        <v>40179.0</v>
      </c>
      <c r="H32" s="138">
        <v>40210.0</v>
      </c>
      <c r="I32" s="138">
        <v>40238.0</v>
      </c>
      <c r="J32" s="138">
        <v>40269.0</v>
      </c>
      <c r="K32" s="138">
        <v>40299.0</v>
      </c>
      <c r="L32" s="138">
        <v>40330.0</v>
      </c>
      <c r="M32" s="138">
        <v>40360.0</v>
      </c>
      <c r="N32" s="138">
        <v>40391.0</v>
      </c>
      <c r="O32" s="138">
        <v>40422.0</v>
      </c>
      <c r="P32" s="138">
        <v>40452.0</v>
      </c>
      <c r="Q32" s="138">
        <v>40483.0</v>
      </c>
      <c r="R32" s="138">
        <v>40513.0</v>
      </c>
      <c r="S32" s="138">
        <v>40544.0</v>
      </c>
      <c r="T32" s="138">
        <v>40575.0</v>
      </c>
      <c r="U32" s="138">
        <v>40603.0</v>
      </c>
      <c r="V32" s="138">
        <v>40634.0</v>
      </c>
      <c r="W32" s="138">
        <v>40664.0</v>
      </c>
      <c r="X32" s="138">
        <v>40695.0</v>
      </c>
      <c r="Y32" s="138">
        <v>40725.0</v>
      </c>
      <c r="Z32" s="138">
        <v>40756.0</v>
      </c>
      <c r="AA32" s="138">
        <v>40787.0</v>
      </c>
      <c r="AB32" s="138">
        <v>40817.0</v>
      </c>
      <c r="AC32" s="138">
        <v>40848.0</v>
      </c>
      <c r="AD32" s="138">
        <v>40878.0</v>
      </c>
      <c r="AE32" s="138">
        <v>40909.0</v>
      </c>
      <c r="AF32" s="138">
        <v>40940.0</v>
      </c>
      <c r="AG32" s="138">
        <v>40969.0</v>
      </c>
      <c r="AH32" s="138">
        <v>41000.0</v>
      </c>
      <c r="AI32" s="138">
        <v>41030.0</v>
      </c>
      <c r="AJ32" s="138">
        <v>41061.0</v>
      </c>
      <c r="AK32" s="138">
        <v>41091.0</v>
      </c>
      <c r="AL32" s="138">
        <v>41122.0</v>
      </c>
      <c r="AM32" s="138">
        <v>41153.0</v>
      </c>
      <c r="AN32" s="138">
        <v>41183.0</v>
      </c>
      <c r="AO32" s="138">
        <v>41214.0</v>
      </c>
      <c r="AP32" s="138">
        <v>41244.0</v>
      </c>
      <c r="AQ32" s="138">
        <v>41275.0</v>
      </c>
      <c r="AR32" s="138">
        <v>41306.0</v>
      </c>
      <c r="AS32" s="138">
        <v>41334.0</v>
      </c>
      <c r="AT32" s="138">
        <v>41365.0</v>
      </c>
      <c r="AU32" s="138">
        <v>41395.0</v>
      </c>
      <c r="AV32" s="138">
        <v>41426.0</v>
      </c>
      <c r="AW32" s="138">
        <v>41456.0</v>
      </c>
      <c r="AX32" s="138">
        <v>41487.0</v>
      </c>
      <c r="AY32" s="138">
        <v>41518.0</v>
      </c>
      <c r="AZ32" s="138">
        <v>41548.0</v>
      </c>
      <c r="BA32" s="138">
        <v>41579.0</v>
      </c>
      <c r="BB32" s="138">
        <v>41609.0</v>
      </c>
      <c r="BC32" s="138">
        <v>41640.0</v>
      </c>
      <c r="BD32" s="138">
        <v>41671.0</v>
      </c>
      <c r="BE32" s="138">
        <v>41699.0</v>
      </c>
      <c r="BF32" s="138">
        <v>41730.0</v>
      </c>
      <c r="BG32" s="138">
        <v>41760.0</v>
      </c>
      <c r="BH32" s="138">
        <v>41791.0</v>
      </c>
      <c r="BI32" s="138">
        <v>41821.0</v>
      </c>
      <c r="BJ32" s="138">
        <v>41852.0</v>
      </c>
      <c r="BK32" s="138">
        <v>41883.0</v>
      </c>
      <c r="BL32" s="138">
        <v>41913.0</v>
      </c>
      <c r="BM32" s="138">
        <v>41944.0</v>
      </c>
      <c r="BN32" s="138">
        <v>41974.0</v>
      </c>
      <c r="BO32" s="138">
        <v>42005.0</v>
      </c>
      <c r="BP32" s="138">
        <v>42036.0</v>
      </c>
      <c r="BQ32" s="138">
        <v>42064.0</v>
      </c>
      <c r="BR32" s="138">
        <v>42095.0</v>
      </c>
      <c r="BS32" s="138">
        <v>42125.0</v>
      </c>
      <c r="BT32" s="138">
        <v>42156.0</v>
      </c>
      <c r="BU32" s="138">
        <v>42186.0</v>
      </c>
      <c r="BV32" s="138">
        <v>42217.0</v>
      </c>
      <c r="BW32" s="138">
        <v>42248.0</v>
      </c>
      <c r="BX32" s="138">
        <v>42278.0</v>
      </c>
      <c r="BY32" s="138">
        <v>42309.0</v>
      </c>
      <c r="BZ32" s="138">
        <v>42339.0</v>
      </c>
      <c r="CA32" s="139">
        <v>42370.0</v>
      </c>
      <c r="CB32" s="139">
        <v>42401.0</v>
      </c>
      <c r="CC32" s="139">
        <v>42430.0</v>
      </c>
      <c r="CD32" s="139">
        <v>42461.0</v>
      </c>
      <c r="CE32" s="139">
        <v>42491.0</v>
      </c>
      <c r="CF32" s="139">
        <v>42522.0</v>
      </c>
      <c r="CG32" s="139">
        <v>42552.0</v>
      </c>
      <c r="CH32" s="139">
        <v>42583.0</v>
      </c>
      <c r="CI32" s="139">
        <v>42614.0</v>
      </c>
      <c r="CJ32" s="139">
        <v>42644.0</v>
      </c>
      <c r="CK32" s="139">
        <v>42675.0</v>
      </c>
      <c r="CL32" s="139">
        <v>42705.0</v>
      </c>
      <c r="CM32" s="139">
        <v>42736.0</v>
      </c>
      <c r="CN32" s="139">
        <v>42767.0</v>
      </c>
      <c r="CO32" s="139">
        <v>42795.0</v>
      </c>
      <c r="CP32" s="139">
        <v>42826.0</v>
      </c>
      <c r="CQ32" s="139">
        <v>42856.0</v>
      </c>
      <c r="CR32" s="139">
        <v>42887.0</v>
      </c>
      <c r="CS32" s="139">
        <v>42917.0</v>
      </c>
      <c r="CT32" s="139">
        <v>42948.0</v>
      </c>
      <c r="CU32" s="139">
        <v>42979.0</v>
      </c>
      <c r="CV32" s="139">
        <v>43009.0</v>
      </c>
      <c r="CW32" s="139">
        <v>43040.0</v>
      </c>
      <c r="CX32" s="139">
        <v>43070.0</v>
      </c>
      <c r="CY32" s="139">
        <v>43101.0</v>
      </c>
      <c r="CZ32" s="139">
        <v>43132.0</v>
      </c>
      <c r="DA32" s="139">
        <v>43160.0</v>
      </c>
      <c r="DB32" s="139">
        <v>43191.0</v>
      </c>
      <c r="DC32" s="139">
        <v>43221.0</v>
      </c>
      <c r="DD32" s="139">
        <v>43252.0</v>
      </c>
      <c r="DE32" s="139">
        <v>43282.0</v>
      </c>
      <c r="DF32" s="139">
        <v>43313.0</v>
      </c>
      <c r="DG32" s="139">
        <v>43344.0</v>
      </c>
      <c r="DH32" s="139">
        <v>43374.0</v>
      </c>
      <c r="DI32" s="139">
        <v>43405.0</v>
      </c>
      <c r="DJ32" s="139">
        <v>43435.0</v>
      </c>
      <c r="DK32" s="139">
        <v>43466.0</v>
      </c>
      <c r="DL32" s="139">
        <v>43497.0</v>
      </c>
      <c r="DM32" s="139">
        <v>43525.0</v>
      </c>
      <c r="DN32" s="139">
        <v>43556.0</v>
      </c>
      <c r="DO32" s="139">
        <v>43586.0</v>
      </c>
      <c r="DP32" s="139">
        <v>43617.0</v>
      </c>
      <c r="DQ32" s="139">
        <v>43647.0</v>
      </c>
      <c r="DR32" s="139">
        <v>43678.0</v>
      </c>
      <c r="DS32" s="139">
        <v>43709.0</v>
      </c>
      <c r="DT32" s="139">
        <v>43739.0</v>
      </c>
      <c r="DU32" s="139">
        <v>43770.0</v>
      </c>
      <c r="DV32" s="139">
        <v>43800.0</v>
      </c>
      <c r="DW32" s="139">
        <v>43831.0</v>
      </c>
      <c r="DX32" s="139">
        <v>43862.0</v>
      </c>
      <c r="DY32" s="139">
        <v>43891.0</v>
      </c>
      <c r="DZ32" s="139">
        <v>43922.0</v>
      </c>
      <c r="EA32" s="139">
        <v>43952.0</v>
      </c>
      <c r="EB32" s="139">
        <v>43983.0</v>
      </c>
      <c r="EC32" s="139">
        <v>44013.0</v>
      </c>
      <c r="ED32" s="139">
        <v>44044.0</v>
      </c>
      <c r="EE32" s="139">
        <v>44075.0</v>
      </c>
      <c r="EF32" s="139">
        <v>44105.0</v>
      </c>
      <c r="EG32" s="139">
        <v>44136.0</v>
      </c>
      <c r="EH32" s="139">
        <v>44166.0</v>
      </c>
      <c r="EI32" s="139">
        <v>44197.0</v>
      </c>
      <c r="EJ32" s="139">
        <v>44228.0</v>
      </c>
      <c r="EK32" s="139">
        <v>44256.0</v>
      </c>
      <c r="EL32" s="139">
        <v>44287.0</v>
      </c>
      <c r="EM32" s="139">
        <v>44317.0</v>
      </c>
      <c r="EN32" s="139">
        <v>44348.0</v>
      </c>
      <c r="EO32" s="139">
        <v>44378.0</v>
      </c>
      <c r="EP32" s="139">
        <v>44409.0</v>
      </c>
      <c r="EQ32" s="139">
        <v>44440.0</v>
      </c>
      <c r="ER32" s="139">
        <v>44470.0</v>
      </c>
      <c r="ES32" s="139">
        <v>44501.0</v>
      </c>
      <c r="ET32" s="139">
        <v>44531.0</v>
      </c>
      <c r="EU32" s="139">
        <v>44562.0</v>
      </c>
      <c r="EV32" s="139">
        <v>44593.0</v>
      </c>
      <c r="EW32" s="139">
        <v>44621.0</v>
      </c>
      <c r="EX32" s="139">
        <v>44652.0</v>
      </c>
      <c r="EY32" s="139">
        <v>44682.0</v>
      </c>
      <c r="EZ32" s="139">
        <v>44713.0</v>
      </c>
      <c r="FA32" s="139">
        <v>44743.0</v>
      </c>
      <c r="FB32" s="139">
        <v>44774.0</v>
      </c>
      <c r="FC32" s="139">
        <v>44805.0</v>
      </c>
      <c r="FD32" s="139">
        <v>44835.0</v>
      </c>
      <c r="FE32" s="139">
        <v>44866.0</v>
      </c>
      <c r="FF32" s="139">
        <v>44896.0</v>
      </c>
      <c r="FG32" s="139">
        <v>44927.0</v>
      </c>
      <c r="FH32" s="139">
        <v>44958.0</v>
      </c>
      <c r="FI32" s="139">
        <v>44986.0</v>
      </c>
      <c r="FJ32" s="139">
        <v>45017.0</v>
      </c>
      <c r="FK32" s="139">
        <v>45047.0</v>
      </c>
      <c r="FL32" s="139">
        <v>45078.0</v>
      </c>
      <c r="FM32" s="139">
        <v>45108.0</v>
      </c>
      <c r="FN32" s="139">
        <v>45139.0</v>
      </c>
      <c r="FO32" s="139">
        <v>45170.0</v>
      </c>
      <c r="FP32" s="139">
        <v>45200.0</v>
      </c>
      <c r="FQ32" s="139">
        <v>45231.0</v>
      </c>
      <c r="FR32" s="139">
        <v>45261.0</v>
      </c>
      <c r="FS32" s="139">
        <v>45292.0</v>
      </c>
      <c r="FT32" s="139">
        <v>45323.0</v>
      </c>
      <c r="FU32" s="139">
        <v>45352.0</v>
      </c>
      <c r="FV32" s="139">
        <v>45383.0</v>
      </c>
      <c r="FW32" s="139">
        <v>45413.0</v>
      </c>
      <c r="FX32" s="139">
        <v>45444.0</v>
      </c>
      <c r="FY32" s="139">
        <v>45474.0</v>
      </c>
      <c r="FZ32" s="139">
        <v>45505.0</v>
      </c>
      <c r="GA32" s="139">
        <v>45536.0</v>
      </c>
      <c r="GB32" s="139">
        <v>45566.0</v>
      </c>
      <c r="GC32" s="139">
        <v>45597.0</v>
      </c>
      <c r="GD32" s="139">
        <v>45627.0</v>
      </c>
      <c r="GE32" s="139">
        <v>45658.0</v>
      </c>
      <c r="GF32" s="139">
        <v>45689.0</v>
      </c>
      <c r="GG32" s="139">
        <v>45717.0</v>
      </c>
      <c r="GH32" s="139">
        <v>45748.0</v>
      </c>
      <c r="GI32" s="139">
        <v>45778.0</v>
      </c>
      <c r="GJ32" s="139">
        <v>45809.0</v>
      </c>
      <c r="GK32" s="139">
        <v>45839.0</v>
      </c>
    </row>
    <row r="33">
      <c r="A33" s="132" t="s">
        <v>33965</v>
      </c>
      <c r="B33" s="133" t="s">
        <v>1111</v>
      </c>
      <c r="C33" s="134">
        <v>42355.44393518518</v>
      </c>
      <c r="D33" s="135" t="str">
        <f t="shared" si="1"/>
        <v>2015/12/17</v>
      </c>
      <c r="E33" s="136" t="s">
        <v>33920</v>
      </c>
      <c r="F33" s="137">
        <v>0.0</v>
      </c>
      <c r="G33" s="138">
        <v>40179.0</v>
      </c>
      <c r="H33" s="138">
        <v>40210.0</v>
      </c>
      <c r="I33" s="138">
        <v>40238.0</v>
      </c>
      <c r="J33" s="138">
        <v>40269.0</v>
      </c>
      <c r="K33" s="138">
        <v>40299.0</v>
      </c>
      <c r="L33" s="138">
        <v>40330.0</v>
      </c>
      <c r="M33" s="138">
        <v>40360.0</v>
      </c>
      <c r="N33" s="138">
        <v>40391.0</v>
      </c>
      <c r="O33" s="138">
        <v>40422.0</v>
      </c>
      <c r="P33" s="138">
        <v>40452.0</v>
      </c>
      <c r="Q33" s="138">
        <v>40483.0</v>
      </c>
      <c r="R33" s="138">
        <v>40513.0</v>
      </c>
      <c r="S33" s="138">
        <v>40544.0</v>
      </c>
      <c r="T33" s="138">
        <v>40575.0</v>
      </c>
      <c r="U33" s="138">
        <v>40603.0</v>
      </c>
      <c r="V33" s="138">
        <v>40634.0</v>
      </c>
      <c r="W33" s="138">
        <v>40664.0</v>
      </c>
      <c r="X33" s="138">
        <v>40695.0</v>
      </c>
      <c r="Y33" s="138">
        <v>40725.0</v>
      </c>
      <c r="Z33" s="138">
        <v>40756.0</v>
      </c>
      <c r="AA33" s="138">
        <v>40787.0</v>
      </c>
      <c r="AB33" s="138">
        <v>40817.0</v>
      </c>
      <c r="AC33" s="138">
        <v>40848.0</v>
      </c>
      <c r="AD33" s="138">
        <v>40878.0</v>
      </c>
      <c r="AE33" s="138">
        <v>40909.0</v>
      </c>
      <c r="AF33" s="138">
        <v>40940.0</v>
      </c>
      <c r="AG33" s="138">
        <v>40969.0</v>
      </c>
      <c r="AH33" s="138">
        <v>41000.0</v>
      </c>
      <c r="AI33" s="138">
        <v>41030.0</v>
      </c>
      <c r="AJ33" s="138">
        <v>41061.0</v>
      </c>
      <c r="AK33" s="138">
        <v>41091.0</v>
      </c>
      <c r="AL33" s="138">
        <v>41122.0</v>
      </c>
      <c r="AM33" s="138">
        <v>41153.0</v>
      </c>
      <c r="AN33" s="138">
        <v>41183.0</v>
      </c>
      <c r="AO33" s="138">
        <v>41214.0</v>
      </c>
      <c r="AP33" s="138">
        <v>41244.0</v>
      </c>
      <c r="AQ33" s="138">
        <v>41275.0</v>
      </c>
      <c r="AR33" s="138">
        <v>41306.0</v>
      </c>
      <c r="AS33" s="138">
        <v>41334.0</v>
      </c>
      <c r="AT33" s="138">
        <v>41365.0</v>
      </c>
      <c r="AU33" s="138">
        <v>41395.0</v>
      </c>
      <c r="AV33" s="138">
        <v>41426.0</v>
      </c>
      <c r="AW33" s="138">
        <v>41456.0</v>
      </c>
      <c r="AX33" s="138">
        <v>41487.0</v>
      </c>
      <c r="AY33" s="138">
        <v>41518.0</v>
      </c>
      <c r="AZ33" s="138">
        <v>41548.0</v>
      </c>
      <c r="BA33" s="138">
        <v>41579.0</v>
      </c>
      <c r="BB33" s="138">
        <v>41609.0</v>
      </c>
      <c r="BC33" s="138">
        <v>41640.0</v>
      </c>
      <c r="BD33" s="138">
        <v>41671.0</v>
      </c>
      <c r="BE33" s="138">
        <v>41699.0</v>
      </c>
      <c r="BF33" s="138">
        <v>41730.0</v>
      </c>
      <c r="BG33" s="138">
        <v>41760.0</v>
      </c>
      <c r="BH33" s="138">
        <v>41791.0</v>
      </c>
      <c r="BI33" s="138">
        <v>41821.0</v>
      </c>
      <c r="BJ33" s="138">
        <v>41852.0</v>
      </c>
      <c r="BK33" s="138">
        <v>41883.0</v>
      </c>
      <c r="BL33" s="138">
        <v>41913.0</v>
      </c>
      <c r="BM33" s="138">
        <v>41944.0</v>
      </c>
      <c r="BN33" s="138">
        <v>41974.0</v>
      </c>
      <c r="BO33" s="138">
        <v>42005.0</v>
      </c>
      <c r="BP33" s="138">
        <v>42036.0</v>
      </c>
      <c r="BQ33" s="138">
        <v>42064.0</v>
      </c>
      <c r="BR33" s="138">
        <v>42095.0</v>
      </c>
      <c r="BS33" s="138">
        <v>42125.0</v>
      </c>
      <c r="BT33" s="138">
        <v>42156.0</v>
      </c>
      <c r="BU33" s="138">
        <v>42186.0</v>
      </c>
      <c r="BV33" s="138">
        <v>42217.0</v>
      </c>
      <c r="BW33" s="138">
        <v>42248.0</v>
      </c>
      <c r="BX33" s="138">
        <v>42278.0</v>
      </c>
      <c r="BY33" s="138">
        <v>42309.0</v>
      </c>
      <c r="BZ33" s="138">
        <v>42339.0</v>
      </c>
      <c r="CA33" s="139">
        <v>42370.0</v>
      </c>
      <c r="CB33" s="139">
        <v>42401.0</v>
      </c>
      <c r="CC33" s="139">
        <v>42430.0</v>
      </c>
      <c r="CD33" s="139">
        <v>42461.0</v>
      </c>
      <c r="CE33" s="139">
        <v>42491.0</v>
      </c>
      <c r="CF33" s="139">
        <v>42522.0</v>
      </c>
      <c r="CG33" s="139">
        <v>42552.0</v>
      </c>
      <c r="CH33" s="139">
        <v>42583.0</v>
      </c>
      <c r="CI33" s="139">
        <v>42614.0</v>
      </c>
      <c r="CJ33" s="139">
        <v>42644.0</v>
      </c>
      <c r="CK33" s="139">
        <v>42675.0</v>
      </c>
      <c r="CL33" s="139">
        <v>42705.0</v>
      </c>
      <c r="CM33" s="139">
        <v>42736.0</v>
      </c>
      <c r="CN33" s="139">
        <v>42767.0</v>
      </c>
      <c r="CO33" s="139">
        <v>42795.0</v>
      </c>
      <c r="CP33" s="139">
        <v>42826.0</v>
      </c>
      <c r="CQ33" s="139">
        <v>42856.0</v>
      </c>
      <c r="CR33" s="139">
        <v>42887.0</v>
      </c>
      <c r="CS33" s="139">
        <v>42917.0</v>
      </c>
      <c r="CT33" s="139">
        <v>42948.0</v>
      </c>
      <c r="CU33" s="139">
        <v>42979.0</v>
      </c>
      <c r="CV33" s="139">
        <v>43009.0</v>
      </c>
      <c r="CW33" s="139">
        <v>43040.0</v>
      </c>
      <c r="CX33" s="139">
        <v>43070.0</v>
      </c>
      <c r="CY33" s="139">
        <v>43101.0</v>
      </c>
      <c r="CZ33" s="139">
        <v>43132.0</v>
      </c>
      <c r="DA33" s="139">
        <v>43160.0</v>
      </c>
      <c r="DB33" s="139">
        <v>43191.0</v>
      </c>
      <c r="DC33" s="139">
        <v>43221.0</v>
      </c>
      <c r="DD33" s="139">
        <v>43252.0</v>
      </c>
      <c r="DE33" s="139">
        <v>43282.0</v>
      </c>
      <c r="DF33" s="139">
        <v>43313.0</v>
      </c>
      <c r="DG33" s="139">
        <v>43344.0</v>
      </c>
      <c r="DH33" s="139">
        <v>43374.0</v>
      </c>
      <c r="DI33" s="139">
        <v>43405.0</v>
      </c>
      <c r="DJ33" s="139">
        <v>43435.0</v>
      </c>
      <c r="DK33" s="139">
        <v>43466.0</v>
      </c>
      <c r="DL33" s="139">
        <v>43497.0</v>
      </c>
      <c r="DM33" s="139">
        <v>43525.0</v>
      </c>
      <c r="DN33" s="139">
        <v>43556.0</v>
      </c>
      <c r="DO33" s="139">
        <v>43586.0</v>
      </c>
      <c r="DP33" s="139">
        <v>43617.0</v>
      </c>
      <c r="DQ33" s="139">
        <v>43647.0</v>
      </c>
      <c r="DR33" s="139">
        <v>43678.0</v>
      </c>
      <c r="DS33" s="139">
        <v>43709.0</v>
      </c>
      <c r="DT33" s="139">
        <v>43739.0</v>
      </c>
      <c r="DU33" s="139">
        <v>43770.0</v>
      </c>
      <c r="DV33" s="139">
        <v>43800.0</v>
      </c>
      <c r="DW33" s="139">
        <v>43831.0</v>
      </c>
      <c r="DX33" s="139">
        <v>43862.0</v>
      </c>
      <c r="DY33" s="139">
        <v>43891.0</v>
      </c>
      <c r="DZ33" s="139">
        <v>43922.0</v>
      </c>
      <c r="EA33" s="139">
        <v>43952.0</v>
      </c>
      <c r="EB33" s="139">
        <v>43983.0</v>
      </c>
      <c r="EC33" s="139">
        <v>44013.0</v>
      </c>
      <c r="ED33" s="139">
        <v>44044.0</v>
      </c>
      <c r="EE33" s="139">
        <v>44075.0</v>
      </c>
      <c r="EF33" s="139">
        <v>44105.0</v>
      </c>
      <c r="EG33" s="139">
        <v>44136.0</v>
      </c>
      <c r="EH33" s="139">
        <v>44166.0</v>
      </c>
      <c r="EI33" s="139">
        <v>44197.0</v>
      </c>
      <c r="EJ33" s="139">
        <v>44228.0</v>
      </c>
      <c r="EK33" s="139">
        <v>44256.0</v>
      </c>
      <c r="EL33" s="139">
        <v>44287.0</v>
      </c>
      <c r="EM33" s="139">
        <v>44317.0</v>
      </c>
      <c r="EN33" s="139">
        <v>44348.0</v>
      </c>
      <c r="EO33" s="139">
        <v>44378.0</v>
      </c>
      <c r="EP33" s="139">
        <v>44409.0</v>
      </c>
      <c r="EQ33" s="139">
        <v>44440.0</v>
      </c>
      <c r="ER33" s="139">
        <v>44470.0</v>
      </c>
      <c r="ES33" s="139">
        <v>44501.0</v>
      </c>
      <c r="ET33" s="139">
        <v>44531.0</v>
      </c>
      <c r="EU33" s="139">
        <v>44562.0</v>
      </c>
      <c r="EV33" s="139">
        <v>44593.0</v>
      </c>
      <c r="EW33" s="139">
        <v>44621.0</v>
      </c>
      <c r="EX33" s="139">
        <v>44652.0</v>
      </c>
      <c r="EY33" s="139">
        <v>44682.0</v>
      </c>
      <c r="EZ33" s="139">
        <v>44713.0</v>
      </c>
      <c r="FA33" s="139">
        <v>44743.0</v>
      </c>
      <c r="FB33" s="139">
        <v>44774.0</v>
      </c>
      <c r="FC33" s="139">
        <v>44805.0</v>
      </c>
      <c r="FD33" s="139">
        <v>44835.0</v>
      </c>
      <c r="FE33" s="139">
        <v>44866.0</v>
      </c>
      <c r="FF33" s="139">
        <v>44896.0</v>
      </c>
      <c r="FG33" s="139">
        <v>44927.0</v>
      </c>
      <c r="FH33" s="139">
        <v>44958.0</v>
      </c>
      <c r="FI33" s="139">
        <v>44986.0</v>
      </c>
      <c r="FJ33" s="139">
        <v>45017.0</v>
      </c>
      <c r="FK33" s="139">
        <v>45047.0</v>
      </c>
      <c r="FL33" s="139">
        <v>45078.0</v>
      </c>
      <c r="FM33" s="139">
        <v>45108.0</v>
      </c>
      <c r="FN33" s="139">
        <v>45139.0</v>
      </c>
      <c r="FO33" s="139">
        <v>45170.0</v>
      </c>
      <c r="FP33" s="139">
        <v>45200.0</v>
      </c>
      <c r="FQ33" s="139">
        <v>45231.0</v>
      </c>
      <c r="FR33" s="139">
        <v>45261.0</v>
      </c>
      <c r="FS33" s="139">
        <v>45292.0</v>
      </c>
      <c r="FT33" s="139">
        <v>45323.0</v>
      </c>
      <c r="FU33" s="139">
        <v>45352.0</v>
      </c>
      <c r="FV33" s="139">
        <v>45383.0</v>
      </c>
      <c r="FW33" s="139">
        <v>45413.0</v>
      </c>
      <c r="FX33" s="139">
        <v>45444.0</v>
      </c>
      <c r="FY33" s="139">
        <v>45474.0</v>
      </c>
      <c r="FZ33" s="139">
        <v>45505.0</v>
      </c>
      <c r="GA33" s="139">
        <v>45536.0</v>
      </c>
      <c r="GB33" s="139">
        <v>45566.0</v>
      </c>
      <c r="GC33" s="139">
        <v>45597.0</v>
      </c>
      <c r="GD33" s="139">
        <v>45627.0</v>
      </c>
      <c r="GE33" s="139">
        <v>45658.0</v>
      </c>
      <c r="GF33" s="139">
        <v>45689.0</v>
      </c>
      <c r="GG33" s="139">
        <v>45717.0</v>
      </c>
      <c r="GH33" s="139">
        <v>45748.0</v>
      </c>
      <c r="GI33" s="139">
        <v>45778.0</v>
      </c>
      <c r="GJ33" s="139">
        <v>45809.0</v>
      </c>
      <c r="GK33" s="139">
        <v>45839.0</v>
      </c>
    </row>
    <row r="34">
      <c r="A34" s="132" t="s">
        <v>33966</v>
      </c>
      <c r="B34" s="133" t="s">
        <v>1240</v>
      </c>
      <c r="C34" s="134">
        <v>42388.73939814815</v>
      </c>
      <c r="D34" s="135" t="str">
        <f t="shared" si="1"/>
        <v>2016/01/19</v>
      </c>
      <c r="E34" s="136" t="s">
        <v>33920</v>
      </c>
      <c r="F34" s="137">
        <v>0.0</v>
      </c>
      <c r="G34" s="138">
        <v>40179.0</v>
      </c>
      <c r="H34" s="138">
        <v>40210.0</v>
      </c>
      <c r="I34" s="138">
        <v>40238.0</v>
      </c>
      <c r="J34" s="138">
        <v>40269.0</v>
      </c>
      <c r="K34" s="138">
        <v>40299.0</v>
      </c>
      <c r="L34" s="138">
        <v>40330.0</v>
      </c>
      <c r="M34" s="138">
        <v>40360.0</v>
      </c>
      <c r="N34" s="138">
        <v>40391.0</v>
      </c>
      <c r="O34" s="138">
        <v>40422.0</v>
      </c>
      <c r="P34" s="138">
        <v>40452.0</v>
      </c>
      <c r="Q34" s="138">
        <v>40483.0</v>
      </c>
      <c r="R34" s="138">
        <v>40513.0</v>
      </c>
      <c r="S34" s="138">
        <v>40544.0</v>
      </c>
      <c r="T34" s="138">
        <v>40575.0</v>
      </c>
      <c r="U34" s="138">
        <v>40603.0</v>
      </c>
      <c r="V34" s="138">
        <v>40634.0</v>
      </c>
      <c r="W34" s="138">
        <v>40664.0</v>
      </c>
      <c r="X34" s="138">
        <v>40695.0</v>
      </c>
      <c r="Y34" s="138">
        <v>40725.0</v>
      </c>
      <c r="Z34" s="138">
        <v>40756.0</v>
      </c>
      <c r="AA34" s="138">
        <v>40787.0</v>
      </c>
      <c r="AB34" s="138">
        <v>40817.0</v>
      </c>
      <c r="AC34" s="138">
        <v>40848.0</v>
      </c>
      <c r="AD34" s="138">
        <v>40878.0</v>
      </c>
      <c r="AE34" s="138">
        <v>40909.0</v>
      </c>
      <c r="AF34" s="138">
        <v>40940.0</v>
      </c>
      <c r="AG34" s="138">
        <v>40969.0</v>
      </c>
      <c r="AH34" s="138">
        <v>41000.0</v>
      </c>
      <c r="AI34" s="138">
        <v>41030.0</v>
      </c>
      <c r="AJ34" s="138">
        <v>41061.0</v>
      </c>
      <c r="AK34" s="138">
        <v>41091.0</v>
      </c>
      <c r="AL34" s="138">
        <v>41122.0</v>
      </c>
      <c r="AM34" s="138">
        <v>41153.0</v>
      </c>
      <c r="AN34" s="138">
        <v>41183.0</v>
      </c>
      <c r="AO34" s="138">
        <v>41214.0</v>
      </c>
      <c r="AP34" s="138">
        <v>41244.0</v>
      </c>
      <c r="AQ34" s="138">
        <v>41275.0</v>
      </c>
      <c r="AR34" s="138">
        <v>41306.0</v>
      </c>
      <c r="AS34" s="138">
        <v>41334.0</v>
      </c>
      <c r="AT34" s="138">
        <v>41365.0</v>
      </c>
      <c r="AU34" s="138">
        <v>41395.0</v>
      </c>
      <c r="AV34" s="138">
        <v>41426.0</v>
      </c>
      <c r="AW34" s="138">
        <v>41456.0</v>
      </c>
      <c r="AX34" s="138">
        <v>41487.0</v>
      </c>
      <c r="AY34" s="138">
        <v>41518.0</v>
      </c>
      <c r="AZ34" s="138">
        <v>41548.0</v>
      </c>
      <c r="BA34" s="138">
        <v>41579.0</v>
      </c>
      <c r="BB34" s="138">
        <v>41609.0</v>
      </c>
      <c r="BC34" s="138">
        <v>41640.0</v>
      </c>
      <c r="BD34" s="138">
        <v>41671.0</v>
      </c>
      <c r="BE34" s="138">
        <v>41699.0</v>
      </c>
      <c r="BF34" s="138">
        <v>41730.0</v>
      </c>
      <c r="BG34" s="138">
        <v>41760.0</v>
      </c>
      <c r="BH34" s="138">
        <v>41791.0</v>
      </c>
      <c r="BI34" s="138">
        <v>41821.0</v>
      </c>
      <c r="BJ34" s="138">
        <v>41852.0</v>
      </c>
      <c r="BK34" s="138">
        <v>41883.0</v>
      </c>
      <c r="BL34" s="138">
        <v>41913.0</v>
      </c>
      <c r="BM34" s="138">
        <v>41944.0</v>
      </c>
      <c r="BN34" s="138">
        <v>41974.0</v>
      </c>
      <c r="BO34" s="138">
        <v>42005.0</v>
      </c>
      <c r="BP34" s="138">
        <v>42036.0</v>
      </c>
      <c r="BQ34" s="138">
        <v>42064.0</v>
      </c>
      <c r="BR34" s="138">
        <v>42095.0</v>
      </c>
      <c r="BS34" s="138">
        <v>42125.0</v>
      </c>
      <c r="BT34" s="138">
        <v>42156.0</v>
      </c>
      <c r="BU34" s="138">
        <v>42186.0</v>
      </c>
      <c r="BV34" s="138">
        <v>42217.0</v>
      </c>
      <c r="BW34" s="138">
        <v>42248.0</v>
      </c>
      <c r="BX34" s="138">
        <v>42278.0</v>
      </c>
      <c r="BY34" s="138">
        <v>42309.0</v>
      </c>
      <c r="BZ34" s="138">
        <v>42339.0</v>
      </c>
      <c r="CA34" s="138">
        <v>42370.0</v>
      </c>
      <c r="CB34" s="139">
        <v>42401.0</v>
      </c>
      <c r="CC34" s="139">
        <v>42430.0</v>
      </c>
      <c r="CD34" s="139">
        <v>42461.0</v>
      </c>
      <c r="CE34" s="139">
        <v>42491.0</v>
      </c>
      <c r="CF34" s="139">
        <v>42522.0</v>
      </c>
      <c r="CG34" s="139">
        <v>42552.0</v>
      </c>
      <c r="CH34" s="139">
        <v>42583.0</v>
      </c>
      <c r="CI34" s="139">
        <v>42614.0</v>
      </c>
      <c r="CJ34" s="139">
        <v>42644.0</v>
      </c>
      <c r="CK34" s="139">
        <v>42675.0</v>
      </c>
      <c r="CL34" s="139">
        <v>42705.0</v>
      </c>
      <c r="CM34" s="139">
        <v>42736.0</v>
      </c>
      <c r="CN34" s="139">
        <v>42767.0</v>
      </c>
      <c r="CO34" s="139">
        <v>42795.0</v>
      </c>
      <c r="CP34" s="139">
        <v>42826.0</v>
      </c>
      <c r="CQ34" s="139">
        <v>42856.0</v>
      </c>
      <c r="CR34" s="139">
        <v>42887.0</v>
      </c>
      <c r="CS34" s="139">
        <v>42917.0</v>
      </c>
      <c r="CT34" s="139">
        <v>42948.0</v>
      </c>
      <c r="CU34" s="139">
        <v>42979.0</v>
      </c>
      <c r="CV34" s="139">
        <v>43009.0</v>
      </c>
      <c r="CW34" s="139">
        <v>43040.0</v>
      </c>
      <c r="CX34" s="139">
        <v>43070.0</v>
      </c>
      <c r="CY34" s="139">
        <v>43101.0</v>
      </c>
      <c r="CZ34" s="139">
        <v>43132.0</v>
      </c>
      <c r="DA34" s="139">
        <v>43160.0</v>
      </c>
      <c r="DB34" s="139">
        <v>43191.0</v>
      </c>
      <c r="DC34" s="139">
        <v>43221.0</v>
      </c>
      <c r="DD34" s="139">
        <v>43252.0</v>
      </c>
      <c r="DE34" s="139">
        <v>43282.0</v>
      </c>
      <c r="DF34" s="139">
        <v>43313.0</v>
      </c>
      <c r="DG34" s="139">
        <v>43344.0</v>
      </c>
      <c r="DH34" s="139">
        <v>43374.0</v>
      </c>
      <c r="DI34" s="139">
        <v>43405.0</v>
      </c>
      <c r="DJ34" s="139">
        <v>43435.0</v>
      </c>
      <c r="DK34" s="139">
        <v>43466.0</v>
      </c>
      <c r="DL34" s="139">
        <v>43497.0</v>
      </c>
      <c r="DM34" s="139">
        <v>43525.0</v>
      </c>
      <c r="DN34" s="139">
        <v>43556.0</v>
      </c>
      <c r="DO34" s="139">
        <v>43586.0</v>
      </c>
      <c r="DP34" s="139">
        <v>43617.0</v>
      </c>
      <c r="DQ34" s="139">
        <v>43647.0</v>
      </c>
      <c r="DR34" s="139">
        <v>43678.0</v>
      </c>
      <c r="DS34" s="139">
        <v>43709.0</v>
      </c>
      <c r="DT34" s="139">
        <v>43739.0</v>
      </c>
      <c r="DU34" s="139">
        <v>43770.0</v>
      </c>
      <c r="DV34" s="139">
        <v>43800.0</v>
      </c>
      <c r="DW34" s="139">
        <v>43831.0</v>
      </c>
      <c r="DX34" s="139">
        <v>43862.0</v>
      </c>
      <c r="DY34" s="139">
        <v>43891.0</v>
      </c>
      <c r="DZ34" s="139">
        <v>43922.0</v>
      </c>
      <c r="EA34" s="139">
        <v>43952.0</v>
      </c>
      <c r="EB34" s="139">
        <v>43983.0</v>
      </c>
      <c r="EC34" s="139">
        <v>44013.0</v>
      </c>
      <c r="ED34" s="139">
        <v>44044.0</v>
      </c>
      <c r="EE34" s="139">
        <v>44075.0</v>
      </c>
      <c r="EF34" s="139">
        <v>44105.0</v>
      </c>
      <c r="EG34" s="139">
        <v>44136.0</v>
      </c>
      <c r="EH34" s="139">
        <v>44166.0</v>
      </c>
      <c r="EI34" s="139">
        <v>44197.0</v>
      </c>
      <c r="EJ34" s="139">
        <v>44228.0</v>
      </c>
      <c r="EK34" s="139">
        <v>44256.0</v>
      </c>
      <c r="EL34" s="139">
        <v>44287.0</v>
      </c>
      <c r="EM34" s="139">
        <v>44317.0</v>
      </c>
      <c r="EN34" s="139">
        <v>44348.0</v>
      </c>
      <c r="EO34" s="139">
        <v>44378.0</v>
      </c>
      <c r="EP34" s="139">
        <v>44409.0</v>
      </c>
      <c r="EQ34" s="139">
        <v>44440.0</v>
      </c>
      <c r="ER34" s="139">
        <v>44470.0</v>
      </c>
      <c r="ES34" s="139">
        <v>44501.0</v>
      </c>
      <c r="ET34" s="139">
        <v>44531.0</v>
      </c>
      <c r="EU34" s="139">
        <v>44562.0</v>
      </c>
      <c r="EV34" s="139">
        <v>44593.0</v>
      </c>
      <c r="EW34" s="139">
        <v>44621.0</v>
      </c>
      <c r="EX34" s="139">
        <v>44652.0</v>
      </c>
      <c r="EY34" s="139">
        <v>44682.0</v>
      </c>
      <c r="EZ34" s="139">
        <v>44713.0</v>
      </c>
      <c r="FA34" s="139">
        <v>44743.0</v>
      </c>
      <c r="FB34" s="139">
        <v>44774.0</v>
      </c>
      <c r="FC34" s="139">
        <v>44805.0</v>
      </c>
      <c r="FD34" s="139">
        <v>44835.0</v>
      </c>
      <c r="FE34" s="139">
        <v>44866.0</v>
      </c>
      <c r="FF34" s="139">
        <v>44896.0</v>
      </c>
      <c r="FG34" s="139">
        <v>44927.0</v>
      </c>
      <c r="FH34" s="139">
        <v>44958.0</v>
      </c>
      <c r="FI34" s="139">
        <v>44986.0</v>
      </c>
      <c r="FJ34" s="139">
        <v>45017.0</v>
      </c>
      <c r="FK34" s="139">
        <v>45047.0</v>
      </c>
      <c r="FL34" s="139">
        <v>45078.0</v>
      </c>
      <c r="FM34" s="139">
        <v>45108.0</v>
      </c>
      <c r="FN34" s="139">
        <v>45139.0</v>
      </c>
      <c r="FO34" s="139">
        <v>45170.0</v>
      </c>
      <c r="FP34" s="139">
        <v>45200.0</v>
      </c>
      <c r="FQ34" s="139">
        <v>45231.0</v>
      </c>
      <c r="FR34" s="139">
        <v>45261.0</v>
      </c>
      <c r="FS34" s="139">
        <v>45292.0</v>
      </c>
      <c r="FT34" s="139">
        <v>45323.0</v>
      </c>
      <c r="FU34" s="139">
        <v>45352.0</v>
      </c>
      <c r="FV34" s="139">
        <v>45383.0</v>
      </c>
      <c r="FW34" s="139">
        <v>45413.0</v>
      </c>
      <c r="FX34" s="139">
        <v>45444.0</v>
      </c>
      <c r="FY34" s="139">
        <v>45474.0</v>
      </c>
      <c r="FZ34" s="139">
        <v>45505.0</v>
      </c>
      <c r="GA34" s="139">
        <v>45536.0</v>
      </c>
      <c r="GB34" s="139">
        <v>45566.0</v>
      </c>
      <c r="GC34" s="139">
        <v>45597.0</v>
      </c>
      <c r="GD34" s="139">
        <v>45627.0</v>
      </c>
      <c r="GE34" s="139">
        <v>45658.0</v>
      </c>
      <c r="GF34" s="139">
        <v>45689.0</v>
      </c>
      <c r="GG34" s="139">
        <v>45717.0</v>
      </c>
      <c r="GH34" s="139">
        <v>45748.0</v>
      </c>
      <c r="GI34" s="139">
        <v>45778.0</v>
      </c>
      <c r="GJ34" s="139">
        <v>45809.0</v>
      </c>
      <c r="GK34" s="139">
        <v>45839.0</v>
      </c>
    </row>
    <row r="35">
      <c r="A35" s="132" t="s">
        <v>33967</v>
      </c>
      <c r="B35" s="133" t="s">
        <v>1136</v>
      </c>
      <c r="C35" s="134">
        <v>42389.62268518518</v>
      </c>
      <c r="D35" s="135" t="str">
        <f t="shared" si="1"/>
        <v>2016/01/20</v>
      </c>
      <c r="E35" s="136" t="s">
        <v>33968</v>
      </c>
      <c r="F35" s="137">
        <v>0.00416</v>
      </c>
      <c r="G35" s="138">
        <v>40179.0</v>
      </c>
      <c r="H35" s="138">
        <v>40210.0</v>
      </c>
      <c r="I35" s="138">
        <v>40238.0</v>
      </c>
      <c r="J35" s="138">
        <v>40269.0</v>
      </c>
      <c r="K35" s="138">
        <v>40299.0</v>
      </c>
      <c r="L35" s="138">
        <v>40330.0</v>
      </c>
      <c r="M35" s="138">
        <v>40360.0</v>
      </c>
      <c r="N35" s="138">
        <v>40391.0</v>
      </c>
      <c r="O35" s="138">
        <v>40422.0</v>
      </c>
      <c r="P35" s="138">
        <v>40452.0</v>
      </c>
      <c r="Q35" s="138">
        <v>40483.0</v>
      </c>
      <c r="R35" s="138">
        <v>40513.0</v>
      </c>
      <c r="S35" s="138">
        <v>40544.0</v>
      </c>
      <c r="T35" s="138">
        <v>40575.0</v>
      </c>
      <c r="U35" s="138">
        <v>40603.0</v>
      </c>
      <c r="V35" s="138">
        <v>40634.0</v>
      </c>
      <c r="W35" s="138">
        <v>40664.0</v>
      </c>
      <c r="X35" s="138">
        <v>40695.0</v>
      </c>
      <c r="Y35" s="138">
        <v>40725.0</v>
      </c>
      <c r="Z35" s="138">
        <v>40756.0</v>
      </c>
      <c r="AA35" s="138">
        <v>40787.0</v>
      </c>
      <c r="AB35" s="138">
        <v>40817.0</v>
      </c>
      <c r="AC35" s="138">
        <v>40848.0</v>
      </c>
      <c r="AD35" s="138">
        <v>40878.0</v>
      </c>
      <c r="AE35" s="138">
        <v>40909.0</v>
      </c>
      <c r="AF35" s="138">
        <v>40940.0</v>
      </c>
      <c r="AG35" s="138">
        <v>40969.0</v>
      </c>
      <c r="AH35" s="138">
        <v>41000.0</v>
      </c>
      <c r="AI35" s="138">
        <v>41030.0</v>
      </c>
      <c r="AJ35" s="138">
        <v>41061.0</v>
      </c>
      <c r="AK35" s="138">
        <v>41091.0</v>
      </c>
      <c r="AL35" s="138">
        <v>41122.0</v>
      </c>
      <c r="AM35" s="138">
        <v>41153.0</v>
      </c>
      <c r="AN35" s="138">
        <v>41183.0</v>
      </c>
      <c r="AO35" s="138">
        <v>41214.0</v>
      </c>
      <c r="AP35" s="138">
        <v>41244.0</v>
      </c>
      <c r="AQ35" s="138">
        <v>41275.0</v>
      </c>
      <c r="AR35" s="138">
        <v>41306.0</v>
      </c>
      <c r="AS35" s="138">
        <v>41334.0</v>
      </c>
      <c r="AT35" s="138">
        <v>41365.0</v>
      </c>
      <c r="AU35" s="138">
        <v>41395.0</v>
      </c>
      <c r="AV35" s="138">
        <v>41426.0</v>
      </c>
      <c r="AW35" s="138">
        <v>41456.0</v>
      </c>
      <c r="AX35" s="138">
        <v>41487.0</v>
      </c>
      <c r="AY35" s="138">
        <v>41518.0</v>
      </c>
      <c r="AZ35" s="138">
        <v>41548.0</v>
      </c>
      <c r="BA35" s="138">
        <v>41579.0</v>
      </c>
      <c r="BB35" s="138">
        <v>41609.0</v>
      </c>
      <c r="BC35" s="138">
        <v>41640.0</v>
      </c>
      <c r="BD35" s="138">
        <v>41671.0</v>
      </c>
      <c r="BE35" s="138">
        <v>41699.0</v>
      </c>
      <c r="BF35" s="138">
        <v>41730.0</v>
      </c>
      <c r="BG35" s="138">
        <v>41760.0</v>
      </c>
      <c r="BH35" s="138">
        <v>41791.0</v>
      </c>
      <c r="BI35" s="138">
        <v>41821.0</v>
      </c>
      <c r="BJ35" s="138">
        <v>41852.0</v>
      </c>
      <c r="BK35" s="138">
        <v>41883.0</v>
      </c>
      <c r="BL35" s="138">
        <v>41913.0</v>
      </c>
      <c r="BM35" s="138">
        <v>41944.0</v>
      </c>
      <c r="BN35" s="138">
        <v>41974.0</v>
      </c>
      <c r="BO35" s="138">
        <v>42005.0</v>
      </c>
      <c r="BP35" s="138">
        <v>42036.0</v>
      </c>
      <c r="BQ35" s="138">
        <v>42064.0</v>
      </c>
      <c r="BR35" s="138">
        <v>42095.0</v>
      </c>
      <c r="BS35" s="138">
        <v>42125.0</v>
      </c>
      <c r="BT35" s="138">
        <v>42156.0</v>
      </c>
      <c r="BU35" s="138">
        <v>42186.0</v>
      </c>
      <c r="BV35" s="138">
        <v>42217.0</v>
      </c>
      <c r="BW35" s="138">
        <v>42248.0</v>
      </c>
      <c r="BX35" s="138">
        <v>42278.0</v>
      </c>
      <c r="BY35" s="138">
        <v>42309.0</v>
      </c>
      <c r="BZ35" s="138">
        <v>42339.0</v>
      </c>
      <c r="CA35" s="138">
        <v>42370.0</v>
      </c>
      <c r="CB35" s="139">
        <v>42401.0</v>
      </c>
      <c r="CC35" s="139">
        <v>42430.0</v>
      </c>
      <c r="CD35" s="139">
        <v>42461.0</v>
      </c>
      <c r="CE35" s="139">
        <v>42491.0</v>
      </c>
      <c r="CF35" s="139">
        <v>42522.0</v>
      </c>
      <c r="CG35" s="139">
        <v>42552.0</v>
      </c>
      <c r="CH35" s="139">
        <v>42583.0</v>
      </c>
      <c r="CI35" s="139">
        <v>42614.0</v>
      </c>
      <c r="CJ35" s="139">
        <v>42644.0</v>
      </c>
      <c r="CK35" s="139">
        <v>42675.0</v>
      </c>
      <c r="CL35" s="139">
        <v>42705.0</v>
      </c>
      <c r="CM35" s="139">
        <v>42736.0</v>
      </c>
      <c r="CN35" s="139">
        <v>42767.0</v>
      </c>
      <c r="CO35" s="139">
        <v>42795.0</v>
      </c>
      <c r="CP35" s="139">
        <v>42826.0</v>
      </c>
      <c r="CQ35" s="139">
        <v>42856.0</v>
      </c>
      <c r="CR35" s="139">
        <v>42887.0</v>
      </c>
      <c r="CS35" s="139">
        <v>42917.0</v>
      </c>
      <c r="CT35" s="139">
        <v>42948.0</v>
      </c>
      <c r="CU35" s="139">
        <v>42979.0</v>
      </c>
      <c r="CV35" s="139">
        <v>43009.0</v>
      </c>
      <c r="CW35" s="139">
        <v>43040.0</v>
      </c>
      <c r="CX35" s="139">
        <v>43070.0</v>
      </c>
      <c r="CY35" s="139">
        <v>43101.0</v>
      </c>
      <c r="CZ35" s="139">
        <v>43132.0</v>
      </c>
      <c r="DA35" s="139">
        <v>43160.0</v>
      </c>
      <c r="DB35" s="139">
        <v>43191.0</v>
      </c>
      <c r="DC35" s="139">
        <v>43221.0</v>
      </c>
      <c r="DD35" s="139">
        <v>43252.0</v>
      </c>
      <c r="DE35" s="139">
        <v>43282.0</v>
      </c>
      <c r="DF35" s="139">
        <v>43313.0</v>
      </c>
      <c r="DG35" s="139">
        <v>43344.0</v>
      </c>
      <c r="DH35" s="139">
        <v>43374.0</v>
      </c>
      <c r="DI35" s="139">
        <v>43405.0</v>
      </c>
      <c r="DJ35" s="139">
        <v>43435.0</v>
      </c>
      <c r="DK35" s="139">
        <v>43466.0</v>
      </c>
      <c r="DL35" s="139">
        <v>43497.0</v>
      </c>
      <c r="DM35" s="139">
        <v>43525.0</v>
      </c>
      <c r="DN35" s="139">
        <v>43556.0</v>
      </c>
      <c r="DO35" s="139">
        <v>43586.0</v>
      </c>
      <c r="DP35" s="139">
        <v>43617.0</v>
      </c>
      <c r="DQ35" s="139">
        <v>43647.0</v>
      </c>
      <c r="DR35" s="139">
        <v>43678.0</v>
      </c>
      <c r="DS35" s="139">
        <v>43709.0</v>
      </c>
      <c r="DT35" s="139">
        <v>43739.0</v>
      </c>
      <c r="DU35" s="139">
        <v>43770.0</v>
      </c>
      <c r="DV35" s="139">
        <v>43800.0</v>
      </c>
      <c r="DW35" s="139">
        <v>43831.0</v>
      </c>
      <c r="DX35" s="139">
        <v>43862.0</v>
      </c>
      <c r="DY35" s="139">
        <v>43891.0</v>
      </c>
      <c r="DZ35" s="139">
        <v>43922.0</v>
      </c>
      <c r="EA35" s="139">
        <v>43952.0</v>
      </c>
      <c r="EB35" s="139">
        <v>43983.0</v>
      </c>
      <c r="EC35" s="139">
        <v>44013.0</v>
      </c>
      <c r="ED35" s="139">
        <v>44044.0</v>
      </c>
      <c r="EE35" s="139">
        <v>44075.0</v>
      </c>
      <c r="EF35" s="139">
        <v>44105.0</v>
      </c>
      <c r="EG35" s="139">
        <v>44136.0</v>
      </c>
      <c r="EH35" s="139">
        <v>44166.0</v>
      </c>
      <c r="EI35" s="139">
        <v>44197.0</v>
      </c>
      <c r="EJ35" s="139">
        <v>44228.0</v>
      </c>
      <c r="EK35" s="139">
        <v>44256.0</v>
      </c>
      <c r="EL35" s="139">
        <v>44287.0</v>
      </c>
      <c r="EM35" s="139">
        <v>44317.0</v>
      </c>
      <c r="EN35" s="139">
        <v>44348.0</v>
      </c>
      <c r="EO35" s="139">
        <v>44378.0</v>
      </c>
      <c r="EP35" s="139">
        <v>44409.0</v>
      </c>
      <c r="EQ35" s="139">
        <v>44440.0</v>
      </c>
      <c r="ER35" s="139">
        <v>44470.0</v>
      </c>
      <c r="ES35" s="139">
        <v>44501.0</v>
      </c>
      <c r="ET35" s="139">
        <v>44531.0</v>
      </c>
      <c r="EU35" s="139">
        <v>44562.0</v>
      </c>
      <c r="EV35" s="139">
        <v>44593.0</v>
      </c>
      <c r="EW35" s="139">
        <v>44621.0</v>
      </c>
      <c r="EX35" s="139">
        <v>44652.0</v>
      </c>
      <c r="EY35" s="139">
        <v>44682.0</v>
      </c>
      <c r="EZ35" s="139">
        <v>44713.0</v>
      </c>
      <c r="FA35" s="139">
        <v>44743.0</v>
      </c>
      <c r="FB35" s="139">
        <v>44774.0</v>
      </c>
      <c r="FC35" s="139">
        <v>44805.0</v>
      </c>
      <c r="FD35" s="139">
        <v>44835.0</v>
      </c>
      <c r="FE35" s="139">
        <v>44866.0</v>
      </c>
      <c r="FF35" s="139">
        <v>44896.0</v>
      </c>
      <c r="FG35" s="139">
        <v>44927.0</v>
      </c>
      <c r="FH35" s="139">
        <v>44958.0</v>
      </c>
      <c r="FI35" s="139">
        <v>44986.0</v>
      </c>
      <c r="FJ35" s="139">
        <v>45017.0</v>
      </c>
      <c r="FK35" s="139">
        <v>45047.0</v>
      </c>
      <c r="FL35" s="139">
        <v>45078.0</v>
      </c>
      <c r="FM35" s="139">
        <v>45108.0</v>
      </c>
      <c r="FN35" s="139">
        <v>45139.0</v>
      </c>
      <c r="FO35" s="139">
        <v>45170.0</v>
      </c>
      <c r="FP35" s="139">
        <v>45200.0</v>
      </c>
      <c r="FQ35" s="139">
        <v>45231.0</v>
      </c>
      <c r="FR35" s="139">
        <v>45261.0</v>
      </c>
      <c r="FS35" s="139">
        <v>45292.0</v>
      </c>
      <c r="FT35" s="139">
        <v>45323.0</v>
      </c>
      <c r="FU35" s="139">
        <v>45352.0</v>
      </c>
      <c r="FV35" s="139">
        <v>45383.0</v>
      </c>
      <c r="FW35" s="139">
        <v>45413.0</v>
      </c>
      <c r="FX35" s="139">
        <v>45444.0</v>
      </c>
      <c r="FY35" s="139">
        <v>45474.0</v>
      </c>
      <c r="FZ35" s="139">
        <v>45505.0</v>
      </c>
      <c r="GA35" s="139">
        <v>45536.0</v>
      </c>
      <c r="GB35" s="139">
        <v>45566.0</v>
      </c>
      <c r="GC35" s="139">
        <v>45597.0</v>
      </c>
      <c r="GD35" s="139">
        <v>45627.0</v>
      </c>
      <c r="GE35" s="139">
        <v>45658.0</v>
      </c>
      <c r="GF35" s="139">
        <v>45689.0</v>
      </c>
      <c r="GG35" s="139">
        <v>45717.0</v>
      </c>
      <c r="GH35" s="139">
        <v>45748.0</v>
      </c>
      <c r="GI35" s="139">
        <v>45778.0</v>
      </c>
      <c r="GJ35" s="139">
        <v>45809.0</v>
      </c>
      <c r="GK35" s="139">
        <v>45839.0</v>
      </c>
    </row>
    <row r="36">
      <c r="A36" s="132" t="s">
        <v>33969</v>
      </c>
      <c r="B36" s="133" t="s">
        <v>644</v>
      </c>
      <c r="C36" s="134">
        <v>42394.67358796296</v>
      </c>
      <c r="D36" s="135" t="str">
        <f t="shared" si="1"/>
        <v>2016/01/25</v>
      </c>
      <c r="E36" s="136" t="s">
        <v>33970</v>
      </c>
      <c r="F36" s="137">
        <v>0.0</v>
      </c>
      <c r="G36" s="138">
        <v>40179.0</v>
      </c>
      <c r="H36" s="138">
        <v>40210.0</v>
      </c>
      <c r="I36" s="138">
        <v>40238.0</v>
      </c>
      <c r="J36" s="138">
        <v>40269.0</v>
      </c>
      <c r="K36" s="138">
        <v>40299.0</v>
      </c>
      <c r="L36" s="138">
        <v>40330.0</v>
      </c>
      <c r="M36" s="138">
        <v>40360.0</v>
      </c>
      <c r="N36" s="138">
        <v>40391.0</v>
      </c>
      <c r="O36" s="138">
        <v>40422.0</v>
      </c>
      <c r="P36" s="138">
        <v>40452.0</v>
      </c>
      <c r="Q36" s="138">
        <v>40483.0</v>
      </c>
      <c r="R36" s="138">
        <v>40513.0</v>
      </c>
      <c r="S36" s="138">
        <v>40544.0</v>
      </c>
      <c r="T36" s="138">
        <v>40575.0</v>
      </c>
      <c r="U36" s="138">
        <v>40603.0</v>
      </c>
      <c r="V36" s="138">
        <v>40634.0</v>
      </c>
      <c r="W36" s="138">
        <v>40664.0</v>
      </c>
      <c r="X36" s="138">
        <v>40695.0</v>
      </c>
      <c r="Y36" s="138">
        <v>40725.0</v>
      </c>
      <c r="Z36" s="138">
        <v>40756.0</v>
      </c>
      <c r="AA36" s="138">
        <v>40787.0</v>
      </c>
      <c r="AB36" s="138">
        <v>40817.0</v>
      </c>
      <c r="AC36" s="138">
        <v>40848.0</v>
      </c>
      <c r="AD36" s="138">
        <v>40878.0</v>
      </c>
      <c r="AE36" s="138">
        <v>40909.0</v>
      </c>
      <c r="AF36" s="138">
        <v>40940.0</v>
      </c>
      <c r="AG36" s="138">
        <v>40969.0</v>
      </c>
      <c r="AH36" s="138">
        <v>41000.0</v>
      </c>
      <c r="AI36" s="138">
        <v>41030.0</v>
      </c>
      <c r="AJ36" s="138">
        <v>41061.0</v>
      </c>
      <c r="AK36" s="138">
        <v>41091.0</v>
      </c>
      <c r="AL36" s="138">
        <v>41122.0</v>
      </c>
      <c r="AM36" s="138">
        <v>41153.0</v>
      </c>
      <c r="AN36" s="138">
        <v>41183.0</v>
      </c>
      <c r="AO36" s="138">
        <v>41214.0</v>
      </c>
      <c r="AP36" s="138">
        <v>41244.0</v>
      </c>
      <c r="AQ36" s="138">
        <v>41275.0</v>
      </c>
      <c r="AR36" s="138">
        <v>41306.0</v>
      </c>
      <c r="AS36" s="138">
        <v>41334.0</v>
      </c>
      <c r="AT36" s="138">
        <v>41365.0</v>
      </c>
      <c r="AU36" s="138">
        <v>41395.0</v>
      </c>
      <c r="AV36" s="138">
        <v>41426.0</v>
      </c>
      <c r="AW36" s="138">
        <v>41456.0</v>
      </c>
      <c r="AX36" s="138">
        <v>41487.0</v>
      </c>
      <c r="AY36" s="138">
        <v>41518.0</v>
      </c>
      <c r="AZ36" s="138">
        <v>41548.0</v>
      </c>
      <c r="BA36" s="138">
        <v>41579.0</v>
      </c>
      <c r="BB36" s="138">
        <v>41609.0</v>
      </c>
      <c r="BC36" s="138">
        <v>41640.0</v>
      </c>
      <c r="BD36" s="138">
        <v>41671.0</v>
      </c>
      <c r="BE36" s="138">
        <v>41699.0</v>
      </c>
      <c r="BF36" s="138">
        <v>41730.0</v>
      </c>
      <c r="BG36" s="138">
        <v>41760.0</v>
      </c>
      <c r="BH36" s="138">
        <v>41791.0</v>
      </c>
      <c r="BI36" s="138">
        <v>41821.0</v>
      </c>
      <c r="BJ36" s="138">
        <v>41852.0</v>
      </c>
      <c r="BK36" s="138">
        <v>41883.0</v>
      </c>
      <c r="BL36" s="138">
        <v>41913.0</v>
      </c>
      <c r="BM36" s="138">
        <v>41944.0</v>
      </c>
      <c r="BN36" s="138">
        <v>41974.0</v>
      </c>
      <c r="BO36" s="138">
        <v>42005.0</v>
      </c>
      <c r="BP36" s="138">
        <v>42036.0</v>
      </c>
      <c r="BQ36" s="138">
        <v>42064.0</v>
      </c>
      <c r="BR36" s="138">
        <v>42095.0</v>
      </c>
      <c r="BS36" s="138">
        <v>42125.0</v>
      </c>
      <c r="BT36" s="138">
        <v>42156.0</v>
      </c>
      <c r="BU36" s="138">
        <v>42186.0</v>
      </c>
      <c r="BV36" s="138">
        <v>42217.0</v>
      </c>
      <c r="BW36" s="138">
        <v>42248.0</v>
      </c>
      <c r="BX36" s="138">
        <v>42278.0</v>
      </c>
      <c r="BY36" s="138">
        <v>42309.0</v>
      </c>
      <c r="BZ36" s="138">
        <v>42339.0</v>
      </c>
      <c r="CA36" s="138">
        <v>42370.0</v>
      </c>
      <c r="CB36" s="139">
        <v>42401.0</v>
      </c>
      <c r="CC36" s="139">
        <v>42430.0</v>
      </c>
      <c r="CD36" s="139">
        <v>42461.0</v>
      </c>
      <c r="CE36" s="139">
        <v>42491.0</v>
      </c>
      <c r="CF36" s="139">
        <v>42522.0</v>
      </c>
      <c r="CG36" s="139">
        <v>42552.0</v>
      </c>
      <c r="CH36" s="139">
        <v>42583.0</v>
      </c>
      <c r="CI36" s="139">
        <v>42614.0</v>
      </c>
      <c r="CJ36" s="139">
        <v>42644.0</v>
      </c>
      <c r="CK36" s="139">
        <v>42675.0</v>
      </c>
      <c r="CL36" s="139">
        <v>42705.0</v>
      </c>
      <c r="CM36" s="139">
        <v>42736.0</v>
      </c>
      <c r="CN36" s="139">
        <v>42767.0</v>
      </c>
      <c r="CO36" s="139">
        <v>42795.0</v>
      </c>
      <c r="CP36" s="139">
        <v>42826.0</v>
      </c>
      <c r="CQ36" s="139">
        <v>42856.0</v>
      </c>
      <c r="CR36" s="139">
        <v>42887.0</v>
      </c>
      <c r="CS36" s="139">
        <v>42917.0</v>
      </c>
      <c r="CT36" s="139">
        <v>42948.0</v>
      </c>
      <c r="CU36" s="139">
        <v>42979.0</v>
      </c>
      <c r="CV36" s="139">
        <v>43009.0</v>
      </c>
      <c r="CW36" s="139">
        <v>43040.0</v>
      </c>
      <c r="CX36" s="139">
        <v>43070.0</v>
      </c>
      <c r="CY36" s="139">
        <v>43101.0</v>
      </c>
      <c r="CZ36" s="139">
        <v>43132.0</v>
      </c>
      <c r="DA36" s="139">
        <v>43160.0</v>
      </c>
      <c r="DB36" s="139">
        <v>43191.0</v>
      </c>
      <c r="DC36" s="139">
        <v>43221.0</v>
      </c>
      <c r="DD36" s="139">
        <v>43252.0</v>
      </c>
      <c r="DE36" s="139">
        <v>43282.0</v>
      </c>
      <c r="DF36" s="139">
        <v>43313.0</v>
      </c>
      <c r="DG36" s="139">
        <v>43344.0</v>
      </c>
      <c r="DH36" s="139">
        <v>43374.0</v>
      </c>
      <c r="DI36" s="139">
        <v>43405.0</v>
      </c>
      <c r="DJ36" s="139">
        <v>43435.0</v>
      </c>
      <c r="DK36" s="139">
        <v>43466.0</v>
      </c>
      <c r="DL36" s="139">
        <v>43497.0</v>
      </c>
      <c r="DM36" s="139">
        <v>43525.0</v>
      </c>
      <c r="DN36" s="139">
        <v>43556.0</v>
      </c>
      <c r="DO36" s="139">
        <v>43586.0</v>
      </c>
      <c r="DP36" s="139">
        <v>43617.0</v>
      </c>
      <c r="DQ36" s="139">
        <v>43647.0</v>
      </c>
      <c r="DR36" s="139">
        <v>43678.0</v>
      </c>
      <c r="DS36" s="139">
        <v>43709.0</v>
      </c>
      <c r="DT36" s="139">
        <v>43739.0</v>
      </c>
      <c r="DU36" s="139">
        <v>43770.0</v>
      </c>
      <c r="DV36" s="139">
        <v>43800.0</v>
      </c>
      <c r="DW36" s="139">
        <v>43831.0</v>
      </c>
      <c r="DX36" s="139">
        <v>43862.0</v>
      </c>
      <c r="DY36" s="139">
        <v>43891.0</v>
      </c>
      <c r="DZ36" s="139">
        <v>43922.0</v>
      </c>
      <c r="EA36" s="139">
        <v>43952.0</v>
      </c>
      <c r="EB36" s="139">
        <v>43983.0</v>
      </c>
      <c r="EC36" s="139">
        <v>44013.0</v>
      </c>
      <c r="ED36" s="139">
        <v>44044.0</v>
      </c>
      <c r="EE36" s="139">
        <v>44075.0</v>
      </c>
      <c r="EF36" s="139">
        <v>44105.0</v>
      </c>
      <c r="EG36" s="139">
        <v>44136.0</v>
      </c>
      <c r="EH36" s="139">
        <v>44166.0</v>
      </c>
      <c r="EI36" s="139">
        <v>44197.0</v>
      </c>
      <c r="EJ36" s="139">
        <v>44228.0</v>
      </c>
      <c r="EK36" s="139">
        <v>44256.0</v>
      </c>
      <c r="EL36" s="139">
        <v>44287.0</v>
      </c>
      <c r="EM36" s="139">
        <v>44317.0</v>
      </c>
      <c r="EN36" s="139">
        <v>44348.0</v>
      </c>
      <c r="EO36" s="139">
        <v>44378.0</v>
      </c>
      <c r="EP36" s="139">
        <v>44409.0</v>
      </c>
      <c r="EQ36" s="139">
        <v>44440.0</v>
      </c>
      <c r="ER36" s="139">
        <v>44470.0</v>
      </c>
      <c r="ES36" s="139">
        <v>44501.0</v>
      </c>
      <c r="ET36" s="139">
        <v>44531.0</v>
      </c>
      <c r="EU36" s="139">
        <v>44562.0</v>
      </c>
      <c r="EV36" s="139">
        <v>44593.0</v>
      </c>
      <c r="EW36" s="139">
        <v>44621.0</v>
      </c>
      <c r="EX36" s="139">
        <v>44652.0</v>
      </c>
      <c r="EY36" s="139">
        <v>44682.0</v>
      </c>
      <c r="EZ36" s="139">
        <v>44713.0</v>
      </c>
      <c r="FA36" s="139">
        <v>44743.0</v>
      </c>
      <c r="FB36" s="139">
        <v>44774.0</v>
      </c>
      <c r="FC36" s="139">
        <v>44805.0</v>
      </c>
      <c r="FD36" s="139">
        <v>44835.0</v>
      </c>
      <c r="FE36" s="139">
        <v>44866.0</v>
      </c>
      <c r="FF36" s="139">
        <v>44896.0</v>
      </c>
      <c r="FG36" s="139">
        <v>44927.0</v>
      </c>
      <c r="FH36" s="139">
        <v>44958.0</v>
      </c>
      <c r="FI36" s="139">
        <v>44986.0</v>
      </c>
      <c r="FJ36" s="139">
        <v>45017.0</v>
      </c>
      <c r="FK36" s="139">
        <v>45047.0</v>
      </c>
      <c r="FL36" s="139">
        <v>45078.0</v>
      </c>
      <c r="FM36" s="139">
        <v>45108.0</v>
      </c>
      <c r="FN36" s="139">
        <v>45139.0</v>
      </c>
      <c r="FO36" s="139">
        <v>45170.0</v>
      </c>
      <c r="FP36" s="139">
        <v>45200.0</v>
      </c>
      <c r="FQ36" s="139">
        <v>45231.0</v>
      </c>
      <c r="FR36" s="139">
        <v>45261.0</v>
      </c>
      <c r="FS36" s="139">
        <v>45292.0</v>
      </c>
      <c r="FT36" s="139">
        <v>45323.0</v>
      </c>
      <c r="FU36" s="139">
        <v>45352.0</v>
      </c>
      <c r="FV36" s="139">
        <v>45383.0</v>
      </c>
      <c r="FW36" s="139">
        <v>45413.0</v>
      </c>
      <c r="FX36" s="139">
        <v>45444.0</v>
      </c>
      <c r="FY36" s="139">
        <v>45474.0</v>
      </c>
      <c r="FZ36" s="139">
        <v>45505.0</v>
      </c>
      <c r="GA36" s="139">
        <v>45536.0</v>
      </c>
      <c r="GB36" s="139">
        <v>45566.0</v>
      </c>
      <c r="GC36" s="139">
        <v>45597.0</v>
      </c>
      <c r="GD36" s="139">
        <v>45627.0</v>
      </c>
      <c r="GE36" s="139">
        <v>45658.0</v>
      </c>
      <c r="GF36" s="139">
        <v>45689.0</v>
      </c>
      <c r="GG36" s="139">
        <v>45717.0</v>
      </c>
      <c r="GH36" s="139">
        <v>45748.0</v>
      </c>
      <c r="GI36" s="139">
        <v>45778.0</v>
      </c>
      <c r="GJ36" s="139">
        <v>45809.0</v>
      </c>
      <c r="GK36" s="139">
        <v>45839.0</v>
      </c>
    </row>
    <row r="37">
      <c r="A37" s="132" t="s">
        <v>33971</v>
      </c>
      <c r="B37" s="133" t="s">
        <v>1217</v>
      </c>
      <c r="C37" s="134">
        <v>42410.8571875</v>
      </c>
      <c r="D37" s="135" t="str">
        <f t="shared" si="1"/>
        <v>2016/02/10</v>
      </c>
      <c r="E37" s="136" t="s">
        <v>33972</v>
      </c>
      <c r="F37" s="137">
        <v>5.0E-5</v>
      </c>
      <c r="G37" s="138">
        <v>40179.0</v>
      </c>
      <c r="H37" s="138">
        <v>40210.0</v>
      </c>
      <c r="I37" s="138">
        <v>40238.0</v>
      </c>
      <c r="J37" s="138">
        <v>40269.0</v>
      </c>
      <c r="K37" s="138">
        <v>40299.0</v>
      </c>
      <c r="L37" s="138">
        <v>40330.0</v>
      </c>
      <c r="M37" s="138">
        <v>40360.0</v>
      </c>
      <c r="N37" s="138">
        <v>40391.0</v>
      </c>
      <c r="O37" s="138">
        <v>40422.0</v>
      </c>
      <c r="P37" s="138">
        <v>40452.0</v>
      </c>
      <c r="Q37" s="138">
        <v>40483.0</v>
      </c>
      <c r="R37" s="138">
        <v>40513.0</v>
      </c>
      <c r="S37" s="138">
        <v>40544.0</v>
      </c>
      <c r="T37" s="138">
        <v>40575.0</v>
      </c>
      <c r="U37" s="138">
        <v>40603.0</v>
      </c>
      <c r="V37" s="138">
        <v>40634.0</v>
      </c>
      <c r="W37" s="138">
        <v>40664.0</v>
      </c>
      <c r="X37" s="138">
        <v>40695.0</v>
      </c>
      <c r="Y37" s="138">
        <v>40725.0</v>
      </c>
      <c r="Z37" s="138">
        <v>40756.0</v>
      </c>
      <c r="AA37" s="138">
        <v>40787.0</v>
      </c>
      <c r="AB37" s="138">
        <v>40817.0</v>
      </c>
      <c r="AC37" s="138">
        <v>40848.0</v>
      </c>
      <c r="AD37" s="138">
        <v>40878.0</v>
      </c>
      <c r="AE37" s="138">
        <v>40909.0</v>
      </c>
      <c r="AF37" s="138">
        <v>40940.0</v>
      </c>
      <c r="AG37" s="138">
        <v>40969.0</v>
      </c>
      <c r="AH37" s="138">
        <v>41000.0</v>
      </c>
      <c r="AI37" s="138">
        <v>41030.0</v>
      </c>
      <c r="AJ37" s="138">
        <v>41061.0</v>
      </c>
      <c r="AK37" s="138">
        <v>41091.0</v>
      </c>
      <c r="AL37" s="138">
        <v>41122.0</v>
      </c>
      <c r="AM37" s="138">
        <v>41153.0</v>
      </c>
      <c r="AN37" s="138">
        <v>41183.0</v>
      </c>
      <c r="AO37" s="138">
        <v>41214.0</v>
      </c>
      <c r="AP37" s="138">
        <v>41244.0</v>
      </c>
      <c r="AQ37" s="138">
        <v>41275.0</v>
      </c>
      <c r="AR37" s="138">
        <v>41306.0</v>
      </c>
      <c r="AS37" s="138">
        <v>41334.0</v>
      </c>
      <c r="AT37" s="138">
        <v>41365.0</v>
      </c>
      <c r="AU37" s="138">
        <v>41395.0</v>
      </c>
      <c r="AV37" s="138">
        <v>41426.0</v>
      </c>
      <c r="AW37" s="138">
        <v>41456.0</v>
      </c>
      <c r="AX37" s="138">
        <v>41487.0</v>
      </c>
      <c r="AY37" s="138">
        <v>41518.0</v>
      </c>
      <c r="AZ37" s="138">
        <v>41548.0</v>
      </c>
      <c r="BA37" s="138">
        <v>41579.0</v>
      </c>
      <c r="BB37" s="138">
        <v>41609.0</v>
      </c>
      <c r="BC37" s="138">
        <v>41640.0</v>
      </c>
      <c r="BD37" s="138">
        <v>41671.0</v>
      </c>
      <c r="BE37" s="138">
        <v>41699.0</v>
      </c>
      <c r="BF37" s="138">
        <v>41730.0</v>
      </c>
      <c r="BG37" s="138">
        <v>41760.0</v>
      </c>
      <c r="BH37" s="138">
        <v>41791.0</v>
      </c>
      <c r="BI37" s="138">
        <v>41821.0</v>
      </c>
      <c r="BJ37" s="138">
        <v>41852.0</v>
      </c>
      <c r="BK37" s="138">
        <v>41883.0</v>
      </c>
      <c r="BL37" s="138">
        <v>41913.0</v>
      </c>
      <c r="BM37" s="138">
        <v>41944.0</v>
      </c>
      <c r="BN37" s="138">
        <v>41974.0</v>
      </c>
      <c r="BO37" s="138">
        <v>42005.0</v>
      </c>
      <c r="BP37" s="138">
        <v>42036.0</v>
      </c>
      <c r="BQ37" s="138">
        <v>42064.0</v>
      </c>
      <c r="BR37" s="138">
        <v>42095.0</v>
      </c>
      <c r="BS37" s="138">
        <v>42125.0</v>
      </c>
      <c r="BT37" s="138">
        <v>42156.0</v>
      </c>
      <c r="BU37" s="138">
        <v>42186.0</v>
      </c>
      <c r="BV37" s="138">
        <v>42217.0</v>
      </c>
      <c r="BW37" s="138">
        <v>42248.0</v>
      </c>
      <c r="BX37" s="138">
        <v>42278.0</v>
      </c>
      <c r="BY37" s="138">
        <v>42309.0</v>
      </c>
      <c r="BZ37" s="138">
        <v>42339.0</v>
      </c>
      <c r="CA37" s="138">
        <v>42370.0</v>
      </c>
      <c r="CB37" s="138">
        <v>42401.0</v>
      </c>
      <c r="CC37" s="139">
        <v>42430.0</v>
      </c>
      <c r="CD37" s="139">
        <v>42461.0</v>
      </c>
      <c r="CE37" s="139">
        <v>42491.0</v>
      </c>
      <c r="CF37" s="139">
        <v>42522.0</v>
      </c>
      <c r="CG37" s="139">
        <v>42552.0</v>
      </c>
      <c r="CH37" s="139">
        <v>42583.0</v>
      </c>
      <c r="CI37" s="139">
        <v>42614.0</v>
      </c>
      <c r="CJ37" s="139">
        <v>42644.0</v>
      </c>
      <c r="CK37" s="139">
        <v>42675.0</v>
      </c>
      <c r="CL37" s="139">
        <v>42705.0</v>
      </c>
      <c r="CM37" s="139">
        <v>42736.0</v>
      </c>
      <c r="CN37" s="139">
        <v>42767.0</v>
      </c>
      <c r="CO37" s="139">
        <v>42795.0</v>
      </c>
      <c r="CP37" s="139">
        <v>42826.0</v>
      </c>
      <c r="CQ37" s="139">
        <v>42856.0</v>
      </c>
      <c r="CR37" s="139">
        <v>42887.0</v>
      </c>
      <c r="CS37" s="139">
        <v>42917.0</v>
      </c>
      <c r="CT37" s="139">
        <v>42948.0</v>
      </c>
      <c r="CU37" s="139">
        <v>42979.0</v>
      </c>
      <c r="CV37" s="139">
        <v>43009.0</v>
      </c>
      <c r="CW37" s="139">
        <v>43040.0</v>
      </c>
      <c r="CX37" s="139">
        <v>43070.0</v>
      </c>
      <c r="CY37" s="139">
        <v>43101.0</v>
      </c>
      <c r="CZ37" s="139">
        <v>43132.0</v>
      </c>
      <c r="DA37" s="139">
        <v>43160.0</v>
      </c>
      <c r="DB37" s="139">
        <v>43191.0</v>
      </c>
      <c r="DC37" s="139">
        <v>43221.0</v>
      </c>
      <c r="DD37" s="139">
        <v>43252.0</v>
      </c>
      <c r="DE37" s="139">
        <v>43282.0</v>
      </c>
      <c r="DF37" s="139">
        <v>43313.0</v>
      </c>
      <c r="DG37" s="139">
        <v>43344.0</v>
      </c>
      <c r="DH37" s="139">
        <v>43374.0</v>
      </c>
      <c r="DI37" s="139">
        <v>43405.0</v>
      </c>
      <c r="DJ37" s="139">
        <v>43435.0</v>
      </c>
      <c r="DK37" s="139">
        <v>43466.0</v>
      </c>
      <c r="DL37" s="139">
        <v>43497.0</v>
      </c>
      <c r="DM37" s="139">
        <v>43525.0</v>
      </c>
      <c r="DN37" s="139">
        <v>43556.0</v>
      </c>
      <c r="DO37" s="139">
        <v>43586.0</v>
      </c>
      <c r="DP37" s="139">
        <v>43617.0</v>
      </c>
      <c r="DQ37" s="139">
        <v>43647.0</v>
      </c>
      <c r="DR37" s="139">
        <v>43678.0</v>
      </c>
      <c r="DS37" s="139">
        <v>43709.0</v>
      </c>
      <c r="DT37" s="139">
        <v>43739.0</v>
      </c>
      <c r="DU37" s="139">
        <v>43770.0</v>
      </c>
      <c r="DV37" s="139">
        <v>43800.0</v>
      </c>
      <c r="DW37" s="139">
        <v>43831.0</v>
      </c>
      <c r="DX37" s="139">
        <v>43862.0</v>
      </c>
      <c r="DY37" s="139">
        <v>43891.0</v>
      </c>
      <c r="DZ37" s="139">
        <v>43922.0</v>
      </c>
      <c r="EA37" s="139">
        <v>43952.0</v>
      </c>
      <c r="EB37" s="139">
        <v>43983.0</v>
      </c>
      <c r="EC37" s="139">
        <v>44013.0</v>
      </c>
      <c r="ED37" s="139">
        <v>44044.0</v>
      </c>
      <c r="EE37" s="139">
        <v>44075.0</v>
      </c>
      <c r="EF37" s="139">
        <v>44105.0</v>
      </c>
      <c r="EG37" s="139">
        <v>44136.0</v>
      </c>
      <c r="EH37" s="139">
        <v>44166.0</v>
      </c>
      <c r="EI37" s="139">
        <v>44197.0</v>
      </c>
      <c r="EJ37" s="139">
        <v>44228.0</v>
      </c>
      <c r="EK37" s="139">
        <v>44256.0</v>
      </c>
      <c r="EL37" s="139">
        <v>44287.0</v>
      </c>
      <c r="EM37" s="139">
        <v>44317.0</v>
      </c>
      <c r="EN37" s="139">
        <v>44348.0</v>
      </c>
      <c r="EO37" s="139">
        <v>44378.0</v>
      </c>
      <c r="EP37" s="139">
        <v>44409.0</v>
      </c>
      <c r="EQ37" s="139">
        <v>44440.0</v>
      </c>
      <c r="ER37" s="139">
        <v>44470.0</v>
      </c>
      <c r="ES37" s="139">
        <v>44501.0</v>
      </c>
      <c r="ET37" s="139">
        <v>44531.0</v>
      </c>
      <c r="EU37" s="139">
        <v>44562.0</v>
      </c>
      <c r="EV37" s="139">
        <v>44593.0</v>
      </c>
      <c r="EW37" s="139">
        <v>44621.0</v>
      </c>
      <c r="EX37" s="139">
        <v>44652.0</v>
      </c>
      <c r="EY37" s="139">
        <v>44682.0</v>
      </c>
      <c r="EZ37" s="139">
        <v>44713.0</v>
      </c>
      <c r="FA37" s="139">
        <v>44743.0</v>
      </c>
      <c r="FB37" s="139">
        <v>44774.0</v>
      </c>
      <c r="FC37" s="139">
        <v>44805.0</v>
      </c>
      <c r="FD37" s="139">
        <v>44835.0</v>
      </c>
      <c r="FE37" s="139">
        <v>44866.0</v>
      </c>
      <c r="FF37" s="139">
        <v>44896.0</v>
      </c>
      <c r="FG37" s="139">
        <v>44927.0</v>
      </c>
      <c r="FH37" s="139">
        <v>44958.0</v>
      </c>
      <c r="FI37" s="139">
        <v>44986.0</v>
      </c>
      <c r="FJ37" s="139">
        <v>45017.0</v>
      </c>
      <c r="FK37" s="139">
        <v>45047.0</v>
      </c>
      <c r="FL37" s="139">
        <v>45078.0</v>
      </c>
      <c r="FM37" s="139">
        <v>45108.0</v>
      </c>
      <c r="FN37" s="139">
        <v>45139.0</v>
      </c>
      <c r="FO37" s="139">
        <v>45170.0</v>
      </c>
      <c r="FP37" s="139">
        <v>45200.0</v>
      </c>
      <c r="FQ37" s="139">
        <v>45231.0</v>
      </c>
      <c r="FR37" s="139">
        <v>45261.0</v>
      </c>
      <c r="FS37" s="139">
        <v>45292.0</v>
      </c>
      <c r="FT37" s="139">
        <v>45323.0</v>
      </c>
      <c r="FU37" s="139">
        <v>45352.0</v>
      </c>
      <c r="FV37" s="139">
        <v>45383.0</v>
      </c>
      <c r="FW37" s="139">
        <v>45413.0</v>
      </c>
      <c r="FX37" s="139">
        <v>45444.0</v>
      </c>
      <c r="FY37" s="139">
        <v>45474.0</v>
      </c>
      <c r="FZ37" s="139">
        <v>45505.0</v>
      </c>
      <c r="GA37" s="139">
        <v>45536.0</v>
      </c>
      <c r="GB37" s="139">
        <v>45566.0</v>
      </c>
      <c r="GC37" s="139">
        <v>45597.0</v>
      </c>
      <c r="GD37" s="139">
        <v>45627.0</v>
      </c>
      <c r="GE37" s="139">
        <v>45658.0</v>
      </c>
      <c r="GF37" s="139">
        <v>45689.0</v>
      </c>
      <c r="GG37" s="139">
        <v>45717.0</v>
      </c>
      <c r="GH37" s="139">
        <v>45748.0</v>
      </c>
      <c r="GI37" s="139">
        <v>45778.0</v>
      </c>
      <c r="GJ37" s="139">
        <v>45809.0</v>
      </c>
      <c r="GK37" s="139">
        <v>45839.0</v>
      </c>
    </row>
    <row r="38">
      <c r="A38" s="132" t="s">
        <v>33973</v>
      </c>
      <c r="B38" s="133" t="s">
        <v>1109</v>
      </c>
      <c r="C38" s="134">
        <v>42433.75344907407</v>
      </c>
      <c r="D38" s="135" t="str">
        <f t="shared" si="1"/>
        <v>2016/03/04</v>
      </c>
      <c r="E38" s="136" t="s">
        <v>33974</v>
      </c>
      <c r="F38" s="137">
        <v>0.0</v>
      </c>
      <c r="G38" s="138">
        <v>40179.0</v>
      </c>
      <c r="H38" s="138">
        <v>40210.0</v>
      </c>
      <c r="I38" s="138">
        <v>40238.0</v>
      </c>
      <c r="J38" s="138">
        <v>40269.0</v>
      </c>
      <c r="K38" s="138">
        <v>40299.0</v>
      </c>
      <c r="L38" s="138">
        <v>40330.0</v>
      </c>
      <c r="M38" s="138">
        <v>40360.0</v>
      </c>
      <c r="N38" s="138">
        <v>40391.0</v>
      </c>
      <c r="O38" s="138">
        <v>40422.0</v>
      </c>
      <c r="P38" s="138">
        <v>40452.0</v>
      </c>
      <c r="Q38" s="138">
        <v>40483.0</v>
      </c>
      <c r="R38" s="138">
        <v>40513.0</v>
      </c>
      <c r="S38" s="138">
        <v>40544.0</v>
      </c>
      <c r="T38" s="138">
        <v>40575.0</v>
      </c>
      <c r="U38" s="138">
        <v>40603.0</v>
      </c>
      <c r="V38" s="138">
        <v>40634.0</v>
      </c>
      <c r="W38" s="138">
        <v>40664.0</v>
      </c>
      <c r="X38" s="138">
        <v>40695.0</v>
      </c>
      <c r="Y38" s="138">
        <v>40725.0</v>
      </c>
      <c r="Z38" s="138">
        <v>40756.0</v>
      </c>
      <c r="AA38" s="138">
        <v>40787.0</v>
      </c>
      <c r="AB38" s="138">
        <v>40817.0</v>
      </c>
      <c r="AC38" s="138">
        <v>40848.0</v>
      </c>
      <c r="AD38" s="138">
        <v>40878.0</v>
      </c>
      <c r="AE38" s="138">
        <v>40909.0</v>
      </c>
      <c r="AF38" s="138">
        <v>40940.0</v>
      </c>
      <c r="AG38" s="138">
        <v>40969.0</v>
      </c>
      <c r="AH38" s="138">
        <v>41000.0</v>
      </c>
      <c r="AI38" s="138">
        <v>41030.0</v>
      </c>
      <c r="AJ38" s="138">
        <v>41061.0</v>
      </c>
      <c r="AK38" s="138">
        <v>41091.0</v>
      </c>
      <c r="AL38" s="138">
        <v>41122.0</v>
      </c>
      <c r="AM38" s="138">
        <v>41153.0</v>
      </c>
      <c r="AN38" s="138">
        <v>41183.0</v>
      </c>
      <c r="AO38" s="138">
        <v>41214.0</v>
      </c>
      <c r="AP38" s="138">
        <v>41244.0</v>
      </c>
      <c r="AQ38" s="138">
        <v>41275.0</v>
      </c>
      <c r="AR38" s="138">
        <v>41306.0</v>
      </c>
      <c r="AS38" s="138">
        <v>41334.0</v>
      </c>
      <c r="AT38" s="138">
        <v>41365.0</v>
      </c>
      <c r="AU38" s="138">
        <v>41395.0</v>
      </c>
      <c r="AV38" s="138">
        <v>41426.0</v>
      </c>
      <c r="AW38" s="138">
        <v>41456.0</v>
      </c>
      <c r="AX38" s="138">
        <v>41487.0</v>
      </c>
      <c r="AY38" s="138">
        <v>41518.0</v>
      </c>
      <c r="AZ38" s="138">
        <v>41548.0</v>
      </c>
      <c r="BA38" s="138">
        <v>41579.0</v>
      </c>
      <c r="BB38" s="138">
        <v>41609.0</v>
      </c>
      <c r="BC38" s="138">
        <v>41640.0</v>
      </c>
      <c r="BD38" s="138">
        <v>41671.0</v>
      </c>
      <c r="BE38" s="138">
        <v>41699.0</v>
      </c>
      <c r="BF38" s="138">
        <v>41730.0</v>
      </c>
      <c r="BG38" s="138">
        <v>41760.0</v>
      </c>
      <c r="BH38" s="138">
        <v>41791.0</v>
      </c>
      <c r="BI38" s="138">
        <v>41821.0</v>
      </c>
      <c r="BJ38" s="138">
        <v>41852.0</v>
      </c>
      <c r="BK38" s="138">
        <v>41883.0</v>
      </c>
      <c r="BL38" s="138">
        <v>41913.0</v>
      </c>
      <c r="BM38" s="138">
        <v>41944.0</v>
      </c>
      <c r="BN38" s="138">
        <v>41974.0</v>
      </c>
      <c r="BO38" s="138">
        <v>42005.0</v>
      </c>
      <c r="BP38" s="138">
        <v>42036.0</v>
      </c>
      <c r="BQ38" s="138">
        <v>42064.0</v>
      </c>
      <c r="BR38" s="138">
        <v>42095.0</v>
      </c>
      <c r="BS38" s="138">
        <v>42125.0</v>
      </c>
      <c r="BT38" s="138">
        <v>42156.0</v>
      </c>
      <c r="BU38" s="138">
        <v>42186.0</v>
      </c>
      <c r="BV38" s="138">
        <v>42217.0</v>
      </c>
      <c r="BW38" s="138">
        <v>42248.0</v>
      </c>
      <c r="BX38" s="138">
        <v>42278.0</v>
      </c>
      <c r="BY38" s="138">
        <v>42309.0</v>
      </c>
      <c r="BZ38" s="138">
        <v>42339.0</v>
      </c>
      <c r="CA38" s="138">
        <v>42370.0</v>
      </c>
      <c r="CB38" s="138">
        <v>42401.0</v>
      </c>
      <c r="CC38" s="138">
        <v>42430.0</v>
      </c>
      <c r="CD38" s="139">
        <v>42461.0</v>
      </c>
      <c r="CE38" s="139">
        <v>42491.0</v>
      </c>
      <c r="CF38" s="139">
        <v>42522.0</v>
      </c>
      <c r="CG38" s="139">
        <v>42552.0</v>
      </c>
      <c r="CH38" s="139">
        <v>42583.0</v>
      </c>
      <c r="CI38" s="139">
        <v>42614.0</v>
      </c>
      <c r="CJ38" s="139">
        <v>42644.0</v>
      </c>
      <c r="CK38" s="139">
        <v>42675.0</v>
      </c>
      <c r="CL38" s="139">
        <v>42705.0</v>
      </c>
      <c r="CM38" s="139">
        <v>42736.0</v>
      </c>
      <c r="CN38" s="139">
        <v>42767.0</v>
      </c>
      <c r="CO38" s="139">
        <v>42795.0</v>
      </c>
      <c r="CP38" s="139">
        <v>42826.0</v>
      </c>
      <c r="CQ38" s="139">
        <v>42856.0</v>
      </c>
      <c r="CR38" s="139">
        <v>42887.0</v>
      </c>
      <c r="CS38" s="139">
        <v>42917.0</v>
      </c>
      <c r="CT38" s="139">
        <v>42948.0</v>
      </c>
      <c r="CU38" s="139">
        <v>42979.0</v>
      </c>
      <c r="CV38" s="139">
        <v>43009.0</v>
      </c>
      <c r="CW38" s="139">
        <v>43040.0</v>
      </c>
      <c r="CX38" s="139">
        <v>43070.0</v>
      </c>
      <c r="CY38" s="139">
        <v>43101.0</v>
      </c>
      <c r="CZ38" s="139">
        <v>43132.0</v>
      </c>
      <c r="DA38" s="139">
        <v>43160.0</v>
      </c>
      <c r="DB38" s="139">
        <v>43191.0</v>
      </c>
      <c r="DC38" s="139">
        <v>43221.0</v>
      </c>
      <c r="DD38" s="139">
        <v>43252.0</v>
      </c>
      <c r="DE38" s="139">
        <v>43282.0</v>
      </c>
      <c r="DF38" s="139">
        <v>43313.0</v>
      </c>
      <c r="DG38" s="139">
        <v>43344.0</v>
      </c>
      <c r="DH38" s="139">
        <v>43374.0</v>
      </c>
      <c r="DI38" s="139">
        <v>43405.0</v>
      </c>
      <c r="DJ38" s="139">
        <v>43435.0</v>
      </c>
      <c r="DK38" s="139">
        <v>43466.0</v>
      </c>
      <c r="DL38" s="139">
        <v>43497.0</v>
      </c>
      <c r="DM38" s="139">
        <v>43525.0</v>
      </c>
      <c r="DN38" s="139">
        <v>43556.0</v>
      </c>
      <c r="DO38" s="139">
        <v>43586.0</v>
      </c>
      <c r="DP38" s="139">
        <v>43617.0</v>
      </c>
      <c r="DQ38" s="139">
        <v>43647.0</v>
      </c>
      <c r="DR38" s="139">
        <v>43678.0</v>
      </c>
      <c r="DS38" s="139">
        <v>43709.0</v>
      </c>
      <c r="DT38" s="139">
        <v>43739.0</v>
      </c>
      <c r="DU38" s="139">
        <v>43770.0</v>
      </c>
      <c r="DV38" s="139">
        <v>43800.0</v>
      </c>
      <c r="DW38" s="139">
        <v>43831.0</v>
      </c>
      <c r="DX38" s="139">
        <v>43862.0</v>
      </c>
      <c r="DY38" s="139">
        <v>43891.0</v>
      </c>
      <c r="DZ38" s="139">
        <v>43922.0</v>
      </c>
      <c r="EA38" s="139">
        <v>43952.0</v>
      </c>
      <c r="EB38" s="139">
        <v>43983.0</v>
      </c>
      <c r="EC38" s="139">
        <v>44013.0</v>
      </c>
      <c r="ED38" s="139">
        <v>44044.0</v>
      </c>
      <c r="EE38" s="139">
        <v>44075.0</v>
      </c>
      <c r="EF38" s="139">
        <v>44105.0</v>
      </c>
      <c r="EG38" s="139">
        <v>44136.0</v>
      </c>
      <c r="EH38" s="139">
        <v>44166.0</v>
      </c>
      <c r="EI38" s="139">
        <v>44197.0</v>
      </c>
      <c r="EJ38" s="139">
        <v>44228.0</v>
      </c>
      <c r="EK38" s="139">
        <v>44256.0</v>
      </c>
      <c r="EL38" s="139">
        <v>44287.0</v>
      </c>
      <c r="EM38" s="139">
        <v>44317.0</v>
      </c>
      <c r="EN38" s="139">
        <v>44348.0</v>
      </c>
      <c r="EO38" s="139">
        <v>44378.0</v>
      </c>
      <c r="EP38" s="139">
        <v>44409.0</v>
      </c>
      <c r="EQ38" s="139">
        <v>44440.0</v>
      </c>
      <c r="ER38" s="139">
        <v>44470.0</v>
      </c>
      <c r="ES38" s="139">
        <v>44501.0</v>
      </c>
      <c r="ET38" s="139">
        <v>44531.0</v>
      </c>
      <c r="EU38" s="139">
        <v>44562.0</v>
      </c>
      <c r="EV38" s="139">
        <v>44593.0</v>
      </c>
      <c r="EW38" s="139">
        <v>44621.0</v>
      </c>
      <c r="EX38" s="139">
        <v>44652.0</v>
      </c>
      <c r="EY38" s="139">
        <v>44682.0</v>
      </c>
      <c r="EZ38" s="139">
        <v>44713.0</v>
      </c>
      <c r="FA38" s="139">
        <v>44743.0</v>
      </c>
      <c r="FB38" s="139">
        <v>44774.0</v>
      </c>
      <c r="FC38" s="139">
        <v>44805.0</v>
      </c>
      <c r="FD38" s="139">
        <v>44835.0</v>
      </c>
      <c r="FE38" s="139">
        <v>44866.0</v>
      </c>
      <c r="FF38" s="139">
        <v>44896.0</v>
      </c>
      <c r="FG38" s="139">
        <v>44927.0</v>
      </c>
      <c r="FH38" s="139">
        <v>44958.0</v>
      </c>
      <c r="FI38" s="139">
        <v>44986.0</v>
      </c>
      <c r="FJ38" s="139">
        <v>45017.0</v>
      </c>
      <c r="FK38" s="139">
        <v>45047.0</v>
      </c>
      <c r="FL38" s="139">
        <v>45078.0</v>
      </c>
      <c r="FM38" s="139">
        <v>45108.0</v>
      </c>
      <c r="FN38" s="139">
        <v>45139.0</v>
      </c>
      <c r="FO38" s="139">
        <v>45170.0</v>
      </c>
      <c r="FP38" s="139">
        <v>45200.0</v>
      </c>
      <c r="FQ38" s="139">
        <v>45231.0</v>
      </c>
      <c r="FR38" s="139">
        <v>45261.0</v>
      </c>
      <c r="FS38" s="139">
        <v>45292.0</v>
      </c>
      <c r="FT38" s="139">
        <v>45323.0</v>
      </c>
      <c r="FU38" s="139">
        <v>45352.0</v>
      </c>
      <c r="FV38" s="139">
        <v>45383.0</v>
      </c>
      <c r="FW38" s="139">
        <v>45413.0</v>
      </c>
      <c r="FX38" s="139">
        <v>45444.0</v>
      </c>
      <c r="FY38" s="139">
        <v>45474.0</v>
      </c>
      <c r="FZ38" s="139">
        <v>45505.0</v>
      </c>
      <c r="GA38" s="139">
        <v>45536.0</v>
      </c>
      <c r="GB38" s="139">
        <v>45566.0</v>
      </c>
      <c r="GC38" s="139">
        <v>45597.0</v>
      </c>
      <c r="GD38" s="139">
        <v>45627.0</v>
      </c>
      <c r="GE38" s="139">
        <v>45658.0</v>
      </c>
      <c r="GF38" s="139">
        <v>45689.0</v>
      </c>
      <c r="GG38" s="139">
        <v>45717.0</v>
      </c>
      <c r="GH38" s="139">
        <v>45748.0</v>
      </c>
      <c r="GI38" s="139">
        <v>45778.0</v>
      </c>
      <c r="GJ38" s="139">
        <v>45809.0</v>
      </c>
      <c r="GK38" s="139">
        <v>45839.0</v>
      </c>
    </row>
    <row r="39">
      <c r="A39" s="132" t="s">
        <v>33975</v>
      </c>
      <c r="B39" s="133" t="s">
        <v>1107</v>
      </c>
      <c r="C39" s="134">
        <v>42480.84452546296</v>
      </c>
      <c r="D39" s="135" t="str">
        <f t="shared" si="1"/>
        <v>2016/04/20</v>
      </c>
      <c r="E39" s="136" t="s">
        <v>33920</v>
      </c>
      <c r="F39" s="137">
        <v>0.0</v>
      </c>
      <c r="G39" s="138">
        <v>40179.0</v>
      </c>
      <c r="H39" s="138">
        <v>40210.0</v>
      </c>
      <c r="I39" s="138">
        <v>40238.0</v>
      </c>
      <c r="J39" s="138">
        <v>40269.0</v>
      </c>
      <c r="K39" s="138">
        <v>40299.0</v>
      </c>
      <c r="L39" s="138">
        <v>40330.0</v>
      </c>
      <c r="M39" s="138">
        <v>40360.0</v>
      </c>
      <c r="N39" s="138">
        <v>40391.0</v>
      </c>
      <c r="O39" s="138">
        <v>40422.0</v>
      </c>
      <c r="P39" s="138">
        <v>40452.0</v>
      </c>
      <c r="Q39" s="138">
        <v>40483.0</v>
      </c>
      <c r="R39" s="138">
        <v>40513.0</v>
      </c>
      <c r="S39" s="138">
        <v>40544.0</v>
      </c>
      <c r="T39" s="138">
        <v>40575.0</v>
      </c>
      <c r="U39" s="138">
        <v>40603.0</v>
      </c>
      <c r="V39" s="138">
        <v>40634.0</v>
      </c>
      <c r="W39" s="138">
        <v>40664.0</v>
      </c>
      <c r="X39" s="138">
        <v>40695.0</v>
      </c>
      <c r="Y39" s="138">
        <v>40725.0</v>
      </c>
      <c r="Z39" s="138">
        <v>40756.0</v>
      </c>
      <c r="AA39" s="138">
        <v>40787.0</v>
      </c>
      <c r="AB39" s="138">
        <v>40817.0</v>
      </c>
      <c r="AC39" s="138">
        <v>40848.0</v>
      </c>
      <c r="AD39" s="138">
        <v>40878.0</v>
      </c>
      <c r="AE39" s="138">
        <v>40909.0</v>
      </c>
      <c r="AF39" s="138">
        <v>40940.0</v>
      </c>
      <c r="AG39" s="138">
        <v>40969.0</v>
      </c>
      <c r="AH39" s="138">
        <v>41000.0</v>
      </c>
      <c r="AI39" s="138">
        <v>41030.0</v>
      </c>
      <c r="AJ39" s="138">
        <v>41061.0</v>
      </c>
      <c r="AK39" s="138">
        <v>41091.0</v>
      </c>
      <c r="AL39" s="138">
        <v>41122.0</v>
      </c>
      <c r="AM39" s="138">
        <v>41153.0</v>
      </c>
      <c r="AN39" s="138">
        <v>41183.0</v>
      </c>
      <c r="AO39" s="138">
        <v>41214.0</v>
      </c>
      <c r="AP39" s="138">
        <v>41244.0</v>
      </c>
      <c r="AQ39" s="138">
        <v>41275.0</v>
      </c>
      <c r="AR39" s="138">
        <v>41306.0</v>
      </c>
      <c r="AS39" s="138">
        <v>41334.0</v>
      </c>
      <c r="AT39" s="138">
        <v>41365.0</v>
      </c>
      <c r="AU39" s="138">
        <v>41395.0</v>
      </c>
      <c r="AV39" s="138">
        <v>41426.0</v>
      </c>
      <c r="AW39" s="138">
        <v>41456.0</v>
      </c>
      <c r="AX39" s="138">
        <v>41487.0</v>
      </c>
      <c r="AY39" s="138">
        <v>41518.0</v>
      </c>
      <c r="AZ39" s="138">
        <v>41548.0</v>
      </c>
      <c r="BA39" s="138">
        <v>41579.0</v>
      </c>
      <c r="BB39" s="138">
        <v>41609.0</v>
      </c>
      <c r="BC39" s="138">
        <v>41640.0</v>
      </c>
      <c r="BD39" s="138">
        <v>41671.0</v>
      </c>
      <c r="BE39" s="138">
        <v>41699.0</v>
      </c>
      <c r="BF39" s="138">
        <v>41730.0</v>
      </c>
      <c r="BG39" s="138">
        <v>41760.0</v>
      </c>
      <c r="BH39" s="138">
        <v>41791.0</v>
      </c>
      <c r="BI39" s="138">
        <v>41821.0</v>
      </c>
      <c r="BJ39" s="138">
        <v>41852.0</v>
      </c>
      <c r="BK39" s="138">
        <v>41883.0</v>
      </c>
      <c r="BL39" s="138">
        <v>41913.0</v>
      </c>
      <c r="BM39" s="138">
        <v>41944.0</v>
      </c>
      <c r="BN39" s="138">
        <v>41974.0</v>
      </c>
      <c r="BO39" s="138">
        <v>42005.0</v>
      </c>
      <c r="BP39" s="138">
        <v>42036.0</v>
      </c>
      <c r="BQ39" s="138">
        <v>42064.0</v>
      </c>
      <c r="BR39" s="138">
        <v>42095.0</v>
      </c>
      <c r="BS39" s="138">
        <v>42125.0</v>
      </c>
      <c r="BT39" s="138">
        <v>42156.0</v>
      </c>
      <c r="BU39" s="138">
        <v>42186.0</v>
      </c>
      <c r="BV39" s="138">
        <v>42217.0</v>
      </c>
      <c r="BW39" s="138">
        <v>42248.0</v>
      </c>
      <c r="BX39" s="138">
        <v>42278.0</v>
      </c>
      <c r="BY39" s="138">
        <v>42309.0</v>
      </c>
      <c r="BZ39" s="138">
        <v>42339.0</v>
      </c>
      <c r="CA39" s="138">
        <v>42370.0</v>
      </c>
      <c r="CB39" s="138">
        <v>42401.0</v>
      </c>
      <c r="CC39" s="138">
        <v>42430.0</v>
      </c>
      <c r="CD39" s="138">
        <v>42461.0</v>
      </c>
      <c r="CE39" s="139">
        <v>42491.0</v>
      </c>
      <c r="CF39" s="139">
        <v>42522.0</v>
      </c>
      <c r="CG39" s="139">
        <v>42552.0</v>
      </c>
      <c r="CH39" s="139">
        <v>42583.0</v>
      </c>
      <c r="CI39" s="139">
        <v>42614.0</v>
      </c>
      <c r="CJ39" s="139">
        <v>42644.0</v>
      </c>
      <c r="CK39" s="139">
        <v>42675.0</v>
      </c>
      <c r="CL39" s="139">
        <v>42705.0</v>
      </c>
      <c r="CM39" s="139">
        <v>42736.0</v>
      </c>
      <c r="CN39" s="139">
        <v>42767.0</v>
      </c>
      <c r="CO39" s="139">
        <v>42795.0</v>
      </c>
      <c r="CP39" s="139">
        <v>42826.0</v>
      </c>
      <c r="CQ39" s="139">
        <v>42856.0</v>
      </c>
      <c r="CR39" s="139">
        <v>42887.0</v>
      </c>
      <c r="CS39" s="139">
        <v>42917.0</v>
      </c>
      <c r="CT39" s="139">
        <v>42948.0</v>
      </c>
      <c r="CU39" s="139">
        <v>42979.0</v>
      </c>
      <c r="CV39" s="139">
        <v>43009.0</v>
      </c>
      <c r="CW39" s="139">
        <v>43040.0</v>
      </c>
      <c r="CX39" s="139">
        <v>43070.0</v>
      </c>
      <c r="CY39" s="139">
        <v>43101.0</v>
      </c>
      <c r="CZ39" s="139">
        <v>43132.0</v>
      </c>
      <c r="DA39" s="139">
        <v>43160.0</v>
      </c>
      <c r="DB39" s="139">
        <v>43191.0</v>
      </c>
      <c r="DC39" s="139">
        <v>43221.0</v>
      </c>
      <c r="DD39" s="139">
        <v>43252.0</v>
      </c>
      <c r="DE39" s="139">
        <v>43282.0</v>
      </c>
      <c r="DF39" s="139">
        <v>43313.0</v>
      </c>
      <c r="DG39" s="139">
        <v>43344.0</v>
      </c>
      <c r="DH39" s="139">
        <v>43374.0</v>
      </c>
      <c r="DI39" s="139">
        <v>43405.0</v>
      </c>
      <c r="DJ39" s="139">
        <v>43435.0</v>
      </c>
      <c r="DK39" s="139">
        <v>43466.0</v>
      </c>
      <c r="DL39" s="139">
        <v>43497.0</v>
      </c>
      <c r="DM39" s="139">
        <v>43525.0</v>
      </c>
      <c r="DN39" s="139">
        <v>43556.0</v>
      </c>
      <c r="DO39" s="139">
        <v>43586.0</v>
      </c>
      <c r="DP39" s="139">
        <v>43617.0</v>
      </c>
      <c r="DQ39" s="139">
        <v>43647.0</v>
      </c>
      <c r="DR39" s="139">
        <v>43678.0</v>
      </c>
      <c r="DS39" s="139">
        <v>43709.0</v>
      </c>
      <c r="DT39" s="139">
        <v>43739.0</v>
      </c>
      <c r="DU39" s="139">
        <v>43770.0</v>
      </c>
      <c r="DV39" s="139">
        <v>43800.0</v>
      </c>
      <c r="DW39" s="139">
        <v>43831.0</v>
      </c>
      <c r="DX39" s="139">
        <v>43862.0</v>
      </c>
      <c r="DY39" s="139">
        <v>43891.0</v>
      </c>
      <c r="DZ39" s="139">
        <v>43922.0</v>
      </c>
      <c r="EA39" s="139">
        <v>43952.0</v>
      </c>
      <c r="EB39" s="139">
        <v>43983.0</v>
      </c>
      <c r="EC39" s="139">
        <v>44013.0</v>
      </c>
      <c r="ED39" s="139">
        <v>44044.0</v>
      </c>
      <c r="EE39" s="139">
        <v>44075.0</v>
      </c>
      <c r="EF39" s="139">
        <v>44105.0</v>
      </c>
      <c r="EG39" s="139">
        <v>44136.0</v>
      </c>
      <c r="EH39" s="139">
        <v>44166.0</v>
      </c>
      <c r="EI39" s="139">
        <v>44197.0</v>
      </c>
      <c r="EJ39" s="139">
        <v>44228.0</v>
      </c>
      <c r="EK39" s="139">
        <v>44256.0</v>
      </c>
      <c r="EL39" s="139">
        <v>44287.0</v>
      </c>
      <c r="EM39" s="139">
        <v>44317.0</v>
      </c>
      <c r="EN39" s="139">
        <v>44348.0</v>
      </c>
      <c r="EO39" s="139">
        <v>44378.0</v>
      </c>
      <c r="EP39" s="139">
        <v>44409.0</v>
      </c>
      <c r="EQ39" s="139">
        <v>44440.0</v>
      </c>
      <c r="ER39" s="139">
        <v>44470.0</v>
      </c>
      <c r="ES39" s="139">
        <v>44501.0</v>
      </c>
      <c r="ET39" s="139">
        <v>44531.0</v>
      </c>
      <c r="EU39" s="139">
        <v>44562.0</v>
      </c>
      <c r="EV39" s="139">
        <v>44593.0</v>
      </c>
      <c r="EW39" s="139">
        <v>44621.0</v>
      </c>
      <c r="EX39" s="139">
        <v>44652.0</v>
      </c>
      <c r="EY39" s="139">
        <v>44682.0</v>
      </c>
      <c r="EZ39" s="139">
        <v>44713.0</v>
      </c>
      <c r="FA39" s="139">
        <v>44743.0</v>
      </c>
      <c r="FB39" s="139">
        <v>44774.0</v>
      </c>
      <c r="FC39" s="139">
        <v>44805.0</v>
      </c>
      <c r="FD39" s="139">
        <v>44835.0</v>
      </c>
      <c r="FE39" s="139">
        <v>44866.0</v>
      </c>
      <c r="FF39" s="139">
        <v>44896.0</v>
      </c>
      <c r="FG39" s="139">
        <v>44927.0</v>
      </c>
      <c r="FH39" s="139">
        <v>44958.0</v>
      </c>
      <c r="FI39" s="139">
        <v>44986.0</v>
      </c>
      <c r="FJ39" s="139">
        <v>45017.0</v>
      </c>
      <c r="FK39" s="139">
        <v>45047.0</v>
      </c>
      <c r="FL39" s="139">
        <v>45078.0</v>
      </c>
      <c r="FM39" s="139">
        <v>45108.0</v>
      </c>
      <c r="FN39" s="139">
        <v>45139.0</v>
      </c>
      <c r="FO39" s="139">
        <v>45170.0</v>
      </c>
      <c r="FP39" s="139">
        <v>45200.0</v>
      </c>
      <c r="FQ39" s="139">
        <v>45231.0</v>
      </c>
      <c r="FR39" s="139">
        <v>45261.0</v>
      </c>
      <c r="FS39" s="139">
        <v>45292.0</v>
      </c>
      <c r="FT39" s="139">
        <v>45323.0</v>
      </c>
      <c r="FU39" s="139">
        <v>45352.0</v>
      </c>
      <c r="FV39" s="139">
        <v>45383.0</v>
      </c>
      <c r="FW39" s="139">
        <v>45413.0</v>
      </c>
      <c r="FX39" s="139">
        <v>45444.0</v>
      </c>
      <c r="FY39" s="139">
        <v>45474.0</v>
      </c>
      <c r="FZ39" s="139">
        <v>45505.0</v>
      </c>
      <c r="GA39" s="139">
        <v>45536.0</v>
      </c>
      <c r="GB39" s="139">
        <v>45566.0</v>
      </c>
      <c r="GC39" s="139">
        <v>45597.0</v>
      </c>
      <c r="GD39" s="139">
        <v>45627.0</v>
      </c>
      <c r="GE39" s="139">
        <v>45658.0</v>
      </c>
      <c r="GF39" s="139">
        <v>45689.0</v>
      </c>
      <c r="GG39" s="139">
        <v>45717.0</v>
      </c>
      <c r="GH39" s="139">
        <v>45748.0</v>
      </c>
      <c r="GI39" s="139">
        <v>45778.0</v>
      </c>
      <c r="GJ39" s="139">
        <v>45809.0</v>
      </c>
      <c r="GK39" s="139">
        <v>45839.0</v>
      </c>
    </row>
    <row r="40">
      <c r="A40" s="132" t="s">
        <v>33976</v>
      </c>
      <c r="B40" s="133" t="s">
        <v>1113</v>
      </c>
      <c r="C40" s="134">
        <v>42509.74034722222</v>
      </c>
      <c r="D40" s="135" t="str">
        <f t="shared" si="1"/>
        <v>2016/05/19</v>
      </c>
      <c r="E40" s="136" t="s">
        <v>33977</v>
      </c>
      <c r="F40" s="137">
        <v>0.0</v>
      </c>
      <c r="G40" s="138">
        <v>40179.0</v>
      </c>
      <c r="H40" s="138">
        <v>40210.0</v>
      </c>
      <c r="I40" s="138">
        <v>40238.0</v>
      </c>
      <c r="J40" s="138">
        <v>40269.0</v>
      </c>
      <c r="K40" s="138">
        <v>40299.0</v>
      </c>
      <c r="L40" s="138">
        <v>40330.0</v>
      </c>
      <c r="M40" s="138">
        <v>40360.0</v>
      </c>
      <c r="N40" s="138">
        <v>40391.0</v>
      </c>
      <c r="O40" s="138">
        <v>40422.0</v>
      </c>
      <c r="P40" s="138">
        <v>40452.0</v>
      </c>
      <c r="Q40" s="138">
        <v>40483.0</v>
      </c>
      <c r="R40" s="138">
        <v>40513.0</v>
      </c>
      <c r="S40" s="138">
        <v>40544.0</v>
      </c>
      <c r="T40" s="138">
        <v>40575.0</v>
      </c>
      <c r="U40" s="138">
        <v>40603.0</v>
      </c>
      <c r="V40" s="138">
        <v>40634.0</v>
      </c>
      <c r="W40" s="138">
        <v>40664.0</v>
      </c>
      <c r="X40" s="138">
        <v>40695.0</v>
      </c>
      <c r="Y40" s="138">
        <v>40725.0</v>
      </c>
      <c r="Z40" s="138">
        <v>40756.0</v>
      </c>
      <c r="AA40" s="138">
        <v>40787.0</v>
      </c>
      <c r="AB40" s="138">
        <v>40817.0</v>
      </c>
      <c r="AC40" s="138">
        <v>40848.0</v>
      </c>
      <c r="AD40" s="138">
        <v>40878.0</v>
      </c>
      <c r="AE40" s="138">
        <v>40909.0</v>
      </c>
      <c r="AF40" s="138">
        <v>40940.0</v>
      </c>
      <c r="AG40" s="138">
        <v>40969.0</v>
      </c>
      <c r="AH40" s="138">
        <v>41000.0</v>
      </c>
      <c r="AI40" s="138">
        <v>41030.0</v>
      </c>
      <c r="AJ40" s="138">
        <v>41061.0</v>
      </c>
      <c r="AK40" s="138">
        <v>41091.0</v>
      </c>
      <c r="AL40" s="138">
        <v>41122.0</v>
      </c>
      <c r="AM40" s="138">
        <v>41153.0</v>
      </c>
      <c r="AN40" s="138">
        <v>41183.0</v>
      </c>
      <c r="AO40" s="138">
        <v>41214.0</v>
      </c>
      <c r="AP40" s="138">
        <v>41244.0</v>
      </c>
      <c r="AQ40" s="138">
        <v>41275.0</v>
      </c>
      <c r="AR40" s="138">
        <v>41306.0</v>
      </c>
      <c r="AS40" s="138">
        <v>41334.0</v>
      </c>
      <c r="AT40" s="138">
        <v>41365.0</v>
      </c>
      <c r="AU40" s="138">
        <v>41395.0</v>
      </c>
      <c r="AV40" s="138">
        <v>41426.0</v>
      </c>
      <c r="AW40" s="138">
        <v>41456.0</v>
      </c>
      <c r="AX40" s="138">
        <v>41487.0</v>
      </c>
      <c r="AY40" s="138">
        <v>41518.0</v>
      </c>
      <c r="AZ40" s="138">
        <v>41548.0</v>
      </c>
      <c r="BA40" s="138">
        <v>41579.0</v>
      </c>
      <c r="BB40" s="138">
        <v>41609.0</v>
      </c>
      <c r="BC40" s="138">
        <v>41640.0</v>
      </c>
      <c r="BD40" s="138">
        <v>41671.0</v>
      </c>
      <c r="BE40" s="138">
        <v>41699.0</v>
      </c>
      <c r="BF40" s="138">
        <v>41730.0</v>
      </c>
      <c r="BG40" s="138">
        <v>41760.0</v>
      </c>
      <c r="BH40" s="138">
        <v>41791.0</v>
      </c>
      <c r="BI40" s="138">
        <v>41821.0</v>
      </c>
      <c r="BJ40" s="138">
        <v>41852.0</v>
      </c>
      <c r="BK40" s="138">
        <v>41883.0</v>
      </c>
      <c r="BL40" s="138">
        <v>41913.0</v>
      </c>
      <c r="BM40" s="138">
        <v>41944.0</v>
      </c>
      <c r="BN40" s="138">
        <v>41974.0</v>
      </c>
      <c r="BO40" s="138">
        <v>42005.0</v>
      </c>
      <c r="BP40" s="138">
        <v>42036.0</v>
      </c>
      <c r="BQ40" s="138">
        <v>42064.0</v>
      </c>
      <c r="BR40" s="138">
        <v>42095.0</v>
      </c>
      <c r="BS40" s="138">
        <v>42125.0</v>
      </c>
      <c r="BT40" s="138">
        <v>42156.0</v>
      </c>
      <c r="BU40" s="138">
        <v>42186.0</v>
      </c>
      <c r="BV40" s="138">
        <v>42217.0</v>
      </c>
      <c r="BW40" s="138">
        <v>42248.0</v>
      </c>
      <c r="BX40" s="138">
        <v>42278.0</v>
      </c>
      <c r="BY40" s="138">
        <v>42309.0</v>
      </c>
      <c r="BZ40" s="138">
        <v>42339.0</v>
      </c>
      <c r="CA40" s="138">
        <v>42370.0</v>
      </c>
      <c r="CB40" s="138">
        <v>42401.0</v>
      </c>
      <c r="CC40" s="138">
        <v>42430.0</v>
      </c>
      <c r="CD40" s="138">
        <v>42461.0</v>
      </c>
      <c r="CE40" s="138">
        <v>42491.0</v>
      </c>
      <c r="CF40" s="139">
        <v>42522.0</v>
      </c>
      <c r="CG40" s="139">
        <v>42552.0</v>
      </c>
      <c r="CH40" s="139">
        <v>42583.0</v>
      </c>
      <c r="CI40" s="139">
        <v>42614.0</v>
      </c>
      <c r="CJ40" s="139">
        <v>42644.0</v>
      </c>
      <c r="CK40" s="139">
        <v>42675.0</v>
      </c>
      <c r="CL40" s="139">
        <v>42705.0</v>
      </c>
      <c r="CM40" s="139">
        <v>42736.0</v>
      </c>
      <c r="CN40" s="139">
        <v>42767.0</v>
      </c>
      <c r="CO40" s="139">
        <v>42795.0</v>
      </c>
      <c r="CP40" s="139">
        <v>42826.0</v>
      </c>
      <c r="CQ40" s="139">
        <v>42856.0</v>
      </c>
      <c r="CR40" s="139">
        <v>42887.0</v>
      </c>
      <c r="CS40" s="139">
        <v>42917.0</v>
      </c>
      <c r="CT40" s="139">
        <v>42948.0</v>
      </c>
      <c r="CU40" s="139">
        <v>42979.0</v>
      </c>
      <c r="CV40" s="139">
        <v>43009.0</v>
      </c>
      <c r="CW40" s="139">
        <v>43040.0</v>
      </c>
      <c r="CX40" s="139">
        <v>43070.0</v>
      </c>
      <c r="CY40" s="139">
        <v>43101.0</v>
      </c>
      <c r="CZ40" s="139">
        <v>43132.0</v>
      </c>
      <c r="DA40" s="139">
        <v>43160.0</v>
      </c>
      <c r="DB40" s="139">
        <v>43191.0</v>
      </c>
      <c r="DC40" s="139">
        <v>43221.0</v>
      </c>
      <c r="DD40" s="139">
        <v>43252.0</v>
      </c>
      <c r="DE40" s="139">
        <v>43282.0</v>
      </c>
      <c r="DF40" s="139">
        <v>43313.0</v>
      </c>
      <c r="DG40" s="139">
        <v>43344.0</v>
      </c>
      <c r="DH40" s="139">
        <v>43374.0</v>
      </c>
      <c r="DI40" s="139">
        <v>43405.0</v>
      </c>
      <c r="DJ40" s="139">
        <v>43435.0</v>
      </c>
      <c r="DK40" s="139">
        <v>43466.0</v>
      </c>
      <c r="DL40" s="139">
        <v>43497.0</v>
      </c>
      <c r="DM40" s="139">
        <v>43525.0</v>
      </c>
      <c r="DN40" s="139">
        <v>43556.0</v>
      </c>
      <c r="DO40" s="139">
        <v>43586.0</v>
      </c>
      <c r="DP40" s="139">
        <v>43617.0</v>
      </c>
      <c r="DQ40" s="139">
        <v>43647.0</v>
      </c>
      <c r="DR40" s="139">
        <v>43678.0</v>
      </c>
      <c r="DS40" s="139">
        <v>43709.0</v>
      </c>
      <c r="DT40" s="139">
        <v>43739.0</v>
      </c>
      <c r="DU40" s="139">
        <v>43770.0</v>
      </c>
      <c r="DV40" s="139">
        <v>43800.0</v>
      </c>
      <c r="DW40" s="139">
        <v>43831.0</v>
      </c>
      <c r="DX40" s="139">
        <v>43862.0</v>
      </c>
      <c r="DY40" s="139">
        <v>43891.0</v>
      </c>
      <c r="DZ40" s="139">
        <v>43922.0</v>
      </c>
      <c r="EA40" s="139">
        <v>43952.0</v>
      </c>
      <c r="EB40" s="139">
        <v>43983.0</v>
      </c>
      <c r="EC40" s="139">
        <v>44013.0</v>
      </c>
      <c r="ED40" s="139">
        <v>44044.0</v>
      </c>
      <c r="EE40" s="139">
        <v>44075.0</v>
      </c>
      <c r="EF40" s="139">
        <v>44105.0</v>
      </c>
      <c r="EG40" s="139">
        <v>44136.0</v>
      </c>
      <c r="EH40" s="139">
        <v>44166.0</v>
      </c>
      <c r="EI40" s="139">
        <v>44197.0</v>
      </c>
      <c r="EJ40" s="139">
        <v>44228.0</v>
      </c>
      <c r="EK40" s="139">
        <v>44256.0</v>
      </c>
      <c r="EL40" s="139">
        <v>44287.0</v>
      </c>
      <c r="EM40" s="139">
        <v>44317.0</v>
      </c>
      <c r="EN40" s="139">
        <v>44348.0</v>
      </c>
      <c r="EO40" s="139">
        <v>44378.0</v>
      </c>
      <c r="EP40" s="139">
        <v>44409.0</v>
      </c>
      <c r="EQ40" s="139">
        <v>44440.0</v>
      </c>
      <c r="ER40" s="139">
        <v>44470.0</v>
      </c>
      <c r="ES40" s="139">
        <v>44501.0</v>
      </c>
      <c r="ET40" s="139">
        <v>44531.0</v>
      </c>
      <c r="EU40" s="139">
        <v>44562.0</v>
      </c>
      <c r="EV40" s="139">
        <v>44593.0</v>
      </c>
      <c r="EW40" s="139">
        <v>44621.0</v>
      </c>
      <c r="EX40" s="139">
        <v>44652.0</v>
      </c>
      <c r="EY40" s="139">
        <v>44682.0</v>
      </c>
      <c r="EZ40" s="139">
        <v>44713.0</v>
      </c>
      <c r="FA40" s="139">
        <v>44743.0</v>
      </c>
      <c r="FB40" s="139">
        <v>44774.0</v>
      </c>
      <c r="FC40" s="139">
        <v>44805.0</v>
      </c>
      <c r="FD40" s="139">
        <v>44835.0</v>
      </c>
      <c r="FE40" s="139">
        <v>44866.0</v>
      </c>
      <c r="FF40" s="139">
        <v>44896.0</v>
      </c>
      <c r="FG40" s="139">
        <v>44927.0</v>
      </c>
      <c r="FH40" s="139">
        <v>44958.0</v>
      </c>
      <c r="FI40" s="139">
        <v>44986.0</v>
      </c>
      <c r="FJ40" s="139">
        <v>45017.0</v>
      </c>
      <c r="FK40" s="139">
        <v>45047.0</v>
      </c>
      <c r="FL40" s="139">
        <v>45078.0</v>
      </c>
      <c r="FM40" s="139">
        <v>45108.0</v>
      </c>
      <c r="FN40" s="139">
        <v>45139.0</v>
      </c>
      <c r="FO40" s="139">
        <v>45170.0</v>
      </c>
      <c r="FP40" s="139">
        <v>45200.0</v>
      </c>
      <c r="FQ40" s="139">
        <v>45231.0</v>
      </c>
      <c r="FR40" s="139">
        <v>45261.0</v>
      </c>
      <c r="FS40" s="139">
        <v>45292.0</v>
      </c>
      <c r="FT40" s="139">
        <v>45323.0</v>
      </c>
      <c r="FU40" s="139">
        <v>45352.0</v>
      </c>
      <c r="FV40" s="139">
        <v>45383.0</v>
      </c>
      <c r="FW40" s="139">
        <v>45413.0</v>
      </c>
      <c r="FX40" s="139">
        <v>45444.0</v>
      </c>
      <c r="FY40" s="139">
        <v>45474.0</v>
      </c>
      <c r="FZ40" s="139">
        <v>45505.0</v>
      </c>
      <c r="GA40" s="139">
        <v>45536.0</v>
      </c>
      <c r="GB40" s="139">
        <v>45566.0</v>
      </c>
      <c r="GC40" s="139">
        <v>45597.0</v>
      </c>
      <c r="GD40" s="139">
        <v>45627.0</v>
      </c>
      <c r="GE40" s="139">
        <v>45658.0</v>
      </c>
      <c r="GF40" s="139">
        <v>45689.0</v>
      </c>
      <c r="GG40" s="139">
        <v>45717.0</v>
      </c>
      <c r="GH40" s="139">
        <v>45748.0</v>
      </c>
      <c r="GI40" s="139">
        <v>45778.0</v>
      </c>
      <c r="GJ40" s="139">
        <v>45809.0</v>
      </c>
      <c r="GK40" s="139">
        <v>45839.0</v>
      </c>
    </row>
    <row r="41">
      <c r="A41" s="132" t="s">
        <v>33978</v>
      </c>
      <c r="B41" s="133" t="s">
        <v>1109</v>
      </c>
      <c r="C41" s="134">
        <v>42538.59520833333</v>
      </c>
      <c r="D41" s="135" t="str">
        <f t="shared" si="1"/>
        <v>2016/06/17</v>
      </c>
      <c r="E41" s="136" t="s">
        <v>33979</v>
      </c>
      <c r="F41" s="137">
        <v>7.0E-5</v>
      </c>
      <c r="G41" s="138">
        <v>40179.0</v>
      </c>
      <c r="H41" s="138">
        <v>40210.0</v>
      </c>
      <c r="I41" s="138">
        <v>40238.0</v>
      </c>
      <c r="J41" s="138">
        <v>40269.0</v>
      </c>
      <c r="K41" s="138">
        <v>40299.0</v>
      </c>
      <c r="L41" s="138">
        <v>40330.0</v>
      </c>
      <c r="M41" s="138">
        <v>40360.0</v>
      </c>
      <c r="N41" s="138">
        <v>40391.0</v>
      </c>
      <c r="O41" s="138">
        <v>40422.0</v>
      </c>
      <c r="P41" s="138">
        <v>40452.0</v>
      </c>
      <c r="Q41" s="138">
        <v>40483.0</v>
      </c>
      <c r="R41" s="138">
        <v>40513.0</v>
      </c>
      <c r="S41" s="138">
        <v>40544.0</v>
      </c>
      <c r="T41" s="138">
        <v>40575.0</v>
      </c>
      <c r="U41" s="138">
        <v>40603.0</v>
      </c>
      <c r="V41" s="138">
        <v>40634.0</v>
      </c>
      <c r="W41" s="138">
        <v>40664.0</v>
      </c>
      <c r="X41" s="138">
        <v>40695.0</v>
      </c>
      <c r="Y41" s="138">
        <v>40725.0</v>
      </c>
      <c r="Z41" s="138">
        <v>40756.0</v>
      </c>
      <c r="AA41" s="138">
        <v>40787.0</v>
      </c>
      <c r="AB41" s="138">
        <v>40817.0</v>
      </c>
      <c r="AC41" s="138">
        <v>40848.0</v>
      </c>
      <c r="AD41" s="138">
        <v>40878.0</v>
      </c>
      <c r="AE41" s="138">
        <v>40909.0</v>
      </c>
      <c r="AF41" s="138">
        <v>40940.0</v>
      </c>
      <c r="AG41" s="138">
        <v>40969.0</v>
      </c>
      <c r="AH41" s="138">
        <v>41000.0</v>
      </c>
      <c r="AI41" s="138">
        <v>41030.0</v>
      </c>
      <c r="AJ41" s="138">
        <v>41061.0</v>
      </c>
      <c r="AK41" s="138">
        <v>41091.0</v>
      </c>
      <c r="AL41" s="138">
        <v>41122.0</v>
      </c>
      <c r="AM41" s="138">
        <v>41153.0</v>
      </c>
      <c r="AN41" s="138">
        <v>41183.0</v>
      </c>
      <c r="AO41" s="138">
        <v>41214.0</v>
      </c>
      <c r="AP41" s="138">
        <v>41244.0</v>
      </c>
      <c r="AQ41" s="138">
        <v>41275.0</v>
      </c>
      <c r="AR41" s="138">
        <v>41306.0</v>
      </c>
      <c r="AS41" s="138">
        <v>41334.0</v>
      </c>
      <c r="AT41" s="138">
        <v>41365.0</v>
      </c>
      <c r="AU41" s="138">
        <v>41395.0</v>
      </c>
      <c r="AV41" s="138">
        <v>41426.0</v>
      </c>
      <c r="AW41" s="138">
        <v>41456.0</v>
      </c>
      <c r="AX41" s="138">
        <v>41487.0</v>
      </c>
      <c r="AY41" s="138">
        <v>41518.0</v>
      </c>
      <c r="AZ41" s="138">
        <v>41548.0</v>
      </c>
      <c r="BA41" s="138">
        <v>41579.0</v>
      </c>
      <c r="BB41" s="138">
        <v>41609.0</v>
      </c>
      <c r="BC41" s="138">
        <v>41640.0</v>
      </c>
      <c r="BD41" s="138">
        <v>41671.0</v>
      </c>
      <c r="BE41" s="138">
        <v>41699.0</v>
      </c>
      <c r="BF41" s="138">
        <v>41730.0</v>
      </c>
      <c r="BG41" s="138">
        <v>41760.0</v>
      </c>
      <c r="BH41" s="138">
        <v>41791.0</v>
      </c>
      <c r="BI41" s="138">
        <v>41821.0</v>
      </c>
      <c r="BJ41" s="138">
        <v>41852.0</v>
      </c>
      <c r="BK41" s="138">
        <v>41883.0</v>
      </c>
      <c r="BL41" s="138">
        <v>41913.0</v>
      </c>
      <c r="BM41" s="138">
        <v>41944.0</v>
      </c>
      <c r="BN41" s="138">
        <v>41974.0</v>
      </c>
      <c r="BO41" s="138">
        <v>42005.0</v>
      </c>
      <c r="BP41" s="138">
        <v>42036.0</v>
      </c>
      <c r="BQ41" s="138">
        <v>42064.0</v>
      </c>
      <c r="BR41" s="138">
        <v>42095.0</v>
      </c>
      <c r="BS41" s="138">
        <v>42125.0</v>
      </c>
      <c r="BT41" s="138">
        <v>42156.0</v>
      </c>
      <c r="BU41" s="138">
        <v>42186.0</v>
      </c>
      <c r="BV41" s="138">
        <v>42217.0</v>
      </c>
      <c r="BW41" s="138">
        <v>42248.0</v>
      </c>
      <c r="BX41" s="138">
        <v>42278.0</v>
      </c>
      <c r="BY41" s="138">
        <v>42309.0</v>
      </c>
      <c r="BZ41" s="138">
        <v>42339.0</v>
      </c>
      <c r="CA41" s="138">
        <v>42370.0</v>
      </c>
      <c r="CB41" s="138">
        <v>42401.0</v>
      </c>
      <c r="CC41" s="138">
        <v>42430.0</v>
      </c>
      <c r="CD41" s="138">
        <v>42461.0</v>
      </c>
      <c r="CE41" s="138">
        <v>42491.0</v>
      </c>
      <c r="CF41" s="138">
        <v>42522.0</v>
      </c>
      <c r="CG41" s="139">
        <v>42552.0</v>
      </c>
      <c r="CH41" s="139">
        <v>42583.0</v>
      </c>
      <c r="CI41" s="139">
        <v>42614.0</v>
      </c>
      <c r="CJ41" s="139">
        <v>42644.0</v>
      </c>
      <c r="CK41" s="139">
        <v>42675.0</v>
      </c>
      <c r="CL41" s="139">
        <v>42705.0</v>
      </c>
      <c r="CM41" s="139">
        <v>42736.0</v>
      </c>
      <c r="CN41" s="139">
        <v>42767.0</v>
      </c>
      <c r="CO41" s="139">
        <v>42795.0</v>
      </c>
      <c r="CP41" s="139">
        <v>42826.0</v>
      </c>
      <c r="CQ41" s="139">
        <v>42856.0</v>
      </c>
      <c r="CR41" s="139">
        <v>42887.0</v>
      </c>
      <c r="CS41" s="139">
        <v>42917.0</v>
      </c>
      <c r="CT41" s="139">
        <v>42948.0</v>
      </c>
      <c r="CU41" s="139">
        <v>42979.0</v>
      </c>
      <c r="CV41" s="139">
        <v>43009.0</v>
      </c>
      <c r="CW41" s="139">
        <v>43040.0</v>
      </c>
      <c r="CX41" s="139">
        <v>43070.0</v>
      </c>
      <c r="CY41" s="139">
        <v>43101.0</v>
      </c>
      <c r="CZ41" s="139">
        <v>43132.0</v>
      </c>
      <c r="DA41" s="139">
        <v>43160.0</v>
      </c>
      <c r="DB41" s="139">
        <v>43191.0</v>
      </c>
      <c r="DC41" s="139">
        <v>43221.0</v>
      </c>
      <c r="DD41" s="139">
        <v>43252.0</v>
      </c>
      <c r="DE41" s="139">
        <v>43282.0</v>
      </c>
      <c r="DF41" s="139">
        <v>43313.0</v>
      </c>
      <c r="DG41" s="139">
        <v>43344.0</v>
      </c>
      <c r="DH41" s="139">
        <v>43374.0</v>
      </c>
      <c r="DI41" s="139">
        <v>43405.0</v>
      </c>
      <c r="DJ41" s="139">
        <v>43435.0</v>
      </c>
      <c r="DK41" s="139">
        <v>43466.0</v>
      </c>
      <c r="DL41" s="139">
        <v>43497.0</v>
      </c>
      <c r="DM41" s="139">
        <v>43525.0</v>
      </c>
      <c r="DN41" s="139">
        <v>43556.0</v>
      </c>
      <c r="DO41" s="139">
        <v>43586.0</v>
      </c>
      <c r="DP41" s="139">
        <v>43617.0</v>
      </c>
      <c r="DQ41" s="139">
        <v>43647.0</v>
      </c>
      <c r="DR41" s="139">
        <v>43678.0</v>
      </c>
      <c r="DS41" s="139">
        <v>43709.0</v>
      </c>
      <c r="DT41" s="139">
        <v>43739.0</v>
      </c>
      <c r="DU41" s="139">
        <v>43770.0</v>
      </c>
      <c r="DV41" s="139">
        <v>43800.0</v>
      </c>
      <c r="DW41" s="139">
        <v>43831.0</v>
      </c>
      <c r="DX41" s="139">
        <v>43862.0</v>
      </c>
      <c r="DY41" s="139">
        <v>43891.0</v>
      </c>
      <c r="DZ41" s="139">
        <v>43922.0</v>
      </c>
      <c r="EA41" s="139">
        <v>43952.0</v>
      </c>
      <c r="EB41" s="139">
        <v>43983.0</v>
      </c>
      <c r="EC41" s="139">
        <v>44013.0</v>
      </c>
      <c r="ED41" s="139">
        <v>44044.0</v>
      </c>
      <c r="EE41" s="139">
        <v>44075.0</v>
      </c>
      <c r="EF41" s="139">
        <v>44105.0</v>
      </c>
      <c r="EG41" s="139">
        <v>44136.0</v>
      </c>
      <c r="EH41" s="139">
        <v>44166.0</v>
      </c>
      <c r="EI41" s="139">
        <v>44197.0</v>
      </c>
      <c r="EJ41" s="139">
        <v>44228.0</v>
      </c>
      <c r="EK41" s="139">
        <v>44256.0</v>
      </c>
      <c r="EL41" s="139">
        <v>44287.0</v>
      </c>
      <c r="EM41" s="139">
        <v>44317.0</v>
      </c>
      <c r="EN41" s="139">
        <v>44348.0</v>
      </c>
      <c r="EO41" s="139">
        <v>44378.0</v>
      </c>
      <c r="EP41" s="139">
        <v>44409.0</v>
      </c>
      <c r="EQ41" s="139">
        <v>44440.0</v>
      </c>
      <c r="ER41" s="139">
        <v>44470.0</v>
      </c>
      <c r="ES41" s="139">
        <v>44501.0</v>
      </c>
      <c r="ET41" s="139">
        <v>44531.0</v>
      </c>
      <c r="EU41" s="139">
        <v>44562.0</v>
      </c>
      <c r="EV41" s="139">
        <v>44593.0</v>
      </c>
      <c r="EW41" s="139">
        <v>44621.0</v>
      </c>
      <c r="EX41" s="139">
        <v>44652.0</v>
      </c>
      <c r="EY41" s="139">
        <v>44682.0</v>
      </c>
      <c r="EZ41" s="139">
        <v>44713.0</v>
      </c>
      <c r="FA41" s="139">
        <v>44743.0</v>
      </c>
      <c r="FB41" s="139">
        <v>44774.0</v>
      </c>
      <c r="FC41" s="139">
        <v>44805.0</v>
      </c>
      <c r="FD41" s="139">
        <v>44835.0</v>
      </c>
      <c r="FE41" s="139">
        <v>44866.0</v>
      </c>
      <c r="FF41" s="139">
        <v>44896.0</v>
      </c>
      <c r="FG41" s="139">
        <v>44927.0</v>
      </c>
      <c r="FH41" s="139">
        <v>44958.0</v>
      </c>
      <c r="FI41" s="139">
        <v>44986.0</v>
      </c>
      <c r="FJ41" s="139">
        <v>45017.0</v>
      </c>
      <c r="FK41" s="139">
        <v>45047.0</v>
      </c>
      <c r="FL41" s="139">
        <v>45078.0</v>
      </c>
      <c r="FM41" s="139">
        <v>45108.0</v>
      </c>
      <c r="FN41" s="139">
        <v>45139.0</v>
      </c>
      <c r="FO41" s="139">
        <v>45170.0</v>
      </c>
      <c r="FP41" s="139">
        <v>45200.0</v>
      </c>
      <c r="FQ41" s="139">
        <v>45231.0</v>
      </c>
      <c r="FR41" s="139">
        <v>45261.0</v>
      </c>
      <c r="FS41" s="139">
        <v>45292.0</v>
      </c>
      <c r="FT41" s="139">
        <v>45323.0</v>
      </c>
      <c r="FU41" s="139">
        <v>45352.0</v>
      </c>
      <c r="FV41" s="139">
        <v>45383.0</v>
      </c>
      <c r="FW41" s="139">
        <v>45413.0</v>
      </c>
      <c r="FX41" s="139">
        <v>45444.0</v>
      </c>
      <c r="FY41" s="139">
        <v>45474.0</v>
      </c>
      <c r="FZ41" s="139">
        <v>45505.0</v>
      </c>
      <c r="GA41" s="139">
        <v>45536.0</v>
      </c>
      <c r="GB41" s="139">
        <v>45566.0</v>
      </c>
      <c r="GC41" s="139">
        <v>45597.0</v>
      </c>
      <c r="GD41" s="139">
        <v>45627.0</v>
      </c>
      <c r="GE41" s="139">
        <v>45658.0</v>
      </c>
      <c r="GF41" s="139">
        <v>45689.0</v>
      </c>
      <c r="GG41" s="139">
        <v>45717.0</v>
      </c>
      <c r="GH41" s="139">
        <v>45748.0</v>
      </c>
      <c r="GI41" s="139">
        <v>45778.0</v>
      </c>
      <c r="GJ41" s="139">
        <v>45809.0</v>
      </c>
      <c r="GK41" s="139">
        <v>45839.0</v>
      </c>
    </row>
    <row r="42">
      <c r="A42" s="132" t="s">
        <v>33980</v>
      </c>
      <c r="B42" s="133" t="s">
        <v>1167</v>
      </c>
      <c r="C42" s="134">
        <v>42556.61482638889</v>
      </c>
      <c r="D42" s="135" t="str">
        <f t="shared" si="1"/>
        <v>2016/07/05</v>
      </c>
      <c r="E42" s="136" t="s">
        <v>33981</v>
      </c>
      <c r="F42" s="137">
        <v>6.0E-5</v>
      </c>
      <c r="G42" s="138">
        <v>40179.0</v>
      </c>
      <c r="H42" s="138">
        <v>40210.0</v>
      </c>
      <c r="I42" s="138">
        <v>40238.0</v>
      </c>
      <c r="J42" s="138">
        <v>40269.0</v>
      </c>
      <c r="K42" s="138">
        <v>40299.0</v>
      </c>
      <c r="L42" s="138">
        <v>40330.0</v>
      </c>
      <c r="M42" s="138">
        <v>40360.0</v>
      </c>
      <c r="N42" s="138">
        <v>40391.0</v>
      </c>
      <c r="O42" s="138">
        <v>40422.0</v>
      </c>
      <c r="P42" s="138">
        <v>40452.0</v>
      </c>
      <c r="Q42" s="138">
        <v>40483.0</v>
      </c>
      <c r="R42" s="138">
        <v>40513.0</v>
      </c>
      <c r="S42" s="138">
        <v>40544.0</v>
      </c>
      <c r="T42" s="138">
        <v>40575.0</v>
      </c>
      <c r="U42" s="138">
        <v>40603.0</v>
      </c>
      <c r="V42" s="138">
        <v>40634.0</v>
      </c>
      <c r="W42" s="138">
        <v>40664.0</v>
      </c>
      <c r="X42" s="138">
        <v>40695.0</v>
      </c>
      <c r="Y42" s="138">
        <v>40725.0</v>
      </c>
      <c r="Z42" s="138">
        <v>40756.0</v>
      </c>
      <c r="AA42" s="138">
        <v>40787.0</v>
      </c>
      <c r="AB42" s="138">
        <v>40817.0</v>
      </c>
      <c r="AC42" s="138">
        <v>40848.0</v>
      </c>
      <c r="AD42" s="138">
        <v>40878.0</v>
      </c>
      <c r="AE42" s="138">
        <v>40909.0</v>
      </c>
      <c r="AF42" s="138">
        <v>40940.0</v>
      </c>
      <c r="AG42" s="138">
        <v>40969.0</v>
      </c>
      <c r="AH42" s="138">
        <v>41000.0</v>
      </c>
      <c r="AI42" s="138">
        <v>41030.0</v>
      </c>
      <c r="AJ42" s="138">
        <v>41061.0</v>
      </c>
      <c r="AK42" s="138">
        <v>41091.0</v>
      </c>
      <c r="AL42" s="138">
        <v>41122.0</v>
      </c>
      <c r="AM42" s="138">
        <v>41153.0</v>
      </c>
      <c r="AN42" s="138">
        <v>41183.0</v>
      </c>
      <c r="AO42" s="138">
        <v>41214.0</v>
      </c>
      <c r="AP42" s="138">
        <v>41244.0</v>
      </c>
      <c r="AQ42" s="138">
        <v>41275.0</v>
      </c>
      <c r="AR42" s="138">
        <v>41306.0</v>
      </c>
      <c r="AS42" s="138">
        <v>41334.0</v>
      </c>
      <c r="AT42" s="138">
        <v>41365.0</v>
      </c>
      <c r="AU42" s="138">
        <v>41395.0</v>
      </c>
      <c r="AV42" s="138">
        <v>41426.0</v>
      </c>
      <c r="AW42" s="138">
        <v>41456.0</v>
      </c>
      <c r="AX42" s="138">
        <v>41487.0</v>
      </c>
      <c r="AY42" s="138">
        <v>41518.0</v>
      </c>
      <c r="AZ42" s="138">
        <v>41548.0</v>
      </c>
      <c r="BA42" s="138">
        <v>41579.0</v>
      </c>
      <c r="BB42" s="138">
        <v>41609.0</v>
      </c>
      <c r="BC42" s="138">
        <v>41640.0</v>
      </c>
      <c r="BD42" s="138">
        <v>41671.0</v>
      </c>
      <c r="BE42" s="138">
        <v>41699.0</v>
      </c>
      <c r="BF42" s="138">
        <v>41730.0</v>
      </c>
      <c r="BG42" s="138">
        <v>41760.0</v>
      </c>
      <c r="BH42" s="138">
        <v>41791.0</v>
      </c>
      <c r="BI42" s="138">
        <v>41821.0</v>
      </c>
      <c r="BJ42" s="138">
        <v>41852.0</v>
      </c>
      <c r="BK42" s="138">
        <v>41883.0</v>
      </c>
      <c r="BL42" s="138">
        <v>41913.0</v>
      </c>
      <c r="BM42" s="138">
        <v>41944.0</v>
      </c>
      <c r="BN42" s="138">
        <v>41974.0</v>
      </c>
      <c r="BO42" s="138">
        <v>42005.0</v>
      </c>
      <c r="BP42" s="138">
        <v>42036.0</v>
      </c>
      <c r="BQ42" s="138">
        <v>42064.0</v>
      </c>
      <c r="BR42" s="138">
        <v>42095.0</v>
      </c>
      <c r="BS42" s="138">
        <v>42125.0</v>
      </c>
      <c r="BT42" s="138">
        <v>42156.0</v>
      </c>
      <c r="BU42" s="138">
        <v>42186.0</v>
      </c>
      <c r="BV42" s="138">
        <v>42217.0</v>
      </c>
      <c r="BW42" s="138">
        <v>42248.0</v>
      </c>
      <c r="BX42" s="138">
        <v>42278.0</v>
      </c>
      <c r="BY42" s="138">
        <v>42309.0</v>
      </c>
      <c r="BZ42" s="138">
        <v>42339.0</v>
      </c>
      <c r="CA42" s="138">
        <v>42370.0</v>
      </c>
      <c r="CB42" s="138">
        <v>42401.0</v>
      </c>
      <c r="CC42" s="138">
        <v>42430.0</v>
      </c>
      <c r="CD42" s="138">
        <v>42461.0</v>
      </c>
      <c r="CE42" s="138">
        <v>42491.0</v>
      </c>
      <c r="CF42" s="138">
        <v>42522.0</v>
      </c>
      <c r="CG42" s="138">
        <v>42552.0</v>
      </c>
      <c r="CH42" s="139">
        <v>42583.0</v>
      </c>
      <c r="CI42" s="139">
        <v>42614.0</v>
      </c>
      <c r="CJ42" s="139">
        <v>42644.0</v>
      </c>
      <c r="CK42" s="139">
        <v>42675.0</v>
      </c>
      <c r="CL42" s="139">
        <v>42705.0</v>
      </c>
      <c r="CM42" s="139">
        <v>42736.0</v>
      </c>
      <c r="CN42" s="139">
        <v>42767.0</v>
      </c>
      <c r="CO42" s="139">
        <v>42795.0</v>
      </c>
      <c r="CP42" s="139">
        <v>42826.0</v>
      </c>
      <c r="CQ42" s="139">
        <v>42856.0</v>
      </c>
      <c r="CR42" s="139">
        <v>42887.0</v>
      </c>
      <c r="CS42" s="139">
        <v>42917.0</v>
      </c>
      <c r="CT42" s="139">
        <v>42948.0</v>
      </c>
      <c r="CU42" s="139">
        <v>42979.0</v>
      </c>
      <c r="CV42" s="139">
        <v>43009.0</v>
      </c>
      <c r="CW42" s="139">
        <v>43040.0</v>
      </c>
      <c r="CX42" s="139">
        <v>43070.0</v>
      </c>
      <c r="CY42" s="139">
        <v>43101.0</v>
      </c>
      <c r="CZ42" s="139">
        <v>43132.0</v>
      </c>
      <c r="DA42" s="139">
        <v>43160.0</v>
      </c>
      <c r="DB42" s="139">
        <v>43191.0</v>
      </c>
      <c r="DC42" s="139">
        <v>43221.0</v>
      </c>
      <c r="DD42" s="139">
        <v>43252.0</v>
      </c>
      <c r="DE42" s="139">
        <v>43282.0</v>
      </c>
      <c r="DF42" s="139">
        <v>43313.0</v>
      </c>
      <c r="DG42" s="139">
        <v>43344.0</v>
      </c>
      <c r="DH42" s="139">
        <v>43374.0</v>
      </c>
      <c r="DI42" s="139">
        <v>43405.0</v>
      </c>
      <c r="DJ42" s="139">
        <v>43435.0</v>
      </c>
      <c r="DK42" s="139">
        <v>43466.0</v>
      </c>
      <c r="DL42" s="139">
        <v>43497.0</v>
      </c>
      <c r="DM42" s="139">
        <v>43525.0</v>
      </c>
      <c r="DN42" s="139">
        <v>43556.0</v>
      </c>
      <c r="DO42" s="139">
        <v>43586.0</v>
      </c>
      <c r="DP42" s="139">
        <v>43617.0</v>
      </c>
      <c r="DQ42" s="139">
        <v>43647.0</v>
      </c>
      <c r="DR42" s="139">
        <v>43678.0</v>
      </c>
      <c r="DS42" s="139">
        <v>43709.0</v>
      </c>
      <c r="DT42" s="139">
        <v>43739.0</v>
      </c>
      <c r="DU42" s="139">
        <v>43770.0</v>
      </c>
      <c r="DV42" s="139">
        <v>43800.0</v>
      </c>
      <c r="DW42" s="139">
        <v>43831.0</v>
      </c>
      <c r="DX42" s="139">
        <v>43862.0</v>
      </c>
      <c r="DY42" s="139">
        <v>43891.0</v>
      </c>
      <c r="DZ42" s="139">
        <v>43922.0</v>
      </c>
      <c r="EA42" s="139">
        <v>43952.0</v>
      </c>
      <c r="EB42" s="139">
        <v>43983.0</v>
      </c>
      <c r="EC42" s="139">
        <v>44013.0</v>
      </c>
      <c r="ED42" s="139">
        <v>44044.0</v>
      </c>
      <c r="EE42" s="139">
        <v>44075.0</v>
      </c>
      <c r="EF42" s="139">
        <v>44105.0</v>
      </c>
      <c r="EG42" s="139">
        <v>44136.0</v>
      </c>
      <c r="EH42" s="139">
        <v>44166.0</v>
      </c>
      <c r="EI42" s="139">
        <v>44197.0</v>
      </c>
      <c r="EJ42" s="139">
        <v>44228.0</v>
      </c>
      <c r="EK42" s="139">
        <v>44256.0</v>
      </c>
      <c r="EL42" s="139">
        <v>44287.0</v>
      </c>
      <c r="EM42" s="139">
        <v>44317.0</v>
      </c>
      <c r="EN42" s="139">
        <v>44348.0</v>
      </c>
      <c r="EO42" s="139">
        <v>44378.0</v>
      </c>
      <c r="EP42" s="139">
        <v>44409.0</v>
      </c>
      <c r="EQ42" s="139">
        <v>44440.0</v>
      </c>
      <c r="ER42" s="139">
        <v>44470.0</v>
      </c>
      <c r="ES42" s="139">
        <v>44501.0</v>
      </c>
      <c r="ET42" s="139">
        <v>44531.0</v>
      </c>
      <c r="EU42" s="139">
        <v>44562.0</v>
      </c>
      <c r="EV42" s="139">
        <v>44593.0</v>
      </c>
      <c r="EW42" s="139">
        <v>44621.0</v>
      </c>
      <c r="EX42" s="139">
        <v>44652.0</v>
      </c>
      <c r="EY42" s="139">
        <v>44682.0</v>
      </c>
      <c r="EZ42" s="139">
        <v>44713.0</v>
      </c>
      <c r="FA42" s="139">
        <v>44743.0</v>
      </c>
      <c r="FB42" s="139">
        <v>44774.0</v>
      </c>
      <c r="FC42" s="139">
        <v>44805.0</v>
      </c>
      <c r="FD42" s="139">
        <v>44835.0</v>
      </c>
      <c r="FE42" s="139">
        <v>44866.0</v>
      </c>
      <c r="FF42" s="139">
        <v>44896.0</v>
      </c>
      <c r="FG42" s="139">
        <v>44927.0</v>
      </c>
      <c r="FH42" s="139">
        <v>44958.0</v>
      </c>
      <c r="FI42" s="139">
        <v>44986.0</v>
      </c>
      <c r="FJ42" s="139">
        <v>45017.0</v>
      </c>
      <c r="FK42" s="139">
        <v>45047.0</v>
      </c>
      <c r="FL42" s="139">
        <v>45078.0</v>
      </c>
      <c r="FM42" s="139">
        <v>45108.0</v>
      </c>
      <c r="FN42" s="139">
        <v>45139.0</v>
      </c>
      <c r="FO42" s="139">
        <v>45170.0</v>
      </c>
      <c r="FP42" s="139">
        <v>45200.0</v>
      </c>
      <c r="FQ42" s="139">
        <v>45231.0</v>
      </c>
      <c r="FR42" s="139">
        <v>45261.0</v>
      </c>
      <c r="FS42" s="139">
        <v>45292.0</v>
      </c>
      <c r="FT42" s="139">
        <v>45323.0</v>
      </c>
      <c r="FU42" s="139">
        <v>45352.0</v>
      </c>
      <c r="FV42" s="139">
        <v>45383.0</v>
      </c>
      <c r="FW42" s="139">
        <v>45413.0</v>
      </c>
      <c r="FX42" s="139">
        <v>45444.0</v>
      </c>
      <c r="FY42" s="139">
        <v>45474.0</v>
      </c>
      <c r="FZ42" s="139">
        <v>45505.0</v>
      </c>
      <c r="GA42" s="139">
        <v>45536.0</v>
      </c>
      <c r="GB42" s="139">
        <v>45566.0</v>
      </c>
      <c r="GC42" s="139">
        <v>45597.0</v>
      </c>
      <c r="GD42" s="139">
        <v>45627.0</v>
      </c>
      <c r="GE42" s="139">
        <v>45658.0</v>
      </c>
      <c r="GF42" s="139">
        <v>45689.0</v>
      </c>
      <c r="GG42" s="139">
        <v>45717.0</v>
      </c>
      <c r="GH42" s="139">
        <v>45748.0</v>
      </c>
      <c r="GI42" s="139">
        <v>45778.0</v>
      </c>
      <c r="GJ42" s="139">
        <v>45809.0</v>
      </c>
      <c r="GK42" s="139">
        <v>45839.0</v>
      </c>
    </row>
    <row r="43">
      <c r="A43" s="132" t="s">
        <v>33982</v>
      </c>
      <c r="B43" s="133" t="s">
        <v>1178</v>
      </c>
      <c r="C43" s="134">
        <v>42620.7815162037</v>
      </c>
      <c r="D43" s="135" t="str">
        <f t="shared" si="1"/>
        <v>2016/09/07</v>
      </c>
      <c r="E43" s="136" t="s">
        <v>33983</v>
      </c>
      <c r="F43" s="137">
        <v>0.0</v>
      </c>
      <c r="G43" s="138">
        <v>40179.0</v>
      </c>
      <c r="H43" s="138">
        <v>40210.0</v>
      </c>
      <c r="I43" s="138">
        <v>40238.0</v>
      </c>
      <c r="J43" s="138">
        <v>40269.0</v>
      </c>
      <c r="K43" s="138">
        <v>40299.0</v>
      </c>
      <c r="L43" s="138">
        <v>40330.0</v>
      </c>
      <c r="M43" s="138">
        <v>40360.0</v>
      </c>
      <c r="N43" s="138">
        <v>40391.0</v>
      </c>
      <c r="O43" s="138">
        <v>40422.0</v>
      </c>
      <c r="P43" s="138">
        <v>40452.0</v>
      </c>
      <c r="Q43" s="138">
        <v>40483.0</v>
      </c>
      <c r="R43" s="138">
        <v>40513.0</v>
      </c>
      <c r="S43" s="138">
        <v>40544.0</v>
      </c>
      <c r="T43" s="138">
        <v>40575.0</v>
      </c>
      <c r="U43" s="138">
        <v>40603.0</v>
      </c>
      <c r="V43" s="138">
        <v>40634.0</v>
      </c>
      <c r="W43" s="138">
        <v>40664.0</v>
      </c>
      <c r="X43" s="138">
        <v>40695.0</v>
      </c>
      <c r="Y43" s="138">
        <v>40725.0</v>
      </c>
      <c r="Z43" s="138">
        <v>40756.0</v>
      </c>
      <c r="AA43" s="138">
        <v>40787.0</v>
      </c>
      <c r="AB43" s="138">
        <v>40817.0</v>
      </c>
      <c r="AC43" s="138">
        <v>40848.0</v>
      </c>
      <c r="AD43" s="138">
        <v>40878.0</v>
      </c>
      <c r="AE43" s="138">
        <v>40909.0</v>
      </c>
      <c r="AF43" s="138">
        <v>40940.0</v>
      </c>
      <c r="AG43" s="138">
        <v>40969.0</v>
      </c>
      <c r="AH43" s="138">
        <v>41000.0</v>
      </c>
      <c r="AI43" s="138">
        <v>41030.0</v>
      </c>
      <c r="AJ43" s="138">
        <v>41061.0</v>
      </c>
      <c r="AK43" s="138">
        <v>41091.0</v>
      </c>
      <c r="AL43" s="138">
        <v>41122.0</v>
      </c>
      <c r="AM43" s="138">
        <v>41153.0</v>
      </c>
      <c r="AN43" s="138">
        <v>41183.0</v>
      </c>
      <c r="AO43" s="138">
        <v>41214.0</v>
      </c>
      <c r="AP43" s="138">
        <v>41244.0</v>
      </c>
      <c r="AQ43" s="138">
        <v>41275.0</v>
      </c>
      <c r="AR43" s="138">
        <v>41306.0</v>
      </c>
      <c r="AS43" s="138">
        <v>41334.0</v>
      </c>
      <c r="AT43" s="138">
        <v>41365.0</v>
      </c>
      <c r="AU43" s="138">
        <v>41395.0</v>
      </c>
      <c r="AV43" s="138">
        <v>41426.0</v>
      </c>
      <c r="AW43" s="138">
        <v>41456.0</v>
      </c>
      <c r="AX43" s="138">
        <v>41487.0</v>
      </c>
      <c r="AY43" s="138">
        <v>41518.0</v>
      </c>
      <c r="AZ43" s="138">
        <v>41548.0</v>
      </c>
      <c r="BA43" s="138">
        <v>41579.0</v>
      </c>
      <c r="BB43" s="138">
        <v>41609.0</v>
      </c>
      <c r="BC43" s="138">
        <v>41640.0</v>
      </c>
      <c r="BD43" s="138">
        <v>41671.0</v>
      </c>
      <c r="BE43" s="138">
        <v>41699.0</v>
      </c>
      <c r="BF43" s="138">
        <v>41730.0</v>
      </c>
      <c r="BG43" s="138">
        <v>41760.0</v>
      </c>
      <c r="BH43" s="138">
        <v>41791.0</v>
      </c>
      <c r="BI43" s="138">
        <v>41821.0</v>
      </c>
      <c r="BJ43" s="138">
        <v>41852.0</v>
      </c>
      <c r="BK43" s="138">
        <v>41883.0</v>
      </c>
      <c r="BL43" s="138">
        <v>41913.0</v>
      </c>
      <c r="BM43" s="138">
        <v>41944.0</v>
      </c>
      <c r="BN43" s="138">
        <v>41974.0</v>
      </c>
      <c r="BO43" s="138">
        <v>42005.0</v>
      </c>
      <c r="BP43" s="138">
        <v>42036.0</v>
      </c>
      <c r="BQ43" s="138">
        <v>42064.0</v>
      </c>
      <c r="BR43" s="138">
        <v>42095.0</v>
      </c>
      <c r="BS43" s="138">
        <v>42125.0</v>
      </c>
      <c r="BT43" s="138">
        <v>42156.0</v>
      </c>
      <c r="BU43" s="138">
        <v>42186.0</v>
      </c>
      <c r="BV43" s="138">
        <v>42217.0</v>
      </c>
      <c r="BW43" s="138">
        <v>42248.0</v>
      </c>
      <c r="BX43" s="138">
        <v>42278.0</v>
      </c>
      <c r="BY43" s="138">
        <v>42309.0</v>
      </c>
      <c r="BZ43" s="138">
        <v>42339.0</v>
      </c>
      <c r="CA43" s="138">
        <v>42370.0</v>
      </c>
      <c r="CB43" s="138">
        <v>42401.0</v>
      </c>
      <c r="CC43" s="138">
        <v>42430.0</v>
      </c>
      <c r="CD43" s="138">
        <v>42461.0</v>
      </c>
      <c r="CE43" s="138">
        <v>42491.0</v>
      </c>
      <c r="CF43" s="138">
        <v>42522.0</v>
      </c>
      <c r="CG43" s="138">
        <v>42552.0</v>
      </c>
      <c r="CH43" s="138">
        <v>42583.0</v>
      </c>
      <c r="CI43" s="138">
        <v>42614.0</v>
      </c>
      <c r="CJ43" s="139">
        <v>42644.0</v>
      </c>
      <c r="CK43" s="139">
        <v>42675.0</v>
      </c>
      <c r="CL43" s="139">
        <v>42705.0</v>
      </c>
      <c r="CM43" s="139">
        <v>42736.0</v>
      </c>
      <c r="CN43" s="139">
        <v>42767.0</v>
      </c>
      <c r="CO43" s="139">
        <v>42795.0</v>
      </c>
      <c r="CP43" s="139">
        <v>42826.0</v>
      </c>
      <c r="CQ43" s="139">
        <v>42856.0</v>
      </c>
      <c r="CR43" s="139">
        <v>42887.0</v>
      </c>
      <c r="CS43" s="139">
        <v>42917.0</v>
      </c>
      <c r="CT43" s="139">
        <v>42948.0</v>
      </c>
      <c r="CU43" s="139">
        <v>42979.0</v>
      </c>
      <c r="CV43" s="139">
        <v>43009.0</v>
      </c>
      <c r="CW43" s="139">
        <v>43040.0</v>
      </c>
      <c r="CX43" s="139">
        <v>43070.0</v>
      </c>
      <c r="CY43" s="139">
        <v>43101.0</v>
      </c>
      <c r="CZ43" s="139">
        <v>43132.0</v>
      </c>
      <c r="DA43" s="139">
        <v>43160.0</v>
      </c>
      <c r="DB43" s="139">
        <v>43191.0</v>
      </c>
      <c r="DC43" s="139">
        <v>43221.0</v>
      </c>
      <c r="DD43" s="139">
        <v>43252.0</v>
      </c>
      <c r="DE43" s="139">
        <v>43282.0</v>
      </c>
      <c r="DF43" s="139">
        <v>43313.0</v>
      </c>
      <c r="DG43" s="139">
        <v>43344.0</v>
      </c>
      <c r="DH43" s="139">
        <v>43374.0</v>
      </c>
      <c r="DI43" s="139">
        <v>43405.0</v>
      </c>
      <c r="DJ43" s="139">
        <v>43435.0</v>
      </c>
      <c r="DK43" s="139">
        <v>43466.0</v>
      </c>
      <c r="DL43" s="139">
        <v>43497.0</v>
      </c>
      <c r="DM43" s="139">
        <v>43525.0</v>
      </c>
      <c r="DN43" s="139">
        <v>43556.0</v>
      </c>
      <c r="DO43" s="139">
        <v>43586.0</v>
      </c>
      <c r="DP43" s="139">
        <v>43617.0</v>
      </c>
      <c r="DQ43" s="139">
        <v>43647.0</v>
      </c>
      <c r="DR43" s="139">
        <v>43678.0</v>
      </c>
      <c r="DS43" s="139">
        <v>43709.0</v>
      </c>
      <c r="DT43" s="139">
        <v>43739.0</v>
      </c>
      <c r="DU43" s="139">
        <v>43770.0</v>
      </c>
      <c r="DV43" s="139">
        <v>43800.0</v>
      </c>
      <c r="DW43" s="139">
        <v>43831.0</v>
      </c>
      <c r="DX43" s="139">
        <v>43862.0</v>
      </c>
      <c r="DY43" s="139">
        <v>43891.0</v>
      </c>
      <c r="DZ43" s="139">
        <v>43922.0</v>
      </c>
      <c r="EA43" s="139">
        <v>43952.0</v>
      </c>
      <c r="EB43" s="139">
        <v>43983.0</v>
      </c>
      <c r="EC43" s="139">
        <v>44013.0</v>
      </c>
      <c r="ED43" s="139">
        <v>44044.0</v>
      </c>
      <c r="EE43" s="139">
        <v>44075.0</v>
      </c>
      <c r="EF43" s="139">
        <v>44105.0</v>
      </c>
      <c r="EG43" s="139">
        <v>44136.0</v>
      </c>
      <c r="EH43" s="139">
        <v>44166.0</v>
      </c>
      <c r="EI43" s="139">
        <v>44197.0</v>
      </c>
      <c r="EJ43" s="139">
        <v>44228.0</v>
      </c>
      <c r="EK43" s="139">
        <v>44256.0</v>
      </c>
      <c r="EL43" s="139">
        <v>44287.0</v>
      </c>
      <c r="EM43" s="139">
        <v>44317.0</v>
      </c>
      <c r="EN43" s="139">
        <v>44348.0</v>
      </c>
      <c r="EO43" s="139">
        <v>44378.0</v>
      </c>
      <c r="EP43" s="139">
        <v>44409.0</v>
      </c>
      <c r="EQ43" s="139">
        <v>44440.0</v>
      </c>
      <c r="ER43" s="139">
        <v>44470.0</v>
      </c>
      <c r="ES43" s="139">
        <v>44501.0</v>
      </c>
      <c r="ET43" s="139">
        <v>44531.0</v>
      </c>
      <c r="EU43" s="139">
        <v>44562.0</v>
      </c>
      <c r="EV43" s="139">
        <v>44593.0</v>
      </c>
      <c r="EW43" s="139">
        <v>44621.0</v>
      </c>
      <c r="EX43" s="139">
        <v>44652.0</v>
      </c>
      <c r="EY43" s="139">
        <v>44682.0</v>
      </c>
      <c r="EZ43" s="139">
        <v>44713.0</v>
      </c>
      <c r="FA43" s="139">
        <v>44743.0</v>
      </c>
      <c r="FB43" s="139">
        <v>44774.0</v>
      </c>
      <c r="FC43" s="139">
        <v>44805.0</v>
      </c>
      <c r="FD43" s="139">
        <v>44835.0</v>
      </c>
      <c r="FE43" s="139">
        <v>44866.0</v>
      </c>
      <c r="FF43" s="139">
        <v>44896.0</v>
      </c>
      <c r="FG43" s="139">
        <v>44927.0</v>
      </c>
      <c r="FH43" s="139">
        <v>44958.0</v>
      </c>
      <c r="FI43" s="139">
        <v>44986.0</v>
      </c>
      <c r="FJ43" s="139">
        <v>45017.0</v>
      </c>
      <c r="FK43" s="139">
        <v>45047.0</v>
      </c>
      <c r="FL43" s="139">
        <v>45078.0</v>
      </c>
      <c r="FM43" s="139">
        <v>45108.0</v>
      </c>
      <c r="FN43" s="139">
        <v>45139.0</v>
      </c>
      <c r="FO43" s="139">
        <v>45170.0</v>
      </c>
      <c r="FP43" s="139">
        <v>45200.0</v>
      </c>
      <c r="FQ43" s="139">
        <v>45231.0</v>
      </c>
      <c r="FR43" s="139">
        <v>45261.0</v>
      </c>
      <c r="FS43" s="139">
        <v>45292.0</v>
      </c>
      <c r="FT43" s="139">
        <v>45323.0</v>
      </c>
      <c r="FU43" s="139">
        <v>45352.0</v>
      </c>
      <c r="FV43" s="139">
        <v>45383.0</v>
      </c>
      <c r="FW43" s="139">
        <v>45413.0</v>
      </c>
      <c r="FX43" s="139">
        <v>45444.0</v>
      </c>
      <c r="FY43" s="139">
        <v>45474.0</v>
      </c>
      <c r="FZ43" s="139">
        <v>45505.0</v>
      </c>
      <c r="GA43" s="139">
        <v>45536.0</v>
      </c>
      <c r="GB43" s="139">
        <v>45566.0</v>
      </c>
      <c r="GC43" s="139">
        <v>45597.0</v>
      </c>
      <c r="GD43" s="139">
        <v>45627.0</v>
      </c>
      <c r="GE43" s="139">
        <v>45658.0</v>
      </c>
      <c r="GF43" s="139">
        <v>45689.0</v>
      </c>
      <c r="GG43" s="139">
        <v>45717.0</v>
      </c>
      <c r="GH43" s="139">
        <v>45748.0</v>
      </c>
      <c r="GI43" s="139">
        <v>45778.0</v>
      </c>
      <c r="GJ43" s="139">
        <v>45809.0</v>
      </c>
      <c r="GK43" s="139">
        <v>45839.0</v>
      </c>
    </row>
    <row r="44">
      <c r="A44" s="132" t="s">
        <v>33984</v>
      </c>
      <c r="B44" s="133" t="s">
        <v>1111</v>
      </c>
      <c r="C44" s="134">
        <v>42629.42422453704</v>
      </c>
      <c r="D44" s="135" t="str">
        <f t="shared" si="1"/>
        <v>2016/09/16</v>
      </c>
      <c r="E44" s="136" t="s">
        <v>33985</v>
      </c>
      <c r="F44" s="137">
        <v>0.0</v>
      </c>
      <c r="G44" s="138">
        <v>40179.0</v>
      </c>
      <c r="H44" s="138">
        <v>40210.0</v>
      </c>
      <c r="I44" s="138">
        <v>40238.0</v>
      </c>
      <c r="J44" s="138">
        <v>40269.0</v>
      </c>
      <c r="K44" s="138">
        <v>40299.0</v>
      </c>
      <c r="L44" s="138">
        <v>40330.0</v>
      </c>
      <c r="M44" s="138">
        <v>40360.0</v>
      </c>
      <c r="N44" s="138">
        <v>40391.0</v>
      </c>
      <c r="O44" s="138">
        <v>40422.0</v>
      </c>
      <c r="P44" s="138">
        <v>40452.0</v>
      </c>
      <c r="Q44" s="138">
        <v>40483.0</v>
      </c>
      <c r="R44" s="138">
        <v>40513.0</v>
      </c>
      <c r="S44" s="138">
        <v>40544.0</v>
      </c>
      <c r="T44" s="138">
        <v>40575.0</v>
      </c>
      <c r="U44" s="138">
        <v>40603.0</v>
      </c>
      <c r="V44" s="138">
        <v>40634.0</v>
      </c>
      <c r="W44" s="138">
        <v>40664.0</v>
      </c>
      <c r="X44" s="138">
        <v>40695.0</v>
      </c>
      <c r="Y44" s="138">
        <v>40725.0</v>
      </c>
      <c r="Z44" s="138">
        <v>40756.0</v>
      </c>
      <c r="AA44" s="138">
        <v>40787.0</v>
      </c>
      <c r="AB44" s="138">
        <v>40817.0</v>
      </c>
      <c r="AC44" s="138">
        <v>40848.0</v>
      </c>
      <c r="AD44" s="138">
        <v>40878.0</v>
      </c>
      <c r="AE44" s="138">
        <v>40909.0</v>
      </c>
      <c r="AF44" s="138">
        <v>40940.0</v>
      </c>
      <c r="AG44" s="138">
        <v>40969.0</v>
      </c>
      <c r="AH44" s="138">
        <v>41000.0</v>
      </c>
      <c r="AI44" s="138">
        <v>41030.0</v>
      </c>
      <c r="AJ44" s="138">
        <v>41061.0</v>
      </c>
      <c r="AK44" s="138">
        <v>41091.0</v>
      </c>
      <c r="AL44" s="138">
        <v>41122.0</v>
      </c>
      <c r="AM44" s="138">
        <v>41153.0</v>
      </c>
      <c r="AN44" s="138">
        <v>41183.0</v>
      </c>
      <c r="AO44" s="138">
        <v>41214.0</v>
      </c>
      <c r="AP44" s="138">
        <v>41244.0</v>
      </c>
      <c r="AQ44" s="138">
        <v>41275.0</v>
      </c>
      <c r="AR44" s="138">
        <v>41306.0</v>
      </c>
      <c r="AS44" s="138">
        <v>41334.0</v>
      </c>
      <c r="AT44" s="138">
        <v>41365.0</v>
      </c>
      <c r="AU44" s="138">
        <v>41395.0</v>
      </c>
      <c r="AV44" s="138">
        <v>41426.0</v>
      </c>
      <c r="AW44" s="138">
        <v>41456.0</v>
      </c>
      <c r="AX44" s="138">
        <v>41487.0</v>
      </c>
      <c r="AY44" s="138">
        <v>41518.0</v>
      </c>
      <c r="AZ44" s="138">
        <v>41548.0</v>
      </c>
      <c r="BA44" s="138">
        <v>41579.0</v>
      </c>
      <c r="BB44" s="138">
        <v>41609.0</v>
      </c>
      <c r="BC44" s="138">
        <v>41640.0</v>
      </c>
      <c r="BD44" s="138">
        <v>41671.0</v>
      </c>
      <c r="BE44" s="138">
        <v>41699.0</v>
      </c>
      <c r="BF44" s="138">
        <v>41730.0</v>
      </c>
      <c r="BG44" s="138">
        <v>41760.0</v>
      </c>
      <c r="BH44" s="138">
        <v>41791.0</v>
      </c>
      <c r="BI44" s="138">
        <v>41821.0</v>
      </c>
      <c r="BJ44" s="138">
        <v>41852.0</v>
      </c>
      <c r="BK44" s="138">
        <v>41883.0</v>
      </c>
      <c r="BL44" s="138">
        <v>41913.0</v>
      </c>
      <c r="BM44" s="138">
        <v>41944.0</v>
      </c>
      <c r="BN44" s="138">
        <v>41974.0</v>
      </c>
      <c r="BO44" s="138">
        <v>42005.0</v>
      </c>
      <c r="BP44" s="138">
        <v>42036.0</v>
      </c>
      <c r="BQ44" s="138">
        <v>42064.0</v>
      </c>
      <c r="BR44" s="138">
        <v>42095.0</v>
      </c>
      <c r="BS44" s="138">
        <v>42125.0</v>
      </c>
      <c r="BT44" s="138">
        <v>42156.0</v>
      </c>
      <c r="BU44" s="138">
        <v>42186.0</v>
      </c>
      <c r="BV44" s="138">
        <v>42217.0</v>
      </c>
      <c r="BW44" s="138">
        <v>42248.0</v>
      </c>
      <c r="BX44" s="138">
        <v>42278.0</v>
      </c>
      <c r="BY44" s="138">
        <v>42309.0</v>
      </c>
      <c r="BZ44" s="138">
        <v>42339.0</v>
      </c>
      <c r="CA44" s="138">
        <v>42370.0</v>
      </c>
      <c r="CB44" s="138">
        <v>42401.0</v>
      </c>
      <c r="CC44" s="138">
        <v>42430.0</v>
      </c>
      <c r="CD44" s="138">
        <v>42461.0</v>
      </c>
      <c r="CE44" s="138">
        <v>42491.0</v>
      </c>
      <c r="CF44" s="138">
        <v>42522.0</v>
      </c>
      <c r="CG44" s="138">
        <v>42552.0</v>
      </c>
      <c r="CH44" s="138">
        <v>42583.0</v>
      </c>
      <c r="CI44" s="138">
        <v>42614.0</v>
      </c>
      <c r="CJ44" s="139">
        <v>42644.0</v>
      </c>
      <c r="CK44" s="139">
        <v>42675.0</v>
      </c>
      <c r="CL44" s="139">
        <v>42705.0</v>
      </c>
      <c r="CM44" s="139">
        <v>42736.0</v>
      </c>
      <c r="CN44" s="139">
        <v>42767.0</v>
      </c>
      <c r="CO44" s="139">
        <v>42795.0</v>
      </c>
      <c r="CP44" s="139">
        <v>42826.0</v>
      </c>
      <c r="CQ44" s="139">
        <v>42856.0</v>
      </c>
      <c r="CR44" s="139">
        <v>42887.0</v>
      </c>
      <c r="CS44" s="139">
        <v>42917.0</v>
      </c>
      <c r="CT44" s="139">
        <v>42948.0</v>
      </c>
      <c r="CU44" s="139">
        <v>42979.0</v>
      </c>
      <c r="CV44" s="139">
        <v>43009.0</v>
      </c>
      <c r="CW44" s="139">
        <v>43040.0</v>
      </c>
      <c r="CX44" s="139">
        <v>43070.0</v>
      </c>
      <c r="CY44" s="139">
        <v>43101.0</v>
      </c>
      <c r="CZ44" s="139">
        <v>43132.0</v>
      </c>
      <c r="DA44" s="139">
        <v>43160.0</v>
      </c>
      <c r="DB44" s="139">
        <v>43191.0</v>
      </c>
      <c r="DC44" s="139">
        <v>43221.0</v>
      </c>
      <c r="DD44" s="139">
        <v>43252.0</v>
      </c>
      <c r="DE44" s="139">
        <v>43282.0</v>
      </c>
      <c r="DF44" s="139">
        <v>43313.0</v>
      </c>
      <c r="DG44" s="139">
        <v>43344.0</v>
      </c>
      <c r="DH44" s="139">
        <v>43374.0</v>
      </c>
      <c r="DI44" s="139">
        <v>43405.0</v>
      </c>
      <c r="DJ44" s="139">
        <v>43435.0</v>
      </c>
      <c r="DK44" s="139">
        <v>43466.0</v>
      </c>
      <c r="DL44" s="139">
        <v>43497.0</v>
      </c>
      <c r="DM44" s="139">
        <v>43525.0</v>
      </c>
      <c r="DN44" s="139">
        <v>43556.0</v>
      </c>
      <c r="DO44" s="139">
        <v>43586.0</v>
      </c>
      <c r="DP44" s="139">
        <v>43617.0</v>
      </c>
      <c r="DQ44" s="139">
        <v>43647.0</v>
      </c>
      <c r="DR44" s="139">
        <v>43678.0</v>
      </c>
      <c r="DS44" s="139">
        <v>43709.0</v>
      </c>
      <c r="DT44" s="139">
        <v>43739.0</v>
      </c>
      <c r="DU44" s="139">
        <v>43770.0</v>
      </c>
      <c r="DV44" s="139">
        <v>43800.0</v>
      </c>
      <c r="DW44" s="139">
        <v>43831.0</v>
      </c>
      <c r="DX44" s="139">
        <v>43862.0</v>
      </c>
      <c r="DY44" s="139">
        <v>43891.0</v>
      </c>
      <c r="DZ44" s="139">
        <v>43922.0</v>
      </c>
      <c r="EA44" s="139">
        <v>43952.0</v>
      </c>
      <c r="EB44" s="139">
        <v>43983.0</v>
      </c>
      <c r="EC44" s="139">
        <v>44013.0</v>
      </c>
      <c r="ED44" s="139">
        <v>44044.0</v>
      </c>
      <c r="EE44" s="139">
        <v>44075.0</v>
      </c>
      <c r="EF44" s="139">
        <v>44105.0</v>
      </c>
      <c r="EG44" s="139">
        <v>44136.0</v>
      </c>
      <c r="EH44" s="139">
        <v>44166.0</v>
      </c>
      <c r="EI44" s="139">
        <v>44197.0</v>
      </c>
      <c r="EJ44" s="139">
        <v>44228.0</v>
      </c>
      <c r="EK44" s="139">
        <v>44256.0</v>
      </c>
      <c r="EL44" s="139">
        <v>44287.0</v>
      </c>
      <c r="EM44" s="139">
        <v>44317.0</v>
      </c>
      <c r="EN44" s="139">
        <v>44348.0</v>
      </c>
      <c r="EO44" s="139">
        <v>44378.0</v>
      </c>
      <c r="EP44" s="139">
        <v>44409.0</v>
      </c>
      <c r="EQ44" s="139">
        <v>44440.0</v>
      </c>
      <c r="ER44" s="139">
        <v>44470.0</v>
      </c>
      <c r="ES44" s="139">
        <v>44501.0</v>
      </c>
      <c r="ET44" s="139">
        <v>44531.0</v>
      </c>
      <c r="EU44" s="139">
        <v>44562.0</v>
      </c>
      <c r="EV44" s="139">
        <v>44593.0</v>
      </c>
      <c r="EW44" s="139">
        <v>44621.0</v>
      </c>
      <c r="EX44" s="139">
        <v>44652.0</v>
      </c>
      <c r="EY44" s="139">
        <v>44682.0</v>
      </c>
      <c r="EZ44" s="139">
        <v>44713.0</v>
      </c>
      <c r="FA44" s="139">
        <v>44743.0</v>
      </c>
      <c r="FB44" s="139">
        <v>44774.0</v>
      </c>
      <c r="FC44" s="139">
        <v>44805.0</v>
      </c>
      <c r="FD44" s="139">
        <v>44835.0</v>
      </c>
      <c r="FE44" s="139">
        <v>44866.0</v>
      </c>
      <c r="FF44" s="139">
        <v>44896.0</v>
      </c>
      <c r="FG44" s="139">
        <v>44927.0</v>
      </c>
      <c r="FH44" s="139">
        <v>44958.0</v>
      </c>
      <c r="FI44" s="139">
        <v>44986.0</v>
      </c>
      <c r="FJ44" s="139">
        <v>45017.0</v>
      </c>
      <c r="FK44" s="139">
        <v>45047.0</v>
      </c>
      <c r="FL44" s="139">
        <v>45078.0</v>
      </c>
      <c r="FM44" s="139">
        <v>45108.0</v>
      </c>
      <c r="FN44" s="139">
        <v>45139.0</v>
      </c>
      <c r="FO44" s="139">
        <v>45170.0</v>
      </c>
      <c r="FP44" s="139">
        <v>45200.0</v>
      </c>
      <c r="FQ44" s="139">
        <v>45231.0</v>
      </c>
      <c r="FR44" s="139">
        <v>45261.0</v>
      </c>
      <c r="FS44" s="139">
        <v>45292.0</v>
      </c>
      <c r="FT44" s="139">
        <v>45323.0</v>
      </c>
      <c r="FU44" s="139">
        <v>45352.0</v>
      </c>
      <c r="FV44" s="139">
        <v>45383.0</v>
      </c>
      <c r="FW44" s="139">
        <v>45413.0</v>
      </c>
      <c r="FX44" s="139">
        <v>45444.0</v>
      </c>
      <c r="FY44" s="139">
        <v>45474.0</v>
      </c>
      <c r="FZ44" s="139">
        <v>45505.0</v>
      </c>
      <c r="GA44" s="139">
        <v>45536.0</v>
      </c>
      <c r="GB44" s="139">
        <v>45566.0</v>
      </c>
      <c r="GC44" s="139">
        <v>45597.0</v>
      </c>
      <c r="GD44" s="139">
        <v>45627.0</v>
      </c>
      <c r="GE44" s="139">
        <v>45658.0</v>
      </c>
      <c r="GF44" s="139">
        <v>45689.0</v>
      </c>
      <c r="GG44" s="139">
        <v>45717.0</v>
      </c>
      <c r="GH44" s="139">
        <v>45748.0</v>
      </c>
      <c r="GI44" s="139">
        <v>45778.0</v>
      </c>
      <c r="GJ44" s="139">
        <v>45809.0</v>
      </c>
      <c r="GK44" s="139">
        <v>45839.0</v>
      </c>
    </row>
    <row r="45">
      <c r="A45" s="132" t="s">
        <v>33986</v>
      </c>
      <c r="B45" s="133" t="s">
        <v>1336</v>
      </c>
      <c r="C45" s="134">
        <v>42636.453194444446</v>
      </c>
      <c r="D45" s="135" t="str">
        <f t="shared" si="1"/>
        <v>2016/09/23</v>
      </c>
      <c r="E45" s="136" t="s">
        <v>33987</v>
      </c>
      <c r="F45" s="137">
        <v>8.6E-4</v>
      </c>
      <c r="G45" s="138">
        <v>40179.0</v>
      </c>
      <c r="H45" s="138">
        <v>40210.0</v>
      </c>
      <c r="I45" s="138">
        <v>40238.0</v>
      </c>
      <c r="J45" s="138">
        <v>40269.0</v>
      </c>
      <c r="K45" s="138">
        <v>40299.0</v>
      </c>
      <c r="L45" s="138">
        <v>40330.0</v>
      </c>
      <c r="M45" s="138">
        <v>40360.0</v>
      </c>
      <c r="N45" s="138">
        <v>40391.0</v>
      </c>
      <c r="O45" s="138">
        <v>40422.0</v>
      </c>
      <c r="P45" s="138">
        <v>40452.0</v>
      </c>
      <c r="Q45" s="138">
        <v>40483.0</v>
      </c>
      <c r="R45" s="138">
        <v>40513.0</v>
      </c>
      <c r="S45" s="138">
        <v>40544.0</v>
      </c>
      <c r="T45" s="138">
        <v>40575.0</v>
      </c>
      <c r="U45" s="138">
        <v>40603.0</v>
      </c>
      <c r="V45" s="138">
        <v>40634.0</v>
      </c>
      <c r="W45" s="138">
        <v>40664.0</v>
      </c>
      <c r="X45" s="138">
        <v>40695.0</v>
      </c>
      <c r="Y45" s="138">
        <v>40725.0</v>
      </c>
      <c r="Z45" s="138">
        <v>40756.0</v>
      </c>
      <c r="AA45" s="138">
        <v>40787.0</v>
      </c>
      <c r="AB45" s="138">
        <v>40817.0</v>
      </c>
      <c r="AC45" s="138">
        <v>40848.0</v>
      </c>
      <c r="AD45" s="138">
        <v>40878.0</v>
      </c>
      <c r="AE45" s="138">
        <v>40909.0</v>
      </c>
      <c r="AF45" s="138">
        <v>40940.0</v>
      </c>
      <c r="AG45" s="138">
        <v>40969.0</v>
      </c>
      <c r="AH45" s="138">
        <v>41000.0</v>
      </c>
      <c r="AI45" s="138">
        <v>41030.0</v>
      </c>
      <c r="AJ45" s="138">
        <v>41061.0</v>
      </c>
      <c r="AK45" s="138">
        <v>41091.0</v>
      </c>
      <c r="AL45" s="138">
        <v>41122.0</v>
      </c>
      <c r="AM45" s="138">
        <v>41153.0</v>
      </c>
      <c r="AN45" s="138">
        <v>41183.0</v>
      </c>
      <c r="AO45" s="138">
        <v>41214.0</v>
      </c>
      <c r="AP45" s="138">
        <v>41244.0</v>
      </c>
      <c r="AQ45" s="138">
        <v>41275.0</v>
      </c>
      <c r="AR45" s="138">
        <v>41306.0</v>
      </c>
      <c r="AS45" s="138">
        <v>41334.0</v>
      </c>
      <c r="AT45" s="138">
        <v>41365.0</v>
      </c>
      <c r="AU45" s="138">
        <v>41395.0</v>
      </c>
      <c r="AV45" s="138">
        <v>41426.0</v>
      </c>
      <c r="AW45" s="138">
        <v>41456.0</v>
      </c>
      <c r="AX45" s="138">
        <v>41487.0</v>
      </c>
      <c r="AY45" s="138">
        <v>41518.0</v>
      </c>
      <c r="AZ45" s="138">
        <v>41548.0</v>
      </c>
      <c r="BA45" s="138">
        <v>41579.0</v>
      </c>
      <c r="BB45" s="138">
        <v>41609.0</v>
      </c>
      <c r="BC45" s="138">
        <v>41640.0</v>
      </c>
      <c r="BD45" s="138">
        <v>41671.0</v>
      </c>
      <c r="BE45" s="138">
        <v>41699.0</v>
      </c>
      <c r="BF45" s="138">
        <v>41730.0</v>
      </c>
      <c r="BG45" s="138">
        <v>41760.0</v>
      </c>
      <c r="BH45" s="138">
        <v>41791.0</v>
      </c>
      <c r="BI45" s="138">
        <v>41821.0</v>
      </c>
      <c r="BJ45" s="138">
        <v>41852.0</v>
      </c>
      <c r="BK45" s="138">
        <v>41883.0</v>
      </c>
      <c r="BL45" s="138">
        <v>41913.0</v>
      </c>
      <c r="BM45" s="138">
        <v>41944.0</v>
      </c>
      <c r="BN45" s="138">
        <v>41974.0</v>
      </c>
      <c r="BO45" s="138">
        <v>42005.0</v>
      </c>
      <c r="BP45" s="138">
        <v>42036.0</v>
      </c>
      <c r="BQ45" s="138">
        <v>42064.0</v>
      </c>
      <c r="BR45" s="138">
        <v>42095.0</v>
      </c>
      <c r="BS45" s="138">
        <v>42125.0</v>
      </c>
      <c r="BT45" s="138">
        <v>42156.0</v>
      </c>
      <c r="BU45" s="138">
        <v>42186.0</v>
      </c>
      <c r="BV45" s="138">
        <v>42217.0</v>
      </c>
      <c r="BW45" s="138">
        <v>42248.0</v>
      </c>
      <c r="BX45" s="138">
        <v>42278.0</v>
      </c>
      <c r="BY45" s="138">
        <v>42309.0</v>
      </c>
      <c r="BZ45" s="138">
        <v>42339.0</v>
      </c>
      <c r="CA45" s="138">
        <v>42370.0</v>
      </c>
      <c r="CB45" s="138">
        <v>42401.0</v>
      </c>
      <c r="CC45" s="138">
        <v>42430.0</v>
      </c>
      <c r="CD45" s="138">
        <v>42461.0</v>
      </c>
      <c r="CE45" s="138">
        <v>42491.0</v>
      </c>
      <c r="CF45" s="138">
        <v>42522.0</v>
      </c>
      <c r="CG45" s="138">
        <v>42552.0</v>
      </c>
      <c r="CH45" s="138">
        <v>42583.0</v>
      </c>
      <c r="CI45" s="138">
        <v>42614.0</v>
      </c>
      <c r="CJ45" s="139">
        <v>42644.0</v>
      </c>
      <c r="CK45" s="139">
        <v>42675.0</v>
      </c>
      <c r="CL45" s="139">
        <v>42705.0</v>
      </c>
      <c r="CM45" s="139">
        <v>42736.0</v>
      </c>
      <c r="CN45" s="139">
        <v>42767.0</v>
      </c>
      <c r="CO45" s="139">
        <v>42795.0</v>
      </c>
      <c r="CP45" s="139">
        <v>42826.0</v>
      </c>
      <c r="CQ45" s="139">
        <v>42856.0</v>
      </c>
      <c r="CR45" s="139">
        <v>42887.0</v>
      </c>
      <c r="CS45" s="139">
        <v>42917.0</v>
      </c>
      <c r="CT45" s="139">
        <v>42948.0</v>
      </c>
      <c r="CU45" s="139">
        <v>42979.0</v>
      </c>
      <c r="CV45" s="139">
        <v>43009.0</v>
      </c>
      <c r="CW45" s="139">
        <v>43040.0</v>
      </c>
      <c r="CX45" s="139">
        <v>43070.0</v>
      </c>
      <c r="CY45" s="139">
        <v>43101.0</v>
      </c>
      <c r="CZ45" s="139">
        <v>43132.0</v>
      </c>
      <c r="DA45" s="139">
        <v>43160.0</v>
      </c>
      <c r="DB45" s="139">
        <v>43191.0</v>
      </c>
      <c r="DC45" s="139">
        <v>43221.0</v>
      </c>
      <c r="DD45" s="139">
        <v>43252.0</v>
      </c>
      <c r="DE45" s="139">
        <v>43282.0</v>
      </c>
      <c r="DF45" s="139">
        <v>43313.0</v>
      </c>
      <c r="DG45" s="139">
        <v>43344.0</v>
      </c>
      <c r="DH45" s="139">
        <v>43374.0</v>
      </c>
      <c r="DI45" s="139">
        <v>43405.0</v>
      </c>
      <c r="DJ45" s="139">
        <v>43435.0</v>
      </c>
      <c r="DK45" s="139">
        <v>43466.0</v>
      </c>
      <c r="DL45" s="139">
        <v>43497.0</v>
      </c>
      <c r="DM45" s="139">
        <v>43525.0</v>
      </c>
      <c r="DN45" s="139">
        <v>43556.0</v>
      </c>
      <c r="DO45" s="139">
        <v>43586.0</v>
      </c>
      <c r="DP45" s="139">
        <v>43617.0</v>
      </c>
      <c r="DQ45" s="139">
        <v>43647.0</v>
      </c>
      <c r="DR45" s="139">
        <v>43678.0</v>
      </c>
      <c r="DS45" s="139">
        <v>43709.0</v>
      </c>
      <c r="DT45" s="139">
        <v>43739.0</v>
      </c>
      <c r="DU45" s="139">
        <v>43770.0</v>
      </c>
      <c r="DV45" s="139">
        <v>43800.0</v>
      </c>
      <c r="DW45" s="139">
        <v>43831.0</v>
      </c>
      <c r="DX45" s="139">
        <v>43862.0</v>
      </c>
      <c r="DY45" s="139">
        <v>43891.0</v>
      </c>
      <c r="DZ45" s="139">
        <v>43922.0</v>
      </c>
      <c r="EA45" s="139">
        <v>43952.0</v>
      </c>
      <c r="EB45" s="139">
        <v>43983.0</v>
      </c>
      <c r="EC45" s="139">
        <v>44013.0</v>
      </c>
      <c r="ED45" s="139">
        <v>44044.0</v>
      </c>
      <c r="EE45" s="139">
        <v>44075.0</v>
      </c>
      <c r="EF45" s="139">
        <v>44105.0</v>
      </c>
      <c r="EG45" s="139">
        <v>44136.0</v>
      </c>
      <c r="EH45" s="139">
        <v>44166.0</v>
      </c>
      <c r="EI45" s="139">
        <v>44197.0</v>
      </c>
      <c r="EJ45" s="139">
        <v>44228.0</v>
      </c>
      <c r="EK45" s="139">
        <v>44256.0</v>
      </c>
      <c r="EL45" s="139">
        <v>44287.0</v>
      </c>
      <c r="EM45" s="139">
        <v>44317.0</v>
      </c>
      <c r="EN45" s="139">
        <v>44348.0</v>
      </c>
      <c r="EO45" s="139">
        <v>44378.0</v>
      </c>
      <c r="EP45" s="139">
        <v>44409.0</v>
      </c>
      <c r="EQ45" s="139">
        <v>44440.0</v>
      </c>
      <c r="ER45" s="139">
        <v>44470.0</v>
      </c>
      <c r="ES45" s="139">
        <v>44501.0</v>
      </c>
      <c r="ET45" s="139">
        <v>44531.0</v>
      </c>
      <c r="EU45" s="139">
        <v>44562.0</v>
      </c>
      <c r="EV45" s="139">
        <v>44593.0</v>
      </c>
      <c r="EW45" s="139">
        <v>44621.0</v>
      </c>
      <c r="EX45" s="139">
        <v>44652.0</v>
      </c>
      <c r="EY45" s="139">
        <v>44682.0</v>
      </c>
      <c r="EZ45" s="139">
        <v>44713.0</v>
      </c>
      <c r="FA45" s="139">
        <v>44743.0</v>
      </c>
      <c r="FB45" s="139">
        <v>44774.0</v>
      </c>
      <c r="FC45" s="139">
        <v>44805.0</v>
      </c>
      <c r="FD45" s="139">
        <v>44835.0</v>
      </c>
      <c r="FE45" s="139">
        <v>44866.0</v>
      </c>
      <c r="FF45" s="139">
        <v>44896.0</v>
      </c>
      <c r="FG45" s="139">
        <v>44927.0</v>
      </c>
      <c r="FH45" s="139">
        <v>44958.0</v>
      </c>
      <c r="FI45" s="139">
        <v>44986.0</v>
      </c>
      <c r="FJ45" s="139">
        <v>45017.0</v>
      </c>
      <c r="FK45" s="139">
        <v>45047.0</v>
      </c>
      <c r="FL45" s="139">
        <v>45078.0</v>
      </c>
      <c r="FM45" s="139">
        <v>45108.0</v>
      </c>
      <c r="FN45" s="139">
        <v>45139.0</v>
      </c>
      <c r="FO45" s="139">
        <v>45170.0</v>
      </c>
      <c r="FP45" s="139">
        <v>45200.0</v>
      </c>
      <c r="FQ45" s="139">
        <v>45231.0</v>
      </c>
      <c r="FR45" s="139">
        <v>45261.0</v>
      </c>
      <c r="FS45" s="139">
        <v>45292.0</v>
      </c>
      <c r="FT45" s="139">
        <v>45323.0</v>
      </c>
      <c r="FU45" s="139">
        <v>45352.0</v>
      </c>
      <c r="FV45" s="139">
        <v>45383.0</v>
      </c>
      <c r="FW45" s="139">
        <v>45413.0</v>
      </c>
      <c r="FX45" s="139">
        <v>45444.0</v>
      </c>
      <c r="FY45" s="139">
        <v>45474.0</v>
      </c>
      <c r="FZ45" s="139">
        <v>45505.0</v>
      </c>
      <c r="GA45" s="139">
        <v>45536.0</v>
      </c>
      <c r="GB45" s="139">
        <v>45566.0</v>
      </c>
      <c r="GC45" s="139">
        <v>45597.0</v>
      </c>
      <c r="GD45" s="139">
        <v>45627.0</v>
      </c>
      <c r="GE45" s="139">
        <v>45658.0</v>
      </c>
      <c r="GF45" s="139">
        <v>45689.0</v>
      </c>
      <c r="GG45" s="139">
        <v>45717.0</v>
      </c>
      <c r="GH45" s="139">
        <v>45748.0</v>
      </c>
      <c r="GI45" s="139">
        <v>45778.0</v>
      </c>
      <c r="GJ45" s="139">
        <v>45809.0</v>
      </c>
      <c r="GK45" s="139">
        <v>45839.0</v>
      </c>
    </row>
    <row r="46">
      <c r="A46" s="132" t="s">
        <v>33988</v>
      </c>
      <c r="B46" s="133" t="s">
        <v>1175</v>
      </c>
      <c r="C46" s="134">
        <v>42636.789305555554</v>
      </c>
      <c r="D46" s="135" t="str">
        <f t="shared" si="1"/>
        <v>2016/09/23</v>
      </c>
      <c r="E46" s="136" t="s">
        <v>33912</v>
      </c>
      <c r="F46" s="137">
        <v>0.0</v>
      </c>
      <c r="G46" s="138">
        <v>40179.0</v>
      </c>
      <c r="H46" s="138">
        <v>40210.0</v>
      </c>
      <c r="I46" s="138">
        <v>40238.0</v>
      </c>
      <c r="J46" s="138">
        <v>40269.0</v>
      </c>
      <c r="K46" s="138">
        <v>40299.0</v>
      </c>
      <c r="L46" s="138">
        <v>40330.0</v>
      </c>
      <c r="M46" s="138">
        <v>40360.0</v>
      </c>
      <c r="N46" s="138">
        <v>40391.0</v>
      </c>
      <c r="O46" s="138">
        <v>40422.0</v>
      </c>
      <c r="P46" s="138">
        <v>40452.0</v>
      </c>
      <c r="Q46" s="138">
        <v>40483.0</v>
      </c>
      <c r="R46" s="138">
        <v>40513.0</v>
      </c>
      <c r="S46" s="138">
        <v>40544.0</v>
      </c>
      <c r="T46" s="138">
        <v>40575.0</v>
      </c>
      <c r="U46" s="138">
        <v>40603.0</v>
      </c>
      <c r="V46" s="138">
        <v>40634.0</v>
      </c>
      <c r="W46" s="138">
        <v>40664.0</v>
      </c>
      <c r="X46" s="138">
        <v>40695.0</v>
      </c>
      <c r="Y46" s="138">
        <v>40725.0</v>
      </c>
      <c r="Z46" s="138">
        <v>40756.0</v>
      </c>
      <c r="AA46" s="138">
        <v>40787.0</v>
      </c>
      <c r="AB46" s="138">
        <v>40817.0</v>
      </c>
      <c r="AC46" s="138">
        <v>40848.0</v>
      </c>
      <c r="AD46" s="138">
        <v>40878.0</v>
      </c>
      <c r="AE46" s="138">
        <v>40909.0</v>
      </c>
      <c r="AF46" s="138">
        <v>40940.0</v>
      </c>
      <c r="AG46" s="138">
        <v>40969.0</v>
      </c>
      <c r="AH46" s="138">
        <v>41000.0</v>
      </c>
      <c r="AI46" s="138">
        <v>41030.0</v>
      </c>
      <c r="AJ46" s="138">
        <v>41061.0</v>
      </c>
      <c r="AK46" s="138">
        <v>41091.0</v>
      </c>
      <c r="AL46" s="138">
        <v>41122.0</v>
      </c>
      <c r="AM46" s="138">
        <v>41153.0</v>
      </c>
      <c r="AN46" s="138">
        <v>41183.0</v>
      </c>
      <c r="AO46" s="138">
        <v>41214.0</v>
      </c>
      <c r="AP46" s="138">
        <v>41244.0</v>
      </c>
      <c r="AQ46" s="138">
        <v>41275.0</v>
      </c>
      <c r="AR46" s="138">
        <v>41306.0</v>
      </c>
      <c r="AS46" s="138">
        <v>41334.0</v>
      </c>
      <c r="AT46" s="138">
        <v>41365.0</v>
      </c>
      <c r="AU46" s="138">
        <v>41395.0</v>
      </c>
      <c r="AV46" s="138">
        <v>41426.0</v>
      </c>
      <c r="AW46" s="138">
        <v>41456.0</v>
      </c>
      <c r="AX46" s="138">
        <v>41487.0</v>
      </c>
      <c r="AY46" s="138">
        <v>41518.0</v>
      </c>
      <c r="AZ46" s="138">
        <v>41548.0</v>
      </c>
      <c r="BA46" s="138">
        <v>41579.0</v>
      </c>
      <c r="BB46" s="138">
        <v>41609.0</v>
      </c>
      <c r="BC46" s="138">
        <v>41640.0</v>
      </c>
      <c r="BD46" s="138">
        <v>41671.0</v>
      </c>
      <c r="BE46" s="138">
        <v>41699.0</v>
      </c>
      <c r="BF46" s="138">
        <v>41730.0</v>
      </c>
      <c r="BG46" s="138">
        <v>41760.0</v>
      </c>
      <c r="BH46" s="138">
        <v>41791.0</v>
      </c>
      <c r="BI46" s="138">
        <v>41821.0</v>
      </c>
      <c r="BJ46" s="138">
        <v>41852.0</v>
      </c>
      <c r="BK46" s="138">
        <v>41883.0</v>
      </c>
      <c r="BL46" s="138">
        <v>41913.0</v>
      </c>
      <c r="BM46" s="138">
        <v>41944.0</v>
      </c>
      <c r="BN46" s="138">
        <v>41974.0</v>
      </c>
      <c r="BO46" s="138">
        <v>42005.0</v>
      </c>
      <c r="BP46" s="138">
        <v>42036.0</v>
      </c>
      <c r="BQ46" s="138">
        <v>42064.0</v>
      </c>
      <c r="BR46" s="138">
        <v>42095.0</v>
      </c>
      <c r="BS46" s="138">
        <v>42125.0</v>
      </c>
      <c r="BT46" s="138">
        <v>42156.0</v>
      </c>
      <c r="BU46" s="138">
        <v>42186.0</v>
      </c>
      <c r="BV46" s="138">
        <v>42217.0</v>
      </c>
      <c r="BW46" s="138">
        <v>42248.0</v>
      </c>
      <c r="BX46" s="138">
        <v>42278.0</v>
      </c>
      <c r="BY46" s="138">
        <v>42309.0</v>
      </c>
      <c r="BZ46" s="138">
        <v>42339.0</v>
      </c>
      <c r="CA46" s="138">
        <v>42370.0</v>
      </c>
      <c r="CB46" s="138">
        <v>42401.0</v>
      </c>
      <c r="CC46" s="138">
        <v>42430.0</v>
      </c>
      <c r="CD46" s="138">
        <v>42461.0</v>
      </c>
      <c r="CE46" s="138">
        <v>42491.0</v>
      </c>
      <c r="CF46" s="138">
        <v>42522.0</v>
      </c>
      <c r="CG46" s="138">
        <v>42552.0</v>
      </c>
      <c r="CH46" s="138">
        <v>42583.0</v>
      </c>
      <c r="CI46" s="138">
        <v>42614.0</v>
      </c>
      <c r="CJ46" s="139">
        <v>42644.0</v>
      </c>
      <c r="CK46" s="139">
        <v>42675.0</v>
      </c>
      <c r="CL46" s="139">
        <v>42705.0</v>
      </c>
      <c r="CM46" s="139">
        <v>42736.0</v>
      </c>
      <c r="CN46" s="139">
        <v>42767.0</v>
      </c>
      <c r="CO46" s="139">
        <v>42795.0</v>
      </c>
      <c r="CP46" s="139">
        <v>42826.0</v>
      </c>
      <c r="CQ46" s="139">
        <v>42856.0</v>
      </c>
      <c r="CR46" s="139">
        <v>42887.0</v>
      </c>
      <c r="CS46" s="139">
        <v>42917.0</v>
      </c>
      <c r="CT46" s="139">
        <v>42948.0</v>
      </c>
      <c r="CU46" s="139">
        <v>42979.0</v>
      </c>
      <c r="CV46" s="139">
        <v>43009.0</v>
      </c>
      <c r="CW46" s="139">
        <v>43040.0</v>
      </c>
      <c r="CX46" s="139">
        <v>43070.0</v>
      </c>
      <c r="CY46" s="139">
        <v>43101.0</v>
      </c>
      <c r="CZ46" s="139">
        <v>43132.0</v>
      </c>
      <c r="DA46" s="139">
        <v>43160.0</v>
      </c>
      <c r="DB46" s="139">
        <v>43191.0</v>
      </c>
      <c r="DC46" s="139">
        <v>43221.0</v>
      </c>
      <c r="DD46" s="139">
        <v>43252.0</v>
      </c>
      <c r="DE46" s="139">
        <v>43282.0</v>
      </c>
      <c r="DF46" s="139">
        <v>43313.0</v>
      </c>
      <c r="DG46" s="139">
        <v>43344.0</v>
      </c>
      <c r="DH46" s="139">
        <v>43374.0</v>
      </c>
      <c r="DI46" s="139">
        <v>43405.0</v>
      </c>
      <c r="DJ46" s="139">
        <v>43435.0</v>
      </c>
      <c r="DK46" s="139">
        <v>43466.0</v>
      </c>
      <c r="DL46" s="139">
        <v>43497.0</v>
      </c>
      <c r="DM46" s="139">
        <v>43525.0</v>
      </c>
      <c r="DN46" s="139">
        <v>43556.0</v>
      </c>
      <c r="DO46" s="139">
        <v>43586.0</v>
      </c>
      <c r="DP46" s="139">
        <v>43617.0</v>
      </c>
      <c r="DQ46" s="139">
        <v>43647.0</v>
      </c>
      <c r="DR46" s="139">
        <v>43678.0</v>
      </c>
      <c r="DS46" s="139">
        <v>43709.0</v>
      </c>
      <c r="DT46" s="139">
        <v>43739.0</v>
      </c>
      <c r="DU46" s="139">
        <v>43770.0</v>
      </c>
      <c r="DV46" s="139">
        <v>43800.0</v>
      </c>
      <c r="DW46" s="139">
        <v>43831.0</v>
      </c>
      <c r="DX46" s="139">
        <v>43862.0</v>
      </c>
      <c r="DY46" s="139">
        <v>43891.0</v>
      </c>
      <c r="DZ46" s="139">
        <v>43922.0</v>
      </c>
      <c r="EA46" s="139">
        <v>43952.0</v>
      </c>
      <c r="EB46" s="139">
        <v>43983.0</v>
      </c>
      <c r="EC46" s="139">
        <v>44013.0</v>
      </c>
      <c r="ED46" s="139">
        <v>44044.0</v>
      </c>
      <c r="EE46" s="139">
        <v>44075.0</v>
      </c>
      <c r="EF46" s="139">
        <v>44105.0</v>
      </c>
      <c r="EG46" s="139">
        <v>44136.0</v>
      </c>
      <c r="EH46" s="139">
        <v>44166.0</v>
      </c>
      <c r="EI46" s="139">
        <v>44197.0</v>
      </c>
      <c r="EJ46" s="139">
        <v>44228.0</v>
      </c>
      <c r="EK46" s="139">
        <v>44256.0</v>
      </c>
      <c r="EL46" s="139">
        <v>44287.0</v>
      </c>
      <c r="EM46" s="139">
        <v>44317.0</v>
      </c>
      <c r="EN46" s="139">
        <v>44348.0</v>
      </c>
      <c r="EO46" s="139">
        <v>44378.0</v>
      </c>
      <c r="EP46" s="139">
        <v>44409.0</v>
      </c>
      <c r="EQ46" s="139">
        <v>44440.0</v>
      </c>
      <c r="ER46" s="139">
        <v>44470.0</v>
      </c>
      <c r="ES46" s="139">
        <v>44501.0</v>
      </c>
      <c r="ET46" s="139">
        <v>44531.0</v>
      </c>
      <c r="EU46" s="139">
        <v>44562.0</v>
      </c>
      <c r="EV46" s="139">
        <v>44593.0</v>
      </c>
      <c r="EW46" s="139">
        <v>44621.0</v>
      </c>
      <c r="EX46" s="139">
        <v>44652.0</v>
      </c>
      <c r="EY46" s="139">
        <v>44682.0</v>
      </c>
      <c r="EZ46" s="139">
        <v>44713.0</v>
      </c>
      <c r="FA46" s="139">
        <v>44743.0</v>
      </c>
      <c r="FB46" s="139">
        <v>44774.0</v>
      </c>
      <c r="FC46" s="139">
        <v>44805.0</v>
      </c>
      <c r="FD46" s="139">
        <v>44835.0</v>
      </c>
      <c r="FE46" s="139">
        <v>44866.0</v>
      </c>
      <c r="FF46" s="139">
        <v>44896.0</v>
      </c>
      <c r="FG46" s="139">
        <v>44927.0</v>
      </c>
      <c r="FH46" s="139">
        <v>44958.0</v>
      </c>
      <c r="FI46" s="139">
        <v>44986.0</v>
      </c>
      <c r="FJ46" s="139">
        <v>45017.0</v>
      </c>
      <c r="FK46" s="139">
        <v>45047.0</v>
      </c>
      <c r="FL46" s="139">
        <v>45078.0</v>
      </c>
      <c r="FM46" s="139">
        <v>45108.0</v>
      </c>
      <c r="FN46" s="139">
        <v>45139.0</v>
      </c>
      <c r="FO46" s="139">
        <v>45170.0</v>
      </c>
      <c r="FP46" s="139">
        <v>45200.0</v>
      </c>
      <c r="FQ46" s="139">
        <v>45231.0</v>
      </c>
      <c r="FR46" s="139">
        <v>45261.0</v>
      </c>
      <c r="FS46" s="139">
        <v>45292.0</v>
      </c>
      <c r="FT46" s="139">
        <v>45323.0</v>
      </c>
      <c r="FU46" s="139">
        <v>45352.0</v>
      </c>
      <c r="FV46" s="139">
        <v>45383.0</v>
      </c>
      <c r="FW46" s="139">
        <v>45413.0</v>
      </c>
      <c r="FX46" s="139">
        <v>45444.0</v>
      </c>
      <c r="FY46" s="139">
        <v>45474.0</v>
      </c>
      <c r="FZ46" s="139">
        <v>45505.0</v>
      </c>
      <c r="GA46" s="139">
        <v>45536.0</v>
      </c>
      <c r="GB46" s="139">
        <v>45566.0</v>
      </c>
      <c r="GC46" s="139">
        <v>45597.0</v>
      </c>
      <c r="GD46" s="139">
        <v>45627.0</v>
      </c>
      <c r="GE46" s="139">
        <v>45658.0</v>
      </c>
      <c r="GF46" s="139">
        <v>45689.0</v>
      </c>
      <c r="GG46" s="139">
        <v>45717.0</v>
      </c>
      <c r="GH46" s="139">
        <v>45748.0</v>
      </c>
      <c r="GI46" s="139">
        <v>45778.0</v>
      </c>
      <c r="GJ46" s="139">
        <v>45809.0</v>
      </c>
      <c r="GK46" s="139">
        <v>45839.0</v>
      </c>
    </row>
    <row r="47">
      <c r="A47" s="132" t="s">
        <v>33989</v>
      </c>
      <c r="B47" s="133" t="s">
        <v>1206</v>
      </c>
      <c r="C47" s="134">
        <v>42655.78662037037</v>
      </c>
      <c r="D47" s="135" t="str">
        <f t="shared" si="1"/>
        <v>2016/10/12</v>
      </c>
      <c r="E47" s="136" t="s">
        <v>33990</v>
      </c>
      <c r="F47" s="137">
        <v>6.6E-4</v>
      </c>
      <c r="G47" s="138">
        <v>40179.0</v>
      </c>
      <c r="H47" s="138">
        <v>40210.0</v>
      </c>
      <c r="I47" s="138">
        <v>40238.0</v>
      </c>
      <c r="J47" s="138">
        <v>40269.0</v>
      </c>
      <c r="K47" s="138">
        <v>40299.0</v>
      </c>
      <c r="L47" s="138">
        <v>40330.0</v>
      </c>
      <c r="M47" s="138">
        <v>40360.0</v>
      </c>
      <c r="N47" s="138">
        <v>40391.0</v>
      </c>
      <c r="O47" s="138">
        <v>40422.0</v>
      </c>
      <c r="P47" s="138">
        <v>40452.0</v>
      </c>
      <c r="Q47" s="138">
        <v>40483.0</v>
      </c>
      <c r="R47" s="138">
        <v>40513.0</v>
      </c>
      <c r="S47" s="138">
        <v>40544.0</v>
      </c>
      <c r="T47" s="138">
        <v>40575.0</v>
      </c>
      <c r="U47" s="138">
        <v>40603.0</v>
      </c>
      <c r="V47" s="138">
        <v>40634.0</v>
      </c>
      <c r="W47" s="138">
        <v>40664.0</v>
      </c>
      <c r="X47" s="138">
        <v>40695.0</v>
      </c>
      <c r="Y47" s="138">
        <v>40725.0</v>
      </c>
      <c r="Z47" s="138">
        <v>40756.0</v>
      </c>
      <c r="AA47" s="138">
        <v>40787.0</v>
      </c>
      <c r="AB47" s="138">
        <v>40817.0</v>
      </c>
      <c r="AC47" s="138">
        <v>40848.0</v>
      </c>
      <c r="AD47" s="138">
        <v>40878.0</v>
      </c>
      <c r="AE47" s="138">
        <v>40909.0</v>
      </c>
      <c r="AF47" s="138">
        <v>40940.0</v>
      </c>
      <c r="AG47" s="138">
        <v>40969.0</v>
      </c>
      <c r="AH47" s="138">
        <v>41000.0</v>
      </c>
      <c r="AI47" s="138">
        <v>41030.0</v>
      </c>
      <c r="AJ47" s="138">
        <v>41061.0</v>
      </c>
      <c r="AK47" s="138">
        <v>41091.0</v>
      </c>
      <c r="AL47" s="138">
        <v>41122.0</v>
      </c>
      <c r="AM47" s="138">
        <v>41153.0</v>
      </c>
      <c r="AN47" s="138">
        <v>41183.0</v>
      </c>
      <c r="AO47" s="138">
        <v>41214.0</v>
      </c>
      <c r="AP47" s="138">
        <v>41244.0</v>
      </c>
      <c r="AQ47" s="138">
        <v>41275.0</v>
      </c>
      <c r="AR47" s="138">
        <v>41306.0</v>
      </c>
      <c r="AS47" s="138">
        <v>41334.0</v>
      </c>
      <c r="AT47" s="138">
        <v>41365.0</v>
      </c>
      <c r="AU47" s="138">
        <v>41395.0</v>
      </c>
      <c r="AV47" s="138">
        <v>41426.0</v>
      </c>
      <c r="AW47" s="138">
        <v>41456.0</v>
      </c>
      <c r="AX47" s="138">
        <v>41487.0</v>
      </c>
      <c r="AY47" s="138">
        <v>41518.0</v>
      </c>
      <c r="AZ47" s="138">
        <v>41548.0</v>
      </c>
      <c r="BA47" s="138">
        <v>41579.0</v>
      </c>
      <c r="BB47" s="138">
        <v>41609.0</v>
      </c>
      <c r="BC47" s="138">
        <v>41640.0</v>
      </c>
      <c r="BD47" s="138">
        <v>41671.0</v>
      </c>
      <c r="BE47" s="138">
        <v>41699.0</v>
      </c>
      <c r="BF47" s="138">
        <v>41730.0</v>
      </c>
      <c r="BG47" s="138">
        <v>41760.0</v>
      </c>
      <c r="BH47" s="138">
        <v>41791.0</v>
      </c>
      <c r="BI47" s="138">
        <v>41821.0</v>
      </c>
      <c r="BJ47" s="138">
        <v>41852.0</v>
      </c>
      <c r="BK47" s="138">
        <v>41883.0</v>
      </c>
      <c r="BL47" s="138">
        <v>41913.0</v>
      </c>
      <c r="BM47" s="138">
        <v>41944.0</v>
      </c>
      <c r="BN47" s="138">
        <v>41974.0</v>
      </c>
      <c r="BO47" s="138">
        <v>42005.0</v>
      </c>
      <c r="BP47" s="138">
        <v>42036.0</v>
      </c>
      <c r="BQ47" s="138">
        <v>42064.0</v>
      </c>
      <c r="BR47" s="138">
        <v>42095.0</v>
      </c>
      <c r="BS47" s="138">
        <v>42125.0</v>
      </c>
      <c r="BT47" s="138">
        <v>42156.0</v>
      </c>
      <c r="BU47" s="138">
        <v>42186.0</v>
      </c>
      <c r="BV47" s="138">
        <v>42217.0</v>
      </c>
      <c r="BW47" s="138">
        <v>42248.0</v>
      </c>
      <c r="BX47" s="138">
        <v>42278.0</v>
      </c>
      <c r="BY47" s="138">
        <v>42309.0</v>
      </c>
      <c r="BZ47" s="138">
        <v>42339.0</v>
      </c>
      <c r="CA47" s="138">
        <v>42370.0</v>
      </c>
      <c r="CB47" s="138">
        <v>42401.0</v>
      </c>
      <c r="CC47" s="138">
        <v>42430.0</v>
      </c>
      <c r="CD47" s="138">
        <v>42461.0</v>
      </c>
      <c r="CE47" s="138">
        <v>42491.0</v>
      </c>
      <c r="CF47" s="138">
        <v>42522.0</v>
      </c>
      <c r="CG47" s="138">
        <v>42552.0</v>
      </c>
      <c r="CH47" s="138">
        <v>42583.0</v>
      </c>
      <c r="CI47" s="138">
        <v>42614.0</v>
      </c>
      <c r="CJ47" s="138">
        <v>42644.0</v>
      </c>
      <c r="CK47" s="139">
        <v>42675.0</v>
      </c>
      <c r="CL47" s="139">
        <v>42705.0</v>
      </c>
      <c r="CM47" s="139">
        <v>42736.0</v>
      </c>
      <c r="CN47" s="139">
        <v>42767.0</v>
      </c>
      <c r="CO47" s="139">
        <v>42795.0</v>
      </c>
      <c r="CP47" s="139">
        <v>42826.0</v>
      </c>
      <c r="CQ47" s="139">
        <v>42856.0</v>
      </c>
      <c r="CR47" s="139">
        <v>42887.0</v>
      </c>
      <c r="CS47" s="139">
        <v>42917.0</v>
      </c>
      <c r="CT47" s="139">
        <v>42948.0</v>
      </c>
      <c r="CU47" s="139">
        <v>42979.0</v>
      </c>
      <c r="CV47" s="139">
        <v>43009.0</v>
      </c>
      <c r="CW47" s="139">
        <v>43040.0</v>
      </c>
      <c r="CX47" s="139">
        <v>43070.0</v>
      </c>
      <c r="CY47" s="139">
        <v>43101.0</v>
      </c>
      <c r="CZ47" s="139">
        <v>43132.0</v>
      </c>
      <c r="DA47" s="139">
        <v>43160.0</v>
      </c>
      <c r="DB47" s="139">
        <v>43191.0</v>
      </c>
      <c r="DC47" s="139">
        <v>43221.0</v>
      </c>
      <c r="DD47" s="139">
        <v>43252.0</v>
      </c>
      <c r="DE47" s="139">
        <v>43282.0</v>
      </c>
      <c r="DF47" s="139">
        <v>43313.0</v>
      </c>
      <c r="DG47" s="139">
        <v>43344.0</v>
      </c>
      <c r="DH47" s="139">
        <v>43374.0</v>
      </c>
      <c r="DI47" s="139">
        <v>43405.0</v>
      </c>
      <c r="DJ47" s="139">
        <v>43435.0</v>
      </c>
      <c r="DK47" s="139">
        <v>43466.0</v>
      </c>
      <c r="DL47" s="139">
        <v>43497.0</v>
      </c>
      <c r="DM47" s="139">
        <v>43525.0</v>
      </c>
      <c r="DN47" s="139">
        <v>43556.0</v>
      </c>
      <c r="DO47" s="139">
        <v>43586.0</v>
      </c>
      <c r="DP47" s="139">
        <v>43617.0</v>
      </c>
      <c r="DQ47" s="139">
        <v>43647.0</v>
      </c>
      <c r="DR47" s="139">
        <v>43678.0</v>
      </c>
      <c r="DS47" s="139">
        <v>43709.0</v>
      </c>
      <c r="DT47" s="139">
        <v>43739.0</v>
      </c>
      <c r="DU47" s="139">
        <v>43770.0</v>
      </c>
      <c r="DV47" s="139">
        <v>43800.0</v>
      </c>
      <c r="DW47" s="139">
        <v>43831.0</v>
      </c>
      <c r="DX47" s="139">
        <v>43862.0</v>
      </c>
      <c r="DY47" s="139">
        <v>43891.0</v>
      </c>
      <c r="DZ47" s="139">
        <v>43922.0</v>
      </c>
      <c r="EA47" s="139">
        <v>43952.0</v>
      </c>
      <c r="EB47" s="139">
        <v>43983.0</v>
      </c>
      <c r="EC47" s="139">
        <v>44013.0</v>
      </c>
      <c r="ED47" s="139">
        <v>44044.0</v>
      </c>
      <c r="EE47" s="139">
        <v>44075.0</v>
      </c>
      <c r="EF47" s="139">
        <v>44105.0</v>
      </c>
      <c r="EG47" s="139">
        <v>44136.0</v>
      </c>
      <c r="EH47" s="139">
        <v>44166.0</v>
      </c>
      <c r="EI47" s="139">
        <v>44197.0</v>
      </c>
      <c r="EJ47" s="139">
        <v>44228.0</v>
      </c>
      <c r="EK47" s="139">
        <v>44256.0</v>
      </c>
      <c r="EL47" s="139">
        <v>44287.0</v>
      </c>
      <c r="EM47" s="139">
        <v>44317.0</v>
      </c>
      <c r="EN47" s="139">
        <v>44348.0</v>
      </c>
      <c r="EO47" s="139">
        <v>44378.0</v>
      </c>
      <c r="EP47" s="139">
        <v>44409.0</v>
      </c>
      <c r="EQ47" s="139">
        <v>44440.0</v>
      </c>
      <c r="ER47" s="139">
        <v>44470.0</v>
      </c>
      <c r="ES47" s="139">
        <v>44501.0</v>
      </c>
      <c r="ET47" s="139">
        <v>44531.0</v>
      </c>
      <c r="EU47" s="139">
        <v>44562.0</v>
      </c>
      <c r="EV47" s="139">
        <v>44593.0</v>
      </c>
      <c r="EW47" s="139">
        <v>44621.0</v>
      </c>
      <c r="EX47" s="139">
        <v>44652.0</v>
      </c>
      <c r="EY47" s="139">
        <v>44682.0</v>
      </c>
      <c r="EZ47" s="139">
        <v>44713.0</v>
      </c>
      <c r="FA47" s="139">
        <v>44743.0</v>
      </c>
      <c r="FB47" s="139">
        <v>44774.0</v>
      </c>
      <c r="FC47" s="139">
        <v>44805.0</v>
      </c>
      <c r="FD47" s="139">
        <v>44835.0</v>
      </c>
      <c r="FE47" s="139">
        <v>44866.0</v>
      </c>
      <c r="FF47" s="139">
        <v>44896.0</v>
      </c>
      <c r="FG47" s="139">
        <v>44927.0</v>
      </c>
      <c r="FH47" s="139">
        <v>44958.0</v>
      </c>
      <c r="FI47" s="139">
        <v>44986.0</v>
      </c>
      <c r="FJ47" s="139">
        <v>45017.0</v>
      </c>
      <c r="FK47" s="139">
        <v>45047.0</v>
      </c>
      <c r="FL47" s="139">
        <v>45078.0</v>
      </c>
      <c r="FM47" s="139">
        <v>45108.0</v>
      </c>
      <c r="FN47" s="139">
        <v>45139.0</v>
      </c>
      <c r="FO47" s="139">
        <v>45170.0</v>
      </c>
      <c r="FP47" s="139">
        <v>45200.0</v>
      </c>
      <c r="FQ47" s="139">
        <v>45231.0</v>
      </c>
      <c r="FR47" s="139">
        <v>45261.0</v>
      </c>
      <c r="FS47" s="139">
        <v>45292.0</v>
      </c>
      <c r="FT47" s="139">
        <v>45323.0</v>
      </c>
      <c r="FU47" s="139">
        <v>45352.0</v>
      </c>
      <c r="FV47" s="139">
        <v>45383.0</v>
      </c>
      <c r="FW47" s="139">
        <v>45413.0</v>
      </c>
      <c r="FX47" s="139">
        <v>45444.0</v>
      </c>
      <c r="FY47" s="139">
        <v>45474.0</v>
      </c>
      <c r="FZ47" s="139">
        <v>45505.0</v>
      </c>
      <c r="GA47" s="139">
        <v>45536.0</v>
      </c>
      <c r="GB47" s="139">
        <v>45566.0</v>
      </c>
      <c r="GC47" s="139">
        <v>45597.0</v>
      </c>
      <c r="GD47" s="139">
        <v>45627.0</v>
      </c>
      <c r="GE47" s="139">
        <v>45658.0</v>
      </c>
      <c r="GF47" s="139">
        <v>45689.0</v>
      </c>
      <c r="GG47" s="139">
        <v>45717.0</v>
      </c>
      <c r="GH47" s="139">
        <v>45748.0</v>
      </c>
      <c r="GI47" s="139">
        <v>45778.0</v>
      </c>
      <c r="GJ47" s="139">
        <v>45809.0</v>
      </c>
      <c r="GK47" s="139">
        <v>45839.0</v>
      </c>
    </row>
    <row r="48">
      <c r="A48" s="132" t="s">
        <v>33991</v>
      </c>
      <c r="B48" s="133" t="s">
        <v>1218</v>
      </c>
      <c r="C48" s="134">
        <v>42705.59333333333</v>
      </c>
      <c r="D48" s="135" t="str">
        <f t="shared" si="1"/>
        <v>2016/12/01</v>
      </c>
      <c r="E48" s="136" t="s">
        <v>33992</v>
      </c>
      <c r="F48" s="137">
        <v>0.00285</v>
      </c>
      <c r="G48" s="138">
        <v>40179.0</v>
      </c>
      <c r="H48" s="138">
        <v>40210.0</v>
      </c>
      <c r="I48" s="138">
        <v>40238.0</v>
      </c>
      <c r="J48" s="138">
        <v>40269.0</v>
      </c>
      <c r="K48" s="138">
        <v>40299.0</v>
      </c>
      <c r="L48" s="138">
        <v>40330.0</v>
      </c>
      <c r="M48" s="138">
        <v>40360.0</v>
      </c>
      <c r="N48" s="138">
        <v>40391.0</v>
      </c>
      <c r="O48" s="138">
        <v>40422.0</v>
      </c>
      <c r="P48" s="138">
        <v>40452.0</v>
      </c>
      <c r="Q48" s="138">
        <v>40483.0</v>
      </c>
      <c r="R48" s="138">
        <v>40513.0</v>
      </c>
      <c r="S48" s="138">
        <v>40544.0</v>
      </c>
      <c r="T48" s="138">
        <v>40575.0</v>
      </c>
      <c r="U48" s="138">
        <v>40603.0</v>
      </c>
      <c r="V48" s="138">
        <v>40634.0</v>
      </c>
      <c r="W48" s="138">
        <v>40664.0</v>
      </c>
      <c r="X48" s="138">
        <v>40695.0</v>
      </c>
      <c r="Y48" s="138">
        <v>40725.0</v>
      </c>
      <c r="Z48" s="138">
        <v>40756.0</v>
      </c>
      <c r="AA48" s="138">
        <v>40787.0</v>
      </c>
      <c r="AB48" s="138">
        <v>40817.0</v>
      </c>
      <c r="AC48" s="138">
        <v>40848.0</v>
      </c>
      <c r="AD48" s="138">
        <v>40878.0</v>
      </c>
      <c r="AE48" s="138">
        <v>40909.0</v>
      </c>
      <c r="AF48" s="138">
        <v>40940.0</v>
      </c>
      <c r="AG48" s="138">
        <v>40969.0</v>
      </c>
      <c r="AH48" s="138">
        <v>41000.0</v>
      </c>
      <c r="AI48" s="138">
        <v>41030.0</v>
      </c>
      <c r="AJ48" s="138">
        <v>41061.0</v>
      </c>
      <c r="AK48" s="138">
        <v>41091.0</v>
      </c>
      <c r="AL48" s="138">
        <v>41122.0</v>
      </c>
      <c r="AM48" s="138">
        <v>41153.0</v>
      </c>
      <c r="AN48" s="138">
        <v>41183.0</v>
      </c>
      <c r="AO48" s="138">
        <v>41214.0</v>
      </c>
      <c r="AP48" s="138">
        <v>41244.0</v>
      </c>
      <c r="AQ48" s="138">
        <v>41275.0</v>
      </c>
      <c r="AR48" s="138">
        <v>41306.0</v>
      </c>
      <c r="AS48" s="138">
        <v>41334.0</v>
      </c>
      <c r="AT48" s="138">
        <v>41365.0</v>
      </c>
      <c r="AU48" s="138">
        <v>41395.0</v>
      </c>
      <c r="AV48" s="138">
        <v>41426.0</v>
      </c>
      <c r="AW48" s="138">
        <v>41456.0</v>
      </c>
      <c r="AX48" s="138">
        <v>41487.0</v>
      </c>
      <c r="AY48" s="138">
        <v>41518.0</v>
      </c>
      <c r="AZ48" s="138">
        <v>41548.0</v>
      </c>
      <c r="BA48" s="138">
        <v>41579.0</v>
      </c>
      <c r="BB48" s="138">
        <v>41609.0</v>
      </c>
      <c r="BC48" s="138">
        <v>41640.0</v>
      </c>
      <c r="BD48" s="138">
        <v>41671.0</v>
      </c>
      <c r="BE48" s="138">
        <v>41699.0</v>
      </c>
      <c r="BF48" s="138">
        <v>41730.0</v>
      </c>
      <c r="BG48" s="138">
        <v>41760.0</v>
      </c>
      <c r="BH48" s="138">
        <v>41791.0</v>
      </c>
      <c r="BI48" s="138">
        <v>41821.0</v>
      </c>
      <c r="BJ48" s="138">
        <v>41852.0</v>
      </c>
      <c r="BK48" s="138">
        <v>41883.0</v>
      </c>
      <c r="BL48" s="138">
        <v>41913.0</v>
      </c>
      <c r="BM48" s="138">
        <v>41944.0</v>
      </c>
      <c r="BN48" s="138">
        <v>41974.0</v>
      </c>
      <c r="BO48" s="138">
        <v>42005.0</v>
      </c>
      <c r="BP48" s="138">
        <v>42036.0</v>
      </c>
      <c r="BQ48" s="138">
        <v>42064.0</v>
      </c>
      <c r="BR48" s="138">
        <v>42095.0</v>
      </c>
      <c r="BS48" s="138">
        <v>42125.0</v>
      </c>
      <c r="BT48" s="138">
        <v>42156.0</v>
      </c>
      <c r="BU48" s="138">
        <v>42186.0</v>
      </c>
      <c r="BV48" s="138">
        <v>42217.0</v>
      </c>
      <c r="BW48" s="138">
        <v>42248.0</v>
      </c>
      <c r="BX48" s="138">
        <v>42278.0</v>
      </c>
      <c r="BY48" s="138">
        <v>42309.0</v>
      </c>
      <c r="BZ48" s="138">
        <v>42339.0</v>
      </c>
      <c r="CA48" s="138">
        <v>42370.0</v>
      </c>
      <c r="CB48" s="138">
        <v>42401.0</v>
      </c>
      <c r="CC48" s="138">
        <v>42430.0</v>
      </c>
      <c r="CD48" s="138">
        <v>42461.0</v>
      </c>
      <c r="CE48" s="138">
        <v>42491.0</v>
      </c>
      <c r="CF48" s="138">
        <v>42522.0</v>
      </c>
      <c r="CG48" s="138">
        <v>42552.0</v>
      </c>
      <c r="CH48" s="138">
        <v>42583.0</v>
      </c>
      <c r="CI48" s="138">
        <v>42614.0</v>
      </c>
      <c r="CJ48" s="138">
        <v>42644.0</v>
      </c>
      <c r="CK48" s="138">
        <v>42675.0</v>
      </c>
      <c r="CL48" s="138">
        <v>42705.0</v>
      </c>
      <c r="CM48" s="139">
        <v>42736.0</v>
      </c>
      <c r="CN48" s="139">
        <v>42767.0</v>
      </c>
      <c r="CO48" s="139">
        <v>42795.0</v>
      </c>
      <c r="CP48" s="139">
        <v>42826.0</v>
      </c>
      <c r="CQ48" s="139">
        <v>42856.0</v>
      </c>
      <c r="CR48" s="139">
        <v>42887.0</v>
      </c>
      <c r="CS48" s="139">
        <v>42917.0</v>
      </c>
      <c r="CT48" s="139">
        <v>42948.0</v>
      </c>
      <c r="CU48" s="139">
        <v>42979.0</v>
      </c>
      <c r="CV48" s="139">
        <v>43009.0</v>
      </c>
      <c r="CW48" s="139">
        <v>43040.0</v>
      </c>
      <c r="CX48" s="139">
        <v>43070.0</v>
      </c>
      <c r="CY48" s="139">
        <v>43101.0</v>
      </c>
      <c r="CZ48" s="139">
        <v>43132.0</v>
      </c>
      <c r="DA48" s="139">
        <v>43160.0</v>
      </c>
      <c r="DB48" s="139">
        <v>43191.0</v>
      </c>
      <c r="DC48" s="139">
        <v>43221.0</v>
      </c>
      <c r="DD48" s="139">
        <v>43252.0</v>
      </c>
      <c r="DE48" s="139">
        <v>43282.0</v>
      </c>
      <c r="DF48" s="139">
        <v>43313.0</v>
      </c>
      <c r="DG48" s="139">
        <v>43344.0</v>
      </c>
      <c r="DH48" s="139">
        <v>43374.0</v>
      </c>
      <c r="DI48" s="139">
        <v>43405.0</v>
      </c>
      <c r="DJ48" s="139">
        <v>43435.0</v>
      </c>
      <c r="DK48" s="139">
        <v>43466.0</v>
      </c>
      <c r="DL48" s="139">
        <v>43497.0</v>
      </c>
      <c r="DM48" s="139">
        <v>43525.0</v>
      </c>
      <c r="DN48" s="139">
        <v>43556.0</v>
      </c>
      <c r="DO48" s="139">
        <v>43586.0</v>
      </c>
      <c r="DP48" s="139">
        <v>43617.0</v>
      </c>
      <c r="DQ48" s="139">
        <v>43647.0</v>
      </c>
      <c r="DR48" s="139">
        <v>43678.0</v>
      </c>
      <c r="DS48" s="139">
        <v>43709.0</v>
      </c>
      <c r="DT48" s="139">
        <v>43739.0</v>
      </c>
      <c r="DU48" s="139">
        <v>43770.0</v>
      </c>
      <c r="DV48" s="139">
        <v>43800.0</v>
      </c>
      <c r="DW48" s="139">
        <v>43831.0</v>
      </c>
      <c r="DX48" s="139">
        <v>43862.0</v>
      </c>
      <c r="DY48" s="139">
        <v>43891.0</v>
      </c>
      <c r="DZ48" s="139">
        <v>43922.0</v>
      </c>
      <c r="EA48" s="139">
        <v>43952.0</v>
      </c>
      <c r="EB48" s="139">
        <v>43983.0</v>
      </c>
      <c r="EC48" s="139">
        <v>44013.0</v>
      </c>
      <c r="ED48" s="139">
        <v>44044.0</v>
      </c>
      <c r="EE48" s="139">
        <v>44075.0</v>
      </c>
      <c r="EF48" s="139">
        <v>44105.0</v>
      </c>
      <c r="EG48" s="139">
        <v>44136.0</v>
      </c>
      <c r="EH48" s="139">
        <v>44166.0</v>
      </c>
      <c r="EI48" s="139">
        <v>44197.0</v>
      </c>
      <c r="EJ48" s="139">
        <v>44228.0</v>
      </c>
      <c r="EK48" s="139">
        <v>44256.0</v>
      </c>
      <c r="EL48" s="139">
        <v>44287.0</v>
      </c>
      <c r="EM48" s="139">
        <v>44317.0</v>
      </c>
      <c r="EN48" s="139">
        <v>44348.0</v>
      </c>
      <c r="EO48" s="139">
        <v>44378.0</v>
      </c>
      <c r="EP48" s="139">
        <v>44409.0</v>
      </c>
      <c r="EQ48" s="139">
        <v>44440.0</v>
      </c>
      <c r="ER48" s="139">
        <v>44470.0</v>
      </c>
      <c r="ES48" s="139">
        <v>44501.0</v>
      </c>
      <c r="ET48" s="139">
        <v>44531.0</v>
      </c>
      <c r="EU48" s="139">
        <v>44562.0</v>
      </c>
      <c r="EV48" s="139">
        <v>44593.0</v>
      </c>
      <c r="EW48" s="139">
        <v>44621.0</v>
      </c>
      <c r="EX48" s="139">
        <v>44652.0</v>
      </c>
      <c r="EY48" s="139">
        <v>44682.0</v>
      </c>
      <c r="EZ48" s="139">
        <v>44713.0</v>
      </c>
      <c r="FA48" s="139">
        <v>44743.0</v>
      </c>
      <c r="FB48" s="139">
        <v>44774.0</v>
      </c>
      <c r="FC48" s="139">
        <v>44805.0</v>
      </c>
      <c r="FD48" s="139">
        <v>44835.0</v>
      </c>
      <c r="FE48" s="139">
        <v>44866.0</v>
      </c>
      <c r="FF48" s="139">
        <v>44896.0</v>
      </c>
      <c r="FG48" s="139">
        <v>44927.0</v>
      </c>
      <c r="FH48" s="139">
        <v>44958.0</v>
      </c>
      <c r="FI48" s="139">
        <v>44986.0</v>
      </c>
      <c r="FJ48" s="139">
        <v>45017.0</v>
      </c>
      <c r="FK48" s="139">
        <v>45047.0</v>
      </c>
      <c r="FL48" s="139">
        <v>45078.0</v>
      </c>
      <c r="FM48" s="139">
        <v>45108.0</v>
      </c>
      <c r="FN48" s="139">
        <v>45139.0</v>
      </c>
      <c r="FO48" s="139">
        <v>45170.0</v>
      </c>
      <c r="FP48" s="139">
        <v>45200.0</v>
      </c>
      <c r="FQ48" s="139">
        <v>45231.0</v>
      </c>
      <c r="FR48" s="139">
        <v>45261.0</v>
      </c>
      <c r="FS48" s="139">
        <v>45292.0</v>
      </c>
      <c r="FT48" s="139">
        <v>45323.0</v>
      </c>
      <c r="FU48" s="139">
        <v>45352.0</v>
      </c>
      <c r="FV48" s="139">
        <v>45383.0</v>
      </c>
      <c r="FW48" s="139">
        <v>45413.0</v>
      </c>
      <c r="FX48" s="139">
        <v>45444.0</v>
      </c>
      <c r="FY48" s="139">
        <v>45474.0</v>
      </c>
      <c r="FZ48" s="139">
        <v>45505.0</v>
      </c>
      <c r="GA48" s="139">
        <v>45536.0</v>
      </c>
      <c r="GB48" s="139">
        <v>45566.0</v>
      </c>
      <c r="GC48" s="139">
        <v>45597.0</v>
      </c>
      <c r="GD48" s="139">
        <v>45627.0</v>
      </c>
      <c r="GE48" s="139">
        <v>45658.0</v>
      </c>
      <c r="GF48" s="139">
        <v>45689.0</v>
      </c>
      <c r="GG48" s="139">
        <v>45717.0</v>
      </c>
      <c r="GH48" s="139">
        <v>45748.0</v>
      </c>
      <c r="GI48" s="139">
        <v>45778.0</v>
      </c>
      <c r="GJ48" s="139">
        <v>45809.0</v>
      </c>
      <c r="GK48" s="139">
        <v>45839.0</v>
      </c>
    </row>
    <row r="49">
      <c r="A49" s="132" t="s">
        <v>33993</v>
      </c>
      <c r="B49" s="133" t="s">
        <v>1318</v>
      </c>
      <c r="C49" s="134">
        <v>42751.79622685185</v>
      </c>
      <c r="D49" s="135" t="str">
        <f t="shared" si="1"/>
        <v>2017/01/16</v>
      </c>
      <c r="E49" s="136" t="s">
        <v>33994</v>
      </c>
      <c r="F49" s="137">
        <v>3.3E-4</v>
      </c>
      <c r="G49" s="138">
        <v>40179.0</v>
      </c>
      <c r="H49" s="138">
        <v>40210.0</v>
      </c>
      <c r="I49" s="138">
        <v>40238.0</v>
      </c>
      <c r="J49" s="138">
        <v>40269.0</v>
      </c>
      <c r="K49" s="138">
        <v>40299.0</v>
      </c>
      <c r="L49" s="138">
        <v>40330.0</v>
      </c>
      <c r="M49" s="138">
        <v>40360.0</v>
      </c>
      <c r="N49" s="138">
        <v>40391.0</v>
      </c>
      <c r="O49" s="138">
        <v>40422.0</v>
      </c>
      <c r="P49" s="138">
        <v>40452.0</v>
      </c>
      <c r="Q49" s="138">
        <v>40483.0</v>
      </c>
      <c r="R49" s="138">
        <v>40513.0</v>
      </c>
      <c r="S49" s="138">
        <v>40544.0</v>
      </c>
      <c r="T49" s="138">
        <v>40575.0</v>
      </c>
      <c r="U49" s="138">
        <v>40603.0</v>
      </c>
      <c r="V49" s="138">
        <v>40634.0</v>
      </c>
      <c r="W49" s="138">
        <v>40664.0</v>
      </c>
      <c r="X49" s="138">
        <v>40695.0</v>
      </c>
      <c r="Y49" s="138">
        <v>40725.0</v>
      </c>
      <c r="Z49" s="138">
        <v>40756.0</v>
      </c>
      <c r="AA49" s="138">
        <v>40787.0</v>
      </c>
      <c r="AB49" s="138">
        <v>40817.0</v>
      </c>
      <c r="AC49" s="138">
        <v>40848.0</v>
      </c>
      <c r="AD49" s="138">
        <v>40878.0</v>
      </c>
      <c r="AE49" s="138">
        <v>40909.0</v>
      </c>
      <c r="AF49" s="138">
        <v>40940.0</v>
      </c>
      <c r="AG49" s="138">
        <v>40969.0</v>
      </c>
      <c r="AH49" s="138">
        <v>41000.0</v>
      </c>
      <c r="AI49" s="138">
        <v>41030.0</v>
      </c>
      <c r="AJ49" s="138">
        <v>41061.0</v>
      </c>
      <c r="AK49" s="138">
        <v>41091.0</v>
      </c>
      <c r="AL49" s="138">
        <v>41122.0</v>
      </c>
      <c r="AM49" s="138">
        <v>41153.0</v>
      </c>
      <c r="AN49" s="138">
        <v>41183.0</v>
      </c>
      <c r="AO49" s="138">
        <v>41214.0</v>
      </c>
      <c r="AP49" s="138">
        <v>41244.0</v>
      </c>
      <c r="AQ49" s="138">
        <v>41275.0</v>
      </c>
      <c r="AR49" s="138">
        <v>41306.0</v>
      </c>
      <c r="AS49" s="138">
        <v>41334.0</v>
      </c>
      <c r="AT49" s="138">
        <v>41365.0</v>
      </c>
      <c r="AU49" s="138">
        <v>41395.0</v>
      </c>
      <c r="AV49" s="138">
        <v>41426.0</v>
      </c>
      <c r="AW49" s="138">
        <v>41456.0</v>
      </c>
      <c r="AX49" s="138">
        <v>41487.0</v>
      </c>
      <c r="AY49" s="138">
        <v>41518.0</v>
      </c>
      <c r="AZ49" s="138">
        <v>41548.0</v>
      </c>
      <c r="BA49" s="138">
        <v>41579.0</v>
      </c>
      <c r="BB49" s="138">
        <v>41609.0</v>
      </c>
      <c r="BC49" s="138">
        <v>41640.0</v>
      </c>
      <c r="BD49" s="138">
        <v>41671.0</v>
      </c>
      <c r="BE49" s="138">
        <v>41699.0</v>
      </c>
      <c r="BF49" s="138">
        <v>41730.0</v>
      </c>
      <c r="BG49" s="138">
        <v>41760.0</v>
      </c>
      <c r="BH49" s="138">
        <v>41791.0</v>
      </c>
      <c r="BI49" s="138">
        <v>41821.0</v>
      </c>
      <c r="BJ49" s="138">
        <v>41852.0</v>
      </c>
      <c r="BK49" s="138">
        <v>41883.0</v>
      </c>
      <c r="BL49" s="138">
        <v>41913.0</v>
      </c>
      <c r="BM49" s="138">
        <v>41944.0</v>
      </c>
      <c r="BN49" s="138">
        <v>41974.0</v>
      </c>
      <c r="BO49" s="138">
        <v>42005.0</v>
      </c>
      <c r="BP49" s="138">
        <v>42036.0</v>
      </c>
      <c r="BQ49" s="138">
        <v>42064.0</v>
      </c>
      <c r="BR49" s="138">
        <v>42095.0</v>
      </c>
      <c r="BS49" s="138">
        <v>42125.0</v>
      </c>
      <c r="BT49" s="138">
        <v>42156.0</v>
      </c>
      <c r="BU49" s="138">
        <v>42186.0</v>
      </c>
      <c r="BV49" s="138">
        <v>42217.0</v>
      </c>
      <c r="BW49" s="138">
        <v>42248.0</v>
      </c>
      <c r="BX49" s="138">
        <v>42278.0</v>
      </c>
      <c r="BY49" s="138">
        <v>42309.0</v>
      </c>
      <c r="BZ49" s="138">
        <v>42339.0</v>
      </c>
      <c r="CA49" s="138">
        <v>42370.0</v>
      </c>
      <c r="CB49" s="138">
        <v>42401.0</v>
      </c>
      <c r="CC49" s="138">
        <v>42430.0</v>
      </c>
      <c r="CD49" s="138">
        <v>42461.0</v>
      </c>
      <c r="CE49" s="138">
        <v>42491.0</v>
      </c>
      <c r="CF49" s="138">
        <v>42522.0</v>
      </c>
      <c r="CG49" s="138">
        <v>42552.0</v>
      </c>
      <c r="CH49" s="138">
        <v>42583.0</v>
      </c>
      <c r="CI49" s="138">
        <v>42614.0</v>
      </c>
      <c r="CJ49" s="138">
        <v>42644.0</v>
      </c>
      <c r="CK49" s="138">
        <v>42675.0</v>
      </c>
      <c r="CL49" s="138">
        <v>42705.0</v>
      </c>
      <c r="CM49" s="138">
        <v>42736.0</v>
      </c>
      <c r="CN49" s="139">
        <v>42767.0</v>
      </c>
      <c r="CO49" s="139">
        <v>42795.0</v>
      </c>
      <c r="CP49" s="139">
        <v>42826.0</v>
      </c>
      <c r="CQ49" s="139">
        <v>42856.0</v>
      </c>
      <c r="CR49" s="139">
        <v>42887.0</v>
      </c>
      <c r="CS49" s="139">
        <v>42917.0</v>
      </c>
      <c r="CT49" s="139">
        <v>42948.0</v>
      </c>
      <c r="CU49" s="139">
        <v>42979.0</v>
      </c>
      <c r="CV49" s="139">
        <v>43009.0</v>
      </c>
      <c r="CW49" s="139">
        <v>43040.0</v>
      </c>
      <c r="CX49" s="139">
        <v>43070.0</v>
      </c>
      <c r="CY49" s="139">
        <v>43101.0</v>
      </c>
      <c r="CZ49" s="139">
        <v>43132.0</v>
      </c>
      <c r="DA49" s="139">
        <v>43160.0</v>
      </c>
      <c r="DB49" s="139">
        <v>43191.0</v>
      </c>
      <c r="DC49" s="139">
        <v>43221.0</v>
      </c>
      <c r="DD49" s="139">
        <v>43252.0</v>
      </c>
      <c r="DE49" s="139">
        <v>43282.0</v>
      </c>
      <c r="DF49" s="139">
        <v>43313.0</v>
      </c>
      <c r="DG49" s="139">
        <v>43344.0</v>
      </c>
      <c r="DH49" s="139">
        <v>43374.0</v>
      </c>
      <c r="DI49" s="139">
        <v>43405.0</v>
      </c>
      <c r="DJ49" s="139">
        <v>43435.0</v>
      </c>
      <c r="DK49" s="139">
        <v>43466.0</v>
      </c>
      <c r="DL49" s="139">
        <v>43497.0</v>
      </c>
      <c r="DM49" s="139">
        <v>43525.0</v>
      </c>
      <c r="DN49" s="139">
        <v>43556.0</v>
      </c>
      <c r="DO49" s="139">
        <v>43586.0</v>
      </c>
      <c r="DP49" s="139">
        <v>43617.0</v>
      </c>
      <c r="DQ49" s="139">
        <v>43647.0</v>
      </c>
      <c r="DR49" s="139">
        <v>43678.0</v>
      </c>
      <c r="DS49" s="139">
        <v>43709.0</v>
      </c>
      <c r="DT49" s="139">
        <v>43739.0</v>
      </c>
      <c r="DU49" s="139">
        <v>43770.0</v>
      </c>
      <c r="DV49" s="139">
        <v>43800.0</v>
      </c>
      <c r="DW49" s="139">
        <v>43831.0</v>
      </c>
      <c r="DX49" s="139">
        <v>43862.0</v>
      </c>
      <c r="DY49" s="139">
        <v>43891.0</v>
      </c>
      <c r="DZ49" s="139">
        <v>43922.0</v>
      </c>
      <c r="EA49" s="139">
        <v>43952.0</v>
      </c>
      <c r="EB49" s="139">
        <v>43983.0</v>
      </c>
      <c r="EC49" s="139">
        <v>44013.0</v>
      </c>
      <c r="ED49" s="139">
        <v>44044.0</v>
      </c>
      <c r="EE49" s="139">
        <v>44075.0</v>
      </c>
      <c r="EF49" s="139">
        <v>44105.0</v>
      </c>
      <c r="EG49" s="139">
        <v>44136.0</v>
      </c>
      <c r="EH49" s="139">
        <v>44166.0</v>
      </c>
      <c r="EI49" s="139">
        <v>44197.0</v>
      </c>
      <c r="EJ49" s="139">
        <v>44228.0</v>
      </c>
      <c r="EK49" s="139">
        <v>44256.0</v>
      </c>
      <c r="EL49" s="139">
        <v>44287.0</v>
      </c>
      <c r="EM49" s="139">
        <v>44317.0</v>
      </c>
      <c r="EN49" s="139">
        <v>44348.0</v>
      </c>
      <c r="EO49" s="139">
        <v>44378.0</v>
      </c>
      <c r="EP49" s="139">
        <v>44409.0</v>
      </c>
      <c r="EQ49" s="139">
        <v>44440.0</v>
      </c>
      <c r="ER49" s="139">
        <v>44470.0</v>
      </c>
      <c r="ES49" s="139">
        <v>44501.0</v>
      </c>
      <c r="ET49" s="139">
        <v>44531.0</v>
      </c>
      <c r="EU49" s="139">
        <v>44562.0</v>
      </c>
      <c r="EV49" s="139">
        <v>44593.0</v>
      </c>
      <c r="EW49" s="139">
        <v>44621.0</v>
      </c>
      <c r="EX49" s="139">
        <v>44652.0</v>
      </c>
      <c r="EY49" s="139">
        <v>44682.0</v>
      </c>
      <c r="EZ49" s="139">
        <v>44713.0</v>
      </c>
      <c r="FA49" s="139">
        <v>44743.0</v>
      </c>
      <c r="FB49" s="139">
        <v>44774.0</v>
      </c>
      <c r="FC49" s="139">
        <v>44805.0</v>
      </c>
      <c r="FD49" s="139">
        <v>44835.0</v>
      </c>
      <c r="FE49" s="139">
        <v>44866.0</v>
      </c>
      <c r="FF49" s="139">
        <v>44896.0</v>
      </c>
      <c r="FG49" s="139">
        <v>44927.0</v>
      </c>
      <c r="FH49" s="139">
        <v>44958.0</v>
      </c>
      <c r="FI49" s="139">
        <v>44986.0</v>
      </c>
      <c r="FJ49" s="139">
        <v>45017.0</v>
      </c>
      <c r="FK49" s="139">
        <v>45047.0</v>
      </c>
      <c r="FL49" s="139">
        <v>45078.0</v>
      </c>
      <c r="FM49" s="139">
        <v>45108.0</v>
      </c>
      <c r="FN49" s="139">
        <v>45139.0</v>
      </c>
      <c r="FO49" s="139">
        <v>45170.0</v>
      </c>
      <c r="FP49" s="139">
        <v>45200.0</v>
      </c>
      <c r="FQ49" s="139">
        <v>45231.0</v>
      </c>
      <c r="FR49" s="139">
        <v>45261.0</v>
      </c>
      <c r="FS49" s="139">
        <v>45292.0</v>
      </c>
      <c r="FT49" s="139">
        <v>45323.0</v>
      </c>
      <c r="FU49" s="139">
        <v>45352.0</v>
      </c>
      <c r="FV49" s="139">
        <v>45383.0</v>
      </c>
      <c r="FW49" s="139">
        <v>45413.0</v>
      </c>
      <c r="FX49" s="139">
        <v>45444.0</v>
      </c>
      <c r="FY49" s="139">
        <v>45474.0</v>
      </c>
      <c r="FZ49" s="139">
        <v>45505.0</v>
      </c>
      <c r="GA49" s="139">
        <v>45536.0</v>
      </c>
      <c r="GB49" s="139">
        <v>45566.0</v>
      </c>
      <c r="GC49" s="139">
        <v>45597.0</v>
      </c>
      <c r="GD49" s="139">
        <v>45627.0</v>
      </c>
      <c r="GE49" s="139">
        <v>45658.0</v>
      </c>
      <c r="GF49" s="139">
        <v>45689.0</v>
      </c>
      <c r="GG49" s="139">
        <v>45717.0</v>
      </c>
      <c r="GH49" s="139">
        <v>45748.0</v>
      </c>
      <c r="GI49" s="139">
        <v>45778.0</v>
      </c>
      <c r="GJ49" s="139">
        <v>45809.0</v>
      </c>
      <c r="GK49" s="139">
        <v>45839.0</v>
      </c>
    </row>
    <row r="50">
      <c r="A50" s="132" t="s">
        <v>33995</v>
      </c>
      <c r="B50" s="133" t="s">
        <v>1196</v>
      </c>
      <c r="C50" s="134">
        <v>42755.70398148148</v>
      </c>
      <c r="D50" s="135" t="str">
        <f t="shared" si="1"/>
        <v>2017/01/20</v>
      </c>
      <c r="E50" s="136" t="s">
        <v>33996</v>
      </c>
      <c r="F50" s="137">
        <v>0.00291</v>
      </c>
      <c r="G50" s="138">
        <v>40179.0</v>
      </c>
      <c r="H50" s="138">
        <v>40210.0</v>
      </c>
      <c r="I50" s="138">
        <v>40238.0</v>
      </c>
      <c r="J50" s="138">
        <v>40269.0</v>
      </c>
      <c r="K50" s="138">
        <v>40299.0</v>
      </c>
      <c r="L50" s="138">
        <v>40330.0</v>
      </c>
      <c r="M50" s="138">
        <v>40360.0</v>
      </c>
      <c r="N50" s="138">
        <v>40391.0</v>
      </c>
      <c r="O50" s="138">
        <v>40422.0</v>
      </c>
      <c r="P50" s="138">
        <v>40452.0</v>
      </c>
      <c r="Q50" s="138">
        <v>40483.0</v>
      </c>
      <c r="R50" s="138">
        <v>40513.0</v>
      </c>
      <c r="S50" s="138">
        <v>40544.0</v>
      </c>
      <c r="T50" s="138">
        <v>40575.0</v>
      </c>
      <c r="U50" s="138">
        <v>40603.0</v>
      </c>
      <c r="V50" s="138">
        <v>40634.0</v>
      </c>
      <c r="W50" s="138">
        <v>40664.0</v>
      </c>
      <c r="X50" s="138">
        <v>40695.0</v>
      </c>
      <c r="Y50" s="138">
        <v>40725.0</v>
      </c>
      <c r="Z50" s="138">
        <v>40756.0</v>
      </c>
      <c r="AA50" s="138">
        <v>40787.0</v>
      </c>
      <c r="AB50" s="138">
        <v>40817.0</v>
      </c>
      <c r="AC50" s="138">
        <v>40848.0</v>
      </c>
      <c r="AD50" s="138">
        <v>40878.0</v>
      </c>
      <c r="AE50" s="138">
        <v>40909.0</v>
      </c>
      <c r="AF50" s="138">
        <v>40940.0</v>
      </c>
      <c r="AG50" s="138">
        <v>40969.0</v>
      </c>
      <c r="AH50" s="138">
        <v>41000.0</v>
      </c>
      <c r="AI50" s="138">
        <v>41030.0</v>
      </c>
      <c r="AJ50" s="138">
        <v>41061.0</v>
      </c>
      <c r="AK50" s="138">
        <v>41091.0</v>
      </c>
      <c r="AL50" s="138">
        <v>41122.0</v>
      </c>
      <c r="AM50" s="138">
        <v>41153.0</v>
      </c>
      <c r="AN50" s="138">
        <v>41183.0</v>
      </c>
      <c r="AO50" s="138">
        <v>41214.0</v>
      </c>
      <c r="AP50" s="138">
        <v>41244.0</v>
      </c>
      <c r="AQ50" s="138">
        <v>41275.0</v>
      </c>
      <c r="AR50" s="138">
        <v>41306.0</v>
      </c>
      <c r="AS50" s="138">
        <v>41334.0</v>
      </c>
      <c r="AT50" s="138">
        <v>41365.0</v>
      </c>
      <c r="AU50" s="138">
        <v>41395.0</v>
      </c>
      <c r="AV50" s="138">
        <v>41426.0</v>
      </c>
      <c r="AW50" s="138">
        <v>41456.0</v>
      </c>
      <c r="AX50" s="138">
        <v>41487.0</v>
      </c>
      <c r="AY50" s="138">
        <v>41518.0</v>
      </c>
      <c r="AZ50" s="138">
        <v>41548.0</v>
      </c>
      <c r="BA50" s="138">
        <v>41579.0</v>
      </c>
      <c r="BB50" s="138">
        <v>41609.0</v>
      </c>
      <c r="BC50" s="138">
        <v>41640.0</v>
      </c>
      <c r="BD50" s="138">
        <v>41671.0</v>
      </c>
      <c r="BE50" s="138">
        <v>41699.0</v>
      </c>
      <c r="BF50" s="138">
        <v>41730.0</v>
      </c>
      <c r="BG50" s="138">
        <v>41760.0</v>
      </c>
      <c r="BH50" s="138">
        <v>41791.0</v>
      </c>
      <c r="BI50" s="138">
        <v>41821.0</v>
      </c>
      <c r="BJ50" s="138">
        <v>41852.0</v>
      </c>
      <c r="BK50" s="138">
        <v>41883.0</v>
      </c>
      <c r="BL50" s="138">
        <v>41913.0</v>
      </c>
      <c r="BM50" s="138">
        <v>41944.0</v>
      </c>
      <c r="BN50" s="138">
        <v>41974.0</v>
      </c>
      <c r="BO50" s="138">
        <v>42005.0</v>
      </c>
      <c r="BP50" s="138">
        <v>42036.0</v>
      </c>
      <c r="BQ50" s="138">
        <v>42064.0</v>
      </c>
      <c r="BR50" s="138">
        <v>42095.0</v>
      </c>
      <c r="BS50" s="138">
        <v>42125.0</v>
      </c>
      <c r="BT50" s="138">
        <v>42156.0</v>
      </c>
      <c r="BU50" s="138">
        <v>42186.0</v>
      </c>
      <c r="BV50" s="138">
        <v>42217.0</v>
      </c>
      <c r="BW50" s="138">
        <v>42248.0</v>
      </c>
      <c r="BX50" s="138">
        <v>42278.0</v>
      </c>
      <c r="BY50" s="138">
        <v>42309.0</v>
      </c>
      <c r="BZ50" s="138">
        <v>42339.0</v>
      </c>
      <c r="CA50" s="138">
        <v>42370.0</v>
      </c>
      <c r="CB50" s="138">
        <v>42401.0</v>
      </c>
      <c r="CC50" s="138">
        <v>42430.0</v>
      </c>
      <c r="CD50" s="138">
        <v>42461.0</v>
      </c>
      <c r="CE50" s="138">
        <v>42491.0</v>
      </c>
      <c r="CF50" s="138">
        <v>42522.0</v>
      </c>
      <c r="CG50" s="138">
        <v>42552.0</v>
      </c>
      <c r="CH50" s="138">
        <v>42583.0</v>
      </c>
      <c r="CI50" s="138">
        <v>42614.0</v>
      </c>
      <c r="CJ50" s="138">
        <v>42644.0</v>
      </c>
      <c r="CK50" s="138">
        <v>42675.0</v>
      </c>
      <c r="CL50" s="138">
        <v>42705.0</v>
      </c>
      <c r="CM50" s="138">
        <v>42736.0</v>
      </c>
      <c r="CN50" s="139">
        <v>42767.0</v>
      </c>
      <c r="CO50" s="139">
        <v>42795.0</v>
      </c>
      <c r="CP50" s="139">
        <v>42826.0</v>
      </c>
      <c r="CQ50" s="139">
        <v>42856.0</v>
      </c>
      <c r="CR50" s="139">
        <v>42887.0</v>
      </c>
      <c r="CS50" s="139">
        <v>42917.0</v>
      </c>
      <c r="CT50" s="139">
        <v>42948.0</v>
      </c>
      <c r="CU50" s="139">
        <v>42979.0</v>
      </c>
      <c r="CV50" s="139">
        <v>43009.0</v>
      </c>
      <c r="CW50" s="139">
        <v>43040.0</v>
      </c>
      <c r="CX50" s="139">
        <v>43070.0</v>
      </c>
      <c r="CY50" s="139">
        <v>43101.0</v>
      </c>
      <c r="CZ50" s="139">
        <v>43132.0</v>
      </c>
      <c r="DA50" s="139">
        <v>43160.0</v>
      </c>
      <c r="DB50" s="139">
        <v>43191.0</v>
      </c>
      <c r="DC50" s="139">
        <v>43221.0</v>
      </c>
      <c r="DD50" s="139">
        <v>43252.0</v>
      </c>
      <c r="DE50" s="139">
        <v>43282.0</v>
      </c>
      <c r="DF50" s="139">
        <v>43313.0</v>
      </c>
      <c r="DG50" s="139">
        <v>43344.0</v>
      </c>
      <c r="DH50" s="139">
        <v>43374.0</v>
      </c>
      <c r="DI50" s="139">
        <v>43405.0</v>
      </c>
      <c r="DJ50" s="139">
        <v>43435.0</v>
      </c>
      <c r="DK50" s="139">
        <v>43466.0</v>
      </c>
      <c r="DL50" s="139">
        <v>43497.0</v>
      </c>
      <c r="DM50" s="139">
        <v>43525.0</v>
      </c>
      <c r="DN50" s="139">
        <v>43556.0</v>
      </c>
      <c r="DO50" s="139">
        <v>43586.0</v>
      </c>
      <c r="DP50" s="139">
        <v>43617.0</v>
      </c>
      <c r="DQ50" s="139">
        <v>43647.0</v>
      </c>
      <c r="DR50" s="139">
        <v>43678.0</v>
      </c>
      <c r="DS50" s="139">
        <v>43709.0</v>
      </c>
      <c r="DT50" s="139">
        <v>43739.0</v>
      </c>
      <c r="DU50" s="139">
        <v>43770.0</v>
      </c>
      <c r="DV50" s="139">
        <v>43800.0</v>
      </c>
      <c r="DW50" s="139">
        <v>43831.0</v>
      </c>
      <c r="DX50" s="139">
        <v>43862.0</v>
      </c>
      <c r="DY50" s="139">
        <v>43891.0</v>
      </c>
      <c r="DZ50" s="139">
        <v>43922.0</v>
      </c>
      <c r="EA50" s="139">
        <v>43952.0</v>
      </c>
      <c r="EB50" s="139">
        <v>43983.0</v>
      </c>
      <c r="EC50" s="139">
        <v>44013.0</v>
      </c>
      <c r="ED50" s="139">
        <v>44044.0</v>
      </c>
      <c r="EE50" s="139">
        <v>44075.0</v>
      </c>
      <c r="EF50" s="139">
        <v>44105.0</v>
      </c>
      <c r="EG50" s="139">
        <v>44136.0</v>
      </c>
      <c r="EH50" s="139">
        <v>44166.0</v>
      </c>
      <c r="EI50" s="139">
        <v>44197.0</v>
      </c>
      <c r="EJ50" s="139">
        <v>44228.0</v>
      </c>
      <c r="EK50" s="139">
        <v>44256.0</v>
      </c>
      <c r="EL50" s="139">
        <v>44287.0</v>
      </c>
      <c r="EM50" s="139">
        <v>44317.0</v>
      </c>
      <c r="EN50" s="139">
        <v>44348.0</v>
      </c>
      <c r="EO50" s="139">
        <v>44378.0</v>
      </c>
      <c r="EP50" s="139">
        <v>44409.0</v>
      </c>
      <c r="EQ50" s="139">
        <v>44440.0</v>
      </c>
      <c r="ER50" s="139">
        <v>44470.0</v>
      </c>
      <c r="ES50" s="139">
        <v>44501.0</v>
      </c>
      <c r="ET50" s="139">
        <v>44531.0</v>
      </c>
      <c r="EU50" s="139">
        <v>44562.0</v>
      </c>
      <c r="EV50" s="139">
        <v>44593.0</v>
      </c>
      <c r="EW50" s="139">
        <v>44621.0</v>
      </c>
      <c r="EX50" s="139">
        <v>44652.0</v>
      </c>
      <c r="EY50" s="139">
        <v>44682.0</v>
      </c>
      <c r="EZ50" s="139">
        <v>44713.0</v>
      </c>
      <c r="FA50" s="139">
        <v>44743.0</v>
      </c>
      <c r="FB50" s="139">
        <v>44774.0</v>
      </c>
      <c r="FC50" s="139">
        <v>44805.0</v>
      </c>
      <c r="FD50" s="139">
        <v>44835.0</v>
      </c>
      <c r="FE50" s="139">
        <v>44866.0</v>
      </c>
      <c r="FF50" s="139">
        <v>44896.0</v>
      </c>
      <c r="FG50" s="139">
        <v>44927.0</v>
      </c>
      <c r="FH50" s="139">
        <v>44958.0</v>
      </c>
      <c r="FI50" s="139">
        <v>44986.0</v>
      </c>
      <c r="FJ50" s="139">
        <v>45017.0</v>
      </c>
      <c r="FK50" s="139">
        <v>45047.0</v>
      </c>
      <c r="FL50" s="139">
        <v>45078.0</v>
      </c>
      <c r="FM50" s="139">
        <v>45108.0</v>
      </c>
      <c r="FN50" s="139">
        <v>45139.0</v>
      </c>
      <c r="FO50" s="139">
        <v>45170.0</v>
      </c>
      <c r="FP50" s="139">
        <v>45200.0</v>
      </c>
      <c r="FQ50" s="139">
        <v>45231.0</v>
      </c>
      <c r="FR50" s="139">
        <v>45261.0</v>
      </c>
      <c r="FS50" s="139">
        <v>45292.0</v>
      </c>
      <c r="FT50" s="139">
        <v>45323.0</v>
      </c>
      <c r="FU50" s="139">
        <v>45352.0</v>
      </c>
      <c r="FV50" s="139">
        <v>45383.0</v>
      </c>
      <c r="FW50" s="139">
        <v>45413.0</v>
      </c>
      <c r="FX50" s="139">
        <v>45444.0</v>
      </c>
      <c r="FY50" s="139">
        <v>45474.0</v>
      </c>
      <c r="FZ50" s="139">
        <v>45505.0</v>
      </c>
      <c r="GA50" s="139">
        <v>45536.0</v>
      </c>
      <c r="GB50" s="139">
        <v>45566.0</v>
      </c>
      <c r="GC50" s="139">
        <v>45597.0</v>
      </c>
      <c r="GD50" s="139">
        <v>45627.0</v>
      </c>
      <c r="GE50" s="139">
        <v>45658.0</v>
      </c>
      <c r="GF50" s="139">
        <v>45689.0</v>
      </c>
      <c r="GG50" s="139">
        <v>45717.0</v>
      </c>
      <c r="GH50" s="139">
        <v>45748.0</v>
      </c>
      <c r="GI50" s="139">
        <v>45778.0</v>
      </c>
      <c r="GJ50" s="139">
        <v>45809.0</v>
      </c>
      <c r="GK50" s="139">
        <v>45839.0</v>
      </c>
    </row>
    <row r="51">
      <c r="A51" s="132" t="s">
        <v>33997</v>
      </c>
      <c r="B51" s="133" t="s">
        <v>1235</v>
      </c>
      <c r="C51" s="134">
        <v>42758.48758101852</v>
      </c>
      <c r="D51" s="135" t="str">
        <f t="shared" si="1"/>
        <v>2017/01/23</v>
      </c>
      <c r="E51" s="136" t="s">
        <v>33998</v>
      </c>
      <c r="F51" s="137">
        <v>8.0E-4</v>
      </c>
      <c r="G51" s="138">
        <v>40179.0</v>
      </c>
      <c r="H51" s="138">
        <v>40210.0</v>
      </c>
      <c r="I51" s="138">
        <v>40238.0</v>
      </c>
      <c r="J51" s="138">
        <v>40269.0</v>
      </c>
      <c r="K51" s="138">
        <v>40299.0</v>
      </c>
      <c r="L51" s="138">
        <v>40330.0</v>
      </c>
      <c r="M51" s="138">
        <v>40360.0</v>
      </c>
      <c r="N51" s="138">
        <v>40391.0</v>
      </c>
      <c r="O51" s="138">
        <v>40422.0</v>
      </c>
      <c r="P51" s="138">
        <v>40452.0</v>
      </c>
      <c r="Q51" s="138">
        <v>40483.0</v>
      </c>
      <c r="R51" s="138">
        <v>40513.0</v>
      </c>
      <c r="S51" s="138">
        <v>40544.0</v>
      </c>
      <c r="T51" s="138">
        <v>40575.0</v>
      </c>
      <c r="U51" s="138">
        <v>40603.0</v>
      </c>
      <c r="V51" s="138">
        <v>40634.0</v>
      </c>
      <c r="W51" s="138">
        <v>40664.0</v>
      </c>
      <c r="X51" s="138">
        <v>40695.0</v>
      </c>
      <c r="Y51" s="138">
        <v>40725.0</v>
      </c>
      <c r="Z51" s="138">
        <v>40756.0</v>
      </c>
      <c r="AA51" s="138">
        <v>40787.0</v>
      </c>
      <c r="AB51" s="138">
        <v>40817.0</v>
      </c>
      <c r="AC51" s="138">
        <v>40848.0</v>
      </c>
      <c r="AD51" s="138">
        <v>40878.0</v>
      </c>
      <c r="AE51" s="138">
        <v>40909.0</v>
      </c>
      <c r="AF51" s="138">
        <v>40940.0</v>
      </c>
      <c r="AG51" s="138">
        <v>40969.0</v>
      </c>
      <c r="AH51" s="138">
        <v>41000.0</v>
      </c>
      <c r="AI51" s="138">
        <v>41030.0</v>
      </c>
      <c r="AJ51" s="138">
        <v>41061.0</v>
      </c>
      <c r="AK51" s="138">
        <v>41091.0</v>
      </c>
      <c r="AL51" s="138">
        <v>41122.0</v>
      </c>
      <c r="AM51" s="138">
        <v>41153.0</v>
      </c>
      <c r="AN51" s="138">
        <v>41183.0</v>
      </c>
      <c r="AO51" s="138">
        <v>41214.0</v>
      </c>
      <c r="AP51" s="138">
        <v>41244.0</v>
      </c>
      <c r="AQ51" s="138">
        <v>41275.0</v>
      </c>
      <c r="AR51" s="138">
        <v>41306.0</v>
      </c>
      <c r="AS51" s="138">
        <v>41334.0</v>
      </c>
      <c r="AT51" s="138">
        <v>41365.0</v>
      </c>
      <c r="AU51" s="138">
        <v>41395.0</v>
      </c>
      <c r="AV51" s="138">
        <v>41426.0</v>
      </c>
      <c r="AW51" s="138">
        <v>41456.0</v>
      </c>
      <c r="AX51" s="138">
        <v>41487.0</v>
      </c>
      <c r="AY51" s="138">
        <v>41518.0</v>
      </c>
      <c r="AZ51" s="138">
        <v>41548.0</v>
      </c>
      <c r="BA51" s="138">
        <v>41579.0</v>
      </c>
      <c r="BB51" s="138">
        <v>41609.0</v>
      </c>
      <c r="BC51" s="138">
        <v>41640.0</v>
      </c>
      <c r="BD51" s="138">
        <v>41671.0</v>
      </c>
      <c r="BE51" s="138">
        <v>41699.0</v>
      </c>
      <c r="BF51" s="138">
        <v>41730.0</v>
      </c>
      <c r="BG51" s="138">
        <v>41760.0</v>
      </c>
      <c r="BH51" s="138">
        <v>41791.0</v>
      </c>
      <c r="BI51" s="138">
        <v>41821.0</v>
      </c>
      <c r="BJ51" s="138">
        <v>41852.0</v>
      </c>
      <c r="BK51" s="138">
        <v>41883.0</v>
      </c>
      <c r="BL51" s="138">
        <v>41913.0</v>
      </c>
      <c r="BM51" s="138">
        <v>41944.0</v>
      </c>
      <c r="BN51" s="138">
        <v>41974.0</v>
      </c>
      <c r="BO51" s="138">
        <v>42005.0</v>
      </c>
      <c r="BP51" s="138">
        <v>42036.0</v>
      </c>
      <c r="BQ51" s="138">
        <v>42064.0</v>
      </c>
      <c r="BR51" s="138">
        <v>42095.0</v>
      </c>
      <c r="BS51" s="138">
        <v>42125.0</v>
      </c>
      <c r="BT51" s="138">
        <v>42156.0</v>
      </c>
      <c r="BU51" s="138">
        <v>42186.0</v>
      </c>
      <c r="BV51" s="138">
        <v>42217.0</v>
      </c>
      <c r="BW51" s="138">
        <v>42248.0</v>
      </c>
      <c r="BX51" s="138">
        <v>42278.0</v>
      </c>
      <c r="BY51" s="138">
        <v>42309.0</v>
      </c>
      <c r="BZ51" s="138">
        <v>42339.0</v>
      </c>
      <c r="CA51" s="138">
        <v>42370.0</v>
      </c>
      <c r="CB51" s="138">
        <v>42401.0</v>
      </c>
      <c r="CC51" s="138">
        <v>42430.0</v>
      </c>
      <c r="CD51" s="138">
        <v>42461.0</v>
      </c>
      <c r="CE51" s="138">
        <v>42491.0</v>
      </c>
      <c r="CF51" s="138">
        <v>42522.0</v>
      </c>
      <c r="CG51" s="138">
        <v>42552.0</v>
      </c>
      <c r="CH51" s="138">
        <v>42583.0</v>
      </c>
      <c r="CI51" s="138">
        <v>42614.0</v>
      </c>
      <c r="CJ51" s="138">
        <v>42644.0</v>
      </c>
      <c r="CK51" s="138">
        <v>42675.0</v>
      </c>
      <c r="CL51" s="138">
        <v>42705.0</v>
      </c>
      <c r="CM51" s="138">
        <v>42736.0</v>
      </c>
      <c r="CN51" s="139">
        <v>42767.0</v>
      </c>
      <c r="CO51" s="139">
        <v>42795.0</v>
      </c>
      <c r="CP51" s="139">
        <v>42826.0</v>
      </c>
      <c r="CQ51" s="139">
        <v>42856.0</v>
      </c>
      <c r="CR51" s="139">
        <v>42887.0</v>
      </c>
      <c r="CS51" s="139">
        <v>42917.0</v>
      </c>
      <c r="CT51" s="139">
        <v>42948.0</v>
      </c>
      <c r="CU51" s="139">
        <v>42979.0</v>
      </c>
      <c r="CV51" s="139">
        <v>43009.0</v>
      </c>
      <c r="CW51" s="139">
        <v>43040.0</v>
      </c>
      <c r="CX51" s="139">
        <v>43070.0</v>
      </c>
      <c r="CY51" s="139">
        <v>43101.0</v>
      </c>
      <c r="CZ51" s="139">
        <v>43132.0</v>
      </c>
      <c r="DA51" s="139">
        <v>43160.0</v>
      </c>
      <c r="DB51" s="139">
        <v>43191.0</v>
      </c>
      <c r="DC51" s="139">
        <v>43221.0</v>
      </c>
      <c r="DD51" s="139">
        <v>43252.0</v>
      </c>
      <c r="DE51" s="139">
        <v>43282.0</v>
      </c>
      <c r="DF51" s="139">
        <v>43313.0</v>
      </c>
      <c r="DG51" s="139">
        <v>43344.0</v>
      </c>
      <c r="DH51" s="139">
        <v>43374.0</v>
      </c>
      <c r="DI51" s="139">
        <v>43405.0</v>
      </c>
      <c r="DJ51" s="139">
        <v>43435.0</v>
      </c>
      <c r="DK51" s="139">
        <v>43466.0</v>
      </c>
      <c r="DL51" s="139">
        <v>43497.0</v>
      </c>
      <c r="DM51" s="139">
        <v>43525.0</v>
      </c>
      <c r="DN51" s="139">
        <v>43556.0</v>
      </c>
      <c r="DO51" s="139">
        <v>43586.0</v>
      </c>
      <c r="DP51" s="139">
        <v>43617.0</v>
      </c>
      <c r="DQ51" s="139">
        <v>43647.0</v>
      </c>
      <c r="DR51" s="139">
        <v>43678.0</v>
      </c>
      <c r="DS51" s="139">
        <v>43709.0</v>
      </c>
      <c r="DT51" s="139">
        <v>43739.0</v>
      </c>
      <c r="DU51" s="139">
        <v>43770.0</v>
      </c>
      <c r="DV51" s="139">
        <v>43800.0</v>
      </c>
      <c r="DW51" s="139">
        <v>43831.0</v>
      </c>
      <c r="DX51" s="139">
        <v>43862.0</v>
      </c>
      <c r="DY51" s="139">
        <v>43891.0</v>
      </c>
      <c r="DZ51" s="139">
        <v>43922.0</v>
      </c>
      <c r="EA51" s="139">
        <v>43952.0</v>
      </c>
      <c r="EB51" s="139">
        <v>43983.0</v>
      </c>
      <c r="EC51" s="139">
        <v>44013.0</v>
      </c>
      <c r="ED51" s="139">
        <v>44044.0</v>
      </c>
      <c r="EE51" s="139">
        <v>44075.0</v>
      </c>
      <c r="EF51" s="139">
        <v>44105.0</v>
      </c>
      <c r="EG51" s="139">
        <v>44136.0</v>
      </c>
      <c r="EH51" s="139">
        <v>44166.0</v>
      </c>
      <c r="EI51" s="139">
        <v>44197.0</v>
      </c>
      <c r="EJ51" s="139">
        <v>44228.0</v>
      </c>
      <c r="EK51" s="139">
        <v>44256.0</v>
      </c>
      <c r="EL51" s="139">
        <v>44287.0</v>
      </c>
      <c r="EM51" s="139">
        <v>44317.0</v>
      </c>
      <c r="EN51" s="139">
        <v>44348.0</v>
      </c>
      <c r="EO51" s="139">
        <v>44378.0</v>
      </c>
      <c r="EP51" s="139">
        <v>44409.0</v>
      </c>
      <c r="EQ51" s="139">
        <v>44440.0</v>
      </c>
      <c r="ER51" s="139">
        <v>44470.0</v>
      </c>
      <c r="ES51" s="139">
        <v>44501.0</v>
      </c>
      <c r="ET51" s="139">
        <v>44531.0</v>
      </c>
      <c r="EU51" s="139">
        <v>44562.0</v>
      </c>
      <c r="EV51" s="139">
        <v>44593.0</v>
      </c>
      <c r="EW51" s="139">
        <v>44621.0</v>
      </c>
      <c r="EX51" s="139">
        <v>44652.0</v>
      </c>
      <c r="EY51" s="139">
        <v>44682.0</v>
      </c>
      <c r="EZ51" s="139">
        <v>44713.0</v>
      </c>
      <c r="FA51" s="139">
        <v>44743.0</v>
      </c>
      <c r="FB51" s="139">
        <v>44774.0</v>
      </c>
      <c r="FC51" s="139">
        <v>44805.0</v>
      </c>
      <c r="FD51" s="139">
        <v>44835.0</v>
      </c>
      <c r="FE51" s="139">
        <v>44866.0</v>
      </c>
      <c r="FF51" s="139">
        <v>44896.0</v>
      </c>
      <c r="FG51" s="139">
        <v>44927.0</v>
      </c>
      <c r="FH51" s="139">
        <v>44958.0</v>
      </c>
      <c r="FI51" s="139">
        <v>44986.0</v>
      </c>
      <c r="FJ51" s="139">
        <v>45017.0</v>
      </c>
      <c r="FK51" s="139">
        <v>45047.0</v>
      </c>
      <c r="FL51" s="139">
        <v>45078.0</v>
      </c>
      <c r="FM51" s="139">
        <v>45108.0</v>
      </c>
      <c r="FN51" s="139">
        <v>45139.0</v>
      </c>
      <c r="FO51" s="139">
        <v>45170.0</v>
      </c>
      <c r="FP51" s="139">
        <v>45200.0</v>
      </c>
      <c r="FQ51" s="139">
        <v>45231.0</v>
      </c>
      <c r="FR51" s="139">
        <v>45261.0</v>
      </c>
      <c r="FS51" s="139">
        <v>45292.0</v>
      </c>
      <c r="FT51" s="139">
        <v>45323.0</v>
      </c>
      <c r="FU51" s="139">
        <v>45352.0</v>
      </c>
      <c r="FV51" s="139">
        <v>45383.0</v>
      </c>
      <c r="FW51" s="139">
        <v>45413.0</v>
      </c>
      <c r="FX51" s="139">
        <v>45444.0</v>
      </c>
      <c r="FY51" s="139">
        <v>45474.0</v>
      </c>
      <c r="FZ51" s="139">
        <v>45505.0</v>
      </c>
      <c r="GA51" s="139">
        <v>45536.0</v>
      </c>
      <c r="GB51" s="139">
        <v>45566.0</v>
      </c>
      <c r="GC51" s="139">
        <v>45597.0</v>
      </c>
      <c r="GD51" s="139">
        <v>45627.0</v>
      </c>
      <c r="GE51" s="139">
        <v>45658.0</v>
      </c>
      <c r="GF51" s="139">
        <v>45689.0</v>
      </c>
      <c r="GG51" s="139">
        <v>45717.0</v>
      </c>
      <c r="GH51" s="139">
        <v>45748.0</v>
      </c>
      <c r="GI51" s="139">
        <v>45778.0</v>
      </c>
      <c r="GJ51" s="139">
        <v>45809.0</v>
      </c>
      <c r="GK51" s="139">
        <v>45839.0</v>
      </c>
    </row>
    <row r="52">
      <c r="A52" s="132" t="s">
        <v>33999</v>
      </c>
      <c r="B52" s="133" t="s">
        <v>1112</v>
      </c>
      <c r="C52" s="134">
        <v>42809.5209837963</v>
      </c>
      <c r="D52" s="135" t="str">
        <f t="shared" si="1"/>
        <v>2017/03/15</v>
      </c>
      <c r="E52" s="136" t="s">
        <v>34000</v>
      </c>
      <c r="F52" s="137">
        <v>0.00414</v>
      </c>
      <c r="G52" s="138">
        <v>40179.0</v>
      </c>
      <c r="H52" s="138">
        <v>40210.0</v>
      </c>
      <c r="I52" s="138">
        <v>40238.0</v>
      </c>
      <c r="J52" s="138">
        <v>40269.0</v>
      </c>
      <c r="K52" s="138">
        <v>40299.0</v>
      </c>
      <c r="L52" s="138">
        <v>40330.0</v>
      </c>
      <c r="M52" s="138">
        <v>40360.0</v>
      </c>
      <c r="N52" s="138">
        <v>40391.0</v>
      </c>
      <c r="O52" s="138">
        <v>40422.0</v>
      </c>
      <c r="P52" s="138">
        <v>40452.0</v>
      </c>
      <c r="Q52" s="138">
        <v>40483.0</v>
      </c>
      <c r="R52" s="138">
        <v>40513.0</v>
      </c>
      <c r="S52" s="138">
        <v>40544.0</v>
      </c>
      <c r="T52" s="138">
        <v>40575.0</v>
      </c>
      <c r="U52" s="138">
        <v>40603.0</v>
      </c>
      <c r="V52" s="138">
        <v>40634.0</v>
      </c>
      <c r="W52" s="138">
        <v>40664.0</v>
      </c>
      <c r="X52" s="138">
        <v>40695.0</v>
      </c>
      <c r="Y52" s="138">
        <v>40725.0</v>
      </c>
      <c r="Z52" s="138">
        <v>40756.0</v>
      </c>
      <c r="AA52" s="138">
        <v>40787.0</v>
      </c>
      <c r="AB52" s="138">
        <v>40817.0</v>
      </c>
      <c r="AC52" s="138">
        <v>40848.0</v>
      </c>
      <c r="AD52" s="138">
        <v>40878.0</v>
      </c>
      <c r="AE52" s="138">
        <v>40909.0</v>
      </c>
      <c r="AF52" s="138">
        <v>40940.0</v>
      </c>
      <c r="AG52" s="138">
        <v>40969.0</v>
      </c>
      <c r="AH52" s="138">
        <v>41000.0</v>
      </c>
      <c r="AI52" s="138">
        <v>41030.0</v>
      </c>
      <c r="AJ52" s="138">
        <v>41061.0</v>
      </c>
      <c r="AK52" s="138">
        <v>41091.0</v>
      </c>
      <c r="AL52" s="138">
        <v>41122.0</v>
      </c>
      <c r="AM52" s="138">
        <v>41153.0</v>
      </c>
      <c r="AN52" s="138">
        <v>41183.0</v>
      </c>
      <c r="AO52" s="138">
        <v>41214.0</v>
      </c>
      <c r="AP52" s="138">
        <v>41244.0</v>
      </c>
      <c r="AQ52" s="138">
        <v>41275.0</v>
      </c>
      <c r="AR52" s="138">
        <v>41306.0</v>
      </c>
      <c r="AS52" s="138">
        <v>41334.0</v>
      </c>
      <c r="AT52" s="138">
        <v>41365.0</v>
      </c>
      <c r="AU52" s="138">
        <v>41395.0</v>
      </c>
      <c r="AV52" s="138">
        <v>41426.0</v>
      </c>
      <c r="AW52" s="138">
        <v>41456.0</v>
      </c>
      <c r="AX52" s="138">
        <v>41487.0</v>
      </c>
      <c r="AY52" s="138">
        <v>41518.0</v>
      </c>
      <c r="AZ52" s="138">
        <v>41548.0</v>
      </c>
      <c r="BA52" s="138">
        <v>41579.0</v>
      </c>
      <c r="BB52" s="138">
        <v>41609.0</v>
      </c>
      <c r="BC52" s="138">
        <v>41640.0</v>
      </c>
      <c r="BD52" s="138">
        <v>41671.0</v>
      </c>
      <c r="BE52" s="138">
        <v>41699.0</v>
      </c>
      <c r="BF52" s="138">
        <v>41730.0</v>
      </c>
      <c r="BG52" s="138">
        <v>41760.0</v>
      </c>
      <c r="BH52" s="138">
        <v>41791.0</v>
      </c>
      <c r="BI52" s="138">
        <v>41821.0</v>
      </c>
      <c r="BJ52" s="138">
        <v>41852.0</v>
      </c>
      <c r="BK52" s="138">
        <v>41883.0</v>
      </c>
      <c r="BL52" s="138">
        <v>41913.0</v>
      </c>
      <c r="BM52" s="138">
        <v>41944.0</v>
      </c>
      <c r="BN52" s="138">
        <v>41974.0</v>
      </c>
      <c r="BO52" s="138">
        <v>42005.0</v>
      </c>
      <c r="BP52" s="138">
        <v>42036.0</v>
      </c>
      <c r="BQ52" s="138">
        <v>42064.0</v>
      </c>
      <c r="BR52" s="138">
        <v>42095.0</v>
      </c>
      <c r="BS52" s="138">
        <v>42125.0</v>
      </c>
      <c r="BT52" s="138">
        <v>42156.0</v>
      </c>
      <c r="BU52" s="138">
        <v>42186.0</v>
      </c>
      <c r="BV52" s="138">
        <v>42217.0</v>
      </c>
      <c r="BW52" s="138">
        <v>42248.0</v>
      </c>
      <c r="BX52" s="138">
        <v>42278.0</v>
      </c>
      <c r="BY52" s="138">
        <v>42309.0</v>
      </c>
      <c r="BZ52" s="138">
        <v>42339.0</v>
      </c>
      <c r="CA52" s="138">
        <v>42370.0</v>
      </c>
      <c r="CB52" s="138">
        <v>42401.0</v>
      </c>
      <c r="CC52" s="138">
        <v>42430.0</v>
      </c>
      <c r="CD52" s="138">
        <v>42461.0</v>
      </c>
      <c r="CE52" s="138">
        <v>42491.0</v>
      </c>
      <c r="CF52" s="138">
        <v>42522.0</v>
      </c>
      <c r="CG52" s="138">
        <v>42552.0</v>
      </c>
      <c r="CH52" s="138">
        <v>42583.0</v>
      </c>
      <c r="CI52" s="138">
        <v>42614.0</v>
      </c>
      <c r="CJ52" s="138">
        <v>42644.0</v>
      </c>
      <c r="CK52" s="138">
        <v>42675.0</v>
      </c>
      <c r="CL52" s="138">
        <v>42705.0</v>
      </c>
      <c r="CM52" s="138">
        <v>42736.0</v>
      </c>
      <c r="CN52" s="138">
        <v>42767.0</v>
      </c>
      <c r="CO52" s="138">
        <v>42795.0</v>
      </c>
      <c r="CP52" s="139">
        <v>42826.0</v>
      </c>
      <c r="CQ52" s="139">
        <v>42856.0</v>
      </c>
      <c r="CR52" s="139">
        <v>42887.0</v>
      </c>
      <c r="CS52" s="139">
        <v>42917.0</v>
      </c>
      <c r="CT52" s="139">
        <v>42948.0</v>
      </c>
      <c r="CU52" s="139">
        <v>42979.0</v>
      </c>
      <c r="CV52" s="139">
        <v>43009.0</v>
      </c>
      <c r="CW52" s="139">
        <v>43040.0</v>
      </c>
      <c r="CX52" s="139">
        <v>43070.0</v>
      </c>
      <c r="CY52" s="139">
        <v>43101.0</v>
      </c>
      <c r="CZ52" s="139">
        <v>43132.0</v>
      </c>
      <c r="DA52" s="139">
        <v>43160.0</v>
      </c>
      <c r="DB52" s="139">
        <v>43191.0</v>
      </c>
      <c r="DC52" s="139">
        <v>43221.0</v>
      </c>
      <c r="DD52" s="139">
        <v>43252.0</v>
      </c>
      <c r="DE52" s="139">
        <v>43282.0</v>
      </c>
      <c r="DF52" s="139">
        <v>43313.0</v>
      </c>
      <c r="DG52" s="139">
        <v>43344.0</v>
      </c>
      <c r="DH52" s="139">
        <v>43374.0</v>
      </c>
      <c r="DI52" s="139">
        <v>43405.0</v>
      </c>
      <c r="DJ52" s="139">
        <v>43435.0</v>
      </c>
      <c r="DK52" s="139">
        <v>43466.0</v>
      </c>
      <c r="DL52" s="139">
        <v>43497.0</v>
      </c>
      <c r="DM52" s="139">
        <v>43525.0</v>
      </c>
      <c r="DN52" s="139">
        <v>43556.0</v>
      </c>
      <c r="DO52" s="139">
        <v>43586.0</v>
      </c>
      <c r="DP52" s="139">
        <v>43617.0</v>
      </c>
      <c r="DQ52" s="139">
        <v>43647.0</v>
      </c>
      <c r="DR52" s="139">
        <v>43678.0</v>
      </c>
      <c r="DS52" s="139">
        <v>43709.0</v>
      </c>
      <c r="DT52" s="139">
        <v>43739.0</v>
      </c>
      <c r="DU52" s="139">
        <v>43770.0</v>
      </c>
      <c r="DV52" s="139">
        <v>43800.0</v>
      </c>
      <c r="DW52" s="139">
        <v>43831.0</v>
      </c>
      <c r="DX52" s="139">
        <v>43862.0</v>
      </c>
      <c r="DY52" s="139">
        <v>43891.0</v>
      </c>
      <c r="DZ52" s="139">
        <v>43922.0</v>
      </c>
      <c r="EA52" s="139">
        <v>43952.0</v>
      </c>
      <c r="EB52" s="139">
        <v>43983.0</v>
      </c>
      <c r="EC52" s="139">
        <v>44013.0</v>
      </c>
      <c r="ED52" s="139">
        <v>44044.0</v>
      </c>
      <c r="EE52" s="139">
        <v>44075.0</v>
      </c>
      <c r="EF52" s="139">
        <v>44105.0</v>
      </c>
      <c r="EG52" s="139">
        <v>44136.0</v>
      </c>
      <c r="EH52" s="139">
        <v>44166.0</v>
      </c>
      <c r="EI52" s="139">
        <v>44197.0</v>
      </c>
      <c r="EJ52" s="139">
        <v>44228.0</v>
      </c>
      <c r="EK52" s="139">
        <v>44256.0</v>
      </c>
      <c r="EL52" s="139">
        <v>44287.0</v>
      </c>
      <c r="EM52" s="139">
        <v>44317.0</v>
      </c>
      <c r="EN52" s="139">
        <v>44348.0</v>
      </c>
      <c r="EO52" s="139">
        <v>44378.0</v>
      </c>
      <c r="EP52" s="139">
        <v>44409.0</v>
      </c>
      <c r="EQ52" s="139">
        <v>44440.0</v>
      </c>
      <c r="ER52" s="139">
        <v>44470.0</v>
      </c>
      <c r="ES52" s="139">
        <v>44501.0</v>
      </c>
      <c r="ET52" s="139">
        <v>44531.0</v>
      </c>
      <c r="EU52" s="139">
        <v>44562.0</v>
      </c>
      <c r="EV52" s="139">
        <v>44593.0</v>
      </c>
      <c r="EW52" s="139">
        <v>44621.0</v>
      </c>
      <c r="EX52" s="139">
        <v>44652.0</v>
      </c>
      <c r="EY52" s="139">
        <v>44682.0</v>
      </c>
      <c r="EZ52" s="139">
        <v>44713.0</v>
      </c>
      <c r="FA52" s="139">
        <v>44743.0</v>
      </c>
      <c r="FB52" s="139">
        <v>44774.0</v>
      </c>
      <c r="FC52" s="139">
        <v>44805.0</v>
      </c>
      <c r="FD52" s="139">
        <v>44835.0</v>
      </c>
      <c r="FE52" s="139">
        <v>44866.0</v>
      </c>
      <c r="FF52" s="139">
        <v>44896.0</v>
      </c>
      <c r="FG52" s="139">
        <v>44927.0</v>
      </c>
      <c r="FH52" s="139">
        <v>44958.0</v>
      </c>
      <c r="FI52" s="139">
        <v>44986.0</v>
      </c>
      <c r="FJ52" s="139">
        <v>45017.0</v>
      </c>
      <c r="FK52" s="139">
        <v>45047.0</v>
      </c>
      <c r="FL52" s="139">
        <v>45078.0</v>
      </c>
      <c r="FM52" s="139">
        <v>45108.0</v>
      </c>
      <c r="FN52" s="139">
        <v>45139.0</v>
      </c>
      <c r="FO52" s="139">
        <v>45170.0</v>
      </c>
      <c r="FP52" s="139">
        <v>45200.0</v>
      </c>
      <c r="FQ52" s="139">
        <v>45231.0</v>
      </c>
      <c r="FR52" s="139">
        <v>45261.0</v>
      </c>
      <c r="FS52" s="139">
        <v>45292.0</v>
      </c>
      <c r="FT52" s="139">
        <v>45323.0</v>
      </c>
      <c r="FU52" s="139">
        <v>45352.0</v>
      </c>
      <c r="FV52" s="139">
        <v>45383.0</v>
      </c>
      <c r="FW52" s="139">
        <v>45413.0</v>
      </c>
      <c r="FX52" s="139">
        <v>45444.0</v>
      </c>
      <c r="FY52" s="139">
        <v>45474.0</v>
      </c>
      <c r="FZ52" s="139">
        <v>45505.0</v>
      </c>
      <c r="GA52" s="139">
        <v>45536.0</v>
      </c>
      <c r="GB52" s="139">
        <v>45566.0</v>
      </c>
      <c r="GC52" s="139">
        <v>45597.0</v>
      </c>
      <c r="GD52" s="139">
        <v>45627.0</v>
      </c>
      <c r="GE52" s="139">
        <v>45658.0</v>
      </c>
      <c r="GF52" s="139">
        <v>45689.0</v>
      </c>
      <c r="GG52" s="139">
        <v>45717.0</v>
      </c>
      <c r="GH52" s="139">
        <v>45748.0</v>
      </c>
      <c r="GI52" s="139">
        <v>45778.0</v>
      </c>
      <c r="GJ52" s="139">
        <v>45809.0</v>
      </c>
      <c r="GK52" s="139">
        <v>45839.0</v>
      </c>
    </row>
    <row r="53">
      <c r="A53" s="132" t="s">
        <v>34001</v>
      </c>
      <c r="B53" s="133" t="s">
        <v>1135</v>
      </c>
      <c r="C53" s="134">
        <v>42836.61420138889</v>
      </c>
      <c r="D53" s="135" t="str">
        <f t="shared" si="1"/>
        <v>2017/04/11</v>
      </c>
      <c r="E53" s="136" t="s">
        <v>34002</v>
      </c>
      <c r="F53" s="137">
        <v>1.0E-5</v>
      </c>
      <c r="G53" s="138">
        <v>40179.0</v>
      </c>
      <c r="H53" s="138">
        <v>40210.0</v>
      </c>
      <c r="I53" s="138">
        <v>40238.0</v>
      </c>
      <c r="J53" s="138">
        <v>40269.0</v>
      </c>
      <c r="K53" s="138">
        <v>40299.0</v>
      </c>
      <c r="L53" s="138">
        <v>40330.0</v>
      </c>
      <c r="M53" s="138">
        <v>40360.0</v>
      </c>
      <c r="N53" s="138">
        <v>40391.0</v>
      </c>
      <c r="O53" s="138">
        <v>40422.0</v>
      </c>
      <c r="P53" s="138">
        <v>40452.0</v>
      </c>
      <c r="Q53" s="138">
        <v>40483.0</v>
      </c>
      <c r="R53" s="138">
        <v>40513.0</v>
      </c>
      <c r="S53" s="138">
        <v>40544.0</v>
      </c>
      <c r="T53" s="138">
        <v>40575.0</v>
      </c>
      <c r="U53" s="138">
        <v>40603.0</v>
      </c>
      <c r="V53" s="138">
        <v>40634.0</v>
      </c>
      <c r="W53" s="138">
        <v>40664.0</v>
      </c>
      <c r="X53" s="138">
        <v>40695.0</v>
      </c>
      <c r="Y53" s="138">
        <v>40725.0</v>
      </c>
      <c r="Z53" s="138">
        <v>40756.0</v>
      </c>
      <c r="AA53" s="138">
        <v>40787.0</v>
      </c>
      <c r="AB53" s="138">
        <v>40817.0</v>
      </c>
      <c r="AC53" s="138">
        <v>40848.0</v>
      </c>
      <c r="AD53" s="138">
        <v>40878.0</v>
      </c>
      <c r="AE53" s="138">
        <v>40909.0</v>
      </c>
      <c r="AF53" s="138">
        <v>40940.0</v>
      </c>
      <c r="AG53" s="138">
        <v>40969.0</v>
      </c>
      <c r="AH53" s="138">
        <v>41000.0</v>
      </c>
      <c r="AI53" s="138">
        <v>41030.0</v>
      </c>
      <c r="AJ53" s="138">
        <v>41061.0</v>
      </c>
      <c r="AK53" s="138">
        <v>41091.0</v>
      </c>
      <c r="AL53" s="138">
        <v>41122.0</v>
      </c>
      <c r="AM53" s="138">
        <v>41153.0</v>
      </c>
      <c r="AN53" s="138">
        <v>41183.0</v>
      </c>
      <c r="AO53" s="138">
        <v>41214.0</v>
      </c>
      <c r="AP53" s="138">
        <v>41244.0</v>
      </c>
      <c r="AQ53" s="138">
        <v>41275.0</v>
      </c>
      <c r="AR53" s="138">
        <v>41306.0</v>
      </c>
      <c r="AS53" s="138">
        <v>41334.0</v>
      </c>
      <c r="AT53" s="138">
        <v>41365.0</v>
      </c>
      <c r="AU53" s="138">
        <v>41395.0</v>
      </c>
      <c r="AV53" s="138">
        <v>41426.0</v>
      </c>
      <c r="AW53" s="138">
        <v>41456.0</v>
      </c>
      <c r="AX53" s="138">
        <v>41487.0</v>
      </c>
      <c r="AY53" s="138">
        <v>41518.0</v>
      </c>
      <c r="AZ53" s="138">
        <v>41548.0</v>
      </c>
      <c r="BA53" s="138">
        <v>41579.0</v>
      </c>
      <c r="BB53" s="138">
        <v>41609.0</v>
      </c>
      <c r="BC53" s="138">
        <v>41640.0</v>
      </c>
      <c r="BD53" s="138">
        <v>41671.0</v>
      </c>
      <c r="BE53" s="138">
        <v>41699.0</v>
      </c>
      <c r="BF53" s="138">
        <v>41730.0</v>
      </c>
      <c r="BG53" s="138">
        <v>41760.0</v>
      </c>
      <c r="BH53" s="138">
        <v>41791.0</v>
      </c>
      <c r="BI53" s="138">
        <v>41821.0</v>
      </c>
      <c r="BJ53" s="138">
        <v>41852.0</v>
      </c>
      <c r="BK53" s="138">
        <v>41883.0</v>
      </c>
      <c r="BL53" s="138">
        <v>41913.0</v>
      </c>
      <c r="BM53" s="138">
        <v>41944.0</v>
      </c>
      <c r="BN53" s="138">
        <v>41974.0</v>
      </c>
      <c r="BO53" s="138">
        <v>42005.0</v>
      </c>
      <c r="BP53" s="138">
        <v>42036.0</v>
      </c>
      <c r="BQ53" s="138">
        <v>42064.0</v>
      </c>
      <c r="BR53" s="138">
        <v>42095.0</v>
      </c>
      <c r="BS53" s="138">
        <v>42125.0</v>
      </c>
      <c r="BT53" s="138">
        <v>42156.0</v>
      </c>
      <c r="BU53" s="138">
        <v>42186.0</v>
      </c>
      <c r="BV53" s="138">
        <v>42217.0</v>
      </c>
      <c r="BW53" s="138">
        <v>42248.0</v>
      </c>
      <c r="BX53" s="138">
        <v>42278.0</v>
      </c>
      <c r="BY53" s="138">
        <v>42309.0</v>
      </c>
      <c r="BZ53" s="138">
        <v>42339.0</v>
      </c>
      <c r="CA53" s="138">
        <v>42370.0</v>
      </c>
      <c r="CB53" s="138">
        <v>42401.0</v>
      </c>
      <c r="CC53" s="138">
        <v>42430.0</v>
      </c>
      <c r="CD53" s="138">
        <v>42461.0</v>
      </c>
      <c r="CE53" s="138">
        <v>42491.0</v>
      </c>
      <c r="CF53" s="138">
        <v>42522.0</v>
      </c>
      <c r="CG53" s="138">
        <v>42552.0</v>
      </c>
      <c r="CH53" s="138">
        <v>42583.0</v>
      </c>
      <c r="CI53" s="138">
        <v>42614.0</v>
      </c>
      <c r="CJ53" s="138">
        <v>42644.0</v>
      </c>
      <c r="CK53" s="138">
        <v>42675.0</v>
      </c>
      <c r="CL53" s="138">
        <v>42705.0</v>
      </c>
      <c r="CM53" s="138">
        <v>42736.0</v>
      </c>
      <c r="CN53" s="138">
        <v>42767.0</v>
      </c>
      <c r="CO53" s="138">
        <v>42795.0</v>
      </c>
      <c r="CP53" s="138">
        <v>42826.0</v>
      </c>
      <c r="CQ53" s="139">
        <v>42856.0</v>
      </c>
      <c r="CR53" s="139">
        <v>42887.0</v>
      </c>
      <c r="CS53" s="139">
        <v>42917.0</v>
      </c>
      <c r="CT53" s="139">
        <v>42948.0</v>
      </c>
      <c r="CU53" s="139">
        <v>42979.0</v>
      </c>
      <c r="CV53" s="139">
        <v>43009.0</v>
      </c>
      <c r="CW53" s="139">
        <v>43040.0</v>
      </c>
      <c r="CX53" s="139">
        <v>43070.0</v>
      </c>
      <c r="CY53" s="139">
        <v>43101.0</v>
      </c>
      <c r="CZ53" s="139">
        <v>43132.0</v>
      </c>
      <c r="DA53" s="139">
        <v>43160.0</v>
      </c>
      <c r="DB53" s="139">
        <v>43191.0</v>
      </c>
      <c r="DC53" s="139">
        <v>43221.0</v>
      </c>
      <c r="DD53" s="139">
        <v>43252.0</v>
      </c>
      <c r="DE53" s="139">
        <v>43282.0</v>
      </c>
      <c r="DF53" s="139">
        <v>43313.0</v>
      </c>
      <c r="DG53" s="139">
        <v>43344.0</v>
      </c>
      <c r="DH53" s="139">
        <v>43374.0</v>
      </c>
      <c r="DI53" s="139">
        <v>43405.0</v>
      </c>
      <c r="DJ53" s="139">
        <v>43435.0</v>
      </c>
      <c r="DK53" s="139">
        <v>43466.0</v>
      </c>
      <c r="DL53" s="139">
        <v>43497.0</v>
      </c>
      <c r="DM53" s="139">
        <v>43525.0</v>
      </c>
      <c r="DN53" s="139">
        <v>43556.0</v>
      </c>
      <c r="DO53" s="139">
        <v>43586.0</v>
      </c>
      <c r="DP53" s="139">
        <v>43617.0</v>
      </c>
      <c r="DQ53" s="139">
        <v>43647.0</v>
      </c>
      <c r="DR53" s="139">
        <v>43678.0</v>
      </c>
      <c r="DS53" s="139">
        <v>43709.0</v>
      </c>
      <c r="DT53" s="139">
        <v>43739.0</v>
      </c>
      <c r="DU53" s="139">
        <v>43770.0</v>
      </c>
      <c r="DV53" s="139">
        <v>43800.0</v>
      </c>
      <c r="DW53" s="139">
        <v>43831.0</v>
      </c>
      <c r="DX53" s="139">
        <v>43862.0</v>
      </c>
      <c r="DY53" s="139">
        <v>43891.0</v>
      </c>
      <c r="DZ53" s="139">
        <v>43922.0</v>
      </c>
      <c r="EA53" s="139">
        <v>43952.0</v>
      </c>
      <c r="EB53" s="139">
        <v>43983.0</v>
      </c>
      <c r="EC53" s="139">
        <v>44013.0</v>
      </c>
      <c r="ED53" s="139">
        <v>44044.0</v>
      </c>
      <c r="EE53" s="139">
        <v>44075.0</v>
      </c>
      <c r="EF53" s="139">
        <v>44105.0</v>
      </c>
      <c r="EG53" s="139">
        <v>44136.0</v>
      </c>
      <c r="EH53" s="139">
        <v>44166.0</v>
      </c>
      <c r="EI53" s="139">
        <v>44197.0</v>
      </c>
      <c r="EJ53" s="139">
        <v>44228.0</v>
      </c>
      <c r="EK53" s="139">
        <v>44256.0</v>
      </c>
      <c r="EL53" s="139">
        <v>44287.0</v>
      </c>
      <c r="EM53" s="139">
        <v>44317.0</v>
      </c>
      <c r="EN53" s="139">
        <v>44348.0</v>
      </c>
      <c r="EO53" s="139">
        <v>44378.0</v>
      </c>
      <c r="EP53" s="139">
        <v>44409.0</v>
      </c>
      <c r="EQ53" s="139">
        <v>44440.0</v>
      </c>
      <c r="ER53" s="139">
        <v>44470.0</v>
      </c>
      <c r="ES53" s="139">
        <v>44501.0</v>
      </c>
      <c r="ET53" s="139">
        <v>44531.0</v>
      </c>
      <c r="EU53" s="139">
        <v>44562.0</v>
      </c>
      <c r="EV53" s="139">
        <v>44593.0</v>
      </c>
      <c r="EW53" s="139">
        <v>44621.0</v>
      </c>
      <c r="EX53" s="139">
        <v>44652.0</v>
      </c>
      <c r="EY53" s="139">
        <v>44682.0</v>
      </c>
      <c r="EZ53" s="139">
        <v>44713.0</v>
      </c>
      <c r="FA53" s="139">
        <v>44743.0</v>
      </c>
      <c r="FB53" s="139">
        <v>44774.0</v>
      </c>
      <c r="FC53" s="139">
        <v>44805.0</v>
      </c>
      <c r="FD53" s="139">
        <v>44835.0</v>
      </c>
      <c r="FE53" s="139">
        <v>44866.0</v>
      </c>
      <c r="FF53" s="139">
        <v>44896.0</v>
      </c>
      <c r="FG53" s="139">
        <v>44927.0</v>
      </c>
      <c r="FH53" s="139">
        <v>44958.0</v>
      </c>
      <c r="FI53" s="139">
        <v>44986.0</v>
      </c>
      <c r="FJ53" s="139">
        <v>45017.0</v>
      </c>
      <c r="FK53" s="139">
        <v>45047.0</v>
      </c>
      <c r="FL53" s="139">
        <v>45078.0</v>
      </c>
      <c r="FM53" s="139">
        <v>45108.0</v>
      </c>
      <c r="FN53" s="139">
        <v>45139.0</v>
      </c>
      <c r="FO53" s="139">
        <v>45170.0</v>
      </c>
      <c r="FP53" s="139">
        <v>45200.0</v>
      </c>
      <c r="FQ53" s="139">
        <v>45231.0</v>
      </c>
      <c r="FR53" s="139">
        <v>45261.0</v>
      </c>
      <c r="FS53" s="139">
        <v>45292.0</v>
      </c>
      <c r="FT53" s="139">
        <v>45323.0</v>
      </c>
      <c r="FU53" s="139">
        <v>45352.0</v>
      </c>
      <c r="FV53" s="139">
        <v>45383.0</v>
      </c>
      <c r="FW53" s="139">
        <v>45413.0</v>
      </c>
      <c r="FX53" s="139">
        <v>45444.0</v>
      </c>
      <c r="FY53" s="139">
        <v>45474.0</v>
      </c>
      <c r="FZ53" s="139">
        <v>45505.0</v>
      </c>
      <c r="GA53" s="139">
        <v>45536.0</v>
      </c>
      <c r="GB53" s="139">
        <v>45566.0</v>
      </c>
      <c r="GC53" s="139">
        <v>45597.0</v>
      </c>
      <c r="GD53" s="139">
        <v>45627.0</v>
      </c>
      <c r="GE53" s="139">
        <v>45658.0</v>
      </c>
      <c r="GF53" s="139">
        <v>45689.0</v>
      </c>
      <c r="GG53" s="139">
        <v>45717.0</v>
      </c>
      <c r="GH53" s="139">
        <v>45748.0</v>
      </c>
      <c r="GI53" s="139">
        <v>45778.0</v>
      </c>
      <c r="GJ53" s="139">
        <v>45809.0</v>
      </c>
      <c r="GK53" s="139">
        <v>45839.0</v>
      </c>
    </row>
    <row r="54">
      <c r="A54" s="132" t="s">
        <v>34003</v>
      </c>
      <c r="B54" s="133" t="s">
        <v>432</v>
      </c>
      <c r="C54" s="134">
        <v>42837.488344907404</v>
      </c>
      <c r="D54" s="135" t="str">
        <f t="shared" si="1"/>
        <v>2017/04/12</v>
      </c>
      <c r="E54" s="136" t="s">
        <v>34004</v>
      </c>
      <c r="F54" s="137">
        <v>2.0E-5</v>
      </c>
      <c r="G54" s="138">
        <v>40179.0</v>
      </c>
      <c r="H54" s="138">
        <v>40210.0</v>
      </c>
      <c r="I54" s="138">
        <v>40238.0</v>
      </c>
      <c r="J54" s="138">
        <v>40269.0</v>
      </c>
      <c r="K54" s="138">
        <v>40299.0</v>
      </c>
      <c r="L54" s="138">
        <v>40330.0</v>
      </c>
      <c r="M54" s="138">
        <v>40360.0</v>
      </c>
      <c r="N54" s="138">
        <v>40391.0</v>
      </c>
      <c r="O54" s="138">
        <v>40422.0</v>
      </c>
      <c r="P54" s="138">
        <v>40452.0</v>
      </c>
      <c r="Q54" s="138">
        <v>40483.0</v>
      </c>
      <c r="R54" s="138">
        <v>40513.0</v>
      </c>
      <c r="S54" s="138">
        <v>40544.0</v>
      </c>
      <c r="T54" s="138">
        <v>40575.0</v>
      </c>
      <c r="U54" s="138">
        <v>40603.0</v>
      </c>
      <c r="V54" s="138">
        <v>40634.0</v>
      </c>
      <c r="W54" s="138">
        <v>40664.0</v>
      </c>
      <c r="X54" s="138">
        <v>40695.0</v>
      </c>
      <c r="Y54" s="138">
        <v>40725.0</v>
      </c>
      <c r="Z54" s="138">
        <v>40756.0</v>
      </c>
      <c r="AA54" s="138">
        <v>40787.0</v>
      </c>
      <c r="AB54" s="138">
        <v>40817.0</v>
      </c>
      <c r="AC54" s="138">
        <v>40848.0</v>
      </c>
      <c r="AD54" s="138">
        <v>40878.0</v>
      </c>
      <c r="AE54" s="138">
        <v>40909.0</v>
      </c>
      <c r="AF54" s="138">
        <v>40940.0</v>
      </c>
      <c r="AG54" s="138">
        <v>40969.0</v>
      </c>
      <c r="AH54" s="138">
        <v>41000.0</v>
      </c>
      <c r="AI54" s="138">
        <v>41030.0</v>
      </c>
      <c r="AJ54" s="138">
        <v>41061.0</v>
      </c>
      <c r="AK54" s="138">
        <v>41091.0</v>
      </c>
      <c r="AL54" s="138">
        <v>41122.0</v>
      </c>
      <c r="AM54" s="138">
        <v>41153.0</v>
      </c>
      <c r="AN54" s="138">
        <v>41183.0</v>
      </c>
      <c r="AO54" s="138">
        <v>41214.0</v>
      </c>
      <c r="AP54" s="138">
        <v>41244.0</v>
      </c>
      <c r="AQ54" s="138">
        <v>41275.0</v>
      </c>
      <c r="AR54" s="138">
        <v>41306.0</v>
      </c>
      <c r="AS54" s="138">
        <v>41334.0</v>
      </c>
      <c r="AT54" s="138">
        <v>41365.0</v>
      </c>
      <c r="AU54" s="138">
        <v>41395.0</v>
      </c>
      <c r="AV54" s="138">
        <v>41426.0</v>
      </c>
      <c r="AW54" s="138">
        <v>41456.0</v>
      </c>
      <c r="AX54" s="138">
        <v>41487.0</v>
      </c>
      <c r="AY54" s="138">
        <v>41518.0</v>
      </c>
      <c r="AZ54" s="138">
        <v>41548.0</v>
      </c>
      <c r="BA54" s="138">
        <v>41579.0</v>
      </c>
      <c r="BB54" s="138">
        <v>41609.0</v>
      </c>
      <c r="BC54" s="138">
        <v>41640.0</v>
      </c>
      <c r="BD54" s="138">
        <v>41671.0</v>
      </c>
      <c r="BE54" s="138">
        <v>41699.0</v>
      </c>
      <c r="BF54" s="138">
        <v>41730.0</v>
      </c>
      <c r="BG54" s="138">
        <v>41760.0</v>
      </c>
      <c r="BH54" s="138">
        <v>41791.0</v>
      </c>
      <c r="BI54" s="138">
        <v>41821.0</v>
      </c>
      <c r="BJ54" s="138">
        <v>41852.0</v>
      </c>
      <c r="BK54" s="138">
        <v>41883.0</v>
      </c>
      <c r="BL54" s="138">
        <v>41913.0</v>
      </c>
      <c r="BM54" s="138">
        <v>41944.0</v>
      </c>
      <c r="BN54" s="138">
        <v>41974.0</v>
      </c>
      <c r="BO54" s="138">
        <v>42005.0</v>
      </c>
      <c r="BP54" s="138">
        <v>42036.0</v>
      </c>
      <c r="BQ54" s="138">
        <v>42064.0</v>
      </c>
      <c r="BR54" s="138">
        <v>42095.0</v>
      </c>
      <c r="BS54" s="138">
        <v>42125.0</v>
      </c>
      <c r="BT54" s="138">
        <v>42156.0</v>
      </c>
      <c r="BU54" s="138">
        <v>42186.0</v>
      </c>
      <c r="BV54" s="138">
        <v>42217.0</v>
      </c>
      <c r="BW54" s="138">
        <v>42248.0</v>
      </c>
      <c r="BX54" s="138">
        <v>42278.0</v>
      </c>
      <c r="BY54" s="138">
        <v>42309.0</v>
      </c>
      <c r="BZ54" s="138">
        <v>42339.0</v>
      </c>
      <c r="CA54" s="138">
        <v>42370.0</v>
      </c>
      <c r="CB54" s="138">
        <v>42401.0</v>
      </c>
      <c r="CC54" s="138">
        <v>42430.0</v>
      </c>
      <c r="CD54" s="138">
        <v>42461.0</v>
      </c>
      <c r="CE54" s="138">
        <v>42491.0</v>
      </c>
      <c r="CF54" s="138">
        <v>42522.0</v>
      </c>
      <c r="CG54" s="138">
        <v>42552.0</v>
      </c>
      <c r="CH54" s="138">
        <v>42583.0</v>
      </c>
      <c r="CI54" s="138">
        <v>42614.0</v>
      </c>
      <c r="CJ54" s="138">
        <v>42644.0</v>
      </c>
      <c r="CK54" s="138">
        <v>42675.0</v>
      </c>
      <c r="CL54" s="138">
        <v>42705.0</v>
      </c>
      <c r="CM54" s="138">
        <v>42736.0</v>
      </c>
      <c r="CN54" s="138">
        <v>42767.0</v>
      </c>
      <c r="CO54" s="138">
        <v>42795.0</v>
      </c>
      <c r="CP54" s="138">
        <v>42826.0</v>
      </c>
      <c r="CQ54" s="139">
        <v>42856.0</v>
      </c>
      <c r="CR54" s="139">
        <v>42887.0</v>
      </c>
      <c r="CS54" s="139">
        <v>42917.0</v>
      </c>
      <c r="CT54" s="139">
        <v>42948.0</v>
      </c>
      <c r="CU54" s="139">
        <v>42979.0</v>
      </c>
      <c r="CV54" s="139">
        <v>43009.0</v>
      </c>
      <c r="CW54" s="139">
        <v>43040.0</v>
      </c>
      <c r="CX54" s="139">
        <v>43070.0</v>
      </c>
      <c r="CY54" s="139">
        <v>43101.0</v>
      </c>
      <c r="CZ54" s="139">
        <v>43132.0</v>
      </c>
      <c r="DA54" s="139">
        <v>43160.0</v>
      </c>
      <c r="DB54" s="139">
        <v>43191.0</v>
      </c>
      <c r="DC54" s="139">
        <v>43221.0</v>
      </c>
      <c r="DD54" s="139">
        <v>43252.0</v>
      </c>
      <c r="DE54" s="139">
        <v>43282.0</v>
      </c>
      <c r="DF54" s="139">
        <v>43313.0</v>
      </c>
      <c r="DG54" s="139">
        <v>43344.0</v>
      </c>
      <c r="DH54" s="139">
        <v>43374.0</v>
      </c>
      <c r="DI54" s="139">
        <v>43405.0</v>
      </c>
      <c r="DJ54" s="139">
        <v>43435.0</v>
      </c>
      <c r="DK54" s="139">
        <v>43466.0</v>
      </c>
      <c r="DL54" s="139">
        <v>43497.0</v>
      </c>
      <c r="DM54" s="139">
        <v>43525.0</v>
      </c>
      <c r="DN54" s="139">
        <v>43556.0</v>
      </c>
      <c r="DO54" s="139">
        <v>43586.0</v>
      </c>
      <c r="DP54" s="139">
        <v>43617.0</v>
      </c>
      <c r="DQ54" s="139">
        <v>43647.0</v>
      </c>
      <c r="DR54" s="139">
        <v>43678.0</v>
      </c>
      <c r="DS54" s="139">
        <v>43709.0</v>
      </c>
      <c r="DT54" s="139">
        <v>43739.0</v>
      </c>
      <c r="DU54" s="139">
        <v>43770.0</v>
      </c>
      <c r="DV54" s="139">
        <v>43800.0</v>
      </c>
      <c r="DW54" s="139">
        <v>43831.0</v>
      </c>
      <c r="DX54" s="139">
        <v>43862.0</v>
      </c>
      <c r="DY54" s="139">
        <v>43891.0</v>
      </c>
      <c r="DZ54" s="139">
        <v>43922.0</v>
      </c>
      <c r="EA54" s="139">
        <v>43952.0</v>
      </c>
      <c r="EB54" s="139">
        <v>43983.0</v>
      </c>
      <c r="EC54" s="139">
        <v>44013.0</v>
      </c>
      <c r="ED54" s="139">
        <v>44044.0</v>
      </c>
      <c r="EE54" s="139">
        <v>44075.0</v>
      </c>
      <c r="EF54" s="139">
        <v>44105.0</v>
      </c>
      <c r="EG54" s="139">
        <v>44136.0</v>
      </c>
      <c r="EH54" s="139">
        <v>44166.0</v>
      </c>
      <c r="EI54" s="139">
        <v>44197.0</v>
      </c>
      <c r="EJ54" s="139">
        <v>44228.0</v>
      </c>
      <c r="EK54" s="139">
        <v>44256.0</v>
      </c>
      <c r="EL54" s="139">
        <v>44287.0</v>
      </c>
      <c r="EM54" s="139">
        <v>44317.0</v>
      </c>
      <c r="EN54" s="139">
        <v>44348.0</v>
      </c>
      <c r="EO54" s="139">
        <v>44378.0</v>
      </c>
      <c r="EP54" s="139">
        <v>44409.0</v>
      </c>
      <c r="EQ54" s="139">
        <v>44440.0</v>
      </c>
      <c r="ER54" s="139">
        <v>44470.0</v>
      </c>
      <c r="ES54" s="139">
        <v>44501.0</v>
      </c>
      <c r="ET54" s="139">
        <v>44531.0</v>
      </c>
      <c r="EU54" s="139">
        <v>44562.0</v>
      </c>
      <c r="EV54" s="139">
        <v>44593.0</v>
      </c>
      <c r="EW54" s="139">
        <v>44621.0</v>
      </c>
      <c r="EX54" s="139">
        <v>44652.0</v>
      </c>
      <c r="EY54" s="139">
        <v>44682.0</v>
      </c>
      <c r="EZ54" s="139">
        <v>44713.0</v>
      </c>
      <c r="FA54" s="139">
        <v>44743.0</v>
      </c>
      <c r="FB54" s="139">
        <v>44774.0</v>
      </c>
      <c r="FC54" s="139">
        <v>44805.0</v>
      </c>
      <c r="FD54" s="139">
        <v>44835.0</v>
      </c>
      <c r="FE54" s="139">
        <v>44866.0</v>
      </c>
      <c r="FF54" s="139">
        <v>44896.0</v>
      </c>
      <c r="FG54" s="139">
        <v>44927.0</v>
      </c>
      <c r="FH54" s="139">
        <v>44958.0</v>
      </c>
      <c r="FI54" s="139">
        <v>44986.0</v>
      </c>
      <c r="FJ54" s="139">
        <v>45017.0</v>
      </c>
      <c r="FK54" s="139">
        <v>45047.0</v>
      </c>
      <c r="FL54" s="139">
        <v>45078.0</v>
      </c>
      <c r="FM54" s="139">
        <v>45108.0</v>
      </c>
      <c r="FN54" s="139">
        <v>45139.0</v>
      </c>
      <c r="FO54" s="139">
        <v>45170.0</v>
      </c>
      <c r="FP54" s="139">
        <v>45200.0</v>
      </c>
      <c r="FQ54" s="139">
        <v>45231.0</v>
      </c>
      <c r="FR54" s="139">
        <v>45261.0</v>
      </c>
      <c r="FS54" s="139">
        <v>45292.0</v>
      </c>
      <c r="FT54" s="139">
        <v>45323.0</v>
      </c>
      <c r="FU54" s="139">
        <v>45352.0</v>
      </c>
      <c r="FV54" s="139">
        <v>45383.0</v>
      </c>
      <c r="FW54" s="139">
        <v>45413.0</v>
      </c>
      <c r="FX54" s="139">
        <v>45444.0</v>
      </c>
      <c r="FY54" s="139">
        <v>45474.0</v>
      </c>
      <c r="FZ54" s="139">
        <v>45505.0</v>
      </c>
      <c r="GA54" s="139">
        <v>45536.0</v>
      </c>
      <c r="GB54" s="139">
        <v>45566.0</v>
      </c>
      <c r="GC54" s="139">
        <v>45597.0</v>
      </c>
      <c r="GD54" s="139">
        <v>45627.0</v>
      </c>
      <c r="GE54" s="139">
        <v>45658.0</v>
      </c>
      <c r="GF54" s="139">
        <v>45689.0</v>
      </c>
      <c r="GG54" s="139">
        <v>45717.0</v>
      </c>
      <c r="GH54" s="139">
        <v>45748.0</v>
      </c>
      <c r="GI54" s="139">
        <v>45778.0</v>
      </c>
      <c r="GJ54" s="139">
        <v>45809.0</v>
      </c>
      <c r="GK54" s="139">
        <v>45839.0</v>
      </c>
    </row>
    <row r="55">
      <c r="A55" s="132" t="s">
        <v>34005</v>
      </c>
      <c r="B55" s="133" t="s">
        <v>1320</v>
      </c>
      <c r="C55" s="134">
        <v>42897.62944444444</v>
      </c>
      <c r="D55" s="135" t="str">
        <f t="shared" si="1"/>
        <v>2017/06/11</v>
      </c>
      <c r="E55" s="136" t="s">
        <v>33912</v>
      </c>
      <c r="F55" s="137">
        <v>0.0</v>
      </c>
      <c r="G55" s="138">
        <v>40179.0</v>
      </c>
      <c r="H55" s="138">
        <v>40210.0</v>
      </c>
      <c r="I55" s="138">
        <v>40238.0</v>
      </c>
      <c r="J55" s="138">
        <v>40269.0</v>
      </c>
      <c r="K55" s="138">
        <v>40299.0</v>
      </c>
      <c r="L55" s="138">
        <v>40330.0</v>
      </c>
      <c r="M55" s="138">
        <v>40360.0</v>
      </c>
      <c r="N55" s="138">
        <v>40391.0</v>
      </c>
      <c r="O55" s="138">
        <v>40422.0</v>
      </c>
      <c r="P55" s="138">
        <v>40452.0</v>
      </c>
      <c r="Q55" s="138">
        <v>40483.0</v>
      </c>
      <c r="R55" s="138">
        <v>40513.0</v>
      </c>
      <c r="S55" s="138">
        <v>40544.0</v>
      </c>
      <c r="T55" s="138">
        <v>40575.0</v>
      </c>
      <c r="U55" s="138">
        <v>40603.0</v>
      </c>
      <c r="V55" s="138">
        <v>40634.0</v>
      </c>
      <c r="W55" s="138">
        <v>40664.0</v>
      </c>
      <c r="X55" s="138">
        <v>40695.0</v>
      </c>
      <c r="Y55" s="138">
        <v>40725.0</v>
      </c>
      <c r="Z55" s="138">
        <v>40756.0</v>
      </c>
      <c r="AA55" s="138">
        <v>40787.0</v>
      </c>
      <c r="AB55" s="138">
        <v>40817.0</v>
      </c>
      <c r="AC55" s="138">
        <v>40848.0</v>
      </c>
      <c r="AD55" s="138">
        <v>40878.0</v>
      </c>
      <c r="AE55" s="138">
        <v>40909.0</v>
      </c>
      <c r="AF55" s="138">
        <v>40940.0</v>
      </c>
      <c r="AG55" s="138">
        <v>40969.0</v>
      </c>
      <c r="AH55" s="138">
        <v>41000.0</v>
      </c>
      <c r="AI55" s="138">
        <v>41030.0</v>
      </c>
      <c r="AJ55" s="138">
        <v>41061.0</v>
      </c>
      <c r="AK55" s="138">
        <v>41091.0</v>
      </c>
      <c r="AL55" s="138">
        <v>41122.0</v>
      </c>
      <c r="AM55" s="138">
        <v>41153.0</v>
      </c>
      <c r="AN55" s="138">
        <v>41183.0</v>
      </c>
      <c r="AO55" s="138">
        <v>41214.0</v>
      </c>
      <c r="AP55" s="138">
        <v>41244.0</v>
      </c>
      <c r="AQ55" s="138">
        <v>41275.0</v>
      </c>
      <c r="AR55" s="138">
        <v>41306.0</v>
      </c>
      <c r="AS55" s="138">
        <v>41334.0</v>
      </c>
      <c r="AT55" s="138">
        <v>41365.0</v>
      </c>
      <c r="AU55" s="138">
        <v>41395.0</v>
      </c>
      <c r="AV55" s="138">
        <v>41426.0</v>
      </c>
      <c r="AW55" s="138">
        <v>41456.0</v>
      </c>
      <c r="AX55" s="138">
        <v>41487.0</v>
      </c>
      <c r="AY55" s="138">
        <v>41518.0</v>
      </c>
      <c r="AZ55" s="138">
        <v>41548.0</v>
      </c>
      <c r="BA55" s="138">
        <v>41579.0</v>
      </c>
      <c r="BB55" s="138">
        <v>41609.0</v>
      </c>
      <c r="BC55" s="138">
        <v>41640.0</v>
      </c>
      <c r="BD55" s="138">
        <v>41671.0</v>
      </c>
      <c r="BE55" s="138">
        <v>41699.0</v>
      </c>
      <c r="BF55" s="138">
        <v>41730.0</v>
      </c>
      <c r="BG55" s="138">
        <v>41760.0</v>
      </c>
      <c r="BH55" s="138">
        <v>41791.0</v>
      </c>
      <c r="BI55" s="138">
        <v>41821.0</v>
      </c>
      <c r="BJ55" s="138">
        <v>41852.0</v>
      </c>
      <c r="BK55" s="138">
        <v>41883.0</v>
      </c>
      <c r="BL55" s="138">
        <v>41913.0</v>
      </c>
      <c r="BM55" s="138">
        <v>41944.0</v>
      </c>
      <c r="BN55" s="138">
        <v>41974.0</v>
      </c>
      <c r="BO55" s="138">
        <v>42005.0</v>
      </c>
      <c r="BP55" s="138">
        <v>42036.0</v>
      </c>
      <c r="BQ55" s="138">
        <v>42064.0</v>
      </c>
      <c r="BR55" s="138">
        <v>42095.0</v>
      </c>
      <c r="BS55" s="138">
        <v>42125.0</v>
      </c>
      <c r="BT55" s="138">
        <v>42156.0</v>
      </c>
      <c r="BU55" s="138">
        <v>42186.0</v>
      </c>
      <c r="BV55" s="138">
        <v>42217.0</v>
      </c>
      <c r="BW55" s="138">
        <v>42248.0</v>
      </c>
      <c r="BX55" s="138">
        <v>42278.0</v>
      </c>
      <c r="BY55" s="138">
        <v>42309.0</v>
      </c>
      <c r="BZ55" s="138">
        <v>42339.0</v>
      </c>
      <c r="CA55" s="138">
        <v>42370.0</v>
      </c>
      <c r="CB55" s="138">
        <v>42401.0</v>
      </c>
      <c r="CC55" s="138">
        <v>42430.0</v>
      </c>
      <c r="CD55" s="138">
        <v>42461.0</v>
      </c>
      <c r="CE55" s="138">
        <v>42491.0</v>
      </c>
      <c r="CF55" s="138">
        <v>42522.0</v>
      </c>
      <c r="CG55" s="138">
        <v>42552.0</v>
      </c>
      <c r="CH55" s="138">
        <v>42583.0</v>
      </c>
      <c r="CI55" s="138">
        <v>42614.0</v>
      </c>
      <c r="CJ55" s="138">
        <v>42644.0</v>
      </c>
      <c r="CK55" s="138">
        <v>42675.0</v>
      </c>
      <c r="CL55" s="138">
        <v>42705.0</v>
      </c>
      <c r="CM55" s="138">
        <v>42736.0</v>
      </c>
      <c r="CN55" s="138">
        <v>42767.0</v>
      </c>
      <c r="CO55" s="138">
        <v>42795.0</v>
      </c>
      <c r="CP55" s="138">
        <v>42826.0</v>
      </c>
      <c r="CQ55" s="138">
        <v>42856.0</v>
      </c>
      <c r="CR55" s="138">
        <v>42887.0</v>
      </c>
      <c r="CS55" s="139">
        <v>42917.0</v>
      </c>
      <c r="CT55" s="139">
        <v>42948.0</v>
      </c>
      <c r="CU55" s="139">
        <v>42979.0</v>
      </c>
      <c r="CV55" s="139">
        <v>43009.0</v>
      </c>
      <c r="CW55" s="139">
        <v>43040.0</v>
      </c>
      <c r="CX55" s="139">
        <v>43070.0</v>
      </c>
      <c r="CY55" s="139">
        <v>43101.0</v>
      </c>
      <c r="CZ55" s="139">
        <v>43132.0</v>
      </c>
      <c r="DA55" s="139">
        <v>43160.0</v>
      </c>
      <c r="DB55" s="139">
        <v>43191.0</v>
      </c>
      <c r="DC55" s="139">
        <v>43221.0</v>
      </c>
      <c r="DD55" s="139">
        <v>43252.0</v>
      </c>
      <c r="DE55" s="139">
        <v>43282.0</v>
      </c>
      <c r="DF55" s="139">
        <v>43313.0</v>
      </c>
      <c r="DG55" s="139">
        <v>43344.0</v>
      </c>
      <c r="DH55" s="139">
        <v>43374.0</v>
      </c>
      <c r="DI55" s="139">
        <v>43405.0</v>
      </c>
      <c r="DJ55" s="139">
        <v>43435.0</v>
      </c>
      <c r="DK55" s="139">
        <v>43466.0</v>
      </c>
      <c r="DL55" s="139">
        <v>43497.0</v>
      </c>
      <c r="DM55" s="139">
        <v>43525.0</v>
      </c>
      <c r="DN55" s="139">
        <v>43556.0</v>
      </c>
      <c r="DO55" s="139">
        <v>43586.0</v>
      </c>
      <c r="DP55" s="139">
        <v>43617.0</v>
      </c>
      <c r="DQ55" s="139">
        <v>43647.0</v>
      </c>
      <c r="DR55" s="139">
        <v>43678.0</v>
      </c>
      <c r="DS55" s="139">
        <v>43709.0</v>
      </c>
      <c r="DT55" s="139">
        <v>43739.0</v>
      </c>
      <c r="DU55" s="139">
        <v>43770.0</v>
      </c>
      <c r="DV55" s="139">
        <v>43800.0</v>
      </c>
      <c r="DW55" s="139">
        <v>43831.0</v>
      </c>
      <c r="DX55" s="139">
        <v>43862.0</v>
      </c>
      <c r="DY55" s="139">
        <v>43891.0</v>
      </c>
      <c r="DZ55" s="139">
        <v>43922.0</v>
      </c>
      <c r="EA55" s="139">
        <v>43952.0</v>
      </c>
      <c r="EB55" s="139">
        <v>43983.0</v>
      </c>
      <c r="EC55" s="139">
        <v>44013.0</v>
      </c>
      <c r="ED55" s="139">
        <v>44044.0</v>
      </c>
      <c r="EE55" s="139">
        <v>44075.0</v>
      </c>
      <c r="EF55" s="139">
        <v>44105.0</v>
      </c>
      <c r="EG55" s="139">
        <v>44136.0</v>
      </c>
      <c r="EH55" s="139">
        <v>44166.0</v>
      </c>
      <c r="EI55" s="139">
        <v>44197.0</v>
      </c>
      <c r="EJ55" s="139">
        <v>44228.0</v>
      </c>
      <c r="EK55" s="139">
        <v>44256.0</v>
      </c>
      <c r="EL55" s="139">
        <v>44287.0</v>
      </c>
      <c r="EM55" s="139">
        <v>44317.0</v>
      </c>
      <c r="EN55" s="139">
        <v>44348.0</v>
      </c>
      <c r="EO55" s="139">
        <v>44378.0</v>
      </c>
      <c r="EP55" s="139">
        <v>44409.0</v>
      </c>
      <c r="EQ55" s="139">
        <v>44440.0</v>
      </c>
      <c r="ER55" s="139">
        <v>44470.0</v>
      </c>
      <c r="ES55" s="139">
        <v>44501.0</v>
      </c>
      <c r="ET55" s="139">
        <v>44531.0</v>
      </c>
      <c r="EU55" s="139">
        <v>44562.0</v>
      </c>
      <c r="EV55" s="139">
        <v>44593.0</v>
      </c>
      <c r="EW55" s="139">
        <v>44621.0</v>
      </c>
      <c r="EX55" s="139">
        <v>44652.0</v>
      </c>
      <c r="EY55" s="139">
        <v>44682.0</v>
      </c>
      <c r="EZ55" s="139">
        <v>44713.0</v>
      </c>
      <c r="FA55" s="139">
        <v>44743.0</v>
      </c>
      <c r="FB55" s="139">
        <v>44774.0</v>
      </c>
      <c r="FC55" s="139">
        <v>44805.0</v>
      </c>
      <c r="FD55" s="139">
        <v>44835.0</v>
      </c>
      <c r="FE55" s="139">
        <v>44866.0</v>
      </c>
      <c r="FF55" s="139">
        <v>44896.0</v>
      </c>
      <c r="FG55" s="139">
        <v>44927.0</v>
      </c>
      <c r="FH55" s="139">
        <v>44958.0</v>
      </c>
      <c r="FI55" s="139">
        <v>44986.0</v>
      </c>
      <c r="FJ55" s="139">
        <v>45017.0</v>
      </c>
      <c r="FK55" s="139">
        <v>45047.0</v>
      </c>
      <c r="FL55" s="139">
        <v>45078.0</v>
      </c>
      <c r="FM55" s="139">
        <v>45108.0</v>
      </c>
      <c r="FN55" s="139">
        <v>45139.0</v>
      </c>
      <c r="FO55" s="139">
        <v>45170.0</v>
      </c>
      <c r="FP55" s="139">
        <v>45200.0</v>
      </c>
      <c r="FQ55" s="139">
        <v>45231.0</v>
      </c>
      <c r="FR55" s="139">
        <v>45261.0</v>
      </c>
      <c r="FS55" s="139">
        <v>45292.0</v>
      </c>
      <c r="FT55" s="139">
        <v>45323.0</v>
      </c>
      <c r="FU55" s="139">
        <v>45352.0</v>
      </c>
      <c r="FV55" s="139">
        <v>45383.0</v>
      </c>
      <c r="FW55" s="139">
        <v>45413.0</v>
      </c>
      <c r="FX55" s="139">
        <v>45444.0</v>
      </c>
      <c r="FY55" s="139">
        <v>45474.0</v>
      </c>
      <c r="FZ55" s="139">
        <v>45505.0</v>
      </c>
      <c r="GA55" s="139">
        <v>45536.0</v>
      </c>
      <c r="GB55" s="139">
        <v>45566.0</v>
      </c>
      <c r="GC55" s="139">
        <v>45597.0</v>
      </c>
      <c r="GD55" s="139">
        <v>45627.0</v>
      </c>
      <c r="GE55" s="139">
        <v>45658.0</v>
      </c>
      <c r="GF55" s="139">
        <v>45689.0</v>
      </c>
      <c r="GG55" s="139">
        <v>45717.0</v>
      </c>
      <c r="GH55" s="139">
        <v>45748.0</v>
      </c>
      <c r="GI55" s="139">
        <v>45778.0</v>
      </c>
      <c r="GJ55" s="139">
        <v>45809.0</v>
      </c>
      <c r="GK55" s="139">
        <v>45839.0</v>
      </c>
    </row>
    <row r="56">
      <c r="A56" s="132" t="s">
        <v>34006</v>
      </c>
      <c r="B56" s="133" t="s">
        <v>1187</v>
      </c>
      <c r="C56" s="134">
        <v>42902.731527777774</v>
      </c>
      <c r="D56" s="135" t="str">
        <f t="shared" si="1"/>
        <v>2017/06/16</v>
      </c>
      <c r="E56" s="136" t="s">
        <v>34007</v>
      </c>
      <c r="F56" s="137">
        <v>9.3E-4</v>
      </c>
      <c r="G56" s="138">
        <v>40179.0</v>
      </c>
      <c r="H56" s="138">
        <v>40210.0</v>
      </c>
      <c r="I56" s="138">
        <v>40238.0</v>
      </c>
      <c r="J56" s="138">
        <v>40269.0</v>
      </c>
      <c r="K56" s="138">
        <v>40299.0</v>
      </c>
      <c r="L56" s="138">
        <v>40330.0</v>
      </c>
      <c r="M56" s="138">
        <v>40360.0</v>
      </c>
      <c r="N56" s="138">
        <v>40391.0</v>
      </c>
      <c r="O56" s="138">
        <v>40422.0</v>
      </c>
      <c r="P56" s="138">
        <v>40452.0</v>
      </c>
      <c r="Q56" s="138">
        <v>40483.0</v>
      </c>
      <c r="R56" s="138">
        <v>40513.0</v>
      </c>
      <c r="S56" s="138">
        <v>40544.0</v>
      </c>
      <c r="T56" s="138">
        <v>40575.0</v>
      </c>
      <c r="U56" s="138">
        <v>40603.0</v>
      </c>
      <c r="V56" s="138">
        <v>40634.0</v>
      </c>
      <c r="W56" s="138">
        <v>40664.0</v>
      </c>
      <c r="X56" s="138">
        <v>40695.0</v>
      </c>
      <c r="Y56" s="138">
        <v>40725.0</v>
      </c>
      <c r="Z56" s="138">
        <v>40756.0</v>
      </c>
      <c r="AA56" s="138">
        <v>40787.0</v>
      </c>
      <c r="AB56" s="138">
        <v>40817.0</v>
      </c>
      <c r="AC56" s="138">
        <v>40848.0</v>
      </c>
      <c r="AD56" s="138">
        <v>40878.0</v>
      </c>
      <c r="AE56" s="138">
        <v>40909.0</v>
      </c>
      <c r="AF56" s="138">
        <v>40940.0</v>
      </c>
      <c r="AG56" s="138">
        <v>40969.0</v>
      </c>
      <c r="AH56" s="138">
        <v>41000.0</v>
      </c>
      <c r="AI56" s="138">
        <v>41030.0</v>
      </c>
      <c r="AJ56" s="138">
        <v>41061.0</v>
      </c>
      <c r="AK56" s="138">
        <v>41091.0</v>
      </c>
      <c r="AL56" s="138">
        <v>41122.0</v>
      </c>
      <c r="AM56" s="138">
        <v>41153.0</v>
      </c>
      <c r="AN56" s="138">
        <v>41183.0</v>
      </c>
      <c r="AO56" s="138">
        <v>41214.0</v>
      </c>
      <c r="AP56" s="138">
        <v>41244.0</v>
      </c>
      <c r="AQ56" s="138">
        <v>41275.0</v>
      </c>
      <c r="AR56" s="138">
        <v>41306.0</v>
      </c>
      <c r="AS56" s="138">
        <v>41334.0</v>
      </c>
      <c r="AT56" s="138">
        <v>41365.0</v>
      </c>
      <c r="AU56" s="138">
        <v>41395.0</v>
      </c>
      <c r="AV56" s="138">
        <v>41426.0</v>
      </c>
      <c r="AW56" s="138">
        <v>41456.0</v>
      </c>
      <c r="AX56" s="138">
        <v>41487.0</v>
      </c>
      <c r="AY56" s="138">
        <v>41518.0</v>
      </c>
      <c r="AZ56" s="138">
        <v>41548.0</v>
      </c>
      <c r="BA56" s="138">
        <v>41579.0</v>
      </c>
      <c r="BB56" s="138">
        <v>41609.0</v>
      </c>
      <c r="BC56" s="138">
        <v>41640.0</v>
      </c>
      <c r="BD56" s="138">
        <v>41671.0</v>
      </c>
      <c r="BE56" s="138">
        <v>41699.0</v>
      </c>
      <c r="BF56" s="138">
        <v>41730.0</v>
      </c>
      <c r="BG56" s="138">
        <v>41760.0</v>
      </c>
      <c r="BH56" s="138">
        <v>41791.0</v>
      </c>
      <c r="BI56" s="138">
        <v>41821.0</v>
      </c>
      <c r="BJ56" s="138">
        <v>41852.0</v>
      </c>
      <c r="BK56" s="138">
        <v>41883.0</v>
      </c>
      <c r="BL56" s="138">
        <v>41913.0</v>
      </c>
      <c r="BM56" s="138">
        <v>41944.0</v>
      </c>
      <c r="BN56" s="138">
        <v>41974.0</v>
      </c>
      <c r="BO56" s="138">
        <v>42005.0</v>
      </c>
      <c r="BP56" s="138">
        <v>42036.0</v>
      </c>
      <c r="BQ56" s="138">
        <v>42064.0</v>
      </c>
      <c r="BR56" s="138">
        <v>42095.0</v>
      </c>
      <c r="BS56" s="138">
        <v>42125.0</v>
      </c>
      <c r="BT56" s="138">
        <v>42156.0</v>
      </c>
      <c r="BU56" s="138">
        <v>42186.0</v>
      </c>
      <c r="BV56" s="138">
        <v>42217.0</v>
      </c>
      <c r="BW56" s="138">
        <v>42248.0</v>
      </c>
      <c r="BX56" s="138">
        <v>42278.0</v>
      </c>
      <c r="BY56" s="138">
        <v>42309.0</v>
      </c>
      <c r="BZ56" s="138">
        <v>42339.0</v>
      </c>
      <c r="CA56" s="138">
        <v>42370.0</v>
      </c>
      <c r="CB56" s="138">
        <v>42401.0</v>
      </c>
      <c r="CC56" s="138">
        <v>42430.0</v>
      </c>
      <c r="CD56" s="138">
        <v>42461.0</v>
      </c>
      <c r="CE56" s="138">
        <v>42491.0</v>
      </c>
      <c r="CF56" s="138">
        <v>42522.0</v>
      </c>
      <c r="CG56" s="138">
        <v>42552.0</v>
      </c>
      <c r="CH56" s="138">
        <v>42583.0</v>
      </c>
      <c r="CI56" s="138">
        <v>42614.0</v>
      </c>
      <c r="CJ56" s="138">
        <v>42644.0</v>
      </c>
      <c r="CK56" s="138">
        <v>42675.0</v>
      </c>
      <c r="CL56" s="138">
        <v>42705.0</v>
      </c>
      <c r="CM56" s="138">
        <v>42736.0</v>
      </c>
      <c r="CN56" s="138">
        <v>42767.0</v>
      </c>
      <c r="CO56" s="138">
        <v>42795.0</v>
      </c>
      <c r="CP56" s="138">
        <v>42826.0</v>
      </c>
      <c r="CQ56" s="138">
        <v>42856.0</v>
      </c>
      <c r="CR56" s="138">
        <v>42887.0</v>
      </c>
      <c r="CS56" s="139">
        <v>42917.0</v>
      </c>
      <c r="CT56" s="139">
        <v>42948.0</v>
      </c>
      <c r="CU56" s="139">
        <v>42979.0</v>
      </c>
      <c r="CV56" s="139">
        <v>43009.0</v>
      </c>
      <c r="CW56" s="139">
        <v>43040.0</v>
      </c>
      <c r="CX56" s="139">
        <v>43070.0</v>
      </c>
      <c r="CY56" s="139">
        <v>43101.0</v>
      </c>
      <c r="CZ56" s="139">
        <v>43132.0</v>
      </c>
      <c r="DA56" s="139">
        <v>43160.0</v>
      </c>
      <c r="DB56" s="139">
        <v>43191.0</v>
      </c>
      <c r="DC56" s="139">
        <v>43221.0</v>
      </c>
      <c r="DD56" s="139">
        <v>43252.0</v>
      </c>
      <c r="DE56" s="139">
        <v>43282.0</v>
      </c>
      <c r="DF56" s="139">
        <v>43313.0</v>
      </c>
      <c r="DG56" s="139">
        <v>43344.0</v>
      </c>
      <c r="DH56" s="139">
        <v>43374.0</v>
      </c>
      <c r="DI56" s="139">
        <v>43405.0</v>
      </c>
      <c r="DJ56" s="139">
        <v>43435.0</v>
      </c>
      <c r="DK56" s="139">
        <v>43466.0</v>
      </c>
      <c r="DL56" s="139">
        <v>43497.0</v>
      </c>
      <c r="DM56" s="139">
        <v>43525.0</v>
      </c>
      <c r="DN56" s="139">
        <v>43556.0</v>
      </c>
      <c r="DO56" s="139">
        <v>43586.0</v>
      </c>
      <c r="DP56" s="139">
        <v>43617.0</v>
      </c>
      <c r="DQ56" s="139">
        <v>43647.0</v>
      </c>
      <c r="DR56" s="139">
        <v>43678.0</v>
      </c>
      <c r="DS56" s="139">
        <v>43709.0</v>
      </c>
      <c r="DT56" s="139">
        <v>43739.0</v>
      </c>
      <c r="DU56" s="139">
        <v>43770.0</v>
      </c>
      <c r="DV56" s="139">
        <v>43800.0</v>
      </c>
      <c r="DW56" s="139">
        <v>43831.0</v>
      </c>
      <c r="DX56" s="139">
        <v>43862.0</v>
      </c>
      <c r="DY56" s="139">
        <v>43891.0</v>
      </c>
      <c r="DZ56" s="139">
        <v>43922.0</v>
      </c>
      <c r="EA56" s="139">
        <v>43952.0</v>
      </c>
      <c r="EB56" s="139">
        <v>43983.0</v>
      </c>
      <c r="EC56" s="139">
        <v>44013.0</v>
      </c>
      <c r="ED56" s="139">
        <v>44044.0</v>
      </c>
      <c r="EE56" s="139">
        <v>44075.0</v>
      </c>
      <c r="EF56" s="139">
        <v>44105.0</v>
      </c>
      <c r="EG56" s="139">
        <v>44136.0</v>
      </c>
      <c r="EH56" s="139">
        <v>44166.0</v>
      </c>
      <c r="EI56" s="139">
        <v>44197.0</v>
      </c>
      <c r="EJ56" s="139">
        <v>44228.0</v>
      </c>
      <c r="EK56" s="139">
        <v>44256.0</v>
      </c>
      <c r="EL56" s="139">
        <v>44287.0</v>
      </c>
      <c r="EM56" s="139">
        <v>44317.0</v>
      </c>
      <c r="EN56" s="139">
        <v>44348.0</v>
      </c>
      <c r="EO56" s="139">
        <v>44378.0</v>
      </c>
      <c r="EP56" s="139">
        <v>44409.0</v>
      </c>
      <c r="EQ56" s="139">
        <v>44440.0</v>
      </c>
      <c r="ER56" s="139">
        <v>44470.0</v>
      </c>
      <c r="ES56" s="139">
        <v>44501.0</v>
      </c>
      <c r="ET56" s="139">
        <v>44531.0</v>
      </c>
      <c r="EU56" s="139">
        <v>44562.0</v>
      </c>
      <c r="EV56" s="139">
        <v>44593.0</v>
      </c>
      <c r="EW56" s="139">
        <v>44621.0</v>
      </c>
      <c r="EX56" s="139">
        <v>44652.0</v>
      </c>
      <c r="EY56" s="139">
        <v>44682.0</v>
      </c>
      <c r="EZ56" s="139">
        <v>44713.0</v>
      </c>
      <c r="FA56" s="139">
        <v>44743.0</v>
      </c>
      <c r="FB56" s="139">
        <v>44774.0</v>
      </c>
      <c r="FC56" s="139">
        <v>44805.0</v>
      </c>
      <c r="FD56" s="139">
        <v>44835.0</v>
      </c>
      <c r="FE56" s="139">
        <v>44866.0</v>
      </c>
      <c r="FF56" s="139">
        <v>44896.0</v>
      </c>
      <c r="FG56" s="139">
        <v>44927.0</v>
      </c>
      <c r="FH56" s="139">
        <v>44958.0</v>
      </c>
      <c r="FI56" s="139">
        <v>44986.0</v>
      </c>
      <c r="FJ56" s="139">
        <v>45017.0</v>
      </c>
      <c r="FK56" s="139">
        <v>45047.0</v>
      </c>
      <c r="FL56" s="139">
        <v>45078.0</v>
      </c>
      <c r="FM56" s="139">
        <v>45108.0</v>
      </c>
      <c r="FN56" s="139">
        <v>45139.0</v>
      </c>
      <c r="FO56" s="139">
        <v>45170.0</v>
      </c>
      <c r="FP56" s="139">
        <v>45200.0</v>
      </c>
      <c r="FQ56" s="139">
        <v>45231.0</v>
      </c>
      <c r="FR56" s="139">
        <v>45261.0</v>
      </c>
      <c r="FS56" s="139">
        <v>45292.0</v>
      </c>
      <c r="FT56" s="139">
        <v>45323.0</v>
      </c>
      <c r="FU56" s="139">
        <v>45352.0</v>
      </c>
      <c r="FV56" s="139">
        <v>45383.0</v>
      </c>
      <c r="FW56" s="139">
        <v>45413.0</v>
      </c>
      <c r="FX56" s="139">
        <v>45444.0</v>
      </c>
      <c r="FY56" s="139">
        <v>45474.0</v>
      </c>
      <c r="FZ56" s="139">
        <v>45505.0</v>
      </c>
      <c r="GA56" s="139">
        <v>45536.0</v>
      </c>
      <c r="GB56" s="139">
        <v>45566.0</v>
      </c>
      <c r="GC56" s="139">
        <v>45597.0</v>
      </c>
      <c r="GD56" s="139">
        <v>45627.0</v>
      </c>
      <c r="GE56" s="139">
        <v>45658.0</v>
      </c>
      <c r="GF56" s="139">
        <v>45689.0</v>
      </c>
      <c r="GG56" s="139">
        <v>45717.0</v>
      </c>
      <c r="GH56" s="139">
        <v>45748.0</v>
      </c>
      <c r="GI56" s="139">
        <v>45778.0</v>
      </c>
      <c r="GJ56" s="139">
        <v>45809.0</v>
      </c>
      <c r="GK56" s="139">
        <v>45839.0</v>
      </c>
    </row>
    <row r="57">
      <c r="A57" s="132" t="s">
        <v>34008</v>
      </c>
      <c r="B57" s="133" t="s">
        <v>1136</v>
      </c>
      <c r="C57" s="134">
        <v>42922.79274305556</v>
      </c>
      <c r="D57" s="135" t="str">
        <f t="shared" si="1"/>
        <v>2017/07/06</v>
      </c>
      <c r="E57" s="136" t="s">
        <v>34009</v>
      </c>
      <c r="F57" s="137">
        <v>0.0261</v>
      </c>
      <c r="G57" s="138">
        <v>40179.0</v>
      </c>
      <c r="H57" s="138">
        <v>40210.0</v>
      </c>
      <c r="I57" s="138">
        <v>40238.0</v>
      </c>
      <c r="J57" s="138">
        <v>40269.0</v>
      </c>
      <c r="K57" s="138">
        <v>40299.0</v>
      </c>
      <c r="L57" s="138">
        <v>40330.0</v>
      </c>
      <c r="M57" s="138">
        <v>40360.0</v>
      </c>
      <c r="N57" s="138">
        <v>40391.0</v>
      </c>
      <c r="O57" s="138">
        <v>40422.0</v>
      </c>
      <c r="P57" s="138">
        <v>40452.0</v>
      </c>
      <c r="Q57" s="138">
        <v>40483.0</v>
      </c>
      <c r="R57" s="138">
        <v>40513.0</v>
      </c>
      <c r="S57" s="138">
        <v>40544.0</v>
      </c>
      <c r="T57" s="138">
        <v>40575.0</v>
      </c>
      <c r="U57" s="138">
        <v>40603.0</v>
      </c>
      <c r="V57" s="138">
        <v>40634.0</v>
      </c>
      <c r="W57" s="138">
        <v>40664.0</v>
      </c>
      <c r="X57" s="138">
        <v>40695.0</v>
      </c>
      <c r="Y57" s="138">
        <v>40725.0</v>
      </c>
      <c r="Z57" s="138">
        <v>40756.0</v>
      </c>
      <c r="AA57" s="138">
        <v>40787.0</v>
      </c>
      <c r="AB57" s="138">
        <v>40817.0</v>
      </c>
      <c r="AC57" s="138">
        <v>40848.0</v>
      </c>
      <c r="AD57" s="138">
        <v>40878.0</v>
      </c>
      <c r="AE57" s="138">
        <v>40909.0</v>
      </c>
      <c r="AF57" s="138">
        <v>40940.0</v>
      </c>
      <c r="AG57" s="138">
        <v>40969.0</v>
      </c>
      <c r="AH57" s="138">
        <v>41000.0</v>
      </c>
      <c r="AI57" s="138">
        <v>41030.0</v>
      </c>
      <c r="AJ57" s="138">
        <v>41061.0</v>
      </c>
      <c r="AK57" s="138">
        <v>41091.0</v>
      </c>
      <c r="AL57" s="138">
        <v>41122.0</v>
      </c>
      <c r="AM57" s="138">
        <v>41153.0</v>
      </c>
      <c r="AN57" s="138">
        <v>41183.0</v>
      </c>
      <c r="AO57" s="138">
        <v>41214.0</v>
      </c>
      <c r="AP57" s="138">
        <v>41244.0</v>
      </c>
      <c r="AQ57" s="138">
        <v>41275.0</v>
      </c>
      <c r="AR57" s="138">
        <v>41306.0</v>
      </c>
      <c r="AS57" s="138">
        <v>41334.0</v>
      </c>
      <c r="AT57" s="138">
        <v>41365.0</v>
      </c>
      <c r="AU57" s="138">
        <v>41395.0</v>
      </c>
      <c r="AV57" s="138">
        <v>41426.0</v>
      </c>
      <c r="AW57" s="138">
        <v>41456.0</v>
      </c>
      <c r="AX57" s="138">
        <v>41487.0</v>
      </c>
      <c r="AY57" s="138">
        <v>41518.0</v>
      </c>
      <c r="AZ57" s="138">
        <v>41548.0</v>
      </c>
      <c r="BA57" s="138">
        <v>41579.0</v>
      </c>
      <c r="BB57" s="138">
        <v>41609.0</v>
      </c>
      <c r="BC57" s="138">
        <v>41640.0</v>
      </c>
      <c r="BD57" s="138">
        <v>41671.0</v>
      </c>
      <c r="BE57" s="138">
        <v>41699.0</v>
      </c>
      <c r="BF57" s="138">
        <v>41730.0</v>
      </c>
      <c r="BG57" s="138">
        <v>41760.0</v>
      </c>
      <c r="BH57" s="138">
        <v>41791.0</v>
      </c>
      <c r="BI57" s="138">
        <v>41821.0</v>
      </c>
      <c r="BJ57" s="138">
        <v>41852.0</v>
      </c>
      <c r="BK57" s="138">
        <v>41883.0</v>
      </c>
      <c r="BL57" s="138">
        <v>41913.0</v>
      </c>
      <c r="BM57" s="138">
        <v>41944.0</v>
      </c>
      <c r="BN57" s="138">
        <v>41974.0</v>
      </c>
      <c r="BO57" s="138">
        <v>42005.0</v>
      </c>
      <c r="BP57" s="138">
        <v>42036.0</v>
      </c>
      <c r="BQ57" s="138">
        <v>42064.0</v>
      </c>
      <c r="BR57" s="138">
        <v>42095.0</v>
      </c>
      <c r="BS57" s="138">
        <v>42125.0</v>
      </c>
      <c r="BT57" s="138">
        <v>42156.0</v>
      </c>
      <c r="BU57" s="138">
        <v>42186.0</v>
      </c>
      <c r="BV57" s="138">
        <v>42217.0</v>
      </c>
      <c r="BW57" s="138">
        <v>42248.0</v>
      </c>
      <c r="BX57" s="138">
        <v>42278.0</v>
      </c>
      <c r="BY57" s="138">
        <v>42309.0</v>
      </c>
      <c r="BZ57" s="138">
        <v>42339.0</v>
      </c>
      <c r="CA57" s="138">
        <v>42370.0</v>
      </c>
      <c r="CB57" s="138">
        <v>42401.0</v>
      </c>
      <c r="CC57" s="138">
        <v>42430.0</v>
      </c>
      <c r="CD57" s="138">
        <v>42461.0</v>
      </c>
      <c r="CE57" s="138">
        <v>42491.0</v>
      </c>
      <c r="CF57" s="138">
        <v>42522.0</v>
      </c>
      <c r="CG57" s="138">
        <v>42552.0</v>
      </c>
      <c r="CH57" s="138">
        <v>42583.0</v>
      </c>
      <c r="CI57" s="138">
        <v>42614.0</v>
      </c>
      <c r="CJ57" s="138">
        <v>42644.0</v>
      </c>
      <c r="CK57" s="138">
        <v>42675.0</v>
      </c>
      <c r="CL57" s="138">
        <v>42705.0</v>
      </c>
      <c r="CM57" s="138">
        <v>42736.0</v>
      </c>
      <c r="CN57" s="138">
        <v>42767.0</v>
      </c>
      <c r="CO57" s="138">
        <v>42795.0</v>
      </c>
      <c r="CP57" s="138">
        <v>42826.0</v>
      </c>
      <c r="CQ57" s="138">
        <v>42856.0</v>
      </c>
      <c r="CR57" s="138">
        <v>42887.0</v>
      </c>
      <c r="CS57" s="138">
        <v>42917.0</v>
      </c>
      <c r="CT57" s="139">
        <v>42948.0</v>
      </c>
      <c r="CU57" s="139">
        <v>42979.0</v>
      </c>
      <c r="CV57" s="139">
        <v>43009.0</v>
      </c>
      <c r="CW57" s="139">
        <v>43040.0</v>
      </c>
      <c r="CX57" s="139">
        <v>43070.0</v>
      </c>
      <c r="CY57" s="139">
        <v>43101.0</v>
      </c>
      <c r="CZ57" s="139">
        <v>43132.0</v>
      </c>
      <c r="DA57" s="139">
        <v>43160.0</v>
      </c>
      <c r="DB57" s="139">
        <v>43191.0</v>
      </c>
      <c r="DC57" s="139">
        <v>43221.0</v>
      </c>
      <c r="DD57" s="139">
        <v>43252.0</v>
      </c>
      <c r="DE57" s="139">
        <v>43282.0</v>
      </c>
      <c r="DF57" s="139">
        <v>43313.0</v>
      </c>
      <c r="DG57" s="139">
        <v>43344.0</v>
      </c>
      <c r="DH57" s="139">
        <v>43374.0</v>
      </c>
      <c r="DI57" s="139">
        <v>43405.0</v>
      </c>
      <c r="DJ57" s="139">
        <v>43435.0</v>
      </c>
      <c r="DK57" s="139">
        <v>43466.0</v>
      </c>
      <c r="DL57" s="139">
        <v>43497.0</v>
      </c>
      <c r="DM57" s="139">
        <v>43525.0</v>
      </c>
      <c r="DN57" s="139">
        <v>43556.0</v>
      </c>
      <c r="DO57" s="139">
        <v>43586.0</v>
      </c>
      <c r="DP57" s="139">
        <v>43617.0</v>
      </c>
      <c r="DQ57" s="139">
        <v>43647.0</v>
      </c>
      <c r="DR57" s="139">
        <v>43678.0</v>
      </c>
      <c r="DS57" s="139">
        <v>43709.0</v>
      </c>
      <c r="DT57" s="139">
        <v>43739.0</v>
      </c>
      <c r="DU57" s="139">
        <v>43770.0</v>
      </c>
      <c r="DV57" s="139">
        <v>43800.0</v>
      </c>
      <c r="DW57" s="139">
        <v>43831.0</v>
      </c>
      <c r="DX57" s="139">
        <v>43862.0</v>
      </c>
      <c r="DY57" s="139">
        <v>43891.0</v>
      </c>
      <c r="DZ57" s="139">
        <v>43922.0</v>
      </c>
      <c r="EA57" s="139">
        <v>43952.0</v>
      </c>
      <c r="EB57" s="139">
        <v>43983.0</v>
      </c>
      <c r="EC57" s="139">
        <v>44013.0</v>
      </c>
      <c r="ED57" s="139">
        <v>44044.0</v>
      </c>
      <c r="EE57" s="139">
        <v>44075.0</v>
      </c>
      <c r="EF57" s="139">
        <v>44105.0</v>
      </c>
      <c r="EG57" s="139">
        <v>44136.0</v>
      </c>
      <c r="EH57" s="139">
        <v>44166.0</v>
      </c>
      <c r="EI57" s="139">
        <v>44197.0</v>
      </c>
      <c r="EJ57" s="139">
        <v>44228.0</v>
      </c>
      <c r="EK57" s="139">
        <v>44256.0</v>
      </c>
      <c r="EL57" s="139">
        <v>44287.0</v>
      </c>
      <c r="EM57" s="139">
        <v>44317.0</v>
      </c>
      <c r="EN57" s="139">
        <v>44348.0</v>
      </c>
      <c r="EO57" s="139">
        <v>44378.0</v>
      </c>
      <c r="EP57" s="139">
        <v>44409.0</v>
      </c>
      <c r="EQ57" s="139">
        <v>44440.0</v>
      </c>
      <c r="ER57" s="139">
        <v>44470.0</v>
      </c>
      <c r="ES57" s="139">
        <v>44501.0</v>
      </c>
      <c r="ET57" s="139">
        <v>44531.0</v>
      </c>
      <c r="EU57" s="139">
        <v>44562.0</v>
      </c>
      <c r="EV57" s="139">
        <v>44593.0</v>
      </c>
      <c r="EW57" s="139">
        <v>44621.0</v>
      </c>
      <c r="EX57" s="139">
        <v>44652.0</v>
      </c>
      <c r="EY57" s="139">
        <v>44682.0</v>
      </c>
      <c r="EZ57" s="139">
        <v>44713.0</v>
      </c>
      <c r="FA57" s="139">
        <v>44743.0</v>
      </c>
      <c r="FB57" s="139">
        <v>44774.0</v>
      </c>
      <c r="FC57" s="139">
        <v>44805.0</v>
      </c>
      <c r="FD57" s="139">
        <v>44835.0</v>
      </c>
      <c r="FE57" s="139">
        <v>44866.0</v>
      </c>
      <c r="FF57" s="139">
        <v>44896.0</v>
      </c>
      <c r="FG57" s="139">
        <v>44927.0</v>
      </c>
      <c r="FH57" s="139">
        <v>44958.0</v>
      </c>
      <c r="FI57" s="139">
        <v>44986.0</v>
      </c>
      <c r="FJ57" s="139">
        <v>45017.0</v>
      </c>
      <c r="FK57" s="139">
        <v>45047.0</v>
      </c>
      <c r="FL57" s="139">
        <v>45078.0</v>
      </c>
      <c r="FM57" s="139">
        <v>45108.0</v>
      </c>
      <c r="FN57" s="139">
        <v>45139.0</v>
      </c>
      <c r="FO57" s="139">
        <v>45170.0</v>
      </c>
      <c r="FP57" s="139">
        <v>45200.0</v>
      </c>
      <c r="FQ57" s="139">
        <v>45231.0</v>
      </c>
      <c r="FR57" s="139">
        <v>45261.0</v>
      </c>
      <c r="FS57" s="139">
        <v>45292.0</v>
      </c>
      <c r="FT57" s="139">
        <v>45323.0</v>
      </c>
      <c r="FU57" s="139">
        <v>45352.0</v>
      </c>
      <c r="FV57" s="139">
        <v>45383.0</v>
      </c>
      <c r="FW57" s="139">
        <v>45413.0</v>
      </c>
      <c r="FX57" s="139">
        <v>45444.0</v>
      </c>
      <c r="FY57" s="139">
        <v>45474.0</v>
      </c>
      <c r="FZ57" s="139">
        <v>45505.0</v>
      </c>
      <c r="GA57" s="139">
        <v>45536.0</v>
      </c>
      <c r="GB57" s="139">
        <v>45566.0</v>
      </c>
      <c r="GC57" s="139">
        <v>45597.0</v>
      </c>
      <c r="GD57" s="139">
        <v>45627.0</v>
      </c>
      <c r="GE57" s="139">
        <v>45658.0</v>
      </c>
      <c r="GF57" s="139">
        <v>45689.0</v>
      </c>
      <c r="GG57" s="139">
        <v>45717.0</v>
      </c>
      <c r="GH57" s="139">
        <v>45748.0</v>
      </c>
      <c r="GI57" s="139">
        <v>45778.0</v>
      </c>
      <c r="GJ57" s="139">
        <v>45809.0</v>
      </c>
      <c r="GK57" s="139">
        <v>45839.0</v>
      </c>
    </row>
    <row r="58">
      <c r="A58" s="132" t="s">
        <v>34010</v>
      </c>
      <c r="B58" s="133" t="s">
        <v>1198</v>
      </c>
      <c r="C58" s="134">
        <v>42937.42082175926</v>
      </c>
      <c r="D58" s="135" t="str">
        <f t="shared" si="1"/>
        <v>2017/07/21</v>
      </c>
      <c r="E58" s="136" t="s">
        <v>33912</v>
      </c>
      <c r="F58" s="137">
        <v>0.0</v>
      </c>
      <c r="G58" s="138">
        <v>40179.0</v>
      </c>
      <c r="H58" s="138">
        <v>40210.0</v>
      </c>
      <c r="I58" s="138">
        <v>40238.0</v>
      </c>
      <c r="J58" s="138">
        <v>40269.0</v>
      </c>
      <c r="K58" s="138">
        <v>40299.0</v>
      </c>
      <c r="L58" s="138">
        <v>40330.0</v>
      </c>
      <c r="M58" s="138">
        <v>40360.0</v>
      </c>
      <c r="N58" s="138">
        <v>40391.0</v>
      </c>
      <c r="O58" s="138">
        <v>40422.0</v>
      </c>
      <c r="P58" s="138">
        <v>40452.0</v>
      </c>
      <c r="Q58" s="138">
        <v>40483.0</v>
      </c>
      <c r="R58" s="138">
        <v>40513.0</v>
      </c>
      <c r="S58" s="138">
        <v>40544.0</v>
      </c>
      <c r="T58" s="138">
        <v>40575.0</v>
      </c>
      <c r="U58" s="138">
        <v>40603.0</v>
      </c>
      <c r="V58" s="138">
        <v>40634.0</v>
      </c>
      <c r="W58" s="138">
        <v>40664.0</v>
      </c>
      <c r="X58" s="138">
        <v>40695.0</v>
      </c>
      <c r="Y58" s="138">
        <v>40725.0</v>
      </c>
      <c r="Z58" s="138">
        <v>40756.0</v>
      </c>
      <c r="AA58" s="138">
        <v>40787.0</v>
      </c>
      <c r="AB58" s="138">
        <v>40817.0</v>
      </c>
      <c r="AC58" s="138">
        <v>40848.0</v>
      </c>
      <c r="AD58" s="138">
        <v>40878.0</v>
      </c>
      <c r="AE58" s="138">
        <v>40909.0</v>
      </c>
      <c r="AF58" s="138">
        <v>40940.0</v>
      </c>
      <c r="AG58" s="138">
        <v>40969.0</v>
      </c>
      <c r="AH58" s="138">
        <v>41000.0</v>
      </c>
      <c r="AI58" s="138">
        <v>41030.0</v>
      </c>
      <c r="AJ58" s="138">
        <v>41061.0</v>
      </c>
      <c r="AK58" s="138">
        <v>41091.0</v>
      </c>
      <c r="AL58" s="138">
        <v>41122.0</v>
      </c>
      <c r="AM58" s="138">
        <v>41153.0</v>
      </c>
      <c r="AN58" s="138">
        <v>41183.0</v>
      </c>
      <c r="AO58" s="138">
        <v>41214.0</v>
      </c>
      <c r="AP58" s="138">
        <v>41244.0</v>
      </c>
      <c r="AQ58" s="138">
        <v>41275.0</v>
      </c>
      <c r="AR58" s="138">
        <v>41306.0</v>
      </c>
      <c r="AS58" s="138">
        <v>41334.0</v>
      </c>
      <c r="AT58" s="138">
        <v>41365.0</v>
      </c>
      <c r="AU58" s="138">
        <v>41395.0</v>
      </c>
      <c r="AV58" s="138">
        <v>41426.0</v>
      </c>
      <c r="AW58" s="138">
        <v>41456.0</v>
      </c>
      <c r="AX58" s="138">
        <v>41487.0</v>
      </c>
      <c r="AY58" s="138">
        <v>41518.0</v>
      </c>
      <c r="AZ58" s="138">
        <v>41548.0</v>
      </c>
      <c r="BA58" s="138">
        <v>41579.0</v>
      </c>
      <c r="BB58" s="138">
        <v>41609.0</v>
      </c>
      <c r="BC58" s="138">
        <v>41640.0</v>
      </c>
      <c r="BD58" s="138">
        <v>41671.0</v>
      </c>
      <c r="BE58" s="138">
        <v>41699.0</v>
      </c>
      <c r="BF58" s="138">
        <v>41730.0</v>
      </c>
      <c r="BG58" s="138">
        <v>41760.0</v>
      </c>
      <c r="BH58" s="138">
        <v>41791.0</v>
      </c>
      <c r="BI58" s="138">
        <v>41821.0</v>
      </c>
      <c r="BJ58" s="138">
        <v>41852.0</v>
      </c>
      <c r="BK58" s="138">
        <v>41883.0</v>
      </c>
      <c r="BL58" s="138">
        <v>41913.0</v>
      </c>
      <c r="BM58" s="138">
        <v>41944.0</v>
      </c>
      <c r="BN58" s="138">
        <v>41974.0</v>
      </c>
      <c r="BO58" s="138">
        <v>42005.0</v>
      </c>
      <c r="BP58" s="138">
        <v>42036.0</v>
      </c>
      <c r="BQ58" s="138">
        <v>42064.0</v>
      </c>
      <c r="BR58" s="138">
        <v>42095.0</v>
      </c>
      <c r="BS58" s="138">
        <v>42125.0</v>
      </c>
      <c r="BT58" s="138">
        <v>42156.0</v>
      </c>
      <c r="BU58" s="138">
        <v>42186.0</v>
      </c>
      <c r="BV58" s="138">
        <v>42217.0</v>
      </c>
      <c r="BW58" s="138">
        <v>42248.0</v>
      </c>
      <c r="BX58" s="138">
        <v>42278.0</v>
      </c>
      <c r="BY58" s="138">
        <v>42309.0</v>
      </c>
      <c r="BZ58" s="138">
        <v>42339.0</v>
      </c>
      <c r="CA58" s="138">
        <v>42370.0</v>
      </c>
      <c r="CB58" s="138">
        <v>42401.0</v>
      </c>
      <c r="CC58" s="138">
        <v>42430.0</v>
      </c>
      <c r="CD58" s="138">
        <v>42461.0</v>
      </c>
      <c r="CE58" s="138">
        <v>42491.0</v>
      </c>
      <c r="CF58" s="138">
        <v>42522.0</v>
      </c>
      <c r="CG58" s="138">
        <v>42552.0</v>
      </c>
      <c r="CH58" s="138">
        <v>42583.0</v>
      </c>
      <c r="CI58" s="138">
        <v>42614.0</v>
      </c>
      <c r="CJ58" s="138">
        <v>42644.0</v>
      </c>
      <c r="CK58" s="138">
        <v>42675.0</v>
      </c>
      <c r="CL58" s="138">
        <v>42705.0</v>
      </c>
      <c r="CM58" s="138">
        <v>42736.0</v>
      </c>
      <c r="CN58" s="138">
        <v>42767.0</v>
      </c>
      <c r="CO58" s="138">
        <v>42795.0</v>
      </c>
      <c r="CP58" s="138">
        <v>42826.0</v>
      </c>
      <c r="CQ58" s="138">
        <v>42856.0</v>
      </c>
      <c r="CR58" s="138">
        <v>42887.0</v>
      </c>
      <c r="CS58" s="138">
        <v>42917.0</v>
      </c>
      <c r="CT58" s="139">
        <v>42948.0</v>
      </c>
      <c r="CU58" s="139">
        <v>42979.0</v>
      </c>
      <c r="CV58" s="139">
        <v>43009.0</v>
      </c>
      <c r="CW58" s="139">
        <v>43040.0</v>
      </c>
      <c r="CX58" s="139">
        <v>43070.0</v>
      </c>
      <c r="CY58" s="139">
        <v>43101.0</v>
      </c>
      <c r="CZ58" s="139">
        <v>43132.0</v>
      </c>
      <c r="DA58" s="139">
        <v>43160.0</v>
      </c>
      <c r="DB58" s="139">
        <v>43191.0</v>
      </c>
      <c r="DC58" s="139">
        <v>43221.0</v>
      </c>
      <c r="DD58" s="139">
        <v>43252.0</v>
      </c>
      <c r="DE58" s="139">
        <v>43282.0</v>
      </c>
      <c r="DF58" s="139">
        <v>43313.0</v>
      </c>
      <c r="DG58" s="139">
        <v>43344.0</v>
      </c>
      <c r="DH58" s="139">
        <v>43374.0</v>
      </c>
      <c r="DI58" s="139">
        <v>43405.0</v>
      </c>
      <c r="DJ58" s="139">
        <v>43435.0</v>
      </c>
      <c r="DK58" s="139">
        <v>43466.0</v>
      </c>
      <c r="DL58" s="139">
        <v>43497.0</v>
      </c>
      <c r="DM58" s="139">
        <v>43525.0</v>
      </c>
      <c r="DN58" s="139">
        <v>43556.0</v>
      </c>
      <c r="DO58" s="139">
        <v>43586.0</v>
      </c>
      <c r="DP58" s="139">
        <v>43617.0</v>
      </c>
      <c r="DQ58" s="139">
        <v>43647.0</v>
      </c>
      <c r="DR58" s="139">
        <v>43678.0</v>
      </c>
      <c r="DS58" s="139">
        <v>43709.0</v>
      </c>
      <c r="DT58" s="139">
        <v>43739.0</v>
      </c>
      <c r="DU58" s="139">
        <v>43770.0</v>
      </c>
      <c r="DV58" s="139">
        <v>43800.0</v>
      </c>
      <c r="DW58" s="139">
        <v>43831.0</v>
      </c>
      <c r="DX58" s="139">
        <v>43862.0</v>
      </c>
      <c r="DY58" s="139">
        <v>43891.0</v>
      </c>
      <c r="DZ58" s="139">
        <v>43922.0</v>
      </c>
      <c r="EA58" s="139">
        <v>43952.0</v>
      </c>
      <c r="EB58" s="139">
        <v>43983.0</v>
      </c>
      <c r="EC58" s="139">
        <v>44013.0</v>
      </c>
      <c r="ED58" s="139">
        <v>44044.0</v>
      </c>
      <c r="EE58" s="139">
        <v>44075.0</v>
      </c>
      <c r="EF58" s="139">
        <v>44105.0</v>
      </c>
      <c r="EG58" s="139">
        <v>44136.0</v>
      </c>
      <c r="EH58" s="139">
        <v>44166.0</v>
      </c>
      <c r="EI58" s="139">
        <v>44197.0</v>
      </c>
      <c r="EJ58" s="139">
        <v>44228.0</v>
      </c>
      <c r="EK58" s="139">
        <v>44256.0</v>
      </c>
      <c r="EL58" s="139">
        <v>44287.0</v>
      </c>
      <c r="EM58" s="139">
        <v>44317.0</v>
      </c>
      <c r="EN58" s="139">
        <v>44348.0</v>
      </c>
      <c r="EO58" s="139">
        <v>44378.0</v>
      </c>
      <c r="EP58" s="139">
        <v>44409.0</v>
      </c>
      <c r="EQ58" s="139">
        <v>44440.0</v>
      </c>
      <c r="ER58" s="139">
        <v>44470.0</v>
      </c>
      <c r="ES58" s="139">
        <v>44501.0</v>
      </c>
      <c r="ET58" s="139">
        <v>44531.0</v>
      </c>
      <c r="EU58" s="139">
        <v>44562.0</v>
      </c>
      <c r="EV58" s="139">
        <v>44593.0</v>
      </c>
      <c r="EW58" s="139">
        <v>44621.0</v>
      </c>
      <c r="EX58" s="139">
        <v>44652.0</v>
      </c>
      <c r="EY58" s="139">
        <v>44682.0</v>
      </c>
      <c r="EZ58" s="139">
        <v>44713.0</v>
      </c>
      <c r="FA58" s="139">
        <v>44743.0</v>
      </c>
      <c r="FB58" s="139">
        <v>44774.0</v>
      </c>
      <c r="FC58" s="139">
        <v>44805.0</v>
      </c>
      <c r="FD58" s="139">
        <v>44835.0</v>
      </c>
      <c r="FE58" s="139">
        <v>44866.0</v>
      </c>
      <c r="FF58" s="139">
        <v>44896.0</v>
      </c>
      <c r="FG58" s="139">
        <v>44927.0</v>
      </c>
      <c r="FH58" s="139">
        <v>44958.0</v>
      </c>
      <c r="FI58" s="139">
        <v>44986.0</v>
      </c>
      <c r="FJ58" s="139">
        <v>45017.0</v>
      </c>
      <c r="FK58" s="139">
        <v>45047.0</v>
      </c>
      <c r="FL58" s="139">
        <v>45078.0</v>
      </c>
      <c r="FM58" s="139">
        <v>45108.0</v>
      </c>
      <c r="FN58" s="139">
        <v>45139.0</v>
      </c>
      <c r="FO58" s="139">
        <v>45170.0</v>
      </c>
      <c r="FP58" s="139">
        <v>45200.0</v>
      </c>
      <c r="FQ58" s="139">
        <v>45231.0</v>
      </c>
      <c r="FR58" s="139">
        <v>45261.0</v>
      </c>
      <c r="FS58" s="139">
        <v>45292.0</v>
      </c>
      <c r="FT58" s="139">
        <v>45323.0</v>
      </c>
      <c r="FU58" s="139">
        <v>45352.0</v>
      </c>
      <c r="FV58" s="139">
        <v>45383.0</v>
      </c>
      <c r="FW58" s="139">
        <v>45413.0</v>
      </c>
      <c r="FX58" s="139">
        <v>45444.0</v>
      </c>
      <c r="FY58" s="139">
        <v>45474.0</v>
      </c>
      <c r="FZ58" s="139">
        <v>45505.0</v>
      </c>
      <c r="GA58" s="139">
        <v>45536.0</v>
      </c>
      <c r="GB58" s="139">
        <v>45566.0</v>
      </c>
      <c r="GC58" s="139">
        <v>45597.0</v>
      </c>
      <c r="GD58" s="139">
        <v>45627.0</v>
      </c>
      <c r="GE58" s="139">
        <v>45658.0</v>
      </c>
      <c r="GF58" s="139">
        <v>45689.0</v>
      </c>
      <c r="GG58" s="139">
        <v>45717.0</v>
      </c>
      <c r="GH58" s="139">
        <v>45748.0</v>
      </c>
      <c r="GI58" s="139">
        <v>45778.0</v>
      </c>
      <c r="GJ58" s="139">
        <v>45809.0</v>
      </c>
      <c r="GK58" s="139">
        <v>45839.0</v>
      </c>
    </row>
    <row r="59">
      <c r="A59" s="140" t="s">
        <v>34011</v>
      </c>
      <c r="B59" s="133" t="s">
        <v>43</v>
      </c>
      <c r="C59" s="134">
        <v>42962.79016203704</v>
      </c>
      <c r="D59" s="135" t="str">
        <f t="shared" si="1"/>
        <v>2017/08/15</v>
      </c>
      <c r="E59" s="136" t="s">
        <v>34012</v>
      </c>
      <c r="F59" s="137">
        <v>0.00129</v>
      </c>
      <c r="G59" s="138">
        <v>40179.0</v>
      </c>
      <c r="H59" s="138">
        <v>40210.0</v>
      </c>
      <c r="I59" s="138">
        <v>40238.0</v>
      </c>
      <c r="J59" s="138">
        <v>40269.0</v>
      </c>
      <c r="K59" s="138">
        <v>40299.0</v>
      </c>
      <c r="L59" s="138">
        <v>40330.0</v>
      </c>
      <c r="M59" s="138">
        <v>40360.0</v>
      </c>
      <c r="N59" s="138">
        <v>40391.0</v>
      </c>
      <c r="O59" s="138">
        <v>40422.0</v>
      </c>
      <c r="P59" s="138">
        <v>40452.0</v>
      </c>
      <c r="Q59" s="138">
        <v>40483.0</v>
      </c>
      <c r="R59" s="138">
        <v>40513.0</v>
      </c>
      <c r="S59" s="138">
        <v>40544.0</v>
      </c>
      <c r="T59" s="138">
        <v>40575.0</v>
      </c>
      <c r="U59" s="138">
        <v>40603.0</v>
      </c>
      <c r="V59" s="138">
        <v>40634.0</v>
      </c>
      <c r="W59" s="138">
        <v>40664.0</v>
      </c>
      <c r="X59" s="138">
        <v>40695.0</v>
      </c>
      <c r="Y59" s="138">
        <v>40725.0</v>
      </c>
      <c r="Z59" s="138">
        <v>40756.0</v>
      </c>
      <c r="AA59" s="138">
        <v>40787.0</v>
      </c>
      <c r="AB59" s="138">
        <v>40817.0</v>
      </c>
      <c r="AC59" s="138">
        <v>40848.0</v>
      </c>
      <c r="AD59" s="138">
        <v>40878.0</v>
      </c>
      <c r="AE59" s="138">
        <v>40909.0</v>
      </c>
      <c r="AF59" s="138">
        <v>40940.0</v>
      </c>
      <c r="AG59" s="138">
        <v>40969.0</v>
      </c>
      <c r="AH59" s="138">
        <v>41000.0</v>
      </c>
      <c r="AI59" s="138">
        <v>41030.0</v>
      </c>
      <c r="AJ59" s="138">
        <v>41061.0</v>
      </c>
      <c r="AK59" s="138">
        <v>41091.0</v>
      </c>
      <c r="AL59" s="138">
        <v>41122.0</v>
      </c>
      <c r="AM59" s="138">
        <v>41153.0</v>
      </c>
      <c r="AN59" s="138">
        <v>41183.0</v>
      </c>
      <c r="AO59" s="138">
        <v>41214.0</v>
      </c>
      <c r="AP59" s="138">
        <v>41244.0</v>
      </c>
      <c r="AQ59" s="138">
        <v>41275.0</v>
      </c>
      <c r="AR59" s="138">
        <v>41306.0</v>
      </c>
      <c r="AS59" s="138">
        <v>41334.0</v>
      </c>
      <c r="AT59" s="138">
        <v>41365.0</v>
      </c>
      <c r="AU59" s="138">
        <v>41395.0</v>
      </c>
      <c r="AV59" s="138">
        <v>41426.0</v>
      </c>
      <c r="AW59" s="138">
        <v>41456.0</v>
      </c>
      <c r="AX59" s="138">
        <v>41487.0</v>
      </c>
      <c r="AY59" s="138">
        <v>41518.0</v>
      </c>
      <c r="AZ59" s="138">
        <v>41548.0</v>
      </c>
      <c r="BA59" s="138">
        <v>41579.0</v>
      </c>
      <c r="BB59" s="138">
        <v>41609.0</v>
      </c>
      <c r="BC59" s="138">
        <v>41640.0</v>
      </c>
      <c r="BD59" s="138">
        <v>41671.0</v>
      </c>
      <c r="BE59" s="138">
        <v>41699.0</v>
      </c>
      <c r="BF59" s="138">
        <v>41730.0</v>
      </c>
      <c r="BG59" s="138">
        <v>41760.0</v>
      </c>
      <c r="BH59" s="138">
        <v>41791.0</v>
      </c>
      <c r="BI59" s="138">
        <v>41821.0</v>
      </c>
      <c r="BJ59" s="138">
        <v>41852.0</v>
      </c>
      <c r="BK59" s="138">
        <v>41883.0</v>
      </c>
      <c r="BL59" s="138">
        <v>41913.0</v>
      </c>
      <c r="BM59" s="138">
        <v>41944.0</v>
      </c>
      <c r="BN59" s="138">
        <v>41974.0</v>
      </c>
      <c r="BO59" s="138">
        <v>42005.0</v>
      </c>
      <c r="BP59" s="138">
        <v>42036.0</v>
      </c>
      <c r="BQ59" s="138">
        <v>42064.0</v>
      </c>
      <c r="BR59" s="138">
        <v>42095.0</v>
      </c>
      <c r="BS59" s="138">
        <v>42125.0</v>
      </c>
      <c r="BT59" s="138">
        <v>42156.0</v>
      </c>
      <c r="BU59" s="138">
        <v>42186.0</v>
      </c>
      <c r="BV59" s="138">
        <v>42217.0</v>
      </c>
      <c r="BW59" s="138">
        <v>42248.0</v>
      </c>
      <c r="BX59" s="138">
        <v>42278.0</v>
      </c>
      <c r="BY59" s="138">
        <v>42309.0</v>
      </c>
      <c r="BZ59" s="138">
        <v>42339.0</v>
      </c>
      <c r="CA59" s="138">
        <v>42370.0</v>
      </c>
      <c r="CB59" s="138">
        <v>42401.0</v>
      </c>
      <c r="CC59" s="138">
        <v>42430.0</v>
      </c>
      <c r="CD59" s="138">
        <v>42461.0</v>
      </c>
      <c r="CE59" s="138">
        <v>42491.0</v>
      </c>
      <c r="CF59" s="138">
        <v>42522.0</v>
      </c>
      <c r="CG59" s="138">
        <v>42552.0</v>
      </c>
      <c r="CH59" s="138">
        <v>42583.0</v>
      </c>
      <c r="CI59" s="138">
        <v>42614.0</v>
      </c>
      <c r="CJ59" s="138">
        <v>42644.0</v>
      </c>
      <c r="CK59" s="138">
        <v>42675.0</v>
      </c>
      <c r="CL59" s="138">
        <v>42705.0</v>
      </c>
      <c r="CM59" s="138">
        <v>42736.0</v>
      </c>
      <c r="CN59" s="138">
        <v>42767.0</v>
      </c>
      <c r="CO59" s="138">
        <v>42795.0</v>
      </c>
      <c r="CP59" s="138">
        <v>42826.0</v>
      </c>
      <c r="CQ59" s="138">
        <v>42856.0</v>
      </c>
      <c r="CR59" s="138">
        <v>42887.0</v>
      </c>
      <c r="CS59" s="138">
        <v>42917.0</v>
      </c>
      <c r="CT59" s="138">
        <v>42948.0</v>
      </c>
      <c r="CU59" s="139">
        <v>42979.0</v>
      </c>
      <c r="CV59" s="139">
        <v>43009.0</v>
      </c>
      <c r="CW59" s="139">
        <v>43040.0</v>
      </c>
      <c r="CX59" s="139">
        <v>43070.0</v>
      </c>
      <c r="CY59" s="139">
        <v>43101.0</v>
      </c>
      <c r="CZ59" s="139">
        <v>43132.0</v>
      </c>
      <c r="DA59" s="139">
        <v>43160.0</v>
      </c>
      <c r="DB59" s="139">
        <v>43191.0</v>
      </c>
      <c r="DC59" s="139">
        <v>43221.0</v>
      </c>
      <c r="DD59" s="139">
        <v>43252.0</v>
      </c>
      <c r="DE59" s="139">
        <v>43282.0</v>
      </c>
      <c r="DF59" s="139">
        <v>43313.0</v>
      </c>
      <c r="DG59" s="139">
        <v>43344.0</v>
      </c>
      <c r="DH59" s="139">
        <v>43374.0</v>
      </c>
      <c r="DI59" s="139">
        <v>43405.0</v>
      </c>
      <c r="DJ59" s="139">
        <v>43435.0</v>
      </c>
      <c r="DK59" s="139">
        <v>43466.0</v>
      </c>
      <c r="DL59" s="139">
        <v>43497.0</v>
      </c>
      <c r="DM59" s="139">
        <v>43525.0</v>
      </c>
      <c r="DN59" s="139">
        <v>43556.0</v>
      </c>
      <c r="DO59" s="139">
        <v>43586.0</v>
      </c>
      <c r="DP59" s="139">
        <v>43617.0</v>
      </c>
      <c r="DQ59" s="139">
        <v>43647.0</v>
      </c>
      <c r="DR59" s="139">
        <v>43678.0</v>
      </c>
      <c r="DS59" s="139">
        <v>43709.0</v>
      </c>
      <c r="DT59" s="139">
        <v>43739.0</v>
      </c>
      <c r="DU59" s="139">
        <v>43770.0</v>
      </c>
      <c r="DV59" s="139">
        <v>43800.0</v>
      </c>
      <c r="DW59" s="139">
        <v>43831.0</v>
      </c>
      <c r="DX59" s="139">
        <v>43862.0</v>
      </c>
      <c r="DY59" s="139">
        <v>43891.0</v>
      </c>
      <c r="DZ59" s="139">
        <v>43922.0</v>
      </c>
      <c r="EA59" s="139">
        <v>43952.0</v>
      </c>
      <c r="EB59" s="139">
        <v>43983.0</v>
      </c>
      <c r="EC59" s="139">
        <v>44013.0</v>
      </c>
      <c r="ED59" s="139">
        <v>44044.0</v>
      </c>
      <c r="EE59" s="139">
        <v>44075.0</v>
      </c>
      <c r="EF59" s="139">
        <v>44105.0</v>
      </c>
      <c r="EG59" s="139">
        <v>44136.0</v>
      </c>
      <c r="EH59" s="139">
        <v>44166.0</v>
      </c>
      <c r="EI59" s="139">
        <v>44197.0</v>
      </c>
      <c r="EJ59" s="139">
        <v>44228.0</v>
      </c>
      <c r="EK59" s="139">
        <v>44256.0</v>
      </c>
      <c r="EL59" s="139">
        <v>44287.0</v>
      </c>
      <c r="EM59" s="139">
        <v>44317.0</v>
      </c>
      <c r="EN59" s="139">
        <v>44348.0</v>
      </c>
      <c r="EO59" s="139">
        <v>44378.0</v>
      </c>
      <c r="EP59" s="139">
        <v>44409.0</v>
      </c>
      <c r="EQ59" s="139">
        <v>44440.0</v>
      </c>
      <c r="ER59" s="139">
        <v>44470.0</v>
      </c>
      <c r="ES59" s="139">
        <v>44501.0</v>
      </c>
      <c r="ET59" s="139">
        <v>44531.0</v>
      </c>
      <c r="EU59" s="139">
        <v>44562.0</v>
      </c>
      <c r="EV59" s="139">
        <v>44593.0</v>
      </c>
      <c r="EW59" s="139">
        <v>44621.0</v>
      </c>
      <c r="EX59" s="139">
        <v>44652.0</v>
      </c>
      <c r="EY59" s="139">
        <v>44682.0</v>
      </c>
      <c r="EZ59" s="139">
        <v>44713.0</v>
      </c>
      <c r="FA59" s="139">
        <v>44743.0</v>
      </c>
      <c r="FB59" s="139">
        <v>44774.0</v>
      </c>
      <c r="FC59" s="139">
        <v>44805.0</v>
      </c>
      <c r="FD59" s="139">
        <v>44835.0</v>
      </c>
      <c r="FE59" s="139">
        <v>44866.0</v>
      </c>
      <c r="FF59" s="139">
        <v>44896.0</v>
      </c>
      <c r="FG59" s="139">
        <v>44927.0</v>
      </c>
      <c r="FH59" s="139">
        <v>44958.0</v>
      </c>
      <c r="FI59" s="139">
        <v>44986.0</v>
      </c>
      <c r="FJ59" s="139">
        <v>45017.0</v>
      </c>
      <c r="FK59" s="139">
        <v>45047.0</v>
      </c>
      <c r="FL59" s="139">
        <v>45078.0</v>
      </c>
      <c r="FM59" s="139">
        <v>45108.0</v>
      </c>
      <c r="FN59" s="139">
        <v>45139.0</v>
      </c>
      <c r="FO59" s="139">
        <v>45170.0</v>
      </c>
      <c r="FP59" s="139">
        <v>45200.0</v>
      </c>
      <c r="FQ59" s="139">
        <v>45231.0</v>
      </c>
      <c r="FR59" s="139">
        <v>45261.0</v>
      </c>
      <c r="FS59" s="139">
        <v>45292.0</v>
      </c>
      <c r="FT59" s="139">
        <v>45323.0</v>
      </c>
      <c r="FU59" s="139">
        <v>45352.0</v>
      </c>
      <c r="FV59" s="139">
        <v>45383.0</v>
      </c>
      <c r="FW59" s="139">
        <v>45413.0</v>
      </c>
      <c r="FX59" s="139">
        <v>45444.0</v>
      </c>
      <c r="FY59" s="139">
        <v>45474.0</v>
      </c>
      <c r="FZ59" s="139">
        <v>45505.0</v>
      </c>
      <c r="GA59" s="139">
        <v>45536.0</v>
      </c>
      <c r="GB59" s="139">
        <v>45566.0</v>
      </c>
      <c r="GC59" s="139">
        <v>45597.0</v>
      </c>
      <c r="GD59" s="139">
        <v>45627.0</v>
      </c>
      <c r="GE59" s="139">
        <v>45658.0</v>
      </c>
      <c r="GF59" s="139">
        <v>45689.0</v>
      </c>
      <c r="GG59" s="139">
        <v>45717.0</v>
      </c>
      <c r="GH59" s="139">
        <v>45748.0</v>
      </c>
      <c r="GI59" s="139">
        <v>45778.0</v>
      </c>
      <c r="GJ59" s="139">
        <v>45809.0</v>
      </c>
      <c r="GK59" s="139">
        <v>45839.0</v>
      </c>
    </row>
    <row r="60">
      <c r="A60" s="132" t="s">
        <v>34013</v>
      </c>
      <c r="B60" s="133" t="s">
        <v>1236</v>
      </c>
      <c r="C60" s="134">
        <v>42978.599594907406</v>
      </c>
      <c r="D60" s="135" t="str">
        <f t="shared" si="1"/>
        <v>2017/08/31</v>
      </c>
      <c r="E60" s="136" t="s">
        <v>34014</v>
      </c>
      <c r="F60" s="137">
        <v>4.0E-5</v>
      </c>
      <c r="G60" s="138">
        <v>40179.0</v>
      </c>
      <c r="H60" s="138">
        <v>40210.0</v>
      </c>
      <c r="I60" s="138">
        <v>40238.0</v>
      </c>
      <c r="J60" s="138">
        <v>40269.0</v>
      </c>
      <c r="K60" s="138">
        <v>40299.0</v>
      </c>
      <c r="L60" s="138">
        <v>40330.0</v>
      </c>
      <c r="M60" s="138">
        <v>40360.0</v>
      </c>
      <c r="N60" s="138">
        <v>40391.0</v>
      </c>
      <c r="O60" s="138">
        <v>40422.0</v>
      </c>
      <c r="P60" s="138">
        <v>40452.0</v>
      </c>
      <c r="Q60" s="138">
        <v>40483.0</v>
      </c>
      <c r="R60" s="138">
        <v>40513.0</v>
      </c>
      <c r="S60" s="138">
        <v>40544.0</v>
      </c>
      <c r="T60" s="138">
        <v>40575.0</v>
      </c>
      <c r="U60" s="138">
        <v>40603.0</v>
      </c>
      <c r="V60" s="138">
        <v>40634.0</v>
      </c>
      <c r="W60" s="138">
        <v>40664.0</v>
      </c>
      <c r="X60" s="138">
        <v>40695.0</v>
      </c>
      <c r="Y60" s="138">
        <v>40725.0</v>
      </c>
      <c r="Z60" s="138">
        <v>40756.0</v>
      </c>
      <c r="AA60" s="138">
        <v>40787.0</v>
      </c>
      <c r="AB60" s="138">
        <v>40817.0</v>
      </c>
      <c r="AC60" s="138">
        <v>40848.0</v>
      </c>
      <c r="AD60" s="138">
        <v>40878.0</v>
      </c>
      <c r="AE60" s="138">
        <v>40909.0</v>
      </c>
      <c r="AF60" s="138">
        <v>40940.0</v>
      </c>
      <c r="AG60" s="138">
        <v>40969.0</v>
      </c>
      <c r="AH60" s="138">
        <v>41000.0</v>
      </c>
      <c r="AI60" s="138">
        <v>41030.0</v>
      </c>
      <c r="AJ60" s="138">
        <v>41061.0</v>
      </c>
      <c r="AK60" s="138">
        <v>41091.0</v>
      </c>
      <c r="AL60" s="138">
        <v>41122.0</v>
      </c>
      <c r="AM60" s="138">
        <v>41153.0</v>
      </c>
      <c r="AN60" s="138">
        <v>41183.0</v>
      </c>
      <c r="AO60" s="138">
        <v>41214.0</v>
      </c>
      <c r="AP60" s="138">
        <v>41244.0</v>
      </c>
      <c r="AQ60" s="138">
        <v>41275.0</v>
      </c>
      <c r="AR60" s="138">
        <v>41306.0</v>
      </c>
      <c r="AS60" s="138">
        <v>41334.0</v>
      </c>
      <c r="AT60" s="138">
        <v>41365.0</v>
      </c>
      <c r="AU60" s="138">
        <v>41395.0</v>
      </c>
      <c r="AV60" s="138">
        <v>41426.0</v>
      </c>
      <c r="AW60" s="138">
        <v>41456.0</v>
      </c>
      <c r="AX60" s="138">
        <v>41487.0</v>
      </c>
      <c r="AY60" s="138">
        <v>41518.0</v>
      </c>
      <c r="AZ60" s="138">
        <v>41548.0</v>
      </c>
      <c r="BA60" s="138">
        <v>41579.0</v>
      </c>
      <c r="BB60" s="138">
        <v>41609.0</v>
      </c>
      <c r="BC60" s="138">
        <v>41640.0</v>
      </c>
      <c r="BD60" s="138">
        <v>41671.0</v>
      </c>
      <c r="BE60" s="138">
        <v>41699.0</v>
      </c>
      <c r="BF60" s="138">
        <v>41730.0</v>
      </c>
      <c r="BG60" s="138">
        <v>41760.0</v>
      </c>
      <c r="BH60" s="138">
        <v>41791.0</v>
      </c>
      <c r="BI60" s="138">
        <v>41821.0</v>
      </c>
      <c r="BJ60" s="138">
        <v>41852.0</v>
      </c>
      <c r="BK60" s="138">
        <v>41883.0</v>
      </c>
      <c r="BL60" s="138">
        <v>41913.0</v>
      </c>
      <c r="BM60" s="138">
        <v>41944.0</v>
      </c>
      <c r="BN60" s="138">
        <v>41974.0</v>
      </c>
      <c r="BO60" s="138">
        <v>42005.0</v>
      </c>
      <c r="BP60" s="138">
        <v>42036.0</v>
      </c>
      <c r="BQ60" s="138">
        <v>42064.0</v>
      </c>
      <c r="BR60" s="138">
        <v>42095.0</v>
      </c>
      <c r="BS60" s="138">
        <v>42125.0</v>
      </c>
      <c r="BT60" s="138">
        <v>42156.0</v>
      </c>
      <c r="BU60" s="138">
        <v>42186.0</v>
      </c>
      <c r="BV60" s="138">
        <v>42217.0</v>
      </c>
      <c r="BW60" s="138">
        <v>42248.0</v>
      </c>
      <c r="BX60" s="138">
        <v>42278.0</v>
      </c>
      <c r="BY60" s="138">
        <v>42309.0</v>
      </c>
      <c r="BZ60" s="138">
        <v>42339.0</v>
      </c>
      <c r="CA60" s="138">
        <v>42370.0</v>
      </c>
      <c r="CB60" s="138">
        <v>42401.0</v>
      </c>
      <c r="CC60" s="138">
        <v>42430.0</v>
      </c>
      <c r="CD60" s="138">
        <v>42461.0</v>
      </c>
      <c r="CE60" s="138">
        <v>42491.0</v>
      </c>
      <c r="CF60" s="138">
        <v>42522.0</v>
      </c>
      <c r="CG60" s="138">
        <v>42552.0</v>
      </c>
      <c r="CH60" s="138">
        <v>42583.0</v>
      </c>
      <c r="CI60" s="138">
        <v>42614.0</v>
      </c>
      <c r="CJ60" s="138">
        <v>42644.0</v>
      </c>
      <c r="CK60" s="138">
        <v>42675.0</v>
      </c>
      <c r="CL60" s="138">
        <v>42705.0</v>
      </c>
      <c r="CM60" s="138">
        <v>42736.0</v>
      </c>
      <c r="CN60" s="138">
        <v>42767.0</v>
      </c>
      <c r="CO60" s="138">
        <v>42795.0</v>
      </c>
      <c r="CP60" s="138">
        <v>42826.0</v>
      </c>
      <c r="CQ60" s="138">
        <v>42856.0</v>
      </c>
      <c r="CR60" s="138">
        <v>42887.0</v>
      </c>
      <c r="CS60" s="138">
        <v>42917.0</v>
      </c>
      <c r="CT60" s="138">
        <v>42948.0</v>
      </c>
      <c r="CU60" s="139">
        <v>42979.0</v>
      </c>
      <c r="CV60" s="139">
        <v>43009.0</v>
      </c>
      <c r="CW60" s="139">
        <v>43040.0</v>
      </c>
      <c r="CX60" s="139">
        <v>43070.0</v>
      </c>
      <c r="CY60" s="139">
        <v>43101.0</v>
      </c>
      <c r="CZ60" s="139">
        <v>43132.0</v>
      </c>
      <c r="DA60" s="139">
        <v>43160.0</v>
      </c>
      <c r="DB60" s="139">
        <v>43191.0</v>
      </c>
      <c r="DC60" s="139">
        <v>43221.0</v>
      </c>
      <c r="DD60" s="139">
        <v>43252.0</v>
      </c>
      <c r="DE60" s="139">
        <v>43282.0</v>
      </c>
      <c r="DF60" s="139">
        <v>43313.0</v>
      </c>
      <c r="DG60" s="139">
        <v>43344.0</v>
      </c>
      <c r="DH60" s="139">
        <v>43374.0</v>
      </c>
      <c r="DI60" s="139">
        <v>43405.0</v>
      </c>
      <c r="DJ60" s="139">
        <v>43435.0</v>
      </c>
      <c r="DK60" s="139">
        <v>43466.0</v>
      </c>
      <c r="DL60" s="139">
        <v>43497.0</v>
      </c>
      <c r="DM60" s="139">
        <v>43525.0</v>
      </c>
      <c r="DN60" s="139">
        <v>43556.0</v>
      </c>
      <c r="DO60" s="139">
        <v>43586.0</v>
      </c>
      <c r="DP60" s="139">
        <v>43617.0</v>
      </c>
      <c r="DQ60" s="139">
        <v>43647.0</v>
      </c>
      <c r="DR60" s="139">
        <v>43678.0</v>
      </c>
      <c r="DS60" s="139">
        <v>43709.0</v>
      </c>
      <c r="DT60" s="139">
        <v>43739.0</v>
      </c>
      <c r="DU60" s="139">
        <v>43770.0</v>
      </c>
      <c r="DV60" s="139">
        <v>43800.0</v>
      </c>
      <c r="DW60" s="139">
        <v>43831.0</v>
      </c>
      <c r="DX60" s="139">
        <v>43862.0</v>
      </c>
      <c r="DY60" s="139">
        <v>43891.0</v>
      </c>
      <c r="DZ60" s="139">
        <v>43922.0</v>
      </c>
      <c r="EA60" s="139">
        <v>43952.0</v>
      </c>
      <c r="EB60" s="139">
        <v>43983.0</v>
      </c>
      <c r="EC60" s="139">
        <v>44013.0</v>
      </c>
      <c r="ED60" s="139">
        <v>44044.0</v>
      </c>
      <c r="EE60" s="139">
        <v>44075.0</v>
      </c>
      <c r="EF60" s="139">
        <v>44105.0</v>
      </c>
      <c r="EG60" s="139">
        <v>44136.0</v>
      </c>
      <c r="EH60" s="139">
        <v>44166.0</v>
      </c>
      <c r="EI60" s="139">
        <v>44197.0</v>
      </c>
      <c r="EJ60" s="139">
        <v>44228.0</v>
      </c>
      <c r="EK60" s="139">
        <v>44256.0</v>
      </c>
      <c r="EL60" s="139">
        <v>44287.0</v>
      </c>
      <c r="EM60" s="139">
        <v>44317.0</v>
      </c>
      <c r="EN60" s="139">
        <v>44348.0</v>
      </c>
      <c r="EO60" s="139">
        <v>44378.0</v>
      </c>
      <c r="EP60" s="139">
        <v>44409.0</v>
      </c>
      <c r="EQ60" s="139">
        <v>44440.0</v>
      </c>
      <c r="ER60" s="139">
        <v>44470.0</v>
      </c>
      <c r="ES60" s="139">
        <v>44501.0</v>
      </c>
      <c r="ET60" s="139">
        <v>44531.0</v>
      </c>
      <c r="EU60" s="139">
        <v>44562.0</v>
      </c>
      <c r="EV60" s="139">
        <v>44593.0</v>
      </c>
      <c r="EW60" s="139">
        <v>44621.0</v>
      </c>
      <c r="EX60" s="139">
        <v>44652.0</v>
      </c>
      <c r="EY60" s="139">
        <v>44682.0</v>
      </c>
      <c r="EZ60" s="139">
        <v>44713.0</v>
      </c>
      <c r="FA60" s="139">
        <v>44743.0</v>
      </c>
      <c r="FB60" s="139">
        <v>44774.0</v>
      </c>
      <c r="FC60" s="139">
        <v>44805.0</v>
      </c>
      <c r="FD60" s="139">
        <v>44835.0</v>
      </c>
      <c r="FE60" s="139">
        <v>44866.0</v>
      </c>
      <c r="FF60" s="139">
        <v>44896.0</v>
      </c>
      <c r="FG60" s="139">
        <v>44927.0</v>
      </c>
      <c r="FH60" s="139">
        <v>44958.0</v>
      </c>
      <c r="FI60" s="139">
        <v>44986.0</v>
      </c>
      <c r="FJ60" s="139">
        <v>45017.0</v>
      </c>
      <c r="FK60" s="139">
        <v>45047.0</v>
      </c>
      <c r="FL60" s="139">
        <v>45078.0</v>
      </c>
      <c r="FM60" s="139">
        <v>45108.0</v>
      </c>
      <c r="FN60" s="139">
        <v>45139.0</v>
      </c>
      <c r="FO60" s="139">
        <v>45170.0</v>
      </c>
      <c r="FP60" s="139">
        <v>45200.0</v>
      </c>
      <c r="FQ60" s="139">
        <v>45231.0</v>
      </c>
      <c r="FR60" s="139">
        <v>45261.0</v>
      </c>
      <c r="FS60" s="139">
        <v>45292.0</v>
      </c>
      <c r="FT60" s="139">
        <v>45323.0</v>
      </c>
      <c r="FU60" s="139">
        <v>45352.0</v>
      </c>
      <c r="FV60" s="139">
        <v>45383.0</v>
      </c>
      <c r="FW60" s="139">
        <v>45413.0</v>
      </c>
      <c r="FX60" s="139">
        <v>45444.0</v>
      </c>
      <c r="FY60" s="139">
        <v>45474.0</v>
      </c>
      <c r="FZ60" s="139">
        <v>45505.0</v>
      </c>
      <c r="GA60" s="139">
        <v>45536.0</v>
      </c>
      <c r="GB60" s="139">
        <v>45566.0</v>
      </c>
      <c r="GC60" s="139">
        <v>45597.0</v>
      </c>
      <c r="GD60" s="139">
        <v>45627.0</v>
      </c>
      <c r="GE60" s="139">
        <v>45658.0</v>
      </c>
      <c r="GF60" s="139">
        <v>45689.0</v>
      </c>
      <c r="GG60" s="139">
        <v>45717.0</v>
      </c>
      <c r="GH60" s="139">
        <v>45748.0</v>
      </c>
      <c r="GI60" s="139">
        <v>45778.0</v>
      </c>
      <c r="GJ60" s="139">
        <v>45809.0</v>
      </c>
      <c r="GK60" s="139">
        <v>45839.0</v>
      </c>
    </row>
    <row r="61">
      <c r="A61" s="132" t="s">
        <v>34015</v>
      </c>
      <c r="B61" s="133" t="s">
        <v>1207</v>
      </c>
      <c r="C61" s="134">
        <v>42989.43096064815</v>
      </c>
      <c r="D61" s="135" t="str">
        <f t="shared" si="1"/>
        <v>2017/09/11</v>
      </c>
      <c r="E61" s="136" t="s">
        <v>34016</v>
      </c>
      <c r="F61" s="137">
        <v>0.00114</v>
      </c>
      <c r="G61" s="138">
        <v>40179.0</v>
      </c>
      <c r="H61" s="138">
        <v>40210.0</v>
      </c>
      <c r="I61" s="138">
        <v>40238.0</v>
      </c>
      <c r="J61" s="138">
        <v>40269.0</v>
      </c>
      <c r="K61" s="138">
        <v>40299.0</v>
      </c>
      <c r="L61" s="138">
        <v>40330.0</v>
      </c>
      <c r="M61" s="138">
        <v>40360.0</v>
      </c>
      <c r="N61" s="138">
        <v>40391.0</v>
      </c>
      <c r="O61" s="138">
        <v>40422.0</v>
      </c>
      <c r="P61" s="138">
        <v>40452.0</v>
      </c>
      <c r="Q61" s="138">
        <v>40483.0</v>
      </c>
      <c r="R61" s="138">
        <v>40513.0</v>
      </c>
      <c r="S61" s="138">
        <v>40544.0</v>
      </c>
      <c r="T61" s="138">
        <v>40575.0</v>
      </c>
      <c r="U61" s="138">
        <v>40603.0</v>
      </c>
      <c r="V61" s="138">
        <v>40634.0</v>
      </c>
      <c r="W61" s="138">
        <v>40664.0</v>
      </c>
      <c r="X61" s="138">
        <v>40695.0</v>
      </c>
      <c r="Y61" s="138">
        <v>40725.0</v>
      </c>
      <c r="Z61" s="138">
        <v>40756.0</v>
      </c>
      <c r="AA61" s="138">
        <v>40787.0</v>
      </c>
      <c r="AB61" s="138">
        <v>40817.0</v>
      </c>
      <c r="AC61" s="138">
        <v>40848.0</v>
      </c>
      <c r="AD61" s="138">
        <v>40878.0</v>
      </c>
      <c r="AE61" s="138">
        <v>40909.0</v>
      </c>
      <c r="AF61" s="138">
        <v>40940.0</v>
      </c>
      <c r="AG61" s="138">
        <v>40969.0</v>
      </c>
      <c r="AH61" s="138">
        <v>41000.0</v>
      </c>
      <c r="AI61" s="138">
        <v>41030.0</v>
      </c>
      <c r="AJ61" s="138">
        <v>41061.0</v>
      </c>
      <c r="AK61" s="138">
        <v>41091.0</v>
      </c>
      <c r="AL61" s="138">
        <v>41122.0</v>
      </c>
      <c r="AM61" s="138">
        <v>41153.0</v>
      </c>
      <c r="AN61" s="138">
        <v>41183.0</v>
      </c>
      <c r="AO61" s="138">
        <v>41214.0</v>
      </c>
      <c r="AP61" s="138">
        <v>41244.0</v>
      </c>
      <c r="AQ61" s="138">
        <v>41275.0</v>
      </c>
      <c r="AR61" s="138">
        <v>41306.0</v>
      </c>
      <c r="AS61" s="138">
        <v>41334.0</v>
      </c>
      <c r="AT61" s="138">
        <v>41365.0</v>
      </c>
      <c r="AU61" s="138">
        <v>41395.0</v>
      </c>
      <c r="AV61" s="138">
        <v>41426.0</v>
      </c>
      <c r="AW61" s="138">
        <v>41456.0</v>
      </c>
      <c r="AX61" s="138">
        <v>41487.0</v>
      </c>
      <c r="AY61" s="138">
        <v>41518.0</v>
      </c>
      <c r="AZ61" s="138">
        <v>41548.0</v>
      </c>
      <c r="BA61" s="138">
        <v>41579.0</v>
      </c>
      <c r="BB61" s="138">
        <v>41609.0</v>
      </c>
      <c r="BC61" s="138">
        <v>41640.0</v>
      </c>
      <c r="BD61" s="138">
        <v>41671.0</v>
      </c>
      <c r="BE61" s="138">
        <v>41699.0</v>
      </c>
      <c r="BF61" s="138">
        <v>41730.0</v>
      </c>
      <c r="BG61" s="138">
        <v>41760.0</v>
      </c>
      <c r="BH61" s="138">
        <v>41791.0</v>
      </c>
      <c r="BI61" s="138">
        <v>41821.0</v>
      </c>
      <c r="BJ61" s="138">
        <v>41852.0</v>
      </c>
      <c r="BK61" s="138">
        <v>41883.0</v>
      </c>
      <c r="BL61" s="138">
        <v>41913.0</v>
      </c>
      <c r="BM61" s="138">
        <v>41944.0</v>
      </c>
      <c r="BN61" s="138">
        <v>41974.0</v>
      </c>
      <c r="BO61" s="138">
        <v>42005.0</v>
      </c>
      <c r="BP61" s="138">
        <v>42036.0</v>
      </c>
      <c r="BQ61" s="138">
        <v>42064.0</v>
      </c>
      <c r="BR61" s="138">
        <v>42095.0</v>
      </c>
      <c r="BS61" s="138">
        <v>42125.0</v>
      </c>
      <c r="BT61" s="138">
        <v>42156.0</v>
      </c>
      <c r="BU61" s="138">
        <v>42186.0</v>
      </c>
      <c r="BV61" s="138">
        <v>42217.0</v>
      </c>
      <c r="BW61" s="138">
        <v>42248.0</v>
      </c>
      <c r="BX61" s="138">
        <v>42278.0</v>
      </c>
      <c r="BY61" s="138">
        <v>42309.0</v>
      </c>
      <c r="BZ61" s="138">
        <v>42339.0</v>
      </c>
      <c r="CA61" s="138">
        <v>42370.0</v>
      </c>
      <c r="CB61" s="138">
        <v>42401.0</v>
      </c>
      <c r="CC61" s="138">
        <v>42430.0</v>
      </c>
      <c r="CD61" s="138">
        <v>42461.0</v>
      </c>
      <c r="CE61" s="138">
        <v>42491.0</v>
      </c>
      <c r="CF61" s="138">
        <v>42522.0</v>
      </c>
      <c r="CG61" s="138">
        <v>42552.0</v>
      </c>
      <c r="CH61" s="138">
        <v>42583.0</v>
      </c>
      <c r="CI61" s="138">
        <v>42614.0</v>
      </c>
      <c r="CJ61" s="138">
        <v>42644.0</v>
      </c>
      <c r="CK61" s="138">
        <v>42675.0</v>
      </c>
      <c r="CL61" s="138">
        <v>42705.0</v>
      </c>
      <c r="CM61" s="138">
        <v>42736.0</v>
      </c>
      <c r="CN61" s="138">
        <v>42767.0</v>
      </c>
      <c r="CO61" s="138">
        <v>42795.0</v>
      </c>
      <c r="CP61" s="138">
        <v>42826.0</v>
      </c>
      <c r="CQ61" s="138">
        <v>42856.0</v>
      </c>
      <c r="CR61" s="138">
        <v>42887.0</v>
      </c>
      <c r="CS61" s="138">
        <v>42917.0</v>
      </c>
      <c r="CT61" s="138">
        <v>42948.0</v>
      </c>
      <c r="CU61" s="138">
        <v>42979.0</v>
      </c>
      <c r="CV61" s="139">
        <v>43009.0</v>
      </c>
      <c r="CW61" s="139">
        <v>43040.0</v>
      </c>
      <c r="CX61" s="139">
        <v>43070.0</v>
      </c>
      <c r="CY61" s="139">
        <v>43101.0</v>
      </c>
      <c r="CZ61" s="139">
        <v>43132.0</v>
      </c>
      <c r="DA61" s="139">
        <v>43160.0</v>
      </c>
      <c r="DB61" s="139">
        <v>43191.0</v>
      </c>
      <c r="DC61" s="139">
        <v>43221.0</v>
      </c>
      <c r="DD61" s="139">
        <v>43252.0</v>
      </c>
      <c r="DE61" s="139">
        <v>43282.0</v>
      </c>
      <c r="DF61" s="139">
        <v>43313.0</v>
      </c>
      <c r="DG61" s="139">
        <v>43344.0</v>
      </c>
      <c r="DH61" s="139">
        <v>43374.0</v>
      </c>
      <c r="DI61" s="139">
        <v>43405.0</v>
      </c>
      <c r="DJ61" s="139">
        <v>43435.0</v>
      </c>
      <c r="DK61" s="139">
        <v>43466.0</v>
      </c>
      <c r="DL61" s="139">
        <v>43497.0</v>
      </c>
      <c r="DM61" s="139">
        <v>43525.0</v>
      </c>
      <c r="DN61" s="139">
        <v>43556.0</v>
      </c>
      <c r="DO61" s="139">
        <v>43586.0</v>
      </c>
      <c r="DP61" s="139">
        <v>43617.0</v>
      </c>
      <c r="DQ61" s="139">
        <v>43647.0</v>
      </c>
      <c r="DR61" s="139">
        <v>43678.0</v>
      </c>
      <c r="DS61" s="139">
        <v>43709.0</v>
      </c>
      <c r="DT61" s="139">
        <v>43739.0</v>
      </c>
      <c r="DU61" s="139">
        <v>43770.0</v>
      </c>
      <c r="DV61" s="139">
        <v>43800.0</v>
      </c>
      <c r="DW61" s="139">
        <v>43831.0</v>
      </c>
      <c r="DX61" s="139">
        <v>43862.0</v>
      </c>
      <c r="DY61" s="139">
        <v>43891.0</v>
      </c>
      <c r="DZ61" s="139">
        <v>43922.0</v>
      </c>
      <c r="EA61" s="139">
        <v>43952.0</v>
      </c>
      <c r="EB61" s="139">
        <v>43983.0</v>
      </c>
      <c r="EC61" s="139">
        <v>44013.0</v>
      </c>
      <c r="ED61" s="139">
        <v>44044.0</v>
      </c>
      <c r="EE61" s="139">
        <v>44075.0</v>
      </c>
      <c r="EF61" s="139">
        <v>44105.0</v>
      </c>
      <c r="EG61" s="139">
        <v>44136.0</v>
      </c>
      <c r="EH61" s="139">
        <v>44166.0</v>
      </c>
      <c r="EI61" s="139">
        <v>44197.0</v>
      </c>
      <c r="EJ61" s="139">
        <v>44228.0</v>
      </c>
      <c r="EK61" s="139">
        <v>44256.0</v>
      </c>
      <c r="EL61" s="139">
        <v>44287.0</v>
      </c>
      <c r="EM61" s="139">
        <v>44317.0</v>
      </c>
      <c r="EN61" s="139">
        <v>44348.0</v>
      </c>
      <c r="EO61" s="139">
        <v>44378.0</v>
      </c>
      <c r="EP61" s="139">
        <v>44409.0</v>
      </c>
      <c r="EQ61" s="139">
        <v>44440.0</v>
      </c>
      <c r="ER61" s="139">
        <v>44470.0</v>
      </c>
      <c r="ES61" s="139">
        <v>44501.0</v>
      </c>
      <c r="ET61" s="139">
        <v>44531.0</v>
      </c>
      <c r="EU61" s="139">
        <v>44562.0</v>
      </c>
      <c r="EV61" s="139">
        <v>44593.0</v>
      </c>
      <c r="EW61" s="139">
        <v>44621.0</v>
      </c>
      <c r="EX61" s="139">
        <v>44652.0</v>
      </c>
      <c r="EY61" s="139">
        <v>44682.0</v>
      </c>
      <c r="EZ61" s="139">
        <v>44713.0</v>
      </c>
      <c r="FA61" s="139">
        <v>44743.0</v>
      </c>
      <c r="FB61" s="139">
        <v>44774.0</v>
      </c>
      <c r="FC61" s="139">
        <v>44805.0</v>
      </c>
      <c r="FD61" s="139">
        <v>44835.0</v>
      </c>
      <c r="FE61" s="139">
        <v>44866.0</v>
      </c>
      <c r="FF61" s="139">
        <v>44896.0</v>
      </c>
      <c r="FG61" s="139">
        <v>44927.0</v>
      </c>
      <c r="FH61" s="139">
        <v>44958.0</v>
      </c>
      <c r="FI61" s="139">
        <v>44986.0</v>
      </c>
      <c r="FJ61" s="139">
        <v>45017.0</v>
      </c>
      <c r="FK61" s="139">
        <v>45047.0</v>
      </c>
      <c r="FL61" s="139">
        <v>45078.0</v>
      </c>
      <c r="FM61" s="139">
        <v>45108.0</v>
      </c>
      <c r="FN61" s="139">
        <v>45139.0</v>
      </c>
      <c r="FO61" s="139">
        <v>45170.0</v>
      </c>
      <c r="FP61" s="139">
        <v>45200.0</v>
      </c>
      <c r="FQ61" s="139">
        <v>45231.0</v>
      </c>
      <c r="FR61" s="139">
        <v>45261.0</v>
      </c>
      <c r="FS61" s="139">
        <v>45292.0</v>
      </c>
      <c r="FT61" s="139">
        <v>45323.0</v>
      </c>
      <c r="FU61" s="139">
        <v>45352.0</v>
      </c>
      <c r="FV61" s="139">
        <v>45383.0</v>
      </c>
      <c r="FW61" s="139">
        <v>45413.0</v>
      </c>
      <c r="FX61" s="139">
        <v>45444.0</v>
      </c>
      <c r="FY61" s="139">
        <v>45474.0</v>
      </c>
      <c r="FZ61" s="139">
        <v>45505.0</v>
      </c>
      <c r="GA61" s="139">
        <v>45536.0</v>
      </c>
      <c r="GB61" s="139">
        <v>45566.0</v>
      </c>
      <c r="GC61" s="139">
        <v>45597.0</v>
      </c>
      <c r="GD61" s="139">
        <v>45627.0</v>
      </c>
      <c r="GE61" s="139">
        <v>45658.0</v>
      </c>
      <c r="GF61" s="139">
        <v>45689.0</v>
      </c>
      <c r="GG61" s="139">
        <v>45717.0</v>
      </c>
      <c r="GH61" s="139">
        <v>45748.0</v>
      </c>
      <c r="GI61" s="139">
        <v>45778.0</v>
      </c>
      <c r="GJ61" s="139">
        <v>45809.0</v>
      </c>
      <c r="GK61" s="139">
        <v>45839.0</v>
      </c>
    </row>
    <row r="62">
      <c r="A62" s="132" t="s">
        <v>34017</v>
      </c>
      <c r="B62" s="133" t="s">
        <v>1134</v>
      </c>
      <c r="C62" s="134">
        <v>43014.47917824074</v>
      </c>
      <c r="D62" s="135" t="str">
        <f t="shared" si="1"/>
        <v>2017/10/06</v>
      </c>
      <c r="E62" s="136" t="s">
        <v>33910</v>
      </c>
      <c r="F62" s="137">
        <v>1.0E-5</v>
      </c>
      <c r="G62" s="138">
        <v>40179.0</v>
      </c>
      <c r="H62" s="138">
        <v>40210.0</v>
      </c>
      <c r="I62" s="138">
        <v>40238.0</v>
      </c>
      <c r="J62" s="138">
        <v>40269.0</v>
      </c>
      <c r="K62" s="138">
        <v>40299.0</v>
      </c>
      <c r="L62" s="138">
        <v>40330.0</v>
      </c>
      <c r="M62" s="138">
        <v>40360.0</v>
      </c>
      <c r="N62" s="138">
        <v>40391.0</v>
      </c>
      <c r="O62" s="138">
        <v>40422.0</v>
      </c>
      <c r="P62" s="138">
        <v>40452.0</v>
      </c>
      <c r="Q62" s="138">
        <v>40483.0</v>
      </c>
      <c r="R62" s="138">
        <v>40513.0</v>
      </c>
      <c r="S62" s="138">
        <v>40544.0</v>
      </c>
      <c r="T62" s="138">
        <v>40575.0</v>
      </c>
      <c r="U62" s="138">
        <v>40603.0</v>
      </c>
      <c r="V62" s="138">
        <v>40634.0</v>
      </c>
      <c r="W62" s="138">
        <v>40664.0</v>
      </c>
      <c r="X62" s="138">
        <v>40695.0</v>
      </c>
      <c r="Y62" s="138">
        <v>40725.0</v>
      </c>
      <c r="Z62" s="138">
        <v>40756.0</v>
      </c>
      <c r="AA62" s="138">
        <v>40787.0</v>
      </c>
      <c r="AB62" s="138">
        <v>40817.0</v>
      </c>
      <c r="AC62" s="138">
        <v>40848.0</v>
      </c>
      <c r="AD62" s="138">
        <v>40878.0</v>
      </c>
      <c r="AE62" s="138">
        <v>40909.0</v>
      </c>
      <c r="AF62" s="138">
        <v>40940.0</v>
      </c>
      <c r="AG62" s="138">
        <v>40969.0</v>
      </c>
      <c r="AH62" s="138">
        <v>41000.0</v>
      </c>
      <c r="AI62" s="138">
        <v>41030.0</v>
      </c>
      <c r="AJ62" s="138">
        <v>41061.0</v>
      </c>
      <c r="AK62" s="138">
        <v>41091.0</v>
      </c>
      <c r="AL62" s="138">
        <v>41122.0</v>
      </c>
      <c r="AM62" s="138">
        <v>41153.0</v>
      </c>
      <c r="AN62" s="138">
        <v>41183.0</v>
      </c>
      <c r="AO62" s="138">
        <v>41214.0</v>
      </c>
      <c r="AP62" s="138">
        <v>41244.0</v>
      </c>
      <c r="AQ62" s="138">
        <v>41275.0</v>
      </c>
      <c r="AR62" s="138">
        <v>41306.0</v>
      </c>
      <c r="AS62" s="138">
        <v>41334.0</v>
      </c>
      <c r="AT62" s="138">
        <v>41365.0</v>
      </c>
      <c r="AU62" s="138">
        <v>41395.0</v>
      </c>
      <c r="AV62" s="138">
        <v>41426.0</v>
      </c>
      <c r="AW62" s="138">
        <v>41456.0</v>
      </c>
      <c r="AX62" s="138">
        <v>41487.0</v>
      </c>
      <c r="AY62" s="138">
        <v>41518.0</v>
      </c>
      <c r="AZ62" s="138">
        <v>41548.0</v>
      </c>
      <c r="BA62" s="138">
        <v>41579.0</v>
      </c>
      <c r="BB62" s="138">
        <v>41609.0</v>
      </c>
      <c r="BC62" s="138">
        <v>41640.0</v>
      </c>
      <c r="BD62" s="138">
        <v>41671.0</v>
      </c>
      <c r="BE62" s="138">
        <v>41699.0</v>
      </c>
      <c r="BF62" s="138">
        <v>41730.0</v>
      </c>
      <c r="BG62" s="138">
        <v>41760.0</v>
      </c>
      <c r="BH62" s="138">
        <v>41791.0</v>
      </c>
      <c r="BI62" s="138">
        <v>41821.0</v>
      </c>
      <c r="BJ62" s="138">
        <v>41852.0</v>
      </c>
      <c r="BK62" s="138">
        <v>41883.0</v>
      </c>
      <c r="BL62" s="138">
        <v>41913.0</v>
      </c>
      <c r="BM62" s="138">
        <v>41944.0</v>
      </c>
      <c r="BN62" s="138">
        <v>41974.0</v>
      </c>
      <c r="BO62" s="138">
        <v>42005.0</v>
      </c>
      <c r="BP62" s="138">
        <v>42036.0</v>
      </c>
      <c r="BQ62" s="138">
        <v>42064.0</v>
      </c>
      <c r="BR62" s="138">
        <v>42095.0</v>
      </c>
      <c r="BS62" s="138">
        <v>42125.0</v>
      </c>
      <c r="BT62" s="138">
        <v>42156.0</v>
      </c>
      <c r="BU62" s="138">
        <v>42186.0</v>
      </c>
      <c r="BV62" s="138">
        <v>42217.0</v>
      </c>
      <c r="BW62" s="138">
        <v>42248.0</v>
      </c>
      <c r="BX62" s="138">
        <v>42278.0</v>
      </c>
      <c r="BY62" s="138">
        <v>42309.0</v>
      </c>
      <c r="BZ62" s="138">
        <v>42339.0</v>
      </c>
      <c r="CA62" s="138">
        <v>42370.0</v>
      </c>
      <c r="CB62" s="138">
        <v>42401.0</v>
      </c>
      <c r="CC62" s="138">
        <v>42430.0</v>
      </c>
      <c r="CD62" s="138">
        <v>42461.0</v>
      </c>
      <c r="CE62" s="138">
        <v>42491.0</v>
      </c>
      <c r="CF62" s="138">
        <v>42522.0</v>
      </c>
      <c r="CG62" s="138">
        <v>42552.0</v>
      </c>
      <c r="CH62" s="138">
        <v>42583.0</v>
      </c>
      <c r="CI62" s="138">
        <v>42614.0</v>
      </c>
      <c r="CJ62" s="138">
        <v>42644.0</v>
      </c>
      <c r="CK62" s="138">
        <v>42675.0</v>
      </c>
      <c r="CL62" s="138">
        <v>42705.0</v>
      </c>
      <c r="CM62" s="138">
        <v>42736.0</v>
      </c>
      <c r="CN62" s="138">
        <v>42767.0</v>
      </c>
      <c r="CO62" s="138">
        <v>42795.0</v>
      </c>
      <c r="CP62" s="138">
        <v>42826.0</v>
      </c>
      <c r="CQ62" s="138">
        <v>42856.0</v>
      </c>
      <c r="CR62" s="138">
        <v>42887.0</v>
      </c>
      <c r="CS62" s="138">
        <v>42917.0</v>
      </c>
      <c r="CT62" s="138">
        <v>42948.0</v>
      </c>
      <c r="CU62" s="138">
        <v>42979.0</v>
      </c>
      <c r="CV62" s="138">
        <v>43009.0</v>
      </c>
      <c r="CW62" s="139">
        <v>43040.0</v>
      </c>
      <c r="CX62" s="139">
        <v>43070.0</v>
      </c>
      <c r="CY62" s="139">
        <v>43101.0</v>
      </c>
      <c r="CZ62" s="139">
        <v>43132.0</v>
      </c>
      <c r="DA62" s="139">
        <v>43160.0</v>
      </c>
      <c r="DB62" s="139">
        <v>43191.0</v>
      </c>
      <c r="DC62" s="139">
        <v>43221.0</v>
      </c>
      <c r="DD62" s="139">
        <v>43252.0</v>
      </c>
      <c r="DE62" s="139">
        <v>43282.0</v>
      </c>
      <c r="DF62" s="139">
        <v>43313.0</v>
      </c>
      <c r="DG62" s="139">
        <v>43344.0</v>
      </c>
      <c r="DH62" s="139">
        <v>43374.0</v>
      </c>
      <c r="DI62" s="139">
        <v>43405.0</v>
      </c>
      <c r="DJ62" s="139">
        <v>43435.0</v>
      </c>
      <c r="DK62" s="139">
        <v>43466.0</v>
      </c>
      <c r="DL62" s="139">
        <v>43497.0</v>
      </c>
      <c r="DM62" s="139">
        <v>43525.0</v>
      </c>
      <c r="DN62" s="139">
        <v>43556.0</v>
      </c>
      <c r="DO62" s="139">
        <v>43586.0</v>
      </c>
      <c r="DP62" s="139">
        <v>43617.0</v>
      </c>
      <c r="DQ62" s="139">
        <v>43647.0</v>
      </c>
      <c r="DR62" s="139">
        <v>43678.0</v>
      </c>
      <c r="DS62" s="139">
        <v>43709.0</v>
      </c>
      <c r="DT62" s="139">
        <v>43739.0</v>
      </c>
      <c r="DU62" s="139">
        <v>43770.0</v>
      </c>
      <c r="DV62" s="139">
        <v>43800.0</v>
      </c>
      <c r="DW62" s="139">
        <v>43831.0</v>
      </c>
      <c r="DX62" s="139">
        <v>43862.0</v>
      </c>
      <c r="DY62" s="139">
        <v>43891.0</v>
      </c>
      <c r="DZ62" s="139">
        <v>43922.0</v>
      </c>
      <c r="EA62" s="139">
        <v>43952.0</v>
      </c>
      <c r="EB62" s="139">
        <v>43983.0</v>
      </c>
      <c r="EC62" s="139">
        <v>44013.0</v>
      </c>
      <c r="ED62" s="139">
        <v>44044.0</v>
      </c>
      <c r="EE62" s="139">
        <v>44075.0</v>
      </c>
      <c r="EF62" s="139">
        <v>44105.0</v>
      </c>
      <c r="EG62" s="139">
        <v>44136.0</v>
      </c>
      <c r="EH62" s="139">
        <v>44166.0</v>
      </c>
      <c r="EI62" s="139">
        <v>44197.0</v>
      </c>
      <c r="EJ62" s="139">
        <v>44228.0</v>
      </c>
      <c r="EK62" s="139">
        <v>44256.0</v>
      </c>
      <c r="EL62" s="139">
        <v>44287.0</v>
      </c>
      <c r="EM62" s="139">
        <v>44317.0</v>
      </c>
      <c r="EN62" s="139">
        <v>44348.0</v>
      </c>
      <c r="EO62" s="139">
        <v>44378.0</v>
      </c>
      <c r="EP62" s="139">
        <v>44409.0</v>
      </c>
      <c r="EQ62" s="139">
        <v>44440.0</v>
      </c>
      <c r="ER62" s="139">
        <v>44470.0</v>
      </c>
      <c r="ES62" s="139">
        <v>44501.0</v>
      </c>
      <c r="ET62" s="139">
        <v>44531.0</v>
      </c>
      <c r="EU62" s="139">
        <v>44562.0</v>
      </c>
      <c r="EV62" s="139">
        <v>44593.0</v>
      </c>
      <c r="EW62" s="139">
        <v>44621.0</v>
      </c>
      <c r="EX62" s="139">
        <v>44652.0</v>
      </c>
      <c r="EY62" s="139">
        <v>44682.0</v>
      </c>
      <c r="EZ62" s="139">
        <v>44713.0</v>
      </c>
      <c r="FA62" s="139">
        <v>44743.0</v>
      </c>
      <c r="FB62" s="139">
        <v>44774.0</v>
      </c>
      <c r="FC62" s="139">
        <v>44805.0</v>
      </c>
      <c r="FD62" s="139">
        <v>44835.0</v>
      </c>
      <c r="FE62" s="139">
        <v>44866.0</v>
      </c>
      <c r="FF62" s="139">
        <v>44896.0</v>
      </c>
      <c r="FG62" s="139">
        <v>44927.0</v>
      </c>
      <c r="FH62" s="139">
        <v>44958.0</v>
      </c>
      <c r="FI62" s="139">
        <v>44986.0</v>
      </c>
      <c r="FJ62" s="139">
        <v>45017.0</v>
      </c>
      <c r="FK62" s="139">
        <v>45047.0</v>
      </c>
      <c r="FL62" s="139">
        <v>45078.0</v>
      </c>
      <c r="FM62" s="139">
        <v>45108.0</v>
      </c>
      <c r="FN62" s="139">
        <v>45139.0</v>
      </c>
      <c r="FO62" s="139">
        <v>45170.0</v>
      </c>
      <c r="FP62" s="139">
        <v>45200.0</v>
      </c>
      <c r="FQ62" s="139">
        <v>45231.0</v>
      </c>
      <c r="FR62" s="139">
        <v>45261.0</v>
      </c>
      <c r="FS62" s="139">
        <v>45292.0</v>
      </c>
      <c r="FT62" s="139">
        <v>45323.0</v>
      </c>
      <c r="FU62" s="139">
        <v>45352.0</v>
      </c>
      <c r="FV62" s="139">
        <v>45383.0</v>
      </c>
      <c r="FW62" s="139">
        <v>45413.0</v>
      </c>
      <c r="FX62" s="139">
        <v>45444.0</v>
      </c>
      <c r="FY62" s="139">
        <v>45474.0</v>
      </c>
      <c r="FZ62" s="139">
        <v>45505.0</v>
      </c>
      <c r="GA62" s="139">
        <v>45536.0</v>
      </c>
      <c r="GB62" s="139">
        <v>45566.0</v>
      </c>
      <c r="GC62" s="139">
        <v>45597.0</v>
      </c>
      <c r="GD62" s="139">
        <v>45627.0</v>
      </c>
      <c r="GE62" s="139">
        <v>45658.0</v>
      </c>
      <c r="GF62" s="139">
        <v>45689.0</v>
      </c>
      <c r="GG62" s="139">
        <v>45717.0</v>
      </c>
      <c r="GH62" s="139">
        <v>45748.0</v>
      </c>
      <c r="GI62" s="139">
        <v>45778.0</v>
      </c>
      <c r="GJ62" s="139">
        <v>45809.0</v>
      </c>
      <c r="GK62" s="139">
        <v>45839.0</v>
      </c>
    </row>
    <row r="63">
      <c r="A63" s="132" t="s">
        <v>34018</v>
      </c>
      <c r="B63" s="133" t="s">
        <v>1168</v>
      </c>
      <c r="C63" s="134">
        <v>43032.47864583333</v>
      </c>
      <c r="D63" s="135" t="str">
        <f t="shared" si="1"/>
        <v>2017/10/24</v>
      </c>
      <c r="E63" s="136" t="s">
        <v>34019</v>
      </c>
      <c r="F63" s="137">
        <v>1.7E-4</v>
      </c>
      <c r="G63" s="138">
        <v>40179.0</v>
      </c>
      <c r="H63" s="138">
        <v>40210.0</v>
      </c>
      <c r="I63" s="138">
        <v>40238.0</v>
      </c>
      <c r="J63" s="138">
        <v>40269.0</v>
      </c>
      <c r="K63" s="138">
        <v>40299.0</v>
      </c>
      <c r="L63" s="138">
        <v>40330.0</v>
      </c>
      <c r="M63" s="138">
        <v>40360.0</v>
      </c>
      <c r="N63" s="138">
        <v>40391.0</v>
      </c>
      <c r="O63" s="138">
        <v>40422.0</v>
      </c>
      <c r="P63" s="138">
        <v>40452.0</v>
      </c>
      <c r="Q63" s="138">
        <v>40483.0</v>
      </c>
      <c r="R63" s="138">
        <v>40513.0</v>
      </c>
      <c r="S63" s="138">
        <v>40544.0</v>
      </c>
      <c r="T63" s="138">
        <v>40575.0</v>
      </c>
      <c r="U63" s="138">
        <v>40603.0</v>
      </c>
      <c r="V63" s="138">
        <v>40634.0</v>
      </c>
      <c r="W63" s="138">
        <v>40664.0</v>
      </c>
      <c r="X63" s="138">
        <v>40695.0</v>
      </c>
      <c r="Y63" s="138">
        <v>40725.0</v>
      </c>
      <c r="Z63" s="138">
        <v>40756.0</v>
      </c>
      <c r="AA63" s="138">
        <v>40787.0</v>
      </c>
      <c r="AB63" s="138">
        <v>40817.0</v>
      </c>
      <c r="AC63" s="138">
        <v>40848.0</v>
      </c>
      <c r="AD63" s="138">
        <v>40878.0</v>
      </c>
      <c r="AE63" s="138">
        <v>40909.0</v>
      </c>
      <c r="AF63" s="138">
        <v>40940.0</v>
      </c>
      <c r="AG63" s="138">
        <v>40969.0</v>
      </c>
      <c r="AH63" s="138">
        <v>41000.0</v>
      </c>
      <c r="AI63" s="138">
        <v>41030.0</v>
      </c>
      <c r="AJ63" s="138">
        <v>41061.0</v>
      </c>
      <c r="AK63" s="138">
        <v>41091.0</v>
      </c>
      <c r="AL63" s="138">
        <v>41122.0</v>
      </c>
      <c r="AM63" s="138">
        <v>41153.0</v>
      </c>
      <c r="AN63" s="138">
        <v>41183.0</v>
      </c>
      <c r="AO63" s="138">
        <v>41214.0</v>
      </c>
      <c r="AP63" s="138">
        <v>41244.0</v>
      </c>
      <c r="AQ63" s="138">
        <v>41275.0</v>
      </c>
      <c r="AR63" s="138">
        <v>41306.0</v>
      </c>
      <c r="AS63" s="138">
        <v>41334.0</v>
      </c>
      <c r="AT63" s="138">
        <v>41365.0</v>
      </c>
      <c r="AU63" s="138">
        <v>41395.0</v>
      </c>
      <c r="AV63" s="138">
        <v>41426.0</v>
      </c>
      <c r="AW63" s="138">
        <v>41456.0</v>
      </c>
      <c r="AX63" s="138">
        <v>41487.0</v>
      </c>
      <c r="AY63" s="138">
        <v>41518.0</v>
      </c>
      <c r="AZ63" s="138">
        <v>41548.0</v>
      </c>
      <c r="BA63" s="138">
        <v>41579.0</v>
      </c>
      <c r="BB63" s="138">
        <v>41609.0</v>
      </c>
      <c r="BC63" s="138">
        <v>41640.0</v>
      </c>
      <c r="BD63" s="138">
        <v>41671.0</v>
      </c>
      <c r="BE63" s="138">
        <v>41699.0</v>
      </c>
      <c r="BF63" s="138">
        <v>41730.0</v>
      </c>
      <c r="BG63" s="138">
        <v>41760.0</v>
      </c>
      <c r="BH63" s="138">
        <v>41791.0</v>
      </c>
      <c r="BI63" s="138">
        <v>41821.0</v>
      </c>
      <c r="BJ63" s="138">
        <v>41852.0</v>
      </c>
      <c r="BK63" s="138">
        <v>41883.0</v>
      </c>
      <c r="BL63" s="138">
        <v>41913.0</v>
      </c>
      <c r="BM63" s="138">
        <v>41944.0</v>
      </c>
      <c r="BN63" s="138">
        <v>41974.0</v>
      </c>
      <c r="BO63" s="138">
        <v>42005.0</v>
      </c>
      <c r="BP63" s="138">
        <v>42036.0</v>
      </c>
      <c r="BQ63" s="138">
        <v>42064.0</v>
      </c>
      <c r="BR63" s="138">
        <v>42095.0</v>
      </c>
      <c r="BS63" s="138">
        <v>42125.0</v>
      </c>
      <c r="BT63" s="138">
        <v>42156.0</v>
      </c>
      <c r="BU63" s="138">
        <v>42186.0</v>
      </c>
      <c r="BV63" s="138">
        <v>42217.0</v>
      </c>
      <c r="BW63" s="138">
        <v>42248.0</v>
      </c>
      <c r="BX63" s="138">
        <v>42278.0</v>
      </c>
      <c r="BY63" s="138">
        <v>42309.0</v>
      </c>
      <c r="BZ63" s="138">
        <v>42339.0</v>
      </c>
      <c r="CA63" s="138">
        <v>42370.0</v>
      </c>
      <c r="CB63" s="138">
        <v>42401.0</v>
      </c>
      <c r="CC63" s="138">
        <v>42430.0</v>
      </c>
      <c r="CD63" s="138">
        <v>42461.0</v>
      </c>
      <c r="CE63" s="138">
        <v>42491.0</v>
      </c>
      <c r="CF63" s="138">
        <v>42522.0</v>
      </c>
      <c r="CG63" s="138">
        <v>42552.0</v>
      </c>
      <c r="CH63" s="138">
        <v>42583.0</v>
      </c>
      <c r="CI63" s="138">
        <v>42614.0</v>
      </c>
      <c r="CJ63" s="138">
        <v>42644.0</v>
      </c>
      <c r="CK63" s="138">
        <v>42675.0</v>
      </c>
      <c r="CL63" s="138">
        <v>42705.0</v>
      </c>
      <c r="CM63" s="138">
        <v>42736.0</v>
      </c>
      <c r="CN63" s="138">
        <v>42767.0</v>
      </c>
      <c r="CO63" s="138">
        <v>42795.0</v>
      </c>
      <c r="CP63" s="138">
        <v>42826.0</v>
      </c>
      <c r="CQ63" s="138">
        <v>42856.0</v>
      </c>
      <c r="CR63" s="138">
        <v>42887.0</v>
      </c>
      <c r="CS63" s="138">
        <v>42917.0</v>
      </c>
      <c r="CT63" s="138">
        <v>42948.0</v>
      </c>
      <c r="CU63" s="138">
        <v>42979.0</v>
      </c>
      <c r="CV63" s="138">
        <v>43009.0</v>
      </c>
      <c r="CW63" s="139">
        <v>43040.0</v>
      </c>
      <c r="CX63" s="139">
        <v>43070.0</v>
      </c>
      <c r="CY63" s="139">
        <v>43101.0</v>
      </c>
      <c r="CZ63" s="139">
        <v>43132.0</v>
      </c>
      <c r="DA63" s="139">
        <v>43160.0</v>
      </c>
      <c r="DB63" s="139">
        <v>43191.0</v>
      </c>
      <c r="DC63" s="139">
        <v>43221.0</v>
      </c>
      <c r="DD63" s="139">
        <v>43252.0</v>
      </c>
      <c r="DE63" s="139">
        <v>43282.0</v>
      </c>
      <c r="DF63" s="139">
        <v>43313.0</v>
      </c>
      <c r="DG63" s="139">
        <v>43344.0</v>
      </c>
      <c r="DH63" s="139">
        <v>43374.0</v>
      </c>
      <c r="DI63" s="139">
        <v>43405.0</v>
      </c>
      <c r="DJ63" s="139">
        <v>43435.0</v>
      </c>
      <c r="DK63" s="139">
        <v>43466.0</v>
      </c>
      <c r="DL63" s="139">
        <v>43497.0</v>
      </c>
      <c r="DM63" s="139">
        <v>43525.0</v>
      </c>
      <c r="DN63" s="139">
        <v>43556.0</v>
      </c>
      <c r="DO63" s="139">
        <v>43586.0</v>
      </c>
      <c r="DP63" s="139">
        <v>43617.0</v>
      </c>
      <c r="DQ63" s="139">
        <v>43647.0</v>
      </c>
      <c r="DR63" s="139">
        <v>43678.0</v>
      </c>
      <c r="DS63" s="139">
        <v>43709.0</v>
      </c>
      <c r="DT63" s="139">
        <v>43739.0</v>
      </c>
      <c r="DU63" s="139">
        <v>43770.0</v>
      </c>
      <c r="DV63" s="139">
        <v>43800.0</v>
      </c>
      <c r="DW63" s="139">
        <v>43831.0</v>
      </c>
      <c r="DX63" s="139">
        <v>43862.0</v>
      </c>
      <c r="DY63" s="139">
        <v>43891.0</v>
      </c>
      <c r="DZ63" s="139">
        <v>43922.0</v>
      </c>
      <c r="EA63" s="139">
        <v>43952.0</v>
      </c>
      <c r="EB63" s="139">
        <v>43983.0</v>
      </c>
      <c r="EC63" s="139">
        <v>44013.0</v>
      </c>
      <c r="ED63" s="139">
        <v>44044.0</v>
      </c>
      <c r="EE63" s="139">
        <v>44075.0</v>
      </c>
      <c r="EF63" s="139">
        <v>44105.0</v>
      </c>
      <c r="EG63" s="139">
        <v>44136.0</v>
      </c>
      <c r="EH63" s="139">
        <v>44166.0</v>
      </c>
      <c r="EI63" s="139">
        <v>44197.0</v>
      </c>
      <c r="EJ63" s="139">
        <v>44228.0</v>
      </c>
      <c r="EK63" s="139">
        <v>44256.0</v>
      </c>
      <c r="EL63" s="139">
        <v>44287.0</v>
      </c>
      <c r="EM63" s="139">
        <v>44317.0</v>
      </c>
      <c r="EN63" s="139">
        <v>44348.0</v>
      </c>
      <c r="EO63" s="139">
        <v>44378.0</v>
      </c>
      <c r="EP63" s="139">
        <v>44409.0</v>
      </c>
      <c r="EQ63" s="139">
        <v>44440.0</v>
      </c>
      <c r="ER63" s="139">
        <v>44470.0</v>
      </c>
      <c r="ES63" s="139">
        <v>44501.0</v>
      </c>
      <c r="ET63" s="139">
        <v>44531.0</v>
      </c>
      <c r="EU63" s="139">
        <v>44562.0</v>
      </c>
      <c r="EV63" s="139">
        <v>44593.0</v>
      </c>
      <c r="EW63" s="139">
        <v>44621.0</v>
      </c>
      <c r="EX63" s="139">
        <v>44652.0</v>
      </c>
      <c r="EY63" s="139">
        <v>44682.0</v>
      </c>
      <c r="EZ63" s="139">
        <v>44713.0</v>
      </c>
      <c r="FA63" s="139">
        <v>44743.0</v>
      </c>
      <c r="FB63" s="139">
        <v>44774.0</v>
      </c>
      <c r="FC63" s="139">
        <v>44805.0</v>
      </c>
      <c r="FD63" s="139">
        <v>44835.0</v>
      </c>
      <c r="FE63" s="139">
        <v>44866.0</v>
      </c>
      <c r="FF63" s="139">
        <v>44896.0</v>
      </c>
      <c r="FG63" s="139">
        <v>44927.0</v>
      </c>
      <c r="FH63" s="139">
        <v>44958.0</v>
      </c>
      <c r="FI63" s="139">
        <v>44986.0</v>
      </c>
      <c r="FJ63" s="139">
        <v>45017.0</v>
      </c>
      <c r="FK63" s="139">
        <v>45047.0</v>
      </c>
      <c r="FL63" s="139">
        <v>45078.0</v>
      </c>
      <c r="FM63" s="139">
        <v>45108.0</v>
      </c>
      <c r="FN63" s="139">
        <v>45139.0</v>
      </c>
      <c r="FO63" s="139">
        <v>45170.0</v>
      </c>
      <c r="FP63" s="139">
        <v>45200.0</v>
      </c>
      <c r="FQ63" s="139">
        <v>45231.0</v>
      </c>
      <c r="FR63" s="139">
        <v>45261.0</v>
      </c>
      <c r="FS63" s="139">
        <v>45292.0</v>
      </c>
      <c r="FT63" s="139">
        <v>45323.0</v>
      </c>
      <c r="FU63" s="139">
        <v>45352.0</v>
      </c>
      <c r="FV63" s="139">
        <v>45383.0</v>
      </c>
      <c r="FW63" s="139">
        <v>45413.0</v>
      </c>
      <c r="FX63" s="139">
        <v>45444.0</v>
      </c>
      <c r="FY63" s="139">
        <v>45474.0</v>
      </c>
      <c r="FZ63" s="139">
        <v>45505.0</v>
      </c>
      <c r="GA63" s="139">
        <v>45536.0</v>
      </c>
      <c r="GB63" s="139">
        <v>45566.0</v>
      </c>
      <c r="GC63" s="139">
        <v>45597.0</v>
      </c>
      <c r="GD63" s="139">
        <v>45627.0</v>
      </c>
      <c r="GE63" s="139">
        <v>45658.0</v>
      </c>
      <c r="GF63" s="139">
        <v>45689.0</v>
      </c>
      <c r="GG63" s="139">
        <v>45717.0</v>
      </c>
      <c r="GH63" s="139">
        <v>45748.0</v>
      </c>
      <c r="GI63" s="139">
        <v>45778.0</v>
      </c>
      <c r="GJ63" s="139">
        <v>45809.0</v>
      </c>
      <c r="GK63" s="139">
        <v>45839.0</v>
      </c>
    </row>
    <row r="64">
      <c r="A64" s="132" t="s">
        <v>34020</v>
      </c>
      <c r="B64" s="133" t="s">
        <v>1134</v>
      </c>
      <c r="C64" s="134">
        <v>43069.56925925926</v>
      </c>
      <c r="D64" s="135" t="str">
        <f t="shared" si="1"/>
        <v>2017/11/30</v>
      </c>
      <c r="E64" s="136" t="s">
        <v>34021</v>
      </c>
      <c r="F64" s="137">
        <v>1.0E-5</v>
      </c>
      <c r="G64" s="138">
        <v>40179.0</v>
      </c>
      <c r="H64" s="138">
        <v>40210.0</v>
      </c>
      <c r="I64" s="138">
        <v>40238.0</v>
      </c>
      <c r="J64" s="138">
        <v>40269.0</v>
      </c>
      <c r="K64" s="138">
        <v>40299.0</v>
      </c>
      <c r="L64" s="138">
        <v>40330.0</v>
      </c>
      <c r="M64" s="138">
        <v>40360.0</v>
      </c>
      <c r="N64" s="138">
        <v>40391.0</v>
      </c>
      <c r="O64" s="138">
        <v>40422.0</v>
      </c>
      <c r="P64" s="138">
        <v>40452.0</v>
      </c>
      <c r="Q64" s="138">
        <v>40483.0</v>
      </c>
      <c r="R64" s="138">
        <v>40513.0</v>
      </c>
      <c r="S64" s="138">
        <v>40544.0</v>
      </c>
      <c r="T64" s="138">
        <v>40575.0</v>
      </c>
      <c r="U64" s="138">
        <v>40603.0</v>
      </c>
      <c r="V64" s="138">
        <v>40634.0</v>
      </c>
      <c r="W64" s="138">
        <v>40664.0</v>
      </c>
      <c r="X64" s="138">
        <v>40695.0</v>
      </c>
      <c r="Y64" s="138">
        <v>40725.0</v>
      </c>
      <c r="Z64" s="138">
        <v>40756.0</v>
      </c>
      <c r="AA64" s="138">
        <v>40787.0</v>
      </c>
      <c r="AB64" s="138">
        <v>40817.0</v>
      </c>
      <c r="AC64" s="138">
        <v>40848.0</v>
      </c>
      <c r="AD64" s="138">
        <v>40878.0</v>
      </c>
      <c r="AE64" s="138">
        <v>40909.0</v>
      </c>
      <c r="AF64" s="138">
        <v>40940.0</v>
      </c>
      <c r="AG64" s="138">
        <v>40969.0</v>
      </c>
      <c r="AH64" s="138">
        <v>41000.0</v>
      </c>
      <c r="AI64" s="138">
        <v>41030.0</v>
      </c>
      <c r="AJ64" s="138">
        <v>41061.0</v>
      </c>
      <c r="AK64" s="138">
        <v>41091.0</v>
      </c>
      <c r="AL64" s="138">
        <v>41122.0</v>
      </c>
      <c r="AM64" s="138">
        <v>41153.0</v>
      </c>
      <c r="AN64" s="138">
        <v>41183.0</v>
      </c>
      <c r="AO64" s="138">
        <v>41214.0</v>
      </c>
      <c r="AP64" s="138">
        <v>41244.0</v>
      </c>
      <c r="AQ64" s="138">
        <v>41275.0</v>
      </c>
      <c r="AR64" s="138">
        <v>41306.0</v>
      </c>
      <c r="AS64" s="138">
        <v>41334.0</v>
      </c>
      <c r="AT64" s="138">
        <v>41365.0</v>
      </c>
      <c r="AU64" s="138">
        <v>41395.0</v>
      </c>
      <c r="AV64" s="138">
        <v>41426.0</v>
      </c>
      <c r="AW64" s="138">
        <v>41456.0</v>
      </c>
      <c r="AX64" s="138">
        <v>41487.0</v>
      </c>
      <c r="AY64" s="138">
        <v>41518.0</v>
      </c>
      <c r="AZ64" s="138">
        <v>41548.0</v>
      </c>
      <c r="BA64" s="138">
        <v>41579.0</v>
      </c>
      <c r="BB64" s="138">
        <v>41609.0</v>
      </c>
      <c r="BC64" s="138">
        <v>41640.0</v>
      </c>
      <c r="BD64" s="138">
        <v>41671.0</v>
      </c>
      <c r="BE64" s="138">
        <v>41699.0</v>
      </c>
      <c r="BF64" s="138">
        <v>41730.0</v>
      </c>
      <c r="BG64" s="138">
        <v>41760.0</v>
      </c>
      <c r="BH64" s="138">
        <v>41791.0</v>
      </c>
      <c r="BI64" s="138">
        <v>41821.0</v>
      </c>
      <c r="BJ64" s="138">
        <v>41852.0</v>
      </c>
      <c r="BK64" s="138">
        <v>41883.0</v>
      </c>
      <c r="BL64" s="138">
        <v>41913.0</v>
      </c>
      <c r="BM64" s="138">
        <v>41944.0</v>
      </c>
      <c r="BN64" s="138">
        <v>41974.0</v>
      </c>
      <c r="BO64" s="138">
        <v>42005.0</v>
      </c>
      <c r="BP64" s="138">
        <v>42036.0</v>
      </c>
      <c r="BQ64" s="138">
        <v>42064.0</v>
      </c>
      <c r="BR64" s="138">
        <v>42095.0</v>
      </c>
      <c r="BS64" s="138">
        <v>42125.0</v>
      </c>
      <c r="BT64" s="138">
        <v>42156.0</v>
      </c>
      <c r="BU64" s="138">
        <v>42186.0</v>
      </c>
      <c r="BV64" s="138">
        <v>42217.0</v>
      </c>
      <c r="BW64" s="138">
        <v>42248.0</v>
      </c>
      <c r="BX64" s="138">
        <v>42278.0</v>
      </c>
      <c r="BY64" s="138">
        <v>42309.0</v>
      </c>
      <c r="BZ64" s="138">
        <v>42339.0</v>
      </c>
      <c r="CA64" s="138">
        <v>42370.0</v>
      </c>
      <c r="CB64" s="138">
        <v>42401.0</v>
      </c>
      <c r="CC64" s="138">
        <v>42430.0</v>
      </c>
      <c r="CD64" s="138">
        <v>42461.0</v>
      </c>
      <c r="CE64" s="138">
        <v>42491.0</v>
      </c>
      <c r="CF64" s="138">
        <v>42522.0</v>
      </c>
      <c r="CG64" s="138">
        <v>42552.0</v>
      </c>
      <c r="CH64" s="138">
        <v>42583.0</v>
      </c>
      <c r="CI64" s="138">
        <v>42614.0</v>
      </c>
      <c r="CJ64" s="138">
        <v>42644.0</v>
      </c>
      <c r="CK64" s="138">
        <v>42675.0</v>
      </c>
      <c r="CL64" s="138">
        <v>42705.0</v>
      </c>
      <c r="CM64" s="138">
        <v>42736.0</v>
      </c>
      <c r="CN64" s="138">
        <v>42767.0</v>
      </c>
      <c r="CO64" s="138">
        <v>42795.0</v>
      </c>
      <c r="CP64" s="138">
        <v>42826.0</v>
      </c>
      <c r="CQ64" s="138">
        <v>42856.0</v>
      </c>
      <c r="CR64" s="138">
        <v>42887.0</v>
      </c>
      <c r="CS64" s="138">
        <v>42917.0</v>
      </c>
      <c r="CT64" s="138">
        <v>42948.0</v>
      </c>
      <c r="CU64" s="138">
        <v>42979.0</v>
      </c>
      <c r="CV64" s="138">
        <v>43009.0</v>
      </c>
      <c r="CW64" s="138">
        <v>43040.0</v>
      </c>
      <c r="CX64" s="139">
        <v>43070.0</v>
      </c>
      <c r="CY64" s="139">
        <v>43101.0</v>
      </c>
      <c r="CZ64" s="139">
        <v>43132.0</v>
      </c>
      <c r="DA64" s="139">
        <v>43160.0</v>
      </c>
      <c r="DB64" s="139">
        <v>43191.0</v>
      </c>
      <c r="DC64" s="139">
        <v>43221.0</v>
      </c>
      <c r="DD64" s="139">
        <v>43252.0</v>
      </c>
      <c r="DE64" s="139">
        <v>43282.0</v>
      </c>
      <c r="DF64" s="139">
        <v>43313.0</v>
      </c>
      <c r="DG64" s="139">
        <v>43344.0</v>
      </c>
      <c r="DH64" s="139">
        <v>43374.0</v>
      </c>
      <c r="DI64" s="139">
        <v>43405.0</v>
      </c>
      <c r="DJ64" s="139">
        <v>43435.0</v>
      </c>
      <c r="DK64" s="139">
        <v>43466.0</v>
      </c>
      <c r="DL64" s="139">
        <v>43497.0</v>
      </c>
      <c r="DM64" s="139">
        <v>43525.0</v>
      </c>
      <c r="DN64" s="139">
        <v>43556.0</v>
      </c>
      <c r="DO64" s="139">
        <v>43586.0</v>
      </c>
      <c r="DP64" s="139">
        <v>43617.0</v>
      </c>
      <c r="DQ64" s="139">
        <v>43647.0</v>
      </c>
      <c r="DR64" s="139">
        <v>43678.0</v>
      </c>
      <c r="DS64" s="139">
        <v>43709.0</v>
      </c>
      <c r="DT64" s="139">
        <v>43739.0</v>
      </c>
      <c r="DU64" s="139">
        <v>43770.0</v>
      </c>
      <c r="DV64" s="139">
        <v>43800.0</v>
      </c>
      <c r="DW64" s="139">
        <v>43831.0</v>
      </c>
      <c r="DX64" s="139">
        <v>43862.0</v>
      </c>
      <c r="DY64" s="139">
        <v>43891.0</v>
      </c>
      <c r="DZ64" s="139">
        <v>43922.0</v>
      </c>
      <c r="EA64" s="139">
        <v>43952.0</v>
      </c>
      <c r="EB64" s="139">
        <v>43983.0</v>
      </c>
      <c r="EC64" s="139">
        <v>44013.0</v>
      </c>
      <c r="ED64" s="139">
        <v>44044.0</v>
      </c>
      <c r="EE64" s="139">
        <v>44075.0</v>
      </c>
      <c r="EF64" s="139">
        <v>44105.0</v>
      </c>
      <c r="EG64" s="139">
        <v>44136.0</v>
      </c>
      <c r="EH64" s="139">
        <v>44166.0</v>
      </c>
      <c r="EI64" s="139">
        <v>44197.0</v>
      </c>
      <c r="EJ64" s="139">
        <v>44228.0</v>
      </c>
      <c r="EK64" s="139">
        <v>44256.0</v>
      </c>
      <c r="EL64" s="139">
        <v>44287.0</v>
      </c>
      <c r="EM64" s="139">
        <v>44317.0</v>
      </c>
      <c r="EN64" s="139">
        <v>44348.0</v>
      </c>
      <c r="EO64" s="139">
        <v>44378.0</v>
      </c>
      <c r="EP64" s="139">
        <v>44409.0</v>
      </c>
      <c r="EQ64" s="139">
        <v>44440.0</v>
      </c>
      <c r="ER64" s="139">
        <v>44470.0</v>
      </c>
      <c r="ES64" s="139">
        <v>44501.0</v>
      </c>
      <c r="ET64" s="139">
        <v>44531.0</v>
      </c>
      <c r="EU64" s="139">
        <v>44562.0</v>
      </c>
      <c r="EV64" s="139">
        <v>44593.0</v>
      </c>
      <c r="EW64" s="139">
        <v>44621.0</v>
      </c>
      <c r="EX64" s="139">
        <v>44652.0</v>
      </c>
      <c r="EY64" s="139">
        <v>44682.0</v>
      </c>
      <c r="EZ64" s="139">
        <v>44713.0</v>
      </c>
      <c r="FA64" s="139">
        <v>44743.0</v>
      </c>
      <c r="FB64" s="139">
        <v>44774.0</v>
      </c>
      <c r="FC64" s="139">
        <v>44805.0</v>
      </c>
      <c r="FD64" s="139">
        <v>44835.0</v>
      </c>
      <c r="FE64" s="139">
        <v>44866.0</v>
      </c>
      <c r="FF64" s="139">
        <v>44896.0</v>
      </c>
      <c r="FG64" s="139">
        <v>44927.0</v>
      </c>
      <c r="FH64" s="139">
        <v>44958.0</v>
      </c>
      <c r="FI64" s="139">
        <v>44986.0</v>
      </c>
      <c r="FJ64" s="139">
        <v>45017.0</v>
      </c>
      <c r="FK64" s="139">
        <v>45047.0</v>
      </c>
      <c r="FL64" s="139">
        <v>45078.0</v>
      </c>
      <c r="FM64" s="139">
        <v>45108.0</v>
      </c>
      <c r="FN64" s="139">
        <v>45139.0</v>
      </c>
      <c r="FO64" s="139">
        <v>45170.0</v>
      </c>
      <c r="FP64" s="139">
        <v>45200.0</v>
      </c>
      <c r="FQ64" s="139">
        <v>45231.0</v>
      </c>
      <c r="FR64" s="139">
        <v>45261.0</v>
      </c>
      <c r="FS64" s="139">
        <v>45292.0</v>
      </c>
      <c r="FT64" s="139">
        <v>45323.0</v>
      </c>
      <c r="FU64" s="139">
        <v>45352.0</v>
      </c>
      <c r="FV64" s="139">
        <v>45383.0</v>
      </c>
      <c r="FW64" s="139">
        <v>45413.0</v>
      </c>
      <c r="FX64" s="139">
        <v>45444.0</v>
      </c>
      <c r="FY64" s="139">
        <v>45474.0</v>
      </c>
      <c r="FZ64" s="139">
        <v>45505.0</v>
      </c>
      <c r="GA64" s="139">
        <v>45536.0</v>
      </c>
      <c r="GB64" s="139">
        <v>45566.0</v>
      </c>
      <c r="GC64" s="139">
        <v>45597.0</v>
      </c>
      <c r="GD64" s="139">
        <v>45627.0</v>
      </c>
      <c r="GE64" s="139">
        <v>45658.0</v>
      </c>
      <c r="GF64" s="139">
        <v>45689.0</v>
      </c>
      <c r="GG64" s="139">
        <v>45717.0</v>
      </c>
      <c r="GH64" s="139">
        <v>45748.0</v>
      </c>
      <c r="GI64" s="139">
        <v>45778.0</v>
      </c>
      <c r="GJ64" s="139">
        <v>45809.0</v>
      </c>
      <c r="GK64" s="139">
        <v>45839.0</v>
      </c>
    </row>
    <row r="65">
      <c r="A65" s="132" t="s">
        <v>34022</v>
      </c>
      <c r="B65" s="133" t="s">
        <v>1135</v>
      </c>
      <c r="C65" s="134">
        <v>43074.791180555556</v>
      </c>
      <c r="D65" s="135" t="str">
        <f t="shared" si="1"/>
        <v>2017/12/05</v>
      </c>
      <c r="E65" s="136" t="s">
        <v>34023</v>
      </c>
      <c r="F65" s="137">
        <v>2.4E-4</v>
      </c>
      <c r="G65" s="138">
        <v>40179.0</v>
      </c>
      <c r="H65" s="138">
        <v>40210.0</v>
      </c>
      <c r="I65" s="138">
        <v>40238.0</v>
      </c>
      <c r="J65" s="138">
        <v>40269.0</v>
      </c>
      <c r="K65" s="138">
        <v>40299.0</v>
      </c>
      <c r="L65" s="138">
        <v>40330.0</v>
      </c>
      <c r="M65" s="138">
        <v>40360.0</v>
      </c>
      <c r="N65" s="138">
        <v>40391.0</v>
      </c>
      <c r="O65" s="138">
        <v>40422.0</v>
      </c>
      <c r="P65" s="138">
        <v>40452.0</v>
      </c>
      <c r="Q65" s="138">
        <v>40483.0</v>
      </c>
      <c r="R65" s="138">
        <v>40513.0</v>
      </c>
      <c r="S65" s="138">
        <v>40544.0</v>
      </c>
      <c r="T65" s="138">
        <v>40575.0</v>
      </c>
      <c r="U65" s="138">
        <v>40603.0</v>
      </c>
      <c r="V65" s="138">
        <v>40634.0</v>
      </c>
      <c r="W65" s="138">
        <v>40664.0</v>
      </c>
      <c r="X65" s="138">
        <v>40695.0</v>
      </c>
      <c r="Y65" s="138">
        <v>40725.0</v>
      </c>
      <c r="Z65" s="138">
        <v>40756.0</v>
      </c>
      <c r="AA65" s="138">
        <v>40787.0</v>
      </c>
      <c r="AB65" s="138">
        <v>40817.0</v>
      </c>
      <c r="AC65" s="138">
        <v>40848.0</v>
      </c>
      <c r="AD65" s="138">
        <v>40878.0</v>
      </c>
      <c r="AE65" s="138">
        <v>40909.0</v>
      </c>
      <c r="AF65" s="138">
        <v>40940.0</v>
      </c>
      <c r="AG65" s="138">
        <v>40969.0</v>
      </c>
      <c r="AH65" s="138">
        <v>41000.0</v>
      </c>
      <c r="AI65" s="138">
        <v>41030.0</v>
      </c>
      <c r="AJ65" s="138">
        <v>41061.0</v>
      </c>
      <c r="AK65" s="138">
        <v>41091.0</v>
      </c>
      <c r="AL65" s="138">
        <v>41122.0</v>
      </c>
      <c r="AM65" s="138">
        <v>41153.0</v>
      </c>
      <c r="AN65" s="138">
        <v>41183.0</v>
      </c>
      <c r="AO65" s="138">
        <v>41214.0</v>
      </c>
      <c r="AP65" s="138">
        <v>41244.0</v>
      </c>
      <c r="AQ65" s="138">
        <v>41275.0</v>
      </c>
      <c r="AR65" s="138">
        <v>41306.0</v>
      </c>
      <c r="AS65" s="138">
        <v>41334.0</v>
      </c>
      <c r="AT65" s="138">
        <v>41365.0</v>
      </c>
      <c r="AU65" s="138">
        <v>41395.0</v>
      </c>
      <c r="AV65" s="138">
        <v>41426.0</v>
      </c>
      <c r="AW65" s="138">
        <v>41456.0</v>
      </c>
      <c r="AX65" s="138">
        <v>41487.0</v>
      </c>
      <c r="AY65" s="138">
        <v>41518.0</v>
      </c>
      <c r="AZ65" s="138">
        <v>41548.0</v>
      </c>
      <c r="BA65" s="138">
        <v>41579.0</v>
      </c>
      <c r="BB65" s="138">
        <v>41609.0</v>
      </c>
      <c r="BC65" s="138">
        <v>41640.0</v>
      </c>
      <c r="BD65" s="138">
        <v>41671.0</v>
      </c>
      <c r="BE65" s="138">
        <v>41699.0</v>
      </c>
      <c r="BF65" s="138">
        <v>41730.0</v>
      </c>
      <c r="BG65" s="138">
        <v>41760.0</v>
      </c>
      <c r="BH65" s="138">
        <v>41791.0</v>
      </c>
      <c r="BI65" s="138">
        <v>41821.0</v>
      </c>
      <c r="BJ65" s="138">
        <v>41852.0</v>
      </c>
      <c r="BK65" s="138">
        <v>41883.0</v>
      </c>
      <c r="BL65" s="138">
        <v>41913.0</v>
      </c>
      <c r="BM65" s="138">
        <v>41944.0</v>
      </c>
      <c r="BN65" s="138">
        <v>41974.0</v>
      </c>
      <c r="BO65" s="138">
        <v>42005.0</v>
      </c>
      <c r="BP65" s="138">
        <v>42036.0</v>
      </c>
      <c r="BQ65" s="138">
        <v>42064.0</v>
      </c>
      <c r="BR65" s="138">
        <v>42095.0</v>
      </c>
      <c r="BS65" s="138">
        <v>42125.0</v>
      </c>
      <c r="BT65" s="138">
        <v>42156.0</v>
      </c>
      <c r="BU65" s="138">
        <v>42186.0</v>
      </c>
      <c r="BV65" s="138">
        <v>42217.0</v>
      </c>
      <c r="BW65" s="138">
        <v>42248.0</v>
      </c>
      <c r="BX65" s="138">
        <v>42278.0</v>
      </c>
      <c r="BY65" s="138">
        <v>42309.0</v>
      </c>
      <c r="BZ65" s="138">
        <v>42339.0</v>
      </c>
      <c r="CA65" s="138">
        <v>42370.0</v>
      </c>
      <c r="CB65" s="138">
        <v>42401.0</v>
      </c>
      <c r="CC65" s="138">
        <v>42430.0</v>
      </c>
      <c r="CD65" s="138">
        <v>42461.0</v>
      </c>
      <c r="CE65" s="138">
        <v>42491.0</v>
      </c>
      <c r="CF65" s="138">
        <v>42522.0</v>
      </c>
      <c r="CG65" s="138">
        <v>42552.0</v>
      </c>
      <c r="CH65" s="138">
        <v>42583.0</v>
      </c>
      <c r="CI65" s="138">
        <v>42614.0</v>
      </c>
      <c r="CJ65" s="138">
        <v>42644.0</v>
      </c>
      <c r="CK65" s="138">
        <v>42675.0</v>
      </c>
      <c r="CL65" s="138">
        <v>42705.0</v>
      </c>
      <c r="CM65" s="138">
        <v>42736.0</v>
      </c>
      <c r="CN65" s="138">
        <v>42767.0</v>
      </c>
      <c r="CO65" s="138">
        <v>42795.0</v>
      </c>
      <c r="CP65" s="138">
        <v>42826.0</v>
      </c>
      <c r="CQ65" s="138">
        <v>42856.0</v>
      </c>
      <c r="CR65" s="138">
        <v>42887.0</v>
      </c>
      <c r="CS65" s="138">
        <v>42917.0</v>
      </c>
      <c r="CT65" s="138">
        <v>42948.0</v>
      </c>
      <c r="CU65" s="138">
        <v>42979.0</v>
      </c>
      <c r="CV65" s="138">
        <v>43009.0</v>
      </c>
      <c r="CW65" s="138">
        <v>43040.0</v>
      </c>
      <c r="CX65" s="138">
        <v>43070.0</v>
      </c>
      <c r="CY65" s="139">
        <v>43101.0</v>
      </c>
      <c r="CZ65" s="139">
        <v>43132.0</v>
      </c>
      <c r="DA65" s="139">
        <v>43160.0</v>
      </c>
      <c r="DB65" s="139">
        <v>43191.0</v>
      </c>
      <c r="DC65" s="139">
        <v>43221.0</v>
      </c>
      <c r="DD65" s="139">
        <v>43252.0</v>
      </c>
      <c r="DE65" s="139">
        <v>43282.0</v>
      </c>
      <c r="DF65" s="139">
        <v>43313.0</v>
      </c>
      <c r="DG65" s="139">
        <v>43344.0</v>
      </c>
      <c r="DH65" s="139">
        <v>43374.0</v>
      </c>
      <c r="DI65" s="139">
        <v>43405.0</v>
      </c>
      <c r="DJ65" s="139">
        <v>43435.0</v>
      </c>
      <c r="DK65" s="139">
        <v>43466.0</v>
      </c>
      <c r="DL65" s="139">
        <v>43497.0</v>
      </c>
      <c r="DM65" s="139">
        <v>43525.0</v>
      </c>
      <c r="DN65" s="139">
        <v>43556.0</v>
      </c>
      <c r="DO65" s="139">
        <v>43586.0</v>
      </c>
      <c r="DP65" s="139">
        <v>43617.0</v>
      </c>
      <c r="DQ65" s="139">
        <v>43647.0</v>
      </c>
      <c r="DR65" s="139">
        <v>43678.0</v>
      </c>
      <c r="DS65" s="139">
        <v>43709.0</v>
      </c>
      <c r="DT65" s="139">
        <v>43739.0</v>
      </c>
      <c r="DU65" s="139">
        <v>43770.0</v>
      </c>
      <c r="DV65" s="139">
        <v>43800.0</v>
      </c>
      <c r="DW65" s="139">
        <v>43831.0</v>
      </c>
      <c r="DX65" s="139">
        <v>43862.0</v>
      </c>
      <c r="DY65" s="139">
        <v>43891.0</v>
      </c>
      <c r="DZ65" s="139">
        <v>43922.0</v>
      </c>
      <c r="EA65" s="139">
        <v>43952.0</v>
      </c>
      <c r="EB65" s="139">
        <v>43983.0</v>
      </c>
      <c r="EC65" s="139">
        <v>44013.0</v>
      </c>
      <c r="ED65" s="139">
        <v>44044.0</v>
      </c>
      <c r="EE65" s="139">
        <v>44075.0</v>
      </c>
      <c r="EF65" s="139">
        <v>44105.0</v>
      </c>
      <c r="EG65" s="139">
        <v>44136.0</v>
      </c>
      <c r="EH65" s="139">
        <v>44166.0</v>
      </c>
      <c r="EI65" s="139">
        <v>44197.0</v>
      </c>
      <c r="EJ65" s="139">
        <v>44228.0</v>
      </c>
      <c r="EK65" s="139">
        <v>44256.0</v>
      </c>
      <c r="EL65" s="139">
        <v>44287.0</v>
      </c>
      <c r="EM65" s="139">
        <v>44317.0</v>
      </c>
      <c r="EN65" s="139">
        <v>44348.0</v>
      </c>
      <c r="EO65" s="139">
        <v>44378.0</v>
      </c>
      <c r="EP65" s="139">
        <v>44409.0</v>
      </c>
      <c r="EQ65" s="139">
        <v>44440.0</v>
      </c>
      <c r="ER65" s="139">
        <v>44470.0</v>
      </c>
      <c r="ES65" s="139">
        <v>44501.0</v>
      </c>
      <c r="ET65" s="139">
        <v>44531.0</v>
      </c>
      <c r="EU65" s="139">
        <v>44562.0</v>
      </c>
      <c r="EV65" s="139">
        <v>44593.0</v>
      </c>
      <c r="EW65" s="139">
        <v>44621.0</v>
      </c>
      <c r="EX65" s="139">
        <v>44652.0</v>
      </c>
      <c r="EY65" s="139">
        <v>44682.0</v>
      </c>
      <c r="EZ65" s="139">
        <v>44713.0</v>
      </c>
      <c r="FA65" s="139">
        <v>44743.0</v>
      </c>
      <c r="FB65" s="139">
        <v>44774.0</v>
      </c>
      <c r="FC65" s="139">
        <v>44805.0</v>
      </c>
      <c r="FD65" s="139">
        <v>44835.0</v>
      </c>
      <c r="FE65" s="139">
        <v>44866.0</v>
      </c>
      <c r="FF65" s="139">
        <v>44896.0</v>
      </c>
      <c r="FG65" s="139">
        <v>44927.0</v>
      </c>
      <c r="FH65" s="139">
        <v>44958.0</v>
      </c>
      <c r="FI65" s="139">
        <v>44986.0</v>
      </c>
      <c r="FJ65" s="139">
        <v>45017.0</v>
      </c>
      <c r="FK65" s="139">
        <v>45047.0</v>
      </c>
      <c r="FL65" s="139">
        <v>45078.0</v>
      </c>
      <c r="FM65" s="139">
        <v>45108.0</v>
      </c>
      <c r="FN65" s="139">
        <v>45139.0</v>
      </c>
      <c r="FO65" s="139">
        <v>45170.0</v>
      </c>
      <c r="FP65" s="139">
        <v>45200.0</v>
      </c>
      <c r="FQ65" s="139">
        <v>45231.0</v>
      </c>
      <c r="FR65" s="139">
        <v>45261.0</v>
      </c>
      <c r="FS65" s="139">
        <v>45292.0</v>
      </c>
      <c r="FT65" s="139">
        <v>45323.0</v>
      </c>
      <c r="FU65" s="139">
        <v>45352.0</v>
      </c>
      <c r="FV65" s="139">
        <v>45383.0</v>
      </c>
      <c r="FW65" s="139">
        <v>45413.0</v>
      </c>
      <c r="FX65" s="139">
        <v>45444.0</v>
      </c>
      <c r="FY65" s="139">
        <v>45474.0</v>
      </c>
      <c r="FZ65" s="139">
        <v>45505.0</v>
      </c>
      <c r="GA65" s="139">
        <v>45536.0</v>
      </c>
      <c r="GB65" s="139">
        <v>45566.0</v>
      </c>
      <c r="GC65" s="139">
        <v>45597.0</v>
      </c>
      <c r="GD65" s="139">
        <v>45627.0</v>
      </c>
      <c r="GE65" s="139">
        <v>45658.0</v>
      </c>
      <c r="GF65" s="139">
        <v>45689.0</v>
      </c>
      <c r="GG65" s="139">
        <v>45717.0</v>
      </c>
      <c r="GH65" s="139">
        <v>45748.0</v>
      </c>
      <c r="GI65" s="139">
        <v>45778.0</v>
      </c>
      <c r="GJ65" s="139">
        <v>45809.0</v>
      </c>
      <c r="GK65" s="139">
        <v>45839.0</v>
      </c>
    </row>
    <row r="66">
      <c r="A66" s="132" t="s">
        <v>34024</v>
      </c>
      <c r="B66" s="133" t="s">
        <v>1289</v>
      </c>
      <c r="C66" s="134">
        <v>43109.66663194444</v>
      </c>
      <c r="D66" s="135" t="str">
        <f t="shared" si="1"/>
        <v>2018/01/09</v>
      </c>
      <c r="E66" s="136" t="s">
        <v>33970</v>
      </c>
      <c r="F66" s="137">
        <v>0.0</v>
      </c>
      <c r="G66" s="138">
        <v>40179.0</v>
      </c>
      <c r="H66" s="138">
        <v>40210.0</v>
      </c>
      <c r="I66" s="138">
        <v>40238.0</v>
      </c>
      <c r="J66" s="138">
        <v>40269.0</v>
      </c>
      <c r="K66" s="138">
        <v>40299.0</v>
      </c>
      <c r="L66" s="138">
        <v>40330.0</v>
      </c>
      <c r="M66" s="138">
        <v>40360.0</v>
      </c>
      <c r="N66" s="138">
        <v>40391.0</v>
      </c>
      <c r="O66" s="138">
        <v>40422.0</v>
      </c>
      <c r="P66" s="138">
        <v>40452.0</v>
      </c>
      <c r="Q66" s="138">
        <v>40483.0</v>
      </c>
      <c r="R66" s="138">
        <v>40513.0</v>
      </c>
      <c r="S66" s="138">
        <v>40544.0</v>
      </c>
      <c r="T66" s="138">
        <v>40575.0</v>
      </c>
      <c r="U66" s="138">
        <v>40603.0</v>
      </c>
      <c r="V66" s="138">
        <v>40634.0</v>
      </c>
      <c r="W66" s="138">
        <v>40664.0</v>
      </c>
      <c r="X66" s="138">
        <v>40695.0</v>
      </c>
      <c r="Y66" s="138">
        <v>40725.0</v>
      </c>
      <c r="Z66" s="138">
        <v>40756.0</v>
      </c>
      <c r="AA66" s="138">
        <v>40787.0</v>
      </c>
      <c r="AB66" s="138">
        <v>40817.0</v>
      </c>
      <c r="AC66" s="138">
        <v>40848.0</v>
      </c>
      <c r="AD66" s="138">
        <v>40878.0</v>
      </c>
      <c r="AE66" s="138">
        <v>40909.0</v>
      </c>
      <c r="AF66" s="138">
        <v>40940.0</v>
      </c>
      <c r="AG66" s="138">
        <v>40969.0</v>
      </c>
      <c r="AH66" s="138">
        <v>41000.0</v>
      </c>
      <c r="AI66" s="138">
        <v>41030.0</v>
      </c>
      <c r="AJ66" s="138">
        <v>41061.0</v>
      </c>
      <c r="AK66" s="138">
        <v>41091.0</v>
      </c>
      <c r="AL66" s="138">
        <v>41122.0</v>
      </c>
      <c r="AM66" s="138">
        <v>41153.0</v>
      </c>
      <c r="AN66" s="138">
        <v>41183.0</v>
      </c>
      <c r="AO66" s="138">
        <v>41214.0</v>
      </c>
      <c r="AP66" s="138">
        <v>41244.0</v>
      </c>
      <c r="AQ66" s="138">
        <v>41275.0</v>
      </c>
      <c r="AR66" s="138">
        <v>41306.0</v>
      </c>
      <c r="AS66" s="138">
        <v>41334.0</v>
      </c>
      <c r="AT66" s="138">
        <v>41365.0</v>
      </c>
      <c r="AU66" s="138">
        <v>41395.0</v>
      </c>
      <c r="AV66" s="138">
        <v>41426.0</v>
      </c>
      <c r="AW66" s="138">
        <v>41456.0</v>
      </c>
      <c r="AX66" s="138">
        <v>41487.0</v>
      </c>
      <c r="AY66" s="138">
        <v>41518.0</v>
      </c>
      <c r="AZ66" s="138">
        <v>41548.0</v>
      </c>
      <c r="BA66" s="138">
        <v>41579.0</v>
      </c>
      <c r="BB66" s="138">
        <v>41609.0</v>
      </c>
      <c r="BC66" s="138">
        <v>41640.0</v>
      </c>
      <c r="BD66" s="138">
        <v>41671.0</v>
      </c>
      <c r="BE66" s="138">
        <v>41699.0</v>
      </c>
      <c r="BF66" s="138">
        <v>41730.0</v>
      </c>
      <c r="BG66" s="138">
        <v>41760.0</v>
      </c>
      <c r="BH66" s="138">
        <v>41791.0</v>
      </c>
      <c r="BI66" s="138">
        <v>41821.0</v>
      </c>
      <c r="BJ66" s="138">
        <v>41852.0</v>
      </c>
      <c r="BK66" s="138">
        <v>41883.0</v>
      </c>
      <c r="BL66" s="138">
        <v>41913.0</v>
      </c>
      <c r="BM66" s="138">
        <v>41944.0</v>
      </c>
      <c r="BN66" s="138">
        <v>41974.0</v>
      </c>
      <c r="BO66" s="138">
        <v>42005.0</v>
      </c>
      <c r="BP66" s="138">
        <v>42036.0</v>
      </c>
      <c r="BQ66" s="138">
        <v>42064.0</v>
      </c>
      <c r="BR66" s="138">
        <v>42095.0</v>
      </c>
      <c r="BS66" s="138">
        <v>42125.0</v>
      </c>
      <c r="BT66" s="138">
        <v>42156.0</v>
      </c>
      <c r="BU66" s="138">
        <v>42186.0</v>
      </c>
      <c r="BV66" s="138">
        <v>42217.0</v>
      </c>
      <c r="BW66" s="138">
        <v>42248.0</v>
      </c>
      <c r="BX66" s="138">
        <v>42278.0</v>
      </c>
      <c r="BY66" s="138">
        <v>42309.0</v>
      </c>
      <c r="BZ66" s="138">
        <v>42339.0</v>
      </c>
      <c r="CA66" s="138">
        <v>42370.0</v>
      </c>
      <c r="CB66" s="138">
        <v>42401.0</v>
      </c>
      <c r="CC66" s="138">
        <v>42430.0</v>
      </c>
      <c r="CD66" s="138">
        <v>42461.0</v>
      </c>
      <c r="CE66" s="138">
        <v>42491.0</v>
      </c>
      <c r="CF66" s="138">
        <v>42522.0</v>
      </c>
      <c r="CG66" s="138">
        <v>42552.0</v>
      </c>
      <c r="CH66" s="138">
        <v>42583.0</v>
      </c>
      <c r="CI66" s="138">
        <v>42614.0</v>
      </c>
      <c r="CJ66" s="138">
        <v>42644.0</v>
      </c>
      <c r="CK66" s="138">
        <v>42675.0</v>
      </c>
      <c r="CL66" s="138">
        <v>42705.0</v>
      </c>
      <c r="CM66" s="138">
        <v>42736.0</v>
      </c>
      <c r="CN66" s="138">
        <v>42767.0</v>
      </c>
      <c r="CO66" s="138">
        <v>42795.0</v>
      </c>
      <c r="CP66" s="138">
        <v>42826.0</v>
      </c>
      <c r="CQ66" s="138">
        <v>42856.0</v>
      </c>
      <c r="CR66" s="138">
        <v>42887.0</v>
      </c>
      <c r="CS66" s="138">
        <v>42917.0</v>
      </c>
      <c r="CT66" s="138">
        <v>42948.0</v>
      </c>
      <c r="CU66" s="138">
        <v>42979.0</v>
      </c>
      <c r="CV66" s="138">
        <v>43009.0</v>
      </c>
      <c r="CW66" s="138">
        <v>43040.0</v>
      </c>
      <c r="CX66" s="138">
        <v>43070.0</v>
      </c>
      <c r="CY66" s="138">
        <v>43101.0</v>
      </c>
      <c r="CZ66" s="139">
        <v>43132.0</v>
      </c>
      <c r="DA66" s="139">
        <v>43160.0</v>
      </c>
      <c r="DB66" s="139">
        <v>43191.0</v>
      </c>
      <c r="DC66" s="139">
        <v>43221.0</v>
      </c>
      <c r="DD66" s="139">
        <v>43252.0</v>
      </c>
      <c r="DE66" s="139">
        <v>43282.0</v>
      </c>
      <c r="DF66" s="139">
        <v>43313.0</v>
      </c>
      <c r="DG66" s="139">
        <v>43344.0</v>
      </c>
      <c r="DH66" s="139">
        <v>43374.0</v>
      </c>
      <c r="DI66" s="139">
        <v>43405.0</v>
      </c>
      <c r="DJ66" s="139">
        <v>43435.0</v>
      </c>
      <c r="DK66" s="139">
        <v>43466.0</v>
      </c>
      <c r="DL66" s="139">
        <v>43497.0</v>
      </c>
      <c r="DM66" s="139">
        <v>43525.0</v>
      </c>
      <c r="DN66" s="139">
        <v>43556.0</v>
      </c>
      <c r="DO66" s="139">
        <v>43586.0</v>
      </c>
      <c r="DP66" s="139">
        <v>43617.0</v>
      </c>
      <c r="DQ66" s="139">
        <v>43647.0</v>
      </c>
      <c r="DR66" s="139">
        <v>43678.0</v>
      </c>
      <c r="DS66" s="139">
        <v>43709.0</v>
      </c>
      <c r="DT66" s="139">
        <v>43739.0</v>
      </c>
      <c r="DU66" s="139">
        <v>43770.0</v>
      </c>
      <c r="DV66" s="139">
        <v>43800.0</v>
      </c>
      <c r="DW66" s="139">
        <v>43831.0</v>
      </c>
      <c r="DX66" s="139">
        <v>43862.0</v>
      </c>
      <c r="DY66" s="139">
        <v>43891.0</v>
      </c>
      <c r="DZ66" s="139">
        <v>43922.0</v>
      </c>
      <c r="EA66" s="139">
        <v>43952.0</v>
      </c>
      <c r="EB66" s="139">
        <v>43983.0</v>
      </c>
      <c r="EC66" s="139">
        <v>44013.0</v>
      </c>
      <c r="ED66" s="139">
        <v>44044.0</v>
      </c>
      <c r="EE66" s="139">
        <v>44075.0</v>
      </c>
      <c r="EF66" s="139">
        <v>44105.0</v>
      </c>
      <c r="EG66" s="139">
        <v>44136.0</v>
      </c>
      <c r="EH66" s="139">
        <v>44166.0</v>
      </c>
      <c r="EI66" s="139">
        <v>44197.0</v>
      </c>
      <c r="EJ66" s="139">
        <v>44228.0</v>
      </c>
      <c r="EK66" s="139">
        <v>44256.0</v>
      </c>
      <c r="EL66" s="139">
        <v>44287.0</v>
      </c>
      <c r="EM66" s="139">
        <v>44317.0</v>
      </c>
      <c r="EN66" s="139">
        <v>44348.0</v>
      </c>
      <c r="EO66" s="139">
        <v>44378.0</v>
      </c>
      <c r="EP66" s="139">
        <v>44409.0</v>
      </c>
      <c r="EQ66" s="139">
        <v>44440.0</v>
      </c>
      <c r="ER66" s="139">
        <v>44470.0</v>
      </c>
      <c r="ES66" s="139">
        <v>44501.0</v>
      </c>
      <c r="ET66" s="139">
        <v>44531.0</v>
      </c>
      <c r="EU66" s="139">
        <v>44562.0</v>
      </c>
      <c r="EV66" s="139">
        <v>44593.0</v>
      </c>
      <c r="EW66" s="139">
        <v>44621.0</v>
      </c>
      <c r="EX66" s="139">
        <v>44652.0</v>
      </c>
      <c r="EY66" s="139">
        <v>44682.0</v>
      </c>
      <c r="EZ66" s="139">
        <v>44713.0</v>
      </c>
      <c r="FA66" s="139">
        <v>44743.0</v>
      </c>
      <c r="FB66" s="139">
        <v>44774.0</v>
      </c>
      <c r="FC66" s="139">
        <v>44805.0</v>
      </c>
      <c r="FD66" s="139">
        <v>44835.0</v>
      </c>
      <c r="FE66" s="139">
        <v>44866.0</v>
      </c>
      <c r="FF66" s="139">
        <v>44896.0</v>
      </c>
      <c r="FG66" s="139">
        <v>44927.0</v>
      </c>
      <c r="FH66" s="139">
        <v>44958.0</v>
      </c>
      <c r="FI66" s="139">
        <v>44986.0</v>
      </c>
      <c r="FJ66" s="139">
        <v>45017.0</v>
      </c>
      <c r="FK66" s="139">
        <v>45047.0</v>
      </c>
      <c r="FL66" s="139">
        <v>45078.0</v>
      </c>
      <c r="FM66" s="139">
        <v>45108.0</v>
      </c>
      <c r="FN66" s="139">
        <v>45139.0</v>
      </c>
      <c r="FO66" s="139">
        <v>45170.0</v>
      </c>
      <c r="FP66" s="139">
        <v>45200.0</v>
      </c>
      <c r="FQ66" s="139">
        <v>45231.0</v>
      </c>
      <c r="FR66" s="139">
        <v>45261.0</v>
      </c>
      <c r="FS66" s="139">
        <v>45292.0</v>
      </c>
      <c r="FT66" s="139">
        <v>45323.0</v>
      </c>
      <c r="FU66" s="139">
        <v>45352.0</v>
      </c>
      <c r="FV66" s="139">
        <v>45383.0</v>
      </c>
      <c r="FW66" s="139">
        <v>45413.0</v>
      </c>
      <c r="FX66" s="139">
        <v>45444.0</v>
      </c>
      <c r="FY66" s="139">
        <v>45474.0</v>
      </c>
      <c r="FZ66" s="139">
        <v>45505.0</v>
      </c>
      <c r="GA66" s="139">
        <v>45536.0</v>
      </c>
      <c r="GB66" s="139">
        <v>45566.0</v>
      </c>
      <c r="GC66" s="139">
        <v>45597.0</v>
      </c>
      <c r="GD66" s="139">
        <v>45627.0</v>
      </c>
      <c r="GE66" s="139">
        <v>45658.0</v>
      </c>
      <c r="GF66" s="139">
        <v>45689.0</v>
      </c>
      <c r="GG66" s="139">
        <v>45717.0</v>
      </c>
      <c r="GH66" s="139">
        <v>45748.0</v>
      </c>
      <c r="GI66" s="139">
        <v>45778.0</v>
      </c>
      <c r="GJ66" s="139">
        <v>45809.0</v>
      </c>
      <c r="GK66" s="139">
        <v>45839.0</v>
      </c>
    </row>
    <row r="67">
      <c r="A67" s="132" t="s">
        <v>34025</v>
      </c>
      <c r="B67" s="133" t="s">
        <v>1243</v>
      </c>
      <c r="C67" s="134">
        <v>43139.75572916667</v>
      </c>
      <c r="D67" s="135" t="str">
        <f t="shared" si="1"/>
        <v>2018/02/08</v>
      </c>
      <c r="E67" s="136" t="s">
        <v>34026</v>
      </c>
      <c r="F67" s="137">
        <v>1.0E-5</v>
      </c>
      <c r="G67" s="138">
        <v>40179.0</v>
      </c>
      <c r="H67" s="138">
        <v>40210.0</v>
      </c>
      <c r="I67" s="138">
        <v>40238.0</v>
      </c>
      <c r="J67" s="138">
        <v>40269.0</v>
      </c>
      <c r="K67" s="138">
        <v>40299.0</v>
      </c>
      <c r="L67" s="138">
        <v>40330.0</v>
      </c>
      <c r="M67" s="138">
        <v>40360.0</v>
      </c>
      <c r="N67" s="138">
        <v>40391.0</v>
      </c>
      <c r="O67" s="138">
        <v>40422.0</v>
      </c>
      <c r="P67" s="138">
        <v>40452.0</v>
      </c>
      <c r="Q67" s="138">
        <v>40483.0</v>
      </c>
      <c r="R67" s="138">
        <v>40513.0</v>
      </c>
      <c r="S67" s="138">
        <v>40544.0</v>
      </c>
      <c r="T67" s="138">
        <v>40575.0</v>
      </c>
      <c r="U67" s="138">
        <v>40603.0</v>
      </c>
      <c r="V67" s="138">
        <v>40634.0</v>
      </c>
      <c r="W67" s="138">
        <v>40664.0</v>
      </c>
      <c r="X67" s="138">
        <v>40695.0</v>
      </c>
      <c r="Y67" s="138">
        <v>40725.0</v>
      </c>
      <c r="Z67" s="138">
        <v>40756.0</v>
      </c>
      <c r="AA67" s="138">
        <v>40787.0</v>
      </c>
      <c r="AB67" s="138">
        <v>40817.0</v>
      </c>
      <c r="AC67" s="138">
        <v>40848.0</v>
      </c>
      <c r="AD67" s="138">
        <v>40878.0</v>
      </c>
      <c r="AE67" s="138">
        <v>40909.0</v>
      </c>
      <c r="AF67" s="138">
        <v>40940.0</v>
      </c>
      <c r="AG67" s="138">
        <v>40969.0</v>
      </c>
      <c r="AH67" s="138">
        <v>41000.0</v>
      </c>
      <c r="AI67" s="138">
        <v>41030.0</v>
      </c>
      <c r="AJ67" s="138">
        <v>41061.0</v>
      </c>
      <c r="AK67" s="138">
        <v>41091.0</v>
      </c>
      <c r="AL67" s="138">
        <v>41122.0</v>
      </c>
      <c r="AM67" s="138">
        <v>41153.0</v>
      </c>
      <c r="AN67" s="138">
        <v>41183.0</v>
      </c>
      <c r="AO67" s="138">
        <v>41214.0</v>
      </c>
      <c r="AP67" s="138">
        <v>41244.0</v>
      </c>
      <c r="AQ67" s="138">
        <v>41275.0</v>
      </c>
      <c r="AR67" s="138">
        <v>41306.0</v>
      </c>
      <c r="AS67" s="138">
        <v>41334.0</v>
      </c>
      <c r="AT67" s="138">
        <v>41365.0</v>
      </c>
      <c r="AU67" s="138">
        <v>41395.0</v>
      </c>
      <c r="AV67" s="138">
        <v>41426.0</v>
      </c>
      <c r="AW67" s="138">
        <v>41456.0</v>
      </c>
      <c r="AX67" s="138">
        <v>41487.0</v>
      </c>
      <c r="AY67" s="138">
        <v>41518.0</v>
      </c>
      <c r="AZ67" s="138">
        <v>41548.0</v>
      </c>
      <c r="BA67" s="138">
        <v>41579.0</v>
      </c>
      <c r="BB67" s="138">
        <v>41609.0</v>
      </c>
      <c r="BC67" s="138">
        <v>41640.0</v>
      </c>
      <c r="BD67" s="138">
        <v>41671.0</v>
      </c>
      <c r="BE67" s="138">
        <v>41699.0</v>
      </c>
      <c r="BF67" s="138">
        <v>41730.0</v>
      </c>
      <c r="BG67" s="138">
        <v>41760.0</v>
      </c>
      <c r="BH67" s="138">
        <v>41791.0</v>
      </c>
      <c r="BI67" s="138">
        <v>41821.0</v>
      </c>
      <c r="BJ67" s="138">
        <v>41852.0</v>
      </c>
      <c r="BK67" s="138">
        <v>41883.0</v>
      </c>
      <c r="BL67" s="138">
        <v>41913.0</v>
      </c>
      <c r="BM67" s="138">
        <v>41944.0</v>
      </c>
      <c r="BN67" s="138">
        <v>41974.0</v>
      </c>
      <c r="BO67" s="138">
        <v>42005.0</v>
      </c>
      <c r="BP67" s="138">
        <v>42036.0</v>
      </c>
      <c r="BQ67" s="138">
        <v>42064.0</v>
      </c>
      <c r="BR67" s="138">
        <v>42095.0</v>
      </c>
      <c r="BS67" s="138">
        <v>42125.0</v>
      </c>
      <c r="BT67" s="138">
        <v>42156.0</v>
      </c>
      <c r="BU67" s="138">
        <v>42186.0</v>
      </c>
      <c r="BV67" s="138">
        <v>42217.0</v>
      </c>
      <c r="BW67" s="138">
        <v>42248.0</v>
      </c>
      <c r="BX67" s="138">
        <v>42278.0</v>
      </c>
      <c r="BY67" s="138">
        <v>42309.0</v>
      </c>
      <c r="BZ67" s="138">
        <v>42339.0</v>
      </c>
      <c r="CA67" s="138">
        <v>42370.0</v>
      </c>
      <c r="CB67" s="138">
        <v>42401.0</v>
      </c>
      <c r="CC67" s="138">
        <v>42430.0</v>
      </c>
      <c r="CD67" s="138">
        <v>42461.0</v>
      </c>
      <c r="CE67" s="138">
        <v>42491.0</v>
      </c>
      <c r="CF67" s="138">
        <v>42522.0</v>
      </c>
      <c r="CG67" s="138">
        <v>42552.0</v>
      </c>
      <c r="CH67" s="138">
        <v>42583.0</v>
      </c>
      <c r="CI67" s="138">
        <v>42614.0</v>
      </c>
      <c r="CJ67" s="138">
        <v>42644.0</v>
      </c>
      <c r="CK67" s="138">
        <v>42675.0</v>
      </c>
      <c r="CL67" s="138">
        <v>42705.0</v>
      </c>
      <c r="CM67" s="138">
        <v>42736.0</v>
      </c>
      <c r="CN67" s="138">
        <v>42767.0</v>
      </c>
      <c r="CO67" s="138">
        <v>42795.0</v>
      </c>
      <c r="CP67" s="138">
        <v>42826.0</v>
      </c>
      <c r="CQ67" s="138">
        <v>42856.0</v>
      </c>
      <c r="CR67" s="138">
        <v>42887.0</v>
      </c>
      <c r="CS67" s="138">
        <v>42917.0</v>
      </c>
      <c r="CT67" s="138">
        <v>42948.0</v>
      </c>
      <c r="CU67" s="138">
        <v>42979.0</v>
      </c>
      <c r="CV67" s="138">
        <v>43009.0</v>
      </c>
      <c r="CW67" s="138">
        <v>43040.0</v>
      </c>
      <c r="CX67" s="138">
        <v>43070.0</v>
      </c>
      <c r="CY67" s="138">
        <v>43101.0</v>
      </c>
      <c r="CZ67" s="138">
        <v>43132.0</v>
      </c>
      <c r="DA67" s="139">
        <v>43160.0</v>
      </c>
      <c r="DB67" s="139">
        <v>43191.0</v>
      </c>
      <c r="DC67" s="139">
        <v>43221.0</v>
      </c>
      <c r="DD67" s="139">
        <v>43252.0</v>
      </c>
      <c r="DE67" s="139">
        <v>43282.0</v>
      </c>
      <c r="DF67" s="139">
        <v>43313.0</v>
      </c>
      <c r="DG67" s="139">
        <v>43344.0</v>
      </c>
      <c r="DH67" s="139">
        <v>43374.0</v>
      </c>
      <c r="DI67" s="139">
        <v>43405.0</v>
      </c>
      <c r="DJ67" s="139">
        <v>43435.0</v>
      </c>
      <c r="DK67" s="139">
        <v>43466.0</v>
      </c>
      <c r="DL67" s="139">
        <v>43497.0</v>
      </c>
      <c r="DM67" s="139">
        <v>43525.0</v>
      </c>
      <c r="DN67" s="139">
        <v>43556.0</v>
      </c>
      <c r="DO67" s="139">
        <v>43586.0</v>
      </c>
      <c r="DP67" s="139">
        <v>43617.0</v>
      </c>
      <c r="DQ67" s="139">
        <v>43647.0</v>
      </c>
      <c r="DR67" s="139">
        <v>43678.0</v>
      </c>
      <c r="DS67" s="139">
        <v>43709.0</v>
      </c>
      <c r="DT67" s="139">
        <v>43739.0</v>
      </c>
      <c r="DU67" s="139">
        <v>43770.0</v>
      </c>
      <c r="DV67" s="139">
        <v>43800.0</v>
      </c>
      <c r="DW67" s="139">
        <v>43831.0</v>
      </c>
      <c r="DX67" s="139">
        <v>43862.0</v>
      </c>
      <c r="DY67" s="139">
        <v>43891.0</v>
      </c>
      <c r="DZ67" s="139">
        <v>43922.0</v>
      </c>
      <c r="EA67" s="139">
        <v>43952.0</v>
      </c>
      <c r="EB67" s="139">
        <v>43983.0</v>
      </c>
      <c r="EC67" s="139">
        <v>44013.0</v>
      </c>
      <c r="ED67" s="139">
        <v>44044.0</v>
      </c>
      <c r="EE67" s="139">
        <v>44075.0</v>
      </c>
      <c r="EF67" s="139">
        <v>44105.0</v>
      </c>
      <c r="EG67" s="139">
        <v>44136.0</v>
      </c>
      <c r="EH67" s="139">
        <v>44166.0</v>
      </c>
      <c r="EI67" s="139">
        <v>44197.0</v>
      </c>
      <c r="EJ67" s="139">
        <v>44228.0</v>
      </c>
      <c r="EK67" s="139">
        <v>44256.0</v>
      </c>
      <c r="EL67" s="139">
        <v>44287.0</v>
      </c>
      <c r="EM67" s="139">
        <v>44317.0</v>
      </c>
      <c r="EN67" s="139">
        <v>44348.0</v>
      </c>
      <c r="EO67" s="139">
        <v>44378.0</v>
      </c>
      <c r="EP67" s="139">
        <v>44409.0</v>
      </c>
      <c r="EQ67" s="139">
        <v>44440.0</v>
      </c>
      <c r="ER67" s="139">
        <v>44470.0</v>
      </c>
      <c r="ES67" s="139">
        <v>44501.0</v>
      </c>
      <c r="ET67" s="139">
        <v>44531.0</v>
      </c>
      <c r="EU67" s="139">
        <v>44562.0</v>
      </c>
      <c r="EV67" s="139">
        <v>44593.0</v>
      </c>
      <c r="EW67" s="139">
        <v>44621.0</v>
      </c>
      <c r="EX67" s="139">
        <v>44652.0</v>
      </c>
      <c r="EY67" s="139">
        <v>44682.0</v>
      </c>
      <c r="EZ67" s="139">
        <v>44713.0</v>
      </c>
      <c r="FA67" s="139">
        <v>44743.0</v>
      </c>
      <c r="FB67" s="139">
        <v>44774.0</v>
      </c>
      <c r="FC67" s="139">
        <v>44805.0</v>
      </c>
      <c r="FD67" s="139">
        <v>44835.0</v>
      </c>
      <c r="FE67" s="139">
        <v>44866.0</v>
      </c>
      <c r="FF67" s="139">
        <v>44896.0</v>
      </c>
      <c r="FG67" s="139">
        <v>44927.0</v>
      </c>
      <c r="FH67" s="139">
        <v>44958.0</v>
      </c>
      <c r="FI67" s="139">
        <v>44986.0</v>
      </c>
      <c r="FJ67" s="139">
        <v>45017.0</v>
      </c>
      <c r="FK67" s="139">
        <v>45047.0</v>
      </c>
      <c r="FL67" s="139">
        <v>45078.0</v>
      </c>
      <c r="FM67" s="139">
        <v>45108.0</v>
      </c>
      <c r="FN67" s="139">
        <v>45139.0</v>
      </c>
      <c r="FO67" s="139">
        <v>45170.0</v>
      </c>
      <c r="FP67" s="139">
        <v>45200.0</v>
      </c>
      <c r="FQ67" s="139">
        <v>45231.0</v>
      </c>
      <c r="FR67" s="139">
        <v>45261.0</v>
      </c>
      <c r="FS67" s="139">
        <v>45292.0</v>
      </c>
      <c r="FT67" s="139">
        <v>45323.0</v>
      </c>
      <c r="FU67" s="139">
        <v>45352.0</v>
      </c>
      <c r="FV67" s="139">
        <v>45383.0</v>
      </c>
      <c r="FW67" s="139">
        <v>45413.0</v>
      </c>
      <c r="FX67" s="139">
        <v>45444.0</v>
      </c>
      <c r="FY67" s="139">
        <v>45474.0</v>
      </c>
      <c r="FZ67" s="139">
        <v>45505.0</v>
      </c>
      <c r="GA67" s="139">
        <v>45536.0</v>
      </c>
      <c r="GB67" s="139">
        <v>45566.0</v>
      </c>
      <c r="GC67" s="139">
        <v>45597.0</v>
      </c>
      <c r="GD67" s="139">
        <v>45627.0</v>
      </c>
      <c r="GE67" s="139">
        <v>45658.0</v>
      </c>
      <c r="GF67" s="139">
        <v>45689.0</v>
      </c>
      <c r="GG67" s="139">
        <v>45717.0</v>
      </c>
      <c r="GH67" s="139">
        <v>45748.0</v>
      </c>
      <c r="GI67" s="139">
        <v>45778.0</v>
      </c>
      <c r="GJ67" s="139">
        <v>45809.0</v>
      </c>
      <c r="GK67" s="139">
        <v>45839.0</v>
      </c>
    </row>
    <row r="68">
      <c r="A68" s="132" t="s">
        <v>34027</v>
      </c>
      <c r="B68" s="133" t="s">
        <v>51</v>
      </c>
      <c r="C68" s="134">
        <v>43189.63196759259</v>
      </c>
      <c r="D68" s="135" t="str">
        <f t="shared" si="1"/>
        <v>2018/03/30</v>
      </c>
      <c r="E68" s="136" t="s">
        <v>34028</v>
      </c>
      <c r="F68" s="137">
        <v>2.0E-5</v>
      </c>
      <c r="G68" s="138">
        <v>40179.0</v>
      </c>
      <c r="H68" s="138">
        <v>40210.0</v>
      </c>
      <c r="I68" s="138">
        <v>40238.0</v>
      </c>
      <c r="J68" s="138">
        <v>40269.0</v>
      </c>
      <c r="K68" s="138">
        <v>40299.0</v>
      </c>
      <c r="L68" s="138">
        <v>40330.0</v>
      </c>
      <c r="M68" s="138">
        <v>40360.0</v>
      </c>
      <c r="N68" s="138">
        <v>40391.0</v>
      </c>
      <c r="O68" s="138">
        <v>40422.0</v>
      </c>
      <c r="P68" s="138">
        <v>40452.0</v>
      </c>
      <c r="Q68" s="138">
        <v>40483.0</v>
      </c>
      <c r="R68" s="138">
        <v>40513.0</v>
      </c>
      <c r="S68" s="138">
        <v>40544.0</v>
      </c>
      <c r="T68" s="138">
        <v>40575.0</v>
      </c>
      <c r="U68" s="138">
        <v>40603.0</v>
      </c>
      <c r="V68" s="138">
        <v>40634.0</v>
      </c>
      <c r="W68" s="138">
        <v>40664.0</v>
      </c>
      <c r="X68" s="138">
        <v>40695.0</v>
      </c>
      <c r="Y68" s="138">
        <v>40725.0</v>
      </c>
      <c r="Z68" s="138">
        <v>40756.0</v>
      </c>
      <c r="AA68" s="138">
        <v>40787.0</v>
      </c>
      <c r="AB68" s="138">
        <v>40817.0</v>
      </c>
      <c r="AC68" s="138">
        <v>40848.0</v>
      </c>
      <c r="AD68" s="138">
        <v>40878.0</v>
      </c>
      <c r="AE68" s="138">
        <v>40909.0</v>
      </c>
      <c r="AF68" s="138">
        <v>40940.0</v>
      </c>
      <c r="AG68" s="138">
        <v>40969.0</v>
      </c>
      <c r="AH68" s="138">
        <v>41000.0</v>
      </c>
      <c r="AI68" s="138">
        <v>41030.0</v>
      </c>
      <c r="AJ68" s="138">
        <v>41061.0</v>
      </c>
      <c r="AK68" s="138">
        <v>41091.0</v>
      </c>
      <c r="AL68" s="138">
        <v>41122.0</v>
      </c>
      <c r="AM68" s="138">
        <v>41153.0</v>
      </c>
      <c r="AN68" s="138">
        <v>41183.0</v>
      </c>
      <c r="AO68" s="138">
        <v>41214.0</v>
      </c>
      <c r="AP68" s="138">
        <v>41244.0</v>
      </c>
      <c r="AQ68" s="138">
        <v>41275.0</v>
      </c>
      <c r="AR68" s="138">
        <v>41306.0</v>
      </c>
      <c r="AS68" s="138">
        <v>41334.0</v>
      </c>
      <c r="AT68" s="138">
        <v>41365.0</v>
      </c>
      <c r="AU68" s="138">
        <v>41395.0</v>
      </c>
      <c r="AV68" s="138">
        <v>41426.0</v>
      </c>
      <c r="AW68" s="138">
        <v>41456.0</v>
      </c>
      <c r="AX68" s="138">
        <v>41487.0</v>
      </c>
      <c r="AY68" s="138">
        <v>41518.0</v>
      </c>
      <c r="AZ68" s="138">
        <v>41548.0</v>
      </c>
      <c r="BA68" s="138">
        <v>41579.0</v>
      </c>
      <c r="BB68" s="138">
        <v>41609.0</v>
      </c>
      <c r="BC68" s="138">
        <v>41640.0</v>
      </c>
      <c r="BD68" s="138">
        <v>41671.0</v>
      </c>
      <c r="BE68" s="138">
        <v>41699.0</v>
      </c>
      <c r="BF68" s="138">
        <v>41730.0</v>
      </c>
      <c r="BG68" s="138">
        <v>41760.0</v>
      </c>
      <c r="BH68" s="138">
        <v>41791.0</v>
      </c>
      <c r="BI68" s="138">
        <v>41821.0</v>
      </c>
      <c r="BJ68" s="138">
        <v>41852.0</v>
      </c>
      <c r="BK68" s="138">
        <v>41883.0</v>
      </c>
      <c r="BL68" s="138">
        <v>41913.0</v>
      </c>
      <c r="BM68" s="138">
        <v>41944.0</v>
      </c>
      <c r="BN68" s="138">
        <v>41974.0</v>
      </c>
      <c r="BO68" s="138">
        <v>42005.0</v>
      </c>
      <c r="BP68" s="138">
        <v>42036.0</v>
      </c>
      <c r="BQ68" s="138">
        <v>42064.0</v>
      </c>
      <c r="BR68" s="138">
        <v>42095.0</v>
      </c>
      <c r="BS68" s="138">
        <v>42125.0</v>
      </c>
      <c r="BT68" s="138">
        <v>42156.0</v>
      </c>
      <c r="BU68" s="138">
        <v>42186.0</v>
      </c>
      <c r="BV68" s="138">
        <v>42217.0</v>
      </c>
      <c r="BW68" s="138">
        <v>42248.0</v>
      </c>
      <c r="BX68" s="138">
        <v>42278.0</v>
      </c>
      <c r="BY68" s="138">
        <v>42309.0</v>
      </c>
      <c r="BZ68" s="138">
        <v>42339.0</v>
      </c>
      <c r="CA68" s="138">
        <v>42370.0</v>
      </c>
      <c r="CB68" s="138">
        <v>42401.0</v>
      </c>
      <c r="CC68" s="138">
        <v>42430.0</v>
      </c>
      <c r="CD68" s="138">
        <v>42461.0</v>
      </c>
      <c r="CE68" s="138">
        <v>42491.0</v>
      </c>
      <c r="CF68" s="138">
        <v>42522.0</v>
      </c>
      <c r="CG68" s="138">
        <v>42552.0</v>
      </c>
      <c r="CH68" s="138">
        <v>42583.0</v>
      </c>
      <c r="CI68" s="138">
        <v>42614.0</v>
      </c>
      <c r="CJ68" s="138">
        <v>42644.0</v>
      </c>
      <c r="CK68" s="138">
        <v>42675.0</v>
      </c>
      <c r="CL68" s="138">
        <v>42705.0</v>
      </c>
      <c r="CM68" s="138">
        <v>42736.0</v>
      </c>
      <c r="CN68" s="138">
        <v>42767.0</v>
      </c>
      <c r="CO68" s="138">
        <v>42795.0</v>
      </c>
      <c r="CP68" s="138">
        <v>42826.0</v>
      </c>
      <c r="CQ68" s="138">
        <v>42856.0</v>
      </c>
      <c r="CR68" s="138">
        <v>42887.0</v>
      </c>
      <c r="CS68" s="138">
        <v>42917.0</v>
      </c>
      <c r="CT68" s="138">
        <v>42948.0</v>
      </c>
      <c r="CU68" s="138">
        <v>42979.0</v>
      </c>
      <c r="CV68" s="138">
        <v>43009.0</v>
      </c>
      <c r="CW68" s="138">
        <v>43040.0</v>
      </c>
      <c r="CX68" s="138">
        <v>43070.0</v>
      </c>
      <c r="CY68" s="138">
        <v>43101.0</v>
      </c>
      <c r="CZ68" s="138">
        <v>43132.0</v>
      </c>
      <c r="DA68" s="138">
        <v>43160.0</v>
      </c>
      <c r="DB68" s="139">
        <v>43191.0</v>
      </c>
      <c r="DC68" s="139">
        <v>43221.0</v>
      </c>
      <c r="DD68" s="139">
        <v>43252.0</v>
      </c>
      <c r="DE68" s="139">
        <v>43282.0</v>
      </c>
      <c r="DF68" s="139">
        <v>43313.0</v>
      </c>
      <c r="DG68" s="139">
        <v>43344.0</v>
      </c>
      <c r="DH68" s="139">
        <v>43374.0</v>
      </c>
      <c r="DI68" s="139">
        <v>43405.0</v>
      </c>
      <c r="DJ68" s="139">
        <v>43435.0</v>
      </c>
      <c r="DK68" s="139">
        <v>43466.0</v>
      </c>
      <c r="DL68" s="139">
        <v>43497.0</v>
      </c>
      <c r="DM68" s="139">
        <v>43525.0</v>
      </c>
      <c r="DN68" s="139">
        <v>43556.0</v>
      </c>
      <c r="DO68" s="139">
        <v>43586.0</v>
      </c>
      <c r="DP68" s="139">
        <v>43617.0</v>
      </c>
      <c r="DQ68" s="139">
        <v>43647.0</v>
      </c>
      <c r="DR68" s="139">
        <v>43678.0</v>
      </c>
      <c r="DS68" s="139">
        <v>43709.0</v>
      </c>
      <c r="DT68" s="139">
        <v>43739.0</v>
      </c>
      <c r="DU68" s="139">
        <v>43770.0</v>
      </c>
      <c r="DV68" s="139">
        <v>43800.0</v>
      </c>
      <c r="DW68" s="139">
        <v>43831.0</v>
      </c>
      <c r="DX68" s="139">
        <v>43862.0</v>
      </c>
      <c r="DY68" s="139">
        <v>43891.0</v>
      </c>
      <c r="DZ68" s="139">
        <v>43922.0</v>
      </c>
      <c r="EA68" s="139">
        <v>43952.0</v>
      </c>
      <c r="EB68" s="139">
        <v>43983.0</v>
      </c>
      <c r="EC68" s="139">
        <v>44013.0</v>
      </c>
      <c r="ED68" s="139">
        <v>44044.0</v>
      </c>
      <c r="EE68" s="139">
        <v>44075.0</v>
      </c>
      <c r="EF68" s="139">
        <v>44105.0</v>
      </c>
      <c r="EG68" s="139">
        <v>44136.0</v>
      </c>
      <c r="EH68" s="139">
        <v>44166.0</v>
      </c>
      <c r="EI68" s="139">
        <v>44197.0</v>
      </c>
      <c r="EJ68" s="139">
        <v>44228.0</v>
      </c>
      <c r="EK68" s="139">
        <v>44256.0</v>
      </c>
      <c r="EL68" s="139">
        <v>44287.0</v>
      </c>
      <c r="EM68" s="139">
        <v>44317.0</v>
      </c>
      <c r="EN68" s="139">
        <v>44348.0</v>
      </c>
      <c r="EO68" s="139">
        <v>44378.0</v>
      </c>
      <c r="EP68" s="139">
        <v>44409.0</v>
      </c>
      <c r="EQ68" s="139">
        <v>44440.0</v>
      </c>
      <c r="ER68" s="139">
        <v>44470.0</v>
      </c>
      <c r="ES68" s="139">
        <v>44501.0</v>
      </c>
      <c r="ET68" s="139">
        <v>44531.0</v>
      </c>
      <c r="EU68" s="139">
        <v>44562.0</v>
      </c>
      <c r="EV68" s="139">
        <v>44593.0</v>
      </c>
      <c r="EW68" s="139">
        <v>44621.0</v>
      </c>
      <c r="EX68" s="139">
        <v>44652.0</v>
      </c>
      <c r="EY68" s="139">
        <v>44682.0</v>
      </c>
      <c r="EZ68" s="139">
        <v>44713.0</v>
      </c>
      <c r="FA68" s="139">
        <v>44743.0</v>
      </c>
      <c r="FB68" s="139">
        <v>44774.0</v>
      </c>
      <c r="FC68" s="139">
        <v>44805.0</v>
      </c>
      <c r="FD68" s="139">
        <v>44835.0</v>
      </c>
      <c r="FE68" s="139">
        <v>44866.0</v>
      </c>
      <c r="FF68" s="139">
        <v>44896.0</v>
      </c>
      <c r="FG68" s="139">
        <v>44927.0</v>
      </c>
      <c r="FH68" s="139">
        <v>44958.0</v>
      </c>
      <c r="FI68" s="139">
        <v>44986.0</v>
      </c>
      <c r="FJ68" s="139">
        <v>45017.0</v>
      </c>
      <c r="FK68" s="139">
        <v>45047.0</v>
      </c>
      <c r="FL68" s="139">
        <v>45078.0</v>
      </c>
      <c r="FM68" s="139">
        <v>45108.0</v>
      </c>
      <c r="FN68" s="139">
        <v>45139.0</v>
      </c>
      <c r="FO68" s="139">
        <v>45170.0</v>
      </c>
      <c r="FP68" s="139">
        <v>45200.0</v>
      </c>
      <c r="FQ68" s="139">
        <v>45231.0</v>
      </c>
      <c r="FR68" s="139">
        <v>45261.0</v>
      </c>
      <c r="FS68" s="139">
        <v>45292.0</v>
      </c>
      <c r="FT68" s="139">
        <v>45323.0</v>
      </c>
      <c r="FU68" s="139">
        <v>45352.0</v>
      </c>
      <c r="FV68" s="139">
        <v>45383.0</v>
      </c>
      <c r="FW68" s="139">
        <v>45413.0</v>
      </c>
      <c r="FX68" s="139">
        <v>45444.0</v>
      </c>
      <c r="FY68" s="139">
        <v>45474.0</v>
      </c>
      <c r="FZ68" s="139">
        <v>45505.0</v>
      </c>
      <c r="GA68" s="139">
        <v>45536.0</v>
      </c>
      <c r="GB68" s="139">
        <v>45566.0</v>
      </c>
      <c r="GC68" s="139">
        <v>45597.0</v>
      </c>
      <c r="GD68" s="139">
        <v>45627.0</v>
      </c>
      <c r="GE68" s="139">
        <v>45658.0</v>
      </c>
      <c r="GF68" s="139">
        <v>45689.0</v>
      </c>
      <c r="GG68" s="139">
        <v>45717.0</v>
      </c>
      <c r="GH68" s="139">
        <v>45748.0</v>
      </c>
      <c r="GI68" s="139">
        <v>45778.0</v>
      </c>
      <c r="GJ68" s="139">
        <v>45809.0</v>
      </c>
      <c r="GK68" s="139">
        <v>45839.0</v>
      </c>
    </row>
    <row r="69">
      <c r="A69" s="132" t="s">
        <v>34029</v>
      </c>
      <c r="B69" s="133" t="s">
        <v>1111</v>
      </c>
      <c r="C69" s="134">
        <v>43205.13439814815</v>
      </c>
      <c r="D69" s="135" t="str">
        <f t="shared" si="1"/>
        <v>2018/04/15</v>
      </c>
      <c r="E69" s="136" t="s">
        <v>34030</v>
      </c>
      <c r="F69" s="137">
        <v>0.01705</v>
      </c>
      <c r="G69" s="138">
        <v>40179.0</v>
      </c>
      <c r="H69" s="138">
        <v>40210.0</v>
      </c>
      <c r="I69" s="138">
        <v>40238.0</v>
      </c>
      <c r="J69" s="138">
        <v>40269.0</v>
      </c>
      <c r="K69" s="138">
        <v>40299.0</v>
      </c>
      <c r="L69" s="138">
        <v>40330.0</v>
      </c>
      <c r="M69" s="138">
        <v>40360.0</v>
      </c>
      <c r="N69" s="138">
        <v>40391.0</v>
      </c>
      <c r="O69" s="138">
        <v>40422.0</v>
      </c>
      <c r="P69" s="138">
        <v>40452.0</v>
      </c>
      <c r="Q69" s="138">
        <v>40483.0</v>
      </c>
      <c r="R69" s="138">
        <v>40513.0</v>
      </c>
      <c r="S69" s="138">
        <v>40544.0</v>
      </c>
      <c r="T69" s="138">
        <v>40575.0</v>
      </c>
      <c r="U69" s="138">
        <v>40603.0</v>
      </c>
      <c r="V69" s="138">
        <v>40634.0</v>
      </c>
      <c r="W69" s="138">
        <v>40664.0</v>
      </c>
      <c r="X69" s="138">
        <v>40695.0</v>
      </c>
      <c r="Y69" s="138">
        <v>40725.0</v>
      </c>
      <c r="Z69" s="138">
        <v>40756.0</v>
      </c>
      <c r="AA69" s="138">
        <v>40787.0</v>
      </c>
      <c r="AB69" s="138">
        <v>40817.0</v>
      </c>
      <c r="AC69" s="138">
        <v>40848.0</v>
      </c>
      <c r="AD69" s="138">
        <v>40878.0</v>
      </c>
      <c r="AE69" s="138">
        <v>40909.0</v>
      </c>
      <c r="AF69" s="138">
        <v>40940.0</v>
      </c>
      <c r="AG69" s="138">
        <v>40969.0</v>
      </c>
      <c r="AH69" s="138">
        <v>41000.0</v>
      </c>
      <c r="AI69" s="138">
        <v>41030.0</v>
      </c>
      <c r="AJ69" s="138">
        <v>41061.0</v>
      </c>
      <c r="AK69" s="138">
        <v>41091.0</v>
      </c>
      <c r="AL69" s="138">
        <v>41122.0</v>
      </c>
      <c r="AM69" s="138">
        <v>41153.0</v>
      </c>
      <c r="AN69" s="138">
        <v>41183.0</v>
      </c>
      <c r="AO69" s="138">
        <v>41214.0</v>
      </c>
      <c r="AP69" s="138">
        <v>41244.0</v>
      </c>
      <c r="AQ69" s="138">
        <v>41275.0</v>
      </c>
      <c r="AR69" s="138">
        <v>41306.0</v>
      </c>
      <c r="AS69" s="138">
        <v>41334.0</v>
      </c>
      <c r="AT69" s="138">
        <v>41365.0</v>
      </c>
      <c r="AU69" s="138">
        <v>41395.0</v>
      </c>
      <c r="AV69" s="138">
        <v>41426.0</v>
      </c>
      <c r="AW69" s="138">
        <v>41456.0</v>
      </c>
      <c r="AX69" s="138">
        <v>41487.0</v>
      </c>
      <c r="AY69" s="138">
        <v>41518.0</v>
      </c>
      <c r="AZ69" s="138">
        <v>41548.0</v>
      </c>
      <c r="BA69" s="138">
        <v>41579.0</v>
      </c>
      <c r="BB69" s="138">
        <v>41609.0</v>
      </c>
      <c r="BC69" s="138">
        <v>41640.0</v>
      </c>
      <c r="BD69" s="138">
        <v>41671.0</v>
      </c>
      <c r="BE69" s="138">
        <v>41699.0</v>
      </c>
      <c r="BF69" s="138">
        <v>41730.0</v>
      </c>
      <c r="BG69" s="138">
        <v>41760.0</v>
      </c>
      <c r="BH69" s="138">
        <v>41791.0</v>
      </c>
      <c r="BI69" s="138">
        <v>41821.0</v>
      </c>
      <c r="BJ69" s="138">
        <v>41852.0</v>
      </c>
      <c r="BK69" s="138">
        <v>41883.0</v>
      </c>
      <c r="BL69" s="138">
        <v>41913.0</v>
      </c>
      <c r="BM69" s="138">
        <v>41944.0</v>
      </c>
      <c r="BN69" s="138">
        <v>41974.0</v>
      </c>
      <c r="BO69" s="138">
        <v>42005.0</v>
      </c>
      <c r="BP69" s="138">
        <v>42036.0</v>
      </c>
      <c r="BQ69" s="138">
        <v>42064.0</v>
      </c>
      <c r="BR69" s="138">
        <v>42095.0</v>
      </c>
      <c r="BS69" s="138">
        <v>42125.0</v>
      </c>
      <c r="BT69" s="138">
        <v>42156.0</v>
      </c>
      <c r="BU69" s="138">
        <v>42186.0</v>
      </c>
      <c r="BV69" s="138">
        <v>42217.0</v>
      </c>
      <c r="BW69" s="138">
        <v>42248.0</v>
      </c>
      <c r="BX69" s="138">
        <v>42278.0</v>
      </c>
      <c r="BY69" s="138">
        <v>42309.0</v>
      </c>
      <c r="BZ69" s="138">
        <v>42339.0</v>
      </c>
      <c r="CA69" s="138">
        <v>42370.0</v>
      </c>
      <c r="CB69" s="138">
        <v>42401.0</v>
      </c>
      <c r="CC69" s="138">
        <v>42430.0</v>
      </c>
      <c r="CD69" s="138">
        <v>42461.0</v>
      </c>
      <c r="CE69" s="138">
        <v>42491.0</v>
      </c>
      <c r="CF69" s="138">
        <v>42522.0</v>
      </c>
      <c r="CG69" s="138">
        <v>42552.0</v>
      </c>
      <c r="CH69" s="138">
        <v>42583.0</v>
      </c>
      <c r="CI69" s="138">
        <v>42614.0</v>
      </c>
      <c r="CJ69" s="138">
        <v>42644.0</v>
      </c>
      <c r="CK69" s="138">
        <v>42675.0</v>
      </c>
      <c r="CL69" s="138">
        <v>42705.0</v>
      </c>
      <c r="CM69" s="138">
        <v>42736.0</v>
      </c>
      <c r="CN69" s="138">
        <v>42767.0</v>
      </c>
      <c r="CO69" s="138">
        <v>42795.0</v>
      </c>
      <c r="CP69" s="138">
        <v>42826.0</v>
      </c>
      <c r="CQ69" s="138">
        <v>42856.0</v>
      </c>
      <c r="CR69" s="138">
        <v>42887.0</v>
      </c>
      <c r="CS69" s="138">
        <v>42917.0</v>
      </c>
      <c r="CT69" s="138">
        <v>42948.0</v>
      </c>
      <c r="CU69" s="138">
        <v>42979.0</v>
      </c>
      <c r="CV69" s="138">
        <v>43009.0</v>
      </c>
      <c r="CW69" s="138">
        <v>43040.0</v>
      </c>
      <c r="CX69" s="138">
        <v>43070.0</v>
      </c>
      <c r="CY69" s="138">
        <v>43101.0</v>
      </c>
      <c r="CZ69" s="138">
        <v>43132.0</v>
      </c>
      <c r="DA69" s="138">
        <v>43160.0</v>
      </c>
      <c r="DB69" s="138">
        <v>43191.0</v>
      </c>
      <c r="DC69" s="139">
        <v>43221.0</v>
      </c>
      <c r="DD69" s="139">
        <v>43252.0</v>
      </c>
      <c r="DE69" s="139">
        <v>43282.0</v>
      </c>
      <c r="DF69" s="139">
        <v>43313.0</v>
      </c>
      <c r="DG69" s="139">
        <v>43344.0</v>
      </c>
      <c r="DH69" s="139">
        <v>43374.0</v>
      </c>
      <c r="DI69" s="139">
        <v>43405.0</v>
      </c>
      <c r="DJ69" s="139">
        <v>43435.0</v>
      </c>
      <c r="DK69" s="139">
        <v>43466.0</v>
      </c>
      <c r="DL69" s="139">
        <v>43497.0</v>
      </c>
      <c r="DM69" s="139">
        <v>43525.0</v>
      </c>
      <c r="DN69" s="139">
        <v>43556.0</v>
      </c>
      <c r="DO69" s="139">
        <v>43586.0</v>
      </c>
      <c r="DP69" s="139">
        <v>43617.0</v>
      </c>
      <c r="DQ69" s="139">
        <v>43647.0</v>
      </c>
      <c r="DR69" s="139">
        <v>43678.0</v>
      </c>
      <c r="DS69" s="139">
        <v>43709.0</v>
      </c>
      <c r="DT69" s="139">
        <v>43739.0</v>
      </c>
      <c r="DU69" s="139">
        <v>43770.0</v>
      </c>
      <c r="DV69" s="139">
        <v>43800.0</v>
      </c>
      <c r="DW69" s="139">
        <v>43831.0</v>
      </c>
      <c r="DX69" s="139">
        <v>43862.0</v>
      </c>
      <c r="DY69" s="139">
        <v>43891.0</v>
      </c>
      <c r="DZ69" s="139">
        <v>43922.0</v>
      </c>
      <c r="EA69" s="139">
        <v>43952.0</v>
      </c>
      <c r="EB69" s="139">
        <v>43983.0</v>
      </c>
      <c r="EC69" s="139">
        <v>44013.0</v>
      </c>
      <c r="ED69" s="139">
        <v>44044.0</v>
      </c>
      <c r="EE69" s="139">
        <v>44075.0</v>
      </c>
      <c r="EF69" s="139">
        <v>44105.0</v>
      </c>
      <c r="EG69" s="139">
        <v>44136.0</v>
      </c>
      <c r="EH69" s="139">
        <v>44166.0</v>
      </c>
      <c r="EI69" s="139">
        <v>44197.0</v>
      </c>
      <c r="EJ69" s="139">
        <v>44228.0</v>
      </c>
      <c r="EK69" s="139">
        <v>44256.0</v>
      </c>
      <c r="EL69" s="139">
        <v>44287.0</v>
      </c>
      <c r="EM69" s="139">
        <v>44317.0</v>
      </c>
      <c r="EN69" s="139">
        <v>44348.0</v>
      </c>
      <c r="EO69" s="139">
        <v>44378.0</v>
      </c>
      <c r="EP69" s="139">
        <v>44409.0</v>
      </c>
      <c r="EQ69" s="139">
        <v>44440.0</v>
      </c>
      <c r="ER69" s="139">
        <v>44470.0</v>
      </c>
      <c r="ES69" s="139">
        <v>44501.0</v>
      </c>
      <c r="ET69" s="139">
        <v>44531.0</v>
      </c>
      <c r="EU69" s="139">
        <v>44562.0</v>
      </c>
      <c r="EV69" s="139">
        <v>44593.0</v>
      </c>
      <c r="EW69" s="139">
        <v>44621.0</v>
      </c>
      <c r="EX69" s="139">
        <v>44652.0</v>
      </c>
      <c r="EY69" s="139">
        <v>44682.0</v>
      </c>
      <c r="EZ69" s="139">
        <v>44713.0</v>
      </c>
      <c r="FA69" s="139">
        <v>44743.0</v>
      </c>
      <c r="FB69" s="139">
        <v>44774.0</v>
      </c>
      <c r="FC69" s="139">
        <v>44805.0</v>
      </c>
      <c r="FD69" s="139">
        <v>44835.0</v>
      </c>
      <c r="FE69" s="139">
        <v>44866.0</v>
      </c>
      <c r="FF69" s="139">
        <v>44896.0</v>
      </c>
      <c r="FG69" s="139">
        <v>44927.0</v>
      </c>
      <c r="FH69" s="139">
        <v>44958.0</v>
      </c>
      <c r="FI69" s="139">
        <v>44986.0</v>
      </c>
      <c r="FJ69" s="139">
        <v>45017.0</v>
      </c>
      <c r="FK69" s="139">
        <v>45047.0</v>
      </c>
      <c r="FL69" s="139">
        <v>45078.0</v>
      </c>
      <c r="FM69" s="139">
        <v>45108.0</v>
      </c>
      <c r="FN69" s="139">
        <v>45139.0</v>
      </c>
      <c r="FO69" s="139">
        <v>45170.0</v>
      </c>
      <c r="FP69" s="139">
        <v>45200.0</v>
      </c>
      <c r="FQ69" s="139">
        <v>45231.0</v>
      </c>
      <c r="FR69" s="139">
        <v>45261.0</v>
      </c>
      <c r="FS69" s="139">
        <v>45292.0</v>
      </c>
      <c r="FT69" s="139">
        <v>45323.0</v>
      </c>
      <c r="FU69" s="139">
        <v>45352.0</v>
      </c>
      <c r="FV69" s="139">
        <v>45383.0</v>
      </c>
      <c r="FW69" s="139">
        <v>45413.0</v>
      </c>
      <c r="FX69" s="139">
        <v>45444.0</v>
      </c>
      <c r="FY69" s="139">
        <v>45474.0</v>
      </c>
      <c r="FZ69" s="139">
        <v>45505.0</v>
      </c>
      <c r="GA69" s="139">
        <v>45536.0</v>
      </c>
      <c r="GB69" s="139">
        <v>45566.0</v>
      </c>
      <c r="GC69" s="139">
        <v>45597.0</v>
      </c>
      <c r="GD69" s="139">
        <v>45627.0</v>
      </c>
      <c r="GE69" s="139">
        <v>45658.0</v>
      </c>
      <c r="GF69" s="139">
        <v>45689.0</v>
      </c>
      <c r="GG69" s="139">
        <v>45717.0</v>
      </c>
      <c r="GH69" s="139">
        <v>45748.0</v>
      </c>
      <c r="GI69" s="139">
        <v>45778.0</v>
      </c>
      <c r="GJ69" s="139">
        <v>45809.0</v>
      </c>
      <c r="GK69" s="139">
        <v>45839.0</v>
      </c>
    </row>
    <row r="70">
      <c r="A70" s="132" t="s">
        <v>34031</v>
      </c>
      <c r="B70" s="133" t="s">
        <v>48</v>
      </c>
      <c r="C70" s="134">
        <v>43236.56190972222</v>
      </c>
      <c r="D70" s="135" t="str">
        <f t="shared" si="1"/>
        <v>2018/05/16</v>
      </c>
      <c r="E70" s="136" t="s">
        <v>34032</v>
      </c>
      <c r="F70" s="137">
        <v>0.00157</v>
      </c>
      <c r="G70" s="138">
        <v>40179.0</v>
      </c>
      <c r="H70" s="138">
        <v>40210.0</v>
      </c>
      <c r="I70" s="138">
        <v>40238.0</v>
      </c>
      <c r="J70" s="138">
        <v>40269.0</v>
      </c>
      <c r="K70" s="138">
        <v>40299.0</v>
      </c>
      <c r="L70" s="138">
        <v>40330.0</v>
      </c>
      <c r="M70" s="138">
        <v>40360.0</v>
      </c>
      <c r="N70" s="138">
        <v>40391.0</v>
      </c>
      <c r="O70" s="138">
        <v>40422.0</v>
      </c>
      <c r="P70" s="138">
        <v>40452.0</v>
      </c>
      <c r="Q70" s="138">
        <v>40483.0</v>
      </c>
      <c r="R70" s="138">
        <v>40513.0</v>
      </c>
      <c r="S70" s="138">
        <v>40544.0</v>
      </c>
      <c r="T70" s="138">
        <v>40575.0</v>
      </c>
      <c r="U70" s="138">
        <v>40603.0</v>
      </c>
      <c r="V70" s="138">
        <v>40634.0</v>
      </c>
      <c r="W70" s="138">
        <v>40664.0</v>
      </c>
      <c r="X70" s="138">
        <v>40695.0</v>
      </c>
      <c r="Y70" s="138">
        <v>40725.0</v>
      </c>
      <c r="Z70" s="138">
        <v>40756.0</v>
      </c>
      <c r="AA70" s="138">
        <v>40787.0</v>
      </c>
      <c r="AB70" s="138">
        <v>40817.0</v>
      </c>
      <c r="AC70" s="138">
        <v>40848.0</v>
      </c>
      <c r="AD70" s="138">
        <v>40878.0</v>
      </c>
      <c r="AE70" s="138">
        <v>40909.0</v>
      </c>
      <c r="AF70" s="138">
        <v>40940.0</v>
      </c>
      <c r="AG70" s="138">
        <v>40969.0</v>
      </c>
      <c r="AH70" s="138">
        <v>41000.0</v>
      </c>
      <c r="AI70" s="138">
        <v>41030.0</v>
      </c>
      <c r="AJ70" s="138">
        <v>41061.0</v>
      </c>
      <c r="AK70" s="138">
        <v>41091.0</v>
      </c>
      <c r="AL70" s="138">
        <v>41122.0</v>
      </c>
      <c r="AM70" s="138">
        <v>41153.0</v>
      </c>
      <c r="AN70" s="138">
        <v>41183.0</v>
      </c>
      <c r="AO70" s="138">
        <v>41214.0</v>
      </c>
      <c r="AP70" s="138">
        <v>41244.0</v>
      </c>
      <c r="AQ70" s="138">
        <v>41275.0</v>
      </c>
      <c r="AR70" s="138">
        <v>41306.0</v>
      </c>
      <c r="AS70" s="138">
        <v>41334.0</v>
      </c>
      <c r="AT70" s="138">
        <v>41365.0</v>
      </c>
      <c r="AU70" s="138">
        <v>41395.0</v>
      </c>
      <c r="AV70" s="138">
        <v>41426.0</v>
      </c>
      <c r="AW70" s="138">
        <v>41456.0</v>
      </c>
      <c r="AX70" s="138">
        <v>41487.0</v>
      </c>
      <c r="AY70" s="138">
        <v>41518.0</v>
      </c>
      <c r="AZ70" s="138">
        <v>41548.0</v>
      </c>
      <c r="BA70" s="138">
        <v>41579.0</v>
      </c>
      <c r="BB70" s="138">
        <v>41609.0</v>
      </c>
      <c r="BC70" s="138">
        <v>41640.0</v>
      </c>
      <c r="BD70" s="138">
        <v>41671.0</v>
      </c>
      <c r="BE70" s="138">
        <v>41699.0</v>
      </c>
      <c r="BF70" s="138">
        <v>41730.0</v>
      </c>
      <c r="BG70" s="138">
        <v>41760.0</v>
      </c>
      <c r="BH70" s="138">
        <v>41791.0</v>
      </c>
      <c r="BI70" s="138">
        <v>41821.0</v>
      </c>
      <c r="BJ70" s="138">
        <v>41852.0</v>
      </c>
      <c r="BK70" s="138">
        <v>41883.0</v>
      </c>
      <c r="BL70" s="138">
        <v>41913.0</v>
      </c>
      <c r="BM70" s="138">
        <v>41944.0</v>
      </c>
      <c r="BN70" s="138">
        <v>41974.0</v>
      </c>
      <c r="BO70" s="138">
        <v>42005.0</v>
      </c>
      <c r="BP70" s="138">
        <v>42036.0</v>
      </c>
      <c r="BQ70" s="138">
        <v>42064.0</v>
      </c>
      <c r="BR70" s="138">
        <v>42095.0</v>
      </c>
      <c r="BS70" s="138">
        <v>42125.0</v>
      </c>
      <c r="BT70" s="138">
        <v>42156.0</v>
      </c>
      <c r="BU70" s="138">
        <v>42186.0</v>
      </c>
      <c r="BV70" s="138">
        <v>42217.0</v>
      </c>
      <c r="BW70" s="138">
        <v>42248.0</v>
      </c>
      <c r="BX70" s="138">
        <v>42278.0</v>
      </c>
      <c r="BY70" s="138">
        <v>42309.0</v>
      </c>
      <c r="BZ70" s="138">
        <v>42339.0</v>
      </c>
      <c r="CA70" s="138">
        <v>42370.0</v>
      </c>
      <c r="CB70" s="138">
        <v>42401.0</v>
      </c>
      <c r="CC70" s="138">
        <v>42430.0</v>
      </c>
      <c r="CD70" s="138">
        <v>42461.0</v>
      </c>
      <c r="CE70" s="138">
        <v>42491.0</v>
      </c>
      <c r="CF70" s="138">
        <v>42522.0</v>
      </c>
      <c r="CG70" s="138">
        <v>42552.0</v>
      </c>
      <c r="CH70" s="138">
        <v>42583.0</v>
      </c>
      <c r="CI70" s="138">
        <v>42614.0</v>
      </c>
      <c r="CJ70" s="138">
        <v>42644.0</v>
      </c>
      <c r="CK70" s="138">
        <v>42675.0</v>
      </c>
      <c r="CL70" s="138">
        <v>42705.0</v>
      </c>
      <c r="CM70" s="138">
        <v>42736.0</v>
      </c>
      <c r="CN70" s="138">
        <v>42767.0</v>
      </c>
      <c r="CO70" s="138">
        <v>42795.0</v>
      </c>
      <c r="CP70" s="138">
        <v>42826.0</v>
      </c>
      <c r="CQ70" s="138">
        <v>42856.0</v>
      </c>
      <c r="CR70" s="138">
        <v>42887.0</v>
      </c>
      <c r="CS70" s="138">
        <v>42917.0</v>
      </c>
      <c r="CT70" s="138">
        <v>42948.0</v>
      </c>
      <c r="CU70" s="138">
        <v>42979.0</v>
      </c>
      <c r="CV70" s="138">
        <v>43009.0</v>
      </c>
      <c r="CW70" s="138">
        <v>43040.0</v>
      </c>
      <c r="CX70" s="138">
        <v>43070.0</v>
      </c>
      <c r="CY70" s="138">
        <v>43101.0</v>
      </c>
      <c r="CZ70" s="138">
        <v>43132.0</v>
      </c>
      <c r="DA70" s="138">
        <v>43160.0</v>
      </c>
      <c r="DB70" s="138">
        <v>43191.0</v>
      </c>
      <c r="DC70" s="138">
        <v>43221.0</v>
      </c>
      <c r="DD70" s="139">
        <v>43252.0</v>
      </c>
      <c r="DE70" s="139">
        <v>43282.0</v>
      </c>
      <c r="DF70" s="139">
        <v>43313.0</v>
      </c>
      <c r="DG70" s="139">
        <v>43344.0</v>
      </c>
      <c r="DH70" s="139">
        <v>43374.0</v>
      </c>
      <c r="DI70" s="139">
        <v>43405.0</v>
      </c>
      <c r="DJ70" s="139">
        <v>43435.0</v>
      </c>
      <c r="DK70" s="139">
        <v>43466.0</v>
      </c>
      <c r="DL70" s="139">
        <v>43497.0</v>
      </c>
      <c r="DM70" s="139">
        <v>43525.0</v>
      </c>
      <c r="DN70" s="139">
        <v>43556.0</v>
      </c>
      <c r="DO70" s="139">
        <v>43586.0</v>
      </c>
      <c r="DP70" s="139">
        <v>43617.0</v>
      </c>
      <c r="DQ70" s="139">
        <v>43647.0</v>
      </c>
      <c r="DR70" s="139">
        <v>43678.0</v>
      </c>
      <c r="DS70" s="139">
        <v>43709.0</v>
      </c>
      <c r="DT70" s="139">
        <v>43739.0</v>
      </c>
      <c r="DU70" s="139">
        <v>43770.0</v>
      </c>
      <c r="DV70" s="139">
        <v>43800.0</v>
      </c>
      <c r="DW70" s="139">
        <v>43831.0</v>
      </c>
      <c r="DX70" s="139">
        <v>43862.0</v>
      </c>
      <c r="DY70" s="139">
        <v>43891.0</v>
      </c>
      <c r="DZ70" s="139">
        <v>43922.0</v>
      </c>
      <c r="EA70" s="139">
        <v>43952.0</v>
      </c>
      <c r="EB70" s="139">
        <v>43983.0</v>
      </c>
      <c r="EC70" s="139">
        <v>44013.0</v>
      </c>
      <c r="ED70" s="139">
        <v>44044.0</v>
      </c>
      <c r="EE70" s="139">
        <v>44075.0</v>
      </c>
      <c r="EF70" s="139">
        <v>44105.0</v>
      </c>
      <c r="EG70" s="139">
        <v>44136.0</v>
      </c>
      <c r="EH70" s="139">
        <v>44166.0</v>
      </c>
      <c r="EI70" s="139">
        <v>44197.0</v>
      </c>
      <c r="EJ70" s="139">
        <v>44228.0</v>
      </c>
      <c r="EK70" s="139">
        <v>44256.0</v>
      </c>
      <c r="EL70" s="139">
        <v>44287.0</v>
      </c>
      <c r="EM70" s="139">
        <v>44317.0</v>
      </c>
      <c r="EN70" s="139">
        <v>44348.0</v>
      </c>
      <c r="EO70" s="139">
        <v>44378.0</v>
      </c>
      <c r="EP70" s="139">
        <v>44409.0</v>
      </c>
      <c r="EQ70" s="139">
        <v>44440.0</v>
      </c>
      <c r="ER70" s="139">
        <v>44470.0</v>
      </c>
      <c r="ES70" s="139">
        <v>44501.0</v>
      </c>
      <c r="ET70" s="139">
        <v>44531.0</v>
      </c>
      <c r="EU70" s="139">
        <v>44562.0</v>
      </c>
      <c r="EV70" s="139">
        <v>44593.0</v>
      </c>
      <c r="EW70" s="139">
        <v>44621.0</v>
      </c>
      <c r="EX70" s="139">
        <v>44652.0</v>
      </c>
      <c r="EY70" s="139">
        <v>44682.0</v>
      </c>
      <c r="EZ70" s="139">
        <v>44713.0</v>
      </c>
      <c r="FA70" s="139">
        <v>44743.0</v>
      </c>
      <c r="FB70" s="139">
        <v>44774.0</v>
      </c>
      <c r="FC70" s="139">
        <v>44805.0</v>
      </c>
      <c r="FD70" s="139">
        <v>44835.0</v>
      </c>
      <c r="FE70" s="139">
        <v>44866.0</v>
      </c>
      <c r="FF70" s="139">
        <v>44896.0</v>
      </c>
      <c r="FG70" s="139">
        <v>44927.0</v>
      </c>
      <c r="FH70" s="139">
        <v>44958.0</v>
      </c>
      <c r="FI70" s="139">
        <v>44986.0</v>
      </c>
      <c r="FJ70" s="139">
        <v>45017.0</v>
      </c>
      <c r="FK70" s="139">
        <v>45047.0</v>
      </c>
      <c r="FL70" s="139">
        <v>45078.0</v>
      </c>
      <c r="FM70" s="139">
        <v>45108.0</v>
      </c>
      <c r="FN70" s="139">
        <v>45139.0</v>
      </c>
      <c r="FO70" s="139">
        <v>45170.0</v>
      </c>
      <c r="FP70" s="139">
        <v>45200.0</v>
      </c>
      <c r="FQ70" s="139">
        <v>45231.0</v>
      </c>
      <c r="FR70" s="139">
        <v>45261.0</v>
      </c>
      <c r="FS70" s="139">
        <v>45292.0</v>
      </c>
      <c r="FT70" s="139">
        <v>45323.0</v>
      </c>
      <c r="FU70" s="139">
        <v>45352.0</v>
      </c>
      <c r="FV70" s="139">
        <v>45383.0</v>
      </c>
      <c r="FW70" s="139">
        <v>45413.0</v>
      </c>
      <c r="FX70" s="139">
        <v>45444.0</v>
      </c>
      <c r="FY70" s="139">
        <v>45474.0</v>
      </c>
      <c r="FZ70" s="139">
        <v>45505.0</v>
      </c>
      <c r="GA70" s="139">
        <v>45536.0</v>
      </c>
      <c r="GB70" s="139">
        <v>45566.0</v>
      </c>
      <c r="GC70" s="139">
        <v>45597.0</v>
      </c>
      <c r="GD70" s="139">
        <v>45627.0</v>
      </c>
      <c r="GE70" s="139">
        <v>45658.0</v>
      </c>
      <c r="GF70" s="139">
        <v>45689.0</v>
      </c>
      <c r="GG70" s="139">
        <v>45717.0</v>
      </c>
      <c r="GH70" s="139">
        <v>45748.0</v>
      </c>
      <c r="GI70" s="139">
        <v>45778.0</v>
      </c>
      <c r="GJ70" s="139">
        <v>45809.0</v>
      </c>
      <c r="GK70" s="139">
        <v>45839.0</v>
      </c>
    </row>
    <row r="71">
      <c r="A71" s="132" t="s">
        <v>34033</v>
      </c>
      <c r="B71" s="133" t="s">
        <v>1229</v>
      </c>
      <c r="C71" s="134">
        <v>43244.63990740741</v>
      </c>
      <c r="D71" s="135" t="str">
        <f t="shared" si="1"/>
        <v>2018/05/24</v>
      </c>
      <c r="E71" s="136" t="s">
        <v>33974</v>
      </c>
      <c r="F71" s="137">
        <v>0.0</v>
      </c>
      <c r="G71" s="138">
        <v>40179.0</v>
      </c>
      <c r="H71" s="138">
        <v>40210.0</v>
      </c>
      <c r="I71" s="138">
        <v>40238.0</v>
      </c>
      <c r="J71" s="138">
        <v>40269.0</v>
      </c>
      <c r="K71" s="138">
        <v>40299.0</v>
      </c>
      <c r="L71" s="138">
        <v>40330.0</v>
      </c>
      <c r="M71" s="138">
        <v>40360.0</v>
      </c>
      <c r="N71" s="138">
        <v>40391.0</v>
      </c>
      <c r="O71" s="138">
        <v>40422.0</v>
      </c>
      <c r="P71" s="138">
        <v>40452.0</v>
      </c>
      <c r="Q71" s="138">
        <v>40483.0</v>
      </c>
      <c r="R71" s="138">
        <v>40513.0</v>
      </c>
      <c r="S71" s="138">
        <v>40544.0</v>
      </c>
      <c r="T71" s="138">
        <v>40575.0</v>
      </c>
      <c r="U71" s="138">
        <v>40603.0</v>
      </c>
      <c r="V71" s="138">
        <v>40634.0</v>
      </c>
      <c r="W71" s="138">
        <v>40664.0</v>
      </c>
      <c r="X71" s="138">
        <v>40695.0</v>
      </c>
      <c r="Y71" s="138">
        <v>40725.0</v>
      </c>
      <c r="Z71" s="138">
        <v>40756.0</v>
      </c>
      <c r="AA71" s="138">
        <v>40787.0</v>
      </c>
      <c r="AB71" s="138">
        <v>40817.0</v>
      </c>
      <c r="AC71" s="138">
        <v>40848.0</v>
      </c>
      <c r="AD71" s="138">
        <v>40878.0</v>
      </c>
      <c r="AE71" s="138">
        <v>40909.0</v>
      </c>
      <c r="AF71" s="138">
        <v>40940.0</v>
      </c>
      <c r="AG71" s="138">
        <v>40969.0</v>
      </c>
      <c r="AH71" s="138">
        <v>41000.0</v>
      </c>
      <c r="AI71" s="138">
        <v>41030.0</v>
      </c>
      <c r="AJ71" s="138">
        <v>41061.0</v>
      </c>
      <c r="AK71" s="138">
        <v>41091.0</v>
      </c>
      <c r="AL71" s="138">
        <v>41122.0</v>
      </c>
      <c r="AM71" s="138">
        <v>41153.0</v>
      </c>
      <c r="AN71" s="138">
        <v>41183.0</v>
      </c>
      <c r="AO71" s="138">
        <v>41214.0</v>
      </c>
      <c r="AP71" s="138">
        <v>41244.0</v>
      </c>
      <c r="AQ71" s="138">
        <v>41275.0</v>
      </c>
      <c r="AR71" s="138">
        <v>41306.0</v>
      </c>
      <c r="AS71" s="138">
        <v>41334.0</v>
      </c>
      <c r="AT71" s="138">
        <v>41365.0</v>
      </c>
      <c r="AU71" s="138">
        <v>41395.0</v>
      </c>
      <c r="AV71" s="138">
        <v>41426.0</v>
      </c>
      <c r="AW71" s="138">
        <v>41456.0</v>
      </c>
      <c r="AX71" s="138">
        <v>41487.0</v>
      </c>
      <c r="AY71" s="138">
        <v>41518.0</v>
      </c>
      <c r="AZ71" s="138">
        <v>41548.0</v>
      </c>
      <c r="BA71" s="138">
        <v>41579.0</v>
      </c>
      <c r="BB71" s="138">
        <v>41609.0</v>
      </c>
      <c r="BC71" s="138">
        <v>41640.0</v>
      </c>
      <c r="BD71" s="138">
        <v>41671.0</v>
      </c>
      <c r="BE71" s="138">
        <v>41699.0</v>
      </c>
      <c r="BF71" s="138">
        <v>41730.0</v>
      </c>
      <c r="BG71" s="138">
        <v>41760.0</v>
      </c>
      <c r="BH71" s="138">
        <v>41791.0</v>
      </c>
      <c r="BI71" s="138">
        <v>41821.0</v>
      </c>
      <c r="BJ71" s="138">
        <v>41852.0</v>
      </c>
      <c r="BK71" s="138">
        <v>41883.0</v>
      </c>
      <c r="BL71" s="138">
        <v>41913.0</v>
      </c>
      <c r="BM71" s="138">
        <v>41944.0</v>
      </c>
      <c r="BN71" s="138">
        <v>41974.0</v>
      </c>
      <c r="BO71" s="138">
        <v>42005.0</v>
      </c>
      <c r="BP71" s="138">
        <v>42036.0</v>
      </c>
      <c r="BQ71" s="138">
        <v>42064.0</v>
      </c>
      <c r="BR71" s="138">
        <v>42095.0</v>
      </c>
      <c r="BS71" s="138">
        <v>42125.0</v>
      </c>
      <c r="BT71" s="138">
        <v>42156.0</v>
      </c>
      <c r="BU71" s="138">
        <v>42186.0</v>
      </c>
      <c r="BV71" s="138">
        <v>42217.0</v>
      </c>
      <c r="BW71" s="138">
        <v>42248.0</v>
      </c>
      <c r="BX71" s="138">
        <v>42278.0</v>
      </c>
      <c r="BY71" s="138">
        <v>42309.0</v>
      </c>
      <c r="BZ71" s="138">
        <v>42339.0</v>
      </c>
      <c r="CA71" s="138">
        <v>42370.0</v>
      </c>
      <c r="CB71" s="138">
        <v>42401.0</v>
      </c>
      <c r="CC71" s="138">
        <v>42430.0</v>
      </c>
      <c r="CD71" s="138">
        <v>42461.0</v>
      </c>
      <c r="CE71" s="138">
        <v>42491.0</v>
      </c>
      <c r="CF71" s="138">
        <v>42522.0</v>
      </c>
      <c r="CG71" s="138">
        <v>42552.0</v>
      </c>
      <c r="CH71" s="138">
        <v>42583.0</v>
      </c>
      <c r="CI71" s="138">
        <v>42614.0</v>
      </c>
      <c r="CJ71" s="138">
        <v>42644.0</v>
      </c>
      <c r="CK71" s="138">
        <v>42675.0</v>
      </c>
      <c r="CL71" s="138">
        <v>42705.0</v>
      </c>
      <c r="CM71" s="138">
        <v>42736.0</v>
      </c>
      <c r="CN71" s="138">
        <v>42767.0</v>
      </c>
      <c r="CO71" s="138">
        <v>42795.0</v>
      </c>
      <c r="CP71" s="138">
        <v>42826.0</v>
      </c>
      <c r="CQ71" s="138">
        <v>42856.0</v>
      </c>
      <c r="CR71" s="138">
        <v>42887.0</v>
      </c>
      <c r="CS71" s="138">
        <v>42917.0</v>
      </c>
      <c r="CT71" s="138">
        <v>42948.0</v>
      </c>
      <c r="CU71" s="138">
        <v>42979.0</v>
      </c>
      <c r="CV71" s="138">
        <v>43009.0</v>
      </c>
      <c r="CW71" s="138">
        <v>43040.0</v>
      </c>
      <c r="CX71" s="138">
        <v>43070.0</v>
      </c>
      <c r="CY71" s="138">
        <v>43101.0</v>
      </c>
      <c r="CZ71" s="138">
        <v>43132.0</v>
      </c>
      <c r="DA71" s="138">
        <v>43160.0</v>
      </c>
      <c r="DB71" s="138">
        <v>43191.0</v>
      </c>
      <c r="DC71" s="138">
        <v>43221.0</v>
      </c>
      <c r="DD71" s="139">
        <v>43252.0</v>
      </c>
      <c r="DE71" s="139">
        <v>43282.0</v>
      </c>
      <c r="DF71" s="139">
        <v>43313.0</v>
      </c>
      <c r="DG71" s="139">
        <v>43344.0</v>
      </c>
      <c r="DH71" s="139">
        <v>43374.0</v>
      </c>
      <c r="DI71" s="139">
        <v>43405.0</v>
      </c>
      <c r="DJ71" s="139">
        <v>43435.0</v>
      </c>
      <c r="DK71" s="139">
        <v>43466.0</v>
      </c>
      <c r="DL71" s="139">
        <v>43497.0</v>
      </c>
      <c r="DM71" s="139">
        <v>43525.0</v>
      </c>
      <c r="DN71" s="139">
        <v>43556.0</v>
      </c>
      <c r="DO71" s="139">
        <v>43586.0</v>
      </c>
      <c r="DP71" s="139">
        <v>43617.0</v>
      </c>
      <c r="DQ71" s="139">
        <v>43647.0</v>
      </c>
      <c r="DR71" s="139">
        <v>43678.0</v>
      </c>
      <c r="DS71" s="139">
        <v>43709.0</v>
      </c>
      <c r="DT71" s="139">
        <v>43739.0</v>
      </c>
      <c r="DU71" s="139">
        <v>43770.0</v>
      </c>
      <c r="DV71" s="139">
        <v>43800.0</v>
      </c>
      <c r="DW71" s="139">
        <v>43831.0</v>
      </c>
      <c r="DX71" s="139">
        <v>43862.0</v>
      </c>
      <c r="DY71" s="139">
        <v>43891.0</v>
      </c>
      <c r="DZ71" s="139">
        <v>43922.0</v>
      </c>
      <c r="EA71" s="139">
        <v>43952.0</v>
      </c>
      <c r="EB71" s="139">
        <v>43983.0</v>
      </c>
      <c r="EC71" s="139">
        <v>44013.0</v>
      </c>
      <c r="ED71" s="139">
        <v>44044.0</v>
      </c>
      <c r="EE71" s="139">
        <v>44075.0</v>
      </c>
      <c r="EF71" s="139">
        <v>44105.0</v>
      </c>
      <c r="EG71" s="139">
        <v>44136.0</v>
      </c>
      <c r="EH71" s="139">
        <v>44166.0</v>
      </c>
      <c r="EI71" s="139">
        <v>44197.0</v>
      </c>
      <c r="EJ71" s="139">
        <v>44228.0</v>
      </c>
      <c r="EK71" s="139">
        <v>44256.0</v>
      </c>
      <c r="EL71" s="139">
        <v>44287.0</v>
      </c>
      <c r="EM71" s="139">
        <v>44317.0</v>
      </c>
      <c r="EN71" s="139">
        <v>44348.0</v>
      </c>
      <c r="EO71" s="139">
        <v>44378.0</v>
      </c>
      <c r="EP71" s="139">
        <v>44409.0</v>
      </c>
      <c r="EQ71" s="139">
        <v>44440.0</v>
      </c>
      <c r="ER71" s="139">
        <v>44470.0</v>
      </c>
      <c r="ES71" s="139">
        <v>44501.0</v>
      </c>
      <c r="ET71" s="139">
        <v>44531.0</v>
      </c>
      <c r="EU71" s="139">
        <v>44562.0</v>
      </c>
      <c r="EV71" s="139">
        <v>44593.0</v>
      </c>
      <c r="EW71" s="139">
        <v>44621.0</v>
      </c>
      <c r="EX71" s="139">
        <v>44652.0</v>
      </c>
      <c r="EY71" s="139">
        <v>44682.0</v>
      </c>
      <c r="EZ71" s="139">
        <v>44713.0</v>
      </c>
      <c r="FA71" s="139">
        <v>44743.0</v>
      </c>
      <c r="FB71" s="139">
        <v>44774.0</v>
      </c>
      <c r="FC71" s="139">
        <v>44805.0</v>
      </c>
      <c r="FD71" s="139">
        <v>44835.0</v>
      </c>
      <c r="FE71" s="139">
        <v>44866.0</v>
      </c>
      <c r="FF71" s="139">
        <v>44896.0</v>
      </c>
      <c r="FG71" s="139">
        <v>44927.0</v>
      </c>
      <c r="FH71" s="139">
        <v>44958.0</v>
      </c>
      <c r="FI71" s="139">
        <v>44986.0</v>
      </c>
      <c r="FJ71" s="139">
        <v>45017.0</v>
      </c>
      <c r="FK71" s="139">
        <v>45047.0</v>
      </c>
      <c r="FL71" s="139">
        <v>45078.0</v>
      </c>
      <c r="FM71" s="139">
        <v>45108.0</v>
      </c>
      <c r="FN71" s="139">
        <v>45139.0</v>
      </c>
      <c r="FO71" s="139">
        <v>45170.0</v>
      </c>
      <c r="FP71" s="139">
        <v>45200.0</v>
      </c>
      <c r="FQ71" s="139">
        <v>45231.0</v>
      </c>
      <c r="FR71" s="139">
        <v>45261.0</v>
      </c>
      <c r="FS71" s="139">
        <v>45292.0</v>
      </c>
      <c r="FT71" s="139">
        <v>45323.0</v>
      </c>
      <c r="FU71" s="139">
        <v>45352.0</v>
      </c>
      <c r="FV71" s="139">
        <v>45383.0</v>
      </c>
      <c r="FW71" s="139">
        <v>45413.0</v>
      </c>
      <c r="FX71" s="139">
        <v>45444.0</v>
      </c>
      <c r="FY71" s="139">
        <v>45474.0</v>
      </c>
      <c r="FZ71" s="139">
        <v>45505.0</v>
      </c>
      <c r="GA71" s="139">
        <v>45536.0</v>
      </c>
      <c r="GB71" s="139">
        <v>45566.0</v>
      </c>
      <c r="GC71" s="139">
        <v>45597.0</v>
      </c>
      <c r="GD71" s="139">
        <v>45627.0</v>
      </c>
      <c r="GE71" s="139">
        <v>45658.0</v>
      </c>
      <c r="GF71" s="139">
        <v>45689.0</v>
      </c>
      <c r="GG71" s="139">
        <v>45717.0</v>
      </c>
      <c r="GH71" s="139">
        <v>45748.0</v>
      </c>
      <c r="GI71" s="139">
        <v>45778.0</v>
      </c>
      <c r="GJ71" s="139">
        <v>45809.0</v>
      </c>
      <c r="GK71" s="139">
        <v>45839.0</v>
      </c>
    </row>
    <row r="72">
      <c r="A72" s="132" t="s">
        <v>34034</v>
      </c>
      <c r="B72" s="133" t="s">
        <v>953</v>
      </c>
      <c r="C72" s="134">
        <v>43264.50288194444</v>
      </c>
      <c r="D72" s="135" t="str">
        <f t="shared" si="1"/>
        <v>2018/06/13</v>
      </c>
      <c r="E72" s="136" t="s">
        <v>33912</v>
      </c>
      <c r="F72" s="137">
        <v>0.0</v>
      </c>
      <c r="G72" s="138">
        <v>40179.0</v>
      </c>
      <c r="H72" s="138">
        <v>40210.0</v>
      </c>
      <c r="I72" s="138">
        <v>40238.0</v>
      </c>
      <c r="J72" s="138">
        <v>40269.0</v>
      </c>
      <c r="K72" s="138">
        <v>40299.0</v>
      </c>
      <c r="L72" s="138">
        <v>40330.0</v>
      </c>
      <c r="M72" s="138">
        <v>40360.0</v>
      </c>
      <c r="N72" s="138">
        <v>40391.0</v>
      </c>
      <c r="O72" s="138">
        <v>40422.0</v>
      </c>
      <c r="P72" s="138">
        <v>40452.0</v>
      </c>
      <c r="Q72" s="138">
        <v>40483.0</v>
      </c>
      <c r="R72" s="138">
        <v>40513.0</v>
      </c>
      <c r="S72" s="138">
        <v>40544.0</v>
      </c>
      <c r="T72" s="138">
        <v>40575.0</v>
      </c>
      <c r="U72" s="138">
        <v>40603.0</v>
      </c>
      <c r="V72" s="138">
        <v>40634.0</v>
      </c>
      <c r="W72" s="138">
        <v>40664.0</v>
      </c>
      <c r="X72" s="138">
        <v>40695.0</v>
      </c>
      <c r="Y72" s="138">
        <v>40725.0</v>
      </c>
      <c r="Z72" s="138">
        <v>40756.0</v>
      </c>
      <c r="AA72" s="138">
        <v>40787.0</v>
      </c>
      <c r="AB72" s="138">
        <v>40817.0</v>
      </c>
      <c r="AC72" s="138">
        <v>40848.0</v>
      </c>
      <c r="AD72" s="138">
        <v>40878.0</v>
      </c>
      <c r="AE72" s="138">
        <v>40909.0</v>
      </c>
      <c r="AF72" s="138">
        <v>40940.0</v>
      </c>
      <c r="AG72" s="138">
        <v>40969.0</v>
      </c>
      <c r="AH72" s="138">
        <v>41000.0</v>
      </c>
      <c r="AI72" s="138">
        <v>41030.0</v>
      </c>
      <c r="AJ72" s="138">
        <v>41061.0</v>
      </c>
      <c r="AK72" s="138">
        <v>41091.0</v>
      </c>
      <c r="AL72" s="138">
        <v>41122.0</v>
      </c>
      <c r="AM72" s="138">
        <v>41153.0</v>
      </c>
      <c r="AN72" s="138">
        <v>41183.0</v>
      </c>
      <c r="AO72" s="138">
        <v>41214.0</v>
      </c>
      <c r="AP72" s="138">
        <v>41244.0</v>
      </c>
      <c r="AQ72" s="138">
        <v>41275.0</v>
      </c>
      <c r="AR72" s="138">
        <v>41306.0</v>
      </c>
      <c r="AS72" s="138">
        <v>41334.0</v>
      </c>
      <c r="AT72" s="138">
        <v>41365.0</v>
      </c>
      <c r="AU72" s="138">
        <v>41395.0</v>
      </c>
      <c r="AV72" s="138">
        <v>41426.0</v>
      </c>
      <c r="AW72" s="138">
        <v>41456.0</v>
      </c>
      <c r="AX72" s="138">
        <v>41487.0</v>
      </c>
      <c r="AY72" s="138">
        <v>41518.0</v>
      </c>
      <c r="AZ72" s="138">
        <v>41548.0</v>
      </c>
      <c r="BA72" s="138">
        <v>41579.0</v>
      </c>
      <c r="BB72" s="138">
        <v>41609.0</v>
      </c>
      <c r="BC72" s="138">
        <v>41640.0</v>
      </c>
      <c r="BD72" s="138">
        <v>41671.0</v>
      </c>
      <c r="BE72" s="138">
        <v>41699.0</v>
      </c>
      <c r="BF72" s="138">
        <v>41730.0</v>
      </c>
      <c r="BG72" s="138">
        <v>41760.0</v>
      </c>
      <c r="BH72" s="138">
        <v>41791.0</v>
      </c>
      <c r="BI72" s="138">
        <v>41821.0</v>
      </c>
      <c r="BJ72" s="138">
        <v>41852.0</v>
      </c>
      <c r="BK72" s="138">
        <v>41883.0</v>
      </c>
      <c r="BL72" s="138">
        <v>41913.0</v>
      </c>
      <c r="BM72" s="138">
        <v>41944.0</v>
      </c>
      <c r="BN72" s="138">
        <v>41974.0</v>
      </c>
      <c r="BO72" s="138">
        <v>42005.0</v>
      </c>
      <c r="BP72" s="138">
        <v>42036.0</v>
      </c>
      <c r="BQ72" s="138">
        <v>42064.0</v>
      </c>
      <c r="BR72" s="138">
        <v>42095.0</v>
      </c>
      <c r="BS72" s="138">
        <v>42125.0</v>
      </c>
      <c r="BT72" s="138">
        <v>42156.0</v>
      </c>
      <c r="BU72" s="138">
        <v>42186.0</v>
      </c>
      <c r="BV72" s="138">
        <v>42217.0</v>
      </c>
      <c r="BW72" s="138">
        <v>42248.0</v>
      </c>
      <c r="BX72" s="138">
        <v>42278.0</v>
      </c>
      <c r="BY72" s="138">
        <v>42309.0</v>
      </c>
      <c r="BZ72" s="138">
        <v>42339.0</v>
      </c>
      <c r="CA72" s="138">
        <v>42370.0</v>
      </c>
      <c r="CB72" s="138">
        <v>42401.0</v>
      </c>
      <c r="CC72" s="138">
        <v>42430.0</v>
      </c>
      <c r="CD72" s="138">
        <v>42461.0</v>
      </c>
      <c r="CE72" s="138">
        <v>42491.0</v>
      </c>
      <c r="CF72" s="138">
        <v>42522.0</v>
      </c>
      <c r="CG72" s="138">
        <v>42552.0</v>
      </c>
      <c r="CH72" s="138">
        <v>42583.0</v>
      </c>
      <c r="CI72" s="138">
        <v>42614.0</v>
      </c>
      <c r="CJ72" s="138">
        <v>42644.0</v>
      </c>
      <c r="CK72" s="138">
        <v>42675.0</v>
      </c>
      <c r="CL72" s="138">
        <v>42705.0</v>
      </c>
      <c r="CM72" s="138">
        <v>42736.0</v>
      </c>
      <c r="CN72" s="138">
        <v>42767.0</v>
      </c>
      <c r="CO72" s="138">
        <v>42795.0</v>
      </c>
      <c r="CP72" s="138">
        <v>42826.0</v>
      </c>
      <c r="CQ72" s="138">
        <v>42856.0</v>
      </c>
      <c r="CR72" s="138">
        <v>42887.0</v>
      </c>
      <c r="CS72" s="138">
        <v>42917.0</v>
      </c>
      <c r="CT72" s="138">
        <v>42948.0</v>
      </c>
      <c r="CU72" s="138">
        <v>42979.0</v>
      </c>
      <c r="CV72" s="138">
        <v>43009.0</v>
      </c>
      <c r="CW72" s="138">
        <v>43040.0</v>
      </c>
      <c r="CX72" s="138">
        <v>43070.0</v>
      </c>
      <c r="CY72" s="138">
        <v>43101.0</v>
      </c>
      <c r="CZ72" s="138">
        <v>43132.0</v>
      </c>
      <c r="DA72" s="138">
        <v>43160.0</v>
      </c>
      <c r="DB72" s="138">
        <v>43191.0</v>
      </c>
      <c r="DC72" s="138">
        <v>43221.0</v>
      </c>
      <c r="DD72" s="138">
        <v>43252.0</v>
      </c>
      <c r="DE72" s="139">
        <v>43282.0</v>
      </c>
      <c r="DF72" s="139">
        <v>43313.0</v>
      </c>
      <c r="DG72" s="139">
        <v>43344.0</v>
      </c>
      <c r="DH72" s="139">
        <v>43374.0</v>
      </c>
      <c r="DI72" s="139">
        <v>43405.0</v>
      </c>
      <c r="DJ72" s="139">
        <v>43435.0</v>
      </c>
      <c r="DK72" s="139">
        <v>43466.0</v>
      </c>
      <c r="DL72" s="139">
        <v>43497.0</v>
      </c>
      <c r="DM72" s="139">
        <v>43525.0</v>
      </c>
      <c r="DN72" s="139">
        <v>43556.0</v>
      </c>
      <c r="DO72" s="139">
        <v>43586.0</v>
      </c>
      <c r="DP72" s="139">
        <v>43617.0</v>
      </c>
      <c r="DQ72" s="139">
        <v>43647.0</v>
      </c>
      <c r="DR72" s="139">
        <v>43678.0</v>
      </c>
      <c r="DS72" s="139">
        <v>43709.0</v>
      </c>
      <c r="DT72" s="139">
        <v>43739.0</v>
      </c>
      <c r="DU72" s="139">
        <v>43770.0</v>
      </c>
      <c r="DV72" s="139">
        <v>43800.0</v>
      </c>
      <c r="DW72" s="139">
        <v>43831.0</v>
      </c>
      <c r="DX72" s="139">
        <v>43862.0</v>
      </c>
      <c r="DY72" s="139">
        <v>43891.0</v>
      </c>
      <c r="DZ72" s="139">
        <v>43922.0</v>
      </c>
      <c r="EA72" s="139">
        <v>43952.0</v>
      </c>
      <c r="EB72" s="139">
        <v>43983.0</v>
      </c>
      <c r="EC72" s="139">
        <v>44013.0</v>
      </c>
      <c r="ED72" s="139">
        <v>44044.0</v>
      </c>
      <c r="EE72" s="139">
        <v>44075.0</v>
      </c>
      <c r="EF72" s="139">
        <v>44105.0</v>
      </c>
      <c r="EG72" s="139">
        <v>44136.0</v>
      </c>
      <c r="EH72" s="139">
        <v>44166.0</v>
      </c>
      <c r="EI72" s="139">
        <v>44197.0</v>
      </c>
      <c r="EJ72" s="139">
        <v>44228.0</v>
      </c>
      <c r="EK72" s="139">
        <v>44256.0</v>
      </c>
      <c r="EL72" s="139">
        <v>44287.0</v>
      </c>
      <c r="EM72" s="139">
        <v>44317.0</v>
      </c>
      <c r="EN72" s="139">
        <v>44348.0</v>
      </c>
      <c r="EO72" s="139">
        <v>44378.0</v>
      </c>
      <c r="EP72" s="139">
        <v>44409.0</v>
      </c>
      <c r="EQ72" s="139">
        <v>44440.0</v>
      </c>
      <c r="ER72" s="139">
        <v>44470.0</v>
      </c>
      <c r="ES72" s="139">
        <v>44501.0</v>
      </c>
      <c r="ET72" s="139">
        <v>44531.0</v>
      </c>
      <c r="EU72" s="139">
        <v>44562.0</v>
      </c>
      <c r="EV72" s="139">
        <v>44593.0</v>
      </c>
      <c r="EW72" s="139">
        <v>44621.0</v>
      </c>
      <c r="EX72" s="139">
        <v>44652.0</v>
      </c>
      <c r="EY72" s="139">
        <v>44682.0</v>
      </c>
      <c r="EZ72" s="139">
        <v>44713.0</v>
      </c>
      <c r="FA72" s="139">
        <v>44743.0</v>
      </c>
      <c r="FB72" s="139">
        <v>44774.0</v>
      </c>
      <c r="FC72" s="139">
        <v>44805.0</v>
      </c>
      <c r="FD72" s="139">
        <v>44835.0</v>
      </c>
      <c r="FE72" s="139">
        <v>44866.0</v>
      </c>
      <c r="FF72" s="139">
        <v>44896.0</v>
      </c>
      <c r="FG72" s="139">
        <v>44927.0</v>
      </c>
      <c r="FH72" s="139">
        <v>44958.0</v>
      </c>
      <c r="FI72" s="139">
        <v>44986.0</v>
      </c>
      <c r="FJ72" s="139">
        <v>45017.0</v>
      </c>
      <c r="FK72" s="139">
        <v>45047.0</v>
      </c>
      <c r="FL72" s="139">
        <v>45078.0</v>
      </c>
      <c r="FM72" s="139">
        <v>45108.0</v>
      </c>
      <c r="FN72" s="139">
        <v>45139.0</v>
      </c>
      <c r="FO72" s="139">
        <v>45170.0</v>
      </c>
      <c r="FP72" s="139">
        <v>45200.0</v>
      </c>
      <c r="FQ72" s="139">
        <v>45231.0</v>
      </c>
      <c r="FR72" s="139">
        <v>45261.0</v>
      </c>
      <c r="FS72" s="139">
        <v>45292.0</v>
      </c>
      <c r="FT72" s="139">
        <v>45323.0</v>
      </c>
      <c r="FU72" s="139">
        <v>45352.0</v>
      </c>
      <c r="FV72" s="139">
        <v>45383.0</v>
      </c>
      <c r="FW72" s="139">
        <v>45413.0</v>
      </c>
      <c r="FX72" s="139">
        <v>45444.0</v>
      </c>
      <c r="FY72" s="139">
        <v>45474.0</v>
      </c>
      <c r="FZ72" s="139">
        <v>45505.0</v>
      </c>
      <c r="GA72" s="139">
        <v>45536.0</v>
      </c>
      <c r="GB72" s="139">
        <v>45566.0</v>
      </c>
      <c r="GC72" s="139">
        <v>45597.0</v>
      </c>
      <c r="GD72" s="139">
        <v>45627.0</v>
      </c>
      <c r="GE72" s="139">
        <v>45658.0</v>
      </c>
      <c r="GF72" s="139">
        <v>45689.0</v>
      </c>
      <c r="GG72" s="139">
        <v>45717.0</v>
      </c>
      <c r="GH72" s="139">
        <v>45748.0</v>
      </c>
      <c r="GI72" s="139">
        <v>45778.0</v>
      </c>
      <c r="GJ72" s="139">
        <v>45809.0</v>
      </c>
      <c r="GK72" s="139">
        <v>45839.0</v>
      </c>
    </row>
    <row r="73">
      <c r="A73" s="132" t="s">
        <v>34035</v>
      </c>
      <c r="B73" s="133" t="s">
        <v>1081</v>
      </c>
      <c r="C73" s="134">
        <v>43312.45872685185</v>
      </c>
      <c r="D73" s="135" t="str">
        <f t="shared" si="1"/>
        <v>2018/07/31</v>
      </c>
      <c r="E73" s="136" t="s">
        <v>34036</v>
      </c>
      <c r="F73" s="137">
        <v>0.00971</v>
      </c>
      <c r="G73" s="138">
        <v>40179.0</v>
      </c>
      <c r="H73" s="138">
        <v>40210.0</v>
      </c>
      <c r="I73" s="138">
        <v>40238.0</v>
      </c>
      <c r="J73" s="138">
        <v>40269.0</v>
      </c>
      <c r="K73" s="138">
        <v>40299.0</v>
      </c>
      <c r="L73" s="138">
        <v>40330.0</v>
      </c>
      <c r="M73" s="138">
        <v>40360.0</v>
      </c>
      <c r="N73" s="138">
        <v>40391.0</v>
      </c>
      <c r="O73" s="138">
        <v>40422.0</v>
      </c>
      <c r="P73" s="138">
        <v>40452.0</v>
      </c>
      <c r="Q73" s="138">
        <v>40483.0</v>
      </c>
      <c r="R73" s="138">
        <v>40513.0</v>
      </c>
      <c r="S73" s="138">
        <v>40544.0</v>
      </c>
      <c r="T73" s="138">
        <v>40575.0</v>
      </c>
      <c r="U73" s="138">
        <v>40603.0</v>
      </c>
      <c r="V73" s="138">
        <v>40634.0</v>
      </c>
      <c r="W73" s="138">
        <v>40664.0</v>
      </c>
      <c r="X73" s="138">
        <v>40695.0</v>
      </c>
      <c r="Y73" s="138">
        <v>40725.0</v>
      </c>
      <c r="Z73" s="138">
        <v>40756.0</v>
      </c>
      <c r="AA73" s="138">
        <v>40787.0</v>
      </c>
      <c r="AB73" s="138">
        <v>40817.0</v>
      </c>
      <c r="AC73" s="138">
        <v>40848.0</v>
      </c>
      <c r="AD73" s="138">
        <v>40878.0</v>
      </c>
      <c r="AE73" s="138">
        <v>40909.0</v>
      </c>
      <c r="AF73" s="138">
        <v>40940.0</v>
      </c>
      <c r="AG73" s="138">
        <v>40969.0</v>
      </c>
      <c r="AH73" s="138">
        <v>41000.0</v>
      </c>
      <c r="AI73" s="138">
        <v>41030.0</v>
      </c>
      <c r="AJ73" s="138">
        <v>41061.0</v>
      </c>
      <c r="AK73" s="138">
        <v>41091.0</v>
      </c>
      <c r="AL73" s="138">
        <v>41122.0</v>
      </c>
      <c r="AM73" s="138">
        <v>41153.0</v>
      </c>
      <c r="AN73" s="138">
        <v>41183.0</v>
      </c>
      <c r="AO73" s="138">
        <v>41214.0</v>
      </c>
      <c r="AP73" s="138">
        <v>41244.0</v>
      </c>
      <c r="AQ73" s="138">
        <v>41275.0</v>
      </c>
      <c r="AR73" s="138">
        <v>41306.0</v>
      </c>
      <c r="AS73" s="138">
        <v>41334.0</v>
      </c>
      <c r="AT73" s="138">
        <v>41365.0</v>
      </c>
      <c r="AU73" s="138">
        <v>41395.0</v>
      </c>
      <c r="AV73" s="138">
        <v>41426.0</v>
      </c>
      <c r="AW73" s="138">
        <v>41456.0</v>
      </c>
      <c r="AX73" s="138">
        <v>41487.0</v>
      </c>
      <c r="AY73" s="138">
        <v>41518.0</v>
      </c>
      <c r="AZ73" s="138">
        <v>41548.0</v>
      </c>
      <c r="BA73" s="138">
        <v>41579.0</v>
      </c>
      <c r="BB73" s="138">
        <v>41609.0</v>
      </c>
      <c r="BC73" s="138">
        <v>41640.0</v>
      </c>
      <c r="BD73" s="138">
        <v>41671.0</v>
      </c>
      <c r="BE73" s="138">
        <v>41699.0</v>
      </c>
      <c r="BF73" s="138">
        <v>41730.0</v>
      </c>
      <c r="BG73" s="138">
        <v>41760.0</v>
      </c>
      <c r="BH73" s="138">
        <v>41791.0</v>
      </c>
      <c r="BI73" s="138">
        <v>41821.0</v>
      </c>
      <c r="BJ73" s="138">
        <v>41852.0</v>
      </c>
      <c r="BK73" s="138">
        <v>41883.0</v>
      </c>
      <c r="BL73" s="138">
        <v>41913.0</v>
      </c>
      <c r="BM73" s="138">
        <v>41944.0</v>
      </c>
      <c r="BN73" s="138">
        <v>41974.0</v>
      </c>
      <c r="BO73" s="138">
        <v>42005.0</v>
      </c>
      <c r="BP73" s="138">
        <v>42036.0</v>
      </c>
      <c r="BQ73" s="138">
        <v>42064.0</v>
      </c>
      <c r="BR73" s="138">
        <v>42095.0</v>
      </c>
      <c r="BS73" s="138">
        <v>42125.0</v>
      </c>
      <c r="BT73" s="138">
        <v>42156.0</v>
      </c>
      <c r="BU73" s="138">
        <v>42186.0</v>
      </c>
      <c r="BV73" s="138">
        <v>42217.0</v>
      </c>
      <c r="BW73" s="138">
        <v>42248.0</v>
      </c>
      <c r="BX73" s="138">
        <v>42278.0</v>
      </c>
      <c r="BY73" s="138">
        <v>42309.0</v>
      </c>
      <c r="BZ73" s="138">
        <v>42339.0</v>
      </c>
      <c r="CA73" s="138">
        <v>42370.0</v>
      </c>
      <c r="CB73" s="138">
        <v>42401.0</v>
      </c>
      <c r="CC73" s="138">
        <v>42430.0</v>
      </c>
      <c r="CD73" s="138">
        <v>42461.0</v>
      </c>
      <c r="CE73" s="138">
        <v>42491.0</v>
      </c>
      <c r="CF73" s="138">
        <v>42522.0</v>
      </c>
      <c r="CG73" s="138">
        <v>42552.0</v>
      </c>
      <c r="CH73" s="138">
        <v>42583.0</v>
      </c>
      <c r="CI73" s="138">
        <v>42614.0</v>
      </c>
      <c r="CJ73" s="138">
        <v>42644.0</v>
      </c>
      <c r="CK73" s="138">
        <v>42675.0</v>
      </c>
      <c r="CL73" s="138">
        <v>42705.0</v>
      </c>
      <c r="CM73" s="138">
        <v>42736.0</v>
      </c>
      <c r="CN73" s="138">
        <v>42767.0</v>
      </c>
      <c r="CO73" s="138">
        <v>42795.0</v>
      </c>
      <c r="CP73" s="138">
        <v>42826.0</v>
      </c>
      <c r="CQ73" s="138">
        <v>42856.0</v>
      </c>
      <c r="CR73" s="138">
        <v>42887.0</v>
      </c>
      <c r="CS73" s="138">
        <v>42917.0</v>
      </c>
      <c r="CT73" s="138">
        <v>42948.0</v>
      </c>
      <c r="CU73" s="138">
        <v>42979.0</v>
      </c>
      <c r="CV73" s="138">
        <v>43009.0</v>
      </c>
      <c r="CW73" s="138">
        <v>43040.0</v>
      </c>
      <c r="CX73" s="138">
        <v>43070.0</v>
      </c>
      <c r="CY73" s="138">
        <v>43101.0</v>
      </c>
      <c r="CZ73" s="138">
        <v>43132.0</v>
      </c>
      <c r="DA73" s="138">
        <v>43160.0</v>
      </c>
      <c r="DB73" s="138">
        <v>43191.0</v>
      </c>
      <c r="DC73" s="138">
        <v>43221.0</v>
      </c>
      <c r="DD73" s="138">
        <v>43252.0</v>
      </c>
      <c r="DE73" s="138">
        <v>43282.0</v>
      </c>
      <c r="DF73" s="139">
        <v>43313.0</v>
      </c>
      <c r="DG73" s="139">
        <v>43344.0</v>
      </c>
      <c r="DH73" s="139">
        <v>43374.0</v>
      </c>
      <c r="DI73" s="139">
        <v>43405.0</v>
      </c>
      <c r="DJ73" s="139">
        <v>43435.0</v>
      </c>
      <c r="DK73" s="139">
        <v>43466.0</v>
      </c>
      <c r="DL73" s="139">
        <v>43497.0</v>
      </c>
      <c r="DM73" s="139">
        <v>43525.0</v>
      </c>
      <c r="DN73" s="139">
        <v>43556.0</v>
      </c>
      <c r="DO73" s="139">
        <v>43586.0</v>
      </c>
      <c r="DP73" s="139">
        <v>43617.0</v>
      </c>
      <c r="DQ73" s="139">
        <v>43647.0</v>
      </c>
      <c r="DR73" s="139">
        <v>43678.0</v>
      </c>
      <c r="DS73" s="139">
        <v>43709.0</v>
      </c>
      <c r="DT73" s="139">
        <v>43739.0</v>
      </c>
      <c r="DU73" s="139">
        <v>43770.0</v>
      </c>
      <c r="DV73" s="139">
        <v>43800.0</v>
      </c>
      <c r="DW73" s="139">
        <v>43831.0</v>
      </c>
      <c r="DX73" s="139">
        <v>43862.0</v>
      </c>
      <c r="DY73" s="139">
        <v>43891.0</v>
      </c>
      <c r="DZ73" s="139">
        <v>43922.0</v>
      </c>
      <c r="EA73" s="139">
        <v>43952.0</v>
      </c>
      <c r="EB73" s="139">
        <v>43983.0</v>
      </c>
      <c r="EC73" s="139">
        <v>44013.0</v>
      </c>
      <c r="ED73" s="139">
        <v>44044.0</v>
      </c>
      <c r="EE73" s="139">
        <v>44075.0</v>
      </c>
      <c r="EF73" s="139">
        <v>44105.0</v>
      </c>
      <c r="EG73" s="139">
        <v>44136.0</v>
      </c>
      <c r="EH73" s="139">
        <v>44166.0</v>
      </c>
      <c r="EI73" s="139">
        <v>44197.0</v>
      </c>
      <c r="EJ73" s="139">
        <v>44228.0</v>
      </c>
      <c r="EK73" s="139">
        <v>44256.0</v>
      </c>
      <c r="EL73" s="139">
        <v>44287.0</v>
      </c>
      <c r="EM73" s="139">
        <v>44317.0</v>
      </c>
      <c r="EN73" s="139">
        <v>44348.0</v>
      </c>
      <c r="EO73" s="139">
        <v>44378.0</v>
      </c>
      <c r="EP73" s="139">
        <v>44409.0</v>
      </c>
      <c r="EQ73" s="139">
        <v>44440.0</v>
      </c>
      <c r="ER73" s="139">
        <v>44470.0</v>
      </c>
      <c r="ES73" s="139">
        <v>44501.0</v>
      </c>
      <c r="ET73" s="139">
        <v>44531.0</v>
      </c>
      <c r="EU73" s="139">
        <v>44562.0</v>
      </c>
      <c r="EV73" s="139">
        <v>44593.0</v>
      </c>
      <c r="EW73" s="139">
        <v>44621.0</v>
      </c>
      <c r="EX73" s="139">
        <v>44652.0</v>
      </c>
      <c r="EY73" s="139">
        <v>44682.0</v>
      </c>
      <c r="EZ73" s="139">
        <v>44713.0</v>
      </c>
      <c r="FA73" s="139">
        <v>44743.0</v>
      </c>
      <c r="FB73" s="139">
        <v>44774.0</v>
      </c>
      <c r="FC73" s="139">
        <v>44805.0</v>
      </c>
      <c r="FD73" s="139">
        <v>44835.0</v>
      </c>
      <c r="FE73" s="139">
        <v>44866.0</v>
      </c>
      <c r="FF73" s="139">
        <v>44896.0</v>
      </c>
      <c r="FG73" s="139">
        <v>44927.0</v>
      </c>
      <c r="FH73" s="139">
        <v>44958.0</v>
      </c>
      <c r="FI73" s="139">
        <v>44986.0</v>
      </c>
      <c r="FJ73" s="139">
        <v>45017.0</v>
      </c>
      <c r="FK73" s="139">
        <v>45047.0</v>
      </c>
      <c r="FL73" s="139">
        <v>45078.0</v>
      </c>
      <c r="FM73" s="139">
        <v>45108.0</v>
      </c>
      <c r="FN73" s="139">
        <v>45139.0</v>
      </c>
      <c r="FO73" s="139">
        <v>45170.0</v>
      </c>
      <c r="FP73" s="139">
        <v>45200.0</v>
      </c>
      <c r="FQ73" s="139">
        <v>45231.0</v>
      </c>
      <c r="FR73" s="139">
        <v>45261.0</v>
      </c>
      <c r="FS73" s="139">
        <v>45292.0</v>
      </c>
      <c r="FT73" s="139">
        <v>45323.0</v>
      </c>
      <c r="FU73" s="139">
        <v>45352.0</v>
      </c>
      <c r="FV73" s="139">
        <v>45383.0</v>
      </c>
      <c r="FW73" s="139">
        <v>45413.0</v>
      </c>
      <c r="FX73" s="139">
        <v>45444.0</v>
      </c>
      <c r="FY73" s="139">
        <v>45474.0</v>
      </c>
      <c r="FZ73" s="139">
        <v>45505.0</v>
      </c>
      <c r="GA73" s="139">
        <v>45536.0</v>
      </c>
      <c r="GB73" s="139">
        <v>45566.0</v>
      </c>
      <c r="GC73" s="139">
        <v>45597.0</v>
      </c>
      <c r="GD73" s="139">
        <v>45627.0</v>
      </c>
      <c r="GE73" s="139">
        <v>45658.0</v>
      </c>
      <c r="GF73" s="139">
        <v>45689.0</v>
      </c>
      <c r="GG73" s="139">
        <v>45717.0</v>
      </c>
      <c r="GH73" s="139">
        <v>45748.0</v>
      </c>
      <c r="GI73" s="139">
        <v>45778.0</v>
      </c>
      <c r="GJ73" s="139">
        <v>45809.0</v>
      </c>
      <c r="GK73" s="139">
        <v>45839.0</v>
      </c>
    </row>
    <row r="74">
      <c r="A74" s="132" t="s">
        <v>34037</v>
      </c>
      <c r="B74" s="133" t="s">
        <v>1109</v>
      </c>
      <c r="C74" s="134">
        <v>43384.78296296296</v>
      </c>
      <c r="D74" s="135" t="str">
        <f t="shared" si="1"/>
        <v>2018/10/11</v>
      </c>
      <c r="E74" s="136" t="s">
        <v>34038</v>
      </c>
      <c r="F74" s="137">
        <v>1.8E-4</v>
      </c>
      <c r="G74" s="138">
        <v>40179.0</v>
      </c>
      <c r="H74" s="138">
        <v>40210.0</v>
      </c>
      <c r="I74" s="138">
        <v>40238.0</v>
      </c>
      <c r="J74" s="138">
        <v>40269.0</v>
      </c>
      <c r="K74" s="138">
        <v>40299.0</v>
      </c>
      <c r="L74" s="138">
        <v>40330.0</v>
      </c>
      <c r="M74" s="138">
        <v>40360.0</v>
      </c>
      <c r="N74" s="138">
        <v>40391.0</v>
      </c>
      <c r="O74" s="138">
        <v>40422.0</v>
      </c>
      <c r="P74" s="138">
        <v>40452.0</v>
      </c>
      <c r="Q74" s="138">
        <v>40483.0</v>
      </c>
      <c r="R74" s="138">
        <v>40513.0</v>
      </c>
      <c r="S74" s="138">
        <v>40544.0</v>
      </c>
      <c r="T74" s="138">
        <v>40575.0</v>
      </c>
      <c r="U74" s="138">
        <v>40603.0</v>
      </c>
      <c r="V74" s="138">
        <v>40634.0</v>
      </c>
      <c r="W74" s="138">
        <v>40664.0</v>
      </c>
      <c r="X74" s="138">
        <v>40695.0</v>
      </c>
      <c r="Y74" s="138">
        <v>40725.0</v>
      </c>
      <c r="Z74" s="138">
        <v>40756.0</v>
      </c>
      <c r="AA74" s="138">
        <v>40787.0</v>
      </c>
      <c r="AB74" s="138">
        <v>40817.0</v>
      </c>
      <c r="AC74" s="138">
        <v>40848.0</v>
      </c>
      <c r="AD74" s="138">
        <v>40878.0</v>
      </c>
      <c r="AE74" s="138">
        <v>40909.0</v>
      </c>
      <c r="AF74" s="138">
        <v>40940.0</v>
      </c>
      <c r="AG74" s="138">
        <v>40969.0</v>
      </c>
      <c r="AH74" s="138">
        <v>41000.0</v>
      </c>
      <c r="AI74" s="138">
        <v>41030.0</v>
      </c>
      <c r="AJ74" s="138">
        <v>41061.0</v>
      </c>
      <c r="AK74" s="138">
        <v>41091.0</v>
      </c>
      <c r="AL74" s="138">
        <v>41122.0</v>
      </c>
      <c r="AM74" s="138">
        <v>41153.0</v>
      </c>
      <c r="AN74" s="138">
        <v>41183.0</v>
      </c>
      <c r="AO74" s="138">
        <v>41214.0</v>
      </c>
      <c r="AP74" s="138">
        <v>41244.0</v>
      </c>
      <c r="AQ74" s="138">
        <v>41275.0</v>
      </c>
      <c r="AR74" s="138">
        <v>41306.0</v>
      </c>
      <c r="AS74" s="138">
        <v>41334.0</v>
      </c>
      <c r="AT74" s="138">
        <v>41365.0</v>
      </c>
      <c r="AU74" s="138">
        <v>41395.0</v>
      </c>
      <c r="AV74" s="138">
        <v>41426.0</v>
      </c>
      <c r="AW74" s="138">
        <v>41456.0</v>
      </c>
      <c r="AX74" s="138">
        <v>41487.0</v>
      </c>
      <c r="AY74" s="138">
        <v>41518.0</v>
      </c>
      <c r="AZ74" s="138">
        <v>41548.0</v>
      </c>
      <c r="BA74" s="138">
        <v>41579.0</v>
      </c>
      <c r="BB74" s="138">
        <v>41609.0</v>
      </c>
      <c r="BC74" s="138">
        <v>41640.0</v>
      </c>
      <c r="BD74" s="138">
        <v>41671.0</v>
      </c>
      <c r="BE74" s="138">
        <v>41699.0</v>
      </c>
      <c r="BF74" s="138">
        <v>41730.0</v>
      </c>
      <c r="BG74" s="138">
        <v>41760.0</v>
      </c>
      <c r="BH74" s="138">
        <v>41791.0</v>
      </c>
      <c r="BI74" s="138">
        <v>41821.0</v>
      </c>
      <c r="BJ74" s="138">
        <v>41852.0</v>
      </c>
      <c r="BK74" s="138">
        <v>41883.0</v>
      </c>
      <c r="BL74" s="138">
        <v>41913.0</v>
      </c>
      <c r="BM74" s="138">
        <v>41944.0</v>
      </c>
      <c r="BN74" s="138">
        <v>41974.0</v>
      </c>
      <c r="BO74" s="138">
        <v>42005.0</v>
      </c>
      <c r="BP74" s="138">
        <v>42036.0</v>
      </c>
      <c r="BQ74" s="138">
        <v>42064.0</v>
      </c>
      <c r="BR74" s="138">
        <v>42095.0</v>
      </c>
      <c r="BS74" s="138">
        <v>42125.0</v>
      </c>
      <c r="BT74" s="138">
        <v>42156.0</v>
      </c>
      <c r="BU74" s="138">
        <v>42186.0</v>
      </c>
      <c r="BV74" s="138">
        <v>42217.0</v>
      </c>
      <c r="BW74" s="138">
        <v>42248.0</v>
      </c>
      <c r="BX74" s="138">
        <v>42278.0</v>
      </c>
      <c r="BY74" s="138">
        <v>42309.0</v>
      </c>
      <c r="BZ74" s="138">
        <v>42339.0</v>
      </c>
      <c r="CA74" s="138">
        <v>42370.0</v>
      </c>
      <c r="CB74" s="138">
        <v>42401.0</v>
      </c>
      <c r="CC74" s="138">
        <v>42430.0</v>
      </c>
      <c r="CD74" s="138">
        <v>42461.0</v>
      </c>
      <c r="CE74" s="138">
        <v>42491.0</v>
      </c>
      <c r="CF74" s="138">
        <v>42522.0</v>
      </c>
      <c r="CG74" s="138">
        <v>42552.0</v>
      </c>
      <c r="CH74" s="138">
        <v>42583.0</v>
      </c>
      <c r="CI74" s="138">
        <v>42614.0</v>
      </c>
      <c r="CJ74" s="138">
        <v>42644.0</v>
      </c>
      <c r="CK74" s="138">
        <v>42675.0</v>
      </c>
      <c r="CL74" s="138">
        <v>42705.0</v>
      </c>
      <c r="CM74" s="138">
        <v>42736.0</v>
      </c>
      <c r="CN74" s="138">
        <v>42767.0</v>
      </c>
      <c r="CO74" s="138">
        <v>42795.0</v>
      </c>
      <c r="CP74" s="138">
        <v>42826.0</v>
      </c>
      <c r="CQ74" s="138">
        <v>42856.0</v>
      </c>
      <c r="CR74" s="138">
        <v>42887.0</v>
      </c>
      <c r="CS74" s="138">
        <v>42917.0</v>
      </c>
      <c r="CT74" s="138">
        <v>42948.0</v>
      </c>
      <c r="CU74" s="138">
        <v>42979.0</v>
      </c>
      <c r="CV74" s="138">
        <v>43009.0</v>
      </c>
      <c r="CW74" s="138">
        <v>43040.0</v>
      </c>
      <c r="CX74" s="138">
        <v>43070.0</v>
      </c>
      <c r="CY74" s="138">
        <v>43101.0</v>
      </c>
      <c r="CZ74" s="138">
        <v>43132.0</v>
      </c>
      <c r="DA74" s="138">
        <v>43160.0</v>
      </c>
      <c r="DB74" s="138">
        <v>43191.0</v>
      </c>
      <c r="DC74" s="138">
        <v>43221.0</v>
      </c>
      <c r="DD74" s="138">
        <v>43252.0</v>
      </c>
      <c r="DE74" s="138">
        <v>43282.0</v>
      </c>
      <c r="DF74" s="138">
        <v>43313.0</v>
      </c>
      <c r="DG74" s="138">
        <v>43344.0</v>
      </c>
      <c r="DH74" s="138">
        <v>43374.0</v>
      </c>
      <c r="DI74" s="139">
        <v>43405.0</v>
      </c>
      <c r="DJ74" s="139">
        <v>43435.0</v>
      </c>
      <c r="DK74" s="139">
        <v>43466.0</v>
      </c>
      <c r="DL74" s="139">
        <v>43497.0</v>
      </c>
      <c r="DM74" s="139">
        <v>43525.0</v>
      </c>
      <c r="DN74" s="139">
        <v>43556.0</v>
      </c>
      <c r="DO74" s="139">
        <v>43586.0</v>
      </c>
      <c r="DP74" s="139">
        <v>43617.0</v>
      </c>
      <c r="DQ74" s="139">
        <v>43647.0</v>
      </c>
      <c r="DR74" s="139">
        <v>43678.0</v>
      </c>
      <c r="DS74" s="139">
        <v>43709.0</v>
      </c>
      <c r="DT74" s="139">
        <v>43739.0</v>
      </c>
      <c r="DU74" s="139">
        <v>43770.0</v>
      </c>
      <c r="DV74" s="139">
        <v>43800.0</v>
      </c>
      <c r="DW74" s="139">
        <v>43831.0</v>
      </c>
      <c r="DX74" s="139">
        <v>43862.0</v>
      </c>
      <c r="DY74" s="139">
        <v>43891.0</v>
      </c>
      <c r="DZ74" s="139">
        <v>43922.0</v>
      </c>
      <c r="EA74" s="139">
        <v>43952.0</v>
      </c>
      <c r="EB74" s="139">
        <v>43983.0</v>
      </c>
      <c r="EC74" s="139">
        <v>44013.0</v>
      </c>
      <c r="ED74" s="139">
        <v>44044.0</v>
      </c>
      <c r="EE74" s="139">
        <v>44075.0</v>
      </c>
      <c r="EF74" s="139">
        <v>44105.0</v>
      </c>
      <c r="EG74" s="139">
        <v>44136.0</v>
      </c>
      <c r="EH74" s="139">
        <v>44166.0</v>
      </c>
      <c r="EI74" s="139">
        <v>44197.0</v>
      </c>
      <c r="EJ74" s="139">
        <v>44228.0</v>
      </c>
      <c r="EK74" s="139">
        <v>44256.0</v>
      </c>
      <c r="EL74" s="139">
        <v>44287.0</v>
      </c>
      <c r="EM74" s="139">
        <v>44317.0</v>
      </c>
      <c r="EN74" s="139">
        <v>44348.0</v>
      </c>
      <c r="EO74" s="139">
        <v>44378.0</v>
      </c>
      <c r="EP74" s="139">
        <v>44409.0</v>
      </c>
      <c r="EQ74" s="139">
        <v>44440.0</v>
      </c>
      <c r="ER74" s="139">
        <v>44470.0</v>
      </c>
      <c r="ES74" s="139">
        <v>44501.0</v>
      </c>
      <c r="ET74" s="139">
        <v>44531.0</v>
      </c>
      <c r="EU74" s="139">
        <v>44562.0</v>
      </c>
      <c r="EV74" s="139">
        <v>44593.0</v>
      </c>
      <c r="EW74" s="139">
        <v>44621.0</v>
      </c>
      <c r="EX74" s="139">
        <v>44652.0</v>
      </c>
      <c r="EY74" s="139">
        <v>44682.0</v>
      </c>
      <c r="EZ74" s="139">
        <v>44713.0</v>
      </c>
      <c r="FA74" s="139">
        <v>44743.0</v>
      </c>
      <c r="FB74" s="139">
        <v>44774.0</v>
      </c>
      <c r="FC74" s="139">
        <v>44805.0</v>
      </c>
      <c r="FD74" s="139">
        <v>44835.0</v>
      </c>
      <c r="FE74" s="139">
        <v>44866.0</v>
      </c>
      <c r="FF74" s="139">
        <v>44896.0</v>
      </c>
      <c r="FG74" s="139">
        <v>44927.0</v>
      </c>
      <c r="FH74" s="139">
        <v>44958.0</v>
      </c>
      <c r="FI74" s="139">
        <v>44986.0</v>
      </c>
      <c r="FJ74" s="139">
        <v>45017.0</v>
      </c>
      <c r="FK74" s="139">
        <v>45047.0</v>
      </c>
      <c r="FL74" s="139">
        <v>45078.0</v>
      </c>
      <c r="FM74" s="139">
        <v>45108.0</v>
      </c>
      <c r="FN74" s="139">
        <v>45139.0</v>
      </c>
      <c r="FO74" s="139">
        <v>45170.0</v>
      </c>
      <c r="FP74" s="139">
        <v>45200.0</v>
      </c>
      <c r="FQ74" s="139">
        <v>45231.0</v>
      </c>
      <c r="FR74" s="139">
        <v>45261.0</v>
      </c>
      <c r="FS74" s="139">
        <v>45292.0</v>
      </c>
      <c r="FT74" s="139">
        <v>45323.0</v>
      </c>
      <c r="FU74" s="139">
        <v>45352.0</v>
      </c>
      <c r="FV74" s="139">
        <v>45383.0</v>
      </c>
      <c r="FW74" s="139">
        <v>45413.0</v>
      </c>
      <c r="FX74" s="139">
        <v>45444.0</v>
      </c>
      <c r="FY74" s="139">
        <v>45474.0</v>
      </c>
      <c r="FZ74" s="139">
        <v>45505.0</v>
      </c>
      <c r="GA74" s="139">
        <v>45536.0</v>
      </c>
      <c r="GB74" s="139">
        <v>45566.0</v>
      </c>
      <c r="GC74" s="139">
        <v>45597.0</v>
      </c>
      <c r="GD74" s="139">
        <v>45627.0</v>
      </c>
      <c r="GE74" s="139">
        <v>45658.0</v>
      </c>
      <c r="GF74" s="139">
        <v>45689.0</v>
      </c>
      <c r="GG74" s="139">
        <v>45717.0</v>
      </c>
      <c r="GH74" s="139">
        <v>45748.0</v>
      </c>
      <c r="GI74" s="139">
        <v>45778.0</v>
      </c>
      <c r="GJ74" s="139">
        <v>45809.0</v>
      </c>
      <c r="GK74" s="139">
        <v>45839.0</v>
      </c>
    </row>
    <row r="75">
      <c r="A75" s="132" t="s">
        <v>34039</v>
      </c>
      <c r="B75" s="133" t="s">
        <v>1172</v>
      </c>
      <c r="C75" s="134">
        <v>43398.482395833336</v>
      </c>
      <c r="D75" s="135" t="str">
        <f t="shared" si="1"/>
        <v>2018/10/25</v>
      </c>
      <c r="E75" s="136" t="s">
        <v>34040</v>
      </c>
      <c r="F75" s="137">
        <v>3.7E-4</v>
      </c>
      <c r="G75" s="138">
        <v>40179.0</v>
      </c>
      <c r="H75" s="138">
        <v>40210.0</v>
      </c>
      <c r="I75" s="138">
        <v>40238.0</v>
      </c>
      <c r="J75" s="138">
        <v>40269.0</v>
      </c>
      <c r="K75" s="138">
        <v>40299.0</v>
      </c>
      <c r="L75" s="138">
        <v>40330.0</v>
      </c>
      <c r="M75" s="138">
        <v>40360.0</v>
      </c>
      <c r="N75" s="138">
        <v>40391.0</v>
      </c>
      <c r="O75" s="138">
        <v>40422.0</v>
      </c>
      <c r="P75" s="138">
        <v>40452.0</v>
      </c>
      <c r="Q75" s="138">
        <v>40483.0</v>
      </c>
      <c r="R75" s="138">
        <v>40513.0</v>
      </c>
      <c r="S75" s="138">
        <v>40544.0</v>
      </c>
      <c r="T75" s="138">
        <v>40575.0</v>
      </c>
      <c r="U75" s="138">
        <v>40603.0</v>
      </c>
      <c r="V75" s="138">
        <v>40634.0</v>
      </c>
      <c r="W75" s="138">
        <v>40664.0</v>
      </c>
      <c r="X75" s="138">
        <v>40695.0</v>
      </c>
      <c r="Y75" s="138">
        <v>40725.0</v>
      </c>
      <c r="Z75" s="138">
        <v>40756.0</v>
      </c>
      <c r="AA75" s="138">
        <v>40787.0</v>
      </c>
      <c r="AB75" s="138">
        <v>40817.0</v>
      </c>
      <c r="AC75" s="138">
        <v>40848.0</v>
      </c>
      <c r="AD75" s="138">
        <v>40878.0</v>
      </c>
      <c r="AE75" s="138">
        <v>40909.0</v>
      </c>
      <c r="AF75" s="138">
        <v>40940.0</v>
      </c>
      <c r="AG75" s="138">
        <v>40969.0</v>
      </c>
      <c r="AH75" s="138">
        <v>41000.0</v>
      </c>
      <c r="AI75" s="138">
        <v>41030.0</v>
      </c>
      <c r="AJ75" s="138">
        <v>41061.0</v>
      </c>
      <c r="AK75" s="138">
        <v>41091.0</v>
      </c>
      <c r="AL75" s="138">
        <v>41122.0</v>
      </c>
      <c r="AM75" s="138">
        <v>41153.0</v>
      </c>
      <c r="AN75" s="138">
        <v>41183.0</v>
      </c>
      <c r="AO75" s="138">
        <v>41214.0</v>
      </c>
      <c r="AP75" s="138">
        <v>41244.0</v>
      </c>
      <c r="AQ75" s="138">
        <v>41275.0</v>
      </c>
      <c r="AR75" s="138">
        <v>41306.0</v>
      </c>
      <c r="AS75" s="138">
        <v>41334.0</v>
      </c>
      <c r="AT75" s="138">
        <v>41365.0</v>
      </c>
      <c r="AU75" s="138">
        <v>41395.0</v>
      </c>
      <c r="AV75" s="138">
        <v>41426.0</v>
      </c>
      <c r="AW75" s="138">
        <v>41456.0</v>
      </c>
      <c r="AX75" s="138">
        <v>41487.0</v>
      </c>
      <c r="AY75" s="138">
        <v>41518.0</v>
      </c>
      <c r="AZ75" s="138">
        <v>41548.0</v>
      </c>
      <c r="BA75" s="138">
        <v>41579.0</v>
      </c>
      <c r="BB75" s="138">
        <v>41609.0</v>
      </c>
      <c r="BC75" s="138">
        <v>41640.0</v>
      </c>
      <c r="BD75" s="138">
        <v>41671.0</v>
      </c>
      <c r="BE75" s="138">
        <v>41699.0</v>
      </c>
      <c r="BF75" s="138">
        <v>41730.0</v>
      </c>
      <c r="BG75" s="138">
        <v>41760.0</v>
      </c>
      <c r="BH75" s="138">
        <v>41791.0</v>
      </c>
      <c r="BI75" s="138">
        <v>41821.0</v>
      </c>
      <c r="BJ75" s="138">
        <v>41852.0</v>
      </c>
      <c r="BK75" s="138">
        <v>41883.0</v>
      </c>
      <c r="BL75" s="138">
        <v>41913.0</v>
      </c>
      <c r="BM75" s="138">
        <v>41944.0</v>
      </c>
      <c r="BN75" s="138">
        <v>41974.0</v>
      </c>
      <c r="BO75" s="138">
        <v>42005.0</v>
      </c>
      <c r="BP75" s="138">
        <v>42036.0</v>
      </c>
      <c r="BQ75" s="138">
        <v>42064.0</v>
      </c>
      <c r="BR75" s="138">
        <v>42095.0</v>
      </c>
      <c r="BS75" s="138">
        <v>42125.0</v>
      </c>
      <c r="BT75" s="138">
        <v>42156.0</v>
      </c>
      <c r="BU75" s="138">
        <v>42186.0</v>
      </c>
      <c r="BV75" s="138">
        <v>42217.0</v>
      </c>
      <c r="BW75" s="138">
        <v>42248.0</v>
      </c>
      <c r="BX75" s="138">
        <v>42278.0</v>
      </c>
      <c r="BY75" s="138">
        <v>42309.0</v>
      </c>
      <c r="BZ75" s="138">
        <v>42339.0</v>
      </c>
      <c r="CA75" s="138">
        <v>42370.0</v>
      </c>
      <c r="CB75" s="138">
        <v>42401.0</v>
      </c>
      <c r="CC75" s="138">
        <v>42430.0</v>
      </c>
      <c r="CD75" s="138">
        <v>42461.0</v>
      </c>
      <c r="CE75" s="138">
        <v>42491.0</v>
      </c>
      <c r="CF75" s="138">
        <v>42522.0</v>
      </c>
      <c r="CG75" s="138">
        <v>42552.0</v>
      </c>
      <c r="CH75" s="138">
        <v>42583.0</v>
      </c>
      <c r="CI75" s="138">
        <v>42614.0</v>
      </c>
      <c r="CJ75" s="138">
        <v>42644.0</v>
      </c>
      <c r="CK75" s="138">
        <v>42675.0</v>
      </c>
      <c r="CL75" s="138">
        <v>42705.0</v>
      </c>
      <c r="CM75" s="138">
        <v>42736.0</v>
      </c>
      <c r="CN75" s="138">
        <v>42767.0</v>
      </c>
      <c r="CO75" s="138">
        <v>42795.0</v>
      </c>
      <c r="CP75" s="138">
        <v>42826.0</v>
      </c>
      <c r="CQ75" s="138">
        <v>42856.0</v>
      </c>
      <c r="CR75" s="138">
        <v>42887.0</v>
      </c>
      <c r="CS75" s="138">
        <v>42917.0</v>
      </c>
      <c r="CT75" s="138">
        <v>42948.0</v>
      </c>
      <c r="CU75" s="138">
        <v>42979.0</v>
      </c>
      <c r="CV75" s="138">
        <v>43009.0</v>
      </c>
      <c r="CW75" s="138">
        <v>43040.0</v>
      </c>
      <c r="CX75" s="138">
        <v>43070.0</v>
      </c>
      <c r="CY75" s="138">
        <v>43101.0</v>
      </c>
      <c r="CZ75" s="138">
        <v>43132.0</v>
      </c>
      <c r="DA75" s="138">
        <v>43160.0</v>
      </c>
      <c r="DB75" s="138">
        <v>43191.0</v>
      </c>
      <c r="DC75" s="138">
        <v>43221.0</v>
      </c>
      <c r="DD75" s="138">
        <v>43252.0</v>
      </c>
      <c r="DE75" s="138">
        <v>43282.0</v>
      </c>
      <c r="DF75" s="138">
        <v>43313.0</v>
      </c>
      <c r="DG75" s="138">
        <v>43344.0</v>
      </c>
      <c r="DH75" s="138">
        <v>43374.0</v>
      </c>
      <c r="DI75" s="139">
        <v>43405.0</v>
      </c>
      <c r="DJ75" s="139">
        <v>43435.0</v>
      </c>
      <c r="DK75" s="139">
        <v>43466.0</v>
      </c>
      <c r="DL75" s="139">
        <v>43497.0</v>
      </c>
      <c r="DM75" s="139">
        <v>43525.0</v>
      </c>
      <c r="DN75" s="139">
        <v>43556.0</v>
      </c>
      <c r="DO75" s="139">
        <v>43586.0</v>
      </c>
      <c r="DP75" s="139">
        <v>43617.0</v>
      </c>
      <c r="DQ75" s="139">
        <v>43647.0</v>
      </c>
      <c r="DR75" s="139">
        <v>43678.0</v>
      </c>
      <c r="DS75" s="139">
        <v>43709.0</v>
      </c>
      <c r="DT75" s="139">
        <v>43739.0</v>
      </c>
      <c r="DU75" s="139">
        <v>43770.0</v>
      </c>
      <c r="DV75" s="139">
        <v>43800.0</v>
      </c>
      <c r="DW75" s="139">
        <v>43831.0</v>
      </c>
      <c r="DX75" s="139">
        <v>43862.0</v>
      </c>
      <c r="DY75" s="139">
        <v>43891.0</v>
      </c>
      <c r="DZ75" s="139">
        <v>43922.0</v>
      </c>
      <c r="EA75" s="139">
        <v>43952.0</v>
      </c>
      <c r="EB75" s="139">
        <v>43983.0</v>
      </c>
      <c r="EC75" s="139">
        <v>44013.0</v>
      </c>
      <c r="ED75" s="139">
        <v>44044.0</v>
      </c>
      <c r="EE75" s="139">
        <v>44075.0</v>
      </c>
      <c r="EF75" s="139">
        <v>44105.0</v>
      </c>
      <c r="EG75" s="139">
        <v>44136.0</v>
      </c>
      <c r="EH75" s="139">
        <v>44166.0</v>
      </c>
      <c r="EI75" s="139">
        <v>44197.0</v>
      </c>
      <c r="EJ75" s="139">
        <v>44228.0</v>
      </c>
      <c r="EK75" s="139">
        <v>44256.0</v>
      </c>
      <c r="EL75" s="139">
        <v>44287.0</v>
      </c>
      <c r="EM75" s="139">
        <v>44317.0</v>
      </c>
      <c r="EN75" s="139">
        <v>44348.0</v>
      </c>
      <c r="EO75" s="139">
        <v>44378.0</v>
      </c>
      <c r="EP75" s="139">
        <v>44409.0</v>
      </c>
      <c r="EQ75" s="139">
        <v>44440.0</v>
      </c>
      <c r="ER75" s="139">
        <v>44470.0</v>
      </c>
      <c r="ES75" s="139">
        <v>44501.0</v>
      </c>
      <c r="ET75" s="139">
        <v>44531.0</v>
      </c>
      <c r="EU75" s="139">
        <v>44562.0</v>
      </c>
      <c r="EV75" s="139">
        <v>44593.0</v>
      </c>
      <c r="EW75" s="139">
        <v>44621.0</v>
      </c>
      <c r="EX75" s="139">
        <v>44652.0</v>
      </c>
      <c r="EY75" s="139">
        <v>44682.0</v>
      </c>
      <c r="EZ75" s="139">
        <v>44713.0</v>
      </c>
      <c r="FA75" s="139">
        <v>44743.0</v>
      </c>
      <c r="FB75" s="139">
        <v>44774.0</v>
      </c>
      <c r="FC75" s="139">
        <v>44805.0</v>
      </c>
      <c r="FD75" s="139">
        <v>44835.0</v>
      </c>
      <c r="FE75" s="139">
        <v>44866.0</v>
      </c>
      <c r="FF75" s="139">
        <v>44896.0</v>
      </c>
      <c r="FG75" s="139">
        <v>44927.0</v>
      </c>
      <c r="FH75" s="139">
        <v>44958.0</v>
      </c>
      <c r="FI75" s="139">
        <v>44986.0</v>
      </c>
      <c r="FJ75" s="139">
        <v>45017.0</v>
      </c>
      <c r="FK75" s="139">
        <v>45047.0</v>
      </c>
      <c r="FL75" s="139">
        <v>45078.0</v>
      </c>
      <c r="FM75" s="139">
        <v>45108.0</v>
      </c>
      <c r="FN75" s="139">
        <v>45139.0</v>
      </c>
      <c r="FO75" s="139">
        <v>45170.0</v>
      </c>
      <c r="FP75" s="139">
        <v>45200.0</v>
      </c>
      <c r="FQ75" s="139">
        <v>45231.0</v>
      </c>
      <c r="FR75" s="139">
        <v>45261.0</v>
      </c>
      <c r="FS75" s="139">
        <v>45292.0</v>
      </c>
      <c r="FT75" s="139">
        <v>45323.0</v>
      </c>
      <c r="FU75" s="139">
        <v>45352.0</v>
      </c>
      <c r="FV75" s="139">
        <v>45383.0</v>
      </c>
      <c r="FW75" s="139">
        <v>45413.0</v>
      </c>
      <c r="FX75" s="139">
        <v>45444.0</v>
      </c>
      <c r="FY75" s="139">
        <v>45474.0</v>
      </c>
      <c r="FZ75" s="139">
        <v>45505.0</v>
      </c>
      <c r="GA75" s="139">
        <v>45536.0</v>
      </c>
      <c r="GB75" s="139">
        <v>45566.0</v>
      </c>
      <c r="GC75" s="139">
        <v>45597.0</v>
      </c>
      <c r="GD75" s="139">
        <v>45627.0</v>
      </c>
      <c r="GE75" s="139">
        <v>45658.0</v>
      </c>
      <c r="GF75" s="139">
        <v>45689.0</v>
      </c>
      <c r="GG75" s="139">
        <v>45717.0</v>
      </c>
      <c r="GH75" s="139">
        <v>45748.0</v>
      </c>
      <c r="GI75" s="139">
        <v>45778.0</v>
      </c>
      <c r="GJ75" s="139">
        <v>45809.0</v>
      </c>
      <c r="GK75" s="139">
        <v>45839.0</v>
      </c>
    </row>
    <row r="76">
      <c r="A76" s="132" t="s">
        <v>34041</v>
      </c>
      <c r="B76" s="133" t="s">
        <v>441</v>
      </c>
      <c r="C76" s="134">
        <v>43404.40484953704</v>
      </c>
      <c r="D76" s="135" t="str">
        <f t="shared" si="1"/>
        <v>2018/10/31</v>
      </c>
      <c r="E76" s="136" t="s">
        <v>34042</v>
      </c>
      <c r="F76" s="137">
        <v>0.00432</v>
      </c>
      <c r="G76" s="138">
        <v>40179.0</v>
      </c>
      <c r="H76" s="138">
        <v>40210.0</v>
      </c>
      <c r="I76" s="138">
        <v>40238.0</v>
      </c>
      <c r="J76" s="138">
        <v>40269.0</v>
      </c>
      <c r="K76" s="138">
        <v>40299.0</v>
      </c>
      <c r="L76" s="138">
        <v>40330.0</v>
      </c>
      <c r="M76" s="138">
        <v>40360.0</v>
      </c>
      <c r="N76" s="138">
        <v>40391.0</v>
      </c>
      <c r="O76" s="138">
        <v>40422.0</v>
      </c>
      <c r="P76" s="138">
        <v>40452.0</v>
      </c>
      <c r="Q76" s="138">
        <v>40483.0</v>
      </c>
      <c r="R76" s="138">
        <v>40513.0</v>
      </c>
      <c r="S76" s="138">
        <v>40544.0</v>
      </c>
      <c r="T76" s="138">
        <v>40575.0</v>
      </c>
      <c r="U76" s="138">
        <v>40603.0</v>
      </c>
      <c r="V76" s="138">
        <v>40634.0</v>
      </c>
      <c r="W76" s="138">
        <v>40664.0</v>
      </c>
      <c r="X76" s="138">
        <v>40695.0</v>
      </c>
      <c r="Y76" s="138">
        <v>40725.0</v>
      </c>
      <c r="Z76" s="138">
        <v>40756.0</v>
      </c>
      <c r="AA76" s="138">
        <v>40787.0</v>
      </c>
      <c r="AB76" s="138">
        <v>40817.0</v>
      </c>
      <c r="AC76" s="138">
        <v>40848.0</v>
      </c>
      <c r="AD76" s="138">
        <v>40878.0</v>
      </c>
      <c r="AE76" s="138">
        <v>40909.0</v>
      </c>
      <c r="AF76" s="138">
        <v>40940.0</v>
      </c>
      <c r="AG76" s="138">
        <v>40969.0</v>
      </c>
      <c r="AH76" s="138">
        <v>41000.0</v>
      </c>
      <c r="AI76" s="138">
        <v>41030.0</v>
      </c>
      <c r="AJ76" s="138">
        <v>41061.0</v>
      </c>
      <c r="AK76" s="138">
        <v>41091.0</v>
      </c>
      <c r="AL76" s="138">
        <v>41122.0</v>
      </c>
      <c r="AM76" s="138">
        <v>41153.0</v>
      </c>
      <c r="AN76" s="138">
        <v>41183.0</v>
      </c>
      <c r="AO76" s="138">
        <v>41214.0</v>
      </c>
      <c r="AP76" s="138">
        <v>41244.0</v>
      </c>
      <c r="AQ76" s="138">
        <v>41275.0</v>
      </c>
      <c r="AR76" s="138">
        <v>41306.0</v>
      </c>
      <c r="AS76" s="138">
        <v>41334.0</v>
      </c>
      <c r="AT76" s="138">
        <v>41365.0</v>
      </c>
      <c r="AU76" s="138">
        <v>41395.0</v>
      </c>
      <c r="AV76" s="138">
        <v>41426.0</v>
      </c>
      <c r="AW76" s="138">
        <v>41456.0</v>
      </c>
      <c r="AX76" s="138">
        <v>41487.0</v>
      </c>
      <c r="AY76" s="138">
        <v>41518.0</v>
      </c>
      <c r="AZ76" s="138">
        <v>41548.0</v>
      </c>
      <c r="BA76" s="138">
        <v>41579.0</v>
      </c>
      <c r="BB76" s="138">
        <v>41609.0</v>
      </c>
      <c r="BC76" s="138">
        <v>41640.0</v>
      </c>
      <c r="BD76" s="138">
        <v>41671.0</v>
      </c>
      <c r="BE76" s="138">
        <v>41699.0</v>
      </c>
      <c r="BF76" s="138">
        <v>41730.0</v>
      </c>
      <c r="BG76" s="138">
        <v>41760.0</v>
      </c>
      <c r="BH76" s="138">
        <v>41791.0</v>
      </c>
      <c r="BI76" s="138">
        <v>41821.0</v>
      </c>
      <c r="BJ76" s="138">
        <v>41852.0</v>
      </c>
      <c r="BK76" s="138">
        <v>41883.0</v>
      </c>
      <c r="BL76" s="138">
        <v>41913.0</v>
      </c>
      <c r="BM76" s="138">
        <v>41944.0</v>
      </c>
      <c r="BN76" s="138">
        <v>41974.0</v>
      </c>
      <c r="BO76" s="138">
        <v>42005.0</v>
      </c>
      <c r="BP76" s="138">
        <v>42036.0</v>
      </c>
      <c r="BQ76" s="138">
        <v>42064.0</v>
      </c>
      <c r="BR76" s="138">
        <v>42095.0</v>
      </c>
      <c r="BS76" s="138">
        <v>42125.0</v>
      </c>
      <c r="BT76" s="138">
        <v>42156.0</v>
      </c>
      <c r="BU76" s="138">
        <v>42186.0</v>
      </c>
      <c r="BV76" s="138">
        <v>42217.0</v>
      </c>
      <c r="BW76" s="138">
        <v>42248.0</v>
      </c>
      <c r="BX76" s="138">
        <v>42278.0</v>
      </c>
      <c r="BY76" s="138">
        <v>42309.0</v>
      </c>
      <c r="BZ76" s="138">
        <v>42339.0</v>
      </c>
      <c r="CA76" s="138">
        <v>42370.0</v>
      </c>
      <c r="CB76" s="138">
        <v>42401.0</v>
      </c>
      <c r="CC76" s="138">
        <v>42430.0</v>
      </c>
      <c r="CD76" s="138">
        <v>42461.0</v>
      </c>
      <c r="CE76" s="138">
        <v>42491.0</v>
      </c>
      <c r="CF76" s="138">
        <v>42522.0</v>
      </c>
      <c r="CG76" s="138">
        <v>42552.0</v>
      </c>
      <c r="CH76" s="138">
        <v>42583.0</v>
      </c>
      <c r="CI76" s="138">
        <v>42614.0</v>
      </c>
      <c r="CJ76" s="138">
        <v>42644.0</v>
      </c>
      <c r="CK76" s="138">
        <v>42675.0</v>
      </c>
      <c r="CL76" s="138">
        <v>42705.0</v>
      </c>
      <c r="CM76" s="138">
        <v>42736.0</v>
      </c>
      <c r="CN76" s="138">
        <v>42767.0</v>
      </c>
      <c r="CO76" s="138">
        <v>42795.0</v>
      </c>
      <c r="CP76" s="138">
        <v>42826.0</v>
      </c>
      <c r="CQ76" s="138">
        <v>42856.0</v>
      </c>
      <c r="CR76" s="138">
        <v>42887.0</v>
      </c>
      <c r="CS76" s="138">
        <v>42917.0</v>
      </c>
      <c r="CT76" s="138">
        <v>42948.0</v>
      </c>
      <c r="CU76" s="138">
        <v>42979.0</v>
      </c>
      <c r="CV76" s="138">
        <v>43009.0</v>
      </c>
      <c r="CW76" s="138">
        <v>43040.0</v>
      </c>
      <c r="CX76" s="138">
        <v>43070.0</v>
      </c>
      <c r="CY76" s="138">
        <v>43101.0</v>
      </c>
      <c r="CZ76" s="138">
        <v>43132.0</v>
      </c>
      <c r="DA76" s="138">
        <v>43160.0</v>
      </c>
      <c r="DB76" s="138">
        <v>43191.0</v>
      </c>
      <c r="DC76" s="138">
        <v>43221.0</v>
      </c>
      <c r="DD76" s="138">
        <v>43252.0</v>
      </c>
      <c r="DE76" s="138">
        <v>43282.0</v>
      </c>
      <c r="DF76" s="138">
        <v>43313.0</v>
      </c>
      <c r="DG76" s="138">
        <v>43344.0</v>
      </c>
      <c r="DH76" s="138">
        <v>43374.0</v>
      </c>
      <c r="DI76" s="139">
        <v>43405.0</v>
      </c>
      <c r="DJ76" s="139">
        <v>43435.0</v>
      </c>
      <c r="DK76" s="139">
        <v>43466.0</v>
      </c>
      <c r="DL76" s="139">
        <v>43497.0</v>
      </c>
      <c r="DM76" s="139">
        <v>43525.0</v>
      </c>
      <c r="DN76" s="139">
        <v>43556.0</v>
      </c>
      <c r="DO76" s="139">
        <v>43586.0</v>
      </c>
      <c r="DP76" s="139">
        <v>43617.0</v>
      </c>
      <c r="DQ76" s="139">
        <v>43647.0</v>
      </c>
      <c r="DR76" s="139">
        <v>43678.0</v>
      </c>
      <c r="DS76" s="139">
        <v>43709.0</v>
      </c>
      <c r="DT76" s="139">
        <v>43739.0</v>
      </c>
      <c r="DU76" s="139">
        <v>43770.0</v>
      </c>
      <c r="DV76" s="139">
        <v>43800.0</v>
      </c>
      <c r="DW76" s="139">
        <v>43831.0</v>
      </c>
      <c r="DX76" s="139">
        <v>43862.0</v>
      </c>
      <c r="DY76" s="139">
        <v>43891.0</v>
      </c>
      <c r="DZ76" s="139">
        <v>43922.0</v>
      </c>
      <c r="EA76" s="139">
        <v>43952.0</v>
      </c>
      <c r="EB76" s="139">
        <v>43983.0</v>
      </c>
      <c r="EC76" s="139">
        <v>44013.0</v>
      </c>
      <c r="ED76" s="139">
        <v>44044.0</v>
      </c>
      <c r="EE76" s="139">
        <v>44075.0</v>
      </c>
      <c r="EF76" s="139">
        <v>44105.0</v>
      </c>
      <c r="EG76" s="139">
        <v>44136.0</v>
      </c>
      <c r="EH76" s="139">
        <v>44166.0</v>
      </c>
      <c r="EI76" s="139">
        <v>44197.0</v>
      </c>
      <c r="EJ76" s="139">
        <v>44228.0</v>
      </c>
      <c r="EK76" s="139">
        <v>44256.0</v>
      </c>
      <c r="EL76" s="139">
        <v>44287.0</v>
      </c>
      <c r="EM76" s="139">
        <v>44317.0</v>
      </c>
      <c r="EN76" s="139">
        <v>44348.0</v>
      </c>
      <c r="EO76" s="139">
        <v>44378.0</v>
      </c>
      <c r="EP76" s="139">
        <v>44409.0</v>
      </c>
      <c r="EQ76" s="139">
        <v>44440.0</v>
      </c>
      <c r="ER76" s="139">
        <v>44470.0</v>
      </c>
      <c r="ES76" s="139">
        <v>44501.0</v>
      </c>
      <c r="ET76" s="139">
        <v>44531.0</v>
      </c>
      <c r="EU76" s="139">
        <v>44562.0</v>
      </c>
      <c r="EV76" s="139">
        <v>44593.0</v>
      </c>
      <c r="EW76" s="139">
        <v>44621.0</v>
      </c>
      <c r="EX76" s="139">
        <v>44652.0</v>
      </c>
      <c r="EY76" s="139">
        <v>44682.0</v>
      </c>
      <c r="EZ76" s="139">
        <v>44713.0</v>
      </c>
      <c r="FA76" s="139">
        <v>44743.0</v>
      </c>
      <c r="FB76" s="139">
        <v>44774.0</v>
      </c>
      <c r="FC76" s="139">
        <v>44805.0</v>
      </c>
      <c r="FD76" s="139">
        <v>44835.0</v>
      </c>
      <c r="FE76" s="139">
        <v>44866.0</v>
      </c>
      <c r="FF76" s="139">
        <v>44896.0</v>
      </c>
      <c r="FG76" s="139">
        <v>44927.0</v>
      </c>
      <c r="FH76" s="139">
        <v>44958.0</v>
      </c>
      <c r="FI76" s="139">
        <v>44986.0</v>
      </c>
      <c r="FJ76" s="139">
        <v>45017.0</v>
      </c>
      <c r="FK76" s="139">
        <v>45047.0</v>
      </c>
      <c r="FL76" s="139">
        <v>45078.0</v>
      </c>
      <c r="FM76" s="139">
        <v>45108.0</v>
      </c>
      <c r="FN76" s="139">
        <v>45139.0</v>
      </c>
      <c r="FO76" s="139">
        <v>45170.0</v>
      </c>
      <c r="FP76" s="139">
        <v>45200.0</v>
      </c>
      <c r="FQ76" s="139">
        <v>45231.0</v>
      </c>
      <c r="FR76" s="139">
        <v>45261.0</v>
      </c>
      <c r="FS76" s="139">
        <v>45292.0</v>
      </c>
      <c r="FT76" s="139">
        <v>45323.0</v>
      </c>
      <c r="FU76" s="139">
        <v>45352.0</v>
      </c>
      <c r="FV76" s="139">
        <v>45383.0</v>
      </c>
      <c r="FW76" s="139">
        <v>45413.0</v>
      </c>
      <c r="FX76" s="139">
        <v>45444.0</v>
      </c>
      <c r="FY76" s="139">
        <v>45474.0</v>
      </c>
      <c r="FZ76" s="139">
        <v>45505.0</v>
      </c>
      <c r="GA76" s="139">
        <v>45536.0</v>
      </c>
      <c r="GB76" s="139">
        <v>45566.0</v>
      </c>
      <c r="GC76" s="139">
        <v>45597.0</v>
      </c>
      <c r="GD76" s="139">
        <v>45627.0</v>
      </c>
      <c r="GE76" s="139">
        <v>45658.0</v>
      </c>
      <c r="GF76" s="139">
        <v>45689.0</v>
      </c>
      <c r="GG76" s="139">
        <v>45717.0</v>
      </c>
      <c r="GH76" s="139">
        <v>45748.0</v>
      </c>
      <c r="GI76" s="139">
        <v>45778.0</v>
      </c>
      <c r="GJ76" s="139">
        <v>45809.0</v>
      </c>
      <c r="GK76" s="139">
        <v>45839.0</v>
      </c>
    </row>
    <row r="77">
      <c r="A77" s="132" t="s">
        <v>34043</v>
      </c>
      <c r="B77" s="133" t="s">
        <v>1223</v>
      </c>
      <c r="C77" s="134">
        <v>43409.78759259259</v>
      </c>
      <c r="D77" s="135" t="str">
        <f t="shared" si="1"/>
        <v>2018/11/05</v>
      </c>
      <c r="E77" s="136" t="s">
        <v>33908</v>
      </c>
      <c r="F77" s="137">
        <v>0.0</v>
      </c>
      <c r="G77" s="138">
        <v>40179.0</v>
      </c>
      <c r="H77" s="138">
        <v>40210.0</v>
      </c>
      <c r="I77" s="138">
        <v>40238.0</v>
      </c>
      <c r="J77" s="138">
        <v>40269.0</v>
      </c>
      <c r="K77" s="138">
        <v>40299.0</v>
      </c>
      <c r="L77" s="138">
        <v>40330.0</v>
      </c>
      <c r="M77" s="138">
        <v>40360.0</v>
      </c>
      <c r="N77" s="138">
        <v>40391.0</v>
      </c>
      <c r="O77" s="138">
        <v>40422.0</v>
      </c>
      <c r="P77" s="138">
        <v>40452.0</v>
      </c>
      <c r="Q77" s="138">
        <v>40483.0</v>
      </c>
      <c r="R77" s="138">
        <v>40513.0</v>
      </c>
      <c r="S77" s="138">
        <v>40544.0</v>
      </c>
      <c r="T77" s="138">
        <v>40575.0</v>
      </c>
      <c r="U77" s="138">
        <v>40603.0</v>
      </c>
      <c r="V77" s="138">
        <v>40634.0</v>
      </c>
      <c r="W77" s="138">
        <v>40664.0</v>
      </c>
      <c r="X77" s="138">
        <v>40695.0</v>
      </c>
      <c r="Y77" s="138">
        <v>40725.0</v>
      </c>
      <c r="Z77" s="138">
        <v>40756.0</v>
      </c>
      <c r="AA77" s="138">
        <v>40787.0</v>
      </c>
      <c r="AB77" s="138">
        <v>40817.0</v>
      </c>
      <c r="AC77" s="138">
        <v>40848.0</v>
      </c>
      <c r="AD77" s="138">
        <v>40878.0</v>
      </c>
      <c r="AE77" s="138">
        <v>40909.0</v>
      </c>
      <c r="AF77" s="138">
        <v>40940.0</v>
      </c>
      <c r="AG77" s="138">
        <v>40969.0</v>
      </c>
      <c r="AH77" s="138">
        <v>41000.0</v>
      </c>
      <c r="AI77" s="138">
        <v>41030.0</v>
      </c>
      <c r="AJ77" s="138">
        <v>41061.0</v>
      </c>
      <c r="AK77" s="138">
        <v>41091.0</v>
      </c>
      <c r="AL77" s="138">
        <v>41122.0</v>
      </c>
      <c r="AM77" s="138">
        <v>41153.0</v>
      </c>
      <c r="AN77" s="138">
        <v>41183.0</v>
      </c>
      <c r="AO77" s="138">
        <v>41214.0</v>
      </c>
      <c r="AP77" s="138">
        <v>41244.0</v>
      </c>
      <c r="AQ77" s="138">
        <v>41275.0</v>
      </c>
      <c r="AR77" s="138">
        <v>41306.0</v>
      </c>
      <c r="AS77" s="138">
        <v>41334.0</v>
      </c>
      <c r="AT77" s="138">
        <v>41365.0</v>
      </c>
      <c r="AU77" s="138">
        <v>41395.0</v>
      </c>
      <c r="AV77" s="138">
        <v>41426.0</v>
      </c>
      <c r="AW77" s="138">
        <v>41456.0</v>
      </c>
      <c r="AX77" s="138">
        <v>41487.0</v>
      </c>
      <c r="AY77" s="138">
        <v>41518.0</v>
      </c>
      <c r="AZ77" s="138">
        <v>41548.0</v>
      </c>
      <c r="BA77" s="138">
        <v>41579.0</v>
      </c>
      <c r="BB77" s="138">
        <v>41609.0</v>
      </c>
      <c r="BC77" s="138">
        <v>41640.0</v>
      </c>
      <c r="BD77" s="138">
        <v>41671.0</v>
      </c>
      <c r="BE77" s="138">
        <v>41699.0</v>
      </c>
      <c r="BF77" s="138">
        <v>41730.0</v>
      </c>
      <c r="BG77" s="138">
        <v>41760.0</v>
      </c>
      <c r="BH77" s="138">
        <v>41791.0</v>
      </c>
      <c r="BI77" s="138">
        <v>41821.0</v>
      </c>
      <c r="BJ77" s="138">
        <v>41852.0</v>
      </c>
      <c r="BK77" s="138">
        <v>41883.0</v>
      </c>
      <c r="BL77" s="138">
        <v>41913.0</v>
      </c>
      <c r="BM77" s="138">
        <v>41944.0</v>
      </c>
      <c r="BN77" s="138">
        <v>41974.0</v>
      </c>
      <c r="BO77" s="138">
        <v>42005.0</v>
      </c>
      <c r="BP77" s="138">
        <v>42036.0</v>
      </c>
      <c r="BQ77" s="138">
        <v>42064.0</v>
      </c>
      <c r="BR77" s="138">
        <v>42095.0</v>
      </c>
      <c r="BS77" s="138">
        <v>42125.0</v>
      </c>
      <c r="BT77" s="138">
        <v>42156.0</v>
      </c>
      <c r="BU77" s="138">
        <v>42186.0</v>
      </c>
      <c r="BV77" s="138">
        <v>42217.0</v>
      </c>
      <c r="BW77" s="138">
        <v>42248.0</v>
      </c>
      <c r="BX77" s="138">
        <v>42278.0</v>
      </c>
      <c r="BY77" s="138">
        <v>42309.0</v>
      </c>
      <c r="BZ77" s="138">
        <v>42339.0</v>
      </c>
      <c r="CA77" s="138">
        <v>42370.0</v>
      </c>
      <c r="CB77" s="138">
        <v>42401.0</v>
      </c>
      <c r="CC77" s="138">
        <v>42430.0</v>
      </c>
      <c r="CD77" s="138">
        <v>42461.0</v>
      </c>
      <c r="CE77" s="138">
        <v>42491.0</v>
      </c>
      <c r="CF77" s="138">
        <v>42522.0</v>
      </c>
      <c r="CG77" s="138">
        <v>42552.0</v>
      </c>
      <c r="CH77" s="138">
        <v>42583.0</v>
      </c>
      <c r="CI77" s="138">
        <v>42614.0</v>
      </c>
      <c r="CJ77" s="138">
        <v>42644.0</v>
      </c>
      <c r="CK77" s="138">
        <v>42675.0</v>
      </c>
      <c r="CL77" s="138">
        <v>42705.0</v>
      </c>
      <c r="CM77" s="138">
        <v>42736.0</v>
      </c>
      <c r="CN77" s="138">
        <v>42767.0</v>
      </c>
      <c r="CO77" s="138">
        <v>42795.0</v>
      </c>
      <c r="CP77" s="138">
        <v>42826.0</v>
      </c>
      <c r="CQ77" s="138">
        <v>42856.0</v>
      </c>
      <c r="CR77" s="138">
        <v>42887.0</v>
      </c>
      <c r="CS77" s="138">
        <v>42917.0</v>
      </c>
      <c r="CT77" s="138">
        <v>42948.0</v>
      </c>
      <c r="CU77" s="138">
        <v>42979.0</v>
      </c>
      <c r="CV77" s="138">
        <v>43009.0</v>
      </c>
      <c r="CW77" s="138">
        <v>43040.0</v>
      </c>
      <c r="CX77" s="138">
        <v>43070.0</v>
      </c>
      <c r="CY77" s="138">
        <v>43101.0</v>
      </c>
      <c r="CZ77" s="138">
        <v>43132.0</v>
      </c>
      <c r="DA77" s="138">
        <v>43160.0</v>
      </c>
      <c r="DB77" s="138">
        <v>43191.0</v>
      </c>
      <c r="DC77" s="138">
        <v>43221.0</v>
      </c>
      <c r="DD77" s="138">
        <v>43252.0</v>
      </c>
      <c r="DE77" s="138">
        <v>43282.0</v>
      </c>
      <c r="DF77" s="138">
        <v>43313.0</v>
      </c>
      <c r="DG77" s="138">
        <v>43344.0</v>
      </c>
      <c r="DH77" s="138">
        <v>43374.0</v>
      </c>
      <c r="DI77" s="138">
        <v>43405.0</v>
      </c>
      <c r="DJ77" s="139">
        <v>43435.0</v>
      </c>
      <c r="DK77" s="139">
        <v>43466.0</v>
      </c>
      <c r="DL77" s="139">
        <v>43497.0</v>
      </c>
      <c r="DM77" s="139">
        <v>43525.0</v>
      </c>
      <c r="DN77" s="139">
        <v>43556.0</v>
      </c>
      <c r="DO77" s="139">
        <v>43586.0</v>
      </c>
      <c r="DP77" s="139">
        <v>43617.0</v>
      </c>
      <c r="DQ77" s="139">
        <v>43647.0</v>
      </c>
      <c r="DR77" s="139">
        <v>43678.0</v>
      </c>
      <c r="DS77" s="139">
        <v>43709.0</v>
      </c>
      <c r="DT77" s="139">
        <v>43739.0</v>
      </c>
      <c r="DU77" s="139">
        <v>43770.0</v>
      </c>
      <c r="DV77" s="139">
        <v>43800.0</v>
      </c>
      <c r="DW77" s="139">
        <v>43831.0</v>
      </c>
      <c r="DX77" s="139">
        <v>43862.0</v>
      </c>
      <c r="DY77" s="139">
        <v>43891.0</v>
      </c>
      <c r="DZ77" s="139">
        <v>43922.0</v>
      </c>
      <c r="EA77" s="139">
        <v>43952.0</v>
      </c>
      <c r="EB77" s="139">
        <v>43983.0</v>
      </c>
      <c r="EC77" s="139">
        <v>44013.0</v>
      </c>
      <c r="ED77" s="139">
        <v>44044.0</v>
      </c>
      <c r="EE77" s="139">
        <v>44075.0</v>
      </c>
      <c r="EF77" s="139">
        <v>44105.0</v>
      </c>
      <c r="EG77" s="139">
        <v>44136.0</v>
      </c>
      <c r="EH77" s="139">
        <v>44166.0</v>
      </c>
      <c r="EI77" s="139">
        <v>44197.0</v>
      </c>
      <c r="EJ77" s="139">
        <v>44228.0</v>
      </c>
      <c r="EK77" s="139">
        <v>44256.0</v>
      </c>
      <c r="EL77" s="139">
        <v>44287.0</v>
      </c>
      <c r="EM77" s="139">
        <v>44317.0</v>
      </c>
      <c r="EN77" s="139">
        <v>44348.0</v>
      </c>
      <c r="EO77" s="139">
        <v>44378.0</v>
      </c>
      <c r="EP77" s="139">
        <v>44409.0</v>
      </c>
      <c r="EQ77" s="139">
        <v>44440.0</v>
      </c>
      <c r="ER77" s="139">
        <v>44470.0</v>
      </c>
      <c r="ES77" s="139">
        <v>44501.0</v>
      </c>
      <c r="ET77" s="139">
        <v>44531.0</v>
      </c>
      <c r="EU77" s="139">
        <v>44562.0</v>
      </c>
      <c r="EV77" s="139">
        <v>44593.0</v>
      </c>
      <c r="EW77" s="139">
        <v>44621.0</v>
      </c>
      <c r="EX77" s="139">
        <v>44652.0</v>
      </c>
      <c r="EY77" s="139">
        <v>44682.0</v>
      </c>
      <c r="EZ77" s="139">
        <v>44713.0</v>
      </c>
      <c r="FA77" s="139">
        <v>44743.0</v>
      </c>
      <c r="FB77" s="139">
        <v>44774.0</v>
      </c>
      <c r="FC77" s="139">
        <v>44805.0</v>
      </c>
      <c r="FD77" s="139">
        <v>44835.0</v>
      </c>
      <c r="FE77" s="139">
        <v>44866.0</v>
      </c>
      <c r="FF77" s="139">
        <v>44896.0</v>
      </c>
      <c r="FG77" s="139">
        <v>44927.0</v>
      </c>
      <c r="FH77" s="139">
        <v>44958.0</v>
      </c>
      <c r="FI77" s="139">
        <v>44986.0</v>
      </c>
      <c r="FJ77" s="139">
        <v>45017.0</v>
      </c>
      <c r="FK77" s="139">
        <v>45047.0</v>
      </c>
      <c r="FL77" s="139">
        <v>45078.0</v>
      </c>
      <c r="FM77" s="139">
        <v>45108.0</v>
      </c>
      <c r="FN77" s="139">
        <v>45139.0</v>
      </c>
      <c r="FO77" s="139">
        <v>45170.0</v>
      </c>
      <c r="FP77" s="139">
        <v>45200.0</v>
      </c>
      <c r="FQ77" s="139">
        <v>45231.0</v>
      </c>
      <c r="FR77" s="139">
        <v>45261.0</v>
      </c>
      <c r="FS77" s="139">
        <v>45292.0</v>
      </c>
      <c r="FT77" s="139">
        <v>45323.0</v>
      </c>
      <c r="FU77" s="139">
        <v>45352.0</v>
      </c>
      <c r="FV77" s="139">
        <v>45383.0</v>
      </c>
      <c r="FW77" s="139">
        <v>45413.0</v>
      </c>
      <c r="FX77" s="139">
        <v>45444.0</v>
      </c>
      <c r="FY77" s="139">
        <v>45474.0</v>
      </c>
      <c r="FZ77" s="139">
        <v>45505.0</v>
      </c>
      <c r="GA77" s="139">
        <v>45536.0</v>
      </c>
      <c r="GB77" s="139">
        <v>45566.0</v>
      </c>
      <c r="GC77" s="139">
        <v>45597.0</v>
      </c>
      <c r="GD77" s="139">
        <v>45627.0</v>
      </c>
      <c r="GE77" s="139">
        <v>45658.0</v>
      </c>
      <c r="GF77" s="139">
        <v>45689.0</v>
      </c>
      <c r="GG77" s="139">
        <v>45717.0</v>
      </c>
      <c r="GH77" s="139">
        <v>45748.0</v>
      </c>
      <c r="GI77" s="139">
        <v>45778.0</v>
      </c>
      <c r="GJ77" s="139">
        <v>45809.0</v>
      </c>
      <c r="GK77" s="139">
        <v>45839.0</v>
      </c>
    </row>
    <row r="78">
      <c r="A78" s="132" t="s">
        <v>34044</v>
      </c>
      <c r="B78" s="133" t="s">
        <v>1161</v>
      </c>
      <c r="C78" s="134">
        <v>43446.86871527778</v>
      </c>
      <c r="D78" s="135" t="str">
        <f t="shared" si="1"/>
        <v>2018/12/12</v>
      </c>
      <c r="E78" s="136" t="s">
        <v>34045</v>
      </c>
      <c r="F78" s="137">
        <v>2.7E-4</v>
      </c>
      <c r="G78" s="138">
        <v>40179.0</v>
      </c>
      <c r="H78" s="138">
        <v>40210.0</v>
      </c>
      <c r="I78" s="138">
        <v>40238.0</v>
      </c>
      <c r="J78" s="138">
        <v>40269.0</v>
      </c>
      <c r="K78" s="138">
        <v>40299.0</v>
      </c>
      <c r="L78" s="138">
        <v>40330.0</v>
      </c>
      <c r="M78" s="138">
        <v>40360.0</v>
      </c>
      <c r="N78" s="138">
        <v>40391.0</v>
      </c>
      <c r="O78" s="138">
        <v>40422.0</v>
      </c>
      <c r="P78" s="138">
        <v>40452.0</v>
      </c>
      <c r="Q78" s="138">
        <v>40483.0</v>
      </c>
      <c r="R78" s="138">
        <v>40513.0</v>
      </c>
      <c r="S78" s="138">
        <v>40544.0</v>
      </c>
      <c r="T78" s="138">
        <v>40575.0</v>
      </c>
      <c r="U78" s="138">
        <v>40603.0</v>
      </c>
      <c r="V78" s="138">
        <v>40634.0</v>
      </c>
      <c r="W78" s="138">
        <v>40664.0</v>
      </c>
      <c r="X78" s="138">
        <v>40695.0</v>
      </c>
      <c r="Y78" s="138">
        <v>40725.0</v>
      </c>
      <c r="Z78" s="138">
        <v>40756.0</v>
      </c>
      <c r="AA78" s="138">
        <v>40787.0</v>
      </c>
      <c r="AB78" s="138">
        <v>40817.0</v>
      </c>
      <c r="AC78" s="138">
        <v>40848.0</v>
      </c>
      <c r="AD78" s="138">
        <v>40878.0</v>
      </c>
      <c r="AE78" s="138">
        <v>40909.0</v>
      </c>
      <c r="AF78" s="138">
        <v>40940.0</v>
      </c>
      <c r="AG78" s="138">
        <v>40969.0</v>
      </c>
      <c r="AH78" s="138">
        <v>41000.0</v>
      </c>
      <c r="AI78" s="138">
        <v>41030.0</v>
      </c>
      <c r="AJ78" s="138">
        <v>41061.0</v>
      </c>
      <c r="AK78" s="138">
        <v>41091.0</v>
      </c>
      <c r="AL78" s="138">
        <v>41122.0</v>
      </c>
      <c r="AM78" s="138">
        <v>41153.0</v>
      </c>
      <c r="AN78" s="138">
        <v>41183.0</v>
      </c>
      <c r="AO78" s="138">
        <v>41214.0</v>
      </c>
      <c r="AP78" s="138">
        <v>41244.0</v>
      </c>
      <c r="AQ78" s="138">
        <v>41275.0</v>
      </c>
      <c r="AR78" s="138">
        <v>41306.0</v>
      </c>
      <c r="AS78" s="138">
        <v>41334.0</v>
      </c>
      <c r="AT78" s="138">
        <v>41365.0</v>
      </c>
      <c r="AU78" s="138">
        <v>41395.0</v>
      </c>
      <c r="AV78" s="138">
        <v>41426.0</v>
      </c>
      <c r="AW78" s="138">
        <v>41456.0</v>
      </c>
      <c r="AX78" s="138">
        <v>41487.0</v>
      </c>
      <c r="AY78" s="138">
        <v>41518.0</v>
      </c>
      <c r="AZ78" s="138">
        <v>41548.0</v>
      </c>
      <c r="BA78" s="138">
        <v>41579.0</v>
      </c>
      <c r="BB78" s="138">
        <v>41609.0</v>
      </c>
      <c r="BC78" s="138">
        <v>41640.0</v>
      </c>
      <c r="BD78" s="138">
        <v>41671.0</v>
      </c>
      <c r="BE78" s="138">
        <v>41699.0</v>
      </c>
      <c r="BF78" s="138">
        <v>41730.0</v>
      </c>
      <c r="BG78" s="138">
        <v>41760.0</v>
      </c>
      <c r="BH78" s="138">
        <v>41791.0</v>
      </c>
      <c r="BI78" s="138">
        <v>41821.0</v>
      </c>
      <c r="BJ78" s="138">
        <v>41852.0</v>
      </c>
      <c r="BK78" s="138">
        <v>41883.0</v>
      </c>
      <c r="BL78" s="138">
        <v>41913.0</v>
      </c>
      <c r="BM78" s="138">
        <v>41944.0</v>
      </c>
      <c r="BN78" s="138">
        <v>41974.0</v>
      </c>
      <c r="BO78" s="138">
        <v>42005.0</v>
      </c>
      <c r="BP78" s="138">
        <v>42036.0</v>
      </c>
      <c r="BQ78" s="138">
        <v>42064.0</v>
      </c>
      <c r="BR78" s="138">
        <v>42095.0</v>
      </c>
      <c r="BS78" s="138">
        <v>42125.0</v>
      </c>
      <c r="BT78" s="138">
        <v>42156.0</v>
      </c>
      <c r="BU78" s="138">
        <v>42186.0</v>
      </c>
      <c r="BV78" s="138">
        <v>42217.0</v>
      </c>
      <c r="BW78" s="138">
        <v>42248.0</v>
      </c>
      <c r="BX78" s="138">
        <v>42278.0</v>
      </c>
      <c r="BY78" s="138">
        <v>42309.0</v>
      </c>
      <c r="BZ78" s="138">
        <v>42339.0</v>
      </c>
      <c r="CA78" s="138">
        <v>42370.0</v>
      </c>
      <c r="CB78" s="138">
        <v>42401.0</v>
      </c>
      <c r="CC78" s="138">
        <v>42430.0</v>
      </c>
      <c r="CD78" s="138">
        <v>42461.0</v>
      </c>
      <c r="CE78" s="138">
        <v>42491.0</v>
      </c>
      <c r="CF78" s="138">
        <v>42522.0</v>
      </c>
      <c r="CG78" s="138">
        <v>42552.0</v>
      </c>
      <c r="CH78" s="138">
        <v>42583.0</v>
      </c>
      <c r="CI78" s="138">
        <v>42614.0</v>
      </c>
      <c r="CJ78" s="138">
        <v>42644.0</v>
      </c>
      <c r="CK78" s="138">
        <v>42675.0</v>
      </c>
      <c r="CL78" s="138">
        <v>42705.0</v>
      </c>
      <c r="CM78" s="138">
        <v>42736.0</v>
      </c>
      <c r="CN78" s="138">
        <v>42767.0</v>
      </c>
      <c r="CO78" s="138">
        <v>42795.0</v>
      </c>
      <c r="CP78" s="138">
        <v>42826.0</v>
      </c>
      <c r="CQ78" s="138">
        <v>42856.0</v>
      </c>
      <c r="CR78" s="138">
        <v>42887.0</v>
      </c>
      <c r="CS78" s="138">
        <v>42917.0</v>
      </c>
      <c r="CT78" s="138">
        <v>42948.0</v>
      </c>
      <c r="CU78" s="138">
        <v>42979.0</v>
      </c>
      <c r="CV78" s="138">
        <v>43009.0</v>
      </c>
      <c r="CW78" s="138">
        <v>43040.0</v>
      </c>
      <c r="CX78" s="138">
        <v>43070.0</v>
      </c>
      <c r="CY78" s="138">
        <v>43101.0</v>
      </c>
      <c r="CZ78" s="138">
        <v>43132.0</v>
      </c>
      <c r="DA78" s="138">
        <v>43160.0</v>
      </c>
      <c r="DB78" s="138">
        <v>43191.0</v>
      </c>
      <c r="DC78" s="138">
        <v>43221.0</v>
      </c>
      <c r="DD78" s="138">
        <v>43252.0</v>
      </c>
      <c r="DE78" s="138">
        <v>43282.0</v>
      </c>
      <c r="DF78" s="138">
        <v>43313.0</v>
      </c>
      <c r="DG78" s="138">
        <v>43344.0</v>
      </c>
      <c r="DH78" s="138">
        <v>43374.0</v>
      </c>
      <c r="DI78" s="138">
        <v>43405.0</v>
      </c>
      <c r="DJ78" s="138">
        <v>43435.0</v>
      </c>
      <c r="DK78" s="139">
        <v>43466.0</v>
      </c>
      <c r="DL78" s="139">
        <v>43497.0</v>
      </c>
      <c r="DM78" s="139">
        <v>43525.0</v>
      </c>
      <c r="DN78" s="139">
        <v>43556.0</v>
      </c>
      <c r="DO78" s="139">
        <v>43586.0</v>
      </c>
      <c r="DP78" s="139">
        <v>43617.0</v>
      </c>
      <c r="DQ78" s="139">
        <v>43647.0</v>
      </c>
      <c r="DR78" s="139">
        <v>43678.0</v>
      </c>
      <c r="DS78" s="139">
        <v>43709.0</v>
      </c>
      <c r="DT78" s="139">
        <v>43739.0</v>
      </c>
      <c r="DU78" s="139">
        <v>43770.0</v>
      </c>
      <c r="DV78" s="139">
        <v>43800.0</v>
      </c>
      <c r="DW78" s="139">
        <v>43831.0</v>
      </c>
      <c r="DX78" s="139">
        <v>43862.0</v>
      </c>
      <c r="DY78" s="139">
        <v>43891.0</v>
      </c>
      <c r="DZ78" s="139">
        <v>43922.0</v>
      </c>
      <c r="EA78" s="139">
        <v>43952.0</v>
      </c>
      <c r="EB78" s="139">
        <v>43983.0</v>
      </c>
      <c r="EC78" s="139">
        <v>44013.0</v>
      </c>
      <c r="ED78" s="139">
        <v>44044.0</v>
      </c>
      <c r="EE78" s="139">
        <v>44075.0</v>
      </c>
      <c r="EF78" s="139">
        <v>44105.0</v>
      </c>
      <c r="EG78" s="139">
        <v>44136.0</v>
      </c>
      <c r="EH78" s="139">
        <v>44166.0</v>
      </c>
      <c r="EI78" s="139">
        <v>44197.0</v>
      </c>
      <c r="EJ78" s="139">
        <v>44228.0</v>
      </c>
      <c r="EK78" s="139">
        <v>44256.0</v>
      </c>
      <c r="EL78" s="139">
        <v>44287.0</v>
      </c>
      <c r="EM78" s="139">
        <v>44317.0</v>
      </c>
      <c r="EN78" s="139">
        <v>44348.0</v>
      </c>
      <c r="EO78" s="139">
        <v>44378.0</v>
      </c>
      <c r="EP78" s="139">
        <v>44409.0</v>
      </c>
      <c r="EQ78" s="139">
        <v>44440.0</v>
      </c>
      <c r="ER78" s="139">
        <v>44470.0</v>
      </c>
      <c r="ES78" s="139">
        <v>44501.0</v>
      </c>
      <c r="ET78" s="139">
        <v>44531.0</v>
      </c>
      <c r="EU78" s="139">
        <v>44562.0</v>
      </c>
      <c r="EV78" s="139">
        <v>44593.0</v>
      </c>
      <c r="EW78" s="139">
        <v>44621.0</v>
      </c>
      <c r="EX78" s="139">
        <v>44652.0</v>
      </c>
      <c r="EY78" s="139">
        <v>44682.0</v>
      </c>
      <c r="EZ78" s="139">
        <v>44713.0</v>
      </c>
      <c r="FA78" s="139">
        <v>44743.0</v>
      </c>
      <c r="FB78" s="139">
        <v>44774.0</v>
      </c>
      <c r="FC78" s="139">
        <v>44805.0</v>
      </c>
      <c r="FD78" s="139">
        <v>44835.0</v>
      </c>
      <c r="FE78" s="139">
        <v>44866.0</v>
      </c>
      <c r="FF78" s="139">
        <v>44896.0</v>
      </c>
      <c r="FG78" s="139">
        <v>44927.0</v>
      </c>
      <c r="FH78" s="139">
        <v>44958.0</v>
      </c>
      <c r="FI78" s="139">
        <v>44986.0</v>
      </c>
      <c r="FJ78" s="139">
        <v>45017.0</v>
      </c>
      <c r="FK78" s="139">
        <v>45047.0</v>
      </c>
      <c r="FL78" s="139">
        <v>45078.0</v>
      </c>
      <c r="FM78" s="139">
        <v>45108.0</v>
      </c>
      <c r="FN78" s="139">
        <v>45139.0</v>
      </c>
      <c r="FO78" s="139">
        <v>45170.0</v>
      </c>
      <c r="FP78" s="139">
        <v>45200.0</v>
      </c>
      <c r="FQ78" s="139">
        <v>45231.0</v>
      </c>
      <c r="FR78" s="139">
        <v>45261.0</v>
      </c>
      <c r="FS78" s="139">
        <v>45292.0</v>
      </c>
      <c r="FT78" s="139">
        <v>45323.0</v>
      </c>
      <c r="FU78" s="139">
        <v>45352.0</v>
      </c>
      <c r="FV78" s="139">
        <v>45383.0</v>
      </c>
      <c r="FW78" s="139">
        <v>45413.0</v>
      </c>
      <c r="FX78" s="139">
        <v>45444.0</v>
      </c>
      <c r="FY78" s="139">
        <v>45474.0</v>
      </c>
      <c r="FZ78" s="139">
        <v>45505.0</v>
      </c>
      <c r="GA78" s="139">
        <v>45536.0</v>
      </c>
      <c r="GB78" s="139">
        <v>45566.0</v>
      </c>
      <c r="GC78" s="139">
        <v>45597.0</v>
      </c>
      <c r="GD78" s="139">
        <v>45627.0</v>
      </c>
      <c r="GE78" s="139">
        <v>45658.0</v>
      </c>
      <c r="GF78" s="139">
        <v>45689.0</v>
      </c>
      <c r="GG78" s="139">
        <v>45717.0</v>
      </c>
      <c r="GH78" s="139">
        <v>45748.0</v>
      </c>
      <c r="GI78" s="139">
        <v>45778.0</v>
      </c>
      <c r="GJ78" s="139">
        <v>45809.0</v>
      </c>
      <c r="GK78" s="139">
        <v>45839.0</v>
      </c>
    </row>
    <row r="79">
      <c r="A79" s="132" t="s">
        <v>34046</v>
      </c>
      <c r="B79" s="133" t="s">
        <v>1260</v>
      </c>
      <c r="C79" s="134">
        <v>43451.47305555556</v>
      </c>
      <c r="D79" s="135" t="str">
        <f t="shared" si="1"/>
        <v>2018/12/17</v>
      </c>
      <c r="E79" s="136" t="s">
        <v>34047</v>
      </c>
      <c r="F79" s="137">
        <v>1.0E-4</v>
      </c>
      <c r="G79" s="138">
        <v>40179.0</v>
      </c>
      <c r="H79" s="138">
        <v>40210.0</v>
      </c>
      <c r="I79" s="138">
        <v>40238.0</v>
      </c>
      <c r="J79" s="138">
        <v>40269.0</v>
      </c>
      <c r="K79" s="138">
        <v>40299.0</v>
      </c>
      <c r="L79" s="138">
        <v>40330.0</v>
      </c>
      <c r="M79" s="138">
        <v>40360.0</v>
      </c>
      <c r="N79" s="138">
        <v>40391.0</v>
      </c>
      <c r="O79" s="138">
        <v>40422.0</v>
      </c>
      <c r="P79" s="138">
        <v>40452.0</v>
      </c>
      <c r="Q79" s="138">
        <v>40483.0</v>
      </c>
      <c r="R79" s="138">
        <v>40513.0</v>
      </c>
      <c r="S79" s="138">
        <v>40544.0</v>
      </c>
      <c r="T79" s="138">
        <v>40575.0</v>
      </c>
      <c r="U79" s="138">
        <v>40603.0</v>
      </c>
      <c r="V79" s="138">
        <v>40634.0</v>
      </c>
      <c r="W79" s="138">
        <v>40664.0</v>
      </c>
      <c r="X79" s="138">
        <v>40695.0</v>
      </c>
      <c r="Y79" s="138">
        <v>40725.0</v>
      </c>
      <c r="Z79" s="138">
        <v>40756.0</v>
      </c>
      <c r="AA79" s="138">
        <v>40787.0</v>
      </c>
      <c r="AB79" s="138">
        <v>40817.0</v>
      </c>
      <c r="AC79" s="138">
        <v>40848.0</v>
      </c>
      <c r="AD79" s="138">
        <v>40878.0</v>
      </c>
      <c r="AE79" s="138">
        <v>40909.0</v>
      </c>
      <c r="AF79" s="138">
        <v>40940.0</v>
      </c>
      <c r="AG79" s="138">
        <v>40969.0</v>
      </c>
      <c r="AH79" s="138">
        <v>41000.0</v>
      </c>
      <c r="AI79" s="138">
        <v>41030.0</v>
      </c>
      <c r="AJ79" s="138">
        <v>41061.0</v>
      </c>
      <c r="AK79" s="138">
        <v>41091.0</v>
      </c>
      <c r="AL79" s="138">
        <v>41122.0</v>
      </c>
      <c r="AM79" s="138">
        <v>41153.0</v>
      </c>
      <c r="AN79" s="138">
        <v>41183.0</v>
      </c>
      <c r="AO79" s="138">
        <v>41214.0</v>
      </c>
      <c r="AP79" s="138">
        <v>41244.0</v>
      </c>
      <c r="AQ79" s="138">
        <v>41275.0</v>
      </c>
      <c r="AR79" s="138">
        <v>41306.0</v>
      </c>
      <c r="AS79" s="138">
        <v>41334.0</v>
      </c>
      <c r="AT79" s="138">
        <v>41365.0</v>
      </c>
      <c r="AU79" s="138">
        <v>41395.0</v>
      </c>
      <c r="AV79" s="138">
        <v>41426.0</v>
      </c>
      <c r="AW79" s="138">
        <v>41456.0</v>
      </c>
      <c r="AX79" s="138">
        <v>41487.0</v>
      </c>
      <c r="AY79" s="138">
        <v>41518.0</v>
      </c>
      <c r="AZ79" s="138">
        <v>41548.0</v>
      </c>
      <c r="BA79" s="138">
        <v>41579.0</v>
      </c>
      <c r="BB79" s="138">
        <v>41609.0</v>
      </c>
      <c r="BC79" s="138">
        <v>41640.0</v>
      </c>
      <c r="BD79" s="138">
        <v>41671.0</v>
      </c>
      <c r="BE79" s="138">
        <v>41699.0</v>
      </c>
      <c r="BF79" s="138">
        <v>41730.0</v>
      </c>
      <c r="BG79" s="138">
        <v>41760.0</v>
      </c>
      <c r="BH79" s="138">
        <v>41791.0</v>
      </c>
      <c r="BI79" s="138">
        <v>41821.0</v>
      </c>
      <c r="BJ79" s="138">
        <v>41852.0</v>
      </c>
      <c r="BK79" s="138">
        <v>41883.0</v>
      </c>
      <c r="BL79" s="138">
        <v>41913.0</v>
      </c>
      <c r="BM79" s="138">
        <v>41944.0</v>
      </c>
      <c r="BN79" s="138">
        <v>41974.0</v>
      </c>
      <c r="BO79" s="138">
        <v>42005.0</v>
      </c>
      <c r="BP79" s="138">
        <v>42036.0</v>
      </c>
      <c r="BQ79" s="138">
        <v>42064.0</v>
      </c>
      <c r="BR79" s="138">
        <v>42095.0</v>
      </c>
      <c r="BS79" s="138">
        <v>42125.0</v>
      </c>
      <c r="BT79" s="138">
        <v>42156.0</v>
      </c>
      <c r="BU79" s="138">
        <v>42186.0</v>
      </c>
      <c r="BV79" s="138">
        <v>42217.0</v>
      </c>
      <c r="BW79" s="138">
        <v>42248.0</v>
      </c>
      <c r="BX79" s="138">
        <v>42278.0</v>
      </c>
      <c r="BY79" s="138">
        <v>42309.0</v>
      </c>
      <c r="BZ79" s="138">
        <v>42339.0</v>
      </c>
      <c r="CA79" s="138">
        <v>42370.0</v>
      </c>
      <c r="CB79" s="138">
        <v>42401.0</v>
      </c>
      <c r="CC79" s="138">
        <v>42430.0</v>
      </c>
      <c r="CD79" s="138">
        <v>42461.0</v>
      </c>
      <c r="CE79" s="138">
        <v>42491.0</v>
      </c>
      <c r="CF79" s="138">
        <v>42522.0</v>
      </c>
      <c r="CG79" s="138">
        <v>42552.0</v>
      </c>
      <c r="CH79" s="138">
        <v>42583.0</v>
      </c>
      <c r="CI79" s="138">
        <v>42614.0</v>
      </c>
      <c r="CJ79" s="138">
        <v>42644.0</v>
      </c>
      <c r="CK79" s="138">
        <v>42675.0</v>
      </c>
      <c r="CL79" s="138">
        <v>42705.0</v>
      </c>
      <c r="CM79" s="138">
        <v>42736.0</v>
      </c>
      <c r="CN79" s="138">
        <v>42767.0</v>
      </c>
      <c r="CO79" s="138">
        <v>42795.0</v>
      </c>
      <c r="CP79" s="138">
        <v>42826.0</v>
      </c>
      <c r="CQ79" s="138">
        <v>42856.0</v>
      </c>
      <c r="CR79" s="138">
        <v>42887.0</v>
      </c>
      <c r="CS79" s="138">
        <v>42917.0</v>
      </c>
      <c r="CT79" s="138">
        <v>42948.0</v>
      </c>
      <c r="CU79" s="138">
        <v>42979.0</v>
      </c>
      <c r="CV79" s="138">
        <v>43009.0</v>
      </c>
      <c r="CW79" s="138">
        <v>43040.0</v>
      </c>
      <c r="CX79" s="138">
        <v>43070.0</v>
      </c>
      <c r="CY79" s="138">
        <v>43101.0</v>
      </c>
      <c r="CZ79" s="138">
        <v>43132.0</v>
      </c>
      <c r="DA79" s="138">
        <v>43160.0</v>
      </c>
      <c r="DB79" s="138">
        <v>43191.0</v>
      </c>
      <c r="DC79" s="138">
        <v>43221.0</v>
      </c>
      <c r="DD79" s="138">
        <v>43252.0</v>
      </c>
      <c r="DE79" s="138">
        <v>43282.0</v>
      </c>
      <c r="DF79" s="138">
        <v>43313.0</v>
      </c>
      <c r="DG79" s="138">
        <v>43344.0</v>
      </c>
      <c r="DH79" s="138">
        <v>43374.0</v>
      </c>
      <c r="DI79" s="138">
        <v>43405.0</v>
      </c>
      <c r="DJ79" s="138">
        <v>43435.0</v>
      </c>
      <c r="DK79" s="139">
        <v>43466.0</v>
      </c>
      <c r="DL79" s="139">
        <v>43497.0</v>
      </c>
      <c r="DM79" s="139">
        <v>43525.0</v>
      </c>
      <c r="DN79" s="139">
        <v>43556.0</v>
      </c>
      <c r="DO79" s="139">
        <v>43586.0</v>
      </c>
      <c r="DP79" s="139">
        <v>43617.0</v>
      </c>
      <c r="DQ79" s="139">
        <v>43647.0</v>
      </c>
      <c r="DR79" s="139">
        <v>43678.0</v>
      </c>
      <c r="DS79" s="139">
        <v>43709.0</v>
      </c>
      <c r="DT79" s="139">
        <v>43739.0</v>
      </c>
      <c r="DU79" s="139">
        <v>43770.0</v>
      </c>
      <c r="DV79" s="139">
        <v>43800.0</v>
      </c>
      <c r="DW79" s="139">
        <v>43831.0</v>
      </c>
      <c r="DX79" s="139">
        <v>43862.0</v>
      </c>
      <c r="DY79" s="139">
        <v>43891.0</v>
      </c>
      <c r="DZ79" s="139">
        <v>43922.0</v>
      </c>
      <c r="EA79" s="139">
        <v>43952.0</v>
      </c>
      <c r="EB79" s="139">
        <v>43983.0</v>
      </c>
      <c r="EC79" s="139">
        <v>44013.0</v>
      </c>
      <c r="ED79" s="139">
        <v>44044.0</v>
      </c>
      <c r="EE79" s="139">
        <v>44075.0</v>
      </c>
      <c r="EF79" s="139">
        <v>44105.0</v>
      </c>
      <c r="EG79" s="139">
        <v>44136.0</v>
      </c>
      <c r="EH79" s="139">
        <v>44166.0</v>
      </c>
      <c r="EI79" s="139">
        <v>44197.0</v>
      </c>
      <c r="EJ79" s="139">
        <v>44228.0</v>
      </c>
      <c r="EK79" s="139">
        <v>44256.0</v>
      </c>
      <c r="EL79" s="139">
        <v>44287.0</v>
      </c>
      <c r="EM79" s="139">
        <v>44317.0</v>
      </c>
      <c r="EN79" s="139">
        <v>44348.0</v>
      </c>
      <c r="EO79" s="139">
        <v>44378.0</v>
      </c>
      <c r="EP79" s="139">
        <v>44409.0</v>
      </c>
      <c r="EQ79" s="139">
        <v>44440.0</v>
      </c>
      <c r="ER79" s="139">
        <v>44470.0</v>
      </c>
      <c r="ES79" s="139">
        <v>44501.0</v>
      </c>
      <c r="ET79" s="139">
        <v>44531.0</v>
      </c>
      <c r="EU79" s="139">
        <v>44562.0</v>
      </c>
      <c r="EV79" s="139">
        <v>44593.0</v>
      </c>
      <c r="EW79" s="139">
        <v>44621.0</v>
      </c>
      <c r="EX79" s="139">
        <v>44652.0</v>
      </c>
      <c r="EY79" s="139">
        <v>44682.0</v>
      </c>
      <c r="EZ79" s="139">
        <v>44713.0</v>
      </c>
      <c r="FA79" s="139">
        <v>44743.0</v>
      </c>
      <c r="FB79" s="139">
        <v>44774.0</v>
      </c>
      <c r="FC79" s="139">
        <v>44805.0</v>
      </c>
      <c r="FD79" s="139">
        <v>44835.0</v>
      </c>
      <c r="FE79" s="139">
        <v>44866.0</v>
      </c>
      <c r="FF79" s="139">
        <v>44896.0</v>
      </c>
      <c r="FG79" s="139">
        <v>44927.0</v>
      </c>
      <c r="FH79" s="139">
        <v>44958.0</v>
      </c>
      <c r="FI79" s="139">
        <v>44986.0</v>
      </c>
      <c r="FJ79" s="139">
        <v>45017.0</v>
      </c>
      <c r="FK79" s="139">
        <v>45047.0</v>
      </c>
      <c r="FL79" s="139">
        <v>45078.0</v>
      </c>
      <c r="FM79" s="139">
        <v>45108.0</v>
      </c>
      <c r="FN79" s="139">
        <v>45139.0</v>
      </c>
      <c r="FO79" s="139">
        <v>45170.0</v>
      </c>
      <c r="FP79" s="139">
        <v>45200.0</v>
      </c>
      <c r="FQ79" s="139">
        <v>45231.0</v>
      </c>
      <c r="FR79" s="139">
        <v>45261.0</v>
      </c>
      <c r="FS79" s="139">
        <v>45292.0</v>
      </c>
      <c r="FT79" s="139">
        <v>45323.0</v>
      </c>
      <c r="FU79" s="139">
        <v>45352.0</v>
      </c>
      <c r="FV79" s="139">
        <v>45383.0</v>
      </c>
      <c r="FW79" s="139">
        <v>45413.0</v>
      </c>
      <c r="FX79" s="139">
        <v>45444.0</v>
      </c>
      <c r="FY79" s="139">
        <v>45474.0</v>
      </c>
      <c r="FZ79" s="139">
        <v>45505.0</v>
      </c>
      <c r="GA79" s="139">
        <v>45536.0</v>
      </c>
      <c r="GB79" s="139">
        <v>45566.0</v>
      </c>
      <c r="GC79" s="139">
        <v>45597.0</v>
      </c>
      <c r="GD79" s="139">
        <v>45627.0</v>
      </c>
      <c r="GE79" s="139">
        <v>45658.0</v>
      </c>
      <c r="GF79" s="139">
        <v>45689.0</v>
      </c>
      <c r="GG79" s="139">
        <v>45717.0</v>
      </c>
      <c r="GH79" s="139">
        <v>45748.0</v>
      </c>
      <c r="GI79" s="139">
        <v>45778.0</v>
      </c>
      <c r="GJ79" s="139">
        <v>45809.0</v>
      </c>
      <c r="GK79" s="139">
        <v>45839.0</v>
      </c>
    </row>
    <row r="80">
      <c r="A80" s="132" t="s">
        <v>34048</v>
      </c>
      <c r="B80" s="133" t="s">
        <v>1160</v>
      </c>
      <c r="C80" s="134">
        <v>43454.53443287037</v>
      </c>
      <c r="D80" s="135" t="str">
        <f t="shared" si="1"/>
        <v>2018/12/20</v>
      </c>
      <c r="E80" s="136" t="s">
        <v>33949</v>
      </c>
      <c r="F80" s="137">
        <v>0.0</v>
      </c>
      <c r="G80" s="138">
        <v>40179.0</v>
      </c>
      <c r="H80" s="138">
        <v>40210.0</v>
      </c>
      <c r="I80" s="138">
        <v>40238.0</v>
      </c>
      <c r="J80" s="138">
        <v>40269.0</v>
      </c>
      <c r="K80" s="138">
        <v>40299.0</v>
      </c>
      <c r="L80" s="138">
        <v>40330.0</v>
      </c>
      <c r="M80" s="138">
        <v>40360.0</v>
      </c>
      <c r="N80" s="138">
        <v>40391.0</v>
      </c>
      <c r="O80" s="138">
        <v>40422.0</v>
      </c>
      <c r="P80" s="138">
        <v>40452.0</v>
      </c>
      <c r="Q80" s="138">
        <v>40483.0</v>
      </c>
      <c r="R80" s="138">
        <v>40513.0</v>
      </c>
      <c r="S80" s="138">
        <v>40544.0</v>
      </c>
      <c r="T80" s="138">
        <v>40575.0</v>
      </c>
      <c r="U80" s="138">
        <v>40603.0</v>
      </c>
      <c r="V80" s="138">
        <v>40634.0</v>
      </c>
      <c r="W80" s="138">
        <v>40664.0</v>
      </c>
      <c r="X80" s="138">
        <v>40695.0</v>
      </c>
      <c r="Y80" s="138">
        <v>40725.0</v>
      </c>
      <c r="Z80" s="138">
        <v>40756.0</v>
      </c>
      <c r="AA80" s="138">
        <v>40787.0</v>
      </c>
      <c r="AB80" s="138">
        <v>40817.0</v>
      </c>
      <c r="AC80" s="138">
        <v>40848.0</v>
      </c>
      <c r="AD80" s="138">
        <v>40878.0</v>
      </c>
      <c r="AE80" s="138">
        <v>40909.0</v>
      </c>
      <c r="AF80" s="138">
        <v>40940.0</v>
      </c>
      <c r="AG80" s="138">
        <v>40969.0</v>
      </c>
      <c r="AH80" s="138">
        <v>41000.0</v>
      </c>
      <c r="AI80" s="138">
        <v>41030.0</v>
      </c>
      <c r="AJ80" s="138">
        <v>41061.0</v>
      </c>
      <c r="AK80" s="138">
        <v>41091.0</v>
      </c>
      <c r="AL80" s="138">
        <v>41122.0</v>
      </c>
      <c r="AM80" s="138">
        <v>41153.0</v>
      </c>
      <c r="AN80" s="138">
        <v>41183.0</v>
      </c>
      <c r="AO80" s="138">
        <v>41214.0</v>
      </c>
      <c r="AP80" s="138">
        <v>41244.0</v>
      </c>
      <c r="AQ80" s="138">
        <v>41275.0</v>
      </c>
      <c r="AR80" s="138">
        <v>41306.0</v>
      </c>
      <c r="AS80" s="138">
        <v>41334.0</v>
      </c>
      <c r="AT80" s="138">
        <v>41365.0</v>
      </c>
      <c r="AU80" s="138">
        <v>41395.0</v>
      </c>
      <c r="AV80" s="138">
        <v>41426.0</v>
      </c>
      <c r="AW80" s="138">
        <v>41456.0</v>
      </c>
      <c r="AX80" s="138">
        <v>41487.0</v>
      </c>
      <c r="AY80" s="138">
        <v>41518.0</v>
      </c>
      <c r="AZ80" s="138">
        <v>41548.0</v>
      </c>
      <c r="BA80" s="138">
        <v>41579.0</v>
      </c>
      <c r="BB80" s="138">
        <v>41609.0</v>
      </c>
      <c r="BC80" s="138">
        <v>41640.0</v>
      </c>
      <c r="BD80" s="138">
        <v>41671.0</v>
      </c>
      <c r="BE80" s="138">
        <v>41699.0</v>
      </c>
      <c r="BF80" s="138">
        <v>41730.0</v>
      </c>
      <c r="BG80" s="138">
        <v>41760.0</v>
      </c>
      <c r="BH80" s="138">
        <v>41791.0</v>
      </c>
      <c r="BI80" s="138">
        <v>41821.0</v>
      </c>
      <c r="BJ80" s="138">
        <v>41852.0</v>
      </c>
      <c r="BK80" s="138">
        <v>41883.0</v>
      </c>
      <c r="BL80" s="138">
        <v>41913.0</v>
      </c>
      <c r="BM80" s="138">
        <v>41944.0</v>
      </c>
      <c r="BN80" s="138">
        <v>41974.0</v>
      </c>
      <c r="BO80" s="138">
        <v>42005.0</v>
      </c>
      <c r="BP80" s="138">
        <v>42036.0</v>
      </c>
      <c r="BQ80" s="138">
        <v>42064.0</v>
      </c>
      <c r="BR80" s="138">
        <v>42095.0</v>
      </c>
      <c r="BS80" s="138">
        <v>42125.0</v>
      </c>
      <c r="BT80" s="138">
        <v>42156.0</v>
      </c>
      <c r="BU80" s="138">
        <v>42186.0</v>
      </c>
      <c r="BV80" s="138">
        <v>42217.0</v>
      </c>
      <c r="BW80" s="138">
        <v>42248.0</v>
      </c>
      <c r="BX80" s="138">
        <v>42278.0</v>
      </c>
      <c r="BY80" s="138">
        <v>42309.0</v>
      </c>
      <c r="BZ80" s="138">
        <v>42339.0</v>
      </c>
      <c r="CA80" s="138">
        <v>42370.0</v>
      </c>
      <c r="CB80" s="138">
        <v>42401.0</v>
      </c>
      <c r="CC80" s="138">
        <v>42430.0</v>
      </c>
      <c r="CD80" s="138">
        <v>42461.0</v>
      </c>
      <c r="CE80" s="138">
        <v>42491.0</v>
      </c>
      <c r="CF80" s="138">
        <v>42522.0</v>
      </c>
      <c r="CG80" s="138">
        <v>42552.0</v>
      </c>
      <c r="CH80" s="138">
        <v>42583.0</v>
      </c>
      <c r="CI80" s="138">
        <v>42614.0</v>
      </c>
      <c r="CJ80" s="138">
        <v>42644.0</v>
      </c>
      <c r="CK80" s="138">
        <v>42675.0</v>
      </c>
      <c r="CL80" s="138">
        <v>42705.0</v>
      </c>
      <c r="CM80" s="138">
        <v>42736.0</v>
      </c>
      <c r="CN80" s="138">
        <v>42767.0</v>
      </c>
      <c r="CO80" s="138">
        <v>42795.0</v>
      </c>
      <c r="CP80" s="138">
        <v>42826.0</v>
      </c>
      <c r="CQ80" s="138">
        <v>42856.0</v>
      </c>
      <c r="CR80" s="138">
        <v>42887.0</v>
      </c>
      <c r="CS80" s="138">
        <v>42917.0</v>
      </c>
      <c r="CT80" s="138">
        <v>42948.0</v>
      </c>
      <c r="CU80" s="138">
        <v>42979.0</v>
      </c>
      <c r="CV80" s="138">
        <v>43009.0</v>
      </c>
      <c r="CW80" s="138">
        <v>43040.0</v>
      </c>
      <c r="CX80" s="138">
        <v>43070.0</v>
      </c>
      <c r="CY80" s="138">
        <v>43101.0</v>
      </c>
      <c r="CZ80" s="138">
        <v>43132.0</v>
      </c>
      <c r="DA80" s="138">
        <v>43160.0</v>
      </c>
      <c r="DB80" s="138">
        <v>43191.0</v>
      </c>
      <c r="DC80" s="138">
        <v>43221.0</v>
      </c>
      <c r="DD80" s="138">
        <v>43252.0</v>
      </c>
      <c r="DE80" s="138">
        <v>43282.0</v>
      </c>
      <c r="DF80" s="138">
        <v>43313.0</v>
      </c>
      <c r="DG80" s="138">
        <v>43344.0</v>
      </c>
      <c r="DH80" s="138">
        <v>43374.0</v>
      </c>
      <c r="DI80" s="138">
        <v>43405.0</v>
      </c>
      <c r="DJ80" s="138">
        <v>43435.0</v>
      </c>
      <c r="DK80" s="139">
        <v>43466.0</v>
      </c>
      <c r="DL80" s="139">
        <v>43497.0</v>
      </c>
      <c r="DM80" s="139">
        <v>43525.0</v>
      </c>
      <c r="DN80" s="139">
        <v>43556.0</v>
      </c>
      <c r="DO80" s="139">
        <v>43586.0</v>
      </c>
      <c r="DP80" s="139">
        <v>43617.0</v>
      </c>
      <c r="DQ80" s="139">
        <v>43647.0</v>
      </c>
      <c r="DR80" s="139">
        <v>43678.0</v>
      </c>
      <c r="DS80" s="139">
        <v>43709.0</v>
      </c>
      <c r="DT80" s="139">
        <v>43739.0</v>
      </c>
      <c r="DU80" s="139">
        <v>43770.0</v>
      </c>
      <c r="DV80" s="139">
        <v>43800.0</v>
      </c>
      <c r="DW80" s="139">
        <v>43831.0</v>
      </c>
      <c r="DX80" s="139">
        <v>43862.0</v>
      </c>
      <c r="DY80" s="139">
        <v>43891.0</v>
      </c>
      <c r="DZ80" s="139">
        <v>43922.0</v>
      </c>
      <c r="EA80" s="139">
        <v>43952.0</v>
      </c>
      <c r="EB80" s="139">
        <v>43983.0</v>
      </c>
      <c r="EC80" s="139">
        <v>44013.0</v>
      </c>
      <c r="ED80" s="139">
        <v>44044.0</v>
      </c>
      <c r="EE80" s="139">
        <v>44075.0</v>
      </c>
      <c r="EF80" s="139">
        <v>44105.0</v>
      </c>
      <c r="EG80" s="139">
        <v>44136.0</v>
      </c>
      <c r="EH80" s="139">
        <v>44166.0</v>
      </c>
      <c r="EI80" s="139">
        <v>44197.0</v>
      </c>
      <c r="EJ80" s="139">
        <v>44228.0</v>
      </c>
      <c r="EK80" s="139">
        <v>44256.0</v>
      </c>
      <c r="EL80" s="139">
        <v>44287.0</v>
      </c>
      <c r="EM80" s="139">
        <v>44317.0</v>
      </c>
      <c r="EN80" s="139">
        <v>44348.0</v>
      </c>
      <c r="EO80" s="139">
        <v>44378.0</v>
      </c>
      <c r="EP80" s="139">
        <v>44409.0</v>
      </c>
      <c r="EQ80" s="139">
        <v>44440.0</v>
      </c>
      <c r="ER80" s="139">
        <v>44470.0</v>
      </c>
      <c r="ES80" s="139">
        <v>44501.0</v>
      </c>
      <c r="ET80" s="139">
        <v>44531.0</v>
      </c>
      <c r="EU80" s="139">
        <v>44562.0</v>
      </c>
      <c r="EV80" s="139">
        <v>44593.0</v>
      </c>
      <c r="EW80" s="139">
        <v>44621.0</v>
      </c>
      <c r="EX80" s="139">
        <v>44652.0</v>
      </c>
      <c r="EY80" s="139">
        <v>44682.0</v>
      </c>
      <c r="EZ80" s="139">
        <v>44713.0</v>
      </c>
      <c r="FA80" s="139">
        <v>44743.0</v>
      </c>
      <c r="FB80" s="139">
        <v>44774.0</v>
      </c>
      <c r="FC80" s="139">
        <v>44805.0</v>
      </c>
      <c r="FD80" s="139">
        <v>44835.0</v>
      </c>
      <c r="FE80" s="139">
        <v>44866.0</v>
      </c>
      <c r="FF80" s="139">
        <v>44896.0</v>
      </c>
      <c r="FG80" s="139">
        <v>44927.0</v>
      </c>
      <c r="FH80" s="139">
        <v>44958.0</v>
      </c>
      <c r="FI80" s="139">
        <v>44986.0</v>
      </c>
      <c r="FJ80" s="139">
        <v>45017.0</v>
      </c>
      <c r="FK80" s="139">
        <v>45047.0</v>
      </c>
      <c r="FL80" s="139">
        <v>45078.0</v>
      </c>
      <c r="FM80" s="139">
        <v>45108.0</v>
      </c>
      <c r="FN80" s="139">
        <v>45139.0</v>
      </c>
      <c r="FO80" s="139">
        <v>45170.0</v>
      </c>
      <c r="FP80" s="139">
        <v>45200.0</v>
      </c>
      <c r="FQ80" s="139">
        <v>45231.0</v>
      </c>
      <c r="FR80" s="139">
        <v>45261.0</v>
      </c>
      <c r="FS80" s="139">
        <v>45292.0</v>
      </c>
      <c r="FT80" s="139">
        <v>45323.0</v>
      </c>
      <c r="FU80" s="139">
        <v>45352.0</v>
      </c>
      <c r="FV80" s="139">
        <v>45383.0</v>
      </c>
      <c r="FW80" s="139">
        <v>45413.0</v>
      </c>
      <c r="FX80" s="139">
        <v>45444.0</v>
      </c>
      <c r="FY80" s="139">
        <v>45474.0</v>
      </c>
      <c r="FZ80" s="139">
        <v>45505.0</v>
      </c>
      <c r="GA80" s="139">
        <v>45536.0</v>
      </c>
      <c r="GB80" s="139">
        <v>45566.0</v>
      </c>
      <c r="GC80" s="139">
        <v>45597.0</v>
      </c>
      <c r="GD80" s="139">
        <v>45627.0</v>
      </c>
      <c r="GE80" s="139">
        <v>45658.0</v>
      </c>
      <c r="GF80" s="139">
        <v>45689.0</v>
      </c>
      <c r="GG80" s="139">
        <v>45717.0</v>
      </c>
      <c r="GH80" s="139">
        <v>45748.0</v>
      </c>
      <c r="GI80" s="139">
        <v>45778.0</v>
      </c>
      <c r="GJ80" s="139">
        <v>45809.0</v>
      </c>
      <c r="GK80" s="139">
        <v>45839.0</v>
      </c>
    </row>
    <row r="81">
      <c r="A81" s="132" t="s">
        <v>34049</v>
      </c>
      <c r="B81" s="133" t="s">
        <v>104</v>
      </c>
      <c r="C81" s="134">
        <v>43454.707708333335</v>
      </c>
      <c r="D81" s="135" t="str">
        <f t="shared" si="1"/>
        <v>2018/12/20</v>
      </c>
      <c r="E81" s="136" t="s">
        <v>34050</v>
      </c>
      <c r="F81" s="137">
        <v>5.3E-4</v>
      </c>
      <c r="G81" s="138">
        <v>40179.0</v>
      </c>
      <c r="H81" s="138">
        <v>40210.0</v>
      </c>
      <c r="I81" s="138">
        <v>40238.0</v>
      </c>
      <c r="J81" s="138">
        <v>40269.0</v>
      </c>
      <c r="K81" s="138">
        <v>40299.0</v>
      </c>
      <c r="L81" s="138">
        <v>40330.0</v>
      </c>
      <c r="M81" s="138">
        <v>40360.0</v>
      </c>
      <c r="N81" s="138">
        <v>40391.0</v>
      </c>
      <c r="O81" s="138">
        <v>40422.0</v>
      </c>
      <c r="P81" s="138">
        <v>40452.0</v>
      </c>
      <c r="Q81" s="138">
        <v>40483.0</v>
      </c>
      <c r="R81" s="138">
        <v>40513.0</v>
      </c>
      <c r="S81" s="138">
        <v>40544.0</v>
      </c>
      <c r="T81" s="138">
        <v>40575.0</v>
      </c>
      <c r="U81" s="138">
        <v>40603.0</v>
      </c>
      <c r="V81" s="138">
        <v>40634.0</v>
      </c>
      <c r="W81" s="138">
        <v>40664.0</v>
      </c>
      <c r="X81" s="138">
        <v>40695.0</v>
      </c>
      <c r="Y81" s="138">
        <v>40725.0</v>
      </c>
      <c r="Z81" s="138">
        <v>40756.0</v>
      </c>
      <c r="AA81" s="138">
        <v>40787.0</v>
      </c>
      <c r="AB81" s="138">
        <v>40817.0</v>
      </c>
      <c r="AC81" s="138">
        <v>40848.0</v>
      </c>
      <c r="AD81" s="138">
        <v>40878.0</v>
      </c>
      <c r="AE81" s="138">
        <v>40909.0</v>
      </c>
      <c r="AF81" s="138">
        <v>40940.0</v>
      </c>
      <c r="AG81" s="138">
        <v>40969.0</v>
      </c>
      <c r="AH81" s="138">
        <v>41000.0</v>
      </c>
      <c r="AI81" s="138">
        <v>41030.0</v>
      </c>
      <c r="AJ81" s="138">
        <v>41061.0</v>
      </c>
      <c r="AK81" s="138">
        <v>41091.0</v>
      </c>
      <c r="AL81" s="138">
        <v>41122.0</v>
      </c>
      <c r="AM81" s="138">
        <v>41153.0</v>
      </c>
      <c r="AN81" s="138">
        <v>41183.0</v>
      </c>
      <c r="AO81" s="138">
        <v>41214.0</v>
      </c>
      <c r="AP81" s="138">
        <v>41244.0</v>
      </c>
      <c r="AQ81" s="138">
        <v>41275.0</v>
      </c>
      <c r="AR81" s="138">
        <v>41306.0</v>
      </c>
      <c r="AS81" s="138">
        <v>41334.0</v>
      </c>
      <c r="AT81" s="138">
        <v>41365.0</v>
      </c>
      <c r="AU81" s="138">
        <v>41395.0</v>
      </c>
      <c r="AV81" s="138">
        <v>41426.0</v>
      </c>
      <c r="AW81" s="138">
        <v>41456.0</v>
      </c>
      <c r="AX81" s="138">
        <v>41487.0</v>
      </c>
      <c r="AY81" s="138">
        <v>41518.0</v>
      </c>
      <c r="AZ81" s="138">
        <v>41548.0</v>
      </c>
      <c r="BA81" s="138">
        <v>41579.0</v>
      </c>
      <c r="BB81" s="138">
        <v>41609.0</v>
      </c>
      <c r="BC81" s="138">
        <v>41640.0</v>
      </c>
      <c r="BD81" s="138">
        <v>41671.0</v>
      </c>
      <c r="BE81" s="138">
        <v>41699.0</v>
      </c>
      <c r="BF81" s="138">
        <v>41730.0</v>
      </c>
      <c r="BG81" s="138">
        <v>41760.0</v>
      </c>
      <c r="BH81" s="138">
        <v>41791.0</v>
      </c>
      <c r="BI81" s="138">
        <v>41821.0</v>
      </c>
      <c r="BJ81" s="138">
        <v>41852.0</v>
      </c>
      <c r="BK81" s="138">
        <v>41883.0</v>
      </c>
      <c r="BL81" s="138">
        <v>41913.0</v>
      </c>
      <c r="BM81" s="138">
        <v>41944.0</v>
      </c>
      <c r="BN81" s="138">
        <v>41974.0</v>
      </c>
      <c r="BO81" s="138">
        <v>42005.0</v>
      </c>
      <c r="BP81" s="138">
        <v>42036.0</v>
      </c>
      <c r="BQ81" s="138">
        <v>42064.0</v>
      </c>
      <c r="BR81" s="138">
        <v>42095.0</v>
      </c>
      <c r="BS81" s="138">
        <v>42125.0</v>
      </c>
      <c r="BT81" s="138">
        <v>42156.0</v>
      </c>
      <c r="BU81" s="138">
        <v>42186.0</v>
      </c>
      <c r="BV81" s="138">
        <v>42217.0</v>
      </c>
      <c r="BW81" s="138">
        <v>42248.0</v>
      </c>
      <c r="BX81" s="138">
        <v>42278.0</v>
      </c>
      <c r="BY81" s="138">
        <v>42309.0</v>
      </c>
      <c r="BZ81" s="138">
        <v>42339.0</v>
      </c>
      <c r="CA81" s="138">
        <v>42370.0</v>
      </c>
      <c r="CB81" s="138">
        <v>42401.0</v>
      </c>
      <c r="CC81" s="138">
        <v>42430.0</v>
      </c>
      <c r="CD81" s="138">
        <v>42461.0</v>
      </c>
      <c r="CE81" s="138">
        <v>42491.0</v>
      </c>
      <c r="CF81" s="138">
        <v>42522.0</v>
      </c>
      <c r="CG81" s="138">
        <v>42552.0</v>
      </c>
      <c r="CH81" s="138">
        <v>42583.0</v>
      </c>
      <c r="CI81" s="138">
        <v>42614.0</v>
      </c>
      <c r="CJ81" s="138">
        <v>42644.0</v>
      </c>
      <c r="CK81" s="138">
        <v>42675.0</v>
      </c>
      <c r="CL81" s="138">
        <v>42705.0</v>
      </c>
      <c r="CM81" s="138">
        <v>42736.0</v>
      </c>
      <c r="CN81" s="138">
        <v>42767.0</v>
      </c>
      <c r="CO81" s="138">
        <v>42795.0</v>
      </c>
      <c r="CP81" s="138">
        <v>42826.0</v>
      </c>
      <c r="CQ81" s="138">
        <v>42856.0</v>
      </c>
      <c r="CR81" s="138">
        <v>42887.0</v>
      </c>
      <c r="CS81" s="138">
        <v>42917.0</v>
      </c>
      <c r="CT81" s="138">
        <v>42948.0</v>
      </c>
      <c r="CU81" s="138">
        <v>42979.0</v>
      </c>
      <c r="CV81" s="138">
        <v>43009.0</v>
      </c>
      <c r="CW81" s="138">
        <v>43040.0</v>
      </c>
      <c r="CX81" s="138">
        <v>43070.0</v>
      </c>
      <c r="CY81" s="138">
        <v>43101.0</v>
      </c>
      <c r="CZ81" s="138">
        <v>43132.0</v>
      </c>
      <c r="DA81" s="138">
        <v>43160.0</v>
      </c>
      <c r="DB81" s="138">
        <v>43191.0</v>
      </c>
      <c r="DC81" s="138">
        <v>43221.0</v>
      </c>
      <c r="DD81" s="138">
        <v>43252.0</v>
      </c>
      <c r="DE81" s="138">
        <v>43282.0</v>
      </c>
      <c r="DF81" s="138">
        <v>43313.0</v>
      </c>
      <c r="DG81" s="138">
        <v>43344.0</v>
      </c>
      <c r="DH81" s="138">
        <v>43374.0</v>
      </c>
      <c r="DI81" s="138">
        <v>43405.0</v>
      </c>
      <c r="DJ81" s="138">
        <v>43435.0</v>
      </c>
      <c r="DK81" s="139">
        <v>43466.0</v>
      </c>
      <c r="DL81" s="139">
        <v>43497.0</v>
      </c>
      <c r="DM81" s="139">
        <v>43525.0</v>
      </c>
      <c r="DN81" s="139">
        <v>43556.0</v>
      </c>
      <c r="DO81" s="139">
        <v>43586.0</v>
      </c>
      <c r="DP81" s="139">
        <v>43617.0</v>
      </c>
      <c r="DQ81" s="139">
        <v>43647.0</v>
      </c>
      <c r="DR81" s="139">
        <v>43678.0</v>
      </c>
      <c r="DS81" s="139">
        <v>43709.0</v>
      </c>
      <c r="DT81" s="139">
        <v>43739.0</v>
      </c>
      <c r="DU81" s="139">
        <v>43770.0</v>
      </c>
      <c r="DV81" s="139">
        <v>43800.0</v>
      </c>
      <c r="DW81" s="139">
        <v>43831.0</v>
      </c>
      <c r="DX81" s="139">
        <v>43862.0</v>
      </c>
      <c r="DY81" s="139">
        <v>43891.0</v>
      </c>
      <c r="DZ81" s="139">
        <v>43922.0</v>
      </c>
      <c r="EA81" s="139">
        <v>43952.0</v>
      </c>
      <c r="EB81" s="139">
        <v>43983.0</v>
      </c>
      <c r="EC81" s="139">
        <v>44013.0</v>
      </c>
      <c r="ED81" s="139">
        <v>44044.0</v>
      </c>
      <c r="EE81" s="139">
        <v>44075.0</v>
      </c>
      <c r="EF81" s="139">
        <v>44105.0</v>
      </c>
      <c r="EG81" s="139">
        <v>44136.0</v>
      </c>
      <c r="EH81" s="139">
        <v>44166.0</v>
      </c>
      <c r="EI81" s="139">
        <v>44197.0</v>
      </c>
      <c r="EJ81" s="139">
        <v>44228.0</v>
      </c>
      <c r="EK81" s="139">
        <v>44256.0</v>
      </c>
      <c r="EL81" s="139">
        <v>44287.0</v>
      </c>
      <c r="EM81" s="139">
        <v>44317.0</v>
      </c>
      <c r="EN81" s="139">
        <v>44348.0</v>
      </c>
      <c r="EO81" s="139">
        <v>44378.0</v>
      </c>
      <c r="EP81" s="139">
        <v>44409.0</v>
      </c>
      <c r="EQ81" s="139">
        <v>44440.0</v>
      </c>
      <c r="ER81" s="139">
        <v>44470.0</v>
      </c>
      <c r="ES81" s="139">
        <v>44501.0</v>
      </c>
      <c r="ET81" s="139">
        <v>44531.0</v>
      </c>
      <c r="EU81" s="139">
        <v>44562.0</v>
      </c>
      <c r="EV81" s="139">
        <v>44593.0</v>
      </c>
      <c r="EW81" s="139">
        <v>44621.0</v>
      </c>
      <c r="EX81" s="139">
        <v>44652.0</v>
      </c>
      <c r="EY81" s="139">
        <v>44682.0</v>
      </c>
      <c r="EZ81" s="139">
        <v>44713.0</v>
      </c>
      <c r="FA81" s="139">
        <v>44743.0</v>
      </c>
      <c r="FB81" s="139">
        <v>44774.0</v>
      </c>
      <c r="FC81" s="139">
        <v>44805.0</v>
      </c>
      <c r="FD81" s="139">
        <v>44835.0</v>
      </c>
      <c r="FE81" s="139">
        <v>44866.0</v>
      </c>
      <c r="FF81" s="139">
        <v>44896.0</v>
      </c>
      <c r="FG81" s="139">
        <v>44927.0</v>
      </c>
      <c r="FH81" s="139">
        <v>44958.0</v>
      </c>
      <c r="FI81" s="139">
        <v>44986.0</v>
      </c>
      <c r="FJ81" s="139">
        <v>45017.0</v>
      </c>
      <c r="FK81" s="139">
        <v>45047.0</v>
      </c>
      <c r="FL81" s="139">
        <v>45078.0</v>
      </c>
      <c r="FM81" s="139">
        <v>45108.0</v>
      </c>
      <c r="FN81" s="139">
        <v>45139.0</v>
      </c>
      <c r="FO81" s="139">
        <v>45170.0</v>
      </c>
      <c r="FP81" s="139">
        <v>45200.0</v>
      </c>
      <c r="FQ81" s="139">
        <v>45231.0</v>
      </c>
      <c r="FR81" s="139">
        <v>45261.0</v>
      </c>
      <c r="FS81" s="139">
        <v>45292.0</v>
      </c>
      <c r="FT81" s="139">
        <v>45323.0</v>
      </c>
      <c r="FU81" s="139">
        <v>45352.0</v>
      </c>
      <c r="FV81" s="139">
        <v>45383.0</v>
      </c>
      <c r="FW81" s="139">
        <v>45413.0</v>
      </c>
      <c r="FX81" s="139">
        <v>45444.0</v>
      </c>
      <c r="FY81" s="139">
        <v>45474.0</v>
      </c>
      <c r="FZ81" s="139">
        <v>45505.0</v>
      </c>
      <c r="GA81" s="139">
        <v>45536.0</v>
      </c>
      <c r="GB81" s="139">
        <v>45566.0</v>
      </c>
      <c r="GC81" s="139">
        <v>45597.0</v>
      </c>
      <c r="GD81" s="139">
        <v>45627.0</v>
      </c>
      <c r="GE81" s="139">
        <v>45658.0</v>
      </c>
      <c r="GF81" s="139">
        <v>45689.0</v>
      </c>
      <c r="GG81" s="139">
        <v>45717.0</v>
      </c>
      <c r="GH81" s="139">
        <v>45748.0</v>
      </c>
      <c r="GI81" s="139">
        <v>45778.0</v>
      </c>
      <c r="GJ81" s="139">
        <v>45809.0</v>
      </c>
      <c r="GK81" s="139">
        <v>45839.0</v>
      </c>
    </row>
    <row r="82">
      <c r="A82" s="132" t="s">
        <v>34051</v>
      </c>
      <c r="B82" s="133" t="s">
        <v>1109</v>
      </c>
      <c r="C82" s="134">
        <v>43460.61546296296</v>
      </c>
      <c r="D82" s="135" t="str">
        <f t="shared" si="1"/>
        <v>2018/12/26</v>
      </c>
      <c r="E82" s="136" t="s">
        <v>34052</v>
      </c>
      <c r="F82" s="137">
        <v>8.0E-5</v>
      </c>
      <c r="G82" s="138">
        <v>40179.0</v>
      </c>
      <c r="H82" s="138">
        <v>40210.0</v>
      </c>
      <c r="I82" s="138">
        <v>40238.0</v>
      </c>
      <c r="J82" s="138">
        <v>40269.0</v>
      </c>
      <c r="K82" s="138">
        <v>40299.0</v>
      </c>
      <c r="L82" s="138">
        <v>40330.0</v>
      </c>
      <c r="M82" s="138">
        <v>40360.0</v>
      </c>
      <c r="N82" s="138">
        <v>40391.0</v>
      </c>
      <c r="O82" s="138">
        <v>40422.0</v>
      </c>
      <c r="P82" s="138">
        <v>40452.0</v>
      </c>
      <c r="Q82" s="138">
        <v>40483.0</v>
      </c>
      <c r="R82" s="138">
        <v>40513.0</v>
      </c>
      <c r="S82" s="138">
        <v>40544.0</v>
      </c>
      <c r="T82" s="138">
        <v>40575.0</v>
      </c>
      <c r="U82" s="138">
        <v>40603.0</v>
      </c>
      <c r="V82" s="138">
        <v>40634.0</v>
      </c>
      <c r="W82" s="138">
        <v>40664.0</v>
      </c>
      <c r="X82" s="138">
        <v>40695.0</v>
      </c>
      <c r="Y82" s="138">
        <v>40725.0</v>
      </c>
      <c r="Z82" s="138">
        <v>40756.0</v>
      </c>
      <c r="AA82" s="138">
        <v>40787.0</v>
      </c>
      <c r="AB82" s="138">
        <v>40817.0</v>
      </c>
      <c r="AC82" s="138">
        <v>40848.0</v>
      </c>
      <c r="AD82" s="138">
        <v>40878.0</v>
      </c>
      <c r="AE82" s="138">
        <v>40909.0</v>
      </c>
      <c r="AF82" s="138">
        <v>40940.0</v>
      </c>
      <c r="AG82" s="138">
        <v>40969.0</v>
      </c>
      <c r="AH82" s="138">
        <v>41000.0</v>
      </c>
      <c r="AI82" s="138">
        <v>41030.0</v>
      </c>
      <c r="AJ82" s="138">
        <v>41061.0</v>
      </c>
      <c r="AK82" s="138">
        <v>41091.0</v>
      </c>
      <c r="AL82" s="138">
        <v>41122.0</v>
      </c>
      <c r="AM82" s="138">
        <v>41153.0</v>
      </c>
      <c r="AN82" s="138">
        <v>41183.0</v>
      </c>
      <c r="AO82" s="138">
        <v>41214.0</v>
      </c>
      <c r="AP82" s="138">
        <v>41244.0</v>
      </c>
      <c r="AQ82" s="138">
        <v>41275.0</v>
      </c>
      <c r="AR82" s="138">
        <v>41306.0</v>
      </c>
      <c r="AS82" s="138">
        <v>41334.0</v>
      </c>
      <c r="AT82" s="138">
        <v>41365.0</v>
      </c>
      <c r="AU82" s="138">
        <v>41395.0</v>
      </c>
      <c r="AV82" s="138">
        <v>41426.0</v>
      </c>
      <c r="AW82" s="138">
        <v>41456.0</v>
      </c>
      <c r="AX82" s="138">
        <v>41487.0</v>
      </c>
      <c r="AY82" s="138">
        <v>41518.0</v>
      </c>
      <c r="AZ82" s="138">
        <v>41548.0</v>
      </c>
      <c r="BA82" s="138">
        <v>41579.0</v>
      </c>
      <c r="BB82" s="138">
        <v>41609.0</v>
      </c>
      <c r="BC82" s="138">
        <v>41640.0</v>
      </c>
      <c r="BD82" s="138">
        <v>41671.0</v>
      </c>
      <c r="BE82" s="138">
        <v>41699.0</v>
      </c>
      <c r="BF82" s="138">
        <v>41730.0</v>
      </c>
      <c r="BG82" s="138">
        <v>41760.0</v>
      </c>
      <c r="BH82" s="138">
        <v>41791.0</v>
      </c>
      <c r="BI82" s="138">
        <v>41821.0</v>
      </c>
      <c r="BJ82" s="138">
        <v>41852.0</v>
      </c>
      <c r="BK82" s="138">
        <v>41883.0</v>
      </c>
      <c r="BL82" s="138">
        <v>41913.0</v>
      </c>
      <c r="BM82" s="138">
        <v>41944.0</v>
      </c>
      <c r="BN82" s="138">
        <v>41974.0</v>
      </c>
      <c r="BO82" s="138">
        <v>42005.0</v>
      </c>
      <c r="BP82" s="138">
        <v>42036.0</v>
      </c>
      <c r="BQ82" s="138">
        <v>42064.0</v>
      </c>
      <c r="BR82" s="138">
        <v>42095.0</v>
      </c>
      <c r="BS82" s="138">
        <v>42125.0</v>
      </c>
      <c r="BT82" s="138">
        <v>42156.0</v>
      </c>
      <c r="BU82" s="138">
        <v>42186.0</v>
      </c>
      <c r="BV82" s="138">
        <v>42217.0</v>
      </c>
      <c r="BW82" s="138">
        <v>42248.0</v>
      </c>
      <c r="BX82" s="138">
        <v>42278.0</v>
      </c>
      <c r="BY82" s="138">
        <v>42309.0</v>
      </c>
      <c r="BZ82" s="138">
        <v>42339.0</v>
      </c>
      <c r="CA82" s="138">
        <v>42370.0</v>
      </c>
      <c r="CB82" s="138">
        <v>42401.0</v>
      </c>
      <c r="CC82" s="138">
        <v>42430.0</v>
      </c>
      <c r="CD82" s="138">
        <v>42461.0</v>
      </c>
      <c r="CE82" s="138">
        <v>42491.0</v>
      </c>
      <c r="CF82" s="138">
        <v>42522.0</v>
      </c>
      <c r="CG82" s="138">
        <v>42552.0</v>
      </c>
      <c r="CH82" s="138">
        <v>42583.0</v>
      </c>
      <c r="CI82" s="138">
        <v>42614.0</v>
      </c>
      <c r="CJ82" s="138">
        <v>42644.0</v>
      </c>
      <c r="CK82" s="138">
        <v>42675.0</v>
      </c>
      <c r="CL82" s="138">
        <v>42705.0</v>
      </c>
      <c r="CM82" s="138">
        <v>42736.0</v>
      </c>
      <c r="CN82" s="138">
        <v>42767.0</v>
      </c>
      <c r="CO82" s="138">
        <v>42795.0</v>
      </c>
      <c r="CP82" s="138">
        <v>42826.0</v>
      </c>
      <c r="CQ82" s="138">
        <v>42856.0</v>
      </c>
      <c r="CR82" s="138">
        <v>42887.0</v>
      </c>
      <c r="CS82" s="138">
        <v>42917.0</v>
      </c>
      <c r="CT82" s="138">
        <v>42948.0</v>
      </c>
      <c r="CU82" s="138">
        <v>42979.0</v>
      </c>
      <c r="CV82" s="138">
        <v>43009.0</v>
      </c>
      <c r="CW82" s="138">
        <v>43040.0</v>
      </c>
      <c r="CX82" s="138">
        <v>43070.0</v>
      </c>
      <c r="CY82" s="138">
        <v>43101.0</v>
      </c>
      <c r="CZ82" s="138">
        <v>43132.0</v>
      </c>
      <c r="DA82" s="138">
        <v>43160.0</v>
      </c>
      <c r="DB82" s="138">
        <v>43191.0</v>
      </c>
      <c r="DC82" s="138">
        <v>43221.0</v>
      </c>
      <c r="DD82" s="138">
        <v>43252.0</v>
      </c>
      <c r="DE82" s="138">
        <v>43282.0</v>
      </c>
      <c r="DF82" s="138">
        <v>43313.0</v>
      </c>
      <c r="DG82" s="138">
        <v>43344.0</v>
      </c>
      <c r="DH82" s="138">
        <v>43374.0</v>
      </c>
      <c r="DI82" s="138">
        <v>43405.0</v>
      </c>
      <c r="DJ82" s="138">
        <v>43435.0</v>
      </c>
      <c r="DK82" s="139">
        <v>43466.0</v>
      </c>
      <c r="DL82" s="139">
        <v>43497.0</v>
      </c>
      <c r="DM82" s="139">
        <v>43525.0</v>
      </c>
      <c r="DN82" s="139">
        <v>43556.0</v>
      </c>
      <c r="DO82" s="139">
        <v>43586.0</v>
      </c>
      <c r="DP82" s="139">
        <v>43617.0</v>
      </c>
      <c r="DQ82" s="139">
        <v>43647.0</v>
      </c>
      <c r="DR82" s="139">
        <v>43678.0</v>
      </c>
      <c r="DS82" s="139">
        <v>43709.0</v>
      </c>
      <c r="DT82" s="139">
        <v>43739.0</v>
      </c>
      <c r="DU82" s="139">
        <v>43770.0</v>
      </c>
      <c r="DV82" s="139">
        <v>43800.0</v>
      </c>
      <c r="DW82" s="139">
        <v>43831.0</v>
      </c>
      <c r="DX82" s="139">
        <v>43862.0</v>
      </c>
      <c r="DY82" s="139">
        <v>43891.0</v>
      </c>
      <c r="DZ82" s="139">
        <v>43922.0</v>
      </c>
      <c r="EA82" s="139">
        <v>43952.0</v>
      </c>
      <c r="EB82" s="139">
        <v>43983.0</v>
      </c>
      <c r="EC82" s="139">
        <v>44013.0</v>
      </c>
      <c r="ED82" s="139">
        <v>44044.0</v>
      </c>
      <c r="EE82" s="139">
        <v>44075.0</v>
      </c>
      <c r="EF82" s="139">
        <v>44105.0</v>
      </c>
      <c r="EG82" s="139">
        <v>44136.0</v>
      </c>
      <c r="EH82" s="139">
        <v>44166.0</v>
      </c>
      <c r="EI82" s="139">
        <v>44197.0</v>
      </c>
      <c r="EJ82" s="139">
        <v>44228.0</v>
      </c>
      <c r="EK82" s="139">
        <v>44256.0</v>
      </c>
      <c r="EL82" s="139">
        <v>44287.0</v>
      </c>
      <c r="EM82" s="139">
        <v>44317.0</v>
      </c>
      <c r="EN82" s="139">
        <v>44348.0</v>
      </c>
      <c r="EO82" s="139">
        <v>44378.0</v>
      </c>
      <c r="EP82" s="139">
        <v>44409.0</v>
      </c>
      <c r="EQ82" s="139">
        <v>44440.0</v>
      </c>
      <c r="ER82" s="139">
        <v>44470.0</v>
      </c>
      <c r="ES82" s="139">
        <v>44501.0</v>
      </c>
      <c r="ET82" s="139">
        <v>44531.0</v>
      </c>
      <c r="EU82" s="139">
        <v>44562.0</v>
      </c>
      <c r="EV82" s="139">
        <v>44593.0</v>
      </c>
      <c r="EW82" s="139">
        <v>44621.0</v>
      </c>
      <c r="EX82" s="139">
        <v>44652.0</v>
      </c>
      <c r="EY82" s="139">
        <v>44682.0</v>
      </c>
      <c r="EZ82" s="139">
        <v>44713.0</v>
      </c>
      <c r="FA82" s="139">
        <v>44743.0</v>
      </c>
      <c r="FB82" s="139">
        <v>44774.0</v>
      </c>
      <c r="FC82" s="139">
        <v>44805.0</v>
      </c>
      <c r="FD82" s="139">
        <v>44835.0</v>
      </c>
      <c r="FE82" s="139">
        <v>44866.0</v>
      </c>
      <c r="FF82" s="139">
        <v>44896.0</v>
      </c>
      <c r="FG82" s="139">
        <v>44927.0</v>
      </c>
      <c r="FH82" s="139">
        <v>44958.0</v>
      </c>
      <c r="FI82" s="139">
        <v>44986.0</v>
      </c>
      <c r="FJ82" s="139">
        <v>45017.0</v>
      </c>
      <c r="FK82" s="139">
        <v>45047.0</v>
      </c>
      <c r="FL82" s="139">
        <v>45078.0</v>
      </c>
      <c r="FM82" s="139">
        <v>45108.0</v>
      </c>
      <c r="FN82" s="139">
        <v>45139.0</v>
      </c>
      <c r="FO82" s="139">
        <v>45170.0</v>
      </c>
      <c r="FP82" s="139">
        <v>45200.0</v>
      </c>
      <c r="FQ82" s="139">
        <v>45231.0</v>
      </c>
      <c r="FR82" s="139">
        <v>45261.0</v>
      </c>
      <c r="FS82" s="139">
        <v>45292.0</v>
      </c>
      <c r="FT82" s="139">
        <v>45323.0</v>
      </c>
      <c r="FU82" s="139">
        <v>45352.0</v>
      </c>
      <c r="FV82" s="139">
        <v>45383.0</v>
      </c>
      <c r="FW82" s="139">
        <v>45413.0</v>
      </c>
      <c r="FX82" s="139">
        <v>45444.0</v>
      </c>
      <c r="FY82" s="139">
        <v>45474.0</v>
      </c>
      <c r="FZ82" s="139">
        <v>45505.0</v>
      </c>
      <c r="GA82" s="139">
        <v>45536.0</v>
      </c>
      <c r="GB82" s="139">
        <v>45566.0</v>
      </c>
      <c r="GC82" s="139">
        <v>45597.0</v>
      </c>
      <c r="GD82" s="139">
        <v>45627.0</v>
      </c>
      <c r="GE82" s="139">
        <v>45658.0</v>
      </c>
      <c r="GF82" s="139">
        <v>45689.0</v>
      </c>
      <c r="GG82" s="139">
        <v>45717.0</v>
      </c>
      <c r="GH82" s="139">
        <v>45748.0</v>
      </c>
      <c r="GI82" s="139">
        <v>45778.0</v>
      </c>
      <c r="GJ82" s="139">
        <v>45809.0</v>
      </c>
      <c r="GK82" s="139">
        <v>45839.0</v>
      </c>
    </row>
    <row r="83">
      <c r="A83" s="132" t="s">
        <v>34053</v>
      </c>
      <c r="B83" s="133" t="s">
        <v>1160</v>
      </c>
      <c r="C83" s="134">
        <v>43494.21760416667</v>
      </c>
      <c r="D83" s="135" t="str">
        <f t="shared" si="1"/>
        <v>2019/01/29</v>
      </c>
      <c r="E83" s="136" t="s">
        <v>34054</v>
      </c>
      <c r="F83" s="137">
        <v>0.01247</v>
      </c>
      <c r="G83" s="138">
        <v>40179.0</v>
      </c>
      <c r="H83" s="138">
        <v>40210.0</v>
      </c>
      <c r="I83" s="138">
        <v>40238.0</v>
      </c>
      <c r="J83" s="138">
        <v>40269.0</v>
      </c>
      <c r="K83" s="138">
        <v>40299.0</v>
      </c>
      <c r="L83" s="138">
        <v>40330.0</v>
      </c>
      <c r="M83" s="138">
        <v>40360.0</v>
      </c>
      <c r="N83" s="138">
        <v>40391.0</v>
      </c>
      <c r="O83" s="138">
        <v>40422.0</v>
      </c>
      <c r="P83" s="138">
        <v>40452.0</v>
      </c>
      <c r="Q83" s="138">
        <v>40483.0</v>
      </c>
      <c r="R83" s="138">
        <v>40513.0</v>
      </c>
      <c r="S83" s="138">
        <v>40544.0</v>
      </c>
      <c r="T83" s="138">
        <v>40575.0</v>
      </c>
      <c r="U83" s="138">
        <v>40603.0</v>
      </c>
      <c r="V83" s="138">
        <v>40634.0</v>
      </c>
      <c r="W83" s="138">
        <v>40664.0</v>
      </c>
      <c r="X83" s="138">
        <v>40695.0</v>
      </c>
      <c r="Y83" s="138">
        <v>40725.0</v>
      </c>
      <c r="Z83" s="138">
        <v>40756.0</v>
      </c>
      <c r="AA83" s="138">
        <v>40787.0</v>
      </c>
      <c r="AB83" s="138">
        <v>40817.0</v>
      </c>
      <c r="AC83" s="138">
        <v>40848.0</v>
      </c>
      <c r="AD83" s="138">
        <v>40878.0</v>
      </c>
      <c r="AE83" s="138">
        <v>40909.0</v>
      </c>
      <c r="AF83" s="138">
        <v>40940.0</v>
      </c>
      <c r="AG83" s="138">
        <v>40969.0</v>
      </c>
      <c r="AH83" s="138">
        <v>41000.0</v>
      </c>
      <c r="AI83" s="138">
        <v>41030.0</v>
      </c>
      <c r="AJ83" s="138">
        <v>41061.0</v>
      </c>
      <c r="AK83" s="138">
        <v>41091.0</v>
      </c>
      <c r="AL83" s="138">
        <v>41122.0</v>
      </c>
      <c r="AM83" s="138">
        <v>41153.0</v>
      </c>
      <c r="AN83" s="138">
        <v>41183.0</v>
      </c>
      <c r="AO83" s="138">
        <v>41214.0</v>
      </c>
      <c r="AP83" s="138">
        <v>41244.0</v>
      </c>
      <c r="AQ83" s="138">
        <v>41275.0</v>
      </c>
      <c r="AR83" s="138">
        <v>41306.0</v>
      </c>
      <c r="AS83" s="138">
        <v>41334.0</v>
      </c>
      <c r="AT83" s="138">
        <v>41365.0</v>
      </c>
      <c r="AU83" s="138">
        <v>41395.0</v>
      </c>
      <c r="AV83" s="138">
        <v>41426.0</v>
      </c>
      <c r="AW83" s="138">
        <v>41456.0</v>
      </c>
      <c r="AX83" s="138">
        <v>41487.0</v>
      </c>
      <c r="AY83" s="138">
        <v>41518.0</v>
      </c>
      <c r="AZ83" s="138">
        <v>41548.0</v>
      </c>
      <c r="BA83" s="138">
        <v>41579.0</v>
      </c>
      <c r="BB83" s="138">
        <v>41609.0</v>
      </c>
      <c r="BC83" s="138">
        <v>41640.0</v>
      </c>
      <c r="BD83" s="138">
        <v>41671.0</v>
      </c>
      <c r="BE83" s="138">
        <v>41699.0</v>
      </c>
      <c r="BF83" s="138">
        <v>41730.0</v>
      </c>
      <c r="BG83" s="138">
        <v>41760.0</v>
      </c>
      <c r="BH83" s="138">
        <v>41791.0</v>
      </c>
      <c r="BI83" s="138">
        <v>41821.0</v>
      </c>
      <c r="BJ83" s="138">
        <v>41852.0</v>
      </c>
      <c r="BK83" s="138">
        <v>41883.0</v>
      </c>
      <c r="BL83" s="138">
        <v>41913.0</v>
      </c>
      <c r="BM83" s="138">
        <v>41944.0</v>
      </c>
      <c r="BN83" s="138">
        <v>41974.0</v>
      </c>
      <c r="BO83" s="138">
        <v>42005.0</v>
      </c>
      <c r="BP83" s="138">
        <v>42036.0</v>
      </c>
      <c r="BQ83" s="138">
        <v>42064.0</v>
      </c>
      <c r="BR83" s="138">
        <v>42095.0</v>
      </c>
      <c r="BS83" s="138">
        <v>42125.0</v>
      </c>
      <c r="BT83" s="138">
        <v>42156.0</v>
      </c>
      <c r="BU83" s="138">
        <v>42186.0</v>
      </c>
      <c r="BV83" s="138">
        <v>42217.0</v>
      </c>
      <c r="BW83" s="138">
        <v>42248.0</v>
      </c>
      <c r="BX83" s="138">
        <v>42278.0</v>
      </c>
      <c r="BY83" s="138">
        <v>42309.0</v>
      </c>
      <c r="BZ83" s="138">
        <v>42339.0</v>
      </c>
      <c r="CA83" s="138">
        <v>42370.0</v>
      </c>
      <c r="CB83" s="138">
        <v>42401.0</v>
      </c>
      <c r="CC83" s="138">
        <v>42430.0</v>
      </c>
      <c r="CD83" s="138">
        <v>42461.0</v>
      </c>
      <c r="CE83" s="138">
        <v>42491.0</v>
      </c>
      <c r="CF83" s="138">
        <v>42522.0</v>
      </c>
      <c r="CG83" s="138">
        <v>42552.0</v>
      </c>
      <c r="CH83" s="138">
        <v>42583.0</v>
      </c>
      <c r="CI83" s="138">
        <v>42614.0</v>
      </c>
      <c r="CJ83" s="138">
        <v>42644.0</v>
      </c>
      <c r="CK83" s="138">
        <v>42675.0</v>
      </c>
      <c r="CL83" s="138">
        <v>42705.0</v>
      </c>
      <c r="CM83" s="138">
        <v>42736.0</v>
      </c>
      <c r="CN83" s="138">
        <v>42767.0</v>
      </c>
      <c r="CO83" s="138">
        <v>42795.0</v>
      </c>
      <c r="CP83" s="138">
        <v>42826.0</v>
      </c>
      <c r="CQ83" s="138">
        <v>42856.0</v>
      </c>
      <c r="CR83" s="138">
        <v>42887.0</v>
      </c>
      <c r="CS83" s="138">
        <v>42917.0</v>
      </c>
      <c r="CT83" s="138">
        <v>42948.0</v>
      </c>
      <c r="CU83" s="138">
        <v>42979.0</v>
      </c>
      <c r="CV83" s="138">
        <v>43009.0</v>
      </c>
      <c r="CW83" s="138">
        <v>43040.0</v>
      </c>
      <c r="CX83" s="138">
        <v>43070.0</v>
      </c>
      <c r="CY83" s="138">
        <v>43101.0</v>
      </c>
      <c r="CZ83" s="138">
        <v>43132.0</v>
      </c>
      <c r="DA83" s="138">
        <v>43160.0</v>
      </c>
      <c r="DB83" s="138">
        <v>43191.0</v>
      </c>
      <c r="DC83" s="138">
        <v>43221.0</v>
      </c>
      <c r="DD83" s="138">
        <v>43252.0</v>
      </c>
      <c r="DE83" s="138">
        <v>43282.0</v>
      </c>
      <c r="DF83" s="138">
        <v>43313.0</v>
      </c>
      <c r="DG83" s="138">
        <v>43344.0</v>
      </c>
      <c r="DH83" s="138">
        <v>43374.0</v>
      </c>
      <c r="DI83" s="138">
        <v>43405.0</v>
      </c>
      <c r="DJ83" s="138">
        <v>43435.0</v>
      </c>
      <c r="DK83" s="138">
        <v>43466.0</v>
      </c>
      <c r="DL83" s="139">
        <v>43497.0</v>
      </c>
      <c r="DM83" s="139">
        <v>43525.0</v>
      </c>
      <c r="DN83" s="139">
        <v>43556.0</v>
      </c>
      <c r="DO83" s="139">
        <v>43586.0</v>
      </c>
      <c r="DP83" s="139">
        <v>43617.0</v>
      </c>
      <c r="DQ83" s="139">
        <v>43647.0</v>
      </c>
      <c r="DR83" s="139">
        <v>43678.0</v>
      </c>
      <c r="DS83" s="139">
        <v>43709.0</v>
      </c>
      <c r="DT83" s="139">
        <v>43739.0</v>
      </c>
      <c r="DU83" s="139">
        <v>43770.0</v>
      </c>
      <c r="DV83" s="139">
        <v>43800.0</v>
      </c>
      <c r="DW83" s="139">
        <v>43831.0</v>
      </c>
      <c r="DX83" s="139">
        <v>43862.0</v>
      </c>
      <c r="DY83" s="139">
        <v>43891.0</v>
      </c>
      <c r="DZ83" s="139">
        <v>43922.0</v>
      </c>
      <c r="EA83" s="139">
        <v>43952.0</v>
      </c>
      <c r="EB83" s="139">
        <v>43983.0</v>
      </c>
      <c r="EC83" s="139">
        <v>44013.0</v>
      </c>
      <c r="ED83" s="139">
        <v>44044.0</v>
      </c>
      <c r="EE83" s="139">
        <v>44075.0</v>
      </c>
      <c r="EF83" s="139">
        <v>44105.0</v>
      </c>
      <c r="EG83" s="139">
        <v>44136.0</v>
      </c>
      <c r="EH83" s="139">
        <v>44166.0</v>
      </c>
      <c r="EI83" s="139">
        <v>44197.0</v>
      </c>
      <c r="EJ83" s="139">
        <v>44228.0</v>
      </c>
      <c r="EK83" s="139">
        <v>44256.0</v>
      </c>
      <c r="EL83" s="139">
        <v>44287.0</v>
      </c>
      <c r="EM83" s="139">
        <v>44317.0</v>
      </c>
      <c r="EN83" s="139">
        <v>44348.0</v>
      </c>
      <c r="EO83" s="139">
        <v>44378.0</v>
      </c>
      <c r="EP83" s="139">
        <v>44409.0</v>
      </c>
      <c r="EQ83" s="139">
        <v>44440.0</v>
      </c>
      <c r="ER83" s="139">
        <v>44470.0</v>
      </c>
      <c r="ES83" s="139">
        <v>44501.0</v>
      </c>
      <c r="ET83" s="139">
        <v>44531.0</v>
      </c>
      <c r="EU83" s="139">
        <v>44562.0</v>
      </c>
      <c r="EV83" s="139">
        <v>44593.0</v>
      </c>
      <c r="EW83" s="139">
        <v>44621.0</v>
      </c>
      <c r="EX83" s="139">
        <v>44652.0</v>
      </c>
      <c r="EY83" s="139">
        <v>44682.0</v>
      </c>
      <c r="EZ83" s="139">
        <v>44713.0</v>
      </c>
      <c r="FA83" s="139">
        <v>44743.0</v>
      </c>
      <c r="FB83" s="139">
        <v>44774.0</v>
      </c>
      <c r="FC83" s="139">
        <v>44805.0</v>
      </c>
      <c r="FD83" s="139">
        <v>44835.0</v>
      </c>
      <c r="FE83" s="139">
        <v>44866.0</v>
      </c>
      <c r="FF83" s="139">
        <v>44896.0</v>
      </c>
      <c r="FG83" s="139">
        <v>44927.0</v>
      </c>
      <c r="FH83" s="139">
        <v>44958.0</v>
      </c>
      <c r="FI83" s="139">
        <v>44986.0</v>
      </c>
      <c r="FJ83" s="139">
        <v>45017.0</v>
      </c>
      <c r="FK83" s="139">
        <v>45047.0</v>
      </c>
      <c r="FL83" s="139">
        <v>45078.0</v>
      </c>
      <c r="FM83" s="139">
        <v>45108.0</v>
      </c>
      <c r="FN83" s="139">
        <v>45139.0</v>
      </c>
      <c r="FO83" s="139">
        <v>45170.0</v>
      </c>
      <c r="FP83" s="139">
        <v>45200.0</v>
      </c>
      <c r="FQ83" s="139">
        <v>45231.0</v>
      </c>
      <c r="FR83" s="139">
        <v>45261.0</v>
      </c>
      <c r="FS83" s="139">
        <v>45292.0</v>
      </c>
      <c r="FT83" s="139">
        <v>45323.0</v>
      </c>
      <c r="FU83" s="139">
        <v>45352.0</v>
      </c>
      <c r="FV83" s="139">
        <v>45383.0</v>
      </c>
      <c r="FW83" s="139">
        <v>45413.0</v>
      </c>
      <c r="FX83" s="139">
        <v>45444.0</v>
      </c>
      <c r="FY83" s="139">
        <v>45474.0</v>
      </c>
      <c r="FZ83" s="139">
        <v>45505.0</v>
      </c>
      <c r="GA83" s="139">
        <v>45536.0</v>
      </c>
      <c r="GB83" s="139">
        <v>45566.0</v>
      </c>
      <c r="GC83" s="139">
        <v>45597.0</v>
      </c>
      <c r="GD83" s="139">
        <v>45627.0</v>
      </c>
      <c r="GE83" s="139">
        <v>45658.0</v>
      </c>
      <c r="GF83" s="139">
        <v>45689.0</v>
      </c>
      <c r="GG83" s="139">
        <v>45717.0</v>
      </c>
      <c r="GH83" s="139">
        <v>45748.0</v>
      </c>
      <c r="GI83" s="139">
        <v>45778.0</v>
      </c>
      <c r="GJ83" s="139">
        <v>45809.0</v>
      </c>
      <c r="GK83" s="139">
        <v>45839.0</v>
      </c>
    </row>
    <row r="84">
      <c r="A84" s="132" t="s">
        <v>34055</v>
      </c>
      <c r="B84" s="133" t="s">
        <v>1246</v>
      </c>
      <c r="C84" s="134">
        <v>43505.63454861111</v>
      </c>
      <c r="D84" s="135" t="str">
        <f t="shared" si="1"/>
        <v>2019/02/09</v>
      </c>
      <c r="E84" s="136" t="s">
        <v>33912</v>
      </c>
      <c r="F84" s="137">
        <v>0.0</v>
      </c>
      <c r="G84" s="138">
        <v>40179.0</v>
      </c>
      <c r="H84" s="138">
        <v>40210.0</v>
      </c>
      <c r="I84" s="138">
        <v>40238.0</v>
      </c>
      <c r="J84" s="138">
        <v>40269.0</v>
      </c>
      <c r="K84" s="138">
        <v>40299.0</v>
      </c>
      <c r="L84" s="138">
        <v>40330.0</v>
      </c>
      <c r="M84" s="138">
        <v>40360.0</v>
      </c>
      <c r="N84" s="138">
        <v>40391.0</v>
      </c>
      <c r="O84" s="138">
        <v>40422.0</v>
      </c>
      <c r="P84" s="138">
        <v>40452.0</v>
      </c>
      <c r="Q84" s="138">
        <v>40483.0</v>
      </c>
      <c r="R84" s="138">
        <v>40513.0</v>
      </c>
      <c r="S84" s="138">
        <v>40544.0</v>
      </c>
      <c r="T84" s="138">
        <v>40575.0</v>
      </c>
      <c r="U84" s="138">
        <v>40603.0</v>
      </c>
      <c r="V84" s="138">
        <v>40634.0</v>
      </c>
      <c r="W84" s="138">
        <v>40664.0</v>
      </c>
      <c r="X84" s="138">
        <v>40695.0</v>
      </c>
      <c r="Y84" s="138">
        <v>40725.0</v>
      </c>
      <c r="Z84" s="138">
        <v>40756.0</v>
      </c>
      <c r="AA84" s="138">
        <v>40787.0</v>
      </c>
      <c r="AB84" s="138">
        <v>40817.0</v>
      </c>
      <c r="AC84" s="138">
        <v>40848.0</v>
      </c>
      <c r="AD84" s="138">
        <v>40878.0</v>
      </c>
      <c r="AE84" s="138">
        <v>40909.0</v>
      </c>
      <c r="AF84" s="138">
        <v>40940.0</v>
      </c>
      <c r="AG84" s="138">
        <v>40969.0</v>
      </c>
      <c r="AH84" s="138">
        <v>41000.0</v>
      </c>
      <c r="AI84" s="138">
        <v>41030.0</v>
      </c>
      <c r="AJ84" s="138">
        <v>41061.0</v>
      </c>
      <c r="AK84" s="138">
        <v>41091.0</v>
      </c>
      <c r="AL84" s="138">
        <v>41122.0</v>
      </c>
      <c r="AM84" s="138">
        <v>41153.0</v>
      </c>
      <c r="AN84" s="138">
        <v>41183.0</v>
      </c>
      <c r="AO84" s="138">
        <v>41214.0</v>
      </c>
      <c r="AP84" s="138">
        <v>41244.0</v>
      </c>
      <c r="AQ84" s="138">
        <v>41275.0</v>
      </c>
      <c r="AR84" s="138">
        <v>41306.0</v>
      </c>
      <c r="AS84" s="138">
        <v>41334.0</v>
      </c>
      <c r="AT84" s="138">
        <v>41365.0</v>
      </c>
      <c r="AU84" s="138">
        <v>41395.0</v>
      </c>
      <c r="AV84" s="138">
        <v>41426.0</v>
      </c>
      <c r="AW84" s="138">
        <v>41456.0</v>
      </c>
      <c r="AX84" s="138">
        <v>41487.0</v>
      </c>
      <c r="AY84" s="138">
        <v>41518.0</v>
      </c>
      <c r="AZ84" s="138">
        <v>41548.0</v>
      </c>
      <c r="BA84" s="138">
        <v>41579.0</v>
      </c>
      <c r="BB84" s="138">
        <v>41609.0</v>
      </c>
      <c r="BC84" s="138">
        <v>41640.0</v>
      </c>
      <c r="BD84" s="138">
        <v>41671.0</v>
      </c>
      <c r="BE84" s="138">
        <v>41699.0</v>
      </c>
      <c r="BF84" s="138">
        <v>41730.0</v>
      </c>
      <c r="BG84" s="138">
        <v>41760.0</v>
      </c>
      <c r="BH84" s="138">
        <v>41791.0</v>
      </c>
      <c r="BI84" s="138">
        <v>41821.0</v>
      </c>
      <c r="BJ84" s="138">
        <v>41852.0</v>
      </c>
      <c r="BK84" s="138">
        <v>41883.0</v>
      </c>
      <c r="BL84" s="138">
        <v>41913.0</v>
      </c>
      <c r="BM84" s="138">
        <v>41944.0</v>
      </c>
      <c r="BN84" s="138">
        <v>41974.0</v>
      </c>
      <c r="BO84" s="138">
        <v>42005.0</v>
      </c>
      <c r="BP84" s="138">
        <v>42036.0</v>
      </c>
      <c r="BQ84" s="138">
        <v>42064.0</v>
      </c>
      <c r="BR84" s="138">
        <v>42095.0</v>
      </c>
      <c r="BS84" s="138">
        <v>42125.0</v>
      </c>
      <c r="BT84" s="138">
        <v>42156.0</v>
      </c>
      <c r="BU84" s="138">
        <v>42186.0</v>
      </c>
      <c r="BV84" s="138">
        <v>42217.0</v>
      </c>
      <c r="BW84" s="138">
        <v>42248.0</v>
      </c>
      <c r="BX84" s="138">
        <v>42278.0</v>
      </c>
      <c r="BY84" s="138">
        <v>42309.0</v>
      </c>
      <c r="BZ84" s="138">
        <v>42339.0</v>
      </c>
      <c r="CA84" s="138">
        <v>42370.0</v>
      </c>
      <c r="CB84" s="138">
        <v>42401.0</v>
      </c>
      <c r="CC84" s="138">
        <v>42430.0</v>
      </c>
      <c r="CD84" s="138">
        <v>42461.0</v>
      </c>
      <c r="CE84" s="138">
        <v>42491.0</v>
      </c>
      <c r="CF84" s="138">
        <v>42522.0</v>
      </c>
      <c r="CG84" s="138">
        <v>42552.0</v>
      </c>
      <c r="CH84" s="138">
        <v>42583.0</v>
      </c>
      <c r="CI84" s="138">
        <v>42614.0</v>
      </c>
      <c r="CJ84" s="138">
        <v>42644.0</v>
      </c>
      <c r="CK84" s="138">
        <v>42675.0</v>
      </c>
      <c r="CL84" s="138">
        <v>42705.0</v>
      </c>
      <c r="CM84" s="138">
        <v>42736.0</v>
      </c>
      <c r="CN84" s="138">
        <v>42767.0</v>
      </c>
      <c r="CO84" s="138">
        <v>42795.0</v>
      </c>
      <c r="CP84" s="138">
        <v>42826.0</v>
      </c>
      <c r="CQ84" s="138">
        <v>42856.0</v>
      </c>
      <c r="CR84" s="138">
        <v>42887.0</v>
      </c>
      <c r="CS84" s="138">
        <v>42917.0</v>
      </c>
      <c r="CT84" s="138">
        <v>42948.0</v>
      </c>
      <c r="CU84" s="138">
        <v>42979.0</v>
      </c>
      <c r="CV84" s="138">
        <v>43009.0</v>
      </c>
      <c r="CW84" s="138">
        <v>43040.0</v>
      </c>
      <c r="CX84" s="138">
        <v>43070.0</v>
      </c>
      <c r="CY84" s="138">
        <v>43101.0</v>
      </c>
      <c r="CZ84" s="138">
        <v>43132.0</v>
      </c>
      <c r="DA84" s="138">
        <v>43160.0</v>
      </c>
      <c r="DB84" s="138">
        <v>43191.0</v>
      </c>
      <c r="DC84" s="138">
        <v>43221.0</v>
      </c>
      <c r="DD84" s="138">
        <v>43252.0</v>
      </c>
      <c r="DE84" s="138">
        <v>43282.0</v>
      </c>
      <c r="DF84" s="138">
        <v>43313.0</v>
      </c>
      <c r="DG84" s="138">
        <v>43344.0</v>
      </c>
      <c r="DH84" s="138">
        <v>43374.0</v>
      </c>
      <c r="DI84" s="138">
        <v>43405.0</v>
      </c>
      <c r="DJ84" s="138">
        <v>43435.0</v>
      </c>
      <c r="DK84" s="138">
        <v>43466.0</v>
      </c>
      <c r="DL84" s="138">
        <v>43497.0</v>
      </c>
      <c r="DM84" s="139">
        <v>43525.0</v>
      </c>
      <c r="DN84" s="139">
        <v>43556.0</v>
      </c>
      <c r="DO84" s="139">
        <v>43586.0</v>
      </c>
      <c r="DP84" s="139">
        <v>43617.0</v>
      </c>
      <c r="DQ84" s="139">
        <v>43647.0</v>
      </c>
      <c r="DR84" s="139">
        <v>43678.0</v>
      </c>
      <c r="DS84" s="139">
        <v>43709.0</v>
      </c>
      <c r="DT84" s="139">
        <v>43739.0</v>
      </c>
      <c r="DU84" s="139">
        <v>43770.0</v>
      </c>
      <c r="DV84" s="139">
        <v>43800.0</v>
      </c>
      <c r="DW84" s="139">
        <v>43831.0</v>
      </c>
      <c r="DX84" s="139">
        <v>43862.0</v>
      </c>
      <c r="DY84" s="139">
        <v>43891.0</v>
      </c>
      <c r="DZ84" s="139">
        <v>43922.0</v>
      </c>
      <c r="EA84" s="139">
        <v>43952.0</v>
      </c>
      <c r="EB84" s="139">
        <v>43983.0</v>
      </c>
      <c r="EC84" s="139">
        <v>44013.0</v>
      </c>
      <c r="ED84" s="139">
        <v>44044.0</v>
      </c>
      <c r="EE84" s="139">
        <v>44075.0</v>
      </c>
      <c r="EF84" s="139">
        <v>44105.0</v>
      </c>
      <c r="EG84" s="139">
        <v>44136.0</v>
      </c>
      <c r="EH84" s="139">
        <v>44166.0</v>
      </c>
      <c r="EI84" s="139">
        <v>44197.0</v>
      </c>
      <c r="EJ84" s="139">
        <v>44228.0</v>
      </c>
      <c r="EK84" s="139">
        <v>44256.0</v>
      </c>
      <c r="EL84" s="139">
        <v>44287.0</v>
      </c>
      <c r="EM84" s="139">
        <v>44317.0</v>
      </c>
      <c r="EN84" s="139">
        <v>44348.0</v>
      </c>
      <c r="EO84" s="139">
        <v>44378.0</v>
      </c>
      <c r="EP84" s="139">
        <v>44409.0</v>
      </c>
      <c r="EQ84" s="139">
        <v>44440.0</v>
      </c>
      <c r="ER84" s="139">
        <v>44470.0</v>
      </c>
      <c r="ES84" s="139">
        <v>44501.0</v>
      </c>
      <c r="ET84" s="139">
        <v>44531.0</v>
      </c>
      <c r="EU84" s="139">
        <v>44562.0</v>
      </c>
      <c r="EV84" s="139">
        <v>44593.0</v>
      </c>
      <c r="EW84" s="139">
        <v>44621.0</v>
      </c>
      <c r="EX84" s="139">
        <v>44652.0</v>
      </c>
      <c r="EY84" s="139">
        <v>44682.0</v>
      </c>
      <c r="EZ84" s="139">
        <v>44713.0</v>
      </c>
      <c r="FA84" s="139">
        <v>44743.0</v>
      </c>
      <c r="FB84" s="139">
        <v>44774.0</v>
      </c>
      <c r="FC84" s="139">
        <v>44805.0</v>
      </c>
      <c r="FD84" s="139">
        <v>44835.0</v>
      </c>
      <c r="FE84" s="139">
        <v>44866.0</v>
      </c>
      <c r="FF84" s="139">
        <v>44896.0</v>
      </c>
      <c r="FG84" s="139">
        <v>44927.0</v>
      </c>
      <c r="FH84" s="139">
        <v>44958.0</v>
      </c>
      <c r="FI84" s="139">
        <v>44986.0</v>
      </c>
      <c r="FJ84" s="139">
        <v>45017.0</v>
      </c>
      <c r="FK84" s="139">
        <v>45047.0</v>
      </c>
      <c r="FL84" s="139">
        <v>45078.0</v>
      </c>
      <c r="FM84" s="139">
        <v>45108.0</v>
      </c>
      <c r="FN84" s="139">
        <v>45139.0</v>
      </c>
      <c r="FO84" s="139">
        <v>45170.0</v>
      </c>
      <c r="FP84" s="139">
        <v>45200.0</v>
      </c>
      <c r="FQ84" s="139">
        <v>45231.0</v>
      </c>
      <c r="FR84" s="139">
        <v>45261.0</v>
      </c>
      <c r="FS84" s="139">
        <v>45292.0</v>
      </c>
      <c r="FT84" s="139">
        <v>45323.0</v>
      </c>
      <c r="FU84" s="139">
        <v>45352.0</v>
      </c>
      <c r="FV84" s="139">
        <v>45383.0</v>
      </c>
      <c r="FW84" s="139">
        <v>45413.0</v>
      </c>
      <c r="FX84" s="139">
        <v>45444.0</v>
      </c>
      <c r="FY84" s="139">
        <v>45474.0</v>
      </c>
      <c r="FZ84" s="139">
        <v>45505.0</v>
      </c>
      <c r="GA84" s="139">
        <v>45536.0</v>
      </c>
      <c r="GB84" s="139">
        <v>45566.0</v>
      </c>
      <c r="GC84" s="139">
        <v>45597.0</v>
      </c>
      <c r="GD84" s="139">
        <v>45627.0</v>
      </c>
      <c r="GE84" s="139">
        <v>45658.0</v>
      </c>
      <c r="GF84" s="139">
        <v>45689.0</v>
      </c>
      <c r="GG84" s="139">
        <v>45717.0</v>
      </c>
      <c r="GH84" s="139">
        <v>45748.0</v>
      </c>
      <c r="GI84" s="139">
        <v>45778.0</v>
      </c>
      <c r="GJ84" s="139">
        <v>45809.0</v>
      </c>
      <c r="GK84" s="139">
        <v>45839.0</v>
      </c>
    </row>
    <row r="85">
      <c r="A85" s="132" t="s">
        <v>34056</v>
      </c>
      <c r="B85" s="133" t="s">
        <v>430</v>
      </c>
      <c r="C85" s="134">
        <v>43536.64784722222</v>
      </c>
      <c r="D85" s="135" t="str">
        <f t="shared" si="1"/>
        <v>2019/03/12</v>
      </c>
      <c r="E85" s="136" t="s">
        <v>34057</v>
      </c>
      <c r="F85" s="137">
        <v>8.5E-4</v>
      </c>
      <c r="G85" s="138">
        <v>40179.0</v>
      </c>
      <c r="H85" s="138">
        <v>40210.0</v>
      </c>
      <c r="I85" s="138">
        <v>40238.0</v>
      </c>
      <c r="J85" s="138">
        <v>40269.0</v>
      </c>
      <c r="K85" s="138">
        <v>40299.0</v>
      </c>
      <c r="L85" s="138">
        <v>40330.0</v>
      </c>
      <c r="M85" s="138">
        <v>40360.0</v>
      </c>
      <c r="N85" s="138">
        <v>40391.0</v>
      </c>
      <c r="O85" s="138">
        <v>40422.0</v>
      </c>
      <c r="P85" s="138">
        <v>40452.0</v>
      </c>
      <c r="Q85" s="138">
        <v>40483.0</v>
      </c>
      <c r="R85" s="138">
        <v>40513.0</v>
      </c>
      <c r="S85" s="138">
        <v>40544.0</v>
      </c>
      <c r="T85" s="138">
        <v>40575.0</v>
      </c>
      <c r="U85" s="138">
        <v>40603.0</v>
      </c>
      <c r="V85" s="138">
        <v>40634.0</v>
      </c>
      <c r="W85" s="138">
        <v>40664.0</v>
      </c>
      <c r="X85" s="138">
        <v>40695.0</v>
      </c>
      <c r="Y85" s="138">
        <v>40725.0</v>
      </c>
      <c r="Z85" s="138">
        <v>40756.0</v>
      </c>
      <c r="AA85" s="138">
        <v>40787.0</v>
      </c>
      <c r="AB85" s="138">
        <v>40817.0</v>
      </c>
      <c r="AC85" s="138">
        <v>40848.0</v>
      </c>
      <c r="AD85" s="138">
        <v>40878.0</v>
      </c>
      <c r="AE85" s="138">
        <v>40909.0</v>
      </c>
      <c r="AF85" s="138">
        <v>40940.0</v>
      </c>
      <c r="AG85" s="138">
        <v>40969.0</v>
      </c>
      <c r="AH85" s="138">
        <v>41000.0</v>
      </c>
      <c r="AI85" s="138">
        <v>41030.0</v>
      </c>
      <c r="AJ85" s="138">
        <v>41061.0</v>
      </c>
      <c r="AK85" s="138">
        <v>41091.0</v>
      </c>
      <c r="AL85" s="138">
        <v>41122.0</v>
      </c>
      <c r="AM85" s="138">
        <v>41153.0</v>
      </c>
      <c r="AN85" s="138">
        <v>41183.0</v>
      </c>
      <c r="AO85" s="138">
        <v>41214.0</v>
      </c>
      <c r="AP85" s="138">
        <v>41244.0</v>
      </c>
      <c r="AQ85" s="138">
        <v>41275.0</v>
      </c>
      <c r="AR85" s="138">
        <v>41306.0</v>
      </c>
      <c r="AS85" s="138">
        <v>41334.0</v>
      </c>
      <c r="AT85" s="138">
        <v>41365.0</v>
      </c>
      <c r="AU85" s="138">
        <v>41395.0</v>
      </c>
      <c r="AV85" s="138">
        <v>41426.0</v>
      </c>
      <c r="AW85" s="138">
        <v>41456.0</v>
      </c>
      <c r="AX85" s="138">
        <v>41487.0</v>
      </c>
      <c r="AY85" s="138">
        <v>41518.0</v>
      </c>
      <c r="AZ85" s="138">
        <v>41548.0</v>
      </c>
      <c r="BA85" s="138">
        <v>41579.0</v>
      </c>
      <c r="BB85" s="138">
        <v>41609.0</v>
      </c>
      <c r="BC85" s="138">
        <v>41640.0</v>
      </c>
      <c r="BD85" s="138">
        <v>41671.0</v>
      </c>
      <c r="BE85" s="138">
        <v>41699.0</v>
      </c>
      <c r="BF85" s="138">
        <v>41730.0</v>
      </c>
      <c r="BG85" s="138">
        <v>41760.0</v>
      </c>
      <c r="BH85" s="138">
        <v>41791.0</v>
      </c>
      <c r="BI85" s="138">
        <v>41821.0</v>
      </c>
      <c r="BJ85" s="138">
        <v>41852.0</v>
      </c>
      <c r="BK85" s="138">
        <v>41883.0</v>
      </c>
      <c r="BL85" s="138">
        <v>41913.0</v>
      </c>
      <c r="BM85" s="138">
        <v>41944.0</v>
      </c>
      <c r="BN85" s="138">
        <v>41974.0</v>
      </c>
      <c r="BO85" s="138">
        <v>42005.0</v>
      </c>
      <c r="BP85" s="138">
        <v>42036.0</v>
      </c>
      <c r="BQ85" s="138">
        <v>42064.0</v>
      </c>
      <c r="BR85" s="138">
        <v>42095.0</v>
      </c>
      <c r="BS85" s="138">
        <v>42125.0</v>
      </c>
      <c r="BT85" s="138">
        <v>42156.0</v>
      </c>
      <c r="BU85" s="138">
        <v>42186.0</v>
      </c>
      <c r="BV85" s="138">
        <v>42217.0</v>
      </c>
      <c r="BW85" s="138">
        <v>42248.0</v>
      </c>
      <c r="BX85" s="138">
        <v>42278.0</v>
      </c>
      <c r="BY85" s="138">
        <v>42309.0</v>
      </c>
      <c r="BZ85" s="138">
        <v>42339.0</v>
      </c>
      <c r="CA85" s="138">
        <v>42370.0</v>
      </c>
      <c r="CB85" s="138">
        <v>42401.0</v>
      </c>
      <c r="CC85" s="138">
        <v>42430.0</v>
      </c>
      <c r="CD85" s="138">
        <v>42461.0</v>
      </c>
      <c r="CE85" s="138">
        <v>42491.0</v>
      </c>
      <c r="CF85" s="138">
        <v>42522.0</v>
      </c>
      <c r="CG85" s="138">
        <v>42552.0</v>
      </c>
      <c r="CH85" s="138">
        <v>42583.0</v>
      </c>
      <c r="CI85" s="138">
        <v>42614.0</v>
      </c>
      <c r="CJ85" s="138">
        <v>42644.0</v>
      </c>
      <c r="CK85" s="138">
        <v>42675.0</v>
      </c>
      <c r="CL85" s="138">
        <v>42705.0</v>
      </c>
      <c r="CM85" s="138">
        <v>42736.0</v>
      </c>
      <c r="CN85" s="138">
        <v>42767.0</v>
      </c>
      <c r="CO85" s="138">
        <v>42795.0</v>
      </c>
      <c r="CP85" s="138">
        <v>42826.0</v>
      </c>
      <c r="CQ85" s="138">
        <v>42856.0</v>
      </c>
      <c r="CR85" s="138">
        <v>42887.0</v>
      </c>
      <c r="CS85" s="138">
        <v>42917.0</v>
      </c>
      <c r="CT85" s="138">
        <v>42948.0</v>
      </c>
      <c r="CU85" s="138">
        <v>42979.0</v>
      </c>
      <c r="CV85" s="138">
        <v>43009.0</v>
      </c>
      <c r="CW85" s="138">
        <v>43040.0</v>
      </c>
      <c r="CX85" s="138">
        <v>43070.0</v>
      </c>
      <c r="CY85" s="138">
        <v>43101.0</v>
      </c>
      <c r="CZ85" s="138">
        <v>43132.0</v>
      </c>
      <c r="DA85" s="138">
        <v>43160.0</v>
      </c>
      <c r="DB85" s="138">
        <v>43191.0</v>
      </c>
      <c r="DC85" s="138">
        <v>43221.0</v>
      </c>
      <c r="DD85" s="138">
        <v>43252.0</v>
      </c>
      <c r="DE85" s="138">
        <v>43282.0</v>
      </c>
      <c r="DF85" s="138">
        <v>43313.0</v>
      </c>
      <c r="DG85" s="138">
        <v>43344.0</v>
      </c>
      <c r="DH85" s="138">
        <v>43374.0</v>
      </c>
      <c r="DI85" s="138">
        <v>43405.0</v>
      </c>
      <c r="DJ85" s="138">
        <v>43435.0</v>
      </c>
      <c r="DK85" s="138">
        <v>43466.0</v>
      </c>
      <c r="DL85" s="138">
        <v>43497.0</v>
      </c>
      <c r="DM85" s="138">
        <v>43525.0</v>
      </c>
      <c r="DN85" s="139">
        <v>43556.0</v>
      </c>
      <c r="DO85" s="139">
        <v>43586.0</v>
      </c>
      <c r="DP85" s="139">
        <v>43617.0</v>
      </c>
      <c r="DQ85" s="139">
        <v>43647.0</v>
      </c>
      <c r="DR85" s="139">
        <v>43678.0</v>
      </c>
      <c r="DS85" s="139">
        <v>43709.0</v>
      </c>
      <c r="DT85" s="139">
        <v>43739.0</v>
      </c>
      <c r="DU85" s="139">
        <v>43770.0</v>
      </c>
      <c r="DV85" s="139">
        <v>43800.0</v>
      </c>
      <c r="DW85" s="139">
        <v>43831.0</v>
      </c>
      <c r="DX85" s="139">
        <v>43862.0</v>
      </c>
      <c r="DY85" s="139">
        <v>43891.0</v>
      </c>
      <c r="DZ85" s="139">
        <v>43922.0</v>
      </c>
      <c r="EA85" s="139">
        <v>43952.0</v>
      </c>
      <c r="EB85" s="139">
        <v>43983.0</v>
      </c>
      <c r="EC85" s="139">
        <v>44013.0</v>
      </c>
      <c r="ED85" s="139">
        <v>44044.0</v>
      </c>
      <c r="EE85" s="139">
        <v>44075.0</v>
      </c>
      <c r="EF85" s="139">
        <v>44105.0</v>
      </c>
      <c r="EG85" s="139">
        <v>44136.0</v>
      </c>
      <c r="EH85" s="139">
        <v>44166.0</v>
      </c>
      <c r="EI85" s="139">
        <v>44197.0</v>
      </c>
      <c r="EJ85" s="139">
        <v>44228.0</v>
      </c>
      <c r="EK85" s="139">
        <v>44256.0</v>
      </c>
      <c r="EL85" s="139">
        <v>44287.0</v>
      </c>
      <c r="EM85" s="139">
        <v>44317.0</v>
      </c>
      <c r="EN85" s="139">
        <v>44348.0</v>
      </c>
      <c r="EO85" s="139">
        <v>44378.0</v>
      </c>
      <c r="EP85" s="139">
        <v>44409.0</v>
      </c>
      <c r="EQ85" s="139">
        <v>44440.0</v>
      </c>
      <c r="ER85" s="139">
        <v>44470.0</v>
      </c>
      <c r="ES85" s="139">
        <v>44501.0</v>
      </c>
      <c r="ET85" s="139">
        <v>44531.0</v>
      </c>
      <c r="EU85" s="139">
        <v>44562.0</v>
      </c>
      <c r="EV85" s="139">
        <v>44593.0</v>
      </c>
      <c r="EW85" s="139">
        <v>44621.0</v>
      </c>
      <c r="EX85" s="139">
        <v>44652.0</v>
      </c>
      <c r="EY85" s="139">
        <v>44682.0</v>
      </c>
      <c r="EZ85" s="139">
        <v>44713.0</v>
      </c>
      <c r="FA85" s="139">
        <v>44743.0</v>
      </c>
      <c r="FB85" s="139">
        <v>44774.0</v>
      </c>
      <c r="FC85" s="139">
        <v>44805.0</v>
      </c>
      <c r="FD85" s="139">
        <v>44835.0</v>
      </c>
      <c r="FE85" s="139">
        <v>44866.0</v>
      </c>
      <c r="FF85" s="139">
        <v>44896.0</v>
      </c>
      <c r="FG85" s="139">
        <v>44927.0</v>
      </c>
      <c r="FH85" s="139">
        <v>44958.0</v>
      </c>
      <c r="FI85" s="139">
        <v>44986.0</v>
      </c>
      <c r="FJ85" s="139">
        <v>45017.0</v>
      </c>
      <c r="FK85" s="139">
        <v>45047.0</v>
      </c>
      <c r="FL85" s="139">
        <v>45078.0</v>
      </c>
      <c r="FM85" s="139">
        <v>45108.0</v>
      </c>
      <c r="FN85" s="139">
        <v>45139.0</v>
      </c>
      <c r="FO85" s="139">
        <v>45170.0</v>
      </c>
      <c r="FP85" s="139">
        <v>45200.0</v>
      </c>
      <c r="FQ85" s="139">
        <v>45231.0</v>
      </c>
      <c r="FR85" s="139">
        <v>45261.0</v>
      </c>
      <c r="FS85" s="139">
        <v>45292.0</v>
      </c>
      <c r="FT85" s="139">
        <v>45323.0</v>
      </c>
      <c r="FU85" s="139">
        <v>45352.0</v>
      </c>
      <c r="FV85" s="139">
        <v>45383.0</v>
      </c>
      <c r="FW85" s="139">
        <v>45413.0</v>
      </c>
      <c r="FX85" s="139">
        <v>45444.0</v>
      </c>
      <c r="FY85" s="139">
        <v>45474.0</v>
      </c>
      <c r="FZ85" s="139">
        <v>45505.0</v>
      </c>
      <c r="GA85" s="139">
        <v>45536.0</v>
      </c>
      <c r="GB85" s="139">
        <v>45566.0</v>
      </c>
      <c r="GC85" s="139">
        <v>45597.0</v>
      </c>
      <c r="GD85" s="139">
        <v>45627.0</v>
      </c>
      <c r="GE85" s="139">
        <v>45658.0</v>
      </c>
      <c r="GF85" s="139">
        <v>45689.0</v>
      </c>
      <c r="GG85" s="139">
        <v>45717.0</v>
      </c>
      <c r="GH85" s="139">
        <v>45748.0</v>
      </c>
      <c r="GI85" s="139">
        <v>45778.0</v>
      </c>
      <c r="GJ85" s="139">
        <v>45809.0</v>
      </c>
      <c r="GK85" s="139">
        <v>45839.0</v>
      </c>
    </row>
    <row r="86">
      <c r="A86" s="132" t="s">
        <v>34058</v>
      </c>
      <c r="B86" s="133" t="s">
        <v>1154</v>
      </c>
      <c r="C86" s="134">
        <v>43538.69230324074</v>
      </c>
      <c r="D86" s="135" t="str">
        <f t="shared" si="1"/>
        <v>2019/03/14</v>
      </c>
      <c r="E86" s="136" t="s">
        <v>34059</v>
      </c>
      <c r="F86" s="137">
        <v>0.00249</v>
      </c>
      <c r="G86" s="138">
        <v>40179.0</v>
      </c>
      <c r="H86" s="138">
        <v>40210.0</v>
      </c>
      <c r="I86" s="138">
        <v>40238.0</v>
      </c>
      <c r="J86" s="138">
        <v>40269.0</v>
      </c>
      <c r="K86" s="138">
        <v>40299.0</v>
      </c>
      <c r="L86" s="138">
        <v>40330.0</v>
      </c>
      <c r="M86" s="138">
        <v>40360.0</v>
      </c>
      <c r="N86" s="138">
        <v>40391.0</v>
      </c>
      <c r="O86" s="138">
        <v>40422.0</v>
      </c>
      <c r="P86" s="138">
        <v>40452.0</v>
      </c>
      <c r="Q86" s="138">
        <v>40483.0</v>
      </c>
      <c r="R86" s="138">
        <v>40513.0</v>
      </c>
      <c r="S86" s="138">
        <v>40544.0</v>
      </c>
      <c r="T86" s="138">
        <v>40575.0</v>
      </c>
      <c r="U86" s="138">
        <v>40603.0</v>
      </c>
      <c r="V86" s="138">
        <v>40634.0</v>
      </c>
      <c r="W86" s="138">
        <v>40664.0</v>
      </c>
      <c r="X86" s="138">
        <v>40695.0</v>
      </c>
      <c r="Y86" s="138">
        <v>40725.0</v>
      </c>
      <c r="Z86" s="138">
        <v>40756.0</v>
      </c>
      <c r="AA86" s="138">
        <v>40787.0</v>
      </c>
      <c r="AB86" s="138">
        <v>40817.0</v>
      </c>
      <c r="AC86" s="138">
        <v>40848.0</v>
      </c>
      <c r="AD86" s="138">
        <v>40878.0</v>
      </c>
      <c r="AE86" s="138">
        <v>40909.0</v>
      </c>
      <c r="AF86" s="138">
        <v>40940.0</v>
      </c>
      <c r="AG86" s="138">
        <v>40969.0</v>
      </c>
      <c r="AH86" s="138">
        <v>41000.0</v>
      </c>
      <c r="AI86" s="138">
        <v>41030.0</v>
      </c>
      <c r="AJ86" s="138">
        <v>41061.0</v>
      </c>
      <c r="AK86" s="138">
        <v>41091.0</v>
      </c>
      <c r="AL86" s="138">
        <v>41122.0</v>
      </c>
      <c r="AM86" s="138">
        <v>41153.0</v>
      </c>
      <c r="AN86" s="138">
        <v>41183.0</v>
      </c>
      <c r="AO86" s="138">
        <v>41214.0</v>
      </c>
      <c r="AP86" s="138">
        <v>41244.0</v>
      </c>
      <c r="AQ86" s="138">
        <v>41275.0</v>
      </c>
      <c r="AR86" s="138">
        <v>41306.0</v>
      </c>
      <c r="AS86" s="138">
        <v>41334.0</v>
      </c>
      <c r="AT86" s="138">
        <v>41365.0</v>
      </c>
      <c r="AU86" s="138">
        <v>41395.0</v>
      </c>
      <c r="AV86" s="138">
        <v>41426.0</v>
      </c>
      <c r="AW86" s="138">
        <v>41456.0</v>
      </c>
      <c r="AX86" s="138">
        <v>41487.0</v>
      </c>
      <c r="AY86" s="138">
        <v>41518.0</v>
      </c>
      <c r="AZ86" s="138">
        <v>41548.0</v>
      </c>
      <c r="BA86" s="138">
        <v>41579.0</v>
      </c>
      <c r="BB86" s="138">
        <v>41609.0</v>
      </c>
      <c r="BC86" s="138">
        <v>41640.0</v>
      </c>
      <c r="BD86" s="138">
        <v>41671.0</v>
      </c>
      <c r="BE86" s="138">
        <v>41699.0</v>
      </c>
      <c r="BF86" s="138">
        <v>41730.0</v>
      </c>
      <c r="BG86" s="138">
        <v>41760.0</v>
      </c>
      <c r="BH86" s="138">
        <v>41791.0</v>
      </c>
      <c r="BI86" s="138">
        <v>41821.0</v>
      </c>
      <c r="BJ86" s="138">
        <v>41852.0</v>
      </c>
      <c r="BK86" s="138">
        <v>41883.0</v>
      </c>
      <c r="BL86" s="138">
        <v>41913.0</v>
      </c>
      <c r="BM86" s="138">
        <v>41944.0</v>
      </c>
      <c r="BN86" s="138">
        <v>41974.0</v>
      </c>
      <c r="BO86" s="138">
        <v>42005.0</v>
      </c>
      <c r="BP86" s="138">
        <v>42036.0</v>
      </c>
      <c r="BQ86" s="138">
        <v>42064.0</v>
      </c>
      <c r="BR86" s="138">
        <v>42095.0</v>
      </c>
      <c r="BS86" s="138">
        <v>42125.0</v>
      </c>
      <c r="BT86" s="138">
        <v>42156.0</v>
      </c>
      <c r="BU86" s="138">
        <v>42186.0</v>
      </c>
      <c r="BV86" s="138">
        <v>42217.0</v>
      </c>
      <c r="BW86" s="138">
        <v>42248.0</v>
      </c>
      <c r="BX86" s="138">
        <v>42278.0</v>
      </c>
      <c r="BY86" s="138">
        <v>42309.0</v>
      </c>
      <c r="BZ86" s="138">
        <v>42339.0</v>
      </c>
      <c r="CA86" s="138">
        <v>42370.0</v>
      </c>
      <c r="CB86" s="138">
        <v>42401.0</v>
      </c>
      <c r="CC86" s="138">
        <v>42430.0</v>
      </c>
      <c r="CD86" s="138">
        <v>42461.0</v>
      </c>
      <c r="CE86" s="138">
        <v>42491.0</v>
      </c>
      <c r="CF86" s="138">
        <v>42522.0</v>
      </c>
      <c r="CG86" s="138">
        <v>42552.0</v>
      </c>
      <c r="CH86" s="138">
        <v>42583.0</v>
      </c>
      <c r="CI86" s="138">
        <v>42614.0</v>
      </c>
      <c r="CJ86" s="138">
        <v>42644.0</v>
      </c>
      <c r="CK86" s="138">
        <v>42675.0</v>
      </c>
      <c r="CL86" s="138">
        <v>42705.0</v>
      </c>
      <c r="CM86" s="138">
        <v>42736.0</v>
      </c>
      <c r="CN86" s="138">
        <v>42767.0</v>
      </c>
      <c r="CO86" s="138">
        <v>42795.0</v>
      </c>
      <c r="CP86" s="138">
        <v>42826.0</v>
      </c>
      <c r="CQ86" s="138">
        <v>42856.0</v>
      </c>
      <c r="CR86" s="138">
        <v>42887.0</v>
      </c>
      <c r="CS86" s="138">
        <v>42917.0</v>
      </c>
      <c r="CT86" s="138">
        <v>42948.0</v>
      </c>
      <c r="CU86" s="138">
        <v>42979.0</v>
      </c>
      <c r="CV86" s="138">
        <v>43009.0</v>
      </c>
      <c r="CW86" s="138">
        <v>43040.0</v>
      </c>
      <c r="CX86" s="138">
        <v>43070.0</v>
      </c>
      <c r="CY86" s="138">
        <v>43101.0</v>
      </c>
      <c r="CZ86" s="138">
        <v>43132.0</v>
      </c>
      <c r="DA86" s="138">
        <v>43160.0</v>
      </c>
      <c r="DB86" s="138">
        <v>43191.0</v>
      </c>
      <c r="DC86" s="138">
        <v>43221.0</v>
      </c>
      <c r="DD86" s="138">
        <v>43252.0</v>
      </c>
      <c r="DE86" s="138">
        <v>43282.0</v>
      </c>
      <c r="DF86" s="138">
        <v>43313.0</v>
      </c>
      <c r="DG86" s="138">
        <v>43344.0</v>
      </c>
      <c r="DH86" s="138">
        <v>43374.0</v>
      </c>
      <c r="DI86" s="138">
        <v>43405.0</v>
      </c>
      <c r="DJ86" s="138">
        <v>43435.0</v>
      </c>
      <c r="DK86" s="138">
        <v>43466.0</v>
      </c>
      <c r="DL86" s="138">
        <v>43497.0</v>
      </c>
      <c r="DM86" s="138">
        <v>43525.0</v>
      </c>
      <c r="DN86" s="139">
        <v>43556.0</v>
      </c>
      <c r="DO86" s="139">
        <v>43586.0</v>
      </c>
      <c r="DP86" s="139">
        <v>43617.0</v>
      </c>
      <c r="DQ86" s="139">
        <v>43647.0</v>
      </c>
      <c r="DR86" s="139">
        <v>43678.0</v>
      </c>
      <c r="DS86" s="139">
        <v>43709.0</v>
      </c>
      <c r="DT86" s="139">
        <v>43739.0</v>
      </c>
      <c r="DU86" s="139">
        <v>43770.0</v>
      </c>
      <c r="DV86" s="139">
        <v>43800.0</v>
      </c>
      <c r="DW86" s="139">
        <v>43831.0</v>
      </c>
      <c r="DX86" s="139">
        <v>43862.0</v>
      </c>
      <c r="DY86" s="139">
        <v>43891.0</v>
      </c>
      <c r="DZ86" s="139">
        <v>43922.0</v>
      </c>
      <c r="EA86" s="139">
        <v>43952.0</v>
      </c>
      <c r="EB86" s="139">
        <v>43983.0</v>
      </c>
      <c r="EC86" s="139">
        <v>44013.0</v>
      </c>
      <c r="ED86" s="139">
        <v>44044.0</v>
      </c>
      <c r="EE86" s="139">
        <v>44075.0</v>
      </c>
      <c r="EF86" s="139">
        <v>44105.0</v>
      </c>
      <c r="EG86" s="139">
        <v>44136.0</v>
      </c>
      <c r="EH86" s="139">
        <v>44166.0</v>
      </c>
      <c r="EI86" s="139">
        <v>44197.0</v>
      </c>
      <c r="EJ86" s="139">
        <v>44228.0</v>
      </c>
      <c r="EK86" s="139">
        <v>44256.0</v>
      </c>
      <c r="EL86" s="139">
        <v>44287.0</v>
      </c>
      <c r="EM86" s="139">
        <v>44317.0</v>
      </c>
      <c r="EN86" s="139">
        <v>44348.0</v>
      </c>
      <c r="EO86" s="139">
        <v>44378.0</v>
      </c>
      <c r="EP86" s="139">
        <v>44409.0</v>
      </c>
      <c r="EQ86" s="139">
        <v>44440.0</v>
      </c>
      <c r="ER86" s="139">
        <v>44470.0</v>
      </c>
      <c r="ES86" s="139">
        <v>44501.0</v>
      </c>
      <c r="ET86" s="139">
        <v>44531.0</v>
      </c>
      <c r="EU86" s="139">
        <v>44562.0</v>
      </c>
      <c r="EV86" s="139">
        <v>44593.0</v>
      </c>
      <c r="EW86" s="139">
        <v>44621.0</v>
      </c>
      <c r="EX86" s="139">
        <v>44652.0</v>
      </c>
      <c r="EY86" s="139">
        <v>44682.0</v>
      </c>
      <c r="EZ86" s="139">
        <v>44713.0</v>
      </c>
      <c r="FA86" s="139">
        <v>44743.0</v>
      </c>
      <c r="FB86" s="139">
        <v>44774.0</v>
      </c>
      <c r="FC86" s="139">
        <v>44805.0</v>
      </c>
      <c r="FD86" s="139">
        <v>44835.0</v>
      </c>
      <c r="FE86" s="139">
        <v>44866.0</v>
      </c>
      <c r="FF86" s="139">
        <v>44896.0</v>
      </c>
      <c r="FG86" s="139">
        <v>44927.0</v>
      </c>
      <c r="FH86" s="139">
        <v>44958.0</v>
      </c>
      <c r="FI86" s="139">
        <v>44986.0</v>
      </c>
      <c r="FJ86" s="139">
        <v>45017.0</v>
      </c>
      <c r="FK86" s="139">
        <v>45047.0</v>
      </c>
      <c r="FL86" s="139">
        <v>45078.0</v>
      </c>
      <c r="FM86" s="139">
        <v>45108.0</v>
      </c>
      <c r="FN86" s="139">
        <v>45139.0</v>
      </c>
      <c r="FO86" s="139">
        <v>45170.0</v>
      </c>
      <c r="FP86" s="139">
        <v>45200.0</v>
      </c>
      <c r="FQ86" s="139">
        <v>45231.0</v>
      </c>
      <c r="FR86" s="139">
        <v>45261.0</v>
      </c>
      <c r="FS86" s="139">
        <v>45292.0</v>
      </c>
      <c r="FT86" s="139">
        <v>45323.0</v>
      </c>
      <c r="FU86" s="139">
        <v>45352.0</v>
      </c>
      <c r="FV86" s="139">
        <v>45383.0</v>
      </c>
      <c r="FW86" s="139">
        <v>45413.0</v>
      </c>
      <c r="FX86" s="139">
        <v>45444.0</v>
      </c>
      <c r="FY86" s="139">
        <v>45474.0</v>
      </c>
      <c r="FZ86" s="139">
        <v>45505.0</v>
      </c>
      <c r="GA86" s="139">
        <v>45536.0</v>
      </c>
      <c r="GB86" s="139">
        <v>45566.0</v>
      </c>
      <c r="GC86" s="139">
        <v>45597.0</v>
      </c>
      <c r="GD86" s="139">
        <v>45627.0</v>
      </c>
      <c r="GE86" s="139">
        <v>45658.0</v>
      </c>
      <c r="GF86" s="139">
        <v>45689.0</v>
      </c>
      <c r="GG86" s="139">
        <v>45717.0</v>
      </c>
      <c r="GH86" s="139">
        <v>45748.0</v>
      </c>
      <c r="GI86" s="139">
        <v>45778.0</v>
      </c>
      <c r="GJ86" s="139">
        <v>45809.0</v>
      </c>
      <c r="GK86" s="139">
        <v>45839.0</v>
      </c>
    </row>
    <row r="87">
      <c r="A87" s="132" t="s">
        <v>34060</v>
      </c>
      <c r="B87" s="133" t="s">
        <v>1156</v>
      </c>
      <c r="C87" s="134">
        <v>43543.54460648148</v>
      </c>
      <c r="D87" s="135" t="str">
        <f t="shared" si="1"/>
        <v>2019/03/19</v>
      </c>
      <c r="E87" s="136" t="s">
        <v>34061</v>
      </c>
      <c r="F87" s="137">
        <v>0.05459</v>
      </c>
      <c r="G87" s="138">
        <v>40179.0</v>
      </c>
      <c r="H87" s="138">
        <v>40210.0</v>
      </c>
      <c r="I87" s="138">
        <v>40238.0</v>
      </c>
      <c r="J87" s="138">
        <v>40269.0</v>
      </c>
      <c r="K87" s="138">
        <v>40299.0</v>
      </c>
      <c r="L87" s="138">
        <v>40330.0</v>
      </c>
      <c r="M87" s="138">
        <v>40360.0</v>
      </c>
      <c r="N87" s="138">
        <v>40391.0</v>
      </c>
      <c r="O87" s="138">
        <v>40422.0</v>
      </c>
      <c r="P87" s="138">
        <v>40452.0</v>
      </c>
      <c r="Q87" s="138">
        <v>40483.0</v>
      </c>
      <c r="R87" s="138">
        <v>40513.0</v>
      </c>
      <c r="S87" s="138">
        <v>40544.0</v>
      </c>
      <c r="T87" s="138">
        <v>40575.0</v>
      </c>
      <c r="U87" s="138">
        <v>40603.0</v>
      </c>
      <c r="V87" s="138">
        <v>40634.0</v>
      </c>
      <c r="W87" s="138">
        <v>40664.0</v>
      </c>
      <c r="X87" s="138">
        <v>40695.0</v>
      </c>
      <c r="Y87" s="138">
        <v>40725.0</v>
      </c>
      <c r="Z87" s="138">
        <v>40756.0</v>
      </c>
      <c r="AA87" s="138">
        <v>40787.0</v>
      </c>
      <c r="AB87" s="138">
        <v>40817.0</v>
      </c>
      <c r="AC87" s="138">
        <v>40848.0</v>
      </c>
      <c r="AD87" s="138">
        <v>40878.0</v>
      </c>
      <c r="AE87" s="138">
        <v>40909.0</v>
      </c>
      <c r="AF87" s="138">
        <v>40940.0</v>
      </c>
      <c r="AG87" s="138">
        <v>40969.0</v>
      </c>
      <c r="AH87" s="138">
        <v>41000.0</v>
      </c>
      <c r="AI87" s="138">
        <v>41030.0</v>
      </c>
      <c r="AJ87" s="138">
        <v>41061.0</v>
      </c>
      <c r="AK87" s="138">
        <v>41091.0</v>
      </c>
      <c r="AL87" s="138">
        <v>41122.0</v>
      </c>
      <c r="AM87" s="138">
        <v>41153.0</v>
      </c>
      <c r="AN87" s="138">
        <v>41183.0</v>
      </c>
      <c r="AO87" s="138">
        <v>41214.0</v>
      </c>
      <c r="AP87" s="138">
        <v>41244.0</v>
      </c>
      <c r="AQ87" s="138">
        <v>41275.0</v>
      </c>
      <c r="AR87" s="138">
        <v>41306.0</v>
      </c>
      <c r="AS87" s="138">
        <v>41334.0</v>
      </c>
      <c r="AT87" s="138">
        <v>41365.0</v>
      </c>
      <c r="AU87" s="138">
        <v>41395.0</v>
      </c>
      <c r="AV87" s="138">
        <v>41426.0</v>
      </c>
      <c r="AW87" s="138">
        <v>41456.0</v>
      </c>
      <c r="AX87" s="138">
        <v>41487.0</v>
      </c>
      <c r="AY87" s="138">
        <v>41518.0</v>
      </c>
      <c r="AZ87" s="138">
        <v>41548.0</v>
      </c>
      <c r="BA87" s="138">
        <v>41579.0</v>
      </c>
      <c r="BB87" s="138">
        <v>41609.0</v>
      </c>
      <c r="BC87" s="138">
        <v>41640.0</v>
      </c>
      <c r="BD87" s="138">
        <v>41671.0</v>
      </c>
      <c r="BE87" s="138">
        <v>41699.0</v>
      </c>
      <c r="BF87" s="138">
        <v>41730.0</v>
      </c>
      <c r="BG87" s="138">
        <v>41760.0</v>
      </c>
      <c r="BH87" s="138">
        <v>41791.0</v>
      </c>
      <c r="BI87" s="138">
        <v>41821.0</v>
      </c>
      <c r="BJ87" s="138">
        <v>41852.0</v>
      </c>
      <c r="BK87" s="138">
        <v>41883.0</v>
      </c>
      <c r="BL87" s="138">
        <v>41913.0</v>
      </c>
      <c r="BM87" s="138">
        <v>41944.0</v>
      </c>
      <c r="BN87" s="138">
        <v>41974.0</v>
      </c>
      <c r="BO87" s="138">
        <v>42005.0</v>
      </c>
      <c r="BP87" s="138">
        <v>42036.0</v>
      </c>
      <c r="BQ87" s="138">
        <v>42064.0</v>
      </c>
      <c r="BR87" s="138">
        <v>42095.0</v>
      </c>
      <c r="BS87" s="138">
        <v>42125.0</v>
      </c>
      <c r="BT87" s="138">
        <v>42156.0</v>
      </c>
      <c r="BU87" s="138">
        <v>42186.0</v>
      </c>
      <c r="BV87" s="138">
        <v>42217.0</v>
      </c>
      <c r="BW87" s="138">
        <v>42248.0</v>
      </c>
      <c r="BX87" s="138">
        <v>42278.0</v>
      </c>
      <c r="BY87" s="138">
        <v>42309.0</v>
      </c>
      <c r="BZ87" s="138">
        <v>42339.0</v>
      </c>
      <c r="CA87" s="138">
        <v>42370.0</v>
      </c>
      <c r="CB87" s="138">
        <v>42401.0</v>
      </c>
      <c r="CC87" s="138">
        <v>42430.0</v>
      </c>
      <c r="CD87" s="138">
        <v>42461.0</v>
      </c>
      <c r="CE87" s="138">
        <v>42491.0</v>
      </c>
      <c r="CF87" s="138">
        <v>42522.0</v>
      </c>
      <c r="CG87" s="138">
        <v>42552.0</v>
      </c>
      <c r="CH87" s="138">
        <v>42583.0</v>
      </c>
      <c r="CI87" s="138">
        <v>42614.0</v>
      </c>
      <c r="CJ87" s="138">
        <v>42644.0</v>
      </c>
      <c r="CK87" s="138">
        <v>42675.0</v>
      </c>
      <c r="CL87" s="138">
        <v>42705.0</v>
      </c>
      <c r="CM87" s="138">
        <v>42736.0</v>
      </c>
      <c r="CN87" s="138">
        <v>42767.0</v>
      </c>
      <c r="CO87" s="138">
        <v>42795.0</v>
      </c>
      <c r="CP87" s="138">
        <v>42826.0</v>
      </c>
      <c r="CQ87" s="138">
        <v>42856.0</v>
      </c>
      <c r="CR87" s="138">
        <v>42887.0</v>
      </c>
      <c r="CS87" s="138">
        <v>42917.0</v>
      </c>
      <c r="CT87" s="138">
        <v>42948.0</v>
      </c>
      <c r="CU87" s="138">
        <v>42979.0</v>
      </c>
      <c r="CV87" s="138">
        <v>43009.0</v>
      </c>
      <c r="CW87" s="138">
        <v>43040.0</v>
      </c>
      <c r="CX87" s="138">
        <v>43070.0</v>
      </c>
      <c r="CY87" s="138">
        <v>43101.0</v>
      </c>
      <c r="CZ87" s="138">
        <v>43132.0</v>
      </c>
      <c r="DA87" s="138">
        <v>43160.0</v>
      </c>
      <c r="DB87" s="138">
        <v>43191.0</v>
      </c>
      <c r="DC87" s="138">
        <v>43221.0</v>
      </c>
      <c r="DD87" s="138">
        <v>43252.0</v>
      </c>
      <c r="DE87" s="138">
        <v>43282.0</v>
      </c>
      <c r="DF87" s="138">
        <v>43313.0</v>
      </c>
      <c r="DG87" s="138">
        <v>43344.0</v>
      </c>
      <c r="DH87" s="138">
        <v>43374.0</v>
      </c>
      <c r="DI87" s="138">
        <v>43405.0</v>
      </c>
      <c r="DJ87" s="138">
        <v>43435.0</v>
      </c>
      <c r="DK87" s="138">
        <v>43466.0</v>
      </c>
      <c r="DL87" s="138">
        <v>43497.0</v>
      </c>
      <c r="DM87" s="138">
        <v>43525.0</v>
      </c>
      <c r="DN87" s="139">
        <v>43556.0</v>
      </c>
      <c r="DO87" s="139">
        <v>43586.0</v>
      </c>
      <c r="DP87" s="139">
        <v>43617.0</v>
      </c>
      <c r="DQ87" s="139">
        <v>43647.0</v>
      </c>
      <c r="DR87" s="139">
        <v>43678.0</v>
      </c>
      <c r="DS87" s="139">
        <v>43709.0</v>
      </c>
      <c r="DT87" s="139">
        <v>43739.0</v>
      </c>
      <c r="DU87" s="139">
        <v>43770.0</v>
      </c>
      <c r="DV87" s="139">
        <v>43800.0</v>
      </c>
      <c r="DW87" s="139">
        <v>43831.0</v>
      </c>
      <c r="DX87" s="139">
        <v>43862.0</v>
      </c>
      <c r="DY87" s="139">
        <v>43891.0</v>
      </c>
      <c r="DZ87" s="139">
        <v>43922.0</v>
      </c>
      <c r="EA87" s="139">
        <v>43952.0</v>
      </c>
      <c r="EB87" s="139">
        <v>43983.0</v>
      </c>
      <c r="EC87" s="139">
        <v>44013.0</v>
      </c>
      <c r="ED87" s="139">
        <v>44044.0</v>
      </c>
      <c r="EE87" s="139">
        <v>44075.0</v>
      </c>
      <c r="EF87" s="139">
        <v>44105.0</v>
      </c>
      <c r="EG87" s="139">
        <v>44136.0</v>
      </c>
      <c r="EH87" s="139">
        <v>44166.0</v>
      </c>
      <c r="EI87" s="139">
        <v>44197.0</v>
      </c>
      <c r="EJ87" s="139">
        <v>44228.0</v>
      </c>
      <c r="EK87" s="139">
        <v>44256.0</v>
      </c>
      <c r="EL87" s="139">
        <v>44287.0</v>
      </c>
      <c r="EM87" s="139">
        <v>44317.0</v>
      </c>
      <c r="EN87" s="139">
        <v>44348.0</v>
      </c>
      <c r="EO87" s="139">
        <v>44378.0</v>
      </c>
      <c r="EP87" s="139">
        <v>44409.0</v>
      </c>
      <c r="EQ87" s="139">
        <v>44440.0</v>
      </c>
      <c r="ER87" s="139">
        <v>44470.0</v>
      </c>
      <c r="ES87" s="139">
        <v>44501.0</v>
      </c>
      <c r="ET87" s="139">
        <v>44531.0</v>
      </c>
      <c r="EU87" s="139">
        <v>44562.0</v>
      </c>
      <c r="EV87" s="139">
        <v>44593.0</v>
      </c>
      <c r="EW87" s="139">
        <v>44621.0</v>
      </c>
      <c r="EX87" s="139">
        <v>44652.0</v>
      </c>
      <c r="EY87" s="139">
        <v>44682.0</v>
      </c>
      <c r="EZ87" s="139">
        <v>44713.0</v>
      </c>
      <c r="FA87" s="139">
        <v>44743.0</v>
      </c>
      <c r="FB87" s="139">
        <v>44774.0</v>
      </c>
      <c r="FC87" s="139">
        <v>44805.0</v>
      </c>
      <c r="FD87" s="139">
        <v>44835.0</v>
      </c>
      <c r="FE87" s="139">
        <v>44866.0</v>
      </c>
      <c r="FF87" s="139">
        <v>44896.0</v>
      </c>
      <c r="FG87" s="139">
        <v>44927.0</v>
      </c>
      <c r="FH87" s="139">
        <v>44958.0</v>
      </c>
      <c r="FI87" s="139">
        <v>44986.0</v>
      </c>
      <c r="FJ87" s="139">
        <v>45017.0</v>
      </c>
      <c r="FK87" s="139">
        <v>45047.0</v>
      </c>
      <c r="FL87" s="139">
        <v>45078.0</v>
      </c>
      <c r="FM87" s="139">
        <v>45108.0</v>
      </c>
      <c r="FN87" s="139">
        <v>45139.0</v>
      </c>
      <c r="FO87" s="139">
        <v>45170.0</v>
      </c>
      <c r="FP87" s="139">
        <v>45200.0</v>
      </c>
      <c r="FQ87" s="139">
        <v>45231.0</v>
      </c>
      <c r="FR87" s="139">
        <v>45261.0</v>
      </c>
      <c r="FS87" s="139">
        <v>45292.0</v>
      </c>
      <c r="FT87" s="139">
        <v>45323.0</v>
      </c>
      <c r="FU87" s="139">
        <v>45352.0</v>
      </c>
      <c r="FV87" s="139">
        <v>45383.0</v>
      </c>
      <c r="FW87" s="139">
        <v>45413.0</v>
      </c>
      <c r="FX87" s="139">
        <v>45444.0</v>
      </c>
      <c r="FY87" s="139">
        <v>45474.0</v>
      </c>
      <c r="FZ87" s="139">
        <v>45505.0</v>
      </c>
      <c r="GA87" s="139">
        <v>45536.0</v>
      </c>
      <c r="GB87" s="139">
        <v>45566.0</v>
      </c>
      <c r="GC87" s="139">
        <v>45597.0</v>
      </c>
      <c r="GD87" s="139">
        <v>45627.0</v>
      </c>
      <c r="GE87" s="139">
        <v>45658.0</v>
      </c>
      <c r="GF87" s="139">
        <v>45689.0</v>
      </c>
      <c r="GG87" s="139">
        <v>45717.0</v>
      </c>
      <c r="GH87" s="139">
        <v>45748.0</v>
      </c>
      <c r="GI87" s="139">
        <v>45778.0</v>
      </c>
      <c r="GJ87" s="139">
        <v>45809.0</v>
      </c>
      <c r="GK87" s="139">
        <v>45839.0</v>
      </c>
    </row>
    <row r="88">
      <c r="A88" s="132" t="s">
        <v>34062</v>
      </c>
      <c r="B88" s="133" t="s">
        <v>1139</v>
      </c>
      <c r="C88" s="134">
        <v>43553.70039351852</v>
      </c>
      <c r="D88" s="135" t="str">
        <f t="shared" si="1"/>
        <v>2019/03/29</v>
      </c>
      <c r="E88" s="136" t="s">
        <v>34063</v>
      </c>
      <c r="F88" s="137">
        <v>0.02589</v>
      </c>
      <c r="G88" s="138">
        <v>40179.0</v>
      </c>
      <c r="H88" s="138">
        <v>40210.0</v>
      </c>
      <c r="I88" s="138">
        <v>40238.0</v>
      </c>
      <c r="J88" s="138">
        <v>40269.0</v>
      </c>
      <c r="K88" s="138">
        <v>40299.0</v>
      </c>
      <c r="L88" s="138">
        <v>40330.0</v>
      </c>
      <c r="M88" s="138">
        <v>40360.0</v>
      </c>
      <c r="N88" s="138">
        <v>40391.0</v>
      </c>
      <c r="O88" s="138">
        <v>40422.0</v>
      </c>
      <c r="P88" s="138">
        <v>40452.0</v>
      </c>
      <c r="Q88" s="138">
        <v>40483.0</v>
      </c>
      <c r="R88" s="138">
        <v>40513.0</v>
      </c>
      <c r="S88" s="138">
        <v>40544.0</v>
      </c>
      <c r="T88" s="138">
        <v>40575.0</v>
      </c>
      <c r="U88" s="138">
        <v>40603.0</v>
      </c>
      <c r="V88" s="138">
        <v>40634.0</v>
      </c>
      <c r="W88" s="138">
        <v>40664.0</v>
      </c>
      <c r="X88" s="138">
        <v>40695.0</v>
      </c>
      <c r="Y88" s="138">
        <v>40725.0</v>
      </c>
      <c r="Z88" s="138">
        <v>40756.0</v>
      </c>
      <c r="AA88" s="138">
        <v>40787.0</v>
      </c>
      <c r="AB88" s="138">
        <v>40817.0</v>
      </c>
      <c r="AC88" s="138">
        <v>40848.0</v>
      </c>
      <c r="AD88" s="138">
        <v>40878.0</v>
      </c>
      <c r="AE88" s="138">
        <v>40909.0</v>
      </c>
      <c r="AF88" s="138">
        <v>40940.0</v>
      </c>
      <c r="AG88" s="138">
        <v>40969.0</v>
      </c>
      <c r="AH88" s="138">
        <v>41000.0</v>
      </c>
      <c r="AI88" s="138">
        <v>41030.0</v>
      </c>
      <c r="AJ88" s="138">
        <v>41061.0</v>
      </c>
      <c r="AK88" s="138">
        <v>41091.0</v>
      </c>
      <c r="AL88" s="138">
        <v>41122.0</v>
      </c>
      <c r="AM88" s="138">
        <v>41153.0</v>
      </c>
      <c r="AN88" s="138">
        <v>41183.0</v>
      </c>
      <c r="AO88" s="138">
        <v>41214.0</v>
      </c>
      <c r="AP88" s="138">
        <v>41244.0</v>
      </c>
      <c r="AQ88" s="138">
        <v>41275.0</v>
      </c>
      <c r="AR88" s="138">
        <v>41306.0</v>
      </c>
      <c r="AS88" s="138">
        <v>41334.0</v>
      </c>
      <c r="AT88" s="138">
        <v>41365.0</v>
      </c>
      <c r="AU88" s="138">
        <v>41395.0</v>
      </c>
      <c r="AV88" s="138">
        <v>41426.0</v>
      </c>
      <c r="AW88" s="138">
        <v>41456.0</v>
      </c>
      <c r="AX88" s="138">
        <v>41487.0</v>
      </c>
      <c r="AY88" s="138">
        <v>41518.0</v>
      </c>
      <c r="AZ88" s="138">
        <v>41548.0</v>
      </c>
      <c r="BA88" s="138">
        <v>41579.0</v>
      </c>
      <c r="BB88" s="138">
        <v>41609.0</v>
      </c>
      <c r="BC88" s="138">
        <v>41640.0</v>
      </c>
      <c r="BD88" s="138">
        <v>41671.0</v>
      </c>
      <c r="BE88" s="138">
        <v>41699.0</v>
      </c>
      <c r="BF88" s="138">
        <v>41730.0</v>
      </c>
      <c r="BG88" s="138">
        <v>41760.0</v>
      </c>
      <c r="BH88" s="138">
        <v>41791.0</v>
      </c>
      <c r="BI88" s="138">
        <v>41821.0</v>
      </c>
      <c r="BJ88" s="138">
        <v>41852.0</v>
      </c>
      <c r="BK88" s="138">
        <v>41883.0</v>
      </c>
      <c r="BL88" s="138">
        <v>41913.0</v>
      </c>
      <c r="BM88" s="138">
        <v>41944.0</v>
      </c>
      <c r="BN88" s="138">
        <v>41974.0</v>
      </c>
      <c r="BO88" s="138">
        <v>42005.0</v>
      </c>
      <c r="BP88" s="138">
        <v>42036.0</v>
      </c>
      <c r="BQ88" s="138">
        <v>42064.0</v>
      </c>
      <c r="BR88" s="138">
        <v>42095.0</v>
      </c>
      <c r="BS88" s="138">
        <v>42125.0</v>
      </c>
      <c r="BT88" s="138">
        <v>42156.0</v>
      </c>
      <c r="BU88" s="138">
        <v>42186.0</v>
      </c>
      <c r="BV88" s="138">
        <v>42217.0</v>
      </c>
      <c r="BW88" s="138">
        <v>42248.0</v>
      </c>
      <c r="BX88" s="138">
        <v>42278.0</v>
      </c>
      <c r="BY88" s="138">
        <v>42309.0</v>
      </c>
      <c r="BZ88" s="138">
        <v>42339.0</v>
      </c>
      <c r="CA88" s="138">
        <v>42370.0</v>
      </c>
      <c r="CB88" s="138">
        <v>42401.0</v>
      </c>
      <c r="CC88" s="138">
        <v>42430.0</v>
      </c>
      <c r="CD88" s="138">
        <v>42461.0</v>
      </c>
      <c r="CE88" s="138">
        <v>42491.0</v>
      </c>
      <c r="CF88" s="138">
        <v>42522.0</v>
      </c>
      <c r="CG88" s="138">
        <v>42552.0</v>
      </c>
      <c r="CH88" s="138">
        <v>42583.0</v>
      </c>
      <c r="CI88" s="138">
        <v>42614.0</v>
      </c>
      <c r="CJ88" s="138">
        <v>42644.0</v>
      </c>
      <c r="CK88" s="138">
        <v>42675.0</v>
      </c>
      <c r="CL88" s="138">
        <v>42705.0</v>
      </c>
      <c r="CM88" s="138">
        <v>42736.0</v>
      </c>
      <c r="CN88" s="138">
        <v>42767.0</v>
      </c>
      <c r="CO88" s="138">
        <v>42795.0</v>
      </c>
      <c r="CP88" s="138">
        <v>42826.0</v>
      </c>
      <c r="CQ88" s="138">
        <v>42856.0</v>
      </c>
      <c r="CR88" s="138">
        <v>42887.0</v>
      </c>
      <c r="CS88" s="138">
        <v>42917.0</v>
      </c>
      <c r="CT88" s="138">
        <v>42948.0</v>
      </c>
      <c r="CU88" s="138">
        <v>42979.0</v>
      </c>
      <c r="CV88" s="138">
        <v>43009.0</v>
      </c>
      <c r="CW88" s="138">
        <v>43040.0</v>
      </c>
      <c r="CX88" s="138">
        <v>43070.0</v>
      </c>
      <c r="CY88" s="138">
        <v>43101.0</v>
      </c>
      <c r="CZ88" s="138">
        <v>43132.0</v>
      </c>
      <c r="DA88" s="138">
        <v>43160.0</v>
      </c>
      <c r="DB88" s="138">
        <v>43191.0</v>
      </c>
      <c r="DC88" s="138">
        <v>43221.0</v>
      </c>
      <c r="DD88" s="138">
        <v>43252.0</v>
      </c>
      <c r="DE88" s="138">
        <v>43282.0</v>
      </c>
      <c r="DF88" s="138">
        <v>43313.0</v>
      </c>
      <c r="DG88" s="138">
        <v>43344.0</v>
      </c>
      <c r="DH88" s="138">
        <v>43374.0</v>
      </c>
      <c r="DI88" s="138">
        <v>43405.0</v>
      </c>
      <c r="DJ88" s="138">
        <v>43435.0</v>
      </c>
      <c r="DK88" s="138">
        <v>43466.0</v>
      </c>
      <c r="DL88" s="138">
        <v>43497.0</v>
      </c>
      <c r="DM88" s="138">
        <v>43525.0</v>
      </c>
      <c r="DN88" s="139">
        <v>43556.0</v>
      </c>
      <c r="DO88" s="139">
        <v>43586.0</v>
      </c>
      <c r="DP88" s="139">
        <v>43617.0</v>
      </c>
      <c r="DQ88" s="139">
        <v>43647.0</v>
      </c>
      <c r="DR88" s="139">
        <v>43678.0</v>
      </c>
      <c r="DS88" s="139">
        <v>43709.0</v>
      </c>
      <c r="DT88" s="139">
        <v>43739.0</v>
      </c>
      <c r="DU88" s="139">
        <v>43770.0</v>
      </c>
      <c r="DV88" s="139">
        <v>43800.0</v>
      </c>
      <c r="DW88" s="139">
        <v>43831.0</v>
      </c>
      <c r="DX88" s="139">
        <v>43862.0</v>
      </c>
      <c r="DY88" s="139">
        <v>43891.0</v>
      </c>
      <c r="DZ88" s="139">
        <v>43922.0</v>
      </c>
      <c r="EA88" s="139">
        <v>43952.0</v>
      </c>
      <c r="EB88" s="139">
        <v>43983.0</v>
      </c>
      <c r="EC88" s="139">
        <v>44013.0</v>
      </c>
      <c r="ED88" s="139">
        <v>44044.0</v>
      </c>
      <c r="EE88" s="139">
        <v>44075.0</v>
      </c>
      <c r="EF88" s="139">
        <v>44105.0</v>
      </c>
      <c r="EG88" s="139">
        <v>44136.0</v>
      </c>
      <c r="EH88" s="139">
        <v>44166.0</v>
      </c>
      <c r="EI88" s="139">
        <v>44197.0</v>
      </c>
      <c r="EJ88" s="139">
        <v>44228.0</v>
      </c>
      <c r="EK88" s="139">
        <v>44256.0</v>
      </c>
      <c r="EL88" s="139">
        <v>44287.0</v>
      </c>
      <c r="EM88" s="139">
        <v>44317.0</v>
      </c>
      <c r="EN88" s="139">
        <v>44348.0</v>
      </c>
      <c r="EO88" s="139">
        <v>44378.0</v>
      </c>
      <c r="EP88" s="139">
        <v>44409.0</v>
      </c>
      <c r="EQ88" s="139">
        <v>44440.0</v>
      </c>
      <c r="ER88" s="139">
        <v>44470.0</v>
      </c>
      <c r="ES88" s="139">
        <v>44501.0</v>
      </c>
      <c r="ET88" s="139">
        <v>44531.0</v>
      </c>
      <c r="EU88" s="139">
        <v>44562.0</v>
      </c>
      <c r="EV88" s="139">
        <v>44593.0</v>
      </c>
      <c r="EW88" s="139">
        <v>44621.0</v>
      </c>
      <c r="EX88" s="139">
        <v>44652.0</v>
      </c>
      <c r="EY88" s="139">
        <v>44682.0</v>
      </c>
      <c r="EZ88" s="139">
        <v>44713.0</v>
      </c>
      <c r="FA88" s="139">
        <v>44743.0</v>
      </c>
      <c r="FB88" s="139">
        <v>44774.0</v>
      </c>
      <c r="FC88" s="139">
        <v>44805.0</v>
      </c>
      <c r="FD88" s="139">
        <v>44835.0</v>
      </c>
      <c r="FE88" s="139">
        <v>44866.0</v>
      </c>
      <c r="FF88" s="139">
        <v>44896.0</v>
      </c>
      <c r="FG88" s="139">
        <v>44927.0</v>
      </c>
      <c r="FH88" s="139">
        <v>44958.0</v>
      </c>
      <c r="FI88" s="139">
        <v>44986.0</v>
      </c>
      <c r="FJ88" s="139">
        <v>45017.0</v>
      </c>
      <c r="FK88" s="139">
        <v>45047.0</v>
      </c>
      <c r="FL88" s="139">
        <v>45078.0</v>
      </c>
      <c r="FM88" s="139">
        <v>45108.0</v>
      </c>
      <c r="FN88" s="139">
        <v>45139.0</v>
      </c>
      <c r="FO88" s="139">
        <v>45170.0</v>
      </c>
      <c r="FP88" s="139">
        <v>45200.0</v>
      </c>
      <c r="FQ88" s="139">
        <v>45231.0</v>
      </c>
      <c r="FR88" s="139">
        <v>45261.0</v>
      </c>
      <c r="FS88" s="139">
        <v>45292.0</v>
      </c>
      <c r="FT88" s="139">
        <v>45323.0</v>
      </c>
      <c r="FU88" s="139">
        <v>45352.0</v>
      </c>
      <c r="FV88" s="139">
        <v>45383.0</v>
      </c>
      <c r="FW88" s="139">
        <v>45413.0</v>
      </c>
      <c r="FX88" s="139">
        <v>45444.0</v>
      </c>
      <c r="FY88" s="139">
        <v>45474.0</v>
      </c>
      <c r="FZ88" s="139">
        <v>45505.0</v>
      </c>
      <c r="GA88" s="139">
        <v>45536.0</v>
      </c>
      <c r="GB88" s="139">
        <v>45566.0</v>
      </c>
      <c r="GC88" s="139">
        <v>45597.0</v>
      </c>
      <c r="GD88" s="139">
        <v>45627.0</v>
      </c>
      <c r="GE88" s="139">
        <v>45658.0</v>
      </c>
      <c r="GF88" s="139">
        <v>45689.0</v>
      </c>
      <c r="GG88" s="139">
        <v>45717.0</v>
      </c>
      <c r="GH88" s="139">
        <v>45748.0</v>
      </c>
      <c r="GI88" s="139">
        <v>45778.0</v>
      </c>
      <c r="GJ88" s="139">
        <v>45809.0</v>
      </c>
      <c r="GK88" s="139">
        <v>45839.0</v>
      </c>
    </row>
    <row r="89">
      <c r="A89" s="132" t="s">
        <v>34064</v>
      </c>
      <c r="B89" s="133" t="s">
        <v>444</v>
      </c>
      <c r="C89" s="134">
        <v>43558.79549768518</v>
      </c>
      <c r="D89" s="135" t="str">
        <f t="shared" si="1"/>
        <v>2019/04/03</v>
      </c>
      <c r="E89" s="136" t="s">
        <v>34065</v>
      </c>
      <c r="F89" s="137">
        <v>0.001</v>
      </c>
      <c r="G89" s="138">
        <v>40179.0</v>
      </c>
      <c r="H89" s="138">
        <v>40210.0</v>
      </c>
      <c r="I89" s="138">
        <v>40238.0</v>
      </c>
      <c r="J89" s="138">
        <v>40269.0</v>
      </c>
      <c r="K89" s="138">
        <v>40299.0</v>
      </c>
      <c r="L89" s="138">
        <v>40330.0</v>
      </c>
      <c r="M89" s="138">
        <v>40360.0</v>
      </c>
      <c r="N89" s="138">
        <v>40391.0</v>
      </c>
      <c r="O89" s="138">
        <v>40422.0</v>
      </c>
      <c r="P89" s="138">
        <v>40452.0</v>
      </c>
      <c r="Q89" s="138">
        <v>40483.0</v>
      </c>
      <c r="R89" s="138">
        <v>40513.0</v>
      </c>
      <c r="S89" s="138">
        <v>40544.0</v>
      </c>
      <c r="T89" s="138">
        <v>40575.0</v>
      </c>
      <c r="U89" s="138">
        <v>40603.0</v>
      </c>
      <c r="V89" s="138">
        <v>40634.0</v>
      </c>
      <c r="W89" s="138">
        <v>40664.0</v>
      </c>
      <c r="X89" s="138">
        <v>40695.0</v>
      </c>
      <c r="Y89" s="138">
        <v>40725.0</v>
      </c>
      <c r="Z89" s="138">
        <v>40756.0</v>
      </c>
      <c r="AA89" s="138">
        <v>40787.0</v>
      </c>
      <c r="AB89" s="138">
        <v>40817.0</v>
      </c>
      <c r="AC89" s="138">
        <v>40848.0</v>
      </c>
      <c r="AD89" s="138">
        <v>40878.0</v>
      </c>
      <c r="AE89" s="138">
        <v>40909.0</v>
      </c>
      <c r="AF89" s="138">
        <v>40940.0</v>
      </c>
      <c r="AG89" s="138">
        <v>40969.0</v>
      </c>
      <c r="AH89" s="138">
        <v>41000.0</v>
      </c>
      <c r="AI89" s="138">
        <v>41030.0</v>
      </c>
      <c r="AJ89" s="138">
        <v>41061.0</v>
      </c>
      <c r="AK89" s="138">
        <v>41091.0</v>
      </c>
      <c r="AL89" s="138">
        <v>41122.0</v>
      </c>
      <c r="AM89" s="138">
        <v>41153.0</v>
      </c>
      <c r="AN89" s="138">
        <v>41183.0</v>
      </c>
      <c r="AO89" s="138">
        <v>41214.0</v>
      </c>
      <c r="AP89" s="138">
        <v>41244.0</v>
      </c>
      <c r="AQ89" s="138">
        <v>41275.0</v>
      </c>
      <c r="AR89" s="138">
        <v>41306.0</v>
      </c>
      <c r="AS89" s="138">
        <v>41334.0</v>
      </c>
      <c r="AT89" s="138">
        <v>41365.0</v>
      </c>
      <c r="AU89" s="138">
        <v>41395.0</v>
      </c>
      <c r="AV89" s="138">
        <v>41426.0</v>
      </c>
      <c r="AW89" s="138">
        <v>41456.0</v>
      </c>
      <c r="AX89" s="138">
        <v>41487.0</v>
      </c>
      <c r="AY89" s="138">
        <v>41518.0</v>
      </c>
      <c r="AZ89" s="138">
        <v>41548.0</v>
      </c>
      <c r="BA89" s="138">
        <v>41579.0</v>
      </c>
      <c r="BB89" s="138">
        <v>41609.0</v>
      </c>
      <c r="BC89" s="138">
        <v>41640.0</v>
      </c>
      <c r="BD89" s="138">
        <v>41671.0</v>
      </c>
      <c r="BE89" s="138">
        <v>41699.0</v>
      </c>
      <c r="BF89" s="138">
        <v>41730.0</v>
      </c>
      <c r="BG89" s="138">
        <v>41760.0</v>
      </c>
      <c r="BH89" s="138">
        <v>41791.0</v>
      </c>
      <c r="BI89" s="138">
        <v>41821.0</v>
      </c>
      <c r="BJ89" s="138">
        <v>41852.0</v>
      </c>
      <c r="BK89" s="138">
        <v>41883.0</v>
      </c>
      <c r="BL89" s="138">
        <v>41913.0</v>
      </c>
      <c r="BM89" s="138">
        <v>41944.0</v>
      </c>
      <c r="BN89" s="138">
        <v>41974.0</v>
      </c>
      <c r="BO89" s="138">
        <v>42005.0</v>
      </c>
      <c r="BP89" s="138">
        <v>42036.0</v>
      </c>
      <c r="BQ89" s="138">
        <v>42064.0</v>
      </c>
      <c r="BR89" s="138">
        <v>42095.0</v>
      </c>
      <c r="BS89" s="138">
        <v>42125.0</v>
      </c>
      <c r="BT89" s="138">
        <v>42156.0</v>
      </c>
      <c r="BU89" s="138">
        <v>42186.0</v>
      </c>
      <c r="BV89" s="138">
        <v>42217.0</v>
      </c>
      <c r="BW89" s="138">
        <v>42248.0</v>
      </c>
      <c r="BX89" s="138">
        <v>42278.0</v>
      </c>
      <c r="BY89" s="138">
        <v>42309.0</v>
      </c>
      <c r="BZ89" s="138">
        <v>42339.0</v>
      </c>
      <c r="CA89" s="138">
        <v>42370.0</v>
      </c>
      <c r="CB89" s="138">
        <v>42401.0</v>
      </c>
      <c r="CC89" s="138">
        <v>42430.0</v>
      </c>
      <c r="CD89" s="138">
        <v>42461.0</v>
      </c>
      <c r="CE89" s="138">
        <v>42491.0</v>
      </c>
      <c r="CF89" s="138">
        <v>42522.0</v>
      </c>
      <c r="CG89" s="138">
        <v>42552.0</v>
      </c>
      <c r="CH89" s="138">
        <v>42583.0</v>
      </c>
      <c r="CI89" s="138">
        <v>42614.0</v>
      </c>
      <c r="CJ89" s="138">
        <v>42644.0</v>
      </c>
      <c r="CK89" s="138">
        <v>42675.0</v>
      </c>
      <c r="CL89" s="138">
        <v>42705.0</v>
      </c>
      <c r="CM89" s="138">
        <v>42736.0</v>
      </c>
      <c r="CN89" s="138">
        <v>42767.0</v>
      </c>
      <c r="CO89" s="138">
        <v>42795.0</v>
      </c>
      <c r="CP89" s="138">
        <v>42826.0</v>
      </c>
      <c r="CQ89" s="138">
        <v>42856.0</v>
      </c>
      <c r="CR89" s="138">
        <v>42887.0</v>
      </c>
      <c r="CS89" s="138">
        <v>42917.0</v>
      </c>
      <c r="CT89" s="138">
        <v>42948.0</v>
      </c>
      <c r="CU89" s="138">
        <v>42979.0</v>
      </c>
      <c r="CV89" s="138">
        <v>43009.0</v>
      </c>
      <c r="CW89" s="138">
        <v>43040.0</v>
      </c>
      <c r="CX89" s="138">
        <v>43070.0</v>
      </c>
      <c r="CY89" s="138">
        <v>43101.0</v>
      </c>
      <c r="CZ89" s="138">
        <v>43132.0</v>
      </c>
      <c r="DA89" s="138">
        <v>43160.0</v>
      </c>
      <c r="DB89" s="138">
        <v>43191.0</v>
      </c>
      <c r="DC89" s="138">
        <v>43221.0</v>
      </c>
      <c r="DD89" s="138">
        <v>43252.0</v>
      </c>
      <c r="DE89" s="138">
        <v>43282.0</v>
      </c>
      <c r="DF89" s="138">
        <v>43313.0</v>
      </c>
      <c r="DG89" s="138">
        <v>43344.0</v>
      </c>
      <c r="DH89" s="138">
        <v>43374.0</v>
      </c>
      <c r="DI89" s="138">
        <v>43405.0</v>
      </c>
      <c r="DJ89" s="138">
        <v>43435.0</v>
      </c>
      <c r="DK89" s="138">
        <v>43466.0</v>
      </c>
      <c r="DL89" s="138">
        <v>43497.0</v>
      </c>
      <c r="DM89" s="138">
        <v>43525.0</v>
      </c>
      <c r="DN89" s="138">
        <v>43556.0</v>
      </c>
      <c r="DO89" s="139">
        <v>43586.0</v>
      </c>
      <c r="DP89" s="139">
        <v>43617.0</v>
      </c>
      <c r="DQ89" s="139">
        <v>43647.0</v>
      </c>
      <c r="DR89" s="139">
        <v>43678.0</v>
      </c>
      <c r="DS89" s="139">
        <v>43709.0</v>
      </c>
      <c r="DT89" s="139">
        <v>43739.0</v>
      </c>
      <c r="DU89" s="139">
        <v>43770.0</v>
      </c>
      <c r="DV89" s="139">
        <v>43800.0</v>
      </c>
      <c r="DW89" s="139">
        <v>43831.0</v>
      </c>
      <c r="DX89" s="139">
        <v>43862.0</v>
      </c>
      <c r="DY89" s="139">
        <v>43891.0</v>
      </c>
      <c r="DZ89" s="139">
        <v>43922.0</v>
      </c>
      <c r="EA89" s="139">
        <v>43952.0</v>
      </c>
      <c r="EB89" s="139">
        <v>43983.0</v>
      </c>
      <c r="EC89" s="139">
        <v>44013.0</v>
      </c>
      <c r="ED89" s="139">
        <v>44044.0</v>
      </c>
      <c r="EE89" s="139">
        <v>44075.0</v>
      </c>
      <c r="EF89" s="139">
        <v>44105.0</v>
      </c>
      <c r="EG89" s="139">
        <v>44136.0</v>
      </c>
      <c r="EH89" s="139">
        <v>44166.0</v>
      </c>
      <c r="EI89" s="139">
        <v>44197.0</v>
      </c>
      <c r="EJ89" s="139">
        <v>44228.0</v>
      </c>
      <c r="EK89" s="139">
        <v>44256.0</v>
      </c>
      <c r="EL89" s="139">
        <v>44287.0</v>
      </c>
      <c r="EM89" s="139">
        <v>44317.0</v>
      </c>
      <c r="EN89" s="139">
        <v>44348.0</v>
      </c>
      <c r="EO89" s="139">
        <v>44378.0</v>
      </c>
      <c r="EP89" s="139">
        <v>44409.0</v>
      </c>
      <c r="EQ89" s="139">
        <v>44440.0</v>
      </c>
      <c r="ER89" s="139">
        <v>44470.0</v>
      </c>
      <c r="ES89" s="139">
        <v>44501.0</v>
      </c>
      <c r="ET89" s="139">
        <v>44531.0</v>
      </c>
      <c r="EU89" s="139">
        <v>44562.0</v>
      </c>
      <c r="EV89" s="139">
        <v>44593.0</v>
      </c>
      <c r="EW89" s="139">
        <v>44621.0</v>
      </c>
      <c r="EX89" s="139">
        <v>44652.0</v>
      </c>
      <c r="EY89" s="139">
        <v>44682.0</v>
      </c>
      <c r="EZ89" s="139">
        <v>44713.0</v>
      </c>
      <c r="FA89" s="139">
        <v>44743.0</v>
      </c>
      <c r="FB89" s="139">
        <v>44774.0</v>
      </c>
      <c r="FC89" s="139">
        <v>44805.0</v>
      </c>
      <c r="FD89" s="139">
        <v>44835.0</v>
      </c>
      <c r="FE89" s="139">
        <v>44866.0</v>
      </c>
      <c r="FF89" s="139">
        <v>44896.0</v>
      </c>
      <c r="FG89" s="139">
        <v>44927.0</v>
      </c>
      <c r="FH89" s="139">
        <v>44958.0</v>
      </c>
      <c r="FI89" s="139">
        <v>44986.0</v>
      </c>
      <c r="FJ89" s="139">
        <v>45017.0</v>
      </c>
      <c r="FK89" s="139">
        <v>45047.0</v>
      </c>
      <c r="FL89" s="139">
        <v>45078.0</v>
      </c>
      <c r="FM89" s="139">
        <v>45108.0</v>
      </c>
      <c r="FN89" s="139">
        <v>45139.0</v>
      </c>
      <c r="FO89" s="139">
        <v>45170.0</v>
      </c>
      <c r="FP89" s="139">
        <v>45200.0</v>
      </c>
      <c r="FQ89" s="139">
        <v>45231.0</v>
      </c>
      <c r="FR89" s="139">
        <v>45261.0</v>
      </c>
      <c r="FS89" s="139">
        <v>45292.0</v>
      </c>
      <c r="FT89" s="139">
        <v>45323.0</v>
      </c>
      <c r="FU89" s="139">
        <v>45352.0</v>
      </c>
      <c r="FV89" s="139">
        <v>45383.0</v>
      </c>
      <c r="FW89" s="139">
        <v>45413.0</v>
      </c>
      <c r="FX89" s="139">
        <v>45444.0</v>
      </c>
      <c r="FY89" s="139">
        <v>45474.0</v>
      </c>
      <c r="FZ89" s="139">
        <v>45505.0</v>
      </c>
      <c r="GA89" s="139">
        <v>45536.0</v>
      </c>
      <c r="GB89" s="139">
        <v>45566.0</v>
      </c>
      <c r="GC89" s="139">
        <v>45597.0</v>
      </c>
      <c r="GD89" s="139">
        <v>45627.0</v>
      </c>
      <c r="GE89" s="139">
        <v>45658.0</v>
      </c>
      <c r="GF89" s="139">
        <v>45689.0</v>
      </c>
      <c r="GG89" s="139">
        <v>45717.0</v>
      </c>
      <c r="GH89" s="139">
        <v>45748.0</v>
      </c>
      <c r="GI89" s="139">
        <v>45778.0</v>
      </c>
      <c r="GJ89" s="139">
        <v>45809.0</v>
      </c>
      <c r="GK89" s="139">
        <v>45839.0</v>
      </c>
    </row>
    <row r="90">
      <c r="A90" s="132" t="s">
        <v>34066</v>
      </c>
      <c r="B90" s="133" t="s">
        <v>1237</v>
      </c>
      <c r="C90" s="134">
        <v>43563.085497685184</v>
      </c>
      <c r="D90" s="135" t="str">
        <f t="shared" si="1"/>
        <v>2019/04/08</v>
      </c>
      <c r="E90" s="136" t="s">
        <v>33974</v>
      </c>
      <c r="F90" s="137">
        <v>0.0</v>
      </c>
      <c r="G90" s="138">
        <v>40179.0</v>
      </c>
      <c r="H90" s="138">
        <v>40210.0</v>
      </c>
      <c r="I90" s="138">
        <v>40238.0</v>
      </c>
      <c r="J90" s="138">
        <v>40269.0</v>
      </c>
      <c r="K90" s="138">
        <v>40299.0</v>
      </c>
      <c r="L90" s="138">
        <v>40330.0</v>
      </c>
      <c r="M90" s="138">
        <v>40360.0</v>
      </c>
      <c r="N90" s="138">
        <v>40391.0</v>
      </c>
      <c r="O90" s="138">
        <v>40422.0</v>
      </c>
      <c r="P90" s="138">
        <v>40452.0</v>
      </c>
      <c r="Q90" s="138">
        <v>40483.0</v>
      </c>
      <c r="R90" s="138">
        <v>40513.0</v>
      </c>
      <c r="S90" s="138">
        <v>40544.0</v>
      </c>
      <c r="T90" s="138">
        <v>40575.0</v>
      </c>
      <c r="U90" s="138">
        <v>40603.0</v>
      </c>
      <c r="V90" s="138">
        <v>40634.0</v>
      </c>
      <c r="W90" s="138">
        <v>40664.0</v>
      </c>
      <c r="X90" s="138">
        <v>40695.0</v>
      </c>
      <c r="Y90" s="138">
        <v>40725.0</v>
      </c>
      <c r="Z90" s="138">
        <v>40756.0</v>
      </c>
      <c r="AA90" s="138">
        <v>40787.0</v>
      </c>
      <c r="AB90" s="138">
        <v>40817.0</v>
      </c>
      <c r="AC90" s="138">
        <v>40848.0</v>
      </c>
      <c r="AD90" s="138">
        <v>40878.0</v>
      </c>
      <c r="AE90" s="138">
        <v>40909.0</v>
      </c>
      <c r="AF90" s="138">
        <v>40940.0</v>
      </c>
      <c r="AG90" s="138">
        <v>40969.0</v>
      </c>
      <c r="AH90" s="138">
        <v>41000.0</v>
      </c>
      <c r="AI90" s="138">
        <v>41030.0</v>
      </c>
      <c r="AJ90" s="138">
        <v>41061.0</v>
      </c>
      <c r="AK90" s="138">
        <v>41091.0</v>
      </c>
      <c r="AL90" s="138">
        <v>41122.0</v>
      </c>
      <c r="AM90" s="138">
        <v>41153.0</v>
      </c>
      <c r="AN90" s="138">
        <v>41183.0</v>
      </c>
      <c r="AO90" s="138">
        <v>41214.0</v>
      </c>
      <c r="AP90" s="138">
        <v>41244.0</v>
      </c>
      <c r="AQ90" s="138">
        <v>41275.0</v>
      </c>
      <c r="AR90" s="138">
        <v>41306.0</v>
      </c>
      <c r="AS90" s="138">
        <v>41334.0</v>
      </c>
      <c r="AT90" s="138">
        <v>41365.0</v>
      </c>
      <c r="AU90" s="138">
        <v>41395.0</v>
      </c>
      <c r="AV90" s="138">
        <v>41426.0</v>
      </c>
      <c r="AW90" s="138">
        <v>41456.0</v>
      </c>
      <c r="AX90" s="138">
        <v>41487.0</v>
      </c>
      <c r="AY90" s="138">
        <v>41518.0</v>
      </c>
      <c r="AZ90" s="138">
        <v>41548.0</v>
      </c>
      <c r="BA90" s="138">
        <v>41579.0</v>
      </c>
      <c r="BB90" s="138">
        <v>41609.0</v>
      </c>
      <c r="BC90" s="138">
        <v>41640.0</v>
      </c>
      <c r="BD90" s="138">
        <v>41671.0</v>
      </c>
      <c r="BE90" s="138">
        <v>41699.0</v>
      </c>
      <c r="BF90" s="138">
        <v>41730.0</v>
      </c>
      <c r="BG90" s="138">
        <v>41760.0</v>
      </c>
      <c r="BH90" s="138">
        <v>41791.0</v>
      </c>
      <c r="BI90" s="138">
        <v>41821.0</v>
      </c>
      <c r="BJ90" s="138">
        <v>41852.0</v>
      </c>
      <c r="BK90" s="138">
        <v>41883.0</v>
      </c>
      <c r="BL90" s="138">
        <v>41913.0</v>
      </c>
      <c r="BM90" s="138">
        <v>41944.0</v>
      </c>
      <c r="BN90" s="138">
        <v>41974.0</v>
      </c>
      <c r="BO90" s="138">
        <v>42005.0</v>
      </c>
      <c r="BP90" s="138">
        <v>42036.0</v>
      </c>
      <c r="BQ90" s="138">
        <v>42064.0</v>
      </c>
      <c r="BR90" s="138">
        <v>42095.0</v>
      </c>
      <c r="BS90" s="138">
        <v>42125.0</v>
      </c>
      <c r="BT90" s="138">
        <v>42156.0</v>
      </c>
      <c r="BU90" s="138">
        <v>42186.0</v>
      </c>
      <c r="BV90" s="138">
        <v>42217.0</v>
      </c>
      <c r="BW90" s="138">
        <v>42248.0</v>
      </c>
      <c r="BX90" s="138">
        <v>42278.0</v>
      </c>
      <c r="BY90" s="138">
        <v>42309.0</v>
      </c>
      <c r="BZ90" s="138">
        <v>42339.0</v>
      </c>
      <c r="CA90" s="138">
        <v>42370.0</v>
      </c>
      <c r="CB90" s="138">
        <v>42401.0</v>
      </c>
      <c r="CC90" s="138">
        <v>42430.0</v>
      </c>
      <c r="CD90" s="138">
        <v>42461.0</v>
      </c>
      <c r="CE90" s="138">
        <v>42491.0</v>
      </c>
      <c r="CF90" s="138">
        <v>42522.0</v>
      </c>
      <c r="CG90" s="138">
        <v>42552.0</v>
      </c>
      <c r="CH90" s="138">
        <v>42583.0</v>
      </c>
      <c r="CI90" s="138">
        <v>42614.0</v>
      </c>
      <c r="CJ90" s="138">
        <v>42644.0</v>
      </c>
      <c r="CK90" s="138">
        <v>42675.0</v>
      </c>
      <c r="CL90" s="138">
        <v>42705.0</v>
      </c>
      <c r="CM90" s="138">
        <v>42736.0</v>
      </c>
      <c r="CN90" s="138">
        <v>42767.0</v>
      </c>
      <c r="CO90" s="138">
        <v>42795.0</v>
      </c>
      <c r="CP90" s="138">
        <v>42826.0</v>
      </c>
      <c r="CQ90" s="138">
        <v>42856.0</v>
      </c>
      <c r="CR90" s="138">
        <v>42887.0</v>
      </c>
      <c r="CS90" s="138">
        <v>42917.0</v>
      </c>
      <c r="CT90" s="138">
        <v>42948.0</v>
      </c>
      <c r="CU90" s="138">
        <v>42979.0</v>
      </c>
      <c r="CV90" s="138">
        <v>43009.0</v>
      </c>
      <c r="CW90" s="138">
        <v>43040.0</v>
      </c>
      <c r="CX90" s="138">
        <v>43070.0</v>
      </c>
      <c r="CY90" s="138">
        <v>43101.0</v>
      </c>
      <c r="CZ90" s="138">
        <v>43132.0</v>
      </c>
      <c r="DA90" s="138">
        <v>43160.0</v>
      </c>
      <c r="DB90" s="138">
        <v>43191.0</v>
      </c>
      <c r="DC90" s="138">
        <v>43221.0</v>
      </c>
      <c r="DD90" s="138">
        <v>43252.0</v>
      </c>
      <c r="DE90" s="138">
        <v>43282.0</v>
      </c>
      <c r="DF90" s="138">
        <v>43313.0</v>
      </c>
      <c r="DG90" s="138">
        <v>43344.0</v>
      </c>
      <c r="DH90" s="138">
        <v>43374.0</v>
      </c>
      <c r="DI90" s="138">
        <v>43405.0</v>
      </c>
      <c r="DJ90" s="138">
        <v>43435.0</v>
      </c>
      <c r="DK90" s="138">
        <v>43466.0</v>
      </c>
      <c r="DL90" s="138">
        <v>43497.0</v>
      </c>
      <c r="DM90" s="138">
        <v>43525.0</v>
      </c>
      <c r="DN90" s="138">
        <v>43556.0</v>
      </c>
      <c r="DO90" s="139">
        <v>43586.0</v>
      </c>
      <c r="DP90" s="139">
        <v>43617.0</v>
      </c>
      <c r="DQ90" s="139">
        <v>43647.0</v>
      </c>
      <c r="DR90" s="139">
        <v>43678.0</v>
      </c>
      <c r="DS90" s="139">
        <v>43709.0</v>
      </c>
      <c r="DT90" s="139">
        <v>43739.0</v>
      </c>
      <c r="DU90" s="139">
        <v>43770.0</v>
      </c>
      <c r="DV90" s="139">
        <v>43800.0</v>
      </c>
      <c r="DW90" s="139">
        <v>43831.0</v>
      </c>
      <c r="DX90" s="139">
        <v>43862.0</v>
      </c>
      <c r="DY90" s="139">
        <v>43891.0</v>
      </c>
      <c r="DZ90" s="139">
        <v>43922.0</v>
      </c>
      <c r="EA90" s="139">
        <v>43952.0</v>
      </c>
      <c r="EB90" s="139">
        <v>43983.0</v>
      </c>
      <c r="EC90" s="139">
        <v>44013.0</v>
      </c>
      <c r="ED90" s="139">
        <v>44044.0</v>
      </c>
      <c r="EE90" s="139">
        <v>44075.0</v>
      </c>
      <c r="EF90" s="139">
        <v>44105.0</v>
      </c>
      <c r="EG90" s="139">
        <v>44136.0</v>
      </c>
      <c r="EH90" s="139">
        <v>44166.0</v>
      </c>
      <c r="EI90" s="139">
        <v>44197.0</v>
      </c>
      <c r="EJ90" s="139">
        <v>44228.0</v>
      </c>
      <c r="EK90" s="139">
        <v>44256.0</v>
      </c>
      <c r="EL90" s="139">
        <v>44287.0</v>
      </c>
      <c r="EM90" s="139">
        <v>44317.0</v>
      </c>
      <c r="EN90" s="139">
        <v>44348.0</v>
      </c>
      <c r="EO90" s="139">
        <v>44378.0</v>
      </c>
      <c r="EP90" s="139">
        <v>44409.0</v>
      </c>
      <c r="EQ90" s="139">
        <v>44440.0</v>
      </c>
      <c r="ER90" s="139">
        <v>44470.0</v>
      </c>
      <c r="ES90" s="139">
        <v>44501.0</v>
      </c>
      <c r="ET90" s="139">
        <v>44531.0</v>
      </c>
      <c r="EU90" s="139">
        <v>44562.0</v>
      </c>
      <c r="EV90" s="139">
        <v>44593.0</v>
      </c>
      <c r="EW90" s="139">
        <v>44621.0</v>
      </c>
      <c r="EX90" s="139">
        <v>44652.0</v>
      </c>
      <c r="EY90" s="139">
        <v>44682.0</v>
      </c>
      <c r="EZ90" s="139">
        <v>44713.0</v>
      </c>
      <c r="FA90" s="139">
        <v>44743.0</v>
      </c>
      <c r="FB90" s="139">
        <v>44774.0</v>
      </c>
      <c r="FC90" s="139">
        <v>44805.0</v>
      </c>
      <c r="FD90" s="139">
        <v>44835.0</v>
      </c>
      <c r="FE90" s="139">
        <v>44866.0</v>
      </c>
      <c r="FF90" s="139">
        <v>44896.0</v>
      </c>
      <c r="FG90" s="139">
        <v>44927.0</v>
      </c>
      <c r="FH90" s="139">
        <v>44958.0</v>
      </c>
      <c r="FI90" s="139">
        <v>44986.0</v>
      </c>
      <c r="FJ90" s="139">
        <v>45017.0</v>
      </c>
      <c r="FK90" s="139">
        <v>45047.0</v>
      </c>
      <c r="FL90" s="139">
        <v>45078.0</v>
      </c>
      <c r="FM90" s="139">
        <v>45108.0</v>
      </c>
      <c r="FN90" s="139">
        <v>45139.0</v>
      </c>
      <c r="FO90" s="139">
        <v>45170.0</v>
      </c>
      <c r="FP90" s="139">
        <v>45200.0</v>
      </c>
      <c r="FQ90" s="139">
        <v>45231.0</v>
      </c>
      <c r="FR90" s="139">
        <v>45261.0</v>
      </c>
      <c r="FS90" s="139">
        <v>45292.0</v>
      </c>
      <c r="FT90" s="139">
        <v>45323.0</v>
      </c>
      <c r="FU90" s="139">
        <v>45352.0</v>
      </c>
      <c r="FV90" s="139">
        <v>45383.0</v>
      </c>
      <c r="FW90" s="139">
        <v>45413.0</v>
      </c>
      <c r="FX90" s="139">
        <v>45444.0</v>
      </c>
      <c r="FY90" s="139">
        <v>45474.0</v>
      </c>
      <c r="FZ90" s="139">
        <v>45505.0</v>
      </c>
      <c r="GA90" s="139">
        <v>45536.0</v>
      </c>
      <c r="GB90" s="139">
        <v>45566.0</v>
      </c>
      <c r="GC90" s="139">
        <v>45597.0</v>
      </c>
      <c r="GD90" s="139">
        <v>45627.0</v>
      </c>
      <c r="GE90" s="139">
        <v>45658.0</v>
      </c>
      <c r="GF90" s="139">
        <v>45689.0</v>
      </c>
      <c r="GG90" s="139">
        <v>45717.0</v>
      </c>
      <c r="GH90" s="139">
        <v>45748.0</v>
      </c>
      <c r="GI90" s="139">
        <v>45778.0</v>
      </c>
      <c r="GJ90" s="139">
        <v>45809.0</v>
      </c>
      <c r="GK90" s="139">
        <v>45839.0</v>
      </c>
    </row>
    <row r="91">
      <c r="A91" s="132" t="s">
        <v>34067</v>
      </c>
      <c r="B91" s="133" t="s">
        <v>1111</v>
      </c>
      <c r="C91" s="134">
        <v>43570.58273148148</v>
      </c>
      <c r="D91" s="135" t="str">
        <f t="shared" si="1"/>
        <v>2019/04/15</v>
      </c>
      <c r="E91" s="136" t="s">
        <v>34068</v>
      </c>
      <c r="F91" s="137">
        <v>0.00126</v>
      </c>
      <c r="G91" s="138">
        <v>40179.0</v>
      </c>
      <c r="H91" s="138">
        <v>40210.0</v>
      </c>
      <c r="I91" s="138">
        <v>40238.0</v>
      </c>
      <c r="J91" s="138">
        <v>40269.0</v>
      </c>
      <c r="K91" s="138">
        <v>40299.0</v>
      </c>
      <c r="L91" s="138">
        <v>40330.0</v>
      </c>
      <c r="M91" s="138">
        <v>40360.0</v>
      </c>
      <c r="N91" s="138">
        <v>40391.0</v>
      </c>
      <c r="O91" s="138">
        <v>40422.0</v>
      </c>
      <c r="P91" s="138">
        <v>40452.0</v>
      </c>
      <c r="Q91" s="138">
        <v>40483.0</v>
      </c>
      <c r="R91" s="138">
        <v>40513.0</v>
      </c>
      <c r="S91" s="138">
        <v>40544.0</v>
      </c>
      <c r="T91" s="138">
        <v>40575.0</v>
      </c>
      <c r="U91" s="138">
        <v>40603.0</v>
      </c>
      <c r="V91" s="138">
        <v>40634.0</v>
      </c>
      <c r="W91" s="138">
        <v>40664.0</v>
      </c>
      <c r="X91" s="138">
        <v>40695.0</v>
      </c>
      <c r="Y91" s="138">
        <v>40725.0</v>
      </c>
      <c r="Z91" s="138">
        <v>40756.0</v>
      </c>
      <c r="AA91" s="138">
        <v>40787.0</v>
      </c>
      <c r="AB91" s="138">
        <v>40817.0</v>
      </c>
      <c r="AC91" s="138">
        <v>40848.0</v>
      </c>
      <c r="AD91" s="138">
        <v>40878.0</v>
      </c>
      <c r="AE91" s="138">
        <v>40909.0</v>
      </c>
      <c r="AF91" s="138">
        <v>40940.0</v>
      </c>
      <c r="AG91" s="138">
        <v>40969.0</v>
      </c>
      <c r="AH91" s="138">
        <v>41000.0</v>
      </c>
      <c r="AI91" s="138">
        <v>41030.0</v>
      </c>
      <c r="AJ91" s="138">
        <v>41061.0</v>
      </c>
      <c r="AK91" s="138">
        <v>41091.0</v>
      </c>
      <c r="AL91" s="138">
        <v>41122.0</v>
      </c>
      <c r="AM91" s="138">
        <v>41153.0</v>
      </c>
      <c r="AN91" s="138">
        <v>41183.0</v>
      </c>
      <c r="AO91" s="138">
        <v>41214.0</v>
      </c>
      <c r="AP91" s="138">
        <v>41244.0</v>
      </c>
      <c r="AQ91" s="138">
        <v>41275.0</v>
      </c>
      <c r="AR91" s="138">
        <v>41306.0</v>
      </c>
      <c r="AS91" s="138">
        <v>41334.0</v>
      </c>
      <c r="AT91" s="138">
        <v>41365.0</v>
      </c>
      <c r="AU91" s="138">
        <v>41395.0</v>
      </c>
      <c r="AV91" s="138">
        <v>41426.0</v>
      </c>
      <c r="AW91" s="138">
        <v>41456.0</v>
      </c>
      <c r="AX91" s="138">
        <v>41487.0</v>
      </c>
      <c r="AY91" s="138">
        <v>41518.0</v>
      </c>
      <c r="AZ91" s="138">
        <v>41548.0</v>
      </c>
      <c r="BA91" s="138">
        <v>41579.0</v>
      </c>
      <c r="BB91" s="138">
        <v>41609.0</v>
      </c>
      <c r="BC91" s="138">
        <v>41640.0</v>
      </c>
      <c r="BD91" s="138">
        <v>41671.0</v>
      </c>
      <c r="BE91" s="138">
        <v>41699.0</v>
      </c>
      <c r="BF91" s="138">
        <v>41730.0</v>
      </c>
      <c r="BG91" s="138">
        <v>41760.0</v>
      </c>
      <c r="BH91" s="138">
        <v>41791.0</v>
      </c>
      <c r="BI91" s="138">
        <v>41821.0</v>
      </c>
      <c r="BJ91" s="138">
        <v>41852.0</v>
      </c>
      <c r="BK91" s="138">
        <v>41883.0</v>
      </c>
      <c r="BL91" s="138">
        <v>41913.0</v>
      </c>
      <c r="BM91" s="138">
        <v>41944.0</v>
      </c>
      <c r="BN91" s="138">
        <v>41974.0</v>
      </c>
      <c r="BO91" s="138">
        <v>42005.0</v>
      </c>
      <c r="BP91" s="138">
        <v>42036.0</v>
      </c>
      <c r="BQ91" s="138">
        <v>42064.0</v>
      </c>
      <c r="BR91" s="138">
        <v>42095.0</v>
      </c>
      <c r="BS91" s="138">
        <v>42125.0</v>
      </c>
      <c r="BT91" s="138">
        <v>42156.0</v>
      </c>
      <c r="BU91" s="138">
        <v>42186.0</v>
      </c>
      <c r="BV91" s="138">
        <v>42217.0</v>
      </c>
      <c r="BW91" s="138">
        <v>42248.0</v>
      </c>
      <c r="BX91" s="138">
        <v>42278.0</v>
      </c>
      <c r="BY91" s="138">
        <v>42309.0</v>
      </c>
      <c r="BZ91" s="138">
        <v>42339.0</v>
      </c>
      <c r="CA91" s="138">
        <v>42370.0</v>
      </c>
      <c r="CB91" s="138">
        <v>42401.0</v>
      </c>
      <c r="CC91" s="138">
        <v>42430.0</v>
      </c>
      <c r="CD91" s="138">
        <v>42461.0</v>
      </c>
      <c r="CE91" s="138">
        <v>42491.0</v>
      </c>
      <c r="CF91" s="138">
        <v>42522.0</v>
      </c>
      <c r="CG91" s="138">
        <v>42552.0</v>
      </c>
      <c r="CH91" s="138">
        <v>42583.0</v>
      </c>
      <c r="CI91" s="138">
        <v>42614.0</v>
      </c>
      <c r="CJ91" s="138">
        <v>42644.0</v>
      </c>
      <c r="CK91" s="138">
        <v>42675.0</v>
      </c>
      <c r="CL91" s="138">
        <v>42705.0</v>
      </c>
      <c r="CM91" s="138">
        <v>42736.0</v>
      </c>
      <c r="CN91" s="138">
        <v>42767.0</v>
      </c>
      <c r="CO91" s="138">
        <v>42795.0</v>
      </c>
      <c r="CP91" s="138">
        <v>42826.0</v>
      </c>
      <c r="CQ91" s="138">
        <v>42856.0</v>
      </c>
      <c r="CR91" s="138">
        <v>42887.0</v>
      </c>
      <c r="CS91" s="138">
        <v>42917.0</v>
      </c>
      <c r="CT91" s="138">
        <v>42948.0</v>
      </c>
      <c r="CU91" s="138">
        <v>42979.0</v>
      </c>
      <c r="CV91" s="138">
        <v>43009.0</v>
      </c>
      <c r="CW91" s="138">
        <v>43040.0</v>
      </c>
      <c r="CX91" s="138">
        <v>43070.0</v>
      </c>
      <c r="CY91" s="138">
        <v>43101.0</v>
      </c>
      <c r="CZ91" s="138">
        <v>43132.0</v>
      </c>
      <c r="DA91" s="138">
        <v>43160.0</v>
      </c>
      <c r="DB91" s="138">
        <v>43191.0</v>
      </c>
      <c r="DC91" s="138">
        <v>43221.0</v>
      </c>
      <c r="DD91" s="138">
        <v>43252.0</v>
      </c>
      <c r="DE91" s="138">
        <v>43282.0</v>
      </c>
      <c r="DF91" s="138">
        <v>43313.0</v>
      </c>
      <c r="DG91" s="138">
        <v>43344.0</v>
      </c>
      <c r="DH91" s="138">
        <v>43374.0</v>
      </c>
      <c r="DI91" s="138">
        <v>43405.0</v>
      </c>
      <c r="DJ91" s="138">
        <v>43435.0</v>
      </c>
      <c r="DK91" s="138">
        <v>43466.0</v>
      </c>
      <c r="DL91" s="138">
        <v>43497.0</v>
      </c>
      <c r="DM91" s="138">
        <v>43525.0</v>
      </c>
      <c r="DN91" s="138">
        <v>43556.0</v>
      </c>
      <c r="DO91" s="139">
        <v>43586.0</v>
      </c>
      <c r="DP91" s="139">
        <v>43617.0</v>
      </c>
      <c r="DQ91" s="139">
        <v>43647.0</v>
      </c>
      <c r="DR91" s="139">
        <v>43678.0</v>
      </c>
      <c r="DS91" s="139">
        <v>43709.0</v>
      </c>
      <c r="DT91" s="139">
        <v>43739.0</v>
      </c>
      <c r="DU91" s="139">
        <v>43770.0</v>
      </c>
      <c r="DV91" s="139">
        <v>43800.0</v>
      </c>
      <c r="DW91" s="139">
        <v>43831.0</v>
      </c>
      <c r="DX91" s="139">
        <v>43862.0</v>
      </c>
      <c r="DY91" s="139">
        <v>43891.0</v>
      </c>
      <c r="DZ91" s="139">
        <v>43922.0</v>
      </c>
      <c r="EA91" s="139">
        <v>43952.0</v>
      </c>
      <c r="EB91" s="139">
        <v>43983.0</v>
      </c>
      <c r="EC91" s="139">
        <v>44013.0</v>
      </c>
      <c r="ED91" s="139">
        <v>44044.0</v>
      </c>
      <c r="EE91" s="139">
        <v>44075.0</v>
      </c>
      <c r="EF91" s="139">
        <v>44105.0</v>
      </c>
      <c r="EG91" s="139">
        <v>44136.0</v>
      </c>
      <c r="EH91" s="139">
        <v>44166.0</v>
      </c>
      <c r="EI91" s="139">
        <v>44197.0</v>
      </c>
      <c r="EJ91" s="139">
        <v>44228.0</v>
      </c>
      <c r="EK91" s="139">
        <v>44256.0</v>
      </c>
      <c r="EL91" s="139">
        <v>44287.0</v>
      </c>
      <c r="EM91" s="139">
        <v>44317.0</v>
      </c>
      <c r="EN91" s="139">
        <v>44348.0</v>
      </c>
      <c r="EO91" s="139">
        <v>44378.0</v>
      </c>
      <c r="EP91" s="139">
        <v>44409.0</v>
      </c>
      <c r="EQ91" s="139">
        <v>44440.0</v>
      </c>
      <c r="ER91" s="139">
        <v>44470.0</v>
      </c>
      <c r="ES91" s="139">
        <v>44501.0</v>
      </c>
      <c r="ET91" s="139">
        <v>44531.0</v>
      </c>
      <c r="EU91" s="139">
        <v>44562.0</v>
      </c>
      <c r="EV91" s="139">
        <v>44593.0</v>
      </c>
      <c r="EW91" s="139">
        <v>44621.0</v>
      </c>
      <c r="EX91" s="139">
        <v>44652.0</v>
      </c>
      <c r="EY91" s="139">
        <v>44682.0</v>
      </c>
      <c r="EZ91" s="139">
        <v>44713.0</v>
      </c>
      <c r="FA91" s="139">
        <v>44743.0</v>
      </c>
      <c r="FB91" s="139">
        <v>44774.0</v>
      </c>
      <c r="FC91" s="139">
        <v>44805.0</v>
      </c>
      <c r="FD91" s="139">
        <v>44835.0</v>
      </c>
      <c r="FE91" s="139">
        <v>44866.0</v>
      </c>
      <c r="FF91" s="139">
        <v>44896.0</v>
      </c>
      <c r="FG91" s="139">
        <v>44927.0</v>
      </c>
      <c r="FH91" s="139">
        <v>44958.0</v>
      </c>
      <c r="FI91" s="139">
        <v>44986.0</v>
      </c>
      <c r="FJ91" s="139">
        <v>45017.0</v>
      </c>
      <c r="FK91" s="139">
        <v>45047.0</v>
      </c>
      <c r="FL91" s="139">
        <v>45078.0</v>
      </c>
      <c r="FM91" s="139">
        <v>45108.0</v>
      </c>
      <c r="FN91" s="139">
        <v>45139.0</v>
      </c>
      <c r="FO91" s="139">
        <v>45170.0</v>
      </c>
      <c r="FP91" s="139">
        <v>45200.0</v>
      </c>
      <c r="FQ91" s="139">
        <v>45231.0</v>
      </c>
      <c r="FR91" s="139">
        <v>45261.0</v>
      </c>
      <c r="FS91" s="139">
        <v>45292.0</v>
      </c>
      <c r="FT91" s="139">
        <v>45323.0</v>
      </c>
      <c r="FU91" s="139">
        <v>45352.0</v>
      </c>
      <c r="FV91" s="139">
        <v>45383.0</v>
      </c>
      <c r="FW91" s="139">
        <v>45413.0</v>
      </c>
      <c r="FX91" s="139">
        <v>45444.0</v>
      </c>
      <c r="FY91" s="139">
        <v>45474.0</v>
      </c>
      <c r="FZ91" s="139">
        <v>45505.0</v>
      </c>
      <c r="GA91" s="139">
        <v>45536.0</v>
      </c>
      <c r="GB91" s="139">
        <v>45566.0</v>
      </c>
      <c r="GC91" s="139">
        <v>45597.0</v>
      </c>
      <c r="GD91" s="139">
        <v>45627.0</v>
      </c>
      <c r="GE91" s="139">
        <v>45658.0</v>
      </c>
      <c r="GF91" s="139">
        <v>45689.0</v>
      </c>
      <c r="GG91" s="139">
        <v>45717.0</v>
      </c>
      <c r="GH91" s="139">
        <v>45748.0</v>
      </c>
      <c r="GI91" s="139">
        <v>45778.0</v>
      </c>
      <c r="GJ91" s="139">
        <v>45809.0</v>
      </c>
      <c r="GK91" s="139">
        <v>45839.0</v>
      </c>
    </row>
    <row r="92">
      <c r="A92" s="132" t="s">
        <v>34069</v>
      </c>
      <c r="B92" s="133" t="s">
        <v>1246</v>
      </c>
      <c r="C92" s="134">
        <v>43573.452835648146</v>
      </c>
      <c r="D92" s="135" t="str">
        <f t="shared" si="1"/>
        <v>2019/04/18</v>
      </c>
      <c r="E92" s="136" t="s">
        <v>33912</v>
      </c>
      <c r="F92" s="137">
        <v>0.0</v>
      </c>
      <c r="G92" s="138">
        <v>40179.0</v>
      </c>
      <c r="H92" s="138">
        <v>40210.0</v>
      </c>
      <c r="I92" s="138">
        <v>40238.0</v>
      </c>
      <c r="J92" s="138">
        <v>40269.0</v>
      </c>
      <c r="K92" s="138">
        <v>40299.0</v>
      </c>
      <c r="L92" s="138">
        <v>40330.0</v>
      </c>
      <c r="M92" s="138">
        <v>40360.0</v>
      </c>
      <c r="N92" s="138">
        <v>40391.0</v>
      </c>
      <c r="O92" s="138">
        <v>40422.0</v>
      </c>
      <c r="P92" s="138">
        <v>40452.0</v>
      </c>
      <c r="Q92" s="138">
        <v>40483.0</v>
      </c>
      <c r="R92" s="138">
        <v>40513.0</v>
      </c>
      <c r="S92" s="138">
        <v>40544.0</v>
      </c>
      <c r="T92" s="138">
        <v>40575.0</v>
      </c>
      <c r="U92" s="138">
        <v>40603.0</v>
      </c>
      <c r="V92" s="138">
        <v>40634.0</v>
      </c>
      <c r="W92" s="138">
        <v>40664.0</v>
      </c>
      <c r="X92" s="138">
        <v>40695.0</v>
      </c>
      <c r="Y92" s="138">
        <v>40725.0</v>
      </c>
      <c r="Z92" s="138">
        <v>40756.0</v>
      </c>
      <c r="AA92" s="138">
        <v>40787.0</v>
      </c>
      <c r="AB92" s="138">
        <v>40817.0</v>
      </c>
      <c r="AC92" s="138">
        <v>40848.0</v>
      </c>
      <c r="AD92" s="138">
        <v>40878.0</v>
      </c>
      <c r="AE92" s="138">
        <v>40909.0</v>
      </c>
      <c r="AF92" s="138">
        <v>40940.0</v>
      </c>
      <c r="AG92" s="138">
        <v>40969.0</v>
      </c>
      <c r="AH92" s="138">
        <v>41000.0</v>
      </c>
      <c r="AI92" s="138">
        <v>41030.0</v>
      </c>
      <c r="AJ92" s="138">
        <v>41061.0</v>
      </c>
      <c r="AK92" s="138">
        <v>41091.0</v>
      </c>
      <c r="AL92" s="138">
        <v>41122.0</v>
      </c>
      <c r="AM92" s="138">
        <v>41153.0</v>
      </c>
      <c r="AN92" s="138">
        <v>41183.0</v>
      </c>
      <c r="AO92" s="138">
        <v>41214.0</v>
      </c>
      <c r="AP92" s="138">
        <v>41244.0</v>
      </c>
      <c r="AQ92" s="138">
        <v>41275.0</v>
      </c>
      <c r="AR92" s="138">
        <v>41306.0</v>
      </c>
      <c r="AS92" s="138">
        <v>41334.0</v>
      </c>
      <c r="AT92" s="138">
        <v>41365.0</v>
      </c>
      <c r="AU92" s="138">
        <v>41395.0</v>
      </c>
      <c r="AV92" s="138">
        <v>41426.0</v>
      </c>
      <c r="AW92" s="138">
        <v>41456.0</v>
      </c>
      <c r="AX92" s="138">
        <v>41487.0</v>
      </c>
      <c r="AY92" s="138">
        <v>41518.0</v>
      </c>
      <c r="AZ92" s="138">
        <v>41548.0</v>
      </c>
      <c r="BA92" s="138">
        <v>41579.0</v>
      </c>
      <c r="BB92" s="138">
        <v>41609.0</v>
      </c>
      <c r="BC92" s="138">
        <v>41640.0</v>
      </c>
      <c r="BD92" s="138">
        <v>41671.0</v>
      </c>
      <c r="BE92" s="138">
        <v>41699.0</v>
      </c>
      <c r="BF92" s="138">
        <v>41730.0</v>
      </c>
      <c r="BG92" s="138">
        <v>41760.0</v>
      </c>
      <c r="BH92" s="138">
        <v>41791.0</v>
      </c>
      <c r="BI92" s="138">
        <v>41821.0</v>
      </c>
      <c r="BJ92" s="138">
        <v>41852.0</v>
      </c>
      <c r="BK92" s="138">
        <v>41883.0</v>
      </c>
      <c r="BL92" s="138">
        <v>41913.0</v>
      </c>
      <c r="BM92" s="138">
        <v>41944.0</v>
      </c>
      <c r="BN92" s="138">
        <v>41974.0</v>
      </c>
      <c r="BO92" s="138">
        <v>42005.0</v>
      </c>
      <c r="BP92" s="138">
        <v>42036.0</v>
      </c>
      <c r="BQ92" s="138">
        <v>42064.0</v>
      </c>
      <c r="BR92" s="138">
        <v>42095.0</v>
      </c>
      <c r="BS92" s="138">
        <v>42125.0</v>
      </c>
      <c r="BT92" s="138">
        <v>42156.0</v>
      </c>
      <c r="BU92" s="138">
        <v>42186.0</v>
      </c>
      <c r="BV92" s="138">
        <v>42217.0</v>
      </c>
      <c r="BW92" s="138">
        <v>42248.0</v>
      </c>
      <c r="BX92" s="138">
        <v>42278.0</v>
      </c>
      <c r="BY92" s="138">
        <v>42309.0</v>
      </c>
      <c r="BZ92" s="138">
        <v>42339.0</v>
      </c>
      <c r="CA92" s="138">
        <v>42370.0</v>
      </c>
      <c r="CB92" s="138">
        <v>42401.0</v>
      </c>
      <c r="CC92" s="138">
        <v>42430.0</v>
      </c>
      <c r="CD92" s="138">
        <v>42461.0</v>
      </c>
      <c r="CE92" s="138">
        <v>42491.0</v>
      </c>
      <c r="CF92" s="138">
        <v>42522.0</v>
      </c>
      <c r="CG92" s="138">
        <v>42552.0</v>
      </c>
      <c r="CH92" s="138">
        <v>42583.0</v>
      </c>
      <c r="CI92" s="138">
        <v>42614.0</v>
      </c>
      <c r="CJ92" s="138">
        <v>42644.0</v>
      </c>
      <c r="CK92" s="138">
        <v>42675.0</v>
      </c>
      <c r="CL92" s="138">
        <v>42705.0</v>
      </c>
      <c r="CM92" s="138">
        <v>42736.0</v>
      </c>
      <c r="CN92" s="138">
        <v>42767.0</v>
      </c>
      <c r="CO92" s="138">
        <v>42795.0</v>
      </c>
      <c r="CP92" s="138">
        <v>42826.0</v>
      </c>
      <c r="CQ92" s="138">
        <v>42856.0</v>
      </c>
      <c r="CR92" s="138">
        <v>42887.0</v>
      </c>
      <c r="CS92" s="138">
        <v>42917.0</v>
      </c>
      <c r="CT92" s="138">
        <v>42948.0</v>
      </c>
      <c r="CU92" s="138">
        <v>42979.0</v>
      </c>
      <c r="CV92" s="138">
        <v>43009.0</v>
      </c>
      <c r="CW92" s="138">
        <v>43040.0</v>
      </c>
      <c r="CX92" s="138">
        <v>43070.0</v>
      </c>
      <c r="CY92" s="138">
        <v>43101.0</v>
      </c>
      <c r="CZ92" s="138">
        <v>43132.0</v>
      </c>
      <c r="DA92" s="138">
        <v>43160.0</v>
      </c>
      <c r="DB92" s="138">
        <v>43191.0</v>
      </c>
      <c r="DC92" s="138">
        <v>43221.0</v>
      </c>
      <c r="DD92" s="138">
        <v>43252.0</v>
      </c>
      <c r="DE92" s="138">
        <v>43282.0</v>
      </c>
      <c r="DF92" s="138">
        <v>43313.0</v>
      </c>
      <c r="DG92" s="138">
        <v>43344.0</v>
      </c>
      <c r="DH92" s="138">
        <v>43374.0</v>
      </c>
      <c r="DI92" s="138">
        <v>43405.0</v>
      </c>
      <c r="DJ92" s="138">
        <v>43435.0</v>
      </c>
      <c r="DK92" s="138">
        <v>43466.0</v>
      </c>
      <c r="DL92" s="138">
        <v>43497.0</v>
      </c>
      <c r="DM92" s="138">
        <v>43525.0</v>
      </c>
      <c r="DN92" s="138">
        <v>43556.0</v>
      </c>
      <c r="DO92" s="139">
        <v>43586.0</v>
      </c>
      <c r="DP92" s="139">
        <v>43617.0</v>
      </c>
      <c r="DQ92" s="139">
        <v>43647.0</v>
      </c>
      <c r="DR92" s="139">
        <v>43678.0</v>
      </c>
      <c r="DS92" s="139">
        <v>43709.0</v>
      </c>
      <c r="DT92" s="139">
        <v>43739.0</v>
      </c>
      <c r="DU92" s="139">
        <v>43770.0</v>
      </c>
      <c r="DV92" s="139">
        <v>43800.0</v>
      </c>
      <c r="DW92" s="139">
        <v>43831.0</v>
      </c>
      <c r="DX92" s="139">
        <v>43862.0</v>
      </c>
      <c r="DY92" s="139">
        <v>43891.0</v>
      </c>
      <c r="DZ92" s="139">
        <v>43922.0</v>
      </c>
      <c r="EA92" s="139">
        <v>43952.0</v>
      </c>
      <c r="EB92" s="139">
        <v>43983.0</v>
      </c>
      <c r="EC92" s="139">
        <v>44013.0</v>
      </c>
      <c r="ED92" s="139">
        <v>44044.0</v>
      </c>
      <c r="EE92" s="139">
        <v>44075.0</v>
      </c>
      <c r="EF92" s="139">
        <v>44105.0</v>
      </c>
      <c r="EG92" s="139">
        <v>44136.0</v>
      </c>
      <c r="EH92" s="139">
        <v>44166.0</v>
      </c>
      <c r="EI92" s="139">
        <v>44197.0</v>
      </c>
      <c r="EJ92" s="139">
        <v>44228.0</v>
      </c>
      <c r="EK92" s="139">
        <v>44256.0</v>
      </c>
      <c r="EL92" s="139">
        <v>44287.0</v>
      </c>
      <c r="EM92" s="139">
        <v>44317.0</v>
      </c>
      <c r="EN92" s="139">
        <v>44348.0</v>
      </c>
      <c r="EO92" s="139">
        <v>44378.0</v>
      </c>
      <c r="EP92" s="139">
        <v>44409.0</v>
      </c>
      <c r="EQ92" s="139">
        <v>44440.0</v>
      </c>
      <c r="ER92" s="139">
        <v>44470.0</v>
      </c>
      <c r="ES92" s="139">
        <v>44501.0</v>
      </c>
      <c r="ET92" s="139">
        <v>44531.0</v>
      </c>
      <c r="EU92" s="139">
        <v>44562.0</v>
      </c>
      <c r="EV92" s="139">
        <v>44593.0</v>
      </c>
      <c r="EW92" s="139">
        <v>44621.0</v>
      </c>
      <c r="EX92" s="139">
        <v>44652.0</v>
      </c>
      <c r="EY92" s="139">
        <v>44682.0</v>
      </c>
      <c r="EZ92" s="139">
        <v>44713.0</v>
      </c>
      <c r="FA92" s="139">
        <v>44743.0</v>
      </c>
      <c r="FB92" s="139">
        <v>44774.0</v>
      </c>
      <c r="FC92" s="139">
        <v>44805.0</v>
      </c>
      <c r="FD92" s="139">
        <v>44835.0</v>
      </c>
      <c r="FE92" s="139">
        <v>44866.0</v>
      </c>
      <c r="FF92" s="139">
        <v>44896.0</v>
      </c>
      <c r="FG92" s="139">
        <v>44927.0</v>
      </c>
      <c r="FH92" s="139">
        <v>44958.0</v>
      </c>
      <c r="FI92" s="139">
        <v>44986.0</v>
      </c>
      <c r="FJ92" s="139">
        <v>45017.0</v>
      </c>
      <c r="FK92" s="139">
        <v>45047.0</v>
      </c>
      <c r="FL92" s="139">
        <v>45078.0</v>
      </c>
      <c r="FM92" s="139">
        <v>45108.0</v>
      </c>
      <c r="FN92" s="139">
        <v>45139.0</v>
      </c>
      <c r="FO92" s="139">
        <v>45170.0</v>
      </c>
      <c r="FP92" s="139">
        <v>45200.0</v>
      </c>
      <c r="FQ92" s="139">
        <v>45231.0</v>
      </c>
      <c r="FR92" s="139">
        <v>45261.0</v>
      </c>
      <c r="FS92" s="139">
        <v>45292.0</v>
      </c>
      <c r="FT92" s="139">
        <v>45323.0</v>
      </c>
      <c r="FU92" s="139">
        <v>45352.0</v>
      </c>
      <c r="FV92" s="139">
        <v>45383.0</v>
      </c>
      <c r="FW92" s="139">
        <v>45413.0</v>
      </c>
      <c r="FX92" s="139">
        <v>45444.0</v>
      </c>
      <c r="FY92" s="139">
        <v>45474.0</v>
      </c>
      <c r="FZ92" s="139">
        <v>45505.0</v>
      </c>
      <c r="GA92" s="139">
        <v>45536.0</v>
      </c>
      <c r="GB92" s="139">
        <v>45566.0</v>
      </c>
      <c r="GC92" s="139">
        <v>45597.0</v>
      </c>
      <c r="GD92" s="139">
        <v>45627.0</v>
      </c>
      <c r="GE92" s="139">
        <v>45658.0</v>
      </c>
      <c r="GF92" s="139">
        <v>45689.0</v>
      </c>
      <c r="GG92" s="139">
        <v>45717.0</v>
      </c>
      <c r="GH92" s="139">
        <v>45748.0</v>
      </c>
      <c r="GI92" s="139">
        <v>45778.0</v>
      </c>
      <c r="GJ92" s="139">
        <v>45809.0</v>
      </c>
      <c r="GK92" s="139">
        <v>45839.0</v>
      </c>
    </row>
    <row r="93">
      <c r="A93" s="132" t="s">
        <v>34070</v>
      </c>
      <c r="B93" s="133" t="s">
        <v>1183</v>
      </c>
      <c r="C93" s="134">
        <v>43657.74726851852</v>
      </c>
      <c r="D93" s="135" t="str">
        <f t="shared" si="1"/>
        <v>2019/07/11</v>
      </c>
      <c r="E93" s="136" t="s">
        <v>34071</v>
      </c>
      <c r="F93" s="137">
        <v>0.13419</v>
      </c>
      <c r="G93" s="138">
        <v>40179.0</v>
      </c>
      <c r="H93" s="138">
        <v>40210.0</v>
      </c>
      <c r="I93" s="138">
        <v>40238.0</v>
      </c>
      <c r="J93" s="138">
        <v>40269.0</v>
      </c>
      <c r="K93" s="138">
        <v>40299.0</v>
      </c>
      <c r="L93" s="138">
        <v>40330.0</v>
      </c>
      <c r="M93" s="138">
        <v>40360.0</v>
      </c>
      <c r="N93" s="138">
        <v>40391.0</v>
      </c>
      <c r="O93" s="138">
        <v>40422.0</v>
      </c>
      <c r="P93" s="138">
        <v>40452.0</v>
      </c>
      <c r="Q93" s="138">
        <v>40483.0</v>
      </c>
      <c r="R93" s="138">
        <v>40513.0</v>
      </c>
      <c r="S93" s="138">
        <v>40544.0</v>
      </c>
      <c r="T93" s="138">
        <v>40575.0</v>
      </c>
      <c r="U93" s="138">
        <v>40603.0</v>
      </c>
      <c r="V93" s="138">
        <v>40634.0</v>
      </c>
      <c r="W93" s="138">
        <v>40664.0</v>
      </c>
      <c r="X93" s="138">
        <v>40695.0</v>
      </c>
      <c r="Y93" s="138">
        <v>40725.0</v>
      </c>
      <c r="Z93" s="138">
        <v>40756.0</v>
      </c>
      <c r="AA93" s="138">
        <v>40787.0</v>
      </c>
      <c r="AB93" s="138">
        <v>40817.0</v>
      </c>
      <c r="AC93" s="138">
        <v>40848.0</v>
      </c>
      <c r="AD93" s="138">
        <v>40878.0</v>
      </c>
      <c r="AE93" s="138">
        <v>40909.0</v>
      </c>
      <c r="AF93" s="138">
        <v>40940.0</v>
      </c>
      <c r="AG93" s="138">
        <v>40969.0</v>
      </c>
      <c r="AH93" s="138">
        <v>41000.0</v>
      </c>
      <c r="AI93" s="138">
        <v>41030.0</v>
      </c>
      <c r="AJ93" s="138">
        <v>41061.0</v>
      </c>
      <c r="AK93" s="138">
        <v>41091.0</v>
      </c>
      <c r="AL93" s="138">
        <v>41122.0</v>
      </c>
      <c r="AM93" s="138">
        <v>41153.0</v>
      </c>
      <c r="AN93" s="138">
        <v>41183.0</v>
      </c>
      <c r="AO93" s="138">
        <v>41214.0</v>
      </c>
      <c r="AP93" s="138">
        <v>41244.0</v>
      </c>
      <c r="AQ93" s="138">
        <v>41275.0</v>
      </c>
      <c r="AR93" s="138">
        <v>41306.0</v>
      </c>
      <c r="AS93" s="138">
        <v>41334.0</v>
      </c>
      <c r="AT93" s="138">
        <v>41365.0</v>
      </c>
      <c r="AU93" s="138">
        <v>41395.0</v>
      </c>
      <c r="AV93" s="138">
        <v>41426.0</v>
      </c>
      <c r="AW93" s="138">
        <v>41456.0</v>
      </c>
      <c r="AX93" s="138">
        <v>41487.0</v>
      </c>
      <c r="AY93" s="138">
        <v>41518.0</v>
      </c>
      <c r="AZ93" s="138">
        <v>41548.0</v>
      </c>
      <c r="BA93" s="138">
        <v>41579.0</v>
      </c>
      <c r="BB93" s="138">
        <v>41609.0</v>
      </c>
      <c r="BC93" s="138">
        <v>41640.0</v>
      </c>
      <c r="BD93" s="138">
        <v>41671.0</v>
      </c>
      <c r="BE93" s="138">
        <v>41699.0</v>
      </c>
      <c r="BF93" s="138">
        <v>41730.0</v>
      </c>
      <c r="BG93" s="138">
        <v>41760.0</v>
      </c>
      <c r="BH93" s="138">
        <v>41791.0</v>
      </c>
      <c r="BI93" s="138">
        <v>41821.0</v>
      </c>
      <c r="BJ93" s="138">
        <v>41852.0</v>
      </c>
      <c r="BK93" s="138">
        <v>41883.0</v>
      </c>
      <c r="BL93" s="138">
        <v>41913.0</v>
      </c>
      <c r="BM93" s="138">
        <v>41944.0</v>
      </c>
      <c r="BN93" s="138">
        <v>41974.0</v>
      </c>
      <c r="BO93" s="138">
        <v>42005.0</v>
      </c>
      <c r="BP93" s="138">
        <v>42036.0</v>
      </c>
      <c r="BQ93" s="138">
        <v>42064.0</v>
      </c>
      <c r="BR93" s="138">
        <v>42095.0</v>
      </c>
      <c r="BS93" s="138">
        <v>42125.0</v>
      </c>
      <c r="BT93" s="138">
        <v>42156.0</v>
      </c>
      <c r="BU93" s="138">
        <v>42186.0</v>
      </c>
      <c r="BV93" s="138">
        <v>42217.0</v>
      </c>
      <c r="BW93" s="138">
        <v>42248.0</v>
      </c>
      <c r="BX93" s="138">
        <v>42278.0</v>
      </c>
      <c r="BY93" s="138">
        <v>42309.0</v>
      </c>
      <c r="BZ93" s="138">
        <v>42339.0</v>
      </c>
      <c r="CA93" s="138">
        <v>42370.0</v>
      </c>
      <c r="CB93" s="138">
        <v>42401.0</v>
      </c>
      <c r="CC93" s="138">
        <v>42430.0</v>
      </c>
      <c r="CD93" s="138">
        <v>42461.0</v>
      </c>
      <c r="CE93" s="138">
        <v>42491.0</v>
      </c>
      <c r="CF93" s="138">
        <v>42522.0</v>
      </c>
      <c r="CG93" s="138">
        <v>42552.0</v>
      </c>
      <c r="CH93" s="138">
        <v>42583.0</v>
      </c>
      <c r="CI93" s="138">
        <v>42614.0</v>
      </c>
      <c r="CJ93" s="138">
        <v>42644.0</v>
      </c>
      <c r="CK93" s="138">
        <v>42675.0</v>
      </c>
      <c r="CL93" s="138">
        <v>42705.0</v>
      </c>
      <c r="CM93" s="138">
        <v>42736.0</v>
      </c>
      <c r="CN93" s="138">
        <v>42767.0</v>
      </c>
      <c r="CO93" s="138">
        <v>42795.0</v>
      </c>
      <c r="CP93" s="138">
        <v>42826.0</v>
      </c>
      <c r="CQ93" s="138">
        <v>42856.0</v>
      </c>
      <c r="CR93" s="138">
        <v>42887.0</v>
      </c>
      <c r="CS93" s="138">
        <v>42917.0</v>
      </c>
      <c r="CT93" s="138">
        <v>42948.0</v>
      </c>
      <c r="CU93" s="138">
        <v>42979.0</v>
      </c>
      <c r="CV93" s="138">
        <v>43009.0</v>
      </c>
      <c r="CW93" s="138">
        <v>43040.0</v>
      </c>
      <c r="CX93" s="138">
        <v>43070.0</v>
      </c>
      <c r="CY93" s="138">
        <v>43101.0</v>
      </c>
      <c r="CZ93" s="138">
        <v>43132.0</v>
      </c>
      <c r="DA93" s="138">
        <v>43160.0</v>
      </c>
      <c r="DB93" s="138">
        <v>43191.0</v>
      </c>
      <c r="DC93" s="138">
        <v>43221.0</v>
      </c>
      <c r="DD93" s="138">
        <v>43252.0</v>
      </c>
      <c r="DE93" s="138">
        <v>43282.0</v>
      </c>
      <c r="DF93" s="138">
        <v>43313.0</v>
      </c>
      <c r="DG93" s="138">
        <v>43344.0</v>
      </c>
      <c r="DH93" s="138">
        <v>43374.0</v>
      </c>
      <c r="DI93" s="138">
        <v>43405.0</v>
      </c>
      <c r="DJ93" s="138">
        <v>43435.0</v>
      </c>
      <c r="DK93" s="138">
        <v>43466.0</v>
      </c>
      <c r="DL93" s="138">
        <v>43497.0</v>
      </c>
      <c r="DM93" s="138">
        <v>43525.0</v>
      </c>
      <c r="DN93" s="138">
        <v>43556.0</v>
      </c>
      <c r="DO93" s="138">
        <v>43586.0</v>
      </c>
      <c r="DP93" s="138">
        <v>43617.0</v>
      </c>
      <c r="DQ93" s="138">
        <v>43647.0</v>
      </c>
      <c r="DR93" s="139">
        <v>43678.0</v>
      </c>
      <c r="DS93" s="139">
        <v>43709.0</v>
      </c>
      <c r="DT93" s="139">
        <v>43739.0</v>
      </c>
      <c r="DU93" s="139">
        <v>43770.0</v>
      </c>
      <c r="DV93" s="139">
        <v>43800.0</v>
      </c>
      <c r="DW93" s="139">
        <v>43831.0</v>
      </c>
      <c r="DX93" s="139">
        <v>43862.0</v>
      </c>
      <c r="DY93" s="139">
        <v>43891.0</v>
      </c>
      <c r="DZ93" s="139">
        <v>43922.0</v>
      </c>
      <c r="EA93" s="139">
        <v>43952.0</v>
      </c>
      <c r="EB93" s="139">
        <v>43983.0</v>
      </c>
      <c r="EC93" s="139">
        <v>44013.0</v>
      </c>
      <c r="ED93" s="139">
        <v>44044.0</v>
      </c>
      <c r="EE93" s="139">
        <v>44075.0</v>
      </c>
      <c r="EF93" s="139">
        <v>44105.0</v>
      </c>
      <c r="EG93" s="139">
        <v>44136.0</v>
      </c>
      <c r="EH93" s="139">
        <v>44166.0</v>
      </c>
      <c r="EI93" s="139">
        <v>44197.0</v>
      </c>
      <c r="EJ93" s="139">
        <v>44228.0</v>
      </c>
      <c r="EK93" s="139">
        <v>44256.0</v>
      </c>
      <c r="EL93" s="139">
        <v>44287.0</v>
      </c>
      <c r="EM93" s="139">
        <v>44317.0</v>
      </c>
      <c r="EN93" s="139">
        <v>44348.0</v>
      </c>
      <c r="EO93" s="139">
        <v>44378.0</v>
      </c>
      <c r="EP93" s="139">
        <v>44409.0</v>
      </c>
      <c r="EQ93" s="139">
        <v>44440.0</v>
      </c>
      <c r="ER93" s="139">
        <v>44470.0</v>
      </c>
      <c r="ES93" s="139">
        <v>44501.0</v>
      </c>
      <c r="ET93" s="139">
        <v>44531.0</v>
      </c>
      <c r="EU93" s="139">
        <v>44562.0</v>
      </c>
      <c r="EV93" s="139">
        <v>44593.0</v>
      </c>
      <c r="EW93" s="139">
        <v>44621.0</v>
      </c>
      <c r="EX93" s="139">
        <v>44652.0</v>
      </c>
      <c r="EY93" s="139">
        <v>44682.0</v>
      </c>
      <c r="EZ93" s="139">
        <v>44713.0</v>
      </c>
      <c r="FA93" s="139">
        <v>44743.0</v>
      </c>
      <c r="FB93" s="139">
        <v>44774.0</v>
      </c>
      <c r="FC93" s="139">
        <v>44805.0</v>
      </c>
      <c r="FD93" s="139">
        <v>44835.0</v>
      </c>
      <c r="FE93" s="139">
        <v>44866.0</v>
      </c>
      <c r="FF93" s="139">
        <v>44896.0</v>
      </c>
      <c r="FG93" s="139">
        <v>44927.0</v>
      </c>
      <c r="FH93" s="139">
        <v>44958.0</v>
      </c>
      <c r="FI93" s="139">
        <v>44986.0</v>
      </c>
      <c r="FJ93" s="139">
        <v>45017.0</v>
      </c>
      <c r="FK93" s="139">
        <v>45047.0</v>
      </c>
      <c r="FL93" s="139">
        <v>45078.0</v>
      </c>
      <c r="FM93" s="139">
        <v>45108.0</v>
      </c>
      <c r="FN93" s="139">
        <v>45139.0</v>
      </c>
      <c r="FO93" s="139">
        <v>45170.0</v>
      </c>
      <c r="FP93" s="139">
        <v>45200.0</v>
      </c>
      <c r="FQ93" s="139">
        <v>45231.0</v>
      </c>
      <c r="FR93" s="139">
        <v>45261.0</v>
      </c>
      <c r="FS93" s="139">
        <v>45292.0</v>
      </c>
      <c r="FT93" s="139">
        <v>45323.0</v>
      </c>
      <c r="FU93" s="139">
        <v>45352.0</v>
      </c>
      <c r="FV93" s="139">
        <v>45383.0</v>
      </c>
      <c r="FW93" s="139">
        <v>45413.0</v>
      </c>
      <c r="FX93" s="139">
        <v>45444.0</v>
      </c>
      <c r="FY93" s="139">
        <v>45474.0</v>
      </c>
      <c r="FZ93" s="139">
        <v>45505.0</v>
      </c>
      <c r="GA93" s="139">
        <v>45536.0</v>
      </c>
      <c r="GB93" s="139">
        <v>45566.0</v>
      </c>
      <c r="GC93" s="139">
        <v>45597.0</v>
      </c>
      <c r="GD93" s="139">
        <v>45627.0</v>
      </c>
      <c r="GE93" s="139">
        <v>45658.0</v>
      </c>
      <c r="GF93" s="139">
        <v>45689.0</v>
      </c>
      <c r="GG93" s="139">
        <v>45717.0</v>
      </c>
      <c r="GH93" s="139">
        <v>45748.0</v>
      </c>
      <c r="GI93" s="139">
        <v>45778.0</v>
      </c>
      <c r="GJ93" s="139">
        <v>45809.0</v>
      </c>
      <c r="GK93" s="139">
        <v>45839.0</v>
      </c>
    </row>
    <row r="94">
      <c r="A94" s="132" t="s">
        <v>34072</v>
      </c>
      <c r="B94" s="133" t="s">
        <v>1357</v>
      </c>
      <c r="C94" s="134">
        <v>43663.44515046296</v>
      </c>
      <c r="D94" s="135" t="str">
        <f t="shared" si="1"/>
        <v>2019/07/17</v>
      </c>
      <c r="E94" s="136" t="s">
        <v>33912</v>
      </c>
      <c r="F94" s="137">
        <v>0.0</v>
      </c>
      <c r="G94" s="138">
        <v>40179.0</v>
      </c>
      <c r="H94" s="138">
        <v>40210.0</v>
      </c>
      <c r="I94" s="138">
        <v>40238.0</v>
      </c>
      <c r="J94" s="138">
        <v>40269.0</v>
      </c>
      <c r="K94" s="138">
        <v>40299.0</v>
      </c>
      <c r="L94" s="138">
        <v>40330.0</v>
      </c>
      <c r="M94" s="138">
        <v>40360.0</v>
      </c>
      <c r="N94" s="138">
        <v>40391.0</v>
      </c>
      <c r="O94" s="138">
        <v>40422.0</v>
      </c>
      <c r="P94" s="138">
        <v>40452.0</v>
      </c>
      <c r="Q94" s="138">
        <v>40483.0</v>
      </c>
      <c r="R94" s="138">
        <v>40513.0</v>
      </c>
      <c r="S94" s="138">
        <v>40544.0</v>
      </c>
      <c r="T94" s="138">
        <v>40575.0</v>
      </c>
      <c r="U94" s="138">
        <v>40603.0</v>
      </c>
      <c r="V94" s="138">
        <v>40634.0</v>
      </c>
      <c r="W94" s="138">
        <v>40664.0</v>
      </c>
      <c r="X94" s="138">
        <v>40695.0</v>
      </c>
      <c r="Y94" s="138">
        <v>40725.0</v>
      </c>
      <c r="Z94" s="138">
        <v>40756.0</v>
      </c>
      <c r="AA94" s="138">
        <v>40787.0</v>
      </c>
      <c r="AB94" s="138">
        <v>40817.0</v>
      </c>
      <c r="AC94" s="138">
        <v>40848.0</v>
      </c>
      <c r="AD94" s="138">
        <v>40878.0</v>
      </c>
      <c r="AE94" s="138">
        <v>40909.0</v>
      </c>
      <c r="AF94" s="138">
        <v>40940.0</v>
      </c>
      <c r="AG94" s="138">
        <v>40969.0</v>
      </c>
      <c r="AH94" s="138">
        <v>41000.0</v>
      </c>
      <c r="AI94" s="138">
        <v>41030.0</v>
      </c>
      <c r="AJ94" s="138">
        <v>41061.0</v>
      </c>
      <c r="AK94" s="138">
        <v>41091.0</v>
      </c>
      <c r="AL94" s="138">
        <v>41122.0</v>
      </c>
      <c r="AM94" s="138">
        <v>41153.0</v>
      </c>
      <c r="AN94" s="138">
        <v>41183.0</v>
      </c>
      <c r="AO94" s="138">
        <v>41214.0</v>
      </c>
      <c r="AP94" s="138">
        <v>41244.0</v>
      </c>
      <c r="AQ94" s="138">
        <v>41275.0</v>
      </c>
      <c r="AR94" s="138">
        <v>41306.0</v>
      </c>
      <c r="AS94" s="138">
        <v>41334.0</v>
      </c>
      <c r="AT94" s="138">
        <v>41365.0</v>
      </c>
      <c r="AU94" s="138">
        <v>41395.0</v>
      </c>
      <c r="AV94" s="138">
        <v>41426.0</v>
      </c>
      <c r="AW94" s="138">
        <v>41456.0</v>
      </c>
      <c r="AX94" s="138">
        <v>41487.0</v>
      </c>
      <c r="AY94" s="138">
        <v>41518.0</v>
      </c>
      <c r="AZ94" s="138">
        <v>41548.0</v>
      </c>
      <c r="BA94" s="138">
        <v>41579.0</v>
      </c>
      <c r="BB94" s="138">
        <v>41609.0</v>
      </c>
      <c r="BC94" s="138">
        <v>41640.0</v>
      </c>
      <c r="BD94" s="138">
        <v>41671.0</v>
      </c>
      <c r="BE94" s="138">
        <v>41699.0</v>
      </c>
      <c r="BF94" s="138">
        <v>41730.0</v>
      </c>
      <c r="BG94" s="138">
        <v>41760.0</v>
      </c>
      <c r="BH94" s="138">
        <v>41791.0</v>
      </c>
      <c r="BI94" s="138">
        <v>41821.0</v>
      </c>
      <c r="BJ94" s="138">
        <v>41852.0</v>
      </c>
      <c r="BK94" s="138">
        <v>41883.0</v>
      </c>
      <c r="BL94" s="138">
        <v>41913.0</v>
      </c>
      <c r="BM94" s="138">
        <v>41944.0</v>
      </c>
      <c r="BN94" s="138">
        <v>41974.0</v>
      </c>
      <c r="BO94" s="138">
        <v>42005.0</v>
      </c>
      <c r="BP94" s="138">
        <v>42036.0</v>
      </c>
      <c r="BQ94" s="138">
        <v>42064.0</v>
      </c>
      <c r="BR94" s="138">
        <v>42095.0</v>
      </c>
      <c r="BS94" s="138">
        <v>42125.0</v>
      </c>
      <c r="BT94" s="138">
        <v>42156.0</v>
      </c>
      <c r="BU94" s="138">
        <v>42186.0</v>
      </c>
      <c r="BV94" s="138">
        <v>42217.0</v>
      </c>
      <c r="BW94" s="138">
        <v>42248.0</v>
      </c>
      <c r="BX94" s="138">
        <v>42278.0</v>
      </c>
      <c r="BY94" s="138">
        <v>42309.0</v>
      </c>
      <c r="BZ94" s="138">
        <v>42339.0</v>
      </c>
      <c r="CA94" s="138">
        <v>42370.0</v>
      </c>
      <c r="CB94" s="138">
        <v>42401.0</v>
      </c>
      <c r="CC94" s="138">
        <v>42430.0</v>
      </c>
      <c r="CD94" s="138">
        <v>42461.0</v>
      </c>
      <c r="CE94" s="138">
        <v>42491.0</v>
      </c>
      <c r="CF94" s="138">
        <v>42522.0</v>
      </c>
      <c r="CG94" s="138">
        <v>42552.0</v>
      </c>
      <c r="CH94" s="138">
        <v>42583.0</v>
      </c>
      <c r="CI94" s="138">
        <v>42614.0</v>
      </c>
      <c r="CJ94" s="138">
        <v>42644.0</v>
      </c>
      <c r="CK94" s="138">
        <v>42675.0</v>
      </c>
      <c r="CL94" s="138">
        <v>42705.0</v>
      </c>
      <c r="CM94" s="138">
        <v>42736.0</v>
      </c>
      <c r="CN94" s="138">
        <v>42767.0</v>
      </c>
      <c r="CO94" s="138">
        <v>42795.0</v>
      </c>
      <c r="CP94" s="138">
        <v>42826.0</v>
      </c>
      <c r="CQ94" s="138">
        <v>42856.0</v>
      </c>
      <c r="CR94" s="138">
        <v>42887.0</v>
      </c>
      <c r="CS94" s="138">
        <v>42917.0</v>
      </c>
      <c r="CT94" s="138">
        <v>42948.0</v>
      </c>
      <c r="CU94" s="138">
        <v>42979.0</v>
      </c>
      <c r="CV94" s="138">
        <v>43009.0</v>
      </c>
      <c r="CW94" s="138">
        <v>43040.0</v>
      </c>
      <c r="CX94" s="138">
        <v>43070.0</v>
      </c>
      <c r="CY94" s="138">
        <v>43101.0</v>
      </c>
      <c r="CZ94" s="138">
        <v>43132.0</v>
      </c>
      <c r="DA94" s="138">
        <v>43160.0</v>
      </c>
      <c r="DB94" s="138">
        <v>43191.0</v>
      </c>
      <c r="DC94" s="138">
        <v>43221.0</v>
      </c>
      <c r="DD94" s="138">
        <v>43252.0</v>
      </c>
      <c r="DE94" s="138">
        <v>43282.0</v>
      </c>
      <c r="DF94" s="138">
        <v>43313.0</v>
      </c>
      <c r="DG94" s="138">
        <v>43344.0</v>
      </c>
      <c r="DH94" s="138">
        <v>43374.0</v>
      </c>
      <c r="DI94" s="138">
        <v>43405.0</v>
      </c>
      <c r="DJ94" s="138">
        <v>43435.0</v>
      </c>
      <c r="DK94" s="138">
        <v>43466.0</v>
      </c>
      <c r="DL94" s="138">
        <v>43497.0</v>
      </c>
      <c r="DM94" s="138">
        <v>43525.0</v>
      </c>
      <c r="DN94" s="138">
        <v>43556.0</v>
      </c>
      <c r="DO94" s="138">
        <v>43586.0</v>
      </c>
      <c r="DP94" s="138">
        <v>43617.0</v>
      </c>
      <c r="DQ94" s="138">
        <v>43647.0</v>
      </c>
      <c r="DR94" s="139">
        <v>43678.0</v>
      </c>
      <c r="DS94" s="139">
        <v>43709.0</v>
      </c>
      <c r="DT94" s="139">
        <v>43739.0</v>
      </c>
      <c r="DU94" s="139">
        <v>43770.0</v>
      </c>
      <c r="DV94" s="139">
        <v>43800.0</v>
      </c>
      <c r="DW94" s="139">
        <v>43831.0</v>
      </c>
      <c r="DX94" s="139">
        <v>43862.0</v>
      </c>
      <c r="DY94" s="139">
        <v>43891.0</v>
      </c>
      <c r="DZ94" s="139">
        <v>43922.0</v>
      </c>
      <c r="EA94" s="139">
        <v>43952.0</v>
      </c>
      <c r="EB94" s="139">
        <v>43983.0</v>
      </c>
      <c r="EC94" s="139">
        <v>44013.0</v>
      </c>
      <c r="ED94" s="139">
        <v>44044.0</v>
      </c>
      <c r="EE94" s="139">
        <v>44075.0</v>
      </c>
      <c r="EF94" s="139">
        <v>44105.0</v>
      </c>
      <c r="EG94" s="139">
        <v>44136.0</v>
      </c>
      <c r="EH94" s="139">
        <v>44166.0</v>
      </c>
      <c r="EI94" s="139">
        <v>44197.0</v>
      </c>
      <c r="EJ94" s="139">
        <v>44228.0</v>
      </c>
      <c r="EK94" s="139">
        <v>44256.0</v>
      </c>
      <c r="EL94" s="139">
        <v>44287.0</v>
      </c>
      <c r="EM94" s="139">
        <v>44317.0</v>
      </c>
      <c r="EN94" s="139">
        <v>44348.0</v>
      </c>
      <c r="EO94" s="139">
        <v>44378.0</v>
      </c>
      <c r="EP94" s="139">
        <v>44409.0</v>
      </c>
      <c r="EQ94" s="139">
        <v>44440.0</v>
      </c>
      <c r="ER94" s="139">
        <v>44470.0</v>
      </c>
      <c r="ES94" s="139">
        <v>44501.0</v>
      </c>
      <c r="ET94" s="139">
        <v>44531.0</v>
      </c>
      <c r="EU94" s="139">
        <v>44562.0</v>
      </c>
      <c r="EV94" s="139">
        <v>44593.0</v>
      </c>
      <c r="EW94" s="139">
        <v>44621.0</v>
      </c>
      <c r="EX94" s="139">
        <v>44652.0</v>
      </c>
      <c r="EY94" s="139">
        <v>44682.0</v>
      </c>
      <c r="EZ94" s="139">
        <v>44713.0</v>
      </c>
      <c r="FA94" s="139">
        <v>44743.0</v>
      </c>
      <c r="FB94" s="139">
        <v>44774.0</v>
      </c>
      <c r="FC94" s="139">
        <v>44805.0</v>
      </c>
      <c r="FD94" s="139">
        <v>44835.0</v>
      </c>
      <c r="FE94" s="139">
        <v>44866.0</v>
      </c>
      <c r="FF94" s="139">
        <v>44896.0</v>
      </c>
      <c r="FG94" s="139">
        <v>44927.0</v>
      </c>
      <c r="FH94" s="139">
        <v>44958.0</v>
      </c>
      <c r="FI94" s="139">
        <v>44986.0</v>
      </c>
      <c r="FJ94" s="139">
        <v>45017.0</v>
      </c>
      <c r="FK94" s="139">
        <v>45047.0</v>
      </c>
      <c r="FL94" s="139">
        <v>45078.0</v>
      </c>
      <c r="FM94" s="139">
        <v>45108.0</v>
      </c>
      <c r="FN94" s="139">
        <v>45139.0</v>
      </c>
      <c r="FO94" s="139">
        <v>45170.0</v>
      </c>
      <c r="FP94" s="139">
        <v>45200.0</v>
      </c>
      <c r="FQ94" s="139">
        <v>45231.0</v>
      </c>
      <c r="FR94" s="139">
        <v>45261.0</v>
      </c>
      <c r="FS94" s="139">
        <v>45292.0</v>
      </c>
      <c r="FT94" s="139">
        <v>45323.0</v>
      </c>
      <c r="FU94" s="139">
        <v>45352.0</v>
      </c>
      <c r="FV94" s="139">
        <v>45383.0</v>
      </c>
      <c r="FW94" s="139">
        <v>45413.0</v>
      </c>
      <c r="FX94" s="139">
        <v>45444.0</v>
      </c>
      <c r="FY94" s="139">
        <v>45474.0</v>
      </c>
      <c r="FZ94" s="139">
        <v>45505.0</v>
      </c>
      <c r="GA94" s="139">
        <v>45536.0</v>
      </c>
      <c r="GB94" s="139">
        <v>45566.0</v>
      </c>
      <c r="GC94" s="139">
        <v>45597.0</v>
      </c>
      <c r="GD94" s="139">
        <v>45627.0</v>
      </c>
      <c r="GE94" s="139">
        <v>45658.0</v>
      </c>
      <c r="GF94" s="139">
        <v>45689.0</v>
      </c>
      <c r="GG94" s="139">
        <v>45717.0</v>
      </c>
      <c r="GH94" s="139">
        <v>45748.0</v>
      </c>
      <c r="GI94" s="139">
        <v>45778.0</v>
      </c>
      <c r="GJ94" s="139">
        <v>45809.0</v>
      </c>
      <c r="GK94" s="139">
        <v>45839.0</v>
      </c>
    </row>
    <row r="95">
      <c r="A95" s="132" t="s">
        <v>34073</v>
      </c>
      <c r="B95" s="133" t="s">
        <v>432</v>
      </c>
      <c r="C95" s="134">
        <v>43711.45045138889</v>
      </c>
      <c r="D95" s="135" t="str">
        <f t="shared" si="1"/>
        <v>2019/09/03</v>
      </c>
      <c r="E95" s="136" t="s">
        <v>34074</v>
      </c>
      <c r="F95" s="137">
        <v>0.00146</v>
      </c>
      <c r="G95" s="138">
        <v>40179.0</v>
      </c>
      <c r="H95" s="138">
        <v>40210.0</v>
      </c>
      <c r="I95" s="138">
        <v>40238.0</v>
      </c>
      <c r="J95" s="138">
        <v>40269.0</v>
      </c>
      <c r="K95" s="138">
        <v>40299.0</v>
      </c>
      <c r="L95" s="138">
        <v>40330.0</v>
      </c>
      <c r="M95" s="138">
        <v>40360.0</v>
      </c>
      <c r="N95" s="138">
        <v>40391.0</v>
      </c>
      <c r="O95" s="138">
        <v>40422.0</v>
      </c>
      <c r="P95" s="138">
        <v>40452.0</v>
      </c>
      <c r="Q95" s="138">
        <v>40483.0</v>
      </c>
      <c r="R95" s="138">
        <v>40513.0</v>
      </c>
      <c r="S95" s="138">
        <v>40544.0</v>
      </c>
      <c r="T95" s="138">
        <v>40575.0</v>
      </c>
      <c r="U95" s="138">
        <v>40603.0</v>
      </c>
      <c r="V95" s="138">
        <v>40634.0</v>
      </c>
      <c r="W95" s="138">
        <v>40664.0</v>
      </c>
      <c r="X95" s="138">
        <v>40695.0</v>
      </c>
      <c r="Y95" s="138">
        <v>40725.0</v>
      </c>
      <c r="Z95" s="138">
        <v>40756.0</v>
      </c>
      <c r="AA95" s="138">
        <v>40787.0</v>
      </c>
      <c r="AB95" s="138">
        <v>40817.0</v>
      </c>
      <c r="AC95" s="138">
        <v>40848.0</v>
      </c>
      <c r="AD95" s="138">
        <v>40878.0</v>
      </c>
      <c r="AE95" s="138">
        <v>40909.0</v>
      </c>
      <c r="AF95" s="138">
        <v>40940.0</v>
      </c>
      <c r="AG95" s="138">
        <v>40969.0</v>
      </c>
      <c r="AH95" s="138">
        <v>41000.0</v>
      </c>
      <c r="AI95" s="138">
        <v>41030.0</v>
      </c>
      <c r="AJ95" s="138">
        <v>41061.0</v>
      </c>
      <c r="AK95" s="138">
        <v>41091.0</v>
      </c>
      <c r="AL95" s="138">
        <v>41122.0</v>
      </c>
      <c r="AM95" s="138">
        <v>41153.0</v>
      </c>
      <c r="AN95" s="138">
        <v>41183.0</v>
      </c>
      <c r="AO95" s="138">
        <v>41214.0</v>
      </c>
      <c r="AP95" s="138">
        <v>41244.0</v>
      </c>
      <c r="AQ95" s="138">
        <v>41275.0</v>
      </c>
      <c r="AR95" s="138">
        <v>41306.0</v>
      </c>
      <c r="AS95" s="138">
        <v>41334.0</v>
      </c>
      <c r="AT95" s="138">
        <v>41365.0</v>
      </c>
      <c r="AU95" s="138">
        <v>41395.0</v>
      </c>
      <c r="AV95" s="138">
        <v>41426.0</v>
      </c>
      <c r="AW95" s="138">
        <v>41456.0</v>
      </c>
      <c r="AX95" s="138">
        <v>41487.0</v>
      </c>
      <c r="AY95" s="138">
        <v>41518.0</v>
      </c>
      <c r="AZ95" s="138">
        <v>41548.0</v>
      </c>
      <c r="BA95" s="138">
        <v>41579.0</v>
      </c>
      <c r="BB95" s="138">
        <v>41609.0</v>
      </c>
      <c r="BC95" s="138">
        <v>41640.0</v>
      </c>
      <c r="BD95" s="138">
        <v>41671.0</v>
      </c>
      <c r="BE95" s="138">
        <v>41699.0</v>
      </c>
      <c r="BF95" s="138">
        <v>41730.0</v>
      </c>
      <c r="BG95" s="138">
        <v>41760.0</v>
      </c>
      <c r="BH95" s="138">
        <v>41791.0</v>
      </c>
      <c r="BI95" s="138">
        <v>41821.0</v>
      </c>
      <c r="BJ95" s="138">
        <v>41852.0</v>
      </c>
      <c r="BK95" s="138">
        <v>41883.0</v>
      </c>
      <c r="BL95" s="138">
        <v>41913.0</v>
      </c>
      <c r="BM95" s="138">
        <v>41944.0</v>
      </c>
      <c r="BN95" s="138">
        <v>41974.0</v>
      </c>
      <c r="BO95" s="138">
        <v>42005.0</v>
      </c>
      <c r="BP95" s="138">
        <v>42036.0</v>
      </c>
      <c r="BQ95" s="138">
        <v>42064.0</v>
      </c>
      <c r="BR95" s="138">
        <v>42095.0</v>
      </c>
      <c r="BS95" s="138">
        <v>42125.0</v>
      </c>
      <c r="BT95" s="138">
        <v>42156.0</v>
      </c>
      <c r="BU95" s="138">
        <v>42186.0</v>
      </c>
      <c r="BV95" s="138">
        <v>42217.0</v>
      </c>
      <c r="BW95" s="138">
        <v>42248.0</v>
      </c>
      <c r="BX95" s="138">
        <v>42278.0</v>
      </c>
      <c r="BY95" s="138">
        <v>42309.0</v>
      </c>
      <c r="BZ95" s="138">
        <v>42339.0</v>
      </c>
      <c r="CA95" s="138">
        <v>42370.0</v>
      </c>
      <c r="CB95" s="138">
        <v>42401.0</v>
      </c>
      <c r="CC95" s="138">
        <v>42430.0</v>
      </c>
      <c r="CD95" s="138">
        <v>42461.0</v>
      </c>
      <c r="CE95" s="138">
        <v>42491.0</v>
      </c>
      <c r="CF95" s="138">
        <v>42522.0</v>
      </c>
      <c r="CG95" s="138">
        <v>42552.0</v>
      </c>
      <c r="CH95" s="138">
        <v>42583.0</v>
      </c>
      <c r="CI95" s="138">
        <v>42614.0</v>
      </c>
      <c r="CJ95" s="138">
        <v>42644.0</v>
      </c>
      <c r="CK95" s="138">
        <v>42675.0</v>
      </c>
      <c r="CL95" s="138">
        <v>42705.0</v>
      </c>
      <c r="CM95" s="138">
        <v>42736.0</v>
      </c>
      <c r="CN95" s="138">
        <v>42767.0</v>
      </c>
      <c r="CO95" s="138">
        <v>42795.0</v>
      </c>
      <c r="CP95" s="138">
        <v>42826.0</v>
      </c>
      <c r="CQ95" s="138">
        <v>42856.0</v>
      </c>
      <c r="CR95" s="138">
        <v>42887.0</v>
      </c>
      <c r="CS95" s="138">
        <v>42917.0</v>
      </c>
      <c r="CT95" s="138">
        <v>42948.0</v>
      </c>
      <c r="CU95" s="138">
        <v>42979.0</v>
      </c>
      <c r="CV95" s="138">
        <v>43009.0</v>
      </c>
      <c r="CW95" s="138">
        <v>43040.0</v>
      </c>
      <c r="CX95" s="138">
        <v>43070.0</v>
      </c>
      <c r="CY95" s="138">
        <v>43101.0</v>
      </c>
      <c r="CZ95" s="138">
        <v>43132.0</v>
      </c>
      <c r="DA95" s="138">
        <v>43160.0</v>
      </c>
      <c r="DB95" s="138">
        <v>43191.0</v>
      </c>
      <c r="DC95" s="138">
        <v>43221.0</v>
      </c>
      <c r="DD95" s="138">
        <v>43252.0</v>
      </c>
      <c r="DE95" s="138">
        <v>43282.0</v>
      </c>
      <c r="DF95" s="138">
        <v>43313.0</v>
      </c>
      <c r="DG95" s="138">
        <v>43344.0</v>
      </c>
      <c r="DH95" s="138">
        <v>43374.0</v>
      </c>
      <c r="DI95" s="138">
        <v>43405.0</v>
      </c>
      <c r="DJ95" s="138">
        <v>43435.0</v>
      </c>
      <c r="DK95" s="138">
        <v>43466.0</v>
      </c>
      <c r="DL95" s="138">
        <v>43497.0</v>
      </c>
      <c r="DM95" s="138">
        <v>43525.0</v>
      </c>
      <c r="DN95" s="138">
        <v>43556.0</v>
      </c>
      <c r="DO95" s="138">
        <v>43586.0</v>
      </c>
      <c r="DP95" s="138">
        <v>43617.0</v>
      </c>
      <c r="DQ95" s="138">
        <v>43647.0</v>
      </c>
      <c r="DR95" s="138">
        <v>43678.0</v>
      </c>
      <c r="DS95" s="138">
        <v>43709.0</v>
      </c>
      <c r="DT95" s="139">
        <v>43739.0</v>
      </c>
      <c r="DU95" s="139">
        <v>43770.0</v>
      </c>
      <c r="DV95" s="139">
        <v>43800.0</v>
      </c>
      <c r="DW95" s="139">
        <v>43831.0</v>
      </c>
      <c r="DX95" s="139">
        <v>43862.0</v>
      </c>
      <c r="DY95" s="139">
        <v>43891.0</v>
      </c>
      <c r="DZ95" s="139">
        <v>43922.0</v>
      </c>
      <c r="EA95" s="139">
        <v>43952.0</v>
      </c>
      <c r="EB95" s="139">
        <v>43983.0</v>
      </c>
      <c r="EC95" s="139">
        <v>44013.0</v>
      </c>
      <c r="ED95" s="139">
        <v>44044.0</v>
      </c>
      <c r="EE95" s="139">
        <v>44075.0</v>
      </c>
      <c r="EF95" s="139">
        <v>44105.0</v>
      </c>
      <c r="EG95" s="139">
        <v>44136.0</v>
      </c>
      <c r="EH95" s="139">
        <v>44166.0</v>
      </c>
      <c r="EI95" s="139">
        <v>44197.0</v>
      </c>
      <c r="EJ95" s="139">
        <v>44228.0</v>
      </c>
      <c r="EK95" s="139">
        <v>44256.0</v>
      </c>
      <c r="EL95" s="139">
        <v>44287.0</v>
      </c>
      <c r="EM95" s="139">
        <v>44317.0</v>
      </c>
      <c r="EN95" s="139">
        <v>44348.0</v>
      </c>
      <c r="EO95" s="139">
        <v>44378.0</v>
      </c>
      <c r="EP95" s="139">
        <v>44409.0</v>
      </c>
      <c r="EQ95" s="139">
        <v>44440.0</v>
      </c>
      <c r="ER95" s="139">
        <v>44470.0</v>
      </c>
      <c r="ES95" s="139">
        <v>44501.0</v>
      </c>
      <c r="ET95" s="139">
        <v>44531.0</v>
      </c>
      <c r="EU95" s="139">
        <v>44562.0</v>
      </c>
      <c r="EV95" s="139">
        <v>44593.0</v>
      </c>
      <c r="EW95" s="139">
        <v>44621.0</v>
      </c>
      <c r="EX95" s="139">
        <v>44652.0</v>
      </c>
      <c r="EY95" s="139">
        <v>44682.0</v>
      </c>
      <c r="EZ95" s="139">
        <v>44713.0</v>
      </c>
      <c r="FA95" s="139">
        <v>44743.0</v>
      </c>
      <c r="FB95" s="139">
        <v>44774.0</v>
      </c>
      <c r="FC95" s="139">
        <v>44805.0</v>
      </c>
      <c r="FD95" s="139">
        <v>44835.0</v>
      </c>
      <c r="FE95" s="139">
        <v>44866.0</v>
      </c>
      <c r="FF95" s="139">
        <v>44896.0</v>
      </c>
      <c r="FG95" s="139">
        <v>44927.0</v>
      </c>
      <c r="FH95" s="139">
        <v>44958.0</v>
      </c>
      <c r="FI95" s="139">
        <v>44986.0</v>
      </c>
      <c r="FJ95" s="139">
        <v>45017.0</v>
      </c>
      <c r="FK95" s="139">
        <v>45047.0</v>
      </c>
      <c r="FL95" s="139">
        <v>45078.0</v>
      </c>
      <c r="FM95" s="139">
        <v>45108.0</v>
      </c>
      <c r="FN95" s="139">
        <v>45139.0</v>
      </c>
      <c r="FO95" s="139">
        <v>45170.0</v>
      </c>
      <c r="FP95" s="139">
        <v>45200.0</v>
      </c>
      <c r="FQ95" s="139">
        <v>45231.0</v>
      </c>
      <c r="FR95" s="139">
        <v>45261.0</v>
      </c>
      <c r="FS95" s="139">
        <v>45292.0</v>
      </c>
      <c r="FT95" s="139">
        <v>45323.0</v>
      </c>
      <c r="FU95" s="139">
        <v>45352.0</v>
      </c>
      <c r="FV95" s="139">
        <v>45383.0</v>
      </c>
      <c r="FW95" s="139">
        <v>45413.0</v>
      </c>
      <c r="FX95" s="139">
        <v>45444.0</v>
      </c>
      <c r="FY95" s="139">
        <v>45474.0</v>
      </c>
      <c r="FZ95" s="139">
        <v>45505.0</v>
      </c>
      <c r="GA95" s="139">
        <v>45536.0</v>
      </c>
      <c r="GB95" s="139">
        <v>45566.0</v>
      </c>
      <c r="GC95" s="139">
        <v>45597.0</v>
      </c>
      <c r="GD95" s="139">
        <v>45627.0</v>
      </c>
      <c r="GE95" s="139">
        <v>45658.0</v>
      </c>
      <c r="GF95" s="139">
        <v>45689.0</v>
      </c>
      <c r="GG95" s="139">
        <v>45717.0</v>
      </c>
      <c r="GH95" s="139">
        <v>45748.0</v>
      </c>
      <c r="GI95" s="139">
        <v>45778.0</v>
      </c>
      <c r="GJ95" s="139">
        <v>45809.0</v>
      </c>
      <c r="GK95" s="139">
        <v>45839.0</v>
      </c>
    </row>
    <row r="96">
      <c r="A96" s="132" t="s">
        <v>34075</v>
      </c>
      <c r="B96" s="133" t="s">
        <v>1311</v>
      </c>
      <c r="C96" s="134">
        <v>43732.763969907406</v>
      </c>
      <c r="D96" s="135" t="str">
        <f t="shared" si="1"/>
        <v>2019/09/24</v>
      </c>
      <c r="E96" s="136" t="s">
        <v>33912</v>
      </c>
      <c r="F96" s="137">
        <v>0.0</v>
      </c>
      <c r="G96" s="138">
        <v>40179.0</v>
      </c>
      <c r="H96" s="138">
        <v>40210.0</v>
      </c>
      <c r="I96" s="138">
        <v>40238.0</v>
      </c>
      <c r="J96" s="138">
        <v>40269.0</v>
      </c>
      <c r="K96" s="138">
        <v>40299.0</v>
      </c>
      <c r="L96" s="138">
        <v>40330.0</v>
      </c>
      <c r="M96" s="138">
        <v>40360.0</v>
      </c>
      <c r="N96" s="138">
        <v>40391.0</v>
      </c>
      <c r="O96" s="138">
        <v>40422.0</v>
      </c>
      <c r="P96" s="138">
        <v>40452.0</v>
      </c>
      <c r="Q96" s="138">
        <v>40483.0</v>
      </c>
      <c r="R96" s="138">
        <v>40513.0</v>
      </c>
      <c r="S96" s="138">
        <v>40544.0</v>
      </c>
      <c r="T96" s="138">
        <v>40575.0</v>
      </c>
      <c r="U96" s="138">
        <v>40603.0</v>
      </c>
      <c r="V96" s="138">
        <v>40634.0</v>
      </c>
      <c r="W96" s="138">
        <v>40664.0</v>
      </c>
      <c r="X96" s="138">
        <v>40695.0</v>
      </c>
      <c r="Y96" s="138">
        <v>40725.0</v>
      </c>
      <c r="Z96" s="138">
        <v>40756.0</v>
      </c>
      <c r="AA96" s="138">
        <v>40787.0</v>
      </c>
      <c r="AB96" s="138">
        <v>40817.0</v>
      </c>
      <c r="AC96" s="138">
        <v>40848.0</v>
      </c>
      <c r="AD96" s="138">
        <v>40878.0</v>
      </c>
      <c r="AE96" s="138">
        <v>40909.0</v>
      </c>
      <c r="AF96" s="138">
        <v>40940.0</v>
      </c>
      <c r="AG96" s="138">
        <v>40969.0</v>
      </c>
      <c r="AH96" s="138">
        <v>41000.0</v>
      </c>
      <c r="AI96" s="138">
        <v>41030.0</v>
      </c>
      <c r="AJ96" s="138">
        <v>41061.0</v>
      </c>
      <c r="AK96" s="138">
        <v>41091.0</v>
      </c>
      <c r="AL96" s="138">
        <v>41122.0</v>
      </c>
      <c r="AM96" s="138">
        <v>41153.0</v>
      </c>
      <c r="AN96" s="138">
        <v>41183.0</v>
      </c>
      <c r="AO96" s="138">
        <v>41214.0</v>
      </c>
      <c r="AP96" s="138">
        <v>41244.0</v>
      </c>
      <c r="AQ96" s="138">
        <v>41275.0</v>
      </c>
      <c r="AR96" s="138">
        <v>41306.0</v>
      </c>
      <c r="AS96" s="138">
        <v>41334.0</v>
      </c>
      <c r="AT96" s="138">
        <v>41365.0</v>
      </c>
      <c r="AU96" s="138">
        <v>41395.0</v>
      </c>
      <c r="AV96" s="138">
        <v>41426.0</v>
      </c>
      <c r="AW96" s="138">
        <v>41456.0</v>
      </c>
      <c r="AX96" s="138">
        <v>41487.0</v>
      </c>
      <c r="AY96" s="138">
        <v>41518.0</v>
      </c>
      <c r="AZ96" s="138">
        <v>41548.0</v>
      </c>
      <c r="BA96" s="138">
        <v>41579.0</v>
      </c>
      <c r="BB96" s="138">
        <v>41609.0</v>
      </c>
      <c r="BC96" s="138">
        <v>41640.0</v>
      </c>
      <c r="BD96" s="138">
        <v>41671.0</v>
      </c>
      <c r="BE96" s="138">
        <v>41699.0</v>
      </c>
      <c r="BF96" s="138">
        <v>41730.0</v>
      </c>
      <c r="BG96" s="138">
        <v>41760.0</v>
      </c>
      <c r="BH96" s="138">
        <v>41791.0</v>
      </c>
      <c r="BI96" s="138">
        <v>41821.0</v>
      </c>
      <c r="BJ96" s="138">
        <v>41852.0</v>
      </c>
      <c r="BK96" s="138">
        <v>41883.0</v>
      </c>
      <c r="BL96" s="138">
        <v>41913.0</v>
      </c>
      <c r="BM96" s="138">
        <v>41944.0</v>
      </c>
      <c r="BN96" s="138">
        <v>41974.0</v>
      </c>
      <c r="BO96" s="138">
        <v>42005.0</v>
      </c>
      <c r="BP96" s="138">
        <v>42036.0</v>
      </c>
      <c r="BQ96" s="138">
        <v>42064.0</v>
      </c>
      <c r="BR96" s="138">
        <v>42095.0</v>
      </c>
      <c r="BS96" s="138">
        <v>42125.0</v>
      </c>
      <c r="BT96" s="138">
        <v>42156.0</v>
      </c>
      <c r="BU96" s="138">
        <v>42186.0</v>
      </c>
      <c r="BV96" s="138">
        <v>42217.0</v>
      </c>
      <c r="BW96" s="138">
        <v>42248.0</v>
      </c>
      <c r="BX96" s="138">
        <v>42278.0</v>
      </c>
      <c r="BY96" s="138">
        <v>42309.0</v>
      </c>
      <c r="BZ96" s="138">
        <v>42339.0</v>
      </c>
      <c r="CA96" s="138">
        <v>42370.0</v>
      </c>
      <c r="CB96" s="138">
        <v>42401.0</v>
      </c>
      <c r="CC96" s="138">
        <v>42430.0</v>
      </c>
      <c r="CD96" s="138">
        <v>42461.0</v>
      </c>
      <c r="CE96" s="138">
        <v>42491.0</v>
      </c>
      <c r="CF96" s="138">
        <v>42522.0</v>
      </c>
      <c r="CG96" s="138">
        <v>42552.0</v>
      </c>
      <c r="CH96" s="138">
        <v>42583.0</v>
      </c>
      <c r="CI96" s="138">
        <v>42614.0</v>
      </c>
      <c r="CJ96" s="138">
        <v>42644.0</v>
      </c>
      <c r="CK96" s="138">
        <v>42675.0</v>
      </c>
      <c r="CL96" s="138">
        <v>42705.0</v>
      </c>
      <c r="CM96" s="138">
        <v>42736.0</v>
      </c>
      <c r="CN96" s="138">
        <v>42767.0</v>
      </c>
      <c r="CO96" s="138">
        <v>42795.0</v>
      </c>
      <c r="CP96" s="138">
        <v>42826.0</v>
      </c>
      <c r="CQ96" s="138">
        <v>42856.0</v>
      </c>
      <c r="CR96" s="138">
        <v>42887.0</v>
      </c>
      <c r="CS96" s="138">
        <v>42917.0</v>
      </c>
      <c r="CT96" s="138">
        <v>42948.0</v>
      </c>
      <c r="CU96" s="138">
        <v>42979.0</v>
      </c>
      <c r="CV96" s="138">
        <v>43009.0</v>
      </c>
      <c r="CW96" s="138">
        <v>43040.0</v>
      </c>
      <c r="CX96" s="138">
        <v>43070.0</v>
      </c>
      <c r="CY96" s="138">
        <v>43101.0</v>
      </c>
      <c r="CZ96" s="138">
        <v>43132.0</v>
      </c>
      <c r="DA96" s="138">
        <v>43160.0</v>
      </c>
      <c r="DB96" s="138">
        <v>43191.0</v>
      </c>
      <c r="DC96" s="138">
        <v>43221.0</v>
      </c>
      <c r="DD96" s="138">
        <v>43252.0</v>
      </c>
      <c r="DE96" s="138">
        <v>43282.0</v>
      </c>
      <c r="DF96" s="138">
        <v>43313.0</v>
      </c>
      <c r="DG96" s="138">
        <v>43344.0</v>
      </c>
      <c r="DH96" s="138">
        <v>43374.0</v>
      </c>
      <c r="DI96" s="138">
        <v>43405.0</v>
      </c>
      <c r="DJ96" s="138">
        <v>43435.0</v>
      </c>
      <c r="DK96" s="138">
        <v>43466.0</v>
      </c>
      <c r="DL96" s="138">
        <v>43497.0</v>
      </c>
      <c r="DM96" s="138">
        <v>43525.0</v>
      </c>
      <c r="DN96" s="138">
        <v>43556.0</v>
      </c>
      <c r="DO96" s="138">
        <v>43586.0</v>
      </c>
      <c r="DP96" s="138">
        <v>43617.0</v>
      </c>
      <c r="DQ96" s="138">
        <v>43647.0</v>
      </c>
      <c r="DR96" s="138">
        <v>43678.0</v>
      </c>
      <c r="DS96" s="138">
        <v>43709.0</v>
      </c>
      <c r="DT96" s="139">
        <v>43739.0</v>
      </c>
      <c r="DU96" s="139">
        <v>43770.0</v>
      </c>
      <c r="DV96" s="139">
        <v>43800.0</v>
      </c>
      <c r="DW96" s="139">
        <v>43831.0</v>
      </c>
      <c r="DX96" s="139">
        <v>43862.0</v>
      </c>
      <c r="DY96" s="139">
        <v>43891.0</v>
      </c>
      <c r="DZ96" s="139">
        <v>43922.0</v>
      </c>
      <c r="EA96" s="139">
        <v>43952.0</v>
      </c>
      <c r="EB96" s="139">
        <v>43983.0</v>
      </c>
      <c r="EC96" s="139">
        <v>44013.0</v>
      </c>
      <c r="ED96" s="139">
        <v>44044.0</v>
      </c>
      <c r="EE96" s="139">
        <v>44075.0</v>
      </c>
      <c r="EF96" s="139">
        <v>44105.0</v>
      </c>
      <c r="EG96" s="139">
        <v>44136.0</v>
      </c>
      <c r="EH96" s="139">
        <v>44166.0</v>
      </c>
      <c r="EI96" s="139">
        <v>44197.0</v>
      </c>
      <c r="EJ96" s="139">
        <v>44228.0</v>
      </c>
      <c r="EK96" s="139">
        <v>44256.0</v>
      </c>
      <c r="EL96" s="139">
        <v>44287.0</v>
      </c>
      <c r="EM96" s="139">
        <v>44317.0</v>
      </c>
      <c r="EN96" s="139">
        <v>44348.0</v>
      </c>
      <c r="EO96" s="139">
        <v>44378.0</v>
      </c>
      <c r="EP96" s="139">
        <v>44409.0</v>
      </c>
      <c r="EQ96" s="139">
        <v>44440.0</v>
      </c>
      <c r="ER96" s="139">
        <v>44470.0</v>
      </c>
      <c r="ES96" s="139">
        <v>44501.0</v>
      </c>
      <c r="ET96" s="139">
        <v>44531.0</v>
      </c>
      <c r="EU96" s="139">
        <v>44562.0</v>
      </c>
      <c r="EV96" s="139">
        <v>44593.0</v>
      </c>
      <c r="EW96" s="139">
        <v>44621.0</v>
      </c>
      <c r="EX96" s="139">
        <v>44652.0</v>
      </c>
      <c r="EY96" s="139">
        <v>44682.0</v>
      </c>
      <c r="EZ96" s="139">
        <v>44713.0</v>
      </c>
      <c r="FA96" s="139">
        <v>44743.0</v>
      </c>
      <c r="FB96" s="139">
        <v>44774.0</v>
      </c>
      <c r="FC96" s="139">
        <v>44805.0</v>
      </c>
      <c r="FD96" s="139">
        <v>44835.0</v>
      </c>
      <c r="FE96" s="139">
        <v>44866.0</v>
      </c>
      <c r="FF96" s="139">
        <v>44896.0</v>
      </c>
      <c r="FG96" s="139">
        <v>44927.0</v>
      </c>
      <c r="FH96" s="139">
        <v>44958.0</v>
      </c>
      <c r="FI96" s="139">
        <v>44986.0</v>
      </c>
      <c r="FJ96" s="139">
        <v>45017.0</v>
      </c>
      <c r="FK96" s="139">
        <v>45047.0</v>
      </c>
      <c r="FL96" s="139">
        <v>45078.0</v>
      </c>
      <c r="FM96" s="139">
        <v>45108.0</v>
      </c>
      <c r="FN96" s="139">
        <v>45139.0</v>
      </c>
      <c r="FO96" s="139">
        <v>45170.0</v>
      </c>
      <c r="FP96" s="139">
        <v>45200.0</v>
      </c>
      <c r="FQ96" s="139">
        <v>45231.0</v>
      </c>
      <c r="FR96" s="139">
        <v>45261.0</v>
      </c>
      <c r="FS96" s="139">
        <v>45292.0</v>
      </c>
      <c r="FT96" s="139">
        <v>45323.0</v>
      </c>
      <c r="FU96" s="139">
        <v>45352.0</v>
      </c>
      <c r="FV96" s="139">
        <v>45383.0</v>
      </c>
      <c r="FW96" s="139">
        <v>45413.0</v>
      </c>
      <c r="FX96" s="139">
        <v>45444.0</v>
      </c>
      <c r="FY96" s="139">
        <v>45474.0</v>
      </c>
      <c r="FZ96" s="139">
        <v>45505.0</v>
      </c>
      <c r="GA96" s="139">
        <v>45536.0</v>
      </c>
      <c r="GB96" s="139">
        <v>45566.0</v>
      </c>
      <c r="GC96" s="139">
        <v>45597.0</v>
      </c>
      <c r="GD96" s="139">
        <v>45627.0</v>
      </c>
      <c r="GE96" s="139">
        <v>45658.0</v>
      </c>
      <c r="GF96" s="139">
        <v>45689.0</v>
      </c>
      <c r="GG96" s="139">
        <v>45717.0</v>
      </c>
      <c r="GH96" s="139">
        <v>45748.0</v>
      </c>
      <c r="GI96" s="139">
        <v>45778.0</v>
      </c>
      <c r="GJ96" s="139">
        <v>45809.0</v>
      </c>
      <c r="GK96" s="139">
        <v>45839.0</v>
      </c>
    </row>
    <row r="97">
      <c r="A97" s="132" t="s">
        <v>34076</v>
      </c>
      <c r="B97" s="133" t="s">
        <v>359</v>
      </c>
      <c r="C97" s="134">
        <v>43804.6575</v>
      </c>
      <c r="D97" s="135" t="str">
        <f t="shared" si="1"/>
        <v>2019/12/05</v>
      </c>
      <c r="E97" s="136" t="s">
        <v>34077</v>
      </c>
      <c r="F97" s="137">
        <v>4.8E-4</v>
      </c>
      <c r="G97" s="138">
        <v>40179.0</v>
      </c>
      <c r="H97" s="138">
        <v>40210.0</v>
      </c>
      <c r="I97" s="138">
        <v>40238.0</v>
      </c>
      <c r="J97" s="138">
        <v>40269.0</v>
      </c>
      <c r="K97" s="138">
        <v>40299.0</v>
      </c>
      <c r="L97" s="138">
        <v>40330.0</v>
      </c>
      <c r="M97" s="138">
        <v>40360.0</v>
      </c>
      <c r="N97" s="138">
        <v>40391.0</v>
      </c>
      <c r="O97" s="138">
        <v>40422.0</v>
      </c>
      <c r="P97" s="138">
        <v>40452.0</v>
      </c>
      <c r="Q97" s="138">
        <v>40483.0</v>
      </c>
      <c r="R97" s="138">
        <v>40513.0</v>
      </c>
      <c r="S97" s="138">
        <v>40544.0</v>
      </c>
      <c r="T97" s="138">
        <v>40575.0</v>
      </c>
      <c r="U97" s="138">
        <v>40603.0</v>
      </c>
      <c r="V97" s="138">
        <v>40634.0</v>
      </c>
      <c r="W97" s="138">
        <v>40664.0</v>
      </c>
      <c r="X97" s="138">
        <v>40695.0</v>
      </c>
      <c r="Y97" s="138">
        <v>40725.0</v>
      </c>
      <c r="Z97" s="138">
        <v>40756.0</v>
      </c>
      <c r="AA97" s="138">
        <v>40787.0</v>
      </c>
      <c r="AB97" s="138">
        <v>40817.0</v>
      </c>
      <c r="AC97" s="138">
        <v>40848.0</v>
      </c>
      <c r="AD97" s="138">
        <v>40878.0</v>
      </c>
      <c r="AE97" s="138">
        <v>40909.0</v>
      </c>
      <c r="AF97" s="138">
        <v>40940.0</v>
      </c>
      <c r="AG97" s="138">
        <v>40969.0</v>
      </c>
      <c r="AH97" s="138">
        <v>41000.0</v>
      </c>
      <c r="AI97" s="138">
        <v>41030.0</v>
      </c>
      <c r="AJ97" s="138">
        <v>41061.0</v>
      </c>
      <c r="AK97" s="138">
        <v>41091.0</v>
      </c>
      <c r="AL97" s="138">
        <v>41122.0</v>
      </c>
      <c r="AM97" s="138">
        <v>41153.0</v>
      </c>
      <c r="AN97" s="138">
        <v>41183.0</v>
      </c>
      <c r="AO97" s="138">
        <v>41214.0</v>
      </c>
      <c r="AP97" s="138">
        <v>41244.0</v>
      </c>
      <c r="AQ97" s="138">
        <v>41275.0</v>
      </c>
      <c r="AR97" s="138">
        <v>41306.0</v>
      </c>
      <c r="AS97" s="138">
        <v>41334.0</v>
      </c>
      <c r="AT97" s="138">
        <v>41365.0</v>
      </c>
      <c r="AU97" s="138">
        <v>41395.0</v>
      </c>
      <c r="AV97" s="138">
        <v>41426.0</v>
      </c>
      <c r="AW97" s="138">
        <v>41456.0</v>
      </c>
      <c r="AX97" s="138">
        <v>41487.0</v>
      </c>
      <c r="AY97" s="138">
        <v>41518.0</v>
      </c>
      <c r="AZ97" s="138">
        <v>41548.0</v>
      </c>
      <c r="BA97" s="138">
        <v>41579.0</v>
      </c>
      <c r="BB97" s="138">
        <v>41609.0</v>
      </c>
      <c r="BC97" s="138">
        <v>41640.0</v>
      </c>
      <c r="BD97" s="138">
        <v>41671.0</v>
      </c>
      <c r="BE97" s="138">
        <v>41699.0</v>
      </c>
      <c r="BF97" s="138">
        <v>41730.0</v>
      </c>
      <c r="BG97" s="138">
        <v>41760.0</v>
      </c>
      <c r="BH97" s="138">
        <v>41791.0</v>
      </c>
      <c r="BI97" s="138">
        <v>41821.0</v>
      </c>
      <c r="BJ97" s="138">
        <v>41852.0</v>
      </c>
      <c r="BK97" s="138">
        <v>41883.0</v>
      </c>
      <c r="BL97" s="138">
        <v>41913.0</v>
      </c>
      <c r="BM97" s="138">
        <v>41944.0</v>
      </c>
      <c r="BN97" s="138">
        <v>41974.0</v>
      </c>
      <c r="BO97" s="138">
        <v>42005.0</v>
      </c>
      <c r="BP97" s="138">
        <v>42036.0</v>
      </c>
      <c r="BQ97" s="138">
        <v>42064.0</v>
      </c>
      <c r="BR97" s="138">
        <v>42095.0</v>
      </c>
      <c r="BS97" s="138">
        <v>42125.0</v>
      </c>
      <c r="BT97" s="138">
        <v>42156.0</v>
      </c>
      <c r="BU97" s="138">
        <v>42186.0</v>
      </c>
      <c r="BV97" s="138">
        <v>42217.0</v>
      </c>
      <c r="BW97" s="138">
        <v>42248.0</v>
      </c>
      <c r="BX97" s="138">
        <v>42278.0</v>
      </c>
      <c r="BY97" s="138">
        <v>42309.0</v>
      </c>
      <c r="BZ97" s="138">
        <v>42339.0</v>
      </c>
      <c r="CA97" s="138">
        <v>42370.0</v>
      </c>
      <c r="CB97" s="138">
        <v>42401.0</v>
      </c>
      <c r="CC97" s="138">
        <v>42430.0</v>
      </c>
      <c r="CD97" s="138">
        <v>42461.0</v>
      </c>
      <c r="CE97" s="138">
        <v>42491.0</v>
      </c>
      <c r="CF97" s="138">
        <v>42522.0</v>
      </c>
      <c r="CG97" s="138">
        <v>42552.0</v>
      </c>
      <c r="CH97" s="138">
        <v>42583.0</v>
      </c>
      <c r="CI97" s="138">
        <v>42614.0</v>
      </c>
      <c r="CJ97" s="138">
        <v>42644.0</v>
      </c>
      <c r="CK97" s="138">
        <v>42675.0</v>
      </c>
      <c r="CL97" s="138">
        <v>42705.0</v>
      </c>
      <c r="CM97" s="138">
        <v>42736.0</v>
      </c>
      <c r="CN97" s="138">
        <v>42767.0</v>
      </c>
      <c r="CO97" s="138">
        <v>42795.0</v>
      </c>
      <c r="CP97" s="138">
        <v>42826.0</v>
      </c>
      <c r="CQ97" s="138">
        <v>42856.0</v>
      </c>
      <c r="CR97" s="138">
        <v>42887.0</v>
      </c>
      <c r="CS97" s="138">
        <v>42917.0</v>
      </c>
      <c r="CT97" s="138">
        <v>42948.0</v>
      </c>
      <c r="CU97" s="138">
        <v>42979.0</v>
      </c>
      <c r="CV97" s="138">
        <v>43009.0</v>
      </c>
      <c r="CW97" s="138">
        <v>43040.0</v>
      </c>
      <c r="CX97" s="138">
        <v>43070.0</v>
      </c>
      <c r="CY97" s="138">
        <v>43101.0</v>
      </c>
      <c r="CZ97" s="138">
        <v>43132.0</v>
      </c>
      <c r="DA97" s="138">
        <v>43160.0</v>
      </c>
      <c r="DB97" s="138">
        <v>43191.0</v>
      </c>
      <c r="DC97" s="138">
        <v>43221.0</v>
      </c>
      <c r="DD97" s="138">
        <v>43252.0</v>
      </c>
      <c r="DE97" s="138">
        <v>43282.0</v>
      </c>
      <c r="DF97" s="138">
        <v>43313.0</v>
      </c>
      <c r="DG97" s="138">
        <v>43344.0</v>
      </c>
      <c r="DH97" s="138">
        <v>43374.0</v>
      </c>
      <c r="DI97" s="138">
        <v>43405.0</v>
      </c>
      <c r="DJ97" s="138">
        <v>43435.0</v>
      </c>
      <c r="DK97" s="138">
        <v>43466.0</v>
      </c>
      <c r="DL97" s="138">
        <v>43497.0</v>
      </c>
      <c r="DM97" s="138">
        <v>43525.0</v>
      </c>
      <c r="DN97" s="138">
        <v>43556.0</v>
      </c>
      <c r="DO97" s="138">
        <v>43586.0</v>
      </c>
      <c r="DP97" s="138">
        <v>43617.0</v>
      </c>
      <c r="DQ97" s="138">
        <v>43647.0</v>
      </c>
      <c r="DR97" s="138">
        <v>43678.0</v>
      </c>
      <c r="DS97" s="138">
        <v>43709.0</v>
      </c>
      <c r="DT97" s="138">
        <v>43739.0</v>
      </c>
      <c r="DU97" s="138">
        <v>43770.0</v>
      </c>
      <c r="DV97" s="138">
        <v>43800.0</v>
      </c>
      <c r="DW97" s="139">
        <v>43831.0</v>
      </c>
      <c r="DX97" s="139">
        <v>43862.0</v>
      </c>
      <c r="DY97" s="139">
        <v>43891.0</v>
      </c>
      <c r="DZ97" s="139">
        <v>43922.0</v>
      </c>
      <c r="EA97" s="139">
        <v>43952.0</v>
      </c>
      <c r="EB97" s="139">
        <v>43983.0</v>
      </c>
      <c r="EC97" s="139">
        <v>44013.0</v>
      </c>
      <c r="ED97" s="139">
        <v>44044.0</v>
      </c>
      <c r="EE97" s="139">
        <v>44075.0</v>
      </c>
      <c r="EF97" s="139">
        <v>44105.0</v>
      </c>
      <c r="EG97" s="139">
        <v>44136.0</v>
      </c>
      <c r="EH97" s="139">
        <v>44166.0</v>
      </c>
      <c r="EI97" s="139">
        <v>44197.0</v>
      </c>
      <c r="EJ97" s="139">
        <v>44228.0</v>
      </c>
      <c r="EK97" s="139">
        <v>44256.0</v>
      </c>
      <c r="EL97" s="139">
        <v>44287.0</v>
      </c>
      <c r="EM97" s="139">
        <v>44317.0</v>
      </c>
      <c r="EN97" s="139">
        <v>44348.0</v>
      </c>
      <c r="EO97" s="139">
        <v>44378.0</v>
      </c>
      <c r="EP97" s="139">
        <v>44409.0</v>
      </c>
      <c r="EQ97" s="139">
        <v>44440.0</v>
      </c>
      <c r="ER97" s="139">
        <v>44470.0</v>
      </c>
      <c r="ES97" s="139">
        <v>44501.0</v>
      </c>
      <c r="ET97" s="139">
        <v>44531.0</v>
      </c>
      <c r="EU97" s="139">
        <v>44562.0</v>
      </c>
      <c r="EV97" s="139">
        <v>44593.0</v>
      </c>
      <c r="EW97" s="139">
        <v>44621.0</v>
      </c>
      <c r="EX97" s="139">
        <v>44652.0</v>
      </c>
      <c r="EY97" s="139">
        <v>44682.0</v>
      </c>
      <c r="EZ97" s="139">
        <v>44713.0</v>
      </c>
      <c r="FA97" s="139">
        <v>44743.0</v>
      </c>
      <c r="FB97" s="139">
        <v>44774.0</v>
      </c>
      <c r="FC97" s="139">
        <v>44805.0</v>
      </c>
      <c r="FD97" s="139">
        <v>44835.0</v>
      </c>
      <c r="FE97" s="139">
        <v>44866.0</v>
      </c>
      <c r="FF97" s="139">
        <v>44896.0</v>
      </c>
      <c r="FG97" s="139">
        <v>44927.0</v>
      </c>
      <c r="FH97" s="139">
        <v>44958.0</v>
      </c>
      <c r="FI97" s="139">
        <v>44986.0</v>
      </c>
      <c r="FJ97" s="139">
        <v>45017.0</v>
      </c>
      <c r="FK97" s="139">
        <v>45047.0</v>
      </c>
      <c r="FL97" s="139">
        <v>45078.0</v>
      </c>
      <c r="FM97" s="139">
        <v>45108.0</v>
      </c>
      <c r="FN97" s="139">
        <v>45139.0</v>
      </c>
      <c r="FO97" s="139">
        <v>45170.0</v>
      </c>
      <c r="FP97" s="139">
        <v>45200.0</v>
      </c>
      <c r="FQ97" s="139">
        <v>45231.0</v>
      </c>
      <c r="FR97" s="139">
        <v>45261.0</v>
      </c>
      <c r="FS97" s="139">
        <v>45292.0</v>
      </c>
      <c r="FT97" s="139">
        <v>45323.0</v>
      </c>
      <c r="FU97" s="139">
        <v>45352.0</v>
      </c>
      <c r="FV97" s="139">
        <v>45383.0</v>
      </c>
      <c r="FW97" s="139">
        <v>45413.0</v>
      </c>
      <c r="FX97" s="139">
        <v>45444.0</v>
      </c>
      <c r="FY97" s="139">
        <v>45474.0</v>
      </c>
      <c r="FZ97" s="139">
        <v>45505.0</v>
      </c>
      <c r="GA97" s="139">
        <v>45536.0</v>
      </c>
      <c r="GB97" s="139">
        <v>45566.0</v>
      </c>
      <c r="GC97" s="139">
        <v>45597.0</v>
      </c>
      <c r="GD97" s="139">
        <v>45627.0</v>
      </c>
      <c r="GE97" s="139">
        <v>45658.0</v>
      </c>
      <c r="GF97" s="139">
        <v>45689.0</v>
      </c>
      <c r="GG97" s="139">
        <v>45717.0</v>
      </c>
      <c r="GH97" s="139">
        <v>45748.0</v>
      </c>
      <c r="GI97" s="139">
        <v>45778.0</v>
      </c>
      <c r="GJ97" s="139">
        <v>45809.0</v>
      </c>
      <c r="GK97" s="139">
        <v>45839.0</v>
      </c>
    </row>
    <row r="98">
      <c r="A98" s="132" t="s">
        <v>34078</v>
      </c>
      <c r="B98" s="133" t="s">
        <v>1314</v>
      </c>
      <c r="C98" s="134">
        <v>43811.45883101852</v>
      </c>
      <c r="D98" s="135" t="str">
        <f t="shared" si="1"/>
        <v>2019/12/12</v>
      </c>
      <c r="E98" s="136" t="s">
        <v>33912</v>
      </c>
      <c r="F98" s="137">
        <v>0.0</v>
      </c>
      <c r="G98" s="138">
        <v>40179.0</v>
      </c>
      <c r="H98" s="138">
        <v>40210.0</v>
      </c>
      <c r="I98" s="138">
        <v>40238.0</v>
      </c>
      <c r="J98" s="138">
        <v>40269.0</v>
      </c>
      <c r="K98" s="138">
        <v>40299.0</v>
      </c>
      <c r="L98" s="138">
        <v>40330.0</v>
      </c>
      <c r="M98" s="138">
        <v>40360.0</v>
      </c>
      <c r="N98" s="138">
        <v>40391.0</v>
      </c>
      <c r="O98" s="138">
        <v>40422.0</v>
      </c>
      <c r="P98" s="138">
        <v>40452.0</v>
      </c>
      <c r="Q98" s="138">
        <v>40483.0</v>
      </c>
      <c r="R98" s="138">
        <v>40513.0</v>
      </c>
      <c r="S98" s="138">
        <v>40544.0</v>
      </c>
      <c r="T98" s="138">
        <v>40575.0</v>
      </c>
      <c r="U98" s="138">
        <v>40603.0</v>
      </c>
      <c r="V98" s="138">
        <v>40634.0</v>
      </c>
      <c r="W98" s="138">
        <v>40664.0</v>
      </c>
      <c r="X98" s="138">
        <v>40695.0</v>
      </c>
      <c r="Y98" s="138">
        <v>40725.0</v>
      </c>
      <c r="Z98" s="138">
        <v>40756.0</v>
      </c>
      <c r="AA98" s="138">
        <v>40787.0</v>
      </c>
      <c r="AB98" s="138">
        <v>40817.0</v>
      </c>
      <c r="AC98" s="138">
        <v>40848.0</v>
      </c>
      <c r="AD98" s="138">
        <v>40878.0</v>
      </c>
      <c r="AE98" s="138">
        <v>40909.0</v>
      </c>
      <c r="AF98" s="138">
        <v>40940.0</v>
      </c>
      <c r="AG98" s="138">
        <v>40969.0</v>
      </c>
      <c r="AH98" s="138">
        <v>41000.0</v>
      </c>
      <c r="AI98" s="138">
        <v>41030.0</v>
      </c>
      <c r="AJ98" s="138">
        <v>41061.0</v>
      </c>
      <c r="AK98" s="138">
        <v>41091.0</v>
      </c>
      <c r="AL98" s="138">
        <v>41122.0</v>
      </c>
      <c r="AM98" s="138">
        <v>41153.0</v>
      </c>
      <c r="AN98" s="138">
        <v>41183.0</v>
      </c>
      <c r="AO98" s="138">
        <v>41214.0</v>
      </c>
      <c r="AP98" s="138">
        <v>41244.0</v>
      </c>
      <c r="AQ98" s="138">
        <v>41275.0</v>
      </c>
      <c r="AR98" s="138">
        <v>41306.0</v>
      </c>
      <c r="AS98" s="138">
        <v>41334.0</v>
      </c>
      <c r="AT98" s="138">
        <v>41365.0</v>
      </c>
      <c r="AU98" s="138">
        <v>41395.0</v>
      </c>
      <c r="AV98" s="138">
        <v>41426.0</v>
      </c>
      <c r="AW98" s="138">
        <v>41456.0</v>
      </c>
      <c r="AX98" s="138">
        <v>41487.0</v>
      </c>
      <c r="AY98" s="138">
        <v>41518.0</v>
      </c>
      <c r="AZ98" s="138">
        <v>41548.0</v>
      </c>
      <c r="BA98" s="138">
        <v>41579.0</v>
      </c>
      <c r="BB98" s="138">
        <v>41609.0</v>
      </c>
      <c r="BC98" s="138">
        <v>41640.0</v>
      </c>
      <c r="BD98" s="138">
        <v>41671.0</v>
      </c>
      <c r="BE98" s="138">
        <v>41699.0</v>
      </c>
      <c r="BF98" s="138">
        <v>41730.0</v>
      </c>
      <c r="BG98" s="138">
        <v>41760.0</v>
      </c>
      <c r="BH98" s="138">
        <v>41791.0</v>
      </c>
      <c r="BI98" s="138">
        <v>41821.0</v>
      </c>
      <c r="BJ98" s="138">
        <v>41852.0</v>
      </c>
      <c r="BK98" s="138">
        <v>41883.0</v>
      </c>
      <c r="BL98" s="138">
        <v>41913.0</v>
      </c>
      <c r="BM98" s="138">
        <v>41944.0</v>
      </c>
      <c r="BN98" s="138">
        <v>41974.0</v>
      </c>
      <c r="BO98" s="138">
        <v>42005.0</v>
      </c>
      <c r="BP98" s="138">
        <v>42036.0</v>
      </c>
      <c r="BQ98" s="138">
        <v>42064.0</v>
      </c>
      <c r="BR98" s="138">
        <v>42095.0</v>
      </c>
      <c r="BS98" s="138">
        <v>42125.0</v>
      </c>
      <c r="BT98" s="138">
        <v>42156.0</v>
      </c>
      <c r="BU98" s="138">
        <v>42186.0</v>
      </c>
      <c r="BV98" s="138">
        <v>42217.0</v>
      </c>
      <c r="BW98" s="138">
        <v>42248.0</v>
      </c>
      <c r="BX98" s="138">
        <v>42278.0</v>
      </c>
      <c r="BY98" s="138">
        <v>42309.0</v>
      </c>
      <c r="BZ98" s="138">
        <v>42339.0</v>
      </c>
      <c r="CA98" s="138">
        <v>42370.0</v>
      </c>
      <c r="CB98" s="138">
        <v>42401.0</v>
      </c>
      <c r="CC98" s="138">
        <v>42430.0</v>
      </c>
      <c r="CD98" s="138">
        <v>42461.0</v>
      </c>
      <c r="CE98" s="138">
        <v>42491.0</v>
      </c>
      <c r="CF98" s="138">
        <v>42522.0</v>
      </c>
      <c r="CG98" s="138">
        <v>42552.0</v>
      </c>
      <c r="CH98" s="138">
        <v>42583.0</v>
      </c>
      <c r="CI98" s="138">
        <v>42614.0</v>
      </c>
      <c r="CJ98" s="138">
        <v>42644.0</v>
      </c>
      <c r="CK98" s="138">
        <v>42675.0</v>
      </c>
      <c r="CL98" s="138">
        <v>42705.0</v>
      </c>
      <c r="CM98" s="138">
        <v>42736.0</v>
      </c>
      <c r="CN98" s="138">
        <v>42767.0</v>
      </c>
      <c r="CO98" s="138">
        <v>42795.0</v>
      </c>
      <c r="CP98" s="138">
        <v>42826.0</v>
      </c>
      <c r="CQ98" s="138">
        <v>42856.0</v>
      </c>
      <c r="CR98" s="138">
        <v>42887.0</v>
      </c>
      <c r="CS98" s="138">
        <v>42917.0</v>
      </c>
      <c r="CT98" s="138">
        <v>42948.0</v>
      </c>
      <c r="CU98" s="138">
        <v>42979.0</v>
      </c>
      <c r="CV98" s="138">
        <v>43009.0</v>
      </c>
      <c r="CW98" s="138">
        <v>43040.0</v>
      </c>
      <c r="CX98" s="138">
        <v>43070.0</v>
      </c>
      <c r="CY98" s="138">
        <v>43101.0</v>
      </c>
      <c r="CZ98" s="138">
        <v>43132.0</v>
      </c>
      <c r="DA98" s="138">
        <v>43160.0</v>
      </c>
      <c r="DB98" s="138">
        <v>43191.0</v>
      </c>
      <c r="DC98" s="138">
        <v>43221.0</v>
      </c>
      <c r="DD98" s="138">
        <v>43252.0</v>
      </c>
      <c r="DE98" s="138">
        <v>43282.0</v>
      </c>
      <c r="DF98" s="138">
        <v>43313.0</v>
      </c>
      <c r="DG98" s="138">
        <v>43344.0</v>
      </c>
      <c r="DH98" s="138">
        <v>43374.0</v>
      </c>
      <c r="DI98" s="138">
        <v>43405.0</v>
      </c>
      <c r="DJ98" s="138">
        <v>43435.0</v>
      </c>
      <c r="DK98" s="138">
        <v>43466.0</v>
      </c>
      <c r="DL98" s="138">
        <v>43497.0</v>
      </c>
      <c r="DM98" s="138">
        <v>43525.0</v>
      </c>
      <c r="DN98" s="138">
        <v>43556.0</v>
      </c>
      <c r="DO98" s="138">
        <v>43586.0</v>
      </c>
      <c r="DP98" s="138">
        <v>43617.0</v>
      </c>
      <c r="DQ98" s="138">
        <v>43647.0</v>
      </c>
      <c r="DR98" s="138">
        <v>43678.0</v>
      </c>
      <c r="DS98" s="138">
        <v>43709.0</v>
      </c>
      <c r="DT98" s="138">
        <v>43739.0</v>
      </c>
      <c r="DU98" s="138">
        <v>43770.0</v>
      </c>
      <c r="DV98" s="138">
        <v>43800.0</v>
      </c>
      <c r="DW98" s="139">
        <v>43831.0</v>
      </c>
      <c r="DX98" s="139">
        <v>43862.0</v>
      </c>
      <c r="DY98" s="139">
        <v>43891.0</v>
      </c>
      <c r="DZ98" s="139">
        <v>43922.0</v>
      </c>
      <c r="EA98" s="139">
        <v>43952.0</v>
      </c>
      <c r="EB98" s="139">
        <v>43983.0</v>
      </c>
      <c r="EC98" s="139">
        <v>44013.0</v>
      </c>
      <c r="ED98" s="139">
        <v>44044.0</v>
      </c>
      <c r="EE98" s="139">
        <v>44075.0</v>
      </c>
      <c r="EF98" s="139">
        <v>44105.0</v>
      </c>
      <c r="EG98" s="139">
        <v>44136.0</v>
      </c>
      <c r="EH98" s="139">
        <v>44166.0</v>
      </c>
      <c r="EI98" s="139">
        <v>44197.0</v>
      </c>
      <c r="EJ98" s="139">
        <v>44228.0</v>
      </c>
      <c r="EK98" s="139">
        <v>44256.0</v>
      </c>
      <c r="EL98" s="139">
        <v>44287.0</v>
      </c>
      <c r="EM98" s="139">
        <v>44317.0</v>
      </c>
      <c r="EN98" s="139">
        <v>44348.0</v>
      </c>
      <c r="EO98" s="139">
        <v>44378.0</v>
      </c>
      <c r="EP98" s="139">
        <v>44409.0</v>
      </c>
      <c r="EQ98" s="139">
        <v>44440.0</v>
      </c>
      <c r="ER98" s="139">
        <v>44470.0</v>
      </c>
      <c r="ES98" s="139">
        <v>44501.0</v>
      </c>
      <c r="ET98" s="139">
        <v>44531.0</v>
      </c>
      <c r="EU98" s="139">
        <v>44562.0</v>
      </c>
      <c r="EV98" s="139">
        <v>44593.0</v>
      </c>
      <c r="EW98" s="139">
        <v>44621.0</v>
      </c>
      <c r="EX98" s="139">
        <v>44652.0</v>
      </c>
      <c r="EY98" s="139">
        <v>44682.0</v>
      </c>
      <c r="EZ98" s="139">
        <v>44713.0</v>
      </c>
      <c r="FA98" s="139">
        <v>44743.0</v>
      </c>
      <c r="FB98" s="139">
        <v>44774.0</v>
      </c>
      <c r="FC98" s="139">
        <v>44805.0</v>
      </c>
      <c r="FD98" s="139">
        <v>44835.0</v>
      </c>
      <c r="FE98" s="139">
        <v>44866.0</v>
      </c>
      <c r="FF98" s="139">
        <v>44896.0</v>
      </c>
      <c r="FG98" s="139">
        <v>44927.0</v>
      </c>
      <c r="FH98" s="139">
        <v>44958.0</v>
      </c>
      <c r="FI98" s="139">
        <v>44986.0</v>
      </c>
      <c r="FJ98" s="139">
        <v>45017.0</v>
      </c>
      <c r="FK98" s="139">
        <v>45047.0</v>
      </c>
      <c r="FL98" s="139">
        <v>45078.0</v>
      </c>
      <c r="FM98" s="139">
        <v>45108.0</v>
      </c>
      <c r="FN98" s="139">
        <v>45139.0</v>
      </c>
      <c r="FO98" s="139">
        <v>45170.0</v>
      </c>
      <c r="FP98" s="139">
        <v>45200.0</v>
      </c>
      <c r="FQ98" s="139">
        <v>45231.0</v>
      </c>
      <c r="FR98" s="139">
        <v>45261.0</v>
      </c>
      <c r="FS98" s="139">
        <v>45292.0</v>
      </c>
      <c r="FT98" s="139">
        <v>45323.0</v>
      </c>
      <c r="FU98" s="139">
        <v>45352.0</v>
      </c>
      <c r="FV98" s="139">
        <v>45383.0</v>
      </c>
      <c r="FW98" s="139">
        <v>45413.0</v>
      </c>
      <c r="FX98" s="139">
        <v>45444.0</v>
      </c>
      <c r="FY98" s="139">
        <v>45474.0</v>
      </c>
      <c r="FZ98" s="139">
        <v>45505.0</v>
      </c>
      <c r="GA98" s="139">
        <v>45536.0</v>
      </c>
      <c r="GB98" s="139">
        <v>45566.0</v>
      </c>
      <c r="GC98" s="139">
        <v>45597.0</v>
      </c>
      <c r="GD98" s="139">
        <v>45627.0</v>
      </c>
      <c r="GE98" s="139">
        <v>45658.0</v>
      </c>
      <c r="GF98" s="139">
        <v>45689.0</v>
      </c>
      <c r="GG98" s="139">
        <v>45717.0</v>
      </c>
      <c r="GH98" s="139">
        <v>45748.0</v>
      </c>
      <c r="GI98" s="139">
        <v>45778.0</v>
      </c>
      <c r="GJ98" s="139">
        <v>45809.0</v>
      </c>
      <c r="GK98" s="139">
        <v>45839.0</v>
      </c>
    </row>
    <row r="99">
      <c r="A99" s="132" t="s">
        <v>34079</v>
      </c>
      <c r="B99" s="133" t="s">
        <v>1224</v>
      </c>
      <c r="C99" s="134">
        <v>43844.775196759256</v>
      </c>
      <c r="D99" s="135" t="str">
        <f t="shared" si="1"/>
        <v>2020/01/14</v>
      </c>
      <c r="E99" s="136" t="s">
        <v>33912</v>
      </c>
      <c r="F99" s="137">
        <v>0.0</v>
      </c>
      <c r="G99" s="138">
        <v>40179.0</v>
      </c>
      <c r="H99" s="138">
        <v>40210.0</v>
      </c>
      <c r="I99" s="138">
        <v>40238.0</v>
      </c>
      <c r="J99" s="138">
        <v>40269.0</v>
      </c>
      <c r="K99" s="138">
        <v>40299.0</v>
      </c>
      <c r="L99" s="138">
        <v>40330.0</v>
      </c>
      <c r="M99" s="138">
        <v>40360.0</v>
      </c>
      <c r="N99" s="138">
        <v>40391.0</v>
      </c>
      <c r="O99" s="138">
        <v>40422.0</v>
      </c>
      <c r="P99" s="138">
        <v>40452.0</v>
      </c>
      <c r="Q99" s="138">
        <v>40483.0</v>
      </c>
      <c r="R99" s="138">
        <v>40513.0</v>
      </c>
      <c r="S99" s="138">
        <v>40544.0</v>
      </c>
      <c r="T99" s="138">
        <v>40575.0</v>
      </c>
      <c r="U99" s="138">
        <v>40603.0</v>
      </c>
      <c r="V99" s="138">
        <v>40634.0</v>
      </c>
      <c r="W99" s="138">
        <v>40664.0</v>
      </c>
      <c r="X99" s="138">
        <v>40695.0</v>
      </c>
      <c r="Y99" s="138">
        <v>40725.0</v>
      </c>
      <c r="Z99" s="138">
        <v>40756.0</v>
      </c>
      <c r="AA99" s="138">
        <v>40787.0</v>
      </c>
      <c r="AB99" s="138">
        <v>40817.0</v>
      </c>
      <c r="AC99" s="138">
        <v>40848.0</v>
      </c>
      <c r="AD99" s="138">
        <v>40878.0</v>
      </c>
      <c r="AE99" s="138">
        <v>40909.0</v>
      </c>
      <c r="AF99" s="138">
        <v>40940.0</v>
      </c>
      <c r="AG99" s="138">
        <v>40969.0</v>
      </c>
      <c r="AH99" s="138">
        <v>41000.0</v>
      </c>
      <c r="AI99" s="138">
        <v>41030.0</v>
      </c>
      <c r="AJ99" s="138">
        <v>41061.0</v>
      </c>
      <c r="AK99" s="138">
        <v>41091.0</v>
      </c>
      <c r="AL99" s="138">
        <v>41122.0</v>
      </c>
      <c r="AM99" s="138">
        <v>41153.0</v>
      </c>
      <c r="AN99" s="138">
        <v>41183.0</v>
      </c>
      <c r="AO99" s="138">
        <v>41214.0</v>
      </c>
      <c r="AP99" s="138">
        <v>41244.0</v>
      </c>
      <c r="AQ99" s="138">
        <v>41275.0</v>
      </c>
      <c r="AR99" s="138">
        <v>41306.0</v>
      </c>
      <c r="AS99" s="138">
        <v>41334.0</v>
      </c>
      <c r="AT99" s="138">
        <v>41365.0</v>
      </c>
      <c r="AU99" s="138">
        <v>41395.0</v>
      </c>
      <c r="AV99" s="138">
        <v>41426.0</v>
      </c>
      <c r="AW99" s="138">
        <v>41456.0</v>
      </c>
      <c r="AX99" s="138">
        <v>41487.0</v>
      </c>
      <c r="AY99" s="138">
        <v>41518.0</v>
      </c>
      <c r="AZ99" s="138">
        <v>41548.0</v>
      </c>
      <c r="BA99" s="138">
        <v>41579.0</v>
      </c>
      <c r="BB99" s="138">
        <v>41609.0</v>
      </c>
      <c r="BC99" s="138">
        <v>41640.0</v>
      </c>
      <c r="BD99" s="138">
        <v>41671.0</v>
      </c>
      <c r="BE99" s="138">
        <v>41699.0</v>
      </c>
      <c r="BF99" s="138">
        <v>41730.0</v>
      </c>
      <c r="BG99" s="138">
        <v>41760.0</v>
      </c>
      <c r="BH99" s="138">
        <v>41791.0</v>
      </c>
      <c r="BI99" s="138">
        <v>41821.0</v>
      </c>
      <c r="BJ99" s="138">
        <v>41852.0</v>
      </c>
      <c r="BK99" s="138">
        <v>41883.0</v>
      </c>
      <c r="BL99" s="138">
        <v>41913.0</v>
      </c>
      <c r="BM99" s="138">
        <v>41944.0</v>
      </c>
      <c r="BN99" s="138">
        <v>41974.0</v>
      </c>
      <c r="BO99" s="138">
        <v>42005.0</v>
      </c>
      <c r="BP99" s="138">
        <v>42036.0</v>
      </c>
      <c r="BQ99" s="138">
        <v>42064.0</v>
      </c>
      <c r="BR99" s="138">
        <v>42095.0</v>
      </c>
      <c r="BS99" s="138">
        <v>42125.0</v>
      </c>
      <c r="BT99" s="138">
        <v>42156.0</v>
      </c>
      <c r="BU99" s="138">
        <v>42186.0</v>
      </c>
      <c r="BV99" s="138">
        <v>42217.0</v>
      </c>
      <c r="BW99" s="138">
        <v>42248.0</v>
      </c>
      <c r="BX99" s="138">
        <v>42278.0</v>
      </c>
      <c r="BY99" s="138">
        <v>42309.0</v>
      </c>
      <c r="BZ99" s="138">
        <v>42339.0</v>
      </c>
      <c r="CA99" s="138">
        <v>42370.0</v>
      </c>
      <c r="CB99" s="138">
        <v>42401.0</v>
      </c>
      <c r="CC99" s="138">
        <v>42430.0</v>
      </c>
      <c r="CD99" s="138">
        <v>42461.0</v>
      </c>
      <c r="CE99" s="138">
        <v>42491.0</v>
      </c>
      <c r="CF99" s="138">
        <v>42522.0</v>
      </c>
      <c r="CG99" s="138">
        <v>42552.0</v>
      </c>
      <c r="CH99" s="138">
        <v>42583.0</v>
      </c>
      <c r="CI99" s="138">
        <v>42614.0</v>
      </c>
      <c r="CJ99" s="138">
        <v>42644.0</v>
      </c>
      <c r="CK99" s="138">
        <v>42675.0</v>
      </c>
      <c r="CL99" s="138">
        <v>42705.0</v>
      </c>
      <c r="CM99" s="138">
        <v>42736.0</v>
      </c>
      <c r="CN99" s="138">
        <v>42767.0</v>
      </c>
      <c r="CO99" s="138">
        <v>42795.0</v>
      </c>
      <c r="CP99" s="138">
        <v>42826.0</v>
      </c>
      <c r="CQ99" s="138">
        <v>42856.0</v>
      </c>
      <c r="CR99" s="138">
        <v>42887.0</v>
      </c>
      <c r="CS99" s="138">
        <v>42917.0</v>
      </c>
      <c r="CT99" s="138">
        <v>42948.0</v>
      </c>
      <c r="CU99" s="138">
        <v>42979.0</v>
      </c>
      <c r="CV99" s="138">
        <v>43009.0</v>
      </c>
      <c r="CW99" s="138">
        <v>43040.0</v>
      </c>
      <c r="CX99" s="138">
        <v>43070.0</v>
      </c>
      <c r="CY99" s="138">
        <v>43101.0</v>
      </c>
      <c r="CZ99" s="138">
        <v>43132.0</v>
      </c>
      <c r="DA99" s="138">
        <v>43160.0</v>
      </c>
      <c r="DB99" s="138">
        <v>43191.0</v>
      </c>
      <c r="DC99" s="138">
        <v>43221.0</v>
      </c>
      <c r="DD99" s="138">
        <v>43252.0</v>
      </c>
      <c r="DE99" s="138">
        <v>43282.0</v>
      </c>
      <c r="DF99" s="138">
        <v>43313.0</v>
      </c>
      <c r="DG99" s="138">
        <v>43344.0</v>
      </c>
      <c r="DH99" s="138">
        <v>43374.0</v>
      </c>
      <c r="DI99" s="138">
        <v>43405.0</v>
      </c>
      <c r="DJ99" s="138">
        <v>43435.0</v>
      </c>
      <c r="DK99" s="138">
        <v>43466.0</v>
      </c>
      <c r="DL99" s="138">
        <v>43497.0</v>
      </c>
      <c r="DM99" s="138">
        <v>43525.0</v>
      </c>
      <c r="DN99" s="138">
        <v>43556.0</v>
      </c>
      <c r="DO99" s="138">
        <v>43586.0</v>
      </c>
      <c r="DP99" s="138">
        <v>43617.0</v>
      </c>
      <c r="DQ99" s="138">
        <v>43647.0</v>
      </c>
      <c r="DR99" s="138">
        <v>43678.0</v>
      </c>
      <c r="DS99" s="138">
        <v>43709.0</v>
      </c>
      <c r="DT99" s="138">
        <v>43739.0</v>
      </c>
      <c r="DU99" s="138">
        <v>43770.0</v>
      </c>
      <c r="DV99" s="138">
        <v>43800.0</v>
      </c>
      <c r="DW99" s="138">
        <v>43831.0</v>
      </c>
      <c r="DX99" s="139">
        <v>43862.0</v>
      </c>
      <c r="DY99" s="139">
        <v>43891.0</v>
      </c>
      <c r="DZ99" s="139">
        <v>43922.0</v>
      </c>
      <c r="EA99" s="139">
        <v>43952.0</v>
      </c>
      <c r="EB99" s="139">
        <v>43983.0</v>
      </c>
      <c r="EC99" s="139">
        <v>44013.0</v>
      </c>
      <c r="ED99" s="139">
        <v>44044.0</v>
      </c>
      <c r="EE99" s="139">
        <v>44075.0</v>
      </c>
      <c r="EF99" s="139">
        <v>44105.0</v>
      </c>
      <c r="EG99" s="139">
        <v>44136.0</v>
      </c>
      <c r="EH99" s="139">
        <v>44166.0</v>
      </c>
      <c r="EI99" s="139">
        <v>44197.0</v>
      </c>
      <c r="EJ99" s="139">
        <v>44228.0</v>
      </c>
      <c r="EK99" s="139">
        <v>44256.0</v>
      </c>
      <c r="EL99" s="139">
        <v>44287.0</v>
      </c>
      <c r="EM99" s="139">
        <v>44317.0</v>
      </c>
      <c r="EN99" s="139">
        <v>44348.0</v>
      </c>
      <c r="EO99" s="139">
        <v>44378.0</v>
      </c>
      <c r="EP99" s="139">
        <v>44409.0</v>
      </c>
      <c r="EQ99" s="139">
        <v>44440.0</v>
      </c>
      <c r="ER99" s="139">
        <v>44470.0</v>
      </c>
      <c r="ES99" s="139">
        <v>44501.0</v>
      </c>
      <c r="ET99" s="139">
        <v>44531.0</v>
      </c>
      <c r="EU99" s="139">
        <v>44562.0</v>
      </c>
      <c r="EV99" s="139">
        <v>44593.0</v>
      </c>
      <c r="EW99" s="139">
        <v>44621.0</v>
      </c>
      <c r="EX99" s="139">
        <v>44652.0</v>
      </c>
      <c r="EY99" s="139">
        <v>44682.0</v>
      </c>
      <c r="EZ99" s="139">
        <v>44713.0</v>
      </c>
      <c r="FA99" s="139">
        <v>44743.0</v>
      </c>
      <c r="FB99" s="139">
        <v>44774.0</v>
      </c>
      <c r="FC99" s="139">
        <v>44805.0</v>
      </c>
      <c r="FD99" s="139">
        <v>44835.0</v>
      </c>
      <c r="FE99" s="139">
        <v>44866.0</v>
      </c>
      <c r="FF99" s="139">
        <v>44896.0</v>
      </c>
      <c r="FG99" s="139">
        <v>44927.0</v>
      </c>
      <c r="FH99" s="139">
        <v>44958.0</v>
      </c>
      <c r="FI99" s="139">
        <v>44986.0</v>
      </c>
      <c r="FJ99" s="139">
        <v>45017.0</v>
      </c>
      <c r="FK99" s="139">
        <v>45047.0</v>
      </c>
      <c r="FL99" s="139">
        <v>45078.0</v>
      </c>
      <c r="FM99" s="139">
        <v>45108.0</v>
      </c>
      <c r="FN99" s="139">
        <v>45139.0</v>
      </c>
      <c r="FO99" s="139">
        <v>45170.0</v>
      </c>
      <c r="FP99" s="139">
        <v>45200.0</v>
      </c>
      <c r="FQ99" s="139">
        <v>45231.0</v>
      </c>
      <c r="FR99" s="139">
        <v>45261.0</v>
      </c>
      <c r="FS99" s="139">
        <v>45292.0</v>
      </c>
      <c r="FT99" s="139">
        <v>45323.0</v>
      </c>
      <c r="FU99" s="139">
        <v>45352.0</v>
      </c>
      <c r="FV99" s="139">
        <v>45383.0</v>
      </c>
      <c r="FW99" s="139">
        <v>45413.0</v>
      </c>
      <c r="FX99" s="139">
        <v>45444.0</v>
      </c>
      <c r="FY99" s="139">
        <v>45474.0</v>
      </c>
      <c r="FZ99" s="139">
        <v>45505.0</v>
      </c>
      <c r="GA99" s="139">
        <v>45536.0</v>
      </c>
      <c r="GB99" s="139">
        <v>45566.0</v>
      </c>
      <c r="GC99" s="139">
        <v>45597.0</v>
      </c>
      <c r="GD99" s="139">
        <v>45627.0</v>
      </c>
      <c r="GE99" s="139">
        <v>45658.0</v>
      </c>
      <c r="GF99" s="139">
        <v>45689.0</v>
      </c>
      <c r="GG99" s="139">
        <v>45717.0</v>
      </c>
      <c r="GH99" s="139">
        <v>45748.0</v>
      </c>
      <c r="GI99" s="139">
        <v>45778.0</v>
      </c>
      <c r="GJ99" s="139">
        <v>45809.0</v>
      </c>
      <c r="GK99" s="139">
        <v>45839.0</v>
      </c>
    </row>
    <row r="100">
      <c r="A100" s="132" t="s">
        <v>34080</v>
      </c>
      <c r="B100" s="133" t="s">
        <v>1137</v>
      </c>
      <c r="C100" s="134">
        <v>43844.833819444444</v>
      </c>
      <c r="D100" s="135" t="str">
        <f t="shared" si="1"/>
        <v>2020/01/14</v>
      </c>
      <c r="E100" s="136" t="s">
        <v>34081</v>
      </c>
      <c r="F100" s="137">
        <v>0.01822</v>
      </c>
      <c r="G100" s="138">
        <v>40179.0</v>
      </c>
      <c r="H100" s="138">
        <v>40210.0</v>
      </c>
      <c r="I100" s="138">
        <v>40238.0</v>
      </c>
      <c r="J100" s="138">
        <v>40269.0</v>
      </c>
      <c r="K100" s="138">
        <v>40299.0</v>
      </c>
      <c r="L100" s="138">
        <v>40330.0</v>
      </c>
      <c r="M100" s="138">
        <v>40360.0</v>
      </c>
      <c r="N100" s="138">
        <v>40391.0</v>
      </c>
      <c r="O100" s="138">
        <v>40422.0</v>
      </c>
      <c r="P100" s="138">
        <v>40452.0</v>
      </c>
      <c r="Q100" s="138">
        <v>40483.0</v>
      </c>
      <c r="R100" s="138">
        <v>40513.0</v>
      </c>
      <c r="S100" s="138">
        <v>40544.0</v>
      </c>
      <c r="T100" s="138">
        <v>40575.0</v>
      </c>
      <c r="U100" s="138">
        <v>40603.0</v>
      </c>
      <c r="V100" s="138">
        <v>40634.0</v>
      </c>
      <c r="W100" s="138">
        <v>40664.0</v>
      </c>
      <c r="X100" s="138">
        <v>40695.0</v>
      </c>
      <c r="Y100" s="138">
        <v>40725.0</v>
      </c>
      <c r="Z100" s="138">
        <v>40756.0</v>
      </c>
      <c r="AA100" s="138">
        <v>40787.0</v>
      </c>
      <c r="AB100" s="138">
        <v>40817.0</v>
      </c>
      <c r="AC100" s="138">
        <v>40848.0</v>
      </c>
      <c r="AD100" s="138">
        <v>40878.0</v>
      </c>
      <c r="AE100" s="138">
        <v>40909.0</v>
      </c>
      <c r="AF100" s="138">
        <v>40940.0</v>
      </c>
      <c r="AG100" s="138">
        <v>40969.0</v>
      </c>
      <c r="AH100" s="138">
        <v>41000.0</v>
      </c>
      <c r="AI100" s="138">
        <v>41030.0</v>
      </c>
      <c r="AJ100" s="138">
        <v>41061.0</v>
      </c>
      <c r="AK100" s="138">
        <v>41091.0</v>
      </c>
      <c r="AL100" s="138">
        <v>41122.0</v>
      </c>
      <c r="AM100" s="138">
        <v>41153.0</v>
      </c>
      <c r="AN100" s="138">
        <v>41183.0</v>
      </c>
      <c r="AO100" s="138">
        <v>41214.0</v>
      </c>
      <c r="AP100" s="138">
        <v>41244.0</v>
      </c>
      <c r="AQ100" s="138">
        <v>41275.0</v>
      </c>
      <c r="AR100" s="138">
        <v>41306.0</v>
      </c>
      <c r="AS100" s="138">
        <v>41334.0</v>
      </c>
      <c r="AT100" s="138">
        <v>41365.0</v>
      </c>
      <c r="AU100" s="138">
        <v>41395.0</v>
      </c>
      <c r="AV100" s="138">
        <v>41426.0</v>
      </c>
      <c r="AW100" s="138">
        <v>41456.0</v>
      </c>
      <c r="AX100" s="138">
        <v>41487.0</v>
      </c>
      <c r="AY100" s="138">
        <v>41518.0</v>
      </c>
      <c r="AZ100" s="138">
        <v>41548.0</v>
      </c>
      <c r="BA100" s="138">
        <v>41579.0</v>
      </c>
      <c r="BB100" s="138">
        <v>41609.0</v>
      </c>
      <c r="BC100" s="138">
        <v>41640.0</v>
      </c>
      <c r="BD100" s="138">
        <v>41671.0</v>
      </c>
      <c r="BE100" s="138">
        <v>41699.0</v>
      </c>
      <c r="BF100" s="138">
        <v>41730.0</v>
      </c>
      <c r="BG100" s="138">
        <v>41760.0</v>
      </c>
      <c r="BH100" s="138">
        <v>41791.0</v>
      </c>
      <c r="BI100" s="138">
        <v>41821.0</v>
      </c>
      <c r="BJ100" s="138">
        <v>41852.0</v>
      </c>
      <c r="BK100" s="138">
        <v>41883.0</v>
      </c>
      <c r="BL100" s="138">
        <v>41913.0</v>
      </c>
      <c r="BM100" s="138">
        <v>41944.0</v>
      </c>
      <c r="BN100" s="138">
        <v>41974.0</v>
      </c>
      <c r="BO100" s="138">
        <v>42005.0</v>
      </c>
      <c r="BP100" s="138">
        <v>42036.0</v>
      </c>
      <c r="BQ100" s="138">
        <v>42064.0</v>
      </c>
      <c r="BR100" s="138">
        <v>42095.0</v>
      </c>
      <c r="BS100" s="138">
        <v>42125.0</v>
      </c>
      <c r="BT100" s="138">
        <v>42156.0</v>
      </c>
      <c r="BU100" s="138">
        <v>42186.0</v>
      </c>
      <c r="BV100" s="138">
        <v>42217.0</v>
      </c>
      <c r="BW100" s="138">
        <v>42248.0</v>
      </c>
      <c r="BX100" s="138">
        <v>42278.0</v>
      </c>
      <c r="BY100" s="138">
        <v>42309.0</v>
      </c>
      <c r="BZ100" s="138">
        <v>42339.0</v>
      </c>
      <c r="CA100" s="138">
        <v>42370.0</v>
      </c>
      <c r="CB100" s="138">
        <v>42401.0</v>
      </c>
      <c r="CC100" s="138">
        <v>42430.0</v>
      </c>
      <c r="CD100" s="138">
        <v>42461.0</v>
      </c>
      <c r="CE100" s="138">
        <v>42491.0</v>
      </c>
      <c r="CF100" s="138">
        <v>42522.0</v>
      </c>
      <c r="CG100" s="138">
        <v>42552.0</v>
      </c>
      <c r="CH100" s="138">
        <v>42583.0</v>
      </c>
      <c r="CI100" s="138">
        <v>42614.0</v>
      </c>
      <c r="CJ100" s="138">
        <v>42644.0</v>
      </c>
      <c r="CK100" s="138">
        <v>42675.0</v>
      </c>
      <c r="CL100" s="138">
        <v>42705.0</v>
      </c>
      <c r="CM100" s="138">
        <v>42736.0</v>
      </c>
      <c r="CN100" s="138">
        <v>42767.0</v>
      </c>
      <c r="CO100" s="138">
        <v>42795.0</v>
      </c>
      <c r="CP100" s="138">
        <v>42826.0</v>
      </c>
      <c r="CQ100" s="138">
        <v>42856.0</v>
      </c>
      <c r="CR100" s="138">
        <v>42887.0</v>
      </c>
      <c r="CS100" s="138">
        <v>42917.0</v>
      </c>
      <c r="CT100" s="138">
        <v>42948.0</v>
      </c>
      <c r="CU100" s="138">
        <v>42979.0</v>
      </c>
      <c r="CV100" s="138">
        <v>43009.0</v>
      </c>
      <c r="CW100" s="138">
        <v>43040.0</v>
      </c>
      <c r="CX100" s="138">
        <v>43070.0</v>
      </c>
      <c r="CY100" s="138">
        <v>43101.0</v>
      </c>
      <c r="CZ100" s="138">
        <v>43132.0</v>
      </c>
      <c r="DA100" s="138">
        <v>43160.0</v>
      </c>
      <c r="DB100" s="138">
        <v>43191.0</v>
      </c>
      <c r="DC100" s="138">
        <v>43221.0</v>
      </c>
      <c r="DD100" s="138">
        <v>43252.0</v>
      </c>
      <c r="DE100" s="138">
        <v>43282.0</v>
      </c>
      <c r="DF100" s="138">
        <v>43313.0</v>
      </c>
      <c r="DG100" s="138">
        <v>43344.0</v>
      </c>
      <c r="DH100" s="138">
        <v>43374.0</v>
      </c>
      <c r="DI100" s="138">
        <v>43405.0</v>
      </c>
      <c r="DJ100" s="138">
        <v>43435.0</v>
      </c>
      <c r="DK100" s="138">
        <v>43466.0</v>
      </c>
      <c r="DL100" s="138">
        <v>43497.0</v>
      </c>
      <c r="DM100" s="138">
        <v>43525.0</v>
      </c>
      <c r="DN100" s="138">
        <v>43556.0</v>
      </c>
      <c r="DO100" s="138">
        <v>43586.0</v>
      </c>
      <c r="DP100" s="138">
        <v>43617.0</v>
      </c>
      <c r="DQ100" s="138">
        <v>43647.0</v>
      </c>
      <c r="DR100" s="138">
        <v>43678.0</v>
      </c>
      <c r="DS100" s="138">
        <v>43709.0</v>
      </c>
      <c r="DT100" s="138">
        <v>43739.0</v>
      </c>
      <c r="DU100" s="138">
        <v>43770.0</v>
      </c>
      <c r="DV100" s="138">
        <v>43800.0</v>
      </c>
      <c r="DW100" s="138">
        <v>43831.0</v>
      </c>
      <c r="DX100" s="139">
        <v>43862.0</v>
      </c>
      <c r="DY100" s="139">
        <v>43891.0</v>
      </c>
      <c r="DZ100" s="139">
        <v>43922.0</v>
      </c>
      <c r="EA100" s="139">
        <v>43952.0</v>
      </c>
      <c r="EB100" s="139">
        <v>43983.0</v>
      </c>
      <c r="EC100" s="139">
        <v>44013.0</v>
      </c>
      <c r="ED100" s="139">
        <v>44044.0</v>
      </c>
      <c r="EE100" s="139">
        <v>44075.0</v>
      </c>
      <c r="EF100" s="139">
        <v>44105.0</v>
      </c>
      <c r="EG100" s="139">
        <v>44136.0</v>
      </c>
      <c r="EH100" s="139">
        <v>44166.0</v>
      </c>
      <c r="EI100" s="139">
        <v>44197.0</v>
      </c>
      <c r="EJ100" s="139">
        <v>44228.0</v>
      </c>
      <c r="EK100" s="139">
        <v>44256.0</v>
      </c>
      <c r="EL100" s="139">
        <v>44287.0</v>
      </c>
      <c r="EM100" s="139">
        <v>44317.0</v>
      </c>
      <c r="EN100" s="139">
        <v>44348.0</v>
      </c>
      <c r="EO100" s="139">
        <v>44378.0</v>
      </c>
      <c r="EP100" s="139">
        <v>44409.0</v>
      </c>
      <c r="EQ100" s="139">
        <v>44440.0</v>
      </c>
      <c r="ER100" s="139">
        <v>44470.0</v>
      </c>
      <c r="ES100" s="139">
        <v>44501.0</v>
      </c>
      <c r="ET100" s="139">
        <v>44531.0</v>
      </c>
      <c r="EU100" s="139">
        <v>44562.0</v>
      </c>
      <c r="EV100" s="139">
        <v>44593.0</v>
      </c>
      <c r="EW100" s="139">
        <v>44621.0</v>
      </c>
      <c r="EX100" s="139">
        <v>44652.0</v>
      </c>
      <c r="EY100" s="139">
        <v>44682.0</v>
      </c>
      <c r="EZ100" s="139">
        <v>44713.0</v>
      </c>
      <c r="FA100" s="139">
        <v>44743.0</v>
      </c>
      <c r="FB100" s="139">
        <v>44774.0</v>
      </c>
      <c r="FC100" s="139">
        <v>44805.0</v>
      </c>
      <c r="FD100" s="139">
        <v>44835.0</v>
      </c>
      <c r="FE100" s="139">
        <v>44866.0</v>
      </c>
      <c r="FF100" s="139">
        <v>44896.0</v>
      </c>
      <c r="FG100" s="139">
        <v>44927.0</v>
      </c>
      <c r="FH100" s="139">
        <v>44958.0</v>
      </c>
      <c r="FI100" s="139">
        <v>44986.0</v>
      </c>
      <c r="FJ100" s="139">
        <v>45017.0</v>
      </c>
      <c r="FK100" s="139">
        <v>45047.0</v>
      </c>
      <c r="FL100" s="139">
        <v>45078.0</v>
      </c>
      <c r="FM100" s="139">
        <v>45108.0</v>
      </c>
      <c r="FN100" s="139">
        <v>45139.0</v>
      </c>
      <c r="FO100" s="139">
        <v>45170.0</v>
      </c>
      <c r="FP100" s="139">
        <v>45200.0</v>
      </c>
      <c r="FQ100" s="139">
        <v>45231.0</v>
      </c>
      <c r="FR100" s="139">
        <v>45261.0</v>
      </c>
      <c r="FS100" s="139">
        <v>45292.0</v>
      </c>
      <c r="FT100" s="139">
        <v>45323.0</v>
      </c>
      <c r="FU100" s="139">
        <v>45352.0</v>
      </c>
      <c r="FV100" s="139">
        <v>45383.0</v>
      </c>
      <c r="FW100" s="139">
        <v>45413.0</v>
      </c>
      <c r="FX100" s="139">
        <v>45444.0</v>
      </c>
      <c r="FY100" s="139">
        <v>45474.0</v>
      </c>
      <c r="FZ100" s="139">
        <v>45505.0</v>
      </c>
      <c r="GA100" s="139">
        <v>45536.0</v>
      </c>
      <c r="GB100" s="139">
        <v>45566.0</v>
      </c>
      <c r="GC100" s="139">
        <v>45597.0</v>
      </c>
      <c r="GD100" s="139">
        <v>45627.0</v>
      </c>
      <c r="GE100" s="139">
        <v>45658.0</v>
      </c>
      <c r="GF100" s="139">
        <v>45689.0</v>
      </c>
      <c r="GG100" s="139">
        <v>45717.0</v>
      </c>
      <c r="GH100" s="139">
        <v>45748.0</v>
      </c>
      <c r="GI100" s="139">
        <v>45778.0</v>
      </c>
      <c r="GJ100" s="139">
        <v>45809.0</v>
      </c>
      <c r="GK100" s="139">
        <v>45839.0</v>
      </c>
    </row>
    <row r="101">
      <c r="A101" s="132" t="s">
        <v>34082</v>
      </c>
      <c r="B101" s="133" t="s">
        <v>1139</v>
      </c>
      <c r="C101" s="134">
        <v>43852.60927083333</v>
      </c>
      <c r="D101" s="135" t="str">
        <f t="shared" si="1"/>
        <v>2020/01/22</v>
      </c>
      <c r="E101" s="136" t="s">
        <v>34083</v>
      </c>
      <c r="F101" s="137">
        <v>0.0035</v>
      </c>
      <c r="G101" s="138">
        <v>40179.0</v>
      </c>
      <c r="H101" s="138">
        <v>40210.0</v>
      </c>
      <c r="I101" s="138">
        <v>40238.0</v>
      </c>
      <c r="J101" s="138">
        <v>40269.0</v>
      </c>
      <c r="K101" s="138">
        <v>40299.0</v>
      </c>
      <c r="L101" s="138">
        <v>40330.0</v>
      </c>
      <c r="M101" s="138">
        <v>40360.0</v>
      </c>
      <c r="N101" s="138">
        <v>40391.0</v>
      </c>
      <c r="O101" s="138">
        <v>40422.0</v>
      </c>
      <c r="P101" s="138">
        <v>40452.0</v>
      </c>
      <c r="Q101" s="138">
        <v>40483.0</v>
      </c>
      <c r="R101" s="138">
        <v>40513.0</v>
      </c>
      <c r="S101" s="138">
        <v>40544.0</v>
      </c>
      <c r="T101" s="138">
        <v>40575.0</v>
      </c>
      <c r="U101" s="138">
        <v>40603.0</v>
      </c>
      <c r="V101" s="138">
        <v>40634.0</v>
      </c>
      <c r="W101" s="138">
        <v>40664.0</v>
      </c>
      <c r="X101" s="138">
        <v>40695.0</v>
      </c>
      <c r="Y101" s="138">
        <v>40725.0</v>
      </c>
      <c r="Z101" s="138">
        <v>40756.0</v>
      </c>
      <c r="AA101" s="138">
        <v>40787.0</v>
      </c>
      <c r="AB101" s="138">
        <v>40817.0</v>
      </c>
      <c r="AC101" s="138">
        <v>40848.0</v>
      </c>
      <c r="AD101" s="138">
        <v>40878.0</v>
      </c>
      <c r="AE101" s="138">
        <v>40909.0</v>
      </c>
      <c r="AF101" s="138">
        <v>40940.0</v>
      </c>
      <c r="AG101" s="138">
        <v>40969.0</v>
      </c>
      <c r="AH101" s="138">
        <v>41000.0</v>
      </c>
      <c r="AI101" s="138">
        <v>41030.0</v>
      </c>
      <c r="AJ101" s="138">
        <v>41061.0</v>
      </c>
      <c r="AK101" s="138">
        <v>41091.0</v>
      </c>
      <c r="AL101" s="138">
        <v>41122.0</v>
      </c>
      <c r="AM101" s="138">
        <v>41153.0</v>
      </c>
      <c r="AN101" s="138">
        <v>41183.0</v>
      </c>
      <c r="AO101" s="138">
        <v>41214.0</v>
      </c>
      <c r="AP101" s="138">
        <v>41244.0</v>
      </c>
      <c r="AQ101" s="138">
        <v>41275.0</v>
      </c>
      <c r="AR101" s="138">
        <v>41306.0</v>
      </c>
      <c r="AS101" s="138">
        <v>41334.0</v>
      </c>
      <c r="AT101" s="138">
        <v>41365.0</v>
      </c>
      <c r="AU101" s="138">
        <v>41395.0</v>
      </c>
      <c r="AV101" s="138">
        <v>41426.0</v>
      </c>
      <c r="AW101" s="138">
        <v>41456.0</v>
      </c>
      <c r="AX101" s="138">
        <v>41487.0</v>
      </c>
      <c r="AY101" s="138">
        <v>41518.0</v>
      </c>
      <c r="AZ101" s="138">
        <v>41548.0</v>
      </c>
      <c r="BA101" s="138">
        <v>41579.0</v>
      </c>
      <c r="BB101" s="138">
        <v>41609.0</v>
      </c>
      <c r="BC101" s="138">
        <v>41640.0</v>
      </c>
      <c r="BD101" s="138">
        <v>41671.0</v>
      </c>
      <c r="BE101" s="138">
        <v>41699.0</v>
      </c>
      <c r="BF101" s="138">
        <v>41730.0</v>
      </c>
      <c r="BG101" s="138">
        <v>41760.0</v>
      </c>
      <c r="BH101" s="138">
        <v>41791.0</v>
      </c>
      <c r="BI101" s="138">
        <v>41821.0</v>
      </c>
      <c r="BJ101" s="138">
        <v>41852.0</v>
      </c>
      <c r="BK101" s="138">
        <v>41883.0</v>
      </c>
      <c r="BL101" s="138">
        <v>41913.0</v>
      </c>
      <c r="BM101" s="138">
        <v>41944.0</v>
      </c>
      <c r="BN101" s="138">
        <v>41974.0</v>
      </c>
      <c r="BO101" s="138">
        <v>42005.0</v>
      </c>
      <c r="BP101" s="138">
        <v>42036.0</v>
      </c>
      <c r="BQ101" s="138">
        <v>42064.0</v>
      </c>
      <c r="BR101" s="138">
        <v>42095.0</v>
      </c>
      <c r="BS101" s="138">
        <v>42125.0</v>
      </c>
      <c r="BT101" s="138">
        <v>42156.0</v>
      </c>
      <c r="BU101" s="138">
        <v>42186.0</v>
      </c>
      <c r="BV101" s="138">
        <v>42217.0</v>
      </c>
      <c r="BW101" s="138">
        <v>42248.0</v>
      </c>
      <c r="BX101" s="138">
        <v>42278.0</v>
      </c>
      <c r="BY101" s="138">
        <v>42309.0</v>
      </c>
      <c r="BZ101" s="138">
        <v>42339.0</v>
      </c>
      <c r="CA101" s="138">
        <v>42370.0</v>
      </c>
      <c r="CB101" s="138">
        <v>42401.0</v>
      </c>
      <c r="CC101" s="138">
        <v>42430.0</v>
      </c>
      <c r="CD101" s="138">
        <v>42461.0</v>
      </c>
      <c r="CE101" s="138">
        <v>42491.0</v>
      </c>
      <c r="CF101" s="138">
        <v>42522.0</v>
      </c>
      <c r="CG101" s="138">
        <v>42552.0</v>
      </c>
      <c r="CH101" s="138">
        <v>42583.0</v>
      </c>
      <c r="CI101" s="138">
        <v>42614.0</v>
      </c>
      <c r="CJ101" s="138">
        <v>42644.0</v>
      </c>
      <c r="CK101" s="138">
        <v>42675.0</v>
      </c>
      <c r="CL101" s="138">
        <v>42705.0</v>
      </c>
      <c r="CM101" s="138">
        <v>42736.0</v>
      </c>
      <c r="CN101" s="138">
        <v>42767.0</v>
      </c>
      <c r="CO101" s="138">
        <v>42795.0</v>
      </c>
      <c r="CP101" s="138">
        <v>42826.0</v>
      </c>
      <c r="CQ101" s="138">
        <v>42856.0</v>
      </c>
      <c r="CR101" s="138">
        <v>42887.0</v>
      </c>
      <c r="CS101" s="138">
        <v>42917.0</v>
      </c>
      <c r="CT101" s="138">
        <v>42948.0</v>
      </c>
      <c r="CU101" s="138">
        <v>42979.0</v>
      </c>
      <c r="CV101" s="138">
        <v>43009.0</v>
      </c>
      <c r="CW101" s="138">
        <v>43040.0</v>
      </c>
      <c r="CX101" s="138">
        <v>43070.0</v>
      </c>
      <c r="CY101" s="138">
        <v>43101.0</v>
      </c>
      <c r="CZ101" s="138">
        <v>43132.0</v>
      </c>
      <c r="DA101" s="138">
        <v>43160.0</v>
      </c>
      <c r="DB101" s="138">
        <v>43191.0</v>
      </c>
      <c r="DC101" s="138">
        <v>43221.0</v>
      </c>
      <c r="DD101" s="138">
        <v>43252.0</v>
      </c>
      <c r="DE101" s="138">
        <v>43282.0</v>
      </c>
      <c r="DF101" s="138">
        <v>43313.0</v>
      </c>
      <c r="DG101" s="138">
        <v>43344.0</v>
      </c>
      <c r="DH101" s="138">
        <v>43374.0</v>
      </c>
      <c r="DI101" s="138">
        <v>43405.0</v>
      </c>
      <c r="DJ101" s="138">
        <v>43435.0</v>
      </c>
      <c r="DK101" s="138">
        <v>43466.0</v>
      </c>
      <c r="DL101" s="138">
        <v>43497.0</v>
      </c>
      <c r="DM101" s="138">
        <v>43525.0</v>
      </c>
      <c r="DN101" s="138">
        <v>43556.0</v>
      </c>
      <c r="DO101" s="138">
        <v>43586.0</v>
      </c>
      <c r="DP101" s="138">
        <v>43617.0</v>
      </c>
      <c r="DQ101" s="138">
        <v>43647.0</v>
      </c>
      <c r="DR101" s="138">
        <v>43678.0</v>
      </c>
      <c r="DS101" s="138">
        <v>43709.0</v>
      </c>
      <c r="DT101" s="138">
        <v>43739.0</v>
      </c>
      <c r="DU101" s="138">
        <v>43770.0</v>
      </c>
      <c r="DV101" s="138">
        <v>43800.0</v>
      </c>
      <c r="DW101" s="138">
        <v>43831.0</v>
      </c>
      <c r="DX101" s="139">
        <v>43862.0</v>
      </c>
      <c r="DY101" s="139">
        <v>43891.0</v>
      </c>
      <c r="DZ101" s="139">
        <v>43922.0</v>
      </c>
      <c r="EA101" s="139">
        <v>43952.0</v>
      </c>
      <c r="EB101" s="139">
        <v>43983.0</v>
      </c>
      <c r="EC101" s="139">
        <v>44013.0</v>
      </c>
      <c r="ED101" s="139">
        <v>44044.0</v>
      </c>
      <c r="EE101" s="139">
        <v>44075.0</v>
      </c>
      <c r="EF101" s="139">
        <v>44105.0</v>
      </c>
      <c r="EG101" s="139">
        <v>44136.0</v>
      </c>
      <c r="EH101" s="139">
        <v>44166.0</v>
      </c>
      <c r="EI101" s="139">
        <v>44197.0</v>
      </c>
      <c r="EJ101" s="139">
        <v>44228.0</v>
      </c>
      <c r="EK101" s="139">
        <v>44256.0</v>
      </c>
      <c r="EL101" s="139">
        <v>44287.0</v>
      </c>
      <c r="EM101" s="139">
        <v>44317.0</v>
      </c>
      <c r="EN101" s="139">
        <v>44348.0</v>
      </c>
      <c r="EO101" s="139">
        <v>44378.0</v>
      </c>
      <c r="EP101" s="139">
        <v>44409.0</v>
      </c>
      <c r="EQ101" s="139">
        <v>44440.0</v>
      </c>
      <c r="ER101" s="139">
        <v>44470.0</v>
      </c>
      <c r="ES101" s="139">
        <v>44501.0</v>
      </c>
      <c r="ET101" s="139">
        <v>44531.0</v>
      </c>
      <c r="EU101" s="139">
        <v>44562.0</v>
      </c>
      <c r="EV101" s="139">
        <v>44593.0</v>
      </c>
      <c r="EW101" s="139">
        <v>44621.0</v>
      </c>
      <c r="EX101" s="139">
        <v>44652.0</v>
      </c>
      <c r="EY101" s="139">
        <v>44682.0</v>
      </c>
      <c r="EZ101" s="139">
        <v>44713.0</v>
      </c>
      <c r="FA101" s="139">
        <v>44743.0</v>
      </c>
      <c r="FB101" s="139">
        <v>44774.0</v>
      </c>
      <c r="FC101" s="139">
        <v>44805.0</v>
      </c>
      <c r="FD101" s="139">
        <v>44835.0</v>
      </c>
      <c r="FE101" s="139">
        <v>44866.0</v>
      </c>
      <c r="FF101" s="139">
        <v>44896.0</v>
      </c>
      <c r="FG101" s="139">
        <v>44927.0</v>
      </c>
      <c r="FH101" s="139">
        <v>44958.0</v>
      </c>
      <c r="FI101" s="139">
        <v>44986.0</v>
      </c>
      <c r="FJ101" s="139">
        <v>45017.0</v>
      </c>
      <c r="FK101" s="139">
        <v>45047.0</v>
      </c>
      <c r="FL101" s="139">
        <v>45078.0</v>
      </c>
      <c r="FM101" s="139">
        <v>45108.0</v>
      </c>
      <c r="FN101" s="139">
        <v>45139.0</v>
      </c>
      <c r="FO101" s="139">
        <v>45170.0</v>
      </c>
      <c r="FP101" s="139">
        <v>45200.0</v>
      </c>
      <c r="FQ101" s="139">
        <v>45231.0</v>
      </c>
      <c r="FR101" s="139">
        <v>45261.0</v>
      </c>
      <c r="FS101" s="139">
        <v>45292.0</v>
      </c>
      <c r="FT101" s="139">
        <v>45323.0</v>
      </c>
      <c r="FU101" s="139">
        <v>45352.0</v>
      </c>
      <c r="FV101" s="139">
        <v>45383.0</v>
      </c>
      <c r="FW101" s="139">
        <v>45413.0</v>
      </c>
      <c r="FX101" s="139">
        <v>45444.0</v>
      </c>
      <c r="FY101" s="139">
        <v>45474.0</v>
      </c>
      <c r="FZ101" s="139">
        <v>45505.0</v>
      </c>
      <c r="GA101" s="139">
        <v>45536.0</v>
      </c>
      <c r="GB101" s="139">
        <v>45566.0</v>
      </c>
      <c r="GC101" s="139">
        <v>45597.0</v>
      </c>
      <c r="GD101" s="139">
        <v>45627.0</v>
      </c>
      <c r="GE101" s="139">
        <v>45658.0</v>
      </c>
      <c r="GF101" s="139">
        <v>45689.0</v>
      </c>
      <c r="GG101" s="139">
        <v>45717.0</v>
      </c>
      <c r="GH101" s="139">
        <v>45748.0</v>
      </c>
      <c r="GI101" s="139">
        <v>45778.0</v>
      </c>
      <c r="GJ101" s="139">
        <v>45809.0</v>
      </c>
      <c r="GK101" s="139">
        <v>45839.0</v>
      </c>
    </row>
    <row r="102">
      <c r="A102" s="132" t="s">
        <v>34084</v>
      </c>
      <c r="B102" s="133" t="s">
        <v>1267</v>
      </c>
      <c r="C102" s="134">
        <v>43853.558587962965</v>
      </c>
      <c r="D102" s="135" t="str">
        <f t="shared" si="1"/>
        <v>2020/01/23</v>
      </c>
      <c r="E102" s="136" t="s">
        <v>34085</v>
      </c>
      <c r="F102" s="137">
        <v>2.4E-4</v>
      </c>
      <c r="G102" s="138">
        <v>40179.0</v>
      </c>
      <c r="H102" s="138">
        <v>40210.0</v>
      </c>
      <c r="I102" s="138">
        <v>40238.0</v>
      </c>
      <c r="J102" s="138">
        <v>40269.0</v>
      </c>
      <c r="K102" s="138">
        <v>40299.0</v>
      </c>
      <c r="L102" s="138">
        <v>40330.0</v>
      </c>
      <c r="M102" s="138">
        <v>40360.0</v>
      </c>
      <c r="N102" s="138">
        <v>40391.0</v>
      </c>
      <c r="O102" s="138">
        <v>40422.0</v>
      </c>
      <c r="P102" s="138">
        <v>40452.0</v>
      </c>
      <c r="Q102" s="138">
        <v>40483.0</v>
      </c>
      <c r="R102" s="138">
        <v>40513.0</v>
      </c>
      <c r="S102" s="138">
        <v>40544.0</v>
      </c>
      <c r="T102" s="138">
        <v>40575.0</v>
      </c>
      <c r="U102" s="138">
        <v>40603.0</v>
      </c>
      <c r="V102" s="138">
        <v>40634.0</v>
      </c>
      <c r="W102" s="138">
        <v>40664.0</v>
      </c>
      <c r="X102" s="138">
        <v>40695.0</v>
      </c>
      <c r="Y102" s="138">
        <v>40725.0</v>
      </c>
      <c r="Z102" s="138">
        <v>40756.0</v>
      </c>
      <c r="AA102" s="138">
        <v>40787.0</v>
      </c>
      <c r="AB102" s="138">
        <v>40817.0</v>
      </c>
      <c r="AC102" s="138">
        <v>40848.0</v>
      </c>
      <c r="AD102" s="138">
        <v>40878.0</v>
      </c>
      <c r="AE102" s="138">
        <v>40909.0</v>
      </c>
      <c r="AF102" s="138">
        <v>40940.0</v>
      </c>
      <c r="AG102" s="138">
        <v>40969.0</v>
      </c>
      <c r="AH102" s="138">
        <v>41000.0</v>
      </c>
      <c r="AI102" s="138">
        <v>41030.0</v>
      </c>
      <c r="AJ102" s="138">
        <v>41061.0</v>
      </c>
      <c r="AK102" s="138">
        <v>41091.0</v>
      </c>
      <c r="AL102" s="138">
        <v>41122.0</v>
      </c>
      <c r="AM102" s="138">
        <v>41153.0</v>
      </c>
      <c r="AN102" s="138">
        <v>41183.0</v>
      </c>
      <c r="AO102" s="138">
        <v>41214.0</v>
      </c>
      <c r="AP102" s="138">
        <v>41244.0</v>
      </c>
      <c r="AQ102" s="138">
        <v>41275.0</v>
      </c>
      <c r="AR102" s="138">
        <v>41306.0</v>
      </c>
      <c r="AS102" s="138">
        <v>41334.0</v>
      </c>
      <c r="AT102" s="138">
        <v>41365.0</v>
      </c>
      <c r="AU102" s="138">
        <v>41395.0</v>
      </c>
      <c r="AV102" s="138">
        <v>41426.0</v>
      </c>
      <c r="AW102" s="138">
        <v>41456.0</v>
      </c>
      <c r="AX102" s="138">
        <v>41487.0</v>
      </c>
      <c r="AY102" s="138">
        <v>41518.0</v>
      </c>
      <c r="AZ102" s="138">
        <v>41548.0</v>
      </c>
      <c r="BA102" s="138">
        <v>41579.0</v>
      </c>
      <c r="BB102" s="138">
        <v>41609.0</v>
      </c>
      <c r="BC102" s="138">
        <v>41640.0</v>
      </c>
      <c r="BD102" s="138">
        <v>41671.0</v>
      </c>
      <c r="BE102" s="138">
        <v>41699.0</v>
      </c>
      <c r="BF102" s="138">
        <v>41730.0</v>
      </c>
      <c r="BG102" s="138">
        <v>41760.0</v>
      </c>
      <c r="BH102" s="138">
        <v>41791.0</v>
      </c>
      <c r="BI102" s="138">
        <v>41821.0</v>
      </c>
      <c r="BJ102" s="138">
        <v>41852.0</v>
      </c>
      <c r="BK102" s="138">
        <v>41883.0</v>
      </c>
      <c r="BL102" s="138">
        <v>41913.0</v>
      </c>
      <c r="BM102" s="138">
        <v>41944.0</v>
      </c>
      <c r="BN102" s="138">
        <v>41974.0</v>
      </c>
      <c r="BO102" s="138">
        <v>42005.0</v>
      </c>
      <c r="BP102" s="138">
        <v>42036.0</v>
      </c>
      <c r="BQ102" s="138">
        <v>42064.0</v>
      </c>
      <c r="BR102" s="138">
        <v>42095.0</v>
      </c>
      <c r="BS102" s="138">
        <v>42125.0</v>
      </c>
      <c r="BT102" s="138">
        <v>42156.0</v>
      </c>
      <c r="BU102" s="138">
        <v>42186.0</v>
      </c>
      <c r="BV102" s="138">
        <v>42217.0</v>
      </c>
      <c r="BW102" s="138">
        <v>42248.0</v>
      </c>
      <c r="BX102" s="138">
        <v>42278.0</v>
      </c>
      <c r="BY102" s="138">
        <v>42309.0</v>
      </c>
      <c r="BZ102" s="138">
        <v>42339.0</v>
      </c>
      <c r="CA102" s="138">
        <v>42370.0</v>
      </c>
      <c r="CB102" s="138">
        <v>42401.0</v>
      </c>
      <c r="CC102" s="138">
        <v>42430.0</v>
      </c>
      <c r="CD102" s="138">
        <v>42461.0</v>
      </c>
      <c r="CE102" s="138">
        <v>42491.0</v>
      </c>
      <c r="CF102" s="138">
        <v>42522.0</v>
      </c>
      <c r="CG102" s="138">
        <v>42552.0</v>
      </c>
      <c r="CH102" s="138">
        <v>42583.0</v>
      </c>
      <c r="CI102" s="138">
        <v>42614.0</v>
      </c>
      <c r="CJ102" s="138">
        <v>42644.0</v>
      </c>
      <c r="CK102" s="138">
        <v>42675.0</v>
      </c>
      <c r="CL102" s="138">
        <v>42705.0</v>
      </c>
      <c r="CM102" s="138">
        <v>42736.0</v>
      </c>
      <c r="CN102" s="138">
        <v>42767.0</v>
      </c>
      <c r="CO102" s="138">
        <v>42795.0</v>
      </c>
      <c r="CP102" s="138">
        <v>42826.0</v>
      </c>
      <c r="CQ102" s="138">
        <v>42856.0</v>
      </c>
      <c r="CR102" s="138">
        <v>42887.0</v>
      </c>
      <c r="CS102" s="138">
        <v>42917.0</v>
      </c>
      <c r="CT102" s="138">
        <v>42948.0</v>
      </c>
      <c r="CU102" s="138">
        <v>42979.0</v>
      </c>
      <c r="CV102" s="138">
        <v>43009.0</v>
      </c>
      <c r="CW102" s="138">
        <v>43040.0</v>
      </c>
      <c r="CX102" s="138">
        <v>43070.0</v>
      </c>
      <c r="CY102" s="138">
        <v>43101.0</v>
      </c>
      <c r="CZ102" s="138">
        <v>43132.0</v>
      </c>
      <c r="DA102" s="138">
        <v>43160.0</v>
      </c>
      <c r="DB102" s="138">
        <v>43191.0</v>
      </c>
      <c r="DC102" s="138">
        <v>43221.0</v>
      </c>
      <c r="DD102" s="138">
        <v>43252.0</v>
      </c>
      <c r="DE102" s="138">
        <v>43282.0</v>
      </c>
      <c r="DF102" s="138">
        <v>43313.0</v>
      </c>
      <c r="DG102" s="138">
        <v>43344.0</v>
      </c>
      <c r="DH102" s="138">
        <v>43374.0</v>
      </c>
      <c r="DI102" s="138">
        <v>43405.0</v>
      </c>
      <c r="DJ102" s="138">
        <v>43435.0</v>
      </c>
      <c r="DK102" s="138">
        <v>43466.0</v>
      </c>
      <c r="DL102" s="138">
        <v>43497.0</v>
      </c>
      <c r="DM102" s="138">
        <v>43525.0</v>
      </c>
      <c r="DN102" s="138">
        <v>43556.0</v>
      </c>
      <c r="DO102" s="138">
        <v>43586.0</v>
      </c>
      <c r="DP102" s="138">
        <v>43617.0</v>
      </c>
      <c r="DQ102" s="138">
        <v>43647.0</v>
      </c>
      <c r="DR102" s="138">
        <v>43678.0</v>
      </c>
      <c r="DS102" s="138">
        <v>43709.0</v>
      </c>
      <c r="DT102" s="138">
        <v>43739.0</v>
      </c>
      <c r="DU102" s="138">
        <v>43770.0</v>
      </c>
      <c r="DV102" s="138">
        <v>43800.0</v>
      </c>
      <c r="DW102" s="138">
        <v>43831.0</v>
      </c>
      <c r="DX102" s="139">
        <v>43862.0</v>
      </c>
      <c r="DY102" s="139">
        <v>43891.0</v>
      </c>
      <c r="DZ102" s="139">
        <v>43922.0</v>
      </c>
      <c r="EA102" s="139">
        <v>43952.0</v>
      </c>
      <c r="EB102" s="139">
        <v>43983.0</v>
      </c>
      <c r="EC102" s="139">
        <v>44013.0</v>
      </c>
      <c r="ED102" s="139">
        <v>44044.0</v>
      </c>
      <c r="EE102" s="139">
        <v>44075.0</v>
      </c>
      <c r="EF102" s="139">
        <v>44105.0</v>
      </c>
      <c r="EG102" s="139">
        <v>44136.0</v>
      </c>
      <c r="EH102" s="139">
        <v>44166.0</v>
      </c>
      <c r="EI102" s="139">
        <v>44197.0</v>
      </c>
      <c r="EJ102" s="139">
        <v>44228.0</v>
      </c>
      <c r="EK102" s="139">
        <v>44256.0</v>
      </c>
      <c r="EL102" s="139">
        <v>44287.0</v>
      </c>
      <c r="EM102" s="139">
        <v>44317.0</v>
      </c>
      <c r="EN102" s="139">
        <v>44348.0</v>
      </c>
      <c r="EO102" s="139">
        <v>44378.0</v>
      </c>
      <c r="EP102" s="139">
        <v>44409.0</v>
      </c>
      <c r="EQ102" s="139">
        <v>44440.0</v>
      </c>
      <c r="ER102" s="139">
        <v>44470.0</v>
      </c>
      <c r="ES102" s="139">
        <v>44501.0</v>
      </c>
      <c r="ET102" s="139">
        <v>44531.0</v>
      </c>
      <c r="EU102" s="139">
        <v>44562.0</v>
      </c>
      <c r="EV102" s="139">
        <v>44593.0</v>
      </c>
      <c r="EW102" s="139">
        <v>44621.0</v>
      </c>
      <c r="EX102" s="139">
        <v>44652.0</v>
      </c>
      <c r="EY102" s="139">
        <v>44682.0</v>
      </c>
      <c r="EZ102" s="139">
        <v>44713.0</v>
      </c>
      <c r="FA102" s="139">
        <v>44743.0</v>
      </c>
      <c r="FB102" s="139">
        <v>44774.0</v>
      </c>
      <c r="FC102" s="139">
        <v>44805.0</v>
      </c>
      <c r="FD102" s="139">
        <v>44835.0</v>
      </c>
      <c r="FE102" s="139">
        <v>44866.0</v>
      </c>
      <c r="FF102" s="139">
        <v>44896.0</v>
      </c>
      <c r="FG102" s="139">
        <v>44927.0</v>
      </c>
      <c r="FH102" s="139">
        <v>44958.0</v>
      </c>
      <c r="FI102" s="139">
        <v>44986.0</v>
      </c>
      <c r="FJ102" s="139">
        <v>45017.0</v>
      </c>
      <c r="FK102" s="139">
        <v>45047.0</v>
      </c>
      <c r="FL102" s="139">
        <v>45078.0</v>
      </c>
      <c r="FM102" s="139">
        <v>45108.0</v>
      </c>
      <c r="FN102" s="139">
        <v>45139.0</v>
      </c>
      <c r="FO102" s="139">
        <v>45170.0</v>
      </c>
      <c r="FP102" s="139">
        <v>45200.0</v>
      </c>
      <c r="FQ102" s="139">
        <v>45231.0</v>
      </c>
      <c r="FR102" s="139">
        <v>45261.0</v>
      </c>
      <c r="FS102" s="139">
        <v>45292.0</v>
      </c>
      <c r="FT102" s="139">
        <v>45323.0</v>
      </c>
      <c r="FU102" s="139">
        <v>45352.0</v>
      </c>
      <c r="FV102" s="139">
        <v>45383.0</v>
      </c>
      <c r="FW102" s="139">
        <v>45413.0</v>
      </c>
      <c r="FX102" s="139">
        <v>45444.0</v>
      </c>
      <c r="FY102" s="139">
        <v>45474.0</v>
      </c>
      <c r="FZ102" s="139">
        <v>45505.0</v>
      </c>
      <c r="GA102" s="139">
        <v>45536.0</v>
      </c>
      <c r="GB102" s="139">
        <v>45566.0</v>
      </c>
      <c r="GC102" s="139">
        <v>45597.0</v>
      </c>
      <c r="GD102" s="139">
        <v>45627.0</v>
      </c>
      <c r="GE102" s="139">
        <v>45658.0</v>
      </c>
      <c r="GF102" s="139">
        <v>45689.0</v>
      </c>
      <c r="GG102" s="139">
        <v>45717.0</v>
      </c>
      <c r="GH102" s="139">
        <v>45748.0</v>
      </c>
      <c r="GI102" s="139">
        <v>45778.0</v>
      </c>
      <c r="GJ102" s="139">
        <v>45809.0</v>
      </c>
      <c r="GK102" s="139">
        <v>45839.0</v>
      </c>
    </row>
    <row r="103">
      <c r="A103" s="132" t="s">
        <v>34086</v>
      </c>
      <c r="B103" s="133" t="s">
        <v>1174</v>
      </c>
      <c r="C103" s="134">
        <v>43857.45454861111</v>
      </c>
      <c r="D103" s="135" t="str">
        <f t="shared" si="1"/>
        <v>2020/01/27</v>
      </c>
      <c r="E103" s="136" t="s">
        <v>34087</v>
      </c>
      <c r="F103" s="137">
        <v>0.04157</v>
      </c>
      <c r="G103" s="138">
        <v>40179.0</v>
      </c>
      <c r="H103" s="138">
        <v>40210.0</v>
      </c>
      <c r="I103" s="138">
        <v>40238.0</v>
      </c>
      <c r="J103" s="138">
        <v>40269.0</v>
      </c>
      <c r="K103" s="138">
        <v>40299.0</v>
      </c>
      <c r="L103" s="138">
        <v>40330.0</v>
      </c>
      <c r="M103" s="138">
        <v>40360.0</v>
      </c>
      <c r="N103" s="138">
        <v>40391.0</v>
      </c>
      <c r="O103" s="138">
        <v>40422.0</v>
      </c>
      <c r="P103" s="138">
        <v>40452.0</v>
      </c>
      <c r="Q103" s="138">
        <v>40483.0</v>
      </c>
      <c r="R103" s="138">
        <v>40513.0</v>
      </c>
      <c r="S103" s="138">
        <v>40544.0</v>
      </c>
      <c r="T103" s="138">
        <v>40575.0</v>
      </c>
      <c r="U103" s="138">
        <v>40603.0</v>
      </c>
      <c r="V103" s="138">
        <v>40634.0</v>
      </c>
      <c r="W103" s="138">
        <v>40664.0</v>
      </c>
      <c r="X103" s="138">
        <v>40695.0</v>
      </c>
      <c r="Y103" s="138">
        <v>40725.0</v>
      </c>
      <c r="Z103" s="138">
        <v>40756.0</v>
      </c>
      <c r="AA103" s="138">
        <v>40787.0</v>
      </c>
      <c r="AB103" s="138">
        <v>40817.0</v>
      </c>
      <c r="AC103" s="138">
        <v>40848.0</v>
      </c>
      <c r="AD103" s="138">
        <v>40878.0</v>
      </c>
      <c r="AE103" s="138">
        <v>40909.0</v>
      </c>
      <c r="AF103" s="138">
        <v>40940.0</v>
      </c>
      <c r="AG103" s="138">
        <v>40969.0</v>
      </c>
      <c r="AH103" s="138">
        <v>41000.0</v>
      </c>
      <c r="AI103" s="138">
        <v>41030.0</v>
      </c>
      <c r="AJ103" s="138">
        <v>41061.0</v>
      </c>
      <c r="AK103" s="138">
        <v>41091.0</v>
      </c>
      <c r="AL103" s="138">
        <v>41122.0</v>
      </c>
      <c r="AM103" s="138">
        <v>41153.0</v>
      </c>
      <c r="AN103" s="138">
        <v>41183.0</v>
      </c>
      <c r="AO103" s="138">
        <v>41214.0</v>
      </c>
      <c r="AP103" s="138">
        <v>41244.0</v>
      </c>
      <c r="AQ103" s="138">
        <v>41275.0</v>
      </c>
      <c r="AR103" s="138">
        <v>41306.0</v>
      </c>
      <c r="AS103" s="138">
        <v>41334.0</v>
      </c>
      <c r="AT103" s="138">
        <v>41365.0</v>
      </c>
      <c r="AU103" s="138">
        <v>41395.0</v>
      </c>
      <c r="AV103" s="138">
        <v>41426.0</v>
      </c>
      <c r="AW103" s="138">
        <v>41456.0</v>
      </c>
      <c r="AX103" s="138">
        <v>41487.0</v>
      </c>
      <c r="AY103" s="138">
        <v>41518.0</v>
      </c>
      <c r="AZ103" s="138">
        <v>41548.0</v>
      </c>
      <c r="BA103" s="138">
        <v>41579.0</v>
      </c>
      <c r="BB103" s="138">
        <v>41609.0</v>
      </c>
      <c r="BC103" s="138">
        <v>41640.0</v>
      </c>
      <c r="BD103" s="138">
        <v>41671.0</v>
      </c>
      <c r="BE103" s="138">
        <v>41699.0</v>
      </c>
      <c r="BF103" s="138">
        <v>41730.0</v>
      </c>
      <c r="BG103" s="138">
        <v>41760.0</v>
      </c>
      <c r="BH103" s="138">
        <v>41791.0</v>
      </c>
      <c r="BI103" s="138">
        <v>41821.0</v>
      </c>
      <c r="BJ103" s="138">
        <v>41852.0</v>
      </c>
      <c r="BK103" s="138">
        <v>41883.0</v>
      </c>
      <c r="BL103" s="138">
        <v>41913.0</v>
      </c>
      <c r="BM103" s="138">
        <v>41944.0</v>
      </c>
      <c r="BN103" s="138">
        <v>41974.0</v>
      </c>
      <c r="BO103" s="138">
        <v>42005.0</v>
      </c>
      <c r="BP103" s="138">
        <v>42036.0</v>
      </c>
      <c r="BQ103" s="138">
        <v>42064.0</v>
      </c>
      <c r="BR103" s="138">
        <v>42095.0</v>
      </c>
      <c r="BS103" s="138">
        <v>42125.0</v>
      </c>
      <c r="BT103" s="138">
        <v>42156.0</v>
      </c>
      <c r="BU103" s="138">
        <v>42186.0</v>
      </c>
      <c r="BV103" s="138">
        <v>42217.0</v>
      </c>
      <c r="BW103" s="138">
        <v>42248.0</v>
      </c>
      <c r="BX103" s="138">
        <v>42278.0</v>
      </c>
      <c r="BY103" s="138">
        <v>42309.0</v>
      </c>
      <c r="BZ103" s="138">
        <v>42339.0</v>
      </c>
      <c r="CA103" s="138">
        <v>42370.0</v>
      </c>
      <c r="CB103" s="138">
        <v>42401.0</v>
      </c>
      <c r="CC103" s="138">
        <v>42430.0</v>
      </c>
      <c r="CD103" s="138">
        <v>42461.0</v>
      </c>
      <c r="CE103" s="138">
        <v>42491.0</v>
      </c>
      <c r="CF103" s="138">
        <v>42522.0</v>
      </c>
      <c r="CG103" s="138">
        <v>42552.0</v>
      </c>
      <c r="CH103" s="138">
        <v>42583.0</v>
      </c>
      <c r="CI103" s="138">
        <v>42614.0</v>
      </c>
      <c r="CJ103" s="138">
        <v>42644.0</v>
      </c>
      <c r="CK103" s="138">
        <v>42675.0</v>
      </c>
      <c r="CL103" s="138">
        <v>42705.0</v>
      </c>
      <c r="CM103" s="138">
        <v>42736.0</v>
      </c>
      <c r="CN103" s="138">
        <v>42767.0</v>
      </c>
      <c r="CO103" s="138">
        <v>42795.0</v>
      </c>
      <c r="CP103" s="138">
        <v>42826.0</v>
      </c>
      <c r="CQ103" s="138">
        <v>42856.0</v>
      </c>
      <c r="CR103" s="138">
        <v>42887.0</v>
      </c>
      <c r="CS103" s="138">
        <v>42917.0</v>
      </c>
      <c r="CT103" s="138">
        <v>42948.0</v>
      </c>
      <c r="CU103" s="138">
        <v>42979.0</v>
      </c>
      <c r="CV103" s="138">
        <v>43009.0</v>
      </c>
      <c r="CW103" s="138">
        <v>43040.0</v>
      </c>
      <c r="CX103" s="138">
        <v>43070.0</v>
      </c>
      <c r="CY103" s="138">
        <v>43101.0</v>
      </c>
      <c r="CZ103" s="138">
        <v>43132.0</v>
      </c>
      <c r="DA103" s="138">
        <v>43160.0</v>
      </c>
      <c r="DB103" s="138">
        <v>43191.0</v>
      </c>
      <c r="DC103" s="138">
        <v>43221.0</v>
      </c>
      <c r="DD103" s="138">
        <v>43252.0</v>
      </c>
      <c r="DE103" s="138">
        <v>43282.0</v>
      </c>
      <c r="DF103" s="138">
        <v>43313.0</v>
      </c>
      <c r="DG103" s="138">
        <v>43344.0</v>
      </c>
      <c r="DH103" s="138">
        <v>43374.0</v>
      </c>
      <c r="DI103" s="138">
        <v>43405.0</v>
      </c>
      <c r="DJ103" s="138">
        <v>43435.0</v>
      </c>
      <c r="DK103" s="138">
        <v>43466.0</v>
      </c>
      <c r="DL103" s="138">
        <v>43497.0</v>
      </c>
      <c r="DM103" s="138">
        <v>43525.0</v>
      </c>
      <c r="DN103" s="138">
        <v>43556.0</v>
      </c>
      <c r="DO103" s="138">
        <v>43586.0</v>
      </c>
      <c r="DP103" s="138">
        <v>43617.0</v>
      </c>
      <c r="DQ103" s="138">
        <v>43647.0</v>
      </c>
      <c r="DR103" s="138">
        <v>43678.0</v>
      </c>
      <c r="DS103" s="138">
        <v>43709.0</v>
      </c>
      <c r="DT103" s="138">
        <v>43739.0</v>
      </c>
      <c r="DU103" s="138">
        <v>43770.0</v>
      </c>
      <c r="DV103" s="138">
        <v>43800.0</v>
      </c>
      <c r="DW103" s="138">
        <v>43831.0</v>
      </c>
      <c r="DX103" s="139">
        <v>43862.0</v>
      </c>
      <c r="DY103" s="139">
        <v>43891.0</v>
      </c>
      <c r="DZ103" s="139">
        <v>43922.0</v>
      </c>
      <c r="EA103" s="139">
        <v>43952.0</v>
      </c>
      <c r="EB103" s="139">
        <v>43983.0</v>
      </c>
      <c r="EC103" s="139">
        <v>44013.0</v>
      </c>
      <c r="ED103" s="139">
        <v>44044.0</v>
      </c>
      <c r="EE103" s="139">
        <v>44075.0</v>
      </c>
      <c r="EF103" s="139">
        <v>44105.0</v>
      </c>
      <c r="EG103" s="139">
        <v>44136.0</v>
      </c>
      <c r="EH103" s="139">
        <v>44166.0</v>
      </c>
      <c r="EI103" s="139">
        <v>44197.0</v>
      </c>
      <c r="EJ103" s="139">
        <v>44228.0</v>
      </c>
      <c r="EK103" s="139">
        <v>44256.0</v>
      </c>
      <c r="EL103" s="139">
        <v>44287.0</v>
      </c>
      <c r="EM103" s="139">
        <v>44317.0</v>
      </c>
      <c r="EN103" s="139">
        <v>44348.0</v>
      </c>
      <c r="EO103" s="139">
        <v>44378.0</v>
      </c>
      <c r="EP103" s="139">
        <v>44409.0</v>
      </c>
      <c r="EQ103" s="139">
        <v>44440.0</v>
      </c>
      <c r="ER103" s="139">
        <v>44470.0</v>
      </c>
      <c r="ES103" s="139">
        <v>44501.0</v>
      </c>
      <c r="ET103" s="139">
        <v>44531.0</v>
      </c>
      <c r="EU103" s="139">
        <v>44562.0</v>
      </c>
      <c r="EV103" s="139">
        <v>44593.0</v>
      </c>
      <c r="EW103" s="139">
        <v>44621.0</v>
      </c>
      <c r="EX103" s="139">
        <v>44652.0</v>
      </c>
      <c r="EY103" s="139">
        <v>44682.0</v>
      </c>
      <c r="EZ103" s="139">
        <v>44713.0</v>
      </c>
      <c r="FA103" s="139">
        <v>44743.0</v>
      </c>
      <c r="FB103" s="139">
        <v>44774.0</v>
      </c>
      <c r="FC103" s="139">
        <v>44805.0</v>
      </c>
      <c r="FD103" s="139">
        <v>44835.0</v>
      </c>
      <c r="FE103" s="139">
        <v>44866.0</v>
      </c>
      <c r="FF103" s="139">
        <v>44896.0</v>
      </c>
      <c r="FG103" s="139">
        <v>44927.0</v>
      </c>
      <c r="FH103" s="139">
        <v>44958.0</v>
      </c>
      <c r="FI103" s="139">
        <v>44986.0</v>
      </c>
      <c r="FJ103" s="139">
        <v>45017.0</v>
      </c>
      <c r="FK103" s="139">
        <v>45047.0</v>
      </c>
      <c r="FL103" s="139">
        <v>45078.0</v>
      </c>
      <c r="FM103" s="139">
        <v>45108.0</v>
      </c>
      <c r="FN103" s="139">
        <v>45139.0</v>
      </c>
      <c r="FO103" s="139">
        <v>45170.0</v>
      </c>
      <c r="FP103" s="139">
        <v>45200.0</v>
      </c>
      <c r="FQ103" s="139">
        <v>45231.0</v>
      </c>
      <c r="FR103" s="139">
        <v>45261.0</v>
      </c>
      <c r="FS103" s="139">
        <v>45292.0</v>
      </c>
      <c r="FT103" s="139">
        <v>45323.0</v>
      </c>
      <c r="FU103" s="139">
        <v>45352.0</v>
      </c>
      <c r="FV103" s="139">
        <v>45383.0</v>
      </c>
      <c r="FW103" s="139">
        <v>45413.0</v>
      </c>
      <c r="FX103" s="139">
        <v>45444.0</v>
      </c>
      <c r="FY103" s="139">
        <v>45474.0</v>
      </c>
      <c r="FZ103" s="139">
        <v>45505.0</v>
      </c>
      <c r="GA103" s="139">
        <v>45536.0</v>
      </c>
      <c r="GB103" s="139">
        <v>45566.0</v>
      </c>
      <c r="GC103" s="139">
        <v>45597.0</v>
      </c>
      <c r="GD103" s="139">
        <v>45627.0</v>
      </c>
      <c r="GE103" s="139">
        <v>45658.0</v>
      </c>
      <c r="GF103" s="139">
        <v>45689.0</v>
      </c>
      <c r="GG103" s="139">
        <v>45717.0</v>
      </c>
      <c r="GH103" s="139">
        <v>45748.0</v>
      </c>
      <c r="GI103" s="139">
        <v>45778.0</v>
      </c>
      <c r="GJ103" s="139">
        <v>45809.0</v>
      </c>
      <c r="GK103" s="139">
        <v>45839.0</v>
      </c>
    </row>
    <row r="104">
      <c r="A104" s="132" t="s">
        <v>34088</v>
      </c>
      <c r="B104" s="133" t="s">
        <v>1245</v>
      </c>
      <c r="C104" s="134">
        <v>43860.69681712963</v>
      </c>
      <c r="D104" s="135" t="str">
        <f t="shared" si="1"/>
        <v>2020/01/30</v>
      </c>
      <c r="E104" s="136" t="s">
        <v>34089</v>
      </c>
      <c r="F104" s="137">
        <v>0.00211</v>
      </c>
      <c r="G104" s="138">
        <v>40179.0</v>
      </c>
      <c r="H104" s="138">
        <v>40210.0</v>
      </c>
      <c r="I104" s="138">
        <v>40238.0</v>
      </c>
      <c r="J104" s="138">
        <v>40269.0</v>
      </c>
      <c r="K104" s="138">
        <v>40299.0</v>
      </c>
      <c r="L104" s="138">
        <v>40330.0</v>
      </c>
      <c r="M104" s="138">
        <v>40360.0</v>
      </c>
      <c r="N104" s="138">
        <v>40391.0</v>
      </c>
      <c r="O104" s="138">
        <v>40422.0</v>
      </c>
      <c r="P104" s="138">
        <v>40452.0</v>
      </c>
      <c r="Q104" s="138">
        <v>40483.0</v>
      </c>
      <c r="R104" s="138">
        <v>40513.0</v>
      </c>
      <c r="S104" s="138">
        <v>40544.0</v>
      </c>
      <c r="T104" s="138">
        <v>40575.0</v>
      </c>
      <c r="U104" s="138">
        <v>40603.0</v>
      </c>
      <c r="V104" s="138">
        <v>40634.0</v>
      </c>
      <c r="W104" s="138">
        <v>40664.0</v>
      </c>
      <c r="X104" s="138">
        <v>40695.0</v>
      </c>
      <c r="Y104" s="138">
        <v>40725.0</v>
      </c>
      <c r="Z104" s="138">
        <v>40756.0</v>
      </c>
      <c r="AA104" s="138">
        <v>40787.0</v>
      </c>
      <c r="AB104" s="138">
        <v>40817.0</v>
      </c>
      <c r="AC104" s="138">
        <v>40848.0</v>
      </c>
      <c r="AD104" s="138">
        <v>40878.0</v>
      </c>
      <c r="AE104" s="138">
        <v>40909.0</v>
      </c>
      <c r="AF104" s="138">
        <v>40940.0</v>
      </c>
      <c r="AG104" s="138">
        <v>40969.0</v>
      </c>
      <c r="AH104" s="138">
        <v>41000.0</v>
      </c>
      <c r="AI104" s="138">
        <v>41030.0</v>
      </c>
      <c r="AJ104" s="138">
        <v>41061.0</v>
      </c>
      <c r="AK104" s="138">
        <v>41091.0</v>
      </c>
      <c r="AL104" s="138">
        <v>41122.0</v>
      </c>
      <c r="AM104" s="138">
        <v>41153.0</v>
      </c>
      <c r="AN104" s="138">
        <v>41183.0</v>
      </c>
      <c r="AO104" s="138">
        <v>41214.0</v>
      </c>
      <c r="AP104" s="138">
        <v>41244.0</v>
      </c>
      <c r="AQ104" s="138">
        <v>41275.0</v>
      </c>
      <c r="AR104" s="138">
        <v>41306.0</v>
      </c>
      <c r="AS104" s="138">
        <v>41334.0</v>
      </c>
      <c r="AT104" s="138">
        <v>41365.0</v>
      </c>
      <c r="AU104" s="138">
        <v>41395.0</v>
      </c>
      <c r="AV104" s="138">
        <v>41426.0</v>
      </c>
      <c r="AW104" s="138">
        <v>41456.0</v>
      </c>
      <c r="AX104" s="138">
        <v>41487.0</v>
      </c>
      <c r="AY104" s="138">
        <v>41518.0</v>
      </c>
      <c r="AZ104" s="138">
        <v>41548.0</v>
      </c>
      <c r="BA104" s="138">
        <v>41579.0</v>
      </c>
      <c r="BB104" s="138">
        <v>41609.0</v>
      </c>
      <c r="BC104" s="138">
        <v>41640.0</v>
      </c>
      <c r="BD104" s="138">
        <v>41671.0</v>
      </c>
      <c r="BE104" s="138">
        <v>41699.0</v>
      </c>
      <c r="BF104" s="138">
        <v>41730.0</v>
      </c>
      <c r="BG104" s="138">
        <v>41760.0</v>
      </c>
      <c r="BH104" s="138">
        <v>41791.0</v>
      </c>
      <c r="BI104" s="138">
        <v>41821.0</v>
      </c>
      <c r="BJ104" s="138">
        <v>41852.0</v>
      </c>
      <c r="BK104" s="138">
        <v>41883.0</v>
      </c>
      <c r="BL104" s="138">
        <v>41913.0</v>
      </c>
      <c r="BM104" s="138">
        <v>41944.0</v>
      </c>
      <c r="BN104" s="138">
        <v>41974.0</v>
      </c>
      <c r="BO104" s="138">
        <v>42005.0</v>
      </c>
      <c r="BP104" s="138">
        <v>42036.0</v>
      </c>
      <c r="BQ104" s="138">
        <v>42064.0</v>
      </c>
      <c r="BR104" s="138">
        <v>42095.0</v>
      </c>
      <c r="BS104" s="138">
        <v>42125.0</v>
      </c>
      <c r="BT104" s="138">
        <v>42156.0</v>
      </c>
      <c r="BU104" s="138">
        <v>42186.0</v>
      </c>
      <c r="BV104" s="138">
        <v>42217.0</v>
      </c>
      <c r="BW104" s="138">
        <v>42248.0</v>
      </c>
      <c r="BX104" s="138">
        <v>42278.0</v>
      </c>
      <c r="BY104" s="138">
        <v>42309.0</v>
      </c>
      <c r="BZ104" s="138">
        <v>42339.0</v>
      </c>
      <c r="CA104" s="138">
        <v>42370.0</v>
      </c>
      <c r="CB104" s="138">
        <v>42401.0</v>
      </c>
      <c r="CC104" s="138">
        <v>42430.0</v>
      </c>
      <c r="CD104" s="138">
        <v>42461.0</v>
      </c>
      <c r="CE104" s="138">
        <v>42491.0</v>
      </c>
      <c r="CF104" s="138">
        <v>42522.0</v>
      </c>
      <c r="CG104" s="138">
        <v>42552.0</v>
      </c>
      <c r="CH104" s="138">
        <v>42583.0</v>
      </c>
      <c r="CI104" s="138">
        <v>42614.0</v>
      </c>
      <c r="CJ104" s="138">
        <v>42644.0</v>
      </c>
      <c r="CK104" s="138">
        <v>42675.0</v>
      </c>
      <c r="CL104" s="138">
        <v>42705.0</v>
      </c>
      <c r="CM104" s="138">
        <v>42736.0</v>
      </c>
      <c r="CN104" s="138">
        <v>42767.0</v>
      </c>
      <c r="CO104" s="138">
        <v>42795.0</v>
      </c>
      <c r="CP104" s="138">
        <v>42826.0</v>
      </c>
      <c r="CQ104" s="138">
        <v>42856.0</v>
      </c>
      <c r="CR104" s="138">
        <v>42887.0</v>
      </c>
      <c r="CS104" s="138">
        <v>42917.0</v>
      </c>
      <c r="CT104" s="138">
        <v>42948.0</v>
      </c>
      <c r="CU104" s="138">
        <v>42979.0</v>
      </c>
      <c r="CV104" s="138">
        <v>43009.0</v>
      </c>
      <c r="CW104" s="138">
        <v>43040.0</v>
      </c>
      <c r="CX104" s="138">
        <v>43070.0</v>
      </c>
      <c r="CY104" s="138">
        <v>43101.0</v>
      </c>
      <c r="CZ104" s="138">
        <v>43132.0</v>
      </c>
      <c r="DA104" s="138">
        <v>43160.0</v>
      </c>
      <c r="DB104" s="138">
        <v>43191.0</v>
      </c>
      <c r="DC104" s="138">
        <v>43221.0</v>
      </c>
      <c r="DD104" s="138">
        <v>43252.0</v>
      </c>
      <c r="DE104" s="138">
        <v>43282.0</v>
      </c>
      <c r="DF104" s="138">
        <v>43313.0</v>
      </c>
      <c r="DG104" s="138">
        <v>43344.0</v>
      </c>
      <c r="DH104" s="138">
        <v>43374.0</v>
      </c>
      <c r="DI104" s="138">
        <v>43405.0</v>
      </c>
      <c r="DJ104" s="138">
        <v>43435.0</v>
      </c>
      <c r="DK104" s="138">
        <v>43466.0</v>
      </c>
      <c r="DL104" s="138">
        <v>43497.0</v>
      </c>
      <c r="DM104" s="138">
        <v>43525.0</v>
      </c>
      <c r="DN104" s="138">
        <v>43556.0</v>
      </c>
      <c r="DO104" s="138">
        <v>43586.0</v>
      </c>
      <c r="DP104" s="138">
        <v>43617.0</v>
      </c>
      <c r="DQ104" s="138">
        <v>43647.0</v>
      </c>
      <c r="DR104" s="138">
        <v>43678.0</v>
      </c>
      <c r="DS104" s="138">
        <v>43709.0</v>
      </c>
      <c r="DT104" s="138">
        <v>43739.0</v>
      </c>
      <c r="DU104" s="138">
        <v>43770.0</v>
      </c>
      <c r="DV104" s="138">
        <v>43800.0</v>
      </c>
      <c r="DW104" s="138">
        <v>43831.0</v>
      </c>
      <c r="DX104" s="139">
        <v>43862.0</v>
      </c>
      <c r="DY104" s="139">
        <v>43891.0</v>
      </c>
      <c r="DZ104" s="139">
        <v>43922.0</v>
      </c>
      <c r="EA104" s="139">
        <v>43952.0</v>
      </c>
      <c r="EB104" s="139">
        <v>43983.0</v>
      </c>
      <c r="EC104" s="139">
        <v>44013.0</v>
      </c>
      <c r="ED104" s="139">
        <v>44044.0</v>
      </c>
      <c r="EE104" s="139">
        <v>44075.0</v>
      </c>
      <c r="EF104" s="139">
        <v>44105.0</v>
      </c>
      <c r="EG104" s="139">
        <v>44136.0</v>
      </c>
      <c r="EH104" s="139">
        <v>44166.0</v>
      </c>
      <c r="EI104" s="139">
        <v>44197.0</v>
      </c>
      <c r="EJ104" s="139">
        <v>44228.0</v>
      </c>
      <c r="EK104" s="139">
        <v>44256.0</v>
      </c>
      <c r="EL104" s="139">
        <v>44287.0</v>
      </c>
      <c r="EM104" s="139">
        <v>44317.0</v>
      </c>
      <c r="EN104" s="139">
        <v>44348.0</v>
      </c>
      <c r="EO104" s="139">
        <v>44378.0</v>
      </c>
      <c r="EP104" s="139">
        <v>44409.0</v>
      </c>
      <c r="EQ104" s="139">
        <v>44440.0</v>
      </c>
      <c r="ER104" s="139">
        <v>44470.0</v>
      </c>
      <c r="ES104" s="139">
        <v>44501.0</v>
      </c>
      <c r="ET104" s="139">
        <v>44531.0</v>
      </c>
      <c r="EU104" s="139">
        <v>44562.0</v>
      </c>
      <c r="EV104" s="139">
        <v>44593.0</v>
      </c>
      <c r="EW104" s="139">
        <v>44621.0</v>
      </c>
      <c r="EX104" s="139">
        <v>44652.0</v>
      </c>
      <c r="EY104" s="139">
        <v>44682.0</v>
      </c>
      <c r="EZ104" s="139">
        <v>44713.0</v>
      </c>
      <c r="FA104" s="139">
        <v>44743.0</v>
      </c>
      <c r="FB104" s="139">
        <v>44774.0</v>
      </c>
      <c r="FC104" s="139">
        <v>44805.0</v>
      </c>
      <c r="FD104" s="139">
        <v>44835.0</v>
      </c>
      <c r="FE104" s="139">
        <v>44866.0</v>
      </c>
      <c r="FF104" s="139">
        <v>44896.0</v>
      </c>
      <c r="FG104" s="139">
        <v>44927.0</v>
      </c>
      <c r="FH104" s="139">
        <v>44958.0</v>
      </c>
      <c r="FI104" s="139">
        <v>44986.0</v>
      </c>
      <c r="FJ104" s="139">
        <v>45017.0</v>
      </c>
      <c r="FK104" s="139">
        <v>45047.0</v>
      </c>
      <c r="FL104" s="139">
        <v>45078.0</v>
      </c>
      <c r="FM104" s="139">
        <v>45108.0</v>
      </c>
      <c r="FN104" s="139">
        <v>45139.0</v>
      </c>
      <c r="FO104" s="139">
        <v>45170.0</v>
      </c>
      <c r="FP104" s="139">
        <v>45200.0</v>
      </c>
      <c r="FQ104" s="139">
        <v>45231.0</v>
      </c>
      <c r="FR104" s="139">
        <v>45261.0</v>
      </c>
      <c r="FS104" s="139">
        <v>45292.0</v>
      </c>
      <c r="FT104" s="139">
        <v>45323.0</v>
      </c>
      <c r="FU104" s="139">
        <v>45352.0</v>
      </c>
      <c r="FV104" s="139">
        <v>45383.0</v>
      </c>
      <c r="FW104" s="139">
        <v>45413.0</v>
      </c>
      <c r="FX104" s="139">
        <v>45444.0</v>
      </c>
      <c r="FY104" s="139">
        <v>45474.0</v>
      </c>
      <c r="FZ104" s="139">
        <v>45505.0</v>
      </c>
      <c r="GA104" s="139">
        <v>45536.0</v>
      </c>
      <c r="GB104" s="139">
        <v>45566.0</v>
      </c>
      <c r="GC104" s="139">
        <v>45597.0</v>
      </c>
      <c r="GD104" s="139">
        <v>45627.0</v>
      </c>
      <c r="GE104" s="139">
        <v>45658.0</v>
      </c>
      <c r="GF104" s="139">
        <v>45689.0</v>
      </c>
      <c r="GG104" s="139">
        <v>45717.0</v>
      </c>
      <c r="GH104" s="139">
        <v>45748.0</v>
      </c>
      <c r="GI104" s="139">
        <v>45778.0</v>
      </c>
      <c r="GJ104" s="139">
        <v>45809.0</v>
      </c>
      <c r="GK104" s="139">
        <v>45839.0</v>
      </c>
    </row>
    <row r="105">
      <c r="A105" s="132" t="s">
        <v>34090</v>
      </c>
      <c r="B105" s="133" t="s">
        <v>1227</v>
      </c>
      <c r="C105" s="134">
        <v>43866.86707175926</v>
      </c>
      <c r="D105" s="135" t="str">
        <f t="shared" si="1"/>
        <v>2020/02/05</v>
      </c>
      <c r="E105" s="136" t="s">
        <v>34091</v>
      </c>
      <c r="F105" s="137">
        <v>0.00197</v>
      </c>
      <c r="G105" s="138">
        <v>40179.0</v>
      </c>
      <c r="H105" s="138">
        <v>40210.0</v>
      </c>
      <c r="I105" s="138">
        <v>40238.0</v>
      </c>
      <c r="J105" s="138">
        <v>40269.0</v>
      </c>
      <c r="K105" s="138">
        <v>40299.0</v>
      </c>
      <c r="L105" s="138">
        <v>40330.0</v>
      </c>
      <c r="M105" s="138">
        <v>40360.0</v>
      </c>
      <c r="N105" s="138">
        <v>40391.0</v>
      </c>
      <c r="O105" s="138">
        <v>40422.0</v>
      </c>
      <c r="P105" s="138">
        <v>40452.0</v>
      </c>
      <c r="Q105" s="138">
        <v>40483.0</v>
      </c>
      <c r="R105" s="138">
        <v>40513.0</v>
      </c>
      <c r="S105" s="138">
        <v>40544.0</v>
      </c>
      <c r="T105" s="138">
        <v>40575.0</v>
      </c>
      <c r="U105" s="138">
        <v>40603.0</v>
      </c>
      <c r="V105" s="138">
        <v>40634.0</v>
      </c>
      <c r="W105" s="138">
        <v>40664.0</v>
      </c>
      <c r="X105" s="138">
        <v>40695.0</v>
      </c>
      <c r="Y105" s="138">
        <v>40725.0</v>
      </c>
      <c r="Z105" s="138">
        <v>40756.0</v>
      </c>
      <c r="AA105" s="138">
        <v>40787.0</v>
      </c>
      <c r="AB105" s="138">
        <v>40817.0</v>
      </c>
      <c r="AC105" s="138">
        <v>40848.0</v>
      </c>
      <c r="AD105" s="138">
        <v>40878.0</v>
      </c>
      <c r="AE105" s="138">
        <v>40909.0</v>
      </c>
      <c r="AF105" s="138">
        <v>40940.0</v>
      </c>
      <c r="AG105" s="138">
        <v>40969.0</v>
      </c>
      <c r="AH105" s="138">
        <v>41000.0</v>
      </c>
      <c r="AI105" s="138">
        <v>41030.0</v>
      </c>
      <c r="AJ105" s="138">
        <v>41061.0</v>
      </c>
      <c r="AK105" s="138">
        <v>41091.0</v>
      </c>
      <c r="AL105" s="138">
        <v>41122.0</v>
      </c>
      <c r="AM105" s="138">
        <v>41153.0</v>
      </c>
      <c r="AN105" s="138">
        <v>41183.0</v>
      </c>
      <c r="AO105" s="138">
        <v>41214.0</v>
      </c>
      <c r="AP105" s="138">
        <v>41244.0</v>
      </c>
      <c r="AQ105" s="138">
        <v>41275.0</v>
      </c>
      <c r="AR105" s="138">
        <v>41306.0</v>
      </c>
      <c r="AS105" s="138">
        <v>41334.0</v>
      </c>
      <c r="AT105" s="138">
        <v>41365.0</v>
      </c>
      <c r="AU105" s="138">
        <v>41395.0</v>
      </c>
      <c r="AV105" s="138">
        <v>41426.0</v>
      </c>
      <c r="AW105" s="138">
        <v>41456.0</v>
      </c>
      <c r="AX105" s="138">
        <v>41487.0</v>
      </c>
      <c r="AY105" s="138">
        <v>41518.0</v>
      </c>
      <c r="AZ105" s="138">
        <v>41548.0</v>
      </c>
      <c r="BA105" s="138">
        <v>41579.0</v>
      </c>
      <c r="BB105" s="138">
        <v>41609.0</v>
      </c>
      <c r="BC105" s="138">
        <v>41640.0</v>
      </c>
      <c r="BD105" s="138">
        <v>41671.0</v>
      </c>
      <c r="BE105" s="138">
        <v>41699.0</v>
      </c>
      <c r="BF105" s="138">
        <v>41730.0</v>
      </c>
      <c r="BG105" s="138">
        <v>41760.0</v>
      </c>
      <c r="BH105" s="138">
        <v>41791.0</v>
      </c>
      <c r="BI105" s="138">
        <v>41821.0</v>
      </c>
      <c r="BJ105" s="138">
        <v>41852.0</v>
      </c>
      <c r="BK105" s="138">
        <v>41883.0</v>
      </c>
      <c r="BL105" s="138">
        <v>41913.0</v>
      </c>
      <c r="BM105" s="138">
        <v>41944.0</v>
      </c>
      <c r="BN105" s="138">
        <v>41974.0</v>
      </c>
      <c r="BO105" s="138">
        <v>42005.0</v>
      </c>
      <c r="BP105" s="138">
        <v>42036.0</v>
      </c>
      <c r="BQ105" s="138">
        <v>42064.0</v>
      </c>
      <c r="BR105" s="138">
        <v>42095.0</v>
      </c>
      <c r="BS105" s="138">
        <v>42125.0</v>
      </c>
      <c r="BT105" s="138">
        <v>42156.0</v>
      </c>
      <c r="BU105" s="138">
        <v>42186.0</v>
      </c>
      <c r="BV105" s="138">
        <v>42217.0</v>
      </c>
      <c r="BW105" s="138">
        <v>42248.0</v>
      </c>
      <c r="BX105" s="138">
        <v>42278.0</v>
      </c>
      <c r="BY105" s="138">
        <v>42309.0</v>
      </c>
      <c r="BZ105" s="138">
        <v>42339.0</v>
      </c>
      <c r="CA105" s="138">
        <v>42370.0</v>
      </c>
      <c r="CB105" s="138">
        <v>42401.0</v>
      </c>
      <c r="CC105" s="138">
        <v>42430.0</v>
      </c>
      <c r="CD105" s="138">
        <v>42461.0</v>
      </c>
      <c r="CE105" s="138">
        <v>42491.0</v>
      </c>
      <c r="CF105" s="138">
        <v>42522.0</v>
      </c>
      <c r="CG105" s="138">
        <v>42552.0</v>
      </c>
      <c r="CH105" s="138">
        <v>42583.0</v>
      </c>
      <c r="CI105" s="138">
        <v>42614.0</v>
      </c>
      <c r="CJ105" s="138">
        <v>42644.0</v>
      </c>
      <c r="CK105" s="138">
        <v>42675.0</v>
      </c>
      <c r="CL105" s="138">
        <v>42705.0</v>
      </c>
      <c r="CM105" s="138">
        <v>42736.0</v>
      </c>
      <c r="CN105" s="138">
        <v>42767.0</v>
      </c>
      <c r="CO105" s="138">
        <v>42795.0</v>
      </c>
      <c r="CP105" s="138">
        <v>42826.0</v>
      </c>
      <c r="CQ105" s="138">
        <v>42856.0</v>
      </c>
      <c r="CR105" s="138">
        <v>42887.0</v>
      </c>
      <c r="CS105" s="138">
        <v>42917.0</v>
      </c>
      <c r="CT105" s="138">
        <v>42948.0</v>
      </c>
      <c r="CU105" s="138">
        <v>42979.0</v>
      </c>
      <c r="CV105" s="138">
        <v>43009.0</v>
      </c>
      <c r="CW105" s="138">
        <v>43040.0</v>
      </c>
      <c r="CX105" s="138">
        <v>43070.0</v>
      </c>
      <c r="CY105" s="138">
        <v>43101.0</v>
      </c>
      <c r="CZ105" s="138">
        <v>43132.0</v>
      </c>
      <c r="DA105" s="138">
        <v>43160.0</v>
      </c>
      <c r="DB105" s="138">
        <v>43191.0</v>
      </c>
      <c r="DC105" s="138">
        <v>43221.0</v>
      </c>
      <c r="DD105" s="138">
        <v>43252.0</v>
      </c>
      <c r="DE105" s="138">
        <v>43282.0</v>
      </c>
      <c r="DF105" s="138">
        <v>43313.0</v>
      </c>
      <c r="DG105" s="138">
        <v>43344.0</v>
      </c>
      <c r="DH105" s="138">
        <v>43374.0</v>
      </c>
      <c r="DI105" s="138">
        <v>43405.0</v>
      </c>
      <c r="DJ105" s="138">
        <v>43435.0</v>
      </c>
      <c r="DK105" s="138">
        <v>43466.0</v>
      </c>
      <c r="DL105" s="138">
        <v>43497.0</v>
      </c>
      <c r="DM105" s="138">
        <v>43525.0</v>
      </c>
      <c r="DN105" s="138">
        <v>43556.0</v>
      </c>
      <c r="DO105" s="138">
        <v>43586.0</v>
      </c>
      <c r="DP105" s="138">
        <v>43617.0</v>
      </c>
      <c r="DQ105" s="138">
        <v>43647.0</v>
      </c>
      <c r="DR105" s="138">
        <v>43678.0</v>
      </c>
      <c r="DS105" s="138">
        <v>43709.0</v>
      </c>
      <c r="DT105" s="138">
        <v>43739.0</v>
      </c>
      <c r="DU105" s="138">
        <v>43770.0</v>
      </c>
      <c r="DV105" s="138">
        <v>43800.0</v>
      </c>
      <c r="DW105" s="138">
        <v>43831.0</v>
      </c>
      <c r="DX105" s="138">
        <v>43862.0</v>
      </c>
      <c r="DY105" s="139">
        <v>43891.0</v>
      </c>
      <c r="DZ105" s="139">
        <v>43922.0</v>
      </c>
      <c r="EA105" s="139">
        <v>43952.0</v>
      </c>
      <c r="EB105" s="139">
        <v>43983.0</v>
      </c>
      <c r="EC105" s="139">
        <v>44013.0</v>
      </c>
      <c r="ED105" s="139">
        <v>44044.0</v>
      </c>
      <c r="EE105" s="139">
        <v>44075.0</v>
      </c>
      <c r="EF105" s="139">
        <v>44105.0</v>
      </c>
      <c r="EG105" s="139">
        <v>44136.0</v>
      </c>
      <c r="EH105" s="139">
        <v>44166.0</v>
      </c>
      <c r="EI105" s="139">
        <v>44197.0</v>
      </c>
      <c r="EJ105" s="139">
        <v>44228.0</v>
      </c>
      <c r="EK105" s="139">
        <v>44256.0</v>
      </c>
      <c r="EL105" s="139">
        <v>44287.0</v>
      </c>
      <c r="EM105" s="139">
        <v>44317.0</v>
      </c>
      <c r="EN105" s="139">
        <v>44348.0</v>
      </c>
      <c r="EO105" s="139">
        <v>44378.0</v>
      </c>
      <c r="EP105" s="139">
        <v>44409.0</v>
      </c>
      <c r="EQ105" s="139">
        <v>44440.0</v>
      </c>
      <c r="ER105" s="139">
        <v>44470.0</v>
      </c>
      <c r="ES105" s="139">
        <v>44501.0</v>
      </c>
      <c r="ET105" s="139">
        <v>44531.0</v>
      </c>
      <c r="EU105" s="139">
        <v>44562.0</v>
      </c>
      <c r="EV105" s="139">
        <v>44593.0</v>
      </c>
      <c r="EW105" s="139">
        <v>44621.0</v>
      </c>
      <c r="EX105" s="139">
        <v>44652.0</v>
      </c>
      <c r="EY105" s="139">
        <v>44682.0</v>
      </c>
      <c r="EZ105" s="139">
        <v>44713.0</v>
      </c>
      <c r="FA105" s="139">
        <v>44743.0</v>
      </c>
      <c r="FB105" s="139">
        <v>44774.0</v>
      </c>
      <c r="FC105" s="139">
        <v>44805.0</v>
      </c>
      <c r="FD105" s="139">
        <v>44835.0</v>
      </c>
      <c r="FE105" s="139">
        <v>44866.0</v>
      </c>
      <c r="FF105" s="139">
        <v>44896.0</v>
      </c>
      <c r="FG105" s="139">
        <v>44927.0</v>
      </c>
      <c r="FH105" s="139">
        <v>44958.0</v>
      </c>
      <c r="FI105" s="139">
        <v>44986.0</v>
      </c>
      <c r="FJ105" s="139">
        <v>45017.0</v>
      </c>
      <c r="FK105" s="139">
        <v>45047.0</v>
      </c>
      <c r="FL105" s="139">
        <v>45078.0</v>
      </c>
      <c r="FM105" s="139">
        <v>45108.0</v>
      </c>
      <c r="FN105" s="139">
        <v>45139.0</v>
      </c>
      <c r="FO105" s="139">
        <v>45170.0</v>
      </c>
      <c r="FP105" s="139">
        <v>45200.0</v>
      </c>
      <c r="FQ105" s="139">
        <v>45231.0</v>
      </c>
      <c r="FR105" s="139">
        <v>45261.0</v>
      </c>
      <c r="FS105" s="139">
        <v>45292.0</v>
      </c>
      <c r="FT105" s="139">
        <v>45323.0</v>
      </c>
      <c r="FU105" s="139">
        <v>45352.0</v>
      </c>
      <c r="FV105" s="139">
        <v>45383.0</v>
      </c>
      <c r="FW105" s="139">
        <v>45413.0</v>
      </c>
      <c r="FX105" s="139">
        <v>45444.0</v>
      </c>
      <c r="FY105" s="139">
        <v>45474.0</v>
      </c>
      <c r="FZ105" s="139">
        <v>45505.0</v>
      </c>
      <c r="GA105" s="139">
        <v>45536.0</v>
      </c>
      <c r="GB105" s="139">
        <v>45566.0</v>
      </c>
      <c r="GC105" s="139">
        <v>45597.0</v>
      </c>
      <c r="GD105" s="139">
        <v>45627.0</v>
      </c>
      <c r="GE105" s="139">
        <v>45658.0</v>
      </c>
      <c r="GF105" s="139">
        <v>45689.0</v>
      </c>
      <c r="GG105" s="139">
        <v>45717.0</v>
      </c>
      <c r="GH105" s="139">
        <v>45748.0</v>
      </c>
      <c r="GI105" s="139">
        <v>45778.0</v>
      </c>
      <c r="GJ105" s="139">
        <v>45809.0</v>
      </c>
      <c r="GK105" s="139">
        <v>45839.0</v>
      </c>
    </row>
    <row r="106">
      <c r="A106" s="132" t="s">
        <v>34092</v>
      </c>
      <c r="B106" s="133" t="s">
        <v>1161</v>
      </c>
      <c r="C106" s="134">
        <v>43881.71673611111</v>
      </c>
      <c r="D106" s="135" t="str">
        <f t="shared" si="1"/>
        <v>2020/02/20</v>
      </c>
      <c r="E106" s="136" t="s">
        <v>34093</v>
      </c>
      <c r="F106" s="137">
        <v>0.01376</v>
      </c>
      <c r="G106" s="138">
        <v>40179.0</v>
      </c>
      <c r="H106" s="138">
        <v>40210.0</v>
      </c>
      <c r="I106" s="138">
        <v>40238.0</v>
      </c>
      <c r="J106" s="138">
        <v>40269.0</v>
      </c>
      <c r="K106" s="138">
        <v>40299.0</v>
      </c>
      <c r="L106" s="138">
        <v>40330.0</v>
      </c>
      <c r="M106" s="138">
        <v>40360.0</v>
      </c>
      <c r="N106" s="138">
        <v>40391.0</v>
      </c>
      <c r="O106" s="138">
        <v>40422.0</v>
      </c>
      <c r="P106" s="138">
        <v>40452.0</v>
      </c>
      <c r="Q106" s="138">
        <v>40483.0</v>
      </c>
      <c r="R106" s="138">
        <v>40513.0</v>
      </c>
      <c r="S106" s="138">
        <v>40544.0</v>
      </c>
      <c r="T106" s="138">
        <v>40575.0</v>
      </c>
      <c r="U106" s="138">
        <v>40603.0</v>
      </c>
      <c r="V106" s="138">
        <v>40634.0</v>
      </c>
      <c r="W106" s="138">
        <v>40664.0</v>
      </c>
      <c r="X106" s="138">
        <v>40695.0</v>
      </c>
      <c r="Y106" s="138">
        <v>40725.0</v>
      </c>
      <c r="Z106" s="138">
        <v>40756.0</v>
      </c>
      <c r="AA106" s="138">
        <v>40787.0</v>
      </c>
      <c r="AB106" s="138">
        <v>40817.0</v>
      </c>
      <c r="AC106" s="138">
        <v>40848.0</v>
      </c>
      <c r="AD106" s="138">
        <v>40878.0</v>
      </c>
      <c r="AE106" s="138">
        <v>40909.0</v>
      </c>
      <c r="AF106" s="138">
        <v>40940.0</v>
      </c>
      <c r="AG106" s="138">
        <v>40969.0</v>
      </c>
      <c r="AH106" s="138">
        <v>41000.0</v>
      </c>
      <c r="AI106" s="138">
        <v>41030.0</v>
      </c>
      <c r="AJ106" s="138">
        <v>41061.0</v>
      </c>
      <c r="AK106" s="138">
        <v>41091.0</v>
      </c>
      <c r="AL106" s="138">
        <v>41122.0</v>
      </c>
      <c r="AM106" s="138">
        <v>41153.0</v>
      </c>
      <c r="AN106" s="138">
        <v>41183.0</v>
      </c>
      <c r="AO106" s="138">
        <v>41214.0</v>
      </c>
      <c r="AP106" s="138">
        <v>41244.0</v>
      </c>
      <c r="AQ106" s="138">
        <v>41275.0</v>
      </c>
      <c r="AR106" s="138">
        <v>41306.0</v>
      </c>
      <c r="AS106" s="138">
        <v>41334.0</v>
      </c>
      <c r="AT106" s="138">
        <v>41365.0</v>
      </c>
      <c r="AU106" s="138">
        <v>41395.0</v>
      </c>
      <c r="AV106" s="138">
        <v>41426.0</v>
      </c>
      <c r="AW106" s="138">
        <v>41456.0</v>
      </c>
      <c r="AX106" s="138">
        <v>41487.0</v>
      </c>
      <c r="AY106" s="138">
        <v>41518.0</v>
      </c>
      <c r="AZ106" s="138">
        <v>41548.0</v>
      </c>
      <c r="BA106" s="138">
        <v>41579.0</v>
      </c>
      <c r="BB106" s="138">
        <v>41609.0</v>
      </c>
      <c r="BC106" s="138">
        <v>41640.0</v>
      </c>
      <c r="BD106" s="138">
        <v>41671.0</v>
      </c>
      <c r="BE106" s="138">
        <v>41699.0</v>
      </c>
      <c r="BF106" s="138">
        <v>41730.0</v>
      </c>
      <c r="BG106" s="138">
        <v>41760.0</v>
      </c>
      <c r="BH106" s="138">
        <v>41791.0</v>
      </c>
      <c r="BI106" s="138">
        <v>41821.0</v>
      </c>
      <c r="BJ106" s="138">
        <v>41852.0</v>
      </c>
      <c r="BK106" s="138">
        <v>41883.0</v>
      </c>
      <c r="BL106" s="138">
        <v>41913.0</v>
      </c>
      <c r="BM106" s="138">
        <v>41944.0</v>
      </c>
      <c r="BN106" s="138">
        <v>41974.0</v>
      </c>
      <c r="BO106" s="138">
        <v>42005.0</v>
      </c>
      <c r="BP106" s="138">
        <v>42036.0</v>
      </c>
      <c r="BQ106" s="138">
        <v>42064.0</v>
      </c>
      <c r="BR106" s="138">
        <v>42095.0</v>
      </c>
      <c r="BS106" s="138">
        <v>42125.0</v>
      </c>
      <c r="BT106" s="138">
        <v>42156.0</v>
      </c>
      <c r="BU106" s="138">
        <v>42186.0</v>
      </c>
      <c r="BV106" s="138">
        <v>42217.0</v>
      </c>
      <c r="BW106" s="138">
        <v>42248.0</v>
      </c>
      <c r="BX106" s="138">
        <v>42278.0</v>
      </c>
      <c r="BY106" s="138">
        <v>42309.0</v>
      </c>
      <c r="BZ106" s="138">
        <v>42339.0</v>
      </c>
      <c r="CA106" s="138">
        <v>42370.0</v>
      </c>
      <c r="CB106" s="138">
        <v>42401.0</v>
      </c>
      <c r="CC106" s="138">
        <v>42430.0</v>
      </c>
      <c r="CD106" s="138">
        <v>42461.0</v>
      </c>
      <c r="CE106" s="138">
        <v>42491.0</v>
      </c>
      <c r="CF106" s="138">
        <v>42522.0</v>
      </c>
      <c r="CG106" s="138">
        <v>42552.0</v>
      </c>
      <c r="CH106" s="138">
        <v>42583.0</v>
      </c>
      <c r="CI106" s="138">
        <v>42614.0</v>
      </c>
      <c r="CJ106" s="138">
        <v>42644.0</v>
      </c>
      <c r="CK106" s="138">
        <v>42675.0</v>
      </c>
      <c r="CL106" s="138">
        <v>42705.0</v>
      </c>
      <c r="CM106" s="138">
        <v>42736.0</v>
      </c>
      <c r="CN106" s="138">
        <v>42767.0</v>
      </c>
      <c r="CO106" s="138">
        <v>42795.0</v>
      </c>
      <c r="CP106" s="138">
        <v>42826.0</v>
      </c>
      <c r="CQ106" s="138">
        <v>42856.0</v>
      </c>
      <c r="CR106" s="138">
        <v>42887.0</v>
      </c>
      <c r="CS106" s="138">
        <v>42917.0</v>
      </c>
      <c r="CT106" s="138">
        <v>42948.0</v>
      </c>
      <c r="CU106" s="138">
        <v>42979.0</v>
      </c>
      <c r="CV106" s="138">
        <v>43009.0</v>
      </c>
      <c r="CW106" s="138">
        <v>43040.0</v>
      </c>
      <c r="CX106" s="138">
        <v>43070.0</v>
      </c>
      <c r="CY106" s="138">
        <v>43101.0</v>
      </c>
      <c r="CZ106" s="138">
        <v>43132.0</v>
      </c>
      <c r="DA106" s="138">
        <v>43160.0</v>
      </c>
      <c r="DB106" s="138">
        <v>43191.0</v>
      </c>
      <c r="DC106" s="138">
        <v>43221.0</v>
      </c>
      <c r="DD106" s="138">
        <v>43252.0</v>
      </c>
      <c r="DE106" s="138">
        <v>43282.0</v>
      </c>
      <c r="DF106" s="138">
        <v>43313.0</v>
      </c>
      <c r="DG106" s="138">
        <v>43344.0</v>
      </c>
      <c r="DH106" s="138">
        <v>43374.0</v>
      </c>
      <c r="DI106" s="138">
        <v>43405.0</v>
      </c>
      <c r="DJ106" s="138">
        <v>43435.0</v>
      </c>
      <c r="DK106" s="138">
        <v>43466.0</v>
      </c>
      <c r="DL106" s="138">
        <v>43497.0</v>
      </c>
      <c r="DM106" s="138">
        <v>43525.0</v>
      </c>
      <c r="DN106" s="138">
        <v>43556.0</v>
      </c>
      <c r="DO106" s="138">
        <v>43586.0</v>
      </c>
      <c r="DP106" s="138">
        <v>43617.0</v>
      </c>
      <c r="DQ106" s="138">
        <v>43647.0</v>
      </c>
      <c r="DR106" s="138">
        <v>43678.0</v>
      </c>
      <c r="DS106" s="138">
        <v>43709.0</v>
      </c>
      <c r="DT106" s="138">
        <v>43739.0</v>
      </c>
      <c r="DU106" s="138">
        <v>43770.0</v>
      </c>
      <c r="DV106" s="138">
        <v>43800.0</v>
      </c>
      <c r="DW106" s="138">
        <v>43831.0</v>
      </c>
      <c r="DX106" s="138">
        <v>43862.0</v>
      </c>
      <c r="DY106" s="139">
        <v>43891.0</v>
      </c>
      <c r="DZ106" s="139">
        <v>43922.0</v>
      </c>
      <c r="EA106" s="139">
        <v>43952.0</v>
      </c>
      <c r="EB106" s="139">
        <v>43983.0</v>
      </c>
      <c r="EC106" s="139">
        <v>44013.0</v>
      </c>
      <c r="ED106" s="139">
        <v>44044.0</v>
      </c>
      <c r="EE106" s="139">
        <v>44075.0</v>
      </c>
      <c r="EF106" s="139">
        <v>44105.0</v>
      </c>
      <c r="EG106" s="139">
        <v>44136.0</v>
      </c>
      <c r="EH106" s="139">
        <v>44166.0</v>
      </c>
      <c r="EI106" s="139">
        <v>44197.0</v>
      </c>
      <c r="EJ106" s="139">
        <v>44228.0</v>
      </c>
      <c r="EK106" s="139">
        <v>44256.0</v>
      </c>
      <c r="EL106" s="139">
        <v>44287.0</v>
      </c>
      <c r="EM106" s="139">
        <v>44317.0</v>
      </c>
      <c r="EN106" s="139">
        <v>44348.0</v>
      </c>
      <c r="EO106" s="139">
        <v>44378.0</v>
      </c>
      <c r="EP106" s="139">
        <v>44409.0</v>
      </c>
      <c r="EQ106" s="139">
        <v>44440.0</v>
      </c>
      <c r="ER106" s="139">
        <v>44470.0</v>
      </c>
      <c r="ES106" s="139">
        <v>44501.0</v>
      </c>
      <c r="ET106" s="139">
        <v>44531.0</v>
      </c>
      <c r="EU106" s="139">
        <v>44562.0</v>
      </c>
      <c r="EV106" s="139">
        <v>44593.0</v>
      </c>
      <c r="EW106" s="139">
        <v>44621.0</v>
      </c>
      <c r="EX106" s="139">
        <v>44652.0</v>
      </c>
      <c r="EY106" s="139">
        <v>44682.0</v>
      </c>
      <c r="EZ106" s="139">
        <v>44713.0</v>
      </c>
      <c r="FA106" s="139">
        <v>44743.0</v>
      </c>
      <c r="FB106" s="139">
        <v>44774.0</v>
      </c>
      <c r="FC106" s="139">
        <v>44805.0</v>
      </c>
      <c r="FD106" s="139">
        <v>44835.0</v>
      </c>
      <c r="FE106" s="139">
        <v>44866.0</v>
      </c>
      <c r="FF106" s="139">
        <v>44896.0</v>
      </c>
      <c r="FG106" s="139">
        <v>44927.0</v>
      </c>
      <c r="FH106" s="139">
        <v>44958.0</v>
      </c>
      <c r="FI106" s="139">
        <v>44986.0</v>
      </c>
      <c r="FJ106" s="139">
        <v>45017.0</v>
      </c>
      <c r="FK106" s="139">
        <v>45047.0</v>
      </c>
      <c r="FL106" s="139">
        <v>45078.0</v>
      </c>
      <c r="FM106" s="139">
        <v>45108.0</v>
      </c>
      <c r="FN106" s="139">
        <v>45139.0</v>
      </c>
      <c r="FO106" s="139">
        <v>45170.0</v>
      </c>
      <c r="FP106" s="139">
        <v>45200.0</v>
      </c>
      <c r="FQ106" s="139">
        <v>45231.0</v>
      </c>
      <c r="FR106" s="139">
        <v>45261.0</v>
      </c>
      <c r="FS106" s="139">
        <v>45292.0</v>
      </c>
      <c r="FT106" s="139">
        <v>45323.0</v>
      </c>
      <c r="FU106" s="139">
        <v>45352.0</v>
      </c>
      <c r="FV106" s="139">
        <v>45383.0</v>
      </c>
      <c r="FW106" s="139">
        <v>45413.0</v>
      </c>
      <c r="FX106" s="139">
        <v>45444.0</v>
      </c>
      <c r="FY106" s="139">
        <v>45474.0</v>
      </c>
      <c r="FZ106" s="139">
        <v>45505.0</v>
      </c>
      <c r="GA106" s="139">
        <v>45536.0</v>
      </c>
      <c r="GB106" s="139">
        <v>45566.0</v>
      </c>
      <c r="GC106" s="139">
        <v>45597.0</v>
      </c>
      <c r="GD106" s="139">
        <v>45627.0</v>
      </c>
      <c r="GE106" s="139">
        <v>45658.0</v>
      </c>
      <c r="GF106" s="139">
        <v>45689.0</v>
      </c>
      <c r="GG106" s="139">
        <v>45717.0</v>
      </c>
      <c r="GH106" s="139">
        <v>45748.0</v>
      </c>
      <c r="GI106" s="139">
        <v>45778.0</v>
      </c>
      <c r="GJ106" s="139">
        <v>45809.0</v>
      </c>
      <c r="GK106" s="139">
        <v>45839.0</v>
      </c>
    </row>
    <row r="107">
      <c r="A107" s="132" t="s">
        <v>34094</v>
      </c>
      <c r="B107" s="133" t="s">
        <v>1184</v>
      </c>
      <c r="C107" s="134">
        <v>43886.70576388889</v>
      </c>
      <c r="D107" s="135" t="str">
        <f t="shared" si="1"/>
        <v>2020/02/25</v>
      </c>
      <c r="E107" s="136" t="s">
        <v>34095</v>
      </c>
      <c r="F107" s="137">
        <v>5.0E-5</v>
      </c>
      <c r="G107" s="138">
        <v>40179.0</v>
      </c>
      <c r="H107" s="138">
        <v>40210.0</v>
      </c>
      <c r="I107" s="138">
        <v>40238.0</v>
      </c>
      <c r="J107" s="138">
        <v>40269.0</v>
      </c>
      <c r="K107" s="138">
        <v>40299.0</v>
      </c>
      <c r="L107" s="138">
        <v>40330.0</v>
      </c>
      <c r="M107" s="138">
        <v>40360.0</v>
      </c>
      <c r="N107" s="138">
        <v>40391.0</v>
      </c>
      <c r="O107" s="138">
        <v>40422.0</v>
      </c>
      <c r="P107" s="138">
        <v>40452.0</v>
      </c>
      <c r="Q107" s="138">
        <v>40483.0</v>
      </c>
      <c r="R107" s="138">
        <v>40513.0</v>
      </c>
      <c r="S107" s="138">
        <v>40544.0</v>
      </c>
      <c r="T107" s="138">
        <v>40575.0</v>
      </c>
      <c r="U107" s="138">
        <v>40603.0</v>
      </c>
      <c r="V107" s="138">
        <v>40634.0</v>
      </c>
      <c r="W107" s="138">
        <v>40664.0</v>
      </c>
      <c r="X107" s="138">
        <v>40695.0</v>
      </c>
      <c r="Y107" s="138">
        <v>40725.0</v>
      </c>
      <c r="Z107" s="138">
        <v>40756.0</v>
      </c>
      <c r="AA107" s="138">
        <v>40787.0</v>
      </c>
      <c r="AB107" s="138">
        <v>40817.0</v>
      </c>
      <c r="AC107" s="138">
        <v>40848.0</v>
      </c>
      <c r="AD107" s="138">
        <v>40878.0</v>
      </c>
      <c r="AE107" s="138">
        <v>40909.0</v>
      </c>
      <c r="AF107" s="138">
        <v>40940.0</v>
      </c>
      <c r="AG107" s="138">
        <v>40969.0</v>
      </c>
      <c r="AH107" s="138">
        <v>41000.0</v>
      </c>
      <c r="AI107" s="138">
        <v>41030.0</v>
      </c>
      <c r="AJ107" s="138">
        <v>41061.0</v>
      </c>
      <c r="AK107" s="138">
        <v>41091.0</v>
      </c>
      <c r="AL107" s="138">
        <v>41122.0</v>
      </c>
      <c r="AM107" s="138">
        <v>41153.0</v>
      </c>
      <c r="AN107" s="138">
        <v>41183.0</v>
      </c>
      <c r="AO107" s="138">
        <v>41214.0</v>
      </c>
      <c r="AP107" s="138">
        <v>41244.0</v>
      </c>
      <c r="AQ107" s="138">
        <v>41275.0</v>
      </c>
      <c r="AR107" s="138">
        <v>41306.0</v>
      </c>
      <c r="AS107" s="138">
        <v>41334.0</v>
      </c>
      <c r="AT107" s="138">
        <v>41365.0</v>
      </c>
      <c r="AU107" s="138">
        <v>41395.0</v>
      </c>
      <c r="AV107" s="138">
        <v>41426.0</v>
      </c>
      <c r="AW107" s="138">
        <v>41456.0</v>
      </c>
      <c r="AX107" s="138">
        <v>41487.0</v>
      </c>
      <c r="AY107" s="138">
        <v>41518.0</v>
      </c>
      <c r="AZ107" s="138">
        <v>41548.0</v>
      </c>
      <c r="BA107" s="138">
        <v>41579.0</v>
      </c>
      <c r="BB107" s="138">
        <v>41609.0</v>
      </c>
      <c r="BC107" s="138">
        <v>41640.0</v>
      </c>
      <c r="BD107" s="138">
        <v>41671.0</v>
      </c>
      <c r="BE107" s="138">
        <v>41699.0</v>
      </c>
      <c r="BF107" s="138">
        <v>41730.0</v>
      </c>
      <c r="BG107" s="138">
        <v>41760.0</v>
      </c>
      <c r="BH107" s="138">
        <v>41791.0</v>
      </c>
      <c r="BI107" s="138">
        <v>41821.0</v>
      </c>
      <c r="BJ107" s="138">
        <v>41852.0</v>
      </c>
      <c r="BK107" s="138">
        <v>41883.0</v>
      </c>
      <c r="BL107" s="138">
        <v>41913.0</v>
      </c>
      <c r="BM107" s="138">
        <v>41944.0</v>
      </c>
      <c r="BN107" s="138">
        <v>41974.0</v>
      </c>
      <c r="BO107" s="138">
        <v>42005.0</v>
      </c>
      <c r="BP107" s="138">
        <v>42036.0</v>
      </c>
      <c r="BQ107" s="138">
        <v>42064.0</v>
      </c>
      <c r="BR107" s="138">
        <v>42095.0</v>
      </c>
      <c r="BS107" s="138">
        <v>42125.0</v>
      </c>
      <c r="BT107" s="138">
        <v>42156.0</v>
      </c>
      <c r="BU107" s="138">
        <v>42186.0</v>
      </c>
      <c r="BV107" s="138">
        <v>42217.0</v>
      </c>
      <c r="BW107" s="138">
        <v>42248.0</v>
      </c>
      <c r="BX107" s="138">
        <v>42278.0</v>
      </c>
      <c r="BY107" s="138">
        <v>42309.0</v>
      </c>
      <c r="BZ107" s="138">
        <v>42339.0</v>
      </c>
      <c r="CA107" s="138">
        <v>42370.0</v>
      </c>
      <c r="CB107" s="138">
        <v>42401.0</v>
      </c>
      <c r="CC107" s="138">
        <v>42430.0</v>
      </c>
      <c r="CD107" s="138">
        <v>42461.0</v>
      </c>
      <c r="CE107" s="138">
        <v>42491.0</v>
      </c>
      <c r="CF107" s="138">
        <v>42522.0</v>
      </c>
      <c r="CG107" s="138">
        <v>42552.0</v>
      </c>
      <c r="CH107" s="138">
        <v>42583.0</v>
      </c>
      <c r="CI107" s="138">
        <v>42614.0</v>
      </c>
      <c r="CJ107" s="138">
        <v>42644.0</v>
      </c>
      <c r="CK107" s="138">
        <v>42675.0</v>
      </c>
      <c r="CL107" s="138">
        <v>42705.0</v>
      </c>
      <c r="CM107" s="138">
        <v>42736.0</v>
      </c>
      <c r="CN107" s="138">
        <v>42767.0</v>
      </c>
      <c r="CO107" s="138">
        <v>42795.0</v>
      </c>
      <c r="CP107" s="138">
        <v>42826.0</v>
      </c>
      <c r="CQ107" s="138">
        <v>42856.0</v>
      </c>
      <c r="CR107" s="138">
        <v>42887.0</v>
      </c>
      <c r="CS107" s="138">
        <v>42917.0</v>
      </c>
      <c r="CT107" s="138">
        <v>42948.0</v>
      </c>
      <c r="CU107" s="138">
        <v>42979.0</v>
      </c>
      <c r="CV107" s="138">
        <v>43009.0</v>
      </c>
      <c r="CW107" s="138">
        <v>43040.0</v>
      </c>
      <c r="CX107" s="138">
        <v>43070.0</v>
      </c>
      <c r="CY107" s="138">
        <v>43101.0</v>
      </c>
      <c r="CZ107" s="138">
        <v>43132.0</v>
      </c>
      <c r="DA107" s="138">
        <v>43160.0</v>
      </c>
      <c r="DB107" s="138">
        <v>43191.0</v>
      </c>
      <c r="DC107" s="138">
        <v>43221.0</v>
      </c>
      <c r="DD107" s="138">
        <v>43252.0</v>
      </c>
      <c r="DE107" s="138">
        <v>43282.0</v>
      </c>
      <c r="DF107" s="138">
        <v>43313.0</v>
      </c>
      <c r="DG107" s="138">
        <v>43344.0</v>
      </c>
      <c r="DH107" s="138">
        <v>43374.0</v>
      </c>
      <c r="DI107" s="138">
        <v>43405.0</v>
      </c>
      <c r="DJ107" s="138">
        <v>43435.0</v>
      </c>
      <c r="DK107" s="138">
        <v>43466.0</v>
      </c>
      <c r="DL107" s="138">
        <v>43497.0</v>
      </c>
      <c r="DM107" s="138">
        <v>43525.0</v>
      </c>
      <c r="DN107" s="138">
        <v>43556.0</v>
      </c>
      <c r="DO107" s="138">
        <v>43586.0</v>
      </c>
      <c r="DP107" s="138">
        <v>43617.0</v>
      </c>
      <c r="DQ107" s="138">
        <v>43647.0</v>
      </c>
      <c r="DR107" s="138">
        <v>43678.0</v>
      </c>
      <c r="DS107" s="138">
        <v>43709.0</v>
      </c>
      <c r="DT107" s="138">
        <v>43739.0</v>
      </c>
      <c r="DU107" s="138">
        <v>43770.0</v>
      </c>
      <c r="DV107" s="138">
        <v>43800.0</v>
      </c>
      <c r="DW107" s="138">
        <v>43831.0</v>
      </c>
      <c r="DX107" s="138">
        <v>43862.0</v>
      </c>
      <c r="DY107" s="139">
        <v>43891.0</v>
      </c>
      <c r="DZ107" s="139">
        <v>43922.0</v>
      </c>
      <c r="EA107" s="139">
        <v>43952.0</v>
      </c>
      <c r="EB107" s="139">
        <v>43983.0</v>
      </c>
      <c r="EC107" s="139">
        <v>44013.0</v>
      </c>
      <c r="ED107" s="139">
        <v>44044.0</v>
      </c>
      <c r="EE107" s="139">
        <v>44075.0</v>
      </c>
      <c r="EF107" s="139">
        <v>44105.0</v>
      </c>
      <c r="EG107" s="139">
        <v>44136.0</v>
      </c>
      <c r="EH107" s="139">
        <v>44166.0</v>
      </c>
      <c r="EI107" s="139">
        <v>44197.0</v>
      </c>
      <c r="EJ107" s="139">
        <v>44228.0</v>
      </c>
      <c r="EK107" s="139">
        <v>44256.0</v>
      </c>
      <c r="EL107" s="139">
        <v>44287.0</v>
      </c>
      <c r="EM107" s="139">
        <v>44317.0</v>
      </c>
      <c r="EN107" s="139">
        <v>44348.0</v>
      </c>
      <c r="EO107" s="139">
        <v>44378.0</v>
      </c>
      <c r="EP107" s="139">
        <v>44409.0</v>
      </c>
      <c r="EQ107" s="139">
        <v>44440.0</v>
      </c>
      <c r="ER107" s="139">
        <v>44470.0</v>
      </c>
      <c r="ES107" s="139">
        <v>44501.0</v>
      </c>
      <c r="ET107" s="139">
        <v>44531.0</v>
      </c>
      <c r="EU107" s="139">
        <v>44562.0</v>
      </c>
      <c r="EV107" s="139">
        <v>44593.0</v>
      </c>
      <c r="EW107" s="139">
        <v>44621.0</v>
      </c>
      <c r="EX107" s="139">
        <v>44652.0</v>
      </c>
      <c r="EY107" s="139">
        <v>44682.0</v>
      </c>
      <c r="EZ107" s="139">
        <v>44713.0</v>
      </c>
      <c r="FA107" s="139">
        <v>44743.0</v>
      </c>
      <c r="FB107" s="139">
        <v>44774.0</v>
      </c>
      <c r="FC107" s="139">
        <v>44805.0</v>
      </c>
      <c r="FD107" s="139">
        <v>44835.0</v>
      </c>
      <c r="FE107" s="139">
        <v>44866.0</v>
      </c>
      <c r="FF107" s="139">
        <v>44896.0</v>
      </c>
      <c r="FG107" s="139">
        <v>44927.0</v>
      </c>
      <c r="FH107" s="139">
        <v>44958.0</v>
      </c>
      <c r="FI107" s="139">
        <v>44986.0</v>
      </c>
      <c r="FJ107" s="139">
        <v>45017.0</v>
      </c>
      <c r="FK107" s="139">
        <v>45047.0</v>
      </c>
      <c r="FL107" s="139">
        <v>45078.0</v>
      </c>
      <c r="FM107" s="139">
        <v>45108.0</v>
      </c>
      <c r="FN107" s="139">
        <v>45139.0</v>
      </c>
      <c r="FO107" s="139">
        <v>45170.0</v>
      </c>
      <c r="FP107" s="139">
        <v>45200.0</v>
      </c>
      <c r="FQ107" s="139">
        <v>45231.0</v>
      </c>
      <c r="FR107" s="139">
        <v>45261.0</v>
      </c>
      <c r="FS107" s="139">
        <v>45292.0</v>
      </c>
      <c r="FT107" s="139">
        <v>45323.0</v>
      </c>
      <c r="FU107" s="139">
        <v>45352.0</v>
      </c>
      <c r="FV107" s="139">
        <v>45383.0</v>
      </c>
      <c r="FW107" s="139">
        <v>45413.0</v>
      </c>
      <c r="FX107" s="139">
        <v>45444.0</v>
      </c>
      <c r="FY107" s="139">
        <v>45474.0</v>
      </c>
      <c r="FZ107" s="139">
        <v>45505.0</v>
      </c>
      <c r="GA107" s="139">
        <v>45536.0</v>
      </c>
      <c r="GB107" s="139">
        <v>45566.0</v>
      </c>
      <c r="GC107" s="139">
        <v>45597.0</v>
      </c>
      <c r="GD107" s="139">
        <v>45627.0</v>
      </c>
      <c r="GE107" s="139">
        <v>45658.0</v>
      </c>
      <c r="GF107" s="139">
        <v>45689.0</v>
      </c>
      <c r="GG107" s="139">
        <v>45717.0</v>
      </c>
      <c r="GH107" s="139">
        <v>45748.0</v>
      </c>
      <c r="GI107" s="139">
        <v>45778.0</v>
      </c>
      <c r="GJ107" s="139">
        <v>45809.0</v>
      </c>
      <c r="GK107" s="139">
        <v>45839.0</v>
      </c>
    </row>
    <row r="108">
      <c r="A108" s="132" t="s">
        <v>34096</v>
      </c>
      <c r="B108" s="133" t="s">
        <v>1065</v>
      </c>
      <c r="C108" s="134">
        <v>43901.52347222222</v>
      </c>
      <c r="D108" s="135" t="str">
        <f t="shared" si="1"/>
        <v>2020/03/11</v>
      </c>
      <c r="E108" s="136" t="s">
        <v>34097</v>
      </c>
      <c r="F108" s="137">
        <v>7.1E-4</v>
      </c>
      <c r="G108" s="138">
        <v>40179.0</v>
      </c>
      <c r="H108" s="138">
        <v>40210.0</v>
      </c>
      <c r="I108" s="138">
        <v>40238.0</v>
      </c>
      <c r="J108" s="138">
        <v>40269.0</v>
      </c>
      <c r="K108" s="138">
        <v>40299.0</v>
      </c>
      <c r="L108" s="138">
        <v>40330.0</v>
      </c>
      <c r="M108" s="138">
        <v>40360.0</v>
      </c>
      <c r="N108" s="138">
        <v>40391.0</v>
      </c>
      <c r="O108" s="138">
        <v>40422.0</v>
      </c>
      <c r="P108" s="138">
        <v>40452.0</v>
      </c>
      <c r="Q108" s="138">
        <v>40483.0</v>
      </c>
      <c r="R108" s="138">
        <v>40513.0</v>
      </c>
      <c r="S108" s="138">
        <v>40544.0</v>
      </c>
      <c r="T108" s="138">
        <v>40575.0</v>
      </c>
      <c r="U108" s="138">
        <v>40603.0</v>
      </c>
      <c r="V108" s="138">
        <v>40634.0</v>
      </c>
      <c r="W108" s="138">
        <v>40664.0</v>
      </c>
      <c r="X108" s="138">
        <v>40695.0</v>
      </c>
      <c r="Y108" s="138">
        <v>40725.0</v>
      </c>
      <c r="Z108" s="138">
        <v>40756.0</v>
      </c>
      <c r="AA108" s="138">
        <v>40787.0</v>
      </c>
      <c r="AB108" s="138">
        <v>40817.0</v>
      </c>
      <c r="AC108" s="138">
        <v>40848.0</v>
      </c>
      <c r="AD108" s="138">
        <v>40878.0</v>
      </c>
      <c r="AE108" s="138">
        <v>40909.0</v>
      </c>
      <c r="AF108" s="138">
        <v>40940.0</v>
      </c>
      <c r="AG108" s="138">
        <v>40969.0</v>
      </c>
      <c r="AH108" s="138">
        <v>41000.0</v>
      </c>
      <c r="AI108" s="138">
        <v>41030.0</v>
      </c>
      <c r="AJ108" s="138">
        <v>41061.0</v>
      </c>
      <c r="AK108" s="138">
        <v>41091.0</v>
      </c>
      <c r="AL108" s="138">
        <v>41122.0</v>
      </c>
      <c r="AM108" s="138">
        <v>41153.0</v>
      </c>
      <c r="AN108" s="138">
        <v>41183.0</v>
      </c>
      <c r="AO108" s="138">
        <v>41214.0</v>
      </c>
      <c r="AP108" s="138">
        <v>41244.0</v>
      </c>
      <c r="AQ108" s="138">
        <v>41275.0</v>
      </c>
      <c r="AR108" s="138">
        <v>41306.0</v>
      </c>
      <c r="AS108" s="138">
        <v>41334.0</v>
      </c>
      <c r="AT108" s="138">
        <v>41365.0</v>
      </c>
      <c r="AU108" s="138">
        <v>41395.0</v>
      </c>
      <c r="AV108" s="138">
        <v>41426.0</v>
      </c>
      <c r="AW108" s="138">
        <v>41456.0</v>
      </c>
      <c r="AX108" s="138">
        <v>41487.0</v>
      </c>
      <c r="AY108" s="138">
        <v>41518.0</v>
      </c>
      <c r="AZ108" s="138">
        <v>41548.0</v>
      </c>
      <c r="BA108" s="138">
        <v>41579.0</v>
      </c>
      <c r="BB108" s="138">
        <v>41609.0</v>
      </c>
      <c r="BC108" s="138">
        <v>41640.0</v>
      </c>
      <c r="BD108" s="138">
        <v>41671.0</v>
      </c>
      <c r="BE108" s="138">
        <v>41699.0</v>
      </c>
      <c r="BF108" s="138">
        <v>41730.0</v>
      </c>
      <c r="BG108" s="138">
        <v>41760.0</v>
      </c>
      <c r="BH108" s="138">
        <v>41791.0</v>
      </c>
      <c r="BI108" s="138">
        <v>41821.0</v>
      </c>
      <c r="BJ108" s="138">
        <v>41852.0</v>
      </c>
      <c r="BK108" s="138">
        <v>41883.0</v>
      </c>
      <c r="BL108" s="138">
        <v>41913.0</v>
      </c>
      <c r="BM108" s="138">
        <v>41944.0</v>
      </c>
      <c r="BN108" s="138">
        <v>41974.0</v>
      </c>
      <c r="BO108" s="138">
        <v>42005.0</v>
      </c>
      <c r="BP108" s="138">
        <v>42036.0</v>
      </c>
      <c r="BQ108" s="138">
        <v>42064.0</v>
      </c>
      <c r="BR108" s="138">
        <v>42095.0</v>
      </c>
      <c r="BS108" s="138">
        <v>42125.0</v>
      </c>
      <c r="BT108" s="138">
        <v>42156.0</v>
      </c>
      <c r="BU108" s="138">
        <v>42186.0</v>
      </c>
      <c r="BV108" s="138">
        <v>42217.0</v>
      </c>
      <c r="BW108" s="138">
        <v>42248.0</v>
      </c>
      <c r="BX108" s="138">
        <v>42278.0</v>
      </c>
      <c r="BY108" s="138">
        <v>42309.0</v>
      </c>
      <c r="BZ108" s="138">
        <v>42339.0</v>
      </c>
      <c r="CA108" s="138">
        <v>42370.0</v>
      </c>
      <c r="CB108" s="138">
        <v>42401.0</v>
      </c>
      <c r="CC108" s="138">
        <v>42430.0</v>
      </c>
      <c r="CD108" s="138">
        <v>42461.0</v>
      </c>
      <c r="CE108" s="138">
        <v>42491.0</v>
      </c>
      <c r="CF108" s="138">
        <v>42522.0</v>
      </c>
      <c r="CG108" s="138">
        <v>42552.0</v>
      </c>
      <c r="CH108" s="138">
        <v>42583.0</v>
      </c>
      <c r="CI108" s="138">
        <v>42614.0</v>
      </c>
      <c r="CJ108" s="138">
        <v>42644.0</v>
      </c>
      <c r="CK108" s="138">
        <v>42675.0</v>
      </c>
      <c r="CL108" s="138">
        <v>42705.0</v>
      </c>
      <c r="CM108" s="138">
        <v>42736.0</v>
      </c>
      <c r="CN108" s="138">
        <v>42767.0</v>
      </c>
      <c r="CO108" s="138">
        <v>42795.0</v>
      </c>
      <c r="CP108" s="138">
        <v>42826.0</v>
      </c>
      <c r="CQ108" s="138">
        <v>42856.0</v>
      </c>
      <c r="CR108" s="138">
        <v>42887.0</v>
      </c>
      <c r="CS108" s="138">
        <v>42917.0</v>
      </c>
      <c r="CT108" s="138">
        <v>42948.0</v>
      </c>
      <c r="CU108" s="138">
        <v>42979.0</v>
      </c>
      <c r="CV108" s="138">
        <v>43009.0</v>
      </c>
      <c r="CW108" s="138">
        <v>43040.0</v>
      </c>
      <c r="CX108" s="138">
        <v>43070.0</v>
      </c>
      <c r="CY108" s="138">
        <v>43101.0</v>
      </c>
      <c r="CZ108" s="138">
        <v>43132.0</v>
      </c>
      <c r="DA108" s="138">
        <v>43160.0</v>
      </c>
      <c r="DB108" s="138">
        <v>43191.0</v>
      </c>
      <c r="DC108" s="138">
        <v>43221.0</v>
      </c>
      <c r="DD108" s="138">
        <v>43252.0</v>
      </c>
      <c r="DE108" s="138">
        <v>43282.0</v>
      </c>
      <c r="DF108" s="138">
        <v>43313.0</v>
      </c>
      <c r="DG108" s="138">
        <v>43344.0</v>
      </c>
      <c r="DH108" s="138">
        <v>43374.0</v>
      </c>
      <c r="DI108" s="138">
        <v>43405.0</v>
      </c>
      <c r="DJ108" s="138">
        <v>43435.0</v>
      </c>
      <c r="DK108" s="138">
        <v>43466.0</v>
      </c>
      <c r="DL108" s="138">
        <v>43497.0</v>
      </c>
      <c r="DM108" s="138">
        <v>43525.0</v>
      </c>
      <c r="DN108" s="138">
        <v>43556.0</v>
      </c>
      <c r="DO108" s="138">
        <v>43586.0</v>
      </c>
      <c r="DP108" s="138">
        <v>43617.0</v>
      </c>
      <c r="DQ108" s="138">
        <v>43647.0</v>
      </c>
      <c r="DR108" s="138">
        <v>43678.0</v>
      </c>
      <c r="DS108" s="138">
        <v>43709.0</v>
      </c>
      <c r="DT108" s="138">
        <v>43739.0</v>
      </c>
      <c r="DU108" s="138">
        <v>43770.0</v>
      </c>
      <c r="DV108" s="138">
        <v>43800.0</v>
      </c>
      <c r="DW108" s="138">
        <v>43831.0</v>
      </c>
      <c r="DX108" s="138">
        <v>43862.0</v>
      </c>
      <c r="DY108" s="138">
        <v>43891.0</v>
      </c>
      <c r="DZ108" s="139">
        <v>43922.0</v>
      </c>
      <c r="EA108" s="139">
        <v>43952.0</v>
      </c>
      <c r="EB108" s="139">
        <v>43983.0</v>
      </c>
      <c r="EC108" s="139">
        <v>44013.0</v>
      </c>
      <c r="ED108" s="139">
        <v>44044.0</v>
      </c>
      <c r="EE108" s="139">
        <v>44075.0</v>
      </c>
      <c r="EF108" s="139">
        <v>44105.0</v>
      </c>
      <c r="EG108" s="139">
        <v>44136.0</v>
      </c>
      <c r="EH108" s="139">
        <v>44166.0</v>
      </c>
      <c r="EI108" s="139">
        <v>44197.0</v>
      </c>
      <c r="EJ108" s="139">
        <v>44228.0</v>
      </c>
      <c r="EK108" s="139">
        <v>44256.0</v>
      </c>
      <c r="EL108" s="139">
        <v>44287.0</v>
      </c>
      <c r="EM108" s="139">
        <v>44317.0</v>
      </c>
      <c r="EN108" s="139">
        <v>44348.0</v>
      </c>
      <c r="EO108" s="139">
        <v>44378.0</v>
      </c>
      <c r="EP108" s="139">
        <v>44409.0</v>
      </c>
      <c r="EQ108" s="139">
        <v>44440.0</v>
      </c>
      <c r="ER108" s="139">
        <v>44470.0</v>
      </c>
      <c r="ES108" s="139">
        <v>44501.0</v>
      </c>
      <c r="ET108" s="139">
        <v>44531.0</v>
      </c>
      <c r="EU108" s="139">
        <v>44562.0</v>
      </c>
      <c r="EV108" s="139">
        <v>44593.0</v>
      </c>
      <c r="EW108" s="139">
        <v>44621.0</v>
      </c>
      <c r="EX108" s="139">
        <v>44652.0</v>
      </c>
      <c r="EY108" s="139">
        <v>44682.0</v>
      </c>
      <c r="EZ108" s="139">
        <v>44713.0</v>
      </c>
      <c r="FA108" s="139">
        <v>44743.0</v>
      </c>
      <c r="FB108" s="139">
        <v>44774.0</v>
      </c>
      <c r="FC108" s="139">
        <v>44805.0</v>
      </c>
      <c r="FD108" s="139">
        <v>44835.0</v>
      </c>
      <c r="FE108" s="139">
        <v>44866.0</v>
      </c>
      <c r="FF108" s="139">
        <v>44896.0</v>
      </c>
      <c r="FG108" s="139">
        <v>44927.0</v>
      </c>
      <c r="FH108" s="139">
        <v>44958.0</v>
      </c>
      <c r="FI108" s="139">
        <v>44986.0</v>
      </c>
      <c r="FJ108" s="139">
        <v>45017.0</v>
      </c>
      <c r="FK108" s="139">
        <v>45047.0</v>
      </c>
      <c r="FL108" s="139">
        <v>45078.0</v>
      </c>
      <c r="FM108" s="139">
        <v>45108.0</v>
      </c>
      <c r="FN108" s="139">
        <v>45139.0</v>
      </c>
      <c r="FO108" s="139">
        <v>45170.0</v>
      </c>
      <c r="FP108" s="139">
        <v>45200.0</v>
      </c>
      <c r="FQ108" s="139">
        <v>45231.0</v>
      </c>
      <c r="FR108" s="139">
        <v>45261.0</v>
      </c>
      <c r="FS108" s="139">
        <v>45292.0</v>
      </c>
      <c r="FT108" s="139">
        <v>45323.0</v>
      </c>
      <c r="FU108" s="139">
        <v>45352.0</v>
      </c>
      <c r="FV108" s="139">
        <v>45383.0</v>
      </c>
      <c r="FW108" s="139">
        <v>45413.0</v>
      </c>
      <c r="FX108" s="139">
        <v>45444.0</v>
      </c>
      <c r="FY108" s="139">
        <v>45474.0</v>
      </c>
      <c r="FZ108" s="139">
        <v>45505.0</v>
      </c>
      <c r="GA108" s="139">
        <v>45536.0</v>
      </c>
      <c r="GB108" s="139">
        <v>45566.0</v>
      </c>
      <c r="GC108" s="139">
        <v>45597.0</v>
      </c>
      <c r="GD108" s="139">
        <v>45627.0</v>
      </c>
      <c r="GE108" s="139">
        <v>45658.0</v>
      </c>
      <c r="GF108" s="139">
        <v>45689.0</v>
      </c>
      <c r="GG108" s="139">
        <v>45717.0</v>
      </c>
      <c r="GH108" s="139">
        <v>45748.0</v>
      </c>
      <c r="GI108" s="139">
        <v>45778.0</v>
      </c>
      <c r="GJ108" s="139">
        <v>45809.0</v>
      </c>
      <c r="GK108" s="139">
        <v>45839.0</v>
      </c>
    </row>
    <row r="109">
      <c r="A109" s="132" t="s">
        <v>34098</v>
      </c>
      <c r="B109" s="133" t="s">
        <v>1133</v>
      </c>
      <c r="C109" s="134">
        <v>43923.94856481482</v>
      </c>
      <c r="D109" s="135" t="str">
        <f t="shared" si="1"/>
        <v>2020/04/02</v>
      </c>
      <c r="E109" s="136" t="s">
        <v>34099</v>
      </c>
      <c r="F109" s="137">
        <v>0.00212</v>
      </c>
      <c r="G109" s="138">
        <v>40179.0</v>
      </c>
      <c r="H109" s="138">
        <v>40210.0</v>
      </c>
      <c r="I109" s="138">
        <v>40238.0</v>
      </c>
      <c r="J109" s="138">
        <v>40269.0</v>
      </c>
      <c r="K109" s="138">
        <v>40299.0</v>
      </c>
      <c r="L109" s="138">
        <v>40330.0</v>
      </c>
      <c r="M109" s="138">
        <v>40360.0</v>
      </c>
      <c r="N109" s="138">
        <v>40391.0</v>
      </c>
      <c r="O109" s="138">
        <v>40422.0</v>
      </c>
      <c r="P109" s="138">
        <v>40452.0</v>
      </c>
      <c r="Q109" s="138">
        <v>40483.0</v>
      </c>
      <c r="R109" s="138">
        <v>40513.0</v>
      </c>
      <c r="S109" s="138">
        <v>40544.0</v>
      </c>
      <c r="T109" s="138">
        <v>40575.0</v>
      </c>
      <c r="U109" s="138">
        <v>40603.0</v>
      </c>
      <c r="V109" s="138">
        <v>40634.0</v>
      </c>
      <c r="W109" s="138">
        <v>40664.0</v>
      </c>
      <c r="X109" s="138">
        <v>40695.0</v>
      </c>
      <c r="Y109" s="138">
        <v>40725.0</v>
      </c>
      <c r="Z109" s="138">
        <v>40756.0</v>
      </c>
      <c r="AA109" s="138">
        <v>40787.0</v>
      </c>
      <c r="AB109" s="138">
        <v>40817.0</v>
      </c>
      <c r="AC109" s="138">
        <v>40848.0</v>
      </c>
      <c r="AD109" s="138">
        <v>40878.0</v>
      </c>
      <c r="AE109" s="138">
        <v>40909.0</v>
      </c>
      <c r="AF109" s="138">
        <v>40940.0</v>
      </c>
      <c r="AG109" s="138">
        <v>40969.0</v>
      </c>
      <c r="AH109" s="138">
        <v>41000.0</v>
      </c>
      <c r="AI109" s="138">
        <v>41030.0</v>
      </c>
      <c r="AJ109" s="138">
        <v>41061.0</v>
      </c>
      <c r="AK109" s="138">
        <v>41091.0</v>
      </c>
      <c r="AL109" s="138">
        <v>41122.0</v>
      </c>
      <c r="AM109" s="138">
        <v>41153.0</v>
      </c>
      <c r="AN109" s="138">
        <v>41183.0</v>
      </c>
      <c r="AO109" s="138">
        <v>41214.0</v>
      </c>
      <c r="AP109" s="138">
        <v>41244.0</v>
      </c>
      <c r="AQ109" s="138">
        <v>41275.0</v>
      </c>
      <c r="AR109" s="138">
        <v>41306.0</v>
      </c>
      <c r="AS109" s="138">
        <v>41334.0</v>
      </c>
      <c r="AT109" s="138">
        <v>41365.0</v>
      </c>
      <c r="AU109" s="138">
        <v>41395.0</v>
      </c>
      <c r="AV109" s="138">
        <v>41426.0</v>
      </c>
      <c r="AW109" s="138">
        <v>41456.0</v>
      </c>
      <c r="AX109" s="138">
        <v>41487.0</v>
      </c>
      <c r="AY109" s="138">
        <v>41518.0</v>
      </c>
      <c r="AZ109" s="138">
        <v>41548.0</v>
      </c>
      <c r="BA109" s="138">
        <v>41579.0</v>
      </c>
      <c r="BB109" s="138">
        <v>41609.0</v>
      </c>
      <c r="BC109" s="138">
        <v>41640.0</v>
      </c>
      <c r="BD109" s="138">
        <v>41671.0</v>
      </c>
      <c r="BE109" s="138">
        <v>41699.0</v>
      </c>
      <c r="BF109" s="138">
        <v>41730.0</v>
      </c>
      <c r="BG109" s="138">
        <v>41760.0</v>
      </c>
      <c r="BH109" s="138">
        <v>41791.0</v>
      </c>
      <c r="BI109" s="138">
        <v>41821.0</v>
      </c>
      <c r="BJ109" s="138">
        <v>41852.0</v>
      </c>
      <c r="BK109" s="138">
        <v>41883.0</v>
      </c>
      <c r="BL109" s="138">
        <v>41913.0</v>
      </c>
      <c r="BM109" s="138">
        <v>41944.0</v>
      </c>
      <c r="BN109" s="138">
        <v>41974.0</v>
      </c>
      <c r="BO109" s="138">
        <v>42005.0</v>
      </c>
      <c r="BP109" s="138">
        <v>42036.0</v>
      </c>
      <c r="BQ109" s="138">
        <v>42064.0</v>
      </c>
      <c r="BR109" s="138">
        <v>42095.0</v>
      </c>
      <c r="BS109" s="138">
        <v>42125.0</v>
      </c>
      <c r="BT109" s="138">
        <v>42156.0</v>
      </c>
      <c r="BU109" s="138">
        <v>42186.0</v>
      </c>
      <c r="BV109" s="138">
        <v>42217.0</v>
      </c>
      <c r="BW109" s="138">
        <v>42248.0</v>
      </c>
      <c r="BX109" s="138">
        <v>42278.0</v>
      </c>
      <c r="BY109" s="138">
        <v>42309.0</v>
      </c>
      <c r="BZ109" s="138">
        <v>42339.0</v>
      </c>
      <c r="CA109" s="138">
        <v>42370.0</v>
      </c>
      <c r="CB109" s="138">
        <v>42401.0</v>
      </c>
      <c r="CC109" s="138">
        <v>42430.0</v>
      </c>
      <c r="CD109" s="138">
        <v>42461.0</v>
      </c>
      <c r="CE109" s="138">
        <v>42491.0</v>
      </c>
      <c r="CF109" s="138">
        <v>42522.0</v>
      </c>
      <c r="CG109" s="138">
        <v>42552.0</v>
      </c>
      <c r="CH109" s="138">
        <v>42583.0</v>
      </c>
      <c r="CI109" s="138">
        <v>42614.0</v>
      </c>
      <c r="CJ109" s="138">
        <v>42644.0</v>
      </c>
      <c r="CK109" s="138">
        <v>42675.0</v>
      </c>
      <c r="CL109" s="138">
        <v>42705.0</v>
      </c>
      <c r="CM109" s="138">
        <v>42736.0</v>
      </c>
      <c r="CN109" s="138">
        <v>42767.0</v>
      </c>
      <c r="CO109" s="138">
        <v>42795.0</v>
      </c>
      <c r="CP109" s="138">
        <v>42826.0</v>
      </c>
      <c r="CQ109" s="138">
        <v>42856.0</v>
      </c>
      <c r="CR109" s="138">
        <v>42887.0</v>
      </c>
      <c r="CS109" s="138">
        <v>42917.0</v>
      </c>
      <c r="CT109" s="138">
        <v>42948.0</v>
      </c>
      <c r="CU109" s="138">
        <v>42979.0</v>
      </c>
      <c r="CV109" s="138">
        <v>43009.0</v>
      </c>
      <c r="CW109" s="138">
        <v>43040.0</v>
      </c>
      <c r="CX109" s="138">
        <v>43070.0</v>
      </c>
      <c r="CY109" s="138">
        <v>43101.0</v>
      </c>
      <c r="CZ109" s="138">
        <v>43132.0</v>
      </c>
      <c r="DA109" s="138">
        <v>43160.0</v>
      </c>
      <c r="DB109" s="138">
        <v>43191.0</v>
      </c>
      <c r="DC109" s="138">
        <v>43221.0</v>
      </c>
      <c r="DD109" s="138">
        <v>43252.0</v>
      </c>
      <c r="DE109" s="138">
        <v>43282.0</v>
      </c>
      <c r="DF109" s="138">
        <v>43313.0</v>
      </c>
      <c r="DG109" s="138">
        <v>43344.0</v>
      </c>
      <c r="DH109" s="138">
        <v>43374.0</v>
      </c>
      <c r="DI109" s="138">
        <v>43405.0</v>
      </c>
      <c r="DJ109" s="138">
        <v>43435.0</v>
      </c>
      <c r="DK109" s="138">
        <v>43466.0</v>
      </c>
      <c r="DL109" s="138">
        <v>43497.0</v>
      </c>
      <c r="DM109" s="138">
        <v>43525.0</v>
      </c>
      <c r="DN109" s="138">
        <v>43556.0</v>
      </c>
      <c r="DO109" s="138">
        <v>43586.0</v>
      </c>
      <c r="DP109" s="138">
        <v>43617.0</v>
      </c>
      <c r="DQ109" s="138">
        <v>43647.0</v>
      </c>
      <c r="DR109" s="138">
        <v>43678.0</v>
      </c>
      <c r="DS109" s="138">
        <v>43709.0</v>
      </c>
      <c r="DT109" s="138">
        <v>43739.0</v>
      </c>
      <c r="DU109" s="138">
        <v>43770.0</v>
      </c>
      <c r="DV109" s="138">
        <v>43800.0</v>
      </c>
      <c r="DW109" s="138">
        <v>43831.0</v>
      </c>
      <c r="DX109" s="138">
        <v>43862.0</v>
      </c>
      <c r="DY109" s="138">
        <v>43891.0</v>
      </c>
      <c r="DZ109" s="138">
        <v>43922.0</v>
      </c>
      <c r="EA109" s="139">
        <v>43952.0</v>
      </c>
      <c r="EB109" s="139">
        <v>43983.0</v>
      </c>
      <c r="EC109" s="139">
        <v>44013.0</v>
      </c>
      <c r="ED109" s="139">
        <v>44044.0</v>
      </c>
      <c r="EE109" s="139">
        <v>44075.0</v>
      </c>
      <c r="EF109" s="139">
        <v>44105.0</v>
      </c>
      <c r="EG109" s="139">
        <v>44136.0</v>
      </c>
      <c r="EH109" s="139">
        <v>44166.0</v>
      </c>
      <c r="EI109" s="139">
        <v>44197.0</v>
      </c>
      <c r="EJ109" s="139">
        <v>44228.0</v>
      </c>
      <c r="EK109" s="139">
        <v>44256.0</v>
      </c>
      <c r="EL109" s="139">
        <v>44287.0</v>
      </c>
      <c r="EM109" s="139">
        <v>44317.0</v>
      </c>
      <c r="EN109" s="139">
        <v>44348.0</v>
      </c>
      <c r="EO109" s="139">
        <v>44378.0</v>
      </c>
      <c r="EP109" s="139">
        <v>44409.0</v>
      </c>
      <c r="EQ109" s="139">
        <v>44440.0</v>
      </c>
      <c r="ER109" s="139">
        <v>44470.0</v>
      </c>
      <c r="ES109" s="139">
        <v>44501.0</v>
      </c>
      <c r="ET109" s="139">
        <v>44531.0</v>
      </c>
      <c r="EU109" s="139">
        <v>44562.0</v>
      </c>
      <c r="EV109" s="139">
        <v>44593.0</v>
      </c>
      <c r="EW109" s="139">
        <v>44621.0</v>
      </c>
      <c r="EX109" s="139">
        <v>44652.0</v>
      </c>
      <c r="EY109" s="139">
        <v>44682.0</v>
      </c>
      <c r="EZ109" s="139">
        <v>44713.0</v>
      </c>
      <c r="FA109" s="139">
        <v>44743.0</v>
      </c>
      <c r="FB109" s="139">
        <v>44774.0</v>
      </c>
      <c r="FC109" s="139">
        <v>44805.0</v>
      </c>
      <c r="FD109" s="139">
        <v>44835.0</v>
      </c>
      <c r="FE109" s="139">
        <v>44866.0</v>
      </c>
      <c r="FF109" s="139">
        <v>44896.0</v>
      </c>
      <c r="FG109" s="139">
        <v>44927.0</v>
      </c>
      <c r="FH109" s="139">
        <v>44958.0</v>
      </c>
      <c r="FI109" s="139">
        <v>44986.0</v>
      </c>
      <c r="FJ109" s="139">
        <v>45017.0</v>
      </c>
      <c r="FK109" s="139">
        <v>45047.0</v>
      </c>
      <c r="FL109" s="139">
        <v>45078.0</v>
      </c>
      <c r="FM109" s="139">
        <v>45108.0</v>
      </c>
      <c r="FN109" s="139">
        <v>45139.0</v>
      </c>
      <c r="FO109" s="139">
        <v>45170.0</v>
      </c>
      <c r="FP109" s="139">
        <v>45200.0</v>
      </c>
      <c r="FQ109" s="139">
        <v>45231.0</v>
      </c>
      <c r="FR109" s="139">
        <v>45261.0</v>
      </c>
      <c r="FS109" s="139">
        <v>45292.0</v>
      </c>
      <c r="FT109" s="139">
        <v>45323.0</v>
      </c>
      <c r="FU109" s="139">
        <v>45352.0</v>
      </c>
      <c r="FV109" s="139">
        <v>45383.0</v>
      </c>
      <c r="FW109" s="139">
        <v>45413.0</v>
      </c>
      <c r="FX109" s="139">
        <v>45444.0</v>
      </c>
      <c r="FY109" s="139">
        <v>45474.0</v>
      </c>
      <c r="FZ109" s="139">
        <v>45505.0</v>
      </c>
      <c r="GA109" s="139">
        <v>45536.0</v>
      </c>
      <c r="GB109" s="139">
        <v>45566.0</v>
      </c>
      <c r="GC109" s="139">
        <v>45597.0</v>
      </c>
      <c r="GD109" s="139">
        <v>45627.0</v>
      </c>
      <c r="GE109" s="139">
        <v>45658.0</v>
      </c>
      <c r="GF109" s="139">
        <v>45689.0</v>
      </c>
      <c r="GG109" s="139">
        <v>45717.0</v>
      </c>
      <c r="GH109" s="139">
        <v>45748.0</v>
      </c>
      <c r="GI109" s="139">
        <v>45778.0</v>
      </c>
      <c r="GJ109" s="139">
        <v>45809.0</v>
      </c>
      <c r="GK109" s="139">
        <v>45839.0</v>
      </c>
    </row>
    <row r="110">
      <c r="A110" s="132" t="s">
        <v>34100</v>
      </c>
      <c r="B110" s="133" t="s">
        <v>1111</v>
      </c>
      <c r="C110" s="134">
        <v>43935.93273148148</v>
      </c>
      <c r="D110" s="135" t="str">
        <f t="shared" si="1"/>
        <v>2020/04/14</v>
      </c>
      <c r="E110" s="136" t="s">
        <v>34101</v>
      </c>
      <c r="F110" s="137">
        <v>4.5E-4</v>
      </c>
      <c r="G110" s="138">
        <v>40179.0</v>
      </c>
      <c r="H110" s="138">
        <v>40210.0</v>
      </c>
      <c r="I110" s="138">
        <v>40238.0</v>
      </c>
      <c r="J110" s="138">
        <v>40269.0</v>
      </c>
      <c r="K110" s="138">
        <v>40299.0</v>
      </c>
      <c r="L110" s="138">
        <v>40330.0</v>
      </c>
      <c r="M110" s="138">
        <v>40360.0</v>
      </c>
      <c r="N110" s="138">
        <v>40391.0</v>
      </c>
      <c r="O110" s="138">
        <v>40422.0</v>
      </c>
      <c r="P110" s="138">
        <v>40452.0</v>
      </c>
      <c r="Q110" s="138">
        <v>40483.0</v>
      </c>
      <c r="R110" s="138">
        <v>40513.0</v>
      </c>
      <c r="S110" s="138">
        <v>40544.0</v>
      </c>
      <c r="T110" s="138">
        <v>40575.0</v>
      </c>
      <c r="U110" s="138">
        <v>40603.0</v>
      </c>
      <c r="V110" s="138">
        <v>40634.0</v>
      </c>
      <c r="W110" s="138">
        <v>40664.0</v>
      </c>
      <c r="X110" s="138">
        <v>40695.0</v>
      </c>
      <c r="Y110" s="138">
        <v>40725.0</v>
      </c>
      <c r="Z110" s="138">
        <v>40756.0</v>
      </c>
      <c r="AA110" s="138">
        <v>40787.0</v>
      </c>
      <c r="AB110" s="138">
        <v>40817.0</v>
      </c>
      <c r="AC110" s="138">
        <v>40848.0</v>
      </c>
      <c r="AD110" s="138">
        <v>40878.0</v>
      </c>
      <c r="AE110" s="138">
        <v>40909.0</v>
      </c>
      <c r="AF110" s="138">
        <v>40940.0</v>
      </c>
      <c r="AG110" s="138">
        <v>40969.0</v>
      </c>
      <c r="AH110" s="138">
        <v>41000.0</v>
      </c>
      <c r="AI110" s="138">
        <v>41030.0</v>
      </c>
      <c r="AJ110" s="138">
        <v>41061.0</v>
      </c>
      <c r="AK110" s="138">
        <v>41091.0</v>
      </c>
      <c r="AL110" s="138">
        <v>41122.0</v>
      </c>
      <c r="AM110" s="138">
        <v>41153.0</v>
      </c>
      <c r="AN110" s="138">
        <v>41183.0</v>
      </c>
      <c r="AO110" s="138">
        <v>41214.0</v>
      </c>
      <c r="AP110" s="138">
        <v>41244.0</v>
      </c>
      <c r="AQ110" s="138">
        <v>41275.0</v>
      </c>
      <c r="AR110" s="138">
        <v>41306.0</v>
      </c>
      <c r="AS110" s="138">
        <v>41334.0</v>
      </c>
      <c r="AT110" s="138">
        <v>41365.0</v>
      </c>
      <c r="AU110" s="138">
        <v>41395.0</v>
      </c>
      <c r="AV110" s="138">
        <v>41426.0</v>
      </c>
      <c r="AW110" s="138">
        <v>41456.0</v>
      </c>
      <c r="AX110" s="138">
        <v>41487.0</v>
      </c>
      <c r="AY110" s="138">
        <v>41518.0</v>
      </c>
      <c r="AZ110" s="138">
        <v>41548.0</v>
      </c>
      <c r="BA110" s="138">
        <v>41579.0</v>
      </c>
      <c r="BB110" s="138">
        <v>41609.0</v>
      </c>
      <c r="BC110" s="138">
        <v>41640.0</v>
      </c>
      <c r="BD110" s="138">
        <v>41671.0</v>
      </c>
      <c r="BE110" s="138">
        <v>41699.0</v>
      </c>
      <c r="BF110" s="138">
        <v>41730.0</v>
      </c>
      <c r="BG110" s="138">
        <v>41760.0</v>
      </c>
      <c r="BH110" s="138">
        <v>41791.0</v>
      </c>
      <c r="BI110" s="138">
        <v>41821.0</v>
      </c>
      <c r="BJ110" s="138">
        <v>41852.0</v>
      </c>
      <c r="BK110" s="138">
        <v>41883.0</v>
      </c>
      <c r="BL110" s="138">
        <v>41913.0</v>
      </c>
      <c r="BM110" s="138">
        <v>41944.0</v>
      </c>
      <c r="BN110" s="138">
        <v>41974.0</v>
      </c>
      <c r="BO110" s="138">
        <v>42005.0</v>
      </c>
      <c r="BP110" s="138">
        <v>42036.0</v>
      </c>
      <c r="BQ110" s="138">
        <v>42064.0</v>
      </c>
      <c r="BR110" s="138">
        <v>42095.0</v>
      </c>
      <c r="BS110" s="138">
        <v>42125.0</v>
      </c>
      <c r="BT110" s="138">
        <v>42156.0</v>
      </c>
      <c r="BU110" s="138">
        <v>42186.0</v>
      </c>
      <c r="BV110" s="138">
        <v>42217.0</v>
      </c>
      <c r="BW110" s="138">
        <v>42248.0</v>
      </c>
      <c r="BX110" s="138">
        <v>42278.0</v>
      </c>
      <c r="BY110" s="138">
        <v>42309.0</v>
      </c>
      <c r="BZ110" s="138">
        <v>42339.0</v>
      </c>
      <c r="CA110" s="138">
        <v>42370.0</v>
      </c>
      <c r="CB110" s="138">
        <v>42401.0</v>
      </c>
      <c r="CC110" s="138">
        <v>42430.0</v>
      </c>
      <c r="CD110" s="138">
        <v>42461.0</v>
      </c>
      <c r="CE110" s="138">
        <v>42491.0</v>
      </c>
      <c r="CF110" s="138">
        <v>42522.0</v>
      </c>
      <c r="CG110" s="138">
        <v>42552.0</v>
      </c>
      <c r="CH110" s="138">
        <v>42583.0</v>
      </c>
      <c r="CI110" s="138">
        <v>42614.0</v>
      </c>
      <c r="CJ110" s="138">
        <v>42644.0</v>
      </c>
      <c r="CK110" s="138">
        <v>42675.0</v>
      </c>
      <c r="CL110" s="138">
        <v>42705.0</v>
      </c>
      <c r="CM110" s="138">
        <v>42736.0</v>
      </c>
      <c r="CN110" s="138">
        <v>42767.0</v>
      </c>
      <c r="CO110" s="138">
        <v>42795.0</v>
      </c>
      <c r="CP110" s="138">
        <v>42826.0</v>
      </c>
      <c r="CQ110" s="138">
        <v>42856.0</v>
      </c>
      <c r="CR110" s="138">
        <v>42887.0</v>
      </c>
      <c r="CS110" s="138">
        <v>42917.0</v>
      </c>
      <c r="CT110" s="138">
        <v>42948.0</v>
      </c>
      <c r="CU110" s="138">
        <v>42979.0</v>
      </c>
      <c r="CV110" s="138">
        <v>43009.0</v>
      </c>
      <c r="CW110" s="138">
        <v>43040.0</v>
      </c>
      <c r="CX110" s="138">
        <v>43070.0</v>
      </c>
      <c r="CY110" s="138">
        <v>43101.0</v>
      </c>
      <c r="CZ110" s="138">
        <v>43132.0</v>
      </c>
      <c r="DA110" s="138">
        <v>43160.0</v>
      </c>
      <c r="DB110" s="138">
        <v>43191.0</v>
      </c>
      <c r="DC110" s="138">
        <v>43221.0</v>
      </c>
      <c r="DD110" s="138">
        <v>43252.0</v>
      </c>
      <c r="DE110" s="138">
        <v>43282.0</v>
      </c>
      <c r="DF110" s="138">
        <v>43313.0</v>
      </c>
      <c r="DG110" s="138">
        <v>43344.0</v>
      </c>
      <c r="DH110" s="138">
        <v>43374.0</v>
      </c>
      <c r="DI110" s="138">
        <v>43405.0</v>
      </c>
      <c r="DJ110" s="138">
        <v>43435.0</v>
      </c>
      <c r="DK110" s="138">
        <v>43466.0</v>
      </c>
      <c r="DL110" s="138">
        <v>43497.0</v>
      </c>
      <c r="DM110" s="138">
        <v>43525.0</v>
      </c>
      <c r="DN110" s="138">
        <v>43556.0</v>
      </c>
      <c r="DO110" s="138">
        <v>43586.0</v>
      </c>
      <c r="DP110" s="138">
        <v>43617.0</v>
      </c>
      <c r="DQ110" s="138">
        <v>43647.0</v>
      </c>
      <c r="DR110" s="138">
        <v>43678.0</v>
      </c>
      <c r="DS110" s="138">
        <v>43709.0</v>
      </c>
      <c r="DT110" s="138">
        <v>43739.0</v>
      </c>
      <c r="DU110" s="138">
        <v>43770.0</v>
      </c>
      <c r="DV110" s="138">
        <v>43800.0</v>
      </c>
      <c r="DW110" s="138">
        <v>43831.0</v>
      </c>
      <c r="DX110" s="138">
        <v>43862.0</v>
      </c>
      <c r="DY110" s="138">
        <v>43891.0</v>
      </c>
      <c r="DZ110" s="138">
        <v>43922.0</v>
      </c>
      <c r="EA110" s="139">
        <v>43952.0</v>
      </c>
      <c r="EB110" s="139">
        <v>43983.0</v>
      </c>
      <c r="EC110" s="139">
        <v>44013.0</v>
      </c>
      <c r="ED110" s="139">
        <v>44044.0</v>
      </c>
      <c r="EE110" s="139">
        <v>44075.0</v>
      </c>
      <c r="EF110" s="139">
        <v>44105.0</v>
      </c>
      <c r="EG110" s="139">
        <v>44136.0</v>
      </c>
      <c r="EH110" s="139">
        <v>44166.0</v>
      </c>
      <c r="EI110" s="139">
        <v>44197.0</v>
      </c>
      <c r="EJ110" s="139">
        <v>44228.0</v>
      </c>
      <c r="EK110" s="139">
        <v>44256.0</v>
      </c>
      <c r="EL110" s="139">
        <v>44287.0</v>
      </c>
      <c r="EM110" s="139">
        <v>44317.0</v>
      </c>
      <c r="EN110" s="139">
        <v>44348.0</v>
      </c>
      <c r="EO110" s="139">
        <v>44378.0</v>
      </c>
      <c r="EP110" s="139">
        <v>44409.0</v>
      </c>
      <c r="EQ110" s="139">
        <v>44440.0</v>
      </c>
      <c r="ER110" s="139">
        <v>44470.0</v>
      </c>
      <c r="ES110" s="139">
        <v>44501.0</v>
      </c>
      <c r="ET110" s="139">
        <v>44531.0</v>
      </c>
      <c r="EU110" s="139">
        <v>44562.0</v>
      </c>
      <c r="EV110" s="139">
        <v>44593.0</v>
      </c>
      <c r="EW110" s="139">
        <v>44621.0</v>
      </c>
      <c r="EX110" s="139">
        <v>44652.0</v>
      </c>
      <c r="EY110" s="139">
        <v>44682.0</v>
      </c>
      <c r="EZ110" s="139">
        <v>44713.0</v>
      </c>
      <c r="FA110" s="139">
        <v>44743.0</v>
      </c>
      <c r="FB110" s="139">
        <v>44774.0</v>
      </c>
      <c r="FC110" s="139">
        <v>44805.0</v>
      </c>
      <c r="FD110" s="139">
        <v>44835.0</v>
      </c>
      <c r="FE110" s="139">
        <v>44866.0</v>
      </c>
      <c r="FF110" s="139">
        <v>44896.0</v>
      </c>
      <c r="FG110" s="139">
        <v>44927.0</v>
      </c>
      <c r="FH110" s="139">
        <v>44958.0</v>
      </c>
      <c r="FI110" s="139">
        <v>44986.0</v>
      </c>
      <c r="FJ110" s="139">
        <v>45017.0</v>
      </c>
      <c r="FK110" s="139">
        <v>45047.0</v>
      </c>
      <c r="FL110" s="139">
        <v>45078.0</v>
      </c>
      <c r="FM110" s="139">
        <v>45108.0</v>
      </c>
      <c r="FN110" s="139">
        <v>45139.0</v>
      </c>
      <c r="FO110" s="139">
        <v>45170.0</v>
      </c>
      <c r="FP110" s="139">
        <v>45200.0</v>
      </c>
      <c r="FQ110" s="139">
        <v>45231.0</v>
      </c>
      <c r="FR110" s="139">
        <v>45261.0</v>
      </c>
      <c r="FS110" s="139">
        <v>45292.0</v>
      </c>
      <c r="FT110" s="139">
        <v>45323.0</v>
      </c>
      <c r="FU110" s="139">
        <v>45352.0</v>
      </c>
      <c r="FV110" s="139">
        <v>45383.0</v>
      </c>
      <c r="FW110" s="139">
        <v>45413.0</v>
      </c>
      <c r="FX110" s="139">
        <v>45444.0</v>
      </c>
      <c r="FY110" s="139">
        <v>45474.0</v>
      </c>
      <c r="FZ110" s="139">
        <v>45505.0</v>
      </c>
      <c r="GA110" s="139">
        <v>45536.0</v>
      </c>
      <c r="GB110" s="139">
        <v>45566.0</v>
      </c>
      <c r="GC110" s="139">
        <v>45597.0</v>
      </c>
      <c r="GD110" s="139">
        <v>45627.0</v>
      </c>
      <c r="GE110" s="139">
        <v>45658.0</v>
      </c>
      <c r="GF110" s="139">
        <v>45689.0</v>
      </c>
      <c r="GG110" s="139">
        <v>45717.0</v>
      </c>
      <c r="GH110" s="139">
        <v>45748.0</v>
      </c>
      <c r="GI110" s="139">
        <v>45778.0</v>
      </c>
      <c r="GJ110" s="139">
        <v>45809.0</v>
      </c>
      <c r="GK110" s="139">
        <v>45839.0</v>
      </c>
    </row>
    <row r="111">
      <c r="A111" s="132" t="s">
        <v>34102</v>
      </c>
      <c r="B111" s="133" t="s">
        <v>1278</v>
      </c>
      <c r="C111" s="134">
        <v>43943.85497685185</v>
      </c>
      <c r="D111" s="135" t="str">
        <f t="shared" si="1"/>
        <v>2020/04/22</v>
      </c>
      <c r="E111" s="136" t="s">
        <v>33949</v>
      </c>
      <c r="F111" s="137">
        <v>0.0</v>
      </c>
      <c r="G111" s="138">
        <v>40179.0</v>
      </c>
      <c r="H111" s="138">
        <v>40210.0</v>
      </c>
      <c r="I111" s="138">
        <v>40238.0</v>
      </c>
      <c r="J111" s="138">
        <v>40269.0</v>
      </c>
      <c r="K111" s="138">
        <v>40299.0</v>
      </c>
      <c r="L111" s="138">
        <v>40330.0</v>
      </c>
      <c r="M111" s="138">
        <v>40360.0</v>
      </c>
      <c r="N111" s="138">
        <v>40391.0</v>
      </c>
      <c r="O111" s="138">
        <v>40422.0</v>
      </c>
      <c r="P111" s="138">
        <v>40452.0</v>
      </c>
      <c r="Q111" s="138">
        <v>40483.0</v>
      </c>
      <c r="R111" s="138">
        <v>40513.0</v>
      </c>
      <c r="S111" s="138">
        <v>40544.0</v>
      </c>
      <c r="T111" s="138">
        <v>40575.0</v>
      </c>
      <c r="U111" s="138">
        <v>40603.0</v>
      </c>
      <c r="V111" s="138">
        <v>40634.0</v>
      </c>
      <c r="W111" s="138">
        <v>40664.0</v>
      </c>
      <c r="X111" s="138">
        <v>40695.0</v>
      </c>
      <c r="Y111" s="138">
        <v>40725.0</v>
      </c>
      <c r="Z111" s="138">
        <v>40756.0</v>
      </c>
      <c r="AA111" s="138">
        <v>40787.0</v>
      </c>
      <c r="AB111" s="138">
        <v>40817.0</v>
      </c>
      <c r="AC111" s="138">
        <v>40848.0</v>
      </c>
      <c r="AD111" s="138">
        <v>40878.0</v>
      </c>
      <c r="AE111" s="138">
        <v>40909.0</v>
      </c>
      <c r="AF111" s="138">
        <v>40940.0</v>
      </c>
      <c r="AG111" s="138">
        <v>40969.0</v>
      </c>
      <c r="AH111" s="138">
        <v>41000.0</v>
      </c>
      <c r="AI111" s="138">
        <v>41030.0</v>
      </c>
      <c r="AJ111" s="138">
        <v>41061.0</v>
      </c>
      <c r="AK111" s="138">
        <v>41091.0</v>
      </c>
      <c r="AL111" s="138">
        <v>41122.0</v>
      </c>
      <c r="AM111" s="138">
        <v>41153.0</v>
      </c>
      <c r="AN111" s="138">
        <v>41183.0</v>
      </c>
      <c r="AO111" s="138">
        <v>41214.0</v>
      </c>
      <c r="AP111" s="138">
        <v>41244.0</v>
      </c>
      <c r="AQ111" s="138">
        <v>41275.0</v>
      </c>
      <c r="AR111" s="138">
        <v>41306.0</v>
      </c>
      <c r="AS111" s="138">
        <v>41334.0</v>
      </c>
      <c r="AT111" s="138">
        <v>41365.0</v>
      </c>
      <c r="AU111" s="138">
        <v>41395.0</v>
      </c>
      <c r="AV111" s="138">
        <v>41426.0</v>
      </c>
      <c r="AW111" s="138">
        <v>41456.0</v>
      </c>
      <c r="AX111" s="138">
        <v>41487.0</v>
      </c>
      <c r="AY111" s="138">
        <v>41518.0</v>
      </c>
      <c r="AZ111" s="138">
        <v>41548.0</v>
      </c>
      <c r="BA111" s="138">
        <v>41579.0</v>
      </c>
      <c r="BB111" s="138">
        <v>41609.0</v>
      </c>
      <c r="BC111" s="138">
        <v>41640.0</v>
      </c>
      <c r="BD111" s="138">
        <v>41671.0</v>
      </c>
      <c r="BE111" s="138">
        <v>41699.0</v>
      </c>
      <c r="BF111" s="138">
        <v>41730.0</v>
      </c>
      <c r="BG111" s="138">
        <v>41760.0</v>
      </c>
      <c r="BH111" s="138">
        <v>41791.0</v>
      </c>
      <c r="BI111" s="138">
        <v>41821.0</v>
      </c>
      <c r="BJ111" s="138">
        <v>41852.0</v>
      </c>
      <c r="BK111" s="138">
        <v>41883.0</v>
      </c>
      <c r="BL111" s="138">
        <v>41913.0</v>
      </c>
      <c r="BM111" s="138">
        <v>41944.0</v>
      </c>
      <c r="BN111" s="138">
        <v>41974.0</v>
      </c>
      <c r="BO111" s="138">
        <v>42005.0</v>
      </c>
      <c r="BP111" s="138">
        <v>42036.0</v>
      </c>
      <c r="BQ111" s="138">
        <v>42064.0</v>
      </c>
      <c r="BR111" s="138">
        <v>42095.0</v>
      </c>
      <c r="BS111" s="138">
        <v>42125.0</v>
      </c>
      <c r="BT111" s="138">
        <v>42156.0</v>
      </c>
      <c r="BU111" s="138">
        <v>42186.0</v>
      </c>
      <c r="BV111" s="138">
        <v>42217.0</v>
      </c>
      <c r="BW111" s="138">
        <v>42248.0</v>
      </c>
      <c r="BX111" s="138">
        <v>42278.0</v>
      </c>
      <c r="BY111" s="138">
        <v>42309.0</v>
      </c>
      <c r="BZ111" s="138">
        <v>42339.0</v>
      </c>
      <c r="CA111" s="138">
        <v>42370.0</v>
      </c>
      <c r="CB111" s="138">
        <v>42401.0</v>
      </c>
      <c r="CC111" s="138">
        <v>42430.0</v>
      </c>
      <c r="CD111" s="138">
        <v>42461.0</v>
      </c>
      <c r="CE111" s="138">
        <v>42491.0</v>
      </c>
      <c r="CF111" s="138">
        <v>42522.0</v>
      </c>
      <c r="CG111" s="138">
        <v>42552.0</v>
      </c>
      <c r="CH111" s="138">
        <v>42583.0</v>
      </c>
      <c r="CI111" s="138">
        <v>42614.0</v>
      </c>
      <c r="CJ111" s="138">
        <v>42644.0</v>
      </c>
      <c r="CK111" s="138">
        <v>42675.0</v>
      </c>
      <c r="CL111" s="138">
        <v>42705.0</v>
      </c>
      <c r="CM111" s="138">
        <v>42736.0</v>
      </c>
      <c r="CN111" s="138">
        <v>42767.0</v>
      </c>
      <c r="CO111" s="138">
        <v>42795.0</v>
      </c>
      <c r="CP111" s="138">
        <v>42826.0</v>
      </c>
      <c r="CQ111" s="138">
        <v>42856.0</v>
      </c>
      <c r="CR111" s="138">
        <v>42887.0</v>
      </c>
      <c r="CS111" s="138">
        <v>42917.0</v>
      </c>
      <c r="CT111" s="138">
        <v>42948.0</v>
      </c>
      <c r="CU111" s="138">
        <v>42979.0</v>
      </c>
      <c r="CV111" s="138">
        <v>43009.0</v>
      </c>
      <c r="CW111" s="138">
        <v>43040.0</v>
      </c>
      <c r="CX111" s="138">
        <v>43070.0</v>
      </c>
      <c r="CY111" s="138">
        <v>43101.0</v>
      </c>
      <c r="CZ111" s="138">
        <v>43132.0</v>
      </c>
      <c r="DA111" s="138">
        <v>43160.0</v>
      </c>
      <c r="DB111" s="138">
        <v>43191.0</v>
      </c>
      <c r="DC111" s="138">
        <v>43221.0</v>
      </c>
      <c r="DD111" s="138">
        <v>43252.0</v>
      </c>
      <c r="DE111" s="138">
        <v>43282.0</v>
      </c>
      <c r="DF111" s="138">
        <v>43313.0</v>
      </c>
      <c r="DG111" s="138">
        <v>43344.0</v>
      </c>
      <c r="DH111" s="138">
        <v>43374.0</v>
      </c>
      <c r="DI111" s="138">
        <v>43405.0</v>
      </c>
      <c r="DJ111" s="138">
        <v>43435.0</v>
      </c>
      <c r="DK111" s="138">
        <v>43466.0</v>
      </c>
      <c r="DL111" s="138">
        <v>43497.0</v>
      </c>
      <c r="DM111" s="138">
        <v>43525.0</v>
      </c>
      <c r="DN111" s="138">
        <v>43556.0</v>
      </c>
      <c r="DO111" s="138">
        <v>43586.0</v>
      </c>
      <c r="DP111" s="138">
        <v>43617.0</v>
      </c>
      <c r="DQ111" s="138">
        <v>43647.0</v>
      </c>
      <c r="DR111" s="138">
        <v>43678.0</v>
      </c>
      <c r="DS111" s="138">
        <v>43709.0</v>
      </c>
      <c r="DT111" s="138">
        <v>43739.0</v>
      </c>
      <c r="DU111" s="138">
        <v>43770.0</v>
      </c>
      <c r="DV111" s="138">
        <v>43800.0</v>
      </c>
      <c r="DW111" s="138">
        <v>43831.0</v>
      </c>
      <c r="DX111" s="138">
        <v>43862.0</v>
      </c>
      <c r="DY111" s="138">
        <v>43891.0</v>
      </c>
      <c r="DZ111" s="138">
        <v>43922.0</v>
      </c>
      <c r="EA111" s="139">
        <v>43952.0</v>
      </c>
      <c r="EB111" s="139">
        <v>43983.0</v>
      </c>
      <c r="EC111" s="139">
        <v>44013.0</v>
      </c>
      <c r="ED111" s="139">
        <v>44044.0</v>
      </c>
      <c r="EE111" s="139">
        <v>44075.0</v>
      </c>
      <c r="EF111" s="139">
        <v>44105.0</v>
      </c>
      <c r="EG111" s="139">
        <v>44136.0</v>
      </c>
      <c r="EH111" s="139">
        <v>44166.0</v>
      </c>
      <c r="EI111" s="139">
        <v>44197.0</v>
      </c>
      <c r="EJ111" s="139">
        <v>44228.0</v>
      </c>
      <c r="EK111" s="139">
        <v>44256.0</v>
      </c>
      <c r="EL111" s="139">
        <v>44287.0</v>
      </c>
      <c r="EM111" s="139">
        <v>44317.0</v>
      </c>
      <c r="EN111" s="139">
        <v>44348.0</v>
      </c>
      <c r="EO111" s="139">
        <v>44378.0</v>
      </c>
      <c r="EP111" s="139">
        <v>44409.0</v>
      </c>
      <c r="EQ111" s="139">
        <v>44440.0</v>
      </c>
      <c r="ER111" s="139">
        <v>44470.0</v>
      </c>
      <c r="ES111" s="139">
        <v>44501.0</v>
      </c>
      <c r="ET111" s="139">
        <v>44531.0</v>
      </c>
      <c r="EU111" s="139">
        <v>44562.0</v>
      </c>
      <c r="EV111" s="139">
        <v>44593.0</v>
      </c>
      <c r="EW111" s="139">
        <v>44621.0</v>
      </c>
      <c r="EX111" s="139">
        <v>44652.0</v>
      </c>
      <c r="EY111" s="139">
        <v>44682.0</v>
      </c>
      <c r="EZ111" s="139">
        <v>44713.0</v>
      </c>
      <c r="FA111" s="139">
        <v>44743.0</v>
      </c>
      <c r="FB111" s="139">
        <v>44774.0</v>
      </c>
      <c r="FC111" s="139">
        <v>44805.0</v>
      </c>
      <c r="FD111" s="139">
        <v>44835.0</v>
      </c>
      <c r="FE111" s="139">
        <v>44866.0</v>
      </c>
      <c r="FF111" s="139">
        <v>44896.0</v>
      </c>
      <c r="FG111" s="139">
        <v>44927.0</v>
      </c>
      <c r="FH111" s="139">
        <v>44958.0</v>
      </c>
      <c r="FI111" s="139">
        <v>44986.0</v>
      </c>
      <c r="FJ111" s="139">
        <v>45017.0</v>
      </c>
      <c r="FK111" s="139">
        <v>45047.0</v>
      </c>
      <c r="FL111" s="139">
        <v>45078.0</v>
      </c>
      <c r="FM111" s="139">
        <v>45108.0</v>
      </c>
      <c r="FN111" s="139">
        <v>45139.0</v>
      </c>
      <c r="FO111" s="139">
        <v>45170.0</v>
      </c>
      <c r="FP111" s="139">
        <v>45200.0</v>
      </c>
      <c r="FQ111" s="139">
        <v>45231.0</v>
      </c>
      <c r="FR111" s="139">
        <v>45261.0</v>
      </c>
      <c r="FS111" s="139">
        <v>45292.0</v>
      </c>
      <c r="FT111" s="139">
        <v>45323.0</v>
      </c>
      <c r="FU111" s="139">
        <v>45352.0</v>
      </c>
      <c r="FV111" s="139">
        <v>45383.0</v>
      </c>
      <c r="FW111" s="139">
        <v>45413.0</v>
      </c>
      <c r="FX111" s="139">
        <v>45444.0</v>
      </c>
      <c r="FY111" s="139">
        <v>45474.0</v>
      </c>
      <c r="FZ111" s="139">
        <v>45505.0</v>
      </c>
      <c r="GA111" s="139">
        <v>45536.0</v>
      </c>
      <c r="GB111" s="139">
        <v>45566.0</v>
      </c>
      <c r="GC111" s="139">
        <v>45597.0</v>
      </c>
      <c r="GD111" s="139">
        <v>45627.0</v>
      </c>
      <c r="GE111" s="139">
        <v>45658.0</v>
      </c>
      <c r="GF111" s="139">
        <v>45689.0</v>
      </c>
      <c r="GG111" s="139">
        <v>45717.0</v>
      </c>
      <c r="GH111" s="139">
        <v>45748.0</v>
      </c>
      <c r="GI111" s="139">
        <v>45778.0</v>
      </c>
      <c r="GJ111" s="139">
        <v>45809.0</v>
      </c>
      <c r="GK111" s="139">
        <v>45839.0</v>
      </c>
    </row>
    <row r="112">
      <c r="A112" s="132" t="s">
        <v>34103</v>
      </c>
      <c r="B112" s="133" t="s">
        <v>1111</v>
      </c>
      <c r="C112" s="134">
        <v>44014.47986111111</v>
      </c>
      <c r="D112" s="135" t="str">
        <f t="shared" si="1"/>
        <v>2020/07/02</v>
      </c>
      <c r="E112" s="136" t="s">
        <v>34104</v>
      </c>
      <c r="F112" s="137">
        <v>1.1E-4</v>
      </c>
      <c r="G112" s="138">
        <v>40179.0</v>
      </c>
      <c r="H112" s="138">
        <v>40210.0</v>
      </c>
      <c r="I112" s="138">
        <v>40238.0</v>
      </c>
      <c r="J112" s="138">
        <v>40269.0</v>
      </c>
      <c r="K112" s="138">
        <v>40299.0</v>
      </c>
      <c r="L112" s="138">
        <v>40330.0</v>
      </c>
      <c r="M112" s="138">
        <v>40360.0</v>
      </c>
      <c r="N112" s="138">
        <v>40391.0</v>
      </c>
      <c r="O112" s="138">
        <v>40422.0</v>
      </c>
      <c r="P112" s="138">
        <v>40452.0</v>
      </c>
      <c r="Q112" s="138">
        <v>40483.0</v>
      </c>
      <c r="R112" s="138">
        <v>40513.0</v>
      </c>
      <c r="S112" s="138">
        <v>40544.0</v>
      </c>
      <c r="T112" s="138">
        <v>40575.0</v>
      </c>
      <c r="U112" s="138">
        <v>40603.0</v>
      </c>
      <c r="V112" s="138">
        <v>40634.0</v>
      </c>
      <c r="W112" s="138">
        <v>40664.0</v>
      </c>
      <c r="X112" s="138">
        <v>40695.0</v>
      </c>
      <c r="Y112" s="138">
        <v>40725.0</v>
      </c>
      <c r="Z112" s="138">
        <v>40756.0</v>
      </c>
      <c r="AA112" s="138">
        <v>40787.0</v>
      </c>
      <c r="AB112" s="138">
        <v>40817.0</v>
      </c>
      <c r="AC112" s="138">
        <v>40848.0</v>
      </c>
      <c r="AD112" s="138">
        <v>40878.0</v>
      </c>
      <c r="AE112" s="138">
        <v>40909.0</v>
      </c>
      <c r="AF112" s="138">
        <v>40940.0</v>
      </c>
      <c r="AG112" s="138">
        <v>40969.0</v>
      </c>
      <c r="AH112" s="138">
        <v>41000.0</v>
      </c>
      <c r="AI112" s="138">
        <v>41030.0</v>
      </c>
      <c r="AJ112" s="138">
        <v>41061.0</v>
      </c>
      <c r="AK112" s="138">
        <v>41091.0</v>
      </c>
      <c r="AL112" s="138">
        <v>41122.0</v>
      </c>
      <c r="AM112" s="138">
        <v>41153.0</v>
      </c>
      <c r="AN112" s="138">
        <v>41183.0</v>
      </c>
      <c r="AO112" s="138">
        <v>41214.0</v>
      </c>
      <c r="AP112" s="138">
        <v>41244.0</v>
      </c>
      <c r="AQ112" s="138">
        <v>41275.0</v>
      </c>
      <c r="AR112" s="138">
        <v>41306.0</v>
      </c>
      <c r="AS112" s="138">
        <v>41334.0</v>
      </c>
      <c r="AT112" s="138">
        <v>41365.0</v>
      </c>
      <c r="AU112" s="138">
        <v>41395.0</v>
      </c>
      <c r="AV112" s="138">
        <v>41426.0</v>
      </c>
      <c r="AW112" s="138">
        <v>41456.0</v>
      </c>
      <c r="AX112" s="138">
        <v>41487.0</v>
      </c>
      <c r="AY112" s="138">
        <v>41518.0</v>
      </c>
      <c r="AZ112" s="138">
        <v>41548.0</v>
      </c>
      <c r="BA112" s="138">
        <v>41579.0</v>
      </c>
      <c r="BB112" s="138">
        <v>41609.0</v>
      </c>
      <c r="BC112" s="138">
        <v>41640.0</v>
      </c>
      <c r="BD112" s="138">
        <v>41671.0</v>
      </c>
      <c r="BE112" s="138">
        <v>41699.0</v>
      </c>
      <c r="BF112" s="138">
        <v>41730.0</v>
      </c>
      <c r="BG112" s="138">
        <v>41760.0</v>
      </c>
      <c r="BH112" s="138">
        <v>41791.0</v>
      </c>
      <c r="BI112" s="138">
        <v>41821.0</v>
      </c>
      <c r="BJ112" s="138">
        <v>41852.0</v>
      </c>
      <c r="BK112" s="138">
        <v>41883.0</v>
      </c>
      <c r="BL112" s="138">
        <v>41913.0</v>
      </c>
      <c r="BM112" s="138">
        <v>41944.0</v>
      </c>
      <c r="BN112" s="138">
        <v>41974.0</v>
      </c>
      <c r="BO112" s="138">
        <v>42005.0</v>
      </c>
      <c r="BP112" s="138">
        <v>42036.0</v>
      </c>
      <c r="BQ112" s="138">
        <v>42064.0</v>
      </c>
      <c r="BR112" s="138">
        <v>42095.0</v>
      </c>
      <c r="BS112" s="138">
        <v>42125.0</v>
      </c>
      <c r="BT112" s="138">
        <v>42156.0</v>
      </c>
      <c r="BU112" s="138">
        <v>42186.0</v>
      </c>
      <c r="BV112" s="138">
        <v>42217.0</v>
      </c>
      <c r="BW112" s="138">
        <v>42248.0</v>
      </c>
      <c r="BX112" s="138">
        <v>42278.0</v>
      </c>
      <c r="BY112" s="138">
        <v>42309.0</v>
      </c>
      <c r="BZ112" s="138">
        <v>42339.0</v>
      </c>
      <c r="CA112" s="138">
        <v>42370.0</v>
      </c>
      <c r="CB112" s="138">
        <v>42401.0</v>
      </c>
      <c r="CC112" s="138">
        <v>42430.0</v>
      </c>
      <c r="CD112" s="138">
        <v>42461.0</v>
      </c>
      <c r="CE112" s="138">
        <v>42491.0</v>
      </c>
      <c r="CF112" s="138">
        <v>42522.0</v>
      </c>
      <c r="CG112" s="138">
        <v>42552.0</v>
      </c>
      <c r="CH112" s="138">
        <v>42583.0</v>
      </c>
      <c r="CI112" s="138">
        <v>42614.0</v>
      </c>
      <c r="CJ112" s="138">
        <v>42644.0</v>
      </c>
      <c r="CK112" s="138">
        <v>42675.0</v>
      </c>
      <c r="CL112" s="138">
        <v>42705.0</v>
      </c>
      <c r="CM112" s="138">
        <v>42736.0</v>
      </c>
      <c r="CN112" s="138">
        <v>42767.0</v>
      </c>
      <c r="CO112" s="138">
        <v>42795.0</v>
      </c>
      <c r="CP112" s="138">
        <v>42826.0</v>
      </c>
      <c r="CQ112" s="138">
        <v>42856.0</v>
      </c>
      <c r="CR112" s="138">
        <v>42887.0</v>
      </c>
      <c r="CS112" s="138">
        <v>42917.0</v>
      </c>
      <c r="CT112" s="138">
        <v>42948.0</v>
      </c>
      <c r="CU112" s="138">
        <v>42979.0</v>
      </c>
      <c r="CV112" s="138">
        <v>43009.0</v>
      </c>
      <c r="CW112" s="138">
        <v>43040.0</v>
      </c>
      <c r="CX112" s="138">
        <v>43070.0</v>
      </c>
      <c r="CY112" s="138">
        <v>43101.0</v>
      </c>
      <c r="CZ112" s="138">
        <v>43132.0</v>
      </c>
      <c r="DA112" s="138">
        <v>43160.0</v>
      </c>
      <c r="DB112" s="138">
        <v>43191.0</v>
      </c>
      <c r="DC112" s="138">
        <v>43221.0</v>
      </c>
      <c r="DD112" s="138">
        <v>43252.0</v>
      </c>
      <c r="DE112" s="138">
        <v>43282.0</v>
      </c>
      <c r="DF112" s="138">
        <v>43313.0</v>
      </c>
      <c r="DG112" s="138">
        <v>43344.0</v>
      </c>
      <c r="DH112" s="138">
        <v>43374.0</v>
      </c>
      <c r="DI112" s="138">
        <v>43405.0</v>
      </c>
      <c r="DJ112" s="138">
        <v>43435.0</v>
      </c>
      <c r="DK112" s="138">
        <v>43466.0</v>
      </c>
      <c r="DL112" s="138">
        <v>43497.0</v>
      </c>
      <c r="DM112" s="138">
        <v>43525.0</v>
      </c>
      <c r="DN112" s="138">
        <v>43556.0</v>
      </c>
      <c r="DO112" s="138">
        <v>43586.0</v>
      </c>
      <c r="DP112" s="138">
        <v>43617.0</v>
      </c>
      <c r="DQ112" s="138">
        <v>43647.0</v>
      </c>
      <c r="DR112" s="138">
        <v>43678.0</v>
      </c>
      <c r="DS112" s="138">
        <v>43709.0</v>
      </c>
      <c r="DT112" s="138">
        <v>43739.0</v>
      </c>
      <c r="DU112" s="138">
        <v>43770.0</v>
      </c>
      <c r="DV112" s="138">
        <v>43800.0</v>
      </c>
      <c r="DW112" s="138">
        <v>43831.0</v>
      </c>
      <c r="DX112" s="138">
        <v>43862.0</v>
      </c>
      <c r="DY112" s="138">
        <v>43891.0</v>
      </c>
      <c r="DZ112" s="138">
        <v>43922.0</v>
      </c>
      <c r="EA112" s="138">
        <v>43952.0</v>
      </c>
      <c r="EB112" s="138">
        <v>43983.0</v>
      </c>
      <c r="EC112" s="138">
        <v>44013.0</v>
      </c>
      <c r="ED112" s="139">
        <v>44044.0</v>
      </c>
      <c r="EE112" s="139">
        <v>44075.0</v>
      </c>
      <c r="EF112" s="139">
        <v>44105.0</v>
      </c>
      <c r="EG112" s="139">
        <v>44136.0</v>
      </c>
      <c r="EH112" s="139">
        <v>44166.0</v>
      </c>
      <c r="EI112" s="139">
        <v>44197.0</v>
      </c>
      <c r="EJ112" s="139">
        <v>44228.0</v>
      </c>
      <c r="EK112" s="139">
        <v>44256.0</v>
      </c>
      <c r="EL112" s="139">
        <v>44287.0</v>
      </c>
      <c r="EM112" s="139">
        <v>44317.0</v>
      </c>
      <c r="EN112" s="139">
        <v>44348.0</v>
      </c>
      <c r="EO112" s="139">
        <v>44378.0</v>
      </c>
      <c r="EP112" s="139">
        <v>44409.0</v>
      </c>
      <c r="EQ112" s="139">
        <v>44440.0</v>
      </c>
      <c r="ER112" s="139">
        <v>44470.0</v>
      </c>
      <c r="ES112" s="139">
        <v>44501.0</v>
      </c>
      <c r="ET112" s="139">
        <v>44531.0</v>
      </c>
      <c r="EU112" s="139">
        <v>44562.0</v>
      </c>
      <c r="EV112" s="139">
        <v>44593.0</v>
      </c>
      <c r="EW112" s="139">
        <v>44621.0</v>
      </c>
      <c r="EX112" s="139">
        <v>44652.0</v>
      </c>
      <c r="EY112" s="139">
        <v>44682.0</v>
      </c>
      <c r="EZ112" s="139">
        <v>44713.0</v>
      </c>
      <c r="FA112" s="139">
        <v>44743.0</v>
      </c>
      <c r="FB112" s="139">
        <v>44774.0</v>
      </c>
      <c r="FC112" s="139">
        <v>44805.0</v>
      </c>
      <c r="FD112" s="139">
        <v>44835.0</v>
      </c>
      <c r="FE112" s="139">
        <v>44866.0</v>
      </c>
      <c r="FF112" s="139">
        <v>44896.0</v>
      </c>
      <c r="FG112" s="139">
        <v>44927.0</v>
      </c>
      <c r="FH112" s="139">
        <v>44958.0</v>
      </c>
      <c r="FI112" s="139">
        <v>44986.0</v>
      </c>
      <c r="FJ112" s="139">
        <v>45017.0</v>
      </c>
      <c r="FK112" s="139">
        <v>45047.0</v>
      </c>
      <c r="FL112" s="139">
        <v>45078.0</v>
      </c>
      <c r="FM112" s="139">
        <v>45108.0</v>
      </c>
      <c r="FN112" s="139">
        <v>45139.0</v>
      </c>
      <c r="FO112" s="139">
        <v>45170.0</v>
      </c>
      <c r="FP112" s="139">
        <v>45200.0</v>
      </c>
      <c r="FQ112" s="139">
        <v>45231.0</v>
      </c>
      <c r="FR112" s="139">
        <v>45261.0</v>
      </c>
      <c r="FS112" s="139">
        <v>45292.0</v>
      </c>
      <c r="FT112" s="139">
        <v>45323.0</v>
      </c>
      <c r="FU112" s="139">
        <v>45352.0</v>
      </c>
      <c r="FV112" s="139">
        <v>45383.0</v>
      </c>
      <c r="FW112" s="139">
        <v>45413.0</v>
      </c>
      <c r="FX112" s="139">
        <v>45444.0</v>
      </c>
      <c r="FY112" s="139">
        <v>45474.0</v>
      </c>
      <c r="FZ112" s="139">
        <v>45505.0</v>
      </c>
      <c r="GA112" s="139">
        <v>45536.0</v>
      </c>
      <c r="GB112" s="139">
        <v>45566.0</v>
      </c>
      <c r="GC112" s="139">
        <v>45597.0</v>
      </c>
      <c r="GD112" s="139">
        <v>45627.0</v>
      </c>
      <c r="GE112" s="139">
        <v>45658.0</v>
      </c>
      <c r="GF112" s="139">
        <v>45689.0</v>
      </c>
      <c r="GG112" s="139">
        <v>45717.0</v>
      </c>
      <c r="GH112" s="139">
        <v>45748.0</v>
      </c>
      <c r="GI112" s="139">
        <v>45778.0</v>
      </c>
      <c r="GJ112" s="139">
        <v>45809.0</v>
      </c>
      <c r="GK112" s="139">
        <v>45839.0</v>
      </c>
    </row>
    <row r="113">
      <c r="A113" s="132" t="s">
        <v>34105</v>
      </c>
      <c r="B113" s="133" t="s">
        <v>286</v>
      </c>
      <c r="C113" s="134">
        <v>44028.486180555556</v>
      </c>
      <c r="D113" s="135" t="str">
        <f t="shared" si="1"/>
        <v>2020/07/16</v>
      </c>
      <c r="E113" s="136" t="s">
        <v>34106</v>
      </c>
      <c r="F113" s="137">
        <v>0.00194</v>
      </c>
      <c r="G113" s="138">
        <v>40179.0</v>
      </c>
      <c r="H113" s="138">
        <v>40210.0</v>
      </c>
      <c r="I113" s="138">
        <v>40238.0</v>
      </c>
      <c r="J113" s="138">
        <v>40269.0</v>
      </c>
      <c r="K113" s="138">
        <v>40299.0</v>
      </c>
      <c r="L113" s="138">
        <v>40330.0</v>
      </c>
      <c r="M113" s="138">
        <v>40360.0</v>
      </c>
      <c r="N113" s="138">
        <v>40391.0</v>
      </c>
      <c r="O113" s="138">
        <v>40422.0</v>
      </c>
      <c r="P113" s="138">
        <v>40452.0</v>
      </c>
      <c r="Q113" s="138">
        <v>40483.0</v>
      </c>
      <c r="R113" s="138">
        <v>40513.0</v>
      </c>
      <c r="S113" s="138">
        <v>40544.0</v>
      </c>
      <c r="T113" s="138">
        <v>40575.0</v>
      </c>
      <c r="U113" s="138">
        <v>40603.0</v>
      </c>
      <c r="V113" s="138">
        <v>40634.0</v>
      </c>
      <c r="W113" s="138">
        <v>40664.0</v>
      </c>
      <c r="X113" s="138">
        <v>40695.0</v>
      </c>
      <c r="Y113" s="138">
        <v>40725.0</v>
      </c>
      <c r="Z113" s="138">
        <v>40756.0</v>
      </c>
      <c r="AA113" s="138">
        <v>40787.0</v>
      </c>
      <c r="AB113" s="138">
        <v>40817.0</v>
      </c>
      <c r="AC113" s="138">
        <v>40848.0</v>
      </c>
      <c r="AD113" s="138">
        <v>40878.0</v>
      </c>
      <c r="AE113" s="138">
        <v>40909.0</v>
      </c>
      <c r="AF113" s="138">
        <v>40940.0</v>
      </c>
      <c r="AG113" s="138">
        <v>40969.0</v>
      </c>
      <c r="AH113" s="138">
        <v>41000.0</v>
      </c>
      <c r="AI113" s="138">
        <v>41030.0</v>
      </c>
      <c r="AJ113" s="138">
        <v>41061.0</v>
      </c>
      <c r="AK113" s="138">
        <v>41091.0</v>
      </c>
      <c r="AL113" s="138">
        <v>41122.0</v>
      </c>
      <c r="AM113" s="138">
        <v>41153.0</v>
      </c>
      <c r="AN113" s="138">
        <v>41183.0</v>
      </c>
      <c r="AO113" s="138">
        <v>41214.0</v>
      </c>
      <c r="AP113" s="138">
        <v>41244.0</v>
      </c>
      <c r="AQ113" s="138">
        <v>41275.0</v>
      </c>
      <c r="AR113" s="138">
        <v>41306.0</v>
      </c>
      <c r="AS113" s="138">
        <v>41334.0</v>
      </c>
      <c r="AT113" s="138">
        <v>41365.0</v>
      </c>
      <c r="AU113" s="138">
        <v>41395.0</v>
      </c>
      <c r="AV113" s="138">
        <v>41426.0</v>
      </c>
      <c r="AW113" s="138">
        <v>41456.0</v>
      </c>
      <c r="AX113" s="138">
        <v>41487.0</v>
      </c>
      <c r="AY113" s="138">
        <v>41518.0</v>
      </c>
      <c r="AZ113" s="138">
        <v>41548.0</v>
      </c>
      <c r="BA113" s="138">
        <v>41579.0</v>
      </c>
      <c r="BB113" s="138">
        <v>41609.0</v>
      </c>
      <c r="BC113" s="138">
        <v>41640.0</v>
      </c>
      <c r="BD113" s="138">
        <v>41671.0</v>
      </c>
      <c r="BE113" s="138">
        <v>41699.0</v>
      </c>
      <c r="BF113" s="138">
        <v>41730.0</v>
      </c>
      <c r="BG113" s="138">
        <v>41760.0</v>
      </c>
      <c r="BH113" s="138">
        <v>41791.0</v>
      </c>
      <c r="BI113" s="138">
        <v>41821.0</v>
      </c>
      <c r="BJ113" s="138">
        <v>41852.0</v>
      </c>
      <c r="BK113" s="138">
        <v>41883.0</v>
      </c>
      <c r="BL113" s="138">
        <v>41913.0</v>
      </c>
      <c r="BM113" s="138">
        <v>41944.0</v>
      </c>
      <c r="BN113" s="138">
        <v>41974.0</v>
      </c>
      <c r="BO113" s="138">
        <v>42005.0</v>
      </c>
      <c r="BP113" s="138">
        <v>42036.0</v>
      </c>
      <c r="BQ113" s="138">
        <v>42064.0</v>
      </c>
      <c r="BR113" s="138">
        <v>42095.0</v>
      </c>
      <c r="BS113" s="138">
        <v>42125.0</v>
      </c>
      <c r="BT113" s="138">
        <v>42156.0</v>
      </c>
      <c r="BU113" s="138">
        <v>42186.0</v>
      </c>
      <c r="BV113" s="138">
        <v>42217.0</v>
      </c>
      <c r="BW113" s="138">
        <v>42248.0</v>
      </c>
      <c r="BX113" s="138">
        <v>42278.0</v>
      </c>
      <c r="BY113" s="138">
        <v>42309.0</v>
      </c>
      <c r="BZ113" s="138">
        <v>42339.0</v>
      </c>
      <c r="CA113" s="138">
        <v>42370.0</v>
      </c>
      <c r="CB113" s="138">
        <v>42401.0</v>
      </c>
      <c r="CC113" s="138">
        <v>42430.0</v>
      </c>
      <c r="CD113" s="138">
        <v>42461.0</v>
      </c>
      <c r="CE113" s="138">
        <v>42491.0</v>
      </c>
      <c r="CF113" s="138">
        <v>42522.0</v>
      </c>
      <c r="CG113" s="138">
        <v>42552.0</v>
      </c>
      <c r="CH113" s="138">
        <v>42583.0</v>
      </c>
      <c r="CI113" s="138">
        <v>42614.0</v>
      </c>
      <c r="CJ113" s="138">
        <v>42644.0</v>
      </c>
      <c r="CK113" s="138">
        <v>42675.0</v>
      </c>
      <c r="CL113" s="138">
        <v>42705.0</v>
      </c>
      <c r="CM113" s="138">
        <v>42736.0</v>
      </c>
      <c r="CN113" s="138">
        <v>42767.0</v>
      </c>
      <c r="CO113" s="138">
        <v>42795.0</v>
      </c>
      <c r="CP113" s="138">
        <v>42826.0</v>
      </c>
      <c r="CQ113" s="138">
        <v>42856.0</v>
      </c>
      <c r="CR113" s="138">
        <v>42887.0</v>
      </c>
      <c r="CS113" s="138">
        <v>42917.0</v>
      </c>
      <c r="CT113" s="138">
        <v>42948.0</v>
      </c>
      <c r="CU113" s="138">
        <v>42979.0</v>
      </c>
      <c r="CV113" s="138">
        <v>43009.0</v>
      </c>
      <c r="CW113" s="138">
        <v>43040.0</v>
      </c>
      <c r="CX113" s="138">
        <v>43070.0</v>
      </c>
      <c r="CY113" s="138">
        <v>43101.0</v>
      </c>
      <c r="CZ113" s="138">
        <v>43132.0</v>
      </c>
      <c r="DA113" s="138">
        <v>43160.0</v>
      </c>
      <c r="DB113" s="138">
        <v>43191.0</v>
      </c>
      <c r="DC113" s="138">
        <v>43221.0</v>
      </c>
      <c r="DD113" s="138">
        <v>43252.0</v>
      </c>
      <c r="DE113" s="138">
        <v>43282.0</v>
      </c>
      <c r="DF113" s="138">
        <v>43313.0</v>
      </c>
      <c r="DG113" s="138">
        <v>43344.0</v>
      </c>
      <c r="DH113" s="138">
        <v>43374.0</v>
      </c>
      <c r="DI113" s="138">
        <v>43405.0</v>
      </c>
      <c r="DJ113" s="138">
        <v>43435.0</v>
      </c>
      <c r="DK113" s="138">
        <v>43466.0</v>
      </c>
      <c r="DL113" s="138">
        <v>43497.0</v>
      </c>
      <c r="DM113" s="138">
        <v>43525.0</v>
      </c>
      <c r="DN113" s="138">
        <v>43556.0</v>
      </c>
      <c r="DO113" s="138">
        <v>43586.0</v>
      </c>
      <c r="DP113" s="138">
        <v>43617.0</v>
      </c>
      <c r="DQ113" s="138">
        <v>43647.0</v>
      </c>
      <c r="DR113" s="138">
        <v>43678.0</v>
      </c>
      <c r="DS113" s="138">
        <v>43709.0</v>
      </c>
      <c r="DT113" s="138">
        <v>43739.0</v>
      </c>
      <c r="DU113" s="138">
        <v>43770.0</v>
      </c>
      <c r="DV113" s="138">
        <v>43800.0</v>
      </c>
      <c r="DW113" s="138">
        <v>43831.0</v>
      </c>
      <c r="DX113" s="138">
        <v>43862.0</v>
      </c>
      <c r="DY113" s="138">
        <v>43891.0</v>
      </c>
      <c r="DZ113" s="138">
        <v>43922.0</v>
      </c>
      <c r="EA113" s="138">
        <v>43952.0</v>
      </c>
      <c r="EB113" s="138">
        <v>43983.0</v>
      </c>
      <c r="EC113" s="138">
        <v>44013.0</v>
      </c>
      <c r="ED113" s="139">
        <v>44044.0</v>
      </c>
      <c r="EE113" s="139">
        <v>44075.0</v>
      </c>
      <c r="EF113" s="139">
        <v>44105.0</v>
      </c>
      <c r="EG113" s="139">
        <v>44136.0</v>
      </c>
      <c r="EH113" s="139">
        <v>44166.0</v>
      </c>
      <c r="EI113" s="139">
        <v>44197.0</v>
      </c>
      <c r="EJ113" s="139">
        <v>44228.0</v>
      </c>
      <c r="EK113" s="139">
        <v>44256.0</v>
      </c>
      <c r="EL113" s="139">
        <v>44287.0</v>
      </c>
      <c r="EM113" s="139">
        <v>44317.0</v>
      </c>
      <c r="EN113" s="139">
        <v>44348.0</v>
      </c>
      <c r="EO113" s="139">
        <v>44378.0</v>
      </c>
      <c r="EP113" s="139">
        <v>44409.0</v>
      </c>
      <c r="EQ113" s="139">
        <v>44440.0</v>
      </c>
      <c r="ER113" s="139">
        <v>44470.0</v>
      </c>
      <c r="ES113" s="139">
        <v>44501.0</v>
      </c>
      <c r="ET113" s="139">
        <v>44531.0</v>
      </c>
      <c r="EU113" s="139">
        <v>44562.0</v>
      </c>
      <c r="EV113" s="139">
        <v>44593.0</v>
      </c>
      <c r="EW113" s="139">
        <v>44621.0</v>
      </c>
      <c r="EX113" s="139">
        <v>44652.0</v>
      </c>
      <c r="EY113" s="139">
        <v>44682.0</v>
      </c>
      <c r="EZ113" s="139">
        <v>44713.0</v>
      </c>
      <c r="FA113" s="139">
        <v>44743.0</v>
      </c>
      <c r="FB113" s="139">
        <v>44774.0</v>
      </c>
      <c r="FC113" s="139">
        <v>44805.0</v>
      </c>
      <c r="FD113" s="139">
        <v>44835.0</v>
      </c>
      <c r="FE113" s="139">
        <v>44866.0</v>
      </c>
      <c r="FF113" s="139">
        <v>44896.0</v>
      </c>
      <c r="FG113" s="139">
        <v>44927.0</v>
      </c>
      <c r="FH113" s="139">
        <v>44958.0</v>
      </c>
      <c r="FI113" s="139">
        <v>44986.0</v>
      </c>
      <c r="FJ113" s="139">
        <v>45017.0</v>
      </c>
      <c r="FK113" s="139">
        <v>45047.0</v>
      </c>
      <c r="FL113" s="139">
        <v>45078.0</v>
      </c>
      <c r="FM113" s="139">
        <v>45108.0</v>
      </c>
      <c r="FN113" s="139">
        <v>45139.0</v>
      </c>
      <c r="FO113" s="139">
        <v>45170.0</v>
      </c>
      <c r="FP113" s="139">
        <v>45200.0</v>
      </c>
      <c r="FQ113" s="139">
        <v>45231.0</v>
      </c>
      <c r="FR113" s="139">
        <v>45261.0</v>
      </c>
      <c r="FS113" s="139">
        <v>45292.0</v>
      </c>
      <c r="FT113" s="139">
        <v>45323.0</v>
      </c>
      <c r="FU113" s="139">
        <v>45352.0</v>
      </c>
      <c r="FV113" s="139">
        <v>45383.0</v>
      </c>
      <c r="FW113" s="139">
        <v>45413.0</v>
      </c>
      <c r="FX113" s="139">
        <v>45444.0</v>
      </c>
      <c r="FY113" s="139">
        <v>45474.0</v>
      </c>
      <c r="FZ113" s="139">
        <v>45505.0</v>
      </c>
      <c r="GA113" s="139">
        <v>45536.0</v>
      </c>
      <c r="GB113" s="139">
        <v>45566.0</v>
      </c>
      <c r="GC113" s="139">
        <v>45597.0</v>
      </c>
      <c r="GD113" s="139">
        <v>45627.0</v>
      </c>
      <c r="GE113" s="139">
        <v>45658.0</v>
      </c>
      <c r="GF113" s="139">
        <v>45689.0</v>
      </c>
      <c r="GG113" s="139">
        <v>45717.0</v>
      </c>
      <c r="GH113" s="139">
        <v>45748.0</v>
      </c>
      <c r="GI113" s="139">
        <v>45778.0</v>
      </c>
      <c r="GJ113" s="139">
        <v>45809.0</v>
      </c>
      <c r="GK113" s="139">
        <v>45839.0</v>
      </c>
    </row>
    <row r="114">
      <c r="A114" s="132" t="s">
        <v>34107</v>
      </c>
      <c r="B114" s="133" t="s">
        <v>1186</v>
      </c>
      <c r="C114" s="134">
        <v>44041.727002314816</v>
      </c>
      <c r="D114" s="135" t="str">
        <f t="shared" si="1"/>
        <v>2020/07/29</v>
      </c>
      <c r="E114" s="136" t="s">
        <v>34106</v>
      </c>
      <c r="F114" s="137">
        <v>0.00194</v>
      </c>
      <c r="G114" s="138">
        <v>40179.0</v>
      </c>
      <c r="H114" s="138">
        <v>40210.0</v>
      </c>
      <c r="I114" s="138">
        <v>40238.0</v>
      </c>
      <c r="J114" s="138">
        <v>40269.0</v>
      </c>
      <c r="K114" s="138">
        <v>40299.0</v>
      </c>
      <c r="L114" s="138">
        <v>40330.0</v>
      </c>
      <c r="M114" s="138">
        <v>40360.0</v>
      </c>
      <c r="N114" s="138">
        <v>40391.0</v>
      </c>
      <c r="O114" s="138">
        <v>40422.0</v>
      </c>
      <c r="P114" s="138">
        <v>40452.0</v>
      </c>
      <c r="Q114" s="138">
        <v>40483.0</v>
      </c>
      <c r="R114" s="138">
        <v>40513.0</v>
      </c>
      <c r="S114" s="138">
        <v>40544.0</v>
      </c>
      <c r="T114" s="138">
        <v>40575.0</v>
      </c>
      <c r="U114" s="138">
        <v>40603.0</v>
      </c>
      <c r="V114" s="138">
        <v>40634.0</v>
      </c>
      <c r="W114" s="138">
        <v>40664.0</v>
      </c>
      <c r="X114" s="138">
        <v>40695.0</v>
      </c>
      <c r="Y114" s="138">
        <v>40725.0</v>
      </c>
      <c r="Z114" s="138">
        <v>40756.0</v>
      </c>
      <c r="AA114" s="138">
        <v>40787.0</v>
      </c>
      <c r="AB114" s="138">
        <v>40817.0</v>
      </c>
      <c r="AC114" s="138">
        <v>40848.0</v>
      </c>
      <c r="AD114" s="138">
        <v>40878.0</v>
      </c>
      <c r="AE114" s="138">
        <v>40909.0</v>
      </c>
      <c r="AF114" s="138">
        <v>40940.0</v>
      </c>
      <c r="AG114" s="138">
        <v>40969.0</v>
      </c>
      <c r="AH114" s="138">
        <v>41000.0</v>
      </c>
      <c r="AI114" s="138">
        <v>41030.0</v>
      </c>
      <c r="AJ114" s="138">
        <v>41061.0</v>
      </c>
      <c r="AK114" s="138">
        <v>41091.0</v>
      </c>
      <c r="AL114" s="138">
        <v>41122.0</v>
      </c>
      <c r="AM114" s="138">
        <v>41153.0</v>
      </c>
      <c r="AN114" s="138">
        <v>41183.0</v>
      </c>
      <c r="AO114" s="138">
        <v>41214.0</v>
      </c>
      <c r="AP114" s="138">
        <v>41244.0</v>
      </c>
      <c r="AQ114" s="138">
        <v>41275.0</v>
      </c>
      <c r="AR114" s="138">
        <v>41306.0</v>
      </c>
      <c r="AS114" s="138">
        <v>41334.0</v>
      </c>
      <c r="AT114" s="138">
        <v>41365.0</v>
      </c>
      <c r="AU114" s="138">
        <v>41395.0</v>
      </c>
      <c r="AV114" s="138">
        <v>41426.0</v>
      </c>
      <c r="AW114" s="138">
        <v>41456.0</v>
      </c>
      <c r="AX114" s="138">
        <v>41487.0</v>
      </c>
      <c r="AY114" s="138">
        <v>41518.0</v>
      </c>
      <c r="AZ114" s="138">
        <v>41548.0</v>
      </c>
      <c r="BA114" s="138">
        <v>41579.0</v>
      </c>
      <c r="BB114" s="138">
        <v>41609.0</v>
      </c>
      <c r="BC114" s="138">
        <v>41640.0</v>
      </c>
      <c r="BD114" s="138">
        <v>41671.0</v>
      </c>
      <c r="BE114" s="138">
        <v>41699.0</v>
      </c>
      <c r="BF114" s="138">
        <v>41730.0</v>
      </c>
      <c r="BG114" s="138">
        <v>41760.0</v>
      </c>
      <c r="BH114" s="138">
        <v>41791.0</v>
      </c>
      <c r="BI114" s="138">
        <v>41821.0</v>
      </c>
      <c r="BJ114" s="138">
        <v>41852.0</v>
      </c>
      <c r="BK114" s="138">
        <v>41883.0</v>
      </c>
      <c r="BL114" s="138">
        <v>41913.0</v>
      </c>
      <c r="BM114" s="138">
        <v>41944.0</v>
      </c>
      <c r="BN114" s="138">
        <v>41974.0</v>
      </c>
      <c r="BO114" s="138">
        <v>42005.0</v>
      </c>
      <c r="BP114" s="138">
        <v>42036.0</v>
      </c>
      <c r="BQ114" s="138">
        <v>42064.0</v>
      </c>
      <c r="BR114" s="138">
        <v>42095.0</v>
      </c>
      <c r="BS114" s="138">
        <v>42125.0</v>
      </c>
      <c r="BT114" s="138">
        <v>42156.0</v>
      </c>
      <c r="BU114" s="138">
        <v>42186.0</v>
      </c>
      <c r="BV114" s="138">
        <v>42217.0</v>
      </c>
      <c r="BW114" s="138">
        <v>42248.0</v>
      </c>
      <c r="BX114" s="138">
        <v>42278.0</v>
      </c>
      <c r="BY114" s="138">
        <v>42309.0</v>
      </c>
      <c r="BZ114" s="138">
        <v>42339.0</v>
      </c>
      <c r="CA114" s="138">
        <v>42370.0</v>
      </c>
      <c r="CB114" s="138">
        <v>42401.0</v>
      </c>
      <c r="CC114" s="138">
        <v>42430.0</v>
      </c>
      <c r="CD114" s="138">
        <v>42461.0</v>
      </c>
      <c r="CE114" s="138">
        <v>42491.0</v>
      </c>
      <c r="CF114" s="138">
        <v>42522.0</v>
      </c>
      <c r="CG114" s="138">
        <v>42552.0</v>
      </c>
      <c r="CH114" s="138">
        <v>42583.0</v>
      </c>
      <c r="CI114" s="138">
        <v>42614.0</v>
      </c>
      <c r="CJ114" s="138">
        <v>42644.0</v>
      </c>
      <c r="CK114" s="138">
        <v>42675.0</v>
      </c>
      <c r="CL114" s="138">
        <v>42705.0</v>
      </c>
      <c r="CM114" s="138">
        <v>42736.0</v>
      </c>
      <c r="CN114" s="138">
        <v>42767.0</v>
      </c>
      <c r="CO114" s="138">
        <v>42795.0</v>
      </c>
      <c r="CP114" s="138">
        <v>42826.0</v>
      </c>
      <c r="CQ114" s="138">
        <v>42856.0</v>
      </c>
      <c r="CR114" s="138">
        <v>42887.0</v>
      </c>
      <c r="CS114" s="138">
        <v>42917.0</v>
      </c>
      <c r="CT114" s="138">
        <v>42948.0</v>
      </c>
      <c r="CU114" s="138">
        <v>42979.0</v>
      </c>
      <c r="CV114" s="138">
        <v>43009.0</v>
      </c>
      <c r="CW114" s="138">
        <v>43040.0</v>
      </c>
      <c r="CX114" s="138">
        <v>43070.0</v>
      </c>
      <c r="CY114" s="138">
        <v>43101.0</v>
      </c>
      <c r="CZ114" s="138">
        <v>43132.0</v>
      </c>
      <c r="DA114" s="138">
        <v>43160.0</v>
      </c>
      <c r="DB114" s="138">
        <v>43191.0</v>
      </c>
      <c r="DC114" s="138">
        <v>43221.0</v>
      </c>
      <c r="DD114" s="138">
        <v>43252.0</v>
      </c>
      <c r="DE114" s="138">
        <v>43282.0</v>
      </c>
      <c r="DF114" s="138">
        <v>43313.0</v>
      </c>
      <c r="DG114" s="138">
        <v>43344.0</v>
      </c>
      <c r="DH114" s="138">
        <v>43374.0</v>
      </c>
      <c r="DI114" s="138">
        <v>43405.0</v>
      </c>
      <c r="DJ114" s="138">
        <v>43435.0</v>
      </c>
      <c r="DK114" s="138">
        <v>43466.0</v>
      </c>
      <c r="DL114" s="138">
        <v>43497.0</v>
      </c>
      <c r="DM114" s="138">
        <v>43525.0</v>
      </c>
      <c r="DN114" s="138">
        <v>43556.0</v>
      </c>
      <c r="DO114" s="138">
        <v>43586.0</v>
      </c>
      <c r="DP114" s="138">
        <v>43617.0</v>
      </c>
      <c r="DQ114" s="138">
        <v>43647.0</v>
      </c>
      <c r="DR114" s="138">
        <v>43678.0</v>
      </c>
      <c r="DS114" s="138">
        <v>43709.0</v>
      </c>
      <c r="DT114" s="138">
        <v>43739.0</v>
      </c>
      <c r="DU114" s="138">
        <v>43770.0</v>
      </c>
      <c r="DV114" s="138">
        <v>43800.0</v>
      </c>
      <c r="DW114" s="138">
        <v>43831.0</v>
      </c>
      <c r="DX114" s="138">
        <v>43862.0</v>
      </c>
      <c r="DY114" s="138">
        <v>43891.0</v>
      </c>
      <c r="DZ114" s="138">
        <v>43922.0</v>
      </c>
      <c r="EA114" s="138">
        <v>43952.0</v>
      </c>
      <c r="EB114" s="138">
        <v>43983.0</v>
      </c>
      <c r="EC114" s="138">
        <v>44013.0</v>
      </c>
      <c r="ED114" s="139">
        <v>44044.0</v>
      </c>
      <c r="EE114" s="139">
        <v>44075.0</v>
      </c>
      <c r="EF114" s="139">
        <v>44105.0</v>
      </c>
      <c r="EG114" s="139">
        <v>44136.0</v>
      </c>
      <c r="EH114" s="139">
        <v>44166.0</v>
      </c>
      <c r="EI114" s="139">
        <v>44197.0</v>
      </c>
      <c r="EJ114" s="139">
        <v>44228.0</v>
      </c>
      <c r="EK114" s="139">
        <v>44256.0</v>
      </c>
      <c r="EL114" s="139">
        <v>44287.0</v>
      </c>
      <c r="EM114" s="139">
        <v>44317.0</v>
      </c>
      <c r="EN114" s="139">
        <v>44348.0</v>
      </c>
      <c r="EO114" s="139">
        <v>44378.0</v>
      </c>
      <c r="EP114" s="139">
        <v>44409.0</v>
      </c>
      <c r="EQ114" s="139">
        <v>44440.0</v>
      </c>
      <c r="ER114" s="139">
        <v>44470.0</v>
      </c>
      <c r="ES114" s="139">
        <v>44501.0</v>
      </c>
      <c r="ET114" s="139">
        <v>44531.0</v>
      </c>
      <c r="EU114" s="139">
        <v>44562.0</v>
      </c>
      <c r="EV114" s="139">
        <v>44593.0</v>
      </c>
      <c r="EW114" s="139">
        <v>44621.0</v>
      </c>
      <c r="EX114" s="139">
        <v>44652.0</v>
      </c>
      <c r="EY114" s="139">
        <v>44682.0</v>
      </c>
      <c r="EZ114" s="139">
        <v>44713.0</v>
      </c>
      <c r="FA114" s="139">
        <v>44743.0</v>
      </c>
      <c r="FB114" s="139">
        <v>44774.0</v>
      </c>
      <c r="FC114" s="139">
        <v>44805.0</v>
      </c>
      <c r="FD114" s="139">
        <v>44835.0</v>
      </c>
      <c r="FE114" s="139">
        <v>44866.0</v>
      </c>
      <c r="FF114" s="139">
        <v>44896.0</v>
      </c>
      <c r="FG114" s="139">
        <v>44927.0</v>
      </c>
      <c r="FH114" s="139">
        <v>44958.0</v>
      </c>
      <c r="FI114" s="139">
        <v>44986.0</v>
      </c>
      <c r="FJ114" s="139">
        <v>45017.0</v>
      </c>
      <c r="FK114" s="139">
        <v>45047.0</v>
      </c>
      <c r="FL114" s="139">
        <v>45078.0</v>
      </c>
      <c r="FM114" s="139">
        <v>45108.0</v>
      </c>
      <c r="FN114" s="139">
        <v>45139.0</v>
      </c>
      <c r="FO114" s="139">
        <v>45170.0</v>
      </c>
      <c r="FP114" s="139">
        <v>45200.0</v>
      </c>
      <c r="FQ114" s="139">
        <v>45231.0</v>
      </c>
      <c r="FR114" s="139">
        <v>45261.0</v>
      </c>
      <c r="FS114" s="139">
        <v>45292.0</v>
      </c>
      <c r="FT114" s="139">
        <v>45323.0</v>
      </c>
      <c r="FU114" s="139">
        <v>45352.0</v>
      </c>
      <c r="FV114" s="139">
        <v>45383.0</v>
      </c>
      <c r="FW114" s="139">
        <v>45413.0</v>
      </c>
      <c r="FX114" s="139">
        <v>45444.0</v>
      </c>
      <c r="FY114" s="139">
        <v>45474.0</v>
      </c>
      <c r="FZ114" s="139">
        <v>45505.0</v>
      </c>
      <c r="GA114" s="139">
        <v>45536.0</v>
      </c>
      <c r="GB114" s="139">
        <v>45566.0</v>
      </c>
      <c r="GC114" s="139">
        <v>45597.0</v>
      </c>
      <c r="GD114" s="139">
        <v>45627.0</v>
      </c>
      <c r="GE114" s="139">
        <v>45658.0</v>
      </c>
      <c r="GF114" s="139">
        <v>45689.0</v>
      </c>
      <c r="GG114" s="139">
        <v>45717.0</v>
      </c>
      <c r="GH114" s="139">
        <v>45748.0</v>
      </c>
      <c r="GI114" s="139">
        <v>45778.0</v>
      </c>
      <c r="GJ114" s="139">
        <v>45809.0</v>
      </c>
      <c r="GK114" s="139">
        <v>45839.0</v>
      </c>
    </row>
    <row r="115">
      <c r="A115" s="132" t="s">
        <v>34108</v>
      </c>
      <c r="B115" s="133" t="s">
        <v>1111</v>
      </c>
      <c r="C115" s="134">
        <v>44049.822858796295</v>
      </c>
      <c r="D115" s="135" t="str">
        <f t="shared" si="1"/>
        <v>2020/08/06</v>
      </c>
      <c r="E115" s="136" t="s">
        <v>34109</v>
      </c>
      <c r="F115" s="137">
        <v>0.0</v>
      </c>
      <c r="G115" s="138">
        <v>40179.0</v>
      </c>
      <c r="H115" s="138">
        <v>40210.0</v>
      </c>
      <c r="I115" s="138">
        <v>40238.0</v>
      </c>
      <c r="J115" s="138">
        <v>40269.0</v>
      </c>
      <c r="K115" s="138">
        <v>40299.0</v>
      </c>
      <c r="L115" s="138">
        <v>40330.0</v>
      </c>
      <c r="M115" s="138">
        <v>40360.0</v>
      </c>
      <c r="N115" s="138">
        <v>40391.0</v>
      </c>
      <c r="O115" s="138">
        <v>40422.0</v>
      </c>
      <c r="P115" s="138">
        <v>40452.0</v>
      </c>
      <c r="Q115" s="138">
        <v>40483.0</v>
      </c>
      <c r="R115" s="138">
        <v>40513.0</v>
      </c>
      <c r="S115" s="138">
        <v>40544.0</v>
      </c>
      <c r="T115" s="138">
        <v>40575.0</v>
      </c>
      <c r="U115" s="138">
        <v>40603.0</v>
      </c>
      <c r="V115" s="138">
        <v>40634.0</v>
      </c>
      <c r="W115" s="138">
        <v>40664.0</v>
      </c>
      <c r="X115" s="138">
        <v>40695.0</v>
      </c>
      <c r="Y115" s="138">
        <v>40725.0</v>
      </c>
      <c r="Z115" s="138">
        <v>40756.0</v>
      </c>
      <c r="AA115" s="138">
        <v>40787.0</v>
      </c>
      <c r="AB115" s="138">
        <v>40817.0</v>
      </c>
      <c r="AC115" s="138">
        <v>40848.0</v>
      </c>
      <c r="AD115" s="138">
        <v>40878.0</v>
      </c>
      <c r="AE115" s="138">
        <v>40909.0</v>
      </c>
      <c r="AF115" s="138">
        <v>40940.0</v>
      </c>
      <c r="AG115" s="138">
        <v>40969.0</v>
      </c>
      <c r="AH115" s="138">
        <v>41000.0</v>
      </c>
      <c r="AI115" s="138">
        <v>41030.0</v>
      </c>
      <c r="AJ115" s="138">
        <v>41061.0</v>
      </c>
      <c r="AK115" s="138">
        <v>41091.0</v>
      </c>
      <c r="AL115" s="138">
        <v>41122.0</v>
      </c>
      <c r="AM115" s="138">
        <v>41153.0</v>
      </c>
      <c r="AN115" s="138">
        <v>41183.0</v>
      </c>
      <c r="AO115" s="138">
        <v>41214.0</v>
      </c>
      <c r="AP115" s="138">
        <v>41244.0</v>
      </c>
      <c r="AQ115" s="138">
        <v>41275.0</v>
      </c>
      <c r="AR115" s="138">
        <v>41306.0</v>
      </c>
      <c r="AS115" s="138">
        <v>41334.0</v>
      </c>
      <c r="AT115" s="138">
        <v>41365.0</v>
      </c>
      <c r="AU115" s="138">
        <v>41395.0</v>
      </c>
      <c r="AV115" s="138">
        <v>41426.0</v>
      </c>
      <c r="AW115" s="138">
        <v>41456.0</v>
      </c>
      <c r="AX115" s="138">
        <v>41487.0</v>
      </c>
      <c r="AY115" s="138">
        <v>41518.0</v>
      </c>
      <c r="AZ115" s="138">
        <v>41548.0</v>
      </c>
      <c r="BA115" s="138">
        <v>41579.0</v>
      </c>
      <c r="BB115" s="138">
        <v>41609.0</v>
      </c>
      <c r="BC115" s="138">
        <v>41640.0</v>
      </c>
      <c r="BD115" s="138">
        <v>41671.0</v>
      </c>
      <c r="BE115" s="138">
        <v>41699.0</v>
      </c>
      <c r="BF115" s="138">
        <v>41730.0</v>
      </c>
      <c r="BG115" s="138">
        <v>41760.0</v>
      </c>
      <c r="BH115" s="138">
        <v>41791.0</v>
      </c>
      <c r="BI115" s="138">
        <v>41821.0</v>
      </c>
      <c r="BJ115" s="138">
        <v>41852.0</v>
      </c>
      <c r="BK115" s="138">
        <v>41883.0</v>
      </c>
      <c r="BL115" s="138">
        <v>41913.0</v>
      </c>
      <c r="BM115" s="138">
        <v>41944.0</v>
      </c>
      <c r="BN115" s="138">
        <v>41974.0</v>
      </c>
      <c r="BO115" s="138">
        <v>42005.0</v>
      </c>
      <c r="BP115" s="138">
        <v>42036.0</v>
      </c>
      <c r="BQ115" s="138">
        <v>42064.0</v>
      </c>
      <c r="BR115" s="138">
        <v>42095.0</v>
      </c>
      <c r="BS115" s="138">
        <v>42125.0</v>
      </c>
      <c r="BT115" s="138">
        <v>42156.0</v>
      </c>
      <c r="BU115" s="138">
        <v>42186.0</v>
      </c>
      <c r="BV115" s="138">
        <v>42217.0</v>
      </c>
      <c r="BW115" s="138">
        <v>42248.0</v>
      </c>
      <c r="BX115" s="138">
        <v>42278.0</v>
      </c>
      <c r="BY115" s="138">
        <v>42309.0</v>
      </c>
      <c r="BZ115" s="138">
        <v>42339.0</v>
      </c>
      <c r="CA115" s="138">
        <v>42370.0</v>
      </c>
      <c r="CB115" s="138">
        <v>42401.0</v>
      </c>
      <c r="CC115" s="138">
        <v>42430.0</v>
      </c>
      <c r="CD115" s="138">
        <v>42461.0</v>
      </c>
      <c r="CE115" s="138">
        <v>42491.0</v>
      </c>
      <c r="CF115" s="138">
        <v>42522.0</v>
      </c>
      <c r="CG115" s="138">
        <v>42552.0</v>
      </c>
      <c r="CH115" s="138">
        <v>42583.0</v>
      </c>
      <c r="CI115" s="138">
        <v>42614.0</v>
      </c>
      <c r="CJ115" s="138">
        <v>42644.0</v>
      </c>
      <c r="CK115" s="138">
        <v>42675.0</v>
      </c>
      <c r="CL115" s="138">
        <v>42705.0</v>
      </c>
      <c r="CM115" s="138">
        <v>42736.0</v>
      </c>
      <c r="CN115" s="138">
        <v>42767.0</v>
      </c>
      <c r="CO115" s="138">
        <v>42795.0</v>
      </c>
      <c r="CP115" s="138">
        <v>42826.0</v>
      </c>
      <c r="CQ115" s="138">
        <v>42856.0</v>
      </c>
      <c r="CR115" s="138">
        <v>42887.0</v>
      </c>
      <c r="CS115" s="138">
        <v>42917.0</v>
      </c>
      <c r="CT115" s="138">
        <v>42948.0</v>
      </c>
      <c r="CU115" s="138">
        <v>42979.0</v>
      </c>
      <c r="CV115" s="138">
        <v>43009.0</v>
      </c>
      <c r="CW115" s="138">
        <v>43040.0</v>
      </c>
      <c r="CX115" s="138">
        <v>43070.0</v>
      </c>
      <c r="CY115" s="138">
        <v>43101.0</v>
      </c>
      <c r="CZ115" s="138">
        <v>43132.0</v>
      </c>
      <c r="DA115" s="138">
        <v>43160.0</v>
      </c>
      <c r="DB115" s="138">
        <v>43191.0</v>
      </c>
      <c r="DC115" s="138">
        <v>43221.0</v>
      </c>
      <c r="DD115" s="138">
        <v>43252.0</v>
      </c>
      <c r="DE115" s="138">
        <v>43282.0</v>
      </c>
      <c r="DF115" s="138">
        <v>43313.0</v>
      </c>
      <c r="DG115" s="138">
        <v>43344.0</v>
      </c>
      <c r="DH115" s="138">
        <v>43374.0</v>
      </c>
      <c r="DI115" s="138">
        <v>43405.0</v>
      </c>
      <c r="DJ115" s="138">
        <v>43435.0</v>
      </c>
      <c r="DK115" s="138">
        <v>43466.0</v>
      </c>
      <c r="DL115" s="138">
        <v>43497.0</v>
      </c>
      <c r="DM115" s="138">
        <v>43525.0</v>
      </c>
      <c r="DN115" s="138">
        <v>43556.0</v>
      </c>
      <c r="DO115" s="138">
        <v>43586.0</v>
      </c>
      <c r="DP115" s="138">
        <v>43617.0</v>
      </c>
      <c r="DQ115" s="138">
        <v>43647.0</v>
      </c>
      <c r="DR115" s="138">
        <v>43678.0</v>
      </c>
      <c r="DS115" s="138">
        <v>43709.0</v>
      </c>
      <c r="DT115" s="138">
        <v>43739.0</v>
      </c>
      <c r="DU115" s="138">
        <v>43770.0</v>
      </c>
      <c r="DV115" s="138">
        <v>43800.0</v>
      </c>
      <c r="DW115" s="138">
        <v>43831.0</v>
      </c>
      <c r="DX115" s="138">
        <v>43862.0</v>
      </c>
      <c r="DY115" s="138">
        <v>43891.0</v>
      </c>
      <c r="DZ115" s="138">
        <v>43922.0</v>
      </c>
      <c r="EA115" s="138">
        <v>43952.0</v>
      </c>
      <c r="EB115" s="138">
        <v>43983.0</v>
      </c>
      <c r="EC115" s="138">
        <v>44013.0</v>
      </c>
      <c r="ED115" s="138">
        <v>44044.0</v>
      </c>
      <c r="EE115" s="139">
        <v>44075.0</v>
      </c>
      <c r="EF115" s="139">
        <v>44105.0</v>
      </c>
      <c r="EG115" s="139">
        <v>44136.0</v>
      </c>
      <c r="EH115" s="139">
        <v>44166.0</v>
      </c>
      <c r="EI115" s="139">
        <v>44197.0</v>
      </c>
      <c r="EJ115" s="139">
        <v>44228.0</v>
      </c>
      <c r="EK115" s="139">
        <v>44256.0</v>
      </c>
      <c r="EL115" s="139">
        <v>44287.0</v>
      </c>
      <c r="EM115" s="139">
        <v>44317.0</v>
      </c>
      <c r="EN115" s="139">
        <v>44348.0</v>
      </c>
      <c r="EO115" s="139">
        <v>44378.0</v>
      </c>
      <c r="EP115" s="139">
        <v>44409.0</v>
      </c>
      <c r="EQ115" s="139">
        <v>44440.0</v>
      </c>
      <c r="ER115" s="139">
        <v>44470.0</v>
      </c>
      <c r="ES115" s="139">
        <v>44501.0</v>
      </c>
      <c r="ET115" s="139">
        <v>44531.0</v>
      </c>
      <c r="EU115" s="139">
        <v>44562.0</v>
      </c>
      <c r="EV115" s="139">
        <v>44593.0</v>
      </c>
      <c r="EW115" s="139">
        <v>44621.0</v>
      </c>
      <c r="EX115" s="139">
        <v>44652.0</v>
      </c>
      <c r="EY115" s="139">
        <v>44682.0</v>
      </c>
      <c r="EZ115" s="139">
        <v>44713.0</v>
      </c>
      <c r="FA115" s="139">
        <v>44743.0</v>
      </c>
      <c r="FB115" s="139">
        <v>44774.0</v>
      </c>
      <c r="FC115" s="139">
        <v>44805.0</v>
      </c>
      <c r="FD115" s="139">
        <v>44835.0</v>
      </c>
      <c r="FE115" s="139">
        <v>44866.0</v>
      </c>
      <c r="FF115" s="139">
        <v>44896.0</v>
      </c>
      <c r="FG115" s="139">
        <v>44927.0</v>
      </c>
      <c r="FH115" s="139">
        <v>44958.0</v>
      </c>
      <c r="FI115" s="139">
        <v>44986.0</v>
      </c>
      <c r="FJ115" s="139">
        <v>45017.0</v>
      </c>
      <c r="FK115" s="139">
        <v>45047.0</v>
      </c>
      <c r="FL115" s="139">
        <v>45078.0</v>
      </c>
      <c r="FM115" s="139">
        <v>45108.0</v>
      </c>
      <c r="FN115" s="139">
        <v>45139.0</v>
      </c>
      <c r="FO115" s="139">
        <v>45170.0</v>
      </c>
      <c r="FP115" s="139">
        <v>45200.0</v>
      </c>
      <c r="FQ115" s="139">
        <v>45231.0</v>
      </c>
      <c r="FR115" s="139">
        <v>45261.0</v>
      </c>
      <c r="FS115" s="139">
        <v>45292.0</v>
      </c>
      <c r="FT115" s="139">
        <v>45323.0</v>
      </c>
      <c r="FU115" s="139">
        <v>45352.0</v>
      </c>
      <c r="FV115" s="139">
        <v>45383.0</v>
      </c>
      <c r="FW115" s="139">
        <v>45413.0</v>
      </c>
      <c r="FX115" s="139">
        <v>45444.0</v>
      </c>
      <c r="FY115" s="139">
        <v>45474.0</v>
      </c>
      <c r="FZ115" s="139">
        <v>45505.0</v>
      </c>
      <c r="GA115" s="139">
        <v>45536.0</v>
      </c>
      <c r="GB115" s="139">
        <v>45566.0</v>
      </c>
      <c r="GC115" s="139">
        <v>45597.0</v>
      </c>
      <c r="GD115" s="139">
        <v>45627.0</v>
      </c>
      <c r="GE115" s="139">
        <v>45658.0</v>
      </c>
      <c r="GF115" s="139">
        <v>45689.0</v>
      </c>
      <c r="GG115" s="139">
        <v>45717.0</v>
      </c>
      <c r="GH115" s="139">
        <v>45748.0</v>
      </c>
      <c r="GI115" s="139">
        <v>45778.0</v>
      </c>
      <c r="GJ115" s="139">
        <v>45809.0</v>
      </c>
      <c r="GK115" s="139">
        <v>45839.0</v>
      </c>
    </row>
    <row r="116">
      <c r="A116" s="132" t="s">
        <v>34110</v>
      </c>
      <c r="B116" s="133" t="s">
        <v>1267</v>
      </c>
      <c r="C116" s="134">
        <v>44060.75059027778</v>
      </c>
      <c r="D116" s="135" t="str">
        <f t="shared" si="1"/>
        <v>2020/08/17</v>
      </c>
      <c r="E116" s="136" t="s">
        <v>34111</v>
      </c>
      <c r="F116" s="137">
        <v>0.01168</v>
      </c>
      <c r="G116" s="138">
        <v>40179.0</v>
      </c>
      <c r="H116" s="138">
        <v>40210.0</v>
      </c>
      <c r="I116" s="138">
        <v>40238.0</v>
      </c>
      <c r="J116" s="138">
        <v>40269.0</v>
      </c>
      <c r="K116" s="138">
        <v>40299.0</v>
      </c>
      <c r="L116" s="138">
        <v>40330.0</v>
      </c>
      <c r="M116" s="138">
        <v>40360.0</v>
      </c>
      <c r="N116" s="138">
        <v>40391.0</v>
      </c>
      <c r="O116" s="138">
        <v>40422.0</v>
      </c>
      <c r="P116" s="138">
        <v>40452.0</v>
      </c>
      <c r="Q116" s="138">
        <v>40483.0</v>
      </c>
      <c r="R116" s="138">
        <v>40513.0</v>
      </c>
      <c r="S116" s="138">
        <v>40544.0</v>
      </c>
      <c r="T116" s="138">
        <v>40575.0</v>
      </c>
      <c r="U116" s="138">
        <v>40603.0</v>
      </c>
      <c r="V116" s="138">
        <v>40634.0</v>
      </c>
      <c r="W116" s="138">
        <v>40664.0</v>
      </c>
      <c r="X116" s="138">
        <v>40695.0</v>
      </c>
      <c r="Y116" s="138">
        <v>40725.0</v>
      </c>
      <c r="Z116" s="138">
        <v>40756.0</v>
      </c>
      <c r="AA116" s="138">
        <v>40787.0</v>
      </c>
      <c r="AB116" s="138">
        <v>40817.0</v>
      </c>
      <c r="AC116" s="138">
        <v>40848.0</v>
      </c>
      <c r="AD116" s="138">
        <v>40878.0</v>
      </c>
      <c r="AE116" s="138">
        <v>40909.0</v>
      </c>
      <c r="AF116" s="138">
        <v>40940.0</v>
      </c>
      <c r="AG116" s="138">
        <v>40969.0</v>
      </c>
      <c r="AH116" s="138">
        <v>41000.0</v>
      </c>
      <c r="AI116" s="138">
        <v>41030.0</v>
      </c>
      <c r="AJ116" s="138">
        <v>41061.0</v>
      </c>
      <c r="AK116" s="138">
        <v>41091.0</v>
      </c>
      <c r="AL116" s="138">
        <v>41122.0</v>
      </c>
      <c r="AM116" s="138">
        <v>41153.0</v>
      </c>
      <c r="AN116" s="138">
        <v>41183.0</v>
      </c>
      <c r="AO116" s="138">
        <v>41214.0</v>
      </c>
      <c r="AP116" s="138">
        <v>41244.0</v>
      </c>
      <c r="AQ116" s="138">
        <v>41275.0</v>
      </c>
      <c r="AR116" s="138">
        <v>41306.0</v>
      </c>
      <c r="AS116" s="138">
        <v>41334.0</v>
      </c>
      <c r="AT116" s="138">
        <v>41365.0</v>
      </c>
      <c r="AU116" s="138">
        <v>41395.0</v>
      </c>
      <c r="AV116" s="138">
        <v>41426.0</v>
      </c>
      <c r="AW116" s="138">
        <v>41456.0</v>
      </c>
      <c r="AX116" s="138">
        <v>41487.0</v>
      </c>
      <c r="AY116" s="138">
        <v>41518.0</v>
      </c>
      <c r="AZ116" s="138">
        <v>41548.0</v>
      </c>
      <c r="BA116" s="138">
        <v>41579.0</v>
      </c>
      <c r="BB116" s="138">
        <v>41609.0</v>
      </c>
      <c r="BC116" s="138">
        <v>41640.0</v>
      </c>
      <c r="BD116" s="138">
        <v>41671.0</v>
      </c>
      <c r="BE116" s="138">
        <v>41699.0</v>
      </c>
      <c r="BF116" s="138">
        <v>41730.0</v>
      </c>
      <c r="BG116" s="138">
        <v>41760.0</v>
      </c>
      <c r="BH116" s="138">
        <v>41791.0</v>
      </c>
      <c r="BI116" s="138">
        <v>41821.0</v>
      </c>
      <c r="BJ116" s="138">
        <v>41852.0</v>
      </c>
      <c r="BK116" s="138">
        <v>41883.0</v>
      </c>
      <c r="BL116" s="138">
        <v>41913.0</v>
      </c>
      <c r="BM116" s="138">
        <v>41944.0</v>
      </c>
      <c r="BN116" s="138">
        <v>41974.0</v>
      </c>
      <c r="BO116" s="138">
        <v>42005.0</v>
      </c>
      <c r="BP116" s="138">
        <v>42036.0</v>
      </c>
      <c r="BQ116" s="138">
        <v>42064.0</v>
      </c>
      <c r="BR116" s="138">
        <v>42095.0</v>
      </c>
      <c r="BS116" s="138">
        <v>42125.0</v>
      </c>
      <c r="BT116" s="138">
        <v>42156.0</v>
      </c>
      <c r="BU116" s="138">
        <v>42186.0</v>
      </c>
      <c r="BV116" s="138">
        <v>42217.0</v>
      </c>
      <c r="BW116" s="138">
        <v>42248.0</v>
      </c>
      <c r="BX116" s="138">
        <v>42278.0</v>
      </c>
      <c r="BY116" s="138">
        <v>42309.0</v>
      </c>
      <c r="BZ116" s="138">
        <v>42339.0</v>
      </c>
      <c r="CA116" s="138">
        <v>42370.0</v>
      </c>
      <c r="CB116" s="138">
        <v>42401.0</v>
      </c>
      <c r="CC116" s="138">
        <v>42430.0</v>
      </c>
      <c r="CD116" s="138">
        <v>42461.0</v>
      </c>
      <c r="CE116" s="138">
        <v>42491.0</v>
      </c>
      <c r="CF116" s="138">
        <v>42522.0</v>
      </c>
      <c r="CG116" s="138">
        <v>42552.0</v>
      </c>
      <c r="CH116" s="138">
        <v>42583.0</v>
      </c>
      <c r="CI116" s="138">
        <v>42614.0</v>
      </c>
      <c r="CJ116" s="138">
        <v>42644.0</v>
      </c>
      <c r="CK116" s="138">
        <v>42675.0</v>
      </c>
      <c r="CL116" s="138">
        <v>42705.0</v>
      </c>
      <c r="CM116" s="138">
        <v>42736.0</v>
      </c>
      <c r="CN116" s="138">
        <v>42767.0</v>
      </c>
      <c r="CO116" s="138">
        <v>42795.0</v>
      </c>
      <c r="CP116" s="138">
        <v>42826.0</v>
      </c>
      <c r="CQ116" s="138">
        <v>42856.0</v>
      </c>
      <c r="CR116" s="138">
        <v>42887.0</v>
      </c>
      <c r="CS116" s="138">
        <v>42917.0</v>
      </c>
      <c r="CT116" s="138">
        <v>42948.0</v>
      </c>
      <c r="CU116" s="138">
        <v>42979.0</v>
      </c>
      <c r="CV116" s="138">
        <v>43009.0</v>
      </c>
      <c r="CW116" s="138">
        <v>43040.0</v>
      </c>
      <c r="CX116" s="138">
        <v>43070.0</v>
      </c>
      <c r="CY116" s="138">
        <v>43101.0</v>
      </c>
      <c r="CZ116" s="138">
        <v>43132.0</v>
      </c>
      <c r="DA116" s="138">
        <v>43160.0</v>
      </c>
      <c r="DB116" s="138">
        <v>43191.0</v>
      </c>
      <c r="DC116" s="138">
        <v>43221.0</v>
      </c>
      <c r="DD116" s="138">
        <v>43252.0</v>
      </c>
      <c r="DE116" s="138">
        <v>43282.0</v>
      </c>
      <c r="DF116" s="138">
        <v>43313.0</v>
      </c>
      <c r="DG116" s="138">
        <v>43344.0</v>
      </c>
      <c r="DH116" s="138">
        <v>43374.0</v>
      </c>
      <c r="DI116" s="138">
        <v>43405.0</v>
      </c>
      <c r="DJ116" s="138">
        <v>43435.0</v>
      </c>
      <c r="DK116" s="138">
        <v>43466.0</v>
      </c>
      <c r="DL116" s="138">
        <v>43497.0</v>
      </c>
      <c r="DM116" s="138">
        <v>43525.0</v>
      </c>
      <c r="DN116" s="138">
        <v>43556.0</v>
      </c>
      <c r="DO116" s="138">
        <v>43586.0</v>
      </c>
      <c r="DP116" s="138">
        <v>43617.0</v>
      </c>
      <c r="DQ116" s="138">
        <v>43647.0</v>
      </c>
      <c r="DR116" s="138">
        <v>43678.0</v>
      </c>
      <c r="DS116" s="138">
        <v>43709.0</v>
      </c>
      <c r="DT116" s="138">
        <v>43739.0</v>
      </c>
      <c r="DU116" s="138">
        <v>43770.0</v>
      </c>
      <c r="DV116" s="138">
        <v>43800.0</v>
      </c>
      <c r="DW116" s="138">
        <v>43831.0</v>
      </c>
      <c r="DX116" s="138">
        <v>43862.0</v>
      </c>
      <c r="DY116" s="138">
        <v>43891.0</v>
      </c>
      <c r="DZ116" s="138">
        <v>43922.0</v>
      </c>
      <c r="EA116" s="138">
        <v>43952.0</v>
      </c>
      <c r="EB116" s="138">
        <v>43983.0</v>
      </c>
      <c r="EC116" s="138">
        <v>44013.0</v>
      </c>
      <c r="ED116" s="138">
        <v>44044.0</v>
      </c>
      <c r="EE116" s="139">
        <v>44075.0</v>
      </c>
      <c r="EF116" s="139">
        <v>44105.0</v>
      </c>
      <c r="EG116" s="139">
        <v>44136.0</v>
      </c>
      <c r="EH116" s="139">
        <v>44166.0</v>
      </c>
      <c r="EI116" s="139">
        <v>44197.0</v>
      </c>
      <c r="EJ116" s="139">
        <v>44228.0</v>
      </c>
      <c r="EK116" s="139">
        <v>44256.0</v>
      </c>
      <c r="EL116" s="139">
        <v>44287.0</v>
      </c>
      <c r="EM116" s="139">
        <v>44317.0</v>
      </c>
      <c r="EN116" s="139">
        <v>44348.0</v>
      </c>
      <c r="EO116" s="139">
        <v>44378.0</v>
      </c>
      <c r="EP116" s="139">
        <v>44409.0</v>
      </c>
      <c r="EQ116" s="139">
        <v>44440.0</v>
      </c>
      <c r="ER116" s="139">
        <v>44470.0</v>
      </c>
      <c r="ES116" s="139">
        <v>44501.0</v>
      </c>
      <c r="ET116" s="139">
        <v>44531.0</v>
      </c>
      <c r="EU116" s="139">
        <v>44562.0</v>
      </c>
      <c r="EV116" s="139">
        <v>44593.0</v>
      </c>
      <c r="EW116" s="139">
        <v>44621.0</v>
      </c>
      <c r="EX116" s="139">
        <v>44652.0</v>
      </c>
      <c r="EY116" s="139">
        <v>44682.0</v>
      </c>
      <c r="EZ116" s="139">
        <v>44713.0</v>
      </c>
      <c r="FA116" s="139">
        <v>44743.0</v>
      </c>
      <c r="FB116" s="139">
        <v>44774.0</v>
      </c>
      <c r="FC116" s="139">
        <v>44805.0</v>
      </c>
      <c r="FD116" s="139">
        <v>44835.0</v>
      </c>
      <c r="FE116" s="139">
        <v>44866.0</v>
      </c>
      <c r="FF116" s="139">
        <v>44896.0</v>
      </c>
      <c r="FG116" s="139">
        <v>44927.0</v>
      </c>
      <c r="FH116" s="139">
        <v>44958.0</v>
      </c>
      <c r="FI116" s="139">
        <v>44986.0</v>
      </c>
      <c r="FJ116" s="139">
        <v>45017.0</v>
      </c>
      <c r="FK116" s="139">
        <v>45047.0</v>
      </c>
      <c r="FL116" s="139">
        <v>45078.0</v>
      </c>
      <c r="FM116" s="139">
        <v>45108.0</v>
      </c>
      <c r="FN116" s="139">
        <v>45139.0</v>
      </c>
      <c r="FO116" s="139">
        <v>45170.0</v>
      </c>
      <c r="FP116" s="139">
        <v>45200.0</v>
      </c>
      <c r="FQ116" s="139">
        <v>45231.0</v>
      </c>
      <c r="FR116" s="139">
        <v>45261.0</v>
      </c>
      <c r="FS116" s="139">
        <v>45292.0</v>
      </c>
      <c r="FT116" s="139">
        <v>45323.0</v>
      </c>
      <c r="FU116" s="139">
        <v>45352.0</v>
      </c>
      <c r="FV116" s="139">
        <v>45383.0</v>
      </c>
      <c r="FW116" s="139">
        <v>45413.0</v>
      </c>
      <c r="FX116" s="139">
        <v>45444.0</v>
      </c>
      <c r="FY116" s="139">
        <v>45474.0</v>
      </c>
      <c r="FZ116" s="139">
        <v>45505.0</v>
      </c>
      <c r="GA116" s="139">
        <v>45536.0</v>
      </c>
      <c r="GB116" s="139">
        <v>45566.0</v>
      </c>
      <c r="GC116" s="139">
        <v>45597.0</v>
      </c>
      <c r="GD116" s="139">
        <v>45627.0</v>
      </c>
      <c r="GE116" s="139">
        <v>45658.0</v>
      </c>
      <c r="GF116" s="139">
        <v>45689.0</v>
      </c>
      <c r="GG116" s="139">
        <v>45717.0</v>
      </c>
      <c r="GH116" s="139">
        <v>45748.0</v>
      </c>
      <c r="GI116" s="139">
        <v>45778.0</v>
      </c>
      <c r="GJ116" s="139">
        <v>45809.0</v>
      </c>
      <c r="GK116" s="139">
        <v>45839.0</v>
      </c>
    </row>
    <row r="117">
      <c r="A117" s="132" t="s">
        <v>34112</v>
      </c>
      <c r="B117" s="133" t="s">
        <v>1081</v>
      </c>
      <c r="C117" s="134">
        <v>44106.82429398148</v>
      </c>
      <c r="D117" s="135" t="str">
        <f t="shared" si="1"/>
        <v>2020/10/02</v>
      </c>
      <c r="E117" s="136" t="s">
        <v>34113</v>
      </c>
      <c r="F117" s="137">
        <v>0.00708</v>
      </c>
      <c r="G117" s="138">
        <v>40179.0</v>
      </c>
      <c r="H117" s="138">
        <v>40210.0</v>
      </c>
      <c r="I117" s="138">
        <v>40238.0</v>
      </c>
      <c r="J117" s="138">
        <v>40269.0</v>
      </c>
      <c r="K117" s="138">
        <v>40299.0</v>
      </c>
      <c r="L117" s="138">
        <v>40330.0</v>
      </c>
      <c r="M117" s="138">
        <v>40360.0</v>
      </c>
      <c r="N117" s="138">
        <v>40391.0</v>
      </c>
      <c r="O117" s="138">
        <v>40422.0</v>
      </c>
      <c r="P117" s="138">
        <v>40452.0</v>
      </c>
      <c r="Q117" s="138">
        <v>40483.0</v>
      </c>
      <c r="R117" s="138">
        <v>40513.0</v>
      </c>
      <c r="S117" s="138">
        <v>40544.0</v>
      </c>
      <c r="T117" s="138">
        <v>40575.0</v>
      </c>
      <c r="U117" s="138">
        <v>40603.0</v>
      </c>
      <c r="V117" s="138">
        <v>40634.0</v>
      </c>
      <c r="W117" s="138">
        <v>40664.0</v>
      </c>
      <c r="X117" s="138">
        <v>40695.0</v>
      </c>
      <c r="Y117" s="138">
        <v>40725.0</v>
      </c>
      <c r="Z117" s="138">
        <v>40756.0</v>
      </c>
      <c r="AA117" s="138">
        <v>40787.0</v>
      </c>
      <c r="AB117" s="138">
        <v>40817.0</v>
      </c>
      <c r="AC117" s="138">
        <v>40848.0</v>
      </c>
      <c r="AD117" s="138">
        <v>40878.0</v>
      </c>
      <c r="AE117" s="138">
        <v>40909.0</v>
      </c>
      <c r="AF117" s="138">
        <v>40940.0</v>
      </c>
      <c r="AG117" s="138">
        <v>40969.0</v>
      </c>
      <c r="AH117" s="138">
        <v>41000.0</v>
      </c>
      <c r="AI117" s="138">
        <v>41030.0</v>
      </c>
      <c r="AJ117" s="138">
        <v>41061.0</v>
      </c>
      <c r="AK117" s="138">
        <v>41091.0</v>
      </c>
      <c r="AL117" s="138">
        <v>41122.0</v>
      </c>
      <c r="AM117" s="138">
        <v>41153.0</v>
      </c>
      <c r="AN117" s="138">
        <v>41183.0</v>
      </c>
      <c r="AO117" s="138">
        <v>41214.0</v>
      </c>
      <c r="AP117" s="138">
        <v>41244.0</v>
      </c>
      <c r="AQ117" s="138">
        <v>41275.0</v>
      </c>
      <c r="AR117" s="138">
        <v>41306.0</v>
      </c>
      <c r="AS117" s="138">
        <v>41334.0</v>
      </c>
      <c r="AT117" s="138">
        <v>41365.0</v>
      </c>
      <c r="AU117" s="138">
        <v>41395.0</v>
      </c>
      <c r="AV117" s="138">
        <v>41426.0</v>
      </c>
      <c r="AW117" s="138">
        <v>41456.0</v>
      </c>
      <c r="AX117" s="138">
        <v>41487.0</v>
      </c>
      <c r="AY117" s="138">
        <v>41518.0</v>
      </c>
      <c r="AZ117" s="138">
        <v>41548.0</v>
      </c>
      <c r="BA117" s="138">
        <v>41579.0</v>
      </c>
      <c r="BB117" s="138">
        <v>41609.0</v>
      </c>
      <c r="BC117" s="138">
        <v>41640.0</v>
      </c>
      <c r="BD117" s="138">
        <v>41671.0</v>
      </c>
      <c r="BE117" s="138">
        <v>41699.0</v>
      </c>
      <c r="BF117" s="138">
        <v>41730.0</v>
      </c>
      <c r="BG117" s="138">
        <v>41760.0</v>
      </c>
      <c r="BH117" s="138">
        <v>41791.0</v>
      </c>
      <c r="BI117" s="138">
        <v>41821.0</v>
      </c>
      <c r="BJ117" s="138">
        <v>41852.0</v>
      </c>
      <c r="BK117" s="138">
        <v>41883.0</v>
      </c>
      <c r="BL117" s="138">
        <v>41913.0</v>
      </c>
      <c r="BM117" s="138">
        <v>41944.0</v>
      </c>
      <c r="BN117" s="138">
        <v>41974.0</v>
      </c>
      <c r="BO117" s="138">
        <v>42005.0</v>
      </c>
      <c r="BP117" s="138">
        <v>42036.0</v>
      </c>
      <c r="BQ117" s="138">
        <v>42064.0</v>
      </c>
      <c r="BR117" s="138">
        <v>42095.0</v>
      </c>
      <c r="BS117" s="138">
        <v>42125.0</v>
      </c>
      <c r="BT117" s="138">
        <v>42156.0</v>
      </c>
      <c r="BU117" s="138">
        <v>42186.0</v>
      </c>
      <c r="BV117" s="138">
        <v>42217.0</v>
      </c>
      <c r="BW117" s="138">
        <v>42248.0</v>
      </c>
      <c r="BX117" s="138">
        <v>42278.0</v>
      </c>
      <c r="BY117" s="138">
        <v>42309.0</v>
      </c>
      <c r="BZ117" s="138">
        <v>42339.0</v>
      </c>
      <c r="CA117" s="138">
        <v>42370.0</v>
      </c>
      <c r="CB117" s="138">
        <v>42401.0</v>
      </c>
      <c r="CC117" s="138">
        <v>42430.0</v>
      </c>
      <c r="CD117" s="138">
        <v>42461.0</v>
      </c>
      <c r="CE117" s="138">
        <v>42491.0</v>
      </c>
      <c r="CF117" s="138">
        <v>42522.0</v>
      </c>
      <c r="CG117" s="138">
        <v>42552.0</v>
      </c>
      <c r="CH117" s="138">
        <v>42583.0</v>
      </c>
      <c r="CI117" s="138">
        <v>42614.0</v>
      </c>
      <c r="CJ117" s="138">
        <v>42644.0</v>
      </c>
      <c r="CK117" s="138">
        <v>42675.0</v>
      </c>
      <c r="CL117" s="138">
        <v>42705.0</v>
      </c>
      <c r="CM117" s="138">
        <v>42736.0</v>
      </c>
      <c r="CN117" s="138">
        <v>42767.0</v>
      </c>
      <c r="CO117" s="138">
        <v>42795.0</v>
      </c>
      <c r="CP117" s="138">
        <v>42826.0</v>
      </c>
      <c r="CQ117" s="138">
        <v>42856.0</v>
      </c>
      <c r="CR117" s="138">
        <v>42887.0</v>
      </c>
      <c r="CS117" s="138">
        <v>42917.0</v>
      </c>
      <c r="CT117" s="138">
        <v>42948.0</v>
      </c>
      <c r="CU117" s="138">
        <v>42979.0</v>
      </c>
      <c r="CV117" s="138">
        <v>43009.0</v>
      </c>
      <c r="CW117" s="138">
        <v>43040.0</v>
      </c>
      <c r="CX117" s="138">
        <v>43070.0</v>
      </c>
      <c r="CY117" s="138">
        <v>43101.0</v>
      </c>
      <c r="CZ117" s="138">
        <v>43132.0</v>
      </c>
      <c r="DA117" s="138">
        <v>43160.0</v>
      </c>
      <c r="DB117" s="138">
        <v>43191.0</v>
      </c>
      <c r="DC117" s="138">
        <v>43221.0</v>
      </c>
      <c r="DD117" s="138">
        <v>43252.0</v>
      </c>
      <c r="DE117" s="138">
        <v>43282.0</v>
      </c>
      <c r="DF117" s="138">
        <v>43313.0</v>
      </c>
      <c r="DG117" s="138">
        <v>43344.0</v>
      </c>
      <c r="DH117" s="138">
        <v>43374.0</v>
      </c>
      <c r="DI117" s="138">
        <v>43405.0</v>
      </c>
      <c r="DJ117" s="138">
        <v>43435.0</v>
      </c>
      <c r="DK117" s="138">
        <v>43466.0</v>
      </c>
      <c r="DL117" s="138">
        <v>43497.0</v>
      </c>
      <c r="DM117" s="138">
        <v>43525.0</v>
      </c>
      <c r="DN117" s="138">
        <v>43556.0</v>
      </c>
      <c r="DO117" s="138">
        <v>43586.0</v>
      </c>
      <c r="DP117" s="138">
        <v>43617.0</v>
      </c>
      <c r="DQ117" s="138">
        <v>43647.0</v>
      </c>
      <c r="DR117" s="138">
        <v>43678.0</v>
      </c>
      <c r="DS117" s="138">
        <v>43709.0</v>
      </c>
      <c r="DT117" s="138">
        <v>43739.0</v>
      </c>
      <c r="DU117" s="138">
        <v>43770.0</v>
      </c>
      <c r="DV117" s="138">
        <v>43800.0</v>
      </c>
      <c r="DW117" s="138">
        <v>43831.0</v>
      </c>
      <c r="DX117" s="138">
        <v>43862.0</v>
      </c>
      <c r="DY117" s="138">
        <v>43891.0</v>
      </c>
      <c r="DZ117" s="138">
        <v>43922.0</v>
      </c>
      <c r="EA117" s="138">
        <v>43952.0</v>
      </c>
      <c r="EB117" s="138">
        <v>43983.0</v>
      </c>
      <c r="EC117" s="138">
        <v>44013.0</v>
      </c>
      <c r="ED117" s="138">
        <v>44044.0</v>
      </c>
      <c r="EE117" s="138">
        <v>44075.0</v>
      </c>
      <c r="EF117" s="138">
        <v>44105.0</v>
      </c>
      <c r="EG117" s="139">
        <v>44136.0</v>
      </c>
      <c r="EH117" s="139">
        <v>44166.0</v>
      </c>
      <c r="EI117" s="139">
        <v>44197.0</v>
      </c>
      <c r="EJ117" s="139">
        <v>44228.0</v>
      </c>
      <c r="EK117" s="139">
        <v>44256.0</v>
      </c>
      <c r="EL117" s="139">
        <v>44287.0</v>
      </c>
      <c r="EM117" s="139">
        <v>44317.0</v>
      </c>
      <c r="EN117" s="139">
        <v>44348.0</v>
      </c>
      <c r="EO117" s="139">
        <v>44378.0</v>
      </c>
      <c r="EP117" s="139">
        <v>44409.0</v>
      </c>
      <c r="EQ117" s="139">
        <v>44440.0</v>
      </c>
      <c r="ER117" s="139">
        <v>44470.0</v>
      </c>
      <c r="ES117" s="139">
        <v>44501.0</v>
      </c>
      <c r="ET117" s="139">
        <v>44531.0</v>
      </c>
      <c r="EU117" s="139">
        <v>44562.0</v>
      </c>
      <c r="EV117" s="139">
        <v>44593.0</v>
      </c>
      <c r="EW117" s="139">
        <v>44621.0</v>
      </c>
      <c r="EX117" s="139">
        <v>44652.0</v>
      </c>
      <c r="EY117" s="139">
        <v>44682.0</v>
      </c>
      <c r="EZ117" s="139">
        <v>44713.0</v>
      </c>
      <c r="FA117" s="139">
        <v>44743.0</v>
      </c>
      <c r="FB117" s="139">
        <v>44774.0</v>
      </c>
      <c r="FC117" s="139">
        <v>44805.0</v>
      </c>
      <c r="FD117" s="139">
        <v>44835.0</v>
      </c>
      <c r="FE117" s="139">
        <v>44866.0</v>
      </c>
      <c r="FF117" s="139">
        <v>44896.0</v>
      </c>
      <c r="FG117" s="139">
        <v>44927.0</v>
      </c>
      <c r="FH117" s="139">
        <v>44958.0</v>
      </c>
      <c r="FI117" s="139">
        <v>44986.0</v>
      </c>
      <c r="FJ117" s="139">
        <v>45017.0</v>
      </c>
      <c r="FK117" s="139">
        <v>45047.0</v>
      </c>
      <c r="FL117" s="139">
        <v>45078.0</v>
      </c>
      <c r="FM117" s="139">
        <v>45108.0</v>
      </c>
      <c r="FN117" s="139">
        <v>45139.0</v>
      </c>
      <c r="FO117" s="139">
        <v>45170.0</v>
      </c>
      <c r="FP117" s="139">
        <v>45200.0</v>
      </c>
      <c r="FQ117" s="139">
        <v>45231.0</v>
      </c>
      <c r="FR117" s="139">
        <v>45261.0</v>
      </c>
      <c r="FS117" s="139">
        <v>45292.0</v>
      </c>
      <c r="FT117" s="139">
        <v>45323.0</v>
      </c>
      <c r="FU117" s="139">
        <v>45352.0</v>
      </c>
      <c r="FV117" s="139">
        <v>45383.0</v>
      </c>
      <c r="FW117" s="139">
        <v>45413.0</v>
      </c>
      <c r="FX117" s="139">
        <v>45444.0</v>
      </c>
      <c r="FY117" s="139">
        <v>45474.0</v>
      </c>
      <c r="FZ117" s="139">
        <v>45505.0</v>
      </c>
      <c r="GA117" s="139">
        <v>45536.0</v>
      </c>
      <c r="GB117" s="139">
        <v>45566.0</v>
      </c>
      <c r="GC117" s="139">
        <v>45597.0</v>
      </c>
      <c r="GD117" s="139">
        <v>45627.0</v>
      </c>
      <c r="GE117" s="139">
        <v>45658.0</v>
      </c>
      <c r="GF117" s="139">
        <v>45689.0</v>
      </c>
      <c r="GG117" s="139">
        <v>45717.0</v>
      </c>
      <c r="GH117" s="139">
        <v>45748.0</v>
      </c>
      <c r="GI117" s="139">
        <v>45778.0</v>
      </c>
      <c r="GJ117" s="139">
        <v>45809.0</v>
      </c>
      <c r="GK117" s="139">
        <v>45839.0</v>
      </c>
    </row>
    <row r="118">
      <c r="A118" s="132" t="s">
        <v>34114</v>
      </c>
      <c r="B118" s="133" t="s">
        <v>1189</v>
      </c>
      <c r="C118" s="134">
        <v>44124.54523148148</v>
      </c>
      <c r="D118" s="135" t="str">
        <f t="shared" si="1"/>
        <v>2020/10/20</v>
      </c>
      <c r="E118" s="136" t="s">
        <v>34115</v>
      </c>
      <c r="F118" s="137">
        <v>5.0E-5</v>
      </c>
      <c r="G118" s="138">
        <v>40179.0</v>
      </c>
      <c r="H118" s="138">
        <v>40210.0</v>
      </c>
      <c r="I118" s="138">
        <v>40238.0</v>
      </c>
      <c r="J118" s="138">
        <v>40269.0</v>
      </c>
      <c r="K118" s="138">
        <v>40299.0</v>
      </c>
      <c r="L118" s="138">
        <v>40330.0</v>
      </c>
      <c r="M118" s="138">
        <v>40360.0</v>
      </c>
      <c r="N118" s="138">
        <v>40391.0</v>
      </c>
      <c r="O118" s="138">
        <v>40422.0</v>
      </c>
      <c r="P118" s="138">
        <v>40452.0</v>
      </c>
      <c r="Q118" s="138">
        <v>40483.0</v>
      </c>
      <c r="R118" s="138">
        <v>40513.0</v>
      </c>
      <c r="S118" s="138">
        <v>40544.0</v>
      </c>
      <c r="T118" s="138">
        <v>40575.0</v>
      </c>
      <c r="U118" s="138">
        <v>40603.0</v>
      </c>
      <c r="V118" s="138">
        <v>40634.0</v>
      </c>
      <c r="W118" s="138">
        <v>40664.0</v>
      </c>
      <c r="X118" s="138">
        <v>40695.0</v>
      </c>
      <c r="Y118" s="138">
        <v>40725.0</v>
      </c>
      <c r="Z118" s="138">
        <v>40756.0</v>
      </c>
      <c r="AA118" s="138">
        <v>40787.0</v>
      </c>
      <c r="AB118" s="138">
        <v>40817.0</v>
      </c>
      <c r="AC118" s="138">
        <v>40848.0</v>
      </c>
      <c r="AD118" s="138">
        <v>40878.0</v>
      </c>
      <c r="AE118" s="138">
        <v>40909.0</v>
      </c>
      <c r="AF118" s="138">
        <v>40940.0</v>
      </c>
      <c r="AG118" s="138">
        <v>40969.0</v>
      </c>
      <c r="AH118" s="138">
        <v>41000.0</v>
      </c>
      <c r="AI118" s="138">
        <v>41030.0</v>
      </c>
      <c r="AJ118" s="138">
        <v>41061.0</v>
      </c>
      <c r="AK118" s="138">
        <v>41091.0</v>
      </c>
      <c r="AL118" s="138">
        <v>41122.0</v>
      </c>
      <c r="AM118" s="138">
        <v>41153.0</v>
      </c>
      <c r="AN118" s="138">
        <v>41183.0</v>
      </c>
      <c r="AO118" s="138">
        <v>41214.0</v>
      </c>
      <c r="AP118" s="138">
        <v>41244.0</v>
      </c>
      <c r="AQ118" s="138">
        <v>41275.0</v>
      </c>
      <c r="AR118" s="138">
        <v>41306.0</v>
      </c>
      <c r="AS118" s="138">
        <v>41334.0</v>
      </c>
      <c r="AT118" s="138">
        <v>41365.0</v>
      </c>
      <c r="AU118" s="138">
        <v>41395.0</v>
      </c>
      <c r="AV118" s="138">
        <v>41426.0</v>
      </c>
      <c r="AW118" s="138">
        <v>41456.0</v>
      </c>
      <c r="AX118" s="138">
        <v>41487.0</v>
      </c>
      <c r="AY118" s="138">
        <v>41518.0</v>
      </c>
      <c r="AZ118" s="138">
        <v>41548.0</v>
      </c>
      <c r="BA118" s="138">
        <v>41579.0</v>
      </c>
      <c r="BB118" s="138">
        <v>41609.0</v>
      </c>
      <c r="BC118" s="138">
        <v>41640.0</v>
      </c>
      <c r="BD118" s="138">
        <v>41671.0</v>
      </c>
      <c r="BE118" s="138">
        <v>41699.0</v>
      </c>
      <c r="BF118" s="138">
        <v>41730.0</v>
      </c>
      <c r="BG118" s="138">
        <v>41760.0</v>
      </c>
      <c r="BH118" s="138">
        <v>41791.0</v>
      </c>
      <c r="BI118" s="138">
        <v>41821.0</v>
      </c>
      <c r="BJ118" s="138">
        <v>41852.0</v>
      </c>
      <c r="BK118" s="138">
        <v>41883.0</v>
      </c>
      <c r="BL118" s="138">
        <v>41913.0</v>
      </c>
      <c r="BM118" s="138">
        <v>41944.0</v>
      </c>
      <c r="BN118" s="138">
        <v>41974.0</v>
      </c>
      <c r="BO118" s="138">
        <v>42005.0</v>
      </c>
      <c r="BP118" s="138">
        <v>42036.0</v>
      </c>
      <c r="BQ118" s="138">
        <v>42064.0</v>
      </c>
      <c r="BR118" s="138">
        <v>42095.0</v>
      </c>
      <c r="BS118" s="138">
        <v>42125.0</v>
      </c>
      <c r="BT118" s="138">
        <v>42156.0</v>
      </c>
      <c r="BU118" s="138">
        <v>42186.0</v>
      </c>
      <c r="BV118" s="138">
        <v>42217.0</v>
      </c>
      <c r="BW118" s="138">
        <v>42248.0</v>
      </c>
      <c r="BX118" s="138">
        <v>42278.0</v>
      </c>
      <c r="BY118" s="138">
        <v>42309.0</v>
      </c>
      <c r="BZ118" s="138">
        <v>42339.0</v>
      </c>
      <c r="CA118" s="138">
        <v>42370.0</v>
      </c>
      <c r="CB118" s="138">
        <v>42401.0</v>
      </c>
      <c r="CC118" s="138">
        <v>42430.0</v>
      </c>
      <c r="CD118" s="138">
        <v>42461.0</v>
      </c>
      <c r="CE118" s="138">
        <v>42491.0</v>
      </c>
      <c r="CF118" s="138">
        <v>42522.0</v>
      </c>
      <c r="CG118" s="138">
        <v>42552.0</v>
      </c>
      <c r="CH118" s="138">
        <v>42583.0</v>
      </c>
      <c r="CI118" s="138">
        <v>42614.0</v>
      </c>
      <c r="CJ118" s="138">
        <v>42644.0</v>
      </c>
      <c r="CK118" s="138">
        <v>42675.0</v>
      </c>
      <c r="CL118" s="138">
        <v>42705.0</v>
      </c>
      <c r="CM118" s="138">
        <v>42736.0</v>
      </c>
      <c r="CN118" s="138">
        <v>42767.0</v>
      </c>
      <c r="CO118" s="138">
        <v>42795.0</v>
      </c>
      <c r="CP118" s="138">
        <v>42826.0</v>
      </c>
      <c r="CQ118" s="138">
        <v>42856.0</v>
      </c>
      <c r="CR118" s="138">
        <v>42887.0</v>
      </c>
      <c r="CS118" s="138">
        <v>42917.0</v>
      </c>
      <c r="CT118" s="138">
        <v>42948.0</v>
      </c>
      <c r="CU118" s="138">
        <v>42979.0</v>
      </c>
      <c r="CV118" s="138">
        <v>43009.0</v>
      </c>
      <c r="CW118" s="138">
        <v>43040.0</v>
      </c>
      <c r="CX118" s="138">
        <v>43070.0</v>
      </c>
      <c r="CY118" s="138">
        <v>43101.0</v>
      </c>
      <c r="CZ118" s="138">
        <v>43132.0</v>
      </c>
      <c r="DA118" s="138">
        <v>43160.0</v>
      </c>
      <c r="DB118" s="138">
        <v>43191.0</v>
      </c>
      <c r="DC118" s="138">
        <v>43221.0</v>
      </c>
      <c r="DD118" s="138">
        <v>43252.0</v>
      </c>
      <c r="DE118" s="138">
        <v>43282.0</v>
      </c>
      <c r="DF118" s="138">
        <v>43313.0</v>
      </c>
      <c r="DG118" s="138">
        <v>43344.0</v>
      </c>
      <c r="DH118" s="138">
        <v>43374.0</v>
      </c>
      <c r="DI118" s="138">
        <v>43405.0</v>
      </c>
      <c r="DJ118" s="138">
        <v>43435.0</v>
      </c>
      <c r="DK118" s="138">
        <v>43466.0</v>
      </c>
      <c r="DL118" s="138">
        <v>43497.0</v>
      </c>
      <c r="DM118" s="138">
        <v>43525.0</v>
      </c>
      <c r="DN118" s="138">
        <v>43556.0</v>
      </c>
      <c r="DO118" s="138">
        <v>43586.0</v>
      </c>
      <c r="DP118" s="138">
        <v>43617.0</v>
      </c>
      <c r="DQ118" s="138">
        <v>43647.0</v>
      </c>
      <c r="DR118" s="138">
        <v>43678.0</v>
      </c>
      <c r="DS118" s="138">
        <v>43709.0</v>
      </c>
      <c r="DT118" s="138">
        <v>43739.0</v>
      </c>
      <c r="DU118" s="138">
        <v>43770.0</v>
      </c>
      <c r="DV118" s="138">
        <v>43800.0</v>
      </c>
      <c r="DW118" s="138">
        <v>43831.0</v>
      </c>
      <c r="DX118" s="138">
        <v>43862.0</v>
      </c>
      <c r="DY118" s="138">
        <v>43891.0</v>
      </c>
      <c r="DZ118" s="138">
        <v>43922.0</v>
      </c>
      <c r="EA118" s="138">
        <v>43952.0</v>
      </c>
      <c r="EB118" s="138">
        <v>43983.0</v>
      </c>
      <c r="EC118" s="138">
        <v>44013.0</v>
      </c>
      <c r="ED118" s="138">
        <v>44044.0</v>
      </c>
      <c r="EE118" s="138">
        <v>44075.0</v>
      </c>
      <c r="EF118" s="138">
        <v>44105.0</v>
      </c>
      <c r="EG118" s="139">
        <v>44136.0</v>
      </c>
      <c r="EH118" s="139">
        <v>44166.0</v>
      </c>
      <c r="EI118" s="139">
        <v>44197.0</v>
      </c>
      <c r="EJ118" s="139">
        <v>44228.0</v>
      </c>
      <c r="EK118" s="139">
        <v>44256.0</v>
      </c>
      <c r="EL118" s="139">
        <v>44287.0</v>
      </c>
      <c r="EM118" s="139">
        <v>44317.0</v>
      </c>
      <c r="EN118" s="139">
        <v>44348.0</v>
      </c>
      <c r="EO118" s="139">
        <v>44378.0</v>
      </c>
      <c r="EP118" s="139">
        <v>44409.0</v>
      </c>
      <c r="EQ118" s="139">
        <v>44440.0</v>
      </c>
      <c r="ER118" s="139">
        <v>44470.0</v>
      </c>
      <c r="ES118" s="139">
        <v>44501.0</v>
      </c>
      <c r="ET118" s="139">
        <v>44531.0</v>
      </c>
      <c r="EU118" s="139">
        <v>44562.0</v>
      </c>
      <c r="EV118" s="139">
        <v>44593.0</v>
      </c>
      <c r="EW118" s="139">
        <v>44621.0</v>
      </c>
      <c r="EX118" s="139">
        <v>44652.0</v>
      </c>
      <c r="EY118" s="139">
        <v>44682.0</v>
      </c>
      <c r="EZ118" s="139">
        <v>44713.0</v>
      </c>
      <c r="FA118" s="139">
        <v>44743.0</v>
      </c>
      <c r="FB118" s="139">
        <v>44774.0</v>
      </c>
      <c r="FC118" s="139">
        <v>44805.0</v>
      </c>
      <c r="FD118" s="139">
        <v>44835.0</v>
      </c>
      <c r="FE118" s="139">
        <v>44866.0</v>
      </c>
      <c r="FF118" s="139">
        <v>44896.0</v>
      </c>
      <c r="FG118" s="139">
        <v>44927.0</v>
      </c>
      <c r="FH118" s="139">
        <v>44958.0</v>
      </c>
      <c r="FI118" s="139">
        <v>44986.0</v>
      </c>
      <c r="FJ118" s="139">
        <v>45017.0</v>
      </c>
      <c r="FK118" s="139">
        <v>45047.0</v>
      </c>
      <c r="FL118" s="139">
        <v>45078.0</v>
      </c>
      <c r="FM118" s="139">
        <v>45108.0</v>
      </c>
      <c r="FN118" s="139">
        <v>45139.0</v>
      </c>
      <c r="FO118" s="139">
        <v>45170.0</v>
      </c>
      <c r="FP118" s="139">
        <v>45200.0</v>
      </c>
      <c r="FQ118" s="139">
        <v>45231.0</v>
      </c>
      <c r="FR118" s="139">
        <v>45261.0</v>
      </c>
      <c r="FS118" s="139">
        <v>45292.0</v>
      </c>
      <c r="FT118" s="139">
        <v>45323.0</v>
      </c>
      <c r="FU118" s="139">
        <v>45352.0</v>
      </c>
      <c r="FV118" s="139">
        <v>45383.0</v>
      </c>
      <c r="FW118" s="139">
        <v>45413.0</v>
      </c>
      <c r="FX118" s="139">
        <v>45444.0</v>
      </c>
      <c r="FY118" s="139">
        <v>45474.0</v>
      </c>
      <c r="FZ118" s="139">
        <v>45505.0</v>
      </c>
      <c r="GA118" s="139">
        <v>45536.0</v>
      </c>
      <c r="GB118" s="139">
        <v>45566.0</v>
      </c>
      <c r="GC118" s="139">
        <v>45597.0</v>
      </c>
      <c r="GD118" s="139">
        <v>45627.0</v>
      </c>
      <c r="GE118" s="139">
        <v>45658.0</v>
      </c>
      <c r="GF118" s="139">
        <v>45689.0</v>
      </c>
      <c r="GG118" s="139">
        <v>45717.0</v>
      </c>
      <c r="GH118" s="139">
        <v>45748.0</v>
      </c>
      <c r="GI118" s="139">
        <v>45778.0</v>
      </c>
      <c r="GJ118" s="139">
        <v>45809.0</v>
      </c>
      <c r="GK118" s="139">
        <v>45839.0</v>
      </c>
    </row>
    <row r="119">
      <c r="A119" s="132" t="s">
        <v>34116</v>
      </c>
      <c r="B119" s="133" t="s">
        <v>1345</v>
      </c>
      <c r="C119" s="134">
        <v>44140.54792824074</v>
      </c>
      <c r="D119" s="135" t="str">
        <f t="shared" si="1"/>
        <v>2020/11/05</v>
      </c>
      <c r="E119" s="136" t="s">
        <v>34117</v>
      </c>
      <c r="F119" s="137">
        <v>1.0E-5</v>
      </c>
      <c r="G119" s="138">
        <v>40179.0</v>
      </c>
      <c r="H119" s="138">
        <v>40210.0</v>
      </c>
      <c r="I119" s="138">
        <v>40238.0</v>
      </c>
      <c r="J119" s="138">
        <v>40269.0</v>
      </c>
      <c r="K119" s="138">
        <v>40299.0</v>
      </c>
      <c r="L119" s="138">
        <v>40330.0</v>
      </c>
      <c r="M119" s="138">
        <v>40360.0</v>
      </c>
      <c r="N119" s="138">
        <v>40391.0</v>
      </c>
      <c r="O119" s="138">
        <v>40422.0</v>
      </c>
      <c r="P119" s="138">
        <v>40452.0</v>
      </c>
      <c r="Q119" s="138">
        <v>40483.0</v>
      </c>
      <c r="R119" s="138">
        <v>40513.0</v>
      </c>
      <c r="S119" s="138">
        <v>40544.0</v>
      </c>
      <c r="T119" s="138">
        <v>40575.0</v>
      </c>
      <c r="U119" s="138">
        <v>40603.0</v>
      </c>
      <c r="V119" s="138">
        <v>40634.0</v>
      </c>
      <c r="W119" s="138">
        <v>40664.0</v>
      </c>
      <c r="X119" s="138">
        <v>40695.0</v>
      </c>
      <c r="Y119" s="138">
        <v>40725.0</v>
      </c>
      <c r="Z119" s="138">
        <v>40756.0</v>
      </c>
      <c r="AA119" s="138">
        <v>40787.0</v>
      </c>
      <c r="AB119" s="138">
        <v>40817.0</v>
      </c>
      <c r="AC119" s="138">
        <v>40848.0</v>
      </c>
      <c r="AD119" s="138">
        <v>40878.0</v>
      </c>
      <c r="AE119" s="138">
        <v>40909.0</v>
      </c>
      <c r="AF119" s="138">
        <v>40940.0</v>
      </c>
      <c r="AG119" s="138">
        <v>40969.0</v>
      </c>
      <c r="AH119" s="138">
        <v>41000.0</v>
      </c>
      <c r="AI119" s="138">
        <v>41030.0</v>
      </c>
      <c r="AJ119" s="138">
        <v>41061.0</v>
      </c>
      <c r="AK119" s="138">
        <v>41091.0</v>
      </c>
      <c r="AL119" s="138">
        <v>41122.0</v>
      </c>
      <c r="AM119" s="138">
        <v>41153.0</v>
      </c>
      <c r="AN119" s="138">
        <v>41183.0</v>
      </c>
      <c r="AO119" s="138">
        <v>41214.0</v>
      </c>
      <c r="AP119" s="138">
        <v>41244.0</v>
      </c>
      <c r="AQ119" s="138">
        <v>41275.0</v>
      </c>
      <c r="AR119" s="138">
        <v>41306.0</v>
      </c>
      <c r="AS119" s="138">
        <v>41334.0</v>
      </c>
      <c r="AT119" s="138">
        <v>41365.0</v>
      </c>
      <c r="AU119" s="138">
        <v>41395.0</v>
      </c>
      <c r="AV119" s="138">
        <v>41426.0</v>
      </c>
      <c r="AW119" s="138">
        <v>41456.0</v>
      </c>
      <c r="AX119" s="138">
        <v>41487.0</v>
      </c>
      <c r="AY119" s="138">
        <v>41518.0</v>
      </c>
      <c r="AZ119" s="138">
        <v>41548.0</v>
      </c>
      <c r="BA119" s="138">
        <v>41579.0</v>
      </c>
      <c r="BB119" s="138">
        <v>41609.0</v>
      </c>
      <c r="BC119" s="138">
        <v>41640.0</v>
      </c>
      <c r="BD119" s="138">
        <v>41671.0</v>
      </c>
      <c r="BE119" s="138">
        <v>41699.0</v>
      </c>
      <c r="BF119" s="138">
        <v>41730.0</v>
      </c>
      <c r="BG119" s="138">
        <v>41760.0</v>
      </c>
      <c r="BH119" s="138">
        <v>41791.0</v>
      </c>
      <c r="BI119" s="138">
        <v>41821.0</v>
      </c>
      <c r="BJ119" s="138">
        <v>41852.0</v>
      </c>
      <c r="BK119" s="138">
        <v>41883.0</v>
      </c>
      <c r="BL119" s="138">
        <v>41913.0</v>
      </c>
      <c r="BM119" s="138">
        <v>41944.0</v>
      </c>
      <c r="BN119" s="138">
        <v>41974.0</v>
      </c>
      <c r="BO119" s="138">
        <v>42005.0</v>
      </c>
      <c r="BP119" s="138">
        <v>42036.0</v>
      </c>
      <c r="BQ119" s="138">
        <v>42064.0</v>
      </c>
      <c r="BR119" s="138">
        <v>42095.0</v>
      </c>
      <c r="BS119" s="138">
        <v>42125.0</v>
      </c>
      <c r="BT119" s="138">
        <v>42156.0</v>
      </c>
      <c r="BU119" s="138">
        <v>42186.0</v>
      </c>
      <c r="BV119" s="138">
        <v>42217.0</v>
      </c>
      <c r="BW119" s="138">
        <v>42248.0</v>
      </c>
      <c r="BX119" s="138">
        <v>42278.0</v>
      </c>
      <c r="BY119" s="138">
        <v>42309.0</v>
      </c>
      <c r="BZ119" s="138">
        <v>42339.0</v>
      </c>
      <c r="CA119" s="138">
        <v>42370.0</v>
      </c>
      <c r="CB119" s="138">
        <v>42401.0</v>
      </c>
      <c r="CC119" s="138">
        <v>42430.0</v>
      </c>
      <c r="CD119" s="138">
        <v>42461.0</v>
      </c>
      <c r="CE119" s="138">
        <v>42491.0</v>
      </c>
      <c r="CF119" s="138">
        <v>42522.0</v>
      </c>
      <c r="CG119" s="138">
        <v>42552.0</v>
      </c>
      <c r="CH119" s="138">
        <v>42583.0</v>
      </c>
      <c r="CI119" s="138">
        <v>42614.0</v>
      </c>
      <c r="CJ119" s="138">
        <v>42644.0</v>
      </c>
      <c r="CK119" s="138">
        <v>42675.0</v>
      </c>
      <c r="CL119" s="138">
        <v>42705.0</v>
      </c>
      <c r="CM119" s="138">
        <v>42736.0</v>
      </c>
      <c r="CN119" s="138">
        <v>42767.0</v>
      </c>
      <c r="CO119" s="138">
        <v>42795.0</v>
      </c>
      <c r="CP119" s="138">
        <v>42826.0</v>
      </c>
      <c r="CQ119" s="138">
        <v>42856.0</v>
      </c>
      <c r="CR119" s="138">
        <v>42887.0</v>
      </c>
      <c r="CS119" s="138">
        <v>42917.0</v>
      </c>
      <c r="CT119" s="138">
        <v>42948.0</v>
      </c>
      <c r="CU119" s="138">
        <v>42979.0</v>
      </c>
      <c r="CV119" s="138">
        <v>43009.0</v>
      </c>
      <c r="CW119" s="138">
        <v>43040.0</v>
      </c>
      <c r="CX119" s="138">
        <v>43070.0</v>
      </c>
      <c r="CY119" s="138">
        <v>43101.0</v>
      </c>
      <c r="CZ119" s="138">
        <v>43132.0</v>
      </c>
      <c r="DA119" s="138">
        <v>43160.0</v>
      </c>
      <c r="DB119" s="138">
        <v>43191.0</v>
      </c>
      <c r="DC119" s="138">
        <v>43221.0</v>
      </c>
      <c r="DD119" s="138">
        <v>43252.0</v>
      </c>
      <c r="DE119" s="138">
        <v>43282.0</v>
      </c>
      <c r="DF119" s="138">
        <v>43313.0</v>
      </c>
      <c r="DG119" s="138">
        <v>43344.0</v>
      </c>
      <c r="DH119" s="138">
        <v>43374.0</v>
      </c>
      <c r="DI119" s="138">
        <v>43405.0</v>
      </c>
      <c r="DJ119" s="138">
        <v>43435.0</v>
      </c>
      <c r="DK119" s="138">
        <v>43466.0</v>
      </c>
      <c r="DL119" s="138">
        <v>43497.0</v>
      </c>
      <c r="DM119" s="138">
        <v>43525.0</v>
      </c>
      <c r="DN119" s="138">
        <v>43556.0</v>
      </c>
      <c r="DO119" s="138">
        <v>43586.0</v>
      </c>
      <c r="DP119" s="138">
        <v>43617.0</v>
      </c>
      <c r="DQ119" s="138">
        <v>43647.0</v>
      </c>
      <c r="DR119" s="138">
        <v>43678.0</v>
      </c>
      <c r="DS119" s="138">
        <v>43709.0</v>
      </c>
      <c r="DT119" s="138">
        <v>43739.0</v>
      </c>
      <c r="DU119" s="138">
        <v>43770.0</v>
      </c>
      <c r="DV119" s="138">
        <v>43800.0</v>
      </c>
      <c r="DW119" s="138">
        <v>43831.0</v>
      </c>
      <c r="DX119" s="138">
        <v>43862.0</v>
      </c>
      <c r="DY119" s="138">
        <v>43891.0</v>
      </c>
      <c r="DZ119" s="138">
        <v>43922.0</v>
      </c>
      <c r="EA119" s="138">
        <v>43952.0</v>
      </c>
      <c r="EB119" s="138">
        <v>43983.0</v>
      </c>
      <c r="EC119" s="138">
        <v>44013.0</v>
      </c>
      <c r="ED119" s="138">
        <v>44044.0</v>
      </c>
      <c r="EE119" s="138">
        <v>44075.0</v>
      </c>
      <c r="EF119" s="138">
        <v>44105.0</v>
      </c>
      <c r="EG119" s="138">
        <v>44136.0</v>
      </c>
      <c r="EH119" s="139">
        <v>44166.0</v>
      </c>
      <c r="EI119" s="139">
        <v>44197.0</v>
      </c>
      <c r="EJ119" s="139">
        <v>44228.0</v>
      </c>
      <c r="EK119" s="139">
        <v>44256.0</v>
      </c>
      <c r="EL119" s="139">
        <v>44287.0</v>
      </c>
      <c r="EM119" s="139">
        <v>44317.0</v>
      </c>
      <c r="EN119" s="139">
        <v>44348.0</v>
      </c>
      <c r="EO119" s="139">
        <v>44378.0</v>
      </c>
      <c r="EP119" s="139">
        <v>44409.0</v>
      </c>
      <c r="EQ119" s="139">
        <v>44440.0</v>
      </c>
      <c r="ER119" s="139">
        <v>44470.0</v>
      </c>
      <c r="ES119" s="139">
        <v>44501.0</v>
      </c>
      <c r="ET119" s="139">
        <v>44531.0</v>
      </c>
      <c r="EU119" s="139">
        <v>44562.0</v>
      </c>
      <c r="EV119" s="139">
        <v>44593.0</v>
      </c>
      <c r="EW119" s="139">
        <v>44621.0</v>
      </c>
      <c r="EX119" s="139">
        <v>44652.0</v>
      </c>
      <c r="EY119" s="139">
        <v>44682.0</v>
      </c>
      <c r="EZ119" s="139">
        <v>44713.0</v>
      </c>
      <c r="FA119" s="139">
        <v>44743.0</v>
      </c>
      <c r="FB119" s="139">
        <v>44774.0</v>
      </c>
      <c r="FC119" s="139">
        <v>44805.0</v>
      </c>
      <c r="FD119" s="139">
        <v>44835.0</v>
      </c>
      <c r="FE119" s="139">
        <v>44866.0</v>
      </c>
      <c r="FF119" s="139">
        <v>44896.0</v>
      </c>
      <c r="FG119" s="139">
        <v>44927.0</v>
      </c>
      <c r="FH119" s="139">
        <v>44958.0</v>
      </c>
      <c r="FI119" s="139">
        <v>44986.0</v>
      </c>
      <c r="FJ119" s="139">
        <v>45017.0</v>
      </c>
      <c r="FK119" s="139">
        <v>45047.0</v>
      </c>
      <c r="FL119" s="139">
        <v>45078.0</v>
      </c>
      <c r="FM119" s="139">
        <v>45108.0</v>
      </c>
      <c r="FN119" s="139">
        <v>45139.0</v>
      </c>
      <c r="FO119" s="139">
        <v>45170.0</v>
      </c>
      <c r="FP119" s="139">
        <v>45200.0</v>
      </c>
      <c r="FQ119" s="139">
        <v>45231.0</v>
      </c>
      <c r="FR119" s="139">
        <v>45261.0</v>
      </c>
      <c r="FS119" s="139">
        <v>45292.0</v>
      </c>
      <c r="FT119" s="139">
        <v>45323.0</v>
      </c>
      <c r="FU119" s="139">
        <v>45352.0</v>
      </c>
      <c r="FV119" s="139">
        <v>45383.0</v>
      </c>
      <c r="FW119" s="139">
        <v>45413.0</v>
      </c>
      <c r="FX119" s="139">
        <v>45444.0</v>
      </c>
      <c r="FY119" s="139">
        <v>45474.0</v>
      </c>
      <c r="FZ119" s="139">
        <v>45505.0</v>
      </c>
      <c r="GA119" s="139">
        <v>45536.0</v>
      </c>
      <c r="GB119" s="139">
        <v>45566.0</v>
      </c>
      <c r="GC119" s="139">
        <v>45597.0</v>
      </c>
      <c r="GD119" s="139">
        <v>45627.0</v>
      </c>
      <c r="GE119" s="139">
        <v>45658.0</v>
      </c>
      <c r="GF119" s="139">
        <v>45689.0</v>
      </c>
      <c r="GG119" s="139">
        <v>45717.0</v>
      </c>
      <c r="GH119" s="139">
        <v>45748.0</v>
      </c>
      <c r="GI119" s="139">
        <v>45778.0</v>
      </c>
      <c r="GJ119" s="139">
        <v>45809.0</v>
      </c>
      <c r="GK119" s="139">
        <v>45839.0</v>
      </c>
    </row>
    <row r="120">
      <c r="A120" s="132" t="s">
        <v>34118</v>
      </c>
      <c r="B120" s="133" t="s">
        <v>1361</v>
      </c>
      <c r="C120" s="134">
        <v>44162.794328703705</v>
      </c>
      <c r="D120" s="135" t="str">
        <f t="shared" si="1"/>
        <v>2020/11/27</v>
      </c>
      <c r="E120" s="136" t="s">
        <v>34119</v>
      </c>
      <c r="F120" s="137">
        <v>0.00223</v>
      </c>
      <c r="G120" s="138">
        <v>40179.0</v>
      </c>
      <c r="H120" s="138">
        <v>40210.0</v>
      </c>
      <c r="I120" s="138">
        <v>40238.0</v>
      </c>
      <c r="J120" s="138">
        <v>40269.0</v>
      </c>
      <c r="K120" s="138">
        <v>40299.0</v>
      </c>
      <c r="L120" s="138">
        <v>40330.0</v>
      </c>
      <c r="M120" s="138">
        <v>40360.0</v>
      </c>
      <c r="N120" s="138">
        <v>40391.0</v>
      </c>
      <c r="O120" s="138">
        <v>40422.0</v>
      </c>
      <c r="P120" s="138">
        <v>40452.0</v>
      </c>
      <c r="Q120" s="138">
        <v>40483.0</v>
      </c>
      <c r="R120" s="138">
        <v>40513.0</v>
      </c>
      <c r="S120" s="138">
        <v>40544.0</v>
      </c>
      <c r="T120" s="138">
        <v>40575.0</v>
      </c>
      <c r="U120" s="138">
        <v>40603.0</v>
      </c>
      <c r="V120" s="138">
        <v>40634.0</v>
      </c>
      <c r="W120" s="138">
        <v>40664.0</v>
      </c>
      <c r="X120" s="138">
        <v>40695.0</v>
      </c>
      <c r="Y120" s="138">
        <v>40725.0</v>
      </c>
      <c r="Z120" s="138">
        <v>40756.0</v>
      </c>
      <c r="AA120" s="138">
        <v>40787.0</v>
      </c>
      <c r="AB120" s="138">
        <v>40817.0</v>
      </c>
      <c r="AC120" s="138">
        <v>40848.0</v>
      </c>
      <c r="AD120" s="138">
        <v>40878.0</v>
      </c>
      <c r="AE120" s="138">
        <v>40909.0</v>
      </c>
      <c r="AF120" s="138">
        <v>40940.0</v>
      </c>
      <c r="AG120" s="138">
        <v>40969.0</v>
      </c>
      <c r="AH120" s="138">
        <v>41000.0</v>
      </c>
      <c r="AI120" s="138">
        <v>41030.0</v>
      </c>
      <c r="AJ120" s="138">
        <v>41061.0</v>
      </c>
      <c r="AK120" s="138">
        <v>41091.0</v>
      </c>
      <c r="AL120" s="138">
        <v>41122.0</v>
      </c>
      <c r="AM120" s="138">
        <v>41153.0</v>
      </c>
      <c r="AN120" s="138">
        <v>41183.0</v>
      </c>
      <c r="AO120" s="138">
        <v>41214.0</v>
      </c>
      <c r="AP120" s="138">
        <v>41244.0</v>
      </c>
      <c r="AQ120" s="138">
        <v>41275.0</v>
      </c>
      <c r="AR120" s="138">
        <v>41306.0</v>
      </c>
      <c r="AS120" s="138">
        <v>41334.0</v>
      </c>
      <c r="AT120" s="138">
        <v>41365.0</v>
      </c>
      <c r="AU120" s="138">
        <v>41395.0</v>
      </c>
      <c r="AV120" s="138">
        <v>41426.0</v>
      </c>
      <c r="AW120" s="138">
        <v>41456.0</v>
      </c>
      <c r="AX120" s="138">
        <v>41487.0</v>
      </c>
      <c r="AY120" s="138">
        <v>41518.0</v>
      </c>
      <c r="AZ120" s="138">
        <v>41548.0</v>
      </c>
      <c r="BA120" s="138">
        <v>41579.0</v>
      </c>
      <c r="BB120" s="138">
        <v>41609.0</v>
      </c>
      <c r="BC120" s="138">
        <v>41640.0</v>
      </c>
      <c r="BD120" s="138">
        <v>41671.0</v>
      </c>
      <c r="BE120" s="138">
        <v>41699.0</v>
      </c>
      <c r="BF120" s="138">
        <v>41730.0</v>
      </c>
      <c r="BG120" s="138">
        <v>41760.0</v>
      </c>
      <c r="BH120" s="138">
        <v>41791.0</v>
      </c>
      <c r="BI120" s="138">
        <v>41821.0</v>
      </c>
      <c r="BJ120" s="138">
        <v>41852.0</v>
      </c>
      <c r="BK120" s="138">
        <v>41883.0</v>
      </c>
      <c r="BL120" s="138">
        <v>41913.0</v>
      </c>
      <c r="BM120" s="138">
        <v>41944.0</v>
      </c>
      <c r="BN120" s="138">
        <v>41974.0</v>
      </c>
      <c r="BO120" s="138">
        <v>42005.0</v>
      </c>
      <c r="BP120" s="138">
        <v>42036.0</v>
      </c>
      <c r="BQ120" s="138">
        <v>42064.0</v>
      </c>
      <c r="BR120" s="138">
        <v>42095.0</v>
      </c>
      <c r="BS120" s="138">
        <v>42125.0</v>
      </c>
      <c r="BT120" s="138">
        <v>42156.0</v>
      </c>
      <c r="BU120" s="138">
        <v>42186.0</v>
      </c>
      <c r="BV120" s="138">
        <v>42217.0</v>
      </c>
      <c r="BW120" s="138">
        <v>42248.0</v>
      </c>
      <c r="BX120" s="138">
        <v>42278.0</v>
      </c>
      <c r="BY120" s="138">
        <v>42309.0</v>
      </c>
      <c r="BZ120" s="138">
        <v>42339.0</v>
      </c>
      <c r="CA120" s="138">
        <v>42370.0</v>
      </c>
      <c r="CB120" s="138">
        <v>42401.0</v>
      </c>
      <c r="CC120" s="138">
        <v>42430.0</v>
      </c>
      <c r="CD120" s="138">
        <v>42461.0</v>
      </c>
      <c r="CE120" s="138">
        <v>42491.0</v>
      </c>
      <c r="CF120" s="138">
        <v>42522.0</v>
      </c>
      <c r="CG120" s="138">
        <v>42552.0</v>
      </c>
      <c r="CH120" s="138">
        <v>42583.0</v>
      </c>
      <c r="CI120" s="138">
        <v>42614.0</v>
      </c>
      <c r="CJ120" s="138">
        <v>42644.0</v>
      </c>
      <c r="CK120" s="138">
        <v>42675.0</v>
      </c>
      <c r="CL120" s="138">
        <v>42705.0</v>
      </c>
      <c r="CM120" s="138">
        <v>42736.0</v>
      </c>
      <c r="CN120" s="138">
        <v>42767.0</v>
      </c>
      <c r="CO120" s="138">
        <v>42795.0</v>
      </c>
      <c r="CP120" s="138">
        <v>42826.0</v>
      </c>
      <c r="CQ120" s="138">
        <v>42856.0</v>
      </c>
      <c r="CR120" s="138">
        <v>42887.0</v>
      </c>
      <c r="CS120" s="138">
        <v>42917.0</v>
      </c>
      <c r="CT120" s="138">
        <v>42948.0</v>
      </c>
      <c r="CU120" s="138">
        <v>42979.0</v>
      </c>
      <c r="CV120" s="138">
        <v>43009.0</v>
      </c>
      <c r="CW120" s="138">
        <v>43040.0</v>
      </c>
      <c r="CX120" s="138">
        <v>43070.0</v>
      </c>
      <c r="CY120" s="138">
        <v>43101.0</v>
      </c>
      <c r="CZ120" s="138">
        <v>43132.0</v>
      </c>
      <c r="DA120" s="138">
        <v>43160.0</v>
      </c>
      <c r="DB120" s="138">
        <v>43191.0</v>
      </c>
      <c r="DC120" s="138">
        <v>43221.0</v>
      </c>
      <c r="DD120" s="138">
        <v>43252.0</v>
      </c>
      <c r="DE120" s="138">
        <v>43282.0</v>
      </c>
      <c r="DF120" s="138">
        <v>43313.0</v>
      </c>
      <c r="DG120" s="138">
        <v>43344.0</v>
      </c>
      <c r="DH120" s="138">
        <v>43374.0</v>
      </c>
      <c r="DI120" s="138">
        <v>43405.0</v>
      </c>
      <c r="DJ120" s="138">
        <v>43435.0</v>
      </c>
      <c r="DK120" s="138">
        <v>43466.0</v>
      </c>
      <c r="DL120" s="138">
        <v>43497.0</v>
      </c>
      <c r="DM120" s="138">
        <v>43525.0</v>
      </c>
      <c r="DN120" s="138">
        <v>43556.0</v>
      </c>
      <c r="DO120" s="138">
        <v>43586.0</v>
      </c>
      <c r="DP120" s="138">
        <v>43617.0</v>
      </c>
      <c r="DQ120" s="138">
        <v>43647.0</v>
      </c>
      <c r="DR120" s="138">
        <v>43678.0</v>
      </c>
      <c r="DS120" s="138">
        <v>43709.0</v>
      </c>
      <c r="DT120" s="138">
        <v>43739.0</v>
      </c>
      <c r="DU120" s="138">
        <v>43770.0</v>
      </c>
      <c r="DV120" s="138">
        <v>43800.0</v>
      </c>
      <c r="DW120" s="138">
        <v>43831.0</v>
      </c>
      <c r="DX120" s="138">
        <v>43862.0</v>
      </c>
      <c r="DY120" s="138">
        <v>43891.0</v>
      </c>
      <c r="DZ120" s="138">
        <v>43922.0</v>
      </c>
      <c r="EA120" s="138">
        <v>43952.0</v>
      </c>
      <c r="EB120" s="138">
        <v>43983.0</v>
      </c>
      <c r="EC120" s="138">
        <v>44013.0</v>
      </c>
      <c r="ED120" s="138">
        <v>44044.0</v>
      </c>
      <c r="EE120" s="138">
        <v>44075.0</v>
      </c>
      <c r="EF120" s="138">
        <v>44105.0</v>
      </c>
      <c r="EG120" s="138">
        <v>44136.0</v>
      </c>
      <c r="EH120" s="139">
        <v>44166.0</v>
      </c>
      <c r="EI120" s="139">
        <v>44197.0</v>
      </c>
      <c r="EJ120" s="139">
        <v>44228.0</v>
      </c>
      <c r="EK120" s="139">
        <v>44256.0</v>
      </c>
      <c r="EL120" s="139">
        <v>44287.0</v>
      </c>
      <c r="EM120" s="139">
        <v>44317.0</v>
      </c>
      <c r="EN120" s="139">
        <v>44348.0</v>
      </c>
      <c r="EO120" s="139">
        <v>44378.0</v>
      </c>
      <c r="EP120" s="139">
        <v>44409.0</v>
      </c>
      <c r="EQ120" s="139">
        <v>44440.0</v>
      </c>
      <c r="ER120" s="139">
        <v>44470.0</v>
      </c>
      <c r="ES120" s="139">
        <v>44501.0</v>
      </c>
      <c r="ET120" s="139">
        <v>44531.0</v>
      </c>
      <c r="EU120" s="139">
        <v>44562.0</v>
      </c>
      <c r="EV120" s="139">
        <v>44593.0</v>
      </c>
      <c r="EW120" s="139">
        <v>44621.0</v>
      </c>
      <c r="EX120" s="139">
        <v>44652.0</v>
      </c>
      <c r="EY120" s="139">
        <v>44682.0</v>
      </c>
      <c r="EZ120" s="139">
        <v>44713.0</v>
      </c>
      <c r="FA120" s="139">
        <v>44743.0</v>
      </c>
      <c r="FB120" s="139">
        <v>44774.0</v>
      </c>
      <c r="FC120" s="139">
        <v>44805.0</v>
      </c>
      <c r="FD120" s="139">
        <v>44835.0</v>
      </c>
      <c r="FE120" s="139">
        <v>44866.0</v>
      </c>
      <c r="FF120" s="139">
        <v>44896.0</v>
      </c>
      <c r="FG120" s="139">
        <v>44927.0</v>
      </c>
      <c r="FH120" s="139">
        <v>44958.0</v>
      </c>
      <c r="FI120" s="139">
        <v>44986.0</v>
      </c>
      <c r="FJ120" s="139">
        <v>45017.0</v>
      </c>
      <c r="FK120" s="139">
        <v>45047.0</v>
      </c>
      <c r="FL120" s="139">
        <v>45078.0</v>
      </c>
      <c r="FM120" s="139">
        <v>45108.0</v>
      </c>
      <c r="FN120" s="139">
        <v>45139.0</v>
      </c>
      <c r="FO120" s="139">
        <v>45170.0</v>
      </c>
      <c r="FP120" s="139">
        <v>45200.0</v>
      </c>
      <c r="FQ120" s="139">
        <v>45231.0</v>
      </c>
      <c r="FR120" s="139">
        <v>45261.0</v>
      </c>
      <c r="FS120" s="139">
        <v>45292.0</v>
      </c>
      <c r="FT120" s="139">
        <v>45323.0</v>
      </c>
      <c r="FU120" s="139">
        <v>45352.0</v>
      </c>
      <c r="FV120" s="139">
        <v>45383.0</v>
      </c>
      <c r="FW120" s="139">
        <v>45413.0</v>
      </c>
      <c r="FX120" s="139">
        <v>45444.0</v>
      </c>
      <c r="FY120" s="139">
        <v>45474.0</v>
      </c>
      <c r="FZ120" s="139">
        <v>45505.0</v>
      </c>
      <c r="GA120" s="139">
        <v>45536.0</v>
      </c>
      <c r="GB120" s="139">
        <v>45566.0</v>
      </c>
      <c r="GC120" s="139">
        <v>45597.0</v>
      </c>
      <c r="GD120" s="139">
        <v>45627.0</v>
      </c>
      <c r="GE120" s="139">
        <v>45658.0</v>
      </c>
      <c r="GF120" s="139">
        <v>45689.0</v>
      </c>
      <c r="GG120" s="139">
        <v>45717.0</v>
      </c>
      <c r="GH120" s="139">
        <v>45748.0</v>
      </c>
      <c r="GI120" s="139">
        <v>45778.0</v>
      </c>
      <c r="GJ120" s="139">
        <v>45809.0</v>
      </c>
      <c r="GK120" s="139">
        <v>45839.0</v>
      </c>
    </row>
    <row r="121">
      <c r="A121" s="132" t="s">
        <v>34120</v>
      </c>
      <c r="B121" s="133" t="s">
        <v>1358</v>
      </c>
      <c r="C121" s="134">
        <v>44187.454733796294</v>
      </c>
      <c r="D121" s="135" t="str">
        <f t="shared" si="1"/>
        <v>2020/12/22</v>
      </c>
      <c r="E121" s="136" t="s">
        <v>33912</v>
      </c>
      <c r="F121" s="137">
        <v>0.0</v>
      </c>
      <c r="G121" s="138">
        <v>40179.0</v>
      </c>
      <c r="H121" s="138">
        <v>40210.0</v>
      </c>
      <c r="I121" s="138">
        <v>40238.0</v>
      </c>
      <c r="J121" s="138">
        <v>40269.0</v>
      </c>
      <c r="K121" s="138">
        <v>40299.0</v>
      </c>
      <c r="L121" s="138">
        <v>40330.0</v>
      </c>
      <c r="M121" s="138">
        <v>40360.0</v>
      </c>
      <c r="N121" s="138">
        <v>40391.0</v>
      </c>
      <c r="O121" s="138">
        <v>40422.0</v>
      </c>
      <c r="P121" s="138">
        <v>40452.0</v>
      </c>
      <c r="Q121" s="138">
        <v>40483.0</v>
      </c>
      <c r="R121" s="138">
        <v>40513.0</v>
      </c>
      <c r="S121" s="138">
        <v>40544.0</v>
      </c>
      <c r="T121" s="138">
        <v>40575.0</v>
      </c>
      <c r="U121" s="138">
        <v>40603.0</v>
      </c>
      <c r="V121" s="138">
        <v>40634.0</v>
      </c>
      <c r="W121" s="138">
        <v>40664.0</v>
      </c>
      <c r="X121" s="138">
        <v>40695.0</v>
      </c>
      <c r="Y121" s="138">
        <v>40725.0</v>
      </c>
      <c r="Z121" s="138">
        <v>40756.0</v>
      </c>
      <c r="AA121" s="138">
        <v>40787.0</v>
      </c>
      <c r="AB121" s="138">
        <v>40817.0</v>
      </c>
      <c r="AC121" s="138">
        <v>40848.0</v>
      </c>
      <c r="AD121" s="138">
        <v>40878.0</v>
      </c>
      <c r="AE121" s="138">
        <v>40909.0</v>
      </c>
      <c r="AF121" s="138">
        <v>40940.0</v>
      </c>
      <c r="AG121" s="138">
        <v>40969.0</v>
      </c>
      <c r="AH121" s="138">
        <v>41000.0</v>
      </c>
      <c r="AI121" s="138">
        <v>41030.0</v>
      </c>
      <c r="AJ121" s="138">
        <v>41061.0</v>
      </c>
      <c r="AK121" s="138">
        <v>41091.0</v>
      </c>
      <c r="AL121" s="138">
        <v>41122.0</v>
      </c>
      <c r="AM121" s="138">
        <v>41153.0</v>
      </c>
      <c r="AN121" s="138">
        <v>41183.0</v>
      </c>
      <c r="AO121" s="138">
        <v>41214.0</v>
      </c>
      <c r="AP121" s="138">
        <v>41244.0</v>
      </c>
      <c r="AQ121" s="138">
        <v>41275.0</v>
      </c>
      <c r="AR121" s="138">
        <v>41306.0</v>
      </c>
      <c r="AS121" s="138">
        <v>41334.0</v>
      </c>
      <c r="AT121" s="138">
        <v>41365.0</v>
      </c>
      <c r="AU121" s="138">
        <v>41395.0</v>
      </c>
      <c r="AV121" s="138">
        <v>41426.0</v>
      </c>
      <c r="AW121" s="138">
        <v>41456.0</v>
      </c>
      <c r="AX121" s="138">
        <v>41487.0</v>
      </c>
      <c r="AY121" s="138">
        <v>41518.0</v>
      </c>
      <c r="AZ121" s="138">
        <v>41548.0</v>
      </c>
      <c r="BA121" s="138">
        <v>41579.0</v>
      </c>
      <c r="BB121" s="138">
        <v>41609.0</v>
      </c>
      <c r="BC121" s="138">
        <v>41640.0</v>
      </c>
      <c r="BD121" s="138">
        <v>41671.0</v>
      </c>
      <c r="BE121" s="138">
        <v>41699.0</v>
      </c>
      <c r="BF121" s="138">
        <v>41730.0</v>
      </c>
      <c r="BG121" s="138">
        <v>41760.0</v>
      </c>
      <c r="BH121" s="138">
        <v>41791.0</v>
      </c>
      <c r="BI121" s="138">
        <v>41821.0</v>
      </c>
      <c r="BJ121" s="138">
        <v>41852.0</v>
      </c>
      <c r="BK121" s="138">
        <v>41883.0</v>
      </c>
      <c r="BL121" s="138">
        <v>41913.0</v>
      </c>
      <c r="BM121" s="138">
        <v>41944.0</v>
      </c>
      <c r="BN121" s="138">
        <v>41974.0</v>
      </c>
      <c r="BO121" s="138">
        <v>42005.0</v>
      </c>
      <c r="BP121" s="138">
        <v>42036.0</v>
      </c>
      <c r="BQ121" s="138">
        <v>42064.0</v>
      </c>
      <c r="BR121" s="138">
        <v>42095.0</v>
      </c>
      <c r="BS121" s="138">
        <v>42125.0</v>
      </c>
      <c r="BT121" s="138">
        <v>42156.0</v>
      </c>
      <c r="BU121" s="138">
        <v>42186.0</v>
      </c>
      <c r="BV121" s="138">
        <v>42217.0</v>
      </c>
      <c r="BW121" s="138">
        <v>42248.0</v>
      </c>
      <c r="BX121" s="138">
        <v>42278.0</v>
      </c>
      <c r="BY121" s="138">
        <v>42309.0</v>
      </c>
      <c r="BZ121" s="138">
        <v>42339.0</v>
      </c>
      <c r="CA121" s="138">
        <v>42370.0</v>
      </c>
      <c r="CB121" s="138">
        <v>42401.0</v>
      </c>
      <c r="CC121" s="138">
        <v>42430.0</v>
      </c>
      <c r="CD121" s="138">
        <v>42461.0</v>
      </c>
      <c r="CE121" s="138">
        <v>42491.0</v>
      </c>
      <c r="CF121" s="138">
        <v>42522.0</v>
      </c>
      <c r="CG121" s="138">
        <v>42552.0</v>
      </c>
      <c r="CH121" s="138">
        <v>42583.0</v>
      </c>
      <c r="CI121" s="138">
        <v>42614.0</v>
      </c>
      <c r="CJ121" s="138">
        <v>42644.0</v>
      </c>
      <c r="CK121" s="138">
        <v>42675.0</v>
      </c>
      <c r="CL121" s="138">
        <v>42705.0</v>
      </c>
      <c r="CM121" s="138">
        <v>42736.0</v>
      </c>
      <c r="CN121" s="138">
        <v>42767.0</v>
      </c>
      <c r="CO121" s="138">
        <v>42795.0</v>
      </c>
      <c r="CP121" s="138">
        <v>42826.0</v>
      </c>
      <c r="CQ121" s="138">
        <v>42856.0</v>
      </c>
      <c r="CR121" s="138">
        <v>42887.0</v>
      </c>
      <c r="CS121" s="138">
        <v>42917.0</v>
      </c>
      <c r="CT121" s="138">
        <v>42948.0</v>
      </c>
      <c r="CU121" s="138">
        <v>42979.0</v>
      </c>
      <c r="CV121" s="138">
        <v>43009.0</v>
      </c>
      <c r="CW121" s="138">
        <v>43040.0</v>
      </c>
      <c r="CX121" s="138">
        <v>43070.0</v>
      </c>
      <c r="CY121" s="138">
        <v>43101.0</v>
      </c>
      <c r="CZ121" s="138">
        <v>43132.0</v>
      </c>
      <c r="DA121" s="138">
        <v>43160.0</v>
      </c>
      <c r="DB121" s="138">
        <v>43191.0</v>
      </c>
      <c r="DC121" s="138">
        <v>43221.0</v>
      </c>
      <c r="DD121" s="138">
        <v>43252.0</v>
      </c>
      <c r="DE121" s="138">
        <v>43282.0</v>
      </c>
      <c r="DF121" s="138">
        <v>43313.0</v>
      </c>
      <c r="DG121" s="138">
        <v>43344.0</v>
      </c>
      <c r="DH121" s="138">
        <v>43374.0</v>
      </c>
      <c r="DI121" s="138">
        <v>43405.0</v>
      </c>
      <c r="DJ121" s="138">
        <v>43435.0</v>
      </c>
      <c r="DK121" s="138">
        <v>43466.0</v>
      </c>
      <c r="DL121" s="138">
        <v>43497.0</v>
      </c>
      <c r="DM121" s="138">
        <v>43525.0</v>
      </c>
      <c r="DN121" s="138">
        <v>43556.0</v>
      </c>
      <c r="DO121" s="138">
        <v>43586.0</v>
      </c>
      <c r="DP121" s="138">
        <v>43617.0</v>
      </c>
      <c r="DQ121" s="138">
        <v>43647.0</v>
      </c>
      <c r="DR121" s="138">
        <v>43678.0</v>
      </c>
      <c r="DS121" s="138">
        <v>43709.0</v>
      </c>
      <c r="DT121" s="138">
        <v>43739.0</v>
      </c>
      <c r="DU121" s="138">
        <v>43770.0</v>
      </c>
      <c r="DV121" s="138">
        <v>43800.0</v>
      </c>
      <c r="DW121" s="138">
        <v>43831.0</v>
      </c>
      <c r="DX121" s="138">
        <v>43862.0</v>
      </c>
      <c r="DY121" s="138">
        <v>43891.0</v>
      </c>
      <c r="DZ121" s="138">
        <v>43922.0</v>
      </c>
      <c r="EA121" s="138">
        <v>43952.0</v>
      </c>
      <c r="EB121" s="138">
        <v>43983.0</v>
      </c>
      <c r="EC121" s="138">
        <v>44013.0</v>
      </c>
      <c r="ED121" s="138">
        <v>44044.0</v>
      </c>
      <c r="EE121" s="138">
        <v>44075.0</v>
      </c>
      <c r="EF121" s="138">
        <v>44105.0</v>
      </c>
      <c r="EG121" s="138">
        <v>44136.0</v>
      </c>
      <c r="EH121" s="138">
        <v>44166.0</v>
      </c>
      <c r="EI121" s="139">
        <v>44197.0</v>
      </c>
      <c r="EJ121" s="139">
        <v>44228.0</v>
      </c>
      <c r="EK121" s="139">
        <v>44256.0</v>
      </c>
      <c r="EL121" s="139">
        <v>44287.0</v>
      </c>
      <c r="EM121" s="139">
        <v>44317.0</v>
      </c>
      <c r="EN121" s="139">
        <v>44348.0</v>
      </c>
      <c r="EO121" s="139">
        <v>44378.0</v>
      </c>
      <c r="EP121" s="139">
        <v>44409.0</v>
      </c>
      <c r="EQ121" s="139">
        <v>44440.0</v>
      </c>
      <c r="ER121" s="139">
        <v>44470.0</v>
      </c>
      <c r="ES121" s="139">
        <v>44501.0</v>
      </c>
      <c r="ET121" s="139">
        <v>44531.0</v>
      </c>
      <c r="EU121" s="139">
        <v>44562.0</v>
      </c>
      <c r="EV121" s="139">
        <v>44593.0</v>
      </c>
      <c r="EW121" s="139">
        <v>44621.0</v>
      </c>
      <c r="EX121" s="139">
        <v>44652.0</v>
      </c>
      <c r="EY121" s="139">
        <v>44682.0</v>
      </c>
      <c r="EZ121" s="139">
        <v>44713.0</v>
      </c>
      <c r="FA121" s="139">
        <v>44743.0</v>
      </c>
      <c r="FB121" s="139">
        <v>44774.0</v>
      </c>
      <c r="FC121" s="139">
        <v>44805.0</v>
      </c>
      <c r="FD121" s="139">
        <v>44835.0</v>
      </c>
      <c r="FE121" s="139">
        <v>44866.0</v>
      </c>
      <c r="FF121" s="139">
        <v>44896.0</v>
      </c>
      <c r="FG121" s="139">
        <v>44927.0</v>
      </c>
      <c r="FH121" s="139">
        <v>44958.0</v>
      </c>
      <c r="FI121" s="139">
        <v>44986.0</v>
      </c>
      <c r="FJ121" s="139">
        <v>45017.0</v>
      </c>
      <c r="FK121" s="139">
        <v>45047.0</v>
      </c>
      <c r="FL121" s="139">
        <v>45078.0</v>
      </c>
      <c r="FM121" s="139">
        <v>45108.0</v>
      </c>
      <c r="FN121" s="139">
        <v>45139.0</v>
      </c>
      <c r="FO121" s="139">
        <v>45170.0</v>
      </c>
      <c r="FP121" s="139">
        <v>45200.0</v>
      </c>
      <c r="FQ121" s="139">
        <v>45231.0</v>
      </c>
      <c r="FR121" s="139">
        <v>45261.0</v>
      </c>
      <c r="FS121" s="139">
        <v>45292.0</v>
      </c>
      <c r="FT121" s="139">
        <v>45323.0</v>
      </c>
      <c r="FU121" s="139">
        <v>45352.0</v>
      </c>
      <c r="FV121" s="139">
        <v>45383.0</v>
      </c>
      <c r="FW121" s="139">
        <v>45413.0</v>
      </c>
      <c r="FX121" s="139">
        <v>45444.0</v>
      </c>
      <c r="FY121" s="139">
        <v>45474.0</v>
      </c>
      <c r="FZ121" s="139">
        <v>45505.0</v>
      </c>
      <c r="GA121" s="139">
        <v>45536.0</v>
      </c>
      <c r="GB121" s="139">
        <v>45566.0</v>
      </c>
      <c r="GC121" s="139">
        <v>45597.0</v>
      </c>
      <c r="GD121" s="139">
        <v>45627.0</v>
      </c>
      <c r="GE121" s="139">
        <v>45658.0</v>
      </c>
      <c r="GF121" s="139">
        <v>45689.0</v>
      </c>
      <c r="GG121" s="139">
        <v>45717.0</v>
      </c>
      <c r="GH121" s="139">
        <v>45748.0</v>
      </c>
      <c r="GI121" s="139">
        <v>45778.0</v>
      </c>
      <c r="GJ121" s="139">
        <v>45809.0</v>
      </c>
      <c r="GK121" s="139">
        <v>45839.0</v>
      </c>
    </row>
    <row r="122">
      <c r="A122" s="132" t="s">
        <v>34121</v>
      </c>
      <c r="B122" s="133" t="s">
        <v>1161</v>
      </c>
      <c r="C122" s="134">
        <v>44202.77434027778</v>
      </c>
      <c r="D122" s="135" t="str">
        <f t="shared" si="1"/>
        <v>2021/01/06</v>
      </c>
      <c r="E122" s="136" t="s">
        <v>34109</v>
      </c>
      <c r="F122" s="137">
        <v>0.0</v>
      </c>
      <c r="G122" s="138">
        <v>40179.0</v>
      </c>
      <c r="H122" s="138">
        <v>40210.0</v>
      </c>
      <c r="I122" s="138">
        <v>40238.0</v>
      </c>
      <c r="J122" s="138">
        <v>40269.0</v>
      </c>
      <c r="K122" s="138">
        <v>40299.0</v>
      </c>
      <c r="L122" s="138">
        <v>40330.0</v>
      </c>
      <c r="M122" s="138">
        <v>40360.0</v>
      </c>
      <c r="N122" s="138">
        <v>40391.0</v>
      </c>
      <c r="O122" s="138">
        <v>40422.0</v>
      </c>
      <c r="P122" s="138">
        <v>40452.0</v>
      </c>
      <c r="Q122" s="138">
        <v>40483.0</v>
      </c>
      <c r="R122" s="138">
        <v>40513.0</v>
      </c>
      <c r="S122" s="138">
        <v>40544.0</v>
      </c>
      <c r="T122" s="138">
        <v>40575.0</v>
      </c>
      <c r="U122" s="138">
        <v>40603.0</v>
      </c>
      <c r="V122" s="138">
        <v>40634.0</v>
      </c>
      <c r="W122" s="138">
        <v>40664.0</v>
      </c>
      <c r="X122" s="138">
        <v>40695.0</v>
      </c>
      <c r="Y122" s="138">
        <v>40725.0</v>
      </c>
      <c r="Z122" s="138">
        <v>40756.0</v>
      </c>
      <c r="AA122" s="138">
        <v>40787.0</v>
      </c>
      <c r="AB122" s="138">
        <v>40817.0</v>
      </c>
      <c r="AC122" s="138">
        <v>40848.0</v>
      </c>
      <c r="AD122" s="138">
        <v>40878.0</v>
      </c>
      <c r="AE122" s="138">
        <v>40909.0</v>
      </c>
      <c r="AF122" s="138">
        <v>40940.0</v>
      </c>
      <c r="AG122" s="138">
        <v>40969.0</v>
      </c>
      <c r="AH122" s="138">
        <v>41000.0</v>
      </c>
      <c r="AI122" s="138">
        <v>41030.0</v>
      </c>
      <c r="AJ122" s="138">
        <v>41061.0</v>
      </c>
      <c r="AK122" s="138">
        <v>41091.0</v>
      </c>
      <c r="AL122" s="138">
        <v>41122.0</v>
      </c>
      <c r="AM122" s="138">
        <v>41153.0</v>
      </c>
      <c r="AN122" s="138">
        <v>41183.0</v>
      </c>
      <c r="AO122" s="138">
        <v>41214.0</v>
      </c>
      <c r="AP122" s="138">
        <v>41244.0</v>
      </c>
      <c r="AQ122" s="138">
        <v>41275.0</v>
      </c>
      <c r="AR122" s="138">
        <v>41306.0</v>
      </c>
      <c r="AS122" s="138">
        <v>41334.0</v>
      </c>
      <c r="AT122" s="138">
        <v>41365.0</v>
      </c>
      <c r="AU122" s="138">
        <v>41395.0</v>
      </c>
      <c r="AV122" s="138">
        <v>41426.0</v>
      </c>
      <c r="AW122" s="138">
        <v>41456.0</v>
      </c>
      <c r="AX122" s="138">
        <v>41487.0</v>
      </c>
      <c r="AY122" s="138">
        <v>41518.0</v>
      </c>
      <c r="AZ122" s="138">
        <v>41548.0</v>
      </c>
      <c r="BA122" s="138">
        <v>41579.0</v>
      </c>
      <c r="BB122" s="138">
        <v>41609.0</v>
      </c>
      <c r="BC122" s="138">
        <v>41640.0</v>
      </c>
      <c r="BD122" s="138">
        <v>41671.0</v>
      </c>
      <c r="BE122" s="138">
        <v>41699.0</v>
      </c>
      <c r="BF122" s="138">
        <v>41730.0</v>
      </c>
      <c r="BG122" s="138">
        <v>41760.0</v>
      </c>
      <c r="BH122" s="138">
        <v>41791.0</v>
      </c>
      <c r="BI122" s="138">
        <v>41821.0</v>
      </c>
      <c r="BJ122" s="138">
        <v>41852.0</v>
      </c>
      <c r="BK122" s="138">
        <v>41883.0</v>
      </c>
      <c r="BL122" s="138">
        <v>41913.0</v>
      </c>
      <c r="BM122" s="138">
        <v>41944.0</v>
      </c>
      <c r="BN122" s="138">
        <v>41974.0</v>
      </c>
      <c r="BO122" s="138">
        <v>42005.0</v>
      </c>
      <c r="BP122" s="138">
        <v>42036.0</v>
      </c>
      <c r="BQ122" s="138">
        <v>42064.0</v>
      </c>
      <c r="BR122" s="138">
        <v>42095.0</v>
      </c>
      <c r="BS122" s="138">
        <v>42125.0</v>
      </c>
      <c r="BT122" s="138">
        <v>42156.0</v>
      </c>
      <c r="BU122" s="138">
        <v>42186.0</v>
      </c>
      <c r="BV122" s="138">
        <v>42217.0</v>
      </c>
      <c r="BW122" s="138">
        <v>42248.0</v>
      </c>
      <c r="BX122" s="138">
        <v>42278.0</v>
      </c>
      <c r="BY122" s="138">
        <v>42309.0</v>
      </c>
      <c r="BZ122" s="138">
        <v>42339.0</v>
      </c>
      <c r="CA122" s="138">
        <v>42370.0</v>
      </c>
      <c r="CB122" s="138">
        <v>42401.0</v>
      </c>
      <c r="CC122" s="138">
        <v>42430.0</v>
      </c>
      <c r="CD122" s="138">
        <v>42461.0</v>
      </c>
      <c r="CE122" s="138">
        <v>42491.0</v>
      </c>
      <c r="CF122" s="138">
        <v>42522.0</v>
      </c>
      <c r="CG122" s="138">
        <v>42552.0</v>
      </c>
      <c r="CH122" s="138">
        <v>42583.0</v>
      </c>
      <c r="CI122" s="138">
        <v>42614.0</v>
      </c>
      <c r="CJ122" s="138">
        <v>42644.0</v>
      </c>
      <c r="CK122" s="138">
        <v>42675.0</v>
      </c>
      <c r="CL122" s="138">
        <v>42705.0</v>
      </c>
      <c r="CM122" s="138">
        <v>42736.0</v>
      </c>
      <c r="CN122" s="138">
        <v>42767.0</v>
      </c>
      <c r="CO122" s="138">
        <v>42795.0</v>
      </c>
      <c r="CP122" s="138">
        <v>42826.0</v>
      </c>
      <c r="CQ122" s="138">
        <v>42856.0</v>
      </c>
      <c r="CR122" s="138">
        <v>42887.0</v>
      </c>
      <c r="CS122" s="138">
        <v>42917.0</v>
      </c>
      <c r="CT122" s="138">
        <v>42948.0</v>
      </c>
      <c r="CU122" s="138">
        <v>42979.0</v>
      </c>
      <c r="CV122" s="138">
        <v>43009.0</v>
      </c>
      <c r="CW122" s="138">
        <v>43040.0</v>
      </c>
      <c r="CX122" s="138">
        <v>43070.0</v>
      </c>
      <c r="CY122" s="138">
        <v>43101.0</v>
      </c>
      <c r="CZ122" s="138">
        <v>43132.0</v>
      </c>
      <c r="DA122" s="138">
        <v>43160.0</v>
      </c>
      <c r="DB122" s="138">
        <v>43191.0</v>
      </c>
      <c r="DC122" s="138">
        <v>43221.0</v>
      </c>
      <c r="DD122" s="138">
        <v>43252.0</v>
      </c>
      <c r="DE122" s="138">
        <v>43282.0</v>
      </c>
      <c r="DF122" s="138">
        <v>43313.0</v>
      </c>
      <c r="DG122" s="138">
        <v>43344.0</v>
      </c>
      <c r="DH122" s="138">
        <v>43374.0</v>
      </c>
      <c r="DI122" s="138">
        <v>43405.0</v>
      </c>
      <c r="DJ122" s="138">
        <v>43435.0</v>
      </c>
      <c r="DK122" s="138">
        <v>43466.0</v>
      </c>
      <c r="DL122" s="138">
        <v>43497.0</v>
      </c>
      <c r="DM122" s="138">
        <v>43525.0</v>
      </c>
      <c r="DN122" s="138">
        <v>43556.0</v>
      </c>
      <c r="DO122" s="138">
        <v>43586.0</v>
      </c>
      <c r="DP122" s="138">
        <v>43617.0</v>
      </c>
      <c r="DQ122" s="138">
        <v>43647.0</v>
      </c>
      <c r="DR122" s="138">
        <v>43678.0</v>
      </c>
      <c r="DS122" s="138">
        <v>43709.0</v>
      </c>
      <c r="DT122" s="138">
        <v>43739.0</v>
      </c>
      <c r="DU122" s="138">
        <v>43770.0</v>
      </c>
      <c r="DV122" s="138">
        <v>43800.0</v>
      </c>
      <c r="DW122" s="138">
        <v>43831.0</v>
      </c>
      <c r="DX122" s="138">
        <v>43862.0</v>
      </c>
      <c r="DY122" s="138">
        <v>43891.0</v>
      </c>
      <c r="DZ122" s="138">
        <v>43922.0</v>
      </c>
      <c r="EA122" s="138">
        <v>43952.0</v>
      </c>
      <c r="EB122" s="138">
        <v>43983.0</v>
      </c>
      <c r="EC122" s="138">
        <v>44013.0</v>
      </c>
      <c r="ED122" s="138">
        <v>44044.0</v>
      </c>
      <c r="EE122" s="138">
        <v>44075.0</v>
      </c>
      <c r="EF122" s="138">
        <v>44105.0</v>
      </c>
      <c r="EG122" s="138">
        <v>44136.0</v>
      </c>
      <c r="EH122" s="138">
        <v>44166.0</v>
      </c>
      <c r="EI122" s="138">
        <v>44197.0</v>
      </c>
      <c r="EJ122" s="139">
        <v>44228.0</v>
      </c>
      <c r="EK122" s="139">
        <v>44256.0</v>
      </c>
      <c r="EL122" s="139">
        <v>44287.0</v>
      </c>
      <c r="EM122" s="139">
        <v>44317.0</v>
      </c>
      <c r="EN122" s="139">
        <v>44348.0</v>
      </c>
      <c r="EO122" s="139">
        <v>44378.0</v>
      </c>
      <c r="EP122" s="139">
        <v>44409.0</v>
      </c>
      <c r="EQ122" s="139">
        <v>44440.0</v>
      </c>
      <c r="ER122" s="139">
        <v>44470.0</v>
      </c>
      <c r="ES122" s="139">
        <v>44501.0</v>
      </c>
      <c r="ET122" s="139">
        <v>44531.0</v>
      </c>
      <c r="EU122" s="139">
        <v>44562.0</v>
      </c>
      <c r="EV122" s="139">
        <v>44593.0</v>
      </c>
      <c r="EW122" s="139">
        <v>44621.0</v>
      </c>
      <c r="EX122" s="139">
        <v>44652.0</v>
      </c>
      <c r="EY122" s="139">
        <v>44682.0</v>
      </c>
      <c r="EZ122" s="139">
        <v>44713.0</v>
      </c>
      <c r="FA122" s="139">
        <v>44743.0</v>
      </c>
      <c r="FB122" s="139">
        <v>44774.0</v>
      </c>
      <c r="FC122" s="139">
        <v>44805.0</v>
      </c>
      <c r="FD122" s="139">
        <v>44835.0</v>
      </c>
      <c r="FE122" s="139">
        <v>44866.0</v>
      </c>
      <c r="FF122" s="139">
        <v>44896.0</v>
      </c>
      <c r="FG122" s="139">
        <v>44927.0</v>
      </c>
      <c r="FH122" s="139">
        <v>44958.0</v>
      </c>
      <c r="FI122" s="139">
        <v>44986.0</v>
      </c>
      <c r="FJ122" s="139">
        <v>45017.0</v>
      </c>
      <c r="FK122" s="139">
        <v>45047.0</v>
      </c>
      <c r="FL122" s="139">
        <v>45078.0</v>
      </c>
      <c r="FM122" s="139">
        <v>45108.0</v>
      </c>
      <c r="FN122" s="139">
        <v>45139.0</v>
      </c>
      <c r="FO122" s="139">
        <v>45170.0</v>
      </c>
      <c r="FP122" s="139">
        <v>45200.0</v>
      </c>
      <c r="FQ122" s="139">
        <v>45231.0</v>
      </c>
      <c r="FR122" s="139">
        <v>45261.0</v>
      </c>
      <c r="FS122" s="139">
        <v>45292.0</v>
      </c>
      <c r="FT122" s="139">
        <v>45323.0</v>
      </c>
      <c r="FU122" s="139">
        <v>45352.0</v>
      </c>
      <c r="FV122" s="139">
        <v>45383.0</v>
      </c>
      <c r="FW122" s="139">
        <v>45413.0</v>
      </c>
      <c r="FX122" s="139">
        <v>45444.0</v>
      </c>
      <c r="FY122" s="139">
        <v>45474.0</v>
      </c>
      <c r="FZ122" s="139">
        <v>45505.0</v>
      </c>
      <c r="GA122" s="139">
        <v>45536.0</v>
      </c>
      <c r="GB122" s="139">
        <v>45566.0</v>
      </c>
      <c r="GC122" s="139">
        <v>45597.0</v>
      </c>
      <c r="GD122" s="139">
        <v>45627.0</v>
      </c>
      <c r="GE122" s="139">
        <v>45658.0</v>
      </c>
      <c r="GF122" s="139">
        <v>45689.0</v>
      </c>
      <c r="GG122" s="139">
        <v>45717.0</v>
      </c>
      <c r="GH122" s="139">
        <v>45748.0</v>
      </c>
      <c r="GI122" s="139">
        <v>45778.0</v>
      </c>
      <c r="GJ122" s="139">
        <v>45809.0</v>
      </c>
      <c r="GK122" s="139">
        <v>45839.0</v>
      </c>
    </row>
    <row r="123">
      <c r="A123" s="132" t="s">
        <v>34122</v>
      </c>
      <c r="B123" s="133" t="s">
        <v>444</v>
      </c>
      <c r="C123" s="134">
        <v>44257.42428240741</v>
      </c>
      <c r="D123" s="135" t="str">
        <f t="shared" si="1"/>
        <v>2021/03/02</v>
      </c>
      <c r="E123" s="136" t="s">
        <v>34109</v>
      </c>
      <c r="F123" s="137">
        <v>0.0</v>
      </c>
      <c r="G123" s="138">
        <v>40179.0</v>
      </c>
      <c r="H123" s="138">
        <v>40210.0</v>
      </c>
      <c r="I123" s="138">
        <v>40238.0</v>
      </c>
      <c r="J123" s="138">
        <v>40269.0</v>
      </c>
      <c r="K123" s="138">
        <v>40299.0</v>
      </c>
      <c r="L123" s="138">
        <v>40330.0</v>
      </c>
      <c r="M123" s="138">
        <v>40360.0</v>
      </c>
      <c r="N123" s="138">
        <v>40391.0</v>
      </c>
      <c r="O123" s="138">
        <v>40422.0</v>
      </c>
      <c r="P123" s="138">
        <v>40452.0</v>
      </c>
      <c r="Q123" s="138">
        <v>40483.0</v>
      </c>
      <c r="R123" s="138">
        <v>40513.0</v>
      </c>
      <c r="S123" s="138">
        <v>40544.0</v>
      </c>
      <c r="T123" s="138">
        <v>40575.0</v>
      </c>
      <c r="U123" s="138">
        <v>40603.0</v>
      </c>
      <c r="V123" s="138">
        <v>40634.0</v>
      </c>
      <c r="W123" s="138">
        <v>40664.0</v>
      </c>
      <c r="X123" s="138">
        <v>40695.0</v>
      </c>
      <c r="Y123" s="138">
        <v>40725.0</v>
      </c>
      <c r="Z123" s="138">
        <v>40756.0</v>
      </c>
      <c r="AA123" s="138">
        <v>40787.0</v>
      </c>
      <c r="AB123" s="138">
        <v>40817.0</v>
      </c>
      <c r="AC123" s="138">
        <v>40848.0</v>
      </c>
      <c r="AD123" s="138">
        <v>40878.0</v>
      </c>
      <c r="AE123" s="138">
        <v>40909.0</v>
      </c>
      <c r="AF123" s="138">
        <v>40940.0</v>
      </c>
      <c r="AG123" s="138">
        <v>40969.0</v>
      </c>
      <c r="AH123" s="138">
        <v>41000.0</v>
      </c>
      <c r="AI123" s="138">
        <v>41030.0</v>
      </c>
      <c r="AJ123" s="138">
        <v>41061.0</v>
      </c>
      <c r="AK123" s="138">
        <v>41091.0</v>
      </c>
      <c r="AL123" s="138">
        <v>41122.0</v>
      </c>
      <c r="AM123" s="138">
        <v>41153.0</v>
      </c>
      <c r="AN123" s="138">
        <v>41183.0</v>
      </c>
      <c r="AO123" s="138">
        <v>41214.0</v>
      </c>
      <c r="AP123" s="138">
        <v>41244.0</v>
      </c>
      <c r="AQ123" s="138">
        <v>41275.0</v>
      </c>
      <c r="AR123" s="138">
        <v>41306.0</v>
      </c>
      <c r="AS123" s="138">
        <v>41334.0</v>
      </c>
      <c r="AT123" s="138">
        <v>41365.0</v>
      </c>
      <c r="AU123" s="138">
        <v>41395.0</v>
      </c>
      <c r="AV123" s="138">
        <v>41426.0</v>
      </c>
      <c r="AW123" s="138">
        <v>41456.0</v>
      </c>
      <c r="AX123" s="138">
        <v>41487.0</v>
      </c>
      <c r="AY123" s="138">
        <v>41518.0</v>
      </c>
      <c r="AZ123" s="138">
        <v>41548.0</v>
      </c>
      <c r="BA123" s="138">
        <v>41579.0</v>
      </c>
      <c r="BB123" s="138">
        <v>41609.0</v>
      </c>
      <c r="BC123" s="138">
        <v>41640.0</v>
      </c>
      <c r="BD123" s="138">
        <v>41671.0</v>
      </c>
      <c r="BE123" s="138">
        <v>41699.0</v>
      </c>
      <c r="BF123" s="138">
        <v>41730.0</v>
      </c>
      <c r="BG123" s="138">
        <v>41760.0</v>
      </c>
      <c r="BH123" s="138">
        <v>41791.0</v>
      </c>
      <c r="BI123" s="138">
        <v>41821.0</v>
      </c>
      <c r="BJ123" s="138">
        <v>41852.0</v>
      </c>
      <c r="BK123" s="138">
        <v>41883.0</v>
      </c>
      <c r="BL123" s="138">
        <v>41913.0</v>
      </c>
      <c r="BM123" s="138">
        <v>41944.0</v>
      </c>
      <c r="BN123" s="138">
        <v>41974.0</v>
      </c>
      <c r="BO123" s="138">
        <v>42005.0</v>
      </c>
      <c r="BP123" s="138">
        <v>42036.0</v>
      </c>
      <c r="BQ123" s="138">
        <v>42064.0</v>
      </c>
      <c r="BR123" s="138">
        <v>42095.0</v>
      </c>
      <c r="BS123" s="138">
        <v>42125.0</v>
      </c>
      <c r="BT123" s="138">
        <v>42156.0</v>
      </c>
      <c r="BU123" s="138">
        <v>42186.0</v>
      </c>
      <c r="BV123" s="138">
        <v>42217.0</v>
      </c>
      <c r="BW123" s="138">
        <v>42248.0</v>
      </c>
      <c r="BX123" s="138">
        <v>42278.0</v>
      </c>
      <c r="BY123" s="138">
        <v>42309.0</v>
      </c>
      <c r="BZ123" s="138">
        <v>42339.0</v>
      </c>
      <c r="CA123" s="138">
        <v>42370.0</v>
      </c>
      <c r="CB123" s="138">
        <v>42401.0</v>
      </c>
      <c r="CC123" s="138">
        <v>42430.0</v>
      </c>
      <c r="CD123" s="138">
        <v>42461.0</v>
      </c>
      <c r="CE123" s="138">
        <v>42491.0</v>
      </c>
      <c r="CF123" s="138">
        <v>42522.0</v>
      </c>
      <c r="CG123" s="138">
        <v>42552.0</v>
      </c>
      <c r="CH123" s="138">
        <v>42583.0</v>
      </c>
      <c r="CI123" s="138">
        <v>42614.0</v>
      </c>
      <c r="CJ123" s="138">
        <v>42644.0</v>
      </c>
      <c r="CK123" s="138">
        <v>42675.0</v>
      </c>
      <c r="CL123" s="138">
        <v>42705.0</v>
      </c>
      <c r="CM123" s="138">
        <v>42736.0</v>
      </c>
      <c r="CN123" s="138">
        <v>42767.0</v>
      </c>
      <c r="CO123" s="138">
        <v>42795.0</v>
      </c>
      <c r="CP123" s="138">
        <v>42826.0</v>
      </c>
      <c r="CQ123" s="138">
        <v>42856.0</v>
      </c>
      <c r="CR123" s="138">
        <v>42887.0</v>
      </c>
      <c r="CS123" s="138">
        <v>42917.0</v>
      </c>
      <c r="CT123" s="138">
        <v>42948.0</v>
      </c>
      <c r="CU123" s="138">
        <v>42979.0</v>
      </c>
      <c r="CV123" s="138">
        <v>43009.0</v>
      </c>
      <c r="CW123" s="138">
        <v>43040.0</v>
      </c>
      <c r="CX123" s="138">
        <v>43070.0</v>
      </c>
      <c r="CY123" s="138">
        <v>43101.0</v>
      </c>
      <c r="CZ123" s="138">
        <v>43132.0</v>
      </c>
      <c r="DA123" s="138">
        <v>43160.0</v>
      </c>
      <c r="DB123" s="138">
        <v>43191.0</v>
      </c>
      <c r="DC123" s="138">
        <v>43221.0</v>
      </c>
      <c r="DD123" s="138">
        <v>43252.0</v>
      </c>
      <c r="DE123" s="138">
        <v>43282.0</v>
      </c>
      <c r="DF123" s="138">
        <v>43313.0</v>
      </c>
      <c r="DG123" s="138">
        <v>43344.0</v>
      </c>
      <c r="DH123" s="138">
        <v>43374.0</v>
      </c>
      <c r="DI123" s="138">
        <v>43405.0</v>
      </c>
      <c r="DJ123" s="138">
        <v>43435.0</v>
      </c>
      <c r="DK123" s="138">
        <v>43466.0</v>
      </c>
      <c r="DL123" s="138">
        <v>43497.0</v>
      </c>
      <c r="DM123" s="138">
        <v>43525.0</v>
      </c>
      <c r="DN123" s="138">
        <v>43556.0</v>
      </c>
      <c r="DO123" s="138">
        <v>43586.0</v>
      </c>
      <c r="DP123" s="138">
        <v>43617.0</v>
      </c>
      <c r="DQ123" s="138">
        <v>43647.0</v>
      </c>
      <c r="DR123" s="138">
        <v>43678.0</v>
      </c>
      <c r="DS123" s="138">
        <v>43709.0</v>
      </c>
      <c r="DT123" s="138">
        <v>43739.0</v>
      </c>
      <c r="DU123" s="138">
        <v>43770.0</v>
      </c>
      <c r="DV123" s="138">
        <v>43800.0</v>
      </c>
      <c r="DW123" s="138">
        <v>43831.0</v>
      </c>
      <c r="DX123" s="138">
        <v>43862.0</v>
      </c>
      <c r="DY123" s="138">
        <v>43891.0</v>
      </c>
      <c r="DZ123" s="138">
        <v>43922.0</v>
      </c>
      <c r="EA123" s="138">
        <v>43952.0</v>
      </c>
      <c r="EB123" s="138">
        <v>43983.0</v>
      </c>
      <c r="EC123" s="138">
        <v>44013.0</v>
      </c>
      <c r="ED123" s="138">
        <v>44044.0</v>
      </c>
      <c r="EE123" s="138">
        <v>44075.0</v>
      </c>
      <c r="EF123" s="138">
        <v>44105.0</v>
      </c>
      <c r="EG123" s="138">
        <v>44136.0</v>
      </c>
      <c r="EH123" s="138">
        <v>44166.0</v>
      </c>
      <c r="EI123" s="138">
        <v>44197.0</v>
      </c>
      <c r="EJ123" s="138">
        <v>44228.0</v>
      </c>
      <c r="EK123" s="138">
        <v>44256.0</v>
      </c>
      <c r="EL123" s="139">
        <v>44287.0</v>
      </c>
      <c r="EM123" s="139">
        <v>44317.0</v>
      </c>
      <c r="EN123" s="139">
        <v>44348.0</v>
      </c>
      <c r="EO123" s="139">
        <v>44378.0</v>
      </c>
      <c r="EP123" s="139">
        <v>44409.0</v>
      </c>
      <c r="EQ123" s="139">
        <v>44440.0</v>
      </c>
      <c r="ER123" s="139">
        <v>44470.0</v>
      </c>
      <c r="ES123" s="139">
        <v>44501.0</v>
      </c>
      <c r="ET123" s="139">
        <v>44531.0</v>
      </c>
      <c r="EU123" s="139">
        <v>44562.0</v>
      </c>
      <c r="EV123" s="139">
        <v>44593.0</v>
      </c>
      <c r="EW123" s="139">
        <v>44621.0</v>
      </c>
      <c r="EX123" s="139">
        <v>44652.0</v>
      </c>
      <c r="EY123" s="139">
        <v>44682.0</v>
      </c>
      <c r="EZ123" s="139">
        <v>44713.0</v>
      </c>
      <c r="FA123" s="139">
        <v>44743.0</v>
      </c>
      <c r="FB123" s="139">
        <v>44774.0</v>
      </c>
      <c r="FC123" s="139">
        <v>44805.0</v>
      </c>
      <c r="FD123" s="139">
        <v>44835.0</v>
      </c>
      <c r="FE123" s="139">
        <v>44866.0</v>
      </c>
      <c r="FF123" s="139">
        <v>44896.0</v>
      </c>
      <c r="FG123" s="139">
        <v>44927.0</v>
      </c>
      <c r="FH123" s="139">
        <v>44958.0</v>
      </c>
      <c r="FI123" s="139">
        <v>44986.0</v>
      </c>
      <c r="FJ123" s="139">
        <v>45017.0</v>
      </c>
      <c r="FK123" s="139">
        <v>45047.0</v>
      </c>
      <c r="FL123" s="139">
        <v>45078.0</v>
      </c>
      <c r="FM123" s="139">
        <v>45108.0</v>
      </c>
      <c r="FN123" s="139">
        <v>45139.0</v>
      </c>
      <c r="FO123" s="139">
        <v>45170.0</v>
      </c>
      <c r="FP123" s="139">
        <v>45200.0</v>
      </c>
      <c r="FQ123" s="139">
        <v>45231.0</v>
      </c>
      <c r="FR123" s="139">
        <v>45261.0</v>
      </c>
      <c r="FS123" s="139">
        <v>45292.0</v>
      </c>
      <c r="FT123" s="139">
        <v>45323.0</v>
      </c>
      <c r="FU123" s="139">
        <v>45352.0</v>
      </c>
      <c r="FV123" s="139">
        <v>45383.0</v>
      </c>
      <c r="FW123" s="139">
        <v>45413.0</v>
      </c>
      <c r="FX123" s="139">
        <v>45444.0</v>
      </c>
      <c r="FY123" s="139">
        <v>45474.0</v>
      </c>
      <c r="FZ123" s="139">
        <v>45505.0</v>
      </c>
      <c r="GA123" s="139">
        <v>45536.0</v>
      </c>
      <c r="GB123" s="139">
        <v>45566.0</v>
      </c>
      <c r="GC123" s="139">
        <v>45597.0</v>
      </c>
      <c r="GD123" s="139">
        <v>45627.0</v>
      </c>
      <c r="GE123" s="139">
        <v>45658.0</v>
      </c>
      <c r="GF123" s="139">
        <v>45689.0</v>
      </c>
      <c r="GG123" s="139">
        <v>45717.0</v>
      </c>
      <c r="GH123" s="139">
        <v>45748.0</v>
      </c>
      <c r="GI123" s="139">
        <v>45778.0</v>
      </c>
      <c r="GJ123" s="139">
        <v>45809.0</v>
      </c>
      <c r="GK123" s="139">
        <v>45839.0</v>
      </c>
    </row>
    <row r="124">
      <c r="A124" s="132" t="s">
        <v>34123</v>
      </c>
      <c r="B124" s="133" t="s">
        <v>1356</v>
      </c>
      <c r="C124" s="134">
        <v>44322.545694444445</v>
      </c>
      <c r="D124" s="135" t="str">
        <f t="shared" si="1"/>
        <v>2021/05/06</v>
      </c>
      <c r="E124" s="136" t="s">
        <v>34124</v>
      </c>
      <c r="F124" s="137">
        <v>0.0018</v>
      </c>
      <c r="G124" s="138">
        <v>40179.0</v>
      </c>
      <c r="H124" s="138">
        <v>40210.0</v>
      </c>
      <c r="I124" s="138">
        <v>40238.0</v>
      </c>
      <c r="J124" s="138">
        <v>40269.0</v>
      </c>
      <c r="K124" s="138">
        <v>40299.0</v>
      </c>
      <c r="L124" s="138">
        <v>40330.0</v>
      </c>
      <c r="M124" s="138">
        <v>40360.0</v>
      </c>
      <c r="N124" s="138">
        <v>40391.0</v>
      </c>
      <c r="O124" s="138">
        <v>40422.0</v>
      </c>
      <c r="P124" s="138">
        <v>40452.0</v>
      </c>
      <c r="Q124" s="138">
        <v>40483.0</v>
      </c>
      <c r="R124" s="138">
        <v>40513.0</v>
      </c>
      <c r="S124" s="138">
        <v>40544.0</v>
      </c>
      <c r="T124" s="138">
        <v>40575.0</v>
      </c>
      <c r="U124" s="138">
        <v>40603.0</v>
      </c>
      <c r="V124" s="138">
        <v>40634.0</v>
      </c>
      <c r="W124" s="138">
        <v>40664.0</v>
      </c>
      <c r="X124" s="138">
        <v>40695.0</v>
      </c>
      <c r="Y124" s="138">
        <v>40725.0</v>
      </c>
      <c r="Z124" s="138">
        <v>40756.0</v>
      </c>
      <c r="AA124" s="138">
        <v>40787.0</v>
      </c>
      <c r="AB124" s="138">
        <v>40817.0</v>
      </c>
      <c r="AC124" s="138">
        <v>40848.0</v>
      </c>
      <c r="AD124" s="138">
        <v>40878.0</v>
      </c>
      <c r="AE124" s="138">
        <v>40909.0</v>
      </c>
      <c r="AF124" s="138">
        <v>40940.0</v>
      </c>
      <c r="AG124" s="138">
        <v>40969.0</v>
      </c>
      <c r="AH124" s="138">
        <v>41000.0</v>
      </c>
      <c r="AI124" s="138">
        <v>41030.0</v>
      </c>
      <c r="AJ124" s="138">
        <v>41061.0</v>
      </c>
      <c r="AK124" s="138">
        <v>41091.0</v>
      </c>
      <c r="AL124" s="138">
        <v>41122.0</v>
      </c>
      <c r="AM124" s="138">
        <v>41153.0</v>
      </c>
      <c r="AN124" s="138">
        <v>41183.0</v>
      </c>
      <c r="AO124" s="138">
        <v>41214.0</v>
      </c>
      <c r="AP124" s="138">
        <v>41244.0</v>
      </c>
      <c r="AQ124" s="138">
        <v>41275.0</v>
      </c>
      <c r="AR124" s="138">
        <v>41306.0</v>
      </c>
      <c r="AS124" s="138">
        <v>41334.0</v>
      </c>
      <c r="AT124" s="138">
        <v>41365.0</v>
      </c>
      <c r="AU124" s="138">
        <v>41395.0</v>
      </c>
      <c r="AV124" s="138">
        <v>41426.0</v>
      </c>
      <c r="AW124" s="138">
        <v>41456.0</v>
      </c>
      <c r="AX124" s="138">
        <v>41487.0</v>
      </c>
      <c r="AY124" s="138">
        <v>41518.0</v>
      </c>
      <c r="AZ124" s="138">
        <v>41548.0</v>
      </c>
      <c r="BA124" s="138">
        <v>41579.0</v>
      </c>
      <c r="BB124" s="138">
        <v>41609.0</v>
      </c>
      <c r="BC124" s="138">
        <v>41640.0</v>
      </c>
      <c r="BD124" s="138">
        <v>41671.0</v>
      </c>
      <c r="BE124" s="138">
        <v>41699.0</v>
      </c>
      <c r="BF124" s="138">
        <v>41730.0</v>
      </c>
      <c r="BG124" s="138">
        <v>41760.0</v>
      </c>
      <c r="BH124" s="138">
        <v>41791.0</v>
      </c>
      <c r="BI124" s="138">
        <v>41821.0</v>
      </c>
      <c r="BJ124" s="138">
        <v>41852.0</v>
      </c>
      <c r="BK124" s="138">
        <v>41883.0</v>
      </c>
      <c r="BL124" s="138">
        <v>41913.0</v>
      </c>
      <c r="BM124" s="138">
        <v>41944.0</v>
      </c>
      <c r="BN124" s="138">
        <v>41974.0</v>
      </c>
      <c r="BO124" s="138">
        <v>42005.0</v>
      </c>
      <c r="BP124" s="138">
        <v>42036.0</v>
      </c>
      <c r="BQ124" s="138">
        <v>42064.0</v>
      </c>
      <c r="BR124" s="138">
        <v>42095.0</v>
      </c>
      <c r="BS124" s="138">
        <v>42125.0</v>
      </c>
      <c r="BT124" s="138">
        <v>42156.0</v>
      </c>
      <c r="BU124" s="138">
        <v>42186.0</v>
      </c>
      <c r="BV124" s="138">
        <v>42217.0</v>
      </c>
      <c r="BW124" s="138">
        <v>42248.0</v>
      </c>
      <c r="BX124" s="138">
        <v>42278.0</v>
      </c>
      <c r="BY124" s="138">
        <v>42309.0</v>
      </c>
      <c r="BZ124" s="138">
        <v>42339.0</v>
      </c>
      <c r="CA124" s="138">
        <v>42370.0</v>
      </c>
      <c r="CB124" s="138">
        <v>42401.0</v>
      </c>
      <c r="CC124" s="138">
        <v>42430.0</v>
      </c>
      <c r="CD124" s="138">
        <v>42461.0</v>
      </c>
      <c r="CE124" s="138">
        <v>42491.0</v>
      </c>
      <c r="CF124" s="138">
        <v>42522.0</v>
      </c>
      <c r="CG124" s="138">
        <v>42552.0</v>
      </c>
      <c r="CH124" s="138">
        <v>42583.0</v>
      </c>
      <c r="CI124" s="138">
        <v>42614.0</v>
      </c>
      <c r="CJ124" s="138">
        <v>42644.0</v>
      </c>
      <c r="CK124" s="138">
        <v>42675.0</v>
      </c>
      <c r="CL124" s="138">
        <v>42705.0</v>
      </c>
      <c r="CM124" s="138">
        <v>42736.0</v>
      </c>
      <c r="CN124" s="138">
        <v>42767.0</v>
      </c>
      <c r="CO124" s="138">
        <v>42795.0</v>
      </c>
      <c r="CP124" s="138">
        <v>42826.0</v>
      </c>
      <c r="CQ124" s="138">
        <v>42856.0</v>
      </c>
      <c r="CR124" s="138">
        <v>42887.0</v>
      </c>
      <c r="CS124" s="138">
        <v>42917.0</v>
      </c>
      <c r="CT124" s="138">
        <v>42948.0</v>
      </c>
      <c r="CU124" s="138">
        <v>42979.0</v>
      </c>
      <c r="CV124" s="138">
        <v>43009.0</v>
      </c>
      <c r="CW124" s="138">
        <v>43040.0</v>
      </c>
      <c r="CX124" s="138">
        <v>43070.0</v>
      </c>
      <c r="CY124" s="138">
        <v>43101.0</v>
      </c>
      <c r="CZ124" s="138">
        <v>43132.0</v>
      </c>
      <c r="DA124" s="138">
        <v>43160.0</v>
      </c>
      <c r="DB124" s="138">
        <v>43191.0</v>
      </c>
      <c r="DC124" s="138">
        <v>43221.0</v>
      </c>
      <c r="DD124" s="138">
        <v>43252.0</v>
      </c>
      <c r="DE124" s="138">
        <v>43282.0</v>
      </c>
      <c r="DF124" s="138">
        <v>43313.0</v>
      </c>
      <c r="DG124" s="138">
        <v>43344.0</v>
      </c>
      <c r="DH124" s="138">
        <v>43374.0</v>
      </c>
      <c r="DI124" s="138">
        <v>43405.0</v>
      </c>
      <c r="DJ124" s="138">
        <v>43435.0</v>
      </c>
      <c r="DK124" s="138">
        <v>43466.0</v>
      </c>
      <c r="DL124" s="138">
        <v>43497.0</v>
      </c>
      <c r="DM124" s="138">
        <v>43525.0</v>
      </c>
      <c r="DN124" s="138">
        <v>43556.0</v>
      </c>
      <c r="DO124" s="138">
        <v>43586.0</v>
      </c>
      <c r="DP124" s="138">
        <v>43617.0</v>
      </c>
      <c r="DQ124" s="138">
        <v>43647.0</v>
      </c>
      <c r="DR124" s="138">
        <v>43678.0</v>
      </c>
      <c r="DS124" s="138">
        <v>43709.0</v>
      </c>
      <c r="DT124" s="138">
        <v>43739.0</v>
      </c>
      <c r="DU124" s="138">
        <v>43770.0</v>
      </c>
      <c r="DV124" s="138">
        <v>43800.0</v>
      </c>
      <c r="DW124" s="138">
        <v>43831.0</v>
      </c>
      <c r="DX124" s="138">
        <v>43862.0</v>
      </c>
      <c r="DY124" s="138">
        <v>43891.0</v>
      </c>
      <c r="DZ124" s="138">
        <v>43922.0</v>
      </c>
      <c r="EA124" s="138">
        <v>43952.0</v>
      </c>
      <c r="EB124" s="138">
        <v>43983.0</v>
      </c>
      <c r="EC124" s="138">
        <v>44013.0</v>
      </c>
      <c r="ED124" s="138">
        <v>44044.0</v>
      </c>
      <c r="EE124" s="138">
        <v>44075.0</v>
      </c>
      <c r="EF124" s="138">
        <v>44105.0</v>
      </c>
      <c r="EG124" s="138">
        <v>44136.0</v>
      </c>
      <c r="EH124" s="138">
        <v>44166.0</v>
      </c>
      <c r="EI124" s="138">
        <v>44197.0</v>
      </c>
      <c r="EJ124" s="138">
        <v>44228.0</v>
      </c>
      <c r="EK124" s="138">
        <v>44256.0</v>
      </c>
      <c r="EL124" s="138">
        <v>44287.0</v>
      </c>
      <c r="EM124" s="138">
        <v>44317.0</v>
      </c>
      <c r="EN124" s="139">
        <v>44348.0</v>
      </c>
      <c r="EO124" s="139">
        <v>44378.0</v>
      </c>
      <c r="EP124" s="139">
        <v>44409.0</v>
      </c>
      <c r="EQ124" s="139">
        <v>44440.0</v>
      </c>
      <c r="ER124" s="139">
        <v>44470.0</v>
      </c>
      <c r="ES124" s="139">
        <v>44501.0</v>
      </c>
      <c r="ET124" s="139">
        <v>44531.0</v>
      </c>
      <c r="EU124" s="139">
        <v>44562.0</v>
      </c>
      <c r="EV124" s="139">
        <v>44593.0</v>
      </c>
      <c r="EW124" s="139">
        <v>44621.0</v>
      </c>
      <c r="EX124" s="139">
        <v>44652.0</v>
      </c>
      <c r="EY124" s="139">
        <v>44682.0</v>
      </c>
      <c r="EZ124" s="139">
        <v>44713.0</v>
      </c>
      <c r="FA124" s="139">
        <v>44743.0</v>
      </c>
      <c r="FB124" s="139">
        <v>44774.0</v>
      </c>
      <c r="FC124" s="139">
        <v>44805.0</v>
      </c>
      <c r="FD124" s="139">
        <v>44835.0</v>
      </c>
      <c r="FE124" s="139">
        <v>44866.0</v>
      </c>
      <c r="FF124" s="139">
        <v>44896.0</v>
      </c>
      <c r="FG124" s="139">
        <v>44927.0</v>
      </c>
      <c r="FH124" s="139">
        <v>44958.0</v>
      </c>
      <c r="FI124" s="139">
        <v>44986.0</v>
      </c>
      <c r="FJ124" s="139">
        <v>45017.0</v>
      </c>
      <c r="FK124" s="139">
        <v>45047.0</v>
      </c>
      <c r="FL124" s="139">
        <v>45078.0</v>
      </c>
      <c r="FM124" s="139">
        <v>45108.0</v>
      </c>
      <c r="FN124" s="139">
        <v>45139.0</v>
      </c>
      <c r="FO124" s="139">
        <v>45170.0</v>
      </c>
      <c r="FP124" s="139">
        <v>45200.0</v>
      </c>
      <c r="FQ124" s="139">
        <v>45231.0</v>
      </c>
      <c r="FR124" s="139">
        <v>45261.0</v>
      </c>
      <c r="FS124" s="139">
        <v>45292.0</v>
      </c>
      <c r="FT124" s="139">
        <v>45323.0</v>
      </c>
      <c r="FU124" s="139">
        <v>45352.0</v>
      </c>
      <c r="FV124" s="139">
        <v>45383.0</v>
      </c>
      <c r="FW124" s="139">
        <v>45413.0</v>
      </c>
      <c r="FX124" s="139">
        <v>45444.0</v>
      </c>
      <c r="FY124" s="139">
        <v>45474.0</v>
      </c>
      <c r="FZ124" s="139">
        <v>45505.0</v>
      </c>
      <c r="GA124" s="139">
        <v>45536.0</v>
      </c>
      <c r="GB124" s="139">
        <v>45566.0</v>
      </c>
      <c r="GC124" s="139">
        <v>45597.0</v>
      </c>
      <c r="GD124" s="139">
        <v>45627.0</v>
      </c>
      <c r="GE124" s="139">
        <v>45658.0</v>
      </c>
      <c r="GF124" s="139">
        <v>45689.0</v>
      </c>
      <c r="GG124" s="139">
        <v>45717.0</v>
      </c>
      <c r="GH124" s="139">
        <v>45748.0</v>
      </c>
      <c r="GI124" s="139">
        <v>45778.0</v>
      </c>
      <c r="GJ124" s="139">
        <v>45809.0</v>
      </c>
      <c r="GK124" s="139">
        <v>45839.0</v>
      </c>
    </row>
    <row r="125">
      <c r="A125" s="132" t="s">
        <v>34125</v>
      </c>
      <c r="B125" s="133" t="s">
        <v>1068</v>
      </c>
      <c r="C125" s="134">
        <v>44328.72503472222</v>
      </c>
      <c r="D125" s="135" t="str">
        <f t="shared" si="1"/>
        <v>2021/05/12</v>
      </c>
      <c r="E125" s="136" t="s">
        <v>34126</v>
      </c>
      <c r="F125" s="137">
        <v>0.04948</v>
      </c>
      <c r="G125" s="138">
        <v>40179.0</v>
      </c>
      <c r="H125" s="138">
        <v>40210.0</v>
      </c>
      <c r="I125" s="138">
        <v>40238.0</v>
      </c>
      <c r="J125" s="138">
        <v>40269.0</v>
      </c>
      <c r="K125" s="138">
        <v>40299.0</v>
      </c>
      <c r="L125" s="138">
        <v>40330.0</v>
      </c>
      <c r="M125" s="138">
        <v>40360.0</v>
      </c>
      <c r="N125" s="138">
        <v>40391.0</v>
      </c>
      <c r="O125" s="138">
        <v>40422.0</v>
      </c>
      <c r="P125" s="138">
        <v>40452.0</v>
      </c>
      <c r="Q125" s="138">
        <v>40483.0</v>
      </c>
      <c r="R125" s="138">
        <v>40513.0</v>
      </c>
      <c r="S125" s="138">
        <v>40544.0</v>
      </c>
      <c r="T125" s="138">
        <v>40575.0</v>
      </c>
      <c r="U125" s="138">
        <v>40603.0</v>
      </c>
      <c r="V125" s="138">
        <v>40634.0</v>
      </c>
      <c r="W125" s="138">
        <v>40664.0</v>
      </c>
      <c r="X125" s="138">
        <v>40695.0</v>
      </c>
      <c r="Y125" s="138">
        <v>40725.0</v>
      </c>
      <c r="Z125" s="138">
        <v>40756.0</v>
      </c>
      <c r="AA125" s="138">
        <v>40787.0</v>
      </c>
      <c r="AB125" s="138">
        <v>40817.0</v>
      </c>
      <c r="AC125" s="138">
        <v>40848.0</v>
      </c>
      <c r="AD125" s="138">
        <v>40878.0</v>
      </c>
      <c r="AE125" s="138">
        <v>40909.0</v>
      </c>
      <c r="AF125" s="138">
        <v>40940.0</v>
      </c>
      <c r="AG125" s="138">
        <v>40969.0</v>
      </c>
      <c r="AH125" s="138">
        <v>41000.0</v>
      </c>
      <c r="AI125" s="138">
        <v>41030.0</v>
      </c>
      <c r="AJ125" s="138">
        <v>41061.0</v>
      </c>
      <c r="AK125" s="138">
        <v>41091.0</v>
      </c>
      <c r="AL125" s="138">
        <v>41122.0</v>
      </c>
      <c r="AM125" s="138">
        <v>41153.0</v>
      </c>
      <c r="AN125" s="138">
        <v>41183.0</v>
      </c>
      <c r="AO125" s="138">
        <v>41214.0</v>
      </c>
      <c r="AP125" s="138">
        <v>41244.0</v>
      </c>
      <c r="AQ125" s="138">
        <v>41275.0</v>
      </c>
      <c r="AR125" s="138">
        <v>41306.0</v>
      </c>
      <c r="AS125" s="138">
        <v>41334.0</v>
      </c>
      <c r="AT125" s="138">
        <v>41365.0</v>
      </c>
      <c r="AU125" s="138">
        <v>41395.0</v>
      </c>
      <c r="AV125" s="138">
        <v>41426.0</v>
      </c>
      <c r="AW125" s="138">
        <v>41456.0</v>
      </c>
      <c r="AX125" s="138">
        <v>41487.0</v>
      </c>
      <c r="AY125" s="138">
        <v>41518.0</v>
      </c>
      <c r="AZ125" s="138">
        <v>41548.0</v>
      </c>
      <c r="BA125" s="138">
        <v>41579.0</v>
      </c>
      <c r="BB125" s="138">
        <v>41609.0</v>
      </c>
      <c r="BC125" s="138">
        <v>41640.0</v>
      </c>
      <c r="BD125" s="138">
        <v>41671.0</v>
      </c>
      <c r="BE125" s="138">
        <v>41699.0</v>
      </c>
      <c r="BF125" s="138">
        <v>41730.0</v>
      </c>
      <c r="BG125" s="138">
        <v>41760.0</v>
      </c>
      <c r="BH125" s="138">
        <v>41791.0</v>
      </c>
      <c r="BI125" s="138">
        <v>41821.0</v>
      </c>
      <c r="BJ125" s="138">
        <v>41852.0</v>
      </c>
      <c r="BK125" s="138">
        <v>41883.0</v>
      </c>
      <c r="BL125" s="138">
        <v>41913.0</v>
      </c>
      <c r="BM125" s="138">
        <v>41944.0</v>
      </c>
      <c r="BN125" s="138">
        <v>41974.0</v>
      </c>
      <c r="BO125" s="138">
        <v>42005.0</v>
      </c>
      <c r="BP125" s="138">
        <v>42036.0</v>
      </c>
      <c r="BQ125" s="138">
        <v>42064.0</v>
      </c>
      <c r="BR125" s="138">
        <v>42095.0</v>
      </c>
      <c r="BS125" s="138">
        <v>42125.0</v>
      </c>
      <c r="BT125" s="138">
        <v>42156.0</v>
      </c>
      <c r="BU125" s="138">
        <v>42186.0</v>
      </c>
      <c r="BV125" s="138">
        <v>42217.0</v>
      </c>
      <c r="BW125" s="138">
        <v>42248.0</v>
      </c>
      <c r="BX125" s="138">
        <v>42278.0</v>
      </c>
      <c r="BY125" s="138">
        <v>42309.0</v>
      </c>
      <c r="BZ125" s="138">
        <v>42339.0</v>
      </c>
      <c r="CA125" s="138">
        <v>42370.0</v>
      </c>
      <c r="CB125" s="138">
        <v>42401.0</v>
      </c>
      <c r="CC125" s="138">
        <v>42430.0</v>
      </c>
      <c r="CD125" s="138">
        <v>42461.0</v>
      </c>
      <c r="CE125" s="138">
        <v>42491.0</v>
      </c>
      <c r="CF125" s="138">
        <v>42522.0</v>
      </c>
      <c r="CG125" s="138">
        <v>42552.0</v>
      </c>
      <c r="CH125" s="138">
        <v>42583.0</v>
      </c>
      <c r="CI125" s="138">
        <v>42614.0</v>
      </c>
      <c r="CJ125" s="138">
        <v>42644.0</v>
      </c>
      <c r="CK125" s="138">
        <v>42675.0</v>
      </c>
      <c r="CL125" s="138">
        <v>42705.0</v>
      </c>
      <c r="CM125" s="138">
        <v>42736.0</v>
      </c>
      <c r="CN125" s="138">
        <v>42767.0</v>
      </c>
      <c r="CO125" s="138">
        <v>42795.0</v>
      </c>
      <c r="CP125" s="138">
        <v>42826.0</v>
      </c>
      <c r="CQ125" s="138">
        <v>42856.0</v>
      </c>
      <c r="CR125" s="138">
        <v>42887.0</v>
      </c>
      <c r="CS125" s="138">
        <v>42917.0</v>
      </c>
      <c r="CT125" s="138">
        <v>42948.0</v>
      </c>
      <c r="CU125" s="138">
        <v>42979.0</v>
      </c>
      <c r="CV125" s="138">
        <v>43009.0</v>
      </c>
      <c r="CW125" s="138">
        <v>43040.0</v>
      </c>
      <c r="CX125" s="138">
        <v>43070.0</v>
      </c>
      <c r="CY125" s="138">
        <v>43101.0</v>
      </c>
      <c r="CZ125" s="138">
        <v>43132.0</v>
      </c>
      <c r="DA125" s="138">
        <v>43160.0</v>
      </c>
      <c r="DB125" s="138">
        <v>43191.0</v>
      </c>
      <c r="DC125" s="138">
        <v>43221.0</v>
      </c>
      <c r="DD125" s="138">
        <v>43252.0</v>
      </c>
      <c r="DE125" s="138">
        <v>43282.0</v>
      </c>
      <c r="DF125" s="138">
        <v>43313.0</v>
      </c>
      <c r="DG125" s="138">
        <v>43344.0</v>
      </c>
      <c r="DH125" s="138">
        <v>43374.0</v>
      </c>
      <c r="DI125" s="138">
        <v>43405.0</v>
      </c>
      <c r="DJ125" s="138">
        <v>43435.0</v>
      </c>
      <c r="DK125" s="138">
        <v>43466.0</v>
      </c>
      <c r="DL125" s="138">
        <v>43497.0</v>
      </c>
      <c r="DM125" s="138">
        <v>43525.0</v>
      </c>
      <c r="DN125" s="138">
        <v>43556.0</v>
      </c>
      <c r="DO125" s="138">
        <v>43586.0</v>
      </c>
      <c r="DP125" s="138">
        <v>43617.0</v>
      </c>
      <c r="DQ125" s="138">
        <v>43647.0</v>
      </c>
      <c r="DR125" s="138">
        <v>43678.0</v>
      </c>
      <c r="DS125" s="138">
        <v>43709.0</v>
      </c>
      <c r="DT125" s="138">
        <v>43739.0</v>
      </c>
      <c r="DU125" s="138">
        <v>43770.0</v>
      </c>
      <c r="DV125" s="138">
        <v>43800.0</v>
      </c>
      <c r="DW125" s="138">
        <v>43831.0</v>
      </c>
      <c r="DX125" s="138">
        <v>43862.0</v>
      </c>
      <c r="DY125" s="138">
        <v>43891.0</v>
      </c>
      <c r="DZ125" s="138">
        <v>43922.0</v>
      </c>
      <c r="EA125" s="138">
        <v>43952.0</v>
      </c>
      <c r="EB125" s="138">
        <v>43983.0</v>
      </c>
      <c r="EC125" s="138">
        <v>44013.0</v>
      </c>
      <c r="ED125" s="138">
        <v>44044.0</v>
      </c>
      <c r="EE125" s="138">
        <v>44075.0</v>
      </c>
      <c r="EF125" s="138">
        <v>44105.0</v>
      </c>
      <c r="EG125" s="138">
        <v>44136.0</v>
      </c>
      <c r="EH125" s="138">
        <v>44166.0</v>
      </c>
      <c r="EI125" s="138">
        <v>44197.0</v>
      </c>
      <c r="EJ125" s="138">
        <v>44228.0</v>
      </c>
      <c r="EK125" s="138">
        <v>44256.0</v>
      </c>
      <c r="EL125" s="138">
        <v>44287.0</v>
      </c>
      <c r="EM125" s="138">
        <v>44317.0</v>
      </c>
      <c r="EN125" s="139">
        <v>44348.0</v>
      </c>
      <c r="EO125" s="139">
        <v>44378.0</v>
      </c>
      <c r="EP125" s="139">
        <v>44409.0</v>
      </c>
      <c r="EQ125" s="139">
        <v>44440.0</v>
      </c>
      <c r="ER125" s="139">
        <v>44470.0</v>
      </c>
      <c r="ES125" s="139">
        <v>44501.0</v>
      </c>
      <c r="ET125" s="139">
        <v>44531.0</v>
      </c>
      <c r="EU125" s="139">
        <v>44562.0</v>
      </c>
      <c r="EV125" s="139">
        <v>44593.0</v>
      </c>
      <c r="EW125" s="139">
        <v>44621.0</v>
      </c>
      <c r="EX125" s="139">
        <v>44652.0</v>
      </c>
      <c r="EY125" s="139">
        <v>44682.0</v>
      </c>
      <c r="EZ125" s="139">
        <v>44713.0</v>
      </c>
      <c r="FA125" s="139">
        <v>44743.0</v>
      </c>
      <c r="FB125" s="139">
        <v>44774.0</v>
      </c>
      <c r="FC125" s="139">
        <v>44805.0</v>
      </c>
      <c r="FD125" s="139">
        <v>44835.0</v>
      </c>
      <c r="FE125" s="139">
        <v>44866.0</v>
      </c>
      <c r="FF125" s="139">
        <v>44896.0</v>
      </c>
      <c r="FG125" s="139">
        <v>44927.0</v>
      </c>
      <c r="FH125" s="139">
        <v>44958.0</v>
      </c>
      <c r="FI125" s="139">
        <v>44986.0</v>
      </c>
      <c r="FJ125" s="139">
        <v>45017.0</v>
      </c>
      <c r="FK125" s="139">
        <v>45047.0</v>
      </c>
      <c r="FL125" s="139">
        <v>45078.0</v>
      </c>
      <c r="FM125" s="139">
        <v>45108.0</v>
      </c>
      <c r="FN125" s="139">
        <v>45139.0</v>
      </c>
      <c r="FO125" s="139">
        <v>45170.0</v>
      </c>
      <c r="FP125" s="139">
        <v>45200.0</v>
      </c>
      <c r="FQ125" s="139">
        <v>45231.0</v>
      </c>
      <c r="FR125" s="139">
        <v>45261.0</v>
      </c>
      <c r="FS125" s="139">
        <v>45292.0</v>
      </c>
      <c r="FT125" s="139">
        <v>45323.0</v>
      </c>
      <c r="FU125" s="139">
        <v>45352.0</v>
      </c>
      <c r="FV125" s="139">
        <v>45383.0</v>
      </c>
      <c r="FW125" s="139">
        <v>45413.0</v>
      </c>
      <c r="FX125" s="139">
        <v>45444.0</v>
      </c>
      <c r="FY125" s="139">
        <v>45474.0</v>
      </c>
      <c r="FZ125" s="139">
        <v>45505.0</v>
      </c>
      <c r="GA125" s="139">
        <v>45536.0</v>
      </c>
      <c r="GB125" s="139">
        <v>45566.0</v>
      </c>
      <c r="GC125" s="139">
        <v>45597.0</v>
      </c>
      <c r="GD125" s="139">
        <v>45627.0</v>
      </c>
      <c r="GE125" s="139">
        <v>45658.0</v>
      </c>
      <c r="GF125" s="139">
        <v>45689.0</v>
      </c>
      <c r="GG125" s="139">
        <v>45717.0</v>
      </c>
      <c r="GH125" s="139">
        <v>45748.0</v>
      </c>
      <c r="GI125" s="139">
        <v>45778.0</v>
      </c>
      <c r="GJ125" s="139">
        <v>45809.0</v>
      </c>
      <c r="GK125" s="139">
        <v>45839.0</v>
      </c>
    </row>
    <row r="126">
      <c r="A126" s="132" t="s">
        <v>34127</v>
      </c>
      <c r="B126" s="133" t="s">
        <v>1143</v>
      </c>
      <c r="C126" s="134">
        <v>44329.71460648148</v>
      </c>
      <c r="D126" s="135" t="str">
        <f t="shared" si="1"/>
        <v>2021/05/13</v>
      </c>
      <c r="E126" s="136" t="s">
        <v>33912</v>
      </c>
      <c r="F126" s="137">
        <v>0.0</v>
      </c>
      <c r="G126" s="138">
        <v>40179.0</v>
      </c>
      <c r="H126" s="138">
        <v>40210.0</v>
      </c>
      <c r="I126" s="138">
        <v>40238.0</v>
      </c>
      <c r="J126" s="138">
        <v>40269.0</v>
      </c>
      <c r="K126" s="138">
        <v>40299.0</v>
      </c>
      <c r="L126" s="138">
        <v>40330.0</v>
      </c>
      <c r="M126" s="138">
        <v>40360.0</v>
      </c>
      <c r="N126" s="138">
        <v>40391.0</v>
      </c>
      <c r="O126" s="138">
        <v>40422.0</v>
      </c>
      <c r="P126" s="138">
        <v>40452.0</v>
      </c>
      <c r="Q126" s="138">
        <v>40483.0</v>
      </c>
      <c r="R126" s="138">
        <v>40513.0</v>
      </c>
      <c r="S126" s="138">
        <v>40544.0</v>
      </c>
      <c r="T126" s="138">
        <v>40575.0</v>
      </c>
      <c r="U126" s="138">
        <v>40603.0</v>
      </c>
      <c r="V126" s="138">
        <v>40634.0</v>
      </c>
      <c r="W126" s="138">
        <v>40664.0</v>
      </c>
      <c r="X126" s="138">
        <v>40695.0</v>
      </c>
      <c r="Y126" s="138">
        <v>40725.0</v>
      </c>
      <c r="Z126" s="138">
        <v>40756.0</v>
      </c>
      <c r="AA126" s="138">
        <v>40787.0</v>
      </c>
      <c r="AB126" s="138">
        <v>40817.0</v>
      </c>
      <c r="AC126" s="138">
        <v>40848.0</v>
      </c>
      <c r="AD126" s="138">
        <v>40878.0</v>
      </c>
      <c r="AE126" s="138">
        <v>40909.0</v>
      </c>
      <c r="AF126" s="138">
        <v>40940.0</v>
      </c>
      <c r="AG126" s="138">
        <v>40969.0</v>
      </c>
      <c r="AH126" s="138">
        <v>41000.0</v>
      </c>
      <c r="AI126" s="138">
        <v>41030.0</v>
      </c>
      <c r="AJ126" s="138">
        <v>41061.0</v>
      </c>
      <c r="AK126" s="138">
        <v>41091.0</v>
      </c>
      <c r="AL126" s="138">
        <v>41122.0</v>
      </c>
      <c r="AM126" s="138">
        <v>41153.0</v>
      </c>
      <c r="AN126" s="138">
        <v>41183.0</v>
      </c>
      <c r="AO126" s="138">
        <v>41214.0</v>
      </c>
      <c r="AP126" s="138">
        <v>41244.0</v>
      </c>
      <c r="AQ126" s="138">
        <v>41275.0</v>
      </c>
      <c r="AR126" s="138">
        <v>41306.0</v>
      </c>
      <c r="AS126" s="138">
        <v>41334.0</v>
      </c>
      <c r="AT126" s="138">
        <v>41365.0</v>
      </c>
      <c r="AU126" s="138">
        <v>41395.0</v>
      </c>
      <c r="AV126" s="138">
        <v>41426.0</v>
      </c>
      <c r="AW126" s="138">
        <v>41456.0</v>
      </c>
      <c r="AX126" s="138">
        <v>41487.0</v>
      </c>
      <c r="AY126" s="138">
        <v>41518.0</v>
      </c>
      <c r="AZ126" s="138">
        <v>41548.0</v>
      </c>
      <c r="BA126" s="138">
        <v>41579.0</v>
      </c>
      <c r="BB126" s="138">
        <v>41609.0</v>
      </c>
      <c r="BC126" s="138">
        <v>41640.0</v>
      </c>
      <c r="BD126" s="138">
        <v>41671.0</v>
      </c>
      <c r="BE126" s="138">
        <v>41699.0</v>
      </c>
      <c r="BF126" s="138">
        <v>41730.0</v>
      </c>
      <c r="BG126" s="138">
        <v>41760.0</v>
      </c>
      <c r="BH126" s="138">
        <v>41791.0</v>
      </c>
      <c r="BI126" s="138">
        <v>41821.0</v>
      </c>
      <c r="BJ126" s="138">
        <v>41852.0</v>
      </c>
      <c r="BK126" s="138">
        <v>41883.0</v>
      </c>
      <c r="BL126" s="138">
        <v>41913.0</v>
      </c>
      <c r="BM126" s="138">
        <v>41944.0</v>
      </c>
      <c r="BN126" s="138">
        <v>41974.0</v>
      </c>
      <c r="BO126" s="138">
        <v>42005.0</v>
      </c>
      <c r="BP126" s="138">
        <v>42036.0</v>
      </c>
      <c r="BQ126" s="138">
        <v>42064.0</v>
      </c>
      <c r="BR126" s="138">
        <v>42095.0</v>
      </c>
      <c r="BS126" s="138">
        <v>42125.0</v>
      </c>
      <c r="BT126" s="138">
        <v>42156.0</v>
      </c>
      <c r="BU126" s="138">
        <v>42186.0</v>
      </c>
      <c r="BV126" s="138">
        <v>42217.0</v>
      </c>
      <c r="BW126" s="138">
        <v>42248.0</v>
      </c>
      <c r="BX126" s="138">
        <v>42278.0</v>
      </c>
      <c r="BY126" s="138">
        <v>42309.0</v>
      </c>
      <c r="BZ126" s="138">
        <v>42339.0</v>
      </c>
      <c r="CA126" s="138">
        <v>42370.0</v>
      </c>
      <c r="CB126" s="138">
        <v>42401.0</v>
      </c>
      <c r="CC126" s="138">
        <v>42430.0</v>
      </c>
      <c r="CD126" s="138">
        <v>42461.0</v>
      </c>
      <c r="CE126" s="138">
        <v>42491.0</v>
      </c>
      <c r="CF126" s="138">
        <v>42522.0</v>
      </c>
      <c r="CG126" s="138">
        <v>42552.0</v>
      </c>
      <c r="CH126" s="138">
        <v>42583.0</v>
      </c>
      <c r="CI126" s="138">
        <v>42614.0</v>
      </c>
      <c r="CJ126" s="138">
        <v>42644.0</v>
      </c>
      <c r="CK126" s="138">
        <v>42675.0</v>
      </c>
      <c r="CL126" s="138">
        <v>42705.0</v>
      </c>
      <c r="CM126" s="138">
        <v>42736.0</v>
      </c>
      <c r="CN126" s="138">
        <v>42767.0</v>
      </c>
      <c r="CO126" s="138">
        <v>42795.0</v>
      </c>
      <c r="CP126" s="138">
        <v>42826.0</v>
      </c>
      <c r="CQ126" s="138">
        <v>42856.0</v>
      </c>
      <c r="CR126" s="138">
        <v>42887.0</v>
      </c>
      <c r="CS126" s="138">
        <v>42917.0</v>
      </c>
      <c r="CT126" s="138">
        <v>42948.0</v>
      </c>
      <c r="CU126" s="138">
        <v>42979.0</v>
      </c>
      <c r="CV126" s="138">
        <v>43009.0</v>
      </c>
      <c r="CW126" s="138">
        <v>43040.0</v>
      </c>
      <c r="CX126" s="138">
        <v>43070.0</v>
      </c>
      <c r="CY126" s="138">
        <v>43101.0</v>
      </c>
      <c r="CZ126" s="138">
        <v>43132.0</v>
      </c>
      <c r="DA126" s="138">
        <v>43160.0</v>
      </c>
      <c r="DB126" s="138">
        <v>43191.0</v>
      </c>
      <c r="DC126" s="138">
        <v>43221.0</v>
      </c>
      <c r="DD126" s="138">
        <v>43252.0</v>
      </c>
      <c r="DE126" s="138">
        <v>43282.0</v>
      </c>
      <c r="DF126" s="138">
        <v>43313.0</v>
      </c>
      <c r="DG126" s="138">
        <v>43344.0</v>
      </c>
      <c r="DH126" s="138">
        <v>43374.0</v>
      </c>
      <c r="DI126" s="138">
        <v>43405.0</v>
      </c>
      <c r="DJ126" s="138">
        <v>43435.0</v>
      </c>
      <c r="DK126" s="138">
        <v>43466.0</v>
      </c>
      <c r="DL126" s="138">
        <v>43497.0</v>
      </c>
      <c r="DM126" s="138">
        <v>43525.0</v>
      </c>
      <c r="DN126" s="138">
        <v>43556.0</v>
      </c>
      <c r="DO126" s="138">
        <v>43586.0</v>
      </c>
      <c r="DP126" s="138">
        <v>43617.0</v>
      </c>
      <c r="DQ126" s="138">
        <v>43647.0</v>
      </c>
      <c r="DR126" s="138">
        <v>43678.0</v>
      </c>
      <c r="DS126" s="138">
        <v>43709.0</v>
      </c>
      <c r="DT126" s="138">
        <v>43739.0</v>
      </c>
      <c r="DU126" s="138">
        <v>43770.0</v>
      </c>
      <c r="DV126" s="138">
        <v>43800.0</v>
      </c>
      <c r="DW126" s="138">
        <v>43831.0</v>
      </c>
      <c r="DX126" s="138">
        <v>43862.0</v>
      </c>
      <c r="DY126" s="138">
        <v>43891.0</v>
      </c>
      <c r="DZ126" s="138">
        <v>43922.0</v>
      </c>
      <c r="EA126" s="138">
        <v>43952.0</v>
      </c>
      <c r="EB126" s="138">
        <v>43983.0</v>
      </c>
      <c r="EC126" s="138">
        <v>44013.0</v>
      </c>
      <c r="ED126" s="138">
        <v>44044.0</v>
      </c>
      <c r="EE126" s="138">
        <v>44075.0</v>
      </c>
      <c r="EF126" s="138">
        <v>44105.0</v>
      </c>
      <c r="EG126" s="138">
        <v>44136.0</v>
      </c>
      <c r="EH126" s="138">
        <v>44166.0</v>
      </c>
      <c r="EI126" s="138">
        <v>44197.0</v>
      </c>
      <c r="EJ126" s="138">
        <v>44228.0</v>
      </c>
      <c r="EK126" s="138">
        <v>44256.0</v>
      </c>
      <c r="EL126" s="138">
        <v>44287.0</v>
      </c>
      <c r="EM126" s="138">
        <v>44317.0</v>
      </c>
      <c r="EN126" s="139">
        <v>44348.0</v>
      </c>
      <c r="EO126" s="139">
        <v>44378.0</v>
      </c>
      <c r="EP126" s="139">
        <v>44409.0</v>
      </c>
      <c r="EQ126" s="139">
        <v>44440.0</v>
      </c>
      <c r="ER126" s="139">
        <v>44470.0</v>
      </c>
      <c r="ES126" s="139">
        <v>44501.0</v>
      </c>
      <c r="ET126" s="139">
        <v>44531.0</v>
      </c>
      <c r="EU126" s="139">
        <v>44562.0</v>
      </c>
      <c r="EV126" s="139">
        <v>44593.0</v>
      </c>
      <c r="EW126" s="139">
        <v>44621.0</v>
      </c>
      <c r="EX126" s="139">
        <v>44652.0</v>
      </c>
      <c r="EY126" s="139">
        <v>44682.0</v>
      </c>
      <c r="EZ126" s="139">
        <v>44713.0</v>
      </c>
      <c r="FA126" s="139">
        <v>44743.0</v>
      </c>
      <c r="FB126" s="139">
        <v>44774.0</v>
      </c>
      <c r="FC126" s="139">
        <v>44805.0</v>
      </c>
      <c r="FD126" s="139">
        <v>44835.0</v>
      </c>
      <c r="FE126" s="139">
        <v>44866.0</v>
      </c>
      <c r="FF126" s="139">
        <v>44896.0</v>
      </c>
      <c r="FG126" s="139">
        <v>44927.0</v>
      </c>
      <c r="FH126" s="139">
        <v>44958.0</v>
      </c>
      <c r="FI126" s="139">
        <v>44986.0</v>
      </c>
      <c r="FJ126" s="139">
        <v>45017.0</v>
      </c>
      <c r="FK126" s="139">
        <v>45047.0</v>
      </c>
      <c r="FL126" s="139">
        <v>45078.0</v>
      </c>
      <c r="FM126" s="139">
        <v>45108.0</v>
      </c>
      <c r="FN126" s="139">
        <v>45139.0</v>
      </c>
      <c r="FO126" s="139">
        <v>45170.0</v>
      </c>
      <c r="FP126" s="139">
        <v>45200.0</v>
      </c>
      <c r="FQ126" s="139">
        <v>45231.0</v>
      </c>
      <c r="FR126" s="139">
        <v>45261.0</v>
      </c>
      <c r="FS126" s="139">
        <v>45292.0</v>
      </c>
      <c r="FT126" s="139">
        <v>45323.0</v>
      </c>
      <c r="FU126" s="139">
        <v>45352.0</v>
      </c>
      <c r="FV126" s="139">
        <v>45383.0</v>
      </c>
      <c r="FW126" s="139">
        <v>45413.0</v>
      </c>
      <c r="FX126" s="139">
        <v>45444.0</v>
      </c>
      <c r="FY126" s="139">
        <v>45474.0</v>
      </c>
      <c r="FZ126" s="139">
        <v>45505.0</v>
      </c>
      <c r="GA126" s="139">
        <v>45536.0</v>
      </c>
      <c r="GB126" s="139">
        <v>45566.0</v>
      </c>
      <c r="GC126" s="139">
        <v>45597.0</v>
      </c>
      <c r="GD126" s="139">
        <v>45627.0</v>
      </c>
      <c r="GE126" s="139">
        <v>45658.0</v>
      </c>
      <c r="GF126" s="139">
        <v>45689.0</v>
      </c>
      <c r="GG126" s="139">
        <v>45717.0</v>
      </c>
      <c r="GH126" s="139">
        <v>45748.0</v>
      </c>
      <c r="GI126" s="139">
        <v>45778.0</v>
      </c>
      <c r="GJ126" s="139">
        <v>45809.0</v>
      </c>
      <c r="GK126" s="139">
        <v>45839.0</v>
      </c>
    </row>
    <row r="127">
      <c r="A127" s="132" t="s">
        <v>34128</v>
      </c>
      <c r="B127" s="133" t="s">
        <v>1131</v>
      </c>
      <c r="C127" s="134">
        <v>44384.547106481485</v>
      </c>
      <c r="D127" s="135" t="str">
        <f t="shared" si="1"/>
        <v>2021/07/07</v>
      </c>
      <c r="E127" s="136" t="s">
        <v>34129</v>
      </c>
      <c r="F127" s="137">
        <v>0.02943</v>
      </c>
      <c r="G127" s="138">
        <v>40179.0</v>
      </c>
      <c r="H127" s="138">
        <v>40210.0</v>
      </c>
      <c r="I127" s="138">
        <v>40238.0</v>
      </c>
      <c r="J127" s="138">
        <v>40269.0</v>
      </c>
      <c r="K127" s="138">
        <v>40299.0</v>
      </c>
      <c r="L127" s="138">
        <v>40330.0</v>
      </c>
      <c r="M127" s="138">
        <v>40360.0</v>
      </c>
      <c r="N127" s="138">
        <v>40391.0</v>
      </c>
      <c r="O127" s="138">
        <v>40422.0</v>
      </c>
      <c r="P127" s="138">
        <v>40452.0</v>
      </c>
      <c r="Q127" s="138">
        <v>40483.0</v>
      </c>
      <c r="R127" s="138">
        <v>40513.0</v>
      </c>
      <c r="S127" s="138">
        <v>40544.0</v>
      </c>
      <c r="T127" s="138">
        <v>40575.0</v>
      </c>
      <c r="U127" s="138">
        <v>40603.0</v>
      </c>
      <c r="V127" s="138">
        <v>40634.0</v>
      </c>
      <c r="W127" s="138">
        <v>40664.0</v>
      </c>
      <c r="X127" s="138">
        <v>40695.0</v>
      </c>
      <c r="Y127" s="138">
        <v>40725.0</v>
      </c>
      <c r="Z127" s="138">
        <v>40756.0</v>
      </c>
      <c r="AA127" s="138">
        <v>40787.0</v>
      </c>
      <c r="AB127" s="138">
        <v>40817.0</v>
      </c>
      <c r="AC127" s="138">
        <v>40848.0</v>
      </c>
      <c r="AD127" s="138">
        <v>40878.0</v>
      </c>
      <c r="AE127" s="138">
        <v>40909.0</v>
      </c>
      <c r="AF127" s="138">
        <v>40940.0</v>
      </c>
      <c r="AG127" s="138">
        <v>40969.0</v>
      </c>
      <c r="AH127" s="138">
        <v>41000.0</v>
      </c>
      <c r="AI127" s="138">
        <v>41030.0</v>
      </c>
      <c r="AJ127" s="138">
        <v>41061.0</v>
      </c>
      <c r="AK127" s="138">
        <v>41091.0</v>
      </c>
      <c r="AL127" s="138">
        <v>41122.0</v>
      </c>
      <c r="AM127" s="138">
        <v>41153.0</v>
      </c>
      <c r="AN127" s="138">
        <v>41183.0</v>
      </c>
      <c r="AO127" s="138">
        <v>41214.0</v>
      </c>
      <c r="AP127" s="138">
        <v>41244.0</v>
      </c>
      <c r="AQ127" s="138">
        <v>41275.0</v>
      </c>
      <c r="AR127" s="138">
        <v>41306.0</v>
      </c>
      <c r="AS127" s="138">
        <v>41334.0</v>
      </c>
      <c r="AT127" s="138">
        <v>41365.0</v>
      </c>
      <c r="AU127" s="138">
        <v>41395.0</v>
      </c>
      <c r="AV127" s="138">
        <v>41426.0</v>
      </c>
      <c r="AW127" s="138">
        <v>41456.0</v>
      </c>
      <c r="AX127" s="138">
        <v>41487.0</v>
      </c>
      <c r="AY127" s="138">
        <v>41518.0</v>
      </c>
      <c r="AZ127" s="138">
        <v>41548.0</v>
      </c>
      <c r="BA127" s="138">
        <v>41579.0</v>
      </c>
      <c r="BB127" s="138">
        <v>41609.0</v>
      </c>
      <c r="BC127" s="138">
        <v>41640.0</v>
      </c>
      <c r="BD127" s="138">
        <v>41671.0</v>
      </c>
      <c r="BE127" s="138">
        <v>41699.0</v>
      </c>
      <c r="BF127" s="138">
        <v>41730.0</v>
      </c>
      <c r="BG127" s="138">
        <v>41760.0</v>
      </c>
      <c r="BH127" s="138">
        <v>41791.0</v>
      </c>
      <c r="BI127" s="138">
        <v>41821.0</v>
      </c>
      <c r="BJ127" s="138">
        <v>41852.0</v>
      </c>
      <c r="BK127" s="138">
        <v>41883.0</v>
      </c>
      <c r="BL127" s="138">
        <v>41913.0</v>
      </c>
      <c r="BM127" s="138">
        <v>41944.0</v>
      </c>
      <c r="BN127" s="138">
        <v>41974.0</v>
      </c>
      <c r="BO127" s="138">
        <v>42005.0</v>
      </c>
      <c r="BP127" s="138">
        <v>42036.0</v>
      </c>
      <c r="BQ127" s="138">
        <v>42064.0</v>
      </c>
      <c r="BR127" s="138">
        <v>42095.0</v>
      </c>
      <c r="BS127" s="138">
        <v>42125.0</v>
      </c>
      <c r="BT127" s="138">
        <v>42156.0</v>
      </c>
      <c r="BU127" s="138">
        <v>42186.0</v>
      </c>
      <c r="BV127" s="138">
        <v>42217.0</v>
      </c>
      <c r="BW127" s="138">
        <v>42248.0</v>
      </c>
      <c r="BX127" s="138">
        <v>42278.0</v>
      </c>
      <c r="BY127" s="138">
        <v>42309.0</v>
      </c>
      <c r="BZ127" s="138">
        <v>42339.0</v>
      </c>
      <c r="CA127" s="138">
        <v>42370.0</v>
      </c>
      <c r="CB127" s="138">
        <v>42401.0</v>
      </c>
      <c r="CC127" s="138">
        <v>42430.0</v>
      </c>
      <c r="CD127" s="138">
        <v>42461.0</v>
      </c>
      <c r="CE127" s="138">
        <v>42491.0</v>
      </c>
      <c r="CF127" s="138">
        <v>42522.0</v>
      </c>
      <c r="CG127" s="138">
        <v>42552.0</v>
      </c>
      <c r="CH127" s="138">
        <v>42583.0</v>
      </c>
      <c r="CI127" s="138">
        <v>42614.0</v>
      </c>
      <c r="CJ127" s="138">
        <v>42644.0</v>
      </c>
      <c r="CK127" s="138">
        <v>42675.0</v>
      </c>
      <c r="CL127" s="138">
        <v>42705.0</v>
      </c>
      <c r="CM127" s="138">
        <v>42736.0</v>
      </c>
      <c r="CN127" s="138">
        <v>42767.0</v>
      </c>
      <c r="CO127" s="138">
        <v>42795.0</v>
      </c>
      <c r="CP127" s="138">
        <v>42826.0</v>
      </c>
      <c r="CQ127" s="138">
        <v>42856.0</v>
      </c>
      <c r="CR127" s="138">
        <v>42887.0</v>
      </c>
      <c r="CS127" s="138">
        <v>42917.0</v>
      </c>
      <c r="CT127" s="138">
        <v>42948.0</v>
      </c>
      <c r="CU127" s="138">
        <v>42979.0</v>
      </c>
      <c r="CV127" s="138">
        <v>43009.0</v>
      </c>
      <c r="CW127" s="138">
        <v>43040.0</v>
      </c>
      <c r="CX127" s="138">
        <v>43070.0</v>
      </c>
      <c r="CY127" s="138">
        <v>43101.0</v>
      </c>
      <c r="CZ127" s="138">
        <v>43132.0</v>
      </c>
      <c r="DA127" s="138">
        <v>43160.0</v>
      </c>
      <c r="DB127" s="138">
        <v>43191.0</v>
      </c>
      <c r="DC127" s="138">
        <v>43221.0</v>
      </c>
      <c r="DD127" s="138">
        <v>43252.0</v>
      </c>
      <c r="DE127" s="138">
        <v>43282.0</v>
      </c>
      <c r="DF127" s="138">
        <v>43313.0</v>
      </c>
      <c r="DG127" s="138">
        <v>43344.0</v>
      </c>
      <c r="DH127" s="138">
        <v>43374.0</v>
      </c>
      <c r="DI127" s="138">
        <v>43405.0</v>
      </c>
      <c r="DJ127" s="138">
        <v>43435.0</v>
      </c>
      <c r="DK127" s="138">
        <v>43466.0</v>
      </c>
      <c r="DL127" s="138">
        <v>43497.0</v>
      </c>
      <c r="DM127" s="138">
        <v>43525.0</v>
      </c>
      <c r="DN127" s="138">
        <v>43556.0</v>
      </c>
      <c r="DO127" s="138">
        <v>43586.0</v>
      </c>
      <c r="DP127" s="138">
        <v>43617.0</v>
      </c>
      <c r="DQ127" s="138">
        <v>43647.0</v>
      </c>
      <c r="DR127" s="138">
        <v>43678.0</v>
      </c>
      <c r="DS127" s="138">
        <v>43709.0</v>
      </c>
      <c r="DT127" s="138">
        <v>43739.0</v>
      </c>
      <c r="DU127" s="138">
        <v>43770.0</v>
      </c>
      <c r="DV127" s="138">
        <v>43800.0</v>
      </c>
      <c r="DW127" s="138">
        <v>43831.0</v>
      </c>
      <c r="DX127" s="138">
        <v>43862.0</v>
      </c>
      <c r="DY127" s="138">
        <v>43891.0</v>
      </c>
      <c r="DZ127" s="138">
        <v>43922.0</v>
      </c>
      <c r="EA127" s="138">
        <v>43952.0</v>
      </c>
      <c r="EB127" s="138">
        <v>43983.0</v>
      </c>
      <c r="EC127" s="138">
        <v>44013.0</v>
      </c>
      <c r="ED127" s="138">
        <v>44044.0</v>
      </c>
      <c r="EE127" s="138">
        <v>44075.0</v>
      </c>
      <c r="EF127" s="138">
        <v>44105.0</v>
      </c>
      <c r="EG127" s="138">
        <v>44136.0</v>
      </c>
      <c r="EH127" s="138">
        <v>44166.0</v>
      </c>
      <c r="EI127" s="138">
        <v>44197.0</v>
      </c>
      <c r="EJ127" s="138">
        <v>44228.0</v>
      </c>
      <c r="EK127" s="138">
        <v>44256.0</v>
      </c>
      <c r="EL127" s="138">
        <v>44287.0</v>
      </c>
      <c r="EM127" s="138">
        <v>44317.0</v>
      </c>
      <c r="EN127" s="138">
        <v>44348.0</v>
      </c>
      <c r="EO127" s="138">
        <v>44378.0</v>
      </c>
      <c r="EP127" s="139">
        <v>44409.0</v>
      </c>
      <c r="EQ127" s="139">
        <v>44440.0</v>
      </c>
      <c r="ER127" s="139">
        <v>44470.0</v>
      </c>
      <c r="ES127" s="139">
        <v>44501.0</v>
      </c>
      <c r="ET127" s="139">
        <v>44531.0</v>
      </c>
      <c r="EU127" s="139">
        <v>44562.0</v>
      </c>
      <c r="EV127" s="139">
        <v>44593.0</v>
      </c>
      <c r="EW127" s="139">
        <v>44621.0</v>
      </c>
      <c r="EX127" s="139">
        <v>44652.0</v>
      </c>
      <c r="EY127" s="139">
        <v>44682.0</v>
      </c>
      <c r="EZ127" s="139">
        <v>44713.0</v>
      </c>
      <c r="FA127" s="139">
        <v>44743.0</v>
      </c>
      <c r="FB127" s="139">
        <v>44774.0</v>
      </c>
      <c r="FC127" s="139">
        <v>44805.0</v>
      </c>
      <c r="FD127" s="139">
        <v>44835.0</v>
      </c>
      <c r="FE127" s="139">
        <v>44866.0</v>
      </c>
      <c r="FF127" s="139">
        <v>44896.0</v>
      </c>
      <c r="FG127" s="139">
        <v>44927.0</v>
      </c>
      <c r="FH127" s="139">
        <v>44958.0</v>
      </c>
      <c r="FI127" s="139">
        <v>44986.0</v>
      </c>
      <c r="FJ127" s="139">
        <v>45017.0</v>
      </c>
      <c r="FK127" s="139">
        <v>45047.0</v>
      </c>
      <c r="FL127" s="139">
        <v>45078.0</v>
      </c>
      <c r="FM127" s="139">
        <v>45108.0</v>
      </c>
      <c r="FN127" s="139">
        <v>45139.0</v>
      </c>
      <c r="FO127" s="139">
        <v>45170.0</v>
      </c>
      <c r="FP127" s="139">
        <v>45200.0</v>
      </c>
      <c r="FQ127" s="139">
        <v>45231.0</v>
      </c>
      <c r="FR127" s="139">
        <v>45261.0</v>
      </c>
      <c r="FS127" s="139">
        <v>45292.0</v>
      </c>
      <c r="FT127" s="139">
        <v>45323.0</v>
      </c>
      <c r="FU127" s="139">
        <v>45352.0</v>
      </c>
      <c r="FV127" s="139">
        <v>45383.0</v>
      </c>
      <c r="FW127" s="139">
        <v>45413.0</v>
      </c>
      <c r="FX127" s="139">
        <v>45444.0</v>
      </c>
      <c r="FY127" s="139">
        <v>45474.0</v>
      </c>
      <c r="FZ127" s="139">
        <v>45505.0</v>
      </c>
      <c r="GA127" s="139">
        <v>45536.0</v>
      </c>
      <c r="GB127" s="139">
        <v>45566.0</v>
      </c>
      <c r="GC127" s="139">
        <v>45597.0</v>
      </c>
      <c r="GD127" s="139">
        <v>45627.0</v>
      </c>
      <c r="GE127" s="139">
        <v>45658.0</v>
      </c>
      <c r="GF127" s="139">
        <v>45689.0</v>
      </c>
      <c r="GG127" s="139">
        <v>45717.0</v>
      </c>
      <c r="GH127" s="139">
        <v>45748.0</v>
      </c>
      <c r="GI127" s="139">
        <v>45778.0</v>
      </c>
      <c r="GJ127" s="139">
        <v>45809.0</v>
      </c>
      <c r="GK127" s="139">
        <v>45839.0</v>
      </c>
    </row>
    <row r="128">
      <c r="A128" s="132" t="s">
        <v>34130</v>
      </c>
      <c r="B128" s="133" t="s">
        <v>104</v>
      </c>
      <c r="C128" s="134">
        <v>44418.68587962963</v>
      </c>
      <c r="D128" s="135" t="str">
        <f t="shared" si="1"/>
        <v>2021/08/10</v>
      </c>
      <c r="E128" s="136" t="s">
        <v>34131</v>
      </c>
      <c r="F128" s="137">
        <v>8.2E-4</v>
      </c>
      <c r="G128" s="138">
        <v>40179.0</v>
      </c>
      <c r="H128" s="138">
        <v>40210.0</v>
      </c>
      <c r="I128" s="138">
        <v>40238.0</v>
      </c>
      <c r="J128" s="138">
        <v>40269.0</v>
      </c>
      <c r="K128" s="138">
        <v>40299.0</v>
      </c>
      <c r="L128" s="138">
        <v>40330.0</v>
      </c>
      <c r="M128" s="138">
        <v>40360.0</v>
      </c>
      <c r="N128" s="138">
        <v>40391.0</v>
      </c>
      <c r="O128" s="138">
        <v>40422.0</v>
      </c>
      <c r="P128" s="138">
        <v>40452.0</v>
      </c>
      <c r="Q128" s="138">
        <v>40483.0</v>
      </c>
      <c r="R128" s="138">
        <v>40513.0</v>
      </c>
      <c r="S128" s="138">
        <v>40544.0</v>
      </c>
      <c r="T128" s="138">
        <v>40575.0</v>
      </c>
      <c r="U128" s="138">
        <v>40603.0</v>
      </c>
      <c r="V128" s="138">
        <v>40634.0</v>
      </c>
      <c r="W128" s="138">
        <v>40664.0</v>
      </c>
      <c r="X128" s="138">
        <v>40695.0</v>
      </c>
      <c r="Y128" s="138">
        <v>40725.0</v>
      </c>
      <c r="Z128" s="138">
        <v>40756.0</v>
      </c>
      <c r="AA128" s="138">
        <v>40787.0</v>
      </c>
      <c r="AB128" s="138">
        <v>40817.0</v>
      </c>
      <c r="AC128" s="138">
        <v>40848.0</v>
      </c>
      <c r="AD128" s="138">
        <v>40878.0</v>
      </c>
      <c r="AE128" s="138">
        <v>40909.0</v>
      </c>
      <c r="AF128" s="138">
        <v>40940.0</v>
      </c>
      <c r="AG128" s="138">
        <v>40969.0</v>
      </c>
      <c r="AH128" s="138">
        <v>41000.0</v>
      </c>
      <c r="AI128" s="138">
        <v>41030.0</v>
      </c>
      <c r="AJ128" s="138">
        <v>41061.0</v>
      </c>
      <c r="AK128" s="138">
        <v>41091.0</v>
      </c>
      <c r="AL128" s="138">
        <v>41122.0</v>
      </c>
      <c r="AM128" s="138">
        <v>41153.0</v>
      </c>
      <c r="AN128" s="138">
        <v>41183.0</v>
      </c>
      <c r="AO128" s="138">
        <v>41214.0</v>
      </c>
      <c r="AP128" s="138">
        <v>41244.0</v>
      </c>
      <c r="AQ128" s="138">
        <v>41275.0</v>
      </c>
      <c r="AR128" s="138">
        <v>41306.0</v>
      </c>
      <c r="AS128" s="138">
        <v>41334.0</v>
      </c>
      <c r="AT128" s="138">
        <v>41365.0</v>
      </c>
      <c r="AU128" s="138">
        <v>41395.0</v>
      </c>
      <c r="AV128" s="138">
        <v>41426.0</v>
      </c>
      <c r="AW128" s="138">
        <v>41456.0</v>
      </c>
      <c r="AX128" s="138">
        <v>41487.0</v>
      </c>
      <c r="AY128" s="138">
        <v>41518.0</v>
      </c>
      <c r="AZ128" s="138">
        <v>41548.0</v>
      </c>
      <c r="BA128" s="138">
        <v>41579.0</v>
      </c>
      <c r="BB128" s="138">
        <v>41609.0</v>
      </c>
      <c r="BC128" s="138">
        <v>41640.0</v>
      </c>
      <c r="BD128" s="138">
        <v>41671.0</v>
      </c>
      <c r="BE128" s="138">
        <v>41699.0</v>
      </c>
      <c r="BF128" s="138">
        <v>41730.0</v>
      </c>
      <c r="BG128" s="138">
        <v>41760.0</v>
      </c>
      <c r="BH128" s="138">
        <v>41791.0</v>
      </c>
      <c r="BI128" s="138">
        <v>41821.0</v>
      </c>
      <c r="BJ128" s="138">
        <v>41852.0</v>
      </c>
      <c r="BK128" s="138">
        <v>41883.0</v>
      </c>
      <c r="BL128" s="138">
        <v>41913.0</v>
      </c>
      <c r="BM128" s="138">
        <v>41944.0</v>
      </c>
      <c r="BN128" s="138">
        <v>41974.0</v>
      </c>
      <c r="BO128" s="138">
        <v>42005.0</v>
      </c>
      <c r="BP128" s="138">
        <v>42036.0</v>
      </c>
      <c r="BQ128" s="138">
        <v>42064.0</v>
      </c>
      <c r="BR128" s="138">
        <v>42095.0</v>
      </c>
      <c r="BS128" s="138">
        <v>42125.0</v>
      </c>
      <c r="BT128" s="138">
        <v>42156.0</v>
      </c>
      <c r="BU128" s="138">
        <v>42186.0</v>
      </c>
      <c r="BV128" s="138">
        <v>42217.0</v>
      </c>
      <c r="BW128" s="138">
        <v>42248.0</v>
      </c>
      <c r="BX128" s="138">
        <v>42278.0</v>
      </c>
      <c r="BY128" s="138">
        <v>42309.0</v>
      </c>
      <c r="BZ128" s="138">
        <v>42339.0</v>
      </c>
      <c r="CA128" s="138">
        <v>42370.0</v>
      </c>
      <c r="CB128" s="138">
        <v>42401.0</v>
      </c>
      <c r="CC128" s="138">
        <v>42430.0</v>
      </c>
      <c r="CD128" s="138">
        <v>42461.0</v>
      </c>
      <c r="CE128" s="138">
        <v>42491.0</v>
      </c>
      <c r="CF128" s="138">
        <v>42522.0</v>
      </c>
      <c r="CG128" s="138">
        <v>42552.0</v>
      </c>
      <c r="CH128" s="138">
        <v>42583.0</v>
      </c>
      <c r="CI128" s="138">
        <v>42614.0</v>
      </c>
      <c r="CJ128" s="138">
        <v>42644.0</v>
      </c>
      <c r="CK128" s="138">
        <v>42675.0</v>
      </c>
      <c r="CL128" s="138">
        <v>42705.0</v>
      </c>
      <c r="CM128" s="138">
        <v>42736.0</v>
      </c>
      <c r="CN128" s="138">
        <v>42767.0</v>
      </c>
      <c r="CO128" s="138">
        <v>42795.0</v>
      </c>
      <c r="CP128" s="138">
        <v>42826.0</v>
      </c>
      <c r="CQ128" s="138">
        <v>42856.0</v>
      </c>
      <c r="CR128" s="138">
        <v>42887.0</v>
      </c>
      <c r="CS128" s="138">
        <v>42917.0</v>
      </c>
      <c r="CT128" s="138">
        <v>42948.0</v>
      </c>
      <c r="CU128" s="138">
        <v>42979.0</v>
      </c>
      <c r="CV128" s="138">
        <v>43009.0</v>
      </c>
      <c r="CW128" s="138">
        <v>43040.0</v>
      </c>
      <c r="CX128" s="138">
        <v>43070.0</v>
      </c>
      <c r="CY128" s="138">
        <v>43101.0</v>
      </c>
      <c r="CZ128" s="138">
        <v>43132.0</v>
      </c>
      <c r="DA128" s="138">
        <v>43160.0</v>
      </c>
      <c r="DB128" s="138">
        <v>43191.0</v>
      </c>
      <c r="DC128" s="138">
        <v>43221.0</v>
      </c>
      <c r="DD128" s="138">
        <v>43252.0</v>
      </c>
      <c r="DE128" s="138">
        <v>43282.0</v>
      </c>
      <c r="DF128" s="138">
        <v>43313.0</v>
      </c>
      <c r="DG128" s="138">
        <v>43344.0</v>
      </c>
      <c r="DH128" s="138">
        <v>43374.0</v>
      </c>
      <c r="DI128" s="138">
        <v>43405.0</v>
      </c>
      <c r="DJ128" s="138">
        <v>43435.0</v>
      </c>
      <c r="DK128" s="138">
        <v>43466.0</v>
      </c>
      <c r="DL128" s="138">
        <v>43497.0</v>
      </c>
      <c r="DM128" s="138">
        <v>43525.0</v>
      </c>
      <c r="DN128" s="138">
        <v>43556.0</v>
      </c>
      <c r="DO128" s="138">
        <v>43586.0</v>
      </c>
      <c r="DP128" s="138">
        <v>43617.0</v>
      </c>
      <c r="DQ128" s="138">
        <v>43647.0</v>
      </c>
      <c r="DR128" s="138">
        <v>43678.0</v>
      </c>
      <c r="DS128" s="138">
        <v>43709.0</v>
      </c>
      <c r="DT128" s="138">
        <v>43739.0</v>
      </c>
      <c r="DU128" s="138">
        <v>43770.0</v>
      </c>
      <c r="DV128" s="138">
        <v>43800.0</v>
      </c>
      <c r="DW128" s="138">
        <v>43831.0</v>
      </c>
      <c r="DX128" s="138">
        <v>43862.0</v>
      </c>
      <c r="DY128" s="138">
        <v>43891.0</v>
      </c>
      <c r="DZ128" s="138">
        <v>43922.0</v>
      </c>
      <c r="EA128" s="138">
        <v>43952.0</v>
      </c>
      <c r="EB128" s="138">
        <v>43983.0</v>
      </c>
      <c r="EC128" s="138">
        <v>44013.0</v>
      </c>
      <c r="ED128" s="138">
        <v>44044.0</v>
      </c>
      <c r="EE128" s="138">
        <v>44075.0</v>
      </c>
      <c r="EF128" s="138">
        <v>44105.0</v>
      </c>
      <c r="EG128" s="138">
        <v>44136.0</v>
      </c>
      <c r="EH128" s="138">
        <v>44166.0</v>
      </c>
      <c r="EI128" s="138">
        <v>44197.0</v>
      </c>
      <c r="EJ128" s="138">
        <v>44228.0</v>
      </c>
      <c r="EK128" s="138">
        <v>44256.0</v>
      </c>
      <c r="EL128" s="138">
        <v>44287.0</v>
      </c>
      <c r="EM128" s="138">
        <v>44317.0</v>
      </c>
      <c r="EN128" s="138">
        <v>44348.0</v>
      </c>
      <c r="EO128" s="138">
        <v>44378.0</v>
      </c>
      <c r="EP128" s="138">
        <v>44409.0</v>
      </c>
      <c r="EQ128" s="139">
        <v>44440.0</v>
      </c>
      <c r="ER128" s="139">
        <v>44470.0</v>
      </c>
      <c r="ES128" s="139">
        <v>44501.0</v>
      </c>
      <c r="ET128" s="139">
        <v>44531.0</v>
      </c>
      <c r="EU128" s="139">
        <v>44562.0</v>
      </c>
      <c r="EV128" s="139">
        <v>44593.0</v>
      </c>
      <c r="EW128" s="139">
        <v>44621.0</v>
      </c>
      <c r="EX128" s="139">
        <v>44652.0</v>
      </c>
      <c r="EY128" s="139">
        <v>44682.0</v>
      </c>
      <c r="EZ128" s="139">
        <v>44713.0</v>
      </c>
      <c r="FA128" s="139">
        <v>44743.0</v>
      </c>
      <c r="FB128" s="139">
        <v>44774.0</v>
      </c>
      <c r="FC128" s="139">
        <v>44805.0</v>
      </c>
      <c r="FD128" s="139">
        <v>44835.0</v>
      </c>
      <c r="FE128" s="139">
        <v>44866.0</v>
      </c>
      <c r="FF128" s="139">
        <v>44896.0</v>
      </c>
      <c r="FG128" s="139">
        <v>44927.0</v>
      </c>
      <c r="FH128" s="139">
        <v>44958.0</v>
      </c>
      <c r="FI128" s="139">
        <v>44986.0</v>
      </c>
      <c r="FJ128" s="139">
        <v>45017.0</v>
      </c>
      <c r="FK128" s="139">
        <v>45047.0</v>
      </c>
      <c r="FL128" s="139">
        <v>45078.0</v>
      </c>
      <c r="FM128" s="139">
        <v>45108.0</v>
      </c>
      <c r="FN128" s="139">
        <v>45139.0</v>
      </c>
      <c r="FO128" s="139">
        <v>45170.0</v>
      </c>
      <c r="FP128" s="139">
        <v>45200.0</v>
      </c>
      <c r="FQ128" s="139">
        <v>45231.0</v>
      </c>
      <c r="FR128" s="139">
        <v>45261.0</v>
      </c>
      <c r="FS128" s="139">
        <v>45292.0</v>
      </c>
      <c r="FT128" s="139">
        <v>45323.0</v>
      </c>
      <c r="FU128" s="139">
        <v>45352.0</v>
      </c>
      <c r="FV128" s="139">
        <v>45383.0</v>
      </c>
      <c r="FW128" s="139">
        <v>45413.0</v>
      </c>
      <c r="FX128" s="139">
        <v>45444.0</v>
      </c>
      <c r="FY128" s="139">
        <v>45474.0</v>
      </c>
      <c r="FZ128" s="139">
        <v>45505.0</v>
      </c>
      <c r="GA128" s="139">
        <v>45536.0</v>
      </c>
      <c r="GB128" s="139">
        <v>45566.0</v>
      </c>
      <c r="GC128" s="139">
        <v>45597.0</v>
      </c>
      <c r="GD128" s="139">
        <v>45627.0</v>
      </c>
      <c r="GE128" s="139">
        <v>45658.0</v>
      </c>
      <c r="GF128" s="139">
        <v>45689.0</v>
      </c>
      <c r="GG128" s="139">
        <v>45717.0</v>
      </c>
      <c r="GH128" s="139">
        <v>45748.0</v>
      </c>
      <c r="GI128" s="139">
        <v>45778.0</v>
      </c>
      <c r="GJ128" s="139">
        <v>45809.0</v>
      </c>
      <c r="GK128" s="139">
        <v>45839.0</v>
      </c>
    </row>
    <row r="129">
      <c r="A129" s="132" t="s">
        <v>34132</v>
      </c>
      <c r="B129" s="133" t="s">
        <v>1170</v>
      </c>
      <c r="C129" s="134">
        <v>44434.67649305556</v>
      </c>
      <c r="D129" s="135" t="str">
        <f t="shared" si="1"/>
        <v>2021/08/26</v>
      </c>
      <c r="E129" s="136" t="s">
        <v>33912</v>
      </c>
      <c r="F129" s="137">
        <v>0.0</v>
      </c>
      <c r="G129" s="138">
        <v>40179.0</v>
      </c>
      <c r="H129" s="138">
        <v>40210.0</v>
      </c>
      <c r="I129" s="138">
        <v>40238.0</v>
      </c>
      <c r="J129" s="138">
        <v>40269.0</v>
      </c>
      <c r="K129" s="138">
        <v>40299.0</v>
      </c>
      <c r="L129" s="138">
        <v>40330.0</v>
      </c>
      <c r="M129" s="138">
        <v>40360.0</v>
      </c>
      <c r="N129" s="138">
        <v>40391.0</v>
      </c>
      <c r="O129" s="138">
        <v>40422.0</v>
      </c>
      <c r="P129" s="138">
        <v>40452.0</v>
      </c>
      <c r="Q129" s="138">
        <v>40483.0</v>
      </c>
      <c r="R129" s="138">
        <v>40513.0</v>
      </c>
      <c r="S129" s="138">
        <v>40544.0</v>
      </c>
      <c r="T129" s="138">
        <v>40575.0</v>
      </c>
      <c r="U129" s="138">
        <v>40603.0</v>
      </c>
      <c r="V129" s="138">
        <v>40634.0</v>
      </c>
      <c r="W129" s="138">
        <v>40664.0</v>
      </c>
      <c r="X129" s="138">
        <v>40695.0</v>
      </c>
      <c r="Y129" s="138">
        <v>40725.0</v>
      </c>
      <c r="Z129" s="138">
        <v>40756.0</v>
      </c>
      <c r="AA129" s="138">
        <v>40787.0</v>
      </c>
      <c r="AB129" s="138">
        <v>40817.0</v>
      </c>
      <c r="AC129" s="138">
        <v>40848.0</v>
      </c>
      <c r="AD129" s="138">
        <v>40878.0</v>
      </c>
      <c r="AE129" s="138">
        <v>40909.0</v>
      </c>
      <c r="AF129" s="138">
        <v>40940.0</v>
      </c>
      <c r="AG129" s="138">
        <v>40969.0</v>
      </c>
      <c r="AH129" s="138">
        <v>41000.0</v>
      </c>
      <c r="AI129" s="138">
        <v>41030.0</v>
      </c>
      <c r="AJ129" s="138">
        <v>41061.0</v>
      </c>
      <c r="AK129" s="138">
        <v>41091.0</v>
      </c>
      <c r="AL129" s="138">
        <v>41122.0</v>
      </c>
      <c r="AM129" s="138">
        <v>41153.0</v>
      </c>
      <c r="AN129" s="138">
        <v>41183.0</v>
      </c>
      <c r="AO129" s="138">
        <v>41214.0</v>
      </c>
      <c r="AP129" s="138">
        <v>41244.0</v>
      </c>
      <c r="AQ129" s="138">
        <v>41275.0</v>
      </c>
      <c r="AR129" s="138">
        <v>41306.0</v>
      </c>
      <c r="AS129" s="138">
        <v>41334.0</v>
      </c>
      <c r="AT129" s="138">
        <v>41365.0</v>
      </c>
      <c r="AU129" s="138">
        <v>41395.0</v>
      </c>
      <c r="AV129" s="138">
        <v>41426.0</v>
      </c>
      <c r="AW129" s="138">
        <v>41456.0</v>
      </c>
      <c r="AX129" s="138">
        <v>41487.0</v>
      </c>
      <c r="AY129" s="138">
        <v>41518.0</v>
      </c>
      <c r="AZ129" s="138">
        <v>41548.0</v>
      </c>
      <c r="BA129" s="138">
        <v>41579.0</v>
      </c>
      <c r="BB129" s="138">
        <v>41609.0</v>
      </c>
      <c r="BC129" s="138">
        <v>41640.0</v>
      </c>
      <c r="BD129" s="138">
        <v>41671.0</v>
      </c>
      <c r="BE129" s="138">
        <v>41699.0</v>
      </c>
      <c r="BF129" s="138">
        <v>41730.0</v>
      </c>
      <c r="BG129" s="138">
        <v>41760.0</v>
      </c>
      <c r="BH129" s="138">
        <v>41791.0</v>
      </c>
      <c r="BI129" s="138">
        <v>41821.0</v>
      </c>
      <c r="BJ129" s="138">
        <v>41852.0</v>
      </c>
      <c r="BK129" s="138">
        <v>41883.0</v>
      </c>
      <c r="BL129" s="138">
        <v>41913.0</v>
      </c>
      <c r="BM129" s="138">
        <v>41944.0</v>
      </c>
      <c r="BN129" s="138">
        <v>41974.0</v>
      </c>
      <c r="BO129" s="138">
        <v>42005.0</v>
      </c>
      <c r="BP129" s="138">
        <v>42036.0</v>
      </c>
      <c r="BQ129" s="138">
        <v>42064.0</v>
      </c>
      <c r="BR129" s="138">
        <v>42095.0</v>
      </c>
      <c r="BS129" s="138">
        <v>42125.0</v>
      </c>
      <c r="BT129" s="138">
        <v>42156.0</v>
      </c>
      <c r="BU129" s="138">
        <v>42186.0</v>
      </c>
      <c r="BV129" s="138">
        <v>42217.0</v>
      </c>
      <c r="BW129" s="138">
        <v>42248.0</v>
      </c>
      <c r="BX129" s="138">
        <v>42278.0</v>
      </c>
      <c r="BY129" s="138">
        <v>42309.0</v>
      </c>
      <c r="BZ129" s="138">
        <v>42339.0</v>
      </c>
      <c r="CA129" s="138">
        <v>42370.0</v>
      </c>
      <c r="CB129" s="138">
        <v>42401.0</v>
      </c>
      <c r="CC129" s="138">
        <v>42430.0</v>
      </c>
      <c r="CD129" s="138">
        <v>42461.0</v>
      </c>
      <c r="CE129" s="138">
        <v>42491.0</v>
      </c>
      <c r="CF129" s="138">
        <v>42522.0</v>
      </c>
      <c r="CG129" s="138">
        <v>42552.0</v>
      </c>
      <c r="CH129" s="138">
        <v>42583.0</v>
      </c>
      <c r="CI129" s="138">
        <v>42614.0</v>
      </c>
      <c r="CJ129" s="138">
        <v>42644.0</v>
      </c>
      <c r="CK129" s="138">
        <v>42675.0</v>
      </c>
      <c r="CL129" s="138">
        <v>42705.0</v>
      </c>
      <c r="CM129" s="138">
        <v>42736.0</v>
      </c>
      <c r="CN129" s="138">
        <v>42767.0</v>
      </c>
      <c r="CO129" s="138">
        <v>42795.0</v>
      </c>
      <c r="CP129" s="138">
        <v>42826.0</v>
      </c>
      <c r="CQ129" s="138">
        <v>42856.0</v>
      </c>
      <c r="CR129" s="138">
        <v>42887.0</v>
      </c>
      <c r="CS129" s="138">
        <v>42917.0</v>
      </c>
      <c r="CT129" s="138">
        <v>42948.0</v>
      </c>
      <c r="CU129" s="138">
        <v>42979.0</v>
      </c>
      <c r="CV129" s="138">
        <v>43009.0</v>
      </c>
      <c r="CW129" s="138">
        <v>43040.0</v>
      </c>
      <c r="CX129" s="138">
        <v>43070.0</v>
      </c>
      <c r="CY129" s="138">
        <v>43101.0</v>
      </c>
      <c r="CZ129" s="138">
        <v>43132.0</v>
      </c>
      <c r="DA129" s="138">
        <v>43160.0</v>
      </c>
      <c r="DB129" s="138">
        <v>43191.0</v>
      </c>
      <c r="DC129" s="138">
        <v>43221.0</v>
      </c>
      <c r="DD129" s="138">
        <v>43252.0</v>
      </c>
      <c r="DE129" s="138">
        <v>43282.0</v>
      </c>
      <c r="DF129" s="138">
        <v>43313.0</v>
      </c>
      <c r="DG129" s="138">
        <v>43344.0</v>
      </c>
      <c r="DH129" s="138">
        <v>43374.0</v>
      </c>
      <c r="DI129" s="138">
        <v>43405.0</v>
      </c>
      <c r="DJ129" s="138">
        <v>43435.0</v>
      </c>
      <c r="DK129" s="138">
        <v>43466.0</v>
      </c>
      <c r="DL129" s="138">
        <v>43497.0</v>
      </c>
      <c r="DM129" s="138">
        <v>43525.0</v>
      </c>
      <c r="DN129" s="138">
        <v>43556.0</v>
      </c>
      <c r="DO129" s="138">
        <v>43586.0</v>
      </c>
      <c r="DP129" s="138">
        <v>43617.0</v>
      </c>
      <c r="DQ129" s="138">
        <v>43647.0</v>
      </c>
      <c r="DR129" s="138">
        <v>43678.0</v>
      </c>
      <c r="DS129" s="138">
        <v>43709.0</v>
      </c>
      <c r="DT129" s="138">
        <v>43739.0</v>
      </c>
      <c r="DU129" s="138">
        <v>43770.0</v>
      </c>
      <c r="DV129" s="138">
        <v>43800.0</v>
      </c>
      <c r="DW129" s="138">
        <v>43831.0</v>
      </c>
      <c r="DX129" s="138">
        <v>43862.0</v>
      </c>
      <c r="DY129" s="138">
        <v>43891.0</v>
      </c>
      <c r="DZ129" s="138">
        <v>43922.0</v>
      </c>
      <c r="EA129" s="138">
        <v>43952.0</v>
      </c>
      <c r="EB129" s="138">
        <v>43983.0</v>
      </c>
      <c r="EC129" s="138">
        <v>44013.0</v>
      </c>
      <c r="ED129" s="138">
        <v>44044.0</v>
      </c>
      <c r="EE129" s="138">
        <v>44075.0</v>
      </c>
      <c r="EF129" s="138">
        <v>44105.0</v>
      </c>
      <c r="EG129" s="138">
        <v>44136.0</v>
      </c>
      <c r="EH129" s="138">
        <v>44166.0</v>
      </c>
      <c r="EI129" s="138">
        <v>44197.0</v>
      </c>
      <c r="EJ129" s="138">
        <v>44228.0</v>
      </c>
      <c r="EK129" s="138">
        <v>44256.0</v>
      </c>
      <c r="EL129" s="138">
        <v>44287.0</v>
      </c>
      <c r="EM129" s="138">
        <v>44317.0</v>
      </c>
      <c r="EN129" s="138">
        <v>44348.0</v>
      </c>
      <c r="EO129" s="138">
        <v>44378.0</v>
      </c>
      <c r="EP129" s="138">
        <v>44409.0</v>
      </c>
      <c r="EQ129" s="139">
        <v>44440.0</v>
      </c>
      <c r="ER129" s="139">
        <v>44470.0</v>
      </c>
      <c r="ES129" s="139">
        <v>44501.0</v>
      </c>
      <c r="ET129" s="139">
        <v>44531.0</v>
      </c>
      <c r="EU129" s="139">
        <v>44562.0</v>
      </c>
      <c r="EV129" s="139">
        <v>44593.0</v>
      </c>
      <c r="EW129" s="139">
        <v>44621.0</v>
      </c>
      <c r="EX129" s="139">
        <v>44652.0</v>
      </c>
      <c r="EY129" s="139">
        <v>44682.0</v>
      </c>
      <c r="EZ129" s="139">
        <v>44713.0</v>
      </c>
      <c r="FA129" s="139">
        <v>44743.0</v>
      </c>
      <c r="FB129" s="139">
        <v>44774.0</v>
      </c>
      <c r="FC129" s="139">
        <v>44805.0</v>
      </c>
      <c r="FD129" s="139">
        <v>44835.0</v>
      </c>
      <c r="FE129" s="139">
        <v>44866.0</v>
      </c>
      <c r="FF129" s="139">
        <v>44896.0</v>
      </c>
      <c r="FG129" s="139">
        <v>44927.0</v>
      </c>
      <c r="FH129" s="139">
        <v>44958.0</v>
      </c>
      <c r="FI129" s="139">
        <v>44986.0</v>
      </c>
      <c r="FJ129" s="139">
        <v>45017.0</v>
      </c>
      <c r="FK129" s="139">
        <v>45047.0</v>
      </c>
      <c r="FL129" s="139">
        <v>45078.0</v>
      </c>
      <c r="FM129" s="139">
        <v>45108.0</v>
      </c>
      <c r="FN129" s="139">
        <v>45139.0</v>
      </c>
      <c r="FO129" s="139">
        <v>45170.0</v>
      </c>
      <c r="FP129" s="139">
        <v>45200.0</v>
      </c>
      <c r="FQ129" s="139">
        <v>45231.0</v>
      </c>
      <c r="FR129" s="139">
        <v>45261.0</v>
      </c>
      <c r="FS129" s="139">
        <v>45292.0</v>
      </c>
      <c r="FT129" s="139">
        <v>45323.0</v>
      </c>
      <c r="FU129" s="139">
        <v>45352.0</v>
      </c>
      <c r="FV129" s="139">
        <v>45383.0</v>
      </c>
      <c r="FW129" s="139">
        <v>45413.0</v>
      </c>
      <c r="FX129" s="139">
        <v>45444.0</v>
      </c>
      <c r="FY129" s="139">
        <v>45474.0</v>
      </c>
      <c r="FZ129" s="139">
        <v>45505.0</v>
      </c>
      <c r="GA129" s="139">
        <v>45536.0</v>
      </c>
      <c r="GB129" s="139">
        <v>45566.0</v>
      </c>
      <c r="GC129" s="139">
        <v>45597.0</v>
      </c>
      <c r="GD129" s="139">
        <v>45627.0</v>
      </c>
      <c r="GE129" s="139">
        <v>45658.0</v>
      </c>
      <c r="GF129" s="139">
        <v>45689.0</v>
      </c>
      <c r="GG129" s="139">
        <v>45717.0</v>
      </c>
      <c r="GH129" s="139">
        <v>45748.0</v>
      </c>
      <c r="GI129" s="139">
        <v>45778.0</v>
      </c>
      <c r="GJ129" s="139">
        <v>45809.0</v>
      </c>
      <c r="GK129" s="139">
        <v>45839.0</v>
      </c>
    </row>
    <row r="130">
      <c r="A130" s="132" t="s">
        <v>34133</v>
      </c>
      <c r="B130" s="133" t="s">
        <v>443</v>
      </c>
      <c r="C130" s="134">
        <v>44445.986967592595</v>
      </c>
      <c r="D130" s="135" t="str">
        <f t="shared" si="1"/>
        <v>2021/09/06</v>
      </c>
      <c r="E130" s="136" t="s">
        <v>34134</v>
      </c>
      <c r="F130" s="137">
        <v>9.0E-5</v>
      </c>
      <c r="G130" s="138">
        <v>40179.0</v>
      </c>
      <c r="H130" s="138">
        <v>40210.0</v>
      </c>
      <c r="I130" s="138">
        <v>40238.0</v>
      </c>
      <c r="J130" s="138">
        <v>40269.0</v>
      </c>
      <c r="K130" s="138">
        <v>40299.0</v>
      </c>
      <c r="L130" s="138">
        <v>40330.0</v>
      </c>
      <c r="M130" s="138">
        <v>40360.0</v>
      </c>
      <c r="N130" s="138">
        <v>40391.0</v>
      </c>
      <c r="O130" s="138">
        <v>40422.0</v>
      </c>
      <c r="P130" s="138">
        <v>40452.0</v>
      </c>
      <c r="Q130" s="138">
        <v>40483.0</v>
      </c>
      <c r="R130" s="138">
        <v>40513.0</v>
      </c>
      <c r="S130" s="138">
        <v>40544.0</v>
      </c>
      <c r="T130" s="138">
        <v>40575.0</v>
      </c>
      <c r="U130" s="138">
        <v>40603.0</v>
      </c>
      <c r="V130" s="138">
        <v>40634.0</v>
      </c>
      <c r="W130" s="138">
        <v>40664.0</v>
      </c>
      <c r="X130" s="138">
        <v>40695.0</v>
      </c>
      <c r="Y130" s="138">
        <v>40725.0</v>
      </c>
      <c r="Z130" s="138">
        <v>40756.0</v>
      </c>
      <c r="AA130" s="138">
        <v>40787.0</v>
      </c>
      <c r="AB130" s="138">
        <v>40817.0</v>
      </c>
      <c r="AC130" s="138">
        <v>40848.0</v>
      </c>
      <c r="AD130" s="138">
        <v>40878.0</v>
      </c>
      <c r="AE130" s="138">
        <v>40909.0</v>
      </c>
      <c r="AF130" s="138">
        <v>40940.0</v>
      </c>
      <c r="AG130" s="138">
        <v>40969.0</v>
      </c>
      <c r="AH130" s="138">
        <v>41000.0</v>
      </c>
      <c r="AI130" s="138">
        <v>41030.0</v>
      </c>
      <c r="AJ130" s="138">
        <v>41061.0</v>
      </c>
      <c r="AK130" s="138">
        <v>41091.0</v>
      </c>
      <c r="AL130" s="138">
        <v>41122.0</v>
      </c>
      <c r="AM130" s="138">
        <v>41153.0</v>
      </c>
      <c r="AN130" s="138">
        <v>41183.0</v>
      </c>
      <c r="AO130" s="138">
        <v>41214.0</v>
      </c>
      <c r="AP130" s="138">
        <v>41244.0</v>
      </c>
      <c r="AQ130" s="138">
        <v>41275.0</v>
      </c>
      <c r="AR130" s="138">
        <v>41306.0</v>
      </c>
      <c r="AS130" s="138">
        <v>41334.0</v>
      </c>
      <c r="AT130" s="138">
        <v>41365.0</v>
      </c>
      <c r="AU130" s="138">
        <v>41395.0</v>
      </c>
      <c r="AV130" s="138">
        <v>41426.0</v>
      </c>
      <c r="AW130" s="138">
        <v>41456.0</v>
      </c>
      <c r="AX130" s="138">
        <v>41487.0</v>
      </c>
      <c r="AY130" s="138">
        <v>41518.0</v>
      </c>
      <c r="AZ130" s="138">
        <v>41548.0</v>
      </c>
      <c r="BA130" s="138">
        <v>41579.0</v>
      </c>
      <c r="BB130" s="138">
        <v>41609.0</v>
      </c>
      <c r="BC130" s="138">
        <v>41640.0</v>
      </c>
      <c r="BD130" s="138">
        <v>41671.0</v>
      </c>
      <c r="BE130" s="138">
        <v>41699.0</v>
      </c>
      <c r="BF130" s="138">
        <v>41730.0</v>
      </c>
      <c r="BG130" s="138">
        <v>41760.0</v>
      </c>
      <c r="BH130" s="138">
        <v>41791.0</v>
      </c>
      <c r="BI130" s="138">
        <v>41821.0</v>
      </c>
      <c r="BJ130" s="138">
        <v>41852.0</v>
      </c>
      <c r="BK130" s="138">
        <v>41883.0</v>
      </c>
      <c r="BL130" s="138">
        <v>41913.0</v>
      </c>
      <c r="BM130" s="138">
        <v>41944.0</v>
      </c>
      <c r="BN130" s="138">
        <v>41974.0</v>
      </c>
      <c r="BO130" s="138">
        <v>42005.0</v>
      </c>
      <c r="BP130" s="138">
        <v>42036.0</v>
      </c>
      <c r="BQ130" s="138">
        <v>42064.0</v>
      </c>
      <c r="BR130" s="138">
        <v>42095.0</v>
      </c>
      <c r="BS130" s="138">
        <v>42125.0</v>
      </c>
      <c r="BT130" s="138">
        <v>42156.0</v>
      </c>
      <c r="BU130" s="138">
        <v>42186.0</v>
      </c>
      <c r="BV130" s="138">
        <v>42217.0</v>
      </c>
      <c r="BW130" s="138">
        <v>42248.0</v>
      </c>
      <c r="BX130" s="138">
        <v>42278.0</v>
      </c>
      <c r="BY130" s="138">
        <v>42309.0</v>
      </c>
      <c r="BZ130" s="138">
        <v>42339.0</v>
      </c>
      <c r="CA130" s="138">
        <v>42370.0</v>
      </c>
      <c r="CB130" s="138">
        <v>42401.0</v>
      </c>
      <c r="CC130" s="138">
        <v>42430.0</v>
      </c>
      <c r="CD130" s="138">
        <v>42461.0</v>
      </c>
      <c r="CE130" s="138">
        <v>42491.0</v>
      </c>
      <c r="CF130" s="138">
        <v>42522.0</v>
      </c>
      <c r="CG130" s="138">
        <v>42552.0</v>
      </c>
      <c r="CH130" s="138">
        <v>42583.0</v>
      </c>
      <c r="CI130" s="138">
        <v>42614.0</v>
      </c>
      <c r="CJ130" s="138">
        <v>42644.0</v>
      </c>
      <c r="CK130" s="138">
        <v>42675.0</v>
      </c>
      <c r="CL130" s="138">
        <v>42705.0</v>
      </c>
      <c r="CM130" s="138">
        <v>42736.0</v>
      </c>
      <c r="CN130" s="138">
        <v>42767.0</v>
      </c>
      <c r="CO130" s="138">
        <v>42795.0</v>
      </c>
      <c r="CP130" s="138">
        <v>42826.0</v>
      </c>
      <c r="CQ130" s="138">
        <v>42856.0</v>
      </c>
      <c r="CR130" s="138">
        <v>42887.0</v>
      </c>
      <c r="CS130" s="138">
        <v>42917.0</v>
      </c>
      <c r="CT130" s="138">
        <v>42948.0</v>
      </c>
      <c r="CU130" s="138">
        <v>42979.0</v>
      </c>
      <c r="CV130" s="138">
        <v>43009.0</v>
      </c>
      <c r="CW130" s="138">
        <v>43040.0</v>
      </c>
      <c r="CX130" s="138">
        <v>43070.0</v>
      </c>
      <c r="CY130" s="138">
        <v>43101.0</v>
      </c>
      <c r="CZ130" s="138">
        <v>43132.0</v>
      </c>
      <c r="DA130" s="138">
        <v>43160.0</v>
      </c>
      <c r="DB130" s="138">
        <v>43191.0</v>
      </c>
      <c r="DC130" s="138">
        <v>43221.0</v>
      </c>
      <c r="DD130" s="138">
        <v>43252.0</v>
      </c>
      <c r="DE130" s="138">
        <v>43282.0</v>
      </c>
      <c r="DF130" s="138">
        <v>43313.0</v>
      </c>
      <c r="DG130" s="138">
        <v>43344.0</v>
      </c>
      <c r="DH130" s="138">
        <v>43374.0</v>
      </c>
      <c r="DI130" s="138">
        <v>43405.0</v>
      </c>
      <c r="DJ130" s="138">
        <v>43435.0</v>
      </c>
      <c r="DK130" s="138">
        <v>43466.0</v>
      </c>
      <c r="DL130" s="138">
        <v>43497.0</v>
      </c>
      <c r="DM130" s="138">
        <v>43525.0</v>
      </c>
      <c r="DN130" s="138">
        <v>43556.0</v>
      </c>
      <c r="DO130" s="138">
        <v>43586.0</v>
      </c>
      <c r="DP130" s="138">
        <v>43617.0</v>
      </c>
      <c r="DQ130" s="138">
        <v>43647.0</v>
      </c>
      <c r="DR130" s="138">
        <v>43678.0</v>
      </c>
      <c r="DS130" s="138">
        <v>43709.0</v>
      </c>
      <c r="DT130" s="138">
        <v>43739.0</v>
      </c>
      <c r="DU130" s="138">
        <v>43770.0</v>
      </c>
      <c r="DV130" s="138">
        <v>43800.0</v>
      </c>
      <c r="DW130" s="138">
        <v>43831.0</v>
      </c>
      <c r="DX130" s="138">
        <v>43862.0</v>
      </c>
      <c r="DY130" s="138">
        <v>43891.0</v>
      </c>
      <c r="DZ130" s="138">
        <v>43922.0</v>
      </c>
      <c r="EA130" s="138">
        <v>43952.0</v>
      </c>
      <c r="EB130" s="138">
        <v>43983.0</v>
      </c>
      <c r="EC130" s="138">
        <v>44013.0</v>
      </c>
      <c r="ED130" s="138">
        <v>44044.0</v>
      </c>
      <c r="EE130" s="138">
        <v>44075.0</v>
      </c>
      <c r="EF130" s="138">
        <v>44105.0</v>
      </c>
      <c r="EG130" s="138">
        <v>44136.0</v>
      </c>
      <c r="EH130" s="138">
        <v>44166.0</v>
      </c>
      <c r="EI130" s="138">
        <v>44197.0</v>
      </c>
      <c r="EJ130" s="138">
        <v>44228.0</v>
      </c>
      <c r="EK130" s="138">
        <v>44256.0</v>
      </c>
      <c r="EL130" s="138">
        <v>44287.0</v>
      </c>
      <c r="EM130" s="138">
        <v>44317.0</v>
      </c>
      <c r="EN130" s="138">
        <v>44348.0</v>
      </c>
      <c r="EO130" s="138">
        <v>44378.0</v>
      </c>
      <c r="EP130" s="138">
        <v>44409.0</v>
      </c>
      <c r="EQ130" s="138">
        <v>44440.0</v>
      </c>
      <c r="ER130" s="139">
        <v>44470.0</v>
      </c>
      <c r="ES130" s="139">
        <v>44501.0</v>
      </c>
      <c r="ET130" s="139">
        <v>44531.0</v>
      </c>
      <c r="EU130" s="139">
        <v>44562.0</v>
      </c>
      <c r="EV130" s="139">
        <v>44593.0</v>
      </c>
      <c r="EW130" s="139">
        <v>44621.0</v>
      </c>
      <c r="EX130" s="139">
        <v>44652.0</v>
      </c>
      <c r="EY130" s="139">
        <v>44682.0</v>
      </c>
      <c r="EZ130" s="139">
        <v>44713.0</v>
      </c>
      <c r="FA130" s="139">
        <v>44743.0</v>
      </c>
      <c r="FB130" s="139">
        <v>44774.0</v>
      </c>
      <c r="FC130" s="139">
        <v>44805.0</v>
      </c>
      <c r="FD130" s="139">
        <v>44835.0</v>
      </c>
      <c r="FE130" s="139">
        <v>44866.0</v>
      </c>
      <c r="FF130" s="139">
        <v>44896.0</v>
      </c>
      <c r="FG130" s="139">
        <v>44927.0</v>
      </c>
      <c r="FH130" s="139">
        <v>44958.0</v>
      </c>
      <c r="FI130" s="139">
        <v>44986.0</v>
      </c>
      <c r="FJ130" s="139">
        <v>45017.0</v>
      </c>
      <c r="FK130" s="139">
        <v>45047.0</v>
      </c>
      <c r="FL130" s="139">
        <v>45078.0</v>
      </c>
      <c r="FM130" s="139">
        <v>45108.0</v>
      </c>
      <c r="FN130" s="139">
        <v>45139.0</v>
      </c>
      <c r="FO130" s="139">
        <v>45170.0</v>
      </c>
      <c r="FP130" s="139">
        <v>45200.0</v>
      </c>
      <c r="FQ130" s="139">
        <v>45231.0</v>
      </c>
      <c r="FR130" s="139">
        <v>45261.0</v>
      </c>
      <c r="FS130" s="139">
        <v>45292.0</v>
      </c>
      <c r="FT130" s="139">
        <v>45323.0</v>
      </c>
      <c r="FU130" s="139">
        <v>45352.0</v>
      </c>
      <c r="FV130" s="139">
        <v>45383.0</v>
      </c>
      <c r="FW130" s="139">
        <v>45413.0</v>
      </c>
      <c r="FX130" s="139">
        <v>45444.0</v>
      </c>
      <c r="FY130" s="139">
        <v>45474.0</v>
      </c>
      <c r="FZ130" s="139">
        <v>45505.0</v>
      </c>
      <c r="GA130" s="139">
        <v>45536.0</v>
      </c>
      <c r="GB130" s="139">
        <v>45566.0</v>
      </c>
      <c r="GC130" s="139">
        <v>45597.0</v>
      </c>
      <c r="GD130" s="139">
        <v>45627.0</v>
      </c>
      <c r="GE130" s="139">
        <v>45658.0</v>
      </c>
      <c r="GF130" s="139">
        <v>45689.0</v>
      </c>
      <c r="GG130" s="139">
        <v>45717.0</v>
      </c>
      <c r="GH130" s="139">
        <v>45748.0</v>
      </c>
      <c r="GI130" s="139">
        <v>45778.0</v>
      </c>
      <c r="GJ130" s="139">
        <v>45809.0</v>
      </c>
      <c r="GK130" s="139">
        <v>45839.0</v>
      </c>
    </row>
    <row r="131">
      <c r="A131" s="132" t="s">
        <v>34135</v>
      </c>
      <c r="B131" s="133" t="s">
        <v>802</v>
      </c>
      <c r="C131" s="134">
        <v>44482.65474537037</v>
      </c>
      <c r="D131" s="135" t="str">
        <f t="shared" si="1"/>
        <v>2021/10/13</v>
      </c>
      <c r="E131" s="136" t="s">
        <v>34136</v>
      </c>
      <c r="F131" s="137">
        <v>0.00178</v>
      </c>
      <c r="G131" s="138">
        <v>40179.0</v>
      </c>
      <c r="H131" s="138">
        <v>40210.0</v>
      </c>
      <c r="I131" s="138">
        <v>40238.0</v>
      </c>
      <c r="J131" s="138">
        <v>40269.0</v>
      </c>
      <c r="K131" s="138">
        <v>40299.0</v>
      </c>
      <c r="L131" s="138">
        <v>40330.0</v>
      </c>
      <c r="M131" s="138">
        <v>40360.0</v>
      </c>
      <c r="N131" s="138">
        <v>40391.0</v>
      </c>
      <c r="O131" s="138">
        <v>40422.0</v>
      </c>
      <c r="P131" s="138">
        <v>40452.0</v>
      </c>
      <c r="Q131" s="138">
        <v>40483.0</v>
      </c>
      <c r="R131" s="138">
        <v>40513.0</v>
      </c>
      <c r="S131" s="138">
        <v>40544.0</v>
      </c>
      <c r="T131" s="138">
        <v>40575.0</v>
      </c>
      <c r="U131" s="138">
        <v>40603.0</v>
      </c>
      <c r="V131" s="138">
        <v>40634.0</v>
      </c>
      <c r="W131" s="138">
        <v>40664.0</v>
      </c>
      <c r="X131" s="138">
        <v>40695.0</v>
      </c>
      <c r="Y131" s="138">
        <v>40725.0</v>
      </c>
      <c r="Z131" s="138">
        <v>40756.0</v>
      </c>
      <c r="AA131" s="138">
        <v>40787.0</v>
      </c>
      <c r="AB131" s="138">
        <v>40817.0</v>
      </c>
      <c r="AC131" s="138">
        <v>40848.0</v>
      </c>
      <c r="AD131" s="138">
        <v>40878.0</v>
      </c>
      <c r="AE131" s="138">
        <v>40909.0</v>
      </c>
      <c r="AF131" s="138">
        <v>40940.0</v>
      </c>
      <c r="AG131" s="138">
        <v>40969.0</v>
      </c>
      <c r="AH131" s="138">
        <v>41000.0</v>
      </c>
      <c r="AI131" s="138">
        <v>41030.0</v>
      </c>
      <c r="AJ131" s="138">
        <v>41061.0</v>
      </c>
      <c r="AK131" s="138">
        <v>41091.0</v>
      </c>
      <c r="AL131" s="138">
        <v>41122.0</v>
      </c>
      <c r="AM131" s="138">
        <v>41153.0</v>
      </c>
      <c r="AN131" s="138">
        <v>41183.0</v>
      </c>
      <c r="AO131" s="138">
        <v>41214.0</v>
      </c>
      <c r="AP131" s="138">
        <v>41244.0</v>
      </c>
      <c r="AQ131" s="138">
        <v>41275.0</v>
      </c>
      <c r="AR131" s="138">
        <v>41306.0</v>
      </c>
      <c r="AS131" s="138">
        <v>41334.0</v>
      </c>
      <c r="AT131" s="138">
        <v>41365.0</v>
      </c>
      <c r="AU131" s="138">
        <v>41395.0</v>
      </c>
      <c r="AV131" s="138">
        <v>41426.0</v>
      </c>
      <c r="AW131" s="138">
        <v>41456.0</v>
      </c>
      <c r="AX131" s="138">
        <v>41487.0</v>
      </c>
      <c r="AY131" s="138">
        <v>41518.0</v>
      </c>
      <c r="AZ131" s="138">
        <v>41548.0</v>
      </c>
      <c r="BA131" s="138">
        <v>41579.0</v>
      </c>
      <c r="BB131" s="138">
        <v>41609.0</v>
      </c>
      <c r="BC131" s="138">
        <v>41640.0</v>
      </c>
      <c r="BD131" s="138">
        <v>41671.0</v>
      </c>
      <c r="BE131" s="138">
        <v>41699.0</v>
      </c>
      <c r="BF131" s="138">
        <v>41730.0</v>
      </c>
      <c r="BG131" s="138">
        <v>41760.0</v>
      </c>
      <c r="BH131" s="138">
        <v>41791.0</v>
      </c>
      <c r="BI131" s="138">
        <v>41821.0</v>
      </c>
      <c r="BJ131" s="138">
        <v>41852.0</v>
      </c>
      <c r="BK131" s="138">
        <v>41883.0</v>
      </c>
      <c r="BL131" s="138">
        <v>41913.0</v>
      </c>
      <c r="BM131" s="138">
        <v>41944.0</v>
      </c>
      <c r="BN131" s="138">
        <v>41974.0</v>
      </c>
      <c r="BO131" s="138">
        <v>42005.0</v>
      </c>
      <c r="BP131" s="138">
        <v>42036.0</v>
      </c>
      <c r="BQ131" s="138">
        <v>42064.0</v>
      </c>
      <c r="BR131" s="138">
        <v>42095.0</v>
      </c>
      <c r="BS131" s="138">
        <v>42125.0</v>
      </c>
      <c r="BT131" s="138">
        <v>42156.0</v>
      </c>
      <c r="BU131" s="138">
        <v>42186.0</v>
      </c>
      <c r="BV131" s="138">
        <v>42217.0</v>
      </c>
      <c r="BW131" s="138">
        <v>42248.0</v>
      </c>
      <c r="BX131" s="138">
        <v>42278.0</v>
      </c>
      <c r="BY131" s="138">
        <v>42309.0</v>
      </c>
      <c r="BZ131" s="138">
        <v>42339.0</v>
      </c>
      <c r="CA131" s="138">
        <v>42370.0</v>
      </c>
      <c r="CB131" s="138">
        <v>42401.0</v>
      </c>
      <c r="CC131" s="138">
        <v>42430.0</v>
      </c>
      <c r="CD131" s="138">
        <v>42461.0</v>
      </c>
      <c r="CE131" s="138">
        <v>42491.0</v>
      </c>
      <c r="CF131" s="138">
        <v>42522.0</v>
      </c>
      <c r="CG131" s="138">
        <v>42552.0</v>
      </c>
      <c r="CH131" s="138">
        <v>42583.0</v>
      </c>
      <c r="CI131" s="138">
        <v>42614.0</v>
      </c>
      <c r="CJ131" s="138">
        <v>42644.0</v>
      </c>
      <c r="CK131" s="138">
        <v>42675.0</v>
      </c>
      <c r="CL131" s="138">
        <v>42705.0</v>
      </c>
      <c r="CM131" s="138">
        <v>42736.0</v>
      </c>
      <c r="CN131" s="138">
        <v>42767.0</v>
      </c>
      <c r="CO131" s="138">
        <v>42795.0</v>
      </c>
      <c r="CP131" s="138">
        <v>42826.0</v>
      </c>
      <c r="CQ131" s="138">
        <v>42856.0</v>
      </c>
      <c r="CR131" s="138">
        <v>42887.0</v>
      </c>
      <c r="CS131" s="138">
        <v>42917.0</v>
      </c>
      <c r="CT131" s="138">
        <v>42948.0</v>
      </c>
      <c r="CU131" s="138">
        <v>42979.0</v>
      </c>
      <c r="CV131" s="138">
        <v>43009.0</v>
      </c>
      <c r="CW131" s="138">
        <v>43040.0</v>
      </c>
      <c r="CX131" s="138">
        <v>43070.0</v>
      </c>
      <c r="CY131" s="138">
        <v>43101.0</v>
      </c>
      <c r="CZ131" s="138">
        <v>43132.0</v>
      </c>
      <c r="DA131" s="138">
        <v>43160.0</v>
      </c>
      <c r="DB131" s="138">
        <v>43191.0</v>
      </c>
      <c r="DC131" s="138">
        <v>43221.0</v>
      </c>
      <c r="DD131" s="138">
        <v>43252.0</v>
      </c>
      <c r="DE131" s="138">
        <v>43282.0</v>
      </c>
      <c r="DF131" s="138">
        <v>43313.0</v>
      </c>
      <c r="DG131" s="138">
        <v>43344.0</v>
      </c>
      <c r="DH131" s="138">
        <v>43374.0</v>
      </c>
      <c r="DI131" s="138">
        <v>43405.0</v>
      </c>
      <c r="DJ131" s="138">
        <v>43435.0</v>
      </c>
      <c r="DK131" s="138">
        <v>43466.0</v>
      </c>
      <c r="DL131" s="138">
        <v>43497.0</v>
      </c>
      <c r="DM131" s="138">
        <v>43525.0</v>
      </c>
      <c r="DN131" s="138">
        <v>43556.0</v>
      </c>
      <c r="DO131" s="138">
        <v>43586.0</v>
      </c>
      <c r="DP131" s="138">
        <v>43617.0</v>
      </c>
      <c r="DQ131" s="138">
        <v>43647.0</v>
      </c>
      <c r="DR131" s="138">
        <v>43678.0</v>
      </c>
      <c r="DS131" s="138">
        <v>43709.0</v>
      </c>
      <c r="DT131" s="138">
        <v>43739.0</v>
      </c>
      <c r="DU131" s="138">
        <v>43770.0</v>
      </c>
      <c r="DV131" s="138">
        <v>43800.0</v>
      </c>
      <c r="DW131" s="138">
        <v>43831.0</v>
      </c>
      <c r="DX131" s="138">
        <v>43862.0</v>
      </c>
      <c r="DY131" s="138">
        <v>43891.0</v>
      </c>
      <c r="DZ131" s="138">
        <v>43922.0</v>
      </c>
      <c r="EA131" s="138">
        <v>43952.0</v>
      </c>
      <c r="EB131" s="138">
        <v>43983.0</v>
      </c>
      <c r="EC131" s="138">
        <v>44013.0</v>
      </c>
      <c r="ED131" s="138">
        <v>44044.0</v>
      </c>
      <c r="EE131" s="138">
        <v>44075.0</v>
      </c>
      <c r="EF131" s="138">
        <v>44105.0</v>
      </c>
      <c r="EG131" s="138">
        <v>44136.0</v>
      </c>
      <c r="EH131" s="138">
        <v>44166.0</v>
      </c>
      <c r="EI131" s="138">
        <v>44197.0</v>
      </c>
      <c r="EJ131" s="138">
        <v>44228.0</v>
      </c>
      <c r="EK131" s="138">
        <v>44256.0</v>
      </c>
      <c r="EL131" s="138">
        <v>44287.0</v>
      </c>
      <c r="EM131" s="138">
        <v>44317.0</v>
      </c>
      <c r="EN131" s="138">
        <v>44348.0</v>
      </c>
      <c r="EO131" s="138">
        <v>44378.0</v>
      </c>
      <c r="EP131" s="138">
        <v>44409.0</v>
      </c>
      <c r="EQ131" s="138">
        <v>44440.0</v>
      </c>
      <c r="ER131" s="138">
        <v>44470.0</v>
      </c>
      <c r="ES131" s="139">
        <v>44501.0</v>
      </c>
      <c r="ET131" s="139">
        <v>44531.0</v>
      </c>
      <c r="EU131" s="139">
        <v>44562.0</v>
      </c>
      <c r="EV131" s="139">
        <v>44593.0</v>
      </c>
      <c r="EW131" s="139">
        <v>44621.0</v>
      </c>
      <c r="EX131" s="139">
        <v>44652.0</v>
      </c>
      <c r="EY131" s="139">
        <v>44682.0</v>
      </c>
      <c r="EZ131" s="139">
        <v>44713.0</v>
      </c>
      <c r="FA131" s="139">
        <v>44743.0</v>
      </c>
      <c r="FB131" s="139">
        <v>44774.0</v>
      </c>
      <c r="FC131" s="139">
        <v>44805.0</v>
      </c>
      <c r="FD131" s="139">
        <v>44835.0</v>
      </c>
      <c r="FE131" s="139">
        <v>44866.0</v>
      </c>
      <c r="FF131" s="139">
        <v>44896.0</v>
      </c>
      <c r="FG131" s="139">
        <v>44927.0</v>
      </c>
      <c r="FH131" s="139">
        <v>44958.0</v>
      </c>
      <c r="FI131" s="139">
        <v>44986.0</v>
      </c>
      <c r="FJ131" s="139">
        <v>45017.0</v>
      </c>
      <c r="FK131" s="139">
        <v>45047.0</v>
      </c>
      <c r="FL131" s="139">
        <v>45078.0</v>
      </c>
      <c r="FM131" s="139">
        <v>45108.0</v>
      </c>
      <c r="FN131" s="139">
        <v>45139.0</v>
      </c>
      <c r="FO131" s="139">
        <v>45170.0</v>
      </c>
      <c r="FP131" s="139">
        <v>45200.0</v>
      </c>
      <c r="FQ131" s="139">
        <v>45231.0</v>
      </c>
      <c r="FR131" s="139">
        <v>45261.0</v>
      </c>
      <c r="FS131" s="139">
        <v>45292.0</v>
      </c>
      <c r="FT131" s="139">
        <v>45323.0</v>
      </c>
      <c r="FU131" s="139">
        <v>45352.0</v>
      </c>
      <c r="FV131" s="139">
        <v>45383.0</v>
      </c>
      <c r="FW131" s="139">
        <v>45413.0</v>
      </c>
      <c r="FX131" s="139">
        <v>45444.0</v>
      </c>
      <c r="FY131" s="139">
        <v>45474.0</v>
      </c>
      <c r="FZ131" s="139">
        <v>45505.0</v>
      </c>
      <c r="GA131" s="139">
        <v>45536.0</v>
      </c>
      <c r="GB131" s="139">
        <v>45566.0</v>
      </c>
      <c r="GC131" s="139">
        <v>45597.0</v>
      </c>
      <c r="GD131" s="139">
        <v>45627.0</v>
      </c>
      <c r="GE131" s="139">
        <v>45658.0</v>
      </c>
      <c r="GF131" s="139">
        <v>45689.0</v>
      </c>
      <c r="GG131" s="139">
        <v>45717.0</v>
      </c>
      <c r="GH131" s="139">
        <v>45748.0</v>
      </c>
      <c r="GI131" s="139">
        <v>45778.0</v>
      </c>
      <c r="GJ131" s="139">
        <v>45809.0</v>
      </c>
      <c r="GK131" s="139">
        <v>45839.0</v>
      </c>
    </row>
    <row r="132">
      <c r="A132" s="132" t="s">
        <v>34137</v>
      </c>
      <c r="B132" s="133" t="s">
        <v>1342</v>
      </c>
      <c r="C132" s="134">
        <v>44595.49755787037</v>
      </c>
      <c r="D132" s="135" t="str">
        <f t="shared" si="1"/>
        <v>2022/02/03</v>
      </c>
      <c r="E132" s="136" t="s">
        <v>33912</v>
      </c>
      <c r="F132" s="137">
        <v>0.0</v>
      </c>
      <c r="G132" s="138">
        <v>40179.0</v>
      </c>
      <c r="H132" s="138">
        <v>40210.0</v>
      </c>
      <c r="I132" s="138">
        <v>40238.0</v>
      </c>
      <c r="J132" s="138">
        <v>40269.0</v>
      </c>
      <c r="K132" s="138">
        <v>40299.0</v>
      </c>
      <c r="L132" s="138">
        <v>40330.0</v>
      </c>
      <c r="M132" s="138">
        <v>40360.0</v>
      </c>
      <c r="N132" s="138">
        <v>40391.0</v>
      </c>
      <c r="O132" s="138">
        <v>40422.0</v>
      </c>
      <c r="P132" s="138">
        <v>40452.0</v>
      </c>
      <c r="Q132" s="138">
        <v>40483.0</v>
      </c>
      <c r="R132" s="138">
        <v>40513.0</v>
      </c>
      <c r="S132" s="138">
        <v>40544.0</v>
      </c>
      <c r="T132" s="138">
        <v>40575.0</v>
      </c>
      <c r="U132" s="138">
        <v>40603.0</v>
      </c>
      <c r="V132" s="138">
        <v>40634.0</v>
      </c>
      <c r="W132" s="138">
        <v>40664.0</v>
      </c>
      <c r="X132" s="138">
        <v>40695.0</v>
      </c>
      <c r="Y132" s="138">
        <v>40725.0</v>
      </c>
      <c r="Z132" s="138">
        <v>40756.0</v>
      </c>
      <c r="AA132" s="138">
        <v>40787.0</v>
      </c>
      <c r="AB132" s="138">
        <v>40817.0</v>
      </c>
      <c r="AC132" s="138">
        <v>40848.0</v>
      </c>
      <c r="AD132" s="138">
        <v>40878.0</v>
      </c>
      <c r="AE132" s="138">
        <v>40909.0</v>
      </c>
      <c r="AF132" s="138">
        <v>40940.0</v>
      </c>
      <c r="AG132" s="138">
        <v>40969.0</v>
      </c>
      <c r="AH132" s="138">
        <v>41000.0</v>
      </c>
      <c r="AI132" s="138">
        <v>41030.0</v>
      </c>
      <c r="AJ132" s="138">
        <v>41061.0</v>
      </c>
      <c r="AK132" s="138">
        <v>41091.0</v>
      </c>
      <c r="AL132" s="138">
        <v>41122.0</v>
      </c>
      <c r="AM132" s="138">
        <v>41153.0</v>
      </c>
      <c r="AN132" s="138">
        <v>41183.0</v>
      </c>
      <c r="AO132" s="138">
        <v>41214.0</v>
      </c>
      <c r="AP132" s="138">
        <v>41244.0</v>
      </c>
      <c r="AQ132" s="138">
        <v>41275.0</v>
      </c>
      <c r="AR132" s="138">
        <v>41306.0</v>
      </c>
      <c r="AS132" s="138">
        <v>41334.0</v>
      </c>
      <c r="AT132" s="138">
        <v>41365.0</v>
      </c>
      <c r="AU132" s="138">
        <v>41395.0</v>
      </c>
      <c r="AV132" s="138">
        <v>41426.0</v>
      </c>
      <c r="AW132" s="138">
        <v>41456.0</v>
      </c>
      <c r="AX132" s="138">
        <v>41487.0</v>
      </c>
      <c r="AY132" s="138">
        <v>41518.0</v>
      </c>
      <c r="AZ132" s="138">
        <v>41548.0</v>
      </c>
      <c r="BA132" s="138">
        <v>41579.0</v>
      </c>
      <c r="BB132" s="138">
        <v>41609.0</v>
      </c>
      <c r="BC132" s="138">
        <v>41640.0</v>
      </c>
      <c r="BD132" s="138">
        <v>41671.0</v>
      </c>
      <c r="BE132" s="138">
        <v>41699.0</v>
      </c>
      <c r="BF132" s="138">
        <v>41730.0</v>
      </c>
      <c r="BG132" s="138">
        <v>41760.0</v>
      </c>
      <c r="BH132" s="138">
        <v>41791.0</v>
      </c>
      <c r="BI132" s="138">
        <v>41821.0</v>
      </c>
      <c r="BJ132" s="138">
        <v>41852.0</v>
      </c>
      <c r="BK132" s="138">
        <v>41883.0</v>
      </c>
      <c r="BL132" s="138">
        <v>41913.0</v>
      </c>
      <c r="BM132" s="138">
        <v>41944.0</v>
      </c>
      <c r="BN132" s="138">
        <v>41974.0</v>
      </c>
      <c r="BO132" s="138">
        <v>42005.0</v>
      </c>
      <c r="BP132" s="138">
        <v>42036.0</v>
      </c>
      <c r="BQ132" s="138">
        <v>42064.0</v>
      </c>
      <c r="BR132" s="138">
        <v>42095.0</v>
      </c>
      <c r="BS132" s="138">
        <v>42125.0</v>
      </c>
      <c r="BT132" s="138">
        <v>42156.0</v>
      </c>
      <c r="BU132" s="138">
        <v>42186.0</v>
      </c>
      <c r="BV132" s="138">
        <v>42217.0</v>
      </c>
      <c r="BW132" s="138">
        <v>42248.0</v>
      </c>
      <c r="BX132" s="138">
        <v>42278.0</v>
      </c>
      <c r="BY132" s="138">
        <v>42309.0</v>
      </c>
      <c r="BZ132" s="138">
        <v>42339.0</v>
      </c>
      <c r="CA132" s="138">
        <v>42370.0</v>
      </c>
      <c r="CB132" s="138">
        <v>42401.0</v>
      </c>
      <c r="CC132" s="138">
        <v>42430.0</v>
      </c>
      <c r="CD132" s="138">
        <v>42461.0</v>
      </c>
      <c r="CE132" s="138">
        <v>42491.0</v>
      </c>
      <c r="CF132" s="138">
        <v>42522.0</v>
      </c>
      <c r="CG132" s="138">
        <v>42552.0</v>
      </c>
      <c r="CH132" s="138">
        <v>42583.0</v>
      </c>
      <c r="CI132" s="138">
        <v>42614.0</v>
      </c>
      <c r="CJ132" s="138">
        <v>42644.0</v>
      </c>
      <c r="CK132" s="138">
        <v>42675.0</v>
      </c>
      <c r="CL132" s="138">
        <v>42705.0</v>
      </c>
      <c r="CM132" s="138">
        <v>42736.0</v>
      </c>
      <c r="CN132" s="138">
        <v>42767.0</v>
      </c>
      <c r="CO132" s="138">
        <v>42795.0</v>
      </c>
      <c r="CP132" s="138">
        <v>42826.0</v>
      </c>
      <c r="CQ132" s="138">
        <v>42856.0</v>
      </c>
      <c r="CR132" s="138">
        <v>42887.0</v>
      </c>
      <c r="CS132" s="138">
        <v>42917.0</v>
      </c>
      <c r="CT132" s="138">
        <v>42948.0</v>
      </c>
      <c r="CU132" s="138">
        <v>42979.0</v>
      </c>
      <c r="CV132" s="138">
        <v>43009.0</v>
      </c>
      <c r="CW132" s="138">
        <v>43040.0</v>
      </c>
      <c r="CX132" s="138">
        <v>43070.0</v>
      </c>
      <c r="CY132" s="138">
        <v>43101.0</v>
      </c>
      <c r="CZ132" s="138">
        <v>43132.0</v>
      </c>
      <c r="DA132" s="138">
        <v>43160.0</v>
      </c>
      <c r="DB132" s="138">
        <v>43191.0</v>
      </c>
      <c r="DC132" s="138">
        <v>43221.0</v>
      </c>
      <c r="DD132" s="138">
        <v>43252.0</v>
      </c>
      <c r="DE132" s="138">
        <v>43282.0</v>
      </c>
      <c r="DF132" s="138">
        <v>43313.0</v>
      </c>
      <c r="DG132" s="138">
        <v>43344.0</v>
      </c>
      <c r="DH132" s="138">
        <v>43374.0</v>
      </c>
      <c r="DI132" s="138">
        <v>43405.0</v>
      </c>
      <c r="DJ132" s="138">
        <v>43435.0</v>
      </c>
      <c r="DK132" s="138">
        <v>43466.0</v>
      </c>
      <c r="DL132" s="138">
        <v>43497.0</v>
      </c>
      <c r="DM132" s="138">
        <v>43525.0</v>
      </c>
      <c r="DN132" s="138">
        <v>43556.0</v>
      </c>
      <c r="DO132" s="138">
        <v>43586.0</v>
      </c>
      <c r="DP132" s="138">
        <v>43617.0</v>
      </c>
      <c r="DQ132" s="138">
        <v>43647.0</v>
      </c>
      <c r="DR132" s="138">
        <v>43678.0</v>
      </c>
      <c r="DS132" s="138">
        <v>43709.0</v>
      </c>
      <c r="DT132" s="138">
        <v>43739.0</v>
      </c>
      <c r="DU132" s="138">
        <v>43770.0</v>
      </c>
      <c r="DV132" s="138">
        <v>43800.0</v>
      </c>
      <c r="DW132" s="138">
        <v>43831.0</v>
      </c>
      <c r="DX132" s="138">
        <v>43862.0</v>
      </c>
      <c r="DY132" s="138">
        <v>43891.0</v>
      </c>
      <c r="DZ132" s="138">
        <v>43922.0</v>
      </c>
      <c r="EA132" s="138">
        <v>43952.0</v>
      </c>
      <c r="EB132" s="138">
        <v>43983.0</v>
      </c>
      <c r="EC132" s="138">
        <v>44013.0</v>
      </c>
      <c r="ED132" s="138">
        <v>44044.0</v>
      </c>
      <c r="EE132" s="138">
        <v>44075.0</v>
      </c>
      <c r="EF132" s="138">
        <v>44105.0</v>
      </c>
      <c r="EG132" s="138">
        <v>44136.0</v>
      </c>
      <c r="EH132" s="138">
        <v>44166.0</v>
      </c>
      <c r="EI132" s="138">
        <v>44197.0</v>
      </c>
      <c r="EJ132" s="138">
        <v>44228.0</v>
      </c>
      <c r="EK132" s="138">
        <v>44256.0</v>
      </c>
      <c r="EL132" s="138">
        <v>44287.0</v>
      </c>
      <c r="EM132" s="138">
        <v>44317.0</v>
      </c>
      <c r="EN132" s="138">
        <v>44348.0</v>
      </c>
      <c r="EO132" s="138">
        <v>44378.0</v>
      </c>
      <c r="EP132" s="138">
        <v>44409.0</v>
      </c>
      <c r="EQ132" s="138">
        <v>44440.0</v>
      </c>
      <c r="ER132" s="138">
        <v>44470.0</v>
      </c>
      <c r="ES132" s="138">
        <v>44501.0</v>
      </c>
      <c r="ET132" s="138">
        <v>44531.0</v>
      </c>
      <c r="EU132" s="138">
        <v>44562.0</v>
      </c>
      <c r="EV132" s="138">
        <v>44593.0</v>
      </c>
      <c r="EW132" s="139">
        <v>44621.0</v>
      </c>
      <c r="EX132" s="139">
        <v>44652.0</v>
      </c>
      <c r="EY132" s="139">
        <v>44682.0</v>
      </c>
      <c r="EZ132" s="139">
        <v>44713.0</v>
      </c>
      <c r="FA132" s="139">
        <v>44743.0</v>
      </c>
      <c r="FB132" s="139">
        <v>44774.0</v>
      </c>
      <c r="FC132" s="139">
        <v>44805.0</v>
      </c>
      <c r="FD132" s="139">
        <v>44835.0</v>
      </c>
      <c r="FE132" s="139">
        <v>44866.0</v>
      </c>
      <c r="FF132" s="139">
        <v>44896.0</v>
      </c>
      <c r="FG132" s="139">
        <v>44927.0</v>
      </c>
      <c r="FH132" s="139">
        <v>44958.0</v>
      </c>
      <c r="FI132" s="139">
        <v>44986.0</v>
      </c>
      <c r="FJ132" s="139">
        <v>45017.0</v>
      </c>
      <c r="FK132" s="139">
        <v>45047.0</v>
      </c>
      <c r="FL132" s="139">
        <v>45078.0</v>
      </c>
      <c r="FM132" s="139">
        <v>45108.0</v>
      </c>
      <c r="FN132" s="139">
        <v>45139.0</v>
      </c>
      <c r="FO132" s="139">
        <v>45170.0</v>
      </c>
      <c r="FP132" s="139">
        <v>45200.0</v>
      </c>
      <c r="FQ132" s="139">
        <v>45231.0</v>
      </c>
      <c r="FR132" s="139">
        <v>45261.0</v>
      </c>
      <c r="FS132" s="139">
        <v>45292.0</v>
      </c>
      <c r="FT132" s="139">
        <v>45323.0</v>
      </c>
      <c r="FU132" s="139">
        <v>45352.0</v>
      </c>
      <c r="FV132" s="139">
        <v>45383.0</v>
      </c>
      <c r="FW132" s="139">
        <v>45413.0</v>
      </c>
      <c r="FX132" s="139">
        <v>45444.0</v>
      </c>
      <c r="FY132" s="139">
        <v>45474.0</v>
      </c>
      <c r="FZ132" s="139">
        <v>45505.0</v>
      </c>
      <c r="GA132" s="139">
        <v>45536.0</v>
      </c>
      <c r="GB132" s="139">
        <v>45566.0</v>
      </c>
      <c r="GC132" s="139">
        <v>45597.0</v>
      </c>
      <c r="GD132" s="139">
        <v>45627.0</v>
      </c>
      <c r="GE132" s="139">
        <v>45658.0</v>
      </c>
      <c r="GF132" s="139">
        <v>45689.0</v>
      </c>
      <c r="GG132" s="139">
        <v>45717.0</v>
      </c>
      <c r="GH132" s="139">
        <v>45748.0</v>
      </c>
      <c r="GI132" s="139">
        <v>45778.0</v>
      </c>
      <c r="GJ132" s="139">
        <v>45809.0</v>
      </c>
      <c r="GK132" s="139">
        <v>45839.0</v>
      </c>
    </row>
    <row r="133">
      <c r="A133" s="132" t="s">
        <v>34138</v>
      </c>
      <c r="B133" s="133" t="s">
        <v>1170</v>
      </c>
      <c r="C133" s="134">
        <v>44635.63128472222</v>
      </c>
      <c r="D133" s="135" t="str">
        <f t="shared" si="1"/>
        <v>2022/03/15</v>
      </c>
      <c r="E133" s="136" t="s">
        <v>33977</v>
      </c>
      <c r="F133" s="137">
        <v>0.0</v>
      </c>
      <c r="G133" s="138">
        <v>40179.0</v>
      </c>
      <c r="H133" s="138">
        <v>40210.0</v>
      </c>
      <c r="I133" s="138">
        <v>40238.0</v>
      </c>
      <c r="J133" s="138">
        <v>40269.0</v>
      </c>
      <c r="K133" s="138">
        <v>40299.0</v>
      </c>
      <c r="L133" s="138">
        <v>40330.0</v>
      </c>
      <c r="M133" s="138">
        <v>40360.0</v>
      </c>
      <c r="N133" s="138">
        <v>40391.0</v>
      </c>
      <c r="O133" s="138">
        <v>40422.0</v>
      </c>
      <c r="P133" s="138">
        <v>40452.0</v>
      </c>
      <c r="Q133" s="138">
        <v>40483.0</v>
      </c>
      <c r="R133" s="138">
        <v>40513.0</v>
      </c>
      <c r="S133" s="138">
        <v>40544.0</v>
      </c>
      <c r="T133" s="138">
        <v>40575.0</v>
      </c>
      <c r="U133" s="138">
        <v>40603.0</v>
      </c>
      <c r="V133" s="138">
        <v>40634.0</v>
      </c>
      <c r="W133" s="138">
        <v>40664.0</v>
      </c>
      <c r="X133" s="138">
        <v>40695.0</v>
      </c>
      <c r="Y133" s="138">
        <v>40725.0</v>
      </c>
      <c r="Z133" s="138">
        <v>40756.0</v>
      </c>
      <c r="AA133" s="138">
        <v>40787.0</v>
      </c>
      <c r="AB133" s="138">
        <v>40817.0</v>
      </c>
      <c r="AC133" s="138">
        <v>40848.0</v>
      </c>
      <c r="AD133" s="138">
        <v>40878.0</v>
      </c>
      <c r="AE133" s="138">
        <v>40909.0</v>
      </c>
      <c r="AF133" s="138">
        <v>40940.0</v>
      </c>
      <c r="AG133" s="138">
        <v>40969.0</v>
      </c>
      <c r="AH133" s="138">
        <v>41000.0</v>
      </c>
      <c r="AI133" s="138">
        <v>41030.0</v>
      </c>
      <c r="AJ133" s="138">
        <v>41061.0</v>
      </c>
      <c r="AK133" s="138">
        <v>41091.0</v>
      </c>
      <c r="AL133" s="138">
        <v>41122.0</v>
      </c>
      <c r="AM133" s="138">
        <v>41153.0</v>
      </c>
      <c r="AN133" s="138">
        <v>41183.0</v>
      </c>
      <c r="AO133" s="138">
        <v>41214.0</v>
      </c>
      <c r="AP133" s="138">
        <v>41244.0</v>
      </c>
      <c r="AQ133" s="138">
        <v>41275.0</v>
      </c>
      <c r="AR133" s="138">
        <v>41306.0</v>
      </c>
      <c r="AS133" s="138">
        <v>41334.0</v>
      </c>
      <c r="AT133" s="138">
        <v>41365.0</v>
      </c>
      <c r="AU133" s="138">
        <v>41395.0</v>
      </c>
      <c r="AV133" s="138">
        <v>41426.0</v>
      </c>
      <c r="AW133" s="138">
        <v>41456.0</v>
      </c>
      <c r="AX133" s="138">
        <v>41487.0</v>
      </c>
      <c r="AY133" s="138">
        <v>41518.0</v>
      </c>
      <c r="AZ133" s="138">
        <v>41548.0</v>
      </c>
      <c r="BA133" s="138">
        <v>41579.0</v>
      </c>
      <c r="BB133" s="138">
        <v>41609.0</v>
      </c>
      <c r="BC133" s="138">
        <v>41640.0</v>
      </c>
      <c r="BD133" s="138">
        <v>41671.0</v>
      </c>
      <c r="BE133" s="138">
        <v>41699.0</v>
      </c>
      <c r="BF133" s="138">
        <v>41730.0</v>
      </c>
      <c r="BG133" s="138">
        <v>41760.0</v>
      </c>
      <c r="BH133" s="138">
        <v>41791.0</v>
      </c>
      <c r="BI133" s="138">
        <v>41821.0</v>
      </c>
      <c r="BJ133" s="138">
        <v>41852.0</v>
      </c>
      <c r="BK133" s="138">
        <v>41883.0</v>
      </c>
      <c r="BL133" s="138">
        <v>41913.0</v>
      </c>
      <c r="BM133" s="138">
        <v>41944.0</v>
      </c>
      <c r="BN133" s="138">
        <v>41974.0</v>
      </c>
      <c r="BO133" s="138">
        <v>42005.0</v>
      </c>
      <c r="BP133" s="138">
        <v>42036.0</v>
      </c>
      <c r="BQ133" s="138">
        <v>42064.0</v>
      </c>
      <c r="BR133" s="138">
        <v>42095.0</v>
      </c>
      <c r="BS133" s="138">
        <v>42125.0</v>
      </c>
      <c r="BT133" s="138">
        <v>42156.0</v>
      </c>
      <c r="BU133" s="138">
        <v>42186.0</v>
      </c>
      <c r="BV133" s="138">
        <v>42217.0</v>
      </c>
      <c r="BW133" s="138">
        <v>42248.0</v>
      </c>
      <c r="BX133" s="138">
        <v>42278.0</v>
      </c>
      <c r="BY133" s="138">
        <v>42309.0</v>
      </c>
      <c r="BZ133" s="138">
        <v>42339.0</v>
      </c>
      <c r="CA133" s="138">
        <v>42370.0</v>
      </c>
      <c r="CB133" s="138">
        <v>42401.0</v>
      </c>
      <c r="CC133" s="138">
        <v>42430.0</v>
      </c>
      <c r="CD133" s="138">
        <v>42461.0</v>
      </c>
      <c r="CE133" s="138">
        <v>42491.0</v>
      </c>
      <c r="CF133" s="138">
        <v>42522.0</v>
      </c>
      <c r="CG133" s="138">
        <v>42552.0</v>
      </c>
      <c r="CH133" s="138">
        <v>42583.0</v>
      </c>
      <c r="CI133" s="138">
        <v>42614.0</v>
      </c>
      <c r="CJ133" s="138">
        <v>42644.0</v>
      </c>
      <c r="CK133" s="138">
        <v>42675.0</v>
      </c>
      <c r="CL133" s="138">
        <v>42705.0</v>
      </c>
      <c r="CM133" s="138">
        <v>42736.0</v>
      </c>
      <c r="CN133" s="138">
        <v>42767.0</v>
      </c>
      <c r="CO133" s="138">
        <v>42795.0</v>
      </c>
      <c r="CP133" s="138">
        <v>42826.0</v>
      </c>
      <c r="CQ133" s="138">
        <v>42856.0</v>
      </c>
      <c r="CR133" s="138">
        <v>42887.0</v>
      </c>
      <c r="CS133" s="138">
        <v>42917.0</v>
      </c>
      <c r="CT133" s="138">
        <v>42948.0</v>
      </c>
      <c r="CU133" s="138">
        <v>42979.0</v>
      </c>
      <c r="CV133" s="138">
        <v>43009.0</v>
      </c>
      <c r="CW133" s="138">
        <v>43040.0</v>
      </c>
      <c r="CX133" s="138">
        <v>43070.0</v>
      </c>
      <c r="CY133" s="138">
        <v>43101.0</v>
      </c>
      <c r="CZ133" s="138">
        <v>43132.0</v>
      </c>
      <c r="DA133" s="138">
        <v>43160.0</v>
      </c>
      <c r="DB133" s="138">
        <v>43191.0</v>
      </c>
      <c r="DC133" s="138">
        <v>43221.0</v>
      </c>
      <c r="DD133" s="138">
        <v>43252.0</v>
      </c>
      <c r="DE133" s="138">
        <v>43282.0</v>
      </c>
      <c r="DF133" s="138">
        <v>43313.0</v>
      </c>
      <c r="DG133" s="138">
        <v>43344.0</v>
      </c>
      <c r="DH133" s="138">
        <v>43374.0</v>
      </c>
      <c r="DI133" s="138">
        <v>43405.0</v>
      </c>
      <c r="DJ133" s="138">
        <v>43435.0</v>
      </c>
      <c r="DK133" s="138">
        <v>43466.0</v>
      </c>
      <c r="DL133" s="138">
        <v>43497.0</v>
      </c>
      <c r="DM133" s="138">
        <v>43525.0</v>
      </c>
      <c r="DN133" s="138">
        <v>43556.0</v>
      </c>
      <c r="DO133" s="138">
        <v>43586.0</v>
      </c>
      <c r="DP133" s="138">
        <v>43617.0</v>
      </c>
      <c r="DQ133" s="138">
        <v>43647.0</v>
      </c>
      <c r="DR133" s="138">
        <v>43678.0</v>
      </c>
      <c r="DS133" s="138">
        <v>43709.0</v>
      </c>
      <c r="DT133" s="138">
        <v>43739.0</v>
      </c>
      <c r="DU133" s="138">
        <v>43770.0</v>
      </c>
      <c r="DV133" s="138">
        <v>43800.0</v>
      </c>
      <c r="DW133" s="138">
        <v>43831.0</v>
      </c>
      <c r="DX133" s="138">
        <v>43862.0</v>
      </c>
      <c r="DY133" s="138">
        <v>43891.0</v>
      </c>
      <c r="DZ133" s="138">
        <v>43922.0</v>
      </c>
      <c r="EA133" s="138">
        <v>43952.0</v>
      </c>
      <c r="EB133" s="138">
        <v>43983.0</v>
      </c>
      <c r="EC133" s="138">
        <v>44013.0</v>
      </c>
      <c r="ED133" s="138">
        <v>44044.0</v>
      </c>
      <c r="EE133" s="138">
        <v>44075.0</v>
      </c>
      <c r="EF133" s="138">
        <v>44105.0</v>
      </c>
      <c r="EG133" s="138">
        <v>44136.0</v>
      </c>
      <c r="EH133" s="138">
        <v>44166.0</v>
      </c>
      <c r="EI133" s="138">
        <v>44197.0</v>
      </c>
      <c r="EJ133" s="138">
        <v>44228.0</v>
      </c>
      <c r="EK133" s="138">
        <v>44256.0</v>
      </c>
      <c r="EL133" s="138">
        <v>44287.0</v>
      </c>
      <c r="EM133" s="138">
        <v>44317.0</v>
      </c>
      <c r="EN133" s="138">
        <v>44348.0</v>
      </c>
      <c r="EO133" s="138">
        <v>44378.0</v>
      </c>
      <c r="EP133" s="138">
        <v>44409.0</v>
      </c>
      <c r="EQ133" s="138">
        <v>44440.0</v>
      </c>
      <c r="ER133" s="138">
        <v>44470.0</v>
      </c>
      <c r="ES133" s="138">
        <v>44501.0</v>
      </c>
      <c r="ET133" s="138">
        <v>44531.0</v>
      </c>
      <c r="EU133" s="138">
        <v>44562.0</v>
      </c>
      <c r="EV133" s="138">
        <v>44593.0</v>
      </c>
      <c r="EW133" s="138">
        <v>44621.0</v>
      </c>
      <c r="EX133" s="139">
        <v>44652.0</v>
      </c>
      <c r="EY133" s="139">
        <v>44682.0</v>
      </c>
      <c r="EZ133" s="139">
        <v>44713.0</v>
      </c>
      <c r="FA133" s="139">
        <v>44743.0</v>
      </c>
      <c r="FB133" s="139">
        <v>44774.0</v>
      </c>
      <c r="FC133" s="139">
        <v>44805.0</v>
      </c>
      <c r="FD133" s="139">
        <v>44835.0</v>
      </c>
      <c r="FE133" s="139">
        <v>44866.0</v>
      </c>
      <c r="FF133" s="139">
        <v>44896.0</v>
      </c>
      <c r="FG133" s="139">
        <v>44927.0</v>
      </c>
      <c r="FH133" s="139">
        <v>44958.0</v>
      </c>
      <c r="FI133" s="139">
        <v>44986.0</v>
      </c>
      <c r="FJ133" s="139">
        <v>45017.0</v>
      </c>
      <c r="FK133" s="139">
        <v>45047.0</v>
      </c>
      <c r="FL133" s="139">
        <v>45078.0</v>
      </c>
      <c r="FM133" s="139">
        <v>45108.0</v>
      </c>
      <c r="FN133" s="139">
        <v>45139.0</v>
      </c>
      <c r="FO133" s="139">
        <v>45170.0</v>
      </c>
      <c r="FP133" s="139">
        <v>45200.0</v>
      </c>
      <c r="FQ133" s="139">
        <v>45231.0</v>
      </c>
      <c r="FR133" s="139">
        <v>45261.0</v>
      </c>
      <c r="FS133" s="139">
        <v>45292.0</v>
      </c>
      <c r="FT133" s="139">
        <v>45323.0</v>
      </c>
      <c r="FU133" s="139">
        <v>45352.0</v>
      </c>
      <c r="FV133" s="139">
        <v>45383.0</v>
      </c>
      <c r="FW133" s="139">
        <v>45413.0</v>
      </c>
      <c r="FX133" s="139">
        <v>45444.0</v>
      </c>
      <c r="FY133" s="139">
        <v>45474.0</v>
      </c>
      <c r="FZ133" s="139">
        <v>45505.0</v>
      </c>
      <c r="GA133" s="139">
        <v>45536.0</v>
      </c>
      <c r="GB133" s="139">
        <v>45566.0</v>
      </c>
      <c r="GC133" s="139">
        <v>45597.0</v>
      </c>
      <c r="GD133" s="139">
        <v>45627.0</v>
      </c>
      <c r="GE133" s="139">
        <v>45658.0</v>
      </c>
      <c r="GF133" s="139">
        <v>45689.0</v>
      </c>
      <c r="GG133" s="139">
        <v>45717.0</v>
      </c>
      <c r="GH133" s="139">
        <v>45748.0</v>
      </c>
      <c r="GI133" s="139">
        <v>45778.0</v>
      </c>
      <c r="GJ133" s="139">
        <v>45809.0</v>
      </c>
      <c r="GK133" s="139">
        <v>45839.0</v>
      </c>
    </row>
    <row r="134">
      <c r="A134" s="132" t="s">
        <v>34139</v>
      </c>
      <c r="B134" s="133" t="s">
        <v>1187</v>
      </c>
      <c r="C134" s="134">
        <v>44657.72561342592</v>
      </c>
      <c r="D134" s="135" t="str">
        <f t="shared" si="1"/>
        <v>2022/04/06</v>
      </c>
      <c r="E134" s="136" t="s">
        <v>34140</v>
      </c>
      <c r="F134" s="137">
        <v>3.0E-5</v>
      </c>
      <c r="G134" s="138">
        <v>40179.0</v>
      </c>
      <c r="H134" s="138">
        <v>40210.0</v>
      </c>
      <c r="I134" s="138">
        <v>40238.0</v>
      </c>
      <c r="J134" s="138">
        <v>40269.0</v>
      </c>
      <c r="K134" s="138">
        <v>40299.0</v>
      </c>
      <c r="L134" s="138">
        <v>40330.0</v>
      </c>
      <c r="M134" s="138">
        <v>40360.0</v>
      </c>
      <c r="N134" s="138">
        <v>40391.0</v>
      </c>
      <c r="O134" s="138">
        <v>40422.0</v>
      </c>
      <c r="P134" s="138">
        <v>40452.0</v>
      </c>
      <c r="Q134" s="138">
        <v>40483.0</v>
      </c>
      <c r="R134" s="138">
        <v>40513.0</v>
      </c>
      <c r="S134" s="138">
        <v>40544.0</v>
      </c>
      <c r="T134" s="138">
        <v>40575.0</v>
      </c>
      <c r="U134" s="138">
        <v>40603.0</v>
      </c>
      <c r="V134" s="138">
        <v>40634.0</v>
      </c>
      <c r="W134" s="138">
        <v>40664.0</v>
      </c>
      <c r="X134" s="138">
        <v>40695.0</v>
      </c>
      <c r="Y134" s="138">
        <v>40725.0</v>
      </c>
      <c r="Z134" s="138">
        <v>40756.0</v>
      </c>
      <c r="AA134" s="138">
        <v>40787.0</v>
      </c>
      <c r="AB134" s="138">
        <v>40817.0</v>
      </c>
      <c r="AC134" s="138">
        <v>40848.0</v>
      </c>
      <c r="AD134" s="138">
        <v>40878.0</v>
      </c>
      <c r="AE134" s="138">
        <v>40909.0</v>
      </c>
      <c r="AF134" s="138">
        <v>40940.0</v>
      </c>
      <c r="AG134" s="138">
        <v>40969.0</v>
      </c>
      <c r="AH134" s="138">
        <v>41000.0</v>
      </c>
      <c r="AI134" s="138">
        <v>41030.0</v>
      </c>
      <c r="AJ134" s="138">
        <v>41061.0</v>
      </c>
      <c r="AK134" s="138">
        <v>41091.0</v>
      </c>
      <c r="AL134" s="138">
        <v>41122.0</v>
      </c>
      <c r="AM134" s="138">
        <v>41153.0</v>
      </c>
      <c r="AN134" s="138">
        <v>41183.0</v>
      </c>
      <c r="AO134" s="138">
        <v>41214.0</v>
      </c>
      <c r="AP134" s="138">
        <v>41244.0</v>
      </c>
      <c r="AQ134" s="138">
        <v>41275.0</v>
      </c>
      <c r="AR134" s="138">
        <v>41306.0</v>
      </c>
      <c r="AS134" s="138">
        <v>41334.0</v>
      </c>
      <c r="AT134" s="138">
        <v>41365.0</v>
      </c>
      <c r="AU134" s="138">
        <v>41395.0</v>
      </c>
      <c r="AV134" s="138">
        <v>41426.0</v>
      </c>
      <c r="AW134" s="138">
        <v>41456.0</v>
      </c>
      <c r="AX134" s="138">
        <v>41487.0</v>
      </c>
      <c r="AY134" s="138">
        <v>41518.0</v>
      </c>
      <c r="AZ134" s="138">
        <v>41548.0</v>
      </c>
      <c r="BA134" s="138">
        <v>41579.0</v>
      </c>
      <c r="BB134" s="138">
        <v>41609.0</v>
      </c>
      <c r="BC134" s="138">
        <v>41640.0</v>
      </c>
      <c r="BD134" s="138">
        <v>41671.0</v>
      </c>
      <c r="BE134" s="138">
        <v>41699.0</v>
      </c>
      <c r="BF134" s="138">
        <v>41730.0</v>
      </c>
      <c r="BG134" s="138">
        <v>41760.0</v>
      </c>
      <c r="BH134" s="138">
        <v>41791.0</v>
      </c>
      <c r="BI134" s="138">
        <v>41821.0</v>
      </c>
      <c r="BJ134" s="138">
        <v>41852.0</v>
      </c>
      <c r="BK134" s="138">
        <v>41883.0</v>
      </c>
      <c r="BL134" s="138">
        <v>41913.0</v>
      </c>
      <c r="BM134" s="138">
        <v>41944.0</v>
      </c>
      <c r="BN134" s="138">
        <v>41974.0</v>
      </c>
      <c r="BO134" s="138">
        <v>42005.0</v>
      </c>
      <c r="BP134" s="138">
        <v>42036.0</v>
      </c>
      <c r="BQ134" s="138">
        <v>42064.0</v>
      </c>
      <c r="BR134" s="138">
        <v>42095.0</v>
      </c>
      <c r="BS134" s="138">
        <v>42125.0</v>
      </c>
      <c r="BT134" s="138">
        <v>42156.0</v>
      </c>
      <c r="BU134" s="138">
        <v>42186.0</v>
      </c>
      <c r="BV134" s="138">
        <v>42217.0</v>
      </c>
      <c r="BW134" s="138">
        <v>42248.0</v>
      </c>
      <c r="BX134" s="138">
        <v>42278.0</v>
      </c>
      <c r="BY134" s="138">
        <v>42309.0</v>
      </c>
      <c r="BZ134" s="138">
        <v>42339.0</v>
      </c>
      <c r="CA134" s="138">
        <v>42370.0</v>
      </c>
      <c r="CB134" s="138">
        <v>42401.0</v>
      </c>
      <c r="CC134" s="138">
        <v>42430.0</v>
      </c>
      <c r="CD134" s="138">
        <v>42461.0</v>
      </c>
      <c r="CE134" s="138">
        <v>42491.0</v>
      </c>
      <c r="CF134" s="138">
        <v>42522.0</v>
      </c>
      <c r="CG134" s="138">
        <v>42552.0</v>
      </c>
      <c r="CH134" s="138">
        <v>42583.0</v>
      </c>
      <c r="CI134" s="138">
        <v>42614.0</v>
      </c>
      <c r="CJ134" s="138">
        <v>42644.0</v>
      </c>
      <c r="CK134" s="138">
        <v>42675.0</v>
      </c>
      <c r="CL134" s="138">
        <v>42705.0</v>
      </c>
      <c r="CM134" s="138">
        <v>42736.0</v>
      </c>
      <c r="CN134" s="138">
        <v>42767.0</v>
      </c>
      <c r="CO134" s="138">
        <v>42795.0</v>
      </c>
      <c r="CP134" s="138">
        <v>42826.0</v>
      </c>
      <c r="CQ134" s="138">
        <v>42856.0</v>
      </c>
      <c r="CR134" s="138">
        <v>42887.0</v>
      </c>
      <c r="CS134" s="138">
        <v>42917.0</v>
      </c>
      <c r="CT134" s="138">
        <v>42948.0</v>
      </c>
      <c r="CU134" s="138">
        <v>42979.0</v>
      </c>
      <c r="CV134" s="138">
        <v>43009.0</v>
      </c>
      <c r="CW134" s="138">
        <v>43040.0</v>
      </c>
      <c r="CX134" s="138">
        <v>43070.0</v>
      </c>
      <c r="CY134" s="138">
        <v>43101.0</v>
      </c>
      <c r="CZ134" s="138">
        <v>43132.0</v>
      </c>
      <c r="DA134" s="138">
        <v>43160.0</v>
      </c>
      <c r="DB134" s="138">
        <v>43191.0</v>
      </c>
      <c r="DC134" s="138">
        <v>43221.0</v>
      </c>
      <c r="DD134" s="138">
        <v>43252.0</v>
      </c>
      <c r="DE134" s="138">
        <v>43282.0</v>
      </c>
      <c r="DF134" s="138">
        <v>43313.0</v>
      </c>
      <c r="DG134" s="138">
        <v>43344.0</v>
      </c>
      <c r="DH134" s="138">
        <v>43374.0</v>
      </c>
      <c r="DI134" s="138">
        <v>43405.0</v>
      </c>
      <c r="DJ134" s="138">
        <v>43435.0</v>
      </c>
      <c r="DK134" s="138">
        <v>43466.0</v>
      </c>
      <c r="DL134" s="138">
        <v>43497.0</v>
      </c>
      <c r="DM134" s="138">
        <v>43525.0</v>
      </c>
      <c r="DN134" s="138">
        <v>43556.0</v>
      </c>
      <c r="DO134" s="138">
        <v>43586.0</v>
      </c>
      <c r="DP134" s="138">
        <v>43617.0</v>
      </c>
      <c r="DQ134" s="138">
        <v>43647.0</v>
      </c>
      <c r="DR134" s="138">
        <v>43678.0</v>
      </c>
      <c r="DS134" s="138">
        <v>43709.0</v>
      </c>
      <c r="DT134" s="138">
        <v>43739.0</v>
      </c>
      <c r="DU134" s="138">
        <v>43770.0</v>
      </c>
      <c r="DV134" s="138">
        <v>43800.0</v>
      </c>
      <c r="DW134" s="138">
        <v>43831.0</v>
      </c>
      <c r="DX134" s="138">
        <v>43862.0</v>
      </c>
      <c r="DY134" s="138">
        <v>43891.0</v>
      </c>
      <c r="DZ134" s="138">
        <v>43922.0</v>
      </c>
      <c r="EA134" s="138">
        <v>43952.0</v>
      </c>
      <c r="EB134" s="138">
        <v>43983.0</v>
      </c>
      <c r="EC134" s="138">
        <v>44013.0</v>
      </c>
      <c r="ED134" s="138">
        <v>44044.0</v>
      </c>
      <c r="EE134" s="138">
        <v>44075.0</v>
      </c>
      <c r="EF134" s="138">
        <v>44105.0</v>
      </c>
      <c r="EG134" s="138">
        <v>44136.0</v>
      </c>
      <c r="EH134" s="138">
        <v>44166.0</v>
      </c>
      <c r="EI134" s="138">
        <v>44197.0</v>
      </c>
      <c r="EJ134" s="138">
        <v>44228.0</v>
      </c>
      <c r="EK134" s="138">
        <v>44256.0</v>
      </c>
      <c r="EL134" s="138">
        <v>44287.0</v>
      </c>
      <c r="EM134" s="138">
        <v>44317.0</v>
      </c>
      <c r="EN134" s="138">
        <v>44348.0</v>
      </c>
      <c r="EO134" s="138">
        <v>44378.0</v>
      </c>
      <c r="EP134" s="138">
        <v>44409.0</v>
      </c>
      <c r="EQ134" s="138">
        <v>44440.0</v>
      </c>
      <c r="ER134" s="138">
        <v>44470.0</v>
      </c>
      <c r="ES134" s="138">
        <v>44501.0</v>
      </c>
      <c r="ET134" s="138">
        <v>44531.0</v>
      </c>
      <c r="EU134" s="138">
        <v>44562.0</v>
      </c>
      <c r="EV134" s="138">
        <v>44593.0</v>
      </c>
      <c r="EW134" s="138">
        <v>44621.0</v>
      </c>
      <c r="EX134" s="138">
        <v>44652.0</v>
      </c>
      <c r="EY134" s="139">
        <v>44682.0</v>
      </c>
      <c r="EZ134" s="139">
        <v>44713.0</v>
      </c>
      <c r="FA134" s="139">
        <v>44743.0</v>
      </c>
      <c r="FB134" s="139">
        <v>44774.0</v>
      </c>
      <c r="FC134" s="139">
        <v>44805.0</v>
      </c>
      <c r="FD134" s="139">
        <v>44835.0</v>
      </c>
      <c r="FE134" s="139">
        <v>44866.0</v>
      </c>
      <c r="FF134" s="139">
        <v>44896.0</v>
      </c>
      <c r="FG134" s="139">
        <v>44927.0</v>
      </c>
      <c r="FH134" s="139">
        <v>44958.0</v>
      </c>
      <c r="FI134" s="139">
        <v>44986.0</v>
      </c>
      <c r="FJ134" s="139">
        <v>45017.0</v>
      </c>
      <c r="FK134" s="139">
        <v>45047.0</v>
      </c>
      <c r="FL134" s="139">
        <v>45078.0</v>
      </c>
      <c r="FM134" s="139">
        <v>45108.0</v>
      </c>
      <c r="FN134" s="139">
        <v>45139.0</v>
      </c>
      <c r="FO134" s="139">
        <v>45170.0</v>
      </c>
      <c r="FP134" s="139">
        <v>45200.0</v>
      </c>
      <c r="FQ134" s="139">
        <v>45231.0</v>
      </c>
      <c r="FR134" s="139">
        <v>45261.0</v>
      </c>
      <c r="FS134" s="139">
        <v>45292.0</v>
      </c>
      <c r="FT134" s="139">
        <v>45323.0</v>
      </c>
      <c r="FU134" s="139">
        <v>45352.0</v>
      </c>
      <c r="FV134" s="139">
        <v>45383.0</v>
      </c>
      <c r="FW134" s="139">
        <v>45413.0</v>
      </c>
      <c r="FX134" s="139">
        <v>45444.0</v>
      </c>
      <c r="FY134" s="139">
        <v>45474.0</v>
      </c>
      <c r="FZ134" s="139">
        <v>45505.0</v>
      </c>
      <c r="GA134" s="139">
        <v>45536.0</v>
      </c>
      <c r="GB134" s="139">
        <v>45566.0</v>
      </c>
      <c r="GC134" s="139">
        <v>45597.0</v>
      </c>
      <c r="GD134" s="139">
        <v>45627.0</v>
      </c>
      <c r="GE134" s="139">
        <v>45658.0</v>
      </c>
      <c r="GF134" s="139">
        <v>45689.0</v>
      </c>
      <c r="GG134" s="139">
        <v>45717.0</v>
      </c>
      <c r="GH134" s="139">
        <v>45748.0</v>
      </c>
      <c r="GI134" s="139">
        <v>45778.0</v>
      </c>
      <c r="GJ134" s="139">
        <v>45809.0</v>
      </c>
      <c r="GK134" s="139">
        <v>45839.0</v>
      </c>
    </row>
    <row r="135">
      <c r="A135" s="132" t="s">
        <v>34141</v>
      </c>
      <c r="B135" s="133" t="s">
        <v>1111</v>
      </c>
      <c r="C135" s="134">
        <v>44667.71125</v>
      </c>
      <c r="D135" s="135" t="str">
        <f t="shared" si="1"/>
        <v>2022/04/16</v>
      </c>
      <c r="E135" s="136" t="s">
        <v>34142</v>
      </c>
      <c r="F135" s="137">
        <v>2.7E-4</v>
      </c>
      <c r="G135" s="138">
        <v>40179.0</v>
      </c>
      <c r="H135" s="138">
        <v>40210.0</v>
      </c>
      <c r="I135" s="138">
        <v>40238.0</v>
      </c>
      <c r="J135" s="138">
        <v>40269.0</v>
      </c>
      <c r="K135" s="138">
        <v>40299.0</v>
      </c>
      <c r="L135" s="138">
        <v>40330.0</v>
      </c>
      <c r="M135" s="138">
        <v>40360.0</v>
      </c>
      <c r="N135" s="138">
        <v>40391.0</v>
      </c>
      <c r="O135" s="138">
        <v>40422.0</v>
      </c>
      <c r="P135" s="138">
        <v>40452.0</v>
      </c>
      <c r="Q135" s="138">
        <v>40483.0</v>
      </c>
      <c r="R135" s="138">
        <v>40513.0</v>
      </c>
      <c r="S135" s="138">
        <v>40544.0</v>
      </c>
      <c r="T135" s="138">
        <v>40575.0</v>
      </c>
      <c r="U135" s="138">
        <v>40603.0</v>
      </c>
      <c r="V135" s="138">
        <v>40634.0</v>
      </c>
      <c r="W135" s="138">
        <v>40664.0</v>
      </c>
      <c r="X135" s="138">
        <v>40695.0</v>
      </c>
      <c r="Y135" s="138">
        <v>40725.0</v>
      </c>
      <c r="Z135" s="138">
        <v>40756.0</v>
      </c>
      <c r="AA135" s="138">
        <v>40787.0</v>
      </c>
      <c r="AB135" s="138">
        <v>40817.0</v>
      </c>
      <c r="AC135" s="138">
        <v>40848.0</v>
      </c>
      <c r="AD135" s="138">
        <v>40878.0</v>
      </c>
      <c r="AE135" s="138">
        <v>40909.0</v>
      </c>
      <c r="AF135" s="138">
        <v>40940.0</v>
      </c>
      <c r="AG135" s="138">
        <v>40969.0</v>
      </c>
      <c r="AH135" s="138">
        <v>41000.0</v>
      </c>
      <c r="AI135" s="138">
        <v>41030.0</v>
      </c>
      <c r="AJ135" s="138">
        <v>41061.0</v>
      </c>
      <c r="AK135" s="138">
        <v>41091.0</v>
      </c>
      <c r="AL135" s="138">
        <v>41122.0</v>
      </c>
      <c r="AM135" s="138">
        <v>41153.0</v>
      </c>
      <c r="AN135" s="138">
        <v>41183.0</v>
      </c>
      <c r="AO135" s="138">
        <v>41214.0</v>
      </c>
      <c r="AP135" s="138">
        <v>41244.0</v>
      </c>
      <c r="AQ135" s="138">
        <v>41275.0</v>
      </c>
      <c r="AR135" s="138">
        <v>41306.0</v>
      </c>
      <c r="AS135" s="138">
        <v>41334.0</v>
      </c>
      <c r="AT135" s="138">
        <v>41365.0</v>
      </c>
      <c r="AU135" s="138">
        <v>41395.0</v>
      </c>
      <c r="AV135" s="138">
        <v>41426.0</v>
      </c>
      <c r="AW135" s="138">
        <v>41456.0</v>
      </c>
      <c r="AX135" s="138">
        <v>41487.0</v>
      </c>
      <c r="AY135" s="138">
        <v>41518.0</v>
      </c>
      <c r="AZ135" s="138">
        <v>41548.0</v>
      </c>
      <c r="BA135" s="138">
        <v>41579.0</v>
      </c>
      <c r="BB135" s="138">
        <v>41609.0</v>
      </c>
      <c r="BC135" s="138">
        <v>41640.0</v>
      </c>
      <c r="BD135" s="138">
        <v>41671.0</v>
      </c>
      <c r="BE135" s="138">
        <v>41699.0</v>
      </c>
      <c r="BF135" s="138">
        <v>41730.0</v>
      </c>
      <c r="BG135" s="138">
        <v>41760.0</v>
      </c>
      <c r="BH135" s="138">
        <v>41791.0</v>
      </c>
      <c r="BI135" s="138">
        <v>41821.0</v>
      </c>
      <c r="BJ135" s="138">
        <v>41852.0</v>
      </c>
      <c r="BK135" s="138">
        <v>41883.0</v>
      </c>
      <c r="BL135" s="138">
        <v>41913.0</v>
      </c>
      <c r="BM135" s="138">
        <v>41944.0</v>
      </c>
      <c r="BN135" s="138">
        <v>41974.0</v>
      </c>
      <c r="BO135" s="138">
        <v>42005.0</v>
      </c>
      <c r="BP135" s="138">
        <v>42036.0</v>
      </c>
      <c r="BQ135" s="138">
        <v>42064.0</v>
      </c>
      <c r="BR135" s="138">
        <v>42095.0</v>
      </c>
      <c r="BS135" s="138">
        <v>42125.0</v>
      </c>
      <c r="BT135" s="138">
        <v>42156.0</v>
      </c>
      <c r="BU135" s="138">
        <v>42186.0</v>
      </c>
      <c r="BV135" s="138">
        <v>42217.0</v>
      </c>
      <c r="BW135" s="138">
        <v>42248.0</v>
      </c>
      <c r="BX135" s="138">
        <v>42278.0</v>
      </c>
      <c r="BY135" s="138">
        <v>42309.0</v>
      </c>
      <c r="BZ135" s="138">
        <v>42339.0</v>
      </c>
      <c r="CA135" s="138">
        <v>42370.0</v>
      </c>
      <c r="CB135" s="138">
        <v>42401.0</v>
      </c>
      <c r="CC135" s="138">
        <v>42430.0</v>
      </c>
      <c r="CD135" s="138">
        <v>42461.0</v>
      </c>
      <c r="CE135" s="138">
        <v>42491.0</v>
      </c>
      <c r="CF135" s="138">
        <v>42522.0</v>
      </c>
      <c r="CG135" s="138">
        <v>42552.0</v>
      </c>
      <c r="CH135" s="138">
        <v>42583.0</v>
      </c>
      <c r="CI135" s="138">
        <v>42614.0</v>
      </c>
      <c r="CJ135" s="138">
        <v>42644.0</v>
      </c>
      <c r="CK135" s="138">
        <v>42675.0</v>
      </c>
      <c r="CL135" s="138">
        <v>42705.0</v>
      </c>
      <c r="CM135" s="138">
        <v>42736.0</v>
      </c>
      <c r="CN135" s="138">
        <v>42767.0</v>
      </c>
      <c r="CO135" s="138">
        <v>42795.0</v>
      </c>
      <c r="CP135" s="138">
        <v>42826.0</v>
      </c>
      <c r="CQ135" s="138">
        <v>42856.0</v>
      </c>
      <c r="CR135" s="138">
        <v>42887.0</v>
      </c>
      <c r="CS135" s="138">
        <v>42917.0</v>
      </c>
      <c r="CT135" s="138">
        <v>42948.0</v>
      </c>
      <c r="CU135" s="138">
        <v>42979.0</v>
      </c>
      <c r="CV135" s="138">
        <v>43009.0</v>
      </c>
      <c r="CW135" s="138">
        <v>43040.0</v>
      </c>
      <c r="CX135" s="138">
        <v>43070.0</v>
      </c>
      <c r="CY135" s="138">
        <v>43101.0</v>
      </c>
      <c r="CZ135" s="138">
        <v>43132.0</v>
      </c>
      <c r="DA135" s="138">
        <v>43160.0</v>
      </c>
      <c r="DB135" s="138">
        <v>43191.0</v>
      </c>
      <c r="DC135" s="138">
        <v>43221.0</v>
      </c>
      <c r="DD135" s="138">
        <v>43252.0</v>
      </c>
      <c r="DE135" s="138">
        <v>43282.0</v>
      </c>
      <c r="DF135" s="138">
        <v>43313.0</v>
      </c>
      <c r="DG135" s="138">
        <v>43344.0</v>
      </c>
      <c r="DH135" s="138">
        <v>43374.0</v>
      </c>
      <c r="DI135" s="138">
        <v>43405.0</v>
      </c>
      <c r="DJ135" s="138">
        <v>43435.0</v>
      </c>
      <c r="DK135" s="138">
        <v>43466.0</v>
      </c>
      <c r="DL135" s="138">
        <v>43497.0</v>
      </c>
      <c r="DM135" s="138">
        <v>43525.0</v>
      </c>
      <c r="DN135" s="138">
        <v>43556.0</v>
      </c>
      <c r="DO135" s="138">
        <v>43586.0</v>
      </c>
      <c r="DP135" s="138">
        <v>43617.0</v>
      </c>
      <c r="DQ135" s="138">
        <v>43647.0</v>
      </c>
      <c r="DR135" s="138">
        <v>43678.0</v>
      </c>
      <c r="DS135" s="138">
        <v>43709.0</v>
      </c>
      <c r="DT135" s="138">
        <v>43739.0</v>
      </c>
      <c r="DU135" s="138">
        <v>43770.0</v>
      </c>
      <c r="DV135" s="138">
        <v>43800.0</v>
      </c>
      <c r="DW135" s="138">
        <v>43831.0</v>
      </c>
      <c r="DX135" s="138">
        <v>43862.0</v>
      </c>
      <c r="DY135" s="138">
        <v>43891.0</v>
      </c>
      <c r="DZ135" s="138">
        <v>43922.0</v>
      </c>
      <c r="EA135" s="138">
        <v>43952.0</v>
      </c>
      <c r="EB135" s="138">
        <v>43983.0</v>
      </c>
      <c r="EC135" s="138">
        <v>44013.0</v>
      </c>
      <c r="ED135" s="138">
        <v>44044.0</v>
      </c>
      <c r="EE135" s="138">
        <v>44075.0</v>
      </c>
      <c r="EF135" s="138">
        <v>44105.0</v>
      </c>
      <c r="EG135" s="138">
        <v>44136.0</v>
      </c>
      <c r="EH135" s="138">
        <v>44166.0</v>
      </c>
      <c r="EI135" s="138">
        <v>44197.0</v>
      </c>
      <c r="EJ135" s="138">
        <v>44228.0</v>
      </c>
      <c r="EK135" s="138">
        <v>44256.0</v>
      </c>
      <c r="EL135" s="138">
        <v>44287.0</v>
      </c>
      <c r="EM135" s="138">
        <v>44317.0</v>
      </c>
      <c r="EN135" s="138">
        <v>44348.0</v>
      </c>
      <c r="EO135" s="138">
        <v>44378.0</v>
      </c>
      <c r="EP135" s="138">
        <v>44409.0</v>
      </c>
      <c r="EQ135" s="138">
        <v>44440.0</v>
      </c>
      <c r="ER135" s="138">
        <v>44470.0</v>
      </c>
      <c r="ES135" s="138">
        <v>44501.0</v>
      </c>
      <c r="ET135" s="138">
        <v>44531.0</v>
      </c>
      <c r="EU135" s="138">
        <v>44562.0</v>
      </c>
      <c r="EV135" s="138">
        <v>44593.0</v>
      </c>
      <c r="EW135" s="138">
        <v>44621.0</v>
      </c>
      <c r="EX135" s="138">
        <v>44652.0</v>
      </c>
      <c r="EY135" s="139">
        <v>44682.0</v>
      </c>
      <c r="EZ135" s="139">
        <v>44713.0</v>
      </c>
      <c r="FA135" s="139">
        <v>44743.0</v>
      </c>
      <c r="FB135" s="139">
        <v>44774.0</v>
      </c>
      <c r="FC135" s="139">
        <v>44805.0</v>
      </c>
      <c r="FD135" s="139">
        <v>44835.0</v>
      </c>
      <c r="FE135" s="139">
        <v>44866.0</v>
      </c>
      <c r="FF135" s="139">
        <v>44896.0</v>
      </c>
      <c r="FG135" s="139">
        <v>44927.0</v>
      </c>
      <c r="FH135" s="139">
        <v>44958.0</v>
      </c>
      <c r="FI135" s="139">
        <v>44986.0</v>
      </c>
      <c r="FJ135" s="139">
        <v>45017.0</v>
      </c>
      <c r="FK135" s="139">
        <v>45047.0</v>
      </c>
      <c r="FL135" s="139">
        <v>45078.0</v>
      </c>
      <c r="FM135" s="139">
        <v>45108.0</v>
      </c>
      <c r="FN135" s="139">
        <v>45139.0</v>
      </c>
      <c r="FO135" s="139">
        <v>45170.0</v>
      </c>
      <c r="FP135" s="139">
        <v>45200.0</v>
      </c>
      <c r="FQ135" s="139">
        <v>45231.0</v>
      </c>
      <c r="FR135" s="139">
        <v>45261.0</v>
      </c>
      <c r="FS135" s="139">
        <v>45292.0</v>
      </c>
      <c r="FT135" s="139">
        <v>45323.0</v>
      </c>
      <c r="FU135" s="139">
        <v>45352.0</v>
      </c>
      <c r="FV135" s="139">
        <v>45383.0</v>
      </c>
      <c r="FW135" s="139">
        <v>45413.0</v>
      </c>
      <c r="FX135" s="139">
        <v>45444.0</v>
      </c>
      <c r="FY135" s="139">
        <v>45474.0</v>
      </c>
      <c r="FZ135" s="139">
        <v>45505.0</v>
      </c>
      <c r="GA135" s="139">
        <v>45536.0</v>
      </c>
      <c r="GB135" s="139">
        <v>45566.0</v>
      </c>
      <c r="GC135" s="139">
        <v>45597.0</v>
      </c>
      <c r="GD135" s="139">
        <v>45627.0</v>
      </c>
      <c r="GE135" s="139">
        <v>45658.0</v>
      </c>
      <c r="GF135" s="139">
        <v>45689.0</v>
      </c>
      <c r="GG135" s="139">
        <v>45717.0</v>
      </c>
      <c r="GH135" s="139">
        <v>45748.0</v>
      </c>
      <c r="GI135" s="139">
        <v>45778.0</v>
      </c>
      <c r="GJ135" s="139">
        <v>45809.0</v>
      </c>
      <c r="GK135" s="139">
        <v>45839.0</v>
      </c>
    </row>
    <row r="136">
      <c r="A136" s="132" t="s">
        <v>34143</v>
      </c>
      <c r="B136" s="133" t="s">
        <v>1257</v>
      </c>
      <c r="C136" s="134">
        <v>44669.99637731481</v>
      </c>
      <c r="D136" s="135" t="str">
        <f t="shared" si="1"/>
        <v>2022/04/18</v>
      </c>
      <c r="E136" s="136" t="s">
        <v>34144</v>
      </c>
      <c r="F136" s="137">
        <v>1.6E-4</v>
      </c>
      <c r="G136" s="138">
        <v>40179.0</v>
      </c>
      <c r="H136" s="138">
        <v>40210.0</v>
      </c>
      <c r="I136" s="138">
        <v>40238.0</v>
      </c>
      <c r="J136" s="138">
        <v>40269.0</v>
      </c>
      <c r="K136" s="138">
        <v>40299.0</v>
      </c>
      <c r="L136" s="138">
        <v>40330.0</v>
      </c>
      <c r="M136" s="138">
        <v>40360.0</v>
      </c>
      <c r="N136" s="138">
        <v>40391.0</v>
      </c>
      <c r="O136" s="138">
        <v>40422.0</v>
      </c>
      <c r="P136" s="138">
        <v>40452.0</v>
      </c>
      <c r="Q136" s="138">
        <v>40483.0</v>
      </c>
      <c r="R136" s="138">
        <v>40513.0</v>
      </c>
      <c r="S136" s="138">
        <v>40544.0</v>
      </c>
      <c r="T136" s="138">
        <v>40575.0</v>
      </c>
      <c r="U136" s="138">
        <v>40603.0</v>
      </c>
      <c r="V136" s="138">
        <v>40634.0</v>
      </c>
      <c r="W136" s="138">
        <v>40664.0</v>
      </c>
      <c r="X136" s="138">
        <v>40695.0</v>
      </c>
      <c r="Y136" s="138">
        <v>40725.0</v>
      </c>
      <c r="Z136" s="138">
        <v>40756.0</v>
      </c>
      <c r="AA136" s="138">
        <v>40787.0</v>
      </c>
      <c r="AB136" s="138">
        <v>40817.0</v>
      </c>
      <c r="AC136" s="138">
        <v>40848.0</v>
      </c>
      <c r="AD136" s="138">
        <v>40878.0</v>
      </c>
      <c r="AE136" s="138">
        <v>40909.0</v>
      </c>
      <c r="AF136" s="138">
        <v>40940.0</v>
      </c>
      <c r="AG136" s="138">
        <v>40969.0</v>
      </c>
      <c r="AH136" s="138">
        <v>41000.0</v>
      </c>
      <c r="AI136" s="138">
        <v>41030.0</v>
      </c>
      <c r="AJ136" s="138">
        <v>41061.0</v>
      </c>
      <c r="AK136" s="138">
        <v>41091.0</v>
      </c>
      <c r="AL136" s="138">
        <v>41122.0</v>
      </c>
      <c r="AM136" s="138">
        <v>41153.0</v>
      </c>
      <c r="AN136" s="138">
        <v>41183.0</v>
      </c>
      <c r="AO136" s="138">
        <v>41214.0</v>
      </c>
      <c r="AP136" s="138">
        <v>41244.0</v>
      </c>
      <c r="AQ136" s="138">
        <v>41275.0</v>
      </c>
      <c r="AR136" s="138">
        <v>41306.0</v>
      </c>
      <c r="AS136" s="138">
        <v>41334.0</v>
      </c>
      <c r="AT136" s="138">
        <v>41365.0</v>
      </c>
      <c r="AU136" s="138">
        <v>41395.0</v>
      </c>
      <c r="AV136" s="138">
        <v>41426.0</v>
      </c>
      <c r="AW136" s="138">
        <v>41456.0</v>
      </c>
      <c r="AX136" s="138">
        <v>41487.0</v>
      </c>
      <c r="AY136" s="138">
        <v>41518.0</v>
      </c>
      <c r="AZ136" s="138">
        <v>41548.0</v>
      </c>
      <c r="BA136" s="138">
        <v>41579.0</v>
      </c>
      <c r="BB136" s="138">
        <v>41609.0</v>
      </c>
      <c r="BC136" s="138">
        <v>41640.0</v>
      </c>
      <c r="BD136" s="138">
        <v>41671.0</v>
      </c>
      <c r="BE136" s="138">
        <v>41699.0</v>
      </c>
      <c r="BF136" s="138">
        <v>41730.0</v>
      </c>
      <c r="BG136" s="138">
        <v>41760.0</v>
      </c>
      <c r="BH136" s="138">
        <v>41791.0</v>
      </c>
      <c r="BI136" s="138">
        <v>41821.0</v>
      </c>
      <c r="BJ136" s="138">
        <v>41852.0</v>
      </c>
      <c r="BK136" s="138">
        <v>41883.0</v>
      </c>
      <c r="BL136" s="138">
        <v>41913.0</v>
      </c>
      <c r="BM136" s="138">
        <v>41944.0</v>
      </c>
      <c r="BN136" s="138">
        <v>41974.0</v>
      </c>
      <c r="BO136" s="138">
        <v>42005.0</v>
      </c>
      <c r="BP136" s="138">
        <v>42036.0</v>
      </c>
      <c r="BQ136" s="138">
        <v>42064.0</v>
      </c>
      <c r="BR136" s="138">
        <v>42095.0</v>
      </c>
      <c r="BS136" s="138">
        <v>42125.0</v>
      </c>
      <c r="BT136" s="138">
        <v>42156.0</v>
      </c>
      <c r="BU136" s="138">
        <v>42186.0</v>
      </c>
      <c r="BV136" s="138">
        <v>42217.0</v>
      </c>
      <c r="BW136" s="138">
        <v>42248.0</v>
      </c>
      <c r="BX136" s="138">
        <v>42278.0</v>
      </c>
      <c r="BY136" s="138">
        <v>42309.0</v>
      </c>
      <c r="BZ136" s="138">
        <v>42339.0</v>
      </c>
      <c r="CA136" s="138">
        <v>42370.0</v>
      </c>
      <c r="CB136" s="138">
        <v>42401.0</v>
      </c>
      <c r="CC136" s="138">
        <v>42430.0</v>
      </c>
      <c r="CD136" s="138">
        <v>42461.0</v>
      </c>
      <c r="CE136" s="138">
        <v>42491.0</v>
      </c>
      <c r="CF136" s="138">
        <v>42522.0</v>
      </c>
      <c r="CG136" s="138">
        <v>42552.0</v>
      </c>
      <c r="CH136" s="138">
        <v>42583.0</v>
      </c>
      <c r="CI136" s="138">
        <v>42614.0</v>
      </c>
      <c r="CJ136" s="138">
        <v>42644.0</v>
      </c>
      <c r="CK136" s="138">
        <v>42675.0</v>
      </c>
      <c r="CL136" s="138">
        <v>42705.0</v>
      </c>
      <c r="CM136" s="138">
        <v>42736.0</v>
      </c>
      <c r="CN136" s="138">
        <v>42767.0</v>
      </c>
      <c r="CO136" s="138">
        <v>42795.0</v>
      </c>
      <c r="CP136" s="138">
        <v>42826.0</v>
      </c>
      <c r="CQ136" s="138">
        <v>42856.0</v>
      </c>
      <c r="CR136" s="138">
        <v>42887.0</v>
      </c>
      <c r="CS136" s="138">
        <v>42917.0</v>
      </c>
      <c r="CT136" s="138">
        <v>42948.0</v>
      </c>
      <c r="CU136" s="138">
        <v>42979.0</v>
      </c>
      <c r="CV136" s="138">
        <v>43009.0</v>
      </c>
      <c r="CW136" s="138">
        <v>43040.0</v>
      </c>
      <c r="CX136" s="138">
        <v>43070.0</v>
      </c>
      <c r="CY136" s="138">
        <v>43101.0</v>
      </c>
      <c r="CZ136" s="138">
        <v>43132.0</v>
      </c>
      <c r="DA136" s="138">
        <v>43160.0</v>
      </c>
      <c r="DB136" s="138">
        <v>43191.0</v>
      </c>
      <c r="DC136" s="138">
        <v>43221.0</v>
      </c>
      <c r="DD136" s="138">
        <v>43252.0</v>
      </c>
      <c r="DE136" s="138">
        <v>43282.0</v>
      </c>
      <c r="DF136" s="138">
        <v>43313.0</v>
      </c>
      <c r="DG136" s="138">
        <v>43344.0</v>
      </c>
      <c r="DH136" s="138">
        <v>43374.0</v>
      </c>
      <c r="DI136" s="138">
        <v>43405.0</v>
      </c>
      <c r="DJ136" s="138">
        <v>43435.0</v>
      </c>
      <c r="DK136" s="138">
        <v>43466.0</v>
      </c>
      <c r="DL136" s="138">
        <v>43497.0</v>
      </c>
      <c r="DM136" s="138">
        <v>43525.0</v>
      </c>
      <c r="DN136" s="138">
        <v>43556.0</v>
      </c>
      <c r="DO136" s="138">
        <v>43586.0</v>
      </c>
      <c r="DP136" s="138">
        <v>43617.0</v>
      </c>
      <c r="DQ136" s="138">
        <v>43647.0</v>
      </c>
      <c r="DR136" s="138">
        <v>43678.0</v>
      </c>
      <c r="DS136" s="138">
        <v>43709.0</v>
      </c>
      <c r="DT136" s="138">
        <v>43739.0</v>
      </c>
      <c r="DU136" s="138">
        <v>43770.0</v>
      </c>
      <c r="DV136" s="138">
        <v>43800.0</v>
      </c>
      <c r="DW136" s="138">
        <v>43831.0</v>
      </c>
      <c r="DX136" s="138">
        <v>43862.0</v>
      </c>
      <c r="DY136" s="138">
        <v>43891.0</v>
      </c>
      <c r="DZ136" s="138">
        <v>43922.0</v>
      </c>
      <c r="EA136" s="138">
        <v>43952.0</v>
      </c>
      <c r="EB136" s="138">
        <v>43983.0</v>
      </c>
      <c r="EC136" s="138">
        <v>44013.0</v>
      </c>
      <c r="ED136" s="138">
        <v>44044.0</v>
      </c>
      <c r="EE136" s="138">
        <v>44075.0</v>
      </c>
      <c r="EF136" s="138">
        <v>44105.0</v>
      </c>
      <c r="EG136" s="138">
        <v>44136.0</v>
      </c>
      <c r="EH136" s="138">
        <v>44166.0</v>
      </c>
      <c r="EI136" s="138">
        <v>44197.0</v>
      </c>
      <c r="EJ136" s="138">
        <v>44228.0</v>
      </c>
      <c r="EK136" s="138">
        <v>44256.0</v>
      </c>
      <c r="EL136" s="138">
        <v>44287.0</v>
      </c>
      <c r="EM136" s="138">
        <v>44317.0</v>
      </c>
      <c r="EN136" s="138">
        <v>44348.0</v>
      </c>
      <c r="EO136" s="138">
        <v>44378.0</v>
      </c>
      <c r="EP136" s="138">
        <v>44409.0</v>
      </c>
      <c r="EQ136" s="138">
        <v>44440.0</v>
      </c>
      <c r="ER136" s="138">
        <v>44470.0</v>
      </c>
      <c r="ES136" s="138">
        <v>44501.0</v>
      </c>
      <c r="ET136" s="138">
        <v>44531.0</v>
      </c>
      <c r="EU136" s="138">
        <v>44562.0</v>
      </c>
      <c r="EV136" s="138">
        <v>44593.0</v>
      </c>
      <c r="EW136" s="138">
        <v>44621.0</v>
      </c>
      <c r="EX136" s="138">
        <v>44652.0</v>
      </c>
      <c r="EY136" s="139">
        <v>44682.0</v>
      </c>
      <c r="EZ136" s="139">
        <v>44713.0</v>
      </c>
      <c r="FA136" s="139">
        <v>44743.0</v>
      </c>
      <c r="FB136" s="139">
        <v>44774.0</v>
      </c>
      <c r="FC136" s="139">
        <v>44805.0</v>
      </c>
      <c r="FD136" s="139">
        <v>44835.0</v>
      </c>
      <c r="FE136" s="139">
        <v>44866.0</v>
      </c>
      <c r="FF136" s="139">
        <v>44896.0</v>
      </c>
      <c r="FG136" s="139">
        <v>44927.0</v>
      </c>
      <c r="FH136" s="139">
        <v>44958.0</v>
      </c>
      <c r="FI136" s="139">
        <v>44986.0</v>
      </c>
      <c r="FJ136" s="139">
        <v>45017.0</v>
      </c>
      <c r="FK136" s="139">
        <v>45047.0</v>
      </c>
      <c r="FL136" s="139">
        <v>45078.0</v>
      </c>
      <c r="FM136" s="139">
        <v>45108.0</v>
      </c>
      <c r="FN136" s="139">
        <v>45139.0</v>
      </c>
      <c r="FO136" s="139">
        <v>45170.0</v>
      </c>
      <c r="FP136" s="139">
        <v>45200.0</v>
      </c>
      <c r="FQ136" s="139">
        <v>45231.0</v>
      </c>
      <c r="FR136" s="139">
        <v>45261.0</v>
      </c>
      <c r="FS136" s="139">
        <v>45292.0</v>
      </c>
      <c r="FT136" s="139">
        <v>45323.0</v>
      </c>
      <c r="FU136" s="139">
        <v>45352.0</v>
      </c>
      <c r="FV136" s="139">
        <v>45383.0</v>
      </c>
      <c r="FW136" s="139">
        <v>45413.0</v>
      </c>
      <c r="FX136" s="139">
        <v>45444.0</v>
      </c>
      <c r="FY136" s="139">
        <v>45474.0</v>
      </c>
      <c r="FZ136" s="139">
        <v>45505.0</v>
      </c>
      <c r="GA136" s="139">
        <v>45536.0</v>
      </c>
      <c r="GB136" s="139">
        <v>45566.0</v>
      </c>
      <c r="GC136" s="139">
        <v>45597.0</v>
      </c>
      <c r="GD136" s="139">
        <v>45627.0</v>
      </c>
      <c r="GE136" s="139">
        <v>45658.0</v>
      </c>
      <c r="GF136" s="139">
        <v>45689.0</v>
      </c>
      <c r="GG136" s="139">
        <v>45717.0</v>
      </c>
      <c r="GH136" s="139">
        <v>45748.0</v>
      </c>
      <c r="GI136" s="139">
        <v>45778.0</v>
      </c>
      <c r="GJ136" s="139">
        <v>45809.0</v>
      </c>
      <c r="GK136" s="139">
        <v>45839.0</v>
      </c>
    </row>
    <row r="137">
      <c r="A137" s="132" t="s">
        <v>34145</v>
      </c>
      <c r="B137" s="133" t="s">
        <v>1213</v>
      </c>
      <c r="C137" s="134">
        <v>44670.005162037036</v>
      </c>
      <c r="D137" s="135" t="str">
        <f t="shared" si="1"/>
        <v>2022/04/19</v>
      </c>
      <c r="E137" s="136" t="s">
        <v>34146</v>
      </c>
      <c r="F137" s="137">
        <v>2.0E-5</v>
      </c>
      <c r="G137" s="138">
        <v>40179.0</v>
      </c>
      <c r="H137" s="138">
        <v>40210.0</v>
      </c>
      <c r="I137" s="138">
        <v>40238.0</v>
      </c>
      <c r="J137" s="138">
        <v>40269.0</v>
      </c>
      <c r="K137" s="138">
        <v>40299.0</v>
      </c>
      <c r="L137" s="138">
        <v>40330.0</v>
      </c>
      <c r="M137" s="138">
        <v>40360.0</v>
      </c>
      <c r="N137" s="138">
        <v>40391.0</v>
      </c>
      <c r="O137" s="138">
        <v>40422.0</v>
      </c>
      <c r="P137" s="138">
        <v>40452.0</v>
      </c>
      <c r="Q137" s="138">
        <v>40483.0</v>
      </c>
      <c r="R137" s="138">
        <v>40513.0</v>
      </c>
      <c r="S137" s="138">
        <v>40544.0</v>
      </c>
      <c r="T137" s="138">
        <v>40575.0</v>
      </c>
      <c r="U137" s="138">
        <v>40603.0</v>
      </c>
      <c r="V137" s="138">
        <v>40634.0</v>
      </c>
      <c r="W137" s="138">
        <v>40664.0</v>
      </c>
      <c r="X137" s="138">
        <v>40695.0</v>
      </c>
      <c r="Y137" s="138">
        <v>40725.0</v>
      </c>
      <c r="Z137" s="138">
        <v>40756.0</v>
      </c>
      <c r="AA137" s="138">
        <v>40787.0</v>
      </c>
      <c r="AB137" s="138">
        <v>40817.0</v>
      </c>
      <c r="AC137" s="138">
        <v>40848.0</v>
      </c>
      <c r="AD137" s="138">
        <v>40878.0</v>
      </c>
      <c r="AE137" s="138">
        <v>40909.0</v>
      </c>
      <c r="AF137" s="138">
        <v>40940.0</v>
      </c>
      <c r="AG137" s="138">
        <v>40969.0</v>
      </c>
      <c r="AH137" s="138">
        <v>41000.0</v>
      </c>
      <c r="AI137" s="138">
        <v>41030.0</v>
      </c>
      <c r="AJ137" s="138">
        <v>41061.0</v>
      </c>
      <c r="AK137" s="138">
        <v>41091.0</v>
      </c>
      <c r="AL137" s="138">
        <v>41122.0</v>
      </c>
      <c r="AM137" s="138">
        <v>41153.0</v>
      </c>
      <c r="AN137" s="138">
        <v>41183.0</v>
      </c>
      <c r="AO137" s="138">
        <v>41214.0</v>
      </c>
      <c r="AP137" s="138">
        <v>41244.0</v>
      </c>
      <c r="AQ137" s="138">
        <v>41275.0</v>
      </c>
      <c r="AR137" s="138">
        <v>41306.0</v>
      </c>
      <c r="AS137" s="138">
        <v>41334.0</v>
      </c>
      <c r="AT137" s="138">
        <v>41365.0</v>
      </c>
      <c r="AU137" s="138">
        <v>41395.0</v>
      </c>
      <c r="AV137" s="138">
        <v>41426.0</v>
      </c>
      <c r="AW137" s="138">
        <v>41456.0</v>
      </c>
      <c r="AX137" s="138">
        <v>41487.0</v>
      </c>
      <c r="AY137" s="138">
        <v>41518.0</v>
      </c>
      <c r="AZ137" s="138">
        <v>41548.0</v>
      </c>
      <c r="BA137" s="138">
        <v>41579.0</v>
      </c>
      <c r="BB137" s="138">
        <v>41609.0</v>
      </c>
      <c r="BC137" s="138">
        <v>41640.0</v>
      </c>
      <c r="BD137" s="138">
        <v>41671.0</v>
      </c>
      <c r="BE137" s="138">
        <v>41699.0</v>
      </c>
      <c r="BF137" s="138">
        <v>41730.0</v>
      </c>
      <c r="BG137" s="138">
        <v>41760.0</v>
      </c>
      <c r="BH137" s="138">
        <v>41791.0</v>
      </c>
      <c r="BI137" s="138">
        <v>41821.0</v>
      </c>
      <c r="BJ137" s="138">
        <v>41852.0</v>
      </c>
      <c r="BK137" s="138">
        <v>41883.0</v>
      </c>
      <c r="BL137" s="138">
        <v>41913.0</v>
      </c>
      <c r="BM137" s="138">
        <v>41944.0</v>
      </c>
      <c r="BN137" s="138">
        <v>41974.0</v>
      </c>
      <c r="BO137" s="138">
        <v>42005.0</v>
      </c>
      <c r="BP137" s="138">
        <v>42036.0</v>
      </c>
      <c r="BQ137" s="138">
        <v>42064.0</v>
      </c>
      <c r="BR137" s="138">
        <v>42095.0</v>
      </c>
      <c r="BS137" s="138">
        <v>42125.0</v>
      </c>
      <c r="BT137" s="138">
        <v>42156.0</v>
      </c>
      <c r="BU137" s="138">
        <v>42186.0</v>
      </c>
      <c r="BV137" s="138">
        <v>42217.0</v>
      </c>
      <c r="BW137" s="138">
        <v>42248.0</v>
      </c>
      <c r="BX137" s="138">
        <v>42278.0</v>
      </c>
      <c r="BY137" s="138">
        <v>42309.0</v>
      </c>
      <c r="BZ137" s="138">
        <v>42339.0</v>
      </c>
      <c r="CA137" s="138">
        <v>42370.0</v>
      </c>
      <c r="CB137" s="138">
        <v>42401.0</v>
      </c>
      <c r="CC137" s="138">
        <v>42430.0</v>
      </c>
      <c r="CD137" s="138">
        <v>42461.0</v>
      </c>
      <c r="CE137" s="138">
        <v>42491.0</v>
      </c>
      <c r="CF137" s="138">
        <v>42522.0</v>
      </c>
      <c r="CG137" s="138">
        <v>42552.0</v>
      </c>
      <c r="CH137" s="138">
        <v>42583.0</v>
      </c>
      <c r="CI137" s="138">
        <v>42614.0</v>
      </c>
      <c r="CJ137" s="138">
        <v>42644.0</v>
      </c>
      <c r="CK137" s="138">
        <v>42675.0</v>
      </c>
      <c r="CL137" s="138">
        <v>42705.0</v>
      </c>
      <c r="CM137" s="138">
        <v>42736.0</v>
      </c>
      <c r="CN137" s="138">
        <v>42767.0</v>
      </c>
      <c r="CO137" s="138">
        <v>42795.0</v>
      </c>
      <c r="CP137" s="138">
        <v>42826.0</v>
      </c>
      <c r="CQ137" s="138">
        <v>42856.0</v>
      </c>
      <c r="CR137" s="138">
        <v>42887.0</v>
      </c>
      <c r="CS137" s="138">
        <v>42917.0</v>
      </c>
      <c r="CT137" s="138">
        <v>42948.0</v>
      </c>
      <c r="CU137" s="138">
        <v>42979.0</v>
      </c>
      <c r="CV137" s="138">
        <v>43009.0</v>
      </c>
      <c r="CW137" s="138">
        <v>43040.0</v>
      </c>
      <c r="CX137" s="138">
        <v>43070.0</v>
      </c>
      <c r="CY137" s="138">
        <v>43101.0</v>
      </c>
      <c r="CZ137" s="138">
        <v>43132.0</v>
      </c>
      <c r="DA137" s="138">
        <v>43160.0</v>
      </c>
      <c r="DB137" s="138">
        <v>43191.0</v>
      </c>
      <c r="DC137" s="138">
        <v>43221.0</v>
      </c>
      <c r="DD137" s="138">
        <v>43252.0</v>
      </c>
      <c r="DE137" s="138">
        <v>43282.0</v>
      </c>
      <c r="DF137" s="138">
        <v>43313.0</v>
      </c>
      <c r="DG137" s="138">
        <v>43344.0</v>
      </c>
      <c r="DH137" s="138">
        <v>43374.0</v>
      </c>
      <c r="DI137" s="138">
        <v>43405.0</v>
      </c>
      <c r="DJ137" s="138">
        <v>43435.0</v>
      </c>
      <c r="DK137" s="138">
        <v>43466.0</v>
      </c>
      <c r="DL137" s="138">
        <v>43497.0</v>
      </c>
      <c r="DM137" s="138">
        <v>43525.0</v>
      </c>
      <c r="DN137" s="138">
        <v>43556.0</v>
      </c>
      <c r="DO137" s="138">
        <v>43586.0</v>
      </c>
      <c r="DP137" s="138">
        <v>43617.0</v>
      </c>
      <c r="DQ137" s="138">
        <v>43647.0</v>
      </c>
      <c r="DR137" s="138">
        <v>43678.0</v>
      </c>
      <c r="DS137" s="138">
        <v>43709.0</v>
      </c>
      <c r="DT137" s="138">
        <v>43739.0</v>
      </c>
      <c r="DU137" s="138">
        <v>43770.0</v>
      </c>
      <c r="DV137" s="138">
        <v>43800.0</v>
      </c>
      <c r="DW137" s="138">
        <v>43831.0</v>
      </c>
      <c r="DX137" s="138">
        <v>43862.0</v>
      </c>
      <c r="DY137" s="138">
        <v>43891.0</v>
      </c>
      <c r="DZ137" s="138">
        <v>43922.0</v>
      </c>
      <c r="EA137" s="138">
        <v>43952.0</v>
      </c>
      <c r="EB137" s="138">
        <v>43983.0</v>
      </c>
      <c r="EC137" s="138">
        <v>44013.0</v>
      </c>
      <c r="ED137" s="138">
        <v>44044.0</v>
      </c>
      <c r="EE137" s="138">
        <v>44075.0</v>
      </c>
      <c r="EF137" s="138">
        <v>44105.0</v>
      </c>
      <c r="EG137" s="138">
        <v>44136.0</v>
      </c>
      <c r="EH137" s="138">
        <v>44166.0</v>
      </c>
      <c r="EI137" s="138">
        <v>44197.0</v>
      </c>
      <c r="EJ137" s="138">
        <v>44228.0</v>
      </c>
      <c r="EK137" s="138">
        <v>44256.0</v>
      </c>
      <c r="EL137" s="138">
        <v>44287.0</v>
      </c>
      <c r="EM137" s="138">
        <v>44317.0</v>
      </c>
      <c r="EN137" s="138">
        <v>44348.0</v>
      </c>
      <c r="EO137" s="138">
        <v>44378.0</v>
      </c>
      <c r="EP137" s="138">
        <v>44409.0</v>
      </c>
      <c r="EQ137" s="138">
        <v>44440.0</v>
      </c>
      <c r="ER137" s="138">
        <v>44470.0</v>
      </c>
      <c r="ES137" s="138">
        <v>44501.0</v>
      </c>
      <c r="ET137" s="138">
        <v>44531.0</v>
      </c>
      <c r="EU137" s="138">
        <v>44562.0</v>
      </c>
      <c r="EV137" s="138">
        <v>44593.0</v>
      </c>
      <c r="EW137" s="138">
        <v>44621.0</v>
      </c>
      <c r="EX137" s="138">
        <v>44652.0</v>
      </c>
      <c r="EY137" s="139">
        <v>44682.0</v>
      </c>
      <c r="EZ137" s="139">
        <v>44713.0</v>
      </c>
      <c r="FA137" s="139">
        <v>44743.0</v>
      </c>
      <c r="FB137" s="139">
        <v>44774.0</v>
      </c>
      <c r="FC137" s="139">
        <v>44805.0</v>
      </c>
      <c r="FD137" s="139">
        <v>44835.0</v>
      </c>
      <c r="FE137" s="139">
        <v>44866.0</v>
      </c>
      <c r="FF137" s="139">
        <v>44896.0</v>
      </c>
      <c r="FG137" s="139">
        <v>44927.0</v>
      </c>
      <c r="FH137" s="139">
        <v>44958.0</v>
      </c>
      <c r="FI137" s="139">
        <v>44986.0</v>
      </c>
      <c r="FJ137" s="139">
        <v>45017.0</v>
      </c>
      <c r="FK137" s="139">
        <v>45047.0</v>
      </c>
      <c r="FL137" s="139">
        <v>45078.0</v>
      </c>
      <c r="FM137" s="139">
        <v>45108.0</v>
      </c>
      <c r="FN137" s="139">
        <v>45139.0</v>
      </c>
      <c r="FO137" s="139">
        <v>45170.0</v>
      </c>
      <c r="FP137" s="139">
        <v>45200.0</v>
      </c>
      <c r="FQ137" s="139">
        <v>45231.0</v>
      </c>
      <c r="FR137" s="139">
        <v>45261.0</v>
      </c>
      <c r="FS137" s="139">
        <v>45292.0</v>
      </c>
      <c r="FT137" s="139">
        <v>45323.0</v>
      </c>
      <c r="FU137" s="139">
        <v>45352.0</v>
      </c>
      <c r="FV137" s="139">
        <v>45383.0</v>
      </c>
      <c r="FW137" s="139">
        <v>45413.0</v>
      </c>
      <c r="FX137" s="139">
        <v>45444.0</v>
      </c>
      <c r="FY137" s="139">
        <v>45474.0</v>
      </c>
      <c r="FZ137" s="139">
        <v>45505.0</v>
      </c>
      <c r="GA137" s="139">
        <v>45536.0</v>
      </c>
      <c r="GB137" s="139">
        <v>45566.0</v>
      </c>
      <c r="GC137" s="139">
        <v>45597.0</v>
      </c>
      <c r="GD137" s="139">
        <v>45627.0</v>
      </c>
      <c r="GE137" s="139">
        <v>45658.0</v>
      </c>
      <c r="GF137" s="139">
        <v>45689.0</v>
      </c>
      <c r="GG137" s="139">
        <v>45717.0</v>
      </c>
      <c r="GH137" s="139">
        <v>45748.0</v>
      </c>
      <c r="GI137" s="139">
        <v>45778.0</v>
      </c>
      <c r="GJ137" s="139">
        <v>45809.0</v>
      </c>
      <c r="GK137" s="139">
        <v>45839.0</v>
      </c>
    </row>
    <row r="138">
      <c r="A138" s="132" t="s">
        <v>34147</v>
      </c>
      <c r="B138" s="133" t="s">
        <v>1104</v>
      </c>
      <c r="C138" s="134">
        <v>44670.47740740741</v>
      </c>
      <c r="D138" s="135" t="str">
        <f t="shared" si="1"/>
        <v>2022/04/19</v>
      </c>
      <c r="E138" s="136" t="s">
        <v>34148</v>
      </c>
      <c r="F138" s="137">
        <v>0.0023</v>
      </c>
      <c r="G138" s="138">
        <v>40179.0</v>
      </c>
      <c r="H138" s="138">
        <v>40210.0</v>
      </c>
      <c r="I138" s="138">
        <v>40238.0</v>
      </c>
      <c r="J138" s="138">
        <v>40269.0</v>
      </c>
      <c r="K138" s="138">
        <v>40299.0</v>
      </c>
      <c r="L138" s="138">
        <v>40330.0</v>
      </c>
      <c r="M138" s="138">
        <v>40360.0</v>
      </c>
      <c r="N138" s="138">
        <v>40391.0</v>
      </c>
      <c r="O138" s="138">
        <v>40422.0</v>
      </c>
      <c r="P138" s="138">
        <v>40452.0</v>
      </c>
      <c r="Q138" s="138">
        <v>40483.0</v>
      </c>
      <c r="R138" s="138">
        <v>40513.0</v>
      </c>
      <c r="S138" s="138">
        <v>40544.0</v>
      </c>
      <c r="T138" s="138">
        <v>40575.0</v>
      </c>
      <c r="U138" s="138">
        <v>40603.0</v>
      </c>
      <c r="V138" s="138">
        <v>40634.0</v>
      </c>
      <c r="W138" s="138">
        <v>40664.0</v>
      </c>
      <c r="X138" s="138">
        <v>40695.0</v>
      </c>
      <c r="Y138" s="138">
        <v>40725.0</v>
      </c>
      <c r="Z138" s="138">
        <v>40756.0</v>
      </c>
      <c r="AA138" s="138">
        <v>40787.0</v>
      </c>
      <c r="AB138" s="138">
        <v>40817.0</v>
      </c>
      <c r="AC138" s="138">
        <v>40848.0</v>
      </c>
      <c r="AD138" s="138">
        <v>40878.0</v>
      </c>
      <c r="AE138" s="138">
        <v>40909.0</v>
      </c>
      <c r="AF138" s="138">
        <v>40940.0</v>
      </c>
      <c r="AG138" s="138">
        <v>40969.0</v>
      </c>
      <c r="AH138" s="138">
        <v>41000.0</v>
      </c>
      <c r="AI138" s="138">
        <v>41030.0</v>
      </c>
      <c r="AJ138" s="138">
        <v>41061.0</v>
      </c>
      <c r="AK138" s="138">
        <v>41091.0</v>
      </c>
      <c r="AL138" s="138">
        <v>41122.0</v>
      </c>
      <c r="AM138" s="138">
        <v>41153.0</v>
      </c>
      <c r="AN138" s="138">
        <v>41183.0</v>
      </c>
      <c r="AO138" s="138">
        <v>41214.0</v>
      </c>
      <c r="AP138" s="138">
        <v>41244.0</v>
      </c>
      <c r="AQ138" s="138">
        <v>41275.0</v>
      </c>
      <c r="AR138" s="138">
        <v>41306.0</v>
      </c>
      <c r="AS138" s="138">
        <v>41334.0</v>
      </c>
      <c r="AT138" s="138">
        <v>41365.0</v>
      </c>
      <c r="AU138" s="138">
        <v>41395.0</v>
      </c>
      <c r="AV138" s="138">
        <v>41426.0</v>
      </c>
      <c r="AW138" s="138">
        <v>41456.0</v>
      </c>
      <c r="AX138" s="138">
        <v>41487.0</v>
      </c>
      <c r="AY138" s="138">
        <v>41518.0</v>
      </c>
      <c r="AZ138" s="138">
        <v>41548.0</v>
      </c>
      <c r="BA138" s="138">
        <v>41579.0</v>
      </c>
      <c r="BB138" s="138">
        <v>41609.0</v>
      </c>
      <c r="BC138" s="138">
        <v>41640.0</v>
      </c>
      <c r="BD138" s="138">
        <v>41671.0</v>
      </c>
      <c r="BE138" s="138">
        <v>41699.0</v>
      </c>
      <c r="BF138" s="138">
        <v>41730.0</v>
      </c>
      <c r="BG138" s="138">
        <v>41760.0</v>
      </c>
      <c r="BH138" s="138">
        <v>41791.0</v>
      </c>
      <c r="BI138" s="138">
        <v>41821.0</v>
      </c>
      <c r="BJ138" s="138">
        <v>41852.0</v>
      </c>
      <c r="BK138" s="138">
        <v>41883.0</v>
      </c>
      <c r="BL138" s="138">
        <v>41913.0</v>
      </c>
      <c r="BM138" s="138">
        <v>41944.0</v>
      </c>
      <c r="BN138" s="138">
        <v>41974.0</v>
      </c>
      <c r="BO138" s="138">
        <v>42005.0</v>
      </c>
      <c r="BP138" s="138">
        <v>42036.0</v>
      </c>
      <c r="BQ138" s="138">
        <v>42064.0</v>
      </c>
      <c r="BR138" s="138">
        <v>42095.0</v>
      </c>
      <c r="BS138" s="138">
        <v>42125.0</v>
      </c>
      <c r="BT138" s="138">
        <v>42156.0</v>
      </c>
      <c r="BU138" s="138">
        <v>42186.0</v>
      </c>
      <c r="BV138" s="138">
        <v>42217.0</v>
      </c>
      <c r="BW138" s="138">
        <v>42248.0</v>
      </c>
      <c r="BX138" s="138">
        <v>42278.0</v>
      </c>
      <c r="BY138" s="138">
        <v>42309.0</v>
      </c>
      <c r="BZ138" s="138">
        <v>42339.0</v>
      </c>
      <c r="CA138" s="138">
        <v>42370.0</v>
      </c>
      <c r="CB138" s="138">
        <v>42401.0</v>
      </c>
      <c r="CC138" s="138">
        <v>42430.0</v>
      </c>
      <c r="CD138" s="138">
        <v>42461.0</v>
      </c>
      <c r="CE138" s="138">
        <v>42491.0</v>
      </c>
      <c r="CF138" s="138">
        <v>42522.0</v>
      </c>
      <c r="CG138" s="138">
        <v>42552.0</v>
      </c>
      <c r="CH138" s="138">
        <v>42583.0</v>
      </c>
      <c r="CI138" s="138">
        <v>42614.0</v>
      </c>
      <c r="CJ138" s="138">
        <v>42644.0</v>
      </c>
      <c r="CK138" s="138">
        <v>42675.0</v>
      </c>
      <c r="CL138" s="138">
        <v>42705.0</v>
      </c>
      <c r="CM138" s="138">
        <v>42736.0</v>
      </c>
      <c r="CN138" s="138">
        <v>42767.0</v>
      </c>
      <c r="CO138" s="138">
        <v>42795.0</v>
      </c>
      <c r="CP138" s="138">
        <v>42826.0</v>
      </c>
      <c r="CQ138" s="138">
        <v>42856.0</v>
      </c>
      <c r="CR138" s="138">
        <v>42887.0</v>
      </c>
      <c r="CS138" s="138">
        <v>42917.0</v>
      </c>
      <c r="CT138" s="138">
        <v>42948.0</v>
      </c>
      <c r="CU138" s="138">
        <v>42979.0</v>
      </c>
      <c r="CV138" s="138">
        <v>43009.0</v>
      </c>
      <c r="CW138" s="138">
        <v>43040.0</v>
      </c>
      <c r="CX138" s="138">
        <v>43070.0</v>
      </c>
      <c r="CY138" s="138">
        <v>43101.0</v>
      </c>
      <c r="CZ138" s="138">
        <v>43132.0</v>
      </c>
      <c r="DA138" s="138">
        <v>43160.0</v>
      </c>
      <c r="DB138" s="138">
        <v>43191.0</v>
      </c>
      <c r="DC138" s="138">
        <v>43221.0</v>
      </c>
      <c r="DD138" s="138">
        <v>43252.0</v>
      </c>
      <c r="DE138" s="138">
        <v>43282.0</v>
      </c>
      <c r="DF138" s="138">
        <v>43313.0</v>
      </c>
      <c r="DG138" s="138">
        <v>43344.0</v>
      </c>
      <c r="DH138" s="138">
        <v>43374.0</v>
      </c>
      <c r="DI138" s="138">
        <v>43405.0</v>
      </c>
      <c r="DJ138" s="138">
        <v>43435.0</v>
      </c>
      <c r="DK138" s="138">
        <v>43466.0</v>
      </c>
      <c r="DL138" s="138">
        <v>43497.0</v>
      </c>
      <c r="DM138" s="138">
        <v>43525.0</v>
      </c>
      <c r="DN138" s="138">
        <v>43556.0</v>
      </c>
      <c r="DO138" s="138">
        <v>43586.0</v>
      </c>
      <c r="DP138" s="138">
        <v>43617.0</v>
      </c>
      <c r="DQ138" s="138">
        <v>43647.0</v>
      </c>
      <c r="DR138" s="138">
        <v>43678.0</v>
      </c>
      <c r="DS138" s="138">
        <v>43709.0</v>
      </c>
      <c r="DT138" s="138">
        <v>43739.0</v>
      </c>
      <c r="DU138" s="138">
        <v>43770.0</v>
      </c>
      <c r="DV138" s="138">
        <v>43800.0</v>
      </c>
      <c r="DW138" s="138">
        <v>43831.0</v>
      </c>
      <c r="DX138" s="138">
        <v>43862.0</v>
      </c>
      <c r="DY138" s="138">
        <v>43891.0</v>
      </c>
      <c r="DZ138" s="138">
        <v>43922.0</v>
      </c>
      <c r="EA138" s="138">
        <v>43952.0</v>
      </c>
      <c r="EB138" s="138">
        <v>43983.0</v>
      </c>
      <c r="EC138" s="138">
        <v>44013.0</v>
      </c>
      <c r="ED138" s="138">
        <v>44044.0</v>
      </c>
      <c r="EE138" s="138">
        <v>44075.0</v>
      </c>
      <c r="EF138" s="138">
        <v>44105.0</v>
      </c>
      <c r="EG138" s="138">
        <v>44136.0</v>
      </c>
      <c r="EH138" s="138">
        <v>44166.0</v>
      </c>
      <c r="EI138" s="138">
        <v>44197.0</v>
      </c>
      <c r="EJ138" s="138">
        <v>44228.0</v>
      </c>
      <c r="EK138" s="138">
        <v>44256.0</v>
      </c>
      <c r="EL138" s="138">
        <v>44287.0</v>
      </c>
      <c r="EM138" s="138">
        <v>44317.0</v>
      </c>
      <c r="EN138" s="138">
        <v>44348.0</v>
      </c>
      <c r="EO138" s="138">
        <v>44378.0</v>
      </c>
      <c r="EP138" s="138">
        <v>44409.0</v>
      </c>
      <c r="EQ138" s="138">
        <v>44440.0</v>
      </c>
      <c r="ER138" s="138">
        <v>44470.0</v>
      </c>
      <c r="ES138" s="138">
        <v>44501.0</v>
      </c>
      <c r="ET138" s="138">
        <v>44531.0</v>
      </c>
      <c r="EU138" s="138">
        <v>44562.0</v>
      </c>
      <c r="EV138" s="138">
        <v>44593.0</v>
      </c>
      <c r="EW138" s="138">
        <v>44621.0</v>
      </c>
      <c r="EX138" s="138">
        <v>44652.0</v>
      </c>
      <c r="EY138" s="139">
        <v>44682.0</v>
      </c>
      <c r="EZ138" s="139">
        <v>44713.0</v>
      </c>
      <c r="FA138" s="139">
        <v>44743.0</v>
      </c>
      <c r="FB138" s="139">
        <v>44774.0</v>
      </c>
      <c r="FC138" s="139">
        <v>44805.0</v>
      </c>
      <c r="FD138" s="139">
        <v>44835.0</v>
      </c>
      <c r="FE138" s="139">
        <v>44866.0</v>
      </c>
      <c r="FF138" s="139">
        <v>44896.0</v>
      </c>
      <c r="FG138" s="139">
        <v>44927.0</v>
      </c>
      <c r="FH138" s="139">
        <v>44958.0</v>
      </c>
      <c r="FI138" s="139">
        <v>44986.0</v>
      </c>
      <c r="FJ138" s="139">
        <v>45017.0</v>
      </c>
      <c r="FK138" s="139">
        <v>45047.0</v>
      </c>
      <c r="FL138" s="139">
        <v>45078.0</v>
      </c>
      <c r="FM138" s="139">
        <v>45108.0</v>
      </c>
      <c r="FN138" s="139">
        <v>45139.0</v>
      </c>
      <c r="FO138" s="139">
        <v>45170.0</v>
      </c>
      <c r="FP138" s="139">
        <v>45200.0</v>
      </c>
      <c r="FQ138" s="139">
        <v>45231.0</v>
      </c>
      <c r="FR138" s="139">
        <v>45261.0</v>
      </c>
      <c r="FS138" s="139">
        <v>45292.0</v>
      </c>
      <c r="FT138" s="139">
        <v>45323.0</v>
      </c>
      <c r="FU138" s="139">
        <v>45352.0</v>
      </c>
      <c r="FV138" s="139">
        <v>45383.0</v>
      </c>
      <c r="FW138" s="139">
        <v>45413.0</v>
      </c>
      <c r="FX138" s="139">
        <v>45444.0</v>
      </c>
      <c r="FY138" s="139">
        <v>45474.0</v>
      </c>
      <c r="FZ138" s="139">
        <v>45505.0</v>
      </c>
      <c r="GA138" s="139">
        <v>45536.0</v>
      </c>
      <c r="GB138" s="139">
        <v>45566.0</v>
      </c>
      <c r="GC138" s="139">
        <v>45597.0</v>
      </c>
      <c r="GD138" s="139">
        <v>45627.0</v>
      </c>
      <c r="GE138" s="139">
        <v>45658.0</v>
      </c>
      <c r="GF138" s="139">
        <v>45689.0</v>
      </c>
      <c r="GG138" s="139">
        <v>45717.0</v>
      </c>
      <c r="GH138" s="139">
        <v>45748.0</v>
      </c>
      <c r="GI138" s="139">
        <v>45778.0</v>
      </c>
      <c r="GJ138" s="139">
        <v>45809.0</v>
      </c>
      <c r="GK138" s="139">
        <v>45839.0</v>
      </c>
    </row>
    <row r="139">
      <c r="A139" s="132" t="s">
        <v>34149</v>
      </c>
      <c r="B139" s="133" t="s">
        <v>1276</v>
      </c>
      <c r="C139" s="134">
        <v>44679.67870370371</v>
      </c>
      <c r="D139" s="135" t="str">
        <f t="shared" si="1"/>
        <v>2022/04/28</v>
      </c>
      <c r="E139" s="136" t="s">
        <v>34150</v>
      </c>
      <c r="F139" s="137">
        <v>0.0067</v>
      </c>
      <c r="G139" s="138">
        <v>40179.0</v>
      </c>
      <c r="H139" s="138">
        <v>40210.0</v>
      </c>
      <c r="I139" s="138">
        <v>40238.0</v>
      </c>
      <c r="J139" s="138">
        <v>40269.0</v>
      </c>
      <c r="K139" s="138">
        <v>40299.0</v>
      </c>
      <c r="L139" s="138">
        <v>40330.0</v>
      </c>
      <c r="M139" s="138">
        <v>40360.0</v>
      </c>
      <c r="N139" s="138">
        <v>40391.0</v>
      </c>
      <c r="O139" s="138">
        <v>40422.0</v>
      </c>
      <c r="P139" s="138">
        <v>40452.0</v>
      </c>
      <c r="Q139" s="138">
        <v>40483.0</v>
      </c>
      <c r="R139" s="138">
        <v>40513.0</v>
      </c>
      <c r="S139" s="138">
        <v>40544.0</v>
      </c>
      <c r="T139" s="138">
        <v>40575.0</v>
      </c>
      <c r="U139" s="138">
        <v>40603.0</v>
      </c>
      <c r="V139" s="138">
        <v>40634.0</v>
      </c>
      <c r="W139" s="138">
        <v>40664.0</v>
      </c>
      <c r="X139" s="138">
        <v>40695.0</v>
      </c>
      <c r="Y139" s="138">
        <v>40725.0</v>
      </c>
      <c r="Z139" s="138">
        <v>40756.0</v>
      </c>
      <c r="AA139" s="138">
        <v>40787.0</v>
      </c>
      <c r="AB139" s="138">
        <v>40817.0</v>
      </c>
      <c r="AC139" s="138">
        <v>40848.0</v>
      </c>
      <c r="AD139" s="138">
        <v>40878.0</v>
      </c>
      <c r="AE139" s="138">
        <v>40909.0</v>
      </c>
      <c r="AF139" s="138">
        <v>40940.0</v>
      </c>
      <c r="AG139" s="138">
        <v>40969.0</v>
      </c>
      <c r="AH139" s="138">
        <v>41000.0</v>
      </c>
      <c r="AI139" s="138">
        <v>41030.0</v>
      </c>
      <c r="AJ139" s="138">
        <v>41061.0</v>
      </c>
      <c r="AK139" s="138">
        <v>41091.0</v>
      </c>
      <c r="AL139" s="138">
        <v>41122.0</v>
      </c>
      <c r="AM139" s="138">
        <v>41153.0</v>
      </c>
      <c r="AN139" s="138">
        <v>41183.0</v>
      </c>
      <c r="AO139" s="138">
        <v>41214.0</v>
      </c>
      <c r="AP139" s="138">
        <v>41244.0</v>
      </c>
      <c r="AQ139" s="138">
        <v>41275.0</v>
      </c>
      <c r="AR139" s="138">
        <v>41306.0</v>
      </c>
      <c r="AS139" s="138">
        <v>41334.0</v>
      </c>
      <c r="AT139" s="138">
        <v>41365.0</v>
      </c>
      <c r="AU139" s="138">
        <v>41395.0</v>
      </c>
      <c r="AV139" s="138">
        <v>41426.0</v>
      </c>
      <c r="AW139" s="138">
        <v>41456.0</v>
      </c>
      <c r="AX139" s="138">
        <v>41487.0</v>
      </c>
      <c r="AY139" s="138">
        <v>41518.0</v>
      </c>
      <c r="AZ139" s="138">
        <v>41548.0</v>
      </c>
      <c r="BA139" s="138">
        <v>41579.0</v>
      </c>
      <c r="BB139" s="138">
        <v>41609.0</v>
      </c>
      <c r="BC139" s="138">
        <v>41640.0</v>
      </c>
      <c r="BD139" s="138">
        <v>41671.0</v>
      </c>
      <c r="BE139" s="138">
        <v>41699.0</v>
      </c>
      <c r="BF139" s="138">
        <v>41730.0</v>
      </c>
      <c r="BG139" s="138">
        <v>41760.0</v>
      </c>
      <c r="BH139" s="138">
        <v>41791.0</v>
      </c>
      <c r="BI139" s="138">
        <v>41821.0</v>
      </c>
      <c r="BJ139" s="138">
        <v>41852.0</v>
      </c>
      <c r="BK139" s="138">
        <v>41883.0</v>
      </c>
      <c r="BL139" s="138">
        <v>41913.0</v>
      </c>
      <c r="BM139" s="138">
        <v>41944.0</v>
      </c>
      <c r="BN139" s="138">
        <v>41974.0</v>
      </c>
      <c r="BO139" s="138">
        <v>42005.0</v>
      </c>
      <c r="BP139" s="138">
        <v>42036.0</v>
      </c>
      <c r="BQ139" s="138">
        <v>42064.0</v>
      </c>
      <c r="BR139" s="138">
        <v>42095.0</v>
      </c>
      <c r="BS139" s="138">
        <v>42125.0</v>
      </c>
      <c r="BT139" s="138">
        <v>42156.0</v>
      </c>
      <c r="BU139" s="138">
        <v>42186.0</v>
      </c>
      <c r="BV139" s="138">
        <v>42217.0</v>
      </c>
      <c r="BW139" s="138">
        <v>42248.0</v>
      </c>
      <c r="BX139" s="138">
        <v>42278.0</v>
      </c>
      <c r="BY139" s="138">
        <v>42309.0</v>
      </c>
      <c r="BZ139" s="138">
        <v>42339.0</v>
      </c>
      <c r="CA139" s="138">
        <v>42370.0</v>
      </c>
      <c r="CB139" s="138">
        <v>42401.0</v>
      </c>
      <c r="CC139" s="138">
        <v>42430.0</v>
      </c>
      <c r="CD139" s="138">
        <v>42461.0</v>
      </c>
      <c r="CE139" s="138">
        <v>42491.0</v>
      </c>
      <c r="CF139" s="138">
        <v>42522.0</v>
      </c>
      <c r="CG139" s="138">
        <v>42552.0</v>
      </c>
      <c r="CH139" s="138">
        <v>42583.0</v>
      </c>
      <c r="CI139" s="138">
        <v>42614.0</v>
      </c>
      <c r="CJ139" s="138">
        <v>42644.0</v>
      </c>
      <c r="CK139" s="138">
        <v>42675.0</v>
      </c>
      <c r="CL139" s="138">
        <v>42705.0</v>
      </c>
      <c r="CM139" s="138">
        <v>42736.0</v>
      </c>
      <c r="CN139" s="138">
        <v>42767.0</v>
      </c>
      <c r="CO139" s="138">
        <v>42795.0</v>
      </c>
      <c r="CP139" s="138">
        <v>42826.0</v>
      </c>
      <c r="CQ139" s="138">
        <v>42856.0</v>
      </c>
      <c r="CR139" s="138">
        <v>42887.0</v>
      </c>
      <c r="CS139" s="138">
        <v>42917.0</v>
      </c>
      <c r="CT139" s="138">
        <v>42948.0</v>
      </c>
      <c r="CU139" s="138">
        <v>42979.0</v>
      </c>
      <c r="CV139" s="138">
        <v>43009.0</v>
      </c>
      <c r="CW139" s="138">
        <v>43040.0</v>
      </c>
      <c r="CX139" s="138">
        <v>43070.0</v>
      </c>
      <c r="CY139" s="138">
        <v>43101.0</v>
      </c>
      <c r="CZ139" s="138">
        <v>43132.0</v>
      </c>
      <c r="DA139" s="138">
        <v>43160.0</v>
      </c>
      <c r="DB139" s="138">
        <v>43191.0</v>
      </c>
      <c r="DC139" s="138">
        <v>43221.0</v>
      </c>
      <c r="DD139" s="138">
        <v>43252.0</v>
      </c>
      <c r="DE139" s="138">
        <v>43282.0</v>
      </c>
      <c r="DF139" s="138">
        <v>43313.0</v>
      </c>
      <c r="DG139" s="138">
        <v>43344.0</v>
      </c>
      <c r="DH139" s="138">
        <v>43374.0</v>
      </c>
      <c r="DI139" s="138">
        <v>43405.0</v>
      </c>
      <c r="DJ139" s="138">
        <v>43435.0</v>
      </c>
      <c r="DK139" s="138">
        <v>43466.0</v>
      </c>
      <c r="DL139" s="138">
        <v>43497.0</v>
      </c>
      <c r="DM139" s="138">
        <v>43525.0</v>
      </c>
      <c r="DN139" s="138">
        <v>43556.0</v>
      </c>
      <c r="DO139" s="138">
        <v>43586.0</v>
      </c>
      <c r="DP139" s="138">
        <v>43617.0</v>
      </c>
      <c r="DQ139" s="138">
        <v>43647.0</v>
      </c>
      <c r="DR139" s="138">
        <v>43678.0</v>
      </c>
      <c r="DS139" s="138">
        <v>43709.0</v>
      </c>
      <c r="DT139" s="138">
        <v>43739.0</v>
      </c>
      <c r="DU139" s="138">
        <v>43770.0</v>
      </c>
      <c r="DV139" s="138">
        <v>43800.0</v>
      </c>
      <c r="DW139" s="138">
        <v>43831.0</v>
      </c>
      <c r="DX139" s="138">
        <v>43862.0</v>
      </c>
      <c r="DY139" s="138">
        <v>43891.0</v>
      </c>
      <c r="DZ139" s="138">
        <v>43922.0</v>
      </c>
      <c r="EA139" s="138">
        <v>43952.0</v>
      </c>
      <c r="EB139" s="138">
        <v>43983.0</v>
      </c>
      <c r="EC139" s="138">
        <v>44013.0</v>
      </c>
      <c r="ED139" s="138">
        <v>44044.0</v>
      </c>
      <c r="EE139" s="138">
        <v>44075.0</v>
      </c>
      <c r="EF139" s="138">
        <v>44105.0</v>
      </c>
      <c r="EG139" s="138">
        <v>44136.0</v>
      </c>
      <c r="EH139" s="138">
        <v>44166.0</v>
      </c>
      <c r="EI139" s="138">
        <v>44197.0</v>
      </c>
      <c r="EJ139" s="138">
        <v>44228.0</v>
      </c>
      <c r="EK139" s="138">
        <v>44256.0</v>
      </c>
      <c r="EL139" s="138">
        <v>44287.0</v>
      </c>
      <c r="EM139" s="138">
        <v>44317.0</v>
      </c>
      <c r="EN139" s="138">
        <v>44348.0</v>
      </c>
      <c r="EO139" s="138">
        <v>44378.0</v>
      </c>
      <c r="EP139" s="138">
        <v>44409.0</v>
      </c>
      <c r="EQ139" s="138">
        <v>44440.0</v>
      </c>
      <c r="ER139" s="138">
        <v>44470.0</v>
      </c>
      <c r="ES139" s="138">
        <v>44501.0</v>
      </c>
      <c r="ET139" s="138">
        <v>44531.0</v>
      </c>
      <c r="EU139" s="138">
        <v>44562.0</v>
      </c>
      <c r="EV139" s="138">
        <v>44593.0</v>
      </c>
      <c r="EW139" s="138">
        <v>44621.0</v>
      </c>
      <c r="EX139" s="138">
        <v>44652.0</v>
      </c>
      <c r="EY139" s="139">
        <v>44682.0</v>
      </c>
      <c r="EZ139" s="139">
        <v>44713.0</v>
      </c>
      <c r="FA139" s="139">
        <v>44743.0</v>
      </c>
      <c r="FB139" s="139">
        <v>44774.0</v>
      </c>
      <c r="FC139" s="139">
        <v>44805.0</v>
      </c>
      <c r="FD139" s="139">
        <v>44835.0</v>
      </c>
      <c r="FE139" s="139">
        <v>44866.0</v>
      </c>
      <c r="FF139" s="139">
        <v>44896.0</v>
      </c>
      <c r="FG139" s="139">
        <v>44927.0</v>
      </c>
      <c r="FH139" s="139">
        <v>44958.0</v>
      </c>
      <c r="FI139" s="139">
        <v>44986.0</v>
      </c>
      <c r="FJ139" s="139">
        <v>45017.0</v>
      </c>
      <c r="FK139" s="139">
        <v>45047.0</v>
      </c>
      <c r="FL139" s="139">
        <v>45078.0</v>
      </c>
      <c r="FM139" s="139">
        <v>45108.0</v>
      </c>
      <c r="FN139" s="139">
        <v>45139.0</v>
      </c>
      <c r="FO139" s="139">
        <v>45170.0</v>
      </c>
      <c r="FP139" s="139">
        <v>45200.0</v>
      </c>
      <c r="FQ139" s="139">
        <v>45231.0</v>
      </c>
      <c r="FR139" s="139">
        <v>45261.0</v>
      </c>
      <c r="FS139" s="139">
        <v>45292.0</v>
      </c>
      <c r="FT139" s="139">
        <v>45323.0</v>
      </c>
      <c r="FU139" s="139">
        <v>45352.0</v>
      </c>
      <c r="FV139" s="139">
        <v>45383.0</v>
      </c>
      <c r="FW139" s="139">
        <v>45413.0</v>
      </c>
      <c r="FX139" s="139">
        <v>45444.0</v>
      </c>
      <c r="FY139" s="139">
        <v>45474.0</v>
      </c>
      <c r="FZ139" s="139">
        <v>45505.0</v>
      </c>
      <c r="GA139" s="139">
        <v>45536.0</v>
      </c>
      <c r="GB139" s="139">
        <v>45566.0</v>
      </c>
      <c r="GC139" s="139">
        <v>45597.0</v>
      </c>
      <c r="GD139" s="139">
        <v>45627.0</v>
      </c>
      <c r="GE139" s="139">
        <v>45658.0</v>
      </c>
      <c r="GF139" s="139">
        <v>45689.0</v>
      </c>
      <c r="GG139" s="139">
        <v>45717.0</v>
      </c>
      <c r="GH139" s="139">
        <v>45748.0</v>
      </c>
      <c r="GI139" s="139">
        <v>45778.0</v>
      </c>
      <c r="GJ139" s="139">
        <v>45809.0</v>
      </c>
      <c r="GK139" s="139">
        <v>45839.0</v>
      </c>
    </row>
    <row r="140">
      <c r="A140" s="132" t="s">
        <v>34151</v>
      </c>
      <c r="B140" s="133" t="s">
        <v>1111</v>
      </c>
      <c r="C140" s="134">
        <v>44715.58412037037</v>
      </c>
      <c r="D140" s="135" t="str">
        <f t="shared" si="1"/>
        <v>2022/06/03</v>
      </c>
      <c r="E140" s="136" t="s">
        <v>34152</v>
      </c>
      <c r="F140" s="137">
        <v>0.18619</v>
      </c>
      <c r="G140" s="138">
        <v>40179.0</v>
      </c>
      <c r="H140" s="138">
        <v>40210.0</v>
      </c>
      <c r="I140" s="138">
        <v>40238.0</v>
      </c>
      <c r="J140" s="138">
        <v>40269.0</v>
      </c>
      <c r="K140" s="138">
        <v>40299.0</v>
      </c>
      <c r="L140" s="138">
        <v>40330.0</v>
      </c>
      <c r="M140" s="138">
        <v>40360.0</v>
      </c>
      <c r="N140" s="138">
        <v>40391.0</v>
      </c>
      <c r="O140" s="138">
        <v>40422.0</v>
      </c>
      <c r="P140" s="138">
        <v>40452.0</v>
      </c>
      <c r="Q140" s="138">
        <v>40483.0</v>
      </c>
      <c r="R140" s="138">
        <v>40513.0</v>
      </c>
      <c r="S140" s="138">
        <v>40544.0</v>
      </c>
      <c r="T140" s="138">
        <v>40575.0</v>
      </c>
      <c r="U140" s="138">
        <v>40603.0</v>
      </c>
      <c r="V140" s="138">
        <v>40634.0</v>
      </c>
      <c r="W140" s="138">
        <v>40664.0</v>
      </c>
      <c r="X140" s="138">
        <v>40695.0</v>
      </c>
      <c r="Y140" s="138">
        <v>40725.0</v>
      </c>
      <c r="Z140" s="138">
        <v>40756.0</v>
      </c>
      <c r="AA140" s="138">
        <v>40787.0</v>
      </c>
      <c r="AB140" s="138">
        <v>40817.0</v>
      </c>
      <c r="AC140" s="138">
        <v>40848.0</v>
      </c>
      <c r="AD140" s="138">
        <v>40878.0</v>
      </c>
      <c r="AE140" s="138">
        <v>40909.0</v>
      </c>
      <c r="AF140" s="138">
        <v>40940.0</v>
      </c>
      <c r="AG140" s="138">
        <v>40969.0</v>
      </c>
      <c r="AH140" s="138">
        <v>41000.0</v>
      </c>
      <c r="AI140" s="138">
        <v>41030.0</v>
      </c>
      <c r="AJ140" s="138">
        <v>41061.0</v>
      </c>
      <c r="AK140" s="138">
        <v>41091.0</v>
      </c>
      <c r="AL140" s="138">
        <v>41122.0</v>
      </c>
      <c r="AM140" s="138">
        <v>41153.0</v>
      </c>
      <c r="AN140" s="138">
        <v>41183.0</v>
      </c>
      <c r="AO140" s="138">
        <v>41214.0</v>
      </c>
      <c r="AP140" s="138">
        <v>41244.0</v>
      </c>
      <c r="AQ140" s="138">
        <v>41275.0</v>
      </c>
      <c r="AR140" s="138">
        <v>41306.0</v>
      </c>
      <c r="AS140" s="138">
        <v>41334.0</v>
      </c>
      <c r="AT140" s="138">
        <v>41365.0</v>
      </c>
      <c r="AU140" s="138">
        <v>41395.0</v>
      </c>
      <c r="AV140" s="138">
        <v>41426.0</v>
      </c>
      <c r="AW140" s="138">
        <v>41456.0</v>
      </c>
      <c r="AX140" s="138">
        <v>41487.0</v>
      </c>
      <c r="AY140" s="138">
        <v>41518.0</v>
      </c>
      <c r="AZ140" s="138">
        <v>41548.0</v>
      </c>
      <c r="BA140" s="138">
        <v>41579.0</v>
      </c>
      <c r="BB140" s="138">
        <v>41609.0</v>
      </c>
      <c r="BC140" s="138">
        <v>41640.0</v>
      </c>
      <c r="BD140" s="138">
        <v>41671.0</v>
      </c>
      <c r="BE140" s="138">
        <v>41699.0</v>
      </c>
      <c r="BF140" s="138">
        <v>41730.0</v>
      </c>
      <c r="BG140" s="138">
        <v>41760.0</v>
      </c>
      <c r="BH140" s="138">
        <v>41791.0</v>
      </c>
      <c r="BI140" s="138">
        <v>41821.0</v>
      </c>
      <c r="BJ140" s="138">
        <v>41852.0</v>
      </c>
      <c r="BK140" s="138">
        <v>41883.0</v>
      </c>
      <c r="BL140" s="138">
        <v>41913.0</v>
      </c>
      <c r="BM140" s="138">
        <v>41944.0</v>
      </c>
      <c r="BN140" s="138">
        <v>41974.0</v>
      </c>
      <c r="BO140" s="138">
        <v>42005.0</v>
      </c>
      <c r="BP140" s="138">
        <v>42036.0</v>
      </c>
      <c r="BQ140" s="138">
        <v>42064.0</v>
      </c>
      <c r="BR140" s="138">
        <v>42095.0</v>
      </c>
      <c r="BS140" s="138">
        <v>42125.0</v>
      </c>
      <c r="BT140" s="138">
        <v>42156.0</v>
      </c>
      <c r="BU140" s="138">
        <v>42186.0</v>
      </c>
      <c r="BV140" s="138">
        <v>42217.0</v>
      </c>
      <c r="BW140" s="138">
        <v>42248.0</v>
      </c>
      <c r="BX140" s="138">
        <v>42278.0</v>
      </c>
      <c r="BY140" s="138">
        <v>42309.0</v>
      </c>
      <c r="BZ140" s="138">
        <v>42339.0</v>
      </c>
      <c r="CA140" s="138">
        <v>42370.0</v>
      </c>
      <c r="CB140" s="138">
        <v>42401.0</v>
      </c>
      <c r="CC140" s="138">
        <v>42430.0</v>
      </c>
      <c r="CD140" s="138">
        <v>42461.0</v>
      </c>
      <c r="CE140" s="138">
        <v>42491.0</v>
      </c>
      <c r="CF140" s="138">
        <v>42522.0</v>
      </c>
      <c r="CG140" s="138">
        <v>42552.0</v>
      </c>
      <c r="CH140" s="138">
        <v>42583.0</v>
      </c>
      <c r="CI140" s="138">
        <v>42614.0</v>
      </c>
      <c r="CJ140" s="138">
        <v>42644.0</v>
      </c>
      <c r="CK140" s="138">
        <v>42675.0</v>
      </c>
      <c r="CL140" s="138">
        <v>42705.0</v>
      </c>
      <c r="CM140" s="138">
        <v>42736.0</v>
      </c>
      <c r="CN140" s="138">
        <v>42767.0</v>
      </c>
      <c r="CO140" s="138">
        <v>42795.0</v>
      </c>
      <c r="CP140" s="138">
        <v>42826.0</v>
      </c>
      <c r="CQ140" s="138">
        <v>42856.0</v>
      </c>
      <c r="CR140" s="138">
        <v>42887.0</v>
      </c>
      <c r="CS140" s="138">
        <v>42917.0</v>
      </c>
      <c r="CT140" s="138">
        <v>42948.0</v>
      </c>
      <c r="CU140" s="138">
        <v>42979.0</v>
      </c>
      <c r="CV140" s="138">
        <v>43009.0</v>
      </c>
      <c r="CW140" s="138">
        <v>43040.0</v>
      </c>
      <c r="CX140" s="138">
        <v>43070.0</v>
      </c>
      <c r="CY140" s="138">
        <v>43101.0</v>
      </c>
      <c r="CZ140" s="138">
        <v>43132.0</v>
      </c>
      <c r="DA140" s="138">
        <v>43160.0</v>
      </c>
      <c r="DB140" s="138">
        <v>43191.0</v>
      </c>
      <c r="DC140" s="138">
        <v>43221.0</v>
      </c>
      <c r="DD140" s="138">
        <v>43252.0</v>
      </c>
      <c r="DE140" s="138">
        <v>43282.0</v>
      </c>
      <c r="DF140" s="138">
        <v>43313.0</v>
      </c>
      <c r="DG140" s="138">
        <v>43344.0</v>
      </c>
      <c r="DH140" s="138">
        <v>43374.0</v>
      </c>
      <c r="DI140" s="138">
        <v>43405.0</v>
      </c>
      <c r="DJ140" s="138">
        <v>43435.0</v>
      </c>
      <c r="DK140" s="138">
        <v>43466.0</v>
      </c>
      <c r="DL140" s="138">
        <v>43497.0</v>
      </c>
      <c r="DM140" s="138">
        <v>43525.0</v>
      </c>
      <c r="DN140" s="138">
        <v>43556.0</v>
      </c>
      <c r="DO140" s="138">
        <v>43586.0</v>
      </c>
      <c r="DP140" s="138">
        <v>43617.0</v>
      </c>
      <c r="DQ140" s="138">
        <v>43647.0</v>
      </c>
      <c r="DR140" s="138">
        <v>43678.0</v>
      </c>
      <c r="DS140" s="138">
        <v>43709.0</v>
      </c>
      <c r="DT140" s="138">
        <v>43739.0</v>
      </c>
      <c r="DU140" s="138">
        <v>43770.0</v>
      </c>
      <c r="DV140" s="138">
        <v>43800.0</v>
      </c>
      <c r="DW140" s="138">
        <v>43831.0</v>
      </c>
      <c r="DX140" s="138">
        <v>43862.0</v>
      </c>
      <c r="DY140" s="138">
        <v>43891.0</v>
      </c>
      <c r="DZ140" s="138">
        <v>43922.0</v>
      </c>
      <c r="EA140" s="138">
        <v>43952.0</v>
      </c>
      <c r="EB140" s="138">
        <v>43983.0</v>
      </c>
      <c r="EC140" s="138">
        <v>44013.0</v>
      </c>
      <c r="ED140" s="138">
        <v>44044.0</v>
      </c>
      <c r="EE140" s="138">
        <v>44075.0</v>
      </c>
      <c r="EF140" s="138">
        <v>44105.0</v>
      </c>
      <c r="EG140" s="138">
        <v>44136.0</v>
      </c>
      <c r="EH140" s="138">
        <v>44166.0</v>
      </c>
      <c r="EI140" s="138">
        <v>44197.0</v>
      </c>
      <c r="EJ140" s="138">
        <v>44228.0</v>
      </c>
      <c r="EK140" s="138">
        <v>44256.0</v>
      </c>
      <c r="EL140" s="138">
        <v>44287.0</v>
      </c>
      <c r="EM140" s="138">
        <v>44317.0</v>
      </c>
      <c r="EN140" s="138">
        <v>44348.0</v>
      </c>
      <c r="EO140" s="138">
        <v>44378.0</v>
      </c>
      <c r="EP140" s="138">
        <v>44409.0</v>
      </c>
      <c r="EQ140" s="138">
        <v>44440.0</v>
      </c>
      <c r="ER140" s="138">
        <v>44470.0</v>
      </c>
      <c r="ES140" s="138">
        <v>44501.0</v>
      </c>
      <c r="ET140" s="138">
        <v>44531.0</v>
      </c>
      <c r="EU140" s="138">
        <v>44562.0</v>
      </c>
      <c r="EV140" s="138">
        <v>44593.0</v>
      </c>
      <c r="EW140" s="138">
        <v>44621.0</v>
      </c>
      <c r="EX140" s="138">
        <v>44652.0</v>
      </c>
      <c r="EY140" s="138">
        <v>44682.0</v>
      </c>
      <c r="EZ140" s="138">
        <v>44713.0</v>
      </c>
      <c r="FA140" s="139">
        <v>44743.0</v>
      </c>
      <c r="FB140" s="139">
        <v>44774.0</v>
      </c>
      <c r="FC140" s="139">
        <v>44805.0</v>
      </c>
      <c r="FD140" s="139">
        <v>44835.0</v>
      </c>
      <c r="FE140" s="139">
        <v>44866.0</v>
      </c>
      <c r="FF140" s="139">
        <v>44896.0</v>
      </c>
      <c r="FG140" s="139">
        <v>44927.0</v>
      </c>
      <c r="FH140" s="139">
        <v>44958.0</v>
      </c>
      <c r="FI140" s="139">
        <v>44986.0</v>
      </c>
      <c r="FJ140" s="139">
        <v>45017.0</v>
      </c>
      <c r="FK140" s="139">
        <v>45047.0</v>
      </c>
      <c r="FL140" s="139">
        <v>45078.0</v>
      </c>
      <c r="FM140" s="139">
        <v>45108.0</v>
      </c>
      <c r="FN140" s="139">
        <v>45139.0</v>
      </c>
      <c r="FO140" s="139">
        <v>45170.0</v>
      </c>
      <c r="FP140" s="139">
        <v>45200.0</v>
      </c>
      <c r="FQ140" s="139">
        <v>45231.0</v>
      </c>
      <c r="FR140" s="139">
        <v>45261.0</v>
      </c>
      <c r="FS140" s="139">
        <v>45292.0</v>
      </c>
      <c r="FT140" s="139">
        <v>45323.0</v>
      </c>
      <c r="FU140" s="139">
        <v>45352.0</v>
      </c>
      <c r="FV140" s="139">
        <v>45383.0</v>
      </c>
      <c r="FW140" s="139">
        <v>45413.0</v>
      </c>
      <c r="FX140" s="139">
        <v>45444.0</v>
      </c>
      <c r="FY140" s="139">
        <v>45474.0</v>
      </c>
      <c r="FZ140" s="139">
        <v>45505.0</v>
      </c>
      <c r="GA140" s="139">
        <v>45536.0</v>
      </c>
      <c r="GB140" s="139">
        <v>45566.0</v>
      </c>
      <c r="GC140" s="139">
        <v>45597.0</v>
      </c>
      <c r="GD140" s="139">
        <v>45627.0</v>
      </c>
      <c r="GE140" s="139">
        <v>45658.0</v>
      </c>
      <c r="GF140" s="139">
        <v>45689.0</v>
      </c>
      <c r="GG140" s="139">
        <v>45717.0</v>
      </c>
      <c r="GH140" s="139">
        <v>45748.0</v>
      </c>
      <c r="GI140" s="139">
        <v>45778.0</v>
      </c>
      <c r="GJ140" s="139">
        <v>45809.0</v>
      </c>
      <c r="GK140" s="139">
        <v>45839.0</v>
      </c>
    </row>
    <row r="141">
      <c r="A141" s="132" t="s">
        <v>34153</v>
      </c>
      <c r="B141" s="133" t="s">
        <v>1171</v>
      </c>
      <c r="C141" s="134">
        <v>44715.601168981484</v>
      </c>
      <c r="D141" s="135" t="str">
        <f t="shared" si="1"/>
        <v>2022/06/03</v>
      </c>
      <c r="E141" s="136" t="s">
        <v>34154</v>
      </c>
      <c r="F141" s="137">
        <v>0.02513</v>
      </c>
      <c r="G141" s="138">
        <v>40179.0</v>
      </c>
      <c r="H141" s="138">
        <v>40210.0</v>
      </c>
      <c r="I141" s="138">
        <v>40238.0</v>
      </c>
      <c r="J141" s="138">
        <v>40269.0</v>
      </c>
      <c r="K141" s="138">
        <v>40299.0</v>
      </c>
      <c r="L141" s="138">
        <v>40330.0</v>
      </c>
      <c r="M141" s="138">
        <v>40360.0</v>
      </c>
      <c r="N141" s="138">
        <v>40391.0</v>
      </c>
      <c r="O141" s="138">
        <v>40422.0</v>
      </c>
      <c r="P141" s="138">
        <v>40452.0</v>
      </c>
      <c r="Q141" s="138">
        <v>40483.0</v>
      </c>
      <c r="R141" s="138">
        <v>40513.0</v>
      </c>
      <c r="S141" s="138">
        <v>40544.0</v>
      </c>
      <c r="T141" s="138">
        <v>40575.0</v>
      </c>
      <c r="U141" s="138">
        <v>40603.0</v>
      </c>
      <c r="V141" s="138">
        <v>40634.0</v>
      </c>
      <c r="W141" s="138">
        <v>40664.0</v>
      </c>
      <c r="X141" s="138">
        <v>40695.0</v>
      </c>
      <c r="Y141" s="138">
        <v>40725.0</v>
      </c>
      <c r="Z141" s="138">
        <v>40756.0</v>
      </c>
      <c r="AA141" s="138">
        <v>40787.0</v>
      </c>
      <c r="AB141" s="138">
        <v>40817.0</v>
      </c>
      <c r="AC141" s="138">
        <v>40848.0</v>
      </c>
      <c r="AD141" s="138">
        <v>40878.0</v>
      </c>
      <c r="AE141" s="138">
        <v>40909.0</v>
      </c>
      <c r="AF141" s="138">
        <v>40940.0</v>
      </c>
      <c r="AG141" s="138">
        <v>40969.0</v>
      </c>
      <c r="AH141" s="138">
        <v>41000.0</v>
      </c>
      <c r="AI141" s="138">
        <v>41030.0</v>
      </c>
      <c r="AJ141" s="138">
        <v>41061.0</v>
      </c>
      <c r="AK141" s="138">
        <v>41091.0</v>
      </c>
      <c r="AL141" s="138">
        <v>41122.0</v>
      </c>
      <c r="AM141" s="138">
        <v>41153.0</v>
      </c>
      <c r="AN141" s="138">
        <v>41183.0</v>
      </c>
      <c r="AO141" s="138">
        <v>41214.0</v>
      </c>
      <c r="AP141" s="138">
        <v>41244.0</v>
      </c>
      <c r="AQ141" s="138">
        <v>41275.0</v>
      </c>
      <c r="AR141" s="138">
        <v>41306.0</v>
      </c>
      <c r="AS141" s="138">
        <v>41334.0</v>
      </c>
      <c r="AT141" s="138">
        <v>41365.0</v>
      </c>
      <c r="AU141" s="138">
        <v>41395.0</v>
      </c>
      <c r="AV141" s="138">
        <v>41426.0</v>
      </c>
      <c r="AW141" s="138">
        <v>41456.0</v>
      </c>
      <c r="AX141" s="138">
        <v>41487.0</v>
      </c>
      <c r="AY141" s="138">
        <v>41518.0</v>
      </c>
      <c r="AZ141" s="138">
        <v>41548.0</v>
      </c>
      <c r="BA141" s="138">
        <v>41579.0</v>
      </c>
      <c r="BB141" s="138">
        <v>41609.0</v>
      </c>
      <c r="BC141" s="138">
        <v>41640.0</v>
      </c>
      <c r="BD141" s="138">
        <v>41671.0</v>
      </c>
      <c r="BE141" s="138">
        <v>41699.0</v>
      </c>
      <c r="BF141" s="138">
        <v>41730.0</v>
      </c>
      <c r="BG141" s="138">
        <v>41760.0</v>
      </c>
      <c r="BH141" s="138">
        <v>41791.0</v>
      </c>
      <c r="BI141" s="138">
        <v>41821.0</v>
      </c>
      <c r="BJ141" s="138">
        <v>41852.0</v>
      </c>
      <c r="BK141" s="138">
        <v>41883.0</v>
      </c>
      <c r="BL141" s="138">
        <v>41913.0</v>
      </c>
      <c r="BM141" s="138">
        <v>41944.0</v>
      </c>
      <c r="BN141" s="138">
        <v>41974.0</v>
      </c>
      <c r="BO141" s="138">
        <v>42005.0</v>
      </c>
      <c r="BP141" s="138">
        <v>42036.0</v>
      </c>
      <c r="BQ141" s="138">
        <v>42064.0</v>
      </c>
      <c r="BR141" s="138">
        <v>42095.0</v>
      </c>
      <c r="BS141" s="138">
        <v>42125.0</v>
      </c>
      <c r="BT141" s="138">
        <v>42156.0</v>
      </c>
      <c r="BU141" s="138">
        <v>42186.0</v>
      </c>
      <c r="BV141" s="138">
        <v>42217.0</v>
      </c>
      <c r="BW141" s="138">
        <v>42248.0</v>
      </c>
      <c r="BX141" s="138">
        <v>42278.0</v>
      </c>
      <c r="BY141" s="138">
        <v>42309.0</v>
      </c>
      <c r="BZ141" s="138">
        <v>42339.0</v>
      </c>
      <c r="CA141" s="138">
        <v>42370.0</v>
      </c>
      <c r="CB141" s="138">
        <v>42401.0</v>
      </c>
      <c r="CC141" s="138">
        <v>42430.0</v>
      </c>
      <c r="CD141" s="138">
        <v>42461.0</v>
      </c>
      <c r="CE141" s="138">
        <v>42491.0</v>
      </c>
      <c r="CF141" s="138">
        <v>42522.0</v>
      </c>
      <c r="CG141" s="138">
        <v>42552.0</v>
      </c>
      <c r="CH141" s="138">
        <v>42583.0</v>
      </c>
      <c r="CI141" s="138">
        <v>42614.0</v>
      </c>
      <c r="CJ141" s="138">
        <v>42644.0</v>
      </c>
      <c r="CK141" s="138">
        <v>42675.0</v>
      </c>
      <c r="CL141" s="138">
        <v>42705.0</v>
      </c>
      <c r="CM141" s="138">
        <v>42736.0</v>
      </c>
      <c r="CN141" s="138">
        <v>42767.0</v>
      </c>
      <c r="CO141" s="138">
        <v>42795.0</v>
      </c>
      <c r="CP141" s="138">
        <v>42826.0</v>
      </c>
      <c r="CQ141" s="138">
        <v>42856.0</v>
      </c>
      <c r="CR141" s="138">
        <v>42887.0</v>
      </c>
      <c r="CS141" s="138">
        <v>42917.0</v>
      </c>
      <c r="CT141" s="138">
        <v>42948.0</v>
      </c>
      <c r="CU141" s="138">
        <v>42979.0</v>
      </c>
      <c r="CV141" s="138">
        <v>43009.0</v>
      </c>
      <c r="CW141" s="138">
        <v>43040.0</v>
      </c>
      <c r="CX141" s="138">
        <v>43070.0</v>
      </c>
      <c r="CY141" s="138">
        <v>43101.0</v>
      </c>
      <c r="CZ141" s="138">
        <v>43132.0</v>
      </c>
      <c r="DA141" s="138">
        <v>43160.0</v>
      </c>
      <c r="DB141" s="138">
        <v>43191.0</v>
      </c>
      <c r="DC141" s="138">
        <v>43221.0</v>
      </c>
      <c r="DD141" s="138">
        <v>43252.0</v>
      </c>
      <c r="DE141" s="138">
        <v>43282.0</v>
      </c>
      <c r="DF141" s="138">
        <v>43313.0</v>
      </c>
      <c r="DG141" s="138">
        <v>43344.0</v>
      </c>
      <c r="DH141" s="138">
        <v>43374.0</v>
      </c>
      <c r="DI141" s="138">
        <v>43405.0</v>
      </c>
      <c r="DJ141" s="138">
        <v>43435.0</v>
      </c>
      <c r="DK141" s="138">
        <v>43466.0</v>
      </c>
      <c r="DL141" s="138">
        <v>43497.0</v>
      </c>
      <c r="DM141" s="138">
        <v>43525.0</v>
      </c>
      <c r="DN141" s="138">
        <v>43556.0</v>
      </c>
      <c r="DO141" s="138">
        <v>43586.0</v>
      </c>
      <c r="DP141" s="138">
        <v>43617.0</v>
      </c>
      <c r="DQ141" s="138">
        <v>43647.0</v>
      </c>
      <c r="DR141" s="138">
        <v>43678.0</v>
      </c>
      <c r="DS141" s="138">
        <v>43709.0</v>
      </c>
      <c r="DT141" s="138">
        <v>43739.0</v>
      </c>
      <c r="DU141" s="138">
        <v>43770.0</v>
      </c>
      <c r="DV141" s="138">
        <v>43800.0</v>
      </c>
      <c r="DW141" s="138">
        <v>43831.0</v>
      </c>
      <c r="DX141" s="138">
        <v>43862.0</v>
      </c>
      <c r="DY141" s="138">
        <v>43891.0</v>
      </c>
      <c r="DZ141" s="138">
        <v>43922.0</v>
      </c>
      <c r="EA141" s="138">
        <v>43952.0</v>
      </c>
      <c r="EB141" s="138">
        <v>43983.0</v>
      </c>
      <c r="EC141" s="138">
        <v>44013.0</v>
      </c>
      <c r="ED141" s="138">
        <v>44044.0</v>
      </c>
      <c r="EE141" s="138">
        <v>44075.0</v>
      </c>
      <c r="EF141" s="138">
        <v>44105.0</v>
      </c>
      <c r="EG141" s="138">
        <v>44136.0</v>
      </c>
      <c r="EH141" s="138">
        <v>44166.0</v>
      </c>
      <c r="EI141" s="138">
        <v>44197.0</v>
      </c>
      <c r="EJ141" s="138">
        <v>44228.0</v>
      </c>
      <c r="EK141" s="138">
        <v>44256.0</v>
      </c>
      <c r="EL141" s="138">
        <v>44287.0</v>
      </c>
      <c r="EM141" s="138">
        <v>44317.0</v>
      </c>
      <c r="EN141" s="138">
        <v>44348.0</v>
      </c>
      <c r="EO141" s="138">
        <v>44378.0</v>
      </c>
      <c r="EP141" s="138">
        <v>44409.0</v>
      </c>
      <c r="EQ141" s="138">
        <v>44440.0</v>
      </c>
      <c r="ER141" s="138">
        <v>44470.0</v>
      </c>
      <c r="ES141" s="138">
        <v>44501.0</v>
      </c>
      <c r="ET141" s="138">
        <v>44531.0</v>
      </c>
      <c r="EU141" s="138">
        <v>44562.0</v>
      </c>
      <c r="EV141" s="138">
        <v>44593.0</v>
      </c>
      <c r="EW141" s="138">
        <v>44621.0</v>
      </c>
      <c r="EX141" s="138">
        <v>44652.0</v>
      </c>
      <c r="EY141" s="138">
        <v>44682.0</v>
      </c>
      <c r="EZ141" s="138">
        <v>44713.0</v>
      </c>
      <c r="FA141" s="139">
        <v>44743.0</v>
      </c>
      <c r="FB141" s="139">
        <v>44774.0</v>
      </c>
      <c r="FC141" s="139">
        <v>44805.0</v>
      </c>
      <c r="FD141" s="139">
        <v>44835.0</v>
      </c>
      <c r="FE141" s="139">
        <v>44866.0</v>
      </c>
      <c r="FF141" s="139">
        <v>44896.0</v>
      </c>
      <c r="FG141" s="139">
        <v>44927.0</v>
      </c>
      <c r="FH141" s="139">
        <v>44958.0</v>
      </c>
      <c r="FI141" s="139">
        <v>44986.0</v>
      </c>
      <c r="FJ141" s="139">
        <v>45017.0</v>
      </c>
      <c r="FK141" s="139">
        <v>45047.0</v>
      </c>
      <c r="FL141" s="139">
        <v>45078.0</v>
      </c>
      <c r="FM141" s="139">
        <v>45108.0</v>
      </c>
      <c r="FN141" s="139">
        <v>45139.0</v>
      </c>
      <c r="FO141" s="139">
        <v>45170.0</v>
      </c>
      <c r="FP141" s="139">
        <v>45200.0</v>
      </c>
      <c r="FQ141" s="139">
        <v>45231.0</v>
      </c>
      <c r="FR141" s="139">
        <v>45261.0</v>
      </c>
      <c r="FS141" s="139">
        <v>45292.0</v>
      </c>
      <c r="FT141" s="139">
        <v>45323.0</v>
      </c>
      <c r="FU141" s="139">
        <v>45352.0</v>
      </c>
      <c r="FV141" s="139">
        <v>45383.0</v>
      </c>
      <c r="FW141" s="139">
        <v>45413.0</v>
      </c>
      <c r="FX141" s="139">
        <v>45444.0</v>
      </c>
      <c r="FY141" s="139">
        <v>45474.0</v>
      </c>
      <c r="FZ141" s="139">
        <v>45505.0</v>
      </c>
      <c r="GA141" s="139">
        <v>45536.0</v>
      </c>
      <c r="GB141" s="139">
        <v>45566.0</v>
      </c>
      <c r="GC141" s="139">
        <v>45597.0</v>
      </c>
      <c r="GD141" s="139">
        <v>45627.0</v>
      </c>
      <c r="GE141" s="139">
        <v>45658.0</v>
      </c>
      <c r="GF141" s="139">
        <v>45689.0</v>
      </c>
      <c r="GG141" s="139">
        <v>45717.0</v>
      </c>
      <c r="GH141" s="139">
        <v>45748.0</v>
      </c>
      <c r="GI141" s="139">
        <v>45778.0</v>
      </c>
      <c r="GJ141" s="139">
        <v>45809.0</v>
      </c>
      <c r="GK141" s="139">
        <v>45839.0</v>
      </c>
    </row>
    <row r="142">
      <c r="A142" s="132" t="s">
        <v>34155</v>
      </c>
      <c r="B142" s="133" t="s">
        <v>1137</v>
      </c>
      <c r="C142" s="134">
        <v>44715.60724537037</v>
      </c>
      <c r="D142" s="135" t="str">
        <f t="shared" si="1"/>
        <v>2022/06/03</v>
      </c>
      <c r="E142" s="136" t="s">
        <v>34156</v>
      </c>
      <c r="F142" s="137">
        <v>0.02189</v>
      </c>
      <c r="G142" s="138">
        <v>40179.0</v>
      </c>
      <c r="H142" s="138">
        <v>40210.0</v>
      </c>
      <c r="I142" s="138">
        <v>40238.0</v>
      </c>
      <c r="J142" s="138">
        <v>40269.0</v>
      </c>
      <c r="K142" s="138">
        <v>40299.0</v>
      </c>
      <c r="L142" s="138">
        <v>40330.0</v>
      </c>
      <c r="M142" s="138">
        <v>40360.0</v>
      </c>
      <c r="N142" s="138">
        <v>40391.0</v>
      </c>
      <c r="O142" s="138">
        <v>40422.0</v>
      </c>
      <c r="P142" s="138">
        <v>40452.0</v>
      </c>
      <c r="Q142" s="138">
        <v>40483.0</v>
      </c>
      <c r="R142" s="138">
        <v>40513.0</v>
      </c>
      <c r="S142" s="138">
        <v>40544.0</v>
      </c>
      <c r="T142" s="138">
        <v>40575.0</v>
      </c>
      <c r="U142" s="138">
        <v>40603.0</v>
      </c>
      <c r="V142" s="138">
        <v>40634.0</v>
      </c>
      <c r="W142" s="138">
        <v>40664.0</v>
      </c>
      <c r="X142" s="138">
        <v>40695.0</v>
      </c>
      <c r="Y142" s="138">
        <v>40725.0</v>
      </c>
      <c r="Z142" s="138">
        <v>40756.0</v>
      </c>
      <c r="AA142" s="138">
        <v>40787.0</v>
      </c>
      <c r="AB142" s="138">
        <v>40817.0</v>
      </c>
      <c r="AC142" s="138">
        <v>40848.0</v>
      </c>
      <c r="AD142" s="138">
        <v>40878.0</v>
      </c>
      <c r="AE142" s="138">
        <v>40909.0</v>
      </c>
      <c r="AF142" s="138">
        <v>40940.0</v>
      </c>
      <c r="AG142" s="138">
        <v>40969.0</v>
      </c>
      <c r="AH142" s="138">
        <v>41000.0</v>
      </c>
      <c r="AI142" s="138">
        <v>41030.0</v>
      </c>
      <c r="AJ142" s="138">
        <v>41061.0</v>
      </c>
      <c r="AK142" s="138">
        <v>41091.0</v>
      </c>
      <c r="AL142" s="138">
        <v>41122.0</v>
      </c>
      <c r="AM142" s="138">
        <v>41153.0</v>
      </c>
      <c r="AN142" s="138">
        <v>41183.0</v>
      </c>
      <c r="AO142" s="138">
        <v>41214.0</v>
      </c>
      <c r="AP142" s="138">
        <v>41244.0</v>
      </c>
      <c r="AQ142" s="138">
        <v>41275.0</v>
      </c>
      <c r="AR142" s="138">
        <v>41306.0</v>
      </c>
      <c r="AS142" s="138">
        <v>41334.0</v>
      </c>
      <c r="AT142" s="138">
        <v>41365.0</v>
      </c>
      <c r="AU142" s="138">
        <v>41395.0</v>
      </c>
      <c r="AV142" s="138">
        <v>41426.0</v>
      </c>
      <c r="AW142" s="138">
        <v>41456.0</v>
      </c>
      <c r="AX142" s="138">
        <v>41487.0</v>
      </c>
      <c r="AY142" s="138">
        <v>41518.0</v>
      </c>
      <c r="AZ142" s="138">
        <v>41548.0</v>
      </c>
      <c r="BA142" s="138">
        <v>41579.0</v>
      </c>
      <c r="BB142" s="138">
        <v>41609.0</v>
      </c>
      <c r="BC142" s="138">
        <v>41640.0</v>
      </c>
      <c r="BD142" s="138">
        <v>41671.0</v>
      </c>
      <c r="BE142" s="138">
        <v>41699.0</v>
      </c>
      <c r="BF142" s="138">
        <v>41730.0</v>
      </c>
      <c r="BG142" s="138">
        <v>41760.0</v>
      </c>
      <c r="BH142" s="138">
        <v>41791.0</v>
      </c>
      <c r="BI142" s="138">
        <v>41821.0</v>
      </c>
      <c r="BJ142" s="138">
        <v>41852.0</v>
      </c>
      <c r="BK142" s="138">
        <v>41883.0</v>
      </c>
      <c r="BL142" s="138">
        <v>41913.0</v>
      </c>
      <c r="BM142" s="138">
        <v>41944.0</v>
      </c>
      <c r="BN142" s="138">
        <v>41974.0</v>
      </c>
      <c r="BO142" s="138">
        <v>42005.0</v>
      </c>
      <c r="BP142" s="138">
        <v>42036.0</v>
      </c>
      <c r="BQ142" s="138">
        <v>42064.0</v>
      </c>
      <c r="BR142" s="138">
        <v>42095.0</v>
      </c>
      <c r="BS142" s="138">
        <v>42125.0</v>
      </c>
      <c r="BT142" s="138">
        <v>42156.0</v>
      </c>
      <c r="BU142" s="138">
        <v>42186.0</v>
      </c>
      <c r="BV142" s="138">
        <v>42217.0</v>
      </c>
      <c r="BW142" s="138">
        <v>42248.0</v>
      </c>
      <c r="BX142" s="138">
        <v>42278.0</v>
      </c>
      <c r="BY142" s="138">
        <v>42309.0</v>
      </c>
      <c r="BZ142" s="138">
        <v>42339.0</v>
      </c>
      <c r="CA142" s="138">
        <v>42370.0</v>
      </c>
      <c r="CB142" s="138">
        <v>42401.0</v>
      </c>
      <c r="CC142" s="138">
        <v>42430.0</v>
      </c>
      <c r="CD142" s="138">
        <v>42461.0</v>
      </c>
      <c r="CE142" s="138">
        <v>42491.0</v>
      </c>
      <c r="CF142" s="138">
        <v>42522.0</v>
      </c>
      <c r="CG142" s="138">
        <v>42552.0</v>
      </c>
      <c r="CH142" s="138">
        <v>42583.0</v>
      </c>
      <c r="CI142" s="138">
        <v>42614.0</v>
      </c>
      <c r="CJ142" s="138">
        <v>42644.0</v>
      </c>
      <c r="CK142" s="138">
        <v>42675.0</v>
      </c>
      <c r="CL142" s="138">
        <v>42705.0</v>
      </c>
      <c r="CM142" s="138">
        <v>42736.0</v>
      </c>
      <c r="CN142" s="138">
        <v>42767.0</v>
      </c>
      <c r="CO142" s="138">
        <v>42795.0</v>
      </c>
      <c r="CP142" s="138">
        <v>42826.0</v>
      </c>
      <c r="CQ142" s="138">
        <v>42856.0</v>
      </c>
      <c r="CR142" s="138">
        <v>42887.0</v>
      </c>
      <c r="CS142" s="138">
        <v>42917.0</v>
      </c>
      <c r="CT142" s="138">
        <v>42948.0</v>
      </c>
      <c r="CU142" s="138">
        <v>42979.0</v>
      </c>
      <c r="CV142" s="138">
        <v>43009.0</v>
      </c>
      <c r="CW142" s="138">
        <v>43040.0</v>
      </c>
      <c r="CX142" s="138">
        <v>43070.0</v>
      </c>
      <c r="CY142" s="138">
        <v>43101.0</v>
      </c>
      <c r="CZ142" s="138">
        <v>43132.0</v>
      </c>
      <c r="DA142" s="138">
        <v>43160.0</v>
      </c>
      <c r="DB142" s="138">
        <v>43191.0</v>
      </c>
      <c r="DC142" s="138">
        <v>43221.0</v>
      </c>
      <c r="DD142" s="138">
        <v>43252.0</v>
      </c>
      <c r="DE142" s="138">
        <v>43282.0</v>
      </c>
      <c r="DF142" s="138">
        <v>43313.0</v>
      </c>
      <c r="DG142" s="138">
        <v>43344.0</v>
      </c>
      <c r="DH142" s="138">
        <v>43374.0</v>
      </c>
      <c r="DI142" s="138">
        <v>43405.0</v>
      </c>
      <c r="DJ142" s="138">
        <v>43435.0</v>
      </c>
      <c r="DK142" s="138">
        <v>43466.0</v>
      </c>
      <c r="DL142" s="138">
        <v>43497.0</v>
      </c>
      <c r="DM142" s="138">
        <v>43525.0</v>
      </c>
      <c r="DN142" s="138">
        <v>43556.0</v>
      </c>
      <c r="DO142" s="138">
        <v>43586.0</v>
      </c>
      <c r="DP142" s="138">
        <v>43617.0</v>
      </c>
      <c r="DQ142" s="138">
        <v>43647.0</v>
      </c>
      <c r="DR142" s="138">
        <v>43678.0</v>
      </c>
      <c r="DS142" s="138">
        <v>43709.0</v>
      </c>
      <c r="DT142" s="138">
        <v>43739.0</v>
      </c>
      <c r="DU142" s="138">
        <v>43770.0</v>
      </c>
      <c r="DV142" s="138">
        <v>43800.0</v>
      </c>
      <c r="DW142" s="138">
        <v>43831.0</v>
      </c>
      <c r="DX142" s="138">
        <v>43862.0</v>
      </c>
      <c r="DY142" s="138">
        <v>43891.0</v>
      </c>
      <c r="DZ142" s="138">
        <v>43922.0</v>
      </c>
      <c r="EA142" s="138">
        <v>43952.0</v>
      </c>
      <c r="EB142" s="138">
        <v>43983.0</v>
      </c>
      <c r="EC142" s="138">
        <v>44013.0</v>
      </c>
      <c r="ED142" s="138">
        <v>44044.0</v>
      </c>
      <c r="EE142" s="138">
        <v>44075.0</v>
      </c>
      <c r="EF142" s="138">
        <v>44105.0</v>
      </c>
      <c r="EG142" s="138">
        <v>44136.0</v>
      </c>
      <c r="EH142" s="138">
        <v>44166.0</v>
      </c>
      <c r="EI142" s="138">
        <v>44197.0</v>
      </c>
      <c r="EJ142" s="138">
        <v>44228.0</v>
      </c>
      <c r="EK142" s="138">
        <v>44256.0</v>
      </c>
      <c r="EL142" s="138">
        <v>44287.0</v>
      </c>
      <c r="EM142" s="138">
        <v>44317.0</v>
      </c>
      <c r="EN142" s="138">
        <v>44348.0</v>
      </c>
      <c r="EO142" s="138">
        <v>44378.0</v>
      </c>
      <c r="EP142" s="138">
        <v>44409.0</v>
      </c>
      <c r="EQ142" s="138">
        <v>44440.0</v>
      </c>
      <c r="ER142" s="138">
        <v>44470.0</v>
      </c>
      <c r="ES142" s="138">
        <v>44501.0</v>
      </c>
      <c r="ET142" s="138">
        <v>44531.0</v>
      </c>
      <c r="EU142" s="138">
        <v>44562.0</v>
      </c>
      <c r="EV142" s="138">
        <v>44593.0</v>
      </c>
      <c r="EW142" s="138">
        <v>44621.0</v>
      </c>
      <c r="EX142" s="138">
        <v>44652.0</v>
      </c>
      <c r="EY142" s="138">
        <v>44682.0</v>
      </c>
      <c r="EZ142" s="138">
        <v>44713.0</v>
      </c>
      <c r="FA142" s="139">
        <v>44743.0</v>
      </c>
      <c r="FB142" s="139">
        <v>44774.0</v>
      </c>
      <c r="FC142" s="139">
        <v>44805.0</v>
      </c>
      <c r="FD142" s="139">
        <v>44835.0</v>
      </c>
      <c r="FE142" s="139">
        <v>44866.0</v>
      </c>
      <c r="FF142" s="139">
        <v>44896.0</v>
      </c>
      <c r="FG142" s="139">
        <v>44927.0</v>
      </c>
      <c r="FH142" s="139">
        <v>44958.0</v>
      </c>
      <c r="FI142" s="139">
        <v>44986.0</v>
      </c>
      <c r="FJ142" s="139">
        <v>45017.0</v>
      </c>
      <c r="FK142" s="139">
        <v>45047.0</v>
      </c>
      <c r="FL142" s="139">
        <v>45078.0</v>
      </c>
      <c r="FM142" s="139">
        <v>45108.0</v>
      </c>
      <c r="FN142" s="139">
        <v>45139.0</v>
      </c>
      <c r="FO142" s="139">
        <v>45170.0</v>
      </c>
      <c r="FP142" s="139">
        <v>45200.0</v>
      </c>
      <c r="FQ142" s="139">
        <v>45231.0</v>
      </c>
      <c r="FR142" s="139">
        <v>45261.0</v>
      </c>
      <c r="FS142" s="139">
        <v>45292.0</v>
      </c>
      <c r="FT142" s="139">
        <v>45323.0</v>
      </c>
      <c r="FU142" s="139">
        <v>45352.0</v>
      </c>
      <c r="FV142" s="139">
        <v>45383.0</v>
      </c>
      <c r="FW142" s="139">
        <v>45413.0</v>
      </c>
      <c r="FX142" s="139">
        <v>45444.0</v>
      </c>
      <c r="FY142" s="139">
        <v>45474.0</v>
      </c>
      <c r="FZ142" s="139">
        <v>45505.0</v>
      </c>
      <c r="GA142" s="139">
        <v>45536.0</v>
      </c>
      <c r="GB142" s="139">
        <v>45566.0</v>
      </c>
      <c r="GC142" s="139">
        <v>45597.0</v>
      </c>
      <c r="GD142" s="139">
        <v>45627.0</v>
      </c>
      <c r="GE142" s="139">
        <v>45658.0</v>
      </c>
      <c r="GF142" s="139">
        <v>45689.0</v>
      </c>
      <c r="GG142" s="139">
        <v>45717.0</v>
      </c>
      <c r="GH142" s="139">
        <v>45748.0</v>
      </c>
      <c r="GI142" s="139">
        <v>45778.0</v>
      </c>
      <c r="GJ142" s="139">
        <v>45809.0</v>
      </c>
      <c r="GK142" s="139">
        <v>45839.0</v>
      </c>
    </row>
    <row r="143">
      <c r="A143" s="132" t="s">
        <v>34157</v>
      </c>
      <c r="B143" s="133" t="s">
        <v>1137</v>
      </c>
      <c r="C143" s="134">
        <v>44715.65353009259</v>
      </c>
      <c r="D143" s="135" t="str">
        <f t="shared" si="1"/>
        <v>2022/06/03</v>
      </c>
      <c r="E143" s="136" t="s">
        <v>34158</v>
      </c>
      <c r="F143" s="137">
        <v>0.04932</v>
      </c>
      <c r="G143" s="138">
        <v>40179.0</v>
      </c>
      <c r="H143" s="138">
        <v>40210.0</v>
      </c>
      <c r="I143" s="138">
        <v>40238.0</v>
      </c>
      <c r="J143" s="138">
        <v>40269.0</v>
      </c>
      <c r="K143" s="138">
        <v>40299.0</v>
      </c>
      <c r="L143" s="138">
        <v>40330.0</v>
      </c>
      <c r="M143" s="138">
        <v>40360.0</v>
      </c>
      <c r="N143" s="138">
        <v>40391.0</v>
      </c>
      <c r="O143" s="138">
        <v>40422.0</v>
      </c>
      <c r="P143" s="138">
        <v>40452.0</v>
      </c>
      <c r="Q143" s="138">
        <v>40483.0</v>
      </c>
      <c r="R143" s="138">
        <v>40513.0</v>
      </c>
      <c r="S143" s="138">
        <v>40544.0</v>
      </c>
      <c r="T143" s="138">
        <v>40575.0</v>
      </c>
      <c r="U143" s="138">
        <v>40603.0</v>
      </c>
      <c r="V143" s="138">
        <v>40634.0</v>
      </c>
      <c r="W143" s="138">
        <v>40664.0</v>
      </c>
      <c r="X143" s="138">
        <v>40695.0</v>
      </c>
      <c r="Y143" s="138">
        <v>40725.0</v>
      </c>
      <c r="Z143" s="138">
        <v>40756.0</v>
      </c>
      <c r="AA143" s="138">
        <v>40787.0</v>
      </c>
      <c r="AB143" s="138">
        <v>40817.0</v>
      </c>
      <c r="AC143" s="138">
        <v>40848.0</v>
      </c>
      <c r="AD143" s="138">
        <v>40878.0</v>
      </c>
      <c r="AE143" s="138">
        <v>40909.0</v>
      </c>
      <c r="AF143" s="138">
        <v>40940.0</v>
      </c>
      <c r="AG143" s="138">
        <v>40969.0</v>
      </c>
      <c r="AH143" s="138">
        <v>41000.0</v>
      </c>
      <c r="AI143" s="138">
        <v>41030.0</v>
      </c>
      <c r="AJ143" s="138">
        <v>41061.0</v>
      </c>
      <c r="AK143" s="138">
        <v>41091.0</v>
      </c>
      <c r="AL143" s="138">
        <v>41122.0</v>
      </c>
      <c r="AM143" s="138">
        <v>41153.0</v>
      </c>
      <c r="AN143" s="138">
        <v>41183.0</v>
      </c>
      <c r="AO143" s="138">
        <v>41214.0</v>
      </c>
      <c r="AP143" s="138">
        <v>41244.0</v>
      </c>
      <c r="AQ143" s="138">
        <v>41275.0</v>
      </c>
      <c r="AR143" s="138">
        <v>41306.0</v>
      </c>
      <c r="AS143" s="138">
        <v>41334.0</v>
      </c>
      <c r="AT143" s="138">
        <v>41365.0</v>
      </c>
      <c r="AU143" s="138">
        <v>41395.0</v>
      </c>
      <c r="AV143" s="138">
        <v>41426.0</v>
      </c>
      <c r="AW143" s="138">
        <v>41456.0</v>
      </c>
      <c r="AX143" s="138">
        <v>41487.0</v>
      </c>
      <c r="AY143" s="138">
        <v>41518.0</v>
      </c>
      <c r="AZ143" s="138">
        <v>41548.0</v>
      </c>
      <c r="BA143" s="138">
        <v>41579.0</v>
      </c>
      <c r="BB143" s="138">
        <v>41609.0</v>
      </c>
      <c r="BC143" s="138">
        <v>41640.0</v>
      </c>
      <c r="BD143" s="138">
        <v>41671.0</v>
      </c>
      <c r="BE143" s="138">
        <v>41699.0</v>
      </c>
      <c r="BF143" s="138">
        <v>41730.0</v>
      </c>
      <c r="BG143" s="138">
        <v>41760.0</v>
      </c>
      <c r="BH143" s="138">
        <v>41791.0</v>
      </c>
      <c r="BI143" s="138">
        <v>41821.0</v>
      </c>
      <c r="BJ143" s="138">
        <v>41852.0</v>
      </c>
      <c r="BK143" s="138">
        <v>41883.0</v>
      </c>
      <c r="BL143" s="138">
        <v>41913.0</v>
      </c>
      <c r="BM143" s="138">
        <v>41944.0</v>
      </c>
      <c r="BN143" s="138">
        <v>41974.0</v>
      </c>
      <c r="BO143" s="138">
        <v>42005.0</v>
      </c>
      <c r="BP143" s="138">
        <v>42036.0</v>
      </c>
      <c r="BQ143" s="138">
        <v>42064.0</v>
      </c>
      <c r="BR143" s="138">
        <v>42095.0</v>
      </c>
      <c r="BS143" s="138">
        <v>42125.0</v>
      </c>
      <c r="BT143" s="138">
        <v>42156.0</v>
      </c>
      <c r="BU143" s="138">
        <v>42186.0</v>
      </c>
      <c r="BV143" s="138">
        <v>42217.0</v>
      </c>
      <c r="BW143" s="138">
        <v>42248.0</v>
      </c>
      <c r="BX143" s="138">
        <v>42278.0</v>
      </c>
      <c r="BY143" s="138">
        <v>42309.0</v>
      </c>
      <c r="BZ143" s="138">
        <v>42339.0</v>
      </c>
      <c r="CA143" s="138">
        <v>42370.0</v>
      </c>
      <c r="CB143" s="138">
        <v>42401.0</v>
      </c>
      <c r="CC143" s="138">
        <v>42430.0</v>
      </c>
      <c r="CD143" s="138">
        <v>42461.0</v>
      </c>
      <c r="CE143" s="138">
        <v>42491.0</v>
      </c>
      <c r="CF143" s="138">
        <v>42522.0</v>
      </c>
      <c r="CG143" s="138">
        <v>42552.0</v>
      </c>
      <c r="CH143" s="138">
        <v>42583.0</v>
      </c>
      <c r="CI143" s="138">
        <v>42614.0</v>
      </c>
      <c r="CJ143" s="138">
        <v>42644.0</v>
      </c>
      <c r="CK143" s="138">
        <v>42675.0</v>
      </c>
      <c r="CL143" s="138">
        <v>42705.0</v>
      </c>
      <c r="CM143" s="138">
        <v>42736.0</v>
      </c>
      <c r="CN143" s="138">
        <v>42767.0</v>
      </c>
      <c r="CO143" s="138">
        <v>42795.0</v>
      </c>
      <c r="CP143" s="138">
        <v>42826.0</v>
      </c>
      <c r="CQ143" s="138">
        <v>42856.0</v>
      </c>
      <c r="CR143" s="138">
        <v>42887.0</v>
      </c>
      <c r="CS143" s="138">
        <v>42917.0</v>
      </c>
      <c r="CT143" s="138">
        <v>42948.0</v>
      </c>
      <c r="CU143" s="138">
        <v>42979.0</v>
      </c>
      <c r="CV143" s="138">
        <v>43009.0</v>
      </c>
      <c r="CW143" s="138">
        <v>43040.0</v>
      </c>
      <c r="CX143" s="138">
        <v>43070.0</v>
      </c>
      <c r="CY143" s="138">
        <v>43101.0</v>
      </c>
      <c r="CZ143" s="138">
        <v>43132.0</v>
      </c>
      <c r="DA143" s="138">
        <v>43160.0</v>
      </c>
      <c r="DB143" s="138">
        <v>43191.0</v>
      </c>
      <c r="DC143" s="138">
        <v>43221.0</v>
      </c>
      <c r="DD143" s="138">
        <v>43252.0</v>
      </c>
      <c r="DE143" s="138">
        <v>43282.0</v>
      </c>
      <c r="DF143" s="138">
        <v>43313.0</v>
      </c>
      <c r="DG143" s="138">
        <v>43344.0</v>
      </c>
      <c r="DH143" s="138">
        <v>43374.0</v>
      </c>
      <c r="DI143" s="138">
        <v>43405.0</v>
      </c>
      <c r="DJ143" s="138">
        <v>43435.0</v>
      </c>
      <c r="DK143" s="138">
        <v>43466.0</v>
      </c>
      <c r="DL143" s="138">
        <v>43497.0</v>
      </c>
      <c r="DM143" s="138">
        <v>43525.0</v>
      </c>
      <c r="DN143" s="138">
        <v>43556.0</v>
      </c>
      <c r="DO143" s="138">
        <v>43586.0</v>
      </c>
      <c r="DP143" s="138">
        <v>43617.0</v>
      </c>
      <c r="DQ143" s="138">
        <v>43647.0</v>
      </c>
      <c r="DR143" s="138">
        <v>43678.0</v>
      </c>
      <c r="DS143" s="138">
        <v>43709.0</v>
      </c>
      <c r="DT143" s="138">
        <v>43739.0</v>
      </c>
      <c r="DU143" s="138">
        <v>43770.0</v>
      </c>
      <c r="DV143" s="138">
        <v>43800.0</v>
      </c>
      <c r="DW143" s="138">
        <v>43831.0</v>
      </c>
      <c r="DX143" s="138">
        <v>43862.0</v>
      </c>
      <c r="DY143" s="138">
        <v>43891.0</v>
      </c>
      <c r="DZ143" s="138">
        <v>43922.0</v>
      </c>
      <c r="EA143" s="138">
        <v>43952.0</v>
      </c>
      <c r="EB143" s="138">
        <v>43983.0</v>
      </c>
      <c r="EC143" s="138">
        <v>44013.0</v>
      </c>
      <c r="ED143" s="138">
        <v>44044.0</v>
      </c>
      <c r="EE143" s="138">
        <v>44075.0</v>
      </c>
      <c r="EF143" s="138">
        <v>44105.0</v>
      </c>
      <c r="EG143" s="138">
        <v>44136.0</v>
      </c>
      <c r="EH143" s="138">
        <v>44166.0</v>
      </c>
      <c r="EI143" s="138">
        <v>44197.0</v>
      </c>
      <c r="EJ143" s="138">
        <v>44228.0</v>
      </c>
      <c r="EK143" s="138">
        <v>44256.0</v>
      </c>
      <c r="EL143" s="138">
        <v>44287.0</v>
      </c>
      <c r="EM143" s="138">
        <v>44317.0</v>
      </c>
      <c r="EN143" s="138">
        <v>44348.0</v>
      </c>
      <c r="EO143" s="138">
        <v>44378.0</v>
      </c>
      <c r="EP143" s="138">
        <v>44409.0</v>
      </c>
      <c r="EQ143" s="138">
        <v>44440.0</v>
      </c>
      <c r="ER143" s="138">
        <v>44470.0</v>
      </c>
      <c r="ES143" s="138">
        <v>44501.0</v>
      </c>
      <c r="ET143" s="138">
        <v>44531.0</v>
      </c>
      <c r="EU143" s="138">
        <v>44562.0</v>
      </c>
      <c r="EV143" s="138">
        <v>44593.0</v>
      </c>
      <c r="EW143" s="138">
        <v>44621.0</v>
      </c>
      <c r="EX143" s="138">
        <v>44652.0</v>
      </c>
      <c r="EY143" s="138">
        <v>44682.0</v>
      </c>
      <c r="EZ143" s="138">
        <v>44713.0</v>
      </c>
      <c r="FA143" s="139">
        <v>44743.0</v>
      </c>
      <c r="FB143" s="139">
        <v>44774.0</v>
      </c>
      <c r="FC143" s="139">
        <v>44805.0</v>
      </c>
      <c r="FD143" s="139">
        <v>44835.0</v>
      </c>
      <c r="FE143" s="139">
        <v>44866.0</v>
      </c>
      <c r="FF143" s="139">
        <v>44896.0</v>
      </c>
      <c r="FG143" s="139">
        <v>44927.0</v>
      </c>
      <c r="FH143" s="139">
        <v>44958.0</v>
      </c>
      <c r="FI143" s="139">
        <v>44986.0</v>
      </c>
      <c r="FJ143" s="139">
        <v>45017.0</v>
      </c>
      <c r="FK143" s="139">
        <v>45047.0</v>
      </c>
      <c r="FL143" s="139">
        <v>45078.0</v>
      </c>
      <c r="FM143" s="139">
        <v>45108.0</v>
      </c>
      <c r="FN143" s="139">
        <v>45139.0</v>
      </c>
      <c r="FO143" s="139">
        <v>45170.0</v>
      </c>
      <c r="FP143" s="139">
        <v>45200.0</v>
      </c>
      <c r="FQ143" s="139">
        <v>45231.0</v>
      </c>
      <c r="FR143" s="139">
        <v>45261.0</v>
      </c>
      <c r="FS143" s="139">
        <v>45292.0</v>
      </c>
      <c r="FT143" s="139">
        <v>45323.0</v>
      </c>
      <c r="FU143" s="139">
        <v>45352.0</v>
      </c>
      <c r="FV143" s="139">
        <v>45383.0</v>
      </c>
      <c r="FW143" s="139">
        <v>45413.0</v>
      </c>
      <c r="FX143" s="139">
        <v>45444.0</v>
      </c>
      <c r="FY143" s="139">
        <v>45474.0</v>
      </c>
      <c r="FZ143" s="139">
        <v>45505.0</v>
      </c>
      <c r="GA143" s="139">
        <v>45536.0</v>
      </c>
      <c r="GB143" s="139">
        <v>45566.0</v>
      </c>
      <c r="GC143" s="139">
        <v>45597.0</v>
      </c>
      <c r="GD143" s="139">
        <v>45627.0</v>
      </c>
      <c r="GE143" s="139">
        <v>45658.0</v>
      </c>
      <c r="GF143" s="139">
        <v>45689.0</v>
      </c>
      <c r="GG143" s="139">
        <v>45717.0</v>
      </c>
      <c r="GH143" s="139">
        <v>45748.0</v>
      </c>
      <c r="GI143" s="139">
        <v>45778.0</v>
      </c>
      <c r="GJ143" s="139">
        <v>45809.0</v>
      </c>
      <c r="GK143" s="139">
        <v>45839.0</v>
      </c>
    </row>
    <row r="144">
      <c r="A144" s="132" t="s">
        <v>2028</v>
      </c>
      <c r="B144" s="133" t="s">
        <v>104</v>
      </c>
      <c r="C144" s="134">
        <v>44719.777719907404</v>
      </c>
      <c r="D144" s="135" t="str">
        <f t="shared" si="1"/>
        <v>2022/06/07</v>
      </c>
      <c r="E144" s="136" t="s">
        <v>33918</v>
      </c>
      <c r="F144" s="137">
        <v>5.0E-5</v>
      </c>
      <c r="G144" s="138">
        <v>40179.0</v>
      </c>
      <c r="H144" s="138">
        <v>40210.0</v>
      </c>
      <c r="I144" s="138">
        <v>40238.0</v>
      </c>
      <c r="J144" s="138">
        <v>40269.0</v>
      </c>
      <c r="K144" s="138">
        <v>40299.0</v>
      </c>
      <c r="L144" s="138">
        <v>40330.0</v>
      </c>
      <c r="M144" s="138">
        <v>40360.0</v>
      </c>
      <c r="N144" s="138">
        <v>40391.0</v>
      </c>
      <c r="O144" s="138">
        <v>40422.0</v>
      </c>
      <c r="P144" s="138">
        <v>40452.0</v>
      </c>
      <c r="Q144" s="138">
        <v>40483.0</v>
      </c>
      <c r="R144" s="138">
        <v>40513.0</v>
      </c>
      <c r="S144" s="138">
        <v>40544.0</v>
      </c>
      <c r="T144" s="138">
        <v>40575.0</v>
      </c>
      <c r="U144" s="138">
        <v>40603.0</v>
      </c>
      <c r="V144" s="138">
        <v>40634.0</v>
      </c>
      <c r="W144" s="138">
        <v>40664.0</v>
      </c>
      <c r="X144" s="138">
        <v>40695.0</v>
      </c>
      <c r="Y144" s="138">
        <v>40725.0</v>
      </c>
      <c r="Z144" s="138">
        <v>40756.0</v>
      </c>
      <c r="AA144" s="138">
        <v>40787.0</v>
      </c>
      <c r="AB144" s="138">
        <v>40817.0</v>
      </c>
      <c r="AC144" s="138">
        <v>40848.0</v>
      </c>
      <c r="AD144" s="138">
        <v>40878.0</v>
      </c>
      <c r="AE144" s="138">
        <v>40909.0</v>
      </c>
      <c r="AF144" s="138">
        <v>40940.0</v>
      </c>
      <c r="AG144" s="138">
        <v>40969.0</v>
      </c>
      <c r="AH144" s="138">
        <v>41000.0</v>
      </c>
      <c r="AI144" s="138">
        <v>41030.0</v>
      </c>
      <c r="AJ144" s="138">
        <v>41061.0</v>
      </c>
      <c r="AK144" s="138">
        <v>41091.0</v>
      </c>
      <c r="AL144" s="138">
        <v>41122.0</v>
      </c>
      <c r="AM144" s="138">
        <v>41153.0</v>
      </c>
      <c r="AN144" s="138">
        <v>41183.0</v>
      </c>
      <c r="AO144" s="138">
        <v>41214.0</v>
      </c>
      <c r="AP144" s="138">
        <v>41244.0</v>
      </c>
      <c r="AQ144" s="138">
        <v>41275.0</v>
      </c>
      <c r="AR144" s="138">
        <v>41306.0</v>
      </c>
      <c r="AS144" s="138">
        <v>41334.0</v>
      </c>
      <c r="AT144" s="138">
        <v>41365.0</v>
      </c>
      <c r="AU144" s="138">
        <v>41395.0</v>
      </c>
      <c r="AV144" s="138">
        <v>41426.0</v>
      </c>
      <c r="AW144" s="138">
        <v>41456.0</v>
      </c>
      <c r="AX144" s="138">
        <v>41487.0</v>
      </c>
      <c r="AY144" s="138">
        <v>41518.0</v>
      </c>
      <c r="AZ144" s="138">
        <v>41548.0</v>
      </c>
      <c r="BA144" s="138">
        <v>41579.0</v>
      </c>
      <c r="BB144" s="138">
        <v>41609.0</v>
      </c>
      <c r="BC144" s="138">
        <v>41640.0</v>
      </c>
      <c r="BD144" s="138">
        <v>41671.0</v>
      </c>
      <c r="BE144" s="138">
        <v>41699.0</v>
      </c>
      <c r="BF144" s="138">
        <v>41730.0</v>
      </c>
      <c r="BG144" s="138">
        <v>41760.0</v>
      </c>
      <c r="BH144" s="138">
        <v>41791.0</v>
      </c>
      <c r="BI144" s="138">
        <v>41821.0</v>
      </c>
      <c r="BJ144" s="138">
        <v>41852.0</v>
      </c>
      <c r="BK144" s="138">
        <v>41883.0</v>
      </c>
      <c r="BL144" s="138">
        <v>41913.0</v>
      </c>
      <c r="BM144" s="138">
        <v>41944.0</v>
      </c>
      <c r="BN144" s="138">
        <v>41974.0</v>
      </c>
      <c r="BO144" s="138">
        <v>42005.0</v>
      </c>
      <c r="BP144" s="138">
        <v>42036.0</v>
      </c>
      <c r="BQ144" s="138">
        <v>42064.0</v>
      </c>
      <c r="BR144" s="138">
        <v>42095.0</v>
      </c>
      <c r="BS144" s="138">
        <v>42125.0</v>
      </c>
      <c r="BT144" s="138">
        <v>42156.0</v>
      </c>
      <c r="BU144" s="138">
        <v>42186.0</v>
      </c>
      <c r="BV144" s="138">
        <v>42217.0</v>
      </c>
      <c r="BW144" s="138">
        <v>42248.0</v>
      </c>
      <c r="BX144" s="138">
        <v>42278.0</v>
      </c>
      <c r="BY144" s="138">
        <v>42309.0</v>
      </c>
      <c r="BZ144" s="138">
        <v>42339.0</v>
      </c>
      <c r="CA144" s="138">
        <v>42370.0</v>
      </c>
      <c r="CB144" s="138">
        <v>42401.0</v>
      </c>
      <c r="CC144" s="138">
        <v>42430.0</v>
      </c>
      <c r="CD144" s="138">
        <v>42461.0</v>
      </c>
      <c r="CE144" s="138">
        <v>42491.0</v>
      </c>
      <c r="CF144" s="138">
        <v>42522.0</v>
      </c>
      <c r="CG144" s="138">
        <v>42552.0</v>
      </c>
      <c r="CH144" s="138">
        <v>42583.0</v>
      </c>
      <c r="CI144" s="138">
        <v>42614.0</v>
      </c>
      <c r="CJ144" s="138">
        <v>42644.0</v>
      </c>
      <c r="CK144" s="138">
        <v>42675.0</v>
      </c>
      <c r="CL144" s="138">
        <v>42705.0</v>
      </c>
      <c r="CM144" s="138">
        <v>42736.0</v>
      </c>
      <c r="CN144" s="138">
        <v>42767.0</v>
      </c>
      <c r="CO144" s="138">
        <v>42795.0</v>
      </c>
      <c r="CP144" s="138">
        <v>42826.0</v>
      </c>
      <c r="CQ144" s="138">
        <v>42856.0</v>
      </c>
      <c r="CR144" s="138">
        <v>42887.0</v>
      </c>
      <c r="CS144" s="138">
        <v>42917.0</v>
      </c>
      <c r="CT144" s="138">
        <v>42948.0</v>
      </c>
      <c r="CU144" s="138">
        <v>42979.0</v>
      </c>
      <c r="CV144" s="138">
        <v>43009.0</v>
      </c>
      <c r="CW144" s="138">
        <v>43040.0</v>
      </c>
      <c r="CX144" s="138">
        <v>43070.0</v>
      </c>
      <c r="CY144" s="138">
        <v>43101.0</v>
      </c>
      <c r="CZ144" s="138">
        <v>43132.0</v>
      </c>
      <c r="DA144" s="138">
        <v>43160.0</v>
      </c>
      <c r="DB144" s="138">
        <v>43191.0</v>
      </c>
      <c r="DC144" s="138">
        <v>43221.0</v>
      </c>
      <c r="DD144" s="138">
        <v>43252.0</v>
      </c>
      <c r="DE144" s="138">
        <v>43282.0</v>
      </c>
      <c r="DF144" s="138">
        <v>43313.0</v>
      </c>
      <c r="DG144" s="138">
        <v>43344.0</v>
      </c>
      <c r="DH144" s="138">
        <v>43374.0</v>
      </c>
      <c r="DI144" s="138">
        <v>43405.0</v>
      </c>
      <c r="DJ144" s="138">
        <v>43435.0</v>
      </c>
      <c r="DK144" s="138">
        <v>43466.0</v>
      </c>
      <c r="DL144" s="138">
        <v>43497.0</v>
      </c>
      <c r="DM144" s="138">
        <v>43525.0</v>
      </c>
      <c r="DN144" s="138">
        <v>43556.0</v>
      </c>
      <c r="DO144" s="138">
        <v>43586.0</v>
      </c>
      <c r="DP144" s="138">
        <v>43617.0</v>
      </c>
      <c r="DQ144" s="138">
        <v>43647.0</v>
      </c>
      <c r="DR144" s="138">
        <v>43678.0</v>
      </c>
      <c r="DS144" s="138">
        <v>43709.0</v>
      </c>
      <c r="DT144" s="138">
        <v>43739.0</v>
      </c>
      <c r="DU144" s="138">
        <v>43770.0</v>
      </c>
      <c r="DV144" s="138">
        <v>43800.0</v>
      </c>
      <c r="DW144" s="138">
        <v>43831.0</v>
      </c>
      <c r="DX144" s="138">
        <v>43862.0</v>
      </c>
      <c r="DY144" s="138">
        <v>43891.0</v>
      </c>
      <c r="DZ144" s="138">
        <v>43922.0</v>
      </c>
      <c r="EA144" s="138">
        <v>43952.0</v>
      </c>
      <c r="EB144" s="138">
        <v>43983.0</v>
      </c>
      <c r="EC144" s="138">
        <v>44013.0</v>
      </c>
      <c r="ED144" s="138">
        <v>44044.0</v>
      </c>
      <c r="EE144" s="138">
        <v>44075.0</v>
      </c>
      <c r="EF144" s="138">
        <v>44105.0</v>
      </c>
      <c r="EG144" s="138">
        <v>44136.0</v>
      </c>
      <c r="EH144" s="138">
        <v>44166.0</v>
      </c>
      <c r="EI144" s="138">
        <v>44197.0</v>
      </c>
      <c r="EJ144" s="138">
        <v>44228.0</v>
      </c>
      <c r="EK144" s="138">
        <v>44256.0</v>
      </c>
      <c r="EL144" s="138">
        <v>44287.0</v>
      </c>
      <c r="EM144" s="138">
        <v>44317.0</v>
      </c>
      <c r="EN144" s="138">
        <v>44348.0</v>
      </c>
      <c r="EO144" s="138">
        <v>44378.0</v>
      </c>
      <c r="EP144" s="138">
        <v>44409.0</v>
      </c>
      <c r="EQ144" s="138">
        <v>44440.0</v>
      </c>
      <c r="ER144" s="138">
        <v>44470.0</v>
      </c>
      <c r="ES144" s="138">
        <v>44501.0</v>
      </c>
      <c r="ET144" s="138">
        <v>44531.0</v>
      </c>
      <c r="EU144" s="138">
        <v>44562.0</v>
      </c>
      <c r="EV144" s="138">
        <v>44593.0</v>
      </c>
      <c r="EW144" s="138">
        <v>44621.0</v>
      </c>
      <c r="EX144" s="138">
        <v>44652.0</v>
      </c>
      <c r="EY144" s="138">
        <v>44682.0</v>
      </c>
      <c r="EZ144" s="138">
        <v>44713.0</v>
      </c>
      <c r="FA144" s="139">
        <v>44743.0</v>
      </c>
      <c r="FB144" s="139">
        <v>44774.0</v>
      </c>
      <c r="FC144" s="139">
        <v>44805.0</v>
      </c>
      <c r="FD144" s="139">
        <v>44835.0</v>
      </c>
      <c r="FE144" s="139">
        <v>44866.0</v>
      </c>
      <c r="FF144" s="139">
        <v>44896.0</v>
      </c>
      <c r="FG144" s="139">
        <v>44927.0</v>
      </c>
      <c r="FH144" s="139">
        <v>44958.0</v>
      </c>
      <c r="FI144" s="139">
        <v>44986.0</v>
      </c>
      <c r="FJ144" s="139">
        <v>45017.0</v>
      </c>
      <c r="FK144" s="139">
        <v>45047.0</v>
      </c>
      <c r="FL144" s="139">
        <v>45078.0</v>
      </c>
      <c r="FM144" s="139">
        <v>45108.0</v>
      </c>
      <c r="FN144" s="139">
        <v>45139.0</v>
      </c>
      <c r="FO144" s="139">
        <v>45170.0</v>
      </c>
      <c r="FP144" s="139">
        <v>45200.0</v>
      </c>
      <c r="FQ144" s="139">
        <v>45231.0</v>
      </c>
      <c r="FR144" s="139">
        <v>45261.0</v>
      </c>
      <c r="FS144" s="139">
        <v>45292.0</v>
      </c>
      <c r="FT144" s="139">
        <v>45323.0</v>
      </c>
      <c r="FU144" s="139">
        <v>45352.0</v>
      </c>
      <c r="FV144" s="139">
        <v>45383.0</v>
      </c>
      <c r="FW144" s="139">
        <v>45413.0</v>
      </c>
      <c r="FX144" s="139">
        <v>45444.0</v>
      </c>
      <c r="FY144" s="139">
        <v>45474.0</v>
      </c>
      <c r="FZ144" s="139">
        <v>45505.0</v>
      </c>
      <c r="GA144" s="139">
        <v>45536.0</v>
      </c>
      <c r="GB144" s="139">
        <v>45566.0</v>
      </c>
      <c r="GC144" s="139">
        <v>45597.0</v>
      </c>
      <c r="GD144" s="139">
        <v>45627.0</v>
      </c>
      <c r="GE144" s="139">
        <v>45658.0</v>
      </c>
      <c r="GF144" s="139">
        <v>45689.0</v>
      </c>
      <c r="GG144" s="139">
        <v>45717.0</v>
      </c>
      <c r="GH144" s="139">
        <v>45748.0</v>
      </c>
      <c r="GI144" s="139">
        <v>45778.0</v>
      </c>
      <c r="GJ144" s="139">
        <v>45809.0</v>
      </c>
      <c r="GK144" s="139">
        <v>45839.0</v>
      </c>
    </row>
    <row r="145">
      <c r="A145" s="132" t="s">
        <v>34159</v>
      </c>
      <c r="B145" s="133" t="s">
        <v>1227</v>
      </c>
      <c r="C145" s="134">
        <v>44726.74592592593</v>
      </c>
      <c r="D145" s="135" t="str">
        <f t="shared" si="1"/>
        <v>2022/06/14</v>
      </c>
      <c r="E145" s="136" t="s">
        <v>34160</v>
      </c>
      <c r="F145" s="137">
        <v>7.7E-4</v>
      </c>
      <c r="G145" s="138">
        <v>40179.0</v>
      </c>
      <c r="H145" s="138">
        <v>40210.0</v>
      </c>
      <c r="I145" s="138">
        <v>40238.0</v>
      </c>
      <c r="J145" s="138">
        <v>40269.0</v>
      </c>
      <c r="K145" s="138">
        <v>40299.0</v>
      </c>
      <c r="L145" s="138">
        <v>40330.0</v>
      </c>
      <c r="M145" s="138">
        <v>40360.0</v>
      </c>
      <c r="N145" s="138">
        <v>40391.0</v>
      </c>
      <c r="O145" s="138">
        <v>40422.0</v>
      </c>
      <c r="P145" s="138">
        <v>40452.0</v>
      </c>
      <c r="Q145" s="138">
        <v>40483.0</v>
      </c>
      <c r="R145" s="138">
        <v>40513.0</v>
      </c>
      <c r="S145" s="138">
        <v>40544.0</v>
      </c>
      <c r="T145" s="138">
        <v>40575.0</v>
      </c>
      <c r="U145" s="138">
        <v>40603.0</v>
      </c>
      <c r="V145" s="138">
        <v>40634.0</v>
      </c>
      <c r="W145" s="138">
        <v>40664.0</v>
      </c>
      <c r="X145" s="138">
        <v>40695.0</v>
      </c>
      <c r="Y145" s="138">
        <v>40725.0</v>
      </c>
      <c r="Z145" s="138">
        <v>40756.0</v>
      </c>
      <c r="AA145" s="138">
        <v>40787.0</v>
      </c>
      <c r="AB145" s="138">
        <v>40817.0</v>
      </c>
      <c r="AC145" s="138">
        <v>40848.0</v>
      </c>
      <c r="AD145" s="138">
        <v>40878.0</v>
      </c>
      <c r="AE145" s="138">
        <v>40909.0</v>
      </c>
      <c r="AF145" s="138">
        <v>40940.0</v>
      </c>
      <c r="AG145" s="138">
        <v>40969.0</v>
      </c>
      <c r="AH145" s="138">
        <v>41000.0</v>
      </c>
      <c r="AI145" s="138">
        <v>41030.0</v>
      </c>
      <c r="AJ145" s="138">
        <v>41061.0</v>
      </c>
      <c r="AK145" s="138">
        <v>41091.0</v>
      </c>
      <c r="AL145" s="138">
        <v>41122.0</v>
      </c>
      <c r="AM145" s="138">
        <v>41153.0</v>
      </c>
      <c r="AN145" s="138">
        <v>41183.0</v>
      </c>
      <c r="AO145" s="138">
        <v>41214.0</v>
      </c>
      <c r="AP145" s="138">
        <v>41244.0</v>
      </c>
      <c r="AQ145" s="138">
        <v>41275.0</v>
      </c>
      <c r="AR145" s="138">
        <v>41306.0</v>
      </c>
      <c r="AS145" s="138">
        <v>41334.0</v>
      </c>
      <c r="AT145" s="138">
        <v>41365.0</v>
      </c>
      <c r="AU145" s="138">
        <v>41395.0</v>
      </c>
      <c r="AV145" s="138">
        <v>41426.0</v>
      </c>
      <c r="AW145" s="138">
        <v>41456.0</v>
      </c>
      <c r="AX145" s="138">
        <v>41487.0</v>
      </c>
      <c r="AY145" s="138">
        <v>41518.0</v>
      </c>
      <c r="AZ145" s="138">
        <v>41548.0</v>
      </c>
      <c r="BA145" s="138">
        <v>41579.0</v>
      </c>
      <c r="BB145" s="138">
        <v>41609.0</v>
      </c>
      <c r="BC145" s="138">
        <v>41640.0</v>
      </c>
      <c r="BD145" s="138">
        <v>41671.0</v>
      </c>
      <c r="BE145" s="138">
        <v>41699.0</v>
      </c>
      <c r="BF145" s="138">
        <v>41730.0</v>
      </c>
      <c r="BG145" s="138">
        <v>41760.0</v>
      </c>
      <c r="BH145" s="138">
        <v>41791.0</v>
      </c>
      <c r="BI145" s="138">
        <v>41821.0</v>
      </c>
      <c r="BJ145" s="138">
        <v>41852.0</v>
      </c>
      <c r="BK145" s="138">
        <v>41883.0</v>
      </c>
      <c r="BL145" s="138">
        <v>41913.0</v>
      </c>
      <c r="BM145" s="138">
        <v>41944.0</v>
      </c>
      <c r="BN145" s="138">
        <v>41974.0</v>
      </c>
      <c r="BO145" s="138">
        <v>42005.0</v>
      </c>
      <c r="BP145" s="138">
        <v>42036.0</v>
      </c>
      <c r="BQ145" s="138">
        <v>42064.0</v>
      </c>
      <c r="BR145" s="138">
        <v>42095.0</v>
      </c>
      <c r="BS145" s="138">
        <v>42125.0</v>
      </c>
      <c r="BT145" s="138">
        <v>42156.0</v>
      </c>
      <c r="BU145" s="138">
        <v>42186.0</v>
      </c>
      <c r="BV145" s="138">
        <v>42217.0</v>
      </c>
      <c r="BW145" s="138">
        <v>42248.0</v>
      </c>
      <c r="BX145" s="138">
        <v>42278.0</v>
      </c>
      <c r="BY145" s="138">
        <v>42309.0</v>
      </c>
      <c r="BZ145" s="138">
        <v>42339.0</v>
      </c>
      <c r="CA145" s="138">
        <v>42370.0</v>
      </c>
      <c r="CB145" s="138">
        <v>42401.0</v>
      </c>
      <c r="CC145" s="138">
        <v>42430.0</v>
      </c>
      <c r="CD145" s="138">
        <v>42461.0</v>
      </c>
      <c r="CE145" s="138">
        <v>42491.0</v>
      </c>
      <c r="CF145" s="138">
        <v>42522.0</v>
      </c>
      <c r="CG145" s="138">
        <v>42552.0</v>
      </c>
      <c r="CH145" s="138">
        <v>42583.0</v>
      </c>
      <c r="CI145" s="138">
        <v>42614.0</v>
      </c>
      <c r="CJ145" s="138">
        <v>42644.0</v>
      </c>
      <c r="CK145" s="138">
        <v>42675.0</v>
      </c>
      <c r="CL145" s="138">
        <v>42705.0</v>
      </c>
      <c r="CM145" s="138">
        <v>42736.0</v>
      </c>
      <c r="CN145" s="138">
        <v>42767.0</v>
      </c>
      <c r="CO145" s="138">
        <v>42795.0</v>
      </c>
      <c r="CP145" s="138">
        <v>42826.0</v>
      </c>
      <c r="CQ145" s="138">
        <v>42856.0</v>
      </c>
      <c r="CR145" s="138">
        <v>42887.0</v>
      </c>
      <c r="CS145" s="138">
        <v>42917.0</v>
      </c>
      <c r="CT145" s="138">
        <v>42948.0</v>
      </c>
      <c r="CU145" s="138">
        <v>42979.0</v>
      </c>
      <c r="CV145" s="138">
        <v>43009.0</v>
      </c>
      <c r="CW145" s="138">
        <v>43040.0</v>
      </c>
      <c r="CX145" s="138">
        <v>43070.0</v>
      </c>
      <c r="CY145" s="138">
        <v>43101.0</v>
      </c>
      <c r="CZ145" s="138">
        <v>43132.0</v>
      </c>
      <c r="DA145" s="138">
        <v>43160.0</v>
      </c>
      <c r="DB145" s="138">
        <v>43191.0</v>
      </c>
      <c r="DC145" s="138">
        <v>43221.0</v>
      </c>
      <c r="DD145" s="138">
        <v>43252.0</v>
      </c>
      <c r="DE145" s="138">
        <v>43282.0</v>
      </c>
      <c r="DF145" s="138">
        <v>43313.0</v>
      </c>
      <c r="DG145" s="138">
        <v>43344.0</v>
      </c>
      <c r="DH145" s="138">
        <v>43374.0</v>
      </c>
      <c r="DI145" s="138">
        <v>43405.0</v>
      </c>
      <c r="DJ145" s="138">
        <v>43435.0</v>
      </c>
      <c r="DK145" s="138">
        <v>43466.0</v>
      </c>
      <c r="DL145" s="138">
        <v>43497.0</v>
      </c>
      <c r="DM145" s="138">
        <v>43525.0</v>
      </c>
      <c r="DN145" s="138">
        <v>43556.0</v>
      </c>
      <c r="DO145" s="138">
        <v>43586.0</v>
      </c>
      <c r="DP145" s="138">
        <v>43617.0</v>
      </c>
      <c r="DQ145" s="138">
        <v>43647.0</v>
      </c>
      <c r="DR145" s="138">
        <v>43678.0</v>
      </c>
      <c r="DS145" s="138">
        <v>43709.0</v>
      </c>
      <c r="DT145" s="138">
        <v>43739.0</v>
      </c>
      <c r="DU145" s="138">
        <v>43770.0</v>
      </c>
      <c r="DV145" s="138">
        <v>43800.0</v>
      </c>
      <c r="DW145" s="138">
        <v>43831.0</v>
      </c>
      <c r="DX145" s="138">
        <v>43862.0</v>
      </c>
      <c r="DY145" s="138">
        <v>43891.0</v>
      </c>
      <c r="DZ145" s="138">
        <v>43922.0</v>
      </c>
      <c r="EA145" s="138">
        <v>43952.0</v>
      </c>
      <c r="EB145" s="138">
        <v>43983.0</v>
      </c>
      <c r="EC145" s="138">
        <v>44013.0</v>
      </c>
      <c r="ED145" s="138">
        <v>44044.0</v>
      </c>
      <c r="EE145" s="138">
        <v>44075.0</v>
      </c>
      <c r="EF145" s="138">
        <v>44105.0</v>
      </c>
      <c r="EG145" s="138">
        <v>44136.0</v>
      </c>
      <c r="EH145" s="138">
        <v>44166.0</v>
      </c>
      <c r="EI145" s="138">
        <v>44197.0</v>
      </c>
      <c r="EJ145" s="138">
        <v>44228.0</v>
      </c>
      <c r="EK145" s="138">
        <v>44256.0</v>
      </c>
      <c r="EL145" s="138">
        <v>44287.0</v>
      </c>
      <c r="EM145" s="138">
        <v>44317.0</v>
      </c>
      <c r="EN145" s="138">
        <v>44348.0</v>
      </c>
      <c r="EO145" s="138">
        <v>44378.0</v>
      </c>
      <c r="EP145" s="138">
        <v>44409.0</v>
      </c>
      <c r="EQ145" s="138">
        <v>44440.0</v>
      </c>
      <c r="ER145" s="138">
        <v>44470.0</v>
      </c>
      <c r="ES145" s="138">
        <v>44501.0</v>
      </c>
      <c r="ET145" s="138">
        <v>44531.0</v>
      </c>
      <c r="EU145" s="138">
        <v>44562.0</v>
      </c>
      <c r="EV145" s="138">
        <v>44593.0</v>
      </c>
      <c r="EW145" s="138">
        <v>44621.0</v>
      </c>
      <c r="EX145" s="138">
        <v>44652.0</v>
      </c>
      <c r="EY145" s="138">
        <v>44682.0</v>
      </c>
      <c r="EZ145" s="138">
        <v>44713.0</v>
      </c>
      <c r="FA145" s="139">
        <v>44743.0</v>
      </c>
      <c r="FB145" s="139">
        <v>44774.0</v>
      </c>
      <c r="FC145" s="139">
        <v>44805.0</v>
      </c>
      <c r="FD145" s="139">
        <v>44835.0</v>
      </c>
      <c r="FE145" s="139">
        <v>44866.0</v>
      </c>
      <c r="FF145" s="139">
        <v>44896.0</v>
      </c>
      <c r="FG145" s="139">
        <v>44927.0</v>
      </c>
      <c r="FH145" s="139">
        <v>44958.0</v>
      </c>
      <c r="FI145" s="139">
        <v>44986.0</v>
      </c>
      <c r="FJ145" s="139">
        <v>45017.0</v>
      </c>
      <c r="FK145" s="139">
        <v>45047.0</v>
      </c>
      <c r="FL145" s="139">
        <v>45078.0</v>
      </c>
      <c r="FM145" s="139">
        <v>45108.0</v>
      </c>
      <c r="FN145" s="139">
        <v>45139.0</v>
      </c>
      <c r="FO145" s="139">
        <v>45170.0</v>
      </c>
      <c r="FP145" s="139">
        <v>45200.0</v>
      </c>
      <c r="FQ145" s="139">
        <v>45231.0</v>
      </c>
      <c r="FR145" s="139">
        <v>45261.0</v>
      </c>
      <c r="FS145" s="139">
        <v>45292.0</v>
      </c>
      <c r="FT145" s="139">
        <v>45323.0</v>
      </c>
      <c r="FU145" s="139">
        <v>45352.0</v>
      </c>
      <c r="FV145" s="139">
        <v>45383.0</v>
      </c>
      <c r="FW145" s="139">
        <v>45413.0</v>
      </c>
      <c r="FX145" s="139">
        <v>45444.0</v>
      </c>
      <c r="FY145" s="139">
        <v>45474.0</v>
      </c>
      <c r="FZ145" s="139">
        <v>45505.0</v>
      </c>
      <c r="GA145" s="139">
        <v>45536.0</v>
      </c>
      <c r="GB145" s="139">
        <v>45566.0</v>
      </c>
      <c r="GC145" s="139">
        <v>45597.0</v>
      </c>
      <c r="GD145" s="139">
        <v>45627.0</v>
      </c>
      <c r="GE145" s="139">
        <v>45658.0</v>
      </c>
      <c r="GF145" s="139">
        <v>45689.0</v>
      </c>
      <c r="GG145" s="139">
        <v>45717.0</v>
      </c>
      <c r="GH145" s="139">
        <v>45748.0</v>
      </c>
      <c r="GI145" s="139">
        <v>45778.0</v>
      </c>
      <c r="GJ145" s="139">
        <v>45809.0</v>
      </c>
      <c r="GK145" s="139">
        <v>45839.0</v>
      </c>
    </row>
    <row r="146">
      <c r="A146" s="132" t="s">
        <v>34161</v>
      </c>
      <c r="B146" s="133" t="s">
        <v>1283</v>
      </c>
      <c r="C146" s="134">
        <v>44764.697280092594</v>
      </c>
      <c r="D146" s="135" t="str">
        <f t="shared" si="1"/>
        <v>2022/07/22</v>
      </c>
      <c r="E146" s="136" t="s">
        <v>33912</v>
      </c>
      <c r="F146" s="137">
        <v>0.0</v>
      </c>
      <c r="G146" s="138">
        <v>40179.0</v>
      </c>
      <c r="H146" s="138">
        <v>40210.0</v>
      </c>
      <c r="I146" s="138">
        <v>40238.0</v>
      </c>
      <c r="J146" s="138">
        <v>40269.0</v>
      </c>
      <c r="K146" s="138">
        <v>40299.0</v>
      </c>
      <c r="L146" s="138">
        <v>40330.0</v>
      </c>
      <c r="M146" s="138">
        <v>40360.0</v>
      </c>
      <c r="N146" s="138">
        <v>40391.0</v>
      </c>
      <c r="O146" s="138">
        <v>40422.0</v>
      </c>
      <c r="P146" s="138">
        <v>40452.0</v>
      </c>
      <c r="Q146" s="138">
        <v>40483.0</v>
      </c>
      <c r="R146" s="138">
        <v>40513.0</v>
      </c>
      <c r="S146" s="138">
        <v>40544.0</v>
      </c>
      <c r="T146" s="138">
        <v>40575.0</v>
      </c>
      <c r="U146" s="138">
        <v>40603.0</v>
      </c>
      <c r="V146" s="138">
        <v>40634.0</v>
      </c>
      <c r="W146" s="138">
        <v>40664.0</v>
      </c>
      <c r="X146" s="138">
        <v>40695.0</v>
      </c>
      <c r="Y146" s="138">
        <v>40725.0</v>
      </c>
      <c r="Z146" s="138">
        <v>40756.0</v>
      </c>
      <c r="AA146" s="138">
        <v>40787.0</v>
      </c>
      <c r="AB146" s="138">
        <v>40817.0</v>
      </c>
      <c r="AC146" s="138">
        <v>40848.0</v>
      </c>
      <c r="AD146" s="138">
        <v>40878.0</v>
      </c>
      <c r="AE146" s="138">
        <v>40909.0</v>
      </c>
      <c r="AF146" s="138">
        <v>40940.0</v>
      </c>
      <c r="AG146" s="138">
        <v>40969.0</v>
      </c>
      <c r="AH146" s="138">
        <v>41000.0</v>
      </c>
      <c r="AI146" s="138">
        <v>41030.0</v>
      </c>
      <c r="AJ146" s="138">
        <v>41061.0</v>
      </c>
      <c r="AK146" s="138">
        <v>41091.0</v>
      </c>
      <c r="AL146" s="138">
        <v>41122.0</v>
      </c>
      <c r="AM146" s="138">
        <v>41153.0</v>
      </c>
      <c r="AN146" s="138">
        <v>41183.0</v>
      </c>
      <c r="AO146" s="138">
        <v>41214.0</v>
      </c>
      <c r="AP146" s="138">
        <v>41244.0</v>
      </c>
      <c r="AQ146" s="138">
        <v>41275.0</v>
      </c>
      <c r="AR146" s="138">
        <v>41306.0</v>
      </c>
      <c r="AS146" s="138">
        <v>41334.0</v>
      </c>
      <c r="AT146" s="138">
        <v>41365.0</v>
      </c>
      <c r="AU146" s="138">
        <v>41395.0</v>
      </c>
      <c r="AV146" s="138">
        <v>41426.0</v>
      </c>
      <c r="AW146" s="138">
        <v>41456.0</v>
      </c>
      <c r="AX146" s="138">
        <v>41487.0</v>
      </c>
      <c r="AY146" s="138">
        <v>41518.0</v>
      </c>
      <c r="AZ146" s="138">
        <v>41548.0</v>
      </c>
      <c r="BA146" s="138">
        <v>41579.0</v>
      </c>
      <c r="BB146" s="138">
        <v>41609.0</v>
      </c>
      <c r="BC146" s="138">
        <v>41640.0</v>
      </c>
      <c r="BD146" s="138">
        <v>41671.0</v>
      </c>
      <c r="BE146" s="138">
        <v>41699.0</v>
      </c>
      <c r="BF146" s="138">
        <v>41730.0</v>
      </c>
      <c r="BG146" s="138">
        <v>41760.0</v>
      </c>
      <c r="BH146" s="138">
        <v>41791.0</v>
      </c>
      <c r="BI146" s="138">
        <v>41821.0</v>
      </c>
      <c r="BJ146" s="138">
        <v>41852.0</v>
      </c>
      <c r="BK146" s="138">
        <v>41883.0</v>
      </c>
      <c r="BL146" s="138">
        <v>41913.0</v>
      </c>
      <c r="BM146" s="138">
        <v>41944.0</v>
      </c>
      <c r="BN146" s="138">
        <v>41974.0</v>
      </c>
      <c r="BO146" s="138">
        <v>42005.0</v>
      </c>
      <c r="BP146" s="138">
        <v>42036.0</v>
      </c>
      <c r="BQ146" s="138">
        <v>42064.0</v>
      </c>
      <c r="BR146" s="138">
        <v>42095.0</v>
      </c>
      <c r="BS146" s="138">
        <v>42125.0</v>
      </c>
      <c r="BT146" s="138">
        <v>42156.0</v>
      </c>
      <c r="BU146" s="138">
        <v>42186.0</v>
      </c>
      <c r="BV146" s="138">
        <v>42217.0</v>
      </c>
      <c r="BW146" s="138">
        <v>42248.0</v>
      </c>
      <c r="BX146" s="138">
        <v>42278.0</v>
      </c>
      <c r="BY146" s="138">
        <v>42309.0</v>
      </c>
      <c r="BZ146" s="138">
        <v>42339.0</v>
      </c>
      <c r="CA146" s="138">
        <v>42370.0</v>
      </c>
      <c r="CB146" s="138">
        <v>42401.0</v>
      </c>
      <c r="CC146" s="138">
        <v>42430.0</v>
      </c>
      <c r="CD146" s="138">
        <v>42461.0</v>
      </c>
      <c r="CE146" s="138">
        <v>42491.0</v>
      </c>
      <c r="CF146" s="138">
        <v>42522.0</v>
      </c>
      <c r="CG146" s="138">
        <v>42552.0</v>
      </c>
      <c r="CH146" s="138">
        <v>42583.0</v>
      </c>
      <c r="CI146" s="138">
        <v>42614.0</v>
      </c>
      <c r="CJ146" s="138">
        <v>42644.0</v>
      </c>
      <c r="CK146" s="138">
        <v>42675.0</v>
      </c>
      <c r="CL146" s="138">
        <v>42705.0</v>
      </c>
      <c r="CM146" s="138">
        <v>42736.0</v>
      </c>
      <c r="CN146" s="138">
        <v>42767.0</v>
      </c>
      <c r="CO146" s="138">
        <v>42795.0</v>
      </c>
      <c r="CP146" s="138">
        <v>42826.0</v>
      </c>
      <c r="CQ146" s="138">
        <v>42856.0</v>
      </c>
      <c r="CR146" s="138">
        <v>42887.0</v>
      </c>
      <c r="CS146" s="138">
        <v>42917.0</v>
      </c>
      <c r="CT146" s="138">
        <v>42948.0</v>
      </c>
      <c r="CU146" s="138">
        <v>42979.0</v>
      </c>
      <c r="CV146" s="138">
        <v>43009.0</v>
      </c>
      <c r="CW146" s="138">
        <v>43040.0</v>
      </c>
      <c r="CX146" s="138">
        <v>43070.0</v>
      </c>
      <c r="CY146" s="138">
        <v>43101.0</v>
      </c>
      <c r="CZ146" s="138">
        <v>43132.0</v>
      </c>
      <c r="DA146" s="138">
        <v>43160.0</v>
      </c>
      <c r="DB146" s="138">
        <v>43191.0</v>
      </c>
      <c r="DC146" s="138">
        <v>43221.0</v>
      </c>
      <c r="DD146" s="138">
        <v>43252.0</v>
      </c>
      <c r="DE146" s="138">
        <v>43282.0</v>
      </c>
      <c r="DF146" s="138">
        <v>43313.0</v>
      </c>
      <c r="DG146" s="138">
        <v>43344.0</v>
      </c>
      <c r="DH146" s="138">
        <v>43374.0</v>
      </c>
      <c r="DI146" s="138">
        <v>43405.0</v>
      </c>
      <c r="DJ146" s="138">
        <v>43435.0</v>
      </c>
      <c r="DK146" s="138">
        <v>43466.0</v>
      </c>
      <c r="DL146" s="138">
        <v>43497.0</v>
      </c>
      <c r="DM146" s="138">
        <v>43525.0</v>
      </c>
      <c r="DN146" s="138">
        <v>43556.0</v>
      </c>
      <c r="DO146" s="138">
        <v>43586.0</v>
      </c>
      <c r="DP146" s="138">
        <v>43617.0</v>
      </c>
      <c r="DQ146" s="138">
        <v>43647.0</v>
      </c>
      <c r="DR146" s="138">
        <v>43678.0</v>
      </c>
      <c r="DS146" s="138">
        <v>43709.0</v>
      </c>
      <c r="DT146" s="138">
        <v>43739.0</v>
      </c>
      <c r="DU146" s="138">
        <v>43770.0</v>
      </c>
      <c r="DV146" s="138">
        <v>43800.0</v>
      </c>
      <c r="DW146" s="138">
        <v>43831.0</v>
      </c>
      <c r="DX146" s="138">
        <v>43862.0</v>
      </c>
      <c r="DY146" s="138">
        <v>43891.0</v>
      </c>
      <c r="DZ146" s="138">
        <v>43922.0</v>
      </c>
      <c r="EA146" s="138">
        <v>43952.0</v>
      </c>
      <c r="EB146" s="138">
        <v>43983.0</v>
      </c>
      <c r="EC146" s="138">
        <v>44013.0</v>
      </c>
      <c r="ED146" s="138">
        <v>44044.0</v>
      </c>
      <c r="EE146" s="138">
        <v>44075.0</v>
      </c>
      <c r="EF146" s="138">
        <v>44105.0</v>
      </c>
      <c r="EG146" s="138">
        <v>44136.0</v>
      </c>
      <c r="EH146" s="138">
        <v>44166.0</v>
      </c>
      <c r="EI146" s="138">
        <v>44197.0</v>
      </c>
      <c r="EJ146" s="138">
        <v>44228.0</v>
      </c>
      <c r="EK146" s="138">
        <v>44256.0</v>
      </c>
      <c r="EL146" s="138">
        <v>44287.0</v>
      </c>
      <c r="EM146" s="138">
        <v>44317.0</v>
      </c>
      <c r="EN146" s="138">
        <v>44348.0</v>
      </c>
      <c r="EO146" s="138">
        <v>44378.0</v>
      </c>
      <c r="EP146" s="138">
        <v>44409.0</v>
      </c>
      <c r="EQ146" s="138">
        <v>44440.0</v>
      </c>
      <c r="ER146" s="138">
        <v>44470.0</v>
      </c>
      <c r="ES146" s="138">
        <v>44501.0</v>
      </c>
      <c r="ET146" s="138">
        <v>44531.0</v>
      </c>
      <c r="EU146" s="138">
        <v>44562.0</v>
      </c>
      <c r="EV146" s="138">
        <v>44593.0</v>
      </c>
      <c r="EW146" s="138">
        <v>44621.0</v>
      </c>
      <c r="EX146" s="138">
        <v>44652.0</v>
      </c>
      <c r="EY146" s="138">
        <v>44682.0</v>
      </c>
      <c r="EZ146" s="138">
        <v>44713.0</v>
      </c>
      <c r="FA146" s="138">
        <v>44743.0</v>
      </c>
      <c r="FB146" s="139">
        <v>44774.0</v>
      </c>
      <c r="FC146" s="139">
        <v>44805.0</v>
      </c>
      <c r="FD146" s="139">
        <v>44835.0</v>
      </c>
      <c r="FE146" s="139">
        <v>44866.0</v>
      </c>
      <c r="FF146" s="139">
        <v>44896.0</v>
      </c>
      <c r="FG146" s="139">
        <v>44927.0</v>
      </c>
      <c r="FH146" s="139">
        <v>44958.0</v>
      </c>
      <c r="FI146" s="139">
        <v>44986.0</v>
      </c>
      <c r="FJ146" s="139">
        <v>45017.0</v>
      </c>
      <c r="FK146" s="139">
        <v>45047.0</v>
      </c>
      <c r="FL146" s="139">
        <v>45078.0</v>
      </c>
      <c r="FM146" s="139">
        <v>45108.0</v>
      </c>
      <c r="FN146" s="139">
        <v>45139.0</v>
      </c>
      <c r="FO146" s="139">
        <v>45170.0</v>
      </c>
      <c r="FP146" s="139">
        <v>45200.0</v>
      </c>
      <c r="FQ146" s="139">
        <v>45231.0</v>
      </c>
      <c r="FR146" s="139">
        <v>45261.0</v>
      </c>
      <c r="FS146" s="139">
        <v>45292.0</v>
      </c>
      <c r="FT146" s="139">
        <v>45323.0</v>
      </c>
      <c r="FU146" s="139">
        <v>45352.0</v>
      </c>
      <c r="FV146" s="139">
        <v>45383.0</v>
      </c>
      <c r="FW146" s="139">
        <v>45413.0</v>
      </c>
      <c r="FX146" s="139">
        <v>45444.0</v>
      </c>
      <c r="FY146" s="139">
        <v>45474.0</v>
      </c>
      <c r="FZ146" s="139">
        <v>45505.0</v>
      </c>
      <c r="GA146" s="139">
        <v>45536.0</v>
      </c>
      <c r="GB146" s="139">
        <v>45566.0</v>
      </c>
      <c r="GC146" s="139">
        <v>45597.0</v>
      </c>
      <c r="GD146" s="139">
        <v>45627.0</v>
      </c>
      <c r="GE146" s="139">
        <v>45658.0</v>
      </c>
      <c r="GF146" s="139">
        <v>45689.0</v>
      </c>
      <c r="GG146" s="139">
        <v>45717.0</v>
      </c>
      <c r="GH146" s="139">
        <v>45748.0</v>
      </c>
      <c r="GI146" s="139">
        <v>45778.0</v>
      </c>
      <c r="GJ146" s="139">
        <v>45809.0</v>
      </c>
      <c r="GK146" s="139">
        <v>45839.0</v>
      </c>
    </row>
    <row r="147">
      <c r="A147" s="132" t="s">
        <v>34162</v>
      </c>
      <c r="B147" s="133" t="s">
        <v>1204</v>
      </c>
      <c r="C147" s="134">
        <v>44799.82908564815</v>
      </c>
      <c r="D147" s="135" t="str">
        <f t="shared" si="1"/>
        <v>2022/08/26</v>
      </c>
      <c r="E147" s="136" t="s">
        <v>34163</v>
      </c>
      <c r="F147" s="137">
        <v>0.01022</v>
      </c>
      <c r="G147" s="138">
        <v>40179.0</v>
      </c>
      <c r="H147" s="138">
        <v>40210.0</v>
      </c>
      <c r="I147" s="138">
        <v>40238.0</v>
      </c>
      <c r="J147" s="138">
        <v>40269.0</v>
      </c>
      <c r="K147" s="138">
        <v>40299.0</v>
      </c>
      <c r="L147" s="138">
        <v>40330.0</v>
      </c>
      <c r="M147" s="138">
        <v>40360.0</v>
      </c>
      <c r="N147" s="138">
        <v>40391.0</v>
      </c>
      <c r="O147" s="138">
        <v>40422.0</v>
      </c>
      <c r="P147" s="138">
        <v>40452.0</v>
      </c>
      <c r="Q147" s="138">
        <v>40483.0</v>
      </c>
      <c r="R147" s="138">
        <v>40513.0</v>
      </c>
      <c r="S147" s="138">
        <v>40544.0</v>
      </c>
      <c r="T147" s="138">
        <v>40575.0</v>
      </c>
      <c r="U147" s="138">
        <v>40603.0</v>
      </c>
      <c r="V147" s="138">
        <v>40634.0</v>
      </c>
      <c r="W147" s="138">
        <v>40664.0</v>
      </c>
      <c r="X147" s="138">
        <v>40695.0</v>
      </c>
      <c r="Y147" s="138">
        <v>40725.0</v>
      </c>
      <c r="Z147" s="138">
        <v>40756.0</v>
      </c>
      <c r="AA147" s="138">
        <v>40787.0</v>
      </c>
      <c r="AB147" s="138">
        <v>40817.0</v>
      </c>
      <c r="AC147" s="138">
        <v>40848.0</v>
      </c>
      <c r="AD147" s="138">
        <v>40878.0</v>
      </c>
      <c r="AE147" s="138">
        <v>40909.0</v>
      </c>
      <c r="AF147" s="138">
        <v>40940.0</v>
      </c>
      <c r="AG147" s="138">
        <v>40969.0</v>
      </c>
      <c r="AH147" s="138">
        <v>41000.0</v>
      </c>
      <c r="AI147" s="138">
        <v>41030.0</v>
      </c>
      <c r="AJ147" s="138">
        <v>41061.0</v>
      </c>
      <c r="AK147" s="138">
        <v>41091.0</v>
      </c>
      <c r="AL147" s="138">
        <v>41122.0</v>
      </c>
      <c r="AM147" s="138">
        <v>41153.0</v>
      </c>
      <c r="AN147" s="138">
        <v>41183.0</v>
      </c>
      <c r="AO147" s="138">
        <v>41214.0</v>
      </c>
      <c r="AP147" s="138">
        <v>41244.0</v>
      </c>
      <c r="AQ147" s="138">
        <v>41275.0</v>
      </c>
      <c r="AR147" s="138">
        <v>41306.0</v>
      </c>
      <c r="AS147" s="138">
        <v>41334.0</v>
      </c>
      <c r="AT147" s="138">
        <v>41365.0</v>
      </c>
      <c r="AU147" s="138">
        <v>41395.0</v>
      </c>
      <c r="AV147" s="138">
        <v>41426.0</v>
      </c>
      <c r="AW147" s="138">
        <v>41456.0</v>
      </c>
      <c r="AX147" s="138">
        <v>41487.0</v>
      </c>
      <c r="AY147" s="138">
        <v>41518.0</v>
      </c>
      <c r="AZ147" s="138">
        <v>41548.0</v>
      </c>
      <c r="BA147" s="138">
        <v>41579.0</v>
      </c>
      <c r="BB147" s="138">
        <v>41609.0</v>
      </c>
      <c r="BC147" s="138">
        <v>41640.0</v>
      </c>
      <c r="BD147" s="138">
        <v>41671.0</v>
      </c>
      <c r="BE147" s="138">
        <v>41699.0</v>
      </c>
      <c r="BF147" s="138">
        <v>41730.0</v>
      </c>
      <c r="BG147" s="138">
        <v>41760.0</v>
      </c>
      <c r="BH147" s="138">
        <v>41791.0</v>
      </c>
      <c r="BI147" s="138">
        <v>41821.0</v>
      </c>
      <c r="BJ147" s="138">
        <v>41852.0</v>
      </c>
      <c r="BK147" s="138">
        <v>41883.0</v>
      </c>
      <c r="BL147" s="138">
        <v>41913.0</v>
      </c>
      <c r="BM147" s="138">
        <v>41944.0</v>
      </c>
      <c r="BN147" s="138">
        <v>41974.0</v>
      </c>
      <c r="BO147" s="138">
        <v>42005.0</v>
      </c>
      <c r="BP147" s="138">
        <v>42036.0</v>
      </c>
      <c r="BQ147" s="138">
        <v>42064.0</v>
      </c>
      <c r="BR147" s="138">
        <v>42095.0</v>
      </c>
      <c r="BS147" s="138">
        <v>42125.0</v>
      </c>
      <c r="BT147" s="138">
        <v>42156.0</v>
      </c>
      <c r="BU147" s="138">
        <v>42186.0</v>
      </c>
      <c r="BV147" s="138">
        <v>42217.0</v>
      </c>
      <c r="BW147" s="138">
        <v>42248.0</v>
      </c>
      <c r="BX147" s="138">
        <v>42278.0</v>
      </c>
      <c r="BY147" s="138">
        <v>42309.0</v>
      </c>
      <c r="BZ147" s="138">
        <v>42339.0</v>
      </c>
      <c r="CA147" s="138">
        <v>42370.0</v>
      </c>
      <c r="CB147" s="138">
        <v>42401.0</v>
      </c>
      <c r="CC147" s="138">
        <v>42430.0</v>
      </c>
      <c r="CD147" s="138">
        <v>42461.0</v>
      </c>
      <c r="CE147" s="138">
        <v>42491.0</v>
      </c>
      <c r="CF147" s="138">
        <v>42522.0</v>
      </c>
      <c r="CG147" s="138">
        <v>42552.0</v>
      </c>
      <c r="CH147" s="138">
        <v>42583.0</v>
      </c>
      <c r="CI147" s="138">
        <v>42614.0</v>
      </c>
      <c r="CJ147" s="138">
        <v>42644.0</v>
      </c>
      <c r="CK147" s="138">
        <v>42675.0</v>
      </c>
      <c r="CL147" s="138">
        <v>42705.0</v>
      </c>
      <c r="CM147" s="138">
        <v>42736.0</v>
      </c>
      <c r="CN147" s="138">
        <v>42767.0</v>
      </c>
      <c r="CO147" s="138">
        <v>42795.0</v>
      </c>
      <c r="CP147" s="138">
        <v>42826.0</v>
      </c>
      <c r="CQ147" s="138">
        <v>42856.0</v>
      </c>
      <c r="CR147" s="138">
        <v>42887.0</v>
      </c>
      <c r="CS147" s="138">
        <v>42917.0</v>
      </c>
      <c r="CT147" s="138">
        <v>42948.0</v>
      </c>
      <c r="CU147" s="138">
        <v>42979.0</v>
      </c>
      <c r="CV147" s="138">
        <v>43009.0</v>
      </c>
      <c r="CW147" s="138">
        <v>43040.0</v>
      </c>
      <c r="CX147" s="138">
        <v>43070.0</v>
      </c>
      <c r="CY147" s="138">
        <v>43101.0</v>
      </c>
      <c r="CZ147" s="138">
        <v>43132.0</v>
      </c>
      <c r="DA147" s="138">
        <v>43160.0</v>
      </c>
      <c r="DB147" s="138">
        <v>43191.0</v>
      </c>
      <c r="DC147" s="138">
        <v>43221.0</v>
      </c>
      <c r="DD147" s="138">
        <v>43252.0</v>
      </c>
      <c r="DE147" s="138">
        <v>43282.0</v>
      </c>
      <c r="DF147" s="138">
        <v>43313.0</v>
      </c>
      <c r="DG147" s="138">
        <v>43344.0</v>
      </c>
      <c r="DH147" s="138">
        <v>43374.0</v>
      </c>
      <c r="DI147" s="138">
        <v>43405.0</v>
      </c>
      <c r="DJ147" s="138">
        <v>43435.0</v>
      </c>
      <c r="DK147" s="138">
        <v>43466.0</v>
      </c>
      <c r="DL147" s="138">
        <v>43497.0</v>
      </c>
      <c r="DM147" s="138">
        <v>43525.0</v>
      </c>
      <c r="DN147" s="138">
        <v>43556.0</v>
      </c>
      <c r="DO147" s="138">
        <v>43586.0</v>
      </c>
      <c r="DP147" s="138">
        <v>43617.0</v>
      </c>
      <c r="DQ147" s="138">
        <v>43647.0</v>
      </c>
      <c r="DR147" s="138">
        <v>43678.0</v>
      </c>
      <c r="DS147" s="138">
        <v>43709.0</v>
      </c>
      <c r="DT147" s="138">
        <v>43739.0</v>
      </c>
      <c r="DU147" s="138">
        <v>43770.0</v>
      </c>
      <c r="DV147" s="138">
        <v>43800.0</v>
      </c>
      <c r="DW147" s="138">
        <v>43831.0</v>
      </c>
      <c r="DX147" s="138">
        <v>43862.0</v>
      </c>
      <c r="DY147" s="138">
        <v>43891.0</v>
      </c>
      <c r="DZ147" s="138">
        <v>43922.0</v>
      </c>
      <c r="EA147" s="138">
        <v>43952.0</v>
      </c>
      <c r="EB147" s="138">
        <v>43983.0</v>
      </c>
      <c r="EC147" s="138">
        <v>44013.0</v>
      </c>
      <c r="ED147" s="138">
        <v>44044.0</v>
      </c>
      <c r="EE147" s="138">
        <v>44075.0</v>
      </c>
      <c r="EF147" s="138">
        <v>44105.0</v>
      </c>
      <c r="EG147" s="138">
        <v>44136.0</v>
      </c>
      <c r="EH147" s="138">
        <v>44166.0</v>
      </c>
      <c r="EI147" s="138">
        <v>44197.0</v>
      </c>
      <c r="EJ147" s="138">
        <v>44228.0</v>
      </c>
      <c r="EK147" s="138">
        <v>44256.0</v>
      </c>
      <c r="EL147" s="138">
        <v>44287.0</v>
      </c>
      <c r="EM147" s="138">
        <v>44317.0</v>
      </c>
      <c r="EN147" s="138">
        <v>44348.0</v>
      </c>
      <c r="EO147" s="138">
        <v>44378.0</v>
      </c>
      <c r="EP147" s="138">
        <v>44409.0</v>
      </c>
      <c r="EQ147" s="138">
        <v>44440.0</v>
      </c>
      <c r="ER147" s="138">
        <v>44470.0</v>
      </c>
      <c r="ES147" s="138">
        <v>44501.0</v>
      </c>
      <c r="ET147" s="138">
        <v>44531.0</v>
      </c>
      <c r="EU147" s="138">
        <v>44562.0</v>
      </c>
      <c r="EV147" s="138">
        <v>44593.0</v>
      </c>
      <c r="EW147" s="138">
        <v>44621.0</v>
      </c>
      <c r="EX147" s="138">
        <v>44652.0</v>
      </c>
      <c r="EY147" s="138">
        <v>44682.0</v>
      </c>
      <c r="EZ147" s="138">
        <v>44713.0</v>
      </c>
      <c r="FA147" s="138">
        <v>44743.0</v>
      </c>
      <c r="FB147" s="138">
        <v>44774.0</v>
      </c>
      <c r="FC147" s="139">
        <v>44805.0</v>
      </c>
      <c r="FD147" s="139">
        <v>44835.0</v>
      </c>
      <c r="FE147" s="139">
        <v>44866.0</v>
      </c>
      <c r="FF147" s="139">
        <v>44896.0</v>
      </c>
      <c r="FG147" s="139">
        <v>44927.0</v>
      </c>
      <c r="FH147" s="139">
        <v>44958.0</v>
      </c>
      <c r="FI147" s="139">
        <v>44986.0</v>
      </c>
      <c r="FJ147" s="139">
        <v>45017.0</v>
      </c>
      <c r="FK147" s="139">
        <v>45047.0</v>
      </c>
      <c r="FL147" s="139">
        <v>45078.0</v>
      </c>
      <c r="FM147" s="139">
        <v>45108.0</v>
      </c>
      <c r="FN147" s="139">
        <v>45139.0</v>
      </c>
      <c r="FO147" s="139">
        <v>45170.0</v>
      </c>
      <c r="FP147" s="139">
        <v>45200.0</v>
      </c>
      <c r="FQ147" s="139">
        <v>45231.0</v>
      </c>
      <c r="FR147" s="139">
        <v>45261.0</v>
      </c>
      <c r="FS147" s="139">
        <v>45292.0</v>
      </c>
      <c r="FT147" s="139">
        <v>45323.0</v>
      </c>
      <c r="FU147" s="139">
        <v>45352.0</v>
      </c>
      <c r="FV147" s="139">
        <v>45383.0</v>
      </c>
      <c r="FW147" s="139">
        <v>45413.0</v>
      </c>
      <c r="FX147" s="139">
        <v>45444.0</v>
      </c>
      <c r="FY147" s="139">
        <v>45474.0</v>
      </c>
      <c r="FZ147" s="139">
        <v>45505.0</v>
      </c>
      <c r="GA147" s="139">
        <v>45536.0</v>
      </c>
      <c r="GB147" s="139">
        <v>45566.0</v>
      </c>
      <c r="GC147" s="139">
        <v>45597.0</v>
      </c>
      <c r="GD147" s="139">
        <v>45627.0</v>
      </c>
      <c r="GE147" s="139">
        <v>45658.0</v>
      </c>
      <c r="GF147" s="139">
        <v>45689.0</v>
      </c>
      <c r="GG147" s="139">
        <v>45717.0</v>
      </c>
      <c r="GH147" s="139">
        <v>45748.0</v>
      </c>
      <c r="GI147" s="139">
        <v>45778.0</v>
      </c>
      <c r="GJ147" s="139">
        <v>45809.0</v>
      </c>
      <c r="GK147" s="139">
        <v>45839.0</v>
      </c>
    </row>
    <row r="148">
      <c r="A148" s="132" t="s">
        <v>34164</v>
      </c>
      <c r="B148" s="133" t="s">
        <v>1319</v>
      </c>
      <c r="C148" s="134">
        <v>44799.846863425926</v>
      </c>
      <c r="D148" s="135" t="str">
        <f t="shared" si="1"/>
        <v>2022/08/26</v>
      </c>
      <c r="E148" s="136" t="s">
        <v>34165</v>
      </c>
      <c r="F148" s="137">
        <v>0.002</v>
      </c>
      <c r="G148" s="138">
        <v>40179.0</v>
      </c>
      <c r="H148" s="138">
        <v>40210.0</v>
      </c>
      <c r="I148" s="138">
        <v>40238.0</v>
      </c>
      <c r="J148" s="138">
        <v>40269.0</v>
      </c>
      <c r="K148" s="138">
        <v>40299.0</v>
      </c>
      <c r="L148" s="138">
        <v>40330.0</v>
      </c>
      <c r="M148" s="138">
        <v>40360.0</v>
      </c>
      <c r="N148" s="138">
        <v>40391.0</v>
      </c>
      <c r="O148" s="138">
        <v>40422.0</v>
      </c>
      <c r="P148" s="138">
        <v>40452.0</v>
      </c>
      <c r="Q148" s="138">
        <v>40483.0</v>
      </c>
      <c r="R148" s="138">
        <v>40513.0</v>
      </c>
      <c r="S148" s="138">
        <v>40544.0</v>
      </c>
      <c r="T148" s="138">
        <v>40575.0</v>
      </c>
      <c r="U148" s="138">
        <v>40603.0</v>
      </c>
      <c r="V148" s="138">
        <v>40634.0</v>
      </c>
      <c r="W148" s="138">
        <v>40664.0</v>
      </c>
      <c r="X148" s="138">
        <v>40695.0</v>
      </c>
      <c r="Y148" s="138">
        <v>40725.0</v>
      </c>
      <c r="Z148" s="138">
        <v>40756.0</v>
      </c>
      <c r="AA148" s="138">
        <v>40787.0</v>
      </c>
      <c r="AB148" s="138">
        <v>40817.0</v>
      </c>
      <c r="AC148" s="138">
        <v>40848.0</v>
      </c>
      <c r="AD148" s="138">
        <v>40878.0</v>
      </c>
      <c r="AE148" s="138">
        <v>40909.0</v>
      </c>
      <c r="AF148" s="138">
        <v>40940.0</v>
      </c>
      <c r="AG148" s="138">
        <v>40969.0</v>
      </c>
      <c r="AH148" s="138">
        <v>41000.0</v>
      </c>
      <c r="AI148" s="138">
        <v>41030.0</v>
      </c>
      <c r="AJ148" s="138">
        <v>41061.0</v>
      </c>
      <c r="AK148" s="138">
        <v>41091.0</v>
      </c>
      <c r="AL148" s="138">
        <v>41122.0</v>
      </c>
      <c r="AM148" s="138">
        <v>41153.0</v>
      </c>
      <c r="AN148" s="138">
        <v>41183.0</v>
      </c>
      <c r="AO148" s="138">
        <v>41214.0</v>
      </c>
      <c r="AP148" s="138">
        <v>41244.0</v>
      </c>
      <c r="AQ148" s="138">
        <v>41275.0</v>
      </c>
      <c r="AR148" s="138">
        <v>41306.0</v>
      </c>
      <c r="AS148" s="138">
        <v>41334.0</v>
      </c>
      <c r="AT148" s="138">
        <v>41365.0</v>
      </c>
      <c r="AU148" s="138">
        <v>41395.0</v>
      </c>
      <c r="AV148" s="138">
        <v>41426.0</v>
      </c>
      <c r="AW148" s="138">
        <v>41456.0</v>
      </c>
      <c r="AX148" s="138">
        <v>41487.0</v>
      </c>
      <c r="AY148" s="138">
        <v>41518.0</v>
      </c>
      <c r="AZ148" s="138">
        <v>41548.0</v>
      </c>
      <c r="BA148" s="138">
        <v>41579.0</v>
      </c>
      <c r="BB148" s="138">
        <v>41609.0</v>
      </c>
      <c r="BC148" s="138">
        <v>41640.0</v>
      </c>
      <c r="BD148" s="138">
        <v>41671.0</v>
      </c>
      <c r="BE148" s="138">
        <v>41699.0</v>
      </c>
      <c r="BF148" s="138">
        <v>41730.0</v>
      </c>
      <c r="BG148" s="138">
        <v>41760.0</v>
      </c>
      <c r="BH148" s="138">
        <v>41791.0</v>
      </c>
      <c r="BI148" s="138">
        <v>41821.0</v>
      </c>
      <c r="BJ148" s="138">
        <v>41852.0</v>
      </c>
      <c r="BK148" s="138">
        <v>41883.0</v>
      </c>
      <c r="BL148" s="138">
        <v>41913.0</v>
      </c>
      <c r="BM148" s="138">
        <v>41944.0</v>
      </c>
      <c r="BN148" s="138">
        <v>41974.0</v>
      </c>
      <c r="BO148" s="138">
        <v>42005.0</v>
      </c>
      <c r="BP148" s="138">
        <v>42036.0</v>
      </c>
      <c r="BQ148" s="138">
        <v>42064.0</v>
      </c>
      <c r="BR148" s="138">
        <v>42095.0</v>
      </c>
      <c r="BS148" s="138">
        <v>42125.0</v>
      </c>
      <c r="BT148" s="138">
        <v>42156.0</v>
      </c>
      <c r="BU148" s="138">
        <v>42186.0</v>
      </c>
      <c r="BV148" s="138">
        <v>42217.0</v>
      </c>
      <c r="BW148" s="138">
        <v>42248.0</v>
      </c>
      <c r="BX148" s="138">
        <v>42278.0</v>
      </c>
      <c r="BY148" s="138">
        <v>42309.0</v>
      </c>
      <c r="BZ148" s="138">
        <v>42339.0</v>
      </c>
      <c r="CA148" s="138">
        <v>42370.0</v>
      </c>
      <c r="CB148" s="138">
        <v>42401.0</v>
      </c>
      <c r="CC148" s="138">
        <v>42430.0</v>
      </c>
      <c r="CD148" s="138">
        <v>42461.0</v>
      </c>
      <c r="CE148" s="138">
        <v>42491.0</v>
      </c>
      <c r="CF148" s="138">
        <v>42522.0</v>
      </c>
      <c r="CG148" s="138">
        <v>42552.0</v>
      </c>
      <c r="CH148" s="138">
        <v>42583.0</v>
      </c>
      <c r="CI148" s="138">
        <v>42614.0</v>
      </c>
      <c r="CJ148" s="138">
        <v>42644.0</v>
      </c>
      <c r="CK148" s="138">
        <v>42675.0</v>
      </c>
      <c r="CL148" s="138">
        <v>42705.0</v>
      </c>
      <c r="CM148" s="138">
        <v>42736.0</v>
      </c>
      <c r="CN148" s="138">
        <v>42767.0</v>
      </c>
      <c r="CO148" s="138">
        <v>42795.0</v>
      </c>
      <c r="CP148" s="138">
        <v>42826.0</v>
      </c>
      <c r="CQ148" s="138">
        <v>42856.0</v>
      </c>
      <c r="CR148" s="138">
        <v>42887.0</v>
      </c>
      <c r="CS148" s="138">
        <v>42917.0</v>
      </c>
      <c r="CT148" s="138">
        <v>42948.0</v>
      </c>
      <c r="CU148" s="138">
        <v>42979.0</v>
      </c>
      <c r="CV148" s="138">
        <v>43009.0</v>
      </c>
      <c r="CW148" s="138">
        <v>43040.0</v>
      </c>
      <c r="CX148" s="138">
        <v>43070.0</v>
      </c>
      <c r="CY148" s="138">
        <v>43101.0</v>
      </c>
      <c r="CZ148" s="138">
        <v>43132.0</v>
      </c>
      <c r="DA148" s="138">
        <v>43160.0</v>
      </c>
      <c r="DB148" s="138">
        <v>43191.0</v>
      </c>
      <c r="DC148" s="138">
        <v>43221.0</v>
      </c>
      <c r="DD148" s="138">
        <v>43252.0</v>
      </c>
      <c r="DE148" s="138">
        <v>43282.0</v>
      </c>
      <c r="DF148" s="138">
        <v>43313.0</v>
      </c>
      <c r="DG148" s="138">
        <v>43344.0</v>
      </c>
      <c r="DH148" s="138">
        <v>43374.0</v>
      </c>
      <c r="DI148" s="138">
        <v>43405.0</v>
      </c>
      <c r="DJ148" s="138">
        <v>43435.0</v>
      </c>
      <c r="DK148" s="138">
        <v>43466.0</v>
      </c>
      <c r="DL148" s="138">
        <v>43497.0</v>
      </c>
      <c r="DM148" s="138">
        <v>43525.0</v>
      </c>
      <c r="DN148" s="138">
        <v>43556.0</v>
      </c>
      <c r="DO148" s="138">
        <v>43586.0</v>
      </c>
      <c r="DP148" s="138">
        <v>43617.0</v>
      </c>
      <c r="DQ148" s="138">
        <v>43647.0</v>
      </c>
      <c r="DR148" s="138">
        <v>43678.0</v>
      </c>
      <c r="DS148" s="138">
        <v>43709.0</v>
      </c>
      <c r="DT148" s="138">
        <v>43739.0</v>
      </c>
      <c r="DU148" s="138">
        <v>43770.0</v>
      </c>
      <c r="DV148" s="138">
        <v>43800.0</v>
      </c>
      <c r="DW148" s="138">
        <v>43831.0</v>
      </c>
      <c r="DX148" s="138">
        <v>43862.0</v>
      </c>
      <c r="DY148" s="138">
        <v>43891.0</v>
      </c>
      <c r="DZ148" s="138">
        <v>43922.0</v>
      </c>
      <c r="EA148" s="138">
        <v>43952.0</v>
      </c>
      <c r="EB148" s="138">
        <v>43983.0</v>
      </c>
      <c r="EC148" s="138">
        <v>44013.0</v>
      </c>
      <c r="ED148" s="138">
        <v>44044.0</v>
      </c>
      <c r="EE148" s="138">
        <v>44075.0</v>
      </c>
      <c r="EF148" s="138">
        <v>44105.0</v>
      </c>
      <c r="EG148" s="138">
        <v>44136.0</v>
      </c>
      <c r="EH148" s="138">
        <v>44166.0</v>
      </c>
      <c r="EI148" s="138">
        <v>44197.0</v>
      </c>
      <c r="EJ148" s="138">
        <v>44228.0</v>
      </c>
      <c r="EK148" s="138">
        <v>44256.0</v>
      </c>
      <c r="EL148" s="138">
        <v>44287.0</v>
      </c>
      <c r="EM148" s="138">
        <v>44317.0</v>
      </c>
      <c r="EN148" s="138">
        <v>44348.0</v>
      </c>
      <c r="EO148" s="138">
        <v>44378.0</v>
      </c>
      <c r="EP148" s="138">
        <v>44409.0</v>
      </c>
      <c r="EQ148" s="138">
        <v>44440.0</v>
      </c>
      <c r="ER148" s="138">
        <v>44470.0</v>
      </c>
      <c r="ES148" s="138">
        <v>44501.0</v>
      </c>
      <c r="ET148" s="138">
        <v>44531.0</v>
      </c>
      <c r="EU148" s="138">
        <v>44562.0</v>
      </c>
      <c r="EV148" s="138">
        <v>44593.0</v>
      </c>
      <c r="EW148" s="138">
        <v>44621.0</v>
      </c>
      <c r="EX148" s="138">
        <v>44652.0</v>
      </c>
      <c r="EY148" s="138">
        <v>44682.0</v>
      </c>
      <c r="EZ148" s="138">
        <v>44713.0</v>
      </c>
      <c r="FA148" s="138">
        <v>44743.0</v>
      </c>
      <c r="FB148" s="138">
        <v>44774.0</v>
      </c>
      <c r="FC148" s="139">
        <v>44805.0</v>
      </c>
      <c r="FD148" s="139">
        <v>44835.0</v>
      </c>
      <c r="FE148" s="139">
        <v>44866.0</v>
      </c>
      <c r="FF148" s="139">
        <v>44896.0</v>
      </c>
      <c r="FG148" s="139">
        <v>44927.0</v>
      </c>
      <c r="FH148" s="139">
        <v>44958.0</v>
      </c>
      <c r="FI148" s="139">
        <v>44986.0</v>
      </c>
      <c r="FJ148" s="139">
        <v>45017.0</v>
      </c>
      <c r="FK148" s="139">
        <v>45047.0</v>
      </c>
      <c r="FL148" s="139">
        <v>45078.0</v>
      </c>
      <c r="FM148" s="139">
        <v>45108.0</v>
      </c>
      <c r="FN148" s="139">
        <v>45139.0</v>
      </c>
      <c r="FO148" s="139">
        <v>45170.0</v>
      </c>
      <c r="FP148" s="139">
        <v>45200.0</v>
      </c>
      <c r="FQ148" s="139">
        <v>45231.0</v>
      </c>
      <c r="FR148" s="139">
        <v>45261.0</v>
      </c>
      <c r="FS148" s="139">
        <v>45292.0</v>
      </c>
      <c r="FT148" s="139">
        <v>45323.0</v>
      </c>
      <c r="FU148" s="139">
        <v>45352.0</v>
      </c>
      <c r="FV148" s="139">
        <v>45383.0</v>
      </c>
      <c r="FW148" s="139">
        <v>45413.0</v>
      </c>
      <c r="FX148" s="139">
        <v>45444.0</v>
      </c>
      <c r="FY148" s="139">
        <v>45474.0</v>
      </c>
      <c r="FZ148" s="139">
        <v>45505.0</v>
      </c>
      <c r="GA148" s="139">
        <v>45536.0</v>
      </c>
      <c r="GB148" s="139">
        <v>45566.0</v>
      </c>
      <c r="GC148" s="139">
        <v>45597.0</v>
      </c>
      <c r="GD148" s="139">
        <v>45627.0</v>
      </c>
      <c r="GE148" s="139">
        <v>45658.0</v>
      </c>
      <c r="GF148" s="139">
        <v>45689.0</v>
      </c>
      <c r="GG148" s="139">
        <v>45717.0</v>
      </c>
      <c r="GH148" s="139">
        <v>45748.0</v>
      </c>
      <c r="GI148" s="139">
        <v>45778.0</v>
      </c>
      <c r="GJ148" s="139">
        <v>45809.0</v>
      </c>
      <c r="GK148" s="139">
        <v>45839.0</v>
      </c>
    </row>
    <row r="149">
      <c r="A149" s="132" t="s">
        <v>34166</v>
      </c>
      <c r="B149" s="133" t="s">
        <v>1338</v>
      </c>
      <c r="C149" s="134">
        <v>44816.63449074074</v>
      </c>
      <c r="D149" s="135" t="str">
        <f t="shared" si="1"/>
        <v>2022/09/12</v>
      </c>
      <c r="E149" s="136" t="s">
        <v>33912</v>
      </c>
      <c r="F149" s="137">
        <v>0.0</v>
      </c>
      <c r="G149" s="138">
        <v>40179.0</v>
      </c>
      <c r="H149" s="138">
        <v>40210.0</v>
      </c>
      <c r="I149" s="138">
        <v>40238.0</v>
      </c>
      <c r="J149" s="138">
        <v>40269.0</v>
      </c>
      <c r="K149" s="138">
        <v>40299.0</v>
      </c>
      <c r="L149" s="138">
        <v>40330.0</v>
      </c>
      <c r="M149" s="138">
        <v>40360.0</v>
      </c>
      <c r="N149" s="138">
        <v>40391.0</v>
      </c>
      <c r="O149" s="138">
        <v>40422.0</v>
      </c>
      <c r="P149" s="138">
        <v>40452.0</v>
      </c>
      <c r="Q149" s="138">
        <v>40483.0</v>
      </c>
      <c r="R149" s="138">
        <v>40513.0</v>
      </c>
      <c r="S149" s="138">
        <v>40544.0</v>
      </c>
      <c r="T149" s="138">
        <v>40575.0</v>
      </c>
      <c r="U149" s="138">
        <v>40603.0</v>
      </c>
      <c r="V149" s="138">
        <v>40634.0</v>
      </c>
      <c r="W149" s="138">
        <v>40664.0</v>
      </c>
      <c r="X149" s="138">
        <v>40695.0</v>
      </c>
      <c r="Y149" s="138">
        <v>40725.0</v>
      </c>
      <c r="Z149" s="138">
        <v>40756.0</v>
      </c>
      <c r="AA149" s="138">
        <v>40787.0</v>
      </c>
      <c r="AB149" s="138">
        <v>40817.0</v>
      </c>
      <c r="AC149" s="138">
        <v>40848.0</v>
      </c>
      <c r="AD149" s="138">
        <v>40878.0</v>
      </c>
      <c r="AE149" s="138">
        <v>40909.0</v>
      </c>
      <c r="AF149" s="138">
        <v>40940.0</v>
      </c>
      <c r="AG149" s="138">
        <v>40969.0</v>
      </c>
      <c r="AH149" s="138">
        <v>41000.0</v>
      </c>
      <c r="AI149" s="138">
        <v>41030.0</v>
      </c>
      <c r="AJ149" s="138">
        <v>41061.0</v>
      </c>
      <c r="AK149" s="138">
        <v>41091.0</v>
      </c>
      <c r="AL149" s="138">
        <v>41122.0</v>
      </c>
      <c r="AM149" s="138">
        <v>41153.0</v>
      </c>
      <c r="AN149" s="138">
        <v>41183.0</v>
      </c>
      <c r="AO149" s="138">
        <v>41214.0</v>
      </c>
      <c r="AP149" s="138">
        <v>41244.0</v>
      </c>
      <c r="AQ149" s="138">
        <v>41275.0</v>
      </c>
      <c r="AR149" s="138">
        <v>41306.0</v>
      </c>
      <c r="AS149" s="138">
        <v>41334.0</v>
      </c>
      <c r="AT149" s="138">
        <v>41365.0</v>
      </c>
      <c r="AU149" s="138">
        <v>41395.0</v>
      </c>
      <c r="AV149" s="138">
        <v>41426.0</v>
      </c>
      <c r="AW149" s="138">
        <v>41456.0</v>
      </c>
      <c r="AX149" s="138">
        <v>41487.0</v>
      </c>
      <c r="AY149" s="138">
        <v>41518.0</v>
      </c>
      <c r="AZ149" s="138">
        <v>41548.0</v>
      </c>
      <c r="BA149" s="138">
        <v>41579.0</v>
      </c>
      <c r="BB149" s="138">
        <v>41609.0</v>
      </c>
      <c r="BC149" s="138">
        <v>41640.0</v>
      </c>
      <c r="BD149" s="138">
        <v>41671.0</v>
      </c>
      <c r="BE149" s="138">
        <v>41699.0</v>
      </c>
      <c r="BF149" s="138">
        <v>41730.0</v>
      </c>
      <c r="BG149" s="138">
        <v>41760.0</v>
      </c>
      <c r="BH149" s="138">
        <v>41791.0</v>
      </c>
      <c r="BI149" s="138">
        <v>41821.0</v>
      </c>
      <c r="BJ149" s="138">
        <v>41852.0</v>
      </c>
      <c r="BK149" s="138">
        <v>41883.0</v>
      </c>
      <c r="BL149" s="138">
        <v>41913.0</v>
      </c>
      <c r="BM149" s="138">
        <v>41944.0</v>
      </c>
      <c r="BN149" s="138">
        <v>41974.0</v>
      </c>
      <c r="BO149" s="138">
        <v>42005.0</v>
      </c>
      <c r="BP149" s="138">
        <v>42036.0</v>
      </c>
      <c r="BQ149" s="138">
        <v>42064.0</v>
      </c>
      <c r="BR149" s="138">
        <v>42095.0</v>
      </c>
      <c r="BS149" s="138">
        <v>42125.0</v>
      </c>
      <c r="BT149" s="138">
        <v>42156.0</v>
      </c>
      <c r="BU149" s="138">
        <v>42186.0</v>
      </c>
      <c r="BV149" s="138">
        <v>42217.0</v>
      </c>
      <c r="BW149" s="138">
        <v>42248.0</v>
      </c>
      <c r="BX149" s="138">
        <v>42278.0</v>
      </c>
      <c r="BY149" s="138">
        <v>42309.0</v>
      </c>
      <c r="BZ149" s="138">
        <v>42339.0</v>
      </c>
      <c r="CA149" s="138">
        <v>42370.0</v>
      </c>
      <c r="CB149" s="138">
        <v>42401.0</v>
      </c>
      <c r="CC149" s="138">
        <v>42430.0</v>
      </c>
      <c r="CD149" s="138">
        <v>42461.0</v>
      </c>
      <c r="CE149" s="138">
        <v>42491.0</v>
      </c>
      <c r="CF149" s="138">
        <v>42522.0</v>
      </c>
      <c r="CG149" s="138">
        <v>42552.0</v>
      </c>
      <c r="CH149" s="138">
        <v>42583.0</v>
      </c>
      <c r="CI149" s="138">
        <v>42614.0</v>
      </c>
      <c r="CJ149" s="138">
        <v>42644.0</v>
      </c>
      <c r="CK149" s="138">
        <v>42675.0</v>
      </c>
      <c r="CL149" s="138">
        <v>42705.0</v>
      </c>
      <c r="CM149" s="138">
        <v>42736.0</v>
      </c>
      <c r="CN149" s="138">
        <v>42767.0</v>
      </c>
      <c r="CO149" s="138">
        <v>42795.0</v>
      </c>
      <c r="CP149" s="138">
        <v>42826.0</v>
      </c>
      <c r="CQ149" s="138">
        <v>42856.0</v>
      </c>
      <c r="CR149" s="138">
        <v>42887.0</v>
      </c>
      <c r="CS149" s="138">
        <v>42917.0</v>
      </c>
      <c r="CT149" s="138">
        <v>42948.0</v>
      </c>
      <c r="CU149" s="138">
        <v>42979.0</v>
      </c>
      <c r="CV149" s="138">
        <v>43009.0</v>
      </c>
      <c r="CW149" s="138">
        <v>43040.0</v>
      </c>
      <c r="CX149" s="138">
        <v>43070.0</v>
      </c>
      <c r="CY149" s="138">
        <v>43101.0</v>
      </c>
      <c r="CZ149" s="138">
        <v>43132.0</v>
      </c>
      <c r="DA149" s="138">
        <v>43160.0</v>
      </c>
      <c r="DB149" s="138">
        <v>43191.0</v>
      </c>
      <c r="DC149" s="138">
        <v>43221.0</v>
      </c>
      <c r="DD149" s="138">
        <v>43252.0</v>
      </c>
      <c r="DE149" s="138">
        <v>43282.0</v>
      </c>
      <c r="DF149" s="138">
        <v>43313.0</v>
      </c>
      <c r="DG149" s="138">
        <v>43344.0</v>
      </c>
      <c r="DH149" s="138">
        <v>43374.0</v>
      </c>
      <c r="DI149" s="138">
        <v>43405.0</v>
      </c>
      <c r="DJ149" s="138">
        <v>43435.0</v>
      </c>
      <c r="DK149" s="138">
        <v>43466.0</v>
      </c>
      <c r="DL149" s="138">
        <v>43497.0</v>
      </c>
      <c r="DM149" s="138">
        <v>43525.0</v>
      </c>
      <c r="DN149" s="138">
        <v>43556.0</v>
      </c>
      <c r="DO149" s="138">
        <v>43586.0</v>
      </c>
      <c r="DP149" s="138">
        <v>43617.0</v>
      </c>
      <c r="DQ149" s="138">
        <v>43647.0</v>
      </c>
      <c r="DR149" s="138">
        <v>43678.0</v>
      </c>
      <c r="DS149" s="138">
        <v>43709.0</v>
      </c>
      <c r="DT149" s="138">
        <v>43739.0</v>
      </c>
      <c r="DU149" s="138">
        <v>43770.0</v>
      </c>
      <c r="DV149" s="138">
        <v>43800.0</v>
      </c>
      <c r="DW149" s="138">
        <v>43831.0</v>
      </c>
      <c r="DX149" s="138">
        <v>43862.0</v>
      </c>
      <c r="DY149" s="138">
        <v>43891.0</v>
      </c>
      <c r="DZ149" s="138">
        <v>43922.0</v>
      </c>
      <c r="EA149" s="138">
        <v>43952.0</v>
      </c>
      <c r="EB149" s="138">
        <v>43983.0</v>
      </c>
      <c r="EC149" s="138">
        <v>44013.0</v>
      </c>
      <c r="ED149" s="138">
        <v>44044.0</v>
      </c>
      <c r="EE149" s="138">
        <v>44075.0</v>
      </c>
      <c r="EF149" s="138">
        <v>44105.0</v>
      </c>
      <c r="EG149" s="138">
        <v>44136.0</v>
      </c>
      <c r="EH149" s="138">
        <v>44166.0</v>
      </c>
      <c r="EI149" s="138">
        <v>44197.0</v>
      </c>
      <c r="EJ149" s="138">
        <v>44228.0</v>
      </c>
      <c r="EK149" s="138">
        <v>44256.0</v>
      </c>
      <c r="EL149" s="138">
        <v>44287.0</v>
      </c>
      <c r="EM149" s="138">
        <v>44317.0</v>
      </c>
      <c r="EN149" s="138">
        <v>44348.0</v>
      </c>
      <c r="EO149" s="138">
        <v>44378.0</v>
      </c>
      <c r="EP149" s="138">
        <v>44409.0</v>
      </c>
      <c r="EQ149" s="138">
        <v>44440.0</v>
      </c>
      <c r="ER149" s="138">
        <v>44470.0</v>
      </c>
      <c r="ES149" s="138">
        <v>44501.0</v>
      </c>
      <c r="ET149" s="138">
        <v>44531.0</v>
      </c>
      <c r="EU149" s="138">
        <v>44562.0</v>
      </c>
      <c r="EV149" s="138">
        <v>44593.0</v>
      </c>
      <c r="EW149" s="138">
        <v>44621.0</v>
      </c>
      <c r="EX149" s="138">
        <v>44652.0</v>
      </c>
      <c r="EY149" s="138">
        <v>44682.0</v>
      </c>
      <c r="EZ149" s="138">
        <v>44713.0</v>
      </c>
      <c r="FA149" s="138">
        <v>44743.0</v>
      </c>
      <c r="FB149" s="138">
        <v>44774.0</v>
      </c>
      <c r="FC149" s="138">
        <v>44805.0</v>
      </c>
      <c r="FD149" s="139">
        <v>44835.0</v>
      </c>
      <c r="FE149" s="139">
        <v>44866.0</v>
      </c>
      <c r="FF149" s="139">
        <v>44896.0</v>
      </c>
      <c r="FG149" s="139">
        <v>44927.0</v>
      </c>
      <c r="FH149" s="139">
        <v>44958.0</v>
      </c>
      <c r="FI149" s="139">
        <v>44986.0</v>
      </c>
      <c r="FJ149" s="139">
        <v>45017.0</v>
      </c>
      <c r="FK149" s="139">
        <v>45047.0</v>
      </c>
      <c r="FL149" s="139">
        <v>45078.0</v>
      </c>
      <c r="FM149" s="139">
        <v>45108.0</v>
      </c>
      <c r="FN149" s="139">
        <v>45139.0</v>
      </c>
      <c r="FO149" s="139">
        <v>45170.0</v>
      </c>
      <c r="FP149" s="139">
        <v>45200.0</v>
      </c>
      <c r="FQ149" s="139">
        <v>45231.0</v>
      </c>
      <c r="FR149" s="139">
        <v>45261.0</v>
      </c>
      <c r="FS149" s="139">
        <v>45292.0</v>
      </c>
      <c r="FT149" s="139">
        <v>45323.0</v>
      </c>
      <c r="FU149" s="139">
        <v>45352.0</v>
      </c>
      <c r="FV149" s="139">
        <v>45383.0</v>
      </c>
      <c r="FW149" s="139">
        <v>45413.0</v>
      </c>
      <c r="FX149" s="139">
        <v>45444.0</v>
      </c>
      <c r="FY149" s="139">
        <v>45474.0</v>
      </c>
      <c r="FZ149" s="139">
        <v>45505.0</v>
      </c>
      <c r="GA149" s="139">
        <v>45536.0</v>
      </c>
      <c r="GB149" s="139">
        <v>45566.0</v>
      </c>
      <c r="GC149" s="139">
        <v>45597.0</v>
      </c>
      <c r="GD149" s="139">
        <v>45627.0</v>
      </c>
      <c r="GE149" s="139">
        <v>45658.0</v>
      </c>
      <c r="GF149" s="139">
        <v>45689.0</v>
      </c>
      <c r="GG149" s="139">
        <v>45717.0</v>
      </c>
      <c r="GH149" s="139">
        <v>45748.0</v>
      </c>
      <c r="GI149" s="139">
        <v>45778.0</v>
      </c>
      <c r="GJ149" s="139">
        <v>45809.0</v>
      </c>
      <c r="GK149" s="139">
        <v>45839.0</v>
      </c>
    </row>
    <row r="150">
      <c r="A150" s="132" t="s">
        <v>34167</v>
      </c>
      <c r="B150" s="133" t="s">
        <v>1146</v>
      </c>
      <c r="C150" s="134">
        <v>44834.67506944444</v>
      </c>
      <c r="D150" s="135" t="str">
        <f t="shared" si="1"/>
        <v>2022/09/30</v>
      </c>
      <c r="E150" s="136" t="s">
        <v>33912</v>
      </c>
      <c r="F150" s="137">
        <v>0.0</v>
      </c>
      <c r="G150" s="138">
        <v>40179.0</v>
      </c>
      <c r="H150" s="138">
        <v>40210.0</v>
      </c>
      <c r="I150" s="138">
        <v>40238.0</v>
      </c>
      <c r="J150" s="138">
        <v>40269.0</v>
      </c>
      <c r="K150" s="138">
        <v>40299.0</v>
      </c>
      <c r="L150" s="138">
        <v>40330.0</v>
      </c>
      <c r="M150" s="138">
        <v>40360.0</v>
      </c>
      <c r="N150" s="138">
        <v>40391.0</v>
      </c>
      <c r="O150" s="138">
        <v>40422.0</v>
      </c>
      <c r="P150" s="138">
        <v>40452.0</v>
      </c>
      <c r="Q150" s="138">
        <v>40483.0</v>
      </c>
      <c r="R150" s="138">
        <v>40513.0</v>
      </c>
      <c r="S150" s="138">
        <v>40544.0</v>
      </c>
      <c r="T150" s="138">
        <v>40575.0</v>
      </c>
      <c r="U150" s="138">
        <v>40603.0</v>
      </c>
      <c r="V150" s="138">
        <v>40634.0</v>
      </c>
      <c r="W150" s="138">
        <v>40664.0</v>
      </c>
      <c r="X150" s="138">
        <v>40695.0</v>
      </c>
      <c r="Y150" s="138">
        <v>40725.0</v>
      </c>
      <c r="Z150" s="138">
        <v>40756.0</v>
      </c>
      <c r="AA150" s="138">
        <v>40787.0</v>
      </c>
      <c r="AB150" s="138">
        <v>40817.0</v>
      </c>
      <c r="AC150" s="138">
        <v>40848.0</v>
      </c>
      <c r="AD150" s="138">
        <v>40878.0</v>
      </c>
      <c r="AE150" s="138">
        <v>40909.0</v>
      </c>
      <c r="AF150" s="138">
        <v>40940.0</v>
      </c>
      <c r="AG150" s="138">
        <v>40969.0</v>
      </c>
      <c r="AH150" s="138">
        <v>41000.0</v>
      </c>
      <c r="AI150" s="138">
        <v>41030.0</v>
      </c>
      <c r="AJ150" s="138">
        <v>41061.0</v>
      </c>
      <c r="AK150" s="138">
        <v>41091.0</v>
      </c>
      <c r="AL150" s="138">
        <v>41122.0</v>
      </c>
      <c r="AM150" s="138">
        <v>41153.0</v>
      </c>
      <c r="AN150" s="138">
        <v>41183.0</v>
      </c>
      <c r="AO150" s="138">
        <v>41214.0</v>
      </c>
      <c r="AP150" s="138">
        <v>41244.0</v>
      </c>
      <c r="AQ150" s="138">
        <v>41275.0</v>
      </c>
      <c r="AR150" s="138">
        <v>41306.0</v>
      </c>
      <c r="AS150" s="138">
        <v>41334.0</v>
      </c>
      <c r="AT150" s="138">
        <v>41365.0</v>
      </c>
      <c r="AU150" s="138">
        <v>41395.0</v>
      </c>
      <c r="AV150" s="138">
        <v>41426.0</v>
      </c>
      <c r="AW150" s="138">
        <v>41456.0</v>
      </c>
      <c r="AX150" s="138">
        <v>41487.0</v>
      </c>
      <c r="AY150" s="138">
        <v>41518.0</v>
      </c>
      <c r="AZ150" s="138">
        <v>41548.0</v>
      </c>
      <c r="BA150" s="138">
        <v>41579.0</v>
      </c>
      <c r="BB150" s="138">
        <v>41609.0</v>
      </c>
      <c r="BC150" s="138">
        <v>41640.0</v>
      </c>
      <c r="BD150" s="138">
        <v>41671.0</v>
      </c>
      <c r="BE150" s="138">
        <v>41699.0</v>
      </c>
      <c r="BF150" s="138">
        <v>41730.0</v>
      </c>
      <c r="BG150" s="138">
        <v>41760.0</v>
      </c>
      <c r="BH150" s="138">
        <v>41791.0</v>
      </c>
      <c r="BI150" s="138">
        <v>41821.0</v>
      </c>
      <c r="BJ150" s="138">
        <v>41852.0</v>
      </c>
      <c r="BK150" s="138">
        <v>41883.0</v>
      </c>
      <c r="BL150" s="138">
        <v>41913.0</v>
      </c>
      <c r="BM150" s="138">
        <v>41944.0</v>
      </c>
      <c r="BN150" s="138">
        <v>41974.0</v>
      </c>
      <c r="BO150" s="138">
        <v>42005.0</v>
      </c>
      <c r="BP150" s="138">
        <v>42036.0</v>
      </c>
      <c r="BQ150" s="138">
        <v>42064.0</v>
      </c>
      <c r="BR150" s="138">
        <v>42095.0</v>
      </c>
      <c r="BS150" s="138">
        <v>42125.0</v>
      </c>
      <c r="BT150" s="138">
        <v>42156.0</v>
      </c>
      <c r="BU150" s="138">
        <v>42186.0</v>
      </c>
      <c r="BV150" s="138">
        <v>42217.0</v>
      </c>
      <c r="BW150" s="138">
        <v>42248.0</v>
      </c>
      <c r="BX150" s="138">
        <v>42278.0</v>
      </c>
      <c r="BY150" s="138">
        <v>42309.0</v>
      </c>
      <c r="BZ150" s="138">
        <v>42339.0</v>
      </c>
      <c r="CA150" s="138">
        <v>42370.0</v>
      </c>
      <c r="CB150" s="138">
        <v>42401.0</v>
      </c>
      <c r="CC150" s="138">
        <v>42430.0</v>
      </c>
      <c r="CD150" s="138">
        <v>42461.0</v>
      </c>
      <c r="CE150" s="138">
        <v>42491.0</v>
      </c>
      <c r="CF150" s="138">
        <v>42522.0</v>
      </c>
      <c r="CG150" s="138">
        <v>42552.0</v>
      </c>
      <c r="CH150" s="138">
        <v>42583.0</v>
      </c>
      <c r="CI150" s="138">
        <v>42614.0</v>
      </c>
      <c r="CJ150" s="138">
        <v>42644.0</v>
      </c>
      <c r="CK150" s="138">
        <v>42675.0</v>
      </c>
      <c r="CL150" s="138">
        <v>42705.0</v>
      </c>
      <c r="CM150" s="138">
        <v>42736.0</v>
      </c>
      <c r="CN150" s="138">
        <v>42767.0</v>
      </c>
      <c r="CO150" s="138">
        <v>42795.0</v>
      </c>
      <c r="CP150" s="138">
        <v>42826.0</v>
      </c>
      <c r="CQ150" s="138">
        <v>42856.0</v>
      </c>
      <c r="CR150" s="138">
        <v>42887.0</v>
      </c>
      <c r="CS150" s="138">
        <v>42917.0</v>
      </c>
      <c r="CT150" s="138">
        <v>42948.0</v>
      </c>
      <c r="CU150" s="138">
        <v>42979.0</v>
      </c>
      <c r="CV150" s="138">
        <v>43009.0</v>
      </c>
      <c r="CW150" s="138">
        <v>43040.0</v>
      </c>
      <c r="CX150" s="138">
        <v>43070.0</v>
      </c>
      <c r="CY150" s="138">
        <v>43101.0</v>
      </c>
      <c r="CZ150" s="138">
        <v>43132.0</v>
      </c>
      <c r="DA150" s="138">
        <v>43160.0</v>
      </c>
      <c r="DB150" s="138">
        <v>43191.0</v>
      </c>
      <c r="DC150" s="138">
        <v>43221.0</v>
      </c>
      <c r="DD150" s="138">
        <v>43252.0</v>
      </c>
      <c r="DE150" s="138">
        <v>43282.0</v>
      </c>
      <c r="DF150" s="138">
        <v>43313.0</v>
      </c>
      <c r="DG150" s="138">
        <v>43344.0</v>
      </c>
      <c r="DH150" s="138">
        <v>43374.0</v>
      </c>
      <c r="DI150" s="138">
        <v>43405.0</v>
      </c>
      <c r="DJ150" s="138">
        <v>43435.0</v>
      </c>
      <c r="DK150" s="138">
        <v>43466.0</v>
      </c>
      <c r="DL150" s="138">
        <v>43497.0</v>
      </c>
      <c r="DM150" s="138">
        <v>43525.0</v>
      </c>
      <c r="DN150" s="138">
        <v>43556.0</v>
      </c>
      <c r="DO150" s="138">
        <v>43586.0</v>
      </c>
      <c r="DP150" s="138">
        <v>43617.0</v>
      </c>
      <c r="DQ150" s="138">
        <v>43647.0</v>
      </c>
      <c r="DR150" s="138">
        <v>43678.0</v>
      </c>
      <c r="DS150" s="138">
        <v>43709.0</v>
      </c>
      <c r="DT150" s="138">
        <v>43739.0</v>
      </c>
      <c r="DU150" s="138">
        <v>43770.0</v>
      </c>
      <c r="DV150" s="138">
        <v>43800.0</v>
      </c>
      <c r="DW150" s="138">
        <v>43831.0</v>
      </c>
      <c r="DX150" s="138">
        <v>43862.0</v>
      </c>
      <c r="DY150" s="138">
        <v>43891.0</v>
      </c>
      <c r="DZ150" s="138">
        <v>43922.0</v>
      </c>
      <c r="EA150" s="138">
        <v>43952.0</v>
      </c>
      <c r="EB150" s="138">
        <v>43983.0</v>
      </c>
      <c r="EC150" s="138">
        <v>44013.0</v>
      </c>
      <c r="ED150" s="138">
        <v>44044.0</v>
      </c>
      <c r="EE150" s="138">
        <v>44075.0</v>
      </c>
      <c r="EF150" s="138">
        <v>44105.0</v>
      </c>
      <c r="EG150" s="138">
        <v>44136.0</v>
      </c>
      <c r="EH150" s="138">
        <v>44166.0</v>
      </c>
      <c r="EI150" s="138">
        <v>44197.0</v>
      </c>
      <c r="EJ150" s="138">
        <v>44228.0</v>
      </c>
      <c r="EK150" s="138">
        <v>44256.0</v>
      </c>
      <c r="EL150" s="138">
        <v>44287.0</v>
      </c>
      <c r="EM150" s="138">
        <v>44317.0</v>
      </c>
      <c r="EN150" s="138">
        <v>44348.0</v>
      </c>
      <c r="EO150" s="138">
        <v>44378.0</v>
      </c>
      <c r="EP150" s="138">
        <v>44409.0</v>
      </c>
      <c r="EQ150" s="138">
        <v>44440.0</v>
      </c>
      <c r="ER150" s="138">
        <v>44470.0</v>
      </c>
      <c r="ES150" s="138">
        <v>44501.0</v>
      </c>
      <c r="ET150" s="138">
        <v>44531.0</v>
      </c>
      <c r="EU150" s="138">
        <v>44562.0</v>
      </c>
      <c r="EV150" s="138">
        <v>44593.0</v>
      </c>
      <c r="EW150" s="138">
        <v>44621.0</v>
      </c>
      <c r="EX150" s="138">
        <v>44652.0</v>
      </c>
      <c r="EY150" s="138">
        <v>44682.0</v>
      </c>
      <c r="EZ150" s="138">
        <v>44713.0</v>
      </c>
      <c r="FA150" s="138">
        <v>44743.0</v>
      </c>
      <c r="FB150" s="138">
        <v>44774.0</v>
      </c>
      <c r="FC150" s="138">
        <v>44805.0</v>
      </c>
      <c r="FD150" s="139">
        <v>44835.0</v>
      </c>
      <c r="FE150" s="139">
        <v>44866.0</v>
      </c>
      <c r="FF150" s="139">
        <v>44896.0</v>
      </c>
      <c r="FG150" s="139">
        <v>44927.0</v>
      </c>
      <c r="FH150" s="139">
        <v>44958.0</v>
      </c>
      <c r="FI150" s="139">
        <v>44986.0</v>
      </c>
      <c r="FJ150" s="139">
        <v>45017.0</v>
      </c>
      <c r="FK150" s="139">
        <v>45047.0</v>
      </c>
      <c r="FL150" s="139">
        <v>45078.0</v>
      </c>
      <c r="FM150" s="139">
        <v>45108.0</v>
      </c>
      <c r="FN150" s="139">
        <v>45139.0</v>
      </c>
      <c r="FO150" s="139">
        <v>45170.0</v>
      </c>
      <c r="FP150" s="139">
        <v>45200.0</v>
      </c>
      <c r="FQ150" s="139">
        <v>45231.0</v>
      </c>
      <c r="FR150" s="139">
        <v>45261.0</v>
      </c>
      <c r="FS150" s="139">
        <v>45292.0</v>
      </c>
      <c r="FT150" s="139">
        <v>45323.0</v>
      </c>
      <c r="FU150" s="139">
        <v>45352.0</v>
      </c>
      <c r="FV150" s="139">
        <v>45383.0</v>
      </c>
      <c r="FW150" s="139">
        <v>45413.0</v>
      </c>
      <c r="FX150" s="139">
        <v>45444.0</v>
      </c>
      <c r="FY150" s="139">
        <v>45474.0</v>
      </c>
      <c r="FZ150" s="139">
        <v>45505.0</v>
      </c>
      <c r="GA150" s="139">
        <v>45536.0</v>
      </c>
      <c r="GB150" s="139">
        <v>45566.0</v>
      </c>
      <c r="GC150" s="139">
        <v>45597.0</v>
      </c>
      <c r="GD150" s="139">
        <v>45627.0</v>
      </c>
      <c r="GE150" s="139">
        <v>45658.0</v>
      </c>
      <c r="GF150" s="139">
        <v>45689.0</v>
      </c>
      <c r="GG150" s="139">
        <v>45717.0</v>
      </c>
      <c r="GH150" s="139">
        <v>45748.0</v>
      </c>
      <c r="GI150" s="139">
        <v>45778.0</v>
      </c>
      <c r="GJ150" s="139">
        <v>45809.0</v>
      </c>
      <c r="GK150" s="139">
        <v>45839.0</v>
      </c>
    </row>
    <row r="151">
      <c r="A151" s="132" t="s">
        <v>34168</v>
      </c>
      <c r="B151" s="133" t="s">
        <v>1111</v>
      </c>
      <c r="C151" s="134">
        <v>44883.700625</v>
      </c>
      <c r="D151" s="135" t="str">
        <f t="shared" si="1"/>
        <v>2022/11/18</v>
      </c>
      <c r="E151" s="136" t="s">
        <v>34169</v>
      </c>
      <c r="F151" s="137">
        <v>4.3E-4</v>
      </c>
      <c r="G151" s="138">
        <v>40179.0</v>
      </c>
      <c r="H151" s="138">
        <v>40210.0</v>
      </c>
      <c r="I151" s="138">
        <v>40238.0</v>
      </c>
      <c r="J151" s="138">
        <v>40269.0</v>
      </c>
      <c r="K151" s="138">
        <v>40299.0</v>
      </c>
      <c r="L151" s="138">
        <v>40330.0</v>
      </c>
      <c r="M151" s="138">
        <v>40360.0</v>
      </c>
      <c r="N151" s="138">
        <v>40391.0</v>
      </c>
      <c r="O151" s="138">
        <v>40422.0</v>
      </c>
      <c r="P151" s="138">
        <v>40452.0</v>
      </c>
      <c r="Q151" s="138">
        <v>40483.0</v>
      </c>
      <c r="R151" s="138">
        <v>40513.0</v>
      </c>
      <c r="S151" s="138">
        <v>40544.0</v>
      </c>
      <c r="T151" s="138">
        <v>40575.0</v>
      </c>
      <c r="U151" s="138">
        <v>40603.0</v>
      </c>
      <c r="V151" s="138">
        <v>40634.0</v>
      </c>
      <c r="W151" s="138">
        <v>40664.0</v>
      </c>
      <c r="X151" s="138">
        <v>40695.0</v>
      </c>
      <c r="Y151" s="138">
        <v>40725.0</v>
      </c>
      <c r="Z151" s="138">
        <v>40756.0</v>
      </c>
      <c r="AA151" s="138">
        <v>40787.0</v>
      </c>
      <c r="AB151" s="138">
        <v>40817.0</v>
      </c>
      <c r="AC151" s="138">
        <v>40848.0</v>
      </c>
      <c r="AD151" s="138">
        <v>40878.0</v>
      </c>
      <c r="AE151" s="138">
        <v>40909.0</v>
      </c>
      <c r="AF151" s="138">
        <v>40940.0</v>
      </c>
      <c r="AG151" s="138">
        <v>40969.0</v>
      </c>
      <c r="AH151" s="138">
        <v>41000.0</v>
      </c>
      <c r="AI151" s="138">
        <v>41030.0</v>
      </c>
      <c r="AJ151" s="138">
        <v>41061.0</v>
      </c>
      <c r="AK151" s="138">
        <v>41091.0</v>
      </c>
      <c r="AL151" s="138">
        <v>41122.0</v>
      </c>
      <c r="AM151" s="138">
        <v>41153.0</v>
      </c>
      <c r="AN151" s="138">
        <v>41183.0</v>
      </c>
      <c r="AO151" s="138">
        <v>41214.0</v>
      </c>
      <c r="AP151" s="138">
        <v>41244.0</v>
      </c>
      <c r="AQ151" s="138">
        <v>41275.0</v>
      </c>
      <c r="AR151" s="138">
        <v>41306.0</v>
      </c>
      <c r="AS151" s="138">
        <v>41334.0</v>
      </c>
      <c r="AT151" s="138">
        <v>41365.0</v>
      </c>
      <c r="AU151" s="138">
        <v>41395.0</v>
      </c>
      <c r="AV151" s="138">
        <v>41426.0</v>
      </c>
      <c r="AW151" s="138">
        <v>41456.0</v>
      </c>
      <c r="AX151" s="138">
        <v>41487.0</v>
      </c>
      <c r="AY151" s="138">
        <v>41518.0</v>
      </c>
      <c r="AZ151" s="138">
        <v>41548.0</v>
      </c>
      <c r="BA151" s="138">
        <v>41579.0</v>
      </c>
      <c r="BB151" s="138">
        <v>41609.0</v>
      </c>
      <c r="BC151" s="138">
        <v>41640.0</v>
      </c>
      <c r="BD151" s="138">
        <v>41671.0</v>
      </c>
      <c r="BE151" s="138">
        <v>41699.0</v>
      </c>
      <c r="BF151" s="138">
        <v>41730.0</v>
      </c>
      <c r="BG151" s="138">
        <v>41760.0</v>
      </c>
      <c r="BH151" s="138">
        <v>41791.0</v>
      </c>
      <c r="BI151" s="138">
        <v>41821.0</v>
      </c>
      <c r="BJ151" s="138">
        <v>41852.0</v>
      </c>
      <c r="BK151" s="138">
        <v>41883.0</v>
      </c>
      <c r="BL151" s="138">
        <v>41913.0</v>
      </c>
      <c r="BM151" s="138">
        <v>41944.0</v>
      </c>
      <c r="BN151" s="138">
        <v>41974.0</v>
      </c>
      <c r="BO151" s="138">
        <v>42005.0</v>
      </c>
      <c r="BP151" s="138">
        <v>42036.0</v>
      </c>
      <c r="BQ151" s="138">
        <v>42064.0</v>
      </c>
      <c r="BR151" s="138">
        <v>42095.0</v>
      </c>
      <c r="BS151" s="138">
        <v>42125.0</v>
      </c>
      <c r="BT151" s="138">
        <v>42156.0</v>
      </c>
      <c r="BU151" s="138">
        <v>42186.0</v>
      </c>
      <c r="BV151" s="138">
        <v>42217.0</v>
      </c>
      <c r="BW151" s="138">
        <v>42248.0</v>
      </c>
      <c r="BX151" s="138">
        <v>42278.0</v>
      </c>
      <c r="BY151" s="138">
        <v>42309.0</v>
      </c>
      <c r="BZ151" s="138">
        <v>42339.0</v>
      </c>
      <c r="CA151" s="138">
        <v>42370.0</v>
      </c>
      <c r="CB151" s="138">
        <v>42401.0</v>
      </c>
      <c r="CC151" s="138">
        <v>42430.0</v>
      </c>
      <c r="CD151" s="138">
        <v>42461.0</v>
      </c>
      <c r="CE151" s="138">
        <v>42491.0</v>
      </c>
      <c r="CF151" s="138">
        <v>42522.0</v>
      </c>
      <c r="CG151" s="138">
        <v>42552.0</v>
      </c>
      <c r="CH151" s="138">
        <v>42583.0</v>
      </c>
      <c r="CI151" s="138">
        <v>42614.0</v>
      </c>
      <c r="CJ151" s="138">
        <v>42644.0</v>
      </c>
      <c r="CK151" s="138">
        <v>42675.0</v>
      </c>
      <c r="CL151" s="138">
        <v>42705.0</v>
      </c>
      <c r="CM151" s="138">
        <v>42736.0</v>
      </c>
      <c r="CN151" s="138">
        <v>42767.0</v>
      </c>
      <c r="CO151" s="138">
        <v>42795.0</v>
      </c>
      <c r="CP151" s="138">
        <v>42826.0</v>
      </c>
      <c r="CQ151" s="138">
        <v>42856.0</v>
      </c>
      <c r="CR151" s="138">
        <v>42887.0</v>
      </c>
      <c r="CS151" s="138">
        <v>42917.0</v>
      </c>
      <c r="CT151" s="138">
        <v>42948.0</v>
      </c>
      <c r="CU151" s="138">
        <v>42979.0</v>
      </c>
      <c r="CV151" s="138">
        <v>43009.0</v>
      </c>
      <c r="CW151" s="138">
        <v>43040.0</v>
      </c>
      <c r="CX151" s="138">
        <v>43070.0</v>
      </c>
      <c r="CY151" s="138">
        <v>43101.0</v>
      </c>
      <c r="CZ151" s="138">
        <v>43132.0</v>
      </c>
      <c r="DA151" s="138">
        <v>43160.0</v>
      </c>
      <c r="DB151" s="138">
        <v>43191.0</v>
      </c>
      <c r="DC151" s="138">
        <v>43221.0</v>
      </c>
      <c r="DD151" s="138">
        <v>43252.0</v>
      </c>
      <c r="DE151" s="138">
        <v>43282.0</v>
      </c>
      <c r="DF151" s="138">
        <v>43313.0</v>
      </c>
      <c r="DG151" s="138">
        <v>43344.0</v>
      </c>
      <c r="DH151" s="138">
        <v>43374.0</v>
      </c>
      <c r="DI151" s="138">
        <v>43405.0</v>
      </c>
      <c r="DJ151" s="138">
        <v>43435.0</v>
      </c>
      <c r="DK151" s="138">
        <v>43466.0</v>
      </c>
      <c r="DL151" s="138">
        <v>43497.0</v>
      </c>
      <c r="DM151" s="138">
        <v>43525.0</v>
      </c>
      <c r="DN151" s="138">
        <v>43556.0</v>
      </c>
      <c r="DO151" s="138">
        <v>43586.0</v>
      </c>
      <c r="DP151" s="138">
        <v>43617.0</v>
      </c>
      <c r="DQ151" s="138">
        <v>43647.0</v>
      </c>
      <c r="DR151" s="138">
        <v>43678.0</v>
      </c>
      <c r="DS151" s="138">
        <v>43709.0</v>
      </c>
      <c r="DT151" s="138">
        <v>43739.0</v>
      </c>
      <c r="DU151" s="138">
        <v>43770.0</v>
      </c>
      <c r="DV151" s="138">
        <v>43800.0</v>
      </c>
      <c r="DW151" s="138">
        <v>43831.0</v>
      </c>
      <c r="DX151" s="138">
        <v>43862.0</v>
      </c>
      <c r="DY151" s="138">
        <v>43891.0</v>
      </c>
      <c r="DZ151" s="138">
        <v>43922.0</v>
      </c>
      <c r="EA151" s="138">
        <v>43952.0</v>
      </c>
      <c r="EB151" s="138">
        <v>43983.0</v>
      </c>
      <c r="EC151" s="138">
        <v>44013.0</v>
      </c>
      <c r="ED151" s="138">
        <v>44044.0</v>
      </c>
      <c r="EE151" s="138">
        <v>44075.0</v>
      </c>
      <c r="EF151" s="138">
        <v>44105.0</v>
      </c>
      <c r="EG151" s="138">
        <v>44136.0</v>
      </c>
      <c r="EH151" s="138">
        <v>44166.0</v>
      </c>
      <c r="EI151" s="138">
        <v>44197.0</v>
      </c>
      <c r="EJ151" s="138">
        <v>44228.0</v>
      </c>
      <c r="EK151" s="138">
        <v>44256.0</v>
      </c>
      <c r="EL151" s="138">
        <v>44287.0</v>
      </c>
      <c r="EM151" s="138">
        <v>44317.0</v>
      </c>
      <c r="EN151" s="138">
        <v>44348.0</v>
      </c>
      <c r="EO151" s="138">
        <v>44378.0</v>
      </c>
      <c r="EP151" s="138">
        <v>44409.0</v>
      </c>
      <c r="EQ151" s="138">
        <v>44440.0</v>
      </c>
      <c r="ER151" s="138">
        <v>44470.0</v>
      </c>
      <c r="ES151" s="138">
        <v>44501.0</v>
      </c>
      <c r="ET151" s="138">
        <v>44531.0</v>
      </c>
      <c r="EU151" s="138">
        <v>44562.0</v>
      </c>
      <c r="EV151" s="138">
        <v>44593.0</v>
      </c>
      <c r="EW151" s="138">
        <v>44621.0</v>
      </c>
      <c r="EX151" s="138">
        <v>44652.0</v>
      </c>
      <c r="EY151" s="138">
        <v>44682.0</v>
      </c>
      <c r="EZ151" s="138">
        <v>44713.0</v>
      </c>
      <c r="FA151" s="138">
        <v>44743.0</v>
      </c>
      <c r="FB151" s="138">
        <v>44774.0</v>
      </c>
      <c r="FC151" s="138">
        <v>44805.0</v>
      </c>
      <c r="FD151" s="138">
        <v>44835.0</v>
      </c>
      <c r="FE151" s="138">
        <v>44866.0</v>
      </c>
      <c r="FF151" s="139">
        <v>44896.0</v>
      </c>
      <c r="FG151" s="139">
        <v>44927.0</v>
      </c>
      <c r="FH151" s="139">
        <v>44958.0</v>
      </c>
      <c r="FI151" s="139">
        <v>44986.0</v>
      </c>
      <c r="FJ151" s="139">
        <v>45017.0</v>
      </c>
      <c r="FK151" s="139">
        <v>45047.0</v>
      </c>
      <c r="FL151" s="139">
        <v>45078.0</v>
      </c>
      <c r="FM151" s="139">
        <v>45108.0</v>
      </c>
      <c r="FN151" s="139">
        <v>45139.0</v>
      </c>
      <c r="FO151" s="139">
        <v>45170.0</v>
      </c>
      <c r="FP151" s="139">
        <v>45200.0</v>
      </c>
      <c r="FQ151" s="139">
        <v>45231.0</v>
      </c>
      <c r="FR151" s="139">
        <v>45261.0</v>
      </c>
      <c r="FS151" s="139">
        <v>45292.0</v>
      </c>
      <c r="FT151" s="139">
        <v>45323.0</v>
      </c>
      <c r="FU151" s="139">
        <v>45352.0</v>
      </c>
      <c r="FV151" s="139">
        <v>45383.0</v>
      </c>
      <c r="FW151" s="139">
        <v>45413.0</v>
      </c>
      <c r="FX151" s="139">
        <v>45444.0</v>
      </c>
      <c r="FY151" s="139">
        <v>45474.0</v>
      </c>
      <c r="FZ151" s="139">
        <v>45505.0</v>
      </c>
      <c r="GA151" s="139">
        <v>45536.0</v>
      </c>
      <c r="GB151" s="139">
        <v>45566.0</v>
      </c>
      <c r="GC151" s="139">
        <v>45597.0</v>
      </c>
      <c r="GD151" s="139">
        <v>45627.0</v>
      </c>
      <c r="GE151" s="139">
        <v>45658.0</v>
      </c>
      <c r="GF151" s="139">
        <v>45689.0</v>
      </c>
      <c r="GG151" s="139">
        <v>45717.0</v>
      </c>
      <c r="GH151" s="139">
        <v>45748.0</v>
      </c>
      <c r="GI151" s="139">
        <v>45778.0</v>
      </c>
      <c r="GJ151" s="139">
        <v>45809.0</v>
      </c>
      <c r="GK151" s="139">
        <v>45839.0</v>
      </c>
    </row>
    <row r="152">
      <c r="A152" s="132" t="s">
        <v>34170</v>
      </c>
      <c r="B152" s="133" t="s">
        <v>1111</v>
      </c>
      <c r="C152" s="134">
        <v>44957.55075231481</v>
      </c>
      <c r="D152" s="135" t="str">
        <f t="shared" si="1"/>
        <v>2023/01/31</v>
      </c>
      <c r="E152" s="136" t="s">
        <v>34171</v>
      </c>
      <c r="F152" s="137">
        <v>0.00114</v>
      </c>
      <c r="G152" s="138">
        <v>40179.0</v>
      </c>
      <c r="H152" s="138">
        <v>40210.0</v>
      </c>
      <c r="I152" s="138">
        <v>40238.0</v>
      </c>
      <c r="J152" s="138">
        <v>40269.0</v>
      </c>
      <c r="K152" s="138">
        <v>40299.0</v>
      </c>
      <c r="L152" s="138">
        <v>40330.0</v>
      </c>
      <c r="M152" s="138">
        <v>40360.0</v>
      </c>
      <c r="N152" s="138">
        <v>40391.0</v>
      </c>
      <c r="O152" s="138">
        <v>40422.0</v>
      </c>
      <c r="P152" s="138">
        <v>40452.0</v>
      </c>
      <c r="Q152" s="138">
        <v>40483.0</v>
      </c>
      <c r="R152" s="138">
        <v>40513.0</v>
      </c>
      <c r="S152" s="138">
        <v>40544.0</v>
      </c>
      <c r="T152" s="138">
        <v>40575.0</v>
      </c>
      <c r="U152" s="138">
        <v>40603.0</v>
      </c>
      <c r="V152" s="138">
        <v>40634.0</v>
      </c>
      <c r="W152" s="138">
        <v>40664.0</v>
      </c>
      <c r="X152" s="138">
        <v>40695.0</v>
      </c>
      <c r="Y152" s="138">
        <v>40725.0</v>
      </c>
      <c r="Z152" s="138">
        <v>40756.0</v>
      </c>
      <c r="AA152" s="138">
        <v>40787.0</v>
      </c>
      <c r="AB152" s="138">
        <v>40817.0</v>
      </c>
      <c r="AC152" s="138">
        <v>40848.0</v>
      </c>
      <c r="AD152" s="138">
        <v>40878.0</v>
      </c>
      <c r="AE152" s="138">
        <v>40909.0</v>
      </c>
      <c r="AF152" s="138">
        <v>40940.0</v>
      </c>
      <c r="AG152" s="138">
        <v>40969.0</v>
      </c>
      <c r="AH152" s="138">
        <v>41000.0</v>
      </c>
      <c r="AI152" s="138">
        <v>41030.0</v>
      </c>
      <c r="AJ152" s="138">
        <v>41061.0</v>
      </c>
      <c r="AK152" s="138">
        <v>41091.0</v>
      </c>
      <c r="AL152" s="138">
        <v>41122.0</v>
      </c>
      <c r="AM152" s="138">
        <v>41153.0</v>
      </c>
      <c r="AN152" s="138">
        <v>41183.0</v>
      </c>
      <c r="AO152" s="138">
        <v>41214.0</v>
      </c>
      <c r="AP152" s="138">
        <v>41244.0</v>
      </c>
      <c r="AQ152" s="138">
        <v>41275.0</v>
      </c>
      <c r="AR152" s="138">
        <v>41306.0</v>
      </c>
      <c r="AS152" s="138">
        <v>41334.0</v>
      </c>
      <c r="AT152" s="138">
        <v>41365.0</v>
      </c>
      <c r="AU152" s="138">
        <v>41395.0</v>
      </c>
      <c r="AV152" s="138">
        <v>41426.0</v>
      </c>
      <c r="AW152" s="138">
        <v>41456.0</v>
      </c>
      <c r="AX152" s="138">
        <v>41487.0</v>
      </c>
      <c r="AY152" s="138">
        <v>41518.0</v>
      </c>
      <c r="AZ152" s="138">
        <v>41548.0</v>
      </c>
      <c r="BA152" s="138">
        <v>41579.0</v>
      </c>
      <c r="BB152" s="138">
        <v>41609.0</v>
      </c>
      <c r="BC152" s="138">
        <v>41640.0</v>
      </c>
      <c r="BD152" s="138">
        <v>41671.0</v>
      </c>
      <c r="BE152" s="138">
        <v>41699.0</v>
      </c>
      <c r="BF152" s="138">
        <v>41730.0</v>
      </c>
      <c r="BG152" s="138">
        <v>41760.0</v>
      </c>
      <c r="BH152" s="138">
        <v>41791.0</v>
      </c>
      <c r="BI152" s="138">
        <v>41821.0</v>
      </c>
      <c r="BJ152" s="138">
        <v>41852.0</v>
      </c>
      <c r="BK152" s="138">
        <v>41883.0</v>
      </c>
      <c r="BL152" s="138">
        <v>41913.0</v>
      </c>
      <c r="BM152" s="138">
        <v>41944.0</v>
      </c>
      <c r="BN152" s="138">
        <v>41974.0</v>
      </c>
      <c r="BO152" s="138">
        <v>42005.0</v>
      </c>
      <c r="BP152" s="138">
        <v>42036.0</v>
      </c>
      <c r="BQ152" s="138">
        <v>42064.0</v>
      </c>
      <c r="BR152" s="138">
        <v>42095.0</v>
      </c>
      <c r="BS152" s="138">
        <v>42125.0</v>
      </c>
      <c r="BT152" s="138">
        <v>42156.0</v>
      </c>
      <c r="BU152" s="138">
        <v>42186.0</v>
      </c>
      <c r="BV152" s="138">
        <v>42217.0</v>
      </c>
      <c r="BW152" s="138">
        <v>42248.0</v>
      </c>
      <c r="BX152" s="138">
        <v>42278.0</v>
      </c>
      <c r="BY152" s="138">
        <v>42309.0</v>
      </c>
      <c r="BZ152" s="138">
        <v>42339.0</v>
      </c>
      <c r="CA152" s="138">
        <v>42370.0</v>
      </c>
      <c r="CB152" s="138">
        <v>42401.0</v>
      </c>
      <c r="CC152" s="138">
        <v>42430.0</v>
      </c>
      <c r="CD152" s="138">
        <v>42461.0</v>
      </c>
      <c r="CE152" s="138">
        <v>42491.0</v>
      </c>
      <c r="CF152" s="138">
        <v>42522.0</v>
      </c>
      <c r="CG152" s="138">
        <v>42552.0</v>
      </c>
      <c r="CH152" s="138">
        <v>42583.0</v>
      </c>
      <c r="CI152" s="138">
        <v>42614.0</v>
      </c>
      <c r="CJ152" s="138">
        <v>42644.0</v>
      </c>
      <c r="CK152" s="138">
        <v>42675.0</v>
      </c>
      <c r="CL152" s="138">
        <v>42705.0</v>
      </c>
      <c r="CM152" s="138">
        <v>42736.0</v>
      </c>
      <c r="CN152" s="138">
        <v>42767.0</v>
      </c>
      <c r="CO152" s="138">
        <v>42795.0</v>
      </c>
      <c r="CP152" s="138">
        <v>42826.0</v>
      </c>
      <c r="CQ152" s="138">
        <v>42856.0</v>
      </c>
      <c r="CR152" s="138">
        <v>42887.0</v>
      </c>
      <c r="CS152" s="138">
        <v>42917.0</v>
      </c>
      <c r="CT152" s="138">
        <v>42948.0</v>
      </c>
      <c r="CU152" s="138">
        <v>42979.0</v>
      </c>
      <c r="CV152" s="138">
        <v>43009.0</v>
      </c>
      <c r="CW152" s="138">
        <v>43040.0</v>
      </c>
      <c r="CX152" s="138">
        <v>43070.0</v>
      </c>
      <c r="CY152" s="138">
        <v>43101.0</v>
      </c>
      <c r="CZ152" s="138">
        <v>43132.0</v>
      </c>
      <c r="DA152" s="138">
        <v>43160.0</v>
      </c>
      <c r="DB152" s="138">
        <v>43191.0</v>
      </c>
      <c r="DC152" s="138">
        <v>43221.0</v>
      </c>
      <c r="DD152" s="138">
        <v>43252.0</v>
      </c>
      <c r="DE152" s="138">
        <v>43282.0</v>
      </c>
      <c r="DF152" s="138">
        <v>43313.0</v>
      </c>
      <c r="DG152" s="138">
        <v>43344.0</v>
      </c>
      <c r="DH152" s="138">
        <v>43374.0</v>
      </c>
      <c r="DI152" s="138">
        <v>43405.0</v>
      </c>
      <c r="DJ152" s="138">
        <v>43435.0</v>
      </c>
      <c r="DK152" s="138">
        <v>43466.0</v>
      </c>
      <c r="DL152" s="138">
        <v>43497.0</v>
      </c>
      <c r="DM152" s="138">
        <v>43525.0</v>
      </c>
      <c r="DN152" s="138">
        <v>43556.0</v>
      </c>
      <c r="DO152" s="138">
        <v>43586.0</v>
      </c>
      <c r="DP152" s="138">
        <v>43617.0</v>
      </c>
      <c r="DQ152" s="138">
        <v>43647.0</v>
      </c>
      <c r="DR152" s="138">
        <v>43678.0</v>
      </c>
      <c r="DS152" s="138">
        <v>43709.0</v>
      </c>
      <c r="DT152" s="138">
        <v>43739.0</v>
      </c>
      <c r="DU152" s="138">
        <v>43770.0</v>
      </c>
      <c r="DV152" s="138">
        <v>43800.0</v>
      </c>
      <c r="DW152" s="138">
        <v>43831.0</v>
      </c>
      <c r="DX152" s="138">
        <v>43862.0</v>
      </c>
      <c r="DY152" s="138">
        <v>43891.0</v>
      </c>
      <c r="DZ152" s="138">
        <v>43922.0</v>
      </c>
      <c r="EA152" s="138">
        <v>43952.0</v>
      </c>
      <c r="EB152" s="138">
        <v>43983.0</v>
      </c>
      <c r="EC152" s="138">
        <v>44013.0</v>
      </c>
      <c r="ED152" s="138">
        <v>44044.0</v>
      </c>
      <c r="EE152" s="138">
        <v>44075.0</v>
      </c>
      <c r="EF152" s="138">
        <v>44105.0</v>
      </c>
      <c r="EG152" s="138">
        <v>44136.0</v>
      </c>
      <c r="EH152" s="138">
        <v>44166.0</v>
      </c>
      <c r="EI152" s="138">
        <v>44197.0</v>
      </c>
      <c r="EJ152" s="138">
        <v>44228.0</v>
      </c>
      <c r="EK152" s="138">
        <v>44256.0</v>
      </c>
      <c r="EL152" s="138">
        <v>44287.0</v>
      </c>
      <c r="EM152" s="138">
        <v>44317.0</v>
      </c>
      <c r="EN152" s="138">
        <v>44348.0</v>
      </c>
      <c r="EO152" s="138">
        <v>44378.0</v>
      </c>
      <c r="EP152" s="138">
        <v>44409.0</v>
      </c>
      <c r="EQ152" s="138">
        <v>44440.0</v>
      </c>
      <c r="ER152" s="138">
        <v>44470.0</v>
      </c>
      <c r="ES152" s="138">
        <v>44501.0</v>
      </c>
      <c r="ET152" s="138">
        <v>44531.0</v>
      </c>
      <c r="EU152" s="138">
        <v>44562.0</v>
      </c>
      <c r="EV152" s="138">
        <v>44593.0</v>
      </c>
      <c r="EW152" s="138">
        <v>44621.0</v>
      </c>
      <c r="EX152" s="138">
        <v>44652.0</v>
      </c>
      <c r="EY152" s="138">
        <v>44682.0</v>
      </c>
      <c r="EZ152" s="138">
        <v>44713.0</v>
      </c>
      <c r="FA152" s="138">
        <v>44743.0</v>
      </c>
      <c r="FB152" s="138">
        <v>44774.0</v>
      </c>
      <c r="FC152" s="138">
        <v>44805.0</v>
      </c>
      <c r="FD152" s="138">
        <v>44835.0</v>
      </c>
      <c r="FE152" s="138">
        <v>44866.0</v>
      </c>
      <c r="FF152" s="138">
        <v>44896.0</v>
      </c>
      <c r="FG152" s="138">
        <v>44927.0</v>
      </c>
      <c r="FH152" s="139">
        <v>44958.0</v>
      </c>
      <c r="FI152" s="139">
        <v>44986.0</v>
      </c>
      <c r="FJ152" s="139">
        <v>45017.0</v>
      </c>
      <c r="FK152" s="139">
        <v>45047.0</v>
      </c>
      <c r="FL152" s="139">
        <v>45078.0</v>
      </c>
      <c r="FM152" s="139">
        <v>45108.0</v>
      </c>
      <c r="FN152" s="139">
        <v>45139.0</v>
      </c>
      <c r="FO152" s="139">
        <v>45170.0</v>
      </c>
      <c r="FP152" s="139">
        <v>45200.0</v>
      </c>
      <c r="FQ152" s="139">
        <v>45231.0</v>
      </c>
      <c r="FR152" s="139">
        <v>45261.0</v>
      </c>
      <c r="FS152" s="139">
        <v>45292.0</v>
      </c>
      <c r="FT152" s="139">
        <v>45323.0</v>
      </c>
      <c r="FU152" s="139">
        <v>45352.0</v>
      </c>
      <c r="FV152" s="139">
        <v>45383.0</v>
      </c>
      <c r="FW152" s="139">
        <v>45413.0</v>
      </c>
      <c r="FX152" s="139">
        <v>45444.0</v>
      </c>
      <c r="FY152" s="139">
        <v>45474.0</v>
      </c>
      <c r="FZ152" s="139">
        <v>45505.0</v>
      </c>
      <c r="GA152" s="139">
        <v>45536.0</v>
      </c>
      <c r="GB152" s="139">
        <v>45566.0</v>
      </c>
      <c r="GC152" s="139">
        <v>45597.0</v>
      </c>
      <c r="GD152" s="139">
        <v>45627.0</v>
      </c>
      <c r="GE152" s="139">
        <v>45658.0</v>
      </c>
      <c r="GF152" s="139">
        <v>45689.0</v>
      </c>
      <c r="GG152" s="139">
        <v>45717.0</v>
      </c>
      <c r="GH152" s="139">
        <v>45748.0</v>
      </c>
      <c r="GI152" s="139">
        <v>45778.0</v>
      </c>
      <c r="GJ152" s="139">
        <v>45809.0</v>
      </c>
      <c r="GK152" s="139">
        <v>45839.0</v>
      </c>
    </row>
    <row r="153">
      <c r="A153" s="132" t="s">
        <v>34172</v>
      </c>
      <c r="B153" s="133" t="s">
        <v>188</v>
      </c>
      <c r="C153" s="134">
        <v>44985.6921875</v>
      </c>
      <c r="D153" s="135" t="str">
        <f t="shared" si="1"/>
        <v>2023/02/28</v>
      </c>
      <c r="E153" s="136" t="s">
        <v>33974</v>
      </c>
      <c r="F153" s="137">
        <v>0.0</v>
      </c>
      <c r="G153" s="138">
        <v>40179.0</v>
      </c>
      <c r="H153" s="138">
        <v>40210.0</v>
      </c>
      <c r="I153" s="138">
        <v>40238.0</v>
      </c>
      <c r="J153" s="138">
        <v>40269.0</v>
      </c>
      <c r="K153" s="138">
        <v>40299.0</v>
      </c>
      <c r="L153" s="138">
        <v>40330.0</v>
      </c>
      <c r="M153" s="138">
        <v>40360.0</v>
      </c>
      <c r="N153" s="138">
        <v>40391.0</v>
      </c>
      <c r="O153" s="138">
        <v>40422.0</v>
      </c>
      <c r="P153" s="138">
        <v>40452.0</v>
      </c>
      <c r="Q153" s="138">
        <v>40483.0</v>
      </c>
      <c r="R153" s="138">
        <v>40513.0</v>
      </c>
      <c r="S153" s="138">
        <v>40544.0</v>
      </c>
      <c r="T153" s="138">
        <v>40575.0</v>
      </c>
      <c r="U153" s="138">
        <v>40603.0</v>
      </c>
      <c r="V153" s="138">
        <v>40634.0</v>
      </c>
      <c r="W153" s="138">
        <v>40664.0</v>
      </c>
      <c r="X153" s="138">
        <v>40695.0</v>
      </c>
      <c r="Y153" s="138">
        <v>40725.0</v>
      </c>
      <c r="Z153" s="138">
        <v>40756.0</v>
      </c>
      <c r="AA153" s="138">
        <v>40787.0</v>
      </c>
      <c r="AB153" s="138">
        <v>40817.0</v>
      </c>
      <c r="AC153" s="138">
        <v>40848.0</v>
      </c>
      <c r="AD153" s="138">
        <v>40878.0</v>
      </c>
      <c r="AE153" s="138">
        <v>40909.0</v>
      </c>
      <c r="AF153" s="138">
        <v>40940.0</v>
      </c>
      <c r="AG153" s="138">
        <v>40969.0</v>
      </c>
      <c r="AH153" s="138">
        <v>41000.0</v>
      </c>
      <c r="AI153" s="138">
        <v>41030.0</v>
      </c>
      <c r="AJ153" s="138">
        <v>41061.0</v>
      </c>
      <c r="AK153" s="138">
        <v>41091.0</v>
      </c>
      <c r="AL153" s="138">
        <v>41122.0</v>
      </c>
      <c r="AM153" s="138">
        <v>41153.0</v>
      </c>
      <c r="AN153" s="138">
        <v>41183.0</v>
      </c>
      <c r="AO153" s="138">
        <v>41214.0</v>
      </c>
      <c r="AP153" s="138">
        <v>41244.0</v>
      </c>
      <c r="AQ153" s="138">
        <v>41275.0</v>
      </c>
      <c r="AR153" s="138">
        <v>41306.0</v>
      </c>
      <c r="AS153" s="138">
        <v>41334.0</v>
      </c>
      <c r="AT153" s="138">
        <v>41365.0</v>
      </c>
      <c r="AU153" s="138">
        <v>41395.0</v>
      </c>
      <c r="AV153" s="138">
        <v>41426.0</v>
      </c>
      <c r="AW153" s="138">
        <v>41456.0</v>
      </c>
      <c r="AX153" s="138">
        <v>41487.0</v>
      </c>
      <c r="AY153" s="138">
        <v>41518.0</v>
      </c>
      <c r="AZ153" s="138">
        <v>41548.0</v>
      </c>
      <c r="BA153" s="138">
        <v>41579.0</v>
      </c>
      <c r="BB153" s="138">
        <v>41609.0</v>
      </c>
      <c r="BC153" s="138">
        <v>41640.0</v>
      </c>
      <c r="BD153" s="138">
        <v>41671.0</v>
      </c>
      <c r="BE153" s="138">
        <v>41699.0</v>
      </c>
      <c r="BF153" s="138">
        <v>41730.0</v>
      </c>
      <c r="BG153" s="138">
        <v>41760.0</v>
      </c>
      <c r="BH153" s="138">
        <v>41791.0</v>
      </c>
      <c r="BI153" s="138">
        <v>41821.0</v>
      </c>
      <c r="BJ153" s="138">
        <v>41852.0</v>
      </c>
      <c r="BK153" s="138">
        <v>41883.0</v>
      </c>
      <c r="BL153" s="138">
        <v>41913.0</v>
      </c>
      <c r="BM153" s="138">
        <v>41944.0</v>
      </c>
      <c r="BN153" s="138">
        <v>41974.0</v>
      </c>
      <c r="BO153" s="138">
        <v>42005.0</v>
      </c>
      <c r="BP153" s="138">
        <v>42036.0</v>
      </c>
      <c r="BQ153" s="138">
        <v>42064.0</v>
      </c>
      <c r="BR153" s="138">
        <v>42095.0</v>
      </c>
      <c r="BS153" s="138">
        <v>42125.0</v>
      </c>
      <c r="BT153" s="138">
        <v>42156.0</v>
      </c>
      <c r="BU153" s="138">
        <v>42186.0</v>
      </c>
      <c r="BV153" s="138">
        <v>42217.0</v>
      </c>
      <c r="BW153" s="138">
        <v>42248.0</v>
      </c>
      <c r="BX153" s="138">
        <v>42278.0</v>
      </c>
      <c r="BY153" s="138">
        <v>42309.0</v>
      </c>
      <c r="BZ153" s="138">
        <v>42339.0</v>
      </c>
      <c r="CA153" s="138">
        <v>42370.0</v>
      </c>
      <c r="CB153" s="138">
        <v>42401.0</v>
      </c>
      <c r="CC153" s="138">
        <v>42430.0</v>
      </c>
      <c r="CD153" s="138">
        <v>42461.0</v>
      </c>
      <c r="CE153" s="138">
        <v>42491.0</v>
      </c>
      <c r="CF153" s="138">
        <v>42522.0</v>
      </c>
      <c r="CG153" s="138">
        <v>42552.0</v>
      </c>
      <c r="CH153" s="138">
        <v>42583.0</v>
      </c>
      <c r="CI153" s="138">
        <v>42614.0</v>
      </c>
      <c r="CJ153" s="138">
        <v>42644.0</v>
      </c>
      <c r="CK153" s="138">
        <v>42675.0</v>
      </c>
      <c r="CL153" s="138">
        <v>42705.0</v>
      </c>
      <c r="CM153" s="138">
        <v>42736.0</v>
      </c>
      <c r="CN153" s="138">
        <v>42767.0</v>
      </c>
      <c r="CO153" s="138">
        <v>42795.0</v>
      </c>
      <c r="CP153" s="138">
        <v>42826.0</v>
      </c>
      <c r="CQ153" s="138">
        <v>42856.0</v>
      </c>
      <c r="CR153" s="138">
        <v>42887.0</v>
      </c>
      <c r="CS153" s="138">
        <v>42917.0</v>
      </c>
      <c r="CT153" s="138">
        <v>42948.0</v>
      </c>
      <c r="CU153" s="138">
        <v>42979.0</v>
      </c>
      <c r="CV153" s="138">
        <v>43009.0</v>
      </c>
      <c r="CW153" s="138">
        <v>43040.0</v>
      </c>
      <c r="CX153" s="138">
        <v>43070.0</v>
      </c>
      <c r="CY153" s="138">
        <v>43101.0</v>
      </c>
      <c r="CZ153" s="138">
        <v>43132.0</v>
      </c>
      <c r="DA153" s="138">
        <v>43160.0</v>
      </c>
      <c r="DB153" s="138">
        <v>43191.0</v>
      </c>
      <c r="DC153" s="138">
        <v>43221.0</v>
      </c>
      <c r="DD153" s="138">
        <v>43252.0</v>
      </c>
      <c r="DE153" s="138">
        <v>43282.0</v>
      </c>
      <c r="DF153" s="138">
        <v>43313.0</v>
      </c>
      <c r="DG153" s="138">
        <v>43344.0</v>
      </c>
      <c r="DH153" s="138">
        <v>43374.0</v>
      </c>
      <c r="DI153" s="138">
        <v>43405.0</v>
      </c>
      <c r="DJ153" s="138">
        <v>43435.0</v>
      </c>
      <c r="DK153" s="138">
        <v>43466.0</v>
      </c>
      <c r="DL153" s="138">
        <v>43497.0</v>
      </c>
      <c r="DM153" s="138">
        <v>43525.0</v>
      </c>
      <c r="DN153" s="138">
        <v>43556.0</v>
      </c>
      <c r="DO153" s="138">
        <v>43586.0</v>
      </c>
      <c r="DP153" s="138">
        <v>43617.0</v>
      </c>
      <c r="DQ153" s="138">
        <v>43647.0</v>
      </c>
      <c r="DR153" s="138">
        <v>43678.0</v>
      </c>
      <c r="DS153" s="138">
        <v>43709.0</v>
      </c>
      <c r="DT153" s="138">
        <v>43739.0</v>
      </c>
      <c r="DU153" s="138">
        <v>43770.0</v>
      </c>
      <c r="DV153" s="138">
        <v>43800.0</v>
      </c>
      <c r="DW153" s="138">
        <v>43831.0</v>
      </c>
      <c r="DX153" s="138">
        <v>43862.0</v>
      </c>
      <c r="DY153" s="138">
        <v>43891.0</v>
      </c>
      <c r="DZ153" s="138">
        <v>43922.0</v>
      </c>
      <c r="EA153" s="138">
        <v>43952.0</v>
      </c>
      <c r="EB153" s="138">
        <v>43983.0</v>
      </c>
      <c r="EC153" s="138">
        <v>44013.0</v>
      </c>
      <c r="ED153" s="138">
        <v>44044.0</v>
      </c>
      <c r="EE153" s="138">
        <v>44075.0</v>
      </c>
      <c r="EF153" s="138">
        <v>44105.0</v>
      </c>
      <c r="EG153" s="138">
        <v>44136.0</v>
      </c>
      <c r="EH153" s="138">
        <v>44166.0</v>
      </c>
      <c r="EI153" s="138">
        <v>44197.0</v>
      </c>
      <c r="EJ153" s="138">
        <v>44228.0</v>
      </c>
      <c r="EK153" s="138">
        <v>44256.0</v>
      </c>
      <c r="EL153" s="138">
        <v>44287.0</v>
      </c>
      <c r="EM153" s="138">
        <v>44317.0</v>
      </c>
      <c r="EN153" s="138">
        <v>44348.0</v>
      </c>
      <c r="EO153" s="138">
        <v>44378.0</v>
      </c>
      <c r="EP153" s="138">
        <v>44409.0</v>
      </c>
      <c r="EQ153" s="138">
        <v>44440.0</v>
      </c>
      <c r="ER153" s="138">
        <v>44470.0</v>
      </c>
      <c r="ES153" s="138">
        <v>44501.0</v>
      </c>
      <c r="ET153" s="138">
        <v>44531.0</v>
      </c>
      <c r="EU153" s="138">
        <v>44562.0</v>
      </c>
      <c r="EV153" s="138">
        <v>44593.0</v>
      </c>
      <c r="EW153" s="138">
        <v>44621.0</v>
      </c>
      <c r="EX153" s="138">
        <v>44652.0</v>
      </c>
      <c r="EY153" s="138">
        <v>44682.0</v>
      </c>
      <c r="EZ153" s="138">
        <v>44713.0</v>
      </c>
      <c r="FA153" s="138">
        <v>44743.0</v>
      </c>
      <c r="FB153" s="138">
        <v>44774.0</v>
      </c>
      <c r="FC153" s="138">
        <v>44805.0</v>
      </c>
      <c r="FD153" s="138">
        <v>44835.0</v>
      </c>
      <c r="FE153" s="138">
        <v>44866.0</v>
      </c>
      <c r="FF153" s="138">
        <v>44896.0</v>
      </c>
      <c r="FG153" s="138">
        <v>44927.0</v>
      </c>
      <c r="FH153" s="138">
        <v>44958.0</v>
      </c>
      <c r="FI153" s="139">
        <v>44986.0</v>
      </c>
      <c r="FJ153" s="139">
        <v>45017.0</v>
      </c>
      <c r="FK153" s="139">
        <v>45047.0</v>
      </c>
      <c r="FL153" s="139">
        <v>45078.0</v>
      </c>
      <c r="FM153" s="139">
        <v>45108.0</v>
      </c>
      <c r="FN153" s="139">
        <v>45139.0</v>
      </c>
      <c r="FO153" s="139">
        <v>45170.0</v>
      </c>
      <c r="FP153" s="139">
        <v>45200.0</v>
      </c>
      <c r="FQ153" s="139">
        <v>45231.0</v>
      </c>
      <c r="FR153" s="139">
        <v>45261.0</v>
      </c>
      <c r="FS153" s="139">
        <v>45292.0</v>
      </c>
      <c r="FT153" s="139">
        <v>45323.0</v>
      </c>
      <c r="FU153" s="139">
        <v>45352.0</v>
      </c>
      <c r="FV153" s="139">
        <v>45383.0</v>
      </c>
      <c r="FW153" s="139">
        <v>45413.0</v>
      </c>
      <c r="FX153" s="139">
        <v>45444.0</v>
      </c>
      <c r="FY153" s="139">
        <v>45474.0</v>
      </c>
      <c r="FZ153" s="139">
        <v>45505.0</v>
      </c>
      <c r="GA153" s="139">
        <v>45536.0</v>
      </c>
      <c r="GB153" s="139">
        <v>45566.0</v>
      </c>
      <c r="GC153" s="139">
        <v>45597.0</v>
      </c>
      <c r="GD153" s="139">
        <v>45627.0</v>
      </c>
      <c r="GE153" s="139">
        <v>45658.0</v>
      </c>
      <c r="GF153" s="139">
        <v>45689.0</v>
      </c>
      <c r="GG153" s="139">
        <v>45717.0</v>
      </c>
      <c r="GH153" s="139">
        <v>45748.0</v>
      </c>
      <c r="GI153" s="139">
        <v>45778.0</v>
      </c>
      <c r="GJ153" s="139">
        <v>45809.0</v>
      </c>
      <c r="GK153" s="139">
        <v>45839.0</v>
      </c>
    </row>
    <row r="154">
      <c r="A154" s="132" t="s">
        <v>34173</v>
      </c>
      <c r="B154" s="133" t="s">
        <v>1237</v>
      </c>
      <c r="C154" s="134">
        <v>45064.45773148148</v>
      </c>
      <c r="D154" s="135" t="str">
        <f t="shared" si="1"/>
        <v>2023/05/18</v>
      </c>
      <c r="E154" s="136" t="s">
        <v>34174</v>
      </c>
      <c r="F154" s="137">
        <v>0.01063</v>
      </c>
      <c r="G154" s="138">
        <v>40179.0</v>
      </c>
      <c r="H154" s="138">
        <v>40210.0</v>
      </c>
      <c r="I154" s="138">
        <v>40238.0</v>
      </c>
      <c r="J154" s="138">
        <v>40269.0</v>
      </c>
      <c r="K154" s="138">
        <v>40299.0</v>
      </c>
      <c r="L154" s="138">
        <v>40330.0</v>
      </c>
      <c r="M154" s="138">
        <v>40360.0</v>
      </c>
      <c r="N154" s="138">
        <v>40391.0</v>
      </c>
      <c r="O154" s="138">
        <v>40422.0</v>
      </c>
      <c r="P154" s="138">
        <v>40452.0</v>
      </c>
      <c r="Q154" s="138">
        <v>40483.0</v>
      </c>
      <c r="R154" s="138">
        <v>40513.0</v>
      </c>
      <c r="S154" s="138">
        <v>40544.0</v>
      </c>
      <c r="T154" s="138">
        <v>40575.0</v>
      </c>
      <c r="U154" s="138">
        <v>40603.0</v>
      </c>
      <c r="V154" s="138">
        <v>40634.0</v>
      </c>
      <c r="W154" s="138">
        <v>40664.0</v>
      </c>
      <c r="X154" s="138">
        <v>40695.0</v>
      </c>
      <c r="Y154" s="138">
        <v>40725.0</v>
      </c>
      <c r="Z154" s="138">
        <v>40756.0</v>
      </c>
      <c r="AA154" s="138">
        <v>40787.0</v>
      </c>
      <c r="AB154" s="138">
        <v>40817.0</v>
      </c>
      <c r="AC154" s="138">
        <v>40848.0</v>
      </c>
      <c r="AD154" s="138">
        <v>40878.0</v>
      </c>
      <c r="AE154" s="138">
        <v>40909.0</v>
      </c>
      <c r="AF154" s="138">
        <v>40940.0</v>
      </c>
      <c r="AG154" s="138">
        <v>40969.0</v>
      </c>
      <c r="AH154" s="138">
        <v>41000.0</v>
      </c>
      <c r="AI154" s="138">
        <v>41030.0</v>
      </c>
      <c r="AJ154" s="138">
        <v>41061.0</v>
      </c>
      <c r="AK154" s="138">
        <v>41091.0</v>
      </c>
      <c r="AL154" s="138">
        <v>41122.0</v>
      </c>
      <c r="AM154" s="138">
        <v>41153.0</v>
      </c>
      <c r="AN154" s="138">
        <v>41183.0</v>
      </c>
      <c r="AO154" s="138">
        <v>41214.0</v>
      </c>
      <c r="AP154" s="138">
        <v>41244.0</v>
      </c>
      <c r="AQ154" s="138">
        <v>41275.0</v>
      </c>
      <c r="AR154" s="138">
        <v>41306.0</v>
      </c>
      <c r="AS154" s="138">
        <v>41334.0</v>
      </c>
      <c r="AT154" s="138">
        <v>41365.0</v>
      </c>
      <c r="AU154" s="138">
        <v>41395.0</v>
      </c>
      <c r="AV154" s="138">
        <v>41426.0</v>
      </c>
      <c r="AW154" s="138">
        <v>41456.0</v>
      </c>
      <c r="AX154" s="138">
        <v>41487.0</v>
      </c>
      <c r="AY154" s="138">
        <v>41518.0</v>
      </c>
      <c r="AZ154" s="138">
        <v>41548.0</v>
      </c>
      <c r="BA154" s="138">
        <v>41579.0</v>
      </c>
      <c r="BB154" s="138">
        <v>41609.0</v>
      </c>
      <c r="BC154" s="138">
        <v>41640.0</v>
      </c>
      <c r="BD154" s="138">
        <v>41671.0</v>
      </c>
      <c r="BE154" s="138">
        <v>41699.0</v>
      </c>
      <c r="BF154" s="138">
        <v>41730.0</v>
      </c>
      <c r="BG154" s="138">
        <v>41760.0</v>
      </c>
      <c r="BH154" s="138">
        <v>41791.0</v>
      </c>
      <c r="BI154" s="138">
        <v>41821.0</v>
      </c>
      <c r="BJ154" s="138">
        <v>41852.0</v>
      </c>
      <c r="BK154" s="138">
        <v>41883.0</v>
      </c>
      <c r="BL154" s="138">
        <v>41913.0</v>
      </c>
      <c r="BM154" s="138">
        <v>41944.0</v>
      </c>
      <c r="BN154" s="138">
        <v>41974.0</v>
      </c>
      <c r="BO154" s="138">
        <v>42005.0</v>
      </c>
      <c r="BP154" s="138">
        <v>42036.0</v>
      </c>
      <c r="BQ154" s="138">
        <v>42064.0</v>
      </c>
      <c r="BR154" s="138">
        <v>42095.0</v>
      </c>
      <c r="BS154" s="138">
        <v>42125.0</v>
      </c>
      <c r="BT154" s="138">
        <v>42156.0</v>
      </c>
      <c r="BU154" s="138">
        <v>42186.0</v>
      </c>
      <c r="BV154" s="138">
        <v>42217.0</v>
      </c>
      <c r="BW154" s="138">
        <v>42248.0</v>
      </c>
      <c r="BX154" s="138">
        <v>42278.0</v>
      </c>
      <c r="BY154" s="138">
        <v>42309.0</v>
      </c>
      <c r="BZ154" s="138">
        <v>42339.0</v>
      </c>
      <c r="CA154" s="138">
        <v>42370.0</v>
      </c>
      <c r="CB154" s="138">
        <v>42401.0</v>
      </c>
      <c r="CC154" s="138">
        <v>42430.0</v>
      </c>
      <c r="CD154" s="138">
        <v>42461.0</v>
      </c>
      <c r="CE154" s="138">
        <v>42491.0</v>
      </c>
      <c r="CF154" s="138">
        <v>42522.0</v>
      </c>
      <c r="CG154" s="138">
        <v>42552.0</v>
      </c>
      <c r="CH154" s="138">
        <v>42583.0</v>
      </c>
      <c r="CI154" s="138">
        <v>42614.0</v>
      </c>
      <c r="CJ154" s="138">
        <v>42644.0</v>
      </c>
      <c r="CK154" s="138">
        <v>42675.0</v>
      </c>
      <c r="CL154" s="138">
        <v>42705.0</v>
      </c>
      <c r="CM154" s="138">
        <v>42736.0</v>
      </c>
      <c r="CN154" s="138">
        <v>42767.0</v>
      </c>
      <c r="CO154" s="138">
        <v>42795.0</v>
      </c>
      <c r="CP154" s="138">
        <v>42826.0</v>
      </c>
      <c r="CQ154" s="138">
        <v>42856.0</v>
      </c>
      <c r="CR154" s="138">
        <v>42887.0</v>
      </c>
      <c r="CS154" s="138">
        <v>42917.0</v>
      </c>
      <c r="CT154" s="138">
        <v>42948.0</v>
      </c>
      <c r="CU154" s="138">
        <v>42979.0</v>
      </c>
      <c r="CV154" s="138">
        <v>43009.0</v>
      </c>
      <c r="CW154" s="138">
        <v>43040.0</v>
      </c>
      <c r="CX154" s="138">
        <v>43070.0</v>
      </c>
      <c r="CY154" s="138">
        <v>43101.0</v>
      </c>
      <c r="CZ154" s="138">
        <v>43132.0</v>
      </c>
      <c r="DA154" s="138">
        <v>43160.0</v>
      </c>
      <c r="DB154" s="138">
        <v>43191.0</v>
      </c>
      <c r="DC154" s="138">
        <v>43221.0</v>
      </c>
      <c r="DD154" s="138">
        <v>43252.0</v>
      </c>
      <c r="DE154" s="138">
        <v>43282.0</v>
      </c>
      <c r="DF154" s="138">
        <v>43313.0</v>
      </c>
      <c r="DG154" s="138">
        <v>43344.0</v>
      </c>
      <c r="DH154" s="138">
        <v>43374.0</v>
      </c>
      <c r="DI154" s="138">
        <v>43405.0</v>
      </c>
      <c r="DJ154" s="138">
        <v>43435.0</v>
      </c>
      <c r="DK154" s="138">
        <v>43466.0</v>
      </c>
      <c r="DL154" s="138">
        <v>43497.0</v>
      </c>
      <c r="DM154" s="138">
        <v>43525.0</v>
      </c>
      <c r="DN154" s="138">
        <v>43556.0</v>
      </c>
      <c r="DO154" s="138">
        <v>43586.0</v>
      </c>
      <c r="DP154" s="138">
        <v>43617.0</v>
      </c>
      <c r="DQ154" s="138">
        <v>43647.0</v>
      </c>
      <c r="DR154" s="138">
        <v>43678.0</v>
      </c>
      <c r="DS154" s="138">
        <v>43709.0</v>
      </c>
      <c r="DT154" s="138">
        <v>43739.0</v>
      </c>
      <c r="DU154" s="138">
        <v>43770.0</v>
      </c>
      <c r="DV154" s="138">
        <v>43800.0</v>
      </c>
      <c r="DW154" s="138">
        <v>43831.0</v>
      </c>
      <c r="DX154" s="138">
        <v>43862.0</v>
      </c>
      <c r="DY154" s="138">
        <v>43891.0</v>
      </c>
      <c r="DZ154" s="138">
        <v>43922.0</v>
      </c>
      <c r="EA154" s="138">
        <v>43952.0</v>
      </c>
      <c r="EB154" s="138">
        <v>43983.0</v>
      </c>
      <c r="EC154" s="138">
        <v>44013.0</v>
      </c>
      <c r="ED154" s="138">
        <v>44044.0</v>
      </c>
      <c r="EE154" s="138">
        <v>44075.0</v>
      </c>
      <c r="EF154" s="138">
        <v>44105.0</v>
      </c>
      <c r="EG154" s="138">
        <v>44136.0</v>
      </c>
      <c r="EH154" s="138">
        <v>44166.0</v>
      </c>
      <c r="EI154" s="138">
        <v>44197.0</v>
      </c>
      <c r="EJ154" s="138">
        <v>44228.0</v>
      </c>
      <c r="EK154" s="138">
        <v>44256.0</v>
      </c>
      <c r="EL154" s="138">
        <v>44287.0</v>
      </c>
      <c r="EM154" s="138">
        <v>44317.0</v>
      </c>
      <c r="EN154" s="138">
        <v>44348.0</v>
      </c>
      <c r="EO154" s="138">
        <v>44378.0</v>
      </c>
      <c r="EP154" s="138">
        <v>44409.0</v>
      </c>
      <c r="EQ154" s="138">
        <v>44440.0</v>
      </c>
      <c r="ER154" s="138">
        <v>44470.0</v>
      </c>
      <c r="ES154" s="138">
        <v>44501.0</v>
      </c>
      <c r="ET154" s="138">
        <v>44531.0</v>
      </c>
      <c r="EU154" s="138">
        <v>44562.0</v>
      </c>
      <c r="EV154" s="138">
        <v>44593.0</v>
      </c>
      <c r="EW154" s="138">
        <v>44621.0</v>
      </c>
      <c r="EX154" s="138">
        <v>44652.0</v>
      </c>
      <c r="EY154" s="138">
        <v>44682.0</v>
      </c>
      <c r="EZ154" s="138">
        <v>44713.0</v>
      </c>
      <c r="FA154" s="138">
        <v>44743.0</v>
      </c>
      <c r="FB154" s="138">
        <v>44774.0</v>
      </c>
      <c r="FC154" s="138">
        <v>44805.0</v>
      </c>
      <c r="FD154" s="138">
        <v>44835.0</v>
      </c>
      <c r="FE154" s="138">
        <v>44866.0</v>
      </c>
      <c r="FF154" s="138">
        <v>44896.0</v>
      </c>
      <c r="FG154" s="138">
        <v>44927.0</v>
      </c>
      <c r="FH154" s="138">
        <v>44958.0</v>
      </c>
      <c r="FI154" s="138">
        <v>44986.0</v>
      </c>
      <c r="FJ154" s="138">
        <v>45017.0</v>
      </c>
      <c r="FK154" s="138">
        <v>45047.0</v>
      </c>
      <c r="FL154" s="139">
        <v>45078.0</v>
      </c>
      <c r="FM154" s="139">
        <v>45108.0</v>
      </c>
      <c r="FN154" s="139">
        <v>45139.0</v>
      </c>
      <c r="FO154" s="139">
        <v>45170.0</v>
      </c>
      <c r="FP154" s="139">
        <v>45200.0</v>
      </c>
      <c r="FQ154" s="139">
        <v>45231.0</v>
      </c>
      <c r="FR154" s="139">
        <v>45261.0</v>
      </c>
      <c r="FS154" s="139">
        <v>45292.0</v>
      </c>
      <c r="FT154" s="139">
        <v>45323.0</v>
      </c>
      <c r="FU154" s="139">
        <v>45352.0</v>
      </c>
      <c r="FV154" s="139">
        <v>45383.0</v>
      </c>
      <c r="FW154" s="139">
        <v>45413.0</v>
      </c>
      <c r="FX154" s="139">
        <v>45444.0</v>
      </c>
      <c r="FY154" s="139">
        <v>45474.0</v>
      </c>
      <c r="FZ154" s="139">
        <v>45505.0</v>
      </c>
      <c r="GA154" s="139">
        <v>45536.0</v>
      </c>
      <c r="GB154" s="139">
        <v>45566.0</v>
      </c>
      <c r="GC154" s="139">
        <v>45597.0</v>
      </c>
      <c r="GD154" s="139">
        <v>45627.0</v>
      </c>
      <c r="GE154" s="139">
        <v>45658.0</v>
      </c>
      <c r="GF154" s="139">
        <v>45689.0</v>
      </c>
      <c r="GG154" s="139">
        <v>45717.0</v>
      </c>
      <c r="GH154" s="139">
        <v>45748.0</v>
      </c>
      <c r="GI154" s="139">
        <v>45778.0</v>
      </c>
      <c r="GJ154" s="139">
        <v>45809.0</v>
      </c>
      <c r="GK154" s="139">
        <v>45839.0</v>
      </c>
    </row>
    <row r="155">
      <c r="A155" s="132" t="s">
        <v>34175</v>
      </c>
      <c r="B155" s="133" t="s">
        <v>1157</v>
      </c>
      <c r="C155" s="134">
        <v>45077.64158564815</v>
      </c>
      <c r="D155" s="135" t="str">
        <f t="shared" si="1"/>
        <v>2023/05/31</v>
      </c>
      <c r="E155" s="136" t="s">
        <v>34176</v>
      </c>
      <c r="F155" s="137">
        <v>6.0E-5</v>
      </c>
      <c r="G155" s="138">
        <v>40179.0</v>
      </c>
      <c r="H155" s="138">
        <v>40210.0</v>
      </c>
      <c r="I155" s="138">
        <v>40238.0</v>
      </c>
      <c r="J155" s="138">
        <v>40269.0</v>
      </c>
      <c r="K155" s="138">
        <v>40299.0</v>
      </c>
      <c r="L155" s="138">
        <v>40330.0</v>
      </c>
      <c r="M155" s="138">
        <v>40360.0</v>
      </c>
      <c r="N155" s="138">
        <v>40391.0</v>
      </c>
      <c r="O155" s="138">
        <v>40422.0</v>
      </c>
      <c r="P155" s="138">
        <v>40452.0</v>
      </c>
      <c r="Q155" s="138">
        <v>40483.0</v>
      </c>
      <c r="R155" s="138">
        <v>40513.0</v>
      </c>
      <c r="S155" s="138">
        <v>40544.0</v>
      </c>
      <c r="T155" s="138">
        <v>40575.0</v>
      </c>
      <c r="U155" s="138">
        <v>40603.0</v>
      </c>
      <c r="V155" s="138">
        <v>40634.0</v>
      </c>
      <c r="W155" s="138">
        <v>40664.0</v>
      </c>
      <c r="X155" s="138">
        <v>40695.0</v>
      </c>
      <c r="Y155" s="138">
        <v>40725.0</v>
      </c>
      <c r="Z155" s="138">
        <v>40756.0</v>
      </c>
      <c r="AA155" s="138">
        <v>40787.0</v>
      </c>
      <c r="AB155" s="138">
        <v>40817.0</v>
      </c>
      <c r="AC155" s="138">
        <v>40848.0</v>
      </c>
      <c r="AD155" s="138">
        <v>40878.0</v>
      </c>
      <c r="AE155" s="138">
        <v>40909.0</v>
      </c>
      <c r="AF155" s="138">
        <v>40940.0</v>
      </c>
      <c r="AG155" s="138">
        <v>40969.0</v>
      </c>
      <c r="AH155" s="138">
        <v>41000.0</v>
      </c>
      <c r="AI155" s="138">
        <v>41030.0</v>
      </c>
      <c r="AJ155" s="138">
        <v>41061.0</v>
      </c>
      <c r="AK155" s="138">
        <v>41091.0</v>
      </c>
      <c r="AL155" s="138">
        <v>41122.0</v>
      </c>
      <c r="AM155" s="138">
        <v>41153.0</v>
      </c>
      <c r="AN155" s="138">
        <v>41183.0</v>
      </c>
      <c r="AO155" s="138">
        <v>41214.0</v>
      </c>
      <c r="AP155" s="138">
        <v>41244.0</v>
      </c>
      <c r="AQ155" s="138">
        <v>41275.0</v>
      </c>
      <c r="AR155" s="138">
        <v>41306.0</v>
      </c>
      <c r="AS155" s="138">
        <v>41334.0</v>
      </c>
      <c r="AT155" s="138">
        <v>41365.0</v>
      </c>
      <c r="AU155" s="138">
        <v>41395.0</v>
      </c>
      <c r="AV155" s="138">
        <v>41426.0</v>
      </c>
      <c r="AW155" s="138">
        <v>41456.0</v>
      </c>
      <c r="AX155" s="138">
        <v>41487.0</v>
      </c>
      <c r="AY155" s="138">
        <v>41518.0</v>
      </c>
      <c r="AZ155" s="138">
        <v>41548.0</v>
      </c>
      <c r="BA155" s="138">
        <v>41579.0</v>
      </c>
      <c r="BB155" s="138">
        <v>41609.0</v>
      </c>
      <c r="BC155" s="138">
        <v>41640.0</v>
      </c>
      <c r="BD155" s="138">
        <v>41671.0</v>
      </c>
      <c r="BE155" s="138">
        <v>41699.0</v>
      </c>
      <c r="BF155" s="138">
        <v>41730.0</v>
      </c>
      <c r="BG155" s="138">
        <v>41760.0</v>
      </c>
      <c r="BH155" s="138">
        <v>41791.0</v>
      </c>
      <c r="BI155" s="138">
        <v>41821.0</v>
      </c>
      <c r="BJ155" s="138">
        <v>41852.0</v>
      </c>
      <c r="BK155" s="138">
        <v>41883.0</v>
      </c>
      <c r="BL155" s="138">
        <v>41913.0</v>
      </c>
      <c r="BM155" s="138">
        <v>41944.0</v>
      </c>
      <c r="BN155" s="138">
        <v>41974.0</v>
      </c>
      <c r="BO155" s="138">
        <v>42005.0</v>
      </c>
      <c r="BP155" s="138">
        <v>42036.0</v>
      </c>
      <c r="BQ155" s="138">
        <v>42064.0</v>
      </c>
      <c r="BR155" s="138">
        <v>42095.0</v>
      </c>
      <c r="BS155" s="138">
        <v>42125.0</v>
      </c>
      <c r="BT155" s="138">
        <v>42156.0</v>
      </c>
      <c r="BU155" s="138">
        <v>42186.0</v>
      </c>
      <c r="BV155" s="138">
        <v>42217.0</v>
      </c>
      <c r="BW155" s="138">
        <v>42248.0</v>
      </c>
      <c r="BX155" s="138">
        <v>42278.0</v>
      </c>
      <c r="BY155" s="138">
        <v>42309.0</v>
      </c>
      <c r="BZ155" s="138">
        <v>42339.0</v>
      </c>
      <c r="CA155" s="138">
        <v>42370.0</v>
      </c>
      <c r="CB155" s="138">
        <v>42401.0</v>
      </c>
      <c r="CC155" s="138">
        <v>42430.0</v>
      </c>
      <c r="CD155" s="138">
        <v>42461.0</v>
      </c>
      <c r="CE155" s="138">
        <v>42491.0</v>
      </c>
      <c r="CF155" s="138">
        <v>42522.0</v>
      </c>
      <c r="CG155" s="138">
        <v>42552.0</v>
      </c>
      <c r="CH155" s="138">
        <v>42583.0</v>
      </c>
      <c r="CI155" s="138">
        <v>42614.0</v>
      </c>
      <c r="CJ155" s="138">
        <v>42644.0</v>
      </c>
      <c r="CK155" s="138">
        <v>42675.0</v>
      </c>
      <c r="CL155" s="138">
        <v>42705.0</v>
      </c>
      <c r="CM155" s="138">
        <v>42736.0</v>
      </c>
      <c r="CN155" s="138">
        <v>42767.0</v>
      </c>
      <c r="CO155" s="138">
        <v>42795.0</v>
      </c>
      <c r="CP155" s="138">
        <v>42826.0</v>
      </c>
      <c r="CQ155" s="138">
        <v>42856.0</v>
      </c>
      <c r="CR155" s="138">
        <v>42887.0</v>
      </c>
      <c r="CS155" s="138">
        <v>42917.0</v>
      </c>
      <c r="CT155" s="138">
        <v>42948.0</v>
      </c>
      <c r="CU155" s="138">
        <v>42979.0</v>
      </c>
      <c r="CV155" s="138">
        <v>43009.0</v>
      </c>
      <c r="CW155" s="138">
        <v>43040.0</v>
      </c>
      <c r="CX155" s="138">
        <v>43070.0</v>
      </c>
      <c r="CY155" s="138">
        <v>43101.0</v>
      </c>
      <c r="CZ155" s="138">
        <v>43132.0</v>
      </c>
      <c r="DA155" s="138">
        <v>43160.0</v>
      </c>
      <c r="DB155" s="138">
        <v>43191.0</v>
      </c>
      <c r="DC155" s="138">
        <v>43221.0</v>
      </c>
      <c r="DD155" s="138">
        <v>43252.0</v>
      </c>
      <c r="DE155" s="138">
        <v>43282.0</v>
      </c>
      <c r="DF155" s="138">
        <v>43313.0</v>
      </c>
      <c r="DG155" s="138">
        <v>43344.0</v>
      </c>
      <c r="DH155" s="138">
        <v>43374.0</v>
      </c>
      <c r="DI155" s="138">
        <v>43405.0</v>
      </c>
      <c r="DJ155" s="138">
        <v>43435.0</v>
      </c>
      <c r="DK155" s="138">
        <v>43466.0</v>
      </c>
      <c r="DL155" s="138">
        <v>43497.0</v>
      </c>
      <c r="DM155" s="138">
        <v>43525.0</v>
      </c>
      <c r="DN155" s="138">
        <v>43556.0</v>
      </c>
      <c r="DO155" s="138">
        <v>43586.0</v>
      </c>
      <c r="DP155" s="138">
        <v>43617.0</v>
      </c>
      <c r="DQ155" s="138">
        <v>43647.0</v>
      </c>
      <c r="DR155" s="138">
        <v>43678.0</v>
      </c>
      <c r="DS155" s="138">
        <v>43709.0</v>
      </c>
      <c r="DT155" s="138">
        <v>43739.0</v>
      </c>
      <c r="DU155" s="138">
        <v>43770.0</v>
      </c>
      <c r="DV155" s="138">
        <v>43800.0</v>
      </c>
      <c r="DW155" s="138">
        <v>43831.0</v>
      </c>
      <c r="DX155" s="138">
        <v>43862.0</v>
      </c>
      <c r="DY155" s="138">
        <v>43891.0</v>
      </c>
      <c r="DZ155" s="138">
        <v>43922.0</v>
      </c>
      <c r="EA155" s="138">
        <v>43952.0</v>
      </c>
      <c r="EB155" s="138">
        <v>43983.0</v>
      </c>
      <c r="EC155" s="138">
        <v>44013.0</v>
      </c>
      <c r="ED155" s="138">
        <v>44044.0</v>
      </c>
      <c r="EE155" s="138">
        <v>44075.0</v>
      </c>
      <c r="EF155" s="138">
        <v>44105.0</v>
      </c>
      <c r="EG155" s="138">
        <v>44136.0</v>
      </c>
      <c r="EH155" s="138">
        <v>44166.0</v>
      </c>
      <c r="EI155" s="138">
        <v>44197.0</v>
      </c>
      <c r="EJ155" s="138">
        <v>44228.0</v>
      </c>
      <c r="EK155" s="138">
        <v>44256.0</v>
      </c>
      <c r="EL155" s="138">
        <v>44287.0</v>
      </c>
      <c r="EM155" s="138">
        <v>44317.0</v>
      </c>
      <c r="EN155" s="138">
        <v>44348.0</v>
      </c>
      <c r="EO155" s="138">
        <v>44378.0</v>
      </c>
      <c r="EP155" s="138">
        <v>44409.0</v>
      </c>
      <c r="EQ155" s="138">
        <v>44440.0</v>
      </c>
      <c r="ER155" s="138">
        <v>44470.0</v>
      </c>
      <c r="ES155" s="138">
        <v>44501.0</v>
      </c>
      <c r="ET155" s="138">
        <v>44531.0</v>
      </c>
      <c r="EU155" s="138">
        <v>44562.0</v>
      </c>
      <c r="EV155" s="138">
        <v>44593.0</v>
      </c>
      <c r="EW155" s="138">
        <v>44621.0</v>
      </c>
      <c r="EX155" s="138">
        <v>44652.0</v>
      </c>
      <c r="EY155" s="138">
        <v>44682.0</v>
      </c>
      <c r="EZ155" s="138">
        <v>44713.0</v>
      </c>
      <c r="FA155" s="138">
        <v>44743.0</v>
      </c>
      <c r="FB155" s="138">
        <v>44774.0</v>
      </c>
      <c r="FC155" s="138">
        <v>44805.0</v>
      </c>
      <c r="FD155" s="138">
        <v>44835.0</v>
      </c>
      <c r="FE155" s="138">
        <v>44866.0</v>
      </c>
      <c r="FF155" s="138">
        <v>44896.0</v>
      </c>
      <c r="FG155" s="138">
        <v>44927.0</v>
      </c>
      <c r="FH155" s="138">
        <v>44958.0</v>
      </c>
      <c r="FI155" s="138">
        <v>44986.0</v>
      </c>
      <c r="FJ155" s="138">
        <v>45017.0</v>
      </c>
      <c r="FK155" s="138">
        <v>45047.0</v>
      </c>
      <c r="FL155" s="139">
        <v>45078.0</v>
      </c>
      <c r="FM155" s="139">
        <v>45108.0</v>
      </c>
      <c r="FN155" s="139">
        <v>45139.0</v>
      </c>
      <c r="FO155" s="139">
        <v>45170.0</v>
      </c>
      <c r="FP155" s="139">
        <v>45200.0</v>
      </c>
      <c r="FQ155" s="139">
        <v>45231.0</v>
      </c>
      <c r="FR155" s="139">
        <v>45261.0</v>
      </c>
      <c r="FS155" s="139">
        <v>45292.0</v>
      </c>
      <c r="FT155" s="139">
        <v>45323.0</v>
      </c>
      <c r="FU155" s="139">
        <v>45352.0</v>
      </c>
      <c r="FV155" s="139">
        <v>45383.0</v>
      </c>
      <c r="FW155" s="139">
        <v>45413.0</v>
      </c>
      <c r="FX155" s="139">
        <v>45444.0</v>
      </c>
      <c r="FY155" s="139">
        <v>45474.0</v>
      </c>
      <c r="FZ155" s="139">
        <v>45505.0</v>
      </c>
      <c r="GA155" s="139">
        <v>45536.0</v>
      </c>
      <c r="GB155" s="139">
        <v>45566.0</v>
      </c>
      <c r="GC155" s="139">
        <v>45597.0</v>
      </c>
      <c r="GD155" s="139">
        <v>45627.0</v>
      </c>
      <c r="GE155" s="139">
        <v>45658.0</v>
      </c>
      <c r="GF155" s="139">
        <v>45689.0</v>
      </c>
      <c r="GG155" s="139">
        <v>45717.0</v>
      </c>
      <c r="GH155" s="139">
        <v>45748.0</v>
      </c>
      <c r="GI155" s="139">
        <v>45778.0</v>
      </c>
      <c r="GJ155" s="139">
        <v>45809.0</v>
      </c>
      <c r="GK155" s="139">
        <v>45839.0</v>
      </c>
    </row>
    <row r="156">
      <c r="A156" s="132" t="s">
        <v>34177</v>
      </c>
      <c r="B156" s="133" t="s">
        <v>1321</v>
      </c>
      <c r="C156" s="134">
        <v>45099.80380787037</v>
      </c>
      <c r="D156" s="135" t="str">
        <f t="shared" si="1"/>
        <v>2023/06/22</v>
      </c>
      <c r="E156" s="136" t="s">
        <v>33912</v>
      </c>
      <c r="F156" s="137">
        <v>0.0</v>
      </c>
      <c r="G156" s="138">
        <v>40179.0</v>
      </c>
      <c r="H156" s="138">
        <v>40210.0</v>
      </c>
      <c r="I156" s="138">
        <v>40238.0</v>
      </c>
      <c r="J156" s="138">
        <v>40269.0</v>
      </c>
      <c r="K156" s="138">
        <v>40299.0</v>
      </c>
      <c r="L156" s="138">
        <v>40330.0</v>
      </c>
      <c r="M156" s="138">
        <v>40360.0</v>
      </c>
      <c r="N156" s="138">
        <v>40391.0</v>
      </c>
      <c r="O156" s="138">
        <v>40422.0</v>
      </c>
      <c r="P156" s="138">
        <v>40452.0</v>
      </c>
      <c r="Q156" s="138">
        <v>40483.0</v>
      </c>
      <c r="R156" s="138">
        <v>40513.0</v>
      </c>
      <c r="S156" s="138">
        <v>40544.0</v>
      </c>
      <c r="T156" s="138">
        <v>40575.0</v>
      </c>
      <c r="U156" s="138">
        <v>40603.0</v>
      </c>
      <c r="V156" s="138">
        <v>40634.0</v>
      </c>
      <c r="W156" s="138">
        <v>40664.0</v>
      </c>
      <c r="X156" s="138">
        <v>40695.0</v>
      </c>
      <c r="Y156" s="138">
        <v>40725.0</v>
      </c>
      <c r="Z156" s="138">
        <v>40756.0</v>
      </c>
      <c r="AA156" s="138">
        <v>40787.0</v>
      </c>
      <c r="AB156" s="138">
        <v>40817.0</v>
      </c>
      <c r="AC156" s="138">
        <v>40848.0</v>
      </c>
      <c r="AD156" s="138">
        <v>40878.0</v>
      </c>
      <c r="AE156" s="138">
        <v>40909.0</v>
      </c>
      <c r="AF156" s="138">
        <v>40940.0</v>
      </c>
      <c r="AG156" s="138">
        <v>40969.0</v>
      </c>
      <c r="AH156" s="138">
        <v>41000.0</v>
      </c>
      <c r="AI156" s="138">
        <v>41030.0</v>
      </c>
      <c r="AJ156" s="138">
        <v>41061.0</v>
      </c>
      <c r="AK156" s="138">
        <v>41091.0</v>
      </c>
      <c r="AL156" s="138">
        <v>41122.0</v>
      </c>
      <c r="AM156" s="138">
        <v>41153.0</v>
      </c>
      <c r="AN156" s="138">
        <v>41183.0</v>
      </c>
      <c r="AO156" s="138">
        <v>41214.0</v>
      </c>
      <c r="AP156" s="138">
        <v>41244.0</v>
      </c>
      <c r="AQ156" s="138">
        <v>41275.0</v>
      </c>
      <c r="AR156" s="138">
        <v>41306.0</v>
      </c>
      <c r="AS156" s="138">
        <v>41334.0</v>
      </c>
      <c r="AT156" s="138">
        <v>41365.0</v>
      </c>
      <c r="AU156" s="138">
        <v>41395.0</v>
      </c>
      <c r="AV156" s="138">
        <v>41426.0</v>
      </c>
      <c r="AW156" s="138">
        <v>41456.0</v>
      </c>
      <c r="AX156" s="138">
        <v>41487.0</v>
      </c>
      <c r="AY156" s="138">
        <v>41518.0</v>
      </c>
      <c r="AZ156" s="138">
        <v>41548.0</v>
      </c>
      <c r="BA156" s="138">
        <v>41579.0</v>
      </c>
      <c r="BB156" s="138">
        <v>41609.0</v>
      </c>
      <c r="BC156" s="138">
        <v>41640.0</v>
      </c>
      <c r="BD156" s="138">
        <v>41671.0</v>
      </c>
      <c r="BE156" s="138">
        <v>41699.0</v>
      </c>
      <c r="BF156" s="138">
        <v>41730.0</v>
      </c>
      <c r="BG156" s="138">
        <v>41760.0</v>
      </c>
      <c r="BH156" s="138">
        <v>41791.0</v>
      </c>
      <c r="BI156" s="138">
        <v>41821.0</v>
      </c>
      <c r="BJ156" s="138">
        <v>41852.0</v>
      </c>
      <c r="BK156" s="138">
        <v>41883.0</v>
      </c>
      <c r="BL156" s="138">
        <v>41913.0</v>
      </c>
      <c r="BM156" s="138">
        <v>41944.0</v>
      </c>
      <c r="BN156" s="138">
        <v>41974.0</v>
      </c>
      <c r="BO156" s="138">
        <v>42005.0</v>
      </c>
      <c r="BP156" s="138">
        <v>42036.0</v>
      </c>
      <c r="BQ156" s="138">
        <v>42064.0</v>
      </c>
      <c r="BR156" s="138">
        <v>42095.0</v>
      </c>
      <c r="BS156" s="138">
        <v>42125.0</v>
      </c>
      <c r="BT156" s="138">
        <v>42156.0</v>
      </c>
      <c r="BU156" s="138">
        <v>42186.0</v>
      </c>
      <c r="BV156" s="138">
        <v>42217.0</v>
      </c>
      <c r="BW156" s="138">
        <v>42248.0</v>
      </c>
      <c r="BX156" s="138">
        <v>42278.0</v>
      </c>
      <c r="BY156" s="138">
        <v>42309.0</v>
      </c>
      <c r="BZ156" s="138">
        <v>42339.0</v>
      </c>
      <c r="CA156" s="138">
        <v>42370.0</v>
      </c>
      <c r="CB156" s="138">
        <v>42401.0</v>
      </c>
      <c r="CC156" s="138">
        <v>42430.0</v>
      </c>
      <c r="CD156" s="138">
        <v>42461.0</v>
      </c>
      <c r="CE156" s="138">
        <v>42491.0</v>
      </c>
      <c r="CF156" s="138">
        <v>42522.0</v>
      </c>
      <c r="CG156" s="138">
        <v>42552.0</v>
      </c>
      <c r="CH156" s="138">
        <v>42583.0</v>
      </c>
      <c r="CI156" s="138">
        <v>42614.0</v>
      </c>
      <c r="CJ156" s="138">
        <v>42644.0</v>
      </c>
      <c r="CK156" s="138">
        <v>42675.0</v>
      </c>
      <c r="CL156" s="138">
        <v>42705.0</v>
      </c>
      <c r="CM156" s="138">
        <v>42736.0</v>
      </c>
      <c r="CN156" s="138">
        <v>42767.0</v>
      </c>
      <c r="CO156" s="138">
        <v>42795.0</v>
      </c>
      <c r="CP156" s="138">
        <v>42826.0</v>
      </c>
      <c r="CQ156" s="138">
        <v>42856.0</v>
      </c>
      <c r="CR156" s="138">
        <v>42887.0</v>
      </c>
      <c r="CS156" s="138">
        <v>42917.0</v>
      </c>
      <c r="CT156" s="138">
        <v>42948.0</v>
      </c>
      <c r="CU156" s="138">
        <v>42979.0</v>
      </c>
      <c r="CV156" s="138">
        <v>43009.0</v>
      </c>
      <c r="CW156" s="138">
        <v>43040.0</v>
      </c>
      <c r="CX156" s="138">
        <v>43070.0</v>
      </c>
      <c r="CY156" s="138">
        <v>43101.0</v>
      </c>
      <c r="CZ156" s="138">
        <v>43132.0</v>
      </c>
      <c r="DA156" s="138">
        <v>43160.0</v>
      </c>
      <c r="DB156" s="138">
        <v>43191.0</v>
      </c>
      <c r="DC156" s="138">
        <v>43221.0</v>
      </c>
      <c r="DD156" s="138">
        <v>43252.0</v>
      </c>
      <c r="DE156" s="138">
        <v>43282.0</v>
      </c>
      <c r="DF156" s="138">
        <v>43313.0</v>
      </c>
      <c r="DG156" s="138">
        <v>43344.0</v>
      </c>
      <c r="DH156" s="138">
        <v>43374.0</v>
      </c>
      <c r="DI156" s="138">
        <v>43405.0</v>
      </c>
      <c r="DJ156" s="138">
        <v>43435.0</v>
      </c>
      <c r="DK156" s="138">
        <v>43466.0</v>
      </c>
      <c r="DL156" s="138">
        <v>43497.0</v>
      </c>
      <c r="DM156" s="138">
        <v>43525.0</v>
      </c>
      <c r="DN156" s="138">
        <v>43556.0</v>
      </c>
      <c r="DO156" s="138">
        <v>43586.0</v>
      </c>
      <c r="DP156" s="138">
        <v>43617.0</v>
      </c>
      <c r="DQ156" s="138">
        <v>43647.0</v>
      </c>
      <c r="DR156" s="138">
        <v>43678.0</v>
      </c>
      <c r="DS156" s="138">
        <v>43709.0</v>
      </c>
      <c r="DT156" s="138">
        <v>43739.0</v>
      </c>
      <c r="DU156" s="138">
        <v>43770.0</v>
      </c>
      <c r="DV156" s="138">
        <v>43800.0</v>
      </c>
      <c r="DW156" s="138">
        <v>43831.0</v>
      </c>
      <c r="DX156" s="138">
        <v>43862.0</v>
      </c>
      <c r="DY156" s="138">
        <v>43891.0</v>
      </c>
      <c r="DZ156" s="138">
        <v>43922.0</v>
      </c>
      <c r="EA156" s="138">
        <v>43952.0</v>
      </c>
      <c r="EB156" s="138">
        <v>43983.0</v>
      </c>
      <c r="EC156" s="138">
        <v>44013.0</v>
      </c>
      <c r="ED156" s="138">
        <v>44044.0</v>
      </c>
      <c r="EE156" s="138">
        <v>44075.0</v>
      </c>
      <c r="EF156" s="138">
        <v>44105.0</v>
      </c>
      <c r="EG156" s="138">
        <v>44136.0</v>
      </c>
      <c r="EH156" s="138">
        <v>44166.0</v>
      </c>
      <c r="EI156" s="138">
        <v>44197.0</v>
      </c>
      <c r="EJ156" s="138">
        <v>44228.0</v>
      </c>
      <c r="EK156" s="138">
        <v>44256.0</v>
      </c>
      <c r="EL156" s="138">
        <v>44287.0</v>
      </c>
      <c r="EM156" s="138">
        <v>44317.0</v>
      </c>
      <c r="EN156" s="138">
        <v>44348.0</v>
      </c>
      <c r="EO156" s="138">
        <v>44378.0</v>
      </c>
      <c r="EP156" s="138">
        <v>44409.0</v>
      </c>
      <c r="EQ156" s="138">
        <v>44440.0</v>
      </c>
      <c r="ER156" s="138">
        <v>44470.0</v>
      </c>
      <c r="ES156" s="138">
        <v>44501.0</v>
      </c>
      <c r="ET156" s="138">
        <v>44531.0</v>
      </c>
      <c r="EU156" s="138">
        <v>44562.0</v>
      </c>
      <c r="EV156" s="138">
        <v>44593.0</v>
      </c>
      <c r="EW156" s="138">
        <v>44621.0</v>
      </c>
      <c r="EX156" s="138">
        <v>44652.0</v>
      </c>
      <c r="EY156" s="138">
        <v>44682.0</v>
      </c>
      <c r="EZ156" s="138">
        <v>44713.0</v>
      </c>
      <c r="FA156" s="138">
        <v>44743.0</v>
      </c>
      <c r="FB156" s="138">
        <v>44774.0</v>
      </c>
      <c r="FC156" s="138">
        <v>44805.0</v>
      </c>
      <c r="FD156" s="138">
        <v>44835.0</v>
      </c>
      <c r="FE156" s="138">
        <v>44866.0</v>
      </c>
      <c r="FF156" s="138">
        <v>44896.0</v>
      </c>
      <c r="FG156" s="138">
        <v>44927.0</v>
      </c>
      <c r="FH156" s="138">
        <v>44958.0</v>
      </c>
      <c r="FI156" s="138">
        <v>44986.0</v>
      </c>
      <c r="FJ156" s="138">
        <v>45017.0</v>
      </c>
      <c r="FK156" s="138">
        <v>45047.0</v>
      </c>
      <c r="FL156" s="138">
        <v>45078.0</v>
      </c>
      <c r="FM156" s="139">
        <v>45108.0</v>
      </c>
      <c r="FN156" s="139">
        <v>45139.0</v>
      </c>
      <c r="FO156" s="139">
        <v>45170.0</v>
      </c>
      <c r="FP156" s="139">
        <v>45200.0</v>
      </c>
      <c r="FQ156" s="139">
        <v>45231.0</v>
      </c>
      <c r="FR156" s="139">
        <v>45261.0</v>
      </c>
      <c r="FS156" s="139">
        <v>45292.0</v>
      </c>
      <c r="FT156" s="139">
        <v>45323.0</v>
      </c>
      <c r="FU156" s="139">
        <v>45352.0</v>
      </c>
      <c r="FV156" s="139">
        <v>45383.0</v>
      </c>
      <c r="FW156" s="139">
        <v>45413.0</v>
      </c>
      <c r="FX156" s="139">
        <v>45444.0</v>
      </c>
      <c r="FY156" s="139">
        <v>45474.0</v>
      </c>
      <c r="FZ156" s="139">
        <v>45505.0</v>
      </c>
      <c r="GA156" s="139">
        <v>45536.0</v>
      </c>
      <c r="GB156" s="139">
        <v>45566.0</v>
      </c>
      <c r="GC156" s="139">
        <v>45597.0</v>
      </c>
      <c r="GD156" s="139">
        <v>45627.0</v>
      </c>
      <c r="GE156" s="139">
        <v>45658.0</v>
      </c>
      <c r="GF156" s="139">
        <v>45689.0</v>
      </c>
      <c r="GG156" s="139">
        <v>45717.0</v>
      </c>
      <c r="GH156" s="139">
        <v>45748.0</v>
      </c>
      <c r="GI156" s="139">
        <v>45778.0</v>
      </c>
      <c r="GJ156" s="139">
        <v>45809.0</v>
      </c>
      <c r="GK156" s="139">
        <v>45839.0</v>
      </c>
    </row>
    <row r="157">
      <c r="A157" s="132" t="s">
        <v>34178</v>
      </c>
      <c r="B157" s="133" t="s">
        <v>1221</v>
      </c>
      <c r="C157" s="134">
        <v>45105.48554398148</v>
      </c>
      <c r="D157" s="135" t="str">
        <f t="shared" si="1"/>
        <v>2023/06/28</v>
      </c>
      <c r="E157" s="136" t="s">
        <v>34179</v>
      </c>
      <c r="F157" s="137">
        <v>0.00328</v>
      </c>
      <c r="G157" s="138">
        <v>40179.0</v>
      </c>
      <c r="H157" s="138">
        <v>40210.0</v>
      </c>
      <c r="I157" s="138">
        <v>40238.0</v>
      </c>
      <c r="J157" s="138">
        <v>40269.0</v>
      </c>
      <c r="K157" s="138">
        <v>40299.0</v>
      </c>
      <c r="L157" s="138">
        <v>40330.0</v>
      </c>
      <c r="M157" s="138">
        <v>40360.0</v>
      </c>
      <c r="N157" s="138">
        <v>40391.0</v>
      </c>
      <c r="O157" s="138">
        <v>40422.0</v>
      </c>
      <c r="P157" s="138">
        <v>40452.0</v>
      </c>
      <c r="Q157" s="138">
        <v>40483.0</v>
      </c>
      <c r="R157" s="138">
        <v>40513.0</v>
      </c>
      <c r="S157" s="138">
        <v>40544.0</v>
      </c>
      <c r="T157" s="138">
        <v>40575.0</v>
      </c>
      <c r="U157" s="138">
        <v>40603.0</v>
      </c>
      <c r="V157" s="138">
        <v>40634.0</v>
      </c>
      <c r="W157" s="138">
        <v>40664.0</v>
      </c>
      <c r="X157" s="138">
        <v>40695.0</v>
      </c>
      <c r="Y157" s="138">
        <v>40725.0</v>
      </c>
      <c r="Z157" s="138">
        <v>40756.0</v>
      </c>
      <c r="AA157" s="138">
        <v>40787.0</v>
      </c>
      <c r="AB157" s="138">
        <v>40817.0</v>
      </c>
      <c r="AC157" s="138">
        <v>40848.0</v>
      </c>
      <c r="AD157" s="138">
        <v>40878.0</v>
      </c>
      <c r="AE157" s="138">
        <v>40909.0</v>
      </c>
      <c r="AF157" s="138">
        <v>40940.0</v>
      </c>
      <c r="AG157" s="138">
        <v>40969.0</v>
      </c>
      <c r="AH157" s="138">
        <v>41000.0</v>
      </c>
      <c r="AI157" s="138">
        <v>41030.0</v>
      </c>
      <c r="AJ157" s="138">
        <v>41061.0</v>
      </c>
      <c r="AK157" s="138">
        <v>41091.0</v>
      </c>
      <c r="AL157" s="138">
        <v>41122.0</v>
      </c>
      <c r="AM157" s="138">
        <v>41153.0</v>
      </c>
      <c r="AN157" s="138">
        <v>41183.0</v>
      </c>
      <c r="AO157" s="138">
        <v>41214.0</v>
      </c>
      <c r="AP157" s="138">
        <v>41244.0</v>
      </c>
      <c r="AQ157" s="138">
        <v>41275.0</v>
      </c>
      <c r="AR157" s="138">
        <v>41306.0</v>
      </c>
      <c r="AS157" s="138">
        <v>41334.0</v>
      </c>
      <c r="AT157" s="138">
        <v>41365.0</v>
      </c>
      <c r="AU157" s="138">
        <v>41395.0</v>
      </c>
      <c r="AV157" s="138">
        <v>41426.0</v>
      </c>
      <c r="AW157" s="138">
        <v>41456.0</v>
      </c>
      <c r="AX157" s="138">
        <v>41487.0</v>
      </c>
      <c r="AY157" s="138">
        <v>41518.0</v>
      </c>
      <c r="AZ157" s="138">
        <v>41548.0</v>
      </c>
      <c r="BA157" s="138">
        <v>41579.0</v>
      </c>
      <c r="BB157" s="138">
        <v>41609.0</v>
      </c>
      <c r="BC157" s="138">
        <v>41640.0</v>
      </c>
      <c r="BD157" s="138">
        <v>41671.0</v>
      </c>
      <c r="BE157" s="138">
        <v>41699.0</v>
      </c>
      <c r="BF157" s="138">
        <v>41730.0</v>
      </c>
      <c r="BG157" s="138">
        <v>41760.0</v>
      </c>
      <c r="BH157" s="138">
        <v>41791.0</v>
      </c>
      <c r="BI157" s="138">
        <v>41821.0</v>
      </c>
      <c r="BJ157" s="138">
        <v>41852.0</v>
      </c>
      <c r="BK157" s="138">
        <v>41883.0</v>
      </c>
      <c r="BL157" s="138">
        <v>41913.0</v>
      </c>
      <c r="BM157" s="138">
        <v>41944.0</v>
      </c>
      <c r="BN157" s="138">
        <v>41974.0</v>
      </c>
      <c r="BO157" s="138">
        <v>42005.0</v>
      </c>
      <c r="BP157" s="138">
        <v>42036.0</v>
      </c>
      <c r="BQ157" s="138">
        <v>42064.0</v>
      </c>
      <c r="BR157" s="138">
        <v>42095.0</v>
      </c>
      <c r="BS157" s="138">
        <v>42125.0</v>
      </c>
      <c r="BT157" s="138">
        <v>42156.0</v>
      </c>
      <c r="BU157" s="138">
        <v>42186.0</v>
      </c>
      <c r="BV157" s="138">
        <v>42217.0</v>
      </c>
      <c r="BW157" s="138">
        <v>42248.0</v>
      </c>
      <c r="BX157" s="138">
        <v>42278.0</v>
      </c>
      <c r="BY157" s="138">
        <v>42309.0</v>
      </c>
      <c r="BZ157" s="138">
        <v>42339.0</v>
      </c>
      <c r="CA157" s="138">
        <v>42370.0</v>
      </c>
      <c r="CB157" s="138">
        <v>42401.0</v>
      </c>
      <c r="CC157" s="138">
        <v>42430.0</v>
      </c>
      <c r="CD157" s="138">
        <v>42461.0</v>
      </c>
      <c r="CE157" s="138">
        <v>42491.0</v>
      </c>
      <c r="CF157" s="138">
        <v>42522.0</v>
      </c>
      <c r="CG157" s="138">
        <v>42552.0</v>
      </c>
      <c r="CH157" s="138">
        <v>42583.0</v>
      </c>
      <c r="CI157" s="138">
        <v>42614.0</v>
      </c>
      <c r="CJ157" s="138">
        <v>42644.0</v>
      </c>
      <c r="CK157" s="138">
        <v>42675.0</v>
      </c>
      <c r="CL157" s="138">
        <v>42705.0</v>
      </c>
      <c r="CM157" s="138">
        <v>42736.0</v>
      </c>
      <c r="CN157" s="138">
        <v>42767.0</v>
      </c>
      <c r="CO157" s="138">
        <v>42795.0</v>
      </c>
      <c r="CP157" s="138">
        <v>42826.0</v>
      </c>
      <c r="CQ157" s="138">
        <v>42856.0</v>
      </c>
      <c r="CR157" s="138">
        <v>42887.0</v>
      </c>
      <c r="CS157" s="138">
        <v>42917.0</v>
      </c>
      <c r="CT157" s="138">
        <v>42948.0</v>
      </c>
      <c r="CU157" s="138">
        <v>42979.0</v>
      </c>
      <c r="CV157" s="138">
        <v>43009.0</v>
      </c>
      <c r="CW157" s="138">
        <v>43040.0</v>
      </c>
      <c r="CX157" s="138">
        <v>43070.0</v>
      </c>
      <c r="CY157" s="138">
        <v>43101.0</v>
      </c>
      <c r="CZ157" s="138">
        <v>43132.0</v>
      </c>
      <c r="DA157" s="138">
        <v>43160.0</v>
      </c>
      <c r="DB157" s="138">
        <v>43191.0</v>
      </c>
      <c r="DC157" s="138">
        <v>43221.0</v>
      </c>
      <c r="DD157" s="138">
        <v>43252.0</v>
      </c>
      <c r="DE157" s="138">
        <v>43282.0</v>
      </c>
      <c r="DF157" s="138">
        <v>43313.0</v>
      </c>
      <c r="DG157" s="138">
        <v>43344.0</v>
      </c>
      <c r="DH157" s="138">
        <v>43374.0</v>
      </c>
      <c r="DI157" s="138">
        <v>43405.0</v>
      </c>
      <c r="DJ157" s="138">
        <v>43435.0</v>
      </c>
      <c r="DK157" s="138">
        <v>43466.0</v>
      </c>
      <c r="DL157" s="138">
        <v>43497.0</v>
      </c>
      <c r="DM157" s="138">
        <v>43525.0</v>
      </c>
      <c r="DN157" s="138">
        <v>43556.0</v>
      </c>
      <c r="DO157" s="138">
        <v>43586.0</v>
      </c>
      <c r="DP157" s="138">
        <v>43617.0</v>
      </c>
      <c r="DQ157" s="138">
        <v>43647.0</v>
      </c>
      <c r="DR157" s="138">
        <v>43678.0</v>
      </c>
      <c r="DS157" s="138">
        <v>43709.0</v>
      </c>
      <c r="DT157" s="138">
        <v>43739.0</v>
      </c>
      <c r="DU157" s="138">
        <v>43770.0</v>
      </c>
      <c r="DV157" s="138">
        <v>43800.0</v>
      </c>
      <c r="DW157" s="138">
        <v>43831.0</v>
      </c>
      <c r="DX157" s="138">
        <v>43862.0</v>
      </c>
      <c r="DY157" s="138">
        <v>43891.0</v>
      </c>
      <c r="DZ157" s="138">
        <v>43922.0</v>
      </c>
      <c r="EA157" s="138">
        <v>43952.0</v>
      </c>
      <c r="EB157" s="138">
        <v>43983.0</v>
      </c>
      <c r="EC157" s="138">
        <v>44013.0</v>
      </c>
      <c r="ED157" s="138">
        <v>44044.0</v>
      </c>
      <c r="EE157" s="138">
        <v>44075.0</v>
      </c>
      <c r="EF157" s="138">
        <v>44105.0</v>
      </c>
      <c r="EG157" s="138">
        <v>44136.0</v>
      </c>
      <c r="EH157" s="138">
        <v>44166.0</v>
      </c>
      <c r="EI157" s="138">
        <v>44197.0</v>
      </c>
      <c r="EJ157" s="138">
        <v>44228.0</v>
      </c>
      <c r="EK157" s="138">
        <v>44256.0</v>
      </c>
      <c r="EL157" s="138">
        <v>44287.0</v>
      </c>
      <c r="EM157" s="138">
        <v>44317.0</v>
      </c>
      <c r="EN157" s="138">
        <v>44348.0</v>
      </c>
      <c r="EO157" s="138">
        <v>44378.0</v>
      </c>
      <c r="EP157" s="138">
        <v>44409.0</v>
      </c>
      <c r="EQ157" s="138">
        <v>44440.0</v>
      </c>
      <c r="ER157" s="138">
        <v>44470.0</v>
      </c>
      <c r="ES157" s="138">
        <v>44501.0</v>
      </c>
      <c r="ET157" s="138">
        <v>44531.0</v>
      </c>
      <c r="EU157" s="138">
        <v>44562.0</v>
      </c>
      <c r="EV157" s="138">
        <v>44593.0</v>
      </c>
      <c r="EW157" s="138">
        <v>44621.0</v>
      </c>
      <c r="EX157" s="138">
        <v>44652.0</v>
      </c>
      <c r="EY157" s="138">
        <v>44682.0</v>
      </c>
      <c r="EZ157" s="138">
        <v>44713.0</v>
      </c>
      <c r="FA157" s="138">
        <v>44743.0</v>
      </c>
      <c r="FB157" s="138">
        <v>44774.0</v>
      </c>
      <c r="FC157" s="138">
        <v>44805.0</v>
      </c>
      <c r="FD157" s="138">
        <v>44835.0</v>
      </c>
      <c r="FE157" s="138">
        <v>44866.0</v>
      </c>
      <c r="FF157" s="138">
        <v>44896.0</v>
      </c>
      <c r="FG157" s="138">
        <v>44927.0</v>
      </c>
      <c r="FH157" s="138">
        <v>44958.0</v>
      </c>
      <c r="FI157" s="138">
        <v>44986.0</v>
      </c>
      <c r="FJ157" s="138">
        <v>45017.0</v>
      </c>
      <c r="FK157" s="138">
        <v>45047.0</v>
      </c>
      <c r="FL157" s="138">
        <v>45078.0</v>
      </c>
      <c r="FM157" s="139">
        <v>45108.0</v>
      </c>
      <c r="FN157" s="139">
        <v>45139.0</v>
      </c>
      <c r="FO157" s="139">
        <v>45170.0</v>
      </c>
      <c r="FP157" s="139">
        <v>45200.0</v>
      </c>
      <c r="FQ157" s="139">
        <v>45231.0</v>
      </c>
      <c r="FR157" s="139">
        <v>45261.0</v>
      </c>
      <c r="FS157" s="139">
        <v>45292.0</v>
      </c>
      <c r="FT157" s="139">
        <v>45323.0</v>
      </c>
      <c r="FU157" s="139">
        <v>45352.0</v>
      </c>
      <c r="FV157" s="139">
        <v>45383.0</v>
      </c>
      <c r="FW157" s="139">
        <v>45413.0</v>
      </c>
      <c r="FX157" s="139">
        <v>45444.0</v>
      </c>
      <c r="FY157" s="139">
        <v>45474.0</v>
      </c>
      <c r="FZ157" s="139">
        <v>45505.0</v>
      </c>
      <c r="GA157" s="139">
        <v>45536.0</v>
      </c>
      <c r="GB157" s="139">
        <v>45566.0</v>
      </c>
      <c r="GC157" s="139">
        <v>45597.0</v>
      </c>
      <c r="GD157" s="139">
        <v>45627.0</v>
      </c>
      <c r="GE157" s="139">
        <v>45658.0</v>
      </c>
      <c r="GF157" s="139">
        <v>45689.0</v>
      </c>
      <c r="GG157" s="139">
        <v>45717.0</v>
      </c>
      <c r="GH157" s="139">
        <v>45748.0</v>
      </c>
      <c r="GI157" s="139">
        <v>45778.0</v>
      </c>
      <c r="GJ157" s="139">
        <v>45809.0</v>
      </c>
      <c r="GK157" s="139">
        <v>45839.0</v>
      </c>
    </row>
    <row r="158">
      <c r="A158" s="132" t="s">
        <v>1400</v>
      </c>
      <c r="B158" s="133" t="s">
        <v>441</v>
      </c>
      <c r="C158" s="134">
        <v>45156.5612962963</v>
      </c>
      <c r="D158" s="135" t="str">
        <f t="shared" si="1"/>
        <v>2023/08/18</v>
      </c>
      <c r="E158" s="136" t="s">
        <v>34180</v>
      </c>
      <c r="F158" s="137">
        <v>0.01874</v>
      </c>
      <c r="G158" s="138">
        <v>40179.0</v>
      </c>
      <c r="H158" s="138">
        <v>40210.0</v>
      </c>
      <c r="I158" s="138">
        <v>40238.0</v>
      </c>
      <c r="J158" s="138">
        <v>40269.0</v>
      </c>
      <c r="K158" s="138">
        <v>40299.0</v>
      </c>
      <c r="L158" s="138">
        <v>40330.0</v>
      </c>
      <c r="M158" s="138">
        <v>40360.0</v>
      </c>
      <c r="N158" s="138">
        <v>40391.0</v>
      </c>
      <c r="O158" s="138">
        <v>40422.0</v>
      </c>
      <c r="P158" s="138">
        <v>40452.0</v>
      </c>
      <c r="Q158" s="138">
        <v>40483.0</v>
      </c>
      <c r="R158" s="138">
        <v>40513.0</v>
      </c>
      <c r="S158" s="138">
        <v>40544.0</v>
      </c>
      <c r="T158" s="138">
        <v>40575.0</v>
      </c>
      <c r="U158" s="138">
        <v>40603.0</v>
      </c>
      <c r="V158" s="138">
        <v>40634.0</v>
      </c>
      <c r="W158" s="138">
        <v>40664.0</v>
      </c>
      <c r="X158" s="138">
        <v>40695.0</v>
      </c>
      <c r="Y158" s="138">
        <v>40725.0</v>
      </c>
      <c r="Z158" s="138">
        <v>40756.0</v>
      </c>
      <c r="AA158" s="138">
        <v>40787.0</v>
      </c>
      <c r="AB158" s="138">
        <v>40817.0</v>
      </c>
      <c r="AC158" s="138">
        <v>40848.0</v>
      </c>
      <c r="AD158" s="138">
        <v>40878.0</v>
      </c>
      <c r="AE158" s="138">
        <v>40909.0</v>
      </c>
      <c r="AF158" s="138">
        <v>40940.0</v>
      </c>
      <c r="AG158" s="138">
        <v>40969.0</v>
      </c>
      <c r="AH158" s="138">
        <v>41000.0</v>
      </c>
      <c r="AI158" s="138">
        <v>41030.0</v>
      </c>
      <c r="AJ158" s="138">
        <v>41061.0</v>
      </c>
      <c r="AK158" s="138">
        <v>41091.0</v>
      </c>
      <c r="AL158" s="138">
        <v>41122.0</v>
      </c>
      <c r="AM158" s="138">
        <v>41153.0</v>
      </c>
      <c r="AN158" s="138">
        <v>41183.0</v>
      </c>
      <c r="AO158" s="138">
        <v>41214.0</v>
      </c>
      <c r="AP158" s="138">
        <v>41244.0</v>
      </c>
      <c r="AQ158" s="138">
        <v>41275.0</v>
      </c>
      <c r="AR158" s="138">
        <v>41306.0</v>
      </c>
      <c r="AS158" s="138">
        <v>41334.0</v>
      </c>
      <c r="AT158" s="138">
        <v>41365.0</v>
      </c>
      <c r="AU158" s="138">
        <v>41395.0</v>
      </c>
      <c r="AV158" s="138">
        <v>41426.0</v>
      </c>
      <c r="AW158" s="138">
        <v>41456.0</v>
      </c>
      <c r="AX158" s="138">
        <v>41487.0</v>
      </c>
      <c r="AY158" s="138">
        <v>41518.0</v>
      </c>
      <c r="AZ158" s="138">
        <v>41548.0</v>
      </c>
      <c r="BA158" s="138">
        <v>41579.0</v>
      </c>
      <c r="BB158" s="138">
        <v>41609.0</v>
      </c>
      <c r="BC158" s="138">
        <v>41640.0</v>
      </c>
      <c r="BD158" s="138">
        <v>41671.0</v>
      </c>
      <c r="BE158" s="138">
        <v>41699.0</v>
      </c>
      <c r="BF158" s="138">
        <v>41730.0</v>
      </c>
      <c r="BG158" s="138">
        <v>41760.0</v>
      </c>
      <c r="BH158" s="138">
        <v>41791.0</v>
      </c>
      <c r="BI158" s="138">
        <v>41821.0</v>
      </c>
      <c r="BJ158" s="138">
        <v>41852.0</v>
      </c>
      <c r="BK158" s="138">
        <v>41883.0</v>
      </c>
      <c r="BL158" s="138">
        <v>41913.0</v>
      </c>
      <c r="BM158" s="138">
        <v>41944.0</v>
      </c>
      <c r="BN158" s="138">
        <v>41974.0</v>
      </c>
      <c r="BO158" s="138">
        <v>42005.0</v>
      </c>
      <c r="BP158" s="138">
        <v>42036.0</v>
      </c>
      <c r="BQ158" s="138">
        <v>42064.0</v>
      </c>
      <c r="BR158" s="138">
        <v>42095.0</v>
      </c>
      <c r="BS158" s="138">
        <v>42125.0</v>
      </c>
      <c r="BT158" s="138">
        <v>42156.0</v>
      </c>
      <c r="BU158" s="138">
        <v>42186.0</v>
      </c>
      <c r="BV158" s="138">
        <v>42217.0</v>
      </c>
      <c r="BW158" s="138">
        <v>42248.0</v>
      </c>
      <c r="BX158" s="138">
        <v>42278.0</v>
      </c>
      <c r="BY158" s="138">
        <v>42309.0</v>
      </c>
      <c r="BZ158" s="138">
        <v>42339.0</v>
      </c>
      <c r="CA158" s="138">
        <v>42370.0</v>
      </c>
      <c r="CB158" s="138">
        <v>42401.0</v>
      </c>
      <c r="CC158" s="138">
        <v>42430.0</v>
      </c>
      <c r="CD158" s="138">
        <v>42461.0</v>
      </c>
      <c r="CE158" s="138">
        <v>42491.0</v>
      </c>
      <c r="CF158" s="138">
        <v>42522.0</v>
      </c>
      <c r="CG158" s="138">
        <v>42552.0</v>
      </c>
      <c r="CH158" s="138">
        <v>42583.0</v>
      </c>
      <c r="CI158" s="138">
        <v>42614.0</v>
      </c>
      <c r="CJ158" s="138">
        <v>42644.0</v>
      </c>
      <c r="CK158" s="138">
        <v>42675.0</v>
      </c>
      <c r="CL158" s="138">
        <v>42705.0</v>
      </c>
      <c r="CM158" s="138">
        <v>42736.0</v>
      </c>
      <c r="CN158" s="138">
        <v>42767.0</v>
      </c>
      <c r="CO158" s="138">
        <v>42795.0</v>
      </c>
      <c r="CP158" s="138">
        <v>42826.0</v>
      </c>
      <c r="CQ158" s="138">
        <v>42856.0</v>
      </c>
      <c r="CR158" s="138">
        <v>42887.0</v>
      </c>
      <c r="CS158" s="138">
        <v>42917.0</v>
      </c>
      <c r="CT158" s="138">
        <v>42948.0</v>
      </c>
      <c r="CU158" s="138">
        <v>42979.0</v>
      </c>
      <c r="CV158" s="138">
        <v>43009.0</v>
      </c>
      <c r="CW158" s="138">
        <v>43040.0</v>
      </c>
      <c r="CX158" s="138">
        <v>43070.0</v>
      </c>
      <c r="CY158" s="138">
        <v>43101.0</v>
      </c>
      <c r="CZ158" s="138">
        <v>43132.0</v>
      </c>
      <c r="DA158" s="138">
        <v>43160.0</v>
      </c>
      <c r="DB158" s="138">
        <v>43191.0</v>
      </c>
      <c r="DC158" s="138">
        <v>43221.0</v>
      </c>
      <c r="DD158" s="138">
        <v>43252.0</v>
      </c>
      <c r="DE158" s="138">
        <v>43282.0</v>
      </c>
      <c r="DF158" s="138">
        <v>43313.0</v>
      </c>
      <c r="DG158" s="138">
        <v>43344.0</v>
      </c>
      <c r="DH158" s="138">
        <v>43374.0</v>
      </c>
      <c r="DI158" s="138">
        <v>43405.0</v>
      </c>
      <c r="DJ158" s="138">
        <v>43435.0</v>
      </c>
      <c r="DK158" s="138">
        <v>43466.0</v>
      </c>
      <c r="DL158" s="138">
        <v>43497.0</v>
      </c>
      <c r="DM158" s="138">
        <v>43525.0</v>
      </c>
      <c r="DN158" s="138">
        <v>43556.0</v>
      </c>
      <c r="DO158" s="138">
        <v>43586.0</v>
      </c>
      <c r="DP158" s="138">
        <v>43617.0</v>
      </c>
      <c r="DQ158" s="138">
        <v>43647.0</v>
      </c>
      <c r="DR158" s="138">
        <v>43678.0</v>
      </c>
      <c r="DS158" s="138">
        <v>43709.0</v>
      </c>
      <c r="DT158" s="138">
        <v>43739.0</v>
      </c>
      <c r="DU158" s="138">
        <v>43770.0</v>
      </c>
      <c r="DV158" s="138">
        <v>43800.0</v>
      </c>
      <c r="DW158" s="138">
        <v>43831.0</v>
      </c>
      <c r="DX158" s="138">
        <v>43862.0</v>
      </c>
      <c r="DY158" s="138">
        <v>43891.0</v>
      </c>
      <c r="DZ158" s="138">
        <v>43922.0</v>
      </c>
      <c r="EA158" s="138">
        <v>43952.0</v>
      </c>
      <c r="EB158" s="138">
        <v>43983.0</v>
      </c>
      <c r="EC158" s="138">
        <v>44013.0</v>
      </c>
      <c r="ED158" s="138">
        <v>44044.0</v>
      </c>
      <c r="EE158" s="138">
        <v>44075.0</v>
      </c>
      <c r="EF158" s="138">
        <v>44105.0</v>
      </c>
      <c r="EG158" s="138">
        <v>44136.0</v>
      </c>
      <c r="EH158" s="138">
        <v>44166.0</v>
      </c>
      <c r="EI158" s="138">
        <v>44197.0</v>
      </c>
      <c r="EJ158" s="138">
        <v>44228.0</v>
      </c>
      <c r="EK158" s="138">
        <v>44256.0</v>
      </c>
      <c r="EL158" s="138">
        <v>44287.0</v>
      </c>
      <c r="EM158" s="138">
        <v>44317.0</v>
      </c>
      <c r="EN158" s="138">
        <v>44348.0</v>
      </c>
      <c r="EO158" s="138">
        <v>44378.0</v>
      </c>
      <c r="EP158" s="138">
        <v>44409.0</v>
      </c>
      <c r="EQ158" s="138">
        <v>44440.0</v>
      </c>
      <c r="ER158" s="138">
        <v>44470.0</v>
      </c>
      <c r="ES158" s="138">
        <v>44501.0</v>
      </c>
      <c r="ET158" s="138">
        <v>44531.0</v>
      </c>
      <c r="EU158" s="138">
        <v>44562.0</v>
      </c>
      <c r="EV158" s="138">
        <v>44593.0</v>
      </c>
      <c r="EW158" s="138">
        <v>44621.0</v>
      </c>
      <c r="EX158" s="138">
        <v>44652.0</v>
      </c>
      <c r="EY158" s="138">
        <v>44682.0</v>
      </c>
      <c r="EZ158" s="138">
        <v>44713.0</v>
      </c>
      <c r="FA158" s="138">
        <v>44743.0</v>
      </c>
      <c r="FB158" s="138">
        <v>44774.0</v>
      </c>
      <c r="FC158" s="138">
        <v>44805.0</v>
      </c>
      <c r="FD158" s="138">
        <v>44835.0</v>
      </c>
      <c r="FE158" s="138">
        <v>44866.0</v>
      </c>
      <c r="FF158" s="138">
        <v>44896.0</v>
      </c>
      <c r="FG158" s="138">
        <v>44927.0</v>
      </c>
      <c r="FH158" s="138">
        <v>44958.0</v>
      </c>
      <c r="FI158" s="138">
        <v>44986.0</v>
      </c>
      <c r="FJ158" s="138">
        <v>45017.0</v>
      </c>
      <c r="FK158" s="138">
        <v>45047.0</v>
      </c>
      <c r="FL158" s="138">
        <v>45078.0</v>
      </c>
      <c r="FM158" s="138">
        <v>45108.0</v>
      </c>
      <c r="FN158" s="138">
        <v>45139.0</v>
      </c>
      <c r="FO158" s="139">
        <v>45170.0</v>
      </c>
      <c r="FP158" s="139">
        <v>45200.0</v>
      </c>
      <c r="FQ158" s="139">
        <v>45231.0</v>
      </c>
      <c r="FR158" s="139">
        <v>45261.0</v>
      </c>
      <c r="FS158" s="139">
        <v>45292.0</v>
      </c>
      <c r="FT158" s="139">
        <v>45323.0</v>
      </c>
      <c r="FU158" s="139">
        <v>45352.0</v>
      </c>
      <c r="FV158" s="139">
        <v>45383.0</v>
      </c>
      <c r="FW158" s="139">
        <v>45413.0</v>
      </c>
      <c r="FX158" s="139">
        <v>45444.0</v>
      </c>
      <c r="FY158" s="139">
        <v>45474.0</v>
      </c>
      <c r="FZ158" s="139">
        <v>45505.0</v>
      </c>
      <c r="GA158" s="139">
        <v>45536.0</v>
      </c>
      <c r="GB158" s="139">
        <v>45566.0</v>
      </c>
      <c r="GC158" s="139">
        <v>45597.0</v>
      </c>
      <c r="GD158" s="139">
        <v>45627.0</v>
      </c>
      <c r="GE158" s="139">
        <v>45658.0</v>
      </c>
      <c r="GF158" s="139">
        <v>45689.0</v>
      </c>
      <c r="GG158" s="139">
        <v>45717.0</v>
      </c>
      <c r="GH158" s="139">
        <v>45748.0</v>
      </c>
      <c r="GI158" s="139">
        <v>45778.0</v>
      </c>
      <c r="GJ158" s="139">
        <v>45809.0</v>
      </c>
      <c r="GK158" s="139">
        <v>45839.0</v>
      </c>
    </row>
    <row r="159">
      <c r="A159" s="132" t="s">
        <v>34181</v>
      </c>
      <c r="B159" s="133" t="s">
        <v>1155</v>
      </c>
      <c r="C159" s="134">
        <v>45237.67886574074</v>
      </c>
      <c r="D159" s="135" t="str">
        <f t="shared" si="1"/>
        <v>2023/11/07</v>
      </c>
      <c r="E159" s="136" t="s">
        <v>33974</v>
      </c>
      <c r="F159" s="137">
        <v>0.0</v>
      </c>
      <c r="G159" s="138">
        <v>40179.0</v>
      </c>
      <c r="H159" s="138">
        <v>40210.0</v>
      </c>
      <c r="I159" s="138">
        <v>40238.0</v>
      </c>
      <c r="J159" s="138">
        <v>40269.0</v>
      </c>
      <c r="K159" s="138">
        <v>40299.0</v>
      </c>
      <c r="L159" s="138">
        <v>40330.0</v>
      </c>
      <c r="M159" s="138">
        <v>40360.0</v>
      </c>
      <c r="N159" s="138">
        <v>40391.0</v>
      </c>
      <c r="O159" s="138">
        <v>40422.0</v>
      </c>
      <c r="P159" s="138">
        <v>40452.0</v>
      </c>
      <c r="Q159" s="138">
        <v>40483.0</v>
      </c>
      <c r="R159" s="138">
        <v>40513.0</v>
      </c>
      <c r="S159" s="138">
        <v>40544.0</v>
      </c>
      <c r="T159" s="138">
        <v>40575.0</v>
      </c>
      <c r="U159" s="138">
        <v>40603.0</v>
      </c>
      <c r="V159" s="138">
        <v>40634.0</v>
      </c>
      <c r="W159" s="138">
        <v>40664.0</v>
      </c>
      <c r="X159" s="138">
        <v>40695.0</v>
      </c>
      <c r="Y159" s="138">
        <v>40725.0</v>
      </c>
      <c r="Z159" s="138">
        <v>40756.0</v>
      </c>
      <c r="AA159" s="138">
        <v>40787.0</v>
      </c>
      <c r="AB159" s="138">
        <v>40817.0</v>
      </c>
      <c r="AC159" s="138">
        <v>40848.0</v>
      </c>
      <c r="AD159" s="138">
        <v>40878.0</v>
      </c>
      <c r="AE159" s="138">
        <v>40909.0</v>
      </c>
      <c r="AF159" s="138">
        <v>40940.0</v>
      </c>
      <c r="AG159" s="138">
        <v>40969.0</v>
      </c>
      <c r="AH159" s="138">
        <v>41000.0</v>
      </c>
      <c r="AI159" s="138">
        <v>41030.0</v>
      </c>
      <c r="AJ159" s="138">
        <v>41061.0</v>
      </c>
      <c r="AK159" s="138">
        <v>41091.0</v>
      </c>
      <c r="AL159" s="138">
        <v>41122.0</v>
      </c>
      <c r="AM159" s="138">
        <v>41153.0</v>
      </c>
      <c r="AN159" s="138">
        <v>41183.0</v>
      </c>
      <c r="AO159" s="138">
        <v>41214.0</v>
      </c>
      <c r="AP159" s="138">
        <v>41244.0</v>
      </c>
      <c r="AQ159" s="138">
        <v>41275.0</v>
      </c>
      <c r="AR159" s="138">
        <v>41306.0</v>
      </c>
      <c r="AS159" s="138">
        <v>41334.0</v>
      </c>
      <c r="AT159" s="138">
        <v>41365.0</v>
      </c>
      <c r="AU159" s="138">
        <v>41395.0</v>
      </c>
      <c r="AV159" s="138">
        <v>41426.0</v>
      </c>
      <c r="AW159" s="138">
        <v>41456.0</v>
      </c>
      <c r="AX159" s="138">
        <v>41487.0</v>
      </c>
      <c r="AY159" s="138">
        <v>41518.0</v>
      </c>
      <c r="AZ159" s="138">
        <v>41548.0</v>
      </c>
      <c r="BA159" s="138">
        <v>41579.0</v>
      </c>
      <c r="BB159" s="138">
        <v>41609.0</v>
      </c>
      <c r="BC159" s="138">
        <v>41640.0</v>
      </c>
      <c r="BD159" s="138">
        <v>41671.0</v>
      </c>
      <c r="BE159" s="138">
        <v>41699.0</v>
      </c>
      <c r="BF159" s="138">
        <v>41730.0</v>
      </c>
      <c r="BG159" s="138">
        <v>41760.0</v>
      </c>
      <c r="BH159" s="138">
        <v>41791.0</v>
      </c>
      <c r="BI159" s="138">
        <v>41821.0</v>
      </c>
      <c r="BJ159" s="138">
        <v>41852.0</v>
      </c>
      <c r="BK159" s="138">
        <v>41883.0</v>
      </c>
      <c r="BL159" s="138">
        <v>41913.0</v>
      </c>
      <c r="BM159" s="138">
        <v>41944.0</v>
      </c>
      <c r="BN159" s="138">
        <v>41974.0</v>
      </c>
      <c r="BO159" s="138">
        <v>42005.0</v>
      </c>
      <c r="BP159" s="138">
        <v>42036.0</v>
      </c>
      <c r="BQ159" s="138">
        <v>42064.0</v>
      </c>
      <c r="BR159" s="138">
        <v>42095.0</v>
      </c>
      <c r="BS159" s="138">
        <v>42125.0</v>
      </c>
      <c r="BT159" s="138">
        <v>42156.0</v>
      </c>
      <c r="BU159" s="138">
        <v>42186.0</v>
      </c>
      <c r="BV159" s="138">
        <v>42217.0</v>
      </c>
      <c r="BW159" s="138">
        <v>42248.0</v>
      </c>
      <c r="BX159" s="138">
        <v>42278.0</v>
      </c>
      <c r="BY159" s="138">
        <v>42309.0</v>
      </c>
      <c r="BZ159" s="138">
        <v>42339.0</v>
      </c>
      <c r="CA159" s="138">
        <v>42370.0</v>
      </c>
      <c r="CB159" s="138">
        <v>42401.0</v>
      </c>
      <c r="CC159" s="138">
        <v>42430.0</v>
      </c>
      <c r="CD159" s="138">
        <v>42461.0</v>
      </c>
      <c r="CE159" s="138">
        <v>42491.0</v>
      </c>
      <c r="CF159" s="138">
        <v>42522.0</v>
      </c>
      <c r="CG159" s="138">
        <v>42552.0</v>
      </c>
      <c r="CH159" s="138">
        <v>42583.0</v>
      </c>
      <c r="CI159" s="138">
        <v>42614.0</v>
      </c>
      <c r="CJ159" s="138">
        <v>42644.0</v>
      </c>
      <c r="CK159" s="138">
        <v>42675.0</v>
      </c>
      <c r="CL159" s="138">
        <v>42705.0</v>
      </c>
      <c r="CM159" s="138">
        <v>42736.0</v>
      </c>
      <c r="CN159" s="138">
        <v>42767.0</v>
      </c>
      <c r="CO159" s="138">
        <v>42795.0</v>
      </c>
      <c r="CP159" s="138">
        <v>42826.0</v>
      </c>
      <c r="CQ159" s="138">
        <v>42856.0</v>
      </c>
      <c r="CR159" s="138">
        <v>42887.0</v>
      </c>
      <c r="CS159" s="138">
        <v>42917.0</v>
      </c>
      <c r="CT159" s="138">
        <v>42948.0</v>
      </c>
      <c r="CU159" s="138">
        <v>42979.0</v>
      </c>
      <c r="CV159" s="138">
        <v>43009.0</v>
      </c>
      <c r="CW159" s="138">
        <v>43040.0</v>
      </c>
      <c r="CX159" s="138">
        <v>43070.0</v>
      </c>
      <c r="CY159" s="138">
        <v>43101.0</v>
      </c>
      <c r="CZ159" s="138">
        <v>43132.0</v>
      </c>
      <c r="DA159" s="138">
        <v>43160.0</v>
      </c>
      <c r="DB159" s="138">
        <v>43191.0</v>
      </c>
      <c r="DC159" s="138">
        <v>43221.0</v>
      </c>
      <c r="DD159" s="138">
        <v>43252.0</v>
      </c>
      <c r="DE159" s="138">
        <v>43282.0</v>
      </c>
      <c r="DF159" s="138">
        <v>43313.0</v>
      </c>
      <c r="DG159" s="138">
        <v>43344.0</v>
      </c>
      <c r="DH159" s="138">
        <v>43374.0</v>
      </c>
      <c r="DI159" s="138">
        <v>43405.0</v>
      </c>
      <c r="DJ159" s="138">
        <v>43435.0</v>
      </c>
      <c r="DK159" s="138">
        <v>43466.0</v>
      </c>
      <c r="DL159" s="138">
        <v>43497.0</v>
      </c>
      <c r="DM159" s="138">
        <v>43525.0</v>
      </c>
      <c r="DN159" s="138">
        <v>43556.0</v>
      </c>
      <c r="DO159" s="138">
        <v>43586.0</v>
      </c>
      <c r="DP159" s="138">
        <v>43617.0</v>
      </c>
      <c r="DQ159" s="138">
        <v>43647.0</v>
      </c>
      <c r="DR159" s="138">
        <v>43678.0</v>
      </c>
      <c r="DS159" s="138">
        <v>43709.0</v>
      </c>
      <c r="DT159" s="138">
        <v>43739.0</v>
      </c>
      <c r="DU159" s="138">
        <v>43770.0</v>
      </c>
      <c r="DV159" s="138">
        <v>43800.0</v>
      </c>
      <c r="DW159" s="138">
        <v>43831.0</v>
      </c>
      <c r="DX159" s="138">
        <v>43862.0</v>
      </c>
      <c r="DY159" s="138">
        <v>43891.0</v>
      </c>
      <c r="DZ159" s="138">
        <v>43922.0</v>
      </c>
      <c r="EA159" s="138">
        <v>43952.0</v>
      </c>
      <c r="EB159" s="138">
        <v>43983.0</v>
      </c>
      <c r="EC159" s="138">
        <v>44013.0</v>
      </c>
      <c r="ED159" s="138">
        <v>44044.0</v>
      </c>
      <c r="EE159" s="138">
        <v>44075.0</v>
      </c>
      <c r="EF159" s="138">
        <v>44105.0</v>
      </c>
      <c r="EG159" s="138">
        <v>44136.0</v>
      </c>
      <c r="EH159" s="138">
        <v>44166.0</v>
      </c>
      <c r="EI159" s="138">
        <v>44197.0</v>
      </c>
      <c r="EJ159" s="138">
        <v>44228.0</v>
      </c>
      <c r="EK159" s="138">
        <v>44256.0</v>
      </c>
      <c r="EL159" s="138">
        <v>44287.0</v>
      </c>
      <c r="EM159" s="138">
        <v>44317.0</v>
      </c>
      <c r="EN159" s="138">
        <v>44348.0</v>
      </c>
      <c r="EO159" s="138">
        <v>44378.0</v>
      </c>
      <c r="EP159" s="138">
        <v>44409.0</v>
      </c>
      <c r="EQ159" s="138">
        <v>44440.0</v>
      </c>
      <c r="ER159" s="138">
        <v>44470.0</v>
      </c>
      <c r="ES159" s="138">
        <v>44501.0</v>
      </c>
      <c r="ET159" s="138">
        <v>44531.0</v>
      </c>
      <c r="EU159" s="138">
        <v>44562.0</v>
      </c>
      <c r="EV159" s="138">
        <v>44593.0</v>
      </c>
      <c r="EW159" s="138">
        <v>44621.0</v>
      </c>
      <c r="EX159" s="138">
        <v>44652.0</v>
      </c>
      <c r="EY159" s="138">
        <v>44682.0</v>
      </c>
      <c r="EZ159" s="138">
        <v>44713.0</v>
      </c>
      <c r="FA159" s="138">
        <v>44743.0</v>
      </c>
      <c r="FB159" s="138">
        <v>44774.0</v>
      </c>
      <c r="FC159" s="138">
        <v>44805.0</v>
      </c>
      <c r="FD159" s="138">
        <v>44835.0</v>
      </c>
      <c r="FE159" s="138">
        <v>44866.0</v>
      </c>
      <c r="FF159" s="138">
        <v>44896.0</v>
      </c>
      <c r="FG159" s="138">
        <v>44927.0</v>
      </c>
      <c r="FH159" s="138">
        <v>44958.0</v>
      </c>
      <c r="FI159" s="138">
        <v>44986.0</v>
      </c>
      <c r="FJ159" s="138">
        <v>45017.0</v>
      </c>
      <c r="FK159" s="138">
        <v>45047.0</v>
      </c>
      <c r="FL159" s="138">
        <v>45078.0</v>
      </c>
      <c r="FM159" s="138">
        <v>45108.0</v>
      </c>
      <c r="FN159" s="138">
        <v>45139.0</v>
      </c>
      <c r="FO159" s="138">
        <v>45170.0</v>
      </c>
      <c r="FP159" s="138">
        <v>45200.0</v>
      </c>
      <c r="FQ159" s="138">
        <v>45231.0</v>
      </c>
      <c r="FR159" s="139">
        <v>45261.0</v>
      </c>
      <c r="FS159" s="139">
        <v>45292.0</v>
      </c>
      <c r="FT159" s="139">
        <v>45323.0</v>
      </c>
      <c r="FU159" s="139">
        <v>45352.0</v>
      </c>
      <c r="FV159" s="139">
        <v>45383.0</v>
      </c>
      <c r="FW159" s="139">
        <v>45413.0</v>
      </c>
      <c r="FX159" s="139">
        <v>45444.0</v>
      </c>
      <c r="FY159" s="139">
        <v>45474.0</v>
      </c>
      <c r="FZ159" s="139">
        <v>45505.0</v>
      </c>
      <c r="GA159" s="139">
        <v>45536.0</v>
      </c>
      <c r="GB159" s="139">
        <v>45566.0</v>
      </c>
      <c r="GC159" s="139">
        <v>45597.0</v>
      </c>
      <c r="GD159" s="139">
        <v>45627.0</v>
      </c>
      <c r="GE159" s="139">
        <v>45658.0</v>
      </c>
      <c r="GF159" s="139">
        <v>45689.0</v>
      </c>
      <c r="GG159" s="139">
        <v>45717.0</v>
      </c>
      <c r="GH159" s="139">
        <v>45748.0</v>
      </c>
      <c r="GI159" s="139">
        <v>45778.0</v>
      </c>
      <c r="GJ159" s="139">
        <v>45809.0</v>
      </c>
      <c r="GK159" s="139">
        <v>45839.0</v>
      </c>
    </row>
    <row r="160">
      <c r="A160" s="132" t="s">
        <v>1582</v>
      </c>
      <c r="B160" s="133" t="s">
        <v>798</v>
      </c>
      <c r="C160" s="134">
        <v>45280.77442129629</v>
      </c>
      <c r="D160" s="135" t="str">
        <f t="shared" si="1"/>
        <v>2023/12/20</v>
      </c>
      <c r="E160" s="136" t="s">
        <v>33912</v>
      </c>
      <c r="F160" s="137">
        <v>0.0</v>
      </c>
      <c r="G160" s="138">
        <v>40179.0</v>
      </c>
      <c r="H160" s="138">
        <v>40210.0</v>
      </c>
      <c r="I160" s="138">
        <v>40238.0</v>
      </c>
      <c r="J160" s="138">
        <v>40269.0</v>
      </c>
      <c r="K160" s="138">
        <v>40299.0</v>
      </c>
      <c r="L160" s="138">
        <v>40330.0</v>
      </c>
      <c r="M160" s="138">
        <v>40360.0</v>
      </c>
      <c r="N160" s="138">
        <v>40391.0</v>
      </c>
      <c r="O160" s="138">
        <v>40422.0</v>
      </c>
      <c r="P160" s="138">
        <v>40452.0</v>
      </c>
      <c r="Q160" s="138">
        <v>40483.0</v>
      </c>
      <c r="R160" s="138">
        <v>40513.0</v>
      </c>
      <c r="S160" s="138">
        <v>40544.0</v>
      </c>
      <c r="T160" s="138">
        <v>40575.0</v>
      </c>
      <c r="U160" s="138">
        <v>40603.0</v>
      </c>
      <c r="V160" s="138">
        <v>40634.0</v>
      </c>
      <c r="W160" s="138">
        <v>40664.0</v>
      </c>
      <c r="X160" s="138">
        <v>40695.0</v>
      </c>
      <c r="Y160" s="138">
        <v>40725.0</v>
      </c>
      <c r="Z160" s="138">
        <v>40756.0</v>
      </c>
      <c r="AA160" s="138">
        <v>40787.0</v>
      </c>
      <c r="AB160" s="138">
        <v>40817.0</v>
      </c>
      <c r="AC160" s="138">
        <v>40848.0</v>
      </c>
      <c r="AD160" s="138">
        <v>40878.0</v>
      </c>
      <c r="AE160" s="138">
        <v>40909.0</v>
      </c>
      <c r="AF160" s="138">
        <v>40940.0</v>
      </c>
      <c r="AG160" s="138">
        <v>40969.0</v>
      </c>
      <c r="AH160" s="138">
        <v>41000.0</v>
      </c>
      <c r="AI160" s="138">
        <v>41030.0</v>
      </c>
      <c r="AJ160" s="138">
        <v>41061.0</v>
      </c>
      <c r="AK160" s="138">
        <v>41091.0</v>
      </c>
      <c r="AL160" s="138">
        <v>41122.0</v>
      </c>
      <c r="AM160" s="138">
        <v>41153.0</v>
      </c>
      <c r="AN160" s="138">
        <v>41183.0</v>
      </c>
      <c r="AO160" s="138">
        <v>41214.0</v>
      </c>
      <c r="AP160" s="138">
        <v>41244.0</v>
      </c>
      <c r="AQ160" s="138">
        <v>41275.0</v>
      </c>
      <c r="AR160" s="138">
        <v>41306.0</v>
      </c>
      <c r="AS160" s="138">
        <v>41334.0</v>
      </c>
      <c r="AT160" s="138">
        <v>41365.0</v>
      </c>
      <c r="AU160" s="138">
        <v>41395.0</v>
      </c>
      <c r="AV160" s="138">
        <v>41426.0</v>
      </c>
      <c r="AW160" s="138">
        <v>41456.0</v>
      </c>
      <c r="AX160" s="138">
        <v>41487.0</v>
      </c>
      <c r="AY160" s="138">
        <v>41518.0</v>
      </c>
      <c r="AZ160" s="138">
        <v>41548.0</v>
      </c>
      <c r="BA160" s="138">
        <v>41579.0</v>
      </c>
      <c r="BB160" s="138">
        <v>41609.0</v>
      </c>
      <c r="BC160" s="138">
        <v>41640.0</v>
      </c>
      <c r="BD160" s="138">
        <v>41671.0</v>
      </c>
      <c r="BE160" s="138">
        <v>41699.0</v>
      </c>
      <c r="BF160" s="138">
        <v>41730.0</v>
      </c>
      <c r="BG160" s="138">
        <v>41760.0</v>
      </c>
      <c r="BH160" s="138">
        <v>41791.0</v>
      </c>
      <c r="BI160" s="138">
        <v>41821.0</v>
      </c>
      <c r="BJ160" s="138">
        <v>41852.0</v>
      </c>
      <c r="BK160" s="138">
        <v>41883.0</v>
      </c>
      <c r="BL160" s="138">
        <v>41913.0</v>
      </c>
      <c r="BM160" s="138">
        <v>41944.0</v>
      </c>
      <c r="BN160" s="138">
        <v>41974.0</v>
      </c>
      <c r="BO160" s="138">
        <v>42005.0</v>
      </c>
      <c r="BP160" s="138">
        <v>42036.0</v>
      </c>
      <c r="BQ160" s="138">
        <v>42064.0</v>
      </c>
      <c r="BR160" s="138">
        <v>42095.0</v>
      </c>
      <c r="BS160" s="138">
        <v>42125.0</v>
      </c>
      <c r="BT160" s="138">
        <v>42156.0</v>
      </c>
      <c r="BU160" s="138">
        <v>42186.0</v>
      </c>
      <c r="BV160" s="138">
        <v>42217.0</v>
      </c>
      <c r="BW160" s="138">
        <v>42248.0</v>
      </c>
      <c r="BX160" s="138">
        <v>42278.0</v>
      </c>
      <c r="BY160" s="138">
        <v>42309.0</v>
      </c>
      <c r="BZ160" s="138">
        <v>42339.0</v>
      </c>
      <c r="CA160" s="138">
        <v>42370.0</v>
      </c>
      <c r="CB160" s="138">
        <v>42401.0</v>
      </c>
      <c r="CC160" s="138">
        <v>42430.0</v>
      </c>
      <c r="CD160" s="138">
        <v>42461.0</v>
      </c>
      <c r="CE160" s="138">
        <v>42491.0</v>
      </c>
      <c r="CF160" s="138">
        <v>42522.0</v>
      </c>
      <c r="CG160" s="138">
        <v>42552.0</v>
      </c>
      <c r="CH160" s="138">
        <v>42583.0</v>
      </c>
      <c r="CI160" s="138">
        <v>42614.0</v>
      </c>
      <c r="CJ160" s="138">
        <v>42644.0</v>
      </c>
      <c r="CK160" s="138">
        <v>42675.0</v>
      </c>
      <c r="CL160" s="138">
        <v>42705.0</v>
      </c>
      <c r="CM160" s="138">
        <v>42736.0</v>
      </c>
      <c r="CN160" s="138">
        <v>42767.0</v>
      </c>
      <c r="CO160" s="138">
        <v>42795.0</v>
      </c>
      <c r="CP160" s="138">
        <v>42826.0</v>
      </c>
      <c r="CQ160" s="138">
        <v>42856.0</v>
      </c>
      <c r="CR160" s="138">
        <v>42887.0</v>
      </c>
      <c r="CS160" s="138">
        <v>42917.0</v>
      </c>
      <c r="CT160" s="138">
        <v>42948.0</v>
      </c>
      <c r="CU160" s="138">
        <v>42979.0</v>
      </c>
      <c r="CV160" s="138">
        <v>43009.0</v>
      </c>
      <c r="CW160" s="138">
        <v>43040.0</v>
      </c>
      <c r="CX160" s="138">
        <v>43070.0</v>
      </c>
      <c r="CY160" s="138">
        <v>43101.0</v>
      </c>
      <c r="CZ160" s="138">
        <v>43132.0</v>
      </c>
      <c r="DA160" s="138">
        <v>43160.0</v>
      </c>
      <c r="DB160" s="138">
        <v>43191.0</v>
      </c>
      <c r="DC160" s="138">
        <v>43221.0</v>
      </c>
      <c r="DD160" s="138">
        <v>43252.0</v>
      </c>
      <c r="DE160" s="138">
        <v>43282.0</v>
      </c>
      <c r="DF160" s="138">
        <v>43313.0</v>
      </c>
      <c r="DG160" s="138">
        <v>43344.0</v>
      </c>
      <c r="DH160" s="138">
        <v>43374.0</v>
      </c>
      <c r="DI160" s="138">
        <v>43405.0</v>
      </c>
      <c r="DJ160" s="138">
        <v>43435.0</v>
      </c>
      <c r="DK160" s="138">
        <v>43466.0</v>
      </c>
      <c r="DL160" s="138">
        <v>43497.0</v>
      </c>
      <c r="DM160" s="138">
        <v>43525.0</v>
      </c>
      <c r="DN160" s="138">
        <v>43556.0</v>
      </c>
      <c r="DO160" s="138">
        <v>43586.0</v>
      </c>
      <c r="DP160" s="138">
        <v>43617.0</v>
      </c>
      <c r="DQ160" s="138">
        <v>43647.0</v>
      </c>
      <c r="DR160" s="138">
        <v>43678.0</v>
      </c>
      <c r="DS160" s="138">
        <v>43709.0</v>
      </c>
      <c r="DT160" s="138">
        <v>43739.0</v>
      </c>
      <c r="DU160" s="138">
        <v>43770.0</v>
      </c>
      <c r="DV160" s="138">
        <v>43800.0</v>
      </c>
      <c r="DW160" s="138">
        <v>43831.0</v>
      </c>
      <c r="DX160" s="138">
        <v>43862.0</v>
      </c>
      <c r="DY160" s="138">
        <v>43891.0</v>
      </c>
      <c r="DZ160" s="138">
        <v>43922.0</v>
      </c>
      <c r="EA160" s="138">
        <v>43952.0</v>
      </c>
      <c r="EB160" s="138">
        <v>43983.0</v>
      </c>
      <c r="EC160" s="138">
        <v>44013.0</v>
      </c>
      <c r="ED160" s="138">
        <v>44044.0</v>
      </c>
      <c r="EE160" s="138">
        <v>44075.0</v>
      </c>
      <c r="EF160" s="138">
        <v>44105.0</v>
      </c>
      <c r="EG160" s="138">
        <v>44136.0</v>
      </c>
      <c r="EH160" s="138">
        <v>44166.0</v>
      </c>
      <c r="EI160" s="138">
        <v>44197.0</v>
      </c>
      <c r="EJ160" s="138">
        <v>44228.0</v>
      </c>
      <c r="EK160" s="138">
        <v>44256.0</v>
      </c>
      <c r="EL160" s="138">
        <v>44287.0</v>
      </c>
      <c r="EM160" s="138">
        <v>44317.0</v>
      </c>
      <c r="EN160" s="138">
        <v>44348.0</v>
      </c>
      <c r="EO160" s="138">
        <v>44378.0</v>
      </c>
      <c r="EP160" s="138">
        <v>44409.0</v>
      </c>
      <c r="EQ160" s="138">
        <v>44440.0</v>
      </c>
      <c r="ER160" s="138">
        <v>44470.0</v>
      </c>
      <c r="ES160" s="138">
        <v>44501.0</v>
      </c>
      <c r="ET160" s="138">
        <v>44531.0</v>
      </c>
      <c r="EU160" s="138">
        <v>44562.0</v>
      </c>
      <c r="EV160" s="138">
        <v>44593.0</v>
      </c>
      <c r="EW160" s="138">
        <v>44621.0</v>
      </c>
      <c r="EX160" s="138">
        <v>44652.0</v>
      </c>
      <c r="EY160" s="138">
        <v>44682.0</v>
      </c>
      <c r="EZ160" s="138">
        <v>44713.0</v>
      </c>
      <c r="FA160" s="138">
        <v>44743.0</v>
      </c>
      <c r="FB160" s="138">
        <v>44774.0</v>
      </c>
      <c r="FC160" s="138">
        <v>44805.0</v>
      </c>
      <c r="FD160" s="138">
        <v>44835.0</v>
      </c>
      <c r="FE160" s="138">
        <v>44866.0</v>
      </c>
      <c r="FF160" s="138">
        <v>44896.0</v>
      </c>
      <c r="FG160" s="138">
        <v>44927.0</v>
      </c>
      <c r="FH160" s="138">
        <v>44958.0</v>
      </c>
      <c r="FI160" s="138">
        <v>44986.0</v>
      </c>
      <c r="FJ160" s="138">
        <v>45017.0</v>
      </c>
      <c r="FK160" s="138">
        <v>45047.0</v>
      </c>
      <c r="FL160" s="138">
        <v>45078.0</v>
      </c>
      <c r="FM160" s="138">
        <v>45108.0</v>
      </c>
      <c r="FN160" s="138">
        <v>45139.0</v>
      </c>
      <c r="FO160" s="138">
        <v>45170.0</v>
      </c>
      <c r="FP160" s="138">
        <v>45200.0</v>
      </c>
      <c r="FQ160" s="138">
        <v>45231.0</v>
      </c>
      <c r="FR160" s="138">
        <v>45261.0</v>
      </c>
      <c r="FS160" s="139">
        <v>45292.0</v>
      </c>
      <c r="FT160" s="139">
        <v>45323.0</v>
      </c>
      <c r="FU160" s="139">
        <v>45352.0</v>
      </c>
      <c r="FV160" s="139">
        <v>45383.0</v>
      </c>
      <c r="FW160" s="139">
        <v>45413.0</v>
      </c>
      <c r="FX160" s="139">
        <v>45444.0</v>
      </c>
      <c r="FY160" s="139">
        <v>45474.0</v>
      </c>
      <c r="FZ160" s="139">
        <v>45505.0</v>
      </c>
      <c r="GA160" s="139">
        <v>45536.0</v>
      </c>
      <c r="GB160" s="139">
        <v>45566.0</v>
      </c>
      <c r="GC160" s="139">
        <v>45597.0</v>
      </c>
      <c r="GD160" s="139">
        <v>45627.0</v>
      </c>
      <c r="GE160" s="139">
        <v>45658.0</v>
      </c>
      <c r="GF160" s="139">
        <v>45689.0</v>
      </c>
      <c r="GG160" s="139">
        <v>45717.0</v>
      </c>
      <c r="GH160" s="139">
        <v>45748.0</v>
      </c>
      <c r="GI160" s="139">
        <v>45778.0</v>
      </c>
      <c r="GJ160" s="139">
        <v>45809.0</v>
      </c>
      <c r="GK160" s="139">
        <v>45839.0</v>
      </c>
    </row>
    <row r="161">
      <c r="A161" s="132" t="s">
        <v>34182</v>
      </c>
      <c r="B161" s="133" t="s">
        <v>1277</v>
      </c>
      <c r="C161" s="134">
        <v>45320.73401620371</v>
      </c>
      <c r="D161" s="135" t="str">
        <f t="shared" si="1"/>
        <v>2024/01/29</v>
      </c>
      <c r="E161" s="136" t="s">
        <v>33912</v>
      </c>
      <c r="F161" s="137">
        <v>0.0</v>
      </c>
      <c r="G161" s="138">
        <v>40179.0</v>
      </c>
      <c r="H161" s="138">
        <v>40210.0</v>
      </c>
      <c r="I161" s="138">
        <v>40238.0</v>
      </c>
      <c r="J161" s="138">
        <v>40269.0</v>
      </c>
      <c r="K161" s="138">
        <v>40299.0</v>
      </c>
      <c r="L161" s="138">
        <v>40330.0</v>
      </c>
      <c r="M161" s="138">
        <v>40360.0</v>
      </c>
      <c r="N161" s="138">
        <v>40391.0</v>
      </c>
      <c r="O161" s="138">
        <v>40422.0</v>
      </c>
      <c r="P161" s="138">
        <v>40452.0</v>
      </c>
      <c r="Q161" s="138">
        <v>40483.0</v>
      </c>
      <c r="R161" s="138">
        <v>40513.0</v>
      </c>
      <c r="S161" s="138">
        <v>40544.0</v>
      </c>
      <c r="T161" s="138">
        <v>40575.0</v>
      </c>
      <c r="U161" s="138">
        <v>40603.0</v>
      </c>
      <c r="V161" s="138">
        <v>40634.0</v>
      </c>
      <c r="W161" s="138">
        <v>40664.0</v>
      </c>
      <c r="X161" s="138">
        <v>40695.0</v>
      </c>
      <c r="Y161" s="138">
        <v>40725.0</v>
      </c>
      <c r="Z161" s="138">
        <v>40756.0</v>
      </c>
      <c r="AA161" s="138">
        <v>40787.0</v>
      </c>
      <c r="AB161" s="138">
        <v>40817.0</v>
      </c>
      <c r="AC161" s="138">
        <v>40848.0</v>
      </c>
      <c r="AD161" s="138">
        <v>40878.0</v>
      </c>
      <c r="AE161" s="138">
        <v>40909.0</v>
      </c>
      <c r="AF161" s="138">
        <v>40940.0</v>
      </c>
      <c r="AG161" s="138">
        <v>40969.0</v>
      </c>
      <c r="AH161" s="138">
        <v>41000.0</v>
      </c>
      <c r="AI161" s="138">
        <v>41030.0</v>
      </c>
      <c r="AJ161" s="138">
        <v>41061.0</v>
      </c>
      <c r="AK161" s="138">
        <v>41091.0</v>
      </c>
      <c r="AL161" s="138">
        <v>41122.0</v>
      </c>
      <c r="AM161" s="138">
        <v>41153.0</v>
      </c>
      <c r="AN161" s="138">
        <v>41183.0</v>
      </c>
      <c r="AO161" s="138">
        <v>41214.0</v>
      </c>
      <c r="AP161" s="138">
        <v>41244.0</v>
      </c>
      <c r="AQ161" s="138">
        <v>41275.0</v>
      </c>
      <c r="AR161" s="138">
        <v>41306.0</v>
      </c>
      <c r="AS161" s="138">
        <v>41334.0</v>
      </c>
      <c r="AT161" s="138">
        <v>41365.0</v>
      </c>
      <c r="AU161" s="138">
        <v>41395.0</v>
      </c>
      <c r="AV161" s="138">
        <v>41426.0</v>
      </c>
      <c r="AW161" s="138">
        <v>41456.0</v>
      </c>
      <c r="AX161" s="138">
        <v>41487.0</v>
      </c>
      <c r="AY161" s="138">
        <v>41518.0</v>
      </c>
      <c r="AZ161" s="138">
        <v>41548.0</v>
      </c>
      <c r="BA161" s="138">
        <v>41579.0</v>
      </c>
      <c r="BB161" s="138">
        <v>41609.0</v>
      </c>
      <c r="BC161" s="138">
        <v>41640.0</v>
      </c>
      <c r="BD161" s="138">
        <v>41671.0</v>
      </c>
      <c r="BE161" s="138">
        <v>41699.0</v>
      </c>
      <c r="BF161" s="138">
        <v>41730.0</v>
      </c>
      <c r="BG161" s="138">
        <v>41760.0</v>
      </c>
      <c r="BH161" s="138">
        <v>41791.0</v>
      </c>
      <c r="BI161" s="138">
        <v>41821.0</v>
      </c>
      <c r="BJ161" s="138">
        <v>41852.0</v>
      </c>
      <c r="BK161" s="138">
        <v>41883.0</v>
      </c>
      <c r="BL161" s="138">
        <v>41913.0</v>
      </c>
      <c r="BM161" s="138">
        <v>41944.0</v>
      </c>
      <c r="BN161" s="138">
        <v>41974.0</v>
      </c>
      <c r="BO161" s="138">
        <v>42005.0</v>
      </c>
      <c r="BP161" s="138">
        <v>42036.0</v>
      </c>
      <c r="BQ161" s="138">
        <v>42064.0</v>
      </c>
      <c r="BR161" s="138">
        <v>42095.0</v>
      </c>
      <c r="BS161" s="138">
        <v>42125.0</v>
      </c>
      <c r="BT161" s="138">
        <v>42156.0</v>
      </c>
      <c r="BU161" s="138">
        <v>42186.0</v>
      </c>
      <c r="BV161" s="138">
        <v>42217.0</v>
      </c>
      <c r="BW161" s="138">
        <v>42248.0</v>
      </c>
      <c r="BX161" s="138">
        <v>42278.0</v>
      </c>
      <c r="BY161" s="138">
        <v>42309.0</v>
      </c>
      <c r="BZ161" s="138">
        <v>42339.0</v>
      </c>
      <c r="CA161" s="138">
        <v>42370.0</v>
      </c>
      <c r="CB161" s="138">
        <v>42401.0</v>
      </c>
      <c r="CC161" s="138">
        <v>42430.0</v>
      </c>
      <c r="CD161" s="138">
        <v>42461.0</v>
      </c>
      <c r="CE161" s="138">
        <v>42491.0</v>
      </c>
      <c r="CF161" s="138">
        <v>42522.0</v>
      </c>
      <c r="CG161" s="138">
        <v>42552.0</v>
      </c>
      <c r="CH161" s="138">
        <v>42583.0</v>
      </c>
      <c r="CI161" s="138">
        <v>42614.0</v>
      </c>
      <c r="CJ161" s="138">
        <v>42644.0</v>
      </c>
      <c r="CK161" s="138">
        <v>42675.0</v>
      </c>
      <c r="CL161" s="138">
        <v>42705.0</v>
      </c>
      <c r="CM161" s="138">
        <v>42736.0</v>
      </c>
      <c r="CN161" s="138">
        <v>42767.0</v>
      </c>
      <c r="CO161" s="138">
        <v>42795.0</v>
      </c>
      <c r="CP161" s="138">
        <v>42826.0</v>
      </c>
      <c r="CQ161" s="138">
        <v>42856.0</v>
      </c>
      <c r="CR161" s="138">
        <v>42887.0</v>
      </c>
      <c r="CS161" s="138">
        <v>42917.0</v>
      </c>
      <c r="CT161" s="138">
        <v>42948.0</v>
      </c>
      <c r="CU161" s="138">
        <v>42979.0</v>
      </c>
      <c r="CV161" s="138">
        <v>43009.0</v>
      </c>
      <c r="CW161" s="138">
        <v>43040.0</v>
      </c>
      <c r="CX161" s="138">
        <v>43070.0</v>
      </c>
      <c r="CY161" s="138">
        <v>43101.0</v>
      </c>
      <c r="CZ161" s="138">
        <v>43132.0</v>
      </c>
      <c r="DA161" s="138">
        <v>43160.0</v>
      </c>
      <c r="DB161" s="138">
        <v>43191.0</v>
      </c>
      <c r="DC161" s="138">
        <v>43221.0</v>
      </c>
      <c r="DD161" s="138">
        <v>43252.0</v>
      </c>
      <c r="DE161" s="138">
        <v>43282.0</v>
      </c>
      <c r="DF161" s="138">
        <v>43313.0</v>
      </c>
      <c r="DG161" s="138">
        <v>43344.0</v>
      </c>
      <c r="DH161" s="138">
        <v>43374.0</v>
      </c>
      <c r="DI161" s="138">
        <v>43405.0</v>
      </c>
      <c r="DJ161" s="138">
        <v>43435.0</v>
      </c>
      <c r="DK161" s="138">
        <v>43466.0</v>
      </c>
      <c r="DL161" s="138">
        <v>43497.0</v>
      </c>
      <c r="DM161" s="138">
        <v>43525.0</v>
      </c>
      <c r="DN161" s="138">
        <v>43556.0</v>
      </c>
      <c r="DO161" s="138">
        <v>43586.0</v>
      </c>
      <c r="DP161" s="138">
        <v>43617.0</v>
      </c>
      <c r="DQ161" s="138">
        <v>43647.0</v>
      </c>
      <c r="DR161" s="138">
        <v>43678.0</v>
      </c>
      <c r="DS161" s="138">
        <v>43709.0</v>
      </c>
      <c r="DT161" s="138">
        <v>43739.0</v>
      </c>
      <c r="DU161" s="138">
        <v>43770.0</v>
      </c>
      <c r="DV161" s="138">
        <v>43800.0</v>
      </c>
      <c r="DW161" s="138">
        <v>43831.0</v>
      </c>
      <c r="DX161" s="138">
        <v>43862.0</v>
      </c>
      <c r="DY161" s="138">
        <v>43891.0</v>
      </c>
      <c r="DZ161" s="138">
        <v>43922.0</v>
      </c>
      <c r="EA161" s="138">
        <v>43952.0</v>
      </c>
      <c r="EB161" s="138">
        <v>43983.0</v>
      </c>
      <c r="EC161" s="138">
        <v>44013.0</v>
      </c>
      <c r="ED161" s="138">
        <v>44044.0</v>
      </c>
      <c r="EE161" s="138">
        <v>44075.0</v>
      </c>
      <c r="EF161" s="138">
        <v>44105.0</v>
      </c>
      <c r="EG161" s="138">
        <v>44136.0</v>
      </c>
      <c r="EH161" s="138">
        <v>44166.0</v>
      </c>
      <c r="EI161" s="138">
        <v>44197.0</v>
      </c>
      <c r="EJ161" s="138">
        <v>44228.0</v>
      </c>
      <c r="EK161" s="138">
        <v>44256.0</v>
      </c>
      <c r="EL161" s="138">
        <v>44287.0</v>
      </c>
      <c r="EM161" s="138">
        <v>44317.0</v>
      </c>
      <c r="EN161" s="138">
        <v>44348.0</v>
      </c>
      <c r="EO161" s="138">
        <v>44378.0</v>
      </c>
      <c r="EP161" s="138">
        <v>44409.0</v>
      </c>
      <c r="EQ161" s="138">
        <v>44440.0</v>
      </c>
      <c r="ER161" s="138">
        <v>44470.0</v>
      </c>
      <c r="ES161" s="138">
        <v>44501.0</v>
      </c>
      <c r="ET161" s="138">
        <v>44531.0</v>
      </c>
      <c r="EU161" s="138">
        <v>44562.0</v>
      </c>
      <c r="EV161" s="138">
        <v>44593.0</v>
      </c>
      <c r="EW161" s="138">
        <v>44621.0</v>
      </c>
      <c r="EX161" s="138">
        <v>44652.0</v>
      </c>
      <c r="EY161" s="138">
        <v>44682.0</v>
      </c>
      <c r="EZ161" s="138">
        <v>44713.0</v>
      </c>
      <c r="FA161" s="138">
        <v>44743.0</v>
      </c>
      <c r="FB161" s="138">
        <v>44774.0</v>
      </c>
      <c r="FC161" s="138">
        <v>44805.0</v>
      </c>
      <c r="FD161" s="138">
        <v>44835.0</v>
      </c>
      <c r="FE161" s="138">
        <v>44866.0</v>
      </c>
      <c r="FF161" s="138">
        <v>44896.0</v>
      </c>
      <c r="FG161" s="138">
        <v>44927.0</v>
      </c>
      <c r="FH161" s="138">
        <v>44958.0</v>
      </c>
      <c r="FI161" s="138">
        <v>44986.0</v>
      </c>
      <c r="FJ161" s="138">
        <v>45017.0</v>
      </c>
      <c r="FK161" s="138">
        <v>45047.0</v>
      </c>
      <c r="FL161" s="138">
        <v>45078.0</v>
      </c>
      <c r="FM161" s="138">
        <v>45108.0</v>
      </c>
      <c r="FN161" s="138">
        <v>45139.0</v>
      </c>
      <c r="FO161" s="138">
        <v>45170.0</v>
      </c>
      <c r="FP161" s="138">
        <v>45200.0</v>
      </c>
      <c r="FQ161" s="138">
        <v>45231.0</v>
      </c>
      <c r="FR161" s="138">
        <v>45261.0</v>
      </c>
      <c r="FS161" s="138">
        <v>45292.0</v>
      </c>
      <c r="FT161" s="139">
        <v>45323.0</v>
      </c>
      <c r="FU161" s="139">
        <v>45352.0</v>
      </c>
      <c r="FV161" s="139">
        <v>45383.0</v>
      </c>
      <c r="FW161" s="139">
        <v>45413.0</v>
      </c>
      <c r="FX161" s="139">
        <v>45444.0</v>
      </c>
      <c r="FY161" s="139">
        <v>45474.0</v>
      </c>
      <c r="FZ161" s="139">
        <v>45505.0</v>
      </c>
      <c r="GA161" s="139">
        <v>45536.0</v>
      </c>
      <c r="GB161" s="139">
        <v>45566.0</v>
      </c>
      <c r="GC161" s="139">
        <v>45597.0</v>
      </c>
      <c r="GD161" s="139">
        <v>45627.0</v>
      </c>
      <c r="GE161" s="139">
        <v>45658.0</v>
      </c>
      <c r="GF161" s="139">
        <v>45689.0</v>
      </c>
      <c r="GG161" s="139">
        <v>45717.0</v>
      </c>
      <c r="GH161" s="139">
        <v>45748.0</v>
      </c>
      <c r="GI161" s="139">
        <v>45778.0</v>
      </c>
      <c r="GJ161" s="139">
        <v>45809.0</v>
      </c>
      <c r="GK161" s="139">
        <v>45839.0</v>
      </c>
    </row>
    <row r="162">
      <c r="A162" s="132" t="s">
        <v>34183</v>
      </c>
      <c r="B162" s="133" t="s">
        <v>1336</v>
      </c>
      <c r="C162" s="134">
        <v>45328.67797453704</v>
      </c>
      <c r="D162" s="135" t="str">
        <f t="shared" si="1"/>
        <v>2024/02/06</v>
      </c>
      <c r="E162" s="136" t="s">
        <v>34184</v>
      </c>
      <c r="F162" s="137">
        <v>0.00788</v>
      </c>
      <c r="G162" s="138">
        <v>40179.0</v>
      </c>
      <c r="H162" s="138">
        <v>40210.0</v>
      </c>
      <c r="I162" s="138">
        <v>40238.0</v>
      </c>
      <c r="J162" s="138">
        <v>40269.0</v>
      </c>
      <c r="K162" s="138">
        <v>40299.0</v>
      </c>
      <c r="L162" s="138">
        <v>40330.0</v>
      </c>
      <c r="M162" s="138">
        <v>40360.0</v>
      </c>
      <c r="N162" s="138">
        <v>40391.0</v>
      </c>
      <c r="O162" s="138">
        <v>40422.0</v>
      </c>
      <c r="P162" s="138">
        <v>40452.0</v>
      </c>
      <c r="Q162" s="138">
        <v>40483.0</v>
      </c>
      <c r="R162" s="138">
        <v>40513.0</v>
      </c>
      <c r="S162" s="138">
        <v>40544.0</v>
      </c>
      <c r="T162" s="138">
        <v>40575.0</v>
      </c>
      <c r="U162" s="138">
        <v>40603.0</v>
      </c>
      <c r="V162" s="138">
        <v>40634.0</v>
      </c>
      <c r="W162" s="138">
        <v>40664.0</v>
      </c>
      <c r="X162" s="138">
        <v>40695.0</v>
      </c>
      <c r="Y162" s="138">
        <v>40725.0</v>
      </c>
      <c r="Z162" s="138">
        <v>40756.0</v>
      </c>
      <c r="AA162" s="138">
        <v>40787.0</v>
      </c>
      <c r="AB162" s="138">
        <v>40817.0</v>
      </c>
      <c r="AC162" s="138">
        <v>40848.0</v>
      </c>
      <c r="AD162" s="138">
        <v>40878.0</v>
      </c>
      <c r="AE162" s="138">
        <v>40909.0</v>
      </c>
      <c r="AF162" s="138">
        <v>40940.0</v>
      </c>
      <c r="AG162" s="138">
        <v>40969.0</v>
      </c>
      <c r="AH162" s="138">
        <v>41000.0</v>
      </c>
      <c r="AI162" s="138">
        <v>41030.0</v>
      </c>
      <c r="AJ162" s="138">
        <v>41061.0</v>
      </c>
      <c r="AK162" s="138">
        <v>41091.0</v>
      </c>
      <c r="AL162" s="138">
        <v>41122.0</v>
      </c>
      <c r="AM162" s="138">
        <v>41153.0</v>
      </c>
      <c r="AN162" s="138">
        <v>41183.0</v>
      </c>
      <c r="AO162" s="138">
        <v>41214.0</v>
      </c>
      <c r="AP162" s="138">
        <v>41244.0</v>
      </c>
      <c r="AQ162" s="138">
        <v>41275.0</v>
      </c>
      <c r="AR162" s="138">
        <v>41306.0</v>
      </c>
      <c r="AS162" s="138">
        <v>41334.0</v>
      </c>
      <c r="AT162" s="138">
        <v>41365.0</v>
      </c>
      <c r="AU162" s="138">
        <v>41395.0</v>
      </c>
      <c r="AV162" s="138">
        <v>41426.0</v>
      </c>
      <c r="AW162" s="138">
        <v>41456.0</v>
      </c>
      <c r="AX162" s="138">
        <v>41487.0</v>
      </c>
      <c r="AY162" s="138">
        <v>41518.0</v>
      </c>
      <c r="AZ162" s="138">
        <v>41548.0</v>
      </c>
      <c r="BA162" s="138">
        <v>41579.0</v>
      </c>
      <c r="BB162" s="138">
        <v>41609.0</v>
      </c>
      <c r="BC162" s="138">
        <v>41640.0</v>
      </c>
      <c r="BD162" s="138">
        <v>41671.0</v>
      </c>
      <c r="BE162" s="138">
        <v>41699.0</v>
      </c>
      <c r="BF162" s="138">
        <v>41730.0</v>
      </c>
      <c r="BG162" s="138">
        <v>41760.0</v>
      </c>
      <c r="BH162" s="138">
        <v>41791.0</v>
      </c>
      <c r="BI162" s="138">
        <v>41821.0</v>
      </c>
      <c r="BJ162" s="138">
        <v>41852.0</v>
      </c>
      <c r="BK162" s="138">
        <v>41883.0</v>
      </c>
      <c r="BL162" s="138">
        <v>41913.0</v>
      </c>
      <c r="BM162" s="138">
        <v>41944.0</v>
      </c>
      <c r="BN162" s="138">
        <v>41974.0</v>
      </c>
      <c r="BO162" s="138">
        <v>42005.0</v>
      </c>
      <c r="BP162" s="138">
        <v>42036.0</v>
      </c>
      <c r="BQ162" s="138">
        <v>42064.0</v>
      </c>
      <c r="BR162" s="138">
        <v>42095.0</v>
      </c>
      <c r="BS162" s="138">
        <v>42125.0</v>
      </c>
      <c r="BT162" s="138">
        <v>42156.0</v>
      </c>
      <c r="BU162" s="138">
        <v>42186.0</v>
      </c>
      <c r="BV162" s="138">
        <v>42217.0</v>
      </c>
      <c r="BW162" s="138">
        <v>42248.0</v>
      </c>
      <c r="BX162" s="138">
        <v>42278.0</v>
      </c>
      <c r="BY162" s="138">
        <v>42309.0</v>
      </c>
      <c r="BZ162" s="138">
        <v>42339.0</v>
      </c>
      <c r="CA162" s="138">
        <v>42370.0</v>
      </c>
      <c r="CB162" s="138">
        <v>42401.0</v>
      </c>
      <c r="CC162" s="138">
        <v>42430.0</v>
      </c>
      <c r="CD162" s="138">
        <v>42461.0</v>
      </c>
      <c r="CE162" s="138">
        <v>42491.0</v>
      </c>
      <c r="CF162" s="138">
        <v>42522.0</v>
      </c>
      <c r="CG162" s="138">
        <v>42552.0</v>
      </c>
      <c r="CH162" s="138">
        <v>42583.0</v>
      </c>
      <c r="CI162" s="138">
        <v>42614.0</v>
      </c>
      <c r="CJ162" s="138">
        <v>42644.0</v>
      </c>
      <c r="CK162" s="138">
        <v>42675.0</v>
      </c>
      <c r="CL162" s="138">
        <v>42705.0</v>
      </c>
      <c r="CM162" s="138">
        <v>42736.0</v>
      </c>
      <c r="CN162" s="138">
        <v>42767.0</v>
      </c>
      <c r="CO162" s="138">
        <v>42795.0</v>
      </c>
      <c r="CP162" s="138">
        <v>42826.0</v>
      </c>
      <c r="CQ162" s="138">
        <v>42856.0</v>
      </c>
      <c r="CR162" s="138">
        <v>42887.0</v>
      </c>
      <c r="CS162" s="138">
        <v>42917.0</v>
      </c>
      <c r="CT162" s="138">
        <v>42948.0</v>
      </c>
      <c r="CU162" s="138">
        <v>42979.0</v>
      </c>
      <c r="CV162" s="138">
        <v>43009.0</v>
      </c>
      <c r="CW162" s="138">
        <v>43040.0</v>
      </c>
      <c r="CX162" s="138">
        <v>43070.0</v>
      </c>
      <c r="CY162" s="138">
        <v>43101.0</v>
      </c>
      <c r="CZ162" s="138">
        <v>43132.0</v>
      </c>
      <c r="DA162" s="138">
        <v>43160.0</v>
      </c>
      <c r="DB162" s="138">
        <v>43191.0</v>
      </c>
      <c r="DC162" s="138">
        <v>43221.0</v>
      </c>
      <c r="DD162" s="138">
        <v>43252.0</v>
      </c>
      <c r="DE162" s="138">
        <v>43282.0</v>
      </c>
      <c r="DF162" s="138">
        <v>43313.0</v>
      </c>
      <c r="DG162" s="138">
        <v>43344.0</v>
      </c>
      <c r="DH162" s="138">
        <v>43374.0</v>
      </c>
      <c r="DI162" s="138">
        <v>43405.0</v>
      </c>
      <c r="DJ162" s="138">
        <v>43435.0</v>
      </c>
      <c r="DK162" s="138">
        <v>43466.0</v>
      </c>
      <c r="DL162" s="138">
        <v>43497.0</v>
      </c>
      <c r="DM162" s="138">
        <v>43525.0</v>
      </c>
      <c r="DN162" s="138">
        <v>43556.0</v>
      </c>
      <c r="DO162" s="138">
        <v>43586.0</v>
      </c>
      <c r="DP162" s="138">
        <v>43617.0</v>
      </c>
      <c r="DQ162" s="138">
        <v>43647.0</v>
      </c>
      <c r="DR162" s="138">
        <v>43678.0</v>
      </c>
      <c r="DS162" s="138">
        <v>43709.0</v>
      </c>
      <c r="DT162" s="138">
        <v>43739.0</v>
      </c>
      <c r="DU162" s="138">
        <v>43770.0</v>
      </c>
      <c r="DV162" s="138">
        <v>43800.0</v>
      </c>
      <c r="DW162" s="138">
        <v>43831.0</v>
      </c>
      <c r="DX162" s="138">
        <v>43862.0</v>
      </c>
      <c r="DY162" s="138">
        <v>43891.0</v>
      </c>
      <c r="DZ162" s="138">
        <v>43922.0</v>
      </c>
      <c r="EA162" s="138">
        <v>43952.0</v>
      </c>
      <c r="EB162" s="138">
        <v>43983.0</v>
      </c>
      <c r="EC162" s="138">
        <v>44013.0</v>
      </c>
      <c r="ED162" s="138">
        <v>44044.0</v>
      </c>
      <c r="EE162" s="138">
        <v>44075.0</v>
      </c>
      <c r="EF162" s="138">
        <v>44105.0</v>
      </c>
      <c r="EG162" s="138">
        <v>44136.0</v>
      </c>
      <c r="EH162" s="138">
        <v>44166.0</v>
      </c>
      <c r="EI162" s="138">
        <v>44197.0</v>
      </c>
      <c r="EJ162" s="138">
        <v>44228.0</v>
      </c>
      <c r="EK162" s="138">
        <v>44256.0</v>
      </c>
      <c r="EL162" s="138">
        <v>44287.0</v>
      </c>
      <c r="EM162" s="138">
        <v>44317.0</v>
      </c>
      <c r="EN162" s="138">
        <v>44348.0</v>
      </c>
      <c r="EO162" s="138">
        <v>44378.0</v>
      </c>
      <c r="EP162" s="138">
        <v>44409.0</v>
      </c>
      <c r="EQ162" s="138">
        <v>44440.0</v>
      </c>
      <c r="ER162" s="138">
        <v>44470.0</v>
      </c>
      <c r="ES162" s="138">
        <v>44501.0</v>
      </c>
      <c r="ET162" s="138">
        <v>44531.0</v>
      </c>
      <c r="EU162" s="138">
        <v>44562.0</v>
      </c>
      <c r="EV162" s="138">
        <v>44593.0</v>
      </c>
      <c r="EW162" s="138">
        <v>44621.0</v>
      </c>
      <c r="EX162" s="138">
        <v>44652.0</v>
      </c>
      <c r="EY162" s="138">
        <v>44682.0</v>
      </c>
      <c r="EZ162" s="138">
        <v>44713.0</v>
      </c>
      <c r="FA162" s="138">
        <v>44743.0</v>
      </c>
      <c r="FB162" s="138">
        <v>44774.0</v>
      </c>
      <c r="FC162" s="138">
        <v>44805.0</v>
      </c>
      <c r="FD162" s="138">
        <v>44835.0</v>
      </c>
      <c r="FE162" s="138">
        <v>44866.0</v>
      </c>
      <c r="FF162" s="138">
        <v>44896.0</v>
      </c>
      <c r="FG162" s="138">
        <v>44927.0</v>
      </c>
      <c r="FH162" s="138">
        <v>44958.0</v>
      </c>
      <c r="FI162" s="138">
        <v>44986.0</v>
      </c>
      <c r="FJ162" s="138">
        <v>45017.0</v>
      </c>
      <c r="FK162" s="138">
        <v>45047.0</v>
      </c>
      <c r="FL162" s="138">
        <v>45078.0</v>
      </c>
      <c r="FM162" s="138">
        <v>45108.0</v>
      </c>
      <c r="FN162" s="138">
        <v>45139.0</v>
      </c>
      <c r="FO162" s="138">
        <v>45170.0</v>
      </c>
      <c r="FP162" s="138">
        <v>45200.0</v>
      </c>
      <c r="FQ162" s="138">
        <v>45231.0</v>
      </c>
      <c r="FR162" s="138">
        <v>45261.0</v>
      </c>
      <c r="FS162" s="138">
        <v>45292.0</v>
      </c>
      <c r="FT162" s="138">
        <v>45323.0</v>
      </c>
      <c r="FU162" s="139">
        <v>45352.0</v>
      </c>
      <c r="FV162" s="139">
        <v>45383.0</v>
      </c>
      <c r="FW162" s="139">
        <v>45413.0</v>
      </c>
      <c r="FX162" s="139">
        <v>45444.0</v>
      </c>
      <c r="FY162" s="139">
        <v>45474.0</v>
      </c>
      <c r="FZ162" s="139">
        <v>45505.0</v>
      </c>
      <c r="GA162" s="139">
        <v>45536.0</v>
      </c>
      <c r="GB162" s="139">
        <v>45566.0</v>
      </c>
      <c r="GC162" s="139">
        <v>45597.0</v>
      </c>
      <c r="GD162" s="139">
        <v>45627.0</v>
      </c>
      <c r="GE162" s="139">
        <v>45658.0</v>
      </c>
      <c r="GF162" s="139">
        <v>45689.0</v>
      </c>
      <c r="GG162" s="139">
        <v>45717.0</v>
      </c>
      <c r="GH162" s="139">
        <v>45748.0</v>
      </c>
      <c r="GI162" s="139">
        <v>45778.0</v>
      </c>
      <c r="GJ162" s="139">
        <v>45809.0</v>
      </c>
      <c r="GK162" s="139">
        <v>45839.0</v>
      </c>
    </row>
    <row r="163">
      <c r="A163" s="132" t="s">
        <v>34185</v>
      </c>
      <c r="B163" s="133" t="s">
        <v>1139</v>
      </c>
      <c r="C163" s="134">
        <v>45364.657800925925</v>
      </c>
      <c r="D163" s="135" t="str">
        <f t="shared" si="1"/>
        <v>2024/03/13</v>
      </c>
      <c r="E163" s="136" t="s">
        <v>34186</v>
      </c>
      <c r="F163" s="137">
        <v>0.01004</v>
      </c>
      <c r="G163" s="138">
        <v>40179.0</v>
      </c>
      <c r="H163" s="138">
        <v>40210.0</v>
      </c>
      <c r="I163" s="138">
        <v>40238.0</v>
      </c>
      <c r="J163" s="138">
        <v>40269.0</v>
      </c>
      <c r="K163" s="138">
        <v>40299.0</v>
      </c>
      <c r="L163" s="138">
        <v>40330.0</v>
      </c>
      <c r="M163" s="138">
        <v>40360.0</v>
      </c>
      <c r="N163" s="138">
        <v>40391.0</v>
      </c>
      <c r="O163" s="138">
        <v>40422.0</v>
      </c>
      <c r="P163" s="138">
        <v>40452.0</v>
      </c>
      <c r="Q163" s="138">
        <v>40483.0</v>
      </c>
      <c r="R163" s="138">
        <v>40513.0</v>
      </c>
      <c r="S163" s="138">
        <v>40544.0</v>
      </c>
      <c r="T163" s="138">
        <v>40575.0</v>
      </c>
      <c r="U163" s="138">
        <v>40603.0</v>
      </c>
      <c r="V163" s="138">
        <v>40634.0</v>
      </c>
      <c r="W163" s="138">
        <v>40664.0</v>
      </c>
      <c r="X163" s="138">
        <v>40695.0</v>
      </c>
      <c r="Y163" s="138">
        <v>40725.0</v>
      </c>
      <c r="Z163" s="138">
        <v>40756.0</v>
      </c>
      <c r="AA163" s="138">
        <v>40787.0</v>
      </c>
      <c r="AB163" s="138">
        <v>40817.0</v>
      </c>
      <c r="AC163" s="138">
        <v>40848.0</v>
      </c>
      <c r="AD163" s="138">
        <v>40878.0</v>
      </c>
      <c r="AE163" s="138">
        <v>40909.0</v>
      </c>
      <c r="AF163" s="138">
        <v>40940.0</v>
      </c>
      <c r="AG163" s="138">
        <v>40969.0</v>
      </c>
      <c r="AH163" s="138">
        <v>41000.0</v>
      </c>
      <c r="AI163" s="138">
        <v>41030.0</v>
      </c>
      <c r="AJ163" s="138">
        <v>41061.0</v>
      </c>
      <c r="AK163" s="138">
        <v>41091.0</v>
      </c>
      <c r="AL163" s="138">
        <v>41122.0</v>
      </c>
      <c r="AM163" s="138">
        <v>41153.0</v>
      </c>
      <c r="AN163" s="138">
        <v>41183.0</v>
      </c>
      <c r="AO163" s="138">
        <v>41214.0</v>
      </c>
      <c r="AP163" s="138">
        <v>41244.0</v>
      </c>
      <c r="AQ163" s="138">
        <v>41275.0</v>
      </c>
      <c r="AR163" s="138">
        <v>41306.0</v>
      </c>
      <c r="AS163" s="138">
        <v>41334.0</v>
      </c>
      <c r="AT163" s="138">
        <v>41365.0</v>
      </c>
      <c r="AU163" s="138">
        <v>41395.0</v>
      </c>
      <c r="AV163" s="138">
        <v>41426.0</v>
      </c>
      <c r="AW163" s="138">
        <v>41456.0</v>
      </c>
      <c r="AX163" s="138">
        <v>41487.0</v>
      </c>
      <c r="AY163" s="138">
        <v>41518.0</v>
      </c>
      <c r="AZ163" s="138">
        <v>41548.0</v>
      </c>
      <c r="BA163" s="138">
        <v>41579.0</v>
      </c>
      <c r="BB163" s="138">
        <v>41609.0</v>
      </c>
      <c r="BC163" s="138">
        <v>41640.0</v>
      </c>
      <c r="BD163" s="138">
        <v>41671.0</v>
      </c>
      <c r="BE163" s="138">
        <v>41699.0</v>
      </c>
      <c r="BF163" s="138">
        <v>41730.0</v>
      </c>
      <c r="BG163" s="138">
        <v>41760.0</v>
      </c>
      <c r="BH163" s="138">
        <v>41791.0</v>
      </c>
      <c r="BI163" s="138">
        <v>41821.0</v>
      </c>
      <c r="BJ163" s="138">
        <v>41852.0</v>
      </c>
      <c r="BK163" s="138">
        <v>41883.0</v>
      </c>
      <c r="BL163" s="138">
        <v>41913.0</v>
      </c>
      <c r="BM163" s="138">
        <v>41944.0</v>
      </c>
      <c r="BN163" s="138">
        <v>41974.0</v>
      </c>
      <c r="BO163" s="138">
        <v>42005.0</v>
      </c>
      <c r="BP163" s="138">
        <v>42036.0</v>
      </c>
      <c r="BQ163" s="138">
        <v>42064.0</v>
      </c>
      <c r="BR163" s="138">
        <v>42095.0</v>
      </c>
      <c r="BS163" s="138">
        <v>42125.0</v>
      </c>
      <c r="BT163" s="138">
        <v>42156.0</v>
      </c>
      <c r="BU163" s="138">
        <v>42186.0</v>
      </c>
      <c r="BV163" s="138">
        <v>42217.0</v>
      </c>
      <c r="BW163" s="138">
        <v>42248.0</v>
      </c>
      <c r="BX163" s="138">
        <v>42278.0</v>
      </c>
      <c r="BY163" s="138">
        <v>42309.0</v>
      </c>
      <c r="BZ163" s="138">
        <v>42339.0</v>
      </c>
      <c r="CA163" s="138">
        <v>42370.0</v>
      </c>
      <c r="CB163" s="138">
        <v>42401.0</v>
      </c>
      <c r="CC163" s="138">
        <v>42430.0</v>
      </c>
      <c r="CD163" s="138">
        <v>42461.0</v>
      </c>
      <c r="CE163" s="138">
        <v>42491.0</v>
      </c>
      <c r="CF163" s="138">
        <v>42522.0</v>
      </c>
      <c r="CG163" s="138">
        <v>42552.0</v>
      </c>
      <c r="CH163" s="138">
        <v>42583.0</v>
      </c>
      <c r="CI163" s="138">
        <v>42614.0</v>
      </c>
      <c r="CJ163" s="138">
        <v>42644.0</v>
      </c>
      <c r="CK163" s="138">
        <v>42675.0</v>
      </c>
      <c r="CL163" s="138">
        <v>42705.0</v>
      </c>
      <c r="CM163" s="138">
        <v>42736.0</v>
      </c>
      <c r="CN163" s="138">
        <v>42767.0</v>
      </c>
      <c r="CO163" s="138">
        <v>42795.0</v>
      </c>
      <c r="CP163" s="138">
        <v>42826.0</v>
      </c>
      <c r="CQ163" s="138">
        <v>42856.0</v>
      </c>
      <c r="CR163" s="138">
        <v>42887.0</v>
      </c>
      <c r="CS163" s="138">
        <v>42917.0</v>
      </c>
      <c r="CT163" s="138">
        <v>42948.0</v>
      </c>
      <c r="CU163" s="138">
        <v>42979.0</v>
      </c>
      <c r="CV163" s="138">
        <v>43009.0</v>
      </c>
      <c r="CW163" s="138">
        <v>43040.0</v>
      </c>
      <c r="CX163" s="138">
        <v>43070.0</v>
      </c>
      <c r="CY163" s="138">
        <v>43101.0</v>
      </c>
      <c r="CZ163" s="138">
        <v>43132.0</v>
      </c>
      <c r="DA163" s="138">
        <v>43160.0</v>
      </c>
      <c r="DB163" s="138">
        <v>43191.0</v>
      </c>
      <c r="DC163" s="138">
        <v>43221.0</v>
      </c>
      <c r="DD163" s="138">
        <v>43252.0</v>
      </c>
      <c r="DE163" s="138">
        <v>43282.0</v>
      </c>
      <c r="DF163" s="138">
        <v>43313.0</v>
      </c>
      <c r="DG163" s="138">
        <v>43344.0</v>
      </c>
      <c r="DH163" s="138">
        <v>43374.0</v>
      </c>
      <c r="DI163" s="138">
        <v>43405.0</v>
      </c>
      <c r="DJ163" s="138">
        <v>43435.0</v>
      </c>
      <c r="DK163" s="138">
        <v>43466.0</v>
      </c>
      <c r="DL163" s="138">
        <v>43497.0</v>
      </c>
      <c r="DM163" s="138">
        <v>43525.0</v>
      </c>
      <c r="DN163" s="138">
        <v>43556.0</v>
      </c>
      <c r="DO163" s="138">
        <v>43586.0</v>
      </c>
      <c r="DP163" s="138">
        <v>43617.0</v>
      </c>
      <c r="DQ163" s="138">
        <v>43647.0</v>
      </c>
      <c r="DR163" s="138">
        <v>43678.0</v>
      </c>
      <c r="DS163" s="138">
        <v>43709.0</v>
      </c>
      <c r="DT163" s="138">
        <v>43739.0</v>
      </c>
      <c r="DU163" s="138">
        <v>43770.0</v>
      </c>
      <c r="DV163" s="138">
        <v>43800.0</v>
      </c>
      <c r="DW163" s="138">
        <v>43831.0</v>
      </c>
      <c r="DX163" s="138">
        <v>43862.0</v>
      </c>
      <c r="DY163" s="138">
        <v>43891.0</v>
      </c>
      <c r="DZ163" s="138">
        <v>43922.0</v>
      </c>
      <c r="EA163" s="138">
        <v>43952.0</v>
      </c>
      <c r="EB163" s="138">
        <v>43983.0</v>
      </c>
      <c r="EC163" s="138">
        <v>44013.0</v>
      </c>
      <c r="ED163" s="138">
        <v>44044.0</v>
      </c>
      <c r="EE163" s="138">
        <v>44075.0</v>
      </c>
      <c r="EF163" s="138">
        <v>44105.0</v>
      </c>
      <c r="EG163" s="138">
        <v>44136.0</v>
      </c>
      <c r="EH163" s="138">
        <v>44166.0</v>
      </c>
      <c r="EI163" s="138">
        <v>44197.0</v>
      </c>
      <c r="EJ163" s="138">
        <v>44228.0</v>
      </c>
      <c r="EK163" s="138">
        <v>44256.0</v>
      </c>
      <c r="EL163" s="138">
        <v>44287.0</v>
      </c>
      <c r="EM163" s="138">
        <v>44317.0</v>
      </c>
      <c r="EN163" s="138">
        <v>44348.0</v>
      </c>
      <c r="EO163" s="138">
        <v>44378.0</v>
      </c>
      <c r="EP163" s="138">
        <v>44409.0</v>
      </c>
      <c r="EQ163" s="138">
        <v>44440.0</v>
      </c>
      <c r="ER163" s="138">
        <v>44470.0</v>
      </c>
      <c r="ES163" s="138">
        <v>44501.0</v>
      </c>
      <c r="ET163" s="138">
        <v>44531.0</v>
      </c>
      <c r="EU163" s="138">
        <v>44562.0</v>
      </c>
      <c r="EV163" s="138">
        <v>44593.0</v>
      </c>
      <c r="EW163" s="138">
        <v>44621.0</v>
      </c>
      <c r="EX163" s="138">
        <v>44652.0</v>
      </c>
      <c r="EY163" s="138">
        <v>44682.0</v>
      </c>
      <c r="EZ163" s="138">
        <v>44713.0</v>
      </c>
      <c r="FA163" s="138">
        <v>44743.0</v>
      </c>
      <c r="FB163" s="138">
        <v>44774.0</v>
      </c>
      <c r="FC163" s="138">
        <v>44805.0</v>
      </c>
      <c r="FD163" s="138">
        <v>44835.0</v>
      </c>
      <c r="FE163" s="138">
        <v>44866.0</v>
      </c>
      <c r="FF163" s="138">
        <v>44896.0</v>
      </c>
      <c r="FG163" s="138">
        <v>44927.0</v>
      </c>
      <c r="FH163" s="138">
        <v>44958.0</v>
      </c>
      <c r="FI163" s="138">
        <v>44986.0</v>
      </c>
      <c r="FJ163" s="138">
        <v>45017.0</v>
      </c>
      <c r="FK163" s="138">
        <v>45047.0</v>
      </c>
      <c r="FL163" s="138">
        <v>45078.0</v>
      </c>
      <c r="FM163" s="138">
        <v>45108.0</v>
      </c>
      <c r="FN163" s="138">
        <v>45139.0</v>
      </c>
      <c r="FO163" s="138">
        <v>45170.0</v>
      </c>
      <c r="FP163" s="138">
        <v>45200.0</v>
      </c>
      <c r="FQ163" s="138">
        <v>45231.0</v>
      </c>
      <c r="FR163" s="138">
        <v>45261.0</v>
      </c>
      <c r="FS163" s="138">
        <v>45292.0</v>
      </c>
      <c r="FT163" s="138">
        <v>45323.0</v>
      </c>
      <c r="FU163" s="138">
        <v>45352.0</v>
      </c>
      <c r="FV163" s="139">
        <v>45383.0</v>
      </c>
      <c r="FW163" s="139">
        <v>45413.0</v>
      </c>
      <c r="FX163" s="139">
        <v>45444.0</v>
      </c>
      <c r="FY163" s="139">
        <v>45474.0</v>
      </c>
      <c r="FZ163" s="139">
        <v>45505.0</v>
      </c>
      <c r="GA163" s="139">
        <v>45536.0</v>
      </c>
      <c r="GB163" s="139">
        <v>45566.0</v>
      </c>
      <c r="GC163" s="139">
        <v>45597.0</v>
      </c>
      <c r="GD163" s="139">
        <v>45627.0</v>
      </c>
      <c r="GE163" s="139">
        <v>45658.0</v>
      </c>
      <c r="GF163" s="139">
        <v>45689.0</v>
      </c>
      <c r="GG163" s="139">
        <v>45717.0</v>
      </c>
      <c r="GH163" s="139">
        <v>45748.0</v>
      </c>
      <c r="GI163" s="139">
        <v>45778.0</v>
      </c>
      <c r="GJ163" s="139">
        <v>45809.0</v>
      </c>
      <c r="GK163" s="139">
        <v>45839.0</v>
      </c>
    </row>
    <row r="164">
      <c r="A164" s="132" t="s">
        <v>1675</v>
      </c>
      <c r="B164" s="133" t="s">
        <v>701</v>
      </c>
      <c r="C164" s="134">
        <v>45448.48501157408</v>
      </c>
      <c r="D164" s="135" t="str">
        <f t="shared" si="1"/>
        <v>2024/06/05</v>
      </c>
      <c r="E164" s="136" t="s">
        <v>33912</v>
      </c>
      <c r="F164" s="137">
        <v>0.0</v>
      </c>
      <c r="G164" s="138">
        <v>40179.0</v>
      </c>
      <c r="H164" s="138">
        <v>40210.0</v>
      </c>
      <c r="I164" s="138">
        <v>40238.0</v>
      </c>
      <c r="J164" s="138">
        <v>40269.0</v>
      </c>
      <c r="K164" s="138">
        <v>40299.0</v>
      </c>
      <c r="L164" s="138">
        <v>40330.0</v>
      </c>
      <c r="M164" s="138">
        <v>40360.0</v>
      </c>
      <c r="N164" s="138">
        <v>40391.0</v>
      </c>
      <c r="O164" s="138">
        <v>40422.0</v>
      </c>
      <c r="P164" s="138">
        <v>40452.0</v>
      </c>
      <c r="Q164" s="138">
        <v>40483.0</v>
      </c>
      <c r="R164" s="138">
        <v>40513.0</v>
      </c>
      <c r="S164" s="138">
        <v>40544.0</v>
      </c>
      <c r="T164" s="138">
        <v>40575.0</v>
      </c>
      <c r="U164" s="138">
        <v>40603.0</v>
      </c>
      <c r="V164" s="138">
        <v>40634.0</v>
      </c>
      <c r="W164" s="138">
        <v>40664.0</v>
      </c>
      <c r="X164" s="138">
        <v>40695.0</v>
      </c>
      <c r="Y164" s="138">
        <v>40725.0</v>
      </c>
      <c r="Z164" s="138">
        <v>40756.0</v>
      </c>
      <c r="AA164" s="138">
        <v>40787.0</v>
      </c>
      <c r="AB164" s="138">
        <v>40817.0</v>
      </c>
      <c r="AC164" s="138">
        <v>40848.0</v>
      </c>
      <c r="AD164" s="138">
        <v>40878.0</v>
      </c>
      <c r="AE164" s="138">
        <v>40909.0</v>
      </c>
      <c r="AF164" s="138">
        <v>40940.0</v>
      </c>
      <c r="AG164" s="138">
        <v>40969.0</v>
      </c>
      <c r="AH164" s="138">
        <v>41000.0</v>
      </c>
      <c r="AI164" s="138">
        <v>41030.0</v>
      </c>
      <c r="AJ164" s="138">
        <v>41061.0</v>
      </c>
      <c r="AK164" s="138">
        <v>41091.0</v>
      </c>
      <c r="AL164" s="138">
        <v>41122.0</v>
      </c>
      <c r="AM164" s="138">
        <v>41153.0</v>
      </c>
      <c r="AN164" s="138">
        <v>41183.0</v>
      </c>
      <c r="AO164" s="138">
        <v>41214.0</v>
      </c>
      <c r="AP164" s="138">
        <v>41244.0</v>
      </c>
      <c r="AQ164" s="138">
        <v>41275.0</v>
      </c>
      <c r="AR164" s="138">
        <v>41306.0</v>
      </c>
      <c r="AS164" s="138">
        <v>41334.0</v>
      </c>
      <c r="AT164" s="138">
        <v>41365.0</v>
      </c>
      <c r="AU164" s="138">
        <v>41395.0</v>
      </c>
      <c r="AV164" s="138">
        <v>41426.0</v>
      </c>
      <c r="AW164" s="138">
        <v>41456.0</v>
      </c>
      <c r="AX164" s="138">
        <v>41487.0</v>
      </c>
      <c r="AY164" s="138">
        <v>41518.0</v>
      </c>
      <c r="AZ164" s="138">
        <v>41548.0</v>
      </c>
      <c r="BA164" s="138">
        <v>41579.0</v>
      </c>
      <c r="BB164" s="138">
        <v>41609.0</v>
      </c>
      <c r="BC164" s="138">
        <v>41640.0</v>
      </c>
      <c r="BD164" s="138">
        <v>41671.0</v>
      </c>
      <c r="BE164" s="138">
        <v>41699.0</v>
      </c>
      <c r="BF164" s="138">
        <v>41730.0</v>
      </c>
      <c r="BG164" s="138">
        <v>41760.0</v>
      </c>
      <c r="BH164" s="138">
        <v>41791.0</v>
      </c>
      <c r="BI164" s="138">
        <v>41821.0</v>
      </c>
      <c r="BJ164" s="138">
        <v>41852.0</v>
      </c>
      <c r="BK164" s="138">
        <v>41883.0</v>
      </c>
      <c r="BL164" s="138">
        <v>41913.0</v>
      </c>
      <c r="BM164" s="138">
        <v>41944.0</v>
      </c>
      <c r="BN164" s="138">
        <v>41974.0</v>
      </c>
      <c r="BO164" s="138">
        <v>42005.0</v>
      </c>
      <c r="BP164" s="138">
        <v>42036.0</v>
      </c>
      <c r="BQ164" s="138">
        <v>42064.0</v>
      </c>
      <c r="BR164" s="138">
        <v>42095.0</v>
      </c>
      <c r="BS164" s="138">
        <v>42125.0</v>
      </c>
      <c r="BT164" s="138">
        <v>42156.0</v>
      </c>
      <c r="BU164" s="138">
        <v>42186.0</v>
      </c>
      <c r="BV164" s="138">
        <v>42217.0</v>
      </c>
      <c r="BW164" s="138">
        <v>42248.0</v>
      </c>
      <c r="BX164" s="138">
        <v>42278.0</v>
      </c>
      <c r="BY164" s="138">
        <v>42309.0</v>
      </c>
      <c r="BZ164" s="138">
        <v>42339.0</v>
      </c>
      <c r="CA164" s="138">
        <v>42370.0</v>
      </c>
      <c r="CB164" s="138">
        <v>42401.0</v>
      </c>
      <c r="CC164" s="138">
        <v>42430.0</v>
      </c>
      <c r="CD164" s="138">
        <v>42461.0</v>
      </c>
      <c r="CE164" s="138">
        <v>42491.0</v>
      </c>
      <c r="CF164" s="138">
        <v>42522.0</v>
      </c>
      <c r="CG164" s="138">
        <v>42552.0</v>
      </c>
      <c r="CH164" s="138">
        <v>42583.0</v>
      </c>
      <c r="CI164" s="138">
        <v>42614.0</v>
      </c>
      <c r="CJ164" s="138">
        <v>42644.0</v>
      </c>
      <c r="CK164" s="138">
        <v>42675.0</v>
      </c>
      <c r="CL164" s="138">
        <v>42705.0</v>
      </c>
      <c r="CM164" s="138">
        <v>42736.0</v>
      </c>
      <c r="CN164" s="138">
        <v>42767.0</v>
      </c>
      <c r="CO164" s="138">
        <v>42795.0</v>
      </c>
      <c r="CP164" s="138">
        <v>42826.0</v>
      </c>
      <c r="CQ164" s="138">
        <v>42856.0</v>
      </c>
      <c r="CR164" s="138">
        <v>42887.0</v>
      </c>
      <c r="CS164" s="138">
        <v>42917.0</v>
      </c>
      <c r="CT164" s="138">
        <v>42948.0</v>
      </c>
      <c r="CU164" s="138">
        <v>42979.0</v>
      </c>
      <c r="CV164" s="138">
        <v>43009.0</v>
      </c>
      <c r="CW164" s="138">
        <v>43040.0</v>
      </c>
      <c r="CX164" s="138">
        <v>43070.0</v>
      </c>
      <c r="CY164" s="138">
        <v>43101.0</v>
      </c>
      <c r="CZ164" s="138">
        <v>43132.0</v>
      </c>
      <c r="DA164" s="138">
        <v>43160.0</v>
      </c>
      <c r="DB164" s="138">
        <v>43191.0</v>
      </c>
      <c r="DC164" s="138">
        <v>43221.0</v>
      </c>
      <c r="DD164" s="138">
        <v>43252.0</v>
      </c>
      <c r="DE164" s="138">
        <v>43282.0</v>
      </c>
      <c r="DF164" s="138">
        <v>43313.0</v>
      </c>
      <c r="DG164" s="138">
        <v>43344.0</v>
      </c>
      <c r="DH164" s="138">
        <v>43374.0</v>
      </c>
      <c r="DI164" s="138">
        <v>43405.0</v>
      </c>
      <c r="DJ164" s="138">
        <v>43435.0</v>
      </c>
      <c r="DK164" s="138">
        <v>43466.0</v>
      </c>
      <c r="DL164" s="138">
        <v>43497.0</v>
      </c>
      <c r="DM164" s="138">
        <v>43525.0</v>
      </c>
      <c r="DN164" s="138">
        <v>43556.0</v>
      </c>
      <c r="DO164" s="138">
        <v>43586.0</v>
      </c>
      <c r="DP164" s="138">
        <v>43617.0</v>
      </c>
      <c r="DQ164" s="138">
        <v>43647.0</v>
      </c>
      <c r="DR164" s="138">
        <v>43678.0</v>
      </c>
      <c r="DS164" s="138">
        <v>43709.0</v>
      </c>
      <c r="DT164" s="138">
        <v>43739.0</v>
      </c>
      <c r="DU164" s="138">
        <v>43770.0</v>
      </c>
      <c r="DV164" s="138">
        <v>43800.0</v>
      </c>
      <c r="DW164" s="138">
        <v>43831.0</v>
      </c>
      <c r="DX164" s="138">
        <v>43862.0</v>
      </c>
      <c r="DY164" s="138">
        <v>43891.0</v>
      </c>
      <c r="DZ164" s="138">
        <v>43922.0</v>
      </c>
      <c r="EA164" s="138">
        <v>43952.0</v>
      </c>
      <c r="EB164" s="138">
        <v>43983.0</v>
      </c>
      <c r="EC164" s="138">
        <v>44013.0</v>
      </c>
      <c r="ED164" s="138">
        <v>44044.0</v>
      </c>
      <c r="EE164" s="138">
        <v>44075.0</v>
      </c>
      <c r="EF164" s="138">
        <v>44105.0</v>
      </c>
      <c r="EG164" s="138">
        <v>44136.0</v>
      </c>
      <c r="EH164" s="138">
        <v>44166.0</v>
      </c>
      <c r="EI164" s="138">
        <v>44197.0</v>
      </c>
      <c r="EJ164" s="138">
        <v>44228.0</v>
      </c>
      <c r="EK164" s="138">
        <v>44256.0</v>
      </c>
      <c r="EL164" s="138">
        <v>44287.0</v>
      </c>
      <c r="EM164" s="138">
        <v>44317.0</v>
      </c>
      <c r="EN164" s="138">
        <v>44348.0</v>
      </c>
      <c r="EO164" s="138">
        <v>44378.0</v>
      </c>
      <c r="EP164" s="138">
        <v>44409.0</v>
      </c>
      <c r="EQ164" s="138">
        <v>44440.0</v>
      </c>
      <c r="ER164" s="138">
        <v>44470.0</v>
      </c>
      <c r="ES164" s="138">
        <v>44501.0</v>
      </c>
      <c r="ET164" s="138">
        <v>44531.0</v>
      </c>
      <c r="EU164" s="138">
        <v>44562.0</v>
      </c>
      <c r="EV164" s="138">
        <v>44593.0</v>
      </c>
      <c r="EW164" s="138">
        <v>44621.0</v>
      </c>
      <c r="EX164" s="138">
        <v>44652.0</v>
      </c>
      <c r="EY164" s="138">
        <v>44682.0</v>
      </c>
      <c r="EZ164" s="138">
        <v>44713.0</v>
      </c>
      <c r="FA164" s="138">
        <v>44743.0</v>
      </c>
      <c r="FB164" s="138">
        <v>44774.0</v>
      </c>
      <c r="FC164" s="138">
        <v>44805.0</v>
      </c>
      <c r="FD164" s="138">
        <v>44835.0</v>
      </c>
      <c r="FE164" s="138">
        <v>44866.0</v>
      </c>
      <c r="FF164" s="138">
        <v>44896.0</v>
      </c>
      <c r="FG164" s="138">
        <v>44927.0</v>
      </c>
      <c r="FH164" s="138">
        <v>44958.0</v>
      </c>
      <c r="FI164" s="138">
        <v>44986.0</v>
      </c>
      <c r="FJ164" s="138">
        <v>45017.0</v>
      </c>
      <c r="FK164" s="138">
        <v>45047.0</v>
      </c>
      <c r="FL164" s="138">
        <v>45078.0</v>
      </c>
      <c r="FM164" s="138">
        <v>45108.0</v>
      </c>
      <c r="FN164" s="138">
        <v>45139.0</v>
      </c>
      <c r="FO164" s="138">
        <v>45170.0</v>
      </c>
      <c r="FP164" s="138">
        <v>45200.0</v>
      </c>
      <c r="FQ164" s="138">
        <v>45231.0</v>
      </c>
      <c r="FR164" s="138">
        <v>45261.0</v>
      </c>
      <c r="FS164" s="138">
        <v>45292.0</v>
      </c>
      <c r="FT164" s="138">
        <v>45323.0</v>
      </c>
      <c r="FU164" s="138">
        <v>45352.0</v>
      </c>
      <c r="FV164" s="138">
        <v>45383.0</v>
      </c>
      <c r="FW164" s="138">
        <v>45413.0</v>
      </c>
      <c r="FX164" s="138">
        <v>45444.0</v>
      </c>
      <c r="FY164" s="139">
        <v>45474.0</v>
      </c>
      <c r="FZ164" s="139">
        <v>45505.0</v>
      </c>
      <c r="GA164" s="139">
        <v>45536.0</v>
      </c>
      <c r="GB164" s="139">
        <v>45566.0</v>
      </c>
      <c r="GC164" s="139">
        <v>45597.0</v>
      </c>
      <c r="GD164" s="139">
        <v>45627.0</v>
      </c>
      <c r="GE164" s="139">
        <v>45658.0</v>
      </c>
      <c r="GF164" s="139">
        <v>45689.0</v>
      </c>
      <c r="GG164" s="139">
        <v>45717.0</v>
      </c>
      <c r="GH164" s="139">
        <v>45748.0</v>
      </c>
      <c r="GI164" s="139">
        <v>45778.0</v>
      </c>
      <c r="GJ164" s="139">
        <v>45809.0</v>
      </c>
      <c r="GK164" s="139">
        <v>45839.0</v>
      </c>
    </row>
    <row r="165">
      <c r="A165" s="132" t="s">
        <v>34187</v>
      </c>
      <c r="B165" s="133" t="s">
        <v>4</v>
      </c>
      <c r="C165" s="134">
        <v>45524.78702546296</v>
      </c>
      <c r="D165" s="135" t="str">
        <f t="shared" si="1"/>
        <v>2024/08/20</v>
      </c>
      <c r="E165" s="136" t="s">
        <v>34188</v>
      </c>
      <c r="F165" s="137">
        <v>1.1E-4</v>
      </c>
      <c r="G165" s="138">
        <v>40179.0</v>
      </c>
      <c r="H165" s="138">
        <v>40210.0</v>
      </c>
      <c r="I165" s="138">
        <v>40238.0</v>
      </c>
      <c r="J165" s="138">
        <v>40269.0</v>
      </c>
      <c r="K165" s="138">
        <v>40299.0</v>
      </c>
      <c r="L165" s="138">
        <v>40330.0</v>
      </c>
      <c r="M165" s="138">
        <v>40360.0</v>
      </c>
      <c r="N165" s="138">
        <v>40391.0</v>
      </c>
      <c r="O165" s="138">
        <v>40422.0</v>
      </c>
      <c r="P165" s="138">
        <v>40452.0</v>
      </c>
      <c r="Q165" s="138">
        <v>40483.0</v>
      </c>
      <c r="R165" s="138">
        <v>40513.0</v>
      </c>
      <c r="S165" s="138">
        <v>40544.0</v>
      </c>
      <c r="T165" s="138">
        <v>40575.0</v>
      </c>
      <c r="U165" s="138">
        <v>40603.0</v>
      </c>
      <c r="V165" s="138">
        <v>40634.0</v>
      </c>
      <c r="W165" s="138">
        <v>40664.0</v>
      </c>
      <c r="X165" s="138">
        <v>40695.0</v>
      </c>
      <c r="Y165" s="138">
        <v>40725.0</v>
      </c>
      <c r="Z165" s="138">
        <v>40756.0</v>
      </c>
      <c r="AA165" s="138">
        <v>40787.0</v>
      </c>
      <c r="AB165" s="138">
        <v>40817.0</v>
      </c>
      <c r="AC165" s="138">
        <v>40848.0</v>
      </c>
      <c r="AD165" s="138">
        <v>40878.0</v>
      </c>
      <c r="AE165" s="138">
        <v>40909.0</v>
      </c>
      <c r="AF165" s="138">
        <v>40940.0</v>
      </c>
      <c r="AG165" s="138">
        <v>40969.0</v>
      </c>
      <c r="AH165" s="138">
        <v>41000.0</v>
      </c>
      <c r="AI165" s="138">
        <v>41030.0</v>
      </c>
      <c r="AJ165" s="138">
        <v>41061.0</v>
      </c>
      <c r="AK165" s="138">
        <v>41091.0</v>
      </c>
      <c r="AL165" s="138">
        <v>41122.0</v>
      </c>
      <c r="AM165" s="138">
        <v>41153.0</v>
      </c>
      <c r="AN165" s="138">
        <v>41183.0</v>
      </c>
      <c r="AO165" s="138">
        <v>41214.0</v>
      </c>
      <c r="AP165" s="138">
        <v>41244.0</v>
      </c>
      <c r="AQ165" s="138">
        <v>41275.0</v>
      </c>
      <c r="AR165" s="138">
        <v>41306.0</v>
      </c>
      <c r="AS165" s="138">
        <v>41334.0</v>
      </c>
      <c r="AT165" s="138">
        <v>41365.0</v>
      </c>
      <c r="AU165" s="138">
        <v>41395.0</v>
      </c>
      <c r="AV165" s="138">
        <v>41426.0</v>
      </c>
      <c r="AW165" s="138">
        <v>41456.0</v>
      </c>
      <c r="AX165" s="138">
        <v>41487.0</v>
      </c>
      <c r="AY165" s="138">
        <v>41518.0</v>
      </c>
      <c r="AZ165" s="138">
        <v>41548.0</v>
      </c>
      <c r="BA165" s="138">
        <v>41579.0</v>
      </c>
      <c r="BB165" s="138">
        <v>41609.0</v>
      </c>
      <c r="BC165" s="138">
        <v>41640.0</v>
      </c>
      <c r="BD165" s="138">
        <v>41671.0</v>
      </c>
      <c r="BE165" s="138">
        <v>41699.0</v>
      </c>
      <c r="BF165" s="138">
        <v>41730.0</v>
      </c>
      <c r="BG165" s="138">
        <v>41760.0</v>
      </c>
      <c r="BH165" s="138">
        <v>41791.0</v>
      </c>
      <c r="BI165" s="138">
        <v>41821.0</v>
      </c>
      <c r="BJ165" s="138">
        <v>41852.0</v>
      </c>
      <c r="BK165" s="138">
        <v>41883.0</v>
      </c>
      <c r="BL165" s="138">
        <v>41913.0</v>
      </c>
      <c r="BM165" s="138">
        <v>41944.0</v>
      </c>
      <c r="BN165" s="138">
        <v>41974.0</v>
      </c>
      <c r="BO165" s="138">
        <v>42005.0</v>
      </c>
      <c r="BP165" s="138">
        <v>42036.0</v>
      </c>
      <c r="BQ165" s="138">
        <v>42064.0</v>
      </c>
      <c r="BR165" s="138">
        <v>42095.0</v>
      </c>
      <c r="BS165" s="138">
        <v>42125.0</v>
      </c>
      <c r="BT165" s="138">
        <v>42156.0</v>
      </c>
      <c r="BU165" s="138">
        <v>42186.0</v>
      </c>
      <c r="BV165" s="138">
        <v>42217.0</v>
      </c>
      <c r="BW165" s="138">
        <v>42248.0</v>
      </c>
      <c r="BX165" s="138">
        <v>42278.0</v>
      </c>
      <c r="BY165" s="138">
        <v>42309.0</v>
      </c>
      <c r="BZ165" s="138">
        <v>42339.0</v>
      </c>
      <c r="CA165" s="138">
        <v>42370.0</v>
      </c>
      <c r="CB165" s="138">
        <v>42401.0</v>
      </c>
      <c r="CC165" s="138">
        <v>42430.0</v>
      </c>
      <c r="CD165" s="138">
        <v>42461.0</v>
      </c>
      <c r="CE165" s="138">
        <v>42491.0</v>
      </c>
      <c r="CF165" s="138">
        <v>42522.0</v>
      </c>
      <c r="CG165" s="138">
        <v>42552.0</v>
      </c>
      <c r="CH165" s="138">
        <v>42583.0</v>
      </c>
      <c r="CI165" s="138">
        <v>42614.0</v>
      </c>
      <c r="CJ165" s="138">
        <v>42644.0</v>
      </c>
      <c r="CK165" s="138">
        <v>42675.0</v>
      </c>
      <c r="CL165" s="138">
        <v>42705.0</v>
      </c>
      <c r="CM165" s="138">
        <v>42736.0</v>
      </c>
      <c r="CN165" s="138">
        <v>42767.0</v>
      </c>
      <c r="CO165" s="138">
        <v>42795.0</v>
      </c>
      <c r="CP165" s="138">
        <v>42826.0</v>
      </c>
      <c r="CQ165" s="138">
        <v>42856.0</v>
      </c>
      <c r="CR165" s="138">
        <v>42887.0</v>
      </c>
      <c r="CS165" s="138">
        <v>42917.0</v>
      </c>
      <c r="CT165" s="138">
        <v>42948.0</v>
      </c>
      <c r="CU165" s="138">
        <v>42979.0</v>
      </c>
      <c r="CV165" s="138">
        <v>43009.0</v>
      </c>
      <c r="CW165" s="138">
        <v>43040.0</v>
      </c>
      <c r="CX165" s="138">
        <v>43070.0</v>
      </c>
      <c r="CY165" s="138">
        <v>43101.0</v>
      </c>
      <c r="CZ165" s="138">
        <v>43132.0</v>
      </c>
      <c r="DA165" s="138">
        <v>43160.0</v>
      </c>
      <c r="DB165" s="138">
        <v>43191.0</v>
      </c>
      <c r="DC165" s="138">
        <v>43221.0</v>
      </c>
      <c r="DD165" s="138">
        <v>43252.0</v>
      </c>
      <c r="DE165" s="138">
        <v>43282.0</v>
      </c>
      <c r="DF165" s="138">
        <v>43313.0</v>
      </c>
      <c r="DG165" s="138">
        <v>43344.0</v>
      </c>
      <c r="DH165" s="138">
        <v>43374.0</v>
      </c>
      <c r="DI165" s="138">
        <v>43405.0</v>
      </c>
      <c r="DJ165" s="138">
        <v>43435.0</v>
      </c>
      <c r="DK165" s="138">
        <v>43466.0</v>
      </c>
      <c r="DL165" s="138">
        <v>43497.0</v>
      </c>
      <c r="DM165" s="138">
        <v>43525.0</v>
      </c>
      <c r="DN165" s="138">
        <v>43556.0</v>
      </c>
      <c r="DO165" s="138">
        <v>43586.0</v>
      </c>
      <c r="DP165" s="138">
        <v>43617.0</v>
      </c>
      <c r="DQ165" s="138">
        <v>43647.0</v>
      </c>
      <c r="DR165" s="138">
        <v>43678.0</v>
      </c>
      <c r="DS165" s="138">
        <v>43709.0</v>
      </c>
      <c r="DT165" s="138">
        <v>43739.0</v>
      </c>
      <c r="DU165" s="138">
        <v>43770.0</v>
      </c>
      <c r="DV165" s="138">
        <v>43800.0</v>
      </c>
      <c r="DW165" s="138">
        <v>43831.0</v>
      </c>
      <c r="DX165" s="138">
        <v>43862.0</v>
      </c>
      <c r="DY165" s="138">
        <v>43891.0</v>
      </c>
      <c r="DZ165" s="138">
        <v>43922.0</v>
      </c>
      <c r="EA165" s="138">
        <v>43952.0</v>
      </c>
      <c r="EB165" s="138">
        <v>43983.0</v>
      </c>
      <c r="EC165" s="138">
        <v>44013.0</v>
      </c>
      <c r="ED165" s="138">
        <v>44044.0</v>
      </c>
      <c r="EE165" s="138">
        <v>44075.0</v>
      </c>
      <c r="EF165" s="138">
        <v>44105.0</v>
      </c>
      <c r="EG165" s="138">
        <v>44136.0</v>
      </c>
      <c r="EH165" s="138">
        <v>44166.0</v>
      </c>
      <c r="EI165" s="138">
        <v>44197.0</v>
      </c>
      <c r="EJ165" s="138">
        <v>44228.0</v>
      </c>
      <c r="EK165" s="138">
        <v>44256.0</v>
      </c>
      <c r="EL165" s="138">
        <v>44287.0</v>
      </c>
      <c r="EM165" s="138">
        <v>44317.0</v>
      </c>
      <c r="EN165" s="138">
        <v>44348.0</v>
      </c>
      <c r="EO165" s="138">
        <v>44378.0</v>
      </c>
      <c r="EP165" s="138">
        <v>44409.0</v>
      </c>
      <c r="EQ165" s="138">
        <v>44440.0</v>
      </c>
      <c r="ER165" s="138">
        <v>44470.0</v>
      </c>
      <c r="ES165" s="138">
        <v>44501.0</v>
      </c>
      <c r="ET165" s="138">
        <v>44531.0</v>
      </c>
      <c r="EU165" s="138">
        <v>44562.0</v>
      </c>
      <c r="EV165" s="138">
        <v>44593.0</v>
      </c>
      <c r="EW165" s="138">
        <v>44621.0</v>
      </c>
      <c r="EX165" s="138">
        <v>44652.0</v>
      </c>
      <c r="EY165" s="138">
        <v>44682.0</v>
      </c>
      <c r="EZ165" s="138">
        <v>44713.0</v>
      </c>
      <c r="FA165" s="138">
        <v>44743.0</v>
      </c>
      <c r="FB165" s="138">
        <v>44774.0</v>
      </c>
      <c r="FC165" s="138">
        <v>44805.0</v>
      </c>
      <c r="FD165" s="138">
        <v>44835.0</v>
      </c>
      <c r="FE165" s="138">
        <v>44866.0</v>
      </c>
      <c r="FF165" s="138">
        <v>44896.0</v>
      </c>
      <c r="FG165" s="138">
        <v>44927.0</v>
      </c>
      <c r="FH165" s="138">
        <v>44958.0</v>
      </c>
      <c r="FI165" s="138">
        <v>44986.0</v>
      </c>
      <c r="FJ165" s="138">
        <v>45017.0</v>
      </c>
      <c r="FK165" s="138">
        <v>45047.0</v>
      </c>
      <c r="FL165" s="138">
        <v>45078.0</v>
      </c>
      <c r="FM165" s="138">
        <v>45108.0</v>
      </c>
      <c r="FN165" s="138">
        <v>45139.0</v>
      </c>
      <c r="FO165" s="138">
        <v>45170.0</v>
      </c>
      <c r="FP165" s="138">
        <v>45200.0</v>
      </c>
      <c r="FQ165" s="138">
        <v>45231.0</v>
      </c>
      <c r="FR165" s="138">
        <v>45261.0</v>
      </c>
      <c r="FS165" s="138">
        <v>45292.0</v>
      </c>
      <c r="FT165" s="138">
        <v>45323.0</v>
      </c>
      <c r="FU165" s="138">
        <v>45352.0</v>
      </c>
      <c r="FV165" s="138">
        <v>45383.0</v>
      </c>
      <c r="FW165" s="138">
        <v>45413.0</v>
      </c>
      <c r="FX165" s="138">
        <v>45444.0</v>
      </c>
      <c r="FY165" s="138">
        <v>45474.0</v>
      </c>
      <c r="FZ165" s="138">
        <v>45505.0</v>
      </c>
      <c r="GA165" s="139">
        <v>45536.0</v>
      </c>
      <c r="GB165" s="139">
        <v>45566.0</v>
      </c>
      <c r="GC165" s="139">
        <v>45597.0</v>
      </c>
      <c r="GD165" s="139">
        <v>45627.0</v>
      </c>
      <c r="GE165" s="139">
        <v>45658.0</v>
      </c>
      <c r="GF165" s="139">
        <v>45689.0</v>
      </c>
      <c r="GG165" s="139">
        <v>45717.0</v>
      </c>
      <c r="GH165" s="139">
        <v>45748.0</v>
      </c>
      <c r="GI165" s="139">
        <v>45778.0</v>
      </c>
      <c r="GJ165" s="139">
        <v>45809.0</v>
      </c>
      <c r="GK165" s="139">
        <v>45839.0</v>
      </c>
    </row>
    <row r="166">
      <c r="A166" s="132" t="s">
        <v>34189</v>
      </c>
      <c r="B166" s="133" t="s">
        <v>1161</v>
      </c>
      <c r="C166" s="134">
        <v>45567.697696759256</v>
      </c>
      <c r="D166" s="135" t="str">
        <f t="shared" si="1"/>
        <v>2024/10/02</v>
      </c>
      <c r="E166" s="136" t="s">
        <v>34004</v>
      </c>
      <c r="F166" s="137">
        <v>2.0E-5</v>
      </c>
      <c r="G166" s="138">
        <v>40179.0</v>
      </c>
      <c r="H166" s="138">
        <v>40210.0</v>
      </c>
      <c r="I166" s="138">
        <v>40238.0</v>
      </c>
      <c r="J166" s="138">
        <v>40269.0</v>
      </c>
      <c r="K166" s="138">
        <v>40299.0</v>
      </c>
      <c r="L166" s="138">
        <v>40330.0</v>
      </c>
      <c r="M166" s="138">
        <v>40360.0</v>
      </c>
      <c r="N166" s="138">
        <v>40391.0</v>
      </c>
      <c r="O166" s="138">
        <v>40422.0</v>
      </c>
      <c r="P166" s="138">
        <v>40452.0</v>
      </c>
      <c r="Q166" s="138">
        <v>40483.0</v>
      </c>
      <c r="R166" s="138">
        <v>40513.0</v>
      </c>
      <c r="S166" s="138">
        <v>40544.0</v>
      </c>
      <c r="T166" s="138">
        <v>40575.0</v>
      </c>
      <c r="U166" s="138">
        <v>40603.0</v>
      </c>
      <c r="V166" s="138">
        <v>40634.0</v>
      </c>
      <c r="W166" s="138">
        <v>40664.0</v>
      </c>
      <c r="X166" s="138">
        <v>40695.0</v>
      </c>
      <c r="Y166" s="138">
        <v>40725.0</v>
      </c>
      <c r="Z166" s="138">
        <v>40756.0</v>
      </c>
      <c r="AA166" s="138">
        <v>40787.0</v>
      </c>
      <c r="AB166" s="138">
        <v>40817.0</v>
      </c>
      <c r="AC166" s="138">
        <v>40848.0</v>
      </c>
      <c r="AD166" s="138">
        <v>40878.0</v>
      </c>
      <c r="AE166" s="138">
        <v>40909.0</v>
      </c>
      <c r="AF166" s="138">
        <v>40940.0</v>
      </c>
      <c r="AG166" s="138">
        <v>40969.0</v>
      </c>
      <c r="AH166" s="138">
        <v>41000.0</v>
      </c>
      <c r="AI166" s="138">
        <v>41030.0</v>
      </c>
      <c r="AJ166" s="138">
        <v>41061.0</v>
      </c>
      <c r="AK166" s="138">
        <v>41091.0</v>
      </c>
      <c r="AL166" s="138">
        <v>41122.0</v>
      </c>
      <c r="AM166" s="138">
        <v>41153.0</v>
      </c>
      <c r="AN166" s="138">
        <v>41183.0</v>
      </c>
      <c r="AO166" s="138">
        <v>41214.0</v>
      </c>
      <c r="AP166" s="138">
        <v>41244.0</v>
      </c>
      <c r="AQ166" s="138">
        <v>41275.0</v>
      </c>
      <c r="AR166" s="138">
        <v>41306.0</v>
      </c>
      <c r="AS166" s="138">
        <v>41334.0</v>
      </c>
      <c r="AT166" s="138">
        <v>41365.0</v>
      </c>
      <c r="AU166" s="138">
        <v>41395.0</v>
      </c>
      <c r="AV166" s="138">
        <v>41426.0</v>
      </c>
      <c r="AW166" s="138">
        <v>41456.0</v>
      </c>
      <c r="AX166" s="138">
        <v>41487.0</v>
      </c>
      <c r="AY166" s="138">
        <v>41518.0</v>
      </c>
      <c r="AZ166" s="138">
        <v>41548.0</v>
      </c>
      <c r="BA166" s="138">
        <v>41579.0</v>
      </c>
      <c r="BB166" s="138">
        <v>41609.0</v>
      </c>
      <c r="BC166" s="138">
        <v>41640.0</v>
      </c>
      <c r="BD166" s="138">
        <v>41671.0</v>
      </c>
      <c r="BE166" s="138">
        <v>41699.0</v>
      </c>
      <c r="BF166" s="138">
        <v>41730.0</v>
      </c>
      <c r="BG166" s="138">
        <v>41760.0</v>
      </c>
      <c r="BH166" s="138">
        <v>41791.0</v>
      </c>
      <c r="BI166" s="138">
        <v>41821.0</v>
      </c>
      <c r="BJ166" s="138">
        <v>41852.0</v>
      </c>
      <c r="BK166" s="138">
        <v>41883.0</v>
      </c>
      <c r="BL166" s="138">
        <v>41913.0</v>
      </c>
      <c r="BM166" s="138">
        <v>41944.0</v>
      </c>
      <c r="BN166" s="138">
        <v>41974.0</v>
      </c>
      <c r="BO166" s="138">
        <v>42005.0</v>
      </c>
      <c r="BP166" s="138">
        <v>42036.0</v>
      </c>
      <c r="BQ166" s="138">
        <v>42064.0</v>
      </c>
      <c r="BR166" s="138">
        <v>42095.0</v>
      </c>
      <c r="BS166" s="138">
        <v>42125.0</v>
      </c>
      <c r="BT166" s="138">
        <v>42156.0</v>
      </c>
      <c r="BU166" s="138">
        <v>42186.0</v>
      </c>
      <c r="BV166" s="138">
        <v>42217.0</v>
      </c>
      <c r="BW166" s="138">
        <v>42248.0</v>
      </c>
      <c r="BX166" s="138">
        <v>42278.0</v>
      </c>
      <c r="BY166" s="138">
        <v>42309.0</v>
      </c>
      <c r="BZ166" s="138">
        <v>42339.0</v>
      </c>
      <c r="CA166" s="138">
        <v>42370.0</v>
      </c>
      <c r="CB166" s="138">
        <v>42401.0</v>
      </c>
      <c r="CC166" s="138">
        <v>42430.0</v>
      </c>
      <c r="CD166" s="138">
        <v>42461.0</v>
      </c>
      <c r="CE166" s="138">
        <v>42491.0</v>
      </c>
      <c r="CF166" s="138">
        <v>42522.0</v>
      </c>
      <c r="CG166" s="138">
        <v>42552.0</v>
      </c>
      <c r="CH166" s="138">
        <v>42583.0</v>
      </c>
      <c r="CI166" s="138">
        <v>42614.0</v>
      </c>
      <c r="CJ166" s="138">
        <v>42644.0</v>
      </c>
      <c r="CK166" s="138">
        <v>42675.0</v>
      </c>
      <c r="CL166" s="138">
        <v>42705.0</v>
      </c>
      <c r="CM166" s="138">
        <v>42736.0</v>
      </c>
      <c r="CN166" s="138">
        <v>42767.0</v>
      </c>
      <c r="CO166" s="138">
        <v>42795.0</v>
      </c>
      <c r="CP166" s="138">
        <v>42826.0</v>
      </c>
      <c r="CQ166" s="138">
        <v>42856.0</v>
      </c>
      <c r="CR166" s="138">
        <v>42887.0</v>
      </c>
      <c r="CS166" s="138">
        <v>42917.0</v>
      </c>
      <c r="CT166" s="138">
        <v>42948.0</v>
      </c>
      <c r="CU166" s="138">
        <v>42979.0</v>
      </c>
      <c r="CV166" s="138">
        <v>43009.0</v>
      </c>
      <c r="CW166" s="138">
        <v>43040.0</v>
      </c>
      <c r="CX166" s="138">
        <v>43070.0</v>
      </c>
      <c r="CY166" s="138">
        <v>43101.0</v>
      </c>
      <c r="CZ166" s="138">
        <v>43132.0</v>
      </c>
      <c r="DA166" s="138">
        <v>43160.0</v>
      </c>
      <c r="DB166" s="138">
        <v>43191.0</v>
      </c>
      <c r="DC166" s="138">
        <v>43221.0</v>
      </c>
      <c r="DD166" s="138">
        <v>43252.0</v>
      </c>
      <c r="DE166" s="138">
        <v>43282.0</v>
      </c>
      <c r="DF166" s="138">
        <v>43313.0</v>
      </c>
      <c r="DG166" s="138">
        <v>43344.0</v>
      </c>
      <c r="DH166" s="138">
        <v>43374.0</v>
      </c>
      <c r="DI166" s="138">
        <v>43405.0</v>
      </c>
      <c r="DJ166" s="138">
        <v>43435.0</v>
      </c>
      <c r="DK166" s="138">
        <v>43466.0</v>
      </c>
      <c r="DL166" s="138">
        <v>43497.0</v>
      </c>
      <c r="DM166" s="138">
        <v>43525.0</v>
      </c>
      <c r="DN166" s="138">
        <v>43556.0</v>
      </c>
      <c r="DO166" s="138">
        <v>43586.0</v>
      </c>
      <c r="DP166" s="138">
        <v>43617.0</v>
      </c>
      <c r="DQ166" s="138">
        <v>43647.0</v>
      </c>
      <c r="DR166" s="138">
        <v>43678.0</v>
      </c>
      <c r="DS166" s="138">
        <v>43709.0</v>
      </c>
      <c r="DT166" s="138">
        <v>43739.0</v>
      </c>
      <c r="DU166" s="138">
        <v>43770.0</v>
      </c>
      <c r="DV166" s="138">
        <v>43800.0</v>
      </c>
      <c r="DW166" s="138">
        <v>43831.0</v>
      </c>
      <c r="DX166" s="138">
        <v>43862.0</v>
      </c>
      <c r="DY166" s="138">
        <v>43891.0</v>
      </c>
      <c r="DZ166" s="138">
        <v>43922.0</v>
      </c>
      <c r="EA166" s="138">
        <v>43952.0</v>
      </c>
      <c r="EB166" s="138">
        <v>43983.0</v>
      </c>
      <c r="EC166" s="138">
        <v>44013.0</v>
      </c>
      <c r="ED166" s="138">
        <v>44044.0</v>
      </c>
      <c r="EE166" s="138">
        <v>44075.0</v>
      </c>
      <c r="EF166" s="138">
        <v>44105.0</v>
      </c>
      <c r="EG166" s="138">
        <v>44136.0</v>
      </c>
      <c r="EH166" s="138">
        <v>44166.0</v>
      </c>
      <c r="EI166" s="138">
        <v>44197.0</v>
      </c>
      <c r="EJ166" s="138">
        <v>44228.0</v>
      </c>
      <c r="EK166" s="138">
        <v>44256.0</v>
      </c>
      <c r="EL166" s="138">
        <v>44287.0</v>
      </c>
      <c r="EM166" s="138">
        <v>44317.0</v>
      </c>
      <c r="EN166" s="138">
        <v>44348.0</v>
      </c>
      <c r="EO166" s="138">
        <v>44378.0</v>
      </c>
      <c r="EP166" s="138">
        <v>44409.0</v>
      </c>
      <c r="EQ166" s="138">
        <v>44440.0</v>
      </c>
      <c r="ER166" s="138">
        <v>44470.0</v>
      </c>
      <c r="ES166" s="138">
        <v>44501.0</v>
      </c>
      <c r="ET166" s="138">
        <v>44531.0</v>
      </c>
      <c r="EU166" s="138">
        <v>44562.0</v>
      </c>
      <c r="EV166" s="138">
        <v>44593.0</v>
      </c>
      <c r="EW166" s="138">
        <v>44621.0</v>
      </c>
      <c r="EX166" s="138">
        <v>44652.0</v>
      </c>
      <c r="EY166" s="138">
        <v>44682.0</v>
      </c>
      <c r="EZ166" s="138">
        <v>44713.0</v>
      </c>
      <c r="FA166" s="138">
        <v>44743.0</v>
      </c>
      <c r="FB166" s="138">
        <v>44774.0</v>
      </c>
      <c r="FC166" s="138">
        <v>44805.0</v>
      </c>
      <c r="FD166" s="138">
        <v>44835.0</v>
      </c>
      <c r="FE166" s="138">
        <v>44866.0</v>
      </c>
      <c r="FF166" s="138">
        <v>44896.0</v>
      </c>
      <c r="FG166" s="138">
        <v>44927.0</v>
      </c>
      <c r="FH166" s="138">
        <v>44958.0</v>
      </c>
      <c r="FI166" s="138">
        <v>44986.0</v>
      </c>
      <c r="FJ166" s="138">
        <v>45017.0</v>
      </c>
      <c r="FK166" s="138">
        <v>45047.0</v>
      </c>
      <c r="FL166" s="138">
        <v>45078.0</v>
      </c>
      <c r="FM166" s="138">
        <v>45108.0</v>
      </c>
      <c r="FN166" s="138">
        <v>45139.0</v>
      </c>
      <c r="FO166" s="138">
        <v>45170.0</v>
      </c>
      <c r="FP166" s="138">
        <v>45200.0</v>
      </c>
      <c r="FQ166" s="138">
        <v>45231.0</v>
      </c>
      <c r="FR166" s="138">
        <v>45261.0</v>
      </c>
      <c r="FS166" s="138">
        <v>45292.0</v>
      </c>
      <c r="FT166" s="138">
        <v>45323.0</v>
      </c>
      <c r="FU166" s="138">
        <v>45352.0</v>
      </c>
      <c r="FV166" s="138">
        <v>45383.0</v>
      </c>
      <c r="FW166" s="138">
        <v>45413.0</v>
      </c>
      <c r="FX166" s="138">
        <v>45444.0</v>
      </c>
      <c r="FY166" s="138">
        <v>45474.0</v>
      </c>
      <c r="FZ166" s="138">
        <v>45505.0</v>
      </c>
      <c r="GA166" s="138">
        <v>45536.0</v>
      </c>
      <c r="GB166" s="138">
        <v>45566.0</v>
      </c>
      <c r="GC166" s="139">
        <v>45597.0</v>
      </c>
      <c r="GD166" s="139">
        <v>45627.0</v>
      </c>
      <c r="GE166" s="139">
        <v>45658.0</v>
      </c>
      <c r="GF166" s="139">
        <v>45689.0</v>
      </c>
      <c r="GG166" s="139">
        <v>45717.0</v>
      </c>
      <c r="GH166" s="139">
        <v>45748.0</v>
      </c>
      <c r="GI166" s="139">
        <v>45778.0</v>
      </c>
      <c r="GJ166" s="139">
        <v>45809.0</v>
      </c>
      <c r="GK166" s="139">
        <v>45839.0</v>
      </c>
    </row>
    <row r="167">
      <c r="A167" s="132" t="s">
        <v>34190</v>
      </c>
      <c r="B167" s="133" t="s">
        <v>148</v>
      </c>
      <c r="C167" s="134">
        <v>45587.63553240741</v>
      </c>
      <c r="D167" s="135" t="str">
        <f t="shared" si="1"/>
        <v>2024/10/22</v>
      </c>
      <c r="E167" s="136" t="s">
        <v>34191</v>
      </c>
      <c r="F167" s="137">
        <v>5.0E-5</v>
      </c>
      <c r="G167" s="138">
        <v>40179.0</v>
      </c>
      <c r="H167" s="138">
        <v>40210.0</v>
      </c>
      <c r="I167" s="138">
        <v>40238.0</v>
      </c>
      <c r="J167" s="138">
        <v>40269.0</v>
      </c>
      <c r="K167" s="138">
        <v>40299.0</v>
      </c>
      <c r="L167" s="138">
        <v>40330.0</v>
      </c>
      <c r="M167" s="138">
        <v>40360.0</v>
      </c>
      <c r="N167" s="138">
        <v>40391.0</v>
      </c>
      <c r="O167" s="138">
        <v>40422.0</v>
      </c>
      <c r="P167" s="138">
        <v>40452.0</v>
      </c>
      <c r="Q167" s="138">
        <v>40483.0</v>
      </c>
      <c r="R167" s="138">
        <v>40513.0</v>
      </c>
      <c r="S167" s="138">
        <v>40544.0</v>
      </c>
      <c r="T167" s="138">
        <v>40575.0</v>
      </c>
      <c r="U167" s="138">
        <v>40603.0</v>
      </c>
      <c r="V167" s="138">
        <v>40634.0</v>
      </c>
      <c r="W167" s="138">
        <v>40664.0</v>
      </c>
      <c r="X167" s="138">
        <v>40695.0</v>
      </c>
      <c r="Y167" s="138">
        <v>40725.0</v>
      </c>
      <c r="Z167" s="138">
        <v>40756.0</v>
      </c>
      <c r="AA167" s="138">
        <v>40787.0</v>
      </c>
      <c r="AB167" s="138">
        <v>40817.0</v>
      </c>
      <c r="AC167" s="138">
        <v>40848.0</v>
      </c>
      <c r="AD167" s="138">
        <v>40878.0</v>
      </c>
      <c r="AE167" s="138">
        <v>40909.0</v>
      </c>
      <c r="AF167" s="138">
        <v>40940.0</v>
      </c>
      <c r="AG167" s="138">
        <v>40969.0</v>
      </c>
      <c r="AH167" s="138">
        <v>41000.0</v>
      </c>
      <c r="AI167" s="138">
        <v>41030.0</v>
      </c>
      <c r="AJ167" s="138">
        <v>41061.0</v>
      </c>
      <c r="AK167" s="138">
        <v>41091.0</v>
      </c>
      <c r="AL167" s="138">
        <v>41122.0</v>
      </c>
      <c r="AM167" s="138">
        <v>41153.0</v>
      </c>
      <c r="AN167" s="138">
        <v>41183.0</v>
      </c>
      <c r="AO167" s="138">
        <v>41214.0</v>
      </c>
      <c r="AP167" s="138">
        <v>41244.0</v>
      </c>
      <c r="AQ167" s="138">
        <v>41275.0</v>
      </c>
      <c r="AR167" s="138">
        <v>41306.0</v>
      </c>
      <c r="AS167" s="138">
        <v>41334.0</v>
      </c>
      <c r="AT167" s="138">
        <v>41365.0</v>
      </c>
      <c r="AU167" s="138">
        <v>41395.0</v>
      </c>
      <c r="AV167" s="138">
        <v>41426.0</v>
      </c>
      <c r="AW167" s="138">
        <v>41456.0</v>
      </c>
      <c r="AX167" s="138">
        <v>41487.0</v>
      </c>
      <c r="AY167" s="138">
        <v>41518.0</v>
      </c>
      <c r="AZ167" s="138">
        <v>41548.0</v>
      </c>
      <c r="BA167" s="138">
        <v>41579.0</v>
      </c>
      <c r="BB167" s="138">
        <v>41609.0</v>
      </c>
      <c r="BC167" s="138">
        <v>41640.0</v>
      </c>
      <c r="BD167" s="138">
        <v>41671.0</v>
      </c>
      <c r="BE167" s="138">
        <v>41699.0</v>
      </c>
      <c r="BF167" s="138">
        <v>41730.0</v>
      </c>
      <c r="BG167" s="138">
        <v>41760.0</v>
      </c>
      <c r="BH167" s="138">
        <v>41791.0</v>
      </c>
      <c r="BI167" s="138">
        <v>41821.0</v>
      </c>
      <c r="BJ167" s="138">
        <v>41852.0</v>
      </c>
      <c r="BK167" s="138">
        <v>41883.0</v>
      </c>
      <c r="BL167" s="138">
        <v>41913.0</v>
      </c>
      <c r="BM167" s="138">
        <v>41944.0</v>
      </c>
      <c r="BN167" s="138">
        <v>41974.0</v>
      </c>
      <c r="BO167" s="138">
        <v>42005.0</v>
      </c>
      <c r="BP167" s="138">
        <v>42036.0</v>
      </c>
      <c r="BQ167" s="138">
        <v>42064.0</v>
      </c>
      <c r="BR167" s="138">
        <v>42095.0</v>
      </c>
      <c r="BS167" s="138">
        <v>42125.0</v>
      </c>
      <c r="BT167" s="138">
        <v>42156.0</v>
      </c>
      <c r="BU167" s="138">
        <v>42186.0</v>
      </c>
      <c r="BV167" s="138">
        <v>42217.0</v>
      </c>
      <c r="BW167" s="138">
        <v>42248.0</v>
      </c>
      <c r="BX167" s="138">
        <v>42278.0</v>
      </c>
      <c r="BY167" s="138">
        <v>42309.0</v>
      </c>
      <c r="BZ167" s="138">
        <v>42339.0</v>
      </c>
      <c r="CA167" s="138">
        <v>42370.0</v>
      </c>
      <c r="CB167" s="138">
        <v>42401.0</v>
      </c>
      <c r="CC167" s="138">
        <v>42430.0</v>
      </c>
      <c r="CD167" s="138">
        <v>42461.0</v>
      </c>
      <c r="CE167" s="138">
        <v>42491.0</v>
      </c>
      <c r="CF167" s="138">
        <v>42522.0</v>
      </c>
      <c r="CG167" s="138">
        <v>42552.0</v>
      </c>
      <c r="CH167" s="138">
        <v>42583.0</v>
      </c>
      <c r="CI167" s="138">
        <v>42614.0</v>
      </c>
      <c r="CJ167" s="138">
        <v>42644.0</v>
      </c>
      <c r="CK167" s="138">
        <v>42675.0</v>
      </c>
      <c r="CL167" s="138">
        <v>42705.0</v>
      </c>
      <c r="CM167" s="138">
        <v>42736.0</v>
      </c>
      <c r="CN167" s="138">
        <v>42767.0</v>
      </c>
      <c r="CO167" s="138">
        <v>42795.0</v>
      </c>
      <c r="CP167" s="138">
        <v>42826.0</v>
      </c>
      <c r="CQ167" s="138">
        <v>42856.0</v>
      </c>
      <c r="CR167" s="138">
        <v>42887.0</v>
      </c>
      <c r="CS167" s="138">
        <v>42917.0</v>
      </c>
      <c r="CT167" s="138">
        <v>42948.0</v>
      </c>
      <c r="CU167" s="138">
        <v>42979.0</v>
      </c>
      <c r="CV167" s="138">
        <v>43009.0</v>
      </c>
      <c r="CW167" s="138">
        <v>43040.0</v>
      </c>
      <c r="CX167" s="138">
        <v>43070.0</v>
      </c>
      <c r="CY167" s="138">
        <v>43101.0</v>
      </c>
      <c r="CZ167" s="138">
        <v>43132.0</v>
      </c>
      <c r="DA167" s="138">
        <v>43160.0</v>
      </c>
      <c r="DB167" s="138">
        <v>43191.0</v>
      </c>
      <c r="DC167" s="138">
        <v>43221.0</v>
      </c>
      <c r="DD167" s="138">
        <v>43252.0</v>
      </c>
      <c r="DE167" s="138">
        <v>43282.0</v>
      </c>
      <c r="DF167" s="138">
        <v>43313.0</v>
      </c>
      <c r="DG167" s="138">
        <v>43344.0</v>
      </c>
      <c r="DH167" s="138">
        <v>43374.0</v>
      </c>
      <c r="DI167" s="138">
        <v>43405.0</v>
      </c>
      <c r="DJ167" s="138">
        <v>43435.0</v>
      </c>
      <c r="DK167" s="138">
        <v>43466.0</v>
      </c>
      <c r="DL167" s="138">
        <v>43497.0</v>
      </c>
      <c r="DM167" s="138">
        <v>43525.0</v>
      </c>
      <c r="DN167" s="138">
        <v>43556.0</v>
      </c>
      <c r="DO167" s="138">
        <v>43586.0</v>
      </c>
      <c r="DP167" s="138">
        <v>43617.0</v>
      </c>
      <c r="DQ167" s="138">
        <v>43647.0</v>
      </c>
      <c r="DR167" s="138">
        <v>43678.0</v>
      </c>
      <c r="DS167" s="138">
        <v>43709.0</v>
      </c>
      <c r="DT167" s="138">
        <v>43739.0</v>
      </c>
      <c r="DU167" s="138">
        <v>43770.0</v>
      </c>
      <c r="DV167" s="138">
        <v>43800.0</v>
      </c>
      <c r="DW167" s="138">
        <v>43831.0</v>
      </c>
      <c r="DX167" s="138">
        <v>43862.0</v>
      </c>
      <c r="DY167" s="138">
        <v>43891.0</v>
      </c>
      <c r="DZ167" s="138">
        <v>43922.0</v>
      </c>
      <c r="EA167" s="138">
        <v>43952.0</v>
      </c>
      <c r="EB167" s="138">
        <v>43983.0</v>
      </c>
      <c r="EC167" s="138">
        <v>44013.0</v>
      </c>
      <c r="ED167" s="138">
        <v>44044.0</v>
      </c>
      <c r="EE167" s="138">
        <v>44075.0</v>
      </c>
      <c r="EF167" s="138">
        <v>44105.0</v>
      </c>
      <c r="EG167" s="138">
        <v>44136.0</v>
      </c>
      <c r="EH167" s="138">
        <v>44166.0</v>
      </c>
      <c r="EI167" s="138">
        <v>44197.0</v>
      </c>
      <c r="EJ167" s="138">
        <v>44228.0</v>
      </c>
      <c r="EK167" s="138">
        <v>44256.0</v>
      </c>
      <c r="EL167" s="138">
        <v>44287.0</v>
      </c>
      <c r="EM167" s="138">
        <v>44317.0</v>
      </c>
      <c r="EN167" s="138">
        <v>44348.0</v>
      </c>
      <c r="EO167" s="138">
        <v>44378.0</v>
      </c>
      <c r="EP167" s="138">
        <v>44409.0</v>
      </c>
      <c r="EQ167" s="138">
        <v>44440.0</v>
      </c>
      <c r="ER167" s="138">
        <v>44470.0</v>
      </c>
      <c r="ES167" s="138">
        <v>44501.0</v>
      </c>
      <c r="ET167" s="138">
        <v>44531.0</v>
      </c>
      <c r="EU167" s="138">
        <v>44562.0</v>
      </c>
      <c r="EV167" s="138">
        <v>44593.0</v>
      </c>
      <c r="EW167" s="138">
        <v>44621.0</v>
      </c>
      <c r="EX167" s="138">
        <v>44652.0</v>
      </c>
      <c r="EY167" s="138">
        <v>44682.0</v>
      </c>
      <c r="EZ167" s="138">
        <v>44713.0</v>
      </c>
      <c r="FA167" s="138">
        <v>44743.0</v>
      </c>
      <c r="FB167" s="138">
        <v>44774.0</v>
      </c>
      <c r="FC167" s="138">
        <v>44805.0</v>
      </c>
      <c r="FD167" s="138">
        <v>44835.0</v>
      </c>
      <c r="FE167" s="138">
        <v>44866.0</v>
      </c>
      <c r="FF167" s="138">
        <v>44896.0</v>
      </c>
      <c r="FG167" s="138">
        <v>44927.0</v>
      </c>
      <c r="FH167" s="138">
        <v>44958.0</v>
      </c>
      <c r="FI167" s="138">
        <v>44986.0</v>
      </c>
      <c r="FJ167" s="138">
        <v>45017.0</v>
      </c>
      <c r="FK167" s="138">
        <v>45047.0</v>
      </c>
      <c r="FL167" s="138">
        <v>45078.0</v>
      </c>
      <c r="FM167" s="138">
        <v>45108.0</v>
      </c>
      <c r="FN167" s="138">
        <v>45139.0</v>
      </c>
      <c r="FO167" s="138">
        <v>45170.0</v>
      </c>
      <c r="FP167" s="138">
        <v>45200.0</v>
      </c>
      <c r="FQ167" s="138">
        <v>45231.0</v>
      </c>
      <c r="FR167" s="138">
        <v>45261.0</v>
      </c>
      <c r="FS167" s="138">
        <v>45292.0</v>
      </c>
      <c r="FT167" s="138">
        <v>45323.0</v>
      </c>
      <c r="FU167" s="138">
        <v>45352.0</v>
      </c>
      <c r="FV167" s="138">
        <v>45383.0</v>
      </c>
      <c r="FW167" s="138">
        <v>45413.0</v>
      </c>
      <c r="FX167" s="138">
        <v>45444.0</v>
      </c>
      <c r="FY167" s="138">
        <v>45474.0</v>
      </c>
      <c r="FZ167" s="138">
        <v>45505.0</v>
      </c>
      <c r="GA167" s="138">
        <v>45536.0</v>
      </c>
      <c r="GB167" s="138">
        <v>45566.0</v>
      </c>
      <c r="GC167" s="139">
        <v>45597.0</v>
      </c>
      <c r="GD167" s="139">
        <v>45627.0</v>
      </c>
      <c r="GE167" s="139">
        <v>45658.0</v>
      </c>
      <c r="GF167" s="139">
        <v>45689.0</v>
      </c>
      <c r="GG167" s="139">
        <v>45717.0</v>
      </c>
      <c r="GH167" s="139">
        <v>45748.0</v>
      </c>
      <c r="GI167" s="139">
        <v>45778.0</v>
      </c>
      <c r="GJ167" s="139">
        <v>45809.0</v>
      </c>
      <c r="GK167" s="139">
        <v>45839.0</v>
      </c>
    </row>
    <row r="168">
      <c r="A168" s="132" t="s">
        <v>34192</v>
      </c>
      <c r="B168" s="133" t="s">
        <v>1104</v>
      </c>
      <c r="C168" s="134">
        <v>45666.64701388889</v>
      </c>
      <c r="D168" s="135" t="str">
        <f t="shared" si="1"/>
        <v>2025/01/09</v>
      </c>
      <c r="E168" s="136" t="s">
        <v>34193</v>
      </c>
      <c r="F168" s="137">
        <v>3.0E-5</v>
      </c>
      <c r="G168" s="138">
        <v>40179.0</v>
      </c>
      <c r="H168" s="138">
        <v>40210.0</v>
      </c>
      <c r="I168" s="138">
        <v>40238.0</v>
      </c>
      <c r="J168" s="138">
        <v>40269.0</v>
      </c>
      <c r="K168" s="138">
        <v>40299.0</v>
      </c>
      <c r="L168" s="138">
        <v>40330.0</v>
      </c>
      <c r="M168" s="138">
        <v>40360.0</v>
      </c>
      <c r="N168" s="138">
        <v>40391.0</v>
      </c>
      <c r="O168" s="138">
        <v>40422.0</v>
      </c>
      <c r="P168" s="138">
        <v>40452.0</v>
      </c>
      <c r="Q168" s="138">
        <v>40483.0</v>
      </c>
      <c r="R168" s="138">
        <v>40513.0</v>
      </c>
      <c r="S168" s="138">
        <v>40544.0</v>
      </c>
      <c r="T168" s="138">
        <v>40575.0</v>
      </c>
      <c r="U168" s="138">
        <v>40603.0</v>
      </c>
      <c r="V168" s="138">
        <v>40634.0</v>
      </c>
      <c r="W168" s="138">
        <v>40664.0</v>
      </c>
      <c r="X168" s="138">
        <v>40695.0</v>
      </c>
      <c r="Y168" s="138">
        <v>40725.0</v>
      </c>
      <c r="Z168" s="138">
        <v>40756.0</v>
      </c>
      <c r="AA168" s="138">
        <v>40787.0</v>
      </c>
      <c r="AB168" s="138">
        <v>40817.0</v>
      </c>
      <c r="AC168" s="138">
        <v>40848.0</v>
      </c>
      <c r="AD168" s="138">
        <v>40878.0</v>
      </c>
      <c r="AE168" s="138">
        <v>40909.0</v>
      </c>
      <c r="AF168" s="138">
        <v>40940.0</v>
      </c>
      <c r="AG168" s="138">
        <v>40969.0</v>
      </c>
      <c r="AH168" s="138">
        <v>41000.0</v>
      </c>
      <c r="AI168" s="138">
        <v>41030.0</v>
      </c>
      <c r="AJ168" s="138">
        <v>41061.0</v>
      </c>
      <c r="AK168" s="138">
        <v>41091.0</v>
      </c>
      <c r="AL168" s="138">
        <v>41122.0</v>
      </c>
      <c r="AM168" s="138">
        <v>41153.0</v>
      </c>
      <c r="AN168" s="138">
        <v>41183.0</v>
      </c>
      <c r="AO168" s="138">
        <v>41214.0</v>
      </c>
      <c r="AP168" s="138">
        <v>41244.0</v>
      </c>
      <c r="AQ168" s="138">
        <v>41275.0</v>
      </c>
      <c r="AR168" s="138">
        <v>41306.0</v>
      </c>
      <c r="AS168" s="138">
        <v>41334.0</v>
      </c>
      <c r="AT168" s="138">
        <v>41365.0</v>
      </c>
      <c r="AU168" s="138">
        <v>41395.0</v>
      </c>
      <c r="AV168" s="138">
        <v>41426.0</v>
      </c>
      <c r="AW168" s="138">
        <v>41456.0</v>
      </c>
      <c r="AX168" s="138">
        <v>41487.0</v>
      </c>
      <c r="AY168" s="138">
        <v>41518.0</v>
      </c>
      <c r="AZ168" s="138">
        <v>41548.0</v>
      </c>
      <c r="BA168" s="138">
        <v>41579.0</v>
      </c>
      <c r="BB168" s="138">
        <v>41609.0</v>
      </c>
      <c r="BC168" s="138">
        <v>41640.0</v>
      </c>
      <c r="BD168" s="138">
        <v>41671.0</v>
      </c>
      <c r="BE168" s="138">
        <v>41699.0</v>
      </c>
      <c r="BF168" s="138">
        <v>41730.0</v>
      </c>
      <c r="BG168" s="138">
        <v>41760.0</v>
      </c>
      <c r="BH168" s="138">
        <v>41791.0</v>
      </c>
      <c r="BI168" s="138">
        <v>41821.0</v>
      </c>
      <c r="BJ168" s="138">
        <v>41852.0</v>
      </c>
      <c r="BK168" s="138">
        <v>41883.0</v>
      </c>
      <c r="BL168" s="138">
        <v>41913.0</v>
      </c>
      <c r="BM168" s="138">
        <v>41944.0</v>
      </c>
      <c r="BN168" s="138">
        <v>41974.0</v>
      </c>
      <c r="BO168" s="138">
        <v>42005.0</v>
      </c>
      <c r="BP168" s="138">
        <v>42036.0</v>
      </c>
      <c r="BQ168" s="138">
        <v>42064.0</v>
      </c>
      <c r="BR168" s="138">
        <v>42095.0</v>
      </c>
      <c r="BS168" s="138">
        <v>42125.0</v>
      </c>
      <c r="BT168" s="138">
        <v>42156.0</v>
      </c>
      <c r="BU168" s="138">
        <v>42186.0</v>
      </c>
      <c r="BV168" s="138">
        <v>42217.0</v>
      </c>
      <c r="BW168" s="138">
        <v>42248.0</v>
      </c>
      <c r="BX168" s="138">
        <v>42278.0</v>
      </c>
      <c r="BY168" s="138">
        <v>42309.0</v>
      </c>
      <c r="BZ168" s="138">
        <v>42339.0</v>
      </c>
      <c r="CA168" s="138">
        <v>42370.0</v>
      </c>
      <c r="CB168" s="138">
        <v>42401.0</v>
      </c>
      <c r="CC168" s="138">
        <v>42430.0</v>
      </c>
      <c r="CD168" s="138">
        <v>42461.0</v>
      </c>
      <c r="CE168" s="138">
        <v>42491.0</v>
      </c>
      <c r="CF168" s="138">
        <v>42522.0</v>
      </c>
      <c r="CG168" s="138">
        <v>42552.0</v>
      </c>
      <c r="CH168" s="138">
        <v>42583.0</v>
      </c>
      <c r="CI168" s="138">
        <v>42614.0</v>
      </c>
      <c r="CJ168" s="138">
        <v>42644.0</v>
      </c>
      <c r="CK168" s="138">
        <v>42675.0</v>
      </c>
      <c r="CL168" s="138">
        <v>42705.0</v>
      </c>
      <c r="CM168" s="138">
        <v>42736.0</v>
      </c>
      <c r="CN168" s="138">
        <v>42767.0</v>
      </c>
      <c r="CO168" s="138">
        <v>42795.0</v>
      </c>
      <c r="CP168" s="138">
        <v>42826.0</v>
      </c>
      <c r="CQ168" s="138">
        <v>42856.0</v>
      </c>
      <c r="CR168" s="138">
        <v>42887.0</v>
      </c>
      <c r="CS168" s="138">
        <v>42917.0</v>
      </c>
      <c r="CT168" s="138">
        <v>42948.0</v>
      </c>
      <c r="CU168" s="138">
        <v>42979.0</v>
      </c>
      <c r="CV168" s="138">
        <v>43009.0</v>
      </c>
      <c r="CW168" s="138">
        <v>43040.0</v>
      </c>
      <c r="CX168" s="138">
        <v>43070.0</v>
      </c>
      <c r="CY168" s="138">
        <v>43101.0</v>
      </c>
      <c r="CZ168" s="138">
        <v>43132.0</v>
      </c>
      <c r="DA168" s="138">
        <v>43160.0</v>
      </c>
      <c r="DB168" s="138">
        <v>43191.0</v>
      </c>
      <c r="DC168" s="138">
        <v>43221.0</v>
      </c>
      <c r="DD168" s="138">
        <v>43252.0</v>
      </c>
      <c r="DE168" s="138">
        <v>43282.0</v>
      </c>
      <c r="DF168" s="138">
        <v>43313.0</v>
      </c>
      <c r="DG168" s="138">
        <v>43344.0</v>
      </c>
      <c r="DH168" s="138">
        <v>43374.0</v>
      </c>
      <c r="DI168" s="138">
        <v>43405.0</v>
      </c>
      <c r="DJ168" s="138">
        <v>43435.0</v>
      </c>
      <c r="DK168" s="138">
        <v>43466.0</v>
      </c>
      <c r="DL168" s="138">
        <v>43497.0</v>
      </c>
      <c r="DM168" s="138">
        <v>43525.0</v>
      </c>
      <c r="DN168" s="138">
        <v>43556.0</v>
      </c>
      <c r="DO168" s="138">
        <v>43586.0</v>
      </c>
      <c r="DP168" s="138">
        <v>43617.0</v>
      </c>
      <c r="DQ168" s="138">
        <v>43647.0</v>
      </c>
      <c r="DR168" s="138">
        <v>43678.0</v>
      </c>
      <c r="DS168" s="138">
        <v>43709.0</v>
      </c>
      <c r="DT168" s="138">
        <v>43739.0</v>
      </c>
      <c r="DU168" s="138">
        <v>43770.0</v>
      </c>
      <c r="DV168" s="138">
        <v>43800.0</v>
      </c>
      <c r="DW168" s="138">
        <v>43831.0</v>
      </c>
      <c r="DX168" s="138">
        <v>43862.0</v>
      </c>
      <c r="DY168" s="138">
        <v>43891.0</v>
      </c>
      <c r="DZ168" s="138">
        <v>43922.0</v>
      </c>
      <c r="EA168" s="138">
        <v>43952.0</v>
      </c>
      <c r="EB168" s="138">
        <v>43983.0</v>
      </c>
      <c r="EC168" s="138">
        <v>44013.0</v>
      </c>
      <c r="ED168" s="138">
        <v>44044.0</v>
      </c>
      <c r="EE168" s="138">
        <v>44075.0</v>
      </c>
      <c r="EF168" s="138">
        <v>44105.0</v>
      </c>
      <c r="EG168" s="138">
        <v>44136.0</v>
      </c>
      <c r="EH168" s="138">
        <v>44166.0</v>
      </c>
      <c r="EI168" s="138">
        <v>44197.0</v>
      </c>
      <c r="EJ168" s="138">
        <v>44228.0</v>
      </c>
      <c r="EK168" s="138">
        <v>44256.0</v>
      </c>
      <c r="EL168" s="138">
        <v>44287.0</v>
      </c>
      <c r="EM168" s="138">
        <v>44317.0</v>
      </c>
      <c r="EN168" s="138">
        <v>44348.0</v>
      </c>
      <c r="EO168" s="138">
        <v>44378.0</v>
      </c>
      <c r="EP168" s="138">
        <v>44409.0</v>
      </c>
      <c r="EQ168" s="138">
        <v>44440.0</v>
      </c>
      <c r="ER168" s="138">
        <v>44470.0</v>
      </c>
      <c r="ES168" s="138">
        <v>44501.0</v>
      </c>
      <c r="ET168" s="138">
        <v>44531.0</v>
      </c>
      <c r="EU168" s="138">
        <v>44562.0</v>
      </c>
      <c r="EV168" s="138">
        <v>44593.0</v>
      </c>
      <c r="EW168" s="138">
        <v>44621.0</v>
      </c>
      <c r="EX168" s="138">
        <v>44652.0</v>
      </c>
      <c r="EY168" s="138">
        <v>44682.0</v>
      </c>
      <c r="EZ168" s="138">
        <v>44713.0</v>
      </c>
      <c r="FA168" s="138">
        <v>44743.0</v>
      </c>
      <c r="FB168" s="138">
        <v>44774.0</v>
      </c>
      <c r="FC168" s="138">
        <v>44805.0</v>
      </c>
      <c r="FD168" s="138">
        <v>44835.0</v>
      </c>
      <c r="FE168" s="138">
        <v>44866.0</v>
      </c>
      <c r="FF168" s="138">
        <v>44896.0</v>
      </c>
      <c r="FG168" s="138">
        <v>44927.0</v>
      </c>
      <c r="FH168" s="138">
        <v>44958.0</v>
      </c>
      <c r="FI168" s="138">
        <v>44986.0</v>
      </c>
      <c r="FJ168" s="138">
        <v>45017.0</v>
      </c>
      <c r="FK168" s="138">
        <v>45047.0</v>
      </c>
      <c r="FL168" s="138">
        <v>45078.0</v>
      </c>
      <c r="FM168" s="138">
        <v>45108.0</v>
      </c>
      <c r="FN168" s="138">
        <v>45139.0</v>
      </c>
      <c r="FO168" s="138">
        <v>45170.0</v>
      </c>
      <c r="FP168" s="138">
        <v>45200.0</v>
      </c>
      <c r="FQ168" s="138">
        <v>45231.0</v>
      </c>
      <c r="FR168" s="138">
        <v>45261.0</v>
      </c>
      <c r="FS168" s="138">
        <v>45292.0</v>
      </c>
      <c r="FT168" s="138">
        <v>45323.0</v>
      </c>
      <c r="FU168" s="138">
        <v>45352.0</v>
      </c>
      <c r="FV168" s="138">
        <v>45383.0</v>
      </c>
      <c r="FW168" s="138">
        <v>45413.0</v>
      </c>
      <c r="FX168" s="138">
        <v>45444.0</v>
      </c>
      <c r="FY168" s="138">
        <v>45474.0</v>
      </c>
      <c r="FZ168" s="138">
        <v>45505.0</v>
      </c>
      <c r="GA168" s="138">
        <v>45536.0</v>
      </c>
      <c r="GB168" s="138">
        <v>45566.0</v>
      </c>
      <c r="GC168" s="138">
        <v>45597.0</v>
      </c>
      <c r="GD168" s="138">
        <v>45627.0</v>
      </c>
      <c r="GE168" s="138">
        <v>45658.0</v>
      </c>
      <c r="GF168" s="139">
        <v>45689.0</v>
      </c>
      <c r="GG168" s="139">
        <v>45717.0</v>
      </c>
      <c r="GH168" s="139">
        <v>45748.0</v>
      </c>
      <c r="GI168" s="139">
        <v>45778.0</v>
      </c>
      <c r="GJ168" s="139">
        <v>45809.0</v>
      </c>
      <c r="GK168" s="139">
        <v>45839.0</v>
      </c>
    </row>
    <row r="169">
      <c r="A169" s="141" t="s">
        <v>34194</v>
      </c>
      <c r="B169" s="142" t="s">
        <v>1162</v>
      </c>
      <c r="C169" s="134">
        <v>45694.84444444445</v>
      </c>
      <c r="D169" s="135" t="str">
        <f t="shared" si="1"/>
        <v>2025/02/06</v>
      </c>
      <c r="E169" s="136" t="s">
        <v>34195</v>
      </c>
      <c r="F169" s="137">
        <v>0.00867</v>
      </c>
      <c r="G169" s="138">
        <v>40179.0</v>
      </c>
      <c r="H169" s="138">
        <v>40210.0</v>
      </c>
      <c r="I169" s="138">
        <v>40238.0</v>
      </c>
      <c r="J169" s="138">
        <v>40269.0</v>
      </c>
      <c r="K169" s="138">
        <v>40299.0</v>
      </c>
      <c r="L169" s="138">
        <v>40330.0</v>
      </c>
      <c r="M169" s="138">
        <v>40360.0</v>
      </c>
      <c r="N169" s="138">
        <v>40391.0</v>
      </c>
      <c r="O169" s="138">
        <v>40422.0</v>
      </c>
      <c r="P169" s="138">
        <v>40452.0</v>
      </c>
      <c r="Q169" s="138">
        <v>40483.0</v>
      </c>
      <c r="R169" s="138">
        <v>40513.0</v>
      </c>
      <c r="S169" s="138">
        <v>40544.0</v>
      </c>
      <c r="T169" s="138">
        <v>40575.0</v>
      </c>
      <c r="U169" s="138">
        <v>40603.0</v>
      </c>
      <c r="V169" s="138">
        <v>40634.0</v>
      </c>
      <c r="W169" s="138">
        <v>40664.0</v>
      </c>
      <c r="X169" s="138">
        <v>40695.0</v>
      </c>
      <c r="Y169" s="138">
        <v>40725.0</v>
      </c>
      <c r="Z169" s="138">
        <v>40756.0</v>
      </c>
      <c r="AA169" s="138">
        <v>40787.0</v>
      </c>
      <c r="AB169" s="138">
        <v>40817.0</v>
      </c>
      <c r="AC169" s="138">
        <v>40848.0</v>
      </c>
      <c r="AD169" s="138">
        <v>40878.0</v>
      </c>
      <c r="AE169" s="138">
        <v>40909.0</v>
      </c>
      <c r="AF169" s="138">
        <v>40940.0</v>
      </c>
      <c r="AG169" s="138">
        <v>40969.0</v>
      </c>
      <c r="AH169" s="138">
        <v>41000.0</v>
      </c>
      <c r="AI169" s="138">
        <v>41030.0</v>
      </c>
      <c r="AJ169" s="138">
        <v>41061.0</v>
      </c>
      <c r="AK169" s="138">
        <v>41091.0</v>
      </c>
      <c r="AL169" s="138">
        <v>41122.0</v>
      </c>
      <c r="AM169" s="138">
        <v>41153.0</v>
      </c>
      <c r="AN169" s="138">
        <v>41183.0</v>
      </c>
      <c r="AO169" s="138">
        <v>41214.0</v>
      </c>
      <c r="AP169" s="138">
        <v>41244.0</v>
      </c>
      <c r="AQ169" s="138">
        <v>41275.0</v>
      </c>
      <c r="AR169" s="138">
        <v>41306.0</v>
      </c>
      <c r="AS169" s="138">
        <v>41334.0</v>
      </c>
      <c r="AT169" s="138">
        <v>41365.0</v>
      </c>
      <c r="AU169" s="138">
        <v>41395.0</v>
      </c>
      <c r="AV169" s="138">
        <v>41426.0</v>
      </c>
      <c r="AW169" s="138">
        <v>41456.0</v>
      </c>
      <c r="AX169" s="138">
        <v>41487.0</v>
      </c>
      <c r="AY169" s="138">
        <v>41518.0</v>
      </c>
      <c r="AZ169" s="138">
        <v>41548.0</v>
      </c>
      <c r="BA169" s="138">
        <v>41579.0</v>
      </c>
      <c r="BB169" s="138">
        <v>41609.0</v>
      </c>
      <c r="BC169" s="138">
        <v>41640.0</v>
      </c>
      <c r="BD169" s="138">
        <v>41671.0</v>
      </c>
      <c r="BE169" s="138">
        <v>41699.0</v>
      </c>
      <c r="BF169" s="138">
        <v>41730.0</v>
      </c>
      <c r="BG169" s="138">
        <v>41760.0</v>
      </c>
      <c r="BH169" s="138">
        <v>41791.0</v>
      </c>
      <c r="BI169" s="138">
        <v>41821.0</v>
      </c>
      <c r="BJ169" s="138">
        <v>41852.0</v>
      </c>
      <c r="BK169" s="138">
        <v>41883.0</v>
      </c>
      <c r="BL169" s="138">
        <v>41913.0</v>
      </c>
      <c r="BM169" s="138">
        <v>41944.0</v>
      </c>
      <c r="BN169" s="138">
        <v>41974.0</v>
      </c>
      <c r="BO169" s="138">
        <v>42005.0</v>
      </c>
      <c r="BP169" s="138">
        <v>42036.0</v>
      </c>
      <c r="BQ169" s="138">
        <v>42064.0</v>
      </c>
      <c r="BR169" s="138">
        <v>42095.0</v>
      </c>
      <c r="BS169" s="138">
        <v>42125.0</v>
      </c>
      <c r="BT169" s="138">
        <v>42156.0</v>
      </c>
      <c r="BU169" s="138">
        <v>42186.0</v>
      </c>
      <c r="BV169" s="138">
        <v>42217.0</v>
      </c>
      <c r="BW169" s="138">
        <v>42248.0</v>
      </c>
      <c r="BX169" s="138">
        <v>42278.0</v>
      </c>
      <c r="BY169" s="138">
        <v>42309.0</v>
      </c>
      <c r="BZ169" s="138">
        <v>42339.0</v>
      </c>
      <c r="CA169" s="138">
        <v>42370.0</v>
      </c>
      <c r="CB169" s="138">
        <v>42401.0</v>
      </c>
      <c r="CC169" s="138">
        <v>42430.0</v>
      </c>
      <c r="CD169" s="138">
        <v>42461.0</v>
      </c>
      <c r="CE169" s="138">
        <v>42491.0</v>
      </c>
      <c r="CF169" s="138">
        <v>42522.0</v>
      </c>
      <c r="CG169" s="138">
        <v>42552.0</v>
      </c>
      <c r="CH169" s="138">
        <v>42583.0</v>
      </c>
      <c r="CI169" s="138">
        <v>42614.0</v>
      </c>
      <c r="CJ169" s="138">
        <v>42644.0</v>
      </c>
      <c r="CK169" s="138">
        <v>42675.0</v>
      </c>
      <c r="CL169" s="138">
        <v>42705.0</v>
      </c>
      <c r="CM169" s="138">
        <v>42736.0</v>
      </c>
      <c r="CN169" s="138">
        <v>42767.0</v>
      </c>
      <c r="CO169" s="138">
        <v>42795.0</v>
      </c>
      <c r="CP169" s="138">
        <v>42826.0</v>
      </c>
      <c r="CQ169" s="138">
        <v>42856.0</v>
      </c>
      <c r="CR169" s="138">
        <v>42887.0</v>
      </c>
      <c r="CS169" s="138">
        <v>42917.0</v>
      </c>
      <c r="CT169" s="138">
        <v>42948.0</v>
      </c>
      <c r="CU169" s="138">
        <v>42979.0</v>
      </c>
      <c r="CV169" s="138">
        <v>43009.0</v>
      </c>
      <c r="CW169" s="138">
        <v>43040.0</v>
      </c>
      <c r="CX169" s="138">
        <v>43070.0</v>
      </c>
      <c r="CY169" s="138">
        <v>43101.0</v>
      </c>
      <c r="CZ169" s="138">
        <v>43132.0</v>
      </c>
      <c r="DA169" s="138">
        <v>43160.0</v>
      </c>
      <c r="DB169" s="138">
        <v>43191.0</v>
      </c>
      <c r="DC169" s="138">
        <v>43221.0</v>
      </c>
      <c r="DD169" s="138">
        <v>43252.0</v>
      </c>
      <c r="DE169" s="138">
        <v>43282.0</v>
      </c>
      <c r="DF169" s="138">
        <v>43313.0</v>
      </c>
      <c r="DG169" s="138">
        <v>43344.0</v>
      </c>
      <c r="DH169" s="138">
        <v>43374.0</v>
      </c>
      <c r="DI169" s="138">
        <v>43405.0</v>
      </c>
      <c r="DJ169" s="138">
        <v>43435.0</v>
      </c>
      <c r="DK169" s="138">
        <v>43466.0</v>
      </c>
      <c r="DL169" s="138">
        <v>43497.0</v>
      </c>
      <c r="DM169" s="138">
        <v>43525.0</v>
      </c>
      <c r="DN169" s="138">
        <v>43556.0</v>
      </c>
      <c r="DO169" s="138">
        <v>43586.0</v>
      </c>
      <c r="DP169" s="138">
        <v>43617.0</v>
      </c>
      <c r="DQ169" s="138">
        <v>43647.0</v>
      </c>
      <c r="DR169" s="138">
        <v>43678.0</v>
      </c>
      <c r="DS169" s="138">
        <v>43709.0</v>
      </c>
      <c r="DT169" s="138">
        <v>43739.0</v>
      </c>
      <c r="DU169" s="138">
        <v>43770.0</v>
      </c>
      <c r="DV169" s="138">
        <v>43800.0</v>
      </c>
      <c r="DW169" s="138">
        <v>43831.0</v>
      </c>
      <c r="DX169" s="138">
        <v>43862.0</v>
      </c>
      <c r="DY169" s="138">
        <v>43891.0</v>
      </c>
      <c r="DZ169" s="138">
        <v>43922.0</v>
      </c>
      <c r="EA169" s="138">
        <v>43952.0</v>
      </c>
      <c r="EB169" s="138">
        <v>43983.0</v>
      </c>
      <c r="EC169" s="138">
        <v>44013.0</v>
      </c>
      <c r="ED169" s="138">
        <v>44044.0</v>
      </c>
      <c r="EE169" s="138">
        <v>44075.0</v>
      </c>
      <c r="EF169" s="138">
        <v>44105.0</v>
      </c>
      <c r="EG169" s="138">
        <v>44136.0</v>
      </c>
      <c r="EH169" s="138">
        <v>44166.0</v>
      </c>
      <c r="EI169" s="138">
        <v>44197.0</v>
      </c>
      <c r="EJ169" s="138">
        <v>44228.0</v>
      </c>
      <c r="EK169" s="138">
        <v>44256.0</v>
      </c>
      <c r="EL169" s="138">
        <v>44287.0</v>
      </c>
      <c r="EM169" s="138">
        <v>44317.0</v>
      </c>
      <c r="EN169" s="138">
        <v>44348.0</v>
      </c>
      <c r="EO169" s="138">
        <v>44378.0</v>
      </c>
      <c r="EP169" s="138">
        <v>44409.0</v>
      </c>
      <c r="EQ169" s="138">
        <v>44440.0</v>
      </c>
      <c r="ER169" s="138">
        <v>44470.0</v>
      </c>
      <c r="ES169" s="138">
        <v>44501.0</v>
      </c>
      <c r="ET169" s="138">
        <v>44531.0</v>
      </c>
      <c r="EU169" s="138">
        <v>44562.0</v>
      </c>
      <c r="EV169" s="138">
        <v>44593.0</v>
      </c>
      <c r="EW169" s="138">
        <v>44621.0</v>
      </c>
      <c r="EX169" s="138">
        <v>44652.0</v>
      </c>
      <c r="EY169" s="138">
        <v>44682.0</v>
      </c>
      <c r="EZ169" s="138">
        <v>44713.0</v>
      </c>
      <c r="FA169" s="138">
        <v>44743.0</v>
      </c>
      <c r="FB169" s="138">
        <v>44774.0</v>
      </c>
      <c r="FC169" s="138">
        <v>44805.0</v>
      </c>
      <c r="FD169" s="138">
        <v>44835.0</v>
      </c>
      <c r="FE169" s="138">
        <v>44866.0</v>
      </c>
      <c r="FF169" s="138">
        <v>44896.0</v>
      </c>
      <c r="FG169" s="138">
        <v>44927.0</v>
      </c>
      <c r="FH169" s="138">
        <v>44958.0</v>
      </c>
      <c r="FI169" s="138">
        <v>44986.0</v>
      </c>
      <c r="FJ169" s="138">
        <v>45017.0</v>
      </c>
      <c r="FK169" s="138">
        <v>45047.0</v>
      </c>
      <c r="FL169" s="138">
        <v>45078.0</v>
      </c>
      <c r="FM169" s="138">
        <v>45108.0</v>
      </c>
      <c r="FN169" s="138">
        <v>45139.0</v>
      </c>
      <c r="FO169" s="138">
        <v>45170.0</v>
      </c>
      <c r="FP169" s="138">
        <v>45200.0</v>
      </c>
      <c r="FQ169" s="138">
        <v>45231.0</v>
      </c>
      <c r="FR169" s="138">
        <v>45261.0</v>
      </c>
      <c r="FS169" s="138">
        <v>45292.0</v>
      </c>
      <c r="FT169" s="138">
        <v>45323.0</v>
      </c>
      <c r="FU169" s="138">
        <v>45352.0</v>
      </c>
      <c r="FV169" s="138">
        <v>45383.0</v>
      </c>
      <c r="FW169" s="138">
        <v>45413.0</v>
      </c>
      <c r="FX169" s="138">
        <v>45444.0</v>
      </c>
      <c r="FY169" s="138">
        <v>45474.0</v>
      </c>
      <c r="FZ169" s="138">
        <v>45505.0</v>
      </c>
      <c r="GA169" s="138">
        <v>45536.0</v>
      </c>
      <c r="GB169" s="138">
        <v>45566.0</v>
      </c>
      <c r="GC169" s="138">
        <v>45597.0</v>
      </c>
      <c r="GD169" s="138">
        <v>45627.0</v>
      </c>
      <c r="GE169" s="138">
        <v>45658.0</v>
      </c>
      <c r="GF169" s="138">
        <v>45689.0</v>
      </c>
      <c r="GG169" s="139">
        <v>45717.0</v>
      </c>
      <c r="GH169" s="139">
        <v>45748.0</v>
      </c>
      <c r="GI169" s="139">
        <v>45778.0</v>
      </c>
      <c r="GJ169" s="139">
        <v>45809.0</v>
      </c>
      <c r="GK169" s="139">
        <v>45839.0</v>
      </c>
    </row>
    <row r="170">
      <c r="A170" s="132" t="s">
        <v>34196</v>
      </c>
      <c r="B170" s="133" t="s">
        <v>1343</v>
      </c>
      <c r="C170" s="134">
        <v>45707.49799768518</v>
      </c>
      <c r="D170" s="135" t="str">
        <f t="shared" si="1"/>
        <v>2025/02/19</v>
      </c>
      <c r="E170" s="136" t="s">
        <v>34197</v>
      </c>
      <c r="F170" s="137">
        <v>8.3E-4</v>
      </c>
      <c r="G170" s="138">
        <v>40179.0</v>
      </c>
      <c r="H170" s="138">
        <v>40210.0</v>
      </c>
      <c r="I170" s="138">
        <v>40238.0</v>
      </c>
      <c r="J170" s="138">
        <v>40269.0</v>
      </c>
      <c r="K170" s="138">
        <v>40299.0</v>
      </c>
      <c r="L170" s="138">
        <v>40330.0</v>
      </c>
      <c r="M170" s="138">
        <v>40360.0</v>
      </c>
      <c r="N170" s="138">
        <v>40391.0</v>
      </c>
      <c r="O170" s="138">
        <v>40422.0</v>
      </c>
      <c r="P170" s="138">
        <v>40452.0</v>
      </c>
      <c r="Q170" s="138">
        <v>40483.0</v>
      </c>
      <c r="R170" s="138">
        <v>40513.0</v>
      </c>
      <c r="S170" s="138">
        <v>40544.0</v>
      </c>
      <c r="T170" s="138">
        <v>40575.0</v>
      </c>
      <c r="U170" s="138">
        <v>40603.0</v>
      </c>
      <c r="V170" s="138">
        <v>40634.0</v>
      </c>
      <c r="W170" s="138">
        <v>40664.0</v>
      </c>
      <c r="X170" s="138">
        <v>40695.0</v>
      </c>
      <c r="Y170" s="138">
        <v>40725.0</v>
      </c>
      <c r="Z170" s="138">
        <v>40756.0</v>
      </c>
      <c r="AA170" s="138">
        <v>40787.0</v>
      </c>
      <c r="AB170" s="138">
        <v>40817.0</v>
      </c>
      <c r="AC170" s="138">
        <v>40848.0</v>
      </c>
      <c r="AD170" s="138">
        <v>40878.0</v>
      </c>
      <c r="AE170" s="138">
        <v>40909.0</v>
      </c>
      <c r="AF170" s="138">
        <v>40940.0</v>
      </c>
      <c r="AG170" s="138">
        <v>40969.0</v>
      </c>
      <c r="AH170" s="138">
        <v>41000.0</v>
      </c>
      <c r="AI170" s="138">
        <v>41030.0</v>
      </c>
      <c r="AJ170" s="138">
        <v>41061.0</v>
      </c>
      <c r="AK170" s="138">
        <v>41091.0</v>
      </c>
      <c r="AL170" s="138">
        <v>41122.0</v>
      </c>
      <c r="AM170" s="138">
        <v>41153.0</v>
      </c>
      <c r="AN170" s="138">
        <v>41183.0</v>
      </c>
      <c r="AO170" s="138">
        <v>41214.0</v>
      </c>
      <c r="AP170" s="138">
        <v>41244.0</v>
      </c>
      <c r="AQ170" s="138">
        <v>41275.0</v>
      </c>
      <c r="AR170" s="138">
        <v>41306.0</v>
      </c>
      <c r="AS170" s="138">
        <v>41334.0</v>
      </c>
      <c r="AT170" s="138">
        <v>41365.0</v>
      </c>
      <c r="AU170" s="138">
        <v>41395.0</v>
      </c>
      <c r="AV170" s="138">
        <v>41426.0</v>
      </c>
      <c r="AW170" s="138">
        <v>41456.0</v>
      </c>
      <c r="AX170" s="138">
        <v>41487.0</v>
      </c>
      <c r="AY170" s="138">
        <v>41518.0</v>
      </c>
      <c r="AZ170" s="138">
        <v>41548.0</v>
      </c>
      <c r="BA170" s="138">
        <v>41579.0</v>
      </c>
      <c r="BB170" s="138">
        <v>41609.0</v>
      </c>
      <c r="BC170" s="138">
        <v>41640.0</v>
      </c>
      <c r="BD170" s="138">
        <v>41671.0</v>
      </c>
      <c r="BE170" s="138">
        <v>41699.0</v>
      </c>
      <c r="BF170" s="138">
        <v>41730.0</v>
      </c>
      <c r="BG170" s="138">
        <v>41760.0</v>
      </c>
      <c r="BH170" s="138">
        <v>41791.0</v>
      </c>
      <c r="BI170" s="138">
        <v>41821.0</v>
      </c>
      <c r="BJ170" s="138">
        <v>41852.0</v>
      </c>
      <c r="BK170" s="138">
        <v>41883.0</v>
      </c>
      <c r="BL170" s="138">
        <v>41913.0</v>
      </c>
      <c r="BM170" s="138">
        <v>41944.0</v>
      </c>
      <c r="BN170" s="138">
        <v>41974.0</v>
      </c>
      <c r="BO170" s="138">
        <v>42005.0</v>
      </c>
      <c r="BP170" s="138">
        <v>42036.0</v>
      </c>
      <c r="BQ170" s="138">
        <v>42064.0</v>
      </c>
      <c r="BR170" s="138">
        <v>42095.0</v>
      </c>
      <c r="BS170" s="138">
        <v>42125.0</v>
      </c>
      <c r="BT170" s="138">
        <v>42156.0</v>
      </c>
      <c r="BU170" s="138">
        <v>42186.0</v>
      </c>
      <c r="BV170" s="138">
        <v>42217.0</v>
      </c>
      <c r="BW170" s="138">
        <v>42248.0</v>
      </c>
      <c r="BX170" s="138">
        <v>42278.0</v>
      </c>
      <c r="BY170" s="138">
        <v>42309.0</v>
      </c>
      <c r="BZ170" s="138">
        <v>42339.0</v>
      </c>
      <c r="CA170" s="138">
        <v>42370.0</v>
      </c>
      <c r="CB170" s="138">
        <v>42401.0</v>
      </c>
      <c r="CC170" s="138">
        <v>42430.0</v>
      </c>
      <c r="CD170" s="138">
        <v>42461.0</v>
      </c>
      <c r="CE170" s="138">
        <v>42491.0</v>
      </c>
      <c r="CF170" s="138">
        <v>42522.0</v>
      </c>
      <c r="CG170" s="138">
        <v>42552.0</v>
      </c>
      <c r="CH170" s="138">
        <v>42583.0</v>
      </c>
      <c r="CI170" s="138">
        <v>42614.0</v>
      </c>
      <c r="CJ170" s="138">
        <v>42644.0</v>
      </c>
      <c r="CK170" s="138">
        <v>42675.0</v>
      </c>
      <c r="CL170" s="138">
        <v>42705.0</v>
      </c>
      <c r="CM170" s="138">
        <v>42736.0</v>
      </c>
      <c r="CN170" s="138">
        <v>42767.0</v>
      </c>
      <c r="CO170" s="138">
        <v>42795.0</v>
      </c>
      <c r="CP170" s="138">
        <v>42826.0</v>
      </c>
      <c r="CQ170" s="138">
        <v>42856.0</v>
      </c>
      <c r="CR170" s="138">
        <v>42887.0</v>
      </c>
      <c r="CS170" s="138">
        <v>42917.0</v>
      </c>
      <c r="CT170" s="138">
        <v>42948.0</v>
      </c>
      <c r="CU170" s="138">
        <v>42979.0</v>
      </c>
      <c r="CV170" s="138">
        <v>43009.0</v>
      </c>
      <c r="CW170" s="138">
        <v>43040.0</v>
      </c>
      <c r="CX170" s="138">
        <v>43070.0</v>
      </c>
      <c r="CY170" s="138">
        <v>43101.0</v>
      </c>
      <c r="CZ170" s="138">
        <v>43132.0</v>
      </c>
      <c r="DA170" s="138">
        <v>43160.0</v>
      </c>
      <c r="DB170" s="138">
        <v>43191.0</v>
      </c>
      <c r="DC170" s="138">
        <v>43221.0</v>
      </c>
      <c r="DD170" s="138">
        <v>43252.0</v>
      </c>
      <c r="DE170" s="138">
        <v>43282.0</v>
      </c>
      <c r="DF170" s="138">
        <v>43313.0</v>
      </c>
      <c r="DG170" s="138">
        <v>43344.0</v>
      </c>
      <c r="DH170" s="138">
        <v>43374.0</v>
      </c>
      <c r="DI170" s="138">
        <v>43405.0</v>
      </c>
      <c r="DJ170" s="138">
        <v>43435.0</v>
      </c>
      <c r="DK170" s="138">
        <v>43466.0</v>
      </c>
      <c r="DL170" s="138">
        <v>43497.0</v>
      </c>
      <c r="DM170" s="138">
        <v>43525.0</v>
      </c>
      <c r="DN170" s="138">
        <v>43556.0</v>
      </c>
      <c r="DO170" s="138">
        <v>43586.0</v>
      </c>
      <c r="DP170" s="138">
        <v>43617.0</v>
      </c>
      <c r="DQ170" s="138">
        <v>43647.0</v>
      </c>
      <c r="DR170" s="138">
        <v>43678.0</v>
      </c>
      <c r="DS170" s="138">
        <v>43709.0</v>
      </c>
      <c r="DT170" s="138">
        <v>43739.0</v>
      </c>
      <c r="DU170" s="138">
        <v>43770.0</v>
      </c>
      <c r="DV170" s="138">
        <v>43800.0</v>
      </c>
      <c r="DW170" s="138">
        <v>43831.0</v>
      </c>
      <c r="DX170" s="138">
        <v>43862.0</v>
      </c>
      <c r="DY170" s="138">
        <v>43891.0</v>
      </c>
      <c r="DZ170" s="138">
        <v>43922.0</v>
      </c>
      <c r="EA170" s="138">
        <v>43952.0</v>
      </c>
      <c r="EB170" s="138">
        <v>43983.0</v>
      </c>
      <c r="EC170" s="138">
        <v>44013.0</v>
      </c>
      <c r="ED170" s="138">
        <v>44044.0</v>
      </c>
      <c r="EE170" s="138">
        <v>44075.0</v>
      </c>
      <c r="EF170" s="138">
        <v>44105.0</v>
      </c>
      <c r="EG170" s="138">
        <v>44136.0</v>
      </c>
      <c r="EH170" s="138">
        <v>44166.0</v>
      </c>
      <c r="EI170" s="138">
        <v>44197.0</v>
      </c>
      <c r="EJ170" s="138">
        <v>44228.0</v>
      </c>
      <c r="EK170" s="138">
        <v>44256.0</v>
      </c>
      <c r="EL170" s="138">
        <v>44287.0</v>
      </c>
      <c r="EM170" s="138">
        <v>44317.0</v>
      </c>
      <c r="EN170" s="138">
        <v>44348.0</v>
      </c>
      <c r="EO170" s="138">
        <v>44378.0</v>
      </c>
      <c r="EP170" s="138">
        <v>44409.0</v>
      </c>
      <c r="EQ170" s="138">
        <v>44440.0</v>
      </c>
      <c r="ER170" s="138">
        <v>44470.0</v>
      </c>
      <c r="ES170" s="138">
        <v>44501.0</v>
      </c>
      <c r="ET170" s="138">
        <v>44531.0</v>
      </c>
      <c r="EU170" s="138">
        <v>44562.0</v>
      </c>
      <c r="EV170" s="138">
        <v>44593.0</v>
      </c>
      <c r="EW170" s="138">
        <v>44621.0</v>
      </c>
      <c r="EX170" s="138">
        <v>44652.0</v>
      </c>
      <c r="EY170" s="138">
        <v>44682.0</v>
      </c>
      <c r="EZ170" s="138">
        <v>44713.0</v>
      </c>
      <c r="FA170" s="138">
        <v>44743.0</v>
      </c>
      <c r="FB170" s="138">
        <v>44774.0</v>
      </c>
      <c r="FC170" s="138">
        <v>44805.0</v>
      </c>
      <c r="FD170" s="138">
        <v>44835.0</v>
      </c>
      <c r="FE170" s="138">
        <v>44866.0</v>
      </c>
      <c r="FF170" s="138">
        <v>44896.0</v>
      </c>
      <c r="FG170" s="138">
        <v>44927.0</v>
      </c>
      <c r="FH170" s="138">
        <v>44958.0</v>
      </c>
      <c r="FI170" s="138">
        <v>44986.0</v>
      </c>
      <c r="FJ170" s="138">
        <v>45017.0</v>
      </c>
      <c r="FK170" s="138">
        <v>45047.0</v>
      </c>
      <c r="FL170" s="138">
        <v>45078.0</v>
      </c>
      <c r="FM170" s="138">
        <v>45108.0</v>
      </c>
      <c r="FN170" s="138">
        <v>45139.0</v>
      </c>
      <c r="FO170" s="138">
        <v>45170.0</v>
      </c>
      <c r="FP170" s="138">
        <v>45200.0</v>
      </c>
      <c r="FQ170" s="138">
        <v>45231.0</v>
      </c>
      <c r="FR170" s="138">
        <v>45261.0</v>
      </c>
      <c r="FS170" s="138">
        <v>45292.0</v>
      </c>
      <c r="FT170" s="138">
        <v>45323.0</v>
      </c>
      <c r="FU170" s="138">
        <v>45352.0</v>
      </c>
      <c r="FV170" s="138">
        <v>45383.0</v>
      </c>
      <c r="FW170" s="138">
        <v>45413.0</v>
      </c>
      <c r="FX170" s="138">
        <v>45444.0</v>
      </c>
      <c r="FY170" s="138">
        <v>45474.0</v>
      </c>
      <c r="FZ170" s="138">
        <v>45505.0</v>
      </c>
      <c r="GA170" s="138">
        <v>45536.0</v>
      </c>
      <c r="GB170" s="138">
        <v>45566.0</v>
      </c>
      <c r="GC170" s="138">
        <v>45597.0</v>
      </c>
      <c r="GD170" s="138">
        <v>45627.0</v>
      </c>
      <c r="GE170" s="138">
        <v>45658.0</v>
      </c>
      <c r="GF170" s="138">
        <v>45689.0</v>
      </c>
      <c r="GG170" s="139">
        <v>45717.0</v>
      </c>
      <c r="GH170" s="139">
        <v>45748.0</v>
      </c>
      <c r="GI170" s="139">
        <v>45778.0</v>
      </c>
      <c r="GJ170" s="139">
        <v>45809.0</v>
      </c>
      <c r="GK170" s="139">
        <v>45839.0</v>
      </c>
    </row>
    <row r="171">
      <c r="A171" s="132" t="s">
        <v>34198</v>
      </c>
      <c r="B171" s="133" t="s">
        <v>4</v>
      </c>
      <c r="C171" s="134">
        <v>45786.78204861111</v>
      </c>
      <c r="D171" s="135" t="str">
        <f t="shared" si="1"/>
        <v>2025/05/09</v>
      </c>
      <c r="E171" s="136" t="s">
        <v>33949</v>
      </c>
      <c r="F171" s="137">
        <v>0.0</v>
      </c>
      <c r="G171" s="138">
        <v>40179.0</v>
      </c>
      <c r="H171" s="138">
        <v>40210.0</v>
      </c>
      <c r="I171" s="138">
        <v>40238.0</v>
      </c>
      <c r="J171" s="138">
        <v>40269.0</v>
      </c>
      <c r="K171" s="138">
        <v>40299.0</v>
      </c>
      <c r="L171" s="138">
        <v>40330.0</v>
      </c>
      <c r="M171" s="138">
        <v>40360.0</v>
      </c>
      <c r="N171" s="138">
        <v>40391.0</v>
      </c>
      <c r="O171" s="138">
        <v>40422.0</v>
      </c>
      <c r="P171" s="138">
        <v>40452.0</v>
      </c>
      <c r="Q171" s="138">
        <v>40483.0</v>
      </c>
      <c r="R171" s="138">
        <v>40513.0</v>
      </c>
      <c r="S171" s="138">
        <v>40544.0</v>
      </c>
      <c r="T171" s="138">
        <v>40575.0</v>
      </c>
      <c r="U171" s="138">
        <v>40603.0</v>
      </c>
      <c r="V171" s="138">
        <v>40634.0</v>
      </c>
      <c r="W171" s="138">
        <v>40664.0</v>
      </c>
      <c r="X171" s="138">
        <v>40695.0</v>
      </c>
      <c r="Y171" s="138">
        <v>40725.0</v>
      </c>
      <c r="Z171" s="138">
        <v>40756.0</v>
      </c>
      <c r="AA171" s="138">
        <v>40787.0</v>
      </c>
      <c r="AB171" s="138">
        <v>40817.0</v>
      </c>
      <c r="AC171" s="138">
        <v>40848.0</v>
      </c>
      <c r="AD171" s="138">
        <v>40878.0</v>
      </c>
      <c r="AE171" s="138">
        <v>40909.0</v>
      </c>
      <c r="AF171" s="138">
        <v>40940.0</v>
      </c>
      <c r="AG171" s="138">
        <v>40969.0</v>
      </c>
      <c r="AH171" s="138">
        <v>41000.0</v>
      </c>
      <c r="AI171" s="138">
        <v>41030.0</v>
      </c>
      <c r="AJ171" s="138">
        <v>41061.0</v>
      </c>
      <c r="AK171" s="138">
        <v>41091.0</v>
      </c>
      <c r="AL171" s="138">
        <v>41122.0</v>
      </c>
      <c r="AM171" s="138">
        <v>41153.0</v>
      </c>
      <c r="AN171" s="138">
        <v>41183.0</v>
      </c>
      <c r="AO171" s="138">
        <v>41214.0</v>
      </c>
      <c r="AP171" s="138">
        <v>41244.0</v>
      </c>
      <c r="AQ171" s="138">
        <v>41275.0</v>
      </c>
      <c r="AR171" s="138">
        <v>41306.0</v>
      </c>
      <c r="AS171" s="138">
        <v>41334.0</v>
      </c>
      <c r="AT171" s="138">
        <v>41365.0</v>
      </c>
      <c r="AU171" s="138">
        <v>41395.0</v>
      </c>
      <c r="AV171" s="138">
        <v>41426.0</v>
      </c>
      <c r="AW171" s="138">
        <v>41456.0</v>
      </c>
      <c r="AX171" s="138">
        <v>41487.0</v>
      </c>
      <c r="AY171" s="138">
        <v>41518.0</v>
      </c>
      <c r="AZ171" s="138">
        <v>41548.0</v>
      </c>
      <c r="BA171" s="138">
        <v>41579.0</v>
      </c>
      <c r="BB171" s="138">
        <v>41609.0</v>
      </c>
      <c r="BC171" s="138">
        <v>41640.0</v>
      </c>
      <c r="BD171" s="138">
        <v>41671.0</v>
      </c>
      <c r="BE171" s="138">
        <v>41699.0</v>
      </c>
      <c r="BF171" s="138">
        <v>41730.0</v>
      </c>
      <c r="BG171" s="138">
        <v>41760.0</v>
      </c>
      <c r="BH171" s="138">
        <v>41791.0</v>
      </c>
      <c r="BI171" s="138">
        <v>41821.0</v>
      </c>
      <c r="BJ171" s="138">
        <v>41852.0</v>
      </c>
      <c r="BK171" s="138">
        <v>41883.0</v>
      </c>
      <c r="BL171" s="138">
        <v>41913.0</v>
      </c>
      <c r="BM171" s="138">
        <v>41944.0</v>
      </c>
      <c r="BN171" s="138">
        <v>41974.0</v>
      </c>
      <c r="BO171" s="138">
        <v>42005.0</v>
      </c>
      <c r="BP171" s="138">
        <v>42036.0</v>
      </c>
      <c r="BQ171" s="138">
        <v>42064.0</v>
      </c>
      <c r="BR171" s="138">
        <v>42095.0</v>
      </c>
      <c r="BS171" s="138">
        <v>42125.0</v>
      </c>
      <c r="BT171" s="138">
        <v>42156.0</v>
      </c>
      <c r="BU171" s="138">
        <v>42186.0</v>
      </c>
      <c r="BV171" s="138">
        <v>42217.0</v>
      </c>
      <c r="BW171" s="138">
        <v>42248.0</v>
      </c>
      <c r="BX171" s="138">
        <v>42278.0</v>
      </c>
      <c r="BY171" s="138">
        <v>42309.0</v>
      </c>
      <c r="BZ171" s="138">
        <v>42339.0</v>
      </c>
      <c r="CA171" s="138">
        <v>42370.0</v>
      </c>
      <c r="CB171" s="138">
        <v>42401.0</v>
      </c>
      <c r="CC171" s="138">
        <v>42430.0</v>
      </c>
      <c r="CD171" s="138">
        <v>42461.0</v>
      </c>
      <c r="CE171" s="138">
        <v>42491.0</v>
      </c>
      <c r="CF171" s="138">
        <v>42522.0</v>
      </c>
      <c r="CG171" s="138">
        <v>42552.0</v>
      </c>
      <c r="CH171" s="138">
        <v>42583.0</v>
      </c>
      <c r="CI171" s="138">
        <v>42614.0</v>
      </c>
      <c r="CJ171" s="138">
        <v>42644.0</v>
      </c>
      <c r="CK171" s="138">
        <v>42675.0</v>
      </c>
      <c r="CL171" s="138">
        <v>42705.0</v>
      </c>
      <c r="CM171" s="138">
        <v>42736.0</v>
      </c>
      <c r="CN171" s="138">
        <v>42767.0</v>
      </c>
      <c r="CO171" s="138">
        <v>42795.0</v>
      </c>
      <c r="CP171" s="138">
        <v>42826.0</v>
      </c>
      <c r="CQ171" s="138">
        <v>42856.0</v>
      </c>
      <c r="CR171" s="138">
        <v>42887.0</v>
      </c>
      <c r="CS171" s="138">
        <v>42917.0</v>
      </c>
      <c r="CT171" s="138">
        <v>42948.0</v>
      </c>
      <c r="CU171" s="138">
        <v>42979.0</v>
      </c>
      <c r="CV171" s="138">
        <v>43009.0</v>
      </c>
      <c r="CW171" s="138">
        <v>43040.0</v>
      </c>
      <c r="CX171" s="138">
        <v>43070.0</v>
      </c>
      <c r="CY171" s="138">
        <v>43101.0</v>
      </c>
      <c r="CZ171" s="138">
        <v>43132.0</v>
      </c>
      <c r="DA171" s="138">
        <v>43160.0</v>
      </c>
      <c r="DB171" s="138">
        <v>43191.0</v>
      </c>
      <c r="DC171" s="138">
        <v>43221.0</v>
      </c>
      <c r="DD171" s="138">
        <v>43252.0</v>
      </c>
      <c r="DE171" s="138">
        <v>43282.0</v>
      </c>
      <c r="DF171" s="138">
        <v>43313.0</v>
      </c>
      <c r="DG171" s="138">
        <v>43344.0</v>
      </c>
      <c r="DH171" s="138">
        <v>43374.0</v>
      </c>
      <c r="DI171" s="138">
        <v>43405.0</v>
      </c>
      <c r="DJ171" s="138">
        <v>43435.0</v>
      </c>
      <c r="DK171" s="138">
        <v>43466.0</v>
      </c>
      <c r="DL171" s="138">
        <v>43497.0</v>
      </c>
      <c r="DM171" s="138">
        <v>43525.0</v>
      </c>
      <c r="DN171" s="138">
        <v>43556.0</v>
      </c>
      <c r="DO171" s="138">
        <v>43586.0</v>
      </c>
      <c r="DP171" s="138">
        <v>43617.0</v>
      </c>
      <c r="DQ171" s="138">
        <v>43647.0</v>
      </c>
      <c r="DR171" s="138">
        <v>43678.0</v>
      </c>
      <c r="DS171" s="138">
        <v>43709.0</v>
      </c>
      <c r="DT171" s="138">
        <v>43739.0</v>
      </c>
      <c r="DU171" s="138">
        <v>43770.0</v>
      </c>
      <c r="DV171" s="138">
        <v>43800.0</v>
      </c>
      <c r="DW171" s="138">
        <v>43831.0</v>
      </c>
      <c r="DX171" s="138">
        <v>43862.0</v>
      </c>
      <c r="DY171" s="138">
        <v>43891.0</v>
      </c>
      <c r="DZ171" s="138">
        <v>43922.0</v>
      </c>
      <c r="EA171" s="138">
        <v>43952.0</v>
      </c>
      <c r="EB171" s="138">
        <v>43983.0</v>
      </c>
      <c r="EC171" s="138">
        <v>44013.0</v>
      </c>
      <c r="ED171" s="138">
        <v>44044.0</v>
      </c>
      <c r="EE171" s="138">
        <v>44075.0</v>
      </c>
      <c r="EF171" s="138">
        <v>44105.0</v>
      </c>
      <c r="EG171" s="138">
        <v>44136.0</v>
      </c>
      <c r="EH171" s="138">
        <v>44166.0</v>
      </c>
      <c r="EI171" s="138">
        <v>44197.0</v>
      </c>
      <c r="EJ171" s="138">
        <v>44228.0</v>
      </c>
      <c r="EK171" s="138">
        <v>44256.0</v>
      </c>
      <c r="EL171" s="138">
        <v>44287.0</v>
      </c>
      <c r="EM171" s="138">
        <v>44317.0</v>
      </c>
      <c r="EN171" s="138">
        <v>44348.0</v>
      </c>
      <c r="EO171" s="138">
        <v>44378.0</v>
      </c>
      <c r="EP171" s="138">
        <v>44409.0</v>
      </c>
      <c r="EQ171" s="138">
        <v>44440.0</v>
      </c>
      <c r="ER171" s="138">
        <v>44470.0</v>
      </c>
      <c r="ES171" s="138">
        <v>44501.0</v>
      </c>
      <c r="ET171" s="138">
        <v>44531.0</v>
      </c>
      <c r="EU171" s="138">
        <v>44562.0</v>
      </c>
      <c r="EV171" s="138">
        <v>44593.0</v>
      </c>
      <c r="EW171" s="138">
        <v>44621.0</v>
      </c>
      <c r="EX171" s="138">
        <v>44652.0</v>
      </c>
      <c r="EY171" s="138">
        <v>44682.0</v>
      </c>
      <c r="EZ171" s="138">
        <v>44713.0</v>
      </c>
      <c r="FA171" s="138">
        <v>44743.0</v>
      </c>
      <c r="FB171" s="138">
        <v>44774.0</v>
      </c>
      <c r="FC171" s="138">
        <v>44805.0</v>
      </c>
      <c r="FD171" s="138">
        <v>44835.0</v>
      </c>
      <c r="FE171" s="138">
        <v>44866.0</v>
      </c>
      <c r="FF171" s="138">
        <v>44896.0</v>
      </c>
      <c r="FG171" s="138">
        <v>44927.0</v>
      </c>
      <c r="FH171" s="138">
        <v>44958.0</v>
      </c>
      <c r="FI171" s="138">
        <v>44986.0</v>
      </c>
      <c r="FJ171" s="138">
        <v>45017.0</v>
      </c>
      <c r="FK171" s="138">
        <v>45047.0</v>
      </c>
      <c r="FL171" s="138">
        <v>45078.0</v>
      </c>
      <c r="FM171" s="138">
        <v>45108.0</v>
      </c>
      <c r="FN171" s="138">
        <v>45139.0</v>
      </c>
      <c r="FO171" s="138">
        <v>45170.0</v>
      </c>
      <c r="FP171" s="138">
        <v>45200.0</v>
      </c>
      <c r="FQ171" s="138">
        <v>45231.0</v>
      </c>
      <c r="FR171" s="138">
        <v>45261.0</v>
      </c>
      <c r="FS171" s="138">
        <v>45292.0</v>
      </c>
      <c r="FT171" s="138">
        <v>45323.0</v>
      </c>
      <c r="FU171" s="138">
        <v>45352.0</v>
      </c>
      <c r="FV171" s="138">
        <v>45383.0</v>
      </c>
      <c r="FW171" s="138">
        <v>45413.0</v>
      </c>
      <c r="FX171" s="138">
        <v>45444.0</v>
      </c>
      <c r="FY171" s="138">
        <v>45474.0</v>
      </c>
      <c r="FZ171" s="138">
        <v>45505.0</v>
      </c>
      <c r="GA171" s="138">
        <v>45536.0</v>
      </c>
      <c r="GB171" s="138">
        <v>45566.0</v>
      </c>
      <c r="GC171" s="138">
        <v>45597.0</v>
      </c>
      <c r="GD171" s="138">
        <v>45627.0</v>
      </c>
      <c r="GE171" s="138">
        <v>45658.0</v>
      </c>
      <c r="GF171" s="138">
        <v>45689.0</v>
      </c>
      <c r="GG171" s="138">
        <v>45717.0</v>
      </c>
      <c r="GH171" s="138">
        <v>45748.0</v>
      </c>
      <c r="GI171" s="138">
        <v>45778.0</v>
      </c>
      <c r="GJ171" s="139">
        <v>45809.0</v>
      </c>
      <c r="GK171" s="139">
        <v>45839.0</v>
      </c>
    </row>
    <row r="172">
      <c r="A172" s="132" t="s">
        <v>1560</v>
      </c>
      <c r="B172" s="133" t="s">
        <v>703</v>
      </c>
      <c r="C172" s="134">
        <v>45804.579988425925</v>
      </c>
      <c r="D172" s="135" t="str">
        <f t="shared" si="1"/>
        <v>2025/05/27</v>
      </c>
      <c r="E172" s="136" t="s">
        <v>34199</v>
      </c>
      <c r="F172" s="137">
        <v>0.00575</v>
      </c>
      <c r="G172" s="138">
        <v>40179.0</v>
      </c>
      <c r="H172" s="138">
        <v>40210.0</v>
      </c>
      <c r="I172" s="138">
        <v>40238.0</v>
      </c>
      <c r="J172" s="138">
        <v>40269.0</v>
      </c>
      <c r="K172" s="138">
        <v>40299.0</v>
      </c>
      <c r="L172" s="138">
        <v>40330.0</v>
      </c>
      <c r="M172" s="138">
        <v>40360.0</v>
      </c>
      <c r="N172" s="138">
        <v>40391.0</v>
      </c>
      <c r="O172" s="138">
        <v>40422.0</v>
      </c>
      <c r="P172" s="138">
        <v>40452.0</v>
      </c>
      <c r="Q172" s="138">
        <v>40483.0</v>
      </c>
      <c r="R172" s="138">
        <v>40513.0</v>
      </c>
      <c r="S172" s="138">
        <v>40544.0</v>
      </c>
      <c r="T172" s="138">
        <v>40575.0</v>
      </c>
      <c r="U172" s="138">
        <v>40603.0</v>
      </c>
      <c r="V172" s="138">
        <v>40634.0</v>
      </c>
      <c r="W172" s="138">
        <v>40664.0</v>
      </c>
      <c r="X172" s="138">
        <v>40695.0</v>
      </c>
      <c r="Y172" s="138">
        <v>40725.0</v>
      </c>
      <c r="Z172" s="138">
        <v>40756.0</v>
      </c>
      <c r="AA172" s="138">
        <v>40787.0</v>
      </c>
      <c r="AB172" s="138">
        <v>40817.0</v>
      </c>
      <c r="AC172" s="138">
        <v>40848.0</v>
      </c>
      <c r="AD172" s="138">
        <v>40878.0</v>
      </c>
      <c r="AE172" s="138">
        <v>40909.0</v>
      </c>
      <c r="AF172" s="138">
        <v>40940.0</v>
      </c>
      <c r="AG172" s="138">
        <v>40969.0</v>
      </c>
      <c r="AH172" s="138">
        <v>41000.0</v>
      </c>
      <c r="AI172" s="138">
        <v>41030.0</v>
      </c>
      <c r="AJ172" s="138">
        <v>41061.0</v>
      </c>
      <c r="AK172" s="138">
        <v>41091.0</v>
      </c>
      <c r="AL172" s="138">
        <v>41122.0</v>
      </c>
      <c r="AM172" s="138">
        <v>41153.0</v>
      </c>
      <c r="AN172" s="138">
        <v>41183.0</v>
      </c>
      <c r="AO172" s="138">
        <v>41214.0</v>
      </c>
      <c r="AP172" s="138">
        <v>41244.0</v>
      </c>
      <c r="AQ172" s="138">
        <v>41275.0</v>
      </c>
      <c r="AR172" s="138">
        <v>41306.0</v>
      </c>
      <c r="AS172" s="138">
        <v>41334.0</v>
      </c>
      <c r="AT172" s="138">
        <v>41365.0</v>
      </c>
      <c r="AU172" s="138">
        <v>41395.0</v>
      </c>
      <c r="AV172" s="138">
        <v>41426.0</v>
      </c>
      <c r="AW172" s="138">
        <v>41456.0</v>
      </c>
      <c r="AX172" s="138">
        <v>41487.0</v>
      </c>
      <c r="AY172" s="138">
        <v>41518.0</v>
      </c>
      <c r="AZ172" s="138">
        <v>41548.0</v>
      </c>
      <c r="BA172" s="138">
        <v>41579.0</v>
      </c>
      <c r="BB172" s="138">
        <v>41609.0</v>
      </c>
      <c r="BC172" s="138">
        <v>41640.0</v>
      </c>
      <c r="BD172" s="138">
        <v>41671.0</v>
      </c>
      <c r="BE172" s="138">
        <v>41699.0</v>
      </c>
      <c r="BF172" s="138">
        <v>41730.0</v>
      </c>
      <c r="BG172" s="138">
        <v>41760.0</v>
      </c>
      <c r="BH172" s="138">
        <v>41791.0</v>
      </c>
      <c r="BI172" s="138">
        <v>41821.0</v>
      </c>
      <c r="BJ172" s="138">
        <v>41852.0</v>
      </c>
      <c r="BK172" s="138">
        <v>41883.0</v>
      </c>
      <c r="BL172" s="138">
        <v>41913.0</v>
      </c>
      <c r="BM172" s="138">
        <v>41944.0</v>
      </c>
      <c r="BN172" s="138">
        <v>41974.0</v>
      </c>
      <c r="BO172" s="138">
        <v>42005.0</v>
      </c>
      <c r="BP172" s="138">
        <v>42036.0</v>
      </c>
      <c r="BQ172" s="138">
        <v>42064.0</v>
      </c>
      <c r="BR172" s="138">
        <v>42095.0</v>
      </c>
      <c r="BS172" s="138">
        <v>42125.0</v>
      </c>
      <c r="BT172" s="138">
        <v>42156.0</v>
      </c>
      <c r="BU172" s="138">
        <v>42186.0</v>
      </c>
      <c r="BV172" s="138">
        <v>42217.0</v>
      </c>
      <c r="BW172" s="138">
        <v>42248.0</v>
      </c>
      <c r="BX172" s="138">
        <v>42278.0</v>
      </c>
      <c r="BY172" s="138">
        <v>42309.0</v>
      </c>
      <c r="BZ172" s="138">
        <v>42339.0</v>
      </c>
      <c r="CA172" s="138">
        <v>42370.0</v>
      </c>
      <c r="CB172" s="138">
        <v>42401.0</v>
      </c>
      <c r="CC172" s="138">
        <v>42430.0</v>
      </c>
      <c r="CD172" s="138">
        <v>42461.0</v>
      </c>
      <c r="CE172" s="138">
        <v>42491.0</v>
      </c>
      <c r="CF172" s="138">
        <v>42522.0</v>
      </c>
      <c r="CG172" s="138">
        <v>42552.0</v>
      </c>
      <c r="CH172" s="138">
        <v>42583.0</v>
      </c>
      <c r="CI172" s="138">
        <v>42614.0</v>
      </c>
      <c r="CJ172" s="138">
        <v>42644.0</v>
      </c>
      <c r="CK172" s="138">
        <v>42675.0</v>
      </c>
      <c r="CL172" s="138">
        <v>42705.0</v>
      </c>
      <c r="CM172" s="138">
        <v>42736.0</v>
      </c>
      <c r="CN172" s="138">
        <v>42767.0</v>
      </c>
      <c r="CO172" s="138">
        <v>42795.0</v>
      </c>
      <c r="CP172" s="138">
        <v>42826.0</v>
      </c>
      <c r="CQ172" s="138">
        <v>42856.0</v>
      </c>
      <c r="CR172" s="138">
        <v>42887.0</v>
      </c>
      <c r="CS172" s="138">
        <v>42917.0</v>
      </c>
      <c r="CT172" s="138">
        <v>42948.0</v>
      </c>
      <c r="CU172" s="138">
        <v>42979.0</v>
      </c>
      <c r="CV172" s="138">
        <v>43009.0</v>
      </c>
      <c r="CW172" s="138">
        <v>43040.0</v>
      </c>
      <c r="CX172" s="138">
        <v>43070.0</v>
      </c>
      <c r="CY172" s="138">
        <v>43101.0</v>
      </c>
      <c r="CZ172" s="138">
        <v>43132.0</v>
      </c>
      <c r="DA172" s="138">
        <v>43160.0</v>
      </c>
      <c r="DB172" s="138">
        <v>43191.0</v>
      </c>
      <c r="DC172" s="138">
        <v>43221.0</v>
      </c>
      <c r="DD172" s="138">
        <v>43252.0</v>
      </c>
      <c r="DE172" s="138">
        <v>43282.0</v>
      </c>
      <c r="DF172" s="138">
        <v>43313.0</v>
      </c>
      <c r="DG172" s="138">
        <v>43344.0</v>
      </c>
      <c r="DH172" s="138">
        <v>43374.0</v>
      </c>
      <c r="DI172" s="138">
        <v>43405.0</v>
      </c>
      <c r="DJ172" s="138">
        <v>43435.0</v>
      </c>
      <c r="DK172" s="138">
        <v>43466.0</v>
      </c>
      <c r="DL172" s="138">
        <v>43497.0</v>
      </c>
      <c r="DM172" s="138">
        <v>43525.0</v>
      </c>
      <c r="DN172" s="138">
        <v>43556.0</v>
      </c>
      <c r="DO172" s="138">
        <v>43586.0</v>
      </c>
      <c r="DP172" s="138">
        <v>43617.0</v>
      </c>
      <c r="DQ172" s="138">
        <v>43647.0</v>
      </c>
      <c r="DR172" s="138">
        <v>43678.0</v>
      </c>
      <c r="DS172" s="138">
        <v>43709.0</v>
      </c>
      <c r="DT172" s="138">
        <v>43739.0</v>
      </c>
      <c r="DU172" s="138">
        <v>43770.0</v>
      </c>
      <c r="DV172" s="138">
        <v>43800.0</v>
      </c>
      <c r="DW172" s="138">
        <v>43831.0</v>
      </c>
      <c r="DX172" s="138">
        <v>43862.0</v>
      </c>
      <c r="DY172" s="138">
        <v>43891.0</v>
      </c>
      <c r="DZ172" s="138">
        <v>43922.0</v>
      </c>
      <c r="EA172" s="138">
        <v>43952.0</v>
      </c>
      <c r="EB172" s="138">
        <v>43983.0</v>
      </c>
      <c r="EC172" s="138">
        <v>44013.0</v>
      </c>
      <c r="ED172" s="138">
        <v>44044.0</v>
      </c>
      <c r="EE172" s="138">
        <v>44075.0</v>
      </c>
      <c r="EF172" s="138">
        <v>44105.0</v>
      </c>
      <c r="EG172" s="138">
        <v>44136.0</v>
      </c>
      <c r="EH172" s="138">
        <v>44166.0</v>
      </c>
      <c r="EI172" s="138">
        <v>44197.0</v>
      </c>
      <c r="EJ172" s="138">
        <v>44228.0</v>
      </c>
      <c r="EK172" s="138">
        <v>44256.0</v>
      </c>
      <c r="EL172" s="138">
        <v>44287.0</v>
      </c>
      <c r="EM172" s="138">
        <v>44317.0</v>
      </c>
      <c r="EN172" s="138">
        <v>44348.0</v>
      </c>
      <c r="EO172" s="138">
        <v>44378.0</v>
      </c>
      <c r="EP172" s="138">
        <v>44409.0</v>
      </c>
      <c r="EQ172" s="138">
        <v>44440.0</v>
      </c>
      <c r="ER172" s="138">
        <v>44470.0</v>
      </c>
      <c r="ES172" s="138">
        <v>44501.0</v>
      </c>
      <c r="ET172" s="138">
        <v>44531.0</v>
      </c>
      <c r="EU172" s="138">
        <v>44562.0</v>
      </c>
      <c r="EV172" s="138">
        <v>44593.0</v>
      </c>
      <c r="EW172" s="138">
        <v>44621.0</v>
      </c>
      <c r="EX172" s="138">
        <v>44652.0</v>
      </c>
      <c r="EY172" s="138">
        <v>44682.0</v>
      </c>
      <c r="EZ172" s="138">
        <v>44713.0</v>
      </c>
      <c r="FA172" s="138">
        <v>44743.0</v>
      </c>
      <c r="FB172" s="138">
        <v>44774.0</v>
      </c>
      <c r="FC172" s="138">
        <v>44805.0</v>
      </c>
      <c r="FD172" s="138">
        <v>44835.0</v>
      </c>
      <c r="FE172" s="138">
        <v>44866.0</v>
      </c>
      <c r="FF172" s="138">
        <v>44896.0</v>
      </c>
      <c r="FG172" s="138">
        <v>44927.0</v>
      </c>
      <c r="FH172" s="138">
        <v>44958.0</v>
      </c>
      <c r="FI172" s="138">
        <v>44986.0</v>
      </c>
      <c r="FJ172" s="138">
        <v>45017.0</v>
      </c>
      <c r="FK172" s="138">
        <v>45047.0</v>
      </c>
      <c r="FL172" s="138">
        <v>45078.0</v>
      </c>
      <c r="FM172" s="138">
        <v>45108.0</v>
      </c>
      <c r="FN172" s="138">
        <v>45139.0</v>
      </c>
      <c r="FO172" s="138">
        <v>45170.0</v>
      </c>
      <c r="FP172" s="138">
        <v>45200.0</v>
      </c>
      <c r="FQ172" s="138">
        <v>45231.0</v>
      </c>
      <c r="FR172" s="138">
        <v>45261.0</v>
      </c>
      <c r="FS172" s="138">
        <v>45292.0</v>
      </c>
      <c r="FT172" s="138">
        <v>45323.0</v>
      </c>
      <c r="FU172" s="138">
        <v>45352.0</v>
      </c>
      <c r="FV172" s="138">
        <v>45383.0</v>
      </c>
      <c r="FW172" s="138">
        <v>45413.0</v>
      </c>
      <c r="FX172" s="138">
        <v>45444.0</v>
      </c>
      <c r="FY172" s="138">
        <v>45474.0</v>
      </c>
      <c r="FZ172" s="138">
        <v>45505.0</v>
      </c>
      <c r="GA172" s="138">
        <v>45536.0</v>
      </c>
      <c r="GB172" s="138">
        <v>45566.0</v>
      </c>
      <c r="GC172" s="138">
        <v>45597.0</v>
      </c>
      <c r="GD172" s="138">
        <v>45627.0</v>
      </c>
      <c r="GE172" s="138">
        <v>45658.0</v>
      </c>
      <c r="GF172" s="138">
        <v>45689.0</v>
      </c>
      <c r="GG172" s="138">
        <v>45717.0</v>
      </c>
      <c r="GH172" s="138">
        <v>45748.0</v>
      </c>
      <c r="GI172" s="138">
        <v>45778.0</v>
      </c>
      <c r="GJ172" s="139">
        <v>45809.0</v>
      </c>
      <c r="GK172" s="139">
        <v>45839.0</v>
      </c>
    </row>
    <row r="173">
      <c r="A173" s="132" t="s">
        <v>34200</v>
      </c>
      <c r="B173" s="133" t="s">
        <v>1341</v>
      </c>
      <c r="C173" s="134">
        <v>45805.69978009259</v>
      </c>
      <c r="D173" s="135" t="str">
        <f t="shared" si="1"/>
        <v>2025/05/28</v>
      </c>
      <c r="E173" s="136" t="s">
        <v>34201</v>
      </c>
      <c r="F173" s="137">
        <v>1.0E-5</v>
      </c>
      <c r="G173" s="138">
        <v>40179.0</v>
      </c>
      <c r="H173" s="138">
        <v>40210.0</v>
      </c>
      <c r="I173" s="138">
        <v>40238.0</v>
      </c>
      <c r="J173" s="138">
        <v>40269.0</v>
      </c>
      <c r="K173" s="138">
        <v>40299.0</v>
      </c>
      <c r="L173" s="138">
        <v>40330.0</v>
      </c>
      <c r="M173" s="138">
        <v>40360.0</v>
      </c>
      <c r="N173" s="138">
        <v>40391.0</v>
      </c>
      <c r="O173" s="138">
        <v>40422.0</v>
      </c>
      <c r="P173" s="138">
        <v>40452.0</v>
      </c>
      <c r="Q173" s="138">
        <v>40483.0</v>
      </c>
      <c r="R173" s="138">
        <v>40513.0</v>
      </c>
      <c r="S173" s="138">
        <v>40544.0</v>
      </c>
      <c r="T173" s="138">
        <v>40575.0</v>
      </c>
      <c r="U173" s="138">
        <v>40603.0</v>
      </c>
      <c r="V173" s="138">
        <v>40634.0</v>
      </c>
      <c r="W173" s="138">
        <v>40664.0</v>
      </c>
      <c r="X173" s="138">
        <v>40695.0</v>
      </c>
      <c r="Y173" s="138">
        <v>40725.0</v>
      </c>
      <c r="Z173" s="138">
        <v>40756.0</v>
      </c>
      <c r="AA173" s="138">
        <v>40787.0</v>
      </c>
      <c r="AB173" s="138">
        <v>40817.0</v>
      </c>
      <c r="AC173" s="138">
        <v>40848.0</v>
      </c>
      <c r="AD173" s="138">
        <v>40878.0</v>
      </c>
      <c r="AE173" s="138">
        <v>40909.0</v>
      </c>
      <c r="AF173" s="138">
        <v>40940.0</v>
      </c>
      <c r="AG173" s="138">
        <v>40969.0</v>
      </c>
      <c r="AH173" s="138">
        <v>41000.0</v>
      </c>
      <c r="AI173" s="138">
        <v>41030.0</v>
      </c>
      <c r="AJ173" s="138">
        <v>41061.0</v>
      </c>
      <c r="AK173" s="138">
        <v>41091.0</v>
      </c>
      <c r="AL173" s="138">
        <v>41122.0</v>
      </c>
      <c r="AM173" s="138">
        <v>41153.0</v>
      </c>
      <c r="AN173" s="138">
        <v>41183.0</v>
      </c>
      <c r="AO173" s="138">
        <v>41214.0</v>
      </c>
      <c r="AP173" s="138">
        <v>41244.0</v>
      </c>
      <c r="AQ173" s="138">
        <v>41275.0</v>
      </c>
      <c r="AR173" s="138">
        <v>41306.0</v>
      </c>
      <c r="AS173" s="138">
        <v>41334.0</v>
      </c>
      <c r="AT173" s="138">
        <v>41365.0</v>
      </c>
      <c r="AU173" s="138">
        <v>41395.0</v>
      </c>
      <c r="AV173" s="138">
        <v>41426.0</v>
      </c>
      <c r="AW173" s="138">
        <v>41456.0</v>
      </c>
      <c r="AX173" s="138">
        <v>41487.0</v>
      </c>
      <c r="AY173" s="138">
        <v>41518.0</v>
      </c>
      <c r="AZ173" s="138">
        <v>41548.0</v>
      </c>
      <c r="BA173" s="138">
        <v>41579.0</v>
      </c>
      <c r="BB173" s="138">
        <v>41609.0</v>
      </c>
      <c r="BC173" s="138">
        <v>41640.0</v>
      </c>
      <c r="BD173" s="138">
        <v>41671.0</v>
      </c>
      <c r="BE173" s="138">
        <v>41699.0</v>
      </c>
      <c r="BF173" s="138">
        <v>41730.0</v>
      </c>
      <c r="BG173" s="138">
        <v>41760.0</v>
      </c>
      <c r="BH173" s="138">
        <v>41791.0</v>
      </c>
      <c r="BI173" s="138">
        <v>41821.0</v>
      </c>
      <c r="BJ173" s="138">
        <v>41852.0</v>
      </c>
      <c r="BK173" s="138">
        <v>41883.0</v>
      </c>
      <c r="BL173" s="138">
        <v>41913.0</v>
      </c>
      <c r="BM173" s="138">
        <v>41944.0</v>
      </c>
      <c r="BN173" s="138">
        <v>41974.0</v>
      </c>
      <c r="BO173" s="138">
        <v>42005.0</v>
      </c>
      <c r="BP173" s="138">
        <v>42036.0</v>
      </c>
      <c r="BQ173" s="138">
        <v>42064.0</v>
      </c>
      <c r="BR173" s="138">
        <v>42095.0</v>
      </c>
      <c r="BS173" s="138">
        <v>42125.0</v>
      </c>
      <c r="BT173" s="138">
        <v>42156.0</v>
      </c>
      <c r="BU173" s="138">
        <v>42186.0</v>
      </c>
      <c r="BV173" s="138">
        <v>42217.0</v>
      </c>
      <c r="BW173" s="138">
        <v>42248.0</v>
      </c>
      <c r="BX173" s="138">
        <v>42278.0</v>
      </c>
      <c r="BY173" s="138">
        <v>42309.0</v>
      </c>
      <c r="BZ173" s="138">
        <v>42339.0</v>
      </c>
      <c r="CA173" s="138">
        <v>42370.0</v>
      </c>
      <c r="CB173" s="138">
        <v>42401.0</v>
      </c>
      <c r="CC173" s="138">
        <v>42430.0</v>
      </c>
      <c r="CD173" s="138">
        <v>42461.0</v>
      </c>
      <c r="CE173" s="138">
        <v>42491.0</v>
      </c>
      <c r="CF173" s="138">
        <v>42522.0</v>
      </c>
      <c r="CG173" s="138">
        <v>42552.0</v>
      </c>
      <c r="CH173" s="138">
        <v>42583.0</v>
      </c>
      <c r="CI173" s="138">
        <v>42614.0</v>
      </c>
      <c r="CJ173" s="138">
        <v>42644.0</v>
      </c>
      <c r="CK173" s="138">
        <v>42675.0</v>
      </c>
      <c r="CL173" s="138">
        <v>42705.0</v>
      </c>
      <c r="CM173" s="138">
        <v>42736.0</v>
      </c>
      <c r="CN173" s="138">
        <v>42767.0</v>
      </c>
      <c r="CO173" s="138">
        <v>42795.0</v>
      </c>
      <c r="CP173" s="138">
        <v>42826.0</v>
      </c>
      <c r="CQ173" s="138">
        <v>42856.0</v>
      </c>
      <c r="CR173" s="138">
        <v>42887.0</v>
      </c>
      <c r="CS173" s="138">
        <v>42917.0</v>
      </c>
      <c r="CT173" s="138">
        <v>42948.0</v>
      </c>
      <c r="CU173" s="138">
        <v>42979.0</v>
      </c>
      <c r="CV173" s="138">
        <v>43009.0</v>
      </c>
      <c r="CW173" s="138">
        <v>43040.0</v>
      </c>
      <c r="CX173" s="138">
        <v>43070.0</v>
      </c>
      <c r="CY173" s="138">
        <v>43101.0</v>
      </c>
      <c r="CZ173" s="138">
        <v>43132.0</v>
      </c>
      <c r="DA173" s="138">
        <v>43160.0</v>
      </c>
      <c r="DB173" s="138">
        <v>43191.0</v>
      </c>
      <c r="DC173" s="138">
        <v>43221.0</v>
      </c>
      <c r="DD173" s="138">
        <v>43252.0</v>
      </c>
      <c r="DE173" s="138">
        <v>43282.0</v>
      </c>
      <c r="DF173" s="138">
        <v>43313.0</v>
      </c>
      <c r="DG173" s="138">
        <v>43344.0</v>
      </c>
      <c r="DH173" s="138">
        <v>43374.0</v>
      </c>
      <c r="DI173" s="138">
        <v>43405.0</v>
      </c>
      <c r="DJ173" s="138">
        <v>43435.0</v>
      </c>
      <c r="DK173" s="138">
        <v>43466.0</v>
      </c>
      <c r="DL173" s="138">
        <v>43497.0</v>
      </c>
      <c r="DM173" s="138">
        <v>43525.0</v>
      </c>
      <c r="DN173" s="138">
        <v>43556.0</v>
      </c>
      <c r="DO173" s="138">
        <v>43586.0</v>
      </c>
      <c r="DP173" s="138">
        <v>43617.0</v>
      </c>
      <c r="DQ173" s="138">
        <v>43647.0</v>
      </c>
      <c r="DR173" s="138">
        <v>43678.0</v>
      </c>
      <c r="DS173" s="138">
        <v>43709.0</v>
      </c>
      <c r="DT173" s="138">
        <v>43739.0</v>
      </c>
      <c r="DU173" s="138">
        <v>43770.0</v>
      </c>
      <c r="DV173" s="138">
        <v>43800.0</v>
      </c>
      <c r="DW173" s="138">
        <v>43831.0</v>
      </c>
      <c r="DX173" s="138">
        <v>43862.0</v>
      </c>
      <c r="DY173" s="138">
        <v>43891.0</v>
      </c>
      <c r="DZ173" s="138">
        <v>43922.0</v>
      </c>
      <c r="EA173" s="138">
        <v>43952.0</v>
      </c>
      <c r="EB173" s="138">
        <v>43983.0</v>
      </c>
      <c r="EC173" s="138">
        <v>44013.0</v>
      </c>
      <c r="ED173" s="138">
        <v>44044.0</v>
      </c>
      <c r="EE173" s="138">
        <v>44075.0</v>
      </c>
      <c r="EF173" s="138">
        <v>44105.0</v>
      </c>
      <c r="EG173" s="138">
        <v>44136.0</v>
      </c>
      <c r="EH173" s="138">
        <v>44166.0</v>
      </c>
      <c r="EI173" s="138">
        <v>44197.0</v>
      </c>
      <c r="EJ173" s="138">
        <v>44228.0</v>
      </c>
      <c r="EK173" s="138">
        <v>44256.0</v>
      </c>
      <c r="EL173" s="138">
        <v>44287.0</v>
      </c>
      <c r="EM173" s="138">
        <v>44317.0</v>
      </c>
      <c r="EN173" s="138">
        <v>44348.0</v>
      </c>
      <c r="EO173" s="138">
        <v>44378.0</v>
      </c>
      <c r="EP173" s="138">
        <v>44409.0</v>
      </c>
      <c r="EQ173" s="138">
        <v>44440.0</v>
      </c>
      <c r="ER173" s="138">
        <v>44470.0</v>
      </c>
      <c r="ES173" s="138">
        <v>44501.0</v>
      </c>
      <c r="ET173" s="138">
        <v>44531.0</v>
      </c>
      <c r="EU173" s="138">
        <v>44562.0</v>
      </c>
      <c r="EV173" s="138">
        <v>44593.0</v>
      </c>
      <c r="EW173" s="138">
        <v>44621.0</v>
      </c>
      <c r="EX173" s="138">
        <v>44652.0</v>
      </c>
      <c r="EY173" s="138">
        <v>44682.0</v>
      </c>
      <c r="EZ173" s="138">
        <v>44713.0</v>
      </c>
      <c r="FA173" s="138">
        <v>44743.0</v>
      </c>
      <c r="FB173" s="138">
        <v>44774.0</v>
      </c>
      <c r="FC173" s="138">
        <v>44805.0</v>
      </c>
      <c r="FD173" s="138">
        <v>44835.0</v>
      </c>
      <c r="FE173" s="138">
        <v>44866.0</v>
      </c>
      <c r="FF173" s="138">
        <v>44896.0</v>
      </c>
      <c r="FG173" s="138">
        <v>44927.0</v>
      </c>
      <c r="FH173" s="138">
        <v>44958.0</v>
      </c>
      <c r="FI173" s="138">
        <v>44986.0</v>
      </c>
      <c r="FJ173" s="138">
        <v>45017.0</v>
      </c>
      <c r="FK173" s="138">
        <v>45047.0</v>
      </c>
      <c r="FL173" s="138">
        <v>45078.0</v>
      </c>
      <c r="FM173" s="138">
        <v>45108.0</v>
      </c>
      <c r="FN173" s="138">
        <v>45139.0</v>
      </c>
      <c r="FO173" s="138">
        <v>45170.0</v>
      </c>
      <c r="FP173" s="138">
        <v>45200.0</v>
      </c>
      <c r="FQ173" s="138">
        <v>45231.0</v>
      </c>
      <c r="FR173" s="138">
        <v>45261.0</v>
      </c>
      <c r="FS173" s="138">
        <v>45292.0</v>
      </c>
      <c r="FT173" s="138">
        <v>45323.0</v>
      </c>
      <c r="FU173" s="138">
        <v>45352.0</v>
      </c>
      <c r="FV173" s="138">
        <v>45383.0</v>
      </c>
      <c r="FW173" s="138">
        <v>45413.0</v>
      </c>
      <c r="FX173" s="138">
        <v>45444.0</v>
      </c>
      <c r="FY173" s="138">
        <v>45474.0</v>
      </c>
      <c r="FZ173" s="138">
        <v>45505.0</v>
      </c>
      <c r="GA173" s="138">
        <v>45536.0</v>
      </c>
      <c r="GB173" s="138">
        <v>45566.0</v>
      </c>
      <c r="GC173" s="138">
        <v>45597.0</v>
      </c>
      <c r="GD173" s="138">
        <v>45627.0</v>
      </c>
      <c r="GE173" s="138">
        <v>45658.0</v>
      </c>
      <c r="GF173" s="138">
        <v>45689.0</v>
      </c>
      <c r="GG173" s="138">
        <v>45717.0</v>
      </c>
      <c r="GH173" s="138">
        <v>45748.0</v>
      </c>
      <c r="GI173" s="138">
        <v>45778.0</v>
      </c>
      <c r="GJ173" s="139">
        <v>45809.0</v>
      </c>
      <c r="GK173" s="139">
        <v>45839.0</v>
      </c>
    </row>
    <row r="174">
      <c r="A174" s="132" t="s">
        <v>34202</v>
      </c>
      <c r="B174" s="133" t="s">
        <v>1344</v>
      </c>
      <c r="C174" s="134">
        <v>45805.699895833335</v>
      </c>
      <c r="D174" s="135" t="str">
        <f t="shared" si="1"/>
        <v>2025/05/28</v>
      </c>
      <c r="E174" s="136" t="s">
        <v>34203</v>
      </c>
      <c r="F174" s="137">
        <v>1.9E-4</v>
      </c>
      <c r="G174" s="138">
        <v>40179.0</v>
      </c>
      <c r="H174" s="138">
        <v>40210.0</v>
      </c>
      <c r="I174" s="138">
        <v>40238.0</v>
      </c>
      <c r="J174" s="138">
        <v>40269.0</v>
      </c>
      <c r="K174" s="138">
        <v>40299.0</v>
      </c>
      <c r="L174" s="138">
        <v>40330.0</v>
      </c>
      <c r="M174" s="138">
        <v>40360.0</v>
      </c>
      <c r="N174" s="138">
        <v>40391.0</v>
      </c>
      <c r="O174" s="138">
        <v>40422.0</v>
      </c>
      <c r="P174" s="138">
        <v>40452.0</v>
      </c>
      <c r="Q174" s="138">
        <v>40483.0</v>
      </c>
      <c r="R174" s="138">
        <v>40513.0</v>
      </c>
      <c r="S174" s="138">
        <v>40544.0</v>
      </c>
      <c r="T174" s="138">
        <v>40575.0</v>
      </c>
      <c r="U174" s="138">
        <v>40603.0</v>
      </c>
      <c r="V174" s="138">
        <v>40634.0</v>
      </c>
      <c r="W174" s="138">
        <v>40664.0</v>
      </c>
      <c r="X174" s="138">
        <v>40695.0</v>
      </c>
      <c r="Y174" s="138">
        <v>40725.0</v>
      </c>
      <c r="Z174" s="138">
        <v>40756.0</v>
      </c>
      <c r="AA174" s="138">
        <v>40787.0</v>
      </c>
      <c r="AB174" s="138">
        <v>40817.0</v>
      </c>
      <c r="AC174" s="138">
        <v>40848.0</v>
      </c>
      <c r="AD174" s="138">
        <v>40878.0</v>
      </c>
      <c r="AE174" s="138">
        <v>40909.0</v>
      </c>
      <c r="AF174" s="138">
        <v>40940.0</v>
      </c>
      <c r="AG174" s="138">
        <v>40969.0</v>
      </c>
      <c r="AH174" s="138">
        <v>41000.0</v>
      </c>
      <c r="AI174" s="138">
        <v>41030.0</v>
      </c>
      <c r="AJ174" s="138">
        <v>41061.0</v>
      </c>
      <c r="AK174" s="138">
        <v>41091.0</v>
      </c>
      <c r="AL174" s="138">
        <v>41122.0</v>
      </c>
      <c r="AM174" s="138">
        <v>41153.0</v>
      </c>
      <c r="AN174" s="138">
        <v>41183.0</v>
      </c>
      <c r="AO174" s="138">
        <v>41214.0</v>
      </c>
      <c r="AP174" s="138">
        <v>41244.0</v>
      </c>
      <c r="AQ174" s="138">
        <v>41275.0</v>
      </c>
      <c r="AR174" s="138">
        <v>41306.0</v>
      </c>
      <c r="AS174" s="138">
        <v>41334.0</v>
      </c>
      <c r="AT174" s="138">
        <v>41365.0</v>
      </c>
      <c r="AU174" s="138">
        <v>41395.0</v>
      </c>
      <c r="AV174" s="138">
        <v>41426.0</v>
      </c>
      <c r="AW174" s="138">
        <v>41456.0</v>
      </c>
      <c r="AX174" s="138">
        <v>41487.0</v>
      </c>
      <c r="AY174" s="138">
        <v>41518.0</v>
      </c>
      <c r="AZ174" s="138">
        <v>41548.0</v>
      </c>
      <c r="BA174" s="138">
        <v>41579.0</v>
      </c>
      <c r="BB174" s="138">
        <v>41609.0</v>
      </c>
      <c r="BC174" s="138">
        <v>41640.0</v>
      </c>
      <c r="BD174" s="138">
        <v>41671.0</v>
      </c>
      <c r="BE174" s="138">
        <v>41699.0</v>
      </c>
      <c r="BF174" s="138">
        <v>41730.0</v>
      </c>
      <c r="BG174" s="138">
        <v>41760.0</v>
      </c>
      <c r="BH174" s="138">
        <v>41791.0</v>
      </c>
      <c r="BI174" s="138">
        <v>41821.0</v>
      </c>
      <c r="BJ174" s="138">
        <v>41852.0</v>
      </c>
      <c r="BK174" s="138">
        <v>41883.0</v>
      </c>
      <c r="BL174" s="138">
        <v>41913.0</v>
      </c>
      <c r="BM174" s="138">
        <v>41944.0</v>
      </c>
      <c r="BN174" s="138">
        <v>41974.0</v>
      </c>
      <c r="BO174" s="138">
        <v>42005.0</v>
      </c>
      <c r="BP174" s="138">
        <v>42036.0</v>
      </c>
      <c r="BQ174" s="138">
        <v>42064.0</v>
      </c>
      <c r="BR174" s="138">
        <v>42095.0</v>
      </c>
      <c r="BS174" s="138">
        <v>42125.0</v>
      </c>
      <c r="BT174" s="138">
        <v>42156.0</v>
      </c>
      <c r="BU174" s="138">
        <v>42186.0</v>
      </c>
      <c r="BV174" s="138">
        <v>42217.0</v>
      </c>
      <c r="BW174" s="138">
        <v>42248.0</v>
      </c>
      <c r="BX174" s="138">
        <v>42278.0</v>
      </c>
      <c r="BY174" s="138">
        <v>42309.0</v>
      </c>
      <c r="BZ174" s="138">
        <v>42339.0</v>
      </c>
      <c r="CA174" s="138">
        <v>42370.0</v>
      </c>
      <c r="CB174" s="138">
        <v>42401.0</v>
      </c>
      <c r="CC174" s="138">
        <v>42430.0</v>
      </c>
      <c r="CD174" s="138">
        <v>42461.0</v>
      </c>
      <c r="CE174" s="138">
        <v>42491.0</v>
      </c>
      <c r="CF174" s="138">
        <v>42522.0</v>
      </c>
      <c r="CG174" s="138">
        <v>42552.0</v>
      </c>
      <c r="CH174" s="138">
        <v>42583.0</v>
      </c>
      <c r="CI174" s="138">
        <v>42614.0</v>
      </c>
      <c r="CJ174" s="138">
        <v>42644.0</v>
      </c>
      <c r="CK174" s="138">
        <v>42675.0</v>
      </c>
      <c r="CL174" s="138">
        <v>42705.0</v>
      </c>
      <c r="CM174" s="138">
        <v>42736.0</v>
      </c>
      <c r="CN174" s="138">
        <v>42767.0</v>
      </c>
      <c r="CO174" s="138">
        <v>42795.0</v>
      </c>
      <c r="CP174" s="138">
        <v>42826.0</v>
      </c>
      <c r="CQ174" s="138">
        <v>42856.0</v>
      </c>
      <c r="CR174" s="138">
        <v>42887.0</v>
      </c>
      <c r="CS174" s="138">
        <v>42917.0</v>
      </c>
      <c r="CT174" s="138">
        <v>42948.0</v>
      </c>
      <c r="CU174" s="138">
        <v>42979.0</v>
      </c>
      <c r="CV174" s="138">
        <v>43009.0</v>
      </c>
      <c r="CW174" s="138">
        <v>43040.0</v>
      </c>
      <c r="CX174" s="138">
        <v>43070.0</v>
      </c>
      <c r="CY174" s="138">
        <v>43101.0</v>
      </c>
      <c r="CZ174" s="138">
        <v>43132.0</v>
      </c>
      <c r="DA174" s="138">
        <v>43160.0</v>
      </c>
      <c r="DB174" s="138">
        <v>43191.0</v>
      </c>
      <c r="DC174" s="138">
        <v>43221.0</v>
      </c>
      <c r="DD174" s="138">
        <v>43252.0</v>
      </c>
      <c r="DE174" s="138">
        <v>43282.0</v>
      </c>
      <c r="DF174" s="138">
        <v>43313.0</v>
      </c>
      <c r="DG174" s="138">
        <v>43344.0</v>
      </c>
      <c r="DH174" s="138">
        <v>43374.0</v>
      </c>
      <c r="DI174" s="138">
        <v>43405.0</v>
      </c>
      <c r="DJ174" s="138">
        <v>43435.0</v>
      </c>
      <c r="DK174" s="138">
        <v>43466.0</v>
      </c>
      <c r="DL174" s="138">
        <v>43497.0</v>
      </c>
      <c r="DM174" s="138">
        <v>43525.0</v>
      </c>
      <c r="DN174" s="138">
        <v>43556.0</v>
      </c>
      <c r="DO174" s="138">
        <v>43586.0</v>
      </c>
      <c r="DP174" s="138">
        <v>43617.0</v>
      </c>
      <c r="DQ174" s="138">
        <v>43647.0</v>
      </c>
      <c r="DR174" s="138">
        <v>43678.0</v>
      </c>
      <c r="DS174" s="138">
        <v>43709.0</v>
      </c>
      <c r="DT174" s="138">
        <v>43739.0</v>
      </c>
      <c r="DU174" s="138">
        <v>43770.0</v>
      </c>
      <c r="DV174" s="138">
        <v>43800.0</v>
      </c>
      <c r="DW174" s="138">
        <v>43831.0</v>
      </c>
      <c r="DX174" s="138">
        <v>43862.0</v>
      </c>
      <c r="DY174" s="138">
        <v>43891.0</v>
      </c>
      <c r="DZ174" s="138">
        <v>43922.0</v>
      </c>
      <c r="EA174" s="138">
        <v>43952.0</v>
      </c>
      <c r="EB174" s="138">
        <v>43983.0</v>
      </c>
      <c r="EC174" s="138">
        <v>44013.0</v>
      </c>
      <c r="ED174" s="138">
        <v>44044.0</v>
      </c>
      <c r="EE174" s="138">
        <v>44075.0</v>
      </c>
      <c r="EF174" s="138">
        <v>44105.0</v>
      </c>
      <c r="EG174" s="138">
        <v>44136.0</v>
      </c>
      <c r="EH174" s="138">
        <v>44166.0</v>
      </c>
      <c r="EI174" s="138">
        <v>44197.0</v>
      </c>
      <c r="EJ174" s="138">
        <v>44228.0</v>
      </c>
      <c r="EK174" s="138">
        <v>44256.0</v>
      </c>
      <c r="EL174" s="138">
        <v>44287.0</v>
      </c>
      <c r="EM174" s="138">
        <v>44317.0</v>
      </c>
      <c r="EN174" s="138">
        <v>44348.0</v>
      </c>
      <c r="EO174" s="138">
        <v>44378.0</v>
      </c>
      <c r="EP174" s="138">
        <v>44409.0</v>
      </c>
      <c r="EQ174" s="138">
        <v>44440.0</v>
      </c>
      <c r="ER174" s="138">
        <v>44470.0</v>
      </c>
      <c r="ES174" s="138">
        <v>44501.0</v>
      </c>
      <c r="ET174" s="138">
        <v>44531.0</v>
      </c>
      <c r="EU174" s="138">
        <v>44562.0</v>
      </c>
      <c r="EV174" s="138">
        <v>44593.0</v>
      </c>
      <c r="EW174" s="138">
        <v>44621.0</v>
      </c>
      <c r="EX174" s="138">
        <v>44652.0</v>
      </c>
      <c r="EY174" s="138">
        <v>44682.0</v>
      </c>
      <c r="EZ174" s="138">
        <v>44713.0</v>
      </c>
      <c r="FA174" s="138">
        <v>44743.0</v>
      </c>
      <c r="FB174" s="138">
        <v>44774.0</v>
      </c>
      <c r="FC174" s="138">
        <v>44805.0</v>
      </c>
      <c r="FD174" s="138">
        <v>44835.0</v>
      </c>
      <c r="FE174" s="138">
        <v>44866.0</v>
      </c>
      <c r="FF174" s="138">
        <v>44896.0</v>
      </c>
      <c r="FG174" s="138">
        <v>44927.0</v>
      </c>
      <c r="FH174" s="138">
        <v>44958.0</v>
      </c>
      <c r="FI174" s="138">
        <v>44986.0</v>
      </c>
      <c r="FJ174" s="138">
        <v>45017.0</v>
      </c>
      <c r="FK174" s="138">
        <v>45047.0</v>
      </c>
      <c r="FL174" s="138">
        <v>45078.0</v>
      </c>
      <c r="FM174" s="138">
        <v>45108.0</v>
      </c>
      <c r="FN174" s="138">
        <v>45139.0</v>
      </c>
      <c r="FO174" s="138">
        <v>45170.0</v>
      </c>
      <c r="FP174" s="138">
        <v>45200.0</v>
      </c>
      <c r="FQ174" s="138">
        <v>45231.0</v>
      </c>
      <c r="FR174" s="138">
        <v>45261.0</v>
      </c>
      <c r="FS174" s="138">
        <v>45292.0</v>
      </c>
      <c r="FT174" s="138">
        <v>45323.0</v>
      </c>
      <c r="FU174" s="138">
        <v>45352.0</v>
      </c>
      <c r="FV174" s="138">
        <v>45383.0</v>
      </c>
      <c r="FW174" s="138">
        <v>45413.0</v>
      </c>
      <c r="FX174" s="138">
        <v>45444.0</v>
      </c>
      <c r="FY174" s="138">
        <v>45474.0</v>
      </c>
      <c r="FZ174" s="138">
        <v>45505.0</v>
      </c>
      <c r="GA174" s="138">
        <v>45536.0</v>
      </c>
      <c r="GB174" s="138">
        <v>45566.0</v>
      </c>
      <c r="GC174" s="138">
        <v>45597.0</v>
      </c>
      <c r="GD174" s="138">
        <v>45627.0</v>
      </c>
      <c r="GE174" s="138">
        <v>45658.0</v>
      </c>
      <c r="GF174" s="138">
        <v>45689.0</v>
      </c>
      <c r="GG174" s="138">
        <v>45717.0</v>
      </c>
      <c r="GH174" s="138">
        <v>45748.0</v>
      </c>
      <c r="GI174" s="138">
        <v>45778.0</v>
      </c>
      <c r="GJ174" s="139">
        <v>45809.0</v>
      </c>
      <c r="GK174" s="139">
        <v>45839.0</v>
      </c>
    </row>
    <row r="175">
      <c r="A175" s="132" t="s">
        <v>34204</v>
      </c>
      <c r="B175" s="133" t="s">
        <v>1337</v>
      </c>
      <c r="C175" s="134">
        <v>45805.700208333335</v>
      </c>
      <c r="D175" s="135" t="str">
        <f t="shared" si="1"/>
        <v>2025/05/28</v>
      </c>
      <c r="E175" s="136" t="s">
        <v>34205</v>
      </c>
      <c r="F175" s="137">
        <v>1.7E-4</v>
      </c>
      <c r="G175" s="138">
        <v>40179.0</v>
      </c>
      <c r="H175" s="138">
        <v>40210.0</v>
      </c>
      <c r="I175" s="138">
        <v>40238.0</v>
      </c>
      <c r="J175" s="138">
        <v>40269.0</v>
      </c>
      <c r="K175" s="138">
        <v>40299.0</v>
      </c>
      <c r="L175" s="138">
        <v>40330.0</v>
      </c>
      <c r="M175" s="138">
        <v>40360.0</v>
      </c>
      <c r="N175" s="138">
        <v>40391.0</v>
      </c>
      <c r="O175" s="138">
        <v>40422.0</v>
      </c>
      <c r="P175" s="138">
        <v>40452.0</v>
      </c>
      <c r="Q175" s="138">
        <v>40483.0</v>
      </c>
      <c r="R175" s="138">
        <v>40513.0</v>
      </c>
      <c r="S175" s="138">
        <v>40544.0</v>
      </c>
      <c r="T175" s="138">
        <v>40575.0</v>
      </c>
      <c r="U175" s="138">
        <v>40603.0</v>
      </c>
      <c r="V175" s="138">
        <v>40634.0</v>
      </c>
      <c r="W175" s="138">
        <v>40664.0</v>
      </c>
      <c r="X175" s="138">
        <v>40695.0</v>
      </c>
      <c r="Y175" s="138">
        <v>40725.0</v>
      </c>
      <c r="Z175" s="138">
        <v>40756.0</v>
      </c>
      <c r="AA175" s="138">
        <v>40787.0</v>
      </c>
      <c r="AB175" s="138">
        <v>40817.0</v>
      </c>
      <c r="AC175" s="138">
        <v>40848.0</v>
      </c>
      <c r="AD175" s="138">
        <v>40878.0</v>
      </c>
      <c r="AE175" s="138">
        <v>40909.0</v>
      </c>
      <c r="AF175" s="138">
        <v>40940.0</v>
      </c>
      <c r="AG175" s="138">
        <v>40969.0</v>
      </c>
      <c r="AH175" s="138">
        <v>41000.0</v>
      </c>
      <c r="AI175" s="138">
        <v>41030.0</v>
      </c>
      <c r="AJ175" s="138">
        <v>41061.0</v>
      </c>
      <c r="AK175" s="138">
        <v>41091.0</v>
      </c>
      <c r="AL175" s="138">
        <v>41122.0</v>
      </c>
      <c r="AM175" s="138">
        <v>41153.0</v>
      </c>
      <c r="AN175" s="138">
        <v>41183.0</v>
      </c>
      <c r="AO175" s="138">
        <v>41214.0</v>
      </c>
      <c r="AP175" s="138">
        <v>41244.0</v>
      </c>
      <c r="AQ175" s="138">
        <v>41275.0</v>
      </c>
      <c r="AR175" s="138">
        <v>41306.0</v>
      </c>
      <c r="AS175" s="138">
        <v>41334.0</v>
      </c>
      <c r="AT175" s="138">
        <v>41365.0</v>
      </c>
      <c r="AU175" s="138">
        <v>41395.0</v>
      </c>
      <c r="AV175" s="138">
        <v>41426.0</v>
      </c>
      <c r="AW175" s="138">
        <v>41456.0</v>
      </c>
      <c r="AX175" s="138">
        <v>41487.0</v>
      </c>
      <c r="AY175" s="138">
        <v>41518.0</v>
      </c>
      <c r="AZ175" s="138">
        <v>41548.0</v>
      </c>
      <c r="BA175" s="138">
        <v>41579.0</v>
      </c>
      <c r="BB175" s="138">
        <v>41609.0</v>
      </c>
      <c r="BC175" s="138">
        <v>41640.0</v>
      </c>
      <c r="BD175" s="138">
        <v>41671.0</v>
      </c>
      <c r="BE175" s="138">
        <v>41699.0</v>
      </c>
      <c r="BF175" s="138">
        <v>41730.0</v>
      </c>
      <c r="BG175" s="138">
        <v>41760.0</v>
      </c>
      <c r="BH175" s="138">
        <v>41791.0</v>
      </c>
      <c r="BI175" s="138">
        <v>41821.0</v>
      </c>
      <c r="BJ175" s="138">
        <v>41852.0</v>
      </c>
      <c r="BK175" s="138">
        <v>41883.0</v>
      </c>
      <c r="BL175" s="138">
        <v>41913.0</v>
      </c>
      <c r="BM175" s="138">
        <v>41944.0</v>
      </c>
      <c r="BN175" s="138">
        <v>41974.0</v>
      </c>
      <c r="BO175" s="138">
        <v>42005.0</v>
      </c>
      <c r="BP175" s="138">
        <v>42036.0</v>
      </c>
      <c r="BQ175" s="138">
        <v>42064.0</v>
      </c>
      <c r="BR175" s="138">
        <v>42095.0</v>
      </c>
      <c r="BS175" s="138">
        <v>42125.0</v>
      </c>
      <c r="BT175" s="138">
        <v>42156.0</v>
      </c>
      <c r="BU175" s="138">
        <v>42186.0</v>
      </c>
      <c r="BV175" s="138">
        <v>42217.0</v>
      </c>
      <c r="BW175" s="138">
        <v>42248.0</v>
      </c>
      <c r="BX175" s="138">
        <v>42278.0</v>
      </c>
      <c r="BY175" s="138">
        <v>42309.0</v>
      </c>
      <c r="BZ175" s="138">
        <v>42339.0</v>
      </c>
      <c r="CA175" s="138">
        <v>42370.0</v>
      </c>
      <c r="CB175" s="138">
        <v>42401.0</v>
      </c>
      <c r="CC175" s="138">
        <v>42430.0</v>
      </c>
      <c r="CD175" s="138">
        <v>42461.0</v>
      </c>
      <c r="CE175" s="138">
        <v>42491.0</v>
      </c>
      <c r="CF175" s="138">
        <v>42522.0</v>
      </c>
      <c r="CG175" s="138">
        <v>42552.0</v>
      </c>
      <c r="CH175" s="138">
        <v>42583.0</v>
      </c>
      <c r="CI175" s="138">
        <v>42614.0</v>
      </c>
      <c r="CJ175" s="138">
        <v>42644.0</v>
      </c>
      <c r="CK175" s="138">
        <v>42675.0</v>
      </c>
      <c r="CL175" s="138">
        <v>42705.0</v>
      </c>
      <c r="CM175" s="138">
        <v>42736.0</v>
      </c>
      <c r="CN175" s="138">
        <v>42767.0</v>
      </c>
      <c r="CO175" s="138">
        <v>42795.0</v>
      </c>
      <c r="CP175" s="138">
        <v>42826.0</v>
      </c>
      <c r="CQ175" s="138">
        <v>42856.0</v>
      </c>
      <c r="CR175" s="138">
        <v>42887.0</v>
      </c>
      <c r="CS175" s="138">
        <v>42917.0</v>
      </c>
      <c r="CT175" s="138">
        <v>42948.0</v>
      </c>
      <c r="CU175" s="138">
        <v>42979.0</v>
      </c>
      <c r="CV175" s="138">
        <v>43009.0</v>
      </c>
      <c r="CW175" s="138">
        <v>43040.0</v>
      </c>
      <c r="CX175" s="138">
        <v>43070.0</v>
      </c>
      <c r="CY175" s="138">
        <v>43101.0</v>
      </c>
      <c r="CZ175" s="138">
        <v>43132.0</v>
      </c>
      <c r="DA175" s="138">
        <v>43160.0</v>
      </c>
      <c r="DB175" s="138">
        <v>43191.0</v>
      </c>
      <c r="DC175" s="138">
        <v>43221.0</v>
      </c>
      <c r="DD175" s="138">
        <v>43252.0</v>
      </c>
      <c r="DE175" s="138">
        <v>43282.0</v>
      </c>
      <c r="DF175" s="138">
        <v>43313.0</v>
      </c>
      <c r="DG175" s="138">
        <v>43344.0</v>
      </c>
      <c r="DH175" s="138">
        <v>43374.0</v>
      </c>
      <c r="DI175" s="138">
        <v>43405.0</v>
      </c>
      <c r="DJ175" s="138">
        <v>43435.0</v>
      </c>
      <c r="DK175" s="138">
        <v>43466.0</v>
      </c>
      <c r="DL175" s="138">
        <v>43497.0</v>
      </c>
      <c r="DM175" s="138">
        <v>43525.0</v>
      </c>
      <c r="DN175" s="138">
        <v>43556.0</v>
      </c>
      <c r="DO175" s="138">
        <v>43586.0</v>
      </c>
      <c r="DP175" s="138">
        <v>43617.0</v>
      </c>
      <c r="DQ175" s="138">
        <v>43647.0</v>
      </c>
      <c r="DR175" s="138">
        <v>43678.0</v>
      </c>
      <c r="DS175" s="138">
        <v>43709.0</v>
      </c>
      <c r="DT175" s="138">
        <v>43739.0</v>
      </c>
      <c r="DU175" s="138">
        <v>43770.0</v>
      </c>
      <c r="DV175" s="138">
        <v>43800.0</v>
      </c>
      <c r="DW175" s="138">
        <v>43831.0</v>
      </c>
      <c r="DX175" s="138">
        <v>43862.0</v>
      </c>
      <c r="DY175" s="138">
        <v>43891.0</v>
      </c>
      <c r="DZ175" s="138">
        <v>43922.0</v>
      </c>
      <c r="EA175" s="138">
        <v>43952.0</v>
      </c>
      <c r="EB175" s="138">
        <v>43983.0</v>
      </c>
      <c r="EC175" s="138">
        <v>44013.0</v>
      </c>
      <c r="ED175" s="138">
        <v>44044.0</v>
      </c>
      <c r="EE175" s="138">
        <v>44075.0</v>
      </c>
      <c r="EF175" s="138">
        <v>44105.0</v>
      </c>
      <c r="EG175" s="138">
        <v>44136.0</v>
      </c>
      <c r="EH175" s="138">
        <v>44166.0</v>
      </c>
      <c r="EI175" s="138">
        <v>44197.0</v>
      </c>
      <c r="EJ175" s="138">
        <v>44228.0</v>
      </c>
      <c r="EK175" s="138">
        <v>44256.0</v>
      </c>
      <c r="EL175" s="138">
        <v>44287.0</v>
      </c>
      <c r="EM175" s="138">
        <v>44317.0</v>
      </c>
      <c r="EN175" s="138">
        <v>44348.0</v>
      </c>
      <c r="EO175" s="138">
        <v>44378.0</v>
      </c>
      <c r="EP175" s="138">
        <v>44409.0</v>
      </c>
      <c r="EQ175" s="138">
        <v>44440.0</v>
      </c>
      <c r="ER175" s="138">
        <v>44470.0</v>
      </c>
      <c r="ES175" s="138">
        <v>44501.0</v>
      </c>
      <c r="ET175" s="138">
        <v>44531.0</v>
      </c>
      <c r="EU175" s="138">
        <v>44562.0</v>
      </c>
      <c r="EV175" s="138">
        <v>44593.0</v>
      </c>
      <c r="EW175" s="138">
        <v>44621.0</v>
      </c>
      <c r="EX175" s="138">
        <v>44652.0</v>
      </c>
      <c r="EY175" s="138">
        <v>44682.0</v>
      </c>
      <c r="EZ175" s="138">
        <v>44713.0</v>
      </c>
      <c r="FA175" s="138">
        <v>44743.0</v>
      </c>
      <c r="FB175" s="138">
        <v>44774.0</v>
      </c>
      <c r="FC175" s="138">
        <v>44805.0</v>
      </c>
      <c r="FD175" s="138">
        <v>44835.0</v>
      </c>
      <c r="FE175" s="138">
        <v>44866.0</v>
      </c>
      <c r="FF175" s="138">
        <v>44896.0</v>
      </c>
      <c r="FG175" s="138">
        <v>44927.0</v>
      </c>
      <c r="FH175" s="138">
        <v>44958.0</v>
      </c>
      <c r="FI175" s="138">
        <v>44986.0</v>
      </c>
      <c r="FJ175" s="138">
        <v>45017.0</v>
      </c>
      <c r="FK175" s="138">
        <v>45047.0</v>
      </c>
      <c r="FL175" s="138">
        <v>45078.0</v>
      </c>
      <c r="FM175" s="138">
        <v>45108.0</v>
      </c>
      <c r="FN175" s="138">
        <v>45139.0</v>
      </c>
      <c r="FO175" s="138">
        <v>45170.0</v>
      </c>
      <c r="FP175" s="138">
        <v>45200.0</v>
      </c>
      <c r="FQ175" s="138">
        <v>45231.0</v>
      </c>
      <c r="FR175" s="138">
        <v>45261.0</v>
      </c>
      <c r="FS175" s="138">
        <v>45292.0</v>
      </c>
      <c r="FT175" s="138">
        <v>45323.0</v>
      </c>
      <c r="FU175" s="138">
        <v>45352.0</v>
      </c>
      <c r="FV175" s="138">
        <v>45383.0</v>
      </c>
      <c r="FW175" s="138">
        <v>45413.0</v>
      </c>
      <c r="FX175" s="138">
        <v>45444.0</v>
      </c>
      <c r="FY175" s="138">
        <v>45474.0</v>
      </c>
      <c r="FZ175" s="138">
        <v>45505.0</v>
      </c>
      <c r="GA175" s="138">
        <v>45536.0</v>
      </c>
      <c r="GB175" s="138">
        <v>45566.0</v>
      </c>
      <c r="GC175" s="138">
        <v>45597.0</v>
      </c>
      <c r="GD175" s="138">
        <v>45627.0</v>
      </c>
      <c r="GE175" s="138">
        <v>45658.0</v>
      </c>
      <c r="GF175" s="138">
        <v>45689.0</v>
      </c>
      <c r="GG175" s="138">
        <v>45717.0</v>
      </c>
      <c r="GH175" s="138">
        <v>45748.0</v>
      </c>
      <c r="GI175" s="138">
        <v>45778.0</v>
      </c>
      <c r="GJ175" s="139">
        <v>45809.0</v>
      </c>
      <c r="GK175" s="139">
        <v>45839.0</v>
      </c>
    </row>
    <row r="176">
      <c r="A176" s="132" t="s">
        <v>34206</v>
      </c>
      <c r="B176" s="133" t="s">
        <v>1339</v>
      </c>
      <c r="C176" s="134">
        <v>45805.70064814815</v>
      </c>
      <c r="D176" s="135" t="str">
        <f t="shared" si="1"/>
        <v>2025/05/28</v>
      </c>
      <c r="E176" s="136" t="s">
        <v>34207</v>
      </c>
      <c r="F176" s="137">
        <v>3.7E-4</v>
      </c>
      <c r="G176" s="138">
        <v>40179.0</v>
      </c>
      <c r="H176" s="138">
        <v>40210.0</v>
      </c>
      <c r="I176" s="138">
        <v>40238.0</v>
      </c>
      <c r="J176" s="138">
        <v>40269.0</v>
      </c>
      <c r="K176" s="138">
        <v>40299.0</v>
      </c>
      <c r="L176" s="138">
        <v>40330.0</v>
      </c>
      <c r="M176" s="138">
        <v>40360.0</v>
      </c>
      <c r="N176" s="138">
        <v>40391.0</v>
      </c>
      <c r="O176" s="138">
        <v>40422.0</v>
      </c>
      <c r="P176" s="138">
        <v>40452.0</v>
      </c>
      <c r="Q176" s="138">
        <v>40483.0</v>
      </c>
      <c r="R176" s="138">
        <v>40513.0</v>
      </c>
      <c r="S176" s="138">
        <v>40544.0</v>
      </c>
      <c r="T176" s="138">
        <v>40575.0</v>
      </c>
      <c r="U176" s="138">
        <v>40603.0</v>
      </c>
      <c r="V176" s="138">
        <v>40634.0</v>
      </c>
      <c r="W176" s="138">
        <v>40664.0</v>
      </c>
      <c r="X176" s="138">
        <v>40695.0</v>
      </c>
      <c r="Y176" s="138">
        <v>40725.0</v>
      </c>
      <c r="Z176" s="138">
        <v>40756.0</v>
      </c>
      <c r="AA176" s="138">
        <v>40787.0</v>
      </c>
      <c r="AB176" s="138">
        <v>40817.0</v>
      </c>
      <c r="AC176" s="138">
        <v>40848.0</v>
      </c>
      <c r="AD176" s="138">
        <v>40878.0</v>
      </c>
      <c r="AE176" s="138">
        <v>40909.0</v>
      </c>
      <c r="AF176" s="138">
        <v>40940.0</v>
      </c>
      <c r="AG176" s="138">
        <v>40969.0</v>
      </c>
      <c r="AH176" s="138">
        <v>41000.0</v>
      </c>
      <c r="AI176" s="138">
        <v>41030.0</v>
      </c>
      <c r="AJ176" s="138">
        <v>41061.0</v>
      </c>
      <c r="AK176" s="138">
        <v>41091.0</v>
      </c>
      <c r="AL176" s="138">
        <v>41122.0</v>
      </c>
      <c r="AM176" s="138">
        <v>41153.0</v>
      </c>
      <c r="AN176" s="138">
        <v>41183.0</v>
      </c>
      <c r="AO176" s="138">
        <v>41214.0</v>
      </c>
      <c r="AP176" s="138">
        <v>41244.0</v>
      </c>
      <c r="AQ176" s="138">
        <v>41275.0</v>
      </c>
      <c r="AR176" s="138">
        <v>41306.0</v>
      </c>
      <c r="AS176" s="138">
        <v>41334.0</v>
      </c>
      <c r="AT176" s="138">
        <v>41365.0</v>
      </c>
      <c r="AU176" s="138">
        <v>41395.0</v>
      </c>
      <c r="AV176" s="138">
        <v>41426.0</v>
      </c>
      <c r="AW176" s="138">
        <v>41456.0</v>
      </c>
      <c r="AX176" s="138">
        <v>41487.0</v>
      </c>
      <c r="AY176" s="138">
        <v>41518.0</v>
      </c>
      <c r="AZ176" s="138">
        <v>41548.0</v>
      </c>
      <c r="BA176" s="138">
        <v>41579.0</v>
      </c>
      <c r="BB176" s="138">
        <v>41609.0</v>
      </c>
      <c r="BC176" s="138">
        <v>41640.0</v>
      </c>
      <c r="BD176" s="138">
        <v>41671.0</v>
      </c>
      <c r="BE176" s="138">
        <v>41699.0</v>
      </c>
      <c r="BF176" s="138">
        <v>41730.0</v>
      </c>
      <c r="BG176" s="138">
        <v>41760.0</v>
      </c>
      <c r="BH176" s="138">
        <v>41791.0</v>
      </c>
      <c r="BI176" s="138">
        <v>41821.0</v>
      </c>
      <c r="BJ176" s="138">
        <v>41852.0</v>
      </c>
      <c r="BK176" s="138">
        <v>41883.0</v>
      </c>
      <c r="BL176" s="138">
        <v>41913.0</v>
      </c>
      <c r="BM176" s="138">
        <v>41944.0</v>
      </c>
      <c r="BN176" s="138">
        <v>41974.0</v>
      </c>
      <c r="BO176" s="138">
        <v>42005.0</v>
      </c>
      <c r="BP176" s="138">
        <v>42036.0</v>
      </c>
      <c r="BQ176" s="138">
        <v>42064.0</v>
      </c>
      <c r="BR176" s="138">
        <v>42095.0</v>
      </c>
      <c r="BS176" s="138">
        <v>42125.0</v>
      </c>
      <c r="BT176" s="138">
        <v>42156.0</v>
      </c>
      <c r="BU176" s="138">
        <v>42186.0</v>
      </c>
      <c r="BV176" s="138">
        <v>42217.0</v>
      </c>
      <c r="BW176" s="138">
        <v>42248.0</v>
      </c>
      <c r="BX176" s="138">
        <v>42278.0</v>
      </c>
      <c r="BY176" s="138">
        <v>42309.0</v>
      </c>
      <c r="BZ176" s="138">
        <v>42339.0</v>
      </c>
      <c r="CA176" s="138">
        <v>42370.0</v>
      </c>
      <c r="CB176" s="138">
        <v>42401.0</v>
      </c>
      <c r="CC176" s="138">
        <v>42430.0</v>
      </c>
      <c r="CD176" s="138">
        <v>42461.0</v>
      </c>
      <c r="CE176" s="138">
        <v>42491.0</v>
      </c>
      <c r="CF176" s="138">
        <v>42522.0</v>
      </c>
      <c r="CG176" s="138">
        <v>42552.0</v>
      </c>
      <c r="CH176" s="138">
        <v>42583.0</v>
      </c>
      <c r="CI176" s="138">
        <v>42614.0</v>
      </c>
      <c r="CJ176" s="138">
        <v>42644.0</v>
      </c>
      <c r="CK176" s="138">
        <v>42675.0</v>
      </c>
      <c r="CL176" s="138">
        <v>42705.0</v>
      </c>
      <c r="CM176" s="138">
        <v>42736.0</v>
      </c>
      <c r="CN176" s="138">
        <v>42767.0</v>
      </c>
      <c r="CO176" s="138">
        <v>42795.0</v>
      </c>
      <c r="CP176" s="138">
        <v>42826.0</v>
      </c>
      <c r="CQ176" s="138">
        <v>42856.0</v>
      </c>
      <c r="CR176" s="138">
        <v>42887.0</v>
      </c>
      <c r="CS176" s="138">
        <v>42917.0</v>
      </c>
      <c r="CT176" s="138">
        <v>42948.0</v>
      </c>
      <c r="CU176" s="138">
        <v>42979.0</v>
      </c>
      <c r="CV176" s="138">
        <v>43009.0</v>
      </c>
      <c r="CW176" s="138">
        <v>43040.0</v>
      </c>
      <c r="CX176" s="138">
        <v>43070.0</v>
      </c>
      <c r="CY176" s="138">
        <v>43101.0</v>
      </c>
      <c r="CZ176" s="138">
        <v>43132.0</v>
      </c>
      <c r="DA176" s="138">
        <v>43160.0</v>
      </c>
      <c r="DB176" s="138">
        <v>43191.0</v>
      </c>
      <c r="DC176" s="138">
        <v>43221.0</v>
      </c>
      <c r="DD176" s="138">
        <v>43252.0</v>
      </c>
      <c r="DE176" s="138">
        <v>43282.0</v>
      </c>
      <c r="DF176" s="138">
        <v>43313.0</v>
      </c>
      <c r="DG176" s="138">
        <v>43344.0</v>
      </c>
      <c r="DH176" s="138">
        <v>43374.0</v>
      </c>
      <c r="DI176" s="138">
        <v>43405.0</v>
      </c>
      <c r="DJ176" s="138">
        <v>43435.0</v>
      </c>
      <c r="DK176" s="138">
        <v>43466.0</v>
      </c>
      <c r="DL176" s="138">
        <v>43497.0</v>
      </c>
      <c r="DM176" s="138">
        <v>43525.0</v>
      </c>
      <c r="DN176" s="138">
        <v>43556.0</v>
      </c>
      <c r="DO176" s="138">
        <v>43586.0</v>
      </c>
      <c r="DP176" s="138">
        <v>43617.0</v>
      </c>
      <c r="DQ176" s="138">
        <v>43647.0</v>
      </c>
      <c r="DR176" s="138">
        <v>43678.0</v>
      </c>
      <c r="DS176" s="138">
        <v>43709.0</v>
      </c>
      <c r="DT176" s="138">
        <v>43739.0</v>
      </c>
      <c r="DU176" s="138">
        <v>43770.0</v>
      </c>
      <c r="DV176" s="138">
        <v>43800.0</v>
      </c>
      <c r="DW176" s="138">
        <v>43831.0</v>
      </c>
      <c r="DX176" s="138">
        <v>43862.0</v>
      </c>
      <c r="DY176" s="138">
        <v>43891.0</v>
      </c>
      <c r="DZ176" s="138">
        <v>43922.0</v>
      </c>
      <c r="EA176" s="138">
        <v>43952.0</v>
      </c>
      <c r="EB176" s="138">
        <v>43983.0</v>
      </c>
      <c r="EC176" s="138">
        <v>44013.0</v>
      </c>
      <c r="ED176" s="138">
        <v>44044.0</v>
      </c>
      <c r="EE176" s="138">
        <v>44075.0</v>
      </c>
      <c r="EF176" s="138">
        <v>44105.0</v>
      </c>
      <c r="EG176" s="138">
        <v>44136.0</v>
      </c>
      <c r="EH176" s="138">
        <v>44166.0</v>
      </c>
      <c r="EI176" s="138">
        <v>44197.0</v>
      </c>
      <c r="EJ176" s="138">
        <v>44228.0</v>
      </c>
      <c r="EK176" s="138">
        <v>44256.0</v>
      </c>
      <c r="EL176" s="138">
        <v>44287.0</v>
      </c>
      <c r="EM176" s="138">
        <v>44317.0</v>
      </c>
      <c r="EN176" s="138">
        <v>44348.0</v>
      </c>
      <c r="EO176" s="138">
        <v>44378.0</v>
      </c>
      <c r="EP176" s="138">
        <v>44409.0</v>
      </c>
      <c r="EQ176" s="138">
        <v>44440.0</v>
      </c>
      <c r="ER176" s="138">
        <v>44470.0</v>
      </c>
      <c r="ES176" s="138">
        <v>44501.0</v>
      </c>
      <c r="ET176" s="138">
        <v>44531.0</v>
      </c>
      <c r="EU176" s="138">
        <v>44562.0</v>
      </c>
      <c r="EV176" s="138">
        <v>44593.0</v>
      </c>
      <c r="EW176" s="138">
        <v>44621.0</v>
      </c>
      <c r="EX176" s="138">
        <v>44652.0</v>
      </c>
      <c r="EY176" s="138">
        <v>44682.0</v>
      </c>
      <c r="EZ176" s="138">
        <v>44713.0</v>
      </c>
      <c r="FA176" s="138">
        <v>44743.0</v>
      </c>
      <c r="FB176" s="138">
        <v>44774.0</v>
      </c>
      <c r="FC176" s="138">
        <v>44805.0</v>
      </c>
      <c r="FD176" s="138">
        <v>44835.0</v>
      </c>
      <c r="FE176" s="138">
        <v>44866.0</v>
      </c>
      <c r="FF176" s="138">
        <v>44896.0</v>
      </c>
      <c r="FG176" s="138">
        <v>44927.0</v>
      </c>
      <c r="FH176" s="138">
        <v>44958.0</v>
      </c>
      <c r="FI176" s="138">
        <v>44986.0</v>
      </c>
      <c r="FJ176" s="138">
        <v>45017.0</v>
      </c>
      <c r="FK176" s="138">
        <v>45047.0</v>
      </c>
      <c r="FL176" s="138">
        <v>45078.0</v>
      </c>
      <c r="FM176" s="138">
        <v>45108.0</v>
      </c>
      <c r="FN176" s="138">
        <v>45139.0</v>
      </c>
      <c r="FO176" s="138">
        <v>45170.0</v>
      </c>
      <c r="FP176" s="138">
        <v>45200.0</v>
      </c>
      <c r="FQ176" s="138">
        <v>45231.0</v>
      </c>
      <c r="FR176" s="138">
        <v>45261.0</v>
      </c>
      <c r="FS176" s="138">
        <v>45292.0</v>
      </c>
      <c r="FT176" s="138">
        <v>45323.0</v>
      </c>
      <c r="FU176" s="138">
        <v>45352.0</v>
      </c>
      <c r="FV176" s="138">
        <v>45383.0</v>
      </c>
      <c r="FW176" s="138">
        <v>45413.0</v>
      </c>
      <c r="FX176" s="138">
        <v>45444.0</v>
      </c>
      <c r="FY176" s="138">
        <v>45474.0</v>
      </c>
      <c r="FZ176" s="138">
        <v>45505.0</v>
      </c>
      <c r="GA176" s="138">
        <v>45536.0</v>
      </c>
      <c r="GB176" s="138">
        <v>45566.0</v>
      </c>
      <c r="GC176" s="138">
        <v>45597.0</v>
      </c>
      <c r="GD176" s="138">
        <v>45627.0</v>
      </c>
      <c r="GE176" s="138">
        <v>45658.0</v>
      </c>
      <c r="GF176" s="138">
        <v>45689.0</v>
      </c>
      <c r="GG176" s="138">
        <v>45717.0</v>
      </c>
      <c r="GH176" s="138">
        <v>45748.0</v>
      </c>
      <c r="GI176" s="138">
        <v>45778.0</v>
      </c>
      <c r="GJ176" s="139">
        <v>45809.0</v>
      </c>
      <c r="GK176" s="139">
        <v>45839.0</v>
      </c>
    </row>
    <row r="177">
      <c r="A177" s="132" t="s">
        <v>34208</v>
      </c>
      <c r="B177" s="133" t="s">
        <v>1335</v>
      </c>
      <c r="C177" s="134">
        <v>45811.03383101852</v>
      </c>
      <c r="D177" s="135" t="str">
        <f t="shared" si="1"/>
        <v>2025/06/03</v>
      </c>
      <c r="E177" s="136" t="s">
        <v>34209</v>
      </c>
      <c r="F177" s="137">
        <v>0.00169</v>
      </c>
      <c r="G177" s="138">
        <v>40179.0</v>
      </c>
      <c r="H177" s="138">
        <v>40210.0</v>
      </c>
      <c r="I177" s="138">
        <v>40238.0</v>
      </c>
      <c r="J177" s="138">
        <v>40269.0</v>
      </c>
      <c r="K177" s="138">
        <v>40299.0</v>
      </c>
      <c r="L177" s="138">
        <v>40330.0</v>
      </c>
      <c r="M177" s="138">
        <v>40360.0</v>
      </c>
      <c r="N177" s="138">
        <v>40391.0</v>
      </c>
      <c r="O177" s="138">
        <v>40422.0</v>
      </c>
      <c r="P177" s="138">
        <v>40452.0</v>
      </c>
      <c r="Q177" s="138">
        <v>40483.0</v>
      </c>
      <c r="R177" s="138">
        <v>40513.0</v>
      </c>
      <c r="S177" s="138">
        <v>40544.0</v>
      </c>
      <c r="T177" s="138">
        <v>40575.0</v>
      </c>
      <c r="U177" s="138">
        <v>40603.0</v>
      </c>
      <c r="V177" s="138">
        <v>40634.0</v>
      </c>
      <c r="W177" s="138">
        <v>40664.0</v>
      </c>
      <c r="X177" s="138">
        <v>40695.0</v>
      </c>
      <c r="Y177" s="138">
        <v>40725.0</v>
      </c>
      <c r="Z177" s="138">
        <v>40756.0</v>
      </c>
      <c r="AA177" s="138">
        <v>40787.0</v>
      </c>
      <c r="AB177" s="138">
        <v>40817.0</v>
      </c>
      <c r="AC177" s="138">
        <v>40848.0</v>
      </c>
      <c r="AD177" s="138">
        <v>40878.0</v>
      </c>
      <c r="AE177" s="138">
        <v>40909.0</v>
      </c>
      <c r="AF177" s="138">
        <v>40940.0</v>
      </c>
      <c r="AG177" s="138">
        <v>40969.0</v>
      </c>
      <c r="AH177" s="138">
        <v>41000.0</v>
      </c>
      <c r="AI177" s="138">
        <v>41030.0</v>
      </c>
      <c r="AJ177" s="138">
        <v>41061.0</v>
      </c>
      <c r="AK177" s="138">
        <v>41091.0</v>
      </c>
      <c r="AL177" s="138">
        <v>41122.0</v>
      </c>
      <c r="AM177" s="138">
        <v>41153.0</v>
      </c>
      <c r="AN177" s="138">
        <v>41183.0</v>
      </c>
      <c r="AO177" s="138">
        <v>41214.0</v>
      </c>
      <c r="AP177" s="138">
        <v>41244.0</v>
      </c>
      <c r="AQ177" s="138">
        <v>41275.0</v>
      </c>
      <c r="AR177" s="138">
        <v>41306.0</v>
      </c>
      <c r="AS177" s="138">
        <v>41334.0</v>
      </c>
      <c r="AT177" s="138">
        <v>41365.0</v>
      </c>
      <c r="AU177" s="138">
        <v>41395.0</v>
      </c>
      <c r="AV177" s="138">
        <v>41426.0</v>
      </c>
      <c r="AW177" s="138">
        <v>41456.0</v>
      </c>
      <c r="AX177" s="138">
        <v>41487.0</v>
      </c>
      <c r="AY177" s="138">
        <v>41518.0</v>
      </c>
      <c r="AZ177" s="138">
        <v>41548.0</v>
      </c>
      <c r="BA177" s="138">
        <v>41579.0</v>
      </c>
      <c r="BB177" s="138">
        <v>41609.0</v>
      </c>
      <c r="BC177" s="138">
        <v>41640.0</v>
      </c>
      <c r="BD177" s="138">
        <v>41671.0</v>
      </c>
      <c r="BE177" s="138">
        <v>41699.0</v>
      </c>
      <c r="BF177" s="138">
        <v>41730.0</v>
      </c>
      <c r="BG177" s="138">
        <v>41760.0</v>
      </c>
      <c r="BH177" s="138">
        <v>41791.0</v>
      </c>
      <c r="BI177" s="138">
        <v>41821.0</v>
      </c>
      <c r="BJ177" s="138">
        <v>41852.0</v>
      </c>
      <c r="BK177" s="138">
        <v>41883.0</v>
      </c>
      <c r="BL177" s="138">
        <v>41913.0</v>
      </c>
      <c r="BM177" s="138">
        <v>41944.0</v>
      </c>
      <c r="BN177" s="138">
        <v>41974.0</v>
      </c>
      <c r="BO177" s="138">
        <v>42005.0</v>
      </c>
      <c r="BP177" s="138">
        <v>42036.0</v>
      </c>
      <c r="BQ177" s="138">
        <v>42064.0</v>
      </c>
      <c r="BR177" s="138">
        <v>42095.0</v>
      </c>
      <c r="BS177" s="138">
        <v>42125.0</v>
      </c>
      <c r="BT177" s="138">
        <v>42156.0</v>
      </c>
      <c r="BU177" s="138">
        <v>42186.0</v>
      </c>
      <c r="BV177" s="138">
        <v>42217.0</v>
      </c>
      <c r="BW177" s="138">
        <v>42248.0</v>
      </c>
      <c r="BX177" s="138">
        <v>42278.0</v>
      </c>
      <c r="BY177" s="138">
        <v>42309.0</v>
      </c>
      <c r="BZ177" s="138">
        <v>42339.0</v>
      </c>
      <c r="CA177" s="138">
        <v>42370.0</v>
      </c>
      <c r="CB177" s="138">
        <v>42401.0</v>
      </c>
      <c r="CC177" s="138">
        <v>42430.0</v>
      </c>
      <c r="CD177" s="138">
        <v>42461.0</v>
      </c>
      <c r="CE177" s="138">
        <v>42491.0</v>
      </c>
      <c r="CF177" s="138">
        <v>42522.0</v>
      </c>
      <c r="CG177" s="138">
        <v>42552.0</v>
      </c>
      <c r="CH177" s="138">
        <v>42583.0</v>
      </c>
      <c r="CI177" s="138">
        <v>42614.0</v>
      </c>
      <c r="CJ177" s="138">
        <v>42644.0</v>
      </c>
      <c r="CK177" s="138">
        <v>42675.0</v>
      </c>
      <c r="CL177" s="138">
        <v>42705.0</v>
      </c>
      <c r="CM177" s="138">
        <v>42736.0</v>
      </c>
      <c r="CN177" s="138">
        <v>42767.0</v>
      </c>
      <c r="CO177" s="138">
        <v>42795.0</v>
      </c>
      <c r="CP177" s="138">
        <v>42826.0</v>
      </c>
      <c r="CQ177" s="138">
        <v>42856.0</v>
      </c>
      <c r="CR177" s="138">
        <v>42887.0</v>
      </c>
      <c r="CS177" s="138">
        <v>42917.0</v>
      </c>
      <c r="CT177" s="138">
        <v>42948.0</v>
      </c>
      <c r="CU177" s="138">
        <v>42979.0</v>
      </c>
      <c r="CV177" s="138">
        <v>43009.0</v>
      </c>
      <c r="CW177" s="138">
        <v>43040.0</v>
      </c>
      <c r="CX177" s="138">
        <v>43070.0</v>
      </c>
      <c r="CY177" s="138">
        <v>43101.0</v>
      </c>
      <c r="CZ177" s="138">
        <v>43132.0</v>
      </c>
      <c r="DA177" s="138">
        <v>43160.0</v>
      </c>
      <c r="DB177" s="138">
        <v>43191.0</v>
      </c>
      <c r="DC177" s="138">
        <v>43221.0</v>
      </c>
      <c r="DD177" s="138">
        <v>43252.0</v>
      </c>
      <c r="DE177" s="138">
        <v>43282.0</v>
      </c>
      <c r="DF177" s="138">
        <v>43313.0</v>
      </c>
      <c r="DG177" s="138">
        <v>43344.0</v>
      </c>
      <c r="DH177" s="138">
        <v>43374.0</v>
      </c>
      <c r="DI177" s="138">
        <v>43405.0</v>
      </c>
      <c r="DJ177" s="138">
        <v>43435.0</v>
      </c>
      <c r="DK177" s="138">
        <v>43466.0</v>
      </c>
      <c r="DL177" s="138">
        <v>43497.0</v>
      </c>
      <c r="DM177" s="138">
        <v>43525.0</v>
      </c>
      <c r="DN177" s="138">
        <v>43556.0</v>
      </c>
      <c r="DO177" s="138">
        <v>43586.0</v>
      </c>
      <c r="DP177" s="138">
        <v>43617.0</v>
      </c>
      <c r="DQ177" s="138">
        <v>43647.0</v>
      </c>
      <c r="DR177" s="138">
        <v>43678.0</v>
      </c>
      <c r="DS177" s="138">
        <v>43709.0</v>
      </c>
      <c r="DT177" s="138">
        <v>43739.0</v>
      </c>
      <c r="DU177" s="138">
        <v>43770.0</v>
      </c>
      <c r="DV177" s="138">
        <v>43800.0</v>
      </c>
      <c r="DW177" s="138">
        <v>43831.0</v>
      </c>
      <c r="DX177" s="138">
        <v>43862.0</v>
      </c>
      <c r="DY177" s="138">
        <v>43891.0</v>
      </c>
      <c r="DZ177" s="138">
        <v>43922.0</v>
      </c>
      <c r="EA177" s="138">
        <v>43952.0</v>
      </c>
      <c r="EB177" s="138">
        <v>43983.0</v>
      </c>
      <c r="EC177" s="138">
        <v>44013.0</v>
      </c>
      <c r="ED177" s="138">
        <v>44044.0</v>
      </c>
      <c r="EE177" s="138">
        <v>44075.0</v>
      </c>
      <c r="EF177" s="138">
        <v>44105.0</v>
      </c>
      <c r="EG177" s="138">
        <v>44136.0</v>
      </c>
      <c r="EH177" s="138">
        <v>44166.0</v>
      </c>
      <c r="EI177" s="138">
        <v>44197.0</v>
      </c>
      <c r="EJ177" s="138">
        <v>44228.0</v>
      </c>
      <c r="EK177" s="138">
        <v>44256.0</v>
      </c>
      <c r="EL177" s="138">
        <v>44287.0</v>
      </c>
      <c r="EM177" s="138">
        <v>44317.0</v>
      </c>
      <c r="EN177" s="138">
        <v>44348.0</v>
      </c>
      <c r="EO177" s="138">
        <v>44378.0</v>
      </c>
      <c r="EP177" s="138">
        <v>44409.0</v>
      </c>
      <c r="EQ177" s="138">
        <v>44440.0</v>
      </c>
      <c r="ER177" s="138">
        <v>44470.0</v>
      </c>
      <c r="ES177" s="138">
        <v>44501.0</v>
      </c>
      <c r="ET177" s="138">
        <v>44531.0</v>
      </c>
      <c r="EU177" s="138">
        <v>44562.0</v>
      </c>
      <c r="EV177" s="138">
        <v>44593.0</v>
      </c>
      <c r="EW177" s="138">
        <v>44621.0</v>
      </c>
      <c r="EX177" s="138">
        <v>44652.0</v>
      </c>
      <c r="EY177" s="138">
        <v>44682.0</v>
      </c>
      <c r="EZ177" s="138">
        <v>44713.0</v>
      </c>
      <c r="FA177" s="138">
        <v>44743.0</v>
      </c>
      <c r="FB177" s="138">
        <v>44774.0</v>
      </c>
      <c r="FC177" s="138">
        <v>44805.0</v>
      </c>
      <c r="FD177" s="138">
        <v>44835.0</v>
      </c>
      <c r="FE177" s="138">
        <v>44866.0</v>
      </c>
      <c r="FF177" s="138">
        <v>44896.0</v>
      </c>
      <c r="FG177" s="138">
        <v>44927.0</v>
      </c>
      <c r="FH177" s="138">
        <v>44958.0</v>
      </c>
      <c r="FI177" s="138">
        <v>44986.0</v>
      </c>
      <c r="FJ177" s="138">
        <v>45017.0</v>
      </c>
      <c r="FK177" s="138">
        <v>45047.0</v>
      </c>
      <c r="FL177" s="138">
        <v>45078.0</v>
      </c>
      <c r="FM177" s="138">
        <v>45108.0</v>
      </c>
      <c r="FN177" s="138">
        <v>45139.0</v>
      </c>
      <c r="FO177" s="138">
        <v>45170.0</v>
      </c>
      <c r="FP177" s="138">
        <v>45200.0</v>
      </c>
      <c r="FQ177" s="138">
        <v>45231.0</v>
      </c>
      <c r="FR177" s="138">
        <v>45261.0</v>
      </c>
      <c r="FS177" s="138">
        <v>45292.0</v>
      </c>
      <c r="FT177" s="138">
        <v>45323.0</v>
      </c>
      <c r="FU177" s="138">
        <v>45352.0</v>
      </c>
      <c r="FV177" s="138">
        <v>45383.0</v>
      </c>
      <c r="FW177" s="138">
        <v>45413.0</v>
      </c>
      <c r="FX177" s="138">
        <v>45444.0</v>
      </c>
      <c r="FY177" s="138">
        <v>45474.0</v>
      </c>
      <c r="FZ177" s="138">
        <v>45505.0</v>
      </c>
      <c r="GA177" s="138">
        <v>45536.0</v>
      </c>
      <c r="GB177" s="138">
        <v>45566.0</v>
      </c>
      <c r="GC177" s="138">
        <v>45597.0</v>
      </c>
      <c r="GD177" s="138">
        <v>45627.0</v>
      </c>
      <c r="GE177" s="138">
        <v>45658.0</v>
      </c>
      <c r="GF177" s="138">
        <v>45689.0</v>
      </c>
      <c r="GG177" s="138">
        <v>45717.0</v>
      </c>
      <c r="GH177" s="138">
        <v>45748.0</v>
      </c>
      <c r="GI177" s="138">
        <v>45778.0</v>
      </c>
      <c r="GJ177" s="138">
        <v>45809.0</v>
      </c>
      <c r="GK177" s="139">
        <v>45839.0</v>
      </c>
    </row>
    <row r="178">
      <c r="A178" s="132" t="s">
        <v>34210</v>
      </c>
      <c r="B178" s="133" t="s">
        <v>482</v>
      </c>
      <c r="C178" s="134">
        <v>45826.69002314815</v>
      </c>
      <c r="D178" s="135" t="str">
        <f t="shared" si="1"/>
        <v>2025/06/18</v>
      </c>
      <c r="E178" s="136" t="s">
        <v>34211</v>
      </c>
      <c r="F178" s="137">
        <v>4.5E-4</v>
      </c>
      <c r="G178" s="138">
        <v>40179.0</v>
      </c>
      <c r="H178" s="138">
        <v>40210.0</v>
      </c>
      <c r="I178" s="138">
        <v>40238.0</v>
      </c>
      <c r="J178" s="138">
        <v>40269.0</v>
      </c>
      <c r="K178" s="138">
        <v>40299.0</v>
      </c>
      <c r="L178" s="138">
        <v>40330.0</v>
      </c>
      <c r="M178" s="138">
        <v>40360.0</v>
      </c>
      <c r="N178" s="138">
        <v>40391.0</v>
      </c>
      <c r="O178" s="138">
        <v>40422.0</v>
      </c>
      <c r="P178" s="138">
        <v>40452.0</v>
      </c>
      <c r="Q178" s="138">
        <v>40483.0</v>
      </c>
      <c r="R178" s="138">
        <v>40513.0</v>
      </c>
      <c r="S178" s="138">
        <v>40544.0</v>
      </c>
      <c r="T178" s="138">
        <v>40575.0</v>
      </c>
      <c r="U178" s="138">
        <v>40603.0</v>
      </c>
      <c r="V178" s="138">
        <v>40634.0</v>
      </c>
      <c r="W178" s="138">
        <v>40664.0</v>
      </c>
      <c r="X178" s="138">
        <v>40695.0</v>
      </c>
      <c r="Y178" s="138">
        <v>40725.0</v>
      </c>
      <c r="Z178" s="138">
        <v>40756.0</v>
      </c>
      <c r="AA178" s="138">
        <v>40787.0</v>
      </c>
      <c r="AB178" s="138">
        <v>40817.0</v>
      </c>
      <c r="AC178" s="138">
        <v>40848.0</v>
      </c>
      <c r="AD178" s="138">
        <v>40878.0</v>
      </c>
      <c r="AE178" s="138">
        <v>40909.0</v>
      </c>
      <c r="AF178" s="138">
        <v>40940.0</v>
      </c>
      <c r="AG178" s="138">
        <v>40969.0</v>
      </c>
      <c r="AH178" s="138">
        <v>41000.0</v>
      </c>
      <c r="AI178" s="138">
        <v>41030.0</v>
      </c>
      <c r="AJ178" s="138">
        <v>41061.0</v>
      </c>
      <c r="AK178" s="138">
        <v>41091.0</v>
      </c>
      <c r="AL178" s="138">
        <v>41122.0</v>
      </c>
      <c r="AM178" s="138">
        <v>41153.0</v>
      </c>
      <c r="AN178" s="138">
        <v>41183.0</v>
      </c>
      <c r="AO178" s="138">
        <v>41214.0</v>
      </c>
      <c r="AP178" s="138">
        <v>41244.0</v>
      </c>
      <c r="AQ178" s="138">
        <v>41275.0</v>
      </c>
      <c r="AR178" s="138">
        <v>41306.0</v>
      </c>
      <c r="AS178" s="138">
        <v>41334.0</v>
      </c>
      <c r="AT178" s="138">
        <v>41365.0</v>
      </c>
      <c r="AU178" s="138">
        <v>41395.0</v>
      </c>
      <c r="AV178" s="138">
        <v>41426.0</v>
      </c>
      <c r="AW178" s="138">
        <v>41456.0</v>
      </c>
      <c r="AX178" s="138">
        <v>41487.0</v>
      </c>
      <c r="AY178" s="138">
        <v>41518.0</v>
      </c>
      <c r="AZ178" s="138">
        <v>41548.0</v>
      </c>
      <c r="BA178" s="138">
        <v>41579.0</v>
      </c>
      <c r="BB178" s="138">
        <v>41609.0</v>
      </c>
      <c r="BC178" s="138">
        <v>41640.0</v>
      </c>
      <c r="BD178" s="138">
        <v>41671.0</v>
      </c>
      <c r="BE178" s="138">
        <v>41699.0</v>
      </c>
      <c r="BF178" s="138">
        <v>41730.0</v>
      </c>
      <c r="BG178" s="138">
        <v>41760.0</v>
      </c>
      <c r="BH178" s="138">
        <v>41791.0</v>
      </c>
      <c r="BI178" s="138">
        <v>41821.0</v>
      </c>
      <c r="BJ178" s="138">
        <v>41852.0</v>
      </c>
      <c r="BK178" s="138">
        <v>41883.0</v>
      </c>
      <c r="BL178" s="138">
        <v>41913.0</v>
      </c>
      <c r="BM178" s="138">
        <v>41944.0</v>
      </c>
      <c r="BN178" s="138">
        <v>41974.0</v>
      </c>
      <c r="BO178" s="138">
        <v>42005.0</v>
      </c>
      <c r="BP178" s="138">
        <v>42036.0</v>
      </c>
      <c r="BQ178" s="138">
        <v>42064.0</v>
      </c>
      <c r="BR178" s="138">
        <v>42095.0</v>
      </c>
      <c r="BS178" s="138">
        <v>42125.0</v>
      </c>
      <c r="BT178" s="138">
        <v>42156.0</v>
      </c>
      <c r="BU178" s="138">
        <v>42186.0</v>
      </c>
      <c r="BV178" s="138">
        <v>42217.0</v>
      </c>
      <c r="BW178" s="138">
        <v>42248.0</v>
      </c>
      <c r="BX178" s="138">
        <v>42278.0</v>
      </c>
      <c r="BY178" s="138">
        <v>42309.0</v>
      </c>
      <c r="BZ178" s="138">
        <v>42339.0</v>
      </c>
      <c r="CA178" s="138">
        <v>42370.0</v>
      </c>
      <c r="CB178" s="138">
        <v>42401.0</v>
      </c>
      <c r="CC178" s="138">
        <v>42430.0</v>
      </c>
      <c r="CD178" s="138">
        <v>42461.0</v>
      </c>
      <c r="CE178" s="138">
        <v>42491.0</v>
      </c>
      <c r="CF178" s="138">
        <v>42522.0</v>
      </c>
      <c r="CG178" s="138">
        <v>42552.0</v>
      </c>
      <c r="CH178" s="138">
        <v>42583.0</v>
      </c>
      <c r="CI178" s="138">
        <v>42614.0</v>
      </c>
      <c r="CJ178" s="138">
        <v>42644.0</v>
      </c>
      <c r="CK178" s="138">
        <v>42675.0</v>
      </c>
      <c r="CL178" s="138">
        <v>42705.0</v>
      </c>
      <c r="CM178" s="138">
        <v>42736.0</v>
      </c>
      <c r="CN178" s="138">
        <v>42767.0</v>
      </c>
      <c r="CO178" s="138">
        <v>42795.0</v>
      </c>
      <c r="CP178" s="138">
        <v>42826.0</v>
      </c>
      <c r="CQ178" s="138">
        <v>42856.0</v>
      </c>
      <c r="CR178" s="138">
        <v>42887.0</v>
      </c>
      <c r="CS178" s="138">
        <v>42917.0</v>
      </c>
      <c r="CT178" s="138">
        <v>42948.0</v>
      </c>
      <c r="CU178" s="138">
        <v>42979.0</v>
      </c>
      <c r="CV178" s="138">
        <v>43009.0</v>
      </c>
      <c r="CW178" s="138">
        <v>43040.0</v>
      </c>
      <c r="CX178" s="138">
        <v>43070.0</v>
      </c>
      <c r="CY178" s="138">
        <v>43101.0</v>
      </c>
      <c r="CZ178" s="138">
        <v>43132.0</v>
      </c>
      <c r="DA178" s="138">
        <v>43160.0</v>
      </c>
      <c r="DB178" s="138">
        <v>43191.0</v>
      </c>
      <c r="DC178" s="138">
        <v>43221.0</v>
      </c>
      <c r="DD178" s="138">
        <v>43252.0</v>
      </c>
      <c r="DE178" s="138">
        <v>43282.0</v>
      </c>
      <c r="DF178" s="138">
        <v>43313.0</v>
      </c>
      <c r="DG178" s="138">
        <v>43344.0</v>
      </c>
      <c r="DH178" s="138">
        <v>43374.0</v>
      </c>
      <c r="DI178" s="138">
        <v>43405.0</v>
      </c>
      <c r="DJ178" s="138">
        <v>43435.0</v>
      </c>
      <c r="DK178" s="138">
        <v>43466.0</v>
      </c>
      <c r="DL178" s="138">
        <v>43497.0</v>
      </c>
      <c r="DM178" s="138">
        <v>43525.0</v>
      </c>
      <c r="DN178" s="138">
        <v>43556.0</v>
      </c>
      <c r="DO178" s="138">
        <v>43586.0</v>
      </c>
      <c r="DP178" s="138">
        <v>43617.0</v>
      </c>
      <c r="DQ178" s="138">
        <v>43647.0</v>
      </c>
      <c r="DR178" s="138">
        <v>43678.0</v>
      </c>
      <c r="DS178" s="138">
        <v>43709.0</v>
      </c>
      <c r="DT178" s="138">
        <v>43739.0</v>
      </c>
      <c r="DU178" s="138">
        <v>43770.0</v>
      </c>
      <c r="DV178" s="138">
        <v>43800.0</v>
      </c>
      <c r="DW178" s="138">
        <v>43831.0</v>
      </c>
      <c r="DX178" s="138">
        <v>43862.0</v>
      </c>
      <c r="DY178" s="138">
        <v>43891.0</v>
      </c>
      <c r="DZ178" s="138">
        <v>43922.0</v>
      </c>
      <c r="EA178" s="138">
        <v>43952.0</v>
      </c>
      <c r="EB178" s="138">
        <v>43983.0</v>
      </c>
      <c r="EC178" s="138">
        <v>44013.0</v>
      </c>
      <c r="ED178" s="138">
        <v>44044.0</v>
      </c>
      <c r="EE178" s="138">
        <v>44075.0</v>
      </c>
      <c r="EF178" s="138">
        <v>44105.0</v>
      </c>
      <c r="EG178" s="138">
        <v>44136.0</v>
      </c>
      <c r="EH178" s="138">
        <v>44166.0</v>
      </c>
      <c r="EI178" s="138">
        <v>44197.0</v>
      </c>
      <c r="EJ178" s="138">
        <v>44228.0</v>
      </c>
      <c r="EK178" s="138">
        <v>44256.0</v>
      </c>
      <c r="EL178" s="138">
        <v>44287.0</v>
      </c>
      <c r="EM178" s="138">
        <v>44317.0</v>
      </c>
      <c r="EN178" s="138">
        <v>44348.0</v>
      </c>
      <c r="EO178" s="138">
        <v>44378.0</v>
      </c>
      <c r="EP178" s="138">
        <v>44409.0</v>
      </c>
      <c r="EQ178" s="138">
        <v>44440.0</v>
      </c>
      <c r="ER178" s="138">
        <v>44470.0</v>
      </c>
      <c r="ES178" s="138">
        <v>44501.0</v>
      </c>
      <c r="ET178" s="138">
        <v>44531.0</v>
      </c>
      <c r="EU178" s="138">
        <v>44562.0</v>
      </c>
      <c r="EV178" s="138">
        <v>44593.0</v>
      </c>
      <c r="EW178" s="138">
        <v>44621.0</v>
      </c>
      <c r="EX178" s="138">
        <v>44652.0</v>
      </c>
      <c r="EY178" s="138">
        <v>44682.0</v>
      </c>
      <c r="EZ178" s="138">
        <v>44713.0</v>
      </c>
      <c r="FA178" s="138">
        <v>44743.0</v>
      </c>
      <c r="FB178" s="138">
        <v>44774.0</v>
      </c>
      <c r="FC178" s="138">
        <v>44805.0</v>
      </c>
      <c r="FD178" s="138">
        <v>44835.0</v>
      </c>
      <c r="FE178" s="138">
        <v>44866.0</v>
      </c>
      <c r="FF178" s="138">
        <v>44896.0</v>
      </c>
      <c r="FG178" s="138">
        <v>44927.0</v>
      </c>
      <c r="FH178" s="138">
        <v>44958.0</v>
      </c>
      <c r="FI178" s="138">
        <v>44986.0</v>
      </c>
      <c r="FJ178" s="138">
        <v>45017.0</v>
      </c>
      <c r="FK178" s="138">
        <v>45047.0</v>
      </c>
      <c r="FL178" s="138">
        <v>45078.0</v>
      </c>
      <c r="FM178" s="138">
        <v>45108.0</v>
      </c>
      <c r="FN178" s="138">
        <v>45139.0</v>
      </c>
      <c r="FO178" s="138">
        <v>45170.0</v>
      </c>
      <c r="FP178" s="138">
        <v>45200.0</v>
      </c>
      <c r="FQ178" s="138">
        <v>45231.0</v>
      </c>
      <c r="FR178" s="138">
        <v>45261.0</v>
      </c>
      <c r="FS178" s="138">
        <v>45292.0</v>
      </c>
      <c r="FT178" s="138">
        <v>45323.0</v>
      </c>
      <c r="FU178" s="138">
        <v>45352.0</v>
      </c>
      <c r="FV178" s="138">
        <v>45383.0</v>
      </c>
      <c r="FW178" s="138">
        <v>45413.0</v>
      </c>
      <c r="FX178" s="138">
        <v>45444.0</v>
      </c>
      <c r="FY178" s="138">
        <v>45474.0</v>
      </c>
      <c r="FZ178" s="138">
        <v>45505.0</v>
      </c>
      <c r="GA178" s="138">
        <v>45536.0</v>
      </c>
      <c r="GB178" s="138">
        <v>45566.0</v>
      </c>
      <c r="GC178" s="138">
        <v>45597.0</v>
      </c>
      <c r="GD178" s="138">
        <v>45627.0</v>
      </c>
      <c r="GE178" s="138">
        <v>45658.0</v>
      </c>
      <c r="GF178" s="138">
        <v>45689.0</v>
      </c>
      <c r="GG178" s="138">
        <v>45717.0</v>
      </c>
      <c r="GH178" s="138">
        <v>45748.0</v>
      </c>
      <c r="GI178" s="138">
        <v>45778.0</v>
      </c>
      <c r="GJ178" s="138">
        <v>45809.0</v>
      </c>
      <c r="GK178" s="139">
        <v>45839.0</v>
      </c>
    </row>
    <row r="179">
      <c r="A179" s="132" t="s">
        <v>34212</v>
      </c>
      <c r="B179" s="133" t="s">
        <v>286</v>
      </c>
      <c r="C179" s="134">
        <v>45835.421435185184</v>
      </c>
      <c r="D179" s="135" t="str">
        <f t="shared" si="1"/>
        <v>2025/06/27</v>
      </c>
      <c r="E179" s="136" t="s">
        <v>34213</v>
      </c>
      <c r="F179" s="137">
        <v>0.02411</v>
      </c>
      <c r="G179" s="138">
        <v>40179.0</v>
      </c>
      <c r="H179" s="138">
        <v>40210.0</v>
      </c>
      <c r="I179" s="138">
        <v>40238.0</v>
      </c>
      <c r="J179" s="138">
        <v>40269.0</v>
      </c>
      <c r="K179" s="138">
        <v>40299.0</v>
      </c>
      <c r="L179" s="138">
        <v>40330.0</v>
      </c>
      <c r="M179" s="138">
        <v>40360.0</v>
      </c>
      <c r="N179" s="138">
        <v>40391.0</v>
      </c>
      <c r="O179" s="138">
        <v>40422.0</v>
      </c>
      <c r="P179" s="138">
        <v>40452.0</v>
      </c>
      <c r="Q179" s="138">
        <v>40483.0</v>
      </c>
      <c r="R179" s="138">
        <v>40513.0</v>
      </c>
      <c r="S179" s="138">
        <v>40544.0</v>
      </c>
      <c r="T179" s="138">
        <v>40575.0</v>
      </c>
      <c r="U179" s="138">
        <v>40603.0</v>
      </c>
      <c r="V179" s="138">
        <v>40634.0</v>
      </c>
      <c r="W179" s="138">
        <v>40664.0</v>
      </c>
      <c r="X179" s="138">
        <v>40695.0</v>
      </c>
      <c r="Y179" s="138">
        <v>40725.0</v>
      </c>
      <c r="Z179" s="138">
        <v>40756.0</v>
      </c>
      <c r="AA179" s="138">
        <v>40787.0</v>
      </c>
      <c r="AB179" s="138">
        <v>40817.0</v>
      </c>
      <c r="AC179" s="138">
        <v>40848.0</v>
      </c>
      <c r="AD179" s="138">
        <v>40878.0</v>
      </c>
      <c r="AE179" s="138">
        <v>40909.0</v>
      </c>
      <c r="AF179" s="138">
        <v>40940.0</v>
      </c>
      <c r="AG179" s="138">
        <v>40969.0</v>
      </c>
      <c r="AH179" s="138">
        <v>41000.0</v>
      </c>
      <c r="AI179" s="138">
        <v>41030.0</v>
      </c>
      <c r="AJ179" s="138">
        <v>41061.0</v>
      </c>
      <c r="AK179" s="138">
        <v>41091.0</v>
      </c>
      <c r="AL179" s="138">
        <v>41122.0</v>
      </c>
      <c r="AM179" s="138">
        <v>41153.0</v>
      </c>
      <c r="AN179" s="138">
        <v>41183.0</v>
      </c>
      <c r="AO179" s="138">
        <v>41214.0</v>
      </c>
      <c r="AP179" s="138">
        <v>41244.0</v>
      </c>
      <c r="AQ179" s="138">
        <v>41275.0</v>
      </c>
      <c r="AR179" s="138">
        <v>41306.0</v>
      </c>
      <c r="AS179" s="138">
        <v>41334.0</v>
      </c>
      <c r="AT179" s="138">
        <v>41365.0</v>
      </c>
      <c r="AU179" s="138">
        <v>41395.0</v>
      </c>
      <c r="AV179" s="138">
        <v>41426.0</v>
      </c>
      <c r="AW179" s="138">
        <v>41456.0</v>
      </c>
      <c r="AX179" s="138">
        <v>41487.0</v>
      </c>
      <c r="AY179" s="138">
        <v>41518.0</v>
      </c>
      <c r="AZ179" s="138">
        <v>41548.0</v>
      </c>
      <c r="BA179" s="138">
        <v>41579.0</v>
      </c>
      <c r="BB179" s="138">
        <v>41609.0</v>
      </c>
      <c r="BC179" s="138">
        <v>41640.0</v>
      </c>
      <c r="BD179" s="138">
        <v>41671.0</v>
      </c>
      <c r="BE179" s="138">
        <v>41699.0</v>
      </c>
      <c r="BF179" s="138">
        <v>41730.0</v>
      </c>
      <c r="BG179" s="138">
        <v>41760.0</v>
      </c>
      <c r="BH179" s="138">
        <v>41791.0</v>
      </c>
      <c r="BI179" s="138">
        <v>41821.0</v>
      </c>
      <c r="BJ179" s="138">
        <v>41852.0</v>
      </c>
      <c r="BK179" s="138">
        <v>41883.0</v>
      </c>
      <c r="BL179" s="138">
        <v>41913.0</v>
      </c>
      <c r="BM179" s="138">
        <v>41944.0</v>
      </c>
      <c r="BN179" s="138">
        <v>41974.0</v>
      </c>
      <c r="BO179" s="138">
        <v>42005.0</v>
      </c>
      <c r="BP179" s="138">
        <v>42036.0</v>
      </c>
      <c r="BQ179" s="138">
        <v>42064.0</v>
      </c>
      <c r="BR179" s="138">
        <v>42095.0</v>
      </c>
      <c r="BS179" s="138">
        <v>42125.0</v>
      </c>
      <c r="BT179" s="138">
        <v>42156.0</v>
      </c>
      <c r="BU179" s="138">
        <v>42186.0</v>
      </c>
      <c r="BV179" s="138">
        <v>42217.0</v>
      </c>
      <c r="BW179" s="138">
        <v>42248.0</v>
      </c>
      <c r="BX179" s="138">
        <v>42278.0</v>
      </c>
      <c r="BY179" s="138">
        <v>42309.0</v>
      </c>
      <c r="BZ179" s="138">
        <v>42339.0</v>
      </c>
      <c r="CA179" s="138">
        <v>42370.0</v>
      </c>
      <c r="CB179" s="138">
        <v>42401.0</v>
      </c>
      <c r="CC179" s="138">
        <v>42430.0</v>
      </c>
      <c r="CD179" s="138">
        <v>42461.0</v>
      </c>
      <c r="CE179" s="138">
        <v>42491.0</v>
      </c>
      <c r="CF179" s="138">
        <v>42522.0</v>
      </c>
      <c r="CG179" s="138">
        <v>42552.0</v>
      </c>
      <c r="CH179" s="138">
        <v>42583.0</v>
      </c>
      <c r="CI179" s="138">
        <v>42614.0</v>
      </c>
      <c r="CJ179" s="138">
        <v>42644.0</v>
      </c>
      <c r="CK179" s="138">
        <v>42675.0</v>
      </c>
      <c r="CL179" s="138">
        <v>42705.0</v>
      </c>
      <c r="CM179" s="138">
        <v>42736.0</v>
      </c>
      <c r="CN179" s="138">
        <v>42767.0</v>
      </c>
      <c r="CO179" s="138">
        <v>42795.0</v>
      </c>
      <c r="CP179" s="138">
        <v>42826.0</v>
      </c>
      <c r="CQ179" s="138">
        <v>42856.0</v>
      </c>
      <c r="CR179" s="138">
        <v>42887.0</v>
      </c>
      <c r="CS179" s="138">
        <v>42917.0</v>
      </c>
      <c r="CT179" s="138">
        <v>42948.0</v>
      </c>
      <c r="CU179" s="138">
        <v>42979.0</v>
      </c>
      <c r="CV179" s="138">
        <v>43009.0</v>
      </c>
      <c r="CW179" s="138">
        <v>43040.0</v>
      </c>
      <c r="CX179" s="138">
        <v>43070.0</v>
      </c>
      <c r="CY179" s="138">
        <v>43101.0</v>
      </c>
      <c r="CZ179" s="138">
        <v>43132.0</v>
      </c>
      <c r="DA179" s="138">
        <v>43160.0</v>
      </c>
      <c r="DB179" s="138">
        <v>43191.0</v>
      </c>
      <c r="DC179" s="138">
        <v>43221.0</v>
      </c>
      <c r="DD179" s="138">
        <v>43252.0</v>
      </c>
      <c r="DE179" s="138">
        <v>43282.0</v>
      </c>
      <c r="DF179" s="138">
        <v>43313.0</v>
      </c>
      <c r="DG179" s="138">
        <v>43344.0</v>
      </c>
      <c r="DH179" s="138">
        <v>43374.0</v>
      </c>
      <c r="DI179" s="138">
        <v>43405.0</v>
      </c>
      <c r="DJ179" s="138">
        <v>43435.0</v>
      </c>
      <c r="DK179" s="138">
        <v>43466.0</v>
      </c>
      <c r="DL179" s="138">
        <v>43497.0</v>
      </c>
      <c r="DM179" s="138">
        <v>43525.0</v>
      </c>
      <c r="DN179" s="138">
        <v>43556.0</v>
      </c>
      <c r="DO179" s="138">
        <v>43586.0</v>
      </c>
      <c r="DP179" s="138">
        <v>43617.0</v>
      </c>
      <c r="DQ179" s="138">
        <v>43647.0</v>
      </c>
      <c r="DR179" s="138">
        <v>43678.0</v>
      </c>
      <c r="DS179" s="138">
        <v>43709.0</v>
      </c>
      <c r="DT179" s="138">
        <v>43739.0</v>
      </c>
      <c r="DU179" s="138">
        <v>43770.0</v>
      </c>
      <c r="DV179" s="138">
        <v>43800.0</v>
      </c>
      <c r="DW179" s="138">
        <v>43831.0</v>
      </c>
      <c r="DX179" s="138">
        <v>43862.0</v>
      </c>
      <c r="DY179" s="138">
        <v>43891.0</v>
      </c>
      <c r="DZ179" s="138">
        <v>43922.0</v>
      </c>
      <c r="EA179" s="138">
        <v>43952.0</v>
      </c>
      <c r="EB179" s="138">
        <v>43983.0</v>
      </c>
      <c r="EC179" s="138">
        <v>44013.0</v>
      </c>
      <c r="ED179" s="138">
        <v>44044.0</v>
      </c>
      <c r="EE179" s="138">
        <v>44075.0</v>
      </c>
      <c r="EF179" s="138">
        <v>44105.0</v>
      </c>
      <c r="EG179" s="138">
        <v>44136.0</v>
      </c>
      <c r="EH179" s="138">
        <v>44166.0</v>
      </c>
      <c r="EI179" s="138">
        <v>44197.0</v>
      </c>
      <c r="EJ179" s="138">
        <v>44228.0</v>
      </c>
      <c r="EK179" s="138">
        <v>44256.0</v>
      </c>
      <c r="EL179" s="138">
        <v>44287.0</v>
      </c>
      <c r="EM179" s="138">
        <v>44317.0</v>
      </c>
      <c r="EN179" s="138">
        <v>44348.0</v>
      </c>
      <c r="EO179" s="138">
        <v>44378.0</v>
      </c>
      <c r="EP179" s="138">
        <v>44409.0</v>
      </c>
      <c r="EQ179" s="138">
        <v>44440.0</v>
      </c>
      <c r="ER179" s="138">
        <v>44470.0</v>
      </c>
      <c r="ES179" s="138">
        <v>44501.0</v>
      </c>
      <c r="ET179" s="138">
        <v>44531.0</v>
      </c>
      <c r="EU179" s="138">
        <v>44562.0</v>
      </c>
      <c r="EV179" s="138">
        <v>44593.0</v>
      </c>
      <c r="EW179" s="138">
        <v>44621.0</v>
      </c>
      <c r="EX179" s="138">
        <v>44652.0</v>
      </c>
      <c r="EY179" s="138">
        <v>44682.0</v>
      </c>
      <c r="EZ179" s="138">
        <v>44713.0</v>
      </c>
      <c r="FA179" s="138">
        <v>44743.0</v>
      </c>
      <c r="FB179" s="138">
        <v>44774.0</v>
      </c>
      <c r="FC179" s="138">
        <v>44805.0</v>
      </c>
      <c r="FD179" s="138">
        <v>44835.0</v>
      </c>
      <c r="FE179" s="138">
        <v>44866.0</v>
      </c>
      <c r="FF179" s="138">
        <v>44896.0</v>
      </c>
      <c r="FG179" s="138">
        <v>44927.0</v>
      </c>
      <c r="FH179" s="138">
        <v>44958.0</v>
      </c>
      <c r="FI179" s="138">
        <v>44986.0</v>
      </c>
      <c r="FJ179" s="138">
        <v>45017.0</v>
      </c>
      <c r="FK179" s="138">
        <v>45047.0</v>
      </c>
      <c r="FL179" s="138">
        <v>45078.0</v>
      </c>
      <c r="FM179" s="138">
        <v>45108.0</v>
      </c>
      <c r="FN179" s="138">
        <v>45139.0</v>
      </c>
      <c r="FO179" s="138">
        <v>45170.0</v>
      </c>
      <c r="FP179" s="138">
        <v>45200.0</v>
      </c>
      <c r="FQ179" s="138">
        <v>45231.0</v>
      </c>
      <c r="FR179" s="138">
        <v>45261.0</v>
      </c>
      <c r="FS179" s="138">
        <v>45292.0</v>
      </c>
      <c r="FT179" s="138">
        <v>45323.0</v>
      </c>
      <c r="FU179" s="138">
        <v>45352.0</v>
      </c>
      <c r="FV179" s="138">
        <v>45383.0</v>
      </c>
      <c r="FW179" s="138">
        <v>45413.0</v>
      </c>
      <c r="FX179" s="138">
        <v>45444.0</v>
      </c>
      <c r="FY179" s="138">
        <v>45474.0</v>
      </c>
      <c r="FZ179" s="138">
        <v>45505.0</v>
      </c>
      <c r="GA179" s="138">
        <v>45536.0</v>
      </c>
      <c r="GB179" s="138">
        <v>45566.0</v>
      </c>
      <c r="GC179" s="138">
        <v>45597.0</v>
      </c>
      <c r="GD179" s="138">
        <v>45627.0</v>
      </c>
      <c r="GE179" s="138">
        <v>45658.0</v>
      </c>
      <c r="GF179" s="138">
        <v>45689.0</v>
      </c>
      <c r="GG179" s="138">
        <v>45717.0</v>
      </c>
      <c r="GH179" s="138">
        <v>45748.0</v>
      </c>
      <c r="GI179" s="138">
        <v>45778.0</v>
      </c>
      <c r="GJ179" s="138">
        <v>45809.0</v>
      </c>
      <c r="GK179" s="139">
        <v>45839.0</v>
      </c>
    </row>
    <row r="180">
      <c r="A180" s="132" t="s">
        <v>34214</v>
      </c>
      <c r="B180" s="133" t="s">
        <v>802</v>
      </c>
      <c r="C180" s="134">
        <v>45838.4780787037</v>
      </c>
      <c r="D180" s="135" t="str">
        <f t="shared" si="1"/>
        <v>2025/06/30</v>
      </c>
      <c r="E180" s="136" t="s">
        <v>34215</v>
      </c>
      <c r="F180" s="137">
        <v>0.0016</v>
      </c>
      <c r="G180" s="138">
        <v>40179.0</v>
      </c>
      <c r="H180" s="138">
        <v>40210.0</v>
      </c>
      <c r="I180" s="138">
        <v>40238.0</v>
      </c>
      <c r="J180" s="138">
        <v>40269.0</v>
      </c>
      <c r="K180" s="138">
        <v>40299.0</v>
      </c>
      <c r="L180" s="138">
        <v>40330.0</v>
      </c>
      <c r="M180" s="138">
        <v>40360.0</v>
      </c>
      <c r="N180" s="138">
        <v>40391.0</v>
      </c>
      <c r="O180" s="138">
        <v>40422.0</v>
      </c>
      <c r="P180" s="138">
        <v>40452.0</v>
      </c>
      <c r="Q180" s="138">
        <v>40483.0</v>
      </c>
      <c r="R180" s="138">
        <v>40513.0</v>
      </c>
      <c r="S180" s="138">
        <v>40544.0</v>
      </c>
      <c r="T180" s="138">
        <v>40575.0</v>
      </c>
      <c r="U180" s="138">
        <v>40603.0</v>
      </c>
      <c r="V180" s="138">
        <v>40634.0</v>
      </c>
      <c r="W180" s="138">
        <v>40664.0</v>
      </c>
      <c r="X180" s="138">
        <v>40695.0</v>
      </c>
      <c r="Y180" s="138">
        <v>40725.0</v>
      </c>
      <c r="Z180" s="138">
        <v>40756.0</v>
      </c>
      <c r="AA180" s="138">
        <v>40787.0</v>
      </c>
      <c r="AB180" s="138">
        <v>40817.0</v>
      </c>
      <c r="AC180" s="138">
        <v>40848.0</v>
      </c>
      <c r="AD180" s="138">
        <v>40878.0</v>
      </c>
      <c r="AE180" s="138">
        <v>40909.0</v>
      </c>
      <c r="AF180" s="138">
        <v>40940.0</v>
      </c>
      <c r="AG180" s="138">
        <v>40969.0</v>
      </c>
      <c r="AH180" s="138">
        <v>41000.0</v>
      </c>
      <c r="AI180" s="138">
        <v>41030.0</v>
      </c>
      <c r="AJ180" s="138">
        <v>41061.0</v>
      </c>
      <c r="AK180" s="138">
        <v>41091.0</v>
      </c>
      <c r="AL180" s="138">
        <v>41122.0</v>
      </c>
      <c r="AM180" s="138">
        <v>41153.0</v>
      </c>
      <c r="AN180" s="138">
        <v>41183.0</v>
      </c>
      <c r="AO180" s="138">
        <v>41214.0</v>
      </c>
      <c r="AP180" s="138">
        <v>41244.0</v>
      </c>
      <c r="AQ180" s="138">
        <v>41275.0</v>
      </c>
      <c r="AR180" s="138">
        <v>41306.0</v>
      </c>
      <c r="AS180" s="138">
        <v>41334.0</v>
      </c>
      <c r="AT180" s="138">
        <v>41365.0</v>
      </c>
      <c r="AU180" s="138">
        <v>41395.0</v>
      </c>
      <c r="AV180" s="138">
        <v>41426.0</v>
      </c>
      <c r="AW180" s="138">
        <v>41456.0</v>
      </c>
      <c r="AX180" s="138">
        <v>41487.0</v>
      </c>
      <c r="AY180" s="138">
        <v>41518.0</v>
      </c>
      <c r="AZ180" s="138">
        <v>41548.0</v>
      </c>
      <c r="BA180" s="138">
        <v>41579.0</v>
      </c>
      <c r="BB180" s="138">
        <v>41609.0</v>
      </c>
      <c r="BC180" s="138">
        <v>41640.0</v>
      </c>
      <c r="BD180" s="138">
        <v>41671.0</v>
      </c>
      <c r="BE180" s="138">
        <v>41699.0</v>
      </c>
      <c r="BF180" s="138">
        <v>41730.0</v>
      </c>
      <c r="BG180" s="138">
        <v>41760.0</v>
      </c>
      <c r="BH180" s="138">
        <v>41791.0</v>
      </c>
      <c r="BI180" s="138">
        <v>41821.0</v>
      </c>
      <c r="BJ180" s="138">
        <v>41852.0</v>
      </c>
      <c r="BK180" s="138">
        <v>41883.0</v>
      </c>
      <c r="BL180" s="138">
        <v>41913.0</v>
      </c>
      <c r="BM180" s="138">
        <v>41944.0</v>
      </c>
      <c r="BN180" s="138">
        <v>41974.0</v>
      </c>
      <c r="BO180" s="138">
        <v>42005.0</v>
      </c>
      <c r="BP180" s="138">
        <v>42036.0</v>
      </c>
      <c r="BQ180" s="138">
        <v>42064.0</v>
      </c>
      <c r="BR180" s="138">
        <v>42095.0</v>
      </c>
      <c r="BS180" s="138">
        <v>42125.0</v>
      </c>
      <c r="BT180" s="138">
        <v>42156.0</v>
      </c>
      <c r="BU180" s="138">
        <v>42186.0</v>
      </c>
      <c r="BV180" s="138">
        <v>42217.0</v>
      </c>
      <c r="BW180" s="138">
        <v>42248.0</v>
      </c>
      <c r="BX180" s="138">
        <v>42278.0</v>
      </c>
      <c r="BY180" s="138">
        <v>42309.0</v>
      </c>
      <c r="BZ180" s="138">
        <v>42339.0</v>
      </c>
      <c r="CA180" s="138">
        <v>42370.0</v>
      </c>
      <c r="CB180" s="138">
        <v>42401.0</v>
      </c>
      <c r="CC180" s="138">
        <v>42430.0</v>
      </c>
      <c r="CD180" s="138">
        <v>42461.0</v>
      </c>
      <c r="CE180" s="138">
        <v>42491.0</v>
      </c>
      <c r="CF180" s="138">
        <v>42522.0</v>
      </c>
      <c r="CG180" s="138">
        <v>42552.0</v>
      </c>
      <c r="CH180" s="138">
        <v>42583.0</v>
      </c>
      <c r="CI180" s="138">
        <v>42614.0</v>
      </c>
      <c r="CJ180" s="138">
        <v>42644.0</v>
      </c>
      <c r="CK180" s="138">
        <v>42675.0</v>
      </c>
      <c r="CL180" s="138">
        <v>42705.0</v>
      </c>
      <c r="CM180" s="138">
        <v>42736.0</v>
      </c>
      <c r="CN180" s="138">
        <v>42767.0</v>
      </c>
      <c r="CO180" s="138">
        <v>42795.0</v>
      </c>
      <c r="CP180" s="138">
        <v>42826.0</v>
      </c>
      <c r="CQ180" s="138">
        <v>42856.0</v>
      </c>
      <c r="CR180" s="138">
        <v>42887.0</v>
      </c>
      <c r="CS180" s="138">
        <v>42917.0</v>
      </c>
      <c r="CT180" s="138">
        <v>42948.0</v>
      </c>
      <c r="CU180" s="138">
        <v>42979.0</v>
      </c>
      <c r="CV180" s="138">
        <v>43009.0</v>
      </c>
      <c r="CW180" s="138">
        <v>43040.0</v>
      </c>
      <c r="CX180" s="138">
        <v>43070.0</v>
      </c>
      <c r="CY180" s="138">
        <v>43101.0</v>
      </c>
      <c r="CZ180" s="138">
        <v>43132.0</v>
      </c>
      <c r="DA180" s="138">
        <v>43160.0</v>
      </c>
      <c r="DB180" s="138">
        <v>43191.0</v>
      </c>
      <c r="DC180" s="138">
        <v>43221.0</v>
      </c>
      <c r="DD180" s="138">
        <v>43252.0</v>
      </c>
      <c r="DE180" s="138">
        <v>43282.0</v>
      </c>
      <c r="DF180" s="138">
        <v>43313.0</v>
      </c>
      <c r="DG180" s="138">
        <v>43344.0</v>
      </c>
      <c r="DH180" s="138">
        <v>43374.0</v>
      </c>
      <c r="DI180" s="138">
        <v>43405.0</v>
      </c>
      <c r="DJ180" s="138">
        <v>43435.0</v>
      </c>
      <c r="DK180" s="138">
        <v>43466.0</v>
      </c>
      <c r="DL180" s="138">
        <v>43497.0</v>
      </c>
      <c r="DM180" s="138">
        <v>43525.0</v>
      </c>
      <c r="DN180" s="138">
        <v>43556.0</v>
      </c>
      <c r="DO180" s="138">
        <v>43586.0</v>
      </c>
      <c r="DP180" s="138">
        <v>43617.0</v>
      </c>
      <c r="DQ180" s="138">
        <v>43647.0</v>
      </c>
      <c r="DR180" s="138">
        <v>43678.0</v>
      </c>
      <c r="DS180" s="138">
        <v>43709.0</v>
      </c>
      <c r="DT180" s="138">
        <v>43739.0</v>
      </c>
      <c r="DU180" s="138">
        <v>43770.0</v>
      </c>
      <c r="DV180" s="138">
        <v>43800.0</v>
      </c>
      <c r="DW180" s="138">
        <v>43831.0</v>
      </c>
      <c r="DX180" s="138">
        <v>43862.0</v>
      </c>
      <c r="DY180" s="138">
        <v>43891.0</v>
      </c>
      <c r="DZ180" s="138">
        <v>43922.0</v>
      </c>
      <c r="EA180" s="138">
        <v>43952.0</v>
      </c>
      <c r="EB180" s="138">
        <v>43983.0</v>
      </c>
      <c r="EC180" s="138">
        <v>44013.0</v>
      </c>
      <c r="ED180" s="138">
        <v>44044.0</v>
      </c>
      <c r="EE180" s="138">
        <v>44075.0</v>
      </c>
      <c r="EF180" s="138">
        <v>44105.0</v>
      </c>
      <c r="EG180" s="138">
        <v>44136.0</v>
      </c>
      <c r="EH180" s="138">
        <v>44166.0</v>
      </c>
      <c r="EI180" s="138">
        <v>44197.0</v>
      </c>
      <c r="EJ180" s="138">
        <v>44228.0</v>
      </c>
      <c r="EK180" s="138">
        <v>44256.0</v>
      </c>
      <c r="EL180" s="138">
        <v>44287.0</v>
      </c>
      <c r="EM180" s="138">
        <v>44317.0</v>
      </c>
      <c r="EN180" s="138">
        <v>44348.0</v>
      </c>
      <c r="EO180" s="138">
        <v>44378.0</v>
      </c>
      <c r="EP180" s="138">
        <v>44409.0</v>
      </c>
      <c r="EQ180" s="138">
        <v>44440.0</v>
      </c>
      <c r="ER180" s="138">
        <v>44470.0</v>
      </c>
      <c r="ES180" s="138">
        <v>44501.0</v>
      </c>
      <c r="ET180" s="138">
        <v>44531.0</v>
      </c>
      <c r="EU180" s="138">
        <v>44562.0</v>
      </c>
      <c r="EV180" s="138">
        <v>44593.0</v>
      </c>
      <c r="EW180" s="138">
        <v>44621.0</v>
      </c>
      <c r="EX180" s="138">
        <v>44652.0</v>
      </c>
      <c r="EY180" s="138">
        <v>44682.0</v>
      </c>
      <c r="EZ180" s="138">
        <v>44713.0</v>
      </c>
      <c r="FA180" s="138">
        <v>44743.0</v>
      </c>
      <c r="FB180" s="138">
        <v>44774.0</v>
      </c>
      <c r="FC180" s="138">
        <v>44805.0</v>
      </c>
      <c r="FD180" s="138">
        <v>44835.0</v>
      </c>
      <c r="FE180" s="138">
        <v>44866.0</v>
      </c>
      <c r="FF180" s="138">
        <v>44896.0</v>
      </c>
      <c r="FG180" s="138">
        <v>44927.0</v>
      </c>
      <c r="FH180" s="138">
        <v>44958.0</v>
      </c>
      <c r="FI180" s="138">
        <v>44986.0</v>
      </c>
      <c r="FJ180" s="138">
        <v>45017.0</v>
      </c>
      <c r="FK180" s="138">
        <v>45047.0</v>
      </c>
      <c r="FL180" s="138">
        <v>45078.0</v>
      </c>
      <c r="FM180" s="138">
        <v>45108.0</v>
      </c>
      <c r="FN180" s="138">
        <v>45139.0</v>
      </c>
      <c r="FO180" s="138">
        <v>45170.0</v>
      </c>
      <c r="FP180" s="138">
        <v>45200.0</v>
      </c>
      <c r="FQ180" s="138">
        <v>45231.0</v>
      </c>
      <c r="FR180" s="138">
        <v>45261.0</v>
      </c>
      <c r="FS180" s="138">
        <v>45292.0</v>
      </c>
      <c r="FT180" s="138">
        <v>45323.0</v>
      </c>
      <c r="FU180" s="138">
        <v>45352.0</v>
      </c>
      <c r="FV180" s="138">
        <v>45383.0</v>
      </c>
      <c r="FW180" s="138">
        <v>45413.0</v>
      </c>
      <c r="FX180" s="138">
        <v>45444.0</v>
      </c>
      <c r="FY180" s="138">
        <v>45474.0</v>
      </c>
      <c r="FZ180" s="138">
        <v>45505.0</v>
      </c>
      <c r="GA180" s="138">
        <v>45536.0</v>
      </c>
      <c r="GB180" s="138">
        <v>45566.0</v>
      </c>
      <c r="GC180" s="138">
        <v>45597.0</v>
      </c>
      <c r="GD180" s="138">
        <v>45627.0</v>
      </c>
      <c r="GE180" s="138">
        <v>45658.0</v>
      </c>
      <c r="GF180" s="138">
        <v>45689.0</v>
      </c>
      <c r="GG180" s="138">
        <v>45717.0</v>
      </c>
      <c r="GH180" s="138">
        <v>45748.0</v>
      </c>
      <c r="GI180" s="138">
        <v>45778.0</v>
      </c>
      <c r="GJ180" s="138">
        <v>45809.0</v>
      </c>
      <c r="GK180" s="139">
        <v>45839.0</v>
      </c>
    </row>
    <row r="181">
      <c r="A181" s="132" t="s">
        <v>34216</v>
      </c>
      <c r="B181" s="133" t="s">
        <v>9</v>
      </c>
      <c r="C181" s="134">
        <v>45839.74454861111</v>
      </c>
      <c r="D181" s="135" t="str">
        <f t="shared" si="1"/>
        <v>2025/07/01</v>
      </c>
      <c r="E181" s="136" t="s">
        <v>34217</v>
      </c>
      <c r="F181" s="137">
        <v>1.0E-5</v>
      </c>
      <c r="G181" s="138">
        <v>40179.0</v>
      </c>
      <c r="H181" s="138">
        <v>40210.0</v>
      </c>
      <c r="I181" s="138">
        <v>40238.0</v>
      </c>
      <c r="J181" s="138">
        <v>40269.0</v>
      </c>
      <c r="K181" s="138">
        <v>40299.0</v>
      </c>
      <c r="L181" s="138">
        <v>40330.0</v>
      </c>
      <c r="M181" s="138">
        <v>40360.0</v>
      </c>
      <c r="N181" s="138">
        <v>40391.0</v>
      </c>
      <c r="O181" s="138">
        <v>40422.0</v>
      </c>
      <c r="P181" s="138">
        <v>40452.0</v>
      </c>
      <c r="Q181" s="138">
        <v>40483.0</v>
      </c>
      <c r="R181" s="138">
        <v>40513.0</v>
      </c>
      <c r="S181" s="138">
        <v>40544.0</v>
      </c>
      <c r="T181" s="138">
        <v>40575.0</v>
      </c>
      <c r="U181" s="138">
        <v>40603.0</v>
      </c>
      <c r="V181" s="138">
        <v>40634.0</v>
      </c>
      <c r="W181" s="138">
        <v>40664.0</v>
      </c>
      <c r="X181" s="138">
        <v>40695.0</v>
      </c>
      <c r="Y181" s="138">
        <v>40725.0</v>
      </c>
      <c r="Z181" s="138">
        <v>40756.0</v>
      </c>
      <c r="AA181" s="138">
        <v>40787.0</v>
      </c>
      <c r="AB181" s="138">
        <v>40817.0</v>
      </c>
      <c r="AC181" s="138">
        <v>40848.0</v>
      </c>
      <c r="AD181" s="138">
        <v>40878.0</v>
      </c>
      <c r="AE181" s="138">
        <v>40909.0</v>
      </c>
      <c r="AF181" s="138">
        <v>40940.0</v>
      </c>
      <c r="AG181" s="138">
        <v>40969.0</v>
      </c>
      <c r="AH181" s="138">
        <v>41000.0</v>
      </c>
      <c r="AI181" s="138">
        <v>41030.0</v>
      </c>
      <c r="AJ181" s="138">
        <v>41061.0</v>
      </c>
      <c r="AK181" s="138">
        <v>41091.0</v>
      </c>
      <c r="AL181" s="138">
        <v>41122.0</v>
      </c>
      <c r="AM181" s="138">
        <v>41153.0</v>
      </c>
      <c r="AN181" s="138">
        <v>41183.0</v>
      </c>
      <c r="AO181" s="138">
        <v>41214.0</v>
      </c>
      <c r="AP181" s="138">
        <v>41244.0</v>
      </c>
      <c r="AQ181" s="138">
        <v>41275.0</v>
      </c>
      <c r="AR181" s="138">
        <v>41306.0</v>
      </c>
      <c r="AS181" s="138">
        <v>41334.0</v>
      </c>
      <c r="AT181" s="138">
        <v>41365.0</v>
      </c>
      <c r="AU181" s="138">
        <v>41395.0</v>
      </c>
      <c r="AV181" s="138">
        <v>41426.0</v>
      </c>
      <c r="AW181" s="138">
        <v>41456.0</v>
      </c>
      <c r="AX181" s="138">
        <v>41487.0</v>
      </c>
      <c r="AY181" s="138">
        <v>41518.0</v>
      </c>
      <c r="AZ181" s="138">
        <v>41548.0</v>
      </c>
      <c r="BA181" s="138">
        <v>41579.0</v>
      </c>
      <c r="BB181" s="138">
        <v>41609.0</v>
      </c>
      <c r="BC181" s="138">
        <v>41640.0</v>
      </c>
      <c r="BD181" s="138">
        <v>41671.0</v>
      </c>
      <c r="BE181" s="138">
        <v>41699.0</v>
      </c>
      <c r="BF181" s="138">
        <v>41730.0</v>
      </c>
      <c r="BG181" s="138">
        <v>41760.0</v>
      </c>
      <c r="BH181" s="138">
        <v>41791.0</v>
      </c>
      <c r="BI181" s="138">
        <v>41821.0</v>
      </c>
      <c r="BJ181" s="138">
        <v>41852.0</v>
      </c>
      <c r="BK181" s="138">
        <v>41883.0</v>
      </c>
      <c r="BL181" s="138">
        <v>41913.0</v>
      </c>
      <c r="BM181" s="138">
        <v>41944.0</v>
      </c>
      <c r="BN181" s="138">
        <v>41974.0</v>
      </c>
      <c r="BO181" s="138">
        <v>42005.0</v>
      </c>
      <c r="BP181" s="138">
        <v>42036.0</v>
      </c>
      <c r="BQ181" s="138">
        <v>42064.0</v>
      </c>
      <c r="BR181" s="138">
        <v>42095.0</v>
      </c>
      <c r="BS181" s="138">
        <v>42125.0</v>
      </c>
      <c r="BT181" s="138">
        <v>42156.0</v>
      </c>
      <c r="BU181" s="138">
        <v>42186.0</v>
      </c>
      <c r="BV181" s="138">
        <v>42217.0</v>
      </c>
      <c r="BW181" s="138">
        <v>42248.0</v>
      </c>
      <c r="BX181" s="138">
        <v>42278.0</v>
      </c>
      <c r="BY181" s="138">
        <v>42309.0</v>
      </c>
      <c r="BZ181" s="138">
        <v>42339.0</v>
      </c>
      <c r="CA181" s="138">
        <v>42370.0</v>
      </c>
      <c r="CB181" s="138">
        <v>42401.0</v>
      </c>
      <c r="CC181" s="138">
        <v>42430.0</v>
      </c>
      <c r="CD181" s="138">
        <v>42461.0</v>
      </c>
      <c r="CE181" s="138">
        <v>42491.0</v>
      </c>
      <c r="CF181" s="138">
        <v>42522.0</v>
      </c>
      <c r="CG181" s="138">
        <v>42552.0</v>
      </c>
      <c r="CH181" s="138">
        <v>42583.0</v>
      </c>
      <c r="CI181" s="138">
        <v>42614.0</v>
      </c>
      <c r="CJ181" s="138">
        <v>42644.0</v>
      </c>
      <c r="CK181" s="138">
        <v>42675.0</v>
      </c>
      <c r="CL181" s="138">
        <v>42705.0</v>
      </c>
      <c r="CM181" s="138">
        <v>42736.0</v>
      </c>
      <c r="CN181" s="138">
        <v>42767.0</v>
      </c>
      <c r="CO181" s="138">
        <v>42795.0</v>
      </c>
      <c r="CP181" s="138">
        <v>42826.0</v>
      </c>
      <c r="CQ181" s="138">
        <v>42856.0</v>
      </c>
      <c r="CR181" s="138">
        <v>42887.0</v>
      </c>
      <c r="CS181" s="138">
        <v>42917.0</v>
      </c>
      <c r="CT181" s="138">
        <v>42948.0</v>
      </c>
      <c r="CU181" s="138">
        <v>42979.0</v>
      </c>
      <c r="CV181" s="138">
        <v>43009.0</v>
      </c>
      <c r="CW181" s="138">
        <v>43040.0</v>
      </c>
      <c r="CX181" s="138">
        <v>43070.0</v>
      </c>
      <c r="CY181" s="138">
        <v>43101.0</v>
      </c>
      <c r="CZ181" s="138">
        <v>43132.0</v>
      </c>
      <c r="DA181" s="138">
        <v>43160.0</v>
      </c>
      <c r="DB181" s="138">
        <v>43191.0</v>
      </c>
      <c r="DC181" s="138">
        <v>43221.0</v>
      </c>
      <c r="DD181" s="138">
        <v>43252.0</v>
      </c>
      <c r="DE181" s="138">
        <v>43282.0</v>
      </c>
      <c r="DF181" s="138">
        <v>43313.0</v>
      </c>
      <c r="DG181" s="138">
        <v>43344.0</v>
      </c>
      <c r="DH181" s="138">
        <v>43374.0</v>
      </c>
      <c r="DI181" s="138">
        <v>43405.0</v>
      </c>
      <c r="DJ181" s="138">
        <v>43435.0</v>
      </c>
      <c r="DK181" s="138">
        <v>43466.0</v>
      </c>
      <c r="DL181" s="138">
        <v>43497.0</v>
      </c>
      <c r="DM181" s="138">
        <v>43525.0</v>
      </c>
      <c r="DN181" s="138">
        <v>43556.0</v>
      </c>
      <c r="DO181" s="138">
        <v>43586.0</v>
      </c>
      <c r="DP181" s="138">
        <v>43617.0</v>
      </c>
      <c r="DQ181" s="138">
        <v>43647.0</v>
      </c>
      <c r="DR181" s="138">
        <v>43678.0</v>
      </c>
      <c r="DS181" s="138">
        <v>43709.0</v>
      </c>
      <c r="DT181" s="138">
        <v>43739.0</v>
      </c>
      <c r="DU181" s="138">
        <v>43770.0</v>
      </c>
      <c r="DV181" s="138">
        <v>43800.0</v>
      </c>
      <c r="DW181" s="138">
        <v>43831.0</v>
      </c>
      <c r="DX181" s="138">
        <v>43862.0</v>
      </c>
      <c r="DY181" s="138">
        <v>43891.0</v>
      </c>
      <c r="DZ181" s="138">
        <v>43922.0</v>
      </c>
      <c r="EA181" s="138">
        <v>43952.0</v>
      </c>
      <c r="EB181" s="138">
        <v>43983.0</v>
      </c>
      <c r="EC181" s="138">
        <v>44013.0</v>
      </c>
      <c r="ED181" s="138">
        <v>44044.0</v>
      </c>
      <c r="EE181" s="138">
        <v>44075.0</v>
      </c>
      <c r="EF181" s="138">
        <v>44105.0</v>
      </c>
      <c r="EG181" s="138">
        <v>44136.0</v>
      </c>
      <c r="EH181" s="138">
        <v>44166.0</v>
      </c>
      <c r="EI181" s="138">
        <v>44197.0</v>
      </c>
      <c r="EJ181" s="138">
        <v>44228.0</v>
      </c>
      <c r="EK181" s="138">
        <v>44256.0</v>
      </c>
      <c r="EL181" s="138">
        <v>44287.0</v>
      </c>
      <c r="EM181" s="138">
        <v>44317.0</v>
      </c>
      <c r="EN181" s="138">
        <v>44348.0</v>
      </c>
      <c r="EO181" s="138">
        <v>44378.0</v>
      </c>
      <c r="EP181" s="138">
        <v>44409.0</v>
      </c>
      <c r="EQ181" s="138">
        <v>44440.0</v>
      </c>
      <c r="ER181" s="138">
        <v>44470.0</v>
      </c>
      <c r="ES181" s="138">
        <v>44501.0</v>
      </c>
      <c r="ET181" s="138">
        <v>44531.0</v>
      </c>
      <c r="EU181" s="138">
        <v>44562.0</v>
      </c>
      <c r="EV181" s="138">
        <v>44593.0</v>
      </c>
      <c r="EW181" s="138">
        <v>44621.0</v>
      </c>
      <c r="EX181" s="138">
        <v>44652.0</v>
      </c>
      <c r="EY181" s="138">
        <v>44682.0</v>
      </c>
      <c r="EZ181" s="138">
        <v>44713.0</v>
      </c>
      <c r="FA181" s="138">
        <v>44743.0</v>
      </c>
      <c r="FB181" s="138">
        <v>44774.0</v>
      </c>
      <c r="FC181" s="138">
        <v>44805.0</v>
      </c>
      <c r="FD181" s="138">
        <v>44835.0</v>
      </c>
      <c r="FE181" s="138">
        <v>44866.0</v>
      </c>
      <c r="FF181" s="138">
        <v>44896.0</v>
      </c>
      <c r="FG181" s="138">
        <v>44927.0</v>
      </c>
      <c r="FH181" s="138">
        <v>44958.0</v>
      </c>
      <c r="FI181" s="138">
        <v>44986.0</v>
      </c>
      <c r="FJ181" s="138">
        <v>45017.0</v>
      </c>
      <c r="FK181" s="138">
        <v>45047.0</v>
      </c>
      <c r="FL181" s="138">
        <v>45078.0</v>
      </c>
      <c r="FM181" s="138">
        <v>45108.0</v>
      </c>
      <c r="FN181" s="138">
        <v>45139.0</v>
      </c>
      <c r="FO181" s="138">
        <v>45170.0</v>
      </c>
      <c r="FP181" s="138">
        <v>45200.0</v>
      </c>
      <c r="FQ181" s="138">
        <v>45231.0</v>
      </c>
      <c r="FR181" s="138">
        <v>45261.0</v>
      </c>
      <c r="FS181" s="138">
        <v>45292.0</v>
      </c>
      <c r="FT181" s="138">
        <v>45323.0</v>
      </c>
      <c r="FU181" s="138">
        <v>45352.0</v>
      </c>
      <c r="FV181" s="138">
        <v>45383.0</v>
      </c>
      <c r="FW181" s="138">
        <v>45413.0</v>
      </c>
      <c r="FX181" s="138">
        <v>45444.0</v>
      </c>
      <c r="FY181" s="138">
        <v>45474.0</v>
      </c>
      <c r="FZ181" s="138">
        <v>45505.0</v>
      </c>
      <c r="GA181" s="138">
        <v>45536.0</v>
      </c>
      <c r="GB181" s="138">
        <v>45566.0</v>
      </c>
      <c r="GC181" s="138">
        <v>45597.0</v>
      </c>
      <c r="GD181" s="138">
        <v>45627.0</v>
      </c>
      <c r="GE181" s="138">
        <v>45658.0</v>
      </c>
      <c r="GF181" s="138">
        <v>45689.0</v>
      </c>
      <c r="GG181" s="138">
        <v>45717.0</v>
      </c>
      <c r="GH181" s="138">
        <v>45748.0</v>
      </c>
      <c r="GI181" s="138">
        <v>45778.0</v>
      </c>
      <c r="GJ181" s="138">
        <v>45809.0</v>
      </c>
      <c r="GK181" s="138">
        <v>45839.0</v>
      </c>
    </row>
    <row r="182">
      <c r="A182" s="132" t="s">
        <v>34218</v>
      </c>
      <c r="B182" s="133" t="s">
        <v>1111</v>
      </c>
      <c r="C182" s="134">
        <v>45841.560740740744</v>
      </c>
      <c r="D182" s="135" t="str">
        <f t="shared" si="1"/>
        <v>2025/07/03</v>
      </c>
      <c r="E182" s="136" t="s">
        <v>34002</v>
      </c>
      <c r="F182" s="137">
        <v>1.0E-5</v>
      </c>
      <c r="G182" s="138">
        <v>40179.0</v>
      </c>
      <c r="H182" s="138">
        <v>40210.0</v>
      </c>
      <c r="I182" s="138">
        <v>40238.0</v>
      </c>
      <c r="J182" s="138">
        <v>40269.0</v>
      </c>
      <c r="K182" s="138">
        <v>40299.0</v>
      </c>
      <c r="L182" s="138">
        <v>40330.0</v>
      </c>
      <c r="M182" s="138">
        <v>40360.0</v>
      </c>
      <c r="N182" s="138">
        <v>40391.0</v>
      </c>
      <c r="O182" s="138">
        <v>40422.0</v>
      </c>
      <c r="P182" s="138">
        <v>40452.0</v>
      </c>
      <c r="Q182" s="138">
        <v>40483.0</v>
      </c>
      <c r="R182" s="138">
        <v>40513.0</v>
      </c>
      <c r="S182" s="138">
        <v>40544.0</v>
      </c>
      <c r="T182" s="138">
        <v>40575.0</v>
      </c>
      <c r="U182" s="138">
        <v>40603.0</v>
      </c>
      <c r="V182" s="138">
        <v>40634.0</v>
      </c>
      <c r="W182" s="138">
        <v>40664.0</v>
      </c>
      <c r="X182" s="138">
        <v>40695.0</v>
      </c>
      <c r="Y182" s="138">
        <v>40725.0</v>
      </c>
      <c r="Z182" s="138">
        <v>40756.0</v>
      </c>
      <c r="AA182" s="138">
        <v>40787.0</v>
      </c>
      <c r="AB182" s="138">
        <v>40817.0</v>
      </c>
      <c r="AC182" s="138">
        <v>40848.0</v>
      </c>
      <c r="AD182" s="138">
        <v>40878.0</v>
      </c>
      <c r="AE182" s="138">
        <v>40909.0</v>
      </c>
      <c r="AF182" s="138">
        <v>40940.0</v>
      </c>
      <c r="AG182" s="138">
        <v>40969.0</v>
      </c>
      <c r="AH182" s="138">
        <v>41000.0</v>
      </c>
      <c r="AI182" s="138">
        <v>41030.0</v>
      </c>
      <c r="AJ182" s="138">
        <v>41061.0</v>
      </c>
      <c r="AK182" s="138">
        <v>41091.0</v>
      </c>
      <c r="AL182" s="138">
        <v>41122.0</v>
      </c>
      <c r="AM182" s="138">
        <v>41153.0</v>
      </c>
      <c r="AN182" s="138">
        <v>41183.0</v>
      </c>
      <c r="AO182" s="138">
        <v>41214.0</v>
      </c>
      <c r="AP182" s="138">
        <v>41244.0</v>
      </c>
      <c r="AQ182" s="138">
        <v>41275.0</v>
      </c>
      <c r="AR182" s="138">
        <v>41306.0</v>
      </c>
      <c r="AS182" s="138">
        <v>41334.0</v>
      </c>
      <c r="AT182" s="138">
        <v>41365.0</v>
      </c>
      <c r="AU182" s="138">
        <v>41395.0</v>
      </c>
      <c r="AV182" s="138">
        <v>41426.0</v>
      </c>
      <c r="AW182" s="138">
        <v>41456.0</v>
      </c>
      <c r="AX182" s="138">
        <v>41487.0</v>
      </c>
      <c r="AY182" s="138">
        <v>41518.0</v>
      </c>
      <c r="AZ182" s="138">
        <v>41548.0</v>
      </c>
      <c r="BA182" s="138">
        <v>41579.0</v>
      </c>
      <c r="BB182" s="138">
        <v>41609.0</v>
      </c>
      <c r="BC182" s="138">
        <v>41640.0</v>
      </c>
      <c r="BD182" s="138">
        <v>41671.0</v>
      </c>
      <c r="BE182" s="138">
        <v>41699.0</v>
      </c>
      <c r="BF182" s="138">
        <v>41730.0</v>
      </c>
      <c r="BG182" s="138">
        <v>41760.0</v>
      </c>
      <c r="BH182" s="138">
        <v>41791.0</v>
      </c>
      <c r="BI182" s="138">
        <v>41821.0</v>
      </c>
      <c r="BJ182" s="138">
        <v>41852.0</v>
      </c>
      <c r="BK182" s="138">
        <v>41883.0</v>
      </c>
      <c r="BL182" s="138">
        <v>41913.0</v>
      </c>
      <c r="BM182" s="138">
        <v>41944.0</v>
      </c>
      <c r="BN182" s="138">
        <v>41974.0</v>
      </c>
      <c r="BO182" s="138">
        <v>42005.0</v>
      </c>
      <c r="BP182" s="138">
        <v>42036.0</v>
      </c>
      <c r="BQ182" s="138">
        <v>42064.0</v>
      </c>
      <c r="BR182" s="138">
        <v>42095.0</v>
      </c>
      <c r="BS182" s="138">
        <v>42125.0</v>
      </c>
      <c r="BT182" s="138">
        <v>42156.0</v>
      </c>
      <c r="BU182" s="138">
        <v>42186.0</v>
      </c>
      <c r="BV182" s="138">
        <v>42217.0</v>
      </c>
      <c r="BW182" s="138">
        <v>42248.0</v>
      </c>
      <c r="BX182" s="138">
        <v>42278.0</v>
      </c>
      <c r="BY182" s="138">
        <v>42309.0</v>
      </c>
      <c r="BZ182" s="138">
        <v>42339.0</v>
      </c>
      <c r="CA182" s="138">
        <v>42370.0</v>
      </c>
      <c r="CB182" s="138">
        <v>42401.0</v>
      </c>
      <c r="CC182" s="138">
        <v>42430.0</v>
      </c>
      <c r="CD182" s="138">
        <v>42461.0</v>
      </c>
      <c r="CE182" s="138">
        <v>42491.0</v>
      </c>
      <c r="CF182" s="138">
        <v>42522.0</v>
      </c>
      <c r="CG182" s="138">
        <v>42552.0</v>
      </c>
      <c r="CH182" s="138">
        <v>42583.0</v>
      </c>
      <c r="CI182" s="138">
        <v>42614.0</v>
      </c>
      <c r="CJ182" s="138">
        <v>42644.0</v>
      </c>
      <c r="CK182" s="138">
        <v>42675.0</v>
      </c>
      <c r="CL182" s="138">
        <v>42705.0</v>
      </c>
      <c r="CM182" s="138">
        <v>42736.0</v>
      </c>
      <c r="CN182" s="138">
        <v>42767.0</v>
      </c>
      <c r="CO182" s="138">
        <v>42795.0</v>
      </c>
      <c r="CP182" s="138">
        <v>42826.0</v>
      </c>
      <c r="CQ182" s="138">
        <v>42856.0</v>
      </c>
      <c r="CR182" s="138">
        <v>42887.0</v>
      </c>
      <c r="CS182" s="138">
        <v>42917.0</v>
      </c>
      <c r="CT182" s="138">
        <v>42948.0</v>
      </c>
      <c r="CU182" s="138">
        <v>42979.0</v>
      </c>
      <c r="CV182" s="138">
        <v>43009.0</v>
      </c>
      <c r="CW182" s="138">
        <v>43040.0</v>
      </c>
      <c r="CX182" s="138">
        <v>43070.0</v>
      </c>
      <c r="CY182" s="138">
        <v>43101.0</v>
      </c>
      <c r="CZ182" s="138">
        <v>43132.0</v>
      </c>
      <c r="DA182" s="138">
        <v>43160.0</v>
      </c>
      <c r="DB182" s="138">
        <v>43191.0</v>
      </c>
      <c r="DC182" s="138">
        <v>43221.0</v>
      </c>
      <c r="DD182" s="138">
        <v>43252.0</v>
      </c>
      <c r="DE182" s="138">
        <v>43282.0</v>
      </c>
      <c r="DF182" s="138">
        <v>43313.0</v>
      </c>
      <c r="DG182" s="138">
        <v>43344.0</v>
      </c>
      <c r="DH182" s="138">
        <v>43374.0</v>
      </c>
      <c r="DI182" s="138">
        <v>43405.0</v>
      </c>
      <c r="DJ182" s="138">
        <v>43435.0</v>
      </c>
      <c r="DK182" s="138">
        <v>43466.0</v>
      </c>
      <c r="DL182" s="138">
        <v>43497.0</v>
      </c>
      <c r="DM182" s="138">
        <v>43525.0</v>
      </c>
      <c r="DN182" s="138">
        <v>43556.0</v>
      </c>
      <c r="DO182" s="138">
        <v>43586.0</v>
      </c>
      <c r="DP182" s="138">
        <v>43617.0</v>
      </c>
      <c r="DQ182" s="138">
        <v>43647.0</v>
      </c>
      <c r="DR182" s="138">
        <v>43678.0</v>
      </c>
      <c r="DS182" s="138">
        <v>43709.0</v>
      </c>
      <c r="DT182" s="138">
        <v>43739.0</v>
      </c>
      <c r="DU182" s="138">
        <v>43770.0</v>
      </c>
      <c r="DV182" s="138">
        <v>43800.0</v>
      </c>
      <c r="DW182" s="138">
        <v>43831.0</v>
      </c>
      <c r="DX182" s="138">
        <v>43862.0</v>
      </c>
      <c r="DY182" s="138">
        <v>43891.0</v>
      </c>
      <c r="DZ182" s="138">
        <v>43922.0</v>
      </c>
      <c r="EA182" s="138">
        <v>43952.0</v>
      </c>
      <c r="EB182" s="138">
        <v>43983.0</v>
      </c>
      <c r="EC182" s="138">
        <v>44013.0</v>
      </c>
      <c r="ED182" s="138">
        <v>44044.0</v>
      </c>
      <c r="EE182" s="138">
        <v>44075.0</v>
      </c>
      <c r="EF182" s="138">
        <v>44105.0</v>
      </c>
      <c r="EG182" s="138">
        <v>44136.0</v>
      </c>
      <c r="EH182" s="138">
        <v>44166.0</v>
      </c>
      <c r="EI182" s="138">
        <v>44197.0</v>
      </c>
      <c r="EJ182" s="138">
        <v>44228.0</v>
      </c>
      <c r="EK182" s="138">
        <v>44256.0</v>
      </c>
      <c r="EL182" s="138">
        <v>44287.0</v>
      </c>
      <c r="EM182" s="138">
        <v>44317.0</v>
      </c>
      <c r="EN182" s="138">
        <v>44348.0</v>
      </c>
      <c r="EO182" s="138">
        <v>44378.0</v>
      </c>
      <c r="EP182" s="138">
        <v>44409.0</v>
      </c>
      <c r="EQ182" s="138">
        <v>44440.0</v>
      </c>
      <c r="ER182" s="138">
        <v>44470.0</v>
      </c>
      <c r="ES182" s="138">
        <v>44501.0</v>
      </c>
      <c r="ET182" s="138">
        <v>44531.0</v>
      </c>
      <c r="EU182" s="138">
        <v>44562.0</v>
      </c>
      <c r="EV182" s="138">
        <v>44593.0</v>
      </c>
      <c r="EW182" s="138">
        <v>44621.0</v>
      </c>
      <c r="EX182" s="138">
        <v>44652.0</v>
      </c>
      <c r="EY182" s="138">
        <v>44682.0</v>
      </c>
      <c r="EZ182" s="138">
        <v>44713.0</v>
      </c>
      <c r="FA182" s="138">
        <v>44743.0</v>
      </c>
      <c r="FB182" s="138">
        <v>44774.0</v>
      </c>
      <c r="FC182" s="138">
        <v>44805.0</v>
      </c>
      <c r="FD182" s="138">
        <v>44835.0</v>
      </c>
      <c r="FE182" s="138">
        <v>44866.0</v>
      </c>
      <c r="FF182" s="138">
        <v>44896.0</v>
      </c>
      <c r="FG182" s="138">
        <v>44927.0</v>
      </c>
      <c r="FH182" s="138">
        <v>44958.0</v>
      </c>
      <c r="FI182" s="138">
        <v>44986.0</v>
      </c>
      <c r="FJ182" s="138">
        <v>45017.0</v>
      </c>
      <c r="FK182" s="138">
        <v>45047.0</v>
      </c>
      <c r="FL182" s="138">
        <v>45078.0</v>
      </c>
      <c r="FM182" s="138">
        <v>45108.0</v>
      </c>
      <c r="FN182" s="138">
        <v>45139.0</v>
      </c>
      <c r="FO182" s="138">
        <v>45170.0</v>
      </c>
      <c r="FP182" s="138">
        <v>45200.0</v>
      </c>
      <c r="FQ182" s="138">
        <v>45231.0</v>
      </c>
      <c r="FR182" s="138">
        <v>45261.0</v>
      </c>
      <c r="FS182" s="138">
        <v>45292.0</v>
      </c>
      <c r="FT182" s="138">
        <v>45323.0</v>
      </c>
      <c r="FU182" s="138">
        <v>45352.0</v>
      </c>
      <c r="FV182" s="138">
        <v>45383.0</v>
      </c>
      <c r="FW182" s="138">
        <v>45413.0</v>
      </c>
      <c r="FX182" s="138">
        <v>45444.0</v>
      </c>
      <c r="FY182" s="138">
        <v>45474.0</v>
      </c>
      <c r="FZ182" s="138">
        <v>45505.0</v>
      </c>
      <c r="GA182" s="138">
        <v>45536.0</v>
      </c>
      <c r="GB182" s="138">
        <v>45566.0</v>
      </c>
      <c r="GC182" s="138">
        <v>45597.0</v>
      </c>
      <c r="GD182" s="138">
        <v>45627.0</v>
      </c>
      <c r="GE182" s="138">
        <v>45658.0</v>
      </c>
      <c r="GF182" s="138">
        <v>45689.0</v>
      </c>
      <c r="GG182" s="138">
        <v>45717.0</v>
      </c>
      <c r="GH182" s="138">
        <v>45748.0</v>
      </c>
      <c r="GI182" s="138">
        <v>45778.0</v>
      </c>
      <c r="GJ182" s="138">
        <v>45809.0</v>
      </c>
      <c r="GK182" s="138">
        <v>45839.0</v>
      </c>
    </row>
    <row r="183">
      <c r="A183" s="132" t="s">
        <v>34219</v>
      </c>
      <c r="B183" s="133" t="s">
        <v>1111</v>
      </c>
      <c r="C183" s="134">
        <v>45842.672638888886</v>
      </c>
      <c r="D183" s="135" t="str">
        <f t="shared" si="1"/>
        <v>2025/07/04</v>
      </c>
      <c r="E183" s="136" t="s">
        <v>34220</v>
      </c>
      <c r="F183" s="137">
        <v>4.0E-5</v>
      </c>
      <c r="G183" s="138">
        <v>40179.0</v>
      </c>
      <c r="H183" s="138">
        <v>40210.0</v>
      </c>
      <c r="I183" s="138">
        <v>40238.0</v>
      </c>
      <c r="J183" s="138">
        <v>40269.0</v>
      </c>
      <c r="K183" s="138">
        <v>40299.0</v>
      </c>
      <c r="L183" s="138">
        <v>40330.0</v>
      </c>
      <c r="M183" s="138">
        <v>40360.0</v>
      </c>
      <c r="N183" s="138">
        <v>40391.0</v>
      </c>
      <c r="O183" s="138">
        <v>40422.0</v>
      </c>
      <c r="P183" s="138">
        <v>40452.0</v>
      </c>
      <c r="Q183" s="138">
        <v>40483.0</v>
      </c>
      <c r="R183" s="138">
        <v>40513.0</v>
      </c>
      <c r="S183" s="138">
        <v>40544.0</v>
      </c>
      <c r="T183" s="138">
        <v>40575.0</v>
      </c>
      <c r="U183" s="138">
        <v>40603.0</v>
      </c>
      <c r="V183" s="138">
        <v>40634.0</v>
      </c>
      <c r="W183" s="138">
        <v>40664.0</v>
      </c>
      <c r="X183" s="138">
        <v>40695.0</v>
      </c>
      <c r="Y183" s="138">
        <v>40725.0</v>
      </c>
      <c r="Z183" s="138">
        <v>40756.0</v>
      </c>
      <c r="AA183" s="138">
        <v>40787.0</v>
      </c>
      <c r="AB183" s="138">
        <v>40817.0</v>
      </c>
      <c r="AC183" s="138">
        <v>40848.0</v>
      </c>
      <c r="AD183" s="138">
        <v>40878.0</v>
      </c>
      <c r="AE183" s="138">
        <v>40909.0</v>
      </c>
      <c r="AF183" s="138">
        <v>40940.0</v>
      </c>
      <c r="AG183" s="138">
        <v>40969.0</v>
      </c>
      <c r="AH183" s="138">
        <v>41000.0</v>
      </c>
      <c r="AI183" s="138">
        <v>41030.0</v>
      </c>
      <c r="AJ183" s="138">
        <v>41061.0</v>
      </c>
      <c r="AK183" s="138">
        <v>41091.0</v>
      </c>
      <c r="AL183" s="138">
        <v>41122.0</v>
      </c>
      <c r="AM183" s="138">
        <v>41153.0</v>
      </c>
      <c r="AN183" s="138">
        <v>41183.0</v>
      </c>
      <c r="AO183" s="138">
        <v>41214.0</v>
      </c>
      <c r="AP183" s="138">
        <v>41244.0</v>
      </c>
      <c r="AQ183" s="138">
        <v>41275.0</v>
      </c>
      <c r="AR183" s="138">
        <v>41306.0</v>
      </c>
      <c r="AS183" s="138">
        <v>41334.0</v>
      </c>
      <c r="AT183" s="138">
        <v>41365.0</v>
      </c>
      <c r="AU183" s="138">
        <v>41395.0</v>
      </c>
      <c r="AV183" s="138">
        <v>41426.0</v>
      </c>
      <c r="AW183" s="138">
        <v>41456.0</v>
      </c>
      <c r="AX183" s="138">
        <v>41487.0</v>
      </c>
      <c r="AY183" s="138">
        <v>41518.0</v>
      </c>
      <c r="AZ183" s="138">
        <v>41548.0</v>
      </c>
      <c r="BA183" s="138">
        <v>41579.0</v>
      </c>
      <c r="BB183" s="138">
        <v>41609.0</v>
      </c>
      <c r="BC183" s="138">
        <v>41640.0</v>
      </c>
      <c r="BD183" s="138">
        <v>41671.0</v>
      </c>
      <c r="BE183" s="138">
        <v>41699.0</v>
      </c>
      <c r="BF183" s="138">
        <v>41730.0</v>
      </c>
      <c r="BG183" s="138">
        <v>41760.0</v>
      </c>
      <c r="BH183" s="138">
        <v>41791.0</v>
      </c>
      <c r="BI183" s="138">
        <v>41821.0</v>
      </c>
      <c r="BJ183" s="138">
        <v>41852.0</v>
      </c>
      <c r="BK183" s="138">
        <v>41883.0</v>
      </c>
      <c r="BL183" s="138">
        <v>41913.0</v>
      </c>
      <c r="BM183" s="138">
        <v>41944.0</v>
      </c>
      <c r="BN183" s="138">
        <v>41974.0</v>
      </c>
      <c r="BO183" s="138">
        <v>42005.0</v>
      </c>
      <c r="BP183" s="138">
        <v>42036.0</v>
      </c>
      <c r="BQ183" s="138">
        <v>42064.0</v>
      </c>
      <c r="BR183" s="138">
        <v>42095.0</v>
      </c>
      <c r="BS183" s="138">
        <v>42125.0</v>
      </c>
      <c r="BT183" s="138">
        <v>42156.0</v>
      </c>
      <c r="BU183" s="138">
        <v>42186.0</v>
      </c>
      <c r="BV183" s="138">
        <v>42217.0</v>
      </c>
      <c r="BW183" s="138">
        <v>42248.0</v>
      </c>
      <c r="BX183" s="138">
        <v>42278.0</v>
      </c>
      <c r="BY183" s="138">
        <v>42309.0</v>
      </c>
      <c r="BZ183" s="138">
        <v>42339.0</v>
      </c>
      <c r="CA183" s="138">
        <v>42370.0</v>
      </c>
      <c r="CB183" s="138">
        <v>42401.0</v>
      </c>
      <c r="CC183" s="138">
        <v>42430.0</v>
      </c>
      <c r="CD183" s="138">
        <v>42461.0</v>
      </c>
      <c r="CE183" s="138">
        <v>42491.0</v>
      </c>
      <c r="CF183" s="138">
        <v>42522.0</v>
      </c>
      <c r="CG183" s="138">
        <v>42552.0</v>
      </c>
      <c r="CH183" s="138">
        <v>42583.0</v>
      </c>
      <c r="CI183" s="138">
        <v>42614.0</v>
      </c>
      <c r="CJ183" s="138">
        <v>42644.0</v>
      </c>
      <c r="CK183" s="138">
        <v>42675.0</v>
      </c>
      <c r="CL183" s="138">
        <v>42705.0</v>
      </c>
      <c r="CM183" s="138">
        <v>42736.0</v>
      </c>
      <c r="CN183" s="138">
        <v>42767.0</v>
      </c>
      <c r="CO183" s="138">
        <v>42795.0</v>
      </c>
      <c r="CP183" s="138">
        <v>42826.0</v>
      </c>
      <c r="CQ183" s="138">
        <v>42856.0</v>
      </c>
      <c r="CR183" s="138">
        <v>42887.0</v>
      </c>
      <c r="CS183" s="138">
        <v>42917.0</v>
      </c>
      <c r="CT183" s="138">
        <v>42948.0</v>
      </c>
      <c r="CU183" s="138">
        <v>42979.0</v>
      </c>
      <c r="CV183" s="138">
        <v>43009.0</v>
      </c>
      <c r="CW183" s="138">
        <v>43040.0</v>
      </c>
      <c r="CX183" s="138">
        <v>43070.0</v>
      </c>
      <c r="CY183" s="138">
        <v>43101.0</v>
      </c>
      <c r="CZ183" s="138">
        <v>43132.0</v>
      </c>
      <c r="DA183" s="138">
        <v>43160.0</v>
      </c>
      <c r="DB183" s="138">
        <v>43191.0</v>
      </c>
      <c r="DC183" s="138">
        <v>43221.0</v>
      </c>
      <c r="DD183" s="138">
        <v>43252.0</v>
      </c>
      <c r="DE183" s="138">
        <v>43282.0</v>
      </c>
      <c r="DF183" s="138">
        <v>43313.0</v>
      </c>
      <c r="DG183" s="138">
        <v>43344.0</v>
      </c>
      <c r="DH183" s="138">
        <v>43374.0</v>
      </c>
      <c r="DI183" s="138">
        <v>43405.0</v>
      </c>
      <c r="DJ183" s="138">
        <v>43435.0</v>
      </c>
      <c r="DK183" s="138">
        <v>43466.0</v>
      </c>
      <c r="DL183" s="138">
        <v>43497.0</v>
      </c>
      <c r="DM183" s="138">
        <v>43525.0</v>
      </c>
      <c r="DN183" s="138">
        <v>43556.0</v>
      </c>
      <c r="DO183" s="138">
        <v>43586.0</v>
      </c>
      <c r="DP183" s="138">
        <v>43617.0</v>
      </c>
      <c r="DQ183" s="138">
        <v>43647.0</v>
      </c>
      <c r="DR183" s="138">
        <v>43678.0</v>
      </c>
      <c r="DS183" s="138">
        <v>43709.0</v>
      </c>
      <c r="DT183" s="138">
        <v>43739.0</v>
      </c>
      <c r="DU183" s="138">
        <v>43770.0</v>
      </c>
      <c r="DV183" s="138">
        <v>43800.0</v>
      </c>
      <c r="DW183" s="138">
        <v>43831.0</v>
      </c>
      <c r="DX183" s="138">
        <v>43862.0</v>
      </c>
      <c r="DY183" s="138">
        <v>43891.0</v>
      </c>
      <c r="DZ183" s="138">
        <v>43922.0</v>
      </c>
      <c r="EA183" s="138">
        <v>43952.0</v>
      </c>
      <c r="EB183" s="138">
        <v>43983.0</v>
      </c>
      <c r="EC183" s="138">
        <v>44013.0</v>
      </c>
      <c r="ED183" s="138">
        <v>44044.0</v>
      </c>
      <c r="EE183" s="138">
        <v>44075.0</v>
      </c>
      <c r="EF183" s="138">
        <v>44105.0</v>
      </c>
      <c r="EG183" s="138">
        <v>44136.0</v>
      </c>
      <c r="EH183" s="138">
        <v>44166.0</v>
      </c>
      <c r="EI183" s="138">
        <v>44197.0</v>
      </c>
      <c r="EJ183" s="138">
        <v>44228.0</v>
      </c>
      <c r="EK183" s="138">
        <v>44256.0</v>
      </c>
      <c r="EL183" s="138">
        <v>44287.0</v>
      </c>
      <c r="EM183" s="138">
        <v>44317.0</v>
      </c>
      <c r="EN183" s="138">
        <v>44348.0</v>
      </c>
      <c r="EO183" s="138">
        <v>44378.0</v>
      </c>
      <c r="EP183" s="138">
        <v>44409.0</v>
      </c>
      <c r="EQ183" s="138">
        <v>44440.0</v>
      </c>
      <c r="ER183" s="138">
        <v>44470.0</v>
      </c>
      <c r="ES183" s="138">
        <v>44501.0</v>
      </c>
      <c r="ET183" s="138">
        <v>44531.0</v>
      </c>
      <c r="EU183" s="138">
        <v>44562.0</v>
      </c>
      <c r="EV183" s="138">
        <v>44593.0</v>
      </c>
      <c r="EW183" s="138">
        <v>44621.0</v>
      </c>
      <c r="EX183" s="138">
        <v>44652.0</v>
      </c>
      <c r="EY183" s="138">
        <v>44682.0</v>
      </c>
      <c r="EZ183" s="138">
        <v>44713.0</v>
      </c>
      <c r="FA183" s="138">
        <v>44743.0</v>
      </c>
      <c r="FB183" s="138">
        <v>44774.0</v>
      </c>
      <c r="FC183" s="138">
        <v>44805.0</v>
      </c>
      <c r="FD183" s="138">
        <v>44835.0</v>
      </c>
      <c r="FE183" s="138">
        <v>44866.0</v>
      </c>
      <c r="FF183" s="138">
        <v>44896.0</v>
      </c>
      <c r="FG183" s="138">
        <v>44927.0</v>
      </c>
      <c r="FH183" s="138">
        <v>44958.0</v>
      </c>
      <c r="FI183" s="138">
        <v>44986.0</v>
      </c>
      <c r="FJ183" s="138">
        <v>45017.0</v>
      </c>
      <c r="FK183" s="138">
        <v>45047.0</v>
      </c>
      <c r="FL183" s="138">
        <v>45078.0</v>
      </c>
      <c r="FM183" s="138">
        <v>45108.0</v>
      </c>
      <c r="FN183" s="138">
        <v>45139.0</v>
      </c>
      <c r="FO183" s="138">
        <v>45170.0</v>
      </c>
      <c r="FP183" s="138">
        <v>45200.0</v>
      </c>
      <c r="FQ183" s="138">
        <v>45231.0</v>
      </c>
      <c r="FR183" s="138">
        <v>45261.0</v>
      </c>
      <c r="FS183" s="138">
        <v>45292.0</v>
      </c>
      <c r="FT183" s="138">
        <v>45323.0</v>
      </c>
      <c r="FU183" s="138">
        <v>45352.0</v>
      </c>
      <c r="FV183" s="138">
        <v>45383.0</v>
      </c>
      <c r="FW183" s="138">
        <v>45413.0</v>
      </c>
      <c r="FX183" s="138">
        <v>45444.0</v>
      </c>
      <c r="FY183" s="138">
        <v>45474.0</v>
      </c>
      <c r="FZ183" s="138">
        <v>45505.0</v>
      </c>
      <c r="GA183" s="138">
        <v>45536.0</v>
      </c>
      <c r="GB183" s="138">
        <v>45566.0</v>
      </c>
      <c r="GC183" s="138">
        <v>45597.0</v>
      </c>
      <c r="GD183" s="138">
        <v>45627.0</v>
      </c>
      <c r="GE183" s="138">
        <v>45658.0</v>
      </c>
      <c r="GF183" s="138">
        <v>45689.0</v>
      </c>
      <c r="GG183" s="138">
        <v>45717.0</v>
      </c>
      <c r="GH183" s="138">
        <v>45748.0</v>
      </c>
      <c r="GI183" s="138">
        <v>45778.0</v>
      </c>
      <c r="GJ183" s="138">
        <v>45809.0</v>
      </c>
      <c r="GK183" s="138">
        <v>45839.0</v>
      </c>
    </row>
    <row r="184">
      <c r="A184" s="132" t="s">
        <v>34221</v>
      </c>
      <c r="B184" s="133" t="s">
        <v>443</v>
      </c>
      <c r="C184" s="134">
        <v>45845.68407407407</v>
      </c>
      <c r="D184" s="135" t="str">
        <f t="shared" si="1"/>
        <v>2025/07/07</v>
      </c>
      <c r="E184" s="136" t="s">
        <v>34222</v>
      </c>
      <c r="F184" s="137">
        <v>0.01919</v>
      </c>
      <c r="G184" s="138">
        <v>40179.0</v>
      </c>
      <c r="H184" s="138">
        <v>40210.0</v>
      </c>
      <c r="I184" s="138">
        <v>40238.0</v>
      </c>
      <c r="J184" s="138">
        <v>40269.0</v>
      </c>
      <c r="K184" s="138">
        <v>40299.0</v>
      </c>
      <c r="L184" s="138">
        <v>40330.0</v>
      </c>
      <c r="M184" s="138">
        <v>40360.0</v>
      </c>
      <c r="N184" s="138">
        <v>40391.0</v>
      </c>
      <c r="O184" s="138">
        <v>40422.0</v>
      </c>
      <c r="P184" s="138">
        <v>40452.0</v>
      </c>
      <c r="Q184" s="138">
        <v>40483.0</v>
      </c>
      <c r="R184" s="138">
        <v>40513.0</v>
      </c>
      <c r="S184" s="138">
        <v>40544.0</v>
      </c>
      <c r="T184" s="138">
        <v>40575.0</v>
      </c>
      <c r="U184" s="138">
        <v>40603.0</v>
      </c>
      <c r="V184" s="138">
        <v>40634.0</v>
      </c>
      <c r="W184" s="138">
        <v>40664.0</v>
      </c>
      <c r="X184" s="138">
        <v>40695.0</v>
      </c>
      <c r="Y184" s="138">
        <v>40725.0</v>
      </c>
      <c r="Z184" s="138">
        <v>40756.0</v>
      </c>
      <c r="AA184" s="138">
        <v>40787.0</v>
      </c>
      <c r="AB184" s="138">
        <v>40817.0</v>
      </c>
      <c r="AC184" s="138">
        <v>40848.0</v>
      </c>
      <c r="AD184" s="138">
        <v>40878.0</v>
      </c>
      <c r="AE184" s="138">
        <v>40909.0</v>
      </c>
      <c r="AF184" s="138">
        <v>40940.0</v>
      </c>
      <c r="AG184" s="138">
        <v>40969.0</v>
      </c>
      <c r="AH184" s="138">
        <v>41000.0</v>
      </c>
      <c r="AI184" s="138">
        <v>41030.0</v>
      </c>
      <c r="AJ184" s="138">
        <v>41061.0</v>
      </c>
      <c r="AK184" s="138">
        <v>41091.0</v>
      </c>
      <c r="AL184" s="138">
        <v>41122.0</v>
      </c>
      <c r="AM184" s="138">
        <v>41153.0</v>
      </c>
      <c r="AN184" s="138">
        <v>41183.0</v>
      </c>
      <c r="AO184" s="138">
        <v>41214.0</v>
      </c>
      <c r="AP184" s="138">
        <v>41244.0</v>
      </c>
      <c r="AQ184" s="138">
        <v>41275.0</v>
      </c>
      <c r="AR184" s="138">
        <v>41306.0</v>
      </c>
      <c r="AS184" s="138">
        <v>41334.0</v>
      </c>
      <c r="AT184" s="138">
        <v>41365.0</v>
      </c>
      <c r="AU184" s="138">
        <v>41395.0</v>
      </c>
      <c r="AV184" s="138">
        <v>41426.0</v>
      </c>
      <c r="AW184" s="138">
        <v>41456.0</v>
      </c>
      <c r="AX184" s="138">
        <v>41487.0</v>
      </c>
      <c r="AY184" s="138">
        <v>41518.0</v>
      </c>
      <c r="AZ184" s="138">
        <v>41548.0</v>
      </c>
      <c r="BA184" s="138">
        <v>41579.0</v>
      </c>
      <c r="BB184" s="138">
        <v>41609.0</v>
      </c>
      <c r="BC184" s="138">
        <v>41640.0</v>
      </c>
      <c r="BD184" s="138">
        <v>41671.0</v>
      </c>
      <c r="BE184" s="138">
        <v>41699.0</v>
      </c>
      <c r="BF184" s="138">
        <v>41730.0</v>
      </c>
      <c r="BG184" s="138">
        <v>41760.0</v>
      </c>
      <c r="BH184" s="138">
        <v>41791.0</v>
      </c>
      <c r="BI184" s="138">
        <v>41821.0</v>
      </c>
      <c r="BJ184" s="138">
        <v>41852.0</v>
      </c>
      <c r="BK184" s="138">
        <v>41883.0</v>
      </c>
      <c r="BL184" s="138">
        <v>41913.0</v>
      </c>
      <c r="BM184" s="138">
        <v>41944.0</v>
      </c>
      <c r="BN184" s="138">
        <v>41974.0</v>
      </c>
      <c r="BO184" s="138">
        <v>42005.0</v>
      </c>
      <c r="BP184" s="138">
        <v>42036.0</v>
      </c>
      <c r="BQ184" s="138">
        <v>42064.0</v>
      </c>
      <c r="BR184" s="138">
        <v>42095.0</v>
      </c>
      <c r="BS184" s="138">
        <v>42125.0</v>
      </c>
      <c r="BT184" s="138">
        <v>42156.0</v>
      </c>
      <c r="BU184" s="138">
        <v>42186.0</v>
      </c>
      <c r="BV184" s="138">
        <v>42217.0</v>
      </c>
      <c r="BW184" s="138">
        <v>42248.0</v>
      </c>
      <c r="BX184" s="138">
        <v>42278.0</v>
      </c>
      <c r="BY184" s="138">
        <v>42309.0</v>
      </c>
      <c r="BZ184" s="138">
        <v>42339.0</v>
      </c>
      <c r="CA184" s="138">
        <v>42370.0</v>
      </c>
      <c r="CB184" s="138">
        <v>42401.0</v>
      </c>
      <c r="CC184" s="138">
        <v>42430.0</v>
      </c>
      <c r="CD184" s="138">
        <v>42461.0</v>
      </c>
      <c r="CE184" s="138">
        <v>42491.0</v>
      </c>
      <c r="CF184" s="138">
        <v>42522.0</v>
      </c>
      <c r="CG184" s="138">
        <v>42552.0</v>
      </c>
      <c r="CH184" s="138">
        <v>42583.0</v>
      </c>
      <c r="CI184" s="138">
        <v>42614.0</v>
      </c>
      <c r="CJ184" s="138">
        <v>42644.0</v>
      </c>
      <c r="CK184" s="138">
        <v>42675.0</v>
      </c>
      <c r="CL184" s="138">
        <v>42705.0</v>
      </c>
      <c r="CM184" s="138">
        <v>42736.0</v>
      </c>
      <c r="CN184" s="138">
        <v>42767.0</v>
      </c>
      <c r="CO184" s="138">
        <v>42795.0</v>
      </c>
      <c r="CP184" s="138">
        <v>42826.0</v>
      </c>
      <c r="CQ184" s="138">
        <v>42856.0</v>
      </c>
      <c r="CR184" s="138">
        <v>42887.0</v>
      </c>
      <c r="CS184" s="138">
        <v>42917.0</v>
      </c>
      <c r="CT184" s="138">
        <v>42948.0</v>
      </c>
      <c r="CU184" s="138">
        <v>42979.0</v>
      </c>
      <c r="CV184" s="138">
        <v>43009.0</v>
      </c>
      <c r="CW184" s="138">
        <v>43040.0</v>
      </c>
      <c r="CX184" s="138">
        <v>43070.0</v>
      </c>
      <c r="CY184" s="138">
        <v>43101.0</v>
      </c>
      <c r="CZ184" s="138">
        <v>43132.0</v>
      </c>
      <c r="DA184" s="138">
        <v>43160.0</v>
      </c>
      <c r="DB184" s="138">
        <v>43191.0</v>
      </c>
      <c r="DC184" s="138">
        <v>43221.0</v>
      </c>
      <c r="DD184" s="138">
        <v>43252.0</v>
      </c>
      <c r="DE184" s="138">
        <v>43282.0</v>
      </c>
      <c r="DF184" s="138">
        <v>43313.0</v>
      </c>
      <c r="DG184" s="138">
        <v>43344.0</v>
      </c>
      <c r="DH184" s="138">
        <v>43374.0</v>
      </c>
      <c r="DI184" s="138">
        <v>43405.0</v>
      </c>
      <c r="DJ184" s="138">
        <v>43435.0</v>
      </c>
      <c r="DK184" s="138">
        <v>43466.0</v>
      </c>
      <c r="DL184" s="138">
        <v>43497.0</v>
      </c>
      <c r="DM184" s="138">
        <v>43525.0</v>
      </c>
      <c r="DN184" s="138">
        <v>43556.0</v>
      </c>
      <c r="DO184" s="138">
        <v>43586.0</v>
      </c>
      <c r="DP184" s="138">
        <v>43617.0</v>
      </c>
      <c r="DQ184" s="138">
        <v>43647.0</v>
      </c>
      <c r="DR184" s="138">
        <v>43678.0</v>
      </c>
      <c r="DS184" s="138">
        <v>43709.0</v>
      </c>
      <c r="DT184" s="138">
        <v>43739.0</v>
      </c>
      <c r="DU184" s="138">
        <v>43770.0</v>
      </c>
      <c r="DV184" s="138">
        <v>43800.0</v>
      </c>
      <c r="DW184" s="138">
        <v>43831.0</v>
      </c>
      <c r="DX184" s="138">
        <v>43862.0</v>
      </c>
      <c r="DY184" s="138">
        <v>43891.0</v>
      </c>
      <c r="DZ184" s="138">
        <v>43922.0</v>
      </c>
      <c r="EA184" s="138">
        <v>43952.0</v>
      </c>
      <c r="EB184" s="138">
        <v>43983.0</v>
      </c>
      <c r="EC184" s="138">
        <v>44013.0</v>
      </c>
      <c r="ED184" s="138">
        <v>44044.0</v>
      </c>
      <c r="EE184" s="138">
        <v>44075.0</v>
      </c>
      <c r="EF184" s="138">
        <v>44105.0</v>
      </c>
      <c r="EG184" s="138">
        <v>44136.0</v>
      </c>
      <c r="EH184" s="138">
        <v>44166.0</v>
      </c>
      <c r="EI184" s="138">
        <v>44197.0</v>
      </c>
      <c r="EJ184" s="138">
        <v>44228.0</v>
      </c>
      <c r="EK184" s="138">
        <v>44256.0</v>
      </c>
      <c r="EL184" s="138">
        <v>44287.0</v>
      </c>
      <c r="EM184" s="138">
        <v>44317.0</v>
      </c>
      <c r="EN184" s="138">
        <v>44348.0</v>
      </c>
      <c r="EO184" s="138">
        <v>44378.0</v>
      </c>
      <c r="EP184" s="138">
        <v>44409.0</v>
      </c>
      <c r="EQ184" s="138">
        <v>44440.0</v>
      </c>
      <c r="ER184" s="138">
        <v>44470.0</v>
      </c>
      <c r="ES184" s="138">
        <v>44501.0</v>
      </c>
      <c r="ET184" s="138">
        <v>44531.0</v>
      </c>
      <c r="EU184" s="138">
        <v>44562.0</v>
      </c>
      <c r="EV184" s="138">
        <v>44593.0</v>
      </c>
      <c r="EW184" s="138">
        <v>44621.0</v>
      </c>
      <c r="EX184" s="138">
        <v>44652.0</v>
      </c>
      <c r="EY184" s="138">
        <v>44682.0</v>
      </c>
      <c r="EZ184" s="138">
        <v>44713.0</v>
      </c>
      <c r="FA184" s="138">
        <v>44743.0</v>
      </c>
      <c r="FB184" s="138">
        <v>44774.0</v>
      </c>
      <c r="FC184" s="138">
        <v>44805.0</v>
      </c>
      <c r="FD184" s="138">
        <v>44835.0</v>
      </c>
      <c r="FE184" s="138">
        <v>44866.0</v>
      </c>
      <c r="FF184" s="138">
        <v>44896.0</v>
      </c>
      <c r="FG184" s="138">
        <v>44927.0</v>
      </c>
      <c r="FH184" s="138">
        <v>44958.0</v>
      </c>
      <c r="FI184" s="138">
        <v>44986.0</v>
      </c>
      <c r="FJ184" s="138">
        <v>45017.0</v>
      </c>
      <c r="FK184" s="138">
        <v>45047.0</v>
      </c>
      <c r="FL184" s="138">
        <v>45078.0</v>
      </c>
      <c r="FM184" s="138">
        <v>45108.0</v>
      </c>
      <c r="FN184" s="138">
        <v>45139.0</v>
      </c>
      <c r="FO184" s="138">
        <v>45170.0</v>
      </c>
      <c r="FP184" s="138">
        <v>45200.0</v>
      </c>
      <c r="FQ184" s="138">
        <v>45231.0</v>
      </c>
      <c r="FR184" s="138">
        <v>45261.0</v>
      </c>
      <c r="FS184" s="138">
        <v>45292.0</v>
      </c>
      <c r="FT184" s="138">
        <v>45323.0</v>
      </c>
      <c r="FU184" s="138">
        <v>45352.0</v>
      </c>
      <c r="FV184" s="138">
        <v>45383.0</v>
      </c>
      <c r="FW184" s="138">
        <v>45413.0</v>
      </c>
      <c r="FX184" s="138">
        <v>45444.0</v>
      </c>
      <c r="FY184" s="138">
        <v>45474.0</v>
      </c>
      <c r="FZ184" s="138">
        <v>45505.0</v>
      </c>
      <c r="GA184" s="138">
        <v>45536.0</v>
      </c>
      <c r="GB184" s="138">
        <v>45566.0</v>
      </c>
      <c r="GC184" s="138">
        <v>45597.0</v>
      </c>
      <c r="GD184" s="138">
        <v>45627.0</v>
      </c>
      <c r="GE184" s="138">
        <v>45658.0</v>
      </c>
      <c r="GF184" s="138">
        <v>45689.0</v>
      </c>
      <c r="GG184" s="138">
        <v>45717.0</v>
      </c>
      <c r="GH184" s="138">
        <v>45748.0</v>
      </c>
      <c r="GI184" s="138">
        <v>45778.0</v>
      </c>
      <c r="GJ184" s="138">
        <v>45809.0</v>
      </c>
      <c r="GK184" s="138">
        <v>45839.0</v>
      </c>
    </row>
    <row r="185">
      <c r="A185" s="132" t="s">
        <v>34223</v>
      </c>
      <c r="B185" s="133" t="s">
        <v>1133</v>
      </c>
      <c r="C185" s="134">
        <v>45845.948900462965</v>
      </c>
      <c r="D185" s="135" t="str">
        <f t="shared" si="1"/>
        <v>2025/07/07</v>
      </c>
      <c r="E185" s="136" t="s">
        <v>34224</v>
      </c>
      <c r="F185" s="137">
        <v>0.01131</v>
      </c>
      <c r="G185" s="138">
        <v>40179.0</v>
      </c>
      <c r="H185" s="138">
        <v>40210.0</v>
      </c>
      <c r="I185" s="138">
        <v>40238.0</v>
      </c>
      <c r="J185" s="138">
        <v>40269.0</v>
      </c>
      <c r="K185" s="138">
        <v>40299.0</v>
      </c>
      <c r="L185" s="138">
        <v>40330.0</v>
      </c>
      <c r="M185" s="138">
        <v>40360.0</v>
      </c>
      <c r="N185" s="138">
        <v>40391.0</v>
      </c>
      <c r="O185" s="138">
        <v>40422.0</v>
      </c>
      <c r="P185" s="138">
        <v>40452.0</v>
      </c>
      <c r="Q185" s="138">
        <v>40483.0</v>
      </c>
      <c r="R185" s="138">
        <v>40513.0</v>
      </c>
      <c r="S185" s="138">
        <v>40544.0</v>
      </c>
      <c r="T185" s="138">
        <v>40575.0</v>
      </c>
      <c r="U185" s="138">
        <v>40603.0</v>
      </c>
      <c r="V185" s="138">
        <v>40634.0</v>
      </c>
      <c r="W185" s="138">
        <v>40664.0</v>
      </c>
      <c r="X185" s="138">
        <v>40695.0</v>
      </c>
      <c r="Y185" s="138">
        <v>40725.0</v>
      </c>
      <c r="Z185" s="138">
        <v>40756.0</v>
      </c>
      <c r="AA185" s="138">
        <v>40787.0</v>
      </c>
      <c r="AB185" s="138">
        <v>40817.0</v>
      </c>
      <c r="AC185" s="138">
        <v>40848.0</v>
      </c>
      <c r="AD185" s="138">
        <v>40878.0</v>
      </c>
      <c r="AE185" s="138">
        <v>40909.0</v>
      </c>
      <c r="AF185" s="138">
        <v>40940.0</v>
      </c>
      <c r="AG185" s="138">
        <v>40969.0</v>
      </c>
      <c r="AH185" s="138">
        <v>41000.0</v>
      </c>
      <c r="AI185" s="138">
        <v>41030.0</v>
      </c>
      <c r="AJ185" s="138">
        <v>41061.0</v>
      </c>
      <c r="AK185" s="138">
        <v>41091.0</v>
      </c>
      <c r="AL185" s="138">
        <v>41122.0</v>
      </c>
      <c r="AM185" s="138">
        <v>41153.0</v>
      </c>
      <c r="AN185" s="138">
        <v>41183.0</v>
      </c>
      <c r="AO185" s="138">
        <v>41214.0</v>
      </c>
      <c r="AP185" s="138">
        <v>41244.0</v>
      </c>
      <c r="AQ185" s="138">
        <v>41275.0</v>
      </c>
      <c r="AR185" s="138">
        <v>41306.0</v>
      </c>
      <c r="AS185" s="138">
        <v>41334.0</v>
      </c>
      <c r="AT185" s="138">
        <v>41365.0</v>
      </c>
      <c r="AU185" s="138">
        <v>41395.0</v>
      </c>
      <c r="AV185" s="138">
        <v>41426.0</v>
      </c>
      <c r="AW185" s="138">
        <v>41456.0</v>
      </c>
      <c r="AX185" s="138">
        <v>41487.0</v>
      </c>
      <c r="AY185" s="138">
        <v>41518.0</v>
      </c>
      <c r="AZ185" s="138">
        <v>41548.0</v>
      </c>
      <c r="BA185" s="138">
        <v>41579.0</v>
      </c>
      <c r="BB185" s="138">
        <v>41609.0</v>
      </c>
      <c r="BC185" s="138">
        <v>41640.0</v>
      </c>
      <c r="BD185" s="138">
        <v>41671.0</v>
      </c>
      <c r="BE185" s="138">
        <v>41699.0</v>
      </c>
      <c r="BF185" s="138">
        <v>41730.0</v>
      </c>
      <c r="BG185" s="138">
        <v>41760.0</v>
      </c>
      <c r="BH185" s="138">
        <v>41791.0</v>
      </c>
      <c r="BI185" s="138">
        <v>41821.0</v>
      </c>
      <c r="BJ185" s="138">
        <v>41852.0</v>
      </c>
      <c r="BK185" s="138">
        <v>41883.0</v>
      </c>
      <c r="BL185" s="138">
        <v>41913.0</v>
      </c>
      <c r="BM185" s="138">
        <v>41944.0</v>
      </c>
      <c r="BN185" s="138">
        <v>41974.0</v>
      </c>
      <c r="BO185" s="138">
        <v>42005.0</v>
      </c>
      <c r="BP185" s="138">
        <v>42036.0</v>
      </c>
      <c r="BQ185" s="138">
        <v>42064.0</v>
      </c>
      <c r="BR185" s="138">
        <v>42095.0</v>
      </c>
      <c r="BS185" s="138">
        <v>42125.0</v>
      </c>
      <c r="BT185" s="138">
        <v>42156.0</v>
      </c>
      <c r="BU185" s="138">
        <v>42186.0</v>
      </c>
      <c r="BV185" s="138">
        <v>42217.0</v>
      </c>
      <c r="BW185" s="138">
        <v>42248.0</v>
      </c>
      <c r="BX185" s="138">
        <v>42278.0</v>
      </c>
      <c r="BY185" s="138">
        <v>42309.0</v>
      </c>
      <c r="BZ185" s="138">
        <v>42339.0</v>
      </c>
      <c r="CA185" s="138">
        <v>42370.0</v>
      </c>
      <c r="CB185" s="138">
        <v>42401.0</v>
      </c>
      <c r="CC185" s="138">
        <v>42430.0</v>
      </c>
      <c r="CD185" s="138">
        <v>42461.0</v>
      </c>
      <c r="CE185" s="138">
        <v>42491.0</v>
      </c>
      <c r="CF185" s="138">
        <v>42522.0</v>
      </c>
      <c r="CG185" s="138">
        <v>42552.0</v>
      </c>
      <c r="CH185" s="138">
        <v>42583.0</v>
      </c>
      <c r="CI185" s="138">
        <v>42614.0</v>
      </c>
      <c r="CJ185" s="138">
        <v>42644.0</v>
      </c>
      <c r="CK185" s="138">
        <v>42675.0</v>
      </c>
      <c r="CL185" s="138">
        <v>42705.0</v>
      </c>
      <c r="CM185" s="138">
        <v>42736.0</v>
      </c>
      <c r="CN185" s="138">
        <v>42767.0</v>
      </c>
      <c r="CO185" s="138">
        <v>42795.0</v>
      </c>
      <c r="CP185" s="138">
        <v>42826.0</v>
      </c>
      <c r="CQ185" s="138">
        <v>42856.0</v>
      </c>
      <c r="CR185" s="138">
        <v>42887.0</v>
      </c>
      <c r="CS185" s="138">
        <v>42917.0</v>
      </c>
      <c r="CT185" s="138">
        <v>42948.0</v>
      </c>
      <c r="CU185" s="138">
        <v>42979.0</v>
      </c>
      <c r="CV185" s="138">
        <v>43009.0</v>
      </c>
      <c r="CW185" s="138">
        <v>43040.0</v>
      </c>
      <c r="CX185" s="138">
        <v>43070.0</v>
      </c>
      <c r="CY185" s="138">
        <v>43101.0</v>
      </c>
      <c r="CZ185" s="138">
        <v>43132.0</v>
      </c>
      <c r="DA185" s="138">
        <v>43160.0</v>
      </c>
      <c r="DB185" s="138">
        <v>43191.0</v>
      </c>
      <c r="DC185" s="138">
        <v>43221.0</v>
      </c>
      <c r="DD185" s="138">
        <v>43252.0</v>
      </c>
      <c r="DE185" s="138">
        <v>43282.0</v>
      </c>
      <c r="DF185" s="138">
        <v>43313.0</v>
      </c>
      <c r="DG185" s="138">
        <v>43344.0</v>
      </c>
      <c r="DH185" s="138">
        <v>43374.0</v>
      </c>
      <c r="DI185" s="138">
        <v>43405.0</v>
      </c>
      <c r="DJ185" s="138">
        <v>43435.0</v>
      </c>
      <c r="DK185" s="138">
        <v>43466.0</v>
      </c>
      <c r="DL185" s="138">
        <v>43497.0</v>
      </c>
      <c r="DM185" s="138">
        <v>43525.0</v>
      </c>
      <c r="DN185" s="138">
        <v>43556.0</v>
      </c>
      <c r="DO185" s="138">
        <v>43586.0</v>
      </c>
      <c r="DP185" s="138">
        <v>43617.0</v>
      </c>
      <c r="DQ185" s="138">
        <v>43647.0</v>
      </c>
      <c r="DR185" s="138">
        <v>43678.0</v>
      </c>
      <c r="DS185" s="138">
        <v>43709.0</v>
      </c>
      <c r="DT185" s="138">
        <v>43739.0</v>
      </c>
      <c r="DU185" s="138">
        <v>43770.0</v>
      </c>
      <c r="DV185" s="138">
        <v>43800.0</v>
      </c>
      <c r="DW185" s="138">
        <v>43831.0</v>
      </c>
      <c r="DX185" s="138">
        <v>43862.0</v>
      </c>
      <c r="DY185" s="138">
        <v>43891.0</v>
      </c>
      <c r="DZ185" s="138">
        <v>43922.0</v>
      </c>
      <c r="EA185" s="138">
        <v>43952.0</v>
      </c>
      <c r="EB185" s="138">
        <v>43983.0</v>
      </c>
      <c r="EC185" s="138">
        <v>44013.0</v>
      </c>
      <c r="ED185" s="138">
        <v>44044.0</v>
      </c>
      <c r="EE185" s="138">
        <v>44075.0</v>
      </c>
      <c r="EF185" s="138">
        <v>44105.0</v>
      </c>
      <c r="EG185" s="138">
        <v>44136.0</v>
      </c>
      <c r="EH185" s="138">
        <v>44166.0</v>
      </c>
      <c r="EI185" s="138">
        <v>44197.0</v>
      </c>
      <c r="EJ185" s="138">
        <v>44228.0</v>
      </c>
      <c r="EK185" s="138">
        <v>44256.0</v>
      </c>
      <c r="EL185" s="138">
        <v>44287.0</v>
      </c>
      <c r="EM185" s="138">
        <v>44317.0</v>
      </c>
      <c r="EN185" s="138">
        <v>44348.0</v>
      </c>
      <c r="EO185" s="138">
        <v>44378.0</v>
      </c>
      <c r="EP185" s="138">
        <v>44409.0</v>
      </c>
      <c r="EQ185" s="138">
        <v>44440.0</v>
      </c>
      <c r="ER185" s="138">
        <v>44470.0</v>
      </c>
      <c r="ES185" s="138">
        <v>44501.0</v>
      </c>
      <c r="ET185" s="138">
        <v>44531.0</v>
      </c>
      <c r="EU185" s="138">
        <v>44562.0</v>
      </c>
      <c r="EV185" s="138">
        <v>44593.0</v>
      </c>
      <c r="EW185" s="138">
        <v>44621.0</v>
      </c>
      <c r="EX185" s="138">
        <v>44652.0</v>
      </c>
      <c r="EY185" s="138">
        <v>44682.0</v>
      </c>
      <c r="EZ185" s="138">
        <v>44713.0</v>
      </c>
      <c r="FA185" s="138">
        <v>44743.0</v>
      </c>
      <c r="FB185" s="138">
        <v>44774.0</v>
      </c>
      <c r="FC185" s="138">
        <v>44805.0</v>
      </c>
      <c r="FD185" s="138">
        <v>44835.0</v>
      </c>
      <c r="FE185" s="138">
        <v>44866.0</v>
      </c>
      <c r="FF185" s="138">
        <v>44896.0</v>
      </c>
      <c r="FG185" s="138">
        <v>44927.0</v>
      </c>
      <c r="FH185" s="138">
        <v>44958.0</v>
      </c>
      <c r="FI185" s="138">
        <v>44986.0</v>
      </c>
      <c r="FJ185" s="138">
        <v>45017.0</v>
      </c>
      <c r="FK185" s="138">
        <v>45047.0</v>
      </c>
      <c r="FL185" s="138">
        <v>45078.0</v>
      </c>
      <c r="FM185" s="138">
        <v>45108.0</v>
      </c>
      <c r="FN185" s="138">
        <v>45139.0</v>
      </c>
      <c r="FO185" s="138">
        <v>45170.0</v>
      </c>
      <c r="FP185" s="138">
        <v>45200.0</v>
      </c>
      <c r="FQ185" s="138">
        <v>45231.0</v>
      </c>
      <c r="FR185" s="138">
        <v>45261.0</v>
      </c>
      <c r="FS185" s="138">
        <v>45292.0</v>
      </c>
      <c r="FT185" s="138">
        <v>45323.0</v>
      </c>
      <c r="FU185" s="138">
        <v>45352.0</v>
      </c>
      <c r="FV185" s="138">
        <v>45383.0</v>
      </c>
      <c r="FW185" s="138">
        <v>45413.0</v>
      </c>
      <c r="FX185" s="138">
        <v>45444.0</v>
      </c>
      <c r="FY185" s="138">
        <v>45474.0</v>
      </c>
      <c r="FZ185" s="138">
        <v>45505.0</v>
      </c>
      <c r="GA185" s="138">
        <v>45536.0</v>
      </c>
      <c r="GB185" s="138">
        <v>45566.0</v>
      </c>
      <c r="GC185" s="138">
        <v>45597.0</v>
      </c>
      <c r="GD185" s="138">
        <v>45627.0</v>
      </c>
      <c r="GE185" s="138">
        <v>45658.0</v>
      </c>
      <c r="GF185" s="138">
        <v>45689.0</v>
      </c>
      <c r="GG185" s="138">
        <v>45717.0</v>
      </c>
      <c r="GH185" s="138">
        <v>45748.0</v>
      </c>
      <c r="GI185" s="138">
        <v>45778.0</v>
      </c>
      <c r="GJ185" s="138">
        <v>45809.0</v>
      </c>
      <c r="GK185" s="138">
        <v>45839.0</v>
      </c>
    </row>
    <row r="186">
      <c r="A186" s="132" t="s">
        <v>34225</v>
      </c>
      <c r="B186" s="133" t="s">
        <v>487</v>
      </c>
      <c r="C186" s="134">
        <v>45846.624386574076</v>
      </c>
      <c r="D186" s="135" t="str">
        <f t="shared" si="1"/>
        <v>2025/07/08</v>
      </c>
      <c r="E186" s="136" t="s">
        <v>34226</v>
      </c>
      <c r="F186" s="137">
        <v>2.3E-4</v>
      </c>
      <c r="G186" s="138">
        <v>40179.0</v>
      </c>
      <c r="H186" s="138">
        <v>40210.0</v>
      </c>
      <c r="I186" s="138">
        <v>40238.0</v>
      </c>
      <c r="J186" s="138">
        <v>40269.0</v>
      </c>
      <c r="K186" s="138">
        <v>40299.0</v>
      </c>
      <c r="L186" s="138">
        <v>40330.0</v>
      </c>
      <c r="M186" s="138">
        <v>40360.0</v>
      </c>
      <c r="N186" s="138">
        <v>40391.0</v>
      </c>
      <c r="O186" s="138">
        <v>40422.0</v>
      </c>
      <c r="P186" s="138">
        <v>40452.0</v>
      </c>
      <c r="Q186" s="138">
        <v>40483.0</v>
      </c>
      <c r="R186" s="138">
        <v>40513.0</v>
      </c>
      <c r="S186" s="138">
        <v>40544.0</v>
      </c>
      <c r="T186" s="138">
        <v>40575.0</v>
      </c>
      <c r="U186" s="138">
        <v>40603.0</v>
      </c>
      <c r="V186" s="138">
        <v>40634.0</v>
      </c>
      <c r="W186" s="138">
        <v>40664.0</v>
      </c>
      <c r="X186" s="138">
        <v>40695.0</v>
      </c>
      <c r="Y186" s="138">
        <v>40725.0</v>
      </c>
      <c r="Z186" s="138">
        <v>40756.0</v>
      </c>
      <c r="AA186" s="138">
        <v>40787.0</v>
      </c>
      <c r="AB186" s="138">
        <v>40817.0</v>
      </c>
      <c r="AC186" s="138">
        <v>40848.0</v>
      </c>
      <c r="AD186" s="138">
        <v>40878.0</v>
      </c>
      <c r="AE186" s="138">
        <v>40909.0</v>
      </c>
      <c r="AF186" s="138">
        <v>40940.0</v>
      </c>
      <c r="AG186" s="138">
        <v>40969.0</v>
      </c>
      <c r="AH186" s="138">
        <v>41000.0</v>
      </c>
      <c r="AI186" s="138">
        <v>41030.0</v>
      </c>
      <c r="AJ186" s="138">
        <v>41061.0</v>
      </c>
      <c r="AK186" s="138">
        <v>41091.0</v>
      </c>
      <c r="AL186" s="138">
        <v>41122.0</v>
      </c>
      <c r="AM186" s="138">
        <v>41153.0</v>
      </c>
      <c r="AN186" s="138">
        <v>41183.0</v>
      </c>
      <c r="AO186" s="138">
        <v>41214.0</v>
      </c>
      <c r="AP186" s="138">
        <v>41244.0</v>
      </c>
      <c r="AQ186" s="138">
        <v>41275.0</v>
      </c>
      <c r="AR186" s="138">
        <v>41306.0</v>
      </c>
      <c r="AS186" s="138">
        <v>41334.0</v>
      </c>
      <c r="AT186" s="138">
        <v>41365.0</v>
      </c>
      <c r="AU186" s="138">
        <v>41395.0</v>
      </c>
      <c r="AV186" s="138">
        <v>41426.0</v>
      </c>
      <c r="AW186" s="138">
        <v>41456.0</v>
      </c>
      <c r="AX186" s="138">
        <v>41487.0</v>
      </c>
      <c r="AY186" s="138">
        <v>41518.0</v>
      </c>
      <c r="AZ186" s="138">
        <v>41548.0</v>
      </c>
      <c r="BA186" s="138">
        <v>41579.0</v>
      </c>
      <c r="BB186" s="138">
        <v>41609.0</v>
      </c>
      <c r="BC186" s="138">
        <v>41640.0</v>
      </c>
      <c r="BD186" s="138">
        <v>41671.0</v>
      </c>
      <c r="BE186" s="138">
        <v>41699.0</v>
      </c>
      <c r="BF186" s="138">
        <v>41730.0</v>
      </c>
      <c r="BG186" s="138">
        <v>41760.0</v>
      </c>
      <c r="BH186" s="138">
        <v>41791.0</v>
      </c>
      <c r="BI186" s="138">
        <v>41821.0</v>
      </c>
      <c r="BJ186" s="138">
        <v>41852.0</v>
      </c>
      <c r="BK186" s="138">
        <v>41883.0</v>
      </c>
      <c r="BL186" s="138">
        <v>41913.0</v>
      </c>
      <c r="BM186" s="138">
        <v>41944.0</v>
      </c>
      <c r="BN186" s="138">
        <v>41974.0</v>
      </c>
      <c r="BO186" s="138">
        <v>42005.0</v>
      </c>
      <c r="BP186" s="138">
        <v>42036.0</v>
      </c>
      <c r="BQ186" s="138">
        <v>42064.0</v>
      </c>
      <c r="BR186" s="138">
        <v>42095.0</v>
      </c>
      <c r="BS186" s="138">
        <v>42125.0</v>
      </c>
      <c r="BT186" s="138">
        <v>42156.0</v>
      </c>
      <c r="BU186" s="138">
        <v>42186.0</v>
      </c>
      <c r="BV186" s="138">
        <v>42217.0</v>
      </c>
      <c r="BW186" s="138">
        <v>42248.0</v>
      </c>
      <c r="BX186" s="138">
        <v>42278.0</v>
      </c>
      <c r="BY186" s="138">
        <v>42309.0</v>
      </c>
      <c r="BZ186" s="138">
        <v>42339.0</v>
      </c>
      <c r="CA186" s="138">
        <v>42370.0</v>
      </c>
      <c r="CB186" s="138">
        <v>42401.0</v>
      </c>
      <c r="CC186" s="138">
        <v>42430.0</v>
      </c>
      <c r="CD186" s="138">
        <v>42461.0</v>
      </c>
      <c r="CE186" s="138">
        <v>42491.0</v>
      </c>
      <c r="CF186" s="138">
        <v>42522.0</v>
      </c>
      <c r="CG186" s="138">
        <v>42552.0</v>
      </c>
      <c r="CH186" s="138">
        <v>42583.0</v>
      </c>
      <c r="CI186" s="138">
        <v>42614.0</v>
      </c>
      <c r="CJ186" s="138">
        <v>42644.0</v>
      </c>
      <c r="CK186" s="138">
        <v>42675.0</v>
      </c>
      <c r="CL186" s="138">
        <v>42705.0</v>
      </c>
      <c r="CM186" s="138">
        <v>42736.0</v>
      </c>
      <c r="CN186" s="138">
        <v>42767.0</v>
      </c>
      <c r="CO186" s="138">
        <v>42795.0</v>
      </c>
      <c r="CP186" s="138">
        <v>42826.0</v>
      </c>
      <c r="CQ186" s="138">
        <v>42856.0</v>
      </c>
      <c r="CR186" s="138">
        <v>42887.0</v>
      </c>
      <c r="CS186" s="138">
        <v>42917.0</v>
      </c>
      <c r="CT186" s="138">
        <v>42948.0</v>
      </c>
      <c r="CU186" s="138">
        <v>42979.0</v>
      </c>
      <c r="CV186" s="138">
        <v>43009.0</v>
      </c>
      <c r="CW186" s="138">
        <v>43040.0</v>
      </c>
      <c r="CX186" s="138">
        <v>43070.0</v>
      </c>
      <c r="CY186" s="138">
        <v>43101.0</v>
      </c>
      <c r="CZ186" s="138">
        <v>43132.0</v>
      </c>
      <c r="DA186" s="138">
        <v>43160.0</v>
      </c>
      <c r="DB186" s="138">
        <v>43191.0</v>
      </c>
      <c r="DC186" s="138">
        <v>43221.0</v>
      </c>
      <c r="DD186" s="138">
        <v>43252.0</v>
      </c>
      <c r="DE186" s="138">
        <v>43282.0</v>
      </c>
      <c r="DF186" s="138">
        <v>43313.0</v>
      </c>
      <c r="DG186" s="138">
        <v>43344.0</v>
      </c>
      <c r="DH186" s="138">
        <v>43374.0</v>
      </c>
      <c r="DI186" s="138">
        <v>43405.0</v>
      </c>
      <c r="DJ186" s="138">
        <v>43435.0</v>
      </c>
      <c r="DK186" s="138">
        <v>43466.0</v>
      </c>
      <c r="DL186" s="138">
        <v>43497.0</v>
      </c>
      <c r="DM186" s="138">
        <v>43525.0</v>
      </c>
      <c r="DN186" s="138">
        <v>43556.0</v>
      </c>
      <c r="DO186" s="138">
        <v>43586.0</v>
      </c>
      <c r="DP186" s="138">
        <v>43617.0</v>
      </c>
      <c r="DQ186" s="138">
        <v>43647.0</v>
      </c>
      <c r="DR186" s="138">
        <v>43678.0</v>
      </c>
      <c r="DS186" s="138">
        <v>43709.0</v>
      </c>
      <c r="DT186" s="138">
        <v>43739.0</v>
      </c>
      <c r="DU186" s="138">
        <v>43770.0</v>
      </c>
      <c r="DV186" s="138">
        <v>43800.0</v>
      </c>
      <c r="DW186" s="138">
        <v>43831.0</v>
      </c>
      <c r="DX186" s="138">
        <v>43862.0</v>
      </c>
      <c r="DY186" s="138">
        <v>43891.0</v>
      </c>
      <c r="DZ186" s="138">
        <v>43922.0</v>
      </c>
      <c r="EA186" s="138">
        <v>43952.0</v>
      </c>
      <c r="EB186" s="138">
        <v>43983.0</v>
      </c>
      <c r="EC186" s="138">
        <v>44013.0</v>
      </c>
      <c r="ED186" s="138">
        <v>44044.0</v>
      </c>
      <c r="EE186" s="138">
        <v>44075.0</v>
      </c>
      <c r="EF186" s="138">
        <v>44105.0</v>
      </c>
      <c r="EG186" s="138">
        <v>44136.0</v>
      </c>
      <c r="EH186" s="138">
        <v>44166.0</v>
      </c>
      <c r="EI186" s="138">
        <v>44197.0</v>
      </c>
      <c r="EJ186" s="138">
        <v>44228.0</v>
      </c>
      <c r="EK186" s="138">
        <v>44256.0</v>
      </c>
      <c r="EL186" s="138">
        <v>44287.0</v>
      </c>
      <c r="EM186" s="138">
        <v>44317.0</v>
      </c>
      <c r="EN186" s="138">
        <v>44348.0</v>
      </c>
      <c r="EO186" s="138">
        <v>44378.0</v>
      </c>
      <c r="EP186" s="138">
        <v>44409.0</v>
      </c>
      <c r="EQ186" s="138">
        <v>44440.0</v>
      </c>
      <c r="ER186" s="138">
        <v>44470.0</v>
      </c>
      <c r="ES186" s="138">
        <v>44501.0</v>
      </c>
      <c r="ET186" s="138">
        <v>44531.0</v>
      </c>
      <c r="EU186" s="138">
        <v>44562.0</v>
      </c>
      <c r="EV186" s="138">
        <v>44593.0</v>
      </c>
      <c r="EW186" s="138">
        <v>44621.0</v>
      </c>
      <c r="EX186" s="138">
        <v>44652.0</v>
      </c>
      <c r="EY186" s="138">
        <v>44682.0</v>
      </c>
      <c r="EZ186" s="138">
        <v>44713.0</v>
      </c>
      <c r="FA186" s="138">
        <v>44743.0</v>
      </c>
      <c r="FB186" s="138">
        <v>44774.0</v>
      </c>
      <c r="FC186" s="138">
        <v>44805.0</v>
      </c>
      <c r="FD186" s="138">
        <v>44835.0</v>
      </c>
      <c r="FE186" s="138">
        <v>44866.0</v>
      </c>
      <c r="FF186" s="138">
        <v>44896.0</v>
      </c>
      <c r="FG186" s="138">
        <v>44927.0</v>
      </c>
      <c r="FH186" s="138">
        <v>44958.0</v>
      </c>
      <c r="FI186" s="138">
        <v>44986.0</v>
      </c>
      <c r="FJ186" s="138">
        <v>45017.0</v>
      </c>
      <c r="FK186" s="138">
        <v>45047.0</v>
      </c>
      <c r="FL186" s="138">
        <v>45078.0</v>
      </c>
      <c r="FM186" s="138">
        <v>45108.0</v>
      </c>
      <c r="FN186" s="138">
        <v>45139.0</v>
      </c>
      <c r="FO186" s="138">
        <v>45170.0</v>
      </c>
      <c r="FP186" s="138">
        <v>45200.0</v>
      </c>
      <c r="FQ186" s="138">
        <v>45231.0</v>
      </c>
      <c r="FR186" s="138">
        <v>45261.0</v>
      </c>
      <c r="FS186" s="138">
        <v>45292.0</v>
      </c>
      <c r="FT186" s="138">
        <v>45323.0</v>
      </c>
      <c r="FU186" s="138">
        <v>45352.0</v>
      </c>
      <c r="FV186" s="138">
        <v>45383.0</v>
      </c>
      <c r="FW186" s="138">
        <v>45413.0</v>
      </c>
      <c r="FX186" s="138">
        <v>45444.0</v>
      </c>
      <c r="FY186" s="138">
        <v>45474.0</v>
      </c>
      <c r="FZ186" s="138">
        <v>45505.0</v>
      </c>
      <c r="GA186" s="138">
        <v>45536.0</v>
      </c>
      <c r="GB186" s="138">
        <v>45566.0</v>
      </c>
      <c r="GC186" s="138">
        <v>45597.0</v>
      </c>
      <c r="GD186" s="138">
        <v>45627.0</v>
      </c>
      <c r="GE186" s="138">
        <v>45658.0</v>
      </c>
      <c r="GF186" s="138">
        <v>45689.0</v>
      </c>
      <c r="GG186" s="138">
        <v>45717.0</v>
      </c>
      <c r="GH186" s="138">
        <v>45748.0</v>
      </c>
      <c r="GI186" s="138">
        <v>45778.0</v>
      </c>
      <c r="GJ186" s="138">
        <v>45809.0</v>
      </c>
      <c r="GK186" s="138">
        <v>45839.0</v>
      </c>
    </row>
    <row r="187">
      <c r="A187" s="132" t="s">
        <v>1522</v>
      </c>
      <c r="B187" s="133" t="s">
        <v>491</v>
      </c>
      <c r="C187" s="134">
        <v>45846.664305555554</v>
      </c>
      <c r="D187" s="135" t="str">
        <f t="shared" si="1"/>
        <v>2025/07/08</v>
      </c>
      <c r="E187" s="136" t="s">
        <v>34227</v>
      </c>
      <c r="F187" s="137">
        <v>6.0E-5</v>
      </c>
      <c r="G187" s="138">
        <v>40179.0</v>
      </c>
      <c r="H187" s="138">
        <v>40210.0</v>
      </c>
      <c r="I187" s="138">
        <v>40238.0</v>
      </c>
      <c r="J187" s="138">
        <v>40269.0</v>
      </c>
      <c r="K187" s="138">
        <v>40299.0</v>
      </c>
      <c r="L187" s="138">
        <v>40330.0</v>
      </c>
      <c r="M187" s="138">
        <v>40360.0</v>
      </c>
      <c r="N187" s="138">
        <v>40391.0</v>
      </c>
      <c r="O187" s="138">
        <v>40422.0</v>
      </c>
      <c r="P187" s="138">
        <v>40452.0</v>
      </c>
      <c r="Q187" s="138">
        <v>40483.0</v>
      </c>
      <c r="R187" s="138">
        <v>40513.0</v>
      </c>
      <c r="S187" s="138">
        <v>40544.0</v>
      </c>
      <c r="T187" s="138">
        <v>40575.0</v>
      </c>
      <c r="U187" s="138">
        <v>40603.0</v>
      </c>
      <c r="V187" s="138">
        <v>40634.0</v>
      </c>
      <c r="W187" s="138">
        <v>40664.0</v>
      </c>
      <c r="X187" s="138">
        <v>40695.0</v>
      </c>
      <c r="Y187" s="138">
        <v>40725.0</v>
      </c>
      <c r="Z187" s="138">
        <v>40756.0</v>
      </c>
      <c r="AA187" s="138">
        <v>40787.0</v>
      </c>
      <c r="AB187" s="138">
        <v>40817.0</v>
      </c>
      <c r="AC187" s="138">
        <v>40848.0</v>
      </c>
      <c r="AD187" s="138">
        <v>40878.0</v>
      </c>
      <c r="AE187" s="138">
        <v>40909.0</v>
      </c>
      <c r="AF187" s="138">
        <v>40940.0</v>
      </c>
      <c r="AG187" s="138">
        <v>40969.0</v>
      </c>
      <c r="AH187" s="138">
        <v>41000.0</v>
      </c>
      <c r="AI187" s="138">
        <v>41030.0</v>
      </c>
      <c r="AJ187" s="138">
        <v>41061.0</v>
      </c>
      <c r="AK187" s="138">
        <v>41091.0</v>
      </c>
      <c r="AL187" s="138">
        <v>41122.0</v>
      </c>
      <c r="AM187" s="138">
        <v>41153.0</v>
      </c>
      <c r="AN187" s="138">
        <v>41183.0</v>
      </c>
      <c r="AO187" s="138">
        <v>41214.0</v>
      </c>
      <c r="AP187" s="138">
        <v>41244.0</v>
      </c>
      <c r="AQ187" s="138">
        <v>41275.0</v>
      </c>
      <c r="AR187" s="138">
        <v>41306.0</v>
      </c>
      <c r="AS187" s="138">
        <v>41334.0</v>
      </c>
      <c r="AT187" s="138">
        <v>41365.0</v>
      </c>
      <c r="AU187" s="138">
        <v>41395.0</v>
      </c>
      <c r="AV187" s="138">
        <v>41426.0</v>
      </c>
      <c r="AW187" s="138">
        <v>41456.0</v>
      </c>
      <c r="AX187" s="138">
        <v>41487.0</v>
      </c>
      <c r="AY187" s="138">
        <v>41518.0</v>
      </c>
      <c r="AZ187" s="138">
        <v>41548.0</v>
      </c>
      <c r="BA187" s="138">
        <v>41579.0</v>
      </c>
      <c r="BB187" s="138">
        <v>41609.0</v>
      </c>
      <c r="BC187" s="138">
        <v>41640.0</v>
      </c>
      <c r="BD187" s="138">
        <v>41671.0</v>
      </c>
      <c r="BE187" s="138">
        <v>41699.0</v>
      </c>
      <c r="BF187" s="138">
        <v>41730.0</v>
      </c>
      <c r="BG187" s="138">
        <v>41760.0</v>
      </c>
      <c r="BH187" s="138">
        <v>41791.0</v>
      </c>
      <c r="BI187" s="138">
        <v>41821.0</v>
      </c>
      <c r="BJ187" s="138">
        <v>41852.0</v>
      </c>
      <c r="BK187" s="138">
        <v>41883.0</v>
      </c>
      <c r="BL187" s="138">
        <v>41913.0</v>
      </c>
      <c r="BM187" s="138">
        <v>41944.0</v>
      </c>
      <c r="BN187" s="138">
        <v>41974.0</v>
      </c>
      <c r="BO187" s="138">
        <v>42005.0</v>
      </c>
      <c r="BP187" s="138">
        <v>42036.0</v>
      </c>
      <c r="BQ187" s="138">
        <v>42064.0</v>
      </c>
      <c r="BR187" s="138">
        <v>42095.0</v>
      </c>
      <c r="BS187" s="138">
        <v>42125.0</v>
      </c>
      <c r="BT187" s="138">
        <v>42156.0</v>
      </c>
      <c r="BU187" s="138">
        <v>42186.0</v>
      </c>
      <c r="BV187" s="138">
        <v>42217.0</v>
      </c>
      <c r="BW187" s="138">
        <v>42248.0</v>
      </c>
      <c r="BX187" s="138">
        <v>42278.0</v>
      </c>
      <c r="BY187" s="138">
        <v>42309.0</v>
      </c>
      <c r="BZ187" s="138">
        <v>42339.0</v>
      </c>
      <c r="CA187" s="138">
        <v>42370.0</v>
      </c>
      <c r="CB187" s="138">
        <v>42401.0</v>
      </c>
      <c r="CC187" s="138">
        <v>42430.0</v>
      </c>
      <c r="CD187" s="138">
        <v>42461.0</v>
      </c>
      <c r="CE187" s="138">
        <v>42491.0</v>
      </c>
      <c r="CF187" s="138">
        <v>42522.0</v>
      </c>
      <c r="CG187" s="138">
        <v>42552.0</v>
      </c>
      <c r="CH187" s="138">
        <v>42583.0</v>
      </c>
      <c r="CI187" s="138">
        <v>42614.0</v>
      </c>
      <c r="CJ187" s="138">
        <v>42644.0</v>
      </c>
      <c r="CK187" s="138">
        <v>42675.0</v>
      </c>
      <c r="CL187" s="138">
        <v>42705.0</v>
      </c>
      <c r="CM187" s="138">
        <v>42736.0</v>
      </c>
      <c r="CN187" s="138">
        <v>42767.0</v>
      </c>
      <c r="CO187" s="138">
        <v>42795.0</v>
      </c>
      <c r="CP187" s="138">
        <v>42826.0</v>
      </c>
      <c r="CQ187" s="138">
        <v>42856.0</v>
      </c>
      <c r="CR187" s="138">
        <v>42887.0</v>
      </c>
      <c r="CS187" s="138">
        <v>42917.0</v>
      </c>
      <c r="CT187" s="138">
        <v>42948.0</v>
      </c>
      <c r="CU187" s="138">
        <v>42979.0</v>
      </c>
      <c r="CV187" s="138">
        <v>43009.0</v>
      </c>
      <c r="CW187" s="138">
        <v>43040.0</v>
      </c>
      <c r="CX187" s="138">
        <v>43070.0</v>
      </c>
      <c r="CY187" s="138">
        <v>43101.0</v>
      </c>
      <c r="CZ187" s="138">
        <v>43132.0</v>
      </c>
      <c r="DA187" s="138">
        <v>43160.0</v>
      </c>
      <c r="DB187" s="138">
        <v>43191.0</v>
      </c>
      <c r="DC187" s="138">
        <v>43221.0</v>
      </c>
      <c r="DD187" s="138">
        <v>43252.0</v>
      </c>
      <c r="DE187" s="138">
        <v>43282.0</v>
      </c>
      <c r="DF187" s="138">
        <v>43313.0</v>
      </c>
      <c r="DG187" s="138">
        <v>43344.0</v>
      </c>
      <c r="DH187" s="138">
        <v>43374.0</v>
      </c>
      <c r="DI187" s="138">
        <v>43405.0</v>
      </c>
      <c r="DJ187" s="138">
        <v>43435.0</v>
      </c>
      <c r="DK187" s="138">
        <v>43466.0</v>
      </c>
      <c r="DL187" s="138">
        <v>43497.0</v>
      </c>
      <c r="DM187" s="138">
        <v>43525.0</v>
      </c>
      <c r="DN187" s="138">
        <v>43556.0</v>
      </c>
      <c r="DO187" s="138">
        <v>43586.0</v>
      </c>
      <c r="DP187" s="138">
        <v>43617.0</v>
      </c>
      <c r="DQ187" s="138">
        <v>43647.0</v>
      </c>
      <c r="DR187" s="138">
        <v>43678.0</v>
      </c>
      <c r="DS187" s="138">
        <v>43709.0</v>
      </c>
      <c r="DT187" s="138">
        <v>43739.0</v>
      </c>
      <c r="DU187" s="138">
        <v>43770.0</v>
      </c>
      <c r="DV187" s="138">
        <v>43800.0</v>
      </c>
      <c r="DW187" s="138">
        <v>43831.0</v>
      </c>
      <c r="DX187" s="138">
        <v>43862.0</v>
      </c>
      <c r="DY187" s="138">
        <v>43891.0</v>
      </c>
      <c r="DZ187" s="138">
        <v>43922.0</v>
      </c>
      <c r="EA187" s="138">
        <v>43952.0</v>
      </c>
      <c r="EB187" s="138">
        <v>43983.0</v>
      </c>
      <c r="EC187" s="138">
        <v>44013.0</v>
      </c>
      <c r="ED187" s="138">
        <v>44044.0</v>
      </c>
      <c r="EE187" s="138">
        <v>44075.0</v>
      </c>
      <c r="EF187" s="138">
        <v>44105.0</v>
      </c>
      <c r="EG187" s="138">
        <v>44136.0</v>
      </c>
      <c r="EH187" s="138">
        <v>44166.0</v>
      </c>
      <c r="EI187" s="138">
        <v>44197.0</v>
      </c>
      <c r="EJ187" s="138">
        <v>44228.0</v>
      </c>
      <c r="EK187" s="138">
        <v>44256.0</v>
      </c>
      <c r="EL187" s="138">
        <v>44287.0</v>
      </c>
      <c r="EM187" s="138">
        <v>44317.0</v>
      </c>
      <c r="EN187" s="138">
        <v>44348.0</v>
      </c>
      <c r="EO187" s="138">
        <v>44378.0</v>
      </c>
      <c r="EP187" s="138">
        <v>44409.0</v>
      </c>
      <c r="EQ187" s="138">
        <v>44440.0</v>
      </c>
      <c r="ER187" s="138">
        <v>44470.0</v>
      </c>
      <c r="ES187" s="138">
        <v>44501.0</v>
      </c>
      <c r="ET187" s="138">
        <v>44531.0</v>
      </c>
      <c r="EU187" s="138">
        <v>44562.0</v>
      </c>
      <c r="EV187" s="138">
        <v>44593.0</v>
      </c>
      <c r="EW187" s="138">
        <v>44621.0</v>
      </c>
      <c r="EX187" s="138">
        <v>44652.0</v>
      </c>
      <c r="EY187" s="138">
        <v>44682.0</v>
      </c>
      <c r="EZ187" s="138">
        <v>44713.0</v>
      </c>
      <c r="FA187" s="138">
        <v>44743.0</v>
      </c>
      <c r="FB187" s="138">
        <v>44774.0</v>
      </c>
      <c r="FC187" s="138">
        <v>44805.0</v>
      </c>
      <c r="FD187" s="138">
        <v>44835.0</v>
      </c>
      <c r="FE187" s="138">
        <v>44866.0</v>
      </c>
      <c r="FF187" s="138">
        <v>44896.0</v>
      </c>
      <c r="FG187" s="138">
        <v>44927.0</v>
      </c>
      <c r="FH187" s="138">
        <v>44958.0</v>
      </c>
      <c r="FI187" s="138">
        <v>44986.0</v>
      </c>
      <c r="FJ187" s="138">
        <v>45017.0</v>
      </c>
      <c r="FK187" s="138">
        <v>45047.0</v>
      </c>
      <c r="FL187" s="138">
        <v>45078.0</v>
      </c>
      <c r="FM187" s="138">
        <v>45108.0</v>
      </c>
      <c r="FN187" s="138">
        <v>45139.0</v>
      </c>
      <c r="FO187" s="138">
        <v>45170.0</v>
      </c>
      <c r="FP187" s="138">
        <v>45200.0</v>
      </c>
      <c r="FQ187" s="138">
        <v>45231.0</v>
      </c>
      <c r="FR187" s="138">
        <v>45261.0</v>
      </c>
      <c r="FS187" s="138">
        <v>45292.0</v>
      </c>
      <c r="FT187" s="138">
        <v>45323.0</v>
      </c>
      <c r="FU187" s="138">
        <v>45352.0</v>
      </c>
      <c r="FV187" s="138">
        <v>45383.0</v>
      </c>
      <c r="FW187" s="138">
        <v>45413.0</v>
      </c>
      <c r="FX187" s="138">
        <v>45444.0</v>
      </c>
      <c r="FY187" s="138">
        <v>45474.0</v>
      </c>
      <c r="FZ187" s="138">
        <v>45505.0</v>
      </c>
      <c r="GA187" s="138">
        <v>45536.0</v>
      </c>
      <c r="GB187" s="138">
        <v>45566.0</v>
      </c>
      <c r="GC187" s="138">
        <v>45597.0</v>
      </c>
      <c r="GD187" s="138">
        <v>45627.0</v>
      </c>
      <c r="GE187" s="138">
        <v>45658.0</v>
      </c>
      <c r="GF187" s="138">
        <v>45689.0</v>
      </c>
      <c r="GG187" s="138">
        <v>45717.0</v>
      </c>
      <c r="GH187" s="138">
        <v>45748.0</v>
      </c>
      <c r="GI187" s="138">
        <v>45778.0</v>
      </c>
      <c r="GJ187" s="138">
        <v>45809.0</v>
      </c>
      <c r="GK187" s="138">
        <v>45839.0</v>
      </c>
    </row>
    <row r="188">
      <c r="A188" s="132" t="s">
        <v>1422</v>
      </c>
      <c r="B188" s="133" t="s">
        <v>48</v>
      </c>
      <c r="C188" s="134">
        <v>45846.714791666665</v>
      </c>
      <c r="D188" s="135" t="str">
        <f t="shared" si="1"/>
        <v>2025/07/08</v>
      </c>
      <c r="E188" s="136" t="s">
        <v>34228</v>
      </c>
      <c r="F188" s="137">
        <v>0.00573</v>
      </c>
      <c r="G188" s="138">
        <v>40179.0</v>
      </c>
      <c r="H188" s="138">
        <v>40210.0</v>
      </c>
      <c r="I188" s="138">
        <v>40238.0</v>
      </c>
      <c r="J188" s="138">
        <v>40269.0</v>
      </c>
      <c r="K188" s="138">
        <v>40299.0</v>
      </c>
      <c r="L188" s="138">
        <v>40330.0</v>
      </c>
      <c r="M188" s="138">
        <v>40360.0</v>
      </c>
      <c r="N188" s="138">
        <v>40391.0</v>
      </c>
      <c r="O188" s="138">
        <v>40422.0</v>
      </c>
      <c r="P188" s="138">
        <v>40452.0</v>
      </c>
      <c r="Q188" s="138">
        <v>40483.0</v>
      </c>
      <c r="R188" s="138">
        <v>40513.0</v>
      </c>
      <c r="S188" s="138">
        <v>40544.0</v>
      </c>
      <c r="T188" s="138">
        <v>40575.0</v>
      </c>
      <c r="U188" s="138">
        <v>40603.0</v>
      </c>
      <c r="V188" s="138">
        <v>40634.0</v>
      </c>
      <c r="W188" s="138">
        <v>40664.0</v>
      </c>
      <c r="X188" s="138">
        <v>40695.0</v>
      </c>
      <c r="Y188" s="138">
        <v>40725.0</v>
      </c>
      <c r="Z188" s="138">
        <v>40756.0</v>
      </c>
      <c r="AA188" s="138">
        <v>40787.0</v>
      </c>
      <c r="AB188" s="138">
        <v>40817.0</v>
      </c>
      <c r="AC188" s="138">
        <v>40848.0</v>
      </c>
      <c r="AD188" s="138">
        <v>40878.0</v>
      </c>
      <c r="AE188" s="138">
        <v>40909.0</v>
      </c>
      <c r="AF188" s="138">
        <v>40940.0</v>
      </c>
      <c r="AG188" s="138">
        <v>40969.0</v>
      </c>
      <c r="AH188" s="138">
        <v>41000.0</v>
      </c>
      <c r="AI188" s="138">
        <v>41030.0</v>
      </c>
      <c r="AJ188" s="138">
        <v>41061.0</v>
      </c>
      <c r="AK188" s="138">
        <v>41091.0</v>
      </c>
      <c r="AL188" s="138">
        <v>41122.0</v>
      </c>
      <c r="AM188" s="138">
        <v>41153.0</v>
      </c>
      <c r="AN188" s="138">
        <v>41183.0</v>
      </c>
      <c r="AO188" s="138">
        <v>41214.0</v>
      </c>
      <c r="AP188" s="138">
        <v>41244.0</v>
      </c>
      <c r="AQ188" s="138">
        <v>41275.0</v>
      </c>
      <c r="AR188" s="138">
        <v>41306.0</v>
      </c>
      <c r="AS188" s="138">
        <v>41334.0</v>
      </c>
      <c r="AT188" s="138">
        <v>41365.0</v>
      </c>
      <c r="AU188" s="138">
        <v>41395.0</v>
      </c>
      <c r="AV188" s="138">
        <v>41426.0</v>
      </c>
      <c r="AW188" s="138">
        <v>41456.0</v>
      </c>
      <c r="AX188" s="138">
        <v>41487.0</v>
      </c>
      <c r="AY188" s="138">
        <v>41518.0</v>
      </c>
      <c r="AZ188" s="138">
        <v>41548.0</v>
      </c>
      <c r="BA188" s="138">
        <v>41579.0</v>
      </c>
      <c r="BB188" s="138">
        <v>41609.0</v>
      </c>
      <c r="BC188" s="138">
        <v>41640.0</v>
      </c>
      <c r="BD188" s="138">
        <v>41671.0</v>
      </c>
      <c r="BE188" s="138">
        <v>41699.0</v>
      </c>
      <c r="BF188" s="138">
        <v>41730.0</v>
      </c>
      <c r="BG188" s="138">
        <v>41760.0</v>
      </c>
      <c r="BH188" s="138">
        <v>41791.0</v>
      </c>
      <c r="BI188" s="138">
        <v>41821.0</v>
      </c>
      <c r="BJ188" s="138">
        <v>41852.0</v>
      </c>
      <c r="BK188" s="138">
        <v>41883.0</v>
      </c>
      <c r="BL188" s="138">
        <v>41913.0</v>
      </c>
      <c r="BM188" s="138">
        <v>41944.0</v>
      </c>
      <c r="BN188" s="138">
        <v>41974.0</v>
      </c>
      <c r="BO188" s="138">
        <v>42005.0</v>
      </c>
      <c r="BP188" s="138">
        <v>42036.0</v>
      </c>
      <c r="BQ188" s="138">
        <v>42064.0</v>
      </c>
      <c r="BR188" s="138">
        <v>42095.0</v>
      </c>
      <c r="BS188" s="138">
        <v>42125.0</v>
      </c>
      <c r="BT188" s="138">
        <v>42156.0</v>
      </c>
      <c r="BU188" s="138">
        <v>42186.0</v>
      </c>
      <c r="BV188" s="138">
        <v>42217.0</v>
      </c>
      <c r="BW188" s="138">
        <v>42248.0</v>
      </c>
      <c r="BX188" s="138">
        <v>42278.0</v>
      </c>
      <c r="BY188" s="138">
        <v>42309.0</v>
      </c>
      <c r="BZ188" s="138">
        <v>42339.0</v>
      </c>
      <c r="CA188" s="138">
        <v>42370.0</v>
      </c>
      <c r="CB188" s="138">
        <v>42401.0</v>
      </c>
      <c r="CC188" s="138">
        <v>42430.0</v>
      </c>
      <c r="CD188" s="138">
        <v>42461.0</v>
      </c>
      <c r="CE188" s="138">
        <v>42491.0</v>
      </c>
      <c r="CF188" s="138">
        <v>42522.0</v>
      </c>
      <c r="CG188" s="138">
        <v>42552.0</v>
      </c>
      <c r="CH188" s="138">
        <v>42583.0</v>
      </c>
      <c r="CI188" s="138">
        <v>42614.0</v>
      </c>
      <c r="CJ188" s="138">
        <v>42644.0</v>
      </c>
      <c r="CK188" s="138">
        <v>42675.0</v>
      </c>
      <c r="CL188" s="138">
        <v>42705.0</v>
      </c>
      <c r="CM188" s="138">
        <v>42736.0</v>
      </c>
      <c r="CN188" s="138">
        <v>42767.0</v>
      </c>
      <c r="CO188" s="138">
        <v>42795.0</v>
      </c>
      <c r="CP188" s="138">
        <v>42826.0</v>
      </c>
      <c r="CQ188" s="138">
        <v>42856.0</v>
      </c>
      <c r="CR188" s="138">
        <v>42887.0</v>
      </c>
      <c r="CS188" s="138">
        <v>42917.0</v>
      </c>
      <c r="CT188" s="138">
        <v>42948.0</v>
      </c>
      <c r="CU188" s="138">
        <v>42979.0</v>
      </c>
      <c r="CV188" s="138">
        <v>43009.0</v>
      </c>
      <c r="CW188" s="138">
        <v>43040.0</v>
      </c>
      <c r="CX188" s="138">
        <v>43070.0</v>
      </c>
      <c r="CY188" s="138">
        <v>43101.0</v>
      </c>
      <c r="CZ188" s="138">
        <v>43132.0</v>
      </c>
      <c r="DA188" s="138">
        <v>43160.0</v>
      </c>
      <c r="DB188" s="138">
        <v>43191.0</v>
      </c>
      <c r="DC188" s="138">
        <v>43221.0</v>
      </c>
      <c r="DD188" s="138">
        <v>43252.0</v>
      </c>
      <c r="DE188" s="138">
        <v>43282.0</v>
      </c>
      <c r="DF188" s="138">
        <v>43313.0</v>
      </c>
      <c r="DG188" s="138">
        <v>43344.0</v>
      </c>
      <c r="DH188" s="138">
        <v>43374.0</v>
      </c>
      <c r="DI188" s="138">
        <v>43405.0</v>
      </c>
      <c r="DJ188" s="138">
        <v>43435.0</v>
      </c>
      <c r="DK188" s="138">
        <v>43466.0</v>
      </c>
      <c r="DL188" s="138">
        <v>43497.0</v>
      </c>
      <c r="DM188" s="138">
        <v>43525.0</v>
      </c>
      <c r="DN188" s="138">
        <v>43556.0</v>
      </c>
      <c r="DO188" s="138">
        <v>43586.0</v>
      </c>
      <c r="DP188" s="138">
        <v>43617.0</v>
      </c>
      <c r="DQ188" s="138">
        <v>43647.0</v>
      </c>
      <c r="DR188" s="138">
        <v>43678.0</v>
      </c>
      <c r="DS188" s="138">
        <v>43709.0</v>
      </c>
      <c r="DT188" s="138">
        <v>43739.0</v>
      </c>
      <c r="DU188" s="138">
        <v>43770.0</v>
      </c>
      <c r="DV188" s="138">
        <v>43800.0</v>
      </c>
      <c r="DW188" s="138">
        <v>43831.0</v>
      </c>
      <c r="DX188" s="138">
        <v>43862.0</v>
      </c>
      <c r="DY188" s="138">
        <v>43891.0</v>
      </c>
      <c r="DZ188" s="138">
        <v>43922.0</v>
      </c>
      <c r="EA188" s="138">
        <v>43952.0</v>
      </c>
      <c r="EB188" s="138">
        <v>43983.0</v>
      </c>
      <c r="EC188" s="138">
        <v>44013.0</v>
      </c>
      <c r="ED188" s="138">
        <v>44044.0</v>
      </c>
      <c r="EE188" s="138">
        <v>44075.0</v>
      </c>
      <c r="EF188" s="138">
        <v>44105.0</v>
      </c>
      <c r="EG188" s="138">
        <v>44136.0</v>
      </c>
      <c r="EH188" s="138">
        <v>44166.0</v>
      </c>
      <c r="EI188" s="138">
        <v>44197.0</v>
      </c>
      <c r="EJ188" s="138">
        <v>44228.0</v>
      </c>
      <c r="EK188" s="138">
        <v>44256.0</v>
      </c>
      <c r="EL188" s="138">
        <v>44287.0</v>
      </c>
      <c r="EM188" s="138">
        <v>44317.0</v>
      </c>
      <c r="EN188" s="138">
        <v>44348.0</v>
      </c>
      <c r="EO188" s="138">
        <v>44378.0</v>
      </c>
      <c r="EP188" s="138">
        <v>44409.0</v>
      </c>
      <c r="EQ188" s="138">
        <v>44440.0</v>
      </c>
      <c r="ER188" s="138">
        <v>44470.0</v>
      </c>
      <c r="ES188" s="138">
        <v>44501.0</v>
      </c>
      <c r="ET188" s="138">
        <v>44531.0</v>
      </c>
      <c r="EU188" s="138">
        <v>44562.0</v>
      </c>
      <c r="EV188" s="138">
        <v>44593.0</v>
      </c>
      <c r="EW188" s="138">
        <v>44621.0</v>
      </c>
      <c r="EX188" s="138">
        <v>44652.0</v>
      </c>
      <c r="EY188" s="138">
        <v>44682.0</v>
      </c>
      <c r="EZ188" s="138">
        <v>44713.0</v>
      </c>
      <c r="FA188" s="138">
        <v>44743.0</v>
      </c>
      <c r="FB188" s="138">
        <v>44774.0</v>
      </c>
      <c r="FC188" s="138">
        <v>44805.0</v>
      </c>
      <c r="FD188" s="138">
        <v>44835.0</v>
      </c>
      <c r="FE188" s="138">
        <v>44866.0</v>
      </c>
      <c r="FF188" s="138">
        <v>44896.0</v>
      </c>
      <c r="FG188" s="138">
        <v>44927.0</v>
      </c>
      <c r="FH188" s="138">
        <v>44958.0</v>
      </c>
      <c r="FI188" s="138">
        <v>44986.0</v>
      </c>
      <c r="FJ188" s="138">
        <v>45017.0</v>
      </c>
      <c r="FK188" s="138">
        <v>45047.0</v>
      </c>
      <c r="FL188" s="138">
        <v>45078.0</v>
      </c>
      <c r="FM188" s="138">
        <v>45108.0</v>
      </c>
      <c r="FN188" s="138">
        <v>45139.0</v>
      </c>
      <c r="FO188" s="138">
        <v>45170.0</v>
      </c>
      <c r="FP188" s="138">
        <v>45200.0</v>
      </c>
      <c r="FQ188" s="138">
        <v>45231.0</v>
      </c>
      <c r="FR188" s="138">
        <v>45261.0</v>
      </c>
      <c r="FS188" s="138">
        <v>45292.0</v>
      </c>
      <c r="FT188" s="138">
        <v>45323.0</v>
      </c>
      <c r="FU188" s="138">
        <v>45352.0</v>
      </c>
      <c r="FV188" s="138">
        <v>45383.0</v>
      </c>
      <c r="FW188" s="138">
        <v>45413.0</v>
      </c>
      <c r="FX188" s="138">
        <v>45444.0</v>
      </c>
      <c r="FY188" s="138">
        <v>45474.0</v>
      </c>
      <c r="FZ188" s="138">
        <v>45505.0</v>
      </c>
      <c r="GA188" s="138">
        <v>45536.0</v>
      </c>
      <c r="GB188" s="138">
        <v>45566.0</v>
      </c>
      <c r="GC188" s="138">
        <v>45597.0</v>
      </c>
      <c r="GD188" s="138">
        <v>45627.0</v>
      </c>
      <c r="GE188" s="138">
        <v>45658.0</v>
      </c>
      <c r="GF188" s="138">
        <v>45689.0</v>
      </c>
      <c r="GG188" s="138">
        <v>45717.0</v>
      </c>
      <c r="GH188" s="138">
        <v>45748.0</v>
      </c>
      <c r="GI188" s="138">
        <v>45778.0</v>
      </c>
      <c r="GJ188" s="138">
        <v>45809.0</v>
      </c>
      <c r="GK188" s="138">
        <v>45839.0</v>
      </c>
    </row>
    <row r="189">
      <c r="A189" s="132" t="s">
        <v>34229</v>
      </c>
      <c r="B189" s="133" t="s">
        <v>1231</v>
      </c>
      <c r="C189" s="134">
        <v>45846.726643518516</v>
      </c>
      <c r="D189" s="135" t="str">
        <f t="shared" si="1"/>
        <v>2025/07/08</v>
      </c>
      <c r="E189" s="136" t="s">
        <v>34230</v>
      </c>
      <c r="F189" s="137">
        <v>0.00569</v>
      </c>
      <c r="G189" s="138">
        <v>40179.0</v>
      </c>
      <c r="H189" s="138">
        <v>40210.0</v>
      </c>
      <c r="I189" s="138">
        <v>40238.0</v>
      </c>
      <c r="J189" s="138">
        <v>40269.0</v>
      </c>
      <c r="K189" s="138">
        <v>40299.0</v>
      </c>
      <c r="L189" s="138">
        <v>40330.0</v>
      </c>
      <c r="M189" s="138">
        <v>40360.0</v>
      </c>
      <c r="N189" s="138">
        <v>40391.0</v>
      </c>
      <c r="O189" s="138">
        <v>40422.0</v>
      </c>
      <c r="P189" s="138">
        <v>40452.0</v>
      </c>
      <c r="Q189" s="138">
        <v>40483.0</v>
      </c>
      <c r="R189" s="138">
        <v>40513.0</v>
      </c>
      <c r="S189" s="138">
        <v>40544.0</v>
      </c>
      <c r="T189" s="138">
        <v>40575.0</v>
      </c>
      <c r="U189" s="138">
        <v>40603.0</v>
      </c>
      <c r="V189" s="138">
        <v>40634.0</v>
      </c>
      <c r="W189" s="138">
        <v>40664.0</v>
      </c>
      <c r="X189" s="138">
        <v>40695.0</v>
      </c>
      <c r="Y189" s="138">
        <v>40725.0</v>
      </c>
      <c r="Z189" s="138">
        <v>40756.0</v>
      </c>
      <c r="AA189" s="138">
        <v>40787.0</v>
      </c>
      <c r="AB189" s="138">
        <v>40817.0</v>
      </c>
      <c r="AC189" s="138">
        <v>40848.0</v>
      </c>
      <c r="AD189" s="138">
        <v>40878.0</v>
      </c>
      <c r="AE189" s="138">
        <v>40909.0</v>
      </c>
      <c r="AF189" s="138">
        <v>40940.0</v>
      </c>
      <c r="AG189" s="138">
        <v>40969.0</v>
      </c>
      <c r="AH189" s="138">
        <v>41000.0</v>
      </c>
      <c r="AI189" s="138">
        <v>41030.0</v>
      </c>
      <c r="AJ189" s="138">
        <v>41061.0</v>
      </c>
      <c r="AK189" s="138">
        <v>41091.0</v>
      </c>
      <c r="AL189" s="138">
        <v>41122.0</v>
      </c>
      <c r="AM189" s="138">
        <v>41153.0</v>
      </c>
      <c r="AN189" s="138">
        <v>41183.0</v>
      </c>
      <c r="AO189" s="138">
        <v>41214.0</v>
      </c>
      <c r="AP189" s="138">
        <v>41244.0</v>
      </c>
      <c r="AQ189" s="138">
        <v>41275.0</v>
      </c>
      <c r="AR189" s="138">
        <v>41306.0</v>
      </c>
      <c r="AS189" s="138">
        <v>41334.0</v>
      </c>
      <c r="AT189" s="138">
        <v>41365.0</v>
      </c>
      <c r="AU189" s="138">
        <v>41395.0</v>
      </c>
      <c r="AV189" s="138">
        <v>41426.0</v>
      </c>
      <c r="AW189" s="138">
        <v>41456.0</v>
      </c>
      <c r="AX189" s="138">
        <v>41487.0</v>
      </c>
      <c r="AY189" s="138">
        <v>41518.0</v>
      </c>
      <c r="AZ189" s="138">
        <v>41548.0</v>
      </c>
      <c r="BA189" s="138">
        <v>41579.0</v>
      </c>
      <c r="BB189" s="138">
        <v>41609.0</v>
      </c>
      <c r="BC189" s="138">
        <v>41640.0</v>
      </c>
      <c r="BD189" s="138">
        <v>41671.0</v>
      </c>
      <c r="BE189" s="138">
        <v>41699.0</v>
      </c>
      <c r="BF189" s="138">
        <v>41730.0</v>
      </c>
      <c r="BG189" s="138">
        <v>41760.0</v>
      </c>
      <c r="BH189" s="138">
        <v>41791.0</v>
      </c>
      <c r="BI189" s="138">
        <v>41821.0</v>
      </c>
      <c r="BJ189" s="138">
        <v>41852.0</v>
      </c>
      <c r="BK189" s="138">
        <v>41883.0</v>
      </c>
      <c r="BL189" s="138">
        <v>41913.0</v>
      </c>
      <c r="BM189" s="138">
        <v>41944.0</v>
      </c>
      <c r="BN189" s="138">
        <v>41974.0</v>
      </c>
      <c r="BO189" s="138">
        <v>42005.0</v>
      </c>
      <c r="BP189" s="138">
        <v>42036.0</v>
      </c>
      <c r="BQ189" s="138">
        <v>42064.0</v>
      </c>
      <c r="BR189" s="138">
        <v>42095.0</v>
      </c>
      <c r="BS189" s="138">
        <v>42125.0</v>
      </c>
      <c r="BT189" s="138">
        <v>42156.0</v>
      </c>
      <c r="BU189" s="138">
        <v>42186.0</v>
      </c>
      <c r="BV189" s="138">
        <v>42217.0</v>
      </c>
      <c r="BW189" s="138">
        <v>42248.0</v>
      </c>
      <c r="BX189" s="138">
        <v>42278.0</v>
      </c>
      <c r="BY189" s="138">
        <v>42309.0</v>
      </c>
      <c r="BZ189" s="138">
        <v>42339.0</v>
      </c>
      <c r="CA189" s="138">
        <v>42370.0</v>
      </c>
      <c r="CB189" s="138">
        <v>42401.0</v>
      </c>
      <c r="CC189" s="138">
        <v>42430.0</v>
      </c>
      <c r="CD189" s="138">
        <v>42461.0</v>
      </c>
      <c r="CE189" s="138">
        <v>42491.0</v>
      </c>
      <c r="CF189" s="138">
        <v>42522.0</v>
      </c>
      <c r="CG189" s="138">
        <v>42552.0</v>
      </c>
      <c r="CH189" s="138">
        <v>42583.0</v>
      </c>
      <c r="CI189" s="138">
        <v>42614.0</v>
      </c>
      <c r="CJ189" s="138">
        <v>42644.0</v>
      </c>
      <c r="CK189" s="138">
        <v>42675.0</v>
      </c>
      <c r="CL189" s="138">
        <v>42705.0</v>
      </c>
      <c r="CM189" s="138">
        <v>42736.0</v>
      </c>
      <c r="CN189" s="138">
        <v>42767.0</v>
      </c>
      <c r="CO189" s="138">
        <v>42795.0</v>
      </c>
      <c r="CP189" s="138">
        <v>42826.0</v>
      </c>
      <c r="CQ189" s="138">
        <v>42856.0</v>
      </c>
      <c r="CR189" s="138">
        <v>42887.0</v>
      </c>
      <c r="CS189" s="138">
        <v>42917.0</v>
      </c>
      <c r="CT189" s="138">
        <v>42948.0</v>
      </c>
      <c r="CU189" s="138">
        <v>42979.0</v>
      </c>
      <c r="CV189" s="138">
        <v>43009.0</v>
      </c>
      <c r="CW189" s="138">
        <v>43040.0</v>
      </c>
      <c r="CX189" s="138">
        <v>43070.0</v>
      </c>
      <c r="CY189" s="138">
        <v>43101.0</v>
      </c>
      <c r="CZ189" s="138">
        <v>43132.0</v>
      </c>
      <c r="DA189" s="138">
        <v>43160.0</v>
      </c>
      <c r="DB189" s="138">
        <v>43191.0</v>
      </c>
      <c r="DC189" s="138">
        <v>43221.0</v>
      </c>
      <c r="DD189" s="138">
        <v>43252.0</v>
      </c>
      <c r="DE189" s="138">
        <v>43282.0</v>
      </c>
      <c r="DF189" s="138">
        <v>43313.0</v>
      </c>
      <c r="DG189" s="138">
        <v>43344.0</v>
      </c>
      <c r="DH189" s="138">
        <v>43374.0</v>
      </c>
      <c r="DI189" s="138">
        <v>43405.0</v>
      </c>
      <c r="DJ189" s="138">
        <v>43435.0</v>
      </c>
      <c r="DK189" s="138">
        <v>43466.0</v>
      </c>
      <c r="DL189" s="138">
        <v>43497.0</v>
      </c>
      <c r="DM189" s="138">
        <v>43525.0</v>
      </c>
      <c r="DN189" s="138">
        <v>43556.0</v>
      </c>
      <c r="DO189" s="138">
        <v>43586.0</v>
      </c>
      <c r="DP189" s="138">
        <v>43617.0</v>
      </c>
      <c r="DQ189" s="138">
        <v>43647.0</v>
      </c>
      <c r="DR189" s="138">
        <v>43678.0</v>
      </c>
      <c r="DS189" s="138">
        <v>43709.0</v>
      </c>
      <c r="DT189" s="138">
        <v>43739.0</v>
      </c>
      <c r="DU189" s="138">
        <v>43770.0</v>
      </c>
      <c r="DV189" s="138">
        <v>43800.0</v>
      </c>
      <c r="DW189" s="138">
        <v>43831.0</v>
      </c>
      <c r="DX189" s="138">
        <v>43862.0</v>
      </c>
      <c r="DY189" s="138">
        <v>43891.0</v>
      </c>
      <c r="DZ189" s="138">
        <v>43922.0</v>
      </c>
      <c r="EA189" s="138">
        <v>43952.0</v>
      </c>
      <c r="EB189" s="138">
        <v>43983.0</v>
      </c>
      <c r="EC189" s="138">
        <v>44013.0</v>
      </c>
      <c r="ED189" s="138">
        <v>44044.0</v>
      </c>
      <c r="EE189" s="138">
        <v>44075.0</v>
      </c>
      <c r="EF189" s="138">
        <v>44105.0</v>
      </c>
      <c r="EG189" s="138">
        <v>44136.0</v>
      </c>
      <c r="EH189" s="138">
        <v>44166.0</v>
      </c>
      <c r="EI189" s="138">
        <v>44197.0</v>
      </c>
      <c r="EJ189" s="138">
        <v>44228.0</v>
      </c>
      <c r="EK189" s="138">
        <v>44256.0</v>
      </c>
      <c r="EL189" s="138">
        <v>44287.0</v>
      </c>
      <c r="EM189" s="138">
        <v>44317.0</v>
      </c>
      <c r="EN189" s="138">
        <v>44348.0</v>
      </c>
      <c r="EO189" s="138">
        <v>44378.0</v>
      </c>
      <c r="EP189" s="138">
        <v>44409.0</v>
      </c>
      <c r="EQ189" s="138">
        <v>44440.0</v>
      </c>
      <c r="ER189" s="138">
        <v>44470.0</v>
      </c>
      <c r="ES189" s="138">
        <v>44501.0</v>
      </c>
      <c r="ET189" s="138">
        <v>44531.0</v>
      </c>
      <c r="EU189" s="138">
        <v>44562.0</v>
      </c>
      <c r="EV189" s="138">
        <v>44593.0</v>
      </c>
      <c r="EW189" s="138">
        <v>44621.0</v>
      </c>
      <c r="EX189" s="138">
        <v>44652.0</v>
      </c>
      <c r="EY189" s="138">
        <v>44682.0</v>
      </c>
      <c r="EZ189" s="138">
        <v>44713.0</v>
      </c>
      <c r="FA189" s="138">
        <v>44743.0</v>
      </c>
      <c r="FB189" s="138">
        <v>44774.0</v>
      </c>
      <c r="FC189" s="138">
        <v>44805.0</v>
      </c>
      <c r="FD189" s="138">
        <v>44835.0</v>
      </c>
      <c r="FE189" s="138">
        <v>44866.0</v>
      </c>
      <c r="FF189" s="138">
        <v>44896.0</v>
      </c>
      <c r="FG189" s="138">
        <v>44927.0</v>
      </c>
      <c r="FH189" s="138">
        <v>44958.0</v>
      </c>
      <c r="FI189" s="138">
        <v>44986.0</v>
      </c>
      <c r="FJ189" s="138">
        <v>45017.0</v>
      </c>
      <c r="FK189" s="138">
        <v>45047.0</v>
      </c>
      <c r="FL189" s="138">
        <v>45078.0</v>
      </c>
      <c r="FM189" s="138">
        <v>45108.0</v>
      </c>
      <c r="FN189" s="138">
        <v>45139.0</v>
      </c>
      <c r="FO189" s="138">
        <v>45170.0</v>
      </c>
      <c r="FP189" s="138">
        <v>45200.0</v>
      </c>
      <c r="FQ189" s="138">
        <v>45231.0</v>
      </c>
      <c r="FR189" s="138">
        <v>45261.0</v>
      </c>
      <c r="FS189" s="138">
        <v>45292.0</v>
      </c>
      <c r="FT189" s="138">
        <v>45323.0</v>
      </c>
      <c r="FU189" s="138">
        <v>45352.0</v>
      </c>
      <c r="FV189" s="138">
        <v>45383.0</v>
      </c>
      <c r="FW189" s="138">
        <v>45413.0</v>
      </c>
      <c r="FX189" s="138">
        <v>45444.0</v>
      </c>
      <c r="FY189" s="138">
        <v>45474.0</v>
      </c>
      <c r="FZ189" s="138">
        <v>45505.0</v>
      </c>
      <c r="GA189" s="138">
        <v>45536.0</v>
      </c>
      <c r="GB189" s="138">
        <v>45566.0</v>
      </c>
      <c r="GC189" s="138">
        <v>45597.0</v>
      </c>
      <c r="GD189" s="138">
        <v>45627.0</v>
      </c>
      <c r="GE189" s="138">
        <v>45658.0</v>
      </c>
      <c r="GF189" s="138">
        <v>45689.0</v>
      </c>
      <c r="GG189" s="138">
        <v>45717.0</v>
      </c>
      <c r="GH189" s="138">
        <v>45748.0</v>
      </c>
      <c r="GI189" s="138">
        <v>45778.0</v>
      </c>
      <c r="GJ189" s="138">
        <v>45809.0</v>
      </c>
      <c r="GK189" s="138">
        <v>45839.0</v>
      </c>
    </row>
    <row r="190">
      <c r="A190" s="132" t="s">
        <v>34231</v>
      </c>
      <c r="B190" s="133" t="s">
        <v>97</v>
      </c>
      <c r="C190" s="134">
        <v>45846.767800925925</v>
      </c>
      <c r="D190" s="135" t="str">
        <f t="shared" si="1"/>
        <v>2025/07/08</v>
      </c>
      <c r="E190" s="136" t="s">
        <v>34232</v>
      </c>
      <c r="F190" s="137">
        <v>9.4E-4</v>
      </c>
      <c r="G190" s="138">
        <v>40179.0</v>
      </c>
      <c r="H190" s="138">
        <v>40210.0</v>
      </c>
      <c r="I190" s="138">
        <v>40238.0</v>
      </c>
      <c r="J190" s="138">
        <v>40269.0</v>
      </c>
      <c r="K190" s="138">
        <v>40299.0</v>
      </c>
      <c r="L190" s="138">
        <v>40330.0</v>
      </c>
      <c r="M190" s="138">
        <v>40360.0</v>
      </c>
      <c r="N190" s="138">
        <v>40391.0</v>
      </c>
      <c r="O190" s="138">
        <v>40422.0</v>
      </c>
      <c r="P190" s="138">
        <v>40452.0</v>
      </c>
      <c r="Q190" s="138">
        <v>40483.0</v>
      </c>
      <c r="R190" s="138">
        <v>40513.0</v>
      </c>
      <c r="S190" s="138">
        <v>40544.0</v>
      </c>
      <c r="T190" s="138">
        <v>40575.0</v>
      </c>
      <c r="U190" s="138">
        <v>40603.0</v>
      </c>
      <c r="V190" s="138">
        <v>40634.0</v>
      </c>
      <c r="W190" s="138">
        <v>40664.0</v>
      </c>
      <c r="X190" s="138">
        <v>40695.0</v>
      </c>
      <c r="Y190" s="138">
        <v>40725.0</v>
      </c>
      <c r="Z190" s="138">
        <v>40756.0</v>
      </c>
      <c r="AA190" s="138">
        <v>40787.0</v>
      </c>
      <c r="AB190" s="138">
        <v>40817.0</v>
      </c>
      <c r="AC190" s="138">
        <v>40848.0</v>
      </c>
      <c r="AD190" s="138">
        <v>40878.0</v>
      </c>
      <c r="AE190" s="138">
        <v>40909.0</v>
      </c>
      <c r="AF190" s="138">
        <v>40940.0</v>
      </c>
      <c r="AG190" s="138">
        <v>40969.0</v>
      </c>
      <c r="AH190" s="138">
        <v>41000.0</v>
      </c>
      <c r="AI190" s="138">
        <v>41030.0</v>
      </c>
      <c r="AJ190" s="138">
        <v>41061.0</v>
      </c>
      <c r="AK190" s="138">
        <v>41091.0</v>
      </c>
      <c r="AL190" s="138">
        <v>41122.0</v>
      </c>
      <c r="AM190" s="138">
        <v>41153.0</v>
      </c>
      <c r="AN190" s="138">
        <v>41183.0</v>
      </c>
      <c r="AO190" s="138">
        <v>41214.0</v>
      </c>
      <c r="AP190" s="138">
        <v>41244.0</v>
      </c>
      <c r="AQ190" s="138">
        <v>41275.0</v>
      </c>
      <c r="AR190" s="138">
        <v>41306.0</v>
      </c>
      <c r="AS190" s="138">
        <v>41334.0</v>
      </c>
      <c r="AT190" s="138">
        <v>41365.0</v>
      </c>
      <c r="AU190" s="138">
        <v>41395.0</v>
      </c>
      <c r="AV190" s="138">
        <v>41426.0</v>
      </c>
      <c r="AW190" s="138">
        <v>41456.0</v>
      </c>
      <c r="AX190" s="138">
        <v>41487.0</v>
      </c>
      <c r="AY190" s="138">
        <v>41518.0</v>
      </c>
      <c r="AZ190" s="138">
        <v>41548.0</v>
      </c>
      <c r="BA190" s="138">
        <v>41579.0</v>
      </c>
      <c r="BB190" s="138">
        <v>41609.0</v>
      </c>
      <c r="BC190" s="138">
        <v>41640.0</v>
      </c>
      <c r="BD190" s="138">
        <v>41671.0</v>
      </c>
      <c r="BE190" s="138">
        <v>41699.0</v>
      </c>
      <c r="BF190" s="138">
        <v>41730.0</v>
      </c>
      <c r="BG190" s="138">
        <v>41760.0</v>
      </c>
      <c r="BH190" s="138">
        <v>41791.0</v>
      </c>
      <c r="BI190" s="138">
        <v>41821.0</v>
      </c>
      <c r="BJ190" s="138">
        <v>41852.0</v>
      </c>
      <c r="BK190" s="138">
        <v>41883.0</v>
      </c>
      <c r="BL190" s="138">
        <v>41913.0</v>
      </c>
      <c r="BM190" s="138">
        <v>41944.0</v>
      </c>
      <c r="BN190" s="138">
        <v>41974.0</v>
      </c>
      <c r="BO190" s="138">
        <v>42005.0</v>
      </c>
      <c r="BP190" s="138">
        <v>42036.0</v>
      </c>
      <c r="BQ190" s="138">
        <v>42064.0</v>
      </c>
      <c r="BR190" s="138">
        <v>42095.0</v>
      </c>
      <c r="BS190" s="138">
        <v>42125.0</v>
      </c>
      <c r="BT190" s="138">
        <v>42156.0</v>
      </c>
      <c r="BU190" s="138">
        <v>42186.0</v>
      </c>
      <c r="BV190" s="138">
        <v>42217.0</v>
      </c>
      <c r="BW190" s="138">
        <v>42248.0</v>
      </c>
      <c r="BX190" s="138">
        <v>42278.0</v>
      </c>
      <c r="BY190" s="138">
        <v>42309.0</v>
      </c>
      <c r="BZ190" s="138">
        <v>42339.0</v>
      </c>
      <c r="CA190" s="138">
        <v>42370.0</v>
      </c>
      <c r="CB190" s="138">
        <v>42401.0</v>
      </c>
      <c r="CC190" s="138">
        <v>42430.0</v>
      </c>
      <c r="CD190" s="138">
        <v>42461.0</v>
      </c>
      <c r="CE190" s="138">
        <v>42491.0</v>
      </c>
      <c r="CF190" s="138">
        <v>42522.0</v>
      </c>
      <c r="CG190" s="138">
        <v>42552.0</v>
      </c>
      <c r="CH190" s="138">
        <v>42583.0</v>
      </c>
      <c r="CI190" s="138">
        <v>42614.0</v>
      </c>
      <c r="CJ190" s="138">
        <v>42644.0</v>
      </c>
      <c r="CK190" s="138">
        <v>42675.0</v>
      </c>
      <c r="CL190" s="138">
        <v>42705.0</v>
      </c>
      <c r="CM190" s="138">
        <v>42736.0</v>
      </c>
      <c r="CN190" s="138">
        <v>42767.0</v>
      </c>
      <c r="CO190" s="138">
        <v>42795.0</v>
      </c>
      <c r="CP190" s="138">
        <v>42826.0</v>
      </c>
      <c r="CQ190" s="138">
        <v>42856.0</v>
      </c>
      <c r="CR190" s="138">
        <v>42887.0</v>
      </c>
      <c r="CS190" s="138">
        <v>42917.0</v>
      </c>
      <c r="CT190" s="138">
        <v>42948.0</v>
      </c>
      <c r="CU190" s="138">
        <v>42979.0</v>
      </c>
      <c r="CV190" s="138">
        <v>43009.0</v>
      </c>
      <c r="CW190" s="138">
        <v>43040.0</v>
      </c>
      <c r="CX190" s="138">
        <v>43070.0</v>
      </c>
      <c r="CY190" s="138">
        <v>43101.0</v>
      </c>
      <c r="CZ190" s="138">
        <v>43132.0</v>
      </c>
      <c r="DA190" s="138">
        <v>43160.0</v>
      </c>
      <c r="DB190" s="138">
        <v>43191.0</v>
      </c>
      <c r="DC190" s="138">
        <v>43221.0</v>
      </c>
      <c r="DD190" s="138">
        <v>43252.0</v>
      </c>
      <c r="DE190" s="138">
        <v>43282.0</v>
      </c>
      <c r="DF190" s="138">
        <v>43313.0</v>
      </c>
      <c r="DG190" s="138">
        <v>43344.0</v>
      </c>
      <c r="DH190" s="138">
        <v>43374.0</v>
      </c>
      <c r="DI190" s="138">
        <v>43405.0</v>
      </c>
      <c r="DJ190" s="138">
        <v>43435.0</v>
      </c>
      <c r="DK190" s="138">
        <v>43466.0</v>
      </c>
      <c r="DL190" s="138">
        <v>43497.0</v>
      </c>
      <c r="DM190" s="138">
        <v>43525.0</v>
      </c>
      <c r="DN190" s="138">
        <v>43556.0</v>
      </c>
      <c r="DO190" s="138">
        <v>43586.0</v>
      </c>
      <c r="DP190" s="138">
        <v>43617.0</v>
      </c>
      <c r="DQ190" s="138">
        <v>43647.0</v>
      </c>
      <c r="DR190" s="138">
        <v>43678.0</v>
      </c>
      <c r="DS190" s="138">
        <v>43709.0</v>
      </c>
      <c r="DT190" s="138">
        <v>43739.0</v>
      </c>
      <c r="DU190" s="138">
        <v>43770.0</v>
      </c>
      <c r="DV190" s="138">
        <v>43800.0</v>
      </c>
      <c r="DW190" s="138">
        <v>43831.0</v>
      </c>
      <c r="DX190" s="138">
        <v>43862.0</v>
      </c>
      <c r="DY190" s="138">
        <v>43891.0</v>
      </c>
      <c r="DZ190" s="138">
        <v>43922.0</v>
      </c>
      <c r="EA190" s="138">
        <v>43952.0</v>
      </c>
      <c r="EB190" s="138">
        <v>43983.0</v>
      </c>
      <c r="EC190" s="138">
        <v>44013.0</v>
      </c>
      <c r="ED190" s="138">
        <v>44044.0</v>
      </c>
      <c r="EE190" s="138">
        <v>44075.0</v>
      </c>
      <c r="EF190" s="138">
        <v>44105.0</v>
      </c>
      <c r="EG190" s="138">
        <v>44136.0</v>
      </c>
      <c r="EH190" s="138">
        <v>44166.0</v>
      </c>
      <c r="EI190" s="138">
        <v>44197.0</v>
      </c>
      <c r="EJ190" s="138">
        <v>44228.0</v>
      </c>
      <c r="EK190" s="138">
        <v>44256.0</v>
      </c>
      <c r="EL190" s="138">
        <v>44287.0</v>
      </c>
      <c r="EM190" s="138">
        <v>44317.0</v>
      </c>
      <c r="EN190" s="138">
        <v>44348.0</v>
      </c>
      <c r="EO190" s="138">
        <v>44378.0</v>
      </c>
      <c r="EP190" s="138">
        <v>44409.0</v>
      </c>
      <c r="EQ190" s="138">
        <v>44440.0</v>
      </c>
      <c r="ER190" s="138">
        <v>44470.0</v>
      </c>
      <c r="ES190" s="138">
        <v>44501.0</v>
      </c>
      <c r="ET190" s="138">
        <v>44531.0</v>
      </c>
      <c r="EU190" s="138">
        <v>44562.0</v>
      </c>
      <c r="EV190" s="138">
        <v>44593.0</v>
      </c>
      <c r="EW190" s="138">
        <v>44621.0</v>
      </c>
      <c r="EX190" s="138">
        <v>44652.0</v>
      </c>
      <c r="EY190" s="138">
        <v>44682.0</v>
      </c>
      <c r="EZ190" s="138">
        <v>44713.0</v>
      </c>
      <c r="FA190" s="138">
        <v>44743.0</v>
      </c>
      <c r="FB190" s="138">
        <v>44774.0</v>
      </c>
      <c r="FC190" s="138">
        <v>44805.0</v>
      </c>
      <c r="FD190" s="138">
        <v>44835.0</v>
      </c>
      <c r="FE190" s="138">
        <v>44866.0</v>
      </c>
      <c r="FF190" s="138">
        <v>44896.0</v>
      </c>
      <c r="FG190" s="138">
        <v>44927.0</v>
      </c>
      <c r="FH190" s="138">
        <v>44958.0</v>
      </c>
      <c r="FI190" s="138">
        <v>44986.0</v>
      </c>
      <c r="FJ190" s="138">
        <v>45017.0</v>
      </c>
      <c r="FK190" s="138">
        <v>45047.0</v>
      </c>
      <c r="FL190" s="138">
        <v>45078.0</v>
      </c>
      <c r="FM190" s="138">
        <v>45108.0</v>
      </c>
      <c r="FN190" s="138">
        <v>45139.0</v>
      </c>
      <c r="FO190" s="138">
        <v>45170.0</v>
      </c>
      <c r="FP190" s="138">
        <v>45200.0</v>
      </c>
      <c r="FQ190" s="138">
        <v>45231.0</v>
      </c>
      <c r="FR190" s="138">
        <v>45261.0</v>
      </c>
      <c r="FS190" s="138">
        <v>45292.0</v>
      </c>
      <c r="FT190" s="138">
        <v>45323.0</v>
      </c>
      <c r="FU190" s="138">
        <v>45352.0</v>
      </c>
      <c r="FV190" s="138">
        <v>45383.0</v>
      </c>
      <c r="FW190" s="138">
        <v>45413.0</v>
      </c>
      <c r="FX190" s="138">
        <v>45444.0</v>
      </c>
      <c r="FY190" s="138">
        <v>45474.0</v>
      </c>
      <c r="FZ190" s="138">
        <v>45505.0</v>
      </c>
      <c r="GA190" s="138">
        <v>45536.0</v>
      </c>
      <c r="GB190" s="138">
        <v>45566.0</v>
      </c>
      <c r="GC190" s="138">
        <v>45597.0</v>
      </c>
      <c r="GD190" s="138">
        <v>45627.0</v>
      </c>
      <c r="GE190" s="138">
        <v>45658.0</v>
      </c>
      <c r="GF190" s="138">
        <v>45689.0</v>
      </c>
      <c r="GG190" s="138">
        <v>45717.0</v>
      </c>
      <c r="GH190" s="138">
        <v>45748.0</v>
      </c>
      <c r="GI190" s="138">
        <v>45778.0</v>
      </c>
      <c r="GJ190" s="138">
        <v>45809.0</v>
      </c>
      <c r="GK190" s="138">
        <v>45839.0</v>
      </c>
    </row>
    <row r="191">
      <c r="A191" s="132" t="s">
        <v>34233</v>
      </c>
      <c r="B191" s="133" t="s">
        <v>1111</v>
      </c>
      <c r="C191" s="134">
        <v>45846.82743055555</v>
      </c>
      <c r="D191" s="135" t="str">
        <f t="shared" si="1"/>
        <v>2025/07/08</v>
      </c>
      <c r="E191" s="136" t="s">
        <v>34234</v>
      </c>
      <c r="F191" s="137">
        <v>0.0145</v>
      </c>
      <c r="G191" s="138">
        <v>40179.0</v>
      </c>
      <c r="H191" s="138">
        <v>40210.0</v>
      </c>
      <c r="I191" s="138">
        <v>40238.0</v>
      </c>
      <c r="J191" s="138">
        <v>40269.0</v>
      </c>
      <c r="K191" s="138">
        <v>40299.0</v>
      </c>
      <c r="L191" s="138">
        <v>40330.0</v>
      </c>
      <c r="M191" s="138">
        <v>40360.0</v>
      </c>
      <c r="N191" s="138">
        <v>40391.0</v>
      </c>
      <c r="O191" s="138">
        <v>40422.0</v>
      </c>
      <c r="P191" s="138">
        <v>40452.0</v>
      </c>
      <c r="Q191" s="138">
        <v>40483.0</v>
      </c>
      <c r="R191" s="138">
        <v>40513.0</v>
      </c>
      <c r="S191" s="138">
        <v>40544.0</v>
      </c>
      <c r="T191" s="138">
        <v>40575.0</v>
      </c>
      <c r="U191" s="138">
        <v>40603.0</v>
      </c>
      <c r="V191" s="138">
        <v>40634.0</v>
      </c>
      <c r="W191" s="138">
        <v>40664.0</v>
      </c>
      <c r="X191" s="138">
        <v>40695.0</v>
      </c>
      <c r="Y191" s="138">
        <v>40725.0</v>
      </c>
      <c r="Z191" s="138">
        <v>40756.0</v>
      </c>
      <c r="AA191" s="138">
        <v>40787.0</v>
      </c>
      <c r="AB191" s="138">
        <v>40817.0</v>
      </c>
      <c r="AC191" s="138">
        <v>40848.0</v>
      </c>
      <c r="AD191" s="138">
        <v>40878.0</v>
      </c>
      <c r="AE191" s="138">
        <v>40909.0</v>
      </c>
      <c r="AF191" s="138">
        <v>40940.0</v>
      </c>
      <c r="AG191" s="138">
        <v>40969.0</v>
      </c>
      <c r="AH191" s="138">
        <v>41000.0</v>
      </c>
      <c r="AI191" s="138">
        <v>41030.0</v>
      </c>
      <c r="AJ191" s="138">
        <v>41061.0</v>
      </c>
      <c r="AK191" s="138">
        <v>41091.0</v>
      </c>
      <c r="AL191" s="138">
        <v>41122.0</v>
      </c>
      <c r="AM191" s="138">
        <v>41153.0</v>
      </c>
      <c r="AN191" s="138">
        <v>41183.0</v>
      </c>
      <c r="AO191" s="138">
        <v>41214.0</v>
      </c>
      <c r="AP191" s="138">
        <v>41244.0</v>
      </c>
      <c r="AQ191" s="138">
        <v>41275.0</v>
      </c>
      <c r="AR191" s="138">
        <v>41306.0</v>
      </c>
      <c r="AS191" s="138">
        <v>41334.0</v>
      </c>
      <c r="AT191" s="138">
        <v>41365.0</v>
      </c>
      <c r="AU191" s="138">
        <v>41395.0</v>
      </c>
      <c r="AV191" s="138">
        <v>41426.0</v>
      </c>
      <c r="AW191" s="138">
        <v>41456.0</v>
      </c>
      <c r="AX191" s="138">
        <v>41487.0</v>
      </c>
      <c r="AY191" s="138">
        <v>41518.0</v>
      </c>
      <c r="AZ191" s="138">
        <v>41548.0</v>
      </c>
      <c r="BA191" s="138">
        <v>41579.0</v>
      </c>
      <c r="BB191" s="138">
        <v>41609.0</v>
      </c>
      <c r="BC191" s="138">
        <v>41640.0</v>
      </c>
      <c r="BD191" s="138">
        <v>41671.0</v>
      </c>
      <c r="BE191" s="138">
        <v>41699.0</v>
      </c>
      <c r="BF191" s="138">
        <v>41730.0</v>
      </c>
      <c r="BG191" s="138">
        <v>41760.0</v>
      </c>
      <c r="BH191" s="138">
        <v>41791.0</v>
      </c>
      <c r="BI191" s="138">
        <v>41821.0</v>
      </c>
      <c r="BJ191" s="138">
        <v>41852.0</v>
      </c>
      <c r="BK191" s="138">
        <v>41883.0</v>
      </c>
      <c r="BL191" s="138">
        <v>41913.0</v>
      </c>
      <c r="BM191" s="138">
        <v>41944.0</v>
      </c>
      <c r="BN191" s="138">
        <v>41974.0</v>
      </c>
      <c r="BO191" s="138">
        <v>42005.0</v>
      </c>
      <c r="BP191" s="138">
        <v>42036.0</v>
      </c>
      <c r="BQ191" s="138">
        <v>42064.0</v>
      </c>
      <c r="BR191" s="138">
        <v>42095.0</v>
      </c>
      <c r="BS191" s="138">
        <v>42125.0</v>
      </c>
      <c r="BT191" s="138">
        <v>42156.0</v>
      </c>
      <c r="BU191" s="138">
        <v>42186.0</v>
      </c>
      <c r="BV191" s="138">
        <v>42217.0</v>
      </c>
      <c r="BW191" s="138">
        <v>42248.0</v>
      </c>
      <c r="BX191" s="138">
        <v>42278.0</v>
      </c>
      <c r="BY191" s="138">
        <v>42309.0</v>
      </c>
      <c r="BZ191" s="138">
        <v>42339.0</v>
      </c>
      <c r="CA191" s="138">
        <v>42370.0</v>
      </c>
      <c r="CB191" s="138">
        <v>42401.0</v>
      </c>
      <c r="CC191" s="138">
        <v>42430.0</v>
      </c>
      <c r="CD191" s="138">
        <v>42461.0</v>
      </c>
      <c r="CE191" s="138">
        <v>42491.0</v>
      </c>
      <c r="CF191" s="138">
        <v>42522.0</v>
      </c>
      <c r="CG191" s="138">
        <v>42552.0</v>
      </c>
      <c r="CH191" s="138">
        <v>42583.0</v>
      </c>
      <c r="CI191" s="138">
        <v>42614.0</v>
      </c>
      <c r="CJ191" s="138">
        <v>42644.0</v>
      </c>
      <c r="CK191" s="138">
        <v>42675.0</v>
      </c>
      <c r="CL191" s="138">
        <v>42705.0</v>
      </c>
      <c r="CM191" s="138">
        <v>42736.0</v>
      </c>
      <c r="CN191" s="138">
        <v>42767.0</v>
      </c>
      <c r="CO191" s="138">
        <v>42795.0</v>
      </c>
      <c r="CP191" s="138">
        <v>42826.0</v>
      </c>
      <c r="CQ191" s="138">
        <v>42856.0</v>
      </c>
      <c r="CR191" s="138">
        <v>42887.0</v>
      </c>
      <c r="CS191" s="138">
        <v>42917.0</v>
      </c>
      <c r="CT191" s="138">
        <v>42948.0</v>
      </c>
      <c r="CU191" s="138">
        <v>42979.0</v>
      </c>
      <c r="CV191" s="138">
        <v>43009.0</v>
      </c>
      <c r="CW191" s="138">
        <v>43040.0</v>
      </c>
      <c r="CX191" s="138">
        <v>43070.0</v>
      </c>
      <c r="CY191" s="138">
        <v>43101.0</v>
      </c>
      <c r="CZ191" s="138">
        <v>43132.0</v>
      </c>
      <c r="DA191" s="138">
        <v>43160.0</v>
      </c>
      <c r="DB191" s="138">
        <v>43191.0</v>
      </c>
      <c r="DC191" s="138">
        <v>43221.0</v>
      </c>
      <c r="DD191" s="138">
        <v>43252.0</v>
      </c>
      <c r="DE191" s="138">
        <v>43282.0</v>
      </c>
      <c r="DF191" s="138">
        <v>43313.0</v>
      </c>
      <c r="DG191" s="138">
        <v>43344.0</v>
      </c>
      <c r="DH191" s="138">
        <v>43374.0</v>
      </c>
      <c r="DI191" s="138">
        <v>43405.0</v>
      </c>
      <c r="DJ191" s="138">
        <v>43435.0</v>
      </c>
      <c r="DK191" s="138">
        <v>43466.0</v>
      </c>
      <c r="DL191" s="138">
        <v>43497.0</v>
      </c>
      <c r="DM191" s="138">
        <v>43525.0</v>
      </c>
      <c r="DN191" s="138">
        <v>43556.0</v>
      </c>
      <c r="DO191" s="138">
        <v>43586.0</v>
      </c>
      <c r="DP191" s="138">
        <v>43617.0</v>
      </c>
      <c r="DQ191" s="138">
        <v>43647.0</v>
      </c>
      <c r="DR191" s="138">
        <v>43678.0</v>
      </c>
      <c r="DS191" s="138">
        <v>43709.0</v>
      </c>
      <c r="DT191" s="138">
        <v>43739.0</v>
      </c>
      <c r="DU191" s="138">
        <v>43770.0</v>
      </c>
      <c r="DV191" s="138">
        <v>43800.0</v>
      </c>
      <c r="DW191" s="138">
        <v>43831.0</v>
      </c>
      <c r="DX191" s="138">
        <v>43862.0</v>
      </c>
      <c r="DY191" s="138">
        <v>43891.0</v>
      </c>
      <c r="DZ191" s="138">
        <v>43922.0</v>
      </c>
      <c r="EA191" s="138">
        <v>43952.0</v>
      </c>
      <c r="EB191" s="138">
        <v>43983.0</v>
      </c>
      <c r="EC191" s="138">
        <v>44013.0</v>
      </c>
      <c r="ED191" s="138">
        <v>44044.0</v>
      </c>
      <c r="EE191" s="138">
        <v>44075.0</v>
      </c>
      <c r="EF191" s="138">
        <v>44105.0</v>
      </c>
      <c r="EG191" s="138">
        <v>44136.0</v>
      </c>
      <c r="EH191" s="138">
        <v>44166.0</v>
      </c>
      <c r="EI191" s="138">
        <v>44197.0</v>
      </c>
      <c r="EJ191" s="138">
        <v>44228.0</v>
      </c>
      <c r="EK191" s="138">
        <v>44256.0</v>
      </c>
      <c r="EL191" s="138">
        <v>44287.0</v>
      </c>
      <c r="EM191" s="138">
        <v>44317.0</v>
      </c>
      <c r="EN191" s="138">
        <v>44348.0</v>
      </c>
      <c r="EO191" s="138">
        <v>44378.0</v>
      </c>
      <c r="EP191" s="138">
        <v>44409.0</v>
      </c>
      <c r="EQ191" s="138">
        <v>44440.0</v>
      </c>
      <c r="ER191" s="138">
        <v>44470.0</v>
      </c>
      <c r="ES191" s="138">
        <v>44501.0</v>
      </c>
      <c r="ET191" s="138">
        <v>44531.0</v>
      </c>
      <c r="EU191" s="138">
        <v>44562.0</v>
      </c>
      <c r="EV191" s="138">
        <v>44593.0</v>
      </c>
      <c r="EW191" s="138">
        <v>44621.0</v>
      </c>
      <c r="EX191" s="138">
        <v>44652.0</v>
      </c>
      <c r="EY191" s="138">
        <v>44682.0</v>
      </c>
      <c r="EZ191" s="138">
        <v>44713.0</v>
      </c>
      <c r="FA191" s="138">
        <v>44743.0</v>
      </c>
      <c r="FB191" s="138">
        <v>44774.0</v>
      </c>
      <c r="FC191" s="138">
        <v>44805.0</v>
      </c>
      <c r="FD191" s="138">
        <v>44835.0</v>
      </c>
      <c r="FE191" s="138">
        <v>44866.0</v>
      </c>
      <c r="FF191" s="138">
        <v>44896.0</v>
      </c>
      <c r="FG191" s="138">
        <v>44927.0</v>
      </c>
      <c r="FH191" s="138">
        <v>44958.0</v>
      </c>
      <c r="FI191" s="138">
        <v>44986.0</v>
      </c>
      <c r="FJ191" s="138">
        <v>45017.0</v>
      </c>
      <c r="FK191" s="138">
        <v>45047.0</v>
      </c>
      <c r="FL191" s="138">
        <v>45078.0</v>
      </c>
      <c r="FM191" s="138">
        <v>45108.0</v>
      </c>
      <c r="FN191" s="138">
        <v>45139.0</v>
      </c>
      <c r="FO191" s="138">
        <v>45170.0</v>
      </c>
      <c r="FP191" s="138">
        <v>45200.0</v>
      </c>
      <c r="FQ191" s="138">
        <v>45231.0</v>
      </c>
      <c r="FR191" s="138">
        <v>45261.0</v>
      </c>
      <c r="FS191" s="138">
        <v>45292.0</v>
      </c>
      <c r="FT191" s="138">
        <v>45323.0</v>
      </c>
      <c r="FU191" s="138">
        <v>45352.0</v>
      </c>
      <c r="FV191" s="138">
        <v>45383.0</v>
      </c>
      <c r="FW191" s="138">
        <v>45413.0</v>
      </c>
      <c r="FX191" s="138">
        <v>45444.0</v>
      </c>
      <c r="FY191" s="138">
        <v>45474.0</v>
      </c>
      <c r="FZ191" s="138">
        <v>45505.0</v>
      </c>
      <c r="GA191" s="138">
        <v>45536.0</v>
      </c>
      <c r="GB191" s="138">
        <v>45566.0</v>
      </c>
      <c r="GC191" s="138">
        <v>45597.0</v>
      </c>
      <c r="GD191" s="138">
        <v>45627.0</v>
      </c>
      <c r="GE191" s="138">
        <v>45658.0</v>
      </c>
      <c r="GF191" s="138">
        <v>45689.0</v>
      </c>
      <c r="GG191" s="138">
        <v>45717.0</v>
      </c>
      <c r="GH191" s="138">
        <v>45748.0</v>
      </c>
      <c r="GI191" s="138">
        <v>45778.0</v>
      </c>
      <c r="GJ191" s="138">
        <v>45809.0</v>
      </c>
      <c r="GK191" s="138">
        <v>45839.0</v>
      </c>
    </row>
    <row r="192">
      <c r="A192" s="132" t="s">
        <v>34235</v>
      </c>
      <c r="B192" s="133" t="s">
        <v>106</v>
      </c>
      <c r="C192" s="134">
        <v>45847.65101851852</v>
      </c>
      <c r="D192" s="135" t="str">
        <f t="shared" si="1"/>
        <v>2025/07/09</v>
      </c>
      <c r="E192" s="136" t="s">
        <v>34236</v>
      </c>
      <c r="F192" s="137">
        <v>5.1E-4</v>
      </c>
      <c r="G192" s="138">
        <v>40179.0</v>
      </c>
      <c r="H192" s="138">
        <v>40210.0</v>
      </c>
      <c r="I192" s="138">
        <v>40238.0</v>
      </c>
      <c r="J192" s="138">
        <v>40269.0</v>
      </c>
      <c r="K192" s="138">
        <v>40299.0</v>
      </c>
      <c r="L192" s="138">
        <v>40330.0</v>
      </c>
      <c r="M192" s="138">
        <v>40360.0</v>
      </c>
      <c r="N192" s="138">
        <v>40391.0</v>
      </c>
      <c r="O192" s="138">
        <v>40422.0</v>
      </c>
      <c r="P192" s="138">
        <v>40452.0</v>
      </c>
      <c r="Q192" s="138">
        <v>40483.0</v>
      </c>
      <c r="R192" s="138">
        <v>40513.0</v>
      </c>
      <c r="S192" s="138">
        <v>40544.0</v>
      </c>
      <c r="T192" s="138">
        <v>40575.0</v>
      </c>
      <c r="U192" s="138">
        <v>40603.0</v>
      </c>
      <c r="V192" s="138">
        <v>40634.0</v>
      </c>
      <c r="W192" s="138">
        <v>40664.0</v>
      </c>
      <c r="X192" s="138">
        <v>40695.0</v>
      </c>
      <c r="Y192" s="138">
        <v>40725.0</v>
      </c>
      <c r="Z192" s="138">
        <v>40756.0</v>
      </c>
      <c r="AA192" s="138">
        <v>40787.0</v>
      </c>
      <c r="AB192" s="138">
        <v>40817.0</v>
      </c>
      <c r="AC192" s="138">
        <v>40848.0</v>
      </c>
      <c r="AD192" s="138">
        <v>40878.0</v>
      </c>
      <c r="AE192" s="138">
        <v>40909.0</v>
      </c>
      <c r="AF192" s="138">
        <v>40940.0</v>
      </c>
      <c r="AG192" s="138">
        <v>40969.0</v>
      </c>
      <c r="AH192" s="138">
        <v>41000.0</v>
      </c>
      <c r="AI192" s="138">
        <v>41030.0</v>
      </c>
      <c r="AJ192" s="138">
        <v>41061.0</v>
      </c>
      <c r="AK192" s="138">
        <v>41091.0</v>
      </c>
      <c r="AL192" s="138">
        <v>41122.0</v>
      </c>
      <c r="AM192" s="138">
        <v>41153.0</v>
      </c>
      <c r="AN192" s="138">
        <v>41183.0</v>
      </c>
      <c r="AO192" s="138">
        <v>41214.0</v>
      </c>
      <c r="AP192" s="138">
        <v>41244.0</v>
      </c>
      <c r="AQ192" s="138">
        <v>41275.0</v>
      </c>
      <c r="AR192" s="138">
        <v>41306.0</v>
      </c>
      <c r="AS192" s="138">
        <v>41334.0</v>
      </c>
      <c r="AT192" s="138">
        <v>41365.0</v>
      </c>
      <c r="AU192" s="138">
        <v>41395.0</v>
      </c>
      <c r="AV192" s="138">
        <v>41426.0</v>
      </c>
      <c r="AW192" s="138">
        <v>41456.0</v>
      </c>
      <c r="AX192" s="138">
        <v>41487.0</v>
      </c>
      <c r="AY192" s="138">
        <v>41518.0</v>
      </c>
      <c r="AZ192" s="138">
        <v>41548.0</v>
      </c>
      <c r="BA192" s="138">
        <v>41579.0</v>
      </c>
      <c r="BB192" s="138">
        <v>41609.0</v>
      </c>
      <c r="BC192" s="138">
        <v>41640.0</v>
      </c>
      <c r="BD192" s="138">
        <v>41671.0</v>
      </c>
      <c r="BE192" s="138">
        <v>41699.0</v>
      </c>
      <c r="BF192" s="138">
        <v>41730.0</v>
      </c>
      <c r="BG192" s="138">
        <v>41760.0</v>
      </c>
      <c r="BH192" s="138">
        <v>41791.0</v>
      </c>
      <c r="BI192" s="138">
        <v>41821.0</v>
      </c>
      <c r="BJ192" s="138">
        <v>41852.0</v>
      </c>
      <c r="BK192" s="138">
        <v>41883.0</v>
      </c>
      <c r="BL192" s="138">
        <v>41913.0</v>
      </c>
      <c r="BM192" s="138">
        <v>41944.0</v>
      </c>
      <c r="BN192" s="138">
        <v>41974.0</v>
      </c>
      <c r="BO192" s="138">
        <v>42005.0</v>
      </c>
      <c r="BP192" s="138">
        <v>42036.0</v>
      </c>
      <c r="BQ192" s="138">
        <v>42064.0</v>
      </c>
      <c r="BR192" s="138">
        <v>42095.0</v>
      </c>
      <c r="BS192" s="138">
        <v>42125.0</v>
      </c>
      <c r="BT192" s="138">
        <v>42156.0</v>
      </c>
      <c r="BU192" s="138">
        <v>42186.0</v>
      </c>
      <c r="BV192" s="138">
        <v>42217.0</v>
      </c>
      <c r="BW192" s="138">
        <v>42248.0</v>
      </c>
      <c r="BX192" s="138">
        <v>42278.0</v>
      </c>
      <c r="BY192" s="138">
        <v>42309.0</v>
      </c>
      <c r="BZ192" s="138">
        <v>42339.0</v>
      </c>
      <c r="CA192" s="138">
        <v>42370.0</v>
      </c>
      <c r="CB192" s="138">
        <v>42401.0</v>
      </c>
      <c r="CC192" s="138">
        <v>42430.0</v>
      </c>
      <c r="CD192" s="138">
        <v>42461.0</v>
      </c>
      <c r="CE192" s="138">
        <v>42491.0</v>
      </c>
      <c r="CF192" s="138">
        <v>42522.0</v>
      </c>
      <c r="CG192" s="138">
        <v>42552.0</v>
      </c>
      <c r="CH192" s="138">
        <v>42583.0</v>
      </c>
      <c r="CI192" s="138">
        <v>42614.0</v>
      </c>
      <c r="CJ192" s="138">
        <v>42644.0</v>
      </c>
      <c r="CK192" s="138">
        <v>42675.0</v>
      </c>
      <c r="CL192" s="138">
        <v>42705.0</v>
      </c>
      <c r="CM192" s="138">
        <v>42736.0</v>
      </c>
      <c r="CN192" s="138">
        <v>42767.0</v>
      </c>
      <c r="CO192" s="138">
        <v>42795.0</v>
      </c>
      <c r="CP192" s="138">
        <v>42826.0</v>
      </c>
      <c r="CQ192" s="138">
        <v>42856.0</v>
      </c>
      <c r="CR192" s="138">
        <v>42887.0</v>
      </c>
      <c r="CS192" s="138">
        <v>42917.0</v>
      </c>
      <c r="CT192" s="138">
        <v>42948.0</v>
      </c>
      <c r="CU192" s="138">
        <v>42979.0</v>
      </c>
      <c r="CV192" s="138">
        <v>43009.0</v>
      </c>
      <c r="CW192" s="138">
        <v>43040.0</v>
      </c>
      <c r="CX192" s="138">
        <v>43070.0</v>
      </c>
      <c r="CY192" s="138">
        <v>43101.0</v>
      </c>
      <c r="CZ192" s="138">
        <v>43132.0</v>
      </c>
      <c r="DA192" s="138">
        <v>43160.0</v>
      </c>
      <c r="DB192" s="138">
        <v>43191.0</v>
      </c>
      <c r="DC192" s="138">
        <v>43221.0</v>
      </c>
      <c r="DD192" s="138">
        <v>43252.0</v>
      </c>
      <c r="DE192" s="138">
        <v>43282.0</v>
      </c>
      <c r="DF192" s="138">
        <v>43313.0</v>
      </c>
      <c r="DG192" s="138">
        <v>43344.0</v>
      </c>
      <c r="DH192" s="138">
        <v>43374.0</v>
      </c>
      <c r="DI192" s="138">
        <v>43405.0</v>
      </c>
      <c r="DJ192" s="138">
        <v>43435.0</v>
      </c>
      <c r="DK192" s="138">
        <v>43466.0</v>
      </c>
      <c r="DL192" s="138">
        <v>43497.0</v>
      </c>
      <c r="DM192" s="138">
        <v>43525.0</v>
      </c>
      <c r="DN192" s="138">
        <v>43556.0</v>
      </c>
      <c r="DO192" s="138">
        <v>43586.0</v>
      </c>
      <c r="DP192" s="138">
        <v>43617.0</v>
      </c>
      <c r="DQ192" s="138">
        <v>43647.0</v>
      </c>
      <c r="DR192" s="138">
        <v>43678.0</v>
      </c>
      <c r="DS192" s="138">
        <v>43709.0</v>
      </c>
      <c r="DT192" s="138">
        <v>43739.0</v>
      </c>
      <c r="DU192" s="138">
        <v>43770.0</v>
      </c>
      <c r="DV192" s="138">
        <v>43800.0</v>
      </c>
      <c r="DW192" s="138">
        <v>43831.0</v>
      </c>
      <c r="DX192" s="138">
        <v>43862.0</v>
      </c>
      <c r="DY192" s="138">
        <v>43891.0</v>
      </c>
      <c r="DZ192" s="138">
        <v>43922.0</v>
      </c>
      <c r="EA192" s="138">
        <v>43952.0</v>
      </c>
      <c r="EB192" s="138">
        <v>43983.0</v>
      </c>
      <c r="EC192" s="138">
        <v>44013.0</v>
      </c>
      <c r="ED192" s="138">
        <v>44044.0</v>
      </c>
      <c r="EE192" s="138">
        <v>44075.0</v>
      </c>
      <c r="EF192" s="138">
        <v>44105.0</v>
      </c>
      <c r="EG192" s="138">
        <v>44136.0</v>
      </c>
      <c r="EH192" s="138">
        <v>44166.0</v>
      </c>
      <c r="EI192" s="138">
        <v>44197.0</v>
      </c>
      <c r="EJ192" s="138">
        <v>44228.0</v>
      </c>
      <c r="EK192" s="138">
        <v>44256.0</v>
      </c>
      <c r="EL192" s="138">
        <v>44287.0</v>
      </c>
      <c r="EM192" s="138">
        <v>44317.0</v>
      </c>
      <c r="EN192" s="138">
        <v>44348.0</v>
      </c>
      <c r="EO192" s="138">
        <v>44378.0</v>
      </c>
      <c r="EP192" s="138">
        <v>44409.0</v>
      </c>
      <c r="EQ192" s="138">
        <v>44440.0</v>
      </c>
      <c r="ER192" s="138">
        <v>44470.0</v>
      </c>
      <c r="ES192" s="138">
        <v>44501.0</v>
      </c>
      <c r="ET192" s="138">
        <v>44531.0</v>
      </c>
      <c r="EU192" s="138">
        <v>44562.0</v>
      </c>
      <c r="EV192" s="138">
        <v>44593.0</v>
      </c>
      <c r="EW192" s="138">
        <v>44621.0</v>
      </c>
      <c r="EX192" s="138">
        <v>44652.0</v>
      </c>
      <c r="EY192" s="138">
        <v>44682.0</v>
      </c>
      <c r="EZ192" s="138">
        <v>44713.0</v>
      </c>
      <c r="FA192" s="138">
        <v>44743.0</v>
      </c>
      <c r="FB192" s="138">
        <v>44774.0</v>
      </c>
      <c r="FC192" s="138">
        <v>44805.0</v>
      </c>
      <c r="FD192" s="138">
        <v>44835.0</v>
      </c>
      <c r="FE192" s="138">
        <v>44866.0</v>
      </c>
      <c r="FF192" s="138">
        <v>44896.0</v>
      </c>
      <c r="FG192" s="138">
        <v>44927.0</v>
      </c>
      <c r="FH192" s="138">
        <v>44958.0</v>
      </c>
      <c r="FI192" s="138">
        <v>44986.0</v>
      </c>
      <c r="FJ192" s="138">
        <v>45017.0</v>
      </c>
      <c r="FK192" s="138">
        <v>45047.0</v>
      </c>
      <c r="FL192" s="138">
        <v>45078.0</v>
      </c>
      <c r="FM192" s="138">
        <v>45108.0</v>
      </c>
      <c r="FN192" s="138">
        <v>45139.0</v>
      </c>
      <c r="FO192" s="138">
        <v>45170.0</v>
      </c>
      <c r="FP192" s="138">
        <v>45200.0</v>
      </c>
      <c r="FQ192" s="138">
        <v>45231.0</v>
      </c>
      <c r="FR192" s="138">
        <v>45261.0</v>
      </c>
      <c r="FS192" s="138">
        <v>45292.0</v>
      </c>
      <c r="FT192" s="138">
        <v>45323.0</v>
      </c>
      <c r="FU192" s="138">
        <v>45352.0</v>
      </c>
      <c r="FV192" s="138">
        <v>45383.0</v>
      </c>
      <c r="FW192" s="138">
        <v>45413.0</v>
      </c>
      <c r="FX192" s="138">
        <v>45444.0</v>
      </c>
      <c r="FY192" s="138">
        <v>45474.0</v>
      </c>
      <c r="FZ192" s="138">
        <v>45505.0</v>
      </c>
      <c r="GA192" s="138">
        <v>45536.0</v>
      </c>
      <c r="GB192" s="138">
        <v>45566.0</v>
      </c>
      <c r="GC192" s="138">
        <v>45597.0</v>
      </c>
      <c r="GD192" s="138">
        <v>45627.0</v>
      </c>
      <c r="GE192" s="138">
        <v>45658.0</v>
      </c>
      <c r="GF192" s="138">
        <v>45689.0</v>
      </c>
      <c r="GG192" s="138">
        <v>45717.0</v>
      </c>
      <c r="GH192" s="138">
        <v>45748.0</v>
      </c>
      <c r="GI192" s="138">
        <v>45778.0</v>
      </c>
      <c r="GJ192" s="138">
        <v>45809.0</v>
      </c>
      <c r="GK192" s="138">
        <v>45839.0</v>
      </c>
    </row>
    <row r="193">
      <c r="A193" s="132" t="s">
        <v>34237</v>
      </c>
      <c r="B193" s="133" t="s">
        <v>1111</v>
      </c>
      <c r="C193" s="134">
        <v>45847.81476851852</v>
      </c>
      <c r="D193" s="135" t="str">
        <f t="shared" si="1"/>
        <v>2025/07/09</v>
      </c>
      <c r="E193" s="136" t="s">
        <v>34238</v>
      </c>
      <c r="F193" s="137">
        <v>0.00264</v>
      </c>
      <c r="G193" s="138">
        <v>40179.0</v>
      </c>
      <c r="H193" s="138">
        <v>40210.0</v>
      </c>
      <c r="I193" s="138">
        <v>40238.0</v>
      </c>
      <c r="J193" s="138">
        <v>40269.0</v>
      </c>
      <c r="K193" s="138">
        <v>40299.0</v>
      </c>
      <c r="L193" s="138">
        <v>40330.0</v>
      </c>
      <c r="M193" s="138">
        <v>40360.0</v>
      </c>
      <c r="N193" s="138">
        <v>40391.0</v>
      </c>
      <c r="O193" s="138">
        <v>40422.0</v>
      </c>
      <c r="P193" s="138">
        <v>40452.0</v>
      </c>
      <c r="Q193" s="138">
        <v>40483.0</v>
      </c>
      <c r="R193" s="138">
        <v>40513.0</v>
      </c>
      <c r="S193" s="138">
        <v>40544.0</v>
      </c>
      <c r="T193" s="138">
        <v>40575.0</v>
      </c>
      <c r="U193" s="138">
        <v>40603.0</v>
      </c>
      <c r="V193" s="138">
        <v>40634.0</v>
      </c>
      <c r="W193" s="138">
        <v>40664.0</v>
      </c>
      <c r="X193" s="138">
        <v>40695.0</v>
      </c>
      <c r="Y193" s="138">
        <v>40725.0</v>
      </c>
      <c r="Z193" s="138">
        <v>40756.0</v>
      </c>
      <c r="AA193" s="138">
        <v>40787.0</v>
      </c>
      <c r="AB193" s="138">
        <v>40817.0</v>
      </c>
      <c r="AC193" s="138">
        <v>40848.0</v>
      </c>
      <c r="AD193" s="138">
        <v>40878.0</v>
      </c>
      <c r="AE193" s="138">
        <v>40909.0</v>
      </c>
      <c r="AF193" s="138">
        <v>40940.0</v>
      </c>
      <c r="AG193" s="138">
        <v>40969.0</v>
      </c>
      <c r="AH193" s="138">
        <v>41000.0</v>
      </c>
      <c r="AI193" s="138">
        <v>41030.0</v>
      </c>
      <c r="AJ193" s="138">
        <v>41061.0</v>
      </c>
      <c r="AK193" s="138">
        <v>41091.0</v>
      </c>
      <c r="AL193" s="138">
        <v>41122.0</v>
      </c>
      <c r="AM193" s="138">
        <v>41153.0</v>
      </c>
      <c r="AN193" s="138">
        <v>41183.0</v>
      </c>
      <c r="AO193" s="138">
        <v>41214.0</v>
      </c>
      <c r="AP193" s="138">
        <v>41244.0</v>
      </c>
      <c r="AQ193" s="138">
        <v>41275.0</v>
      </c>
      <c r="AR193" s="138">
        <v>41306.0</v>
      </c>
      <c r="AS193" s="138">
        <v>41334.0</v>
      </c>
      <c r="AT193" s="138">
        <v>41365.0</v>
      </c>
      <c r="AU193" s="138">
        <v>41395.0</v>
      </c>
      <c r="AV193" s="138">
        <v>41426.0</v>
      </c>
      <c r="AW193" s="138">
        <v>41456.0</v>
      </c>
      <c r="AX193" s="138">
        <v>41487.0</v>
      </c>
      <c r="AY193" s="138">
        <v>41518.0</v>
      </c>
      <c r="AZ193" s="138">
        <v>41548.0</v>
      </c>
      <c r="BA193" s="138">
        <v>41579.0</v>
      </c>
      <c r="BB193" s="138">
        <v>41609.0</v>
      </c>
      <c r="BC193" s="138">
        <v>41640.0</v>
      </c>
      <c r="BD193" s="138">
        <v>41671.0</v>
      </c>
      <c r="BE193" s="138">
        <v>41699.0</v>
      </c>
      <c r="BF193" s="138">
        <v>41730.0</v>
      </c>
      <c r="BG193" s="138">
        <v>41760.0</v>
      </c>
      <c r="BH193" s="138">
        <v>41791.0</v>
      </c>
      <c r="BI193" s="138">
        <v>41821.0</v>
      </c>
      <c r="BJ193" s="138">
        <v>41852.0</v>
      </c>
      <c r="BK193" s="138">
        <v>41883.0</v>
      </c>
      <c r="BL193" s="138">
        <v>41913.0</v>
      </c>
      <c r="BM193" s="138">
        <v>41944.0</v>
      </c>
      <c r="BN193" s="138">
        <v>41974.0</v>
      </c>
      <c r="BO193" s="138">
        <v>42005.0</v>
      </c>
      <c r="BP193" s="138">
        <v>42036.0</v>
      </c>
      <c r="BQ193" s="138">
        <v>42064.0</v>
      </c>
      <c r="BR193" s="138">
        <v>42095.0</v>
      </c>
      <c r="BS193" s="138">
        <v>42125.0</v>
      </c>
      <c r="BT193" s="138">
        <v>42156.0</v>
      </c>
      <c r="BU193" s="138">
        <v>42186.0</v>
      </c>
      <c r="BV193" s="138">
        <v>42217.0</v>
      </c>
      <c r="BW193" s="138">
        <v>42248.0</v>
      </c>
      <c r="BX193" s="138">
        <v>42278.0</v>
      </c>
      <c r="BY193" s="138">
        <v>42309.0</v>
      </c>
      <c r="BZ193" s="138">
        <v>42339.0</v>
      </c>
      <c r="CA193" s="138">
        <v>42370.0</v>
      </c>
      <c r="CB193" s="138">
        <v>42401.0</v>
      </c>
      <c r="CC193" s="138">
        <v>42430.0</v>
      </c>
      <c r="CD193" s="138">
        <v>42461.0</v>
      </c>
      <c r="CE193" s="138">
        <v>42491.0</v>
      </c>
      <c r="CF193" s="138">
        <v>42522.0</v>
      </c>
      <c r="CG193" s="138">
        <v>42552.0</v>
      </c>
      <c r="CH193" s="138">
        <v>42583.0</v>
      </c>
      <c r="CI193" s="138">
        <v>42614.0</v>
      </c>
      <c r="CJ193" s="138">
        <v>42644.0</v>
      </c>
      <c r="CK193" s="138">
        <v>42675.0</v>
      </c>
      <c r="CL193" s="138">
        <v>42705.0</v>
      </c>
      <c r="CM193" s="138">
        <v>42736.0</v>
      </c>
      <c r="CN193" s="138">
        <v>42767.0</v>
      </c>
      <c r="CO193" s="138">
        <v>42795.0</v>
      </c>
      <c r="CP193" s="138">
        <v>42826.0</v>
      </c>
      <c r="CQ193" s="138">
        <v>42856.0</v>
      </c>
      <c r="CR193" s="138">
        <v>42887.0</v>
      </c>
      <c r="CS193" s="138">
        <v>42917.0</v>
      </c>
      <c r="CT193" s="138">
        <v>42948.0</v>
      </c>
      <c r="CU193" s="138">
        <v>42979.0</v>
      </c>
      <c r="CV193" s="138">
        <v>43009.0</v>
      </c>
      <c r="CW193" s="138">
        <v>43040.0</v>
      </c>
      <c r="CX193" s="138">
        <v>43070.0</v>
      </c>
      <c r="CY193" s="138">
        <v>43101.0</v>
      </c>
      <c r="CZ193" s="138">
        <v>43132.0</v>
      </c>
      <c r="DA193" s="138">
        <v>43160.0</v>
      </c>
      <c r="DB193" s="138">
        <v>43191.0</v>
      </c>
      <c r="DC193" s="138">
        <v>43221.0</v>
      </c>
      <c r="DD193" s="138">
        <v>43252.0</v>
      </c>
      <c r="DE193" s="138">
        <v>43282.0</v>
      </c>
      <c r="DF193" s="138">
        <v>43313.0</v>
      </c>
      <c r="DG193" s="138">
        <v>43344.0</v>
      </c>
      <c r="DH193" s="138">
        <v>43374.0</v>
      </c>
      <c r="DI193" s="138">
        <v>43405.0</v>
      </c>
      <c r="DJ193" s="138">
        <v>43435.0</v>
      </c>
      <c r="DK193" s="138">
        <v>43466.0</v>
      </c>
      <c r="DL193" s="138">
        <v>43497.0</v>
      </c>
      <c r="DM193" s="138">
        <v>43525.0</v>
      </c>
      <c r="DN193" s="138">
        <v>43556.0</v>
      </c>
      <c r="DO193" s="138">
        <v>43586.0</v>
      </c>
      <c r="DP193" s="138">
        <v>43617.0</v>
      </c>
      <c r="DQ193" s="138">
        <v>43647.0</v>
      </c>
      <c r="DR193" s="138">
        <v>43678.0</v>
      </c>
      <c r="DS193" s="138">
        <v>43709.0</v>
      </c>
      <c r="DT193" s="138">
        <v>43739.0</v>
      </c>
      <c r="DU193" s="138">
        <v>43770.0</v>
      </c>
      <c r="DV193" s="138">
        <v>43800.0</v>
      </c>
      <c r="DW193" s="138">
        <v>43831.0</v>
      </c>
      <c r="DX193" s="138">
        <v>43862.0</v>
      </c>
      <c r="DY193" s="138">
        <v>43891.0</v>
      </c>
      <c r="DZ193" s="138">
        <v>43922.0</v>
      </c>
      <c r="EA193" s="138">
        <v>43952.0</v>
      </c>
      <c r="EB193" s="138">
        <v>43983.0</v>
      </c>
      <c r="EC193" s="138">
        <v>44013.0</v>
      </c>
      <c r="ED193" s="138">
        <v>44044.0</v>
      </c>
      <c r="EE193" s="138">
        <v>44075.0</v>
      </c>
      <c r="EF193" s="138">
        <v>44105.0</v>
      </c>
      <c r="EG193" s="138">
        <v>44136.0</v>
      </c>
      <c r="EH193" s="138">
        <v>44166.0</v>
      </c>
      <c r="EI193" s="138">
        <v>44197.0</v>
      </c>
      <c r="EJ193" s="138">
        <v>44228.0</v>
      </c>
      <c r="EK193" s="138">
        <v>44256.0</v>
      </c>
      <c r="EL193" s="138">
        <v>44287.0</v>
      </c>
      <c r="EM193" s="138">
        <v>44317.0</v>
      </c>
      <c r="EN193" s="138">
        <v>44348.0</v>
      </c>
      <c r="EO193" s="138">
        <v>44378.0</v>
      </c>
      <c r="EP193" s="138">
        <v>44409.0</v>
      </c>
      <c r="EQ193" s="138">
        <v>44440.0</v>
      </c>
      <c r="ER193" s="138">
        <v>44470.0</v>
      </c>
      <c r="ES193" s="138">
        <v>44501.0</v>
      </c>
      <c r="ET193" s="138">
        <v>44531.0</v>
      </c>
      <c r="EU193" s="138">
        <v>44562.0</v>
      </c>
      <c r="EV193" s="138">
        <v>44593.0</v>
      </c>
      <c r="EW193" s="138">
        <v>44621.0</v>
      </c>
      <c r="EX193" s="138">
        <v>44652.0</v>
      </c>
      <c r="EY193" s="138">
        <v>44682.0</v>
      </c>
      <c r="EZ193" s="138">
        <v>44713.0</v>
      </c>
      <c r="FA193" s="138">
        <v>44743.0</v>
      </c>
      <c r="FB193" s="138">
        <v>44774.0</v>
      </c>
      <c r="FC193" s="138">
        <v>44805.0</v>
      </c>
      <c r="FD193" s="138">
        <v>44835.0</v>
      </c>
      <c r="FE193" s="138">
        <v>44866.0</v>
      </c>
      <c r="FF193" s="138">
        <v>44896.0</v>
      </c>
      <c r="FG193" s="138">
        <v>44927.0</v>
      </c>
      <c r="FH193" s="138">
        <v>44958.0</v>
      </c>
      <c r="FI193" s="138">
        <v>44986.0</v>
      </c>
      <c r="FJ193" s="138">
        <v>45017.0</v>
      </c>
      <c r="FK193" s="138">
        <v>45047.0</v>
      </c>
      <c r="FL193" s="138">
        <v>45078.0</v>
      </c>
      <c r="FM193" s="138">
        <v>45108.0</v>
      </c>
      <c r="FN193" s="138">
        <v>45139.0</v>
      </c>
      <c r="FO193" s="138">
        <v>45170.0</v>
      </c>
      <c r="FP193" s="138">
        <v>45200.0</v>
      </c>
      <c r="FQ193" s="138">
        <v>45231.0</v>
      </c>
      <c r="FR193" s="138">
        <v>45261.0</v>
      </c>
      <c r="FS193" s="138">
        <v>45292.0</v>
      </c>
      <c r="FT193" s="138">
        <v>45323.0</v>
      </c>
      <c r="FU193" s="138">
        <v>45352.0</v>
      </c>
      <c r="FV193" s="138">
        <v>45383.0</v>
      </c>
      <c r="FW193" s="138">
        <v>45413.0</v>
      </c>
      <c r="FX193" s="138">
        <v>45444.0</v>
      </c>
      <c r="FY193" s="138">
        <v>45474.0</v>
      </c>
      <c r="FZ193" s="138">
        <v>45505.0</v>
      </c>
      <c r="GA193" s="138">
        <v>45536.0</v>
      </c>
      <c r="GB193" s="138">
        <v>45566.0</v>
      </c>
      <c r="GC193" s="138">
        <v>45597.0</v>
      </c>
      <c r="GD193" s="138">
        <v>45627.0</v>
      </c>
      <c r="GE193" s="138">
        <v>45658.0</v>
      </c>
      <c r="GF193" s="138">
        <v>45689.0</v>
      </c>
      <c r="GG193" s="138">
        <v>45717.0</v>
      </c>
      <c r="GH193" s="138">
        <v>45748.0</v>
      </c>
      <c r="GI193" s="138">
        <v>45778.0</v>
      </c>
      <c r="GJ193" s="138">
        <v>45809.0</v>
      </c>
      <c r="GK193" s="138">
        <v>45839.0</v>
      </c>
    </row>
    <row r="194">
      <c r="A194" s="143"/>
      <c r="B194" s="143"/>
      <c r="C194" s="144"/>
      <c r="D194" s="145"/>
      <c r="E194" s="145"/>
      <c r="F194" s="146"/>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147"/>
      <c r="AH194" s="147"/>
      <c r="AI194" s="147"/>
      <c r="AJ194" s="147"/>
      <c r="AK194" s="147"/>
      <c r="AL194" s="147"/>
      <c r="AM194" s="147"/>
      <c r="AN194" s="147"/>
      <c r="AO194" s="147"/>
      <c r="AP194" s="147"/>
      <c r="AQ194" s="147"/>
      <c r="AR194" s="147"/>
      <c r="AS194" s="147"/>
      <c r="AT194" s="147"/>
      <c r="AU194" s="147"/>
      <c r="AV194" s="147"/>
      <c r="AW194" s="147"/>
      <c r="AX194" s="147"/>
      <c r="AY194" s="147"/>
      <c r="AZ194" s="147"/>
      <c r="BA194" s="147"/>
      <c r="BB194" s="147"/>
      <c r="BC194" s="147"/>
      <c r="BD194" s="147"/>
      <c r="BE194" s="147"/>
      <c r="BF194" s="147"/>
      <c r="BG194" s="147"/>
      <c r="BH194" s="147"/>
      <c r="BI194" s="147"/>
      <c r="BJ194" s="147"/>
      <c r="BK194" s="147"/>
      <c r="BL194" s="147"/>
      <c r="BM194" s="147"/>
      <c r="BN194" s="147"/>
      <c r="BO194" s="147"/>
      <c r="BP194" s="147"/>
      <c r="BQ194" s="147"/>
      <c r="BR194" s="147"/>
      <c r="BS194" s="147"/>
      <c r="BT194" s="147"/>
      <c r="BU194" s="147"/>
      <c r="BV194" s="147"/>
      <c r="BW194" s="147"/>
      <c r="BX194" s="147"/>
      <c r="BY194" s="147"/>
      <c r="BZ194" s="147"/>
      <c r="CA194" s="147"/>
      <c r="CB194" s="147"/>
      <c r="CC194" s="147"/>
      <c r="CD194" s="147"/>
      <c r="CE194" s="147"/>
      <c r="CF194" s="147"/>
      <c r="CG194" s="147"/>
      <c r="CH194" s="147"/>
      <c r="CI194" s="147"/>
      <c r="CJ194" s="147"/>
      <c r="CK194" s="147"/>
      <c r="CL194" s="147"/>
      <c r="CM194" s="147"/>
      <c r="CN194" s="147"/>
      <c r="CO194" s="147"/>
      <c r="CP194" s="147"/>
      <c r="CQ194" s="147"/>
      <c r="CR194" s="147"/>
      <c r="CS194" s="147"/>
      <c r="CT194" s="147"/>
      <c r="CU194" s="147"/>
      <c r="CV194" s="147"/>
      <c r="CW194" s="147"/>
      <c r="CX194" s="147"/>
      <c r="CY194" s="147"/>
      <c r="CZ194" s="147"/>
      <c r="DA194" s="147"/>
      <c r="DB194" s="147"/>
      <c r="DC194" s="147"/>
      <c r="DD194" s="147"/>
      <c r="DE194" s="147"/>
      <c r="DF194" s="147"/>
      <c r="DG194" s="147"/>
      <c r="DH194" s="147"/>
      <c r="DI194" s="147"/>
      <c r="DJ194" s="147"/>
      <c r="DK194" s="147"/>
      <c r="DL194" s="147"/>
      <c r="DM194" s="147"/>
      <c r="DN194" s="147"/>
      <c r="DO194" s="147"/>
      <c r="DP194" s="147"/>
      <c r="DQ194" s="147"/>
      <c r="DR194" s="147"/>
      <c r="DS194" s="147"/>
      <c r="DT194" s="147"/>
      <c r="DU194" s="147"/>
      <c r="DV194" s="147"/>
      <c r="DW194" s="147"/>
      <c r="DX194" s="147"/>
      <c r="DY194" s="147"/>
      <c r="DZ194" s="147"/>
      <c r="EA194" s="147"/>
      <c r="EB194" s="147"/>
      <c r="EC194" s="147"/>
      <c r="ED194" s="147"/>
      <c r="EE194" s="147"/>
      <c r="EF194" s="147"/>
      <c r="EG194" s="147"/>
      <c r="EH194" s="147"/>
      <c r="EI194" s="147"/>
      <c r="EJ194" s="147"/>
      <c r="EK194" s="147"/>
      <c r="EL194" s="147"/>
      <c r="EM194" s="147"/>
      <c r="EN194" s="147"/>
      <c r="EO194" s="147"/>
      <c r="EP194" s="147"/>
      <c r="EQ194" s="147"/>
      <c r="ER194" s="147"/>
      <c r="ES194" s="147"/>
      <c r="ET194" s="147"/>
      <c r="EU194" s="147"/>
      <c r="EV194" s="147"/>
      <c r="EW194" s="147"/>
      <c r="EX194" s="147"/>
      <c r="EY194" s="147"/>
      <c r="EZ194" s="147"/>
      <c r="FA194" s="147"/>
      <c r="FB194" s="147"/>
      <c r="FC194" s="147"/>
      <c r="FD194" s="147"/>
      <c r="FE194" s="147"/>
      <c r="FF194" s="147"/>
      <c r="FG194" s="147"/>
      <c r="FH194" s="147"/>
      <c r="FI194" s="147"/>
      <c r="FJ194" s="147"/>
      <c r="FK194" s="147"/>
      <c r="FL194" s="147"/>
      <c r="FM194" s="147"/>
      <c r="FN194" s="147"/>
      <c r="FO194" s="147"/>
      <c r="FP194" s="147"/>
      <c r="FQ194" s="147"/>
      <c r="FR194" s="147"/>
      <c r="FS194" s="147"/>
      <c r="FT194" s="147"/>
      <c r="FU194" s="147"/>
      <c r="FV194" s="147"/>
      <c r="FW194" s="147"/>
      <c r="FX194" s="147"/>
      <c r="FY194" s="147"/>
      <c r="FZ194" s="147"/>
      <c r="GA194" s="147"/>
      <c r="GB194" s="147"/>
      <c r="GC194" s="147"/>
      <c r="GD194" s="147"/>
      <c r="GE194" s="147"/>
      <c r="GF194" s="147"/>
      <c r="GG194" s="147"/>
      <c r="GH194" s="147"/>
      <c r="GI194" s="147"/>
      <c r="GJ194" s="147"/>
      <c r="GK194" s="147"/>
    </row>
    <row r="195">
      <c r="A195" s="143"/>
      <c r="B195" s="143"/>
      <c r="C195" s="143"/>
      <c r="D195" s="148"/>
      <c r="E195" s="148">
        <f t="shared" ref="E195:E196" si="2">SUM(E3:E193)</f>
        <v>0</v>
      </c>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c r="AP195" s="143"/>
      <c r="AQ195" s="143"/>
      <c r="AR195" s="143"/>
      <c r="AS195" s="143"/>
      <c r="AT195" s="143"/>
      <c r="AU195" s="143"/>
      <c r="AV195" s="143"/>
      <c r="AW195" s="143"/>
      <c r="AX195" s="143"/>
      <c r="AY195" s="143"/>
      <c r="AZ195" s="143"/>
      <c r="BA195" s="143"/>
      <c r="BB195" s="143"/>
      <c r="BC195" s="143"/>
      <c r="BD195" s="143"/>
      <c r="BE195" s="143"/>
      <c r="BF195" s="143"/>
      <c r="BG195" s="143"/>
      <c r="BH195" s="143"/>
      <c r="BI195" s="143"/>
      <c r="BJ195" s="143"/>
      <c r="BK195" s="143"/>
      <c r="BL195" s="143"/>
      <c r="BM195" s="143"/>
      <c r="BN195" s="143"/>
      <c r="BO195" s="143"/>
      <c r="BP195" s="143"/>
      <c r="BQ195" s="143"/>
      <c r="BR195" s="143"/>
      <c r="BS195" s="143"/>
      <c r="BT195" s="143"/>
      <c r="BU195" s="143"/>
      <c r="BV195" s="143"/>
      <c r="BW195" s="143"/>
      <c r="BX195" s="143"/>
      <c r="BY195" s="143"/>
      <c r="BZ195" s="143"/>
      <c r="CA195" s="143"/>
      <c r="CB195" s="143"/>
      <c r="CC195" s="143"/>
      <c r="CD195" s="143"/>
      <c r="CE195" s="143"/>
      <c r="CF195" s="143"/>
      <c r="CG195" s="143"/>
      <c r="CH195" s="143"/>
      <c r="CI195" s="143"/>
      <c r="CJ195" s="143"/>
      <c r="CK195" s="143"/>
      <c r="CL195" s="143"/>
      <c r="CM195" s="143"/>
      <c r="CN195" s="143"/>
      <c r="CO195" s="143"/>
      <c r="CP195" s="143"/>
      <c r="CQ195" s="143"/>
      <c r="CR195" s="143"/>
      <c r="CS195" s="143"/>
      <c r="CT195" s="143"/>
      <c r="CU195" s="143"/>
      <c r="CV195" s="143"/>
      <c r="CW195" s="143"/>
      <c r="CX195" s="143"/>
      <c r="CY195" s="143"/>
      <c r="CZ195" s="143"/>
      <c r="DA195" s="143"/>
      <c r="DB195" s="143"/>
      <c r="DC195" s="143"/>
      <c r="DD195" s="143"/>
      <c r="DE195" s="143"/>
      <c r="DF195" s="143"/>
      <c r="DG195" s="143"/>
      <c r="DH195" s="143"/>
      <c r="DI195" s="143"/>
      <c r="DJ195" s="143"/>
      <c r="DK195" s="143"/>
      <c r="DL195" s="143"/>
      <c r="DM195" s="143"/>
      <c r="DN195" s="143"/>
      <c r="DO195" s="143"/>
      <c r="DP195" s="143"/>
      <c r="DQ195" s="143"/>
      <c r="DR195" s="143"/>
      <c r="DS195" s="143"/>
      <c r="DT195" s="143"/>
      <c r="DU195" s="143"/>
      <c r="DV195" s="143"/>
      <c r="DW195" s="143"/>
      <c r="DX195" s="143"/>
      <c r="DY195" s="143"/>
      <c r="DZ195" s="143"/>
      <c r="EA195" s="143"/>
      <c r="EB195" s="143"/>
      <c r="EC195" s="143"/>
      <c r="ED195" s="143"/>
      <c r="EE195" s="143"/>
      <c r="EF195" s="143"/>
      <c r="EG195" s="143"/>
      <c r="EH195" s="143"/>
      <c r="EI195" s="143"/>
      <c r="EJ195" s="143"/>
      <c r="EK195" s="143"/>
      <c r="EL195" s="143"/>
      <c r="EM195" s="143"/>
      <c r="EN195" s="143"/>
      <c r="EO195" s="143"/>
      <c r="EP195" s="143"/>
      <c r="EQ195" s="143"/>
      <c r="ER195" s="143"/>
      <c r="ES195" s="143"/>
      <c r="ET195" s="143"/>
      <c r="EU195" s="143"/>
      <c r="EV195" s="143"/>
      <c r="EW195" s="143"/>
      <c r="EX195" s="143"/>
      <c r="EY195" s="143"/>
      <c r="EZ195" s="143"/>
      <c r="FA195" s="143"/>
      <c r="FB195" s="143"/>
      <c r="FC195" s="143"/>
      <c r="FD195" s="143"/>
      <c r="FE195" s="143"/>
      <c r="FF195" s="143"/>
      <c r="FG195" s="143"/>
      <c r="FH195" s="143"/>
      <c r="FI195" s="143"/>
      <c r="FJ195" s="143"/>
      <c r="FK195" s="143"/>
      <c r="FL195" s="143"/>
      <c r="FM195" s="143"/>
      <c r="FN195" s="143"/>
      <c r="FO195" s="143"/>
      <c r="FP195" s="143"/>
      <c r="FQ195" s="143"/>
      <c r="FR195" s="143"/>
      <c r="FS195" s="143"/>
      <c r="FT195" s="143"/>
      <c r="FU195" s="143"/>
      <c r="FV195" s="143"/>
      <c r="FW195" s="143"/>
      <c r="FX195" s="143"/>
      <c r="FY195" s="143"/>
      <c r="FZ195" s="143"/>
      <c r="GA195" s="143"/>
      <c r="GB195" s="143"/>
      <c r="GC195" s="143"/>
      <c r="GD195" s="143"/>
      <c r="GE195" s="143"/>
      <c r="GF195" s="143"/>
      <c r="GG195" s="143"/>
      <c r="GH195" s="143"/>
      <c r="GI195" s="143"/>
      <c r="GJ195" s="143"/>
      <c r="GK195" s="143"/>
    </row>
    <row r="196">
      <c r="A196" s="143"/>
      <c r="B196" s="143"/>
      <c r="C196" s="143"/>
      <c r="D196" s="148"/>
      <c r="E196" s="148">
        <f t="shared" si="2"/>
        <v>0</v>
      </c>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c r="AZ196" s="143"/>
      <c r="BA196" s="143"/>
      <c r="BB196" s="143"/>
      <c r="BC196" s="143"/>
      <c r="BD196" s="143"/>
      <c r="BE196" s="143"/>
      <c r="BF196" s="143"/>
      <c r="BG196" s="143"/>
      <c r="BH196" s="143"/>
      <c r="BI196" s="143"/>
      <c r="BJ196" s="143"/>
      <c r="BK196" s="143"/>
      <c r="BL196" s="143"/>
      <c r="BM196" s="143"/>
      <c r="BN196" s="143"/>
      <c r="BO196" s="143"/>
      <c r="BP196" s="143"/>
      <c r="BQ196" s="143"/>
      <c r="BR196" s="143"/>
      <c r="BS196" s="143"/>
      <c r="BT196" s="143"/>
      <c r="BU196" s="143"/>
      <c r="BV196" s="143"/>
      <c r="BW196" s="143"/>
      <c r="BX196" s="143"/>
      <c r="BY196" s="143"/>
      <c r="BZ196" s="143"/>
      <c r="CA196" s="143"/>
      <c r="CB196" s="143"/>
      <c r="CC196" s="143"/>
      <c r="CD196" s="143"/>
      <c r="CE196" s="143"/>
      <c r="CF196" s="143"/>
      <c r="CG196" s="143"/>
      <c r="CH196" s="143"/>
      <c r="CI196" s="143"/>
      <c r="CJ196" s="143"/>
      <c r="CK196" s="143"/>
      <c r="CL196" s="143"/>
      <c r="CM196" s="143"/>
      <c r="CN196" s="143"/>
      <c r="CO196" s="143"/>
      <c r="CP196" s="143"/>
      <c r="CQ196" s="143"/>
      <c r="CR196" s="143"/>
      <c r="CS196" s="143"/>
      <c r="CT196" s="143"/>
      <c r="CU196" s="143"/>
      <c r="CV196" s="143"/>
      <c r="CW196" s="143"/>
      <c r="CX196" s="143"/>
      <c r="CY196" s="143"/>
      <c r="CZ196" s="143"/>
      <c r="DA196" s="143"/>
      <c r="DB196" s="143"/>
      <c r="DC196" s="143"/>
      <c r="DD196" s="143"/>
      <c r="DE196" s="143"/>
      <c r="DF196" s="143"/>
      <c r="DG196" s="143"/>
      <c r="DH196" s="143"/>
      <c r="DI196" s="143"/>
      <c r="DJ196" s="143"/>
      <c r="DK196" s="143"/>
      <c r="DL196" s="143"/>
      <c r="DM196" s="143"/>
      <c r="DN196" s="143"/>
      <c r="DO196" s="143"/>
      <c r="DP196" s="143"/>
      <c r="DQ196" s="143"/>
      <c r="DR196" s="143"/>
      <c r="DS196" s="143"/>
      <c r="DT196" s="143"/>
      <c r="DU196" s="143"/>
      <c r="DV196" s="143"/>
      <c r="DW196" s="143"/>
      <c r="DX196" s="143"/>
      <c r="DY196" s="143"/>
      <c r="DZ196" s="143"/>
      <c r="EA196" s="143"/>
      <c r="EB196" s="143"/>
      <c r="EC196" s="143"/>
      <c r="ED196" s="143"/>
      <c r="EE196" s="143"/>
      <c r="EF196" s="143"/>
      <c r="EG196" s="143"/>
      <c r="EH196" s="143"/>
      <c r="EI196" s="143"/>
      <c r="EJ196" s="143"/>
      <c r="EK196" s="143"/>
      <c r="EL196" s="143"/>
      <c r="EM196" s="143"/>
      <c r="EN196" s="143"/>
      <c r="EO196" s="143"/>
      <c r="EP196" s="143"/>
      <c r="EQ196" s="143"/>
      <c r="ER196" s="143"/>
      <c r="ES196" s="143"/>
      <c r="ET196" s="143"/>
      <c r="EU196" s="143"/>
      <c r="EV196" s="143"/>
      <c r="EW196" s="143"/>
      <c r="EX196" s="143"/>
      <c r="EY196" s="143"/>
      <c r="EZ196" s="143"/>
      <c r="FA196" s="143"/>
      <c r="FB196" s="143"/>
      <c r="FC196" s="143"/>
      <c r="FD196" s="143"/>
      <c r="FE196" s="143"/>
      <c r="FF196" s="143"/>
      <c r="FG196" s="143"/>
      <c r="FH196" s="143"/>
      <c r="FI196" s="143"/>
      <c r="FJ196" s="143"/>
      <c r="FK196" s="143"/>
      <c r="FL196" s="143"/>
      <c r="FM196" s="143"/>
      <c r="FN196" s="143"/>
      <c r="FO196" s="143"/>
      <c r="FP196" s="143"/>
      <c r="FQ196" s="143"/>
      <c r="FR196" s="143"/>
      <c r="FS196" s="143"/>
      <c r="FT196" s="143"/>
      <c r="FU196" s="143"/>
      <c r="FV196" s="143"/>
      <c r="FW196" s="143"/>
      <c r="FX196" s="143"/>
      <c r="FY196" s="143"/>
      <c r="FZ196" s="143"/>
      <c r="GA196" s="143"/>
      <c r="GB196" s="143"/>
      <c r="GC196" s="143"/>
      <c r="GD196" s="143"/>
      <c r="GE196" s="143"/>
      <c r="GF196" s="143"/>
      <c r="GG196" s="143"/>
      <c r="GH196" s="143"/>
      <c r="GI196" s="143"/>
      <c r="GJ196" s="143"/>
      <c r="GK196" s="143"/>
    </row>
  </sheetData>
  <mergeCells count="16">
    <mergeCell ref="G1:R1"/>
    <mergeCell ref="S1:AD1"/>
    <mergeCell ref="AE1:AP1"/>
    <mergeCell ref="AQ1:BB1"/>
    <mergeCell ref="BC1:BN1"/>
    <mergeCell ref="BO1:BZ1"/>
    <mergeCell ref="CA1:CL1"/>
    <mergeCell ref="FS1:GD1"/>
    <mergeCell ref="GE1:GK1"/>
    <mergeCell ref="CM1:CX1"/>
    <mergeCell ref="CY1:DJ1"/>
    <mergeCell ref="DK1:DV1"/>
    <mergeCell ref="DW1:EH1"/>
    <mergeCell ref="EI1:ET1"/>
    <mergeCell ref="EU1:FF1"/>
    <mergeCell ref="FG1:FR1"/>
  </mergeCells>
  <hyperlinks>
    <hyperlink r:id="rId1" location="gid=687478976" ref="B1"/>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3" width="20.88"/>
    <col customWidth="1" min="6" max="192" width="0.38"/>
  </cols>
  <sheetData>
    <row r="1">
      <c r="A1" s="124" t="s">
        <v>33899</v>
      </c>
      <c r="B1" s="125" t="s">
        <v>33900</v>
      </c>
      <c r="C1" s="126"/>
      <c r="D1" s="126"/>
      <c r="E1" s="126"/>
      <c r="F1" s="127">
        <v>2010.0</v>
      </c>
      <c r="G1" s="128"/>
      <c r="H1" s="128"/>
      <c r="I1" s="128"/>
      <c r="J1" s="128"/>
      <c r="K1" s="128"/>
      <c r="L1" s="128"/>
      <c r="M1" s="128"/>
      <c r="N1" s="128"/>
      <c r="O1" s="128"/>
      <c r="P1" s="128"/>
      <c r="Q1" s="128"/>
      <c r="R1" s="127">
        <v>2011.0</v>
      </c>
      <c r="S1" s="128"/>
      <c r="T1" s="128"/>
      <c r="U1" s="128"/>
      <c r="V1" s="128"/>
      <c r="W1" s="128"/>
      <c r="X1" s="128"/>
      <c r="Y1" s="128"/>
      <c r="Z1" s="128"/>
      <c r="AA1" s="128"/>
      <c r="AB1" s="128"/>
      <c r="AC1" s="128"/>
      <c r="AD1" s="127">
        <v>2012.0</v>
      </c>
      <c r="AE1" s="128"/>
      <c r="AF1" s="128"/>
      <c r="AG1" s="128"/>
      <c r="AH1" s="128"/>
      <c r="AI1" s="128"/>
      <c r="AJ1" s="128"/>
      <c r="AK1" s="128"/>
      <c r="AL1" s="128"/>
      <c r="AM1" s="128"/>
      <c r="AN1" s="128"/>
      <c r="AO1" s="128"/>
      <c r="AP1" s="127">
        <v>2013.0</v>
      </c>
      <c r="AQ1" s="128"/>
      <c r="AR1" s="128"/>
      <c r="AS1" s="128"/>
      <c r="AT1" s="128"/>
      <c r="AU1" s="128"/>
      <c r="AV1" s="128"/>
      <c r="AW1" s="128"/>
      <c r="AX1" s="128"/>
      <c r="AY1" s="128"/>
      <c r="AZ1" s="128"/>
      <c r="BA1" s="128"/>
      <c r="BB1" s="127">
        <v>2014.0</v>
      </c>
      <c r="BC1" s="128"/>
      <c r="BD1" s="128"/>
      <c r="BE1" s="128"/>
      <c r="BF1" s="128"/>
      <c r="BG1" s="128"/>
      <c r="BH1" s="128"/>
      <c r="BI1" s="128"/>
      <c r="BJ1" s="128"/>
      <c r="BK1" s="128"/>
      <c r="BL1" s="128"/>
      <c r="BM1" s="128"/>
      <c r="BN1" s="127">
        <v>2015.0</v>
      </c>
      <c r="BO1" s="128"/>
      <c r="BP1" s="128"/>
      <c r="BQ1" s="128"/>
      <c r="BR1" s="128"/>
      <c r="BS1" s="128"/>
      <c r="BT1" s="128"/>
      <c r="BU1" s="128"/>
      <c r="BV1" s="128"/>
      <c r="BW1" s="128"/>
      <c r="BX1" s="128"/>
      <c r="BY1" s="128"/>
      <c r="BZ1" s="127">
        <v>2016.0</v>
      </c>
      <c r="CA1" s="128"/>
      <c r="CB1" s="128"/>
      <c r="CC1" s="128"/>
      <c r="CD1" s="128"/>
      <c r="CE1" s="128"/>
      <c r="CF1" s="128"/>
      <c r="CG1" s="128"/>
      <c r="CH1" s="128"/>
      <c r="CI1" s="128"/>
      <c r="CJ1" s="128"/>
      <c r="CK1" s="128"/>
      <c r="CL1" s="127">
        <v>2017.0</v>
      </c>
      <c r="CM1" s="128"/>
      <c r="CN1" s="128"/>
      <c r="CO1" s="128"/>
      <c r="CP1" s="128"/>
      <c r="CQ1" s="128"/>
      <c r="CR1" s="128"/>
      <c r="CS1" s="128"/>
      <c r="CT1" s="128"/>
      <c r="CU1" s="128"/>
      <c r="CV1" s="128"/>
      <c r="CW1" s="128"/>
      <c r="CX1" s="127">
        <v>2018.0</v>
      </c>
      <c r="CY1" s="128"/>
      <c r="CZ1" s="128"/>
      <c r="DA1" s="128"/>
      <c r="DB1" s="128"/>
      <c r="DC1" s="128"/>
      <c r="DD1" s="128"/>
      <c r="DE1" s="128"/>
      <c r="DF1" s="128"/>
      <c r="DG1" s="128"/>
      <c r="DH1" s="128"/>
      <c r="DI1" s="128"/>
      <c r="DJ1" s="127">
        <v>2019.0</v>
      </c>
      <c r="DK1" s="128"/>
      <c r="DL1" s="128"/>
      <c r="DM1" s="128"/>
      <c r="DN1" s="128"/>
      <c r="DO1" s="128"/>
      <c r="DP1" s="128"/>
      <c r="DQ1" s="128"/>
      <c r="DR1" s="128"/>
      <c r="DS1" s="128"/>
      <c r="DT1" s="128"/>
      <c r="DU1" s="128"/>
      <c r="DV1" s="127">
        <v>2020.0</v>
      </c>
      <c r="DW1" s="128"/>
      <c r="DX1" s="128"/>
      <c r="DY1" s="128"/>
      <c r="DZ1" s="128"/>
      <c r="EA1" s="128"/>
      <c r="EB1" s="128"/>
      <c r="EC1" s="128"/>
      <c r="ED1" s="128"/>
      <c r="EE1" s="128"/>
      <c r="EF1" s="128"/>
      <c r="EG1" s="128"/>
      <c r="EH1" s="127">
        <v>2021.0</v>
      </c>
      <c r="EI1" s="128"/>
      <c r="EJ1" s="128"/>
      <c r="EK1" s="128"/>
      <c r="EL1" s="128"/>
      <c r="EM1" s="128"/>
      <c r="EN1" s="128"/>
      <c r="EO1" s="128"/>
      <c r="EP1" s="128"/>
      <c r="EQ1" s="128"/>
      <c r="ER1" s="128"/>
      <c r="ES1" s="128"/>
      <c r="ET1" s="127">
        <v>2022.0</v>
      </c>
      <c r="EU1" s="128"/>
      <c r="EV1" s="128"/>
      <c r="EW1" s="128"/>
      <c r="EX1" s="128"/>
      <c r="EY1" s="128"/>
      <c r="EZ1" s="128"/>
      <c r="FA1" s="128"/>
      <c r="FB1" s="128"/>
      <c r="FC1" s="128"/>
      <c r="FD1" s="128"/>
      <c r="FE1" s="128"/>
      <c r="FF1" s="127">
        <v>2023.0</v>
      </c>
      <c r="FG1" s="128"/>
      <c r="FH1" s="128"/>
      <c r="FI1" s="128"/>
      <c r="FJ1" s="128"/>
      <c r="FK1" s="128"/>
      <c r="FL1" s="128"/>
      <c r="FM1" s="128"/>
      <c r="FN1" s="128"/>
      <c r="FO1" s="128"/>
      <c r="FP1" s="128"/>
      <c r="FQ1" s="128"/>
      <c r="FR1" s="127">
        <v>2024.0</v>
      </c>
      <c r="FS1" s="128"/>
      <c r="FT1" s="128"/>
      <c r="FU1" s="128"/>
      <c r="FV1" s="128"/>
      <c r="FW1" s="128"/>
      <c r="FX1" s="128"/>
      <c r="FY1" s="128"/>
      <c r="FZ1" s="128"/>
      <c r="GA1" s="128"/>
      <c r="GB1" s="128"/>
      <c r="GC1" s="128"/>
      <c r="GD1" s="127">
        <v>2025.0</v>
      </c>
      <c r="GE1" s="128"/>
      <c r="GF1" s="128"/>
      <c r="GG1" s="128"/>
      <c r="GH1" s="128"/>
      <c r="GI1" s="128"/>
      <c r="GJ1" s="128"/>
    </row>
    <row r="2">
      <c r="A2" s="149" t="s">
        <v>34239</v>
      </c>
      <c r="B2" s="149" t="s">
        <v>34240</v>
      </c>
      <c r="C2" s="150" t="s">
        <v>33904</v>
      </c>
      <c r="D2" s="149" t="s">
        <v>33905</v>
      </c>
      <c r="E2" s="149" t="s">
        <v>33906</v>
      </c>
      <c r="F2" s="131">
        <v>40179.0</v>
      </c>
      <c r="G2" s="131">
        <v>40210.0</v>
      </c>
      <c r="H2" s="131">
        <v>40238.0</v>
      </c>
      <c r="I2" s="131">
        <v>40269.0</v>
      </c>
      <c r="J2" s="131">
        <v>40299.0</v>
      </c>
      <c r="K2" s="131">
        <v>40330.0</v>
      </c>
      <c r="L2" s="131">
        <v>40360.0</v>
      </c>
      <c r="M2" s="131">
        <v>40391.0</v>
      </c>
      <c r="N2" s="131">
        <v>40422.0</v>
      </c>
      <c r="O2" s="131">
        <v>40452.0</v>
      </c>
      <c r="P2" s="131">
        <v>40483.0</v>
      </c>
      <c r="Q2" s="131">
        <v>40513.0</v>
      </c>
      <c r="R2" s="131">
        <v>40544.0</v>
      </c>
      <c r="S2" s="131">
        <v>40575.0</v>
      </c>
      <c r="T2" s="131">
        <v>40603.0</v>
      </c>
      <c r="U2" s="131">
        <v>40634.0</v>
      </c>
      <c r="V2" s="131">
        <v>40664.0</v>
      </c>
      <c r="W2" s="131">
        <v>40695.0</v>
      </c>
      <c r="X2" s="131">
        <v>40725.0</v>
      </c>
      <c r="Y2" s="131">
        <v>40756.0</v>
      </c>
      <c r="Z2" s="131">
        <v>40787.0</v>
      </c>
      <c r="AA2" s="131">
        <v>40817.0</v>
      </c>
      <c r="AB2" s="131">
        <v>40848.0</v>
      </c>
      <c r="AC2" s="131">
        <v>40878.0</v>
      </c>
      <c r="AD2" s="131">
        <v>40909.0</v>
      </c>
      <c r="AE2" s="131">
        <v>40940.0</v>
      </c>
      <c r="AF2" s="131">
        <v>40969.0</v>
      </c>
      <c r="AG2" s="131">
        <v>41000.0</v>
      </c>
      <c r="AH2" s="131">
        <v>41030.0</v>
      </c>
      <c r="AI2" s="131">
        <v>41061.0</v>
      </c>
      <c r="AJ2" s="131">
        <v>41091.0</v>
      </c>
      <c r="AK2" s="131">
        <v>41122.0</v>
      </c>
      <c r="AL2" s="131">
        <v>41153.0</v>
      </c>
      <c r="AM2" s="131">
        <v>41183.0</v>
      </c>
      <c r="AN2" s="131">
        <v>41214.0</v>
      </c>
      <c r="AO2" s="131">
        <v>41244.0</v>
      </c>
      <c r="AP2" s="131">
        <v>41275.0</v>
      </c>
      <c r="AQ2" s="131">
        <v>41306.0</v>
      </c>
      <c r="AR2" s="131">
        <v>41334.0</v>
      </c>
      <c r="AS2" s="131">
        <v>41365.0</v>
      </c>
      <c r="AT2" s="131">
        <v>41395.0</v>
      </c>
      <c r="AU2" s="131">
        <v>41426.0</v>
      </c>
      <c r="AV2" s="131">
        <v>41456.0</v>
      </c>
      <c r="AW2" s="131">
        <v>41487.0</v>
      </c>
      <c r="AX2" s="131">
        <v>41518.0</v>
      </c>
      <c r="AY2" s="131">
        <v>41548.0</v>
      </c>
      <c r="AZ2" s="131">
        <v>41579.0</v>
      </c>
      <c r="BA2" s="131">
        <v>41609.0</v>
      </c>
      <c r="BB2" s="131">
        <v>41640.0</v>
      </c>
      <c r="BC2" s="131">
        <v>41671.0</v>
      </c>
      <c r="BD2" s="131">
        <v>41699.0</v>
      </c>
      <c r="BE2" s="131">
        <v>41730.0</v>
      </c>
      <c r="BF2" s="131">
        <v>41760.0</v>
      </c>
      <c r="BG2" s="131">
        <v>41791.0</v>
      </c>
      <c r="BH2" s="131">
        <v>41821.0</v>
      </c>
      <c r="BI2" s="131">
        <v>41852.0</v>
      </c>
      <c r="BJ2" s="131">
        <v>41883.0</v>
      </c>
      <c r="BK2" s="131">
        <v>41913.0</v>
      </c>
      <c r="BL2" s="131">
        <v>41944.0</v>
      </c>
      <c r="BM2" s="131">
        <v>41974.0</v>
      </c>
      <c r="BN2" s="131">
        <v>42005.0</v>
      </c>
      <c r="BO2" s="131">
        <v>42036.0</v>
      </c>
      <c r="BP2" s="131">
        <v>42064.0</v>
      </c>
      <c r="BQ2" s="131">
        <v>42095.0</v>
      </c>
      <c r="BR2" s="131">
        <v>42125.0</v>
      </c>
      <c r="BS2" s="131">
        <v>42156.0</v>
      </c>
      <c r="BT2" s="131">
        <v>42186.0</v>
      </c>
      <c r="BU2" s="131">
        <v>42217.0</v>
      </c>
      <c r="BV2" s="131">
        <v>42248.0</v>
      </c>
      <c r="BW2" s="131">
        <v>42278.0</v>
      </c>
      <c r="BX2" s="131">
        <v>42309.0</v>
      </c>
      <c r="BY2" s="131">
        <v>42339.0</v>
      </c>
      <c r="BZ2" s="131">
        <v>42370.0</v>
      </c>
      <c r="CA2" s="131">
        <v>42401.0</v>
      </c>
      <c r="CB2" s="131">
        <v>42430.0</v>
      </c>
      <c r="CC2" s="131">
        <v>42461.0</v>
      </c>
      <c r="CD2" s="131">
        <v>42491.0</v>
      </c>
      <c r="CE2" s="131">
        <v>42522.0</v>
      </c>
      <c r="CF2" s="131">
        <v>42552.0</v>
      </c>
      <c r="CG2" s="131">
        <v>42583.0</v>
      </c>
      <c r="CH2" s="131">
        <v>42614.0</v>
      </c>
      <c r="CI2" s="131">
        <v>42644.0</v>
      </c>
      <c r="CJ2" s="131">
        <v>42675.0</v>
      </c>
      <c r="CK2" s="131">
        <v>42705.0</v>
      </c>
      <c r="CL2" s="131">
        <v>42736.0</v>
      </c>
      <c r="CM2" s="131">
        <v>42767.0</v>
      </c>
      <c r="CN2" s="131">
        <v>42795.0</v>
      </c>
      <c r="CO2" s="131">
        <v>42826.0</v>
      </c>
      <c r="CP2" s="131">
        <v>42856.0</v>
      </c>
      <c r="CQ2" s="131">
        <v>42887.0</v>
      </c>
      <c r="CR2" s="131">
        <v>42917.0</v>
      </c>
      <c r="CS2" s="131">
        <v>42948.0</v>
      </c>
      <c r="CT2" s="131">
        <v>42979.0</v>
      </c>
      <c r="CU2" s="131">
        <v>43009.0</v>
      </c>
      <c r="CV2" s="131">
        <v>43040.0</v>
      </c>
      <c r="CW2" s="131">
        <v>43070.0</v>
      </c>
      <c r="CX2" s="131">
        <v>43101.0</v>
      </c>
      <c r="CY2" s="131">
        <v>43132.0</v>
      </c>
      <c r="CZ2" s="131">
        <v>43160.0</v>
      </c>
      <c r="DA2" s="131">
        <v>43191.0</v>
      </c>
      <c r="DB2" s="131">
        <v>43221.0</v>
      </c>
      <c r="DC2" s="131">
        <v>43252.0</v>
      </c>
      <c r="DD2" s="131">
        <v>43282.0</v>
      </c>
      <c r="DE2" s="131">
        <v>43313.0</v>
      </c>
      <c r="DF2" s="131">
        <v>43344.0</v>
      </c>
      <c r="DG2" s="131">
        <v>43374.0</v>
      </c>
      <c r="DH2" s="131">
        <v>43405.0</v>
      </c>
      <c r="DI2" s="131">
        <v>43435.0</v>
      </c>
      <c r="DJ2" s="131">
        <v>43466.0</v>
      </c>
      <c r="DK2" s="131">
        <v>43497.0</v>
      </c>
      <c r="DL2" s="131">
        <v>43525.0</v>
      </c>
      <c r="DM2" s="131">
        <v>43556.0</v>
      </c>
      <c r="DN2" s="131">
        <v>43586.0</v>
      </c>
      <c r="DO2" s="131">
        <v>43617.0</v>
      </c>
      <c r="DP2" s="131">
        <v>43647.0</v>
      </c>
      <c r="DQ2" s="131">
        <v>43678.0</v>
      </c>
      <c r="DR2" s="131">
        <v>43709.0</v>
      </c>
      <c r="DS2" s="131">
        <v>43739.0</v>
      </c>
      <c r="DT2" s="131">
        <v>43770.0</v>
      </c>
      <c r="DU2" s="131">
        <v>43800.0</v>
      </c>
      <c r="DV2" s="131">
        <v>43831.0</v>
      </c>
      <c r="DW2" s="131">
        <v>43862.0</v>
      </c>
      <c r="DX2" s="131">
        <v>43891.0</v>
      </c>
      <c r="DY2" s="131">
        <v>43922.0</v>
      </c>
      <c r="DZ2" s="131">
        <v>43952.0</v>
      </c>
      <c r="EA2" s="131">
        <v>43983.0</v>
      </c>
      <c r="EB2" s="131">
        <v>44013.0</v>
      </c>
      <c r="EC2" s="131">
        <v>44044.0</v>
      </c>
      <c r="ED2" s="131">
        <v>44075.0</v>
      </c>
      <c r="EE2" s="131">
        <v>44105.0</v>
      </c>
      <c r="EF2" s="131">
        <v>44136.0</v>
      </c>
      <c r="EG2" s="131">
        <v>44166.0</v>
      </c>
      <c r="EH2" s="131">
        <v>44197.0</v>
      </c>
      <c r="EI2" s="131">
        <v>44228.0</v>
      </c>
      <c r="EJ2" s="131">
        <v>44256.0</v>
      </c>
      <c r="EK2" s="131">
        <v>44287.0</v>
      </c>
      <c r="EL2" s="131">
        <v>44317.0</v>
      </c>
      <c r="EM2" s="131">
        <v>44348.0</v>
      </c>
      <c r="EN2" s="131">
        <v>44378.0</v>
      </c>
      <c r="EO2" s="131">
        <v>44409.0</v>
      </c>
      <c r="EP2" s="131">
        <v>44440.0</v>
      </c>
      <c r="EQ2" s="131">
        <v>44470.0</v>
      </c>
      <c r="ER2" s="131">
        <v>44501.0</v>
      </c>
      <c r="ES2" s="131">
        <v>44531.0</v>
      </c>
      <c r="ET2" s="131">
        <v>44562.0</v>
      </c>
      <c r="EU2" s="131">
        <v>44593.0</v>
      </c>
      <c r="EV2" s="131">
        <v>44621.0</v>
      </c>
      <c r="EW2" s="131">
        <v>44652.0</v>
      </c>
      <c r="EX2" s="131">
        <v>44682.0</v>
      </c>
      <c r="EY2" s="131">
        <v>44713.0</v>
      </c>
      <c r="EZ2" s="131">
        <v>44743.0</v>
      </c>
      <c r="FA2" s="131">
        <v>44774.0</v>
      </c>
      <c r="FB2" s="131">
        <v>44805.0</v>
      </c>
      <c r="FC2" s="131">
        <v>44835.0</v>
      </c>
      <c r="FD2" s="131">
        <v>44866.0</v>
      </c>
      <c r="FE2" s="131">
        <v>44896.0</v>
      </c>
      <c r="FF2" s="131">
        <v>44927.0</v>
      </c>
      <c r="FG2" s="131">
        <v>44958.0</v>
      </c>
      <c r="FH2" s="131">
        <v>44986.0</v>
      </c>
      <c r="FI2" s="131">
        <v>45017.0</v>
      </c>
      <c r="FJ2" s="131">
        <v>45047.0</v>
      </c>
      <c r="FK2" s="131">
        <v>45078.0</v>
      </c>
      <c r="FL2" s="131">
        <v>45108.0</v>
      </c>
      <c r="FM2" s="131">
        <v>45139.0</v>
      </c>
      <c r="FN2" s="131">
        <v>45170.0</v>
      </c>
      <c r="FO2" s="131">
        <v>45200.0</v>
      </c>
      <c r="FP2" s="131">
        <v>45231.0</v>
      </c>
      <c r="FQ2" s="131">
        <v>45261.0</v>
      </c>
      <c r="FR2" s="131">
        <v>45292.0</v>
      </c>
      <c r="FS2" s="131">
        <v>45323.0</v>
      </c>
      <c r="FT2" s="131">
        <v>45352.0</v>
      </c>
      <c r="FU2" s="131">
        <v>45383.0</v>
      </c>
      <c r="FV2" s="131">
        <v>45413.0</v>
      </c>
      <c r="FW2" s="131">
        <v>45444.0</v>
      </c>
      <c r="FX2" s="131">
        <v>45474.0</v>
      </c>
      <c r="FY2" s="131">
        <v>45505.0</v>
      </c>
      <c r="FZ2" s="131">
        <v>45536.0</v>
      </c>
      <c r="GA2" s="131">
        <v>45566.0</v>
      </c>
      <c r="GB2" s="131">
        <v>45597.0</v>
      </c>
      <c r="GC2" s="131">
        <v>45627.0</v>
      </c>
      <c r="GD2" s="131">
        <v>45658.0</v>
      </c>
      <c r="GE2" s="131">
        <v>45689.0</v>
      </c>
      <c r="GF2" s="131">
        <v>45717.0</v>
      </c>
      <c r="GG2" s="131">
        <v>45748.0</v>
      </c>
      <c r="GH2" s="131">
        <v>45778.0</v>
      </c>
      <c r="GI2" s="131">
        <v>45809.0</v>
      </c>
      <c r="GJ2" s="131">
        <v>45839.0</v>
      </c>
    </row>
    <row r="3">
      <c r="A3" s="133" t="s">
        <v>1729</v>
      </c>
      <c r="B3" s="134">
        <v>39856.727118055554</v>
      </c>
      <c r="C3" s="135" t="str">
        <f t="shared" ref="C3:C168" si="1">TEXT(B3,"yyyy/mm/dd")</f>
        <v>2009/02/12</v>
      </c>
      <c r="D3" s="136" t="s">
        <v>34241</v>
      </c>
      <c r="E3" s="151">
        <v>0.0</v>
      </c>
      <c r="F3" s="139">
        <v>40179.0</v>
      </c>
      <c r="G3" s="139">
        <v>40210.0</v>
      </c>
      <c r="H3" s="139">
        <v>40238.0</v>
      </c>
      <c r="I3" s="139">
        <v>40269.0</v>
      </c>
      <c r="J3" s="139">
        <v>40299.0</v>
      </c>
      <c r="K3" s="139">
        <v>40330.0</v>
      </c>
      <c r="L3" s="139">
        <v>40360.0</v>
      </c>
      <c r="M3" s="139">
        <v>40391.0</v>
      </c>
      <c r="N3" s="139">
        <v>40422.0</v>
      </c>
      <c r="O3" s="139">
        <v>40452.0</v>
      </c>
      <c r="P3" s="139">
        <v>40483.0</v>
      </c>
      <c r="Q3" s="139">
        <v>40513.0</v>
      </c>
      <c r="R3" s="139">
        <v>40544.0</v>
      </c>
      <c r="S3" s="139">
        <v>40575.0</v>
      </c>
      <c r="T3" s="139">
        <v>40603.0</v>
      </c>
      <c r="U3" s="139">
        <v>40634.0</v>
      </c>
      <c r="V3" s="139">
        <v>40664.0</v>
      </c>
      <c r="W3" s="139">
        <v>40695.0</v>
      </c>
      <c r="X3" s="139">
        <v>40725.0</v>
      </c>
      <c r="Y3" s="139">
        <v>40756.0</v>
      </c>
      <c r="Z3" s="139">
        <v>40787.0</v>
      </c>
      <c r="AA3" s="139">
        <v>40817.0</v>
      </c>
      <c r="AB3" s="139">
        <v>40848.0</v>
      </c>
      <c r="AC3" s="139">
        <v>40878.0</v>
      </c>
      <c r="AD3" s="139">
        <v>40909.0</v>
      </c>
      <c r="AE3" s="139">
        <v>40940.0</v>
      </c>
      <c r="AF3" s="139">
        <v>40969.0</v>
      </c>
      <c r="AG3" s="139">
        <v>41000.0</v>
      </c>
      <c r="AH3" s="139">
        <v>41030.0</v>
      </c>
      <c r="AI3" s="139">
        <v>41061.0</v>
      </c>
      <c r="AJ3" s="139">
        <v>41091.0</v>
      </c>
      <c r="AK3" s="139">
        <v>41122.0</v>
      </c>
      <c r="AL3" s="139">
        <v>41153.0</v>
      </c>
      <c r="AM3" s="139">
        <v>41183.0</v>
      </c>
      <c r="AN3" s="139">
        <v>41214.0</v>
      </c>
      <c r="AO3" s="139">
        <v>41244.0</v>
      </c>
      <c r="AP3" s="139">
        <v>41275.0</v>
      </c>
      <c r="AQ3" s="139">
        <v>41306.0</v>
      </c>
      <c r="AR3" s="139">
        <v>41334.0</v>
      </c>
      <c r="AS3" s="139">
        <v>41365.0</v>
      </c>
      <c r="AT3" s="139">
        <v>41395.0</v>
      </c>
      <c r="AU3" s="139">
        <v>41426.0</v>
      </c>
      <c r="AV3" s="139">
        <v>41456.0</v>
      </c>
      <c r="AW3" s="139">
        <v>41487.0</v>
      </c>
      <c r="AX3" s="139">
        <v>41518.0</v>
      </c>
      <c r="AY3" s="139">
        <v>41548.0</v>
      </c>
      <c r="AZ3" s="139">
        <v>41579.0</v>
      </c>
      <c r="BA3" s="139">
        <v>41609.0</v>
      </c>
      <c r="BB3" s="139">
        <v>41640.0</v>
      </c>
      <c r="BC3" s="139">
        <v>41671.0</v>
      </c>
      <c r="BD3" s="139">
        <v>41699.0</v>
      </c>
      <c r="BE3" s="139">
        <v>41730.0</v>
      </c>
      <c r="BF3" s="139">
        <v>41760.0</v>
      </c>
      <c r="BG3" s="139">
        <v>41791.0</v>
      </c>
      <c r="BH3" s="139">
        <v>41821.0</v>
      </c>
      <c r="BI3" s="139">
        <v>41852.0</v>
      </c>
      <c r="BJ3" s="139">
        <v>41883.0</v>
      </c>
      <c r="BK3" s="139">
        <v>41913.0</v>
      </c>
      <c r="BL3" s="139">
        <v>41944.0</v>
      </c>
      <c r="BM3" s="139">
        <v>41974.0</v>
      </c>
      <c r="BN3" s="139">
        <v>42005.0</v>
      </c>
      <c r="BO3" s="139">
        <v>42036.0</v>
      </c>
      <c r="BP3" s="139">
        <v>42064.0</v>
      </c>
      <c r="BQ3" s="139">
        <v>42095.0</v>
      </c>
      <c r="BR3" s="139">
        <v>42125.0</v>
      </c>
      <c r="BS3" s="139">
        <v>42156.0</v>
      </c>
      <c r="BT3" s="139">
        <v>42186.0</v>
      </c>
      <c r="BU3" s="139">
        <v>42217.0</v>
      </c>
      <c r="BV3" s="139">
        <v>42248.0</v>
      </c>
      <c r="BW3" s="139">
        <v>42278.0</v>
      </c>
      <c r="BX3" s="139">
        <v>42309.0</v>
      </c>
      <c r="BY3" s="139">
        <v>42339.0</v>
      </c>
      <c r="BZ3" s="139">
        <v>42370.0</v>
      </c>
      <c r="CA3" s="139">
        <v>42401.0</v>
      </c>
      <c r="CB3" s="139">
        <v>42430.0</v>
      </c>
      <c r="CC3" s="139">
        <v>42461.0</v>
      </c>
      <c r="CD3" s="139">
        <v>42491.0</v>
      </c>
      <c r="CE3" s="139">
        <v>42522.0</v>
      </c>
      <c r="CF3" s="139">
        <v>42552.0</v>
      </c>
      <c r="CG3" s="139">
        <v>42583.0</v>
      </c>
      <c r="CH3" s="139">
        <v>42614.0</v>
      </c>
      <c r="CI3" s="139">
        <v>42644.0</v>
      </c>
      <c r="CJ3" s="139">
        <v>42675.0</v>
      </c>
      <c r="CK3" s="139">
        <v>42705.0</v>
      </c>
      <c r="CL3" s="139">
        <v>42736.0</v>
      </c>
      <c r="CM3" s="139">
        <v>42767.0</v>
      </c>
      <c r="CN3" s="139">
        <v>42795.0</v>
      </c>
      <c r="CO3" s="139">
        <v>42826.0</v>
      </c>
      <c r="CP3" s="139">
        <v>42856.0</v>
      </c>
      <c r="CQ3" s="139">
        <v>42887.0</v>
      </c>
      <c r="CR3" s="139">
        <v>42917.0</v>
      </c>
      <c r="CS3" s="139">
        <v>42948.0</v>
      </c>
      <c r="CT3" s="139">
        <v>42979.0</v>
      </c>
      <c r="CU3" s="139">
        <v>43009.0</v>
      </c>
      <c r="CV3" s="139">
        <v>43040.0</v>
      </c>
      <c r="CW3" s="139">
        <v>43070.0</v>
      </c>
      <c r="CX3" s="139">
        <v>43101.0</v>
      </c>
      <c r="CY3" s="139">
        <v>43132.0</v>
      </c>
      <c r="CZ3" s="139">
        <v>43160.0</v>
      </c>
      <c r="DA3" s="139">
        <v>43191.0</v>
      </c>
      <c r="DB3" s="139">
        <v>43221.0</v>
      </c>
      <c r="DC3" s="139">
        <v>43252.0</v>
      </c>
      <c r="DD3" s="139">
        <v>43282.0</v>
      </c>
      <c r="DE3" s="139">
        <v>43313.0</v>
      </c>
      <c r="DF3" s="139">
        <v>43344.0</v>
      </c>
      <c r="DG3" s="139">
        <v>43374.0</v>
      </c>
      <c r="DH3" s="139">
        <v>43405.0</v>
      </c>
      <c r="DI3" s="139">
        <v>43435.0</v>
      </c>
      <c r="DJ3" s="139">
        <v>43466.0</v>
      </c>
      <c r="DK3" s="139">
        <v>43497.0</v>
      </c>
      <c r="DL3" s="139">
        <v>43525.0</v>
      </c>
      <c r="DM3" s="139">
        <v>43556.0</v>
      </c>
      <c r="DN3" s="139">
        <v>43586.0</v>
      </c>
      <c r="DO3" s="139">
        <v>43617.0</v>
      </c>
      <c r="DP3" s="139">
        <v>43647.0</v>
      </c>
      <c r="DQ3" s="139">
        <v>43678.0</v>
      </c>
      <c r="DR3" s="139">
        <v>43709.0</v>
      </c>
      <c r="DS3" s="139">
        <v>43739.0</v>
      </c>
      <c r="DT3" s="139">
        <v>43770.0</v>
      </c>
      <c r="DU3" s="139">
        <v>43800.0</v>
      </c>
      <c r="DV3" s="139">
        <v>43831.0</v>
      </c>
      <c r="DW3" s="139">
        <v>43862.0</v>
      </c>
      <c r="DX3" s="139">
        <v>43891.0</v>
      </c>
      <c r="DY3" s="139">
        <v>43922.0</v>
      </c>
      <c r="DZ3" s="139">
        <v>43952.0</v>
      </c>
      <c r="EA3" s="139">
        <v>43983.0</v>
      </c>
      <c r="EB3" s="139">
        <v>44013.0</v>
      </c>
      <c r="EC3" s="139">
        <v>44044.0</v>
      </c>
      <c r="ED3" s="139">
        <v>44075.0</v>
      </c>
      <c r="EE3" s="139">
        <v>44105.0</v>
      </c>
      <c r="EF3" s="139">
        <v>44136.0</v>
      </c>
      <c r="EG3" s="139">
        <v>44166.0</v>
      </c>
      <c r="EH3" s="139">
        <v>44197.0</v>
      </c>
      <c r="EI3" s="139">
        <v>44228.0</v>
      </c>
      <c r="EJ3" s="139">
        <v>44256.0</v>
      </c>
      <c r="EK3" s="139">
        <v>44287.0</v>
      </c>
      <c r="EL3" s="139">
        <v>44317.0</v>
      </c>
      <c r="EM3" s="139">
        <v>44348.0</v>
      </c>
      <c r="EN3" s="139">
        <v>44378.0</v>
      </c>
      <c r="EO3" s="139">
        <v>44409.0</v>
      </c>
      <c r="EP3" s="139">
        <v>44440.0</v>
      </c>
      <c r="EQ3" s="139">
        <v>44470.0</v>
      </c>
      <c r="ER3" s="139">
        <v>44501.0</v>
      </c>
      <c r="ES3" s="139">
        <v>44531.0</v>
      </c>
      <c r="ET3" s="139">
        <v>44562.0</v>
      </c>
      <c r="EU3" s="139">
        <v>44593.0</v>
      </c>
      <c r="EV3" s="139">
        <v>44621.0</v>
      </c>
      <c r="EW3" s="139">
        <v>44652.0</v>
      </c>
      <c r="EX3" s="139">
        <v>44682.0</v>
      </c>
      <c r="EY3" s="139">
        <v>44713.0</v>
      </c>
      <c r="EZ3" s="139">
        <v>44743.0</v>
      </c>
      <c r="FA3" s="139">
        <v>44774.0</v>
      </c>
      <c r="FB3" s="139">
        <v>44805.0</v>
      </c>
      <c r="FC3" s="139">
        <v>44835.0</v>
      </c>
      <c r="FD3" s="139">
        <v>44866.0</v>
      </c>
      <c r="FE3" s="139">
        <v>44896.0</v>
      </c>
      <c r="FF3" s="139">
        <v>44927.0</v>
      </c>
      <c r="FG3" s="139">
        <v>44958.0</v>
      </c>
      <c r="FH3" s="139">
        <v>44986.0</v>
      </c>
      <c r="FI3" s="139">
        <v>45017.0</v>
      </c>
      <c r="FJ3" s="139">
        <v>45047.0</v>
      </c>
      <c r="FK3" s="139">
        <v>45078.0</v>
      </c>
      <c r="FL3" s="139">
        <v>45108.0</v>
      </c>
      <c r="FM3" s="139">
        <v>45139.0</v>
      </c>
      <c r="FN3" s="139">
        <v>45170.0</v>
      </c>
      <c r="FO3" s="139">
        <v>45200.0</v>
      </c>
      <c r="FP3" s="139">
        <v>45231.0</v>
      </c>
      <c r="FQ3" s="139">
        <v>45261.0</v>
      </c>
      <c r="FR3" s="139">
        <v>45292.0</v>
      </c>
      <c r="FS3" s="139">
        <v>45323.0</v>
      </c>
      <c r="FT3" s="139">
        <v>45352.0</v>
      </c>
      <c r="FU3" s="139">
        <v>45383.0</v>
      </c>
      <c r="FV3" s="139">
        <v>45413.0</v>
      </c>
      <c r="FW3" s="139">
        <v>45444.0</v>
      </c>
      <c r="FX3" s="139">
        <v>45474.0</v>
      </c>
      <c r="FY3" s="139">
        <v>45505.0</v>
      </c>
      <c r="FZ3" s="139">
        <v>45536.0</v>
      </c>
      <c r="GA3" s="139">
        <v>45566.0</v>
      </c>
      <c r="GB3" s="139">
        <v>45597.0</v>
      </c>
      <c r="GC3" s="139">
        <v>45627.0</v>
      </c>
      <c r="GD3" s="139">
        <v>45658.0</v>
      </c>
      <c r="GE3" s="139">
        <v>45689.0</v>
      </c>
      <c r="GF3" s="139">
        <v>45717.0</v>
      </c>
      <c r="GG3" s="139">
        <v>45748.0</v>
      </c>
      <c r="GH3" s="139">
        <v>45778.0</v>
      </c>
      <c r="GI3" s="139">
        <v>45809.0</v>
      </c>
      <c r="GJ3" s="139">
        <v>45839.0</v>
      </c>
    </row>
    <row r="4">
      <c r="A4" s="133" t="s">
        <v>1599</v>
      </c>
      <c r="B4" s="134">
        <v>39864.81008101852</v>
      </c>
      <c r="C4" s="135" t="str">
        <f t="shared" si="1"/>
        <v>2009/02/20</v>
      </c>
      <c r="D4" s="136" t="s">
        <v>33916</v>
      </c>
      <c r="E4" s="151">
        <v>0.0</v>
      </c>
      <c r="F4" s="139">
        <v>40179.0</v>
      </c>
      <c r="G4" s="139">
        <v>40210.0</v>
      </c>
      <c r="H4" s="139">
        <v>40238.0</v>
      </c>
      <c r="I4" s="139">
        <v>40269.0</v>
      </c>
      <c r="J4" s="139">
        <v>40299.0</v>
      </c>
      <c r="K4" s="139">
        <v>40330.0</v>
      </c>
      <c r="L4" s="139">
        <v>40360.0</v>
      </c>
      <c r="M4" s="139">
        <v>40391.0</v>
      </c>
      <c r="N4" s="139">
        <v>40422.0</v>
      </c>
      <c r="O4" s="139">
        <v>40452.0</v>
      </c>
      <c r="P4" s="139">
        <v>40483.0</v>
      </c>
      <c r="Q4" s="139">
        <v>40513.0</v>
      </c>
      <c r="R4" s="139">
        <v>40544.0</v>
      </c>
      <c r="S4" s="139">
        <v>40575.0</v>
      </c>
      <c r="T4" s="139">
        <v>40603.0</v>
      </c>
      <c r="U4" s="139">
        <v>40634.0</v>
      </c>
      <c r="V4" s="139">
        <v>40664.0</v>
      </c>
      <c r="W4" s="139">
        <v>40695.0</v>
      </c>
      <c r="X4" s="139">
        <v>40725.0</v>
      </c>
      <c r="Y4" s="139">
        <v>40756.0</v>
      </c>
      <c r="Z4" s="139">
        <v>40787.0</v>
      </c>
      <c r="AA4" s="139">
        <v>40817.0</v>
      </c>
      <c r="AB4" s="139">
        <v>40848.0</v>
      </c>
      <c r="AC4" s="139">
        <v>40878.0</v>
      </c>
      <c r="AD4" s="139">
        <v>40909.0</v>
      </c>
      <c r="AE4" s="139">
        <v>40940.0</v>
      </c>
      <c r="AF4" s="139">
        <v>40969.0</v>
      </c>
      <c r="AG4" s="139">
        <v>41000.0</v>
      </c>
      <c r="AH4" s="139">
        <v>41030.0</v>
      </c>
      <c r="AI4" s="139">
        <v>41061.0</v>
      </c>
      <c r="AJ4" s="139">
        <v>41091.0</v>
      </c>
      <c r="AK4" s="139">
        <v>41122.0</v>
      </c>
      <c r="AL4" s="139">
        <v>41153.0</v>
      </c>
      <c r="AM4" s="139">
        <v>41183.0</v>
      </c>
      <c r="AN4" s="139">
        <v>41214.0</v>
      </c>
      <c r="AO4" s="139">
        <v>41244.0</v>
      </c>
      <c r="AP4" s="139">
        <v>41275.0</v>
      </c>
      <c r="AQ4" s="139">
        <v>41306.0</v>
      </c>
      <c r="AR4" s="139">
        <v>41334.0</v>
      </c>
      <c r="AS4" s="139">
        <v>41365.0</v>
      </c>
      <c r="AT4" s="139">
        <v>41395.0</v>
      </c>
      <c r="AU4" s="139">
        <v>41426.0</v>
      </c>
      <c r="AV4" s="139">
        <v>41456.0</v>
      </c>
      <c r="AW4" s="139">
        <v>41487.0</v>
      </c>
      <c r="AX4" s="139">
        <v>41518.0</v>
      </c>
      <c r="AY4" s="139">
        <v>41548.0</v>
      </c>
      <c r="AZ4" s="139">
        <v>41579.0</v>
      </c>
      <c r="BA4" s="139">
        <v>41609.0</v>
      </c>
      <c r="BB4" s="139">
        <v>41640.0</v>
      </c>
      <c r="BC4" s="139">
        <v>41671.0</v>
      </c>
      <c r="BD4" s="139">
        <v>41699.0</v>
      </c>
      <c r="BE4" s="139">
        <v>41730.0</v>
      </c>
      <c r="BF4" s="139">
        <v>41760.0</v>
      </c>
      <c r="BG4" s="139">
        <v>41791.0</v>
      </c>
      <c r="BH4" s="139">
        <v>41821.0</v>
      </c>
      <c r="BI4" s="139">
        <v>41852.0</v>
      </c>
      <c r="BJ4" s="139">
        <v>41883.0</v>
      </c>
      <c r="BK4" s="139">
        <v>41913.0</v>
      </c>
      <c r="BL4" s="139">
        <v>41944.0</v>
      </c>
      <c r="BM4" s="139">
        <v>41974.0</v>
      </c>
      <c r="BN4" s="139">
        <v>42005.0</v>
      </c>
      <c r="BO4" s="139">
        <v>42036.0</v>
      </c>
      <c r="BP4" s="139">
        <v>42064.0</v>
      </c>
      <c r="BQ4" s="139">
        <v>42095.0</v>
      </c>
      <c r="BR4" s="139">
        <v>42125.0</v>
      </c>
      <c r="BS4" s="139">
        <v>42156.0</v>
      </c>
      <c r="BT4" s="139">
        <v>42186.0</v>
      </c>
      <c r="BU4" s="139">
        <v>42217.0</v>
      </c>
      <c r="BV4" s="139">
        <v>42248.0</v>
      </c>
      <c r="BW4" s="139">
        <v>42278.0</v>
      </c>
      <c r="BX4" s="139">
        <v>42309.0</v>
      </c>
      <c r="BY4" s="139">
        <v>42339.0</v>
      </c>
      <c r="BZ4" s="139">
        <v>42370.0</v>
      </c>
      <c r="CA4" s="139">
        <v>42401.0</v>
      </c>
      <c r="CB4" s="139">
        <v>42430.0</v>
      </c>
      <c r="CC4" s="139">
        <v>42461.0</v>
      </c>
      <c r="CD4" s="139">
        <v>42491.0</v>
      </c>
      <c r="CE4" s="139">
        <v>42522.0</v>
      </c>
      <c r="CF4" s="139">
        <v>42552.0</v>
      </c>
      <c r="CG4" s="139">
        <v>42583.0</v>
      </c>
      <c r="CH4" s="139">
        <v>42614.0</v>
      </c>
      <c r="CI4" s="139">
        <v>42644.0</v>
      </c>
      <c r="CJ4" s="139">
        <v>42675.0</v>
      </c>
      <c r="CK4" s="139">
        <v>42705.0</v>
      </c>
      <c r="CL4" s="139">
        <v>42736.0</v>
      </c>
      <c r="CM4" s="139">
        <v>42767.0</v>
      </c>
      <c r="CN4" s="139">
        <v>42795.0</v>
      </c>
      <c r="CO4" s="139">
        <v>42826.0</v>
      </c>
      <c r="CP4" s="139">
        <v>42856.0</v>
      </c>
      <c r="CQ4" s="139">
        <v>42887.0</v>
      </c>
      <c r="CR4" s="139">
        <v>42917.0</v>
      </c>
      <c r="CS4" s="139">
        <v>42948.0</v>
      </c>
      <c r="CT4" s="139">
        <v>42979.0</v>
      </c>
      <c r="CU4" s="139">
        <v>43009.0</v>
      </c>
      <c r="CV4" s="139">
        <v>43040.0</v>
      </c>
      <c r="CW4" s="139">
        <v>43070.0</v>
      </c>
      <c r="CX4" s="139">
        <v>43101.0</v>
      </c>
      <c r="CY4" s="139">
        <v>43132.0</v>
      </c>
      <c r="CZ4" s="139">
        <v>43160.0</v>
      </c>
      <c r="DA4" s="139">
        <v>43191.0</v>
      </c>
      <c r="DB4" s="139">
        <v>43221.0</v>
      </c>
      <c r="DC4" s="139">
        <v>43252.0</v>
      </c>
      <c r="DD4" s="139">
        <v>43282.0</v>
      </c>
      <c r="DE4" s="139">
        <v>43313.0</v>
      </c>
      <c r="DF4" s="139">
        <v>43344.0</v>
      </c>
      <c r="DG4" s="139">
        <v>43374.0</v>
      </c>
      <c r="DH4" s="139">
        <v>43405.0</v>
      </c>
      <c r="DI4" s="139">
        <v>43435.0</v>
      </c>
      <c r="DJ4" s="139">
        <v>43466.0</v>
      </c>
      <c r="DK4" s="139">
        <v>43497.0</v>
      </c>
      <c r="DL4" s="139">
        <v>43525.0</v>
      </c>
      <c r="DM4" s="139">
        <v>43556.0</v>
      </c>
      <c r="DN4" s="139">
        <v>43586.0</v>
      </c>
      <c r="DO4" s="139">
        <v>43617.0</v>
      </c>
      <c r="DP4" s="139">
        <v>43647.0</v>
      </c>
      <c r="DQ4" s="139">
        <v>43678.0</v>
      </c>
      <c r="DR4" s="139">
        <v>43709.0</v>
      </c>
      <c r="DS4" s="139">
        <v>43739.0</v>
      </c>
      <c r="DT4" s="139">
        <v>43770.0</v>
      </c>
      <c r="DU4" s="139">
        <v>43800.0</v>
      </c>
      <c r="DV4" s="139">
        <v>43831.0</v>
      </c>
      <c r="DW4" s="139">
        <v>43862.0</v>
      </c>
      <c r="DX4" s="139">
        <v>43891.0</v>
      </c>
      <c r="DY4" s="139">
        <v>43922.0</v>
      </c>
      <c r="DZ4" s="139">
        <v>43952.0</v>
      </c>
      <c r="EA4" s="139">
        <v>43983.0</v>
      </c>
      <c r="EB4" s="139">
        <v>44013.0</v>
      </c>
      <c r="EC4" s="139">
        <v>44044.0</v>
      </c>
      <c r="ED4" s="139">
        <v>44075.0</v>
      </c>
      <c r="EE4" s="139">
        <v>44105.0</v>
      </c>
      <c r="EF4" s="139">
        <v>44136.0</v>
      </c>
      <c r="EG4" s="139">
        <v>44166.0</v>
      </c>
      <c r="EH4" s="139">
        <v>44197.0</v>
      </c>
      <c r="EI4" s="139">
        <v>44228.0</v>
      </c>
      <c r="EJ4" s="139">
        <v>44256.0</v>
      </c>
      <c r="EK4" s="139">
        <v>44287.0</v>
      </c>
      <c r="EL4" s="139">
        <v>44317.0</v>
      </c>
      <c r="EM4" s="139">
        <v>44348.0</v>
      </c>
      <c r="EN4" s="139">
        <v>44378.0</v>
      </c>
      <c r="EO4" s="139">
        <v>44409.0</v>
      </c>
      <c r="EP4" s="139">
        <v>44440.0</v>
      </c>
      <c r="EQ4" s="139">
        <v>44470.0</v>
      </c>
      <c r="ER4" s="139">
        <v>44501.0</v>
      </c>
      <c r="ES4" s="139">
        <v>44531.0</v>
      </c>
      <c r="ET4" s="139">
        <v>44562.0</v>
      </c>
      <c r="EU4" s="139">
        <v>44593.0</v>
      </c>
      <c r="EV4" s="139">
        <v>44621.0</v>
      </c>
      <c r="EW4" s="139">
        <v>44652.0</v>
      </c>
      <c r="EX4" s="139">
        <v>44682.0</v>
      </c>
      <c r="EY4" s="139">
        <v>44713.0</v>
      </c>
      <c r="EZ4" s="139">
        <v>44743.0</v>
      </c>
      <c r="FA4" s="139">
        <v>44774.0</v>
      </c>
      <c r="FB4" s="139">
        <v>44805.0</v>
      </c>
      <c r="FC4" s="139">
        <v>44835.0</v>
      </c>
      <c r="FD4" s="139">
        <v>44866.0</v>
      </c>
      <c r="FE4" s="139">
        <v>44896.0</v>
      </c>
      <c r="FF4" s="139">
        <v>44927.0</v>
      </c>
      <c r="FG4" s="139">
        <v>44958.0</v>
      </c>
      <c r="FH4" s="139">
        <v>44986.0</v>
      </c>
      <c r="FI4" s="139">
        <v>45017.0</v>
      </c>
      <c r="FJ4" s="139">
        <v>45047.0</v>
      </c>
      <c r="FK4" s="139">
        <v>45078.0</v>
      </c>
      <c r="FL4" s="139">
        <v>45108.0</v>
      </c>
      <c r="FM4" s="139">
        <v>45139.0</v>
      </c>
      <c r="FN4" s="139">
        <v>45170.0</v>
      </c>
      <c r="FO4" s="139">
        <v>45200.0</v>
      </c>
      <c r="FP4" s="139">
        <v>45231.0</v>
      </c>
      <c r="FQ4" s="139">
        <v>45261.0</v>
      </c>
      <c r="FR4" s="139">
        <v>45292.0</v>
      </c>
      <c r="FS4" s="139">
        <v>45323.0</v>
      </c>
      <c r="FT4" s="139">
        <v>45352.0</v>
      </c>
      <c r="FU4" s="139">
        <v>45383.0</v>
      </c>
      <c r="FV4" s="139">
        <v>45413.0</v>
      </c>
      <c r="FW4" s="139">
        <v>45444.0</v>
      </c>
      <c r="FX4" s="139">
        <v>45474.0</v>
      </c>
      <c r="FY4" s="139">
        <v>45505.0</v>
      </c>
      <c r="FZ4" s="139">
        <v>45536.0</v>
      </c>
      <c r="GA4" s="139">
        <v>45566.0</v>
      </c>
      <c r="GB4" s="139">
        <v>45597.0</v>
      </c>
      <c r="GC4" s="139">
        <v>45627.0</v>
      </c>
      <c r="GD4" s="139">
        <v>45658.0</v>
      </c>
      <c r="GE4" s="139">
        <v>45689.0</v>
      </c>
      <c r="GF4" s="139">
        <v>45717.0</v>
      </c>
      <c r="GG4" s="139">
        <v>45748.0</v>
      </c>
      <c r="GH4" s="139">
        <v>45778.0</v>
      </c>
      <c r="GI4" s="139">
        <v>45809.0</v>
      </c>
      <c r="GJ4" s="139">
        <v>45839.0</v>
      </c>
    </row>
    <row r="5">
      <c r="A5" s="133" t="s">
        <v>1831</v>
      </c>
      <c r="B5" s="134">
        <v>40646.7578587963</v>
      </c>
      <c r="C5" s="135" t="str">
        <f t="shared" si="1"/>
        <v>2011/04/13</v>
      </c>
      <c r="D5" s="136" t="s">
        <v>33985</v>
      </c>
      <c r="E5" s="151">
        <v>0.0</v>
      </c>
      <c r="F5" s="138">
        <v>40179.0</v>
      </c>
      <c r="G5" s="138">
        <v>40210.0</v>
      </c>
      <c r="H5" s="138">
        <v>40238.0</v>
      </c>
      <c r="I5" s="138">
        <v>40269.0</v>
      </c>
      <c r="J5" s="138">
        <v>40299.0</v>
      </c>
      <c r="K5" s="138">
        <v>40330.0</v>
      </c>
      <c r="L5" s="138">
        <v>40360.0</v>
      </c>
      <c r="M5" s="138">
        <v>40391.0</v>
      </c>
      <c r="N5" s="138">
        <v>40422.0</v>
      </c>
      <c r="O5" s="138">
        <v>40452.0</v>
      </c>
      <c r="P5" s="138">
        <v>40483.0</v>
      </c>
      <c r="Q5" s="138">
        <v>40513.0</v>
      </c>
      <c r="R5" s="138">
        <v>40544.0</v>
      </c>
      <c r="S5" s="138">
        <v>40575.0</v>
      </c>
      <c r="T5" s="138">
        <v>40603.0</v>
      </c>
      <c r="U5" s="138">
        <v>40634.0</v>
      </c>
      <c r="V5" s="139">
        <v>40664.0</v>
      </c>
      <c r="W5" s="139">
        <v>40695.0</v>
      </c>
      <c r="X5" s="139">
        <v>40725.0</v>
      </c>
      <c r="Y5" s="139">
        <v>40756.0</v>
      </c>
      <c r="Z5" s="139">
        <v>40787.0</v>
      </c>
      <c r="AA5" s="139">
        <v>40817.0</v>
      </c>
      <c r="AB5" s="139">
        <v>40848.0</v>
      </c>
      <c r="AC5" s="139">
        <v>40878.0</v>
      </c>
      <c r="AD5" s="139">
        <v>40909.0</v>
      </c>
      <c r="AE5" s="139">
        <v>40940.0</v>
      </c>
      <c r="AF5" s="139">
        <v>40969.0</v>
      </c>
      <c r="AG5" s="139">
        <v>41000.0</v>
      </c>
      <c r="AH5" s="139">
        <v>41030.0</v>
      </c>
      <c r="AI5" s="139">
        <v>41061.0</v>
      </c>
      <c r="AJ5" s="139">
        <v>41091.0</v>
      </c>
      <c r="AK5" s="139">
        <v>41122.0</v>
      </c>
      <c r="AL5" s="139">
        <v>41153.0</v>
      </c>
      <c r="AM5" s="139">
        <v>41183.0</v>
      </c>
      <c r="AN5" s="139">
        <v>41214.0</v>
      </c>
      <c r="AO5" s="139">
        <v>41244.0</v>
      </c>
      <c r="AP5" s="139">
        <v>41275.0</v>
      </c>
      <c r="AQ5" s="139">
        <v>41306.0</v>
      </c>
      <c r="AR5" s="139">
        <v>41334.0</v>
      </c>
      <c r="AS5" s="139">
        <v>41365.0</v>
      </c>
      <c r="AT5" s="139">
        <v>41395.0</v>
      </c>
      <c r="AU5" s="139">
        <v>41426.0</v>
      </c>
      <c r="AV5" s="139">
        <v>41456.0</v>
      </c>
      <c r="AW5" s="139">
        <v>41487.0</v>
      </c>
      <c r="AX5" s="139">
        <v>41518.0</v>
      </c>
      <c r="AY5" s="139">
        <v>41548.0</v>
      </c>
      <c r="AZ5" s="139">
        <v>41579.0</v>
      </c>
      <c r="BA5" s="139">
        <v>41609.0</v>
      </c>
      <c r="BB5" s="139">
        <v>41640.0</v>
      </c>
      <c r="BC5" s="139">
        <v>41671.0</v>
      </c>
      <c r="BD5" s="139">
        <v>41699.0</v>
      </c>
      <c r="BE5" s="139">
        <v>41730.0</v>
      </c>
      <c r="BF5" s="139">
        <v>41760.0</v>
      </c>
      <c r="BG5" s="139">
        <v>41791.0</v>
      </c>
      <c r="BH5" s="139">
        <v>41821.0</v>
      </c>
      <c r="BI5" s="139">
        <v>41852.0</v>
      </c>
      <c r="BJ5" s="139">
        <v>41883.0</v>
      </c>
      <c r="BK5" s="139">
        <v>41913.0</v>
      </c>
      <c r="BL5" s="139">
        <v>41944.0</v>
      </c>
      <c r="BM5" s="139">
        <v>41974.0</v>
      </c>
      <c r="BN5" s="139">
        <v>42005.0</v>
      </c>
      <c r="BO5" s="139">
        <v>42036.0</v>
      </c>
      <c r="BP5" s="139">
        <v>42064.0</v>
      </c>
      <c r="BQ5" s="139">
        <v>42095.0</v>
      </c>
      <c r="BR5" s="139">
        <v>42125.0</v>
      </c>
      <c r="BS5" s="139">
        <v>42156.0</v>
      </c>
      <c r="BT5" s="139">
        <v>42186.0</v>
      </c>
      <c r="BU5" s="139">
        <v>42217.0</v>
      </c>
      <c r="BV5" s="139">
        <v>42248.0</v>
      </c>
      <c r="BW5" s="139">
        <v>42278.0</v>
      </c>
      <c r="BX5" s="139">
        <v>42309.0</v>
      </c>
      <c r="BY5" s="139">
        <v>42339.0</v>
      </c>
      <c r="BZ5" s="139">
        <v>42370.0</v>
      </c>
      <c r="CA5" s="139">
        <v>42401.0</v>
      </c>
      <c r="CB5" s="139">
        <v>42430.0</v>
      </c>
      <c r="CC5" s="139">
        <v>42461.0</v>
      </c>
      <c r="CD5" s="139">
        <v>42491.0</v>
      </c>
      <c r="CE5" s="139">
        <v>42522.0</v>
      </c>
      <c r="CF5" s="139">
        <v>42552.0</v>
      </c>
      <c r="CG5" s="139">
        <v>42583.0</v>
      </c>
      <c r="CH5" s="139">
        <v>42614.0</v>
      </c>
      <c r="CI5" s="139">
        <v>42644.0</v>
      </c>
      <c r="CJ5" s="139">
        <v>42675.0</v>
      </c>
      <c r="CK5" s="139">
        <v>42705.0</v>
      </c>
      <c r="CL5" s="139">
        <v>42736.0</v>
      </c>
      <c r="CM5" s="139">
        <v>42767.0</v>
      </c>
      <c r="CN5" s="139">
        <v>42795.0</v>
      </c>
      <c r="CO5" s="139">
        <v>42826.0</v>
      </c>
      <c r="CP5" s="139">
        <v>42856.0</v>
      </c>
      <c r="CQ5" s="139">
        <v>42887.0</v>
      </c>
      <c r="CR5" s="139">
        <v>42917.0</v>
      </c>
      <c r="CS5" s="139">
        <v>42948.0</v>
      </c>
      <c r="CT5" s="139">
        <v>42979.0</v>
      </c>
      <c r="CU5" s="139">
        <v>43009.0</v>
      </c>
      <c r="CV5" s="139">
        <v>43040.0</v>
      </c>
      <c r="CW5" s="139">
        <v>43070.0</v>
      </c>
      <c r="CX5" s="139">
        <v>43101.0</v>
      </c>
      <c r="CY5" s="139">
        <v>43132.0</v>
      </c>
      <c r="CZ5" s="139">
        <v>43160.0</v>
      </c>
      <c r="DA5" s="139">
        <v>43191.0</v>
      </c>
      <c r="DB5" s="139">
        <v>43221.0</v>
      </c>
      <c r="DC5" s="139">
        <v>43252.0</v>
      </c>
      <c r="DD5" s="139">
        <v>43282.0</v>
      </c>
      <c r="DE5" s="139">
        <v>43313.0</v>
      </c>
      <c r="DF5" s="139">
        <v>43344.0</v>
      </c>
      <c r="DG5" s="139">
        <v>43374.0</v>
      </c>
      <c r="DH5" s="139">
        <v>43405.0</v>
      </c>
      <c r="DI5" s="139">
        <v>43435.0</v>
      </c>
      <c r="DJ5" s="139">
        <v>43466.0</v>
      </c>
      <c r="DK5" s="139">
        <v>43497.0</v>
      </c>
      <c r="DL5" s="139">
        <v>43525.0</v>
      </c>
      <c r="DM5" s="139">
        <v>43556.0</v>
      </c>
      <c r="DN5" s="139">
        <v>43586.0</v>
      </c>
      <c r="DO5" s="139">
        <v>43617.0</v>
      </c>
      <c r="DP5" s="139">
        <v>43647.0</v>
      </c>
      <c r="DQ5" s="139">
        <v>43678.0</v>
      </c>
      <c r="DR5" s="139">
        <v>43709.0</v>
      </c>
      <c r="DS5" s="139">
        <v>43739.0</v>
      </c>
      <c r="DT5" s="139">
        <v>43770.0</v>
      </c>
      <c r="DU5" s="139">
        <v>43800.0</v>
      </c>
      <c r="DV5" s="139">
        <v>43831.0</v>
      </c>
      <c r="DW5" s="139">
        <v>43862.0</v>
      </c>
      <c r="DX5" s="139">
        <v>43891.0</v>
      </c>
      <c r="DY5" s="139">
        <v>43922.0</v>
      </c>
      <c r="DZ5" s="139">
        <v>43952.0</v>
      </c>
      <c r="EA5" s="139">
        <v>43983.0</v>
      </c>
      <c r="EB5" s="139">
        <v>44013.0</v>
      </c>
      <c r="EC5" s="139">
        <v>44044.0</v>
      </c>
      <c r="ED5" s="139">
        <v>44075.0</v>
      </c>
      <c r="EE5" s="139">
        <v>44105.0</v>
      </c>
      <c r="EF5" s="139">
        <v>44136.0</v>
      </c>
      <c r="EG5" s="139">
        <v>44166.0</v>
      </c>
      <c r="EH5" s="139">
        <v>44197.0</v>
      </c>
      <c r="EI5" s="139">
        <v>44228.0</v>
      </c>
      <c r="EJ5" s="139">
        <v>44256.0</v>
      </c>
      <c r="EK5" s="139">
        <v>44287.0</v>
      </c>
      <c r="EL5" s="139">
        <v>44317.0</v>
      </c>
      <c r="EM5" s="139">
        <v>44348.0</v>
      </c>
      <c r="EN5" s="139">
        <v>44378.0</v>
      </c>
      <c r="EO5" s="139">
        <v>44409.0</v>
      </c>
      <c r="EP5" s="139">
        <v>44440.0</v>
      </c>
      <c r="EQ5" s="139">
        <v>44470.0</v>
      </c>
      <c r="ER5" s="139">
        <v>44501.0</v>
      </c>
      <c r="ES5" s="139">
        <v>44531.0</v>
      </c>
      <c r="ET5" s="139">
        <v>44562.0</v>
      </c>
      <c r="EU5" s="139">
        <v>44593.0</v>
      </c>
      <c r="EV5" s="139">
        <v>44621.0</v>
      </c>
      <c r="EW5" s="139">
        <v>44652.0</v>
      </c>
      <c r="EX5" s="139">
        <v>44682.0</v>
      </c>
      <c r="EY5" s="139">
        <v>44713.0</v>
      </c>
      <c r="EZ5" s="139">
        <v>44743.0</v>
      </c>
      <c r="FA5" s="139">
        <v>44774.0</v>
      </c>
      <c r="FB5" s="139">
        <v>44805.0</v>
      </c>
      <c r="FC5" s="139">
        <v>44835.0</v>
      </c>
      <c r="FD5" s="139">
        <v>44866.0</v>
      </c>
      <c r="FE5" s="139">
        <v>44896.0</v>
      </c>
      <c r="FF5" s="139">
        <v>44927.0</v>
      </c>
      <c r="FG5" s="139">
        <v>44958.0</v>
      </c>
      <c r="FH5" s="139">
        <v>44986.0</v>
      </c>
      <c r="FI5" s="139">
        <v>45017.0</v>
      </c>
      <c r="FJ5" s="139">
        <v>45047.0</v>
      </c>
      <c r="FK5" s="139">
        <v>45078.0</v>
      </c>
      <c r="FL5" s="139">
        <v>45108.0</v>
      </c>
      <c r="FM5" s="139">
        <v>45139.0</v>
      </c>
      <c r="FN5" s="139">
        <v>45170.0</v>
      </c>
      <c r="FO5" s="139">
        <v>45200.0</v>
      </c>
      <c r="FP5" s="139">
        <v>45231.0</v>
      </c>
      <c r="FQ5" s="139">
        <v>45261.0</v>
      </c>
      <c r="FR5" s="139">
        <v>45292.0</v>
      </c>
      <c r="FS5" s="139">
        <v>45323.0</v>
      </c>
      <c r="FT5" s="139">
        <v>45352.0</v>
      </c>
      <c r="FU5" s="139">
        <v>45383.0</v>
      </c>
      <c r="FV5" s="139">
        <v>45413.0</v>
      </c>
      <c r="FW5" s="139">
        <v>45444.0</v>
      </c>
      <c r="FX5" s="139">
        <v>45474.0</v>
      </c>
      <c r="FY5" s="139">
        <v>45505.0</v>
      </c>
      <c r="FZ5" s="139">
        <v>45536.0</v>
      </c>
      <c r="GA5" s="139">
        <v>45566.0</v>
      </c>
      <c r="GB5" s="139">
        <v>45597.0</v>
      </c>
      <c r="GC5" s="139">
        <v>45627.0</v>
      </c>
      <c r="GD5" s="139">
        <v>45658.0</v>
      </c>
      <c r="GE5" s="139">
        <v>45689.0</v>
      </c>
      <c r="GF5" s="139">
        <v>45717.0</v>
      </c>
      <c r="GG5" s="139">
        <v>45748.0</v>
      </c>
      <c r="GH5" s="139">
        <v>45778.0</v>
      </c>
      <c r="GI5" s="139">
        <v>45809.0</v>
      </c>
      <c r="GJ5" s="139">
        <v>45839.0</v>
      </c>
    </row>
    <row r="6">
      <c r="A6" s="133" t="s">
        <v>1658</v>
      </c>
      <c r="B6" s="134">
        <v>40920.461122685185</v>
      </c>
      <c r="C6" s="135" t="str">
        <f t="shared" si="1"/>
        <v>2012/01/12</v>
      </c>
      <c r="D6" s="136" t="s">
        <v>33908</v>
      </c>
      <c r="E6" s="151">
        <v>0.0</v>
      </c>
      <c r="F6" s="138">
        <v>40179.0</v>
      </c>
      <c r="G6" s="138">
        <v>40210.0</v>
      </c>
      <c r="H6" s="138">
        <v>40238.0</v>
      </c>
      <c r="I6" s="138">
        <v>40269.0</v>
      </c>
      <c r="J6" s="138">
        <v>40299.0</v>
      </c>
      <c r="K6" s="138">
        <v>40330.0</v>
      </c>
      <c r="L6" s="138">
        <v>40360.0</v>
      </c>
      <c r="M6" s="138">
        <v>40391.0</v>
      </c>
      <c r="N6" s="138">
        <v>40422.0</v>
      </c>
      <c r="O6" s="138">
        <v>40452.0</v>
      </c>
      <c r="P6" s="138">
        <v>40483.0</v>
      </c>
      <c r="Q6" s="138">
        <v>40513.0</v>
      </c>
      <c r="R6" s="138">
        <v>40544.0</v>
      </c>
      <c r="S6" s="138">
        <v>40575.0</v>
      </c>
      <c r="T6" s="138">
        <v>40603.0</v>
      </c>
      <c r="U6" s="138">
        <v>40634.0</v>
      </c>
      <c r="V6" s="138">
        <v>40664.0</v>
      </c>
      <c r="W6" s="138">
        <v>40695.0</v>
      </c>
      <c r="X6" s="138">
        <v>40725.0</v>
      </c>
      <c r="Y6" s="138">
        <v>40756.0</v>
      </c>
      <c r="Z6" s="138">
        <v>40787.0</v>
      </c>
      <c r="AA6" s="138">
        <v>40817.0</v>
      </c>
      <c r="AB6" s="138">
        <v>40848.0</v>
      </c>
      <c r="AC6" s="138">
        <v>40878.0</v>
      </c>
      <c r="AD6" s="138">
        <v>40909.0</v>
      </c>
      <c r="AE6" s="139">
        <v>40940.0</v>
      </c>
      <c r="AF6" s="139">
        <v>40969.0</v>
      </c>
      <c r="AG6" s="139">
        <v>41000.0</v>
      </c>
      <c r="AH6" s="139">
        <v>41030.0</v>
      </c>
      <c r="AI6" s="139">
        <v>41061.0</v>
      </c>
      <c r="AJ6" s="139">
        <v>41091.0</v>
      </c>
      <c r="AK6" s="139">
        <v>41122.0</v>
      </c>
      <c r="AL6" s="139">
        <v>41153.0</v>
      </c>
      <c r="AM6" s="139">
        <v>41183.0</v>
      </c>
      <c r="AN6" s="139">
        <v>41214.0</v>
      </c>
      <c r="AO6" s="139">
        <v>41244.0</v>
      </c>
      <c r="AP6" s="139">
        <v>41275.0</v>
      </c>
      <c r="AQ6" s="139">
        <v>41306.0</v>
      </c>
      <c r="AR6" s="139">
        <v>41334.0</v>
      </c>
      <c r="AS6" s="139">
        <v>41365.0</v>
      </c>
      <c r="AT6" s="139">
        <v>41395.0</v>
      </c>
      <c r="AU6" s="139">
        <v>41426.0</v>
      </c>
      <c r="AV6" s="139">
        <v>41456.0</v>
      </c>
      <c r="AW6" s="139">
        <v>41487.0</v>
      </c>
      <c r="AX6" s="139">
        <v>41518.0</v>
      </c>
      <c r="AY6" s="139">
        <v>41548.0</v>
      </c>
      <c r="AZ6" s="139">
        <v>41579.0</v>
      </c>
      <c r="BA6" s="139">
        <v>41609.0</v>
      </c>
      <c r="BB6" s="139">
        <v>41640.0</v>
      </c>
      <c r="BC6" s="139">
        <v>41671.0</v>
      </c>
      <c r="BD6" s="139">
        <v>41699.0</v>
      </c>
      <c r="BE6" s="139">
        <v>41730.0</v>
      </c>
      <c r="BF6" s="139">
        <v>41760.0</v>
      </c>
      <c r="BG6" s="139">
        <v>41791.0</v>
      </c>
      <c r="BH6" s="139">
        <v>41821.0</v>
      </c>
      <c r="BI6" s="139">
        <v>41852.0</v>
      </c>
      <c r="BJ6" s="139">
        <v>41883.0</v>
      </c>
      <c r="BK6" s="139">
        <v>41913.0</v>
      </c>
      <c r="BL6" s="139">
        <v>41944.0</v>
      </c>
      <c r="BM6" s="139">
        <v>41974.0</v>
      </c>
      <c r="BN6" s="139">
        <v>42005.0</v>
      </c>
      <c r="BO6" s="139">
        <v>42036.0</v>
      </c>
      <c r="BP6" s="139">
        <v>42064.0</v>
      </c>
      <c r="BQ6" s="139">
        <v>42095.0</v>
      </c>
      <c r="BR6" s="139">
        <v>42125.0</v>
      </c>
      <c r="BS6" s="139">
        <v>42156.0</v>
      </c>
      <c r="BT6" s="139">
        <v>42186.0</v>
      </c>
      <c r="BU6" s="139">
        <v>42217.0</v>
      </c>
      <c r="BV6" s="139">
        <v>42248.0</v>
      </c>
      <c r="BW6" s="139">
        <v>42278.0</v>
      </c>
      <c r="BX6" s="139">
        <v>42309.0</v>
      </c>
      <c r="BY6" s="139">
        <v>42339.0</v>
      </c>
      <c r="BZ6" s="139">
        <v>42370.0</v>
      </c>
      <c r="CA6" s="139">
        <v>42401.0</v>
      </c>
      <c r="CB6" s="139">
        <v>42430.0</v>
      </c>
      <c r="CC6" s="139">
        <v>42461.0</v>
      </c>
      <c r="CD6" s="139">
        <v>42491.0</v>
      </c>
      <c r="CE6" s="139">
        <v>42522.0</v>
      </c>
      <c r="CF6" s="139">
        <v>42552.0</v>
      </c>
      <c r="CG6" s="139">
        <v>42583.0</v>
      </c>
      <c r="CH6" s="139">
        <v>42614.0</v>
      </c>
      <c r="CI6" s="139">
        <v>42644.0</v>
      </c>
      <c r="CJ6" s="139">
        <v>42675.0</v>
      </c>
      <c r="CK6" s="139">
        <v>42705.0</v>
      </c>
      <c r="CL6" s="139">
        <v>42736.0</v>
      </c>
      <c r="CM6" s="139">
        <v>42767.0</v>
      </c>
      <c r="CN6" s="139">
        <v>42795.0</v>
      </c>
      <c r="CO6" s="139">
        <v>42826.0</v>
      </c>
      <c r="CP6" s="139">
        <v>42856.0</v>
      </c>
      <c r="CQ6" s="139">
        <v>42887.0</v>
      </c>
      <c r="CR6" s="139">
        <v>42917.0</v>
      </c>
      <c r="CS6" s="139">
        <v>42948.0</v>
      </c>
      <c r="CT6" s="139">
        <v>42979.0</v>
      </c>
      <c r="CU6" s="139">
        <v>43009.0</v>
      </c>
      <c r="CV6" s="139">
        <v>43040.0</v>
      </c>
      <c r="CW6" s="139">
        <v>43070.0</v>
      </c>
      <c r="CX6" s="139">
        <v>43101.0</v>
      </c>
      <c r="CY6" s="139">
        <v>43132.0</v>
      </c>
      <c r="CZ6" s="139">
        <v>43160.0</v>
      </c>
      <c r="DA6" s="139">
        <v>43191.0</v>
      </c>
      <c r="DB6" s="139">
        <v>43221.0</v>
      </c>
      <c r="DC6" s="139">
        <v>43252.0</v>
      </c>
      <c r="DD6" s="139">
        <v>43282.0</v>
      </c>
      <c r="DE6" s="139">
        <v>43313.0</v>
      </c>
      <c r="DF6" s="139">
        <v>43344.0</v>
      </c>
      <c r="DG6" s="139">
        <v>43374.0</v>
      </c>
      <c r="DH6" s="139">
        <v>43405.0</v>
      </c>
      <c r="DI6" s="139">
        <v>43435.0</v>
      </c>
      <c r="DJ6" s="139">
        <v>43466.0</v>
      </c>
      <c r="DK6" s="139">
        <v>43497.0</v>
      </c>
      <c r="DL6" s="139">
        <v>43525.0</v>
      </c>
      <c r="DM6" s="139">
        <v>43556.0</v>
      </c>
      <c r="DN6" s="139">
        <v>43586.0</v>
      </c>
      <c r="DO6" s="139">
        <v>43617.0</v>
      </c>
      <c r="DP6" s="139">
        <v>43647.0</v>
      </c>
      <c r="DQ6" s="139">
        <v>43678.0</v>
      </c>
      <c r="DR6" s="139">
        <v>43709.0</v>
      </c>
      <c r="DS6" s="139">
        <v>43739.0</v>
      </c>
      <c r="DT6" s="139">
        <v>43770.0</v>
      </c>
      <c r="DU6" s="139">
        <v>43800.0</v>
      </c>
      <c r="DV6" s="139">
        <v>43831.0</v>
      </c>
      <c r="DW6" s="139">
        <v>43862.0</v>
      </c>
      <c r="DX6" s="139">
        <v>43891.0</v>
      </c>
      <c r="DY6" s="139">
        <v>43922.0</v>
      </c>
      <c r="DZ6" s="139">
        <v>43952.0</v>
      </c>
      <c r="EA6" s="139">
        <v>43983.0</v>
      </c>
      <c r="EB6" s="139">
        <v>44013.0</v>
      </c>
      <c r="EC6" s="139">
        <v>44044.0</v>
      </c>
      <c r="ED6" s="139">
        <v>44075.0</v>
      </c>
      <c r="EE6" s="139">
        <v>44105.0</v>
      </c>
      <c r="EF6" s="139">
        <v>44136.0</v>
      </c>
      <c r="EG6" s="139">
        <v>44166.0</v>
      </c>
      <c r="EH6" s="139">
        <v>44197.0</v>
      </c>
      <c r="EI6" s="139">
        <v>44228.0</v>
      </c>
      <c r="EJ6" s="139">
        <v>44256.0</v>
      </c>
      <c r="EK6" s="139">
        <v>44287.0</v>
      </c>
      <c r="EL6" s="139">
        <v>44317.0</v>
      </c>
      <c r="EM6" s="139">
        <v>44348.0</v>
      </c>
      <c r="EN6" s="139">
        <v>44378.0</v>
      </c>
      <c r="EO6" s="139">
        <v>44409.0</v>
      </c>
      <c r="EP6" s="139">
        <v>44440.0</v>
      </c>
      <c r="EQ6" s="139">
        <v>44470.0</v>
      </c>
      <c r="ER6" s="139">
        <v>44501.0</v>
      </c>
      <c r="ES6" s="139">
        <v>44531.0</v>
      </c>
      <c r="ET6" s="139">
        <v>44562.0</v>
      </c>
      <c r="EU6" s="139">
        <v>44593.0</v>
      </c>
      <c r="EV6" s="139">
        <v>44621.0</v>
      </c>
      <c r="EW6" s="139">
        <v>44652.0</v>
      </c>
      <c r="EX6" s="139">
        <v>44682.0</v>
      </c>
      <c r="EY6" s="139">
        <v>44713.0</v>
      </c>
      <c r="EZ6" s="139">
        <v>44743.0</v>
      </c>
      <c r="FA6" s="139">
        <v>44774.0</v>
      </c>
      <c r="FB6" s="139">
        <v>44805.0</v>
      </c>
      <c r="FC6" s="139">
        <v>44835.0</v>
      </c>
      <c r="FD6" s="139">
        <v>44866.0</v>
      </c>
      <c r="FE6" s="139">
        <v>44896.0</v>
      </c>
      <c r="FF6" s="139">
        <v>44927.0</v>
      </c>
      <c r="FG6" s="139">
        <v>44958.0</v>
      </c>
      <c r="FH6" s="139">
        <v>44986.0</v>
      </c>
      <c r="FI6" s="139">
        <v>45017.0</v>
      </c>
      <c r="FJ6" s="139">
        <v>45047.0</v>
      </c>
      <c r="FK6" s="139">
        <v>45078.0</v>
      </c>
      <c r="FL6" s="139">
        <v>45108.0</v>
      </c>
      <c r="FM6" s="139">
        <v>45139.0</v>
      </c>
      <c r="FN6" s="139">
        <v>45170.0</v>
      </c>
      <c r="FO6" s="139">
        <v>45200.0</v>
      </c>
      <c r="FP6" s="139">
        <v>45231.0</v>
      </c>
      <c r="FQ6" s="139">
        <v>45261.0</v>
      </c>
      <c r="FR6" s="139">
        <v>45292.0</v>
      </c>
      <c r="FS6" s="139">
        <v>45323.0</v>
      </c>
      <c r="FT6" s="139">
        <v>45352.0</v>
      </c>
      <c r="FU6" s="139">
        <v>45383.0</v>
      </c>
      <c r="FV6" s="139">
        <v>45413.0</v>
      </c>
      <c r="FW6" s="139">
        <v>45444.0</v>
      </c>
      <c r="FX6" s="139">
        <v>45474.0</v>
      </c>
      <c r="FY6" s="139">
        <v>45505.0</v>
      </c>
      <c r="FZ6" s="139">
        <v>45536.0</v>
      </c>
      <c r="GA6" s="139">
        <v>45566.0</v>
      </c>
      <c r="GB6" s="139">
        <v>45597.0</v>
      </c>
      <c r="GC6" s="139">
        <v>45627.0</v>
      </c>
      <c r="GD6" s="139">
        <v>45658.0</v>
      </c>
      <c r="GE6" s="139">
        <v>45689.0</v>
      </c>
      <c r="GF6" s="139">
        <v>45717.0</v>
      </c>
      <c r="GG6" s="139">
        <v>45748.0</v>
      </c>
      <c r="GH6" s="139">
        <v>45778.0</v>
      </c>
      <c r="GI6" s="139">
        <v>45809.0</v>
      </c>
      <c r="GJ6" s="139">
        <v>45839.0</v>
      </c>
    </row>
    <row r="7">
      <c r="A7" s="133" t="s">
        <v>1777</v>
      </c>
      <c r="B7" s="134">
        <v>40962.61274305556</v>
      </c>
      <c r="C7" s="135" t="str">
        <f t="shared" si="1"/>
        <v>2012/02/23</v>
      </c>
      <c r="D7" s="136" t="s">
        <v>34242</v>
      </c>
      <c r="E7" s="151">
        <v>0.0</v>
      </c>
      <c r="F7" s="138">
        <v>40179.0</v>
      </c>
      <c r="G7" s="138">
        <v>40210.0</v>
      </c>
      <c r="H7" s="138">
        <v>40238.0</v>
      </c>
      <c r="I7" s="138">
        <v>40269.0</v>
      </c>
      <c r="J7" s="138">
        <v>40299.0</v>
      </c>
      <c r="K7" s="138">
        <v>40330.0</v>
      </c>
      <c r="L7" s="138">
        <v>40360.0</v>
      </c>
      <c r="M7" s="138">
        <v>40391.0</v>
      </c>
      <c r="N7" s="138">
        <v>40422.0</v>
      </c>
      <c r="O7" s="138">
        <v>40452.0</v>
      </c>
      <c r="P7" s="138">
        <v>40483.0</v>
      </c>
      <c r="Q7" s="138">
        <v>40513.0</v>
      </c>
      <c r="R7" s="138">
        <v>40544.0</v>
      </c>
      <c r="S7" s="138">
        <v>40575.0</v>
      </c>
      <c r="T7" s="138">
        <v>40603.0</v>
      </c>
      <c r="U7" s="138">
        <v>40634.0</v>
      </c>
      <c r="V7" s="138">
        <v>40664.0</v>
      </c>
      <c r="W7" s="138">
        <v>40695.0</v>
      </c>
      <c r="X7" s="138">
        <v>40725.0</v>
      </c>
      <c r="Y7" s="138">
        <v>40756.0</v>
      </c>
      <c r="Z7" s="138">
        <v>40787.0</v>
      </c>
      <c r="AA7" s="138">
        <v>40817.0</v>
      </c>
      <c r="AB7" s="138">
        <v>40848.0</v>
      </c>
      <c r="AC7" s="138">
        <v>40878.0</v>
      </c>
      <c r="AD7" s="138">
        <v>40909.0</v>
      </c>
      <c r="AE7" s="138">
        <v>40940.0</v>
      </c>
      <c r="AF7" s="139">
        <v>40969.0</v>
      </c>
      <c r="AG7" s="139">
        <v>41000.0</v>
      </c>
      <c r="AH7" s="139">
        <v>41030.0</v>
      </c>
      <c r="AI7" s="139">
        <v>41061.0</v>
      </c>
      <c r="AJ7" s="139">
        <v>41091.0</v>
      </c>
      <c r="AK7" s="139">
        <v>41122.0</v>
      </c>
      <c r="AL7" s="139">
        <v>41153.0</v>
      </c>
      <c r="AM7" s="139">
        <v>41183.0</v>
      </c>
      <c r="AN7" s="139">
        <v>41214.0</v>
      </c>
      <c r="AO7" s="139">
        <v>41244.0</v>
      </c>
      <c r="AP7" s="139">
        <v>41275.0</v>
      </c>
      <c r="AQ7" s="139">
        <v>41306.0</v>
      </c>
      <c r="AR7" s="139">
        <v>41334.0</v>
      </c>
      <c r="AS7" s="139">
        <v>41365.0</v>
      </c>
      <c r="AT7" s="139">
        <v>41395.0</v>
      </c>
      <c r="AU7" s="139">
        <v>41426.0</v>
      </c>
      <c r="AV7" s="139">
        <v>41456.0</v>
      </c>
      <c r="AW7" s="139">
        <v>41487.0</v>
      </c>
      <c r="AX7" s="139">
        <v>41518.0</v>
      </c>
      <c r="AY7" s="139">
        <v>41548.0</v>
      </c>
      <c r="AZ7" s="139">
        <v>41579.0</v>
      </c>
      <c r="BA7" s="139">
        <v>41609.0</v>
      </c>
      <c r="BB7" s="139">
        <v>41640.0</v>
      </c>
      <c r="BC7" s="139">
        <v>41671.0</v>
      </c>
      <c r="BD7" s="139">
        <v>41699.0</v>
      </c>
      <c r="BE7" s="139">
        <v>41730.0</v>
      </c>
      <c r="BF7" s="139">
        <v>41760.0</v>
      </c>
      <c r="BG7" s="139">
        <v>41791.0</v>
      </c>
      <c r="BH7" s="139">
        <v>41821.0</v>
      </c>
      <c r="BI7" s="139">
        <v>41852.0</v>
      </c>
      <c r="BJ7" s="139">
        <v>41883.0</v>
      </c>
      <c r="BK7" s="139">
        <v>41913.0</v>
      </c>
      <c r="BL7" s="139">
        <v>41944.0</v>
      </c>
      <c r="BM7" s="139">
        <v>41974.0</v>
      </c>
      <c r="BN7" s="139">
        <v>42005.0</v>
      </c>
      <c r="BO7" s="139">
        <v>42036.0</v>
      </c>
      <c r="BP7" s="139">
        <v>42064.0</v>
      </c>
      <c r="BQ7" s="139">
        <v>42095.0</v>
      </c>
      <c r="BR7" s="139">
        <v>42125.0</v>
      </c>
      <c r="BS7" s="139">
        <v>42156.0</v>
      </c>
      <c r="BT7" s="139">
        <v>42186.0</v>
      </c>
      <c r="BU7" s="139">
        <v>42217.0</v>
      </c>
      <c r="BV7" s="139">
        <v>42248.0</v>
      </c>
      <c r="BW7" s="139">
        <v>42278.0</v>
      </c>
      <c r="BX7" s="139">
        <v>42309.0</v>
      </c>
      <c r="BY7" s="139">
        <v>42339.0</v>
      </c>
      <c r="BZ7" s="139">
        <v>42370.0</v>
      </c>
      <c r="CA7" s="139">
        <v>42401.0</v>
      </c>
      <c r="CB7" s="139">
        <v>42430.0</v>
      </c>
      <c r="CC7" s="139">
        <v>42461.0</v>
      </c>
      <c r="CD7" s="139">
        <v>42491.0</v>
      </c>
      <c r="CE7" s="139">
        <v>42522.0</v>
      </c>
      <c r="CF7" s="139">
        <v>42552.0</v>
      </c>
      <c r="CG7" s="139">
        <v>42583.0</v>
      </c>
      <c r="CH7" s="139">
        <v>42614.0</v>
      </c>
      <c r="CI7" s="139">
        <v>42644.0</v>
      </c>
      <c r="CJ7" s="139">
        <v>42675.0</v>
      </c>
      <c r="CK7" s="139">
        <v>42705.0</v>
      </c>
      <c r="CL7" s="139">
        <v>42736.0</v>
      </c>
      <c r="CM7" s="139">
        <v>42767.0</v>
      </c>
      <c r="CN7" s="139">
        <v>42795.0</v>
      </c>
      <c r="CO7" s="139">
        <v>42826.0</v>
      </c>
      <c r="CP7" s="139">
        <v>42856.0</v>
      </c>
      <c r="CQ7" s="139">
        <v>42887.0</v>
      </c>
      <c r="CR7" s="139">
        <v>42917.0</v>
      </c>
      <c r="CS7" s="139">
        <v>42948.0</v>
      </c>
      <c r="CT7" s="139">
        <v>42979.0</v>
      </c>
      <c r="CU7" s="139">
        <v>43009.0</v>
      </c>
      <c r="CV7" s="139">
        <v>43040.0</v>
      </c>
      <c r="CW7" s="139">
        <v>43070.0</v>
      </c>
      <c r="CX7" s="139">
        <v>43101.0</v>
      </c>
      <c r="CY7" s="139">
        <v>43132.0</v>
      </c>
      <c r="CZ7" s="139">
        <v>43160.0</v>
      </c>
      <c r="DA7" s="139">
        <v>43191.0</v>
      </c>
      <c r="DB7" s="139">
        <v>43221.0</v>
      </c>
      <c r="DC7" s="139">
        <v>43252.0</v>
      </c>
      <c r="DD7" s="139">
        <v>43282.0</v>
      </c>
      <c r="DE7" s="139">
        <v>43313.0</v>
      </c>
      <c r="DF7" s="139">
        <v>43344.0</v>
      </c>
      <c r="DG7" s="139">
        <v>43374.0</v>
      </c>
      <c r="DH7" s="139">
        <v>43405.0</v>
      </c>
      <c r="DI7" s="139">
        <v>43435.0</v>
      </c>
      <c r="DJ7" s="139">
        <v>43466.0</v>
      </c>
      <c r="DK7" s="139">
        <v>43497.0</v>
      </c>
      <c r="DL7" s="139">
        <v>43525.0</v>
      </c>
      <c r="DM7" s="139">
        <v>43556.0</v>
      </c>
      <c r="DN7" s="139">
        <v>43586.0</v>
      </c>
      <c r="DO7" s="139">
        <v>43617.0</v>
      </c>
      <c r="DP7" s="139">
        <v>43647.0</v>
      </c>
      <c r="DQ7" s="139">
        <v>43678.0</v>
      </c>
      <c r="DR7" s="139">
        <v>43709.0</v>
      </c>
      <c r="DS7" s="139">
        <v>43739.0</v>
      </c>
      <c r="DT7" s="139">
        <v>43770.0</v>
      </c>
      <c r="DU7" s="139">
        <v>43800.0</v>
      </c>
      <c r="DV7" s="139">
        <v>43831.0</v>
      </c>
      <c r="DW7" s="139">
        <v>43862.0</v>
      </c>
      <c r="DX7" s="139">
        <v>43891.0</v>
      </c>
      <c r="DY7" s="139">
        <v>43922.0</v>
      </c>
      <c r="DZ7" s="139">
        <v>43952.0</v>
      </c>
      <c r="EA7" s="139">
        <v>43983.0</v>
      </c>
      <c r="EB7" s="139">
        <v>44013.0</v>
      </c>
      <c r="EC7" s="139">
        <v>44044.0</v>
      </c>
      <c r="ED7" s="139">
        <v>44075.0</v>
      </c>
      <c r="EE7" s="139">
        <v>44105.0</v>
      </c>
      <c r="EF7" s="139">
        <v>44136.0</v>
      </c>
      <c r="EG7" s="139">
        <v>44166.0</v>
      </c>
      <c r="EH7" s="139">
        <v>44197.0</v>
      </c>
      <c r="EI7" s="139">
        <v>44228.0</v>
      </c>
      <c r="EJ7" s="139">
        <v>44256.0</v>
      </c>
      <c r="EK7" s="139">
        <v>44287.0</v>
      </c>
      <c r="EL7" s="139">
        <v>44317.0</v>
      </c>
      <c r="EM7" s="139">
        <v>44348.0</v>
      </c>
      <c r="EN7" s="139">
        <v>44378.0</v>
      </c>
      <c r="EO7" s="139">
        <v>44409.0</v>
      </c>
      <c r="EP7" s="139">
        <v>44440.0</v>
      </c>
      <c r="EQ7" s="139">
        <v>44470.0</v>
      </c>
      <c r="ER7" s="139">
        <v>44501.0</v>
      </c>
      <c r="ES7" s="139">
        <v>44531.0</v>
      </c>
      <c r="ET7" s="139">
        <v>44562.0</v>
      </c>
      <c r="EU7" s="139">
        <v>44593.0</v>
      </c>
      <c r="EV7" s="139">
        <v>44621.0</v>
      </c>
      <c r="EW7" s="139">
        <v>44652.0</v>
      </c>
      <c r="EX7" s="139">
        <v>44682.0</v>
      </c>
      <c r="EY7" s="139">
        <v>44713.0</v>
      </c>
      <c r="EZ7" s="139">
        <v>44743.0</v>
      </c>
      <c r="FA7" s="139">
        <v>44774.0</v>
      </c>
      <c r="FB7" s="139">
        <v>44805.0</v>
      </c>
      <c r="FC7" s="139">
        <v>44835.0</v>
      </c>
      <c r="FD7" s="139">
        <v>44866.0</v>
      </c>
      <c r="FE7" s="139">
        <v>44896.0</v>
      </c>
      <c r="FF7" s="139">
        <v>44927.0</v>
      </c>
      <c r="FG7" s="139">
        <v>44958.0</v>
      </c>
      <c r="FH7" s="139">
        <v>44986.0</v>
      </c>
      <c r="FI7" s="139">
        <v>45017.0</v>
      </c>
      <c r="FJ7" s="139">
        <v>45047.0</v>
      </c>
      <c r="FK7" s="139">
        <v>45078.0</v>
      </c>
      <c r="FL7" s="139">
        <v>45108.0</v>
      </c>
      <c r="FM7" s="139">
        <v>45139.0</v>
      </c>
      <c r="FN7" s="139">
        <v>45170.0</v>
      </c>
      <c r="FO7" s="139">
        <v>45200.0</v>
      </c>
      <c r="FP7" s="139">
        <v>45231.0</v>
      </c>
      <c r="FQ7" s="139">
        <v>45261.0</v>
      </c>
      <c r="FR7" s="139">
        <v>45292.0</v>
      </c>
      <c r="FS7" s="139">
        <v>45323.0</v>
      </c>
      <c r="FT7" s="139">
        <v>45352.0</v>
      </c>
      <c r="FU7" s="139">
        <v>45383.0</v>
      </c>
      <c r="FV7" s="139">
        <v>45413.0</v>
      </c>
      <c r="FW7" s="139">
        <v>45444.0</v>
      </c>
      <c r="FX7" s="139">
        <v>45474.0</v>
      </c>
      <c r="FY7" s="139">
        <v>45505.0</v>
      </c>
      <c r="FZ7" s="139">
        <v>45536.0</v>
      </c>
      <c r="GA7" s="139">
        <v>45566.0</v>
      </c>
      <c r="GB7" s="139">
        <v>45597.0</v>
      </c>
      <c r="GC7" s="139">
        <v>45627.0</v>
      </c>
      <c r="GD7" s="139">
        <v>45658.0</v>
      </c>
      <c r="GE7" s="139">
        <v>45689.0</v>
      </c>
      <c r="GF7" s="139">
        <v>45717.0</v>
      </c>
      <c r="GG7" s="139">
        <v>45748.0</v>
      </c>
      <c r="GH7" s="139">
        <v>45778.0</v>
      </c>
      <c r="GI7" s="139">
        <v>45809.0</v>
      </c>
      <c r="GJ7" s="139">
        <v>45839.0</v>
      </c>
    </row>
    <row r="8">
      <c r="A8" s="133" t="s">
        <v>1749</v>
      </c>
      <c r="B8" s="134">
        <v>41002.565613425926</v>
      </c>
      <c r="C8" s="135" t="str">
        <f t="shared" si="1"/>
        <v>2012/04/03</v>
      </c>
      <c r="D8" s="136" t="s">
        <v>34243</v>
      </c>
      <c r="E8" s="151">
        <v>0.0</v>
      </c>
      <c r="F8" s="138">
        <v>40179.0</v>
      </c>
      <c r="G8" s="138">
        <v>40210.0</v>
      </c>
      <c r="H8" s="138">
        <v>40238.0</v>
      </c>
      <c r="I8" s="138">
        <v>40269.0</v>
      </c>
      <c r="J8" s="138">
        <v>40299.0</v>
      </c>
      <c r="K8" s="138">
        <v>40330.0</v>
      </c>
      <c r="L8" s="138">
        <v>40360.0</v>
      </c>
      <c r="M8" s="138">
        <v>40391.0</v>
      </c>
      <c r="N8" s="138">
        <v>40422.0</v>
      </c>
      <c r="O8" s="138">
        <v>40452.0</v>
      </c>
      <c r="P8" s="138">
        <v>40483.0</v>
      </c>
      <c r="Q8" s="138">
        <v>40513.0</v>
      </c>
      <c r="R8" s="138">
        <v>40544.0</v>
      </c>
      <c r="S8" s="138">
        <v>40575.0</v>
      </c>
      <c r="T8" s="138">
        <v>40603.0</v>
      </c>
      <c r="U8" s="138">
        <v>40634.0</v>
      </c>
      <c r="V8" s="138">
        <v>40664.0</v>
      </c>
      <c r="W8" s="138">
        <v>40695.0</v>
      </c>
      <c r="X8" s="138">
        <v>40725.0</v>
      </c>
      <c r="Y8" s="138">
        <v>40756.0</v>
      </c>
      <c r="Z8" s="138">
        <v>40787.0</v>
      </c>
      <c r="AA8" s="138">
        <v>40817.0</v>
      </c>
      <c r="AB8" s="138">
        <v>40848.0</v>
      </c>
      <c r="AC8" s="138">
        <v>40878.0</v>
      </c>
      <c r="AD8" s="138">
        <v>40909.0</v>
      </c>
      <c r="AE8" s="138">
        <v>40940.0</v>
      </c>
      <c r="AF8" s="138">
        <v>40969.0</v>
      </c>
      <c r="AG8" s="138">
        <v>41000.0</v>
      </c>
      <c r="AH8" s="139">
        <v>41030.0</v>
      </c>
      <c r="AI8" s="139">
        <v>41061.0</v>
      </c>
      <c r="AJ8" s="139">
        <v>41091.0</v>
      </c>
      <c r="AK8" s="139">
        <v>41122.0</v>
      </c>
      <c r="AL8" s="139">
        <v>41153.0</v>
      </c>
      <c r="AM8" s="139">
        <v>41183.0</v>
      </c>
      <c r="AN8" s="139">
        <v>41214.0</v>
      </c>
      <c r="AO8" s="139">
        <v>41244.0</v>
      </c>
      <c r="AP8" s="139">
        <v>41275.0</v>
      </c>
      <c r="AQ8" s="139">
        <v>41306.0</v>
      </c>
      <c r="AR8" s="139">
        <v>41334.0</v>
      </c>
      <c r="AS8" s="139">
        <v>41365.0</v>
      </c>
      <c r="AT8" s="139">
        <v>41395.0</v>
      </c>
      <c r="AU8" s="139">
        <v>41426.0</v>
      </c>
      <c r="AV8" s="139">
        <v>41456.0</v>
      </c>
      <c r="AW8" s="139">
        <v>41487.0</v>
      </c>
      <c r="AX8" s="139">
        <v>41518.0</v>
      </c>
      <c r="AY8" s="139">
        <v>41548.0</v>
      </c>
      <c r="AZ8" s="139">
        <v>41579.0</v>
      </c>
      <c r="BA8" s="139">
        <v>41609.0</v>
      </c>
      <c r="BB8" s="139">
        <v>41640.0</v>
      </c>
      <c r="BC8" s="139">
        <v>41671.0</v>
      </c>
      <c r="BD8" s="139">
        <v>41699.0</v>
      </c>
      <c r="BE8" s="139">
        <v>41730.0</v>
      </c>
      <c r="BF8" s="139">
        <v>41760.0</v>
      </c>
      <c r="BG8" s="139">
        <v>41791.0</v>
      </c>
      <c r="BH8" s="139">
        <v>41821.0</v>
      </c>
      <c r="BI8" s="139">
        <v>41852.0</v>
      </c>
      <c r="BJ8" s="139">
        <v>41883.0</v>
      </c>
      <c r="BK8" s="139">
        <v>41913.0</v>
      </c>
      <c r="BL8" s="139">
        <v>41944.0</v>
      </c>
      <c r="BM8" s="139">
        <v>41974.0</v>
      </c>
      <c r="BN8" s="139">
        <v>42005.0</v>
      </c>
      <c r="BO8" s="139">
        <v>42036.0</v>
      </c>
      <c r="BP8" s="139">
        <v>42064.0</v>
      </c>
      <c r="BQ8" s="139">
        <v>42095.0</v>
      </c>
      <c r="BR8" s="139">
        <v>42125.0</v>
      </c>
      <c r="BS8" s="139">
        <v>42156.0</v>
      </c>
      <c r="BT8" s="139">
        <v>42186.0</v>
      </c>
      <c r="BU8" s="139">
        <v>42217.0</v>
      </c>
      <c r="BV8" s="139">
        <v>42248.0</v>
      </c>
      <c r="BW8" s="139">
        <v>42278.0</v>
      </c>
      <c r="BX8" s="139">
        <v>42309.0</v>
      </c>
      <c r="BY8" s="139">
        <v>42339.0</v>
      </c>
      <c r="BZ8" s="139">
        <v>42370.0</v>
      </c>
      <c r="CA8" s="139">
        <v>42401.0</v>
      </c>
      <c r="CB8" s="139">
        <v>42430.0</v>
      </c>
      <c r="CC8" s="139">
        <v>42461.0</v>
      </c>
      <c r="CD8" s="139">
        <v>42491.0</v>
      </c>
      <c r="CE8" s="139">
        <v>42522.0</v>
      </c>
      <c r="CF8" s="139">
        <v>42552.0</v>
      </c>
      <c r="CG8" s="139">
        <v>42583.0</v>
      </c>
      <c r="CH8" s="139">
        <v>42614.0</v>
      </c>
      <c r="CI8" s="139">
        <v>42644.0</v>
      </c>
      <c r="CJ8" s="139">
        <v>42675.0</v>
      </c>
      <c r="CK8" s="139">
        <v>42705.0</v>
      </c>
      <c r="CL8" s="139">
        <v>42736.0</v>
      </c>
      <c r="CM8" s="139">
        <v>42767.0</v>
      </c>
      <c r="CN8" s="139">
        <v>42795.0</v>
      </c>
      <c r="CO8" s="139">
        <v>42826.0</v>
      </c>
      <c r="CP8" s="139">
        <v>42856.0</v>
      </c>
      <c r="CQ8" s="139">
        <v>42887.0</v>
      </c>
      <c r="CR8" s="139">
        <v>42917.0</v>
      </c>
      <c r="CS8" s="139">
        <v>42948.0</v>
      </c>
      <c r="CT8" s="139">
        <v>42979.0</v>
      </c>
      <c r="CU8" s="139">
        <v>43009.0</v>
      </c>
      <c r="CV8" s="139">
        <v>43040.0</v>
      </c>
      <c r="CW8" s="139">
        <v>43070.0</v>
      </c>
      <c r="CX8" s="139">
        <v>43101.0</v>
      </c>
      <c r="CY8" s="139">
        <v>43132.0</v>
      </c>
      <c r="CZ8" s="139">
        <v>43160.0</v>
      </c>
      <c r="DA8" s="139">
        <v>43191.0</v>
      </c>
      <c r="DB8" s="139">
        <v>43221.0</v>
      </c>
      <c r="DC8" s="139">
        <v>43252.0</v>
      </c>
      <c r="DD8" s="139">
        <v>43282.0</v>
      </c>
      <c r="DE8" s="139">
        <v>43313.0</v>
      </c>
      <c r="DF8" s="139">
        <v>43344.0</v>
      </c>
      <c r="DG8" s="139">
        <v>43374.0</v>
      </c>
      <c r="DH8" s="139">
        <v>43405.0</v>
      </c>
      <c r="DI8" s="139">
        <v>43435.0</v>
      </c>
      <c r="DJ8" s="139">
        <v>43466.0</v>
      </c>
      <c r="DK8" s="139">
        <v>43497.0</v>
      </c>
      <c r="DL8" s="139">
        <v>43525.0</v>
      </c>
      <c r="DM8" s="139">
        <v>43556.0</v>
      </c>
      <c r="DN8" s="139">
        <v>43586.0</v>
      </c>
      <c r="DO8" s="139">
        <v>43617.0</v>
      </c>
      <c r="DP8" s="139">
        <v>43647.0</v>
      </c>
      <c r="DQ8" s="139">
        <v>43678.0</v>
      </c>
      <c r="DR8" s="139">
        <v>43709.0</v>
      </c>
      <c r="DS8" s="139">
        <v>43739.0</v>
      </c>
      <c r="DT8" s="139">
        <v>43770.0</v>
      </c>
      <c r="DU8" s="139">
        <v>43800.0</v>
      </c>
      <c r="DV8" s="139">
        <v>43831.0</v>
      </c>
      <c r="DW8" s="139">
        <v>43862.0</v>
      </c>
      <c r="DX8" s="139">
        <v>43891.0</v>
      </c>
      <c r="DY8" s="139">
        <v>43922.0</v>
      </c>
      <c r="DZ8" s="139">
        <v>43952.0</v>
      </c>
      <c r="EA8" s="139">
        <v>43983.0</v>
      </c>
      <c r="EB8" s="139">
        <v>44013.0</v>
      </c>
      <c r="EC8" s="139">
        <v>44044.0</v>
      </c>
      <c r="ED8" s="139">
        <v>44075.0</v>
      </c>
      <c r="EE8" s="139">
        <v>44105.0</v>
      </c>
      <c r="EF8" s="139">
        <v>44136.0</v>
      </c>
      <c r="EG8" s="139">
        <v>44166.0</v>
      </c>
      <c r="EH8" s="139">
        <v>44197.0</v>
      </c>
      <c r="EI8" s="139">
        <v>44228.0</v>
      </c>
      <c r="EJ8" s="139">
        <v>44256.0</v>
      </c>
      <c r="EK8" s="139">
        <v>44287.0</v>
      </c>
      <c r="EL8" s="139">
        <v>44317.0</v>
      </c>
      <c r="EM8" s="139">
        <v>44348.0</v>
      </c>
      <c r="EN8" s="139">
        <v>44378.0</v>
      </c>
      <c r="EO8" s="139">
        <v>44409.0</v>
      </c>
      <c r="EP8" s="139">
        <v>44440.0</v>
      </c>
      <c r="EQ8" s="139">
        <v>44470.0</v>
      </c>
      <c r="ER8" s="139">
        <v>44501.0</v>
      </c>
      <c r="ES8" s="139">
        <v>44531.0</v>
      </c>
      <c r="ET8" s="139">
        <v>44562.0</v>
      </c>
      <c r="EU8" s="139">
        <v>44593.0</v>
      </c>
      <c r="EV8" s="139">
        <v>44621.0</v>
      </c>
      <c r="EW8" s="139">
        <v>44652.0</v>
      </c>
      <c r="EX8" s="139">
        <v>44682.0</v>
      </c>
      <c r="EY8" s="139">
        <v>44713.0</v>
      </c>
      <c r="EZ8" s="139">
        <v>44743.0</v>
      </c>
      <c r="FA8" s="139">
        <v>44774.0</v>
      </c>
      <c r="FB8" s="139">
        <v>44805.0</v>
      </c>
      <c r="FC8" s="139">
        <v>44835.0</v>
      </c>
      <c r="FD8" s="139">
        <v>44866.0</v>
      </c>
      <c r="FE8" s="139">
        <v>44896.0</v>
      </c>
      <c r="FF8" s="139">
        <v>44927.0</v>
      </c>
      <c r="FG8" s="139">
        <v>44958.0</v>
      </c>
      <c r="FH8" s="139">
        <v>44986.0</v>
      </c>
      <c r="FI8" s="139">
        <v>45017.0</v>
      </c>
      <c r="FJ8" s="139">
        <v>45047.0</v>
      </c>
      <c r="FK8" s="139">
        <v>45078.0</v>
      </c>
      <c r="FL8" s="139">
        <v>45108.0</v>
      </c>
      <c r="FM8" s="139">
        <v>45139.0</v>
      </c>
      <c r="FN8" s="139">
        <v>45170.0</v>
      </c>
      <c r="FO8" s="139">
        <v>45200.0</v>
      </c>
      <c r="FP8" s="139">
        <v>45231.0</v>
      </c>
      <c r="FQ8" s="139">
        <v>45261.0</v>
      </c>
      <c r="FR8" s="139">
        <v>45292.0</v>
      </c>
      <c r="FS8" s="139">
        <v>45323.0</v>
      </c>
      <c r="FT8" s="139">
        <v>45352.0</v>
      </c>
      <c r="FU8" s="139">
        <v>45383.0</v>
      </c>
      <c r="FV8" s="139">
        <v>45413.0</v>
      </c>
      <c r="FW8" s="139">
        <v>45444.0</v>
      </c>
      <c r="FX8" s="139">
        <v>45474.0</v>
      </c>
      <c r="FY8" s="139">
        <v>45505.0</v>
      </c>
      <c r="FZ8" s="139">
        <v>45536.0</v>
      </c>
      <c r="GA8" s="139">
        <v>45566.0</v>
      </c>
      <c r="GB8" s="139">
        <v>45597.0</v>
      </c>
      <c r="GC8" s="139">
        <v>45627.0</v>
      </c>
      <c r="GD8" s="139">
        <v>45658.0</v>
      </c>
      <c r="GE8" s="139">
        <v>45689.0</v>
      </c>
      <c r="GF8" s="139">
        <v>45717.0</v>
      </c>
      <c r="GG8" s="139">
        <v>45748.0</v>
      </c>
      <c r="GH8" s="139">
        <v>45778.0</v>
      </c>
      <c r="GI8" s="139">
        <v>45809.0</v>
      </c>
      <c r="GJ8" s="139">
        <v>45839.0</v>
      </c>
    </row>
    <row r="9">
      <c r="A9" s="133" t="s">
        <v>1392</v>
      </c>
      <c r="B9" s="134">
        <v>41012.518217592595</v>
      </c>
      <c r="C9" s="135" t="str">
        <f t="shared" si="1"/>
        <v>2012/04/13</v>
      </c>
      <c r="D9" s="136" t="s">
        <v>34244</v>
      </c>
      <c r="E9" s="151">
        <v>0.0</v>
      </c>
      <c r="F9" s="138">
        <v>40179.0</v>
      </c>
      <c r="G9" s="138">
        <v>40210.0</v>
      </c>
      <c r="H9" s="138">
        <v>40238.0</v>
      </c>
      <c r="I9" s="138">
        <v>40269.0</v>
      </c>
      <c r="J9" s="138">
        <v>40299.0</v>
      </c>
      <c r="K9" s="138">
        <v>40330.0</v>
      </c>
      <c r="L9" s="138">
        <v>40360.0</v>
      </c>
      <c r="M9" s="138">
        <v>40391.0</v>
      </c>
      <c r="N9" s="138">
        <v>40422.0</v>
      </c>
      <c r="O9" s="138">
        <v>40452.0</v>
      </c>
      <c r="P9" s="138">
        <v>40483.0</v>
      </c>
      <c r="Q9" s="138">
        <v>40513.0</v>
      </c>
      <c r="R9" s="138">
        <v>40544.0</v>
      </c>
      <c r="S9" s="138">
        <v>40575.0</v>
      </c>
      <c r="T9" s="138">
        <v>40603.0</v>
      </c>
      <c r="U9" s="138">
        <v>40634.0</v>
      </c>
      <c r="V9" s="138">
        <v>40664.0</v>
      </c>
      <c r="W9" s="138">
        <v>40695.0</v>
      </c>
      <c r="X9" s="138">
        <v>40725.0</v>
      </c>
      <c r="Y9" s="138">
        <v>40756.0</v>
      </c>
      <c r="Z9" s="138">
        <v>40787.0</v>
      </c>
      <c r="AA9" s="138">
        <v>40817.0</v>
      </c>
      <c r="AB9" s="138">
        <v>40848.0</v>
      </c>
      <c r="AC9" s="138">
        <v>40878.0</v>
      </c>
      <c r="AD9" s="138">
        <v>40909.0</v>
      </c>
      <c r="AE9" s="138">
        <v>40940.0</v>
      </c>
      <c r="AF9" s="138">
        <v>40969.0</v>
      </c>
      <c r="AG9" s="138">
        <v>41000.0</v>
      </c>
      <c r="AH9" s="139">
        <v>41030.0</v>
      </c>
      <c r="AI9" s="139">
        <v>41061.0</v>
      </c>
      <c r="AJ9" s="139">
        <v>41091.0</v>
      </c>
      <c r="AK9" s="139">
        <v>41122.0</v>
      </c>
      <c r="AL9" s="139">
        <v>41153.0</v>
      </c>
      <c r="AM9" s="139">
        <v>41183.0</v>
      </c>
      <c r="AN9" s="139">
        <v>41214.0</v>
      </c>
      <c r="AO9" s="139">
        <v>41244.0</v>
      </c>
      <c r="AP9" s="139">
        <v>41275.0</v>
      </c>
      <c r="AQ9" s="139">
        <v>41306.0</v>
      </c>
      <c r="AR9" s="139">
        <v>41334.0</v>
      </c>
      <c r="AS9" s="139">
        <v>41365.0</v>
      </c>
      <c r="AT9" s="139">
        <v>41395.0</v>
      </c>
      <c r="AU9" s="139">
        <v>41426.0</v>
      </c>
      <c r="AV9" s="139">
        <v>41456.0</v>
      </c>
      <c r="AW9" s="139">
        <v>41487.0</v>
      </c>
      <c r="AX9" s="139">
        <v>41518.0</v>
      </c>
      <c r="AY9" s="139">
        <v>41548.0</v>
      </c>
      <c r="AZ9" s="139">
        <v>41579.0</v>
      </c>
      <c r="BA9" s="139">
        <v>41609.0</v>
      </c>
      <c r="BB9" s="139">
        <v>41640.0</v>
      </c>
      <c r="BC9" s="139">
        <v>41671.0</v>
      </c>
      <c r="BD9" s="139">
        <v>41699.0</v>
      </c>
      <c r="BE9" s="139">
        <v>41730.0</v>
      </c>
      <c r="BF9" s="139">
        <v>41760.0</v>
      </c>
      <c r="BG9" s="139">
        <v>41791.0</v>
      </c>
      <c r="BH9" s="139">
        <v>41821.0</v>
      </c>
      <c r="BI9" s="139">
        <v>41852.0</v>
      </c>
      <c r="BJ9" s="139">
        <v>41883.0</v>
      </c>
      <c r="BK9" s="139">
        <v>41913.0</v>
      </c>
      <c r="BL9" s="139">
        <v>41944.0</v>
      </c>
      <c r="BM9" s="139">
        <v>41974.0</v>
      </c>
      <c r="BN9" s="139">
        <v>42005.0</v>
      </c>
      <c r="BO9" s="139">
        <v>42036.0</v>
      </c>
      <c r="BP9" s="139">
        <v>42064.0</v>
      </c>
      <c r="BQ9" s="139">
        <v>42095.0</v>
      </c>
      <c r="BR9" s="139">
        <v>42125.0</v>
      </c>
      <c r="BS9" s="139">
        <v>42156.0</v>
      </c>
      <c r="BT9" s="139">
        <v>42186.0</v>
      </c>
      <c r="BU9" s="139">
        <v>42217.0</v>
      </c>
      <c r="BV9" s="139">
        <v>42248.0</v>
      </c>
      <c r="BW9" s="139">
        <v>42278.0</v>
      </c>
      <c r="BX9" s="139">
        <v>42309.0</v>
      </c>
      <c r="BY9" s="139">
        <v>42339.0</v>
      </c>
      <c r="BZ9" s="139">
        <v>42370.0</v>
      </c>
      <c r="CA9" s="139">
        <v>42401.0</v>
      </c>
      <c r="CB9" s="139">
        <v>42430.0</v>
      </c>
      <c r="CC9" s="139">
        <v>42461.0</v>
      </c>
      <c r="CD9" s="139">
        <v>42491.0</v>
      </c>
      <c r="CE9" s="139">
        <v>42522.0</v>
      </c>
      <c r="CF9" s="139">
        <v>42552.0</v>
      </c>
      <c r="CG9" s="139">
        <v>42583.0</v>
      </c>
      <c r="CH9" s="139">
        <v>42614.0</v>
      </c>
      <c r="CI9" s="139">
        <v>42644.0</v>
      </c>
      <c r="CJ9" s="139">
        <v>42675.0</v>
      </c>
      <c r="CK9" s="139">
        <v>42705.0</v>
      </c>
      <c r="CL9" s="139">
        <v>42736.0</v>
      </c>
      <c r="CM9" s="139">
        <v>42767.0</v>
      </c>
      <c r="CN9" s="139">
        <v>42795.0</v>
      </c>
      <c r="CO9" s="139">
        <v>42826.0</v>
      </c>
      <c r="CP9" s="139">
        <v>42856.0</v>
      </c>
      <c r="CQ9" s="139">
        <v>42887.0</v>
      </c>
      <c r="CR9" s="139">
        <v>42917.0</v>
      </c>
      <c r="CS9" s="139">
        <v>42948.0</v>
      </c>
      <c r="CT9" s="139">
        <v>42979.0</v>
      </c>
      <c r="CU9" s="139">
        <v>43009.0</v>
      </c>
      <c r="CV9" s="139">
        <v>43040.0</v>
      </c>
      <c r="CW9" s="139">
        <v>43070.0</v>
      </c>
      <c r="CX9" s="139">
        <v>43101.0</v>
      </c>
      <c r="CY9" s="139">
        <v>43132.0</v>
      </c>
      <c r="CZ9" s="139">
        <v>43160.0</v>
      </c>
      <c r="DA9" s="139">
        <v>43191.0</v>
      </c>
      <c r="DB9" s="139">
        <v>43221.0</v>
      </c>
      <c r="DC9" s="139">
        <v>43252.0</v>
      </c>
      <c r="DD9" s="139">
        <v>43282.0</v>
      </c>
      <c r="DE9" s="139">
        <v>43313.0</v>
      </c>
      <c r="DF9" s="139">
        <v>43344.0</v>
      </c>
      <c r="DG9" s="139">
        <v>43374.0</v>
      </c>
      <c r="DH9" s="139">
        <v>43405.0</v>
      </c>
      <c r="DI9" s="139">
        <v>43435.0</v>
      </c>
      <c r="DJ9" s="139">
        <v>43466.0</v>
      </c>
      <c r="DK9" s="139">
        <v>43497.0</v>
      </c>
      <c r="DL9" s="139">
        <v>43525.0</v>
      </c>
      <c r="DM9" s="139">
        <v>43556.0</v>
      </c>
      <c r="DN9" s="139">
        <v>43586.0</v>
      </c>
      <c r="DO9" s="139">
        <v>43617.0</v>
      </c>
      <c r="DP9" s="139">
        <v>43647.0</v>
      </c>
      <c r="DQ9" s="139">
        <v>43678.0</v>
      </c>
      <c r="DR9" s="139">
        <v>43709.0</v>
      </c>
      <c r="DS9" s="139">
        <v>43739.0</v>
      </c>
      <c r="DT9" s="139">
        <v>43770.0</v>
      </c>
      <c r="DU9" s="139">
        <v>43800.0</v>
      </c>
      <c r="DV9" s="139">
        <v>43831.0</v>
      </c>
      <c r="DW9" s="139">
        <v>43862.0</v>
      </c>
      <c r="DX9" s="139">
        <v>43891.0</v>
      </c>
      <c r="DY9" s="139">
        <v>43922.0</v>
      </c>
      <c r="DZ9" s="139">
        <v>43952.0</v>
      </c>
      <c r="EA9" s="139">
        <v>43983.0</v>
      </c>
      <c r="EB9" s="139">
        <v>44013.0</v>
      </c>
      <c r="EC9" s="139">
        <v>44044.0</v>
      </c>
      <c r="ED9" s="139">
        <v>44075.0</v>
      </c>
      <c r="EE9" s="139">
        <v>44105.0</v>
      </c>
      <c r="EF9" s="139">
        <v>44136.0</v>
      </c>
      <c r="EG9" s="139">
        <v>44166.0</v>
      </c>
      <c r="EH9" s="139">
        <v>44197.0</v>
      </c>
      <c r="EI9" s="139">
        <v>44228.0</v>
      </c>
      <c r="EJ9" s="139">
        <v>44256.0</v>
      </c>
      <c r="EK9" s="139">
        <v>44287.0</v>
      </c>
      <c r="EL9" s="139">
        <v>44317.0</v>
      </c>
      <c r="EM9" s="139">
        <v>44348.0</v>
      </c>
      <c r="EN9" s="139">
        <v>44378.0</v>
      </c>
      <c r="EO9" s="139">
        <v>44409.0</v>
      </c>
      <c r="EP9" s="139">
        <v>44440.0</v>
      </c>
      <c r="EQ9" s="139">
        <v>44470.0</v>
      </c>
      <c r="ER9" s="139">
        <v>44501.0</v>
      </c>
      <c r="ES9" s="139">
        <v>44531.0</v>
      </c>
      <c r="ET9" s="139">
        <v>44562.0</v>
      </c>
      <c r="EU9" s="139">
        <v>44593.0</v>
      </c>
      <c r="EV9" s="139">
        <v>44621.0</v>
      </c>
      <c r="EW9" s="139">
        <v>44652.0</v>
      </c>
      <c r="EX9" s="139">
        <v>44682.0</v>
      </c>
      <c r="EY9" s="139">
        <v>44713.0</v>
      </c>
      <c r="EZ9" s="139">
        <v>44743.0</v>
      </c>
      <c r="FA9" s="139">
        <v>44774.0</v>
      </c>
      <c r="FB9" s="139">
        <v>44805.0</v>
      </c>
      <c r="FC9" s="139">
        <v>44835.0</v>
      </c>
      <c r="FD9" s="139">
        <v>44866.0</v>
      </c>
      <c r="FE9" s="139">
        <v>44896.0</v>
      </c>
      <c r="FF9" s="139">
        <v>44927.0</v>
      </c>
      <c r="FG9" s="139">
        <v>44958.0</v>
      </c>
      <c r="FH9" s="139">
        <v>44986.0</v>
      </c>
      <c r="FI9" s="139">
        <v>45017.0</v>
      </c>
      <c r="FJ9" s="139">
        <v>45047.0</v>
      </c>
      <c r="FK9" s="139">
        <v>45078.0</v>
      </c>
      <c r="FL9" s="139">
        <v>45108.0</v>
      </c>
      <c r="FM9" s="139">
        <v>45139.0</v>
      </c>
      <c r="FN9" s="139">
        <v>45170.0</v>
      </c>
      <c r="FO9" s="139">
        <v>45200.0</v>
      </c>
      <c r="FP9" s="139">
        <v>45231.0</v>
      </c>
      <c r="FQ9" s="139">
        <v>45261.0</v>
      </c>
      <c r="FR9" s="139">
        <v>45292.0</v>
      </c>
      <c r="FS9" s="139">
        <v>45323.0</v>
      </c>
      <c r="FT9" s="139">
        <v>45352.0</v>
      </c>
      <c r="FU9" s="139">
        <v>45383.0</v>
      </c>
      <c r="FV9" s="139">
        <v>45413.0</v>
      </c>
      <c r="FW9" s="139">
        <v>45444.0</v>
      </c>
      <c r="FX9" s="139">
        <v>45474.0</v>
      </c>
      <c r="FY9" s="139">
        <v>45505.0</v>
      </c>
      <c r="FZ9" s="139">
        <v>45536.0</v>
      </c>
      <c r="GA9" s="139">
        <v>45566.0</v>
      </c>
      <c r="GB9" s="139">
        <v>45597.0</v>
      </c>
      <c r="GC9" s="139">
        <v>45627.0</v>
      </c>
      <c r="GD9" s="139">
        <v>45658.0</v>
      </c>
      <c r="GE9" s="139">
        <v>45689.0</v>
      </c>
      <c r="GF9" s="139">
        <v>45717.0</v>
      </c>
      <c r="GG9" s="139">
        <v>45748.0</v>
      </c>
      <c r="GH9" s="139">
        <v>45778.0</v>
      </c>
      <c r="GI9" s="139">
        <v>45809.0</v>
      </c>
      <c r="GJ9" s="139">
        <v>45839.0</v>
      </c>
    </row>
    <row r="10">
      <c r="A10" s="133" t="s">
        <v>1854</v>
      </c>
      <c r="B10" s="134">
        <v>41015.88518518519</v>
      </c>
      <c r="C10" s="135" t="str">
        <f t="shared" si="1"/>
        <v>2012/04/16</v>
      </c>
      <c r="D10" s="136" t="s">
        <v>34245</v>
      </c>
      <c r="E10" s="151">
        <v>0.0</v>
      </c>
      <c r="F10" s="138">
        <v>40179.0</v>
      </c>
      <c r="G10" s="138">
        <v>40210.0</v>
      </c>
      <c r="H10" s="138">
        <v>40238.0</v>
      </c>
      <c r="I10" s="138">
        <v>40269.0</v>
      </c>
      <c r="J10" s="138">
        <v>40299.0</v>
      </c>
      <c r="K10" s="138">
        <v>40330.0</v>
      </c>
      <c r="L10" s="138">
        <v>40360.0</v>
      </c>
      <c r="M10" s="138">
        <v>40391.0</v>
      </c>
      <c r="N10" s="138">
        <v>40422.0</v>
      </c>
      <c r="O10" s="138">
        <v>40452.0</v>
      </c>
      <c r="P10" s="138">
        <v>40483.0</v>
      </c>
      <c r="Q10" s="138">
        <v>40513.0</v>
      </c>
      <c r="R10" s="138">
        <v>40544.0</v>
      </c>
      <c r="S10" s="138">
        <v>40575.0</v>
      </c>
      <c r="T10" s="138">
        <v>40603.0</v>
      </c>
      <c r="U10" s="138">
        <v>40634.0</v>
      </c>
      <c r="V10" s="138">
        <v>40664.0</v>
      </c>
      <c r="W10" s="138">
        <v>40695.0</v>
      </c>
      <c r="X10" s="138">
        <v>40725.0</v>
      </c>
      <c r="Y10" s="138">
        <v>40756.0</v>
      </c>
      <c r="Z10" s="138">
        <v>40787.0</v>
      </c>
      <c r="AA10" s="138">
        <v>40817.0</v>
      </c>
      <c r="AB10" s="138">
        <v>40848.0</v>
      </c>
      <c r="AC10" s="138">
        <v>40878.0</v>
      </c>
      <c r="AD10" s="138">
        <v>40909.0</v>
      </c>
      <c r="AE10" s="138">
        <v>40940.0</v>
      </c>
      <c r="AF10" s="138">
        <v>40969.0</v>
      </c>
      <c r="AG10" s="138">
        <v>41000.0</v>
      </c>
      <c r="AH10" s="139">
        <v>41030.0</v>
      </c>
      <c r="AI10" s="139">
        <v>41061.0</v>
      </c>
      <c r="AJ10" s="139">
        <v>41091.0</v>
      </c>
      <c r="AK10" s="139">
        <v>41122.0</v>
      </c>
      <c r="AL10" s="139">
        <v>41153.0</v>
      </c>
      <c r="AM10" s="139">
        <v>41183.0</v>
      </c>
      <c r="AN10" s="139">
        <v>41214.0</v>
      </c>
      <c r="AO10" s="139">
        <v>41244.0</v>
      </c>
      <c r="AP10" s="139">
        <v>41275.0</v>
      </c>
      <c r="AQ10" s="139">
        <v>41306.0</v>
      </c>
      <c r="AR10" s="139">
        <v>41334.0</v>
      </c>
      <c r="AS10" s="139">
        <v>41365.0</v>
      </c>
      <c r="AT10" s="139">
        <v>41395.0</v>
      </c>
      <c r="AU10" s="139">
        <v>41426.0</v>
      </c>
      <c r="AV10" s="139">
        <v>41456.0</v>
      </c>
      <c r="AW10" s="139">
        <v>41487.0</v>
      </c>
      <c r="AX10" s="139">
        <v>41518.0</v>
      </c>
      <c r="AY10" s="139">
        <v>41548.0</v>
      </c>
      <c r="AZ10" s="139">
        <v>41579.0</v>
      </c>
      <c r="BA10" s="139">
        <v>41609.0</v>
      </c>
      <c r="BB10" s="139">
        <v>41640.0</v>
      </c>
      <c r="BC10" s="139">
        <v>41671.0</v>
      </c>
      <c r="BD10" s="139">
        <v>41699.0</v>
      </c>
      <c r="BE10" s="139">
        <v>41730.0</v>
      </c>
      <c r="BF10" s="139">
        <v>41760.0</v>
      </c>
      <c r="BG10" s="139">
        <v>41791.0</v>
      </c>
      <c r="BH10" s="139">
        <v>41821.0</v>
      </c>
      <c r="BI10" s="139">
        <v>41852.0</v>
      </c>
      <c r="BJ10" s="139">
        <v>41883.0</v>
      </c>
      <c r="BK10" s="139">
        <v>41913.0</v>
      </c>
      <c r="BL10" s="139">
        <v>41944.0</v>
      </c>
      <c r="BM10" s="139">
        <v>41974.0</v>
      </c>
      <c r="BN10" s="139">
        <v>42005.0</v>
      </c>
      <c r="BO10" s="139">
        <v>42036.0</v>
      </c>
      <c r="BP10" s="139">
        <v>42064.0</v>
      </c>
      <c r="BQ10" s="139">
        <v>42095.0</v>
      </c>
      <c r="BR10" s="139">
        <v>42125.0</v>
      </c>
      <c r="BS10" s="139">
        <v>42156.0</v>
      </c>
      <c r="BT10" s="139">
        <v>42186.0</v>
      </c>
      <c r="BU10" s="139">
        <v>42217.0</v>
      </c>
      <c r="BV10" s="139">
        <v>42248.0</v>
      </c>
      <c r="BW10" s="139">
        <v>42278.0</v>
      </c>
      <c r="BX10" s="139">
        <v>42309.0</v>
      </c>
      <c r="BY10" s="139">
        <v>42339.0</v>
      </c>
      <c r="BZ10" s="139">
        <v>42370.0</v>
      </c>
      <c r="CA10" s="139">
        <v>42401.0</v>
      </c>
      <c r="CB10" s="139">
        <v>42430.0</v>
      </c>
      <c r="CC10" s="139">
        <v>42461.0</v>
      </c>
      <c r="CD10" s="139">
        <v>42491.0</v>
      </c>
      <c r="CE10" s="139">
        <v>42522.0</v>
      </c>
      <c r="CF10" s="139">
        <v>42552.0</v>
      </c>
      <c r="CG10" s="139">
        <v>42583.0</v>
      </c>
      <c r="CH10" s="139">
        <v>42614.0</v>
      </c>
      <c r="CI10" s="139">
        <v>42644.0</v>
      </c>
      <c r="CJ10" s="139">
        <v>42675.0</v>
      </c>
      <c r="CK10" s="139">
        <v>42705.0</v>
      </c>
      <c r="CL10" s="139">
        <v>42736.0</v>
      </c>
      <c r="CM10" s="139">
        <v>42767.0</v>
      </c>
      <c r="CN10" s="139">
        <v>42795.0</v>
      </c>
      <c r="CO10" s="139">
        <v>42826.0</v>
      </c>
      <c r="CP10" s="139">
        <v>42856.0</v>
      </c>
      <c r="CQ10" s="139">
        <v>42887.0</v>
      </c>
      <c r="CR10" s="139">
        <v>42917.0</v>
      </c>
      <c r="CS10" s="139">
        <v>42948.0</v>
      </c>
      <c r="CT10" s="139">
        <v>42979.0</v>
      </c>
      <c r="CU10" s="139">
        <v>43009.0</v>
      </c>
      <c r="CV10" s="139">
        <v>43040.0</v>
      </c>
      <c r="CW10" s="139">
        <v>43070.0</v>
      </c>
      <c r="CX10" s="139">
        <v>43101.0</v>
      </c>
      <c r="CY10" s="139">
        <v>43132.0</v>
      </c>
      <c r="CZ10" s="139">
        <v>43160.0</v>
      </c>
      <c r="DA10" s="139">
        <v>43191.0</v>
      </c>
      <c r="DB10" s="139">
        <v>43221.0</v>
      </c>
      <c r="DC10" s="139">
        <v>43252.0</v>
      </c>
      <c r="DD10" s="139">
        <v>43282.0</v>
      </c>
      <c r="DE10" s="139">
        <v>43313.0</v>
      </c>
      <c r="DF10" s="139">
        <v>43344.0</v>
      </c>
      <c r="DG10" s="139">
        <v>43374.0</v>
      </c>
      <c r="DH10" s="139">
        <v>43405.0</v>
      </c>
      <c r="DI10" s="139">
        <v>43435.0</v>
      </c>
      <c r="DJ10" s="139">
        <v>43466.0</v>
      </c>
      <c r="DK10" s="139">
        <v>43497.0</v>
      </c>
      <c r="DL10" s="139">
        <v>43525.0</v>
      </c>
      <c r="DM10" s="139">
        <v>43556.0</v>
      </c>
      <c r="DN10" s="139">
        <v>43586.0</v>
      </c>
      <c r="DO10" s="139">
        <v>43617.0</v>
      </c>
      <c r="DP10" s="139">
        <v>43647.0</v>
      </c>
      <c r="DQ10" s="139">
        <v>43678.0</v>
      </c>
      <c r="DR10" s="139">
        <v>43709.0</v>
      </c>
      <c r="DS10" s="139">
        <v>43739.0</v>
      </c>
      <c r="DT10" s="139">
        <v>43770.0</v>
      </c>
      <c r="DU10" s="139">
        <v>43800.0</v>
      </c>
      <c r="DV10" s="139">
        <v>43831.0</v>
      </c>
      <c r="DW10" s="139">
        <v>43862.0</v>
      </c>
      <c r="DX10" s="139">
        <v>43891.0</v>
      </c>
      <c r="DY10" s="139">
        <v>43922.0</v>
      </c>
      <c r="DZ10" s="139">
        <v>43952.0</v>
      </c>
      <c r="EA10" s="139">
        <v>43983.0</v>
      </c>
      <c r="EB10" s="139">
        <v>44013.0</v>
      </c>
      <c r="EC10" s="139">
        <v>44044.0</v>
      </c>
      <c r="ED10" s="139">
        <v>44075.0</v>
      </c>
      <c r="EE10" s="139">
        <v>44105.0</v>
      </c>
      <c r="EF10" s="139">
        <v>44136.0</v>
      </c>
      <c r="EG10" s="139">
        <v>44166.0</v>
      </c>
      <c r="EH10" s="139">
        <v>44197.0</v>
      </c>
      <c r="EI10" s="139">
        <v>44228.0</v>
      </c>
      <c r="EJ10" s="139">
        <v>44256.0</v>
      </c>
      <c r="EK10" s="139">
        <v>44287.0</v>
      </c>
      <c r="EL10" s="139">
        <v>44317.0</v>
      </c>
      <c r="EM10" s="139">
        <v>44348.0</v>
      </c>
      <c r="EN10" s="139">
        <v>44378.0</v>
      </c>
      <c r="EO10" s="139">
        <v>44409.0</v>
      </c>
      <c r="EP10" s="139">
        <v>44440.0</v>
      </c>
      <c r="EQ10" s="139">
        <v>44470.0</v>
      </c>
      <c r="ER10" s="139">
        <v>44501.0</v>
      </c>
      <c r="ES10" s="139">
        <v>44531.0</v>
      </c>
      <c r="ET10" s="139">
        <v>44562.0</v>
      </c>
      <c r="EU10" s="139">
        <v>44593.0</v>
      </c>
      <c r="EV10" s="139">
        <v>44621.0</v>
      </c>
      <c r="EW10" s="139">
        <v>44652.0</v>
      </c>
      <c r="EX10" s="139">
        <v>44682.0</v>
      </c>
      <c r="EY10" s="139">
        <v>44713.0</v>
      </c>
      <c r="EZ10" s="139">
        <v>44743.0</v>
      </c>
      <c r="FA10" s="139">
        <v>44774.0</v>
      </c>
      <c r="FB10" s="139">
        <v>44805.0</v>
      </c>
      <c r="FC10" s="139">
        <v>44835.0</v>
      </c>
      <c r="FD10" s="139">
        <v>44866.0</v>
      </c>
      <c r="FE10" s="139">
        <v>44896.0</v>
      </c>
      <c r="FF10" s="139">
        <v>44927.0</v>
      </c>
      <c r="FG10" s="139">
        <v>44958.0</v>
      </c>
      <c r="FH10" s="139">
        <v>44986.0</v>
      </c>
      <c r="FI10" s="139">
        <v>45017.0</v>
      </c>
      <c r="FJ10" s="139">
        <v>45047.0</v>
      </c>
      <c r="FK10" s="139">
        <v>45078.0</v>
      </c>
      <c r="FL10" s="139">
        <v>45108.0</v>
      </c>
      <c r="FM10" s="139">
        <v>45139.0</v>
      </c>
      <c r="FN10" s="139">
        <v>45170.0</v>
      </c>
      <c r="FO10" s="139">
        <v>45200.0</v>
      </c>
      <c r="FP10" s="139">
        <v>45231.0</v>
      </c>
      <c r="FQ10" s="139">
        <v>45261.0</v>
      </c>
      <c r="FR10" s="139">
        <v>45292.0</v>
      </c>
      <c r="FS10" s="139">
        <v>45323.0</v>
      </c>
      <c r="FT10" s="139">
        <v>45352.0</v>
      </c>
      <c r="FU10" s="139">
        <v>45383.0</v>
      </c>
      <c r="FV10" s="139">
        <v>45413.0</v>
      </c>
      <c r="FW10" s="139">
        <v>45444.0</v>
      </c>
      <c r="FX10" s="139">
        <v>45474.0</v>
      </c>
      <c r="FY10" s="139">
        <v>45505.0</v>
      </c>
      <c r="FZ10" s="139">
        <v>45536.0</v>
      </c>
      <c r="GA10" s="139">
        <v>45566.0</v>
      </c>
      <c r="GB10" s="139">
        <v>45597.0</v>
      </c>
      <c r="GC10" s="139">
        <v>45627.0</v>
      </c>
      <c r="GD10" s="139">
        <v>45658.0</v>
      </c>
      <c r="GE10" s="139">
        <v>45689.0</v>
      </c>
      <c r="GF10" s="139">
        <v>45717.0</v>
      </c>
      <c r="GG10" s="139">
        <v>45748.0</v>
      </c>
      <c r="GH10" s="139">
        <v>45778.0</v>
      </c>
      <c r="GI10" s="139">
        <v>45809.0</v>
      </c>
      <c r="GJ10" s="139">
        <v>45839.0</v>
      </c>
    </row>
    <row r="11">
      <c r="A11" s="133" t="s">
        <v>1603</v>
      </c>
      <c r="B11" s="134">
        <v>41018.73775462963</v>
      </c>
      <c r="C11" s="135" t="str">
        <f t="shared" si="1"/>
        <v>2012/04/19</v>
      </c>
      <c r="D11" s="136" t="s">
        <v>34246</v>
      </c>
      <c r="E11" s="151">
        <v>0.0</v>
      </c>
      <c r="F11" s="138">
        <v>40179.0</v>
      </c>
      <c r="G11" s="138">
        <v>40210.0</v>
      </c>
      <c r="H11" s="138">
        <v>40238.0</v>
      </c>
      <c r="I11" s="138">
        <v>40269.0</v>
      </c>
      <c r="J11" s="138">
        <v>40299.0</v>
      </c>
      <c r="K11" s="138">
        <v>40330.0</v>
      </c>
      <c r="L11" s="138">
        <v>40360.0</v>
      </c>
      <c r="M11" s="138">
        <v>40391.0</v>
      </c>
      <c r="N11" s="138">
        <v>40422.0</v>
      </c>
      <c r="O11" s="138">
        <v>40452.0</v>
      </c>
      <c r="P11" s="138">
        <v>40483.0</v>
      </c>
      <c r="Q11" s="138">
        <v>40513.0</v>
      </c>
      <c r="R11" s="138">
        <v>40544.0</v>
      </c>
      <c r="S11" s="138">
        <v>40575.0</v>
      </c>
      <c r="T11" s="138">
        <v>40603.0</v>
      </c>
      <c r="U11" s="138">
        <v>40634.0</v>
      </c>
      <c r="V11" s="138">
        <v>40664.0</v>
      </c>
      <c r="W11" s="138">
        <v>40695.0</v>
      </c>
      <c r="X11" s="138">
        <v>40725.0</v>
      </c>
      <c r="Y11" s="138">
        <v>40756.0</v>
      </c>
      <c r="Z11" s="138">
        <v>40787.0</v>
      </c>
      <c r="AA11" s="138">
        <v>40817.0</v>
      </c>
      <c r="AB11" s="138">
        <v>40848.0</v>
      </c>
      <c r="AC11" s="138">
        <v>40878.0</v>
      </c>
      <c r="AD11" s="138">
        <v>40909.0</v>
      </c>
      <c r="AE11" s="138">
        <v>40940.0</v>
      </c>
      <c r="AF11" s="138">
        <v>40969.0</v>
      </c>
      <c r="AG11" s="138">
        <v>41000.0</v>
      </c>
      <c r="AH11" s="139">
        <v>41030.0</v>
      </c>
      <c r="AI11" s="139">
        <v>41061.0</v>
      </c>
      <c r="AJ11" s="139">
        <v>41091.0</v>
      </c>
      <c r="AK11" s="139">
        <v>41122.0</v>
      </c>
      <c r="AL11" s="139">
        <v>41153.0</v>
      </c>
      <c r="AM11" s="139">
        <v>41183.0</v>
      </c>
      <c r="AN11" s="139">
        <v>41214.0</v>
      </c>
      <c r="AO11" s="139">
        <v>41244.0</v>
      </c>
      <c r="AP11" s="139">
        <v>41275.0</v>
      </c>
      <c r="AQ11" s="139">
        <v>41306.0</v>
      </c>
      <c r="AR11" s="139">
        <v>41334.0</v>
      </c>
      <c r="AS11" s="139">
        <v>41365.0</v>
      </c>
      <c r="AT11" s="139">
        <v>41395.0</v>
      </c>
      <c r="AU11" s="139">
        <v>41426.0</v>
      </c>
      <c r="AV11" s="139">
        <v>41456.0</v>
      </c>
      <c r="AW11" s="139">
        <v>41487.0</v>
      </c>
      <c r="AX11" s="139">
        <v>41518.0</v>
      </c>
      <c r="AY11" s="139">
        <v>41548.0</v>
      </c>
      <c r="AZ11" s="139">
        <v>41579.0</v>
      </c>
      <c r="BA11" s="139">
        <v>41609.0</v>
      </c>
      <c r="BB11" s="139">
        <v>41640.0</v>
      </c>
      <c r="BC11" s="139">
        <v>41671.0</v>
      </c>
      <c r="BD11" s="139">
        <v>41699.0</v>
      </c>
      <c r="BE11" s="139">
        <v>41730.0</v>
      </c>
      <c r="BF11" s="139">
        <v>41760.0</v>
      </c>
      <c r="BG11" s="139">
        <v>41791.0</v>
      </c>
      <c r="BH11" s="139">
        <v>41821.0</v>
      </c>
      <c r="BI11" s="139">
        <v>41852.0</v>
      </c>
      <c r="BJ11" s="139">
        <v>41883.0</v>
      </c>
      <c r="BK11" s="139">
        <v>41913.0</v>
      </c>
      <c r="BL11" s="139">
        <v>41944.0</v>
      </c>
      <c r="BM11" s="139">
        <v>41974.0</v>
      </c>
      <c r="BN11" s="139">
        <v>42005.0</v>
      </c>
      <c r="BO11" s="139">
        <v>42036.0</v>
      </c>
      <c r="BP11" s="139">
        <v>42064.0</v>
      </c>
      <c r="BQ11" s="139">
        <v>42095.0</v>
      </c>
      <c r="BR11" s="139">
        <v>42125.0</v>
      </c>
      <c r="BS11" s="139">
        <v>42156.0</v>
      </c>
      <c r="BT11" s="139">
        <v>42186.0</v>
      </c>
      <c r="BU11" s="139">
        <v>42217.0</v>
      </c>
      <c r="BV11" s="139">
        <v>42248.0</v>
      </c>
      <c r="BW11" s="139">
        <v>42278.0</v>
      </c>
      <c r="BX11" s="139">
        <v>42309.0</v>
      </c>
      <c r="BY11" s="139">
        <v>42339.0</v>
      </c>
      <c r="BZ11" s="139">
        <v>42370.0</v>
      </c>
      <c r="CA11" s="139">
        <v>42401.0</v>
      </c>
      <c r="CB11" s="139">
        <v>42430.0</v>
      </c>
      <c r="CC11" s="139">
        <v>42461.0</v>
      </c>
      <c r="CD11" s="139">
        <v>42491.0</v>
      </c>
      <c r="CE11" s="139">
        <v>42522.0</v>
      </c>
      <c r="CF11" s="139">
        <v>42552.0</v>
      </c>
      <c r="CG11" s="139">
        <v>42583.0</v>
      </c>
      <c r="CH11" s="139">
        <v>42614.0</v>
      </c>
      <c r="CI11" s="139">
        <v>42644.0</v>
      </c>
      <c r="CJ11" s="139">
        <v>42675.0</v>
      </c>
      <c r="CK11" s="139">
        <v>42705.0</v>
      </c>
      <c r="CL11" s="139">
        <v>42736.0</v>
      </c>
      <c r="CM11" s="139">
        <v>42767.0</v>
      </c>
      <c r="CN11" s="139">
        <v>42795.0</v>
      </c>
      <c r="CO11" s="139">
        <v>42826.0</v>
      </c>
      <c r="CP11" s="139">
        <v>42856.0</v>
      </c>
      <c r="CQ11" s="139">
        <v>42887.0</v>
      </c>
      <c r="CR11" s="139">
        <v>42917.0</v>
      </c>
      <c r="CS11" s="139">
        <v>42948.0</v>
      </c>
      <c r="CT11" s="139">
        <v>42979.0</v>
      </c>
      <c r="CU11" s="139">
        <v>43009.0</v>
      </c>
      <c r="CV11" s="139">
        <v>43040.0</v>
      </c>
      <c r="CW11" s="139">
        <v>43070.0</v>
      </c>
      <c r="CX11" s="139">
        <v>43101.0</v>
      </c>
      <c r="CY11" s="139">
        <v>43132.0</v>
      </c>
      <c r="CZ11" s="139">
        <v>43160.0</v>
      </c>
      <c r="DA11" s="139">
        <v>43191.0</v>
      </c>
      <c r="DB11" s="139">
        <v>43221.0</v>
      </c>
      <c r="DC11" s="139">
        <v>43252.0</v>
      </c>
      <c r="DD11" s="139">
        <v>43282.0</v>
      </c>
      <c r="DE11" s="139">
        <v>43313.0</v>
      </c>
      <c r="DF11" s="139">
        <v>43344.0</v>
      </c>
      <c r="DG11" s="139">
        <v>43374.0</v>
      </c>
      <c r="DH11" s="139">
        <v>43405.0</v>
      </c>
      <c r="DI11" s="139">
        <v>43435.0</v>
      </c>
      <c r="DJ11" s="139">
        <v>43466.0</v>
      </c>
      <c r="DK11" s="139">
        <v>43497.0</v>
      </c>
      <c r="DL11" s="139">
        <v>43525.0</v>
      </c>
      <c r="DM11" s="139">
        <v>43556.0</v>
      </c>
      <c r="DN11" s="139">
        <v>43586.0</v>
      </c>
      <c r="DO11" s="139">
        <v>43617.0</v>
      </c>
      <c r="DP11" s="139">
        <v>43647.0</v>
      </c>
      <c r="DQ11" s="139">
        <v>43678.0</v>
      </c>
      <c r="DR11" s="139">
        <v>43709.0</v>
      </c>
      <c r="DS11" s="139">
        <v>43739.0</v>
      </c>
      <c r="DT11" s="139">
        <v>43770.0</v>
      </c>
      <c r="DU11" s="139">
        <v>43800.0</v>
      </c>
      <c r="DV11" s="139">
        <v>43831.0</v>
      </c>
      <c r="DW11" s="139">
        <v>43862.0</v>
      </c>
      <c r="DX11" s="139">
        <v>43891.0</v>
      </c>
      <c r="DY11" s="139">
        <v>43922.0</v>
      </c>
      <c r="DZ11" s="139">
        <v>43952.0</v>
      </c>
      <c r="EA11" s="139">
        <v>43983.0</v>
      </c>
      <c r="EB11" s="139">
        <v>44013.0</v>
      </c>
      <c r="EC11" s="139">
        <v>44044.0</v>
      </c>
      <c r="ED11" s="139">
        <v>44075.0</v>
      </c>
      <c r="EE11" s="139">
        <v>44105.0</v>
      </c>
      <c r="EF11" s="139">
        <v>44136.0</v>
      </c>
      <c r="EG11" s="139">
        <v>44166.0</v>
      </c>
      <c r="EH11" s="139">
        <v>44197.0</v>
      </c>
      <c r="EI11" s="139">
        <v>44228.0</v>
      </c>
      <c r="EJ11" s="139">
        <v>44256.0</v>
      </c>
      <c r="EK11" s="139">
        <v>44287.0</v>
      </c>
      <c r="EL11" s="139">
        <v>44317.0</v>
      </c>
      <c r="EM11" s="139">
        <v>44348.0</v>
      </c>
      <c r="EN11" s="139">
        <v>44378.0</v>
      </c>
      <c r="EO11" s="139">
        <v>44409.0</v>
      </c>
      <c r="EP11" s="139">
        <v>44440.0</v>
      </c>
      <c r="EQ11" s="139">
        <v>44470.0</v>
      </c>
      <c r="ER11" s="139">
        <v>44501.0</v>
      </c>
      <c r="ES11" s="139">
        <v>44531.0</v>
      </c>
      <c r="ET11" s="139">
        <v>44562.0</v>
      </c>
      <c r="EU11" s="139">
        <v>44593.0</v>
      </c>
      <c r="EV11" s="139">
        <v>44621.0</v>
      </c>
      <c r="EW11" s="139">
        <v>44652.0</v>
      </c>
      <c r="EX11" s="139">
        <v>44682.0</v>
      </c>
      <c r="EY11" s="139">
        <v>44713.0</v>
      </c>
      <c r="EZ11" s="139">
        <v>44743.0</v>
      </c>
      <c r="FA11" s="139">
        <v>44774.0</v>
      </c>
      <c r="FB11" s="139">
        <v>44805.0</v>
      </c>
      <c r="FC11" s="139">
        <v>44835.0</v>
      </c>
      <c r="FD11" s="139">
        <v>44866.0</v>
      </c>
      <c r="FE11" s="139">
        <v>44896.0</v>
      </c>
      <c r="FF11" s="139">
        <v>44927.0</v>
      </c>
      <c r="FG11" s="139">
        <v>44958.0</v>
      </c>
      <c r="FH11" s="139">
        <v>44986.0</v>
      </c>
      <c r="FI11" s="139">
        <v>45017.0</v>
      </c>
      <c r="FJ11" s="139">
        <v>45047.0</v>
      </c>
      <c r="FK11" s="139">
        <v>45078.0</v>
      </c>
      <c r="FL11" s="139">
        <v>45108.0</v>
      </c>
      <c r="FM11" s="139">
        <v>45139.0</v>
      </c>
      <c r="FN11" s="139">
        <v>45170.0</v>
      </c>
      <c r="FO11" s="139">
        <v>45200.0</v>
      </c>
      <c r="FP11" s="139">
        <v>45231.0</v>
      </c>
      <c r="FQ11" s="139">
        <v>45261.0</v>
      </c>
      <c r="FR11" s="139">
        <v>45292.0</v>
      </c>
      <c r="FS11" s="139">
        <v>45323.0</v>
      </c>
      <c r="FT11" s="139">
        <v>45352.0</v>
      </c>
      <c r="FU11" s="139">
        <v>45383.0</v>
      </c>
      <c r="FV11" s="139">
        <v>45413.0</v>
      </c>
      <c r="FW11" s="139">
        <v>45444.0</v>
      </c>
      <c r="FX11" s="139">
        <v>45474.0</v>
      </c>
      <c r="FY11" s="139">
        <v>45505.0</v>
      </c>
      <c r="FZ11" s="139">
        <v>45536.0</v>
      </c>
      <c r="GA11" s="139">
        <v>45566.0</v>
      </c>
      <c r="GB11" s="139">
        <v>45597.0</v>
      </c>
      <c r="GC11" s="139">
        <v>45627.0</v>
      </c>
      <c r="GD11" s="139">
        <v>45658.0</v>
      </c>
      <c r="GE11" s="139">
        <v>45689.0</v>
      </c>
      <c r="GF11" s="139">
        <v>45717.0</v>
      </c>
      <c r="GG11" s="139">
        <v>45748.0</v>
      </c>
      <c r="GH11" s="139">
        <v>45778.0</v>
      </c>
      <c r="GI11" s="139">
        <v>45809.0</v>
      </c>
      <c r="GJ11" s="139">
        <v>45839.0</v>
      </c>
    </row>
    <row r="12">
      <c r="A12" s="133" t="s">
        <v>1689</v>
      </c>
      <c r="B12" s="134">
        <v>41067.603113425925</v>
      </c>
      <c r="C12" s="135" t="str">
        <f t="shared" si="1"/>
        <v>2012/06/07</v>
      </c>
      <c r="D12" s="136" t="s">
        <v>34247</v>
      </c>
      <c r="E12" s="151">
        <v>0.0</v>
      </c>
      <c r="F12" s="138">
        <v>40179.0</v>
      </c>
      <c r="G12" s="138">
        <v>40210.0</v>
      </c>
      <c r="H12" s="138">
        <v>40238.0</v>
      </c>
      <c r="I12" s="138">
        <v>40269.0</v>
      </c>
      <c r="J12" s="138">
        <v>40299.0</v>
      </c>
      <c r="K12" s="138">
        <v>40330.0</v>
      </c>
      <c r="L12" s="138">
        <v>40360.0</v>
      </c>
      <c r="M12" s="138">
        <v>40391.0</v>
      </c>
      <c r="N12" s="138">
        <v>40422.0</v>
      </c>
      <c r="O12" s="138">
        <v>40452.0</v>
      </c>
      <c r="P12" s="138">
        <v>40483.0</v>
      </c>
      <c r="Q12" s="138">
        <v>40513.0</v>
      </c>
      <c r="R12" s="138">
        <v>40544.0</v>
      </c>
      <c r="S12" s="138">
        <v>40575.0</v>
      </c>
      <c r="T12" s="138">
        <v>40603.0</v>
      </c>
      <c r="U12" s="138">
        <v>40634.0</v>
      </c>
      <c r="V12" s="138">
        <v>40664.0</v>
      </c>
      <c r="W12" s="138">
        <v>40695.0</v>
      </c>
      <c r="X12" s="138">
        <v>40725.0</v>
      </c>
      <c r="Y12" s="138">
        <v>40756.0</v>
      </c>
      <c r="Z12" s="138">
        <v>40787.0</v>
      </c>
      <c r="AA12" s="138">
        <v>40817.0</v>
      </c>
      <c r="AB12" s="138">
        <v>40848.0</v>
      </c>
      <c r="AC12" s="138">
        <v>40878.0</v>
      </c>
      <c r="AD12" s="138">
        <v>40909.0</v>
      </c>
      <c r="AE12" s="138">
        <v>40940.0</v>
      </c>
      <c r="AF12" s="138">
        <v>40969.0</v>
      </c>
      <c r="AG12" s="138">
        <v>41000.0</v>
      </c>
      <c r="AH12" s="138">
        <v>41030.0</v>
      </c>
      <c r="AI12" s="138">
        <v>41061.0</v>
      </c>
      <c r="AJ12" s="139">
        <v>41091.0</v>
      </c>
      <c r="AK12" s="139">
        <v>41122.0</v>
      </c>
      <c r="AL12" s="139">
        <v>41153.0</v>
      </c>
      <c r="AM12" s="139">
        <v>41183.0</v>
      </c>
      <c r="AN12" s="139">
        <v>41214.0</v>
      </c>
      <c r="AO12" s="139">
        <v>41244.0</v>
      </c>
      <c r="AP12" s="139">
        <v>41275.0</v>
      </c>
      <c r="AQ12" s="139">
        <v>41306.0</v>
      </c>
      <c r="AR12" s="139">
        <v>41334.0</v>
      </c>
      <c r="AS12" s="139">
        <v>41365.0</v>
      </c>
      <c r="AT12" s="139">
        <v>41395.0</v>
      </c>
      <c r="AU12" s="139">
        <v>41426.0</v>
      </c>
      <c r="AV12" s="139">
        <v>41456.0</v>
      </c>
      <c r="AW12" s="139">
        <v>41487.0</v>
      </c>
      <c r="AX12" s="139">
        <v>41518.0</v>
      </c>
      <c r="AY12" s="139">
        <v>41548.0</v>
      </c>
      <c r="AZ12" s="139">
        <v>41579.0</v>
      </c>
      <c r="BA12" s="139">
        <v>41609.0</v>
      </c>
      <c r="BB12" s="139">
        <v>41640.0</v>
      </c>
      <c r="BC12" s="139">
        <v>41671.0</v>
      </c>
      <c r="BD12" s="139">
        <v>41699.0</v>
      </c>
      <c r="BE12" s="139">
        <v>41730.0</v>
      </c>
      <c r="BF12" s="139">
        <v>41760.0</v>
      </c>
      <c r="BG12" s="139">
        <v>41791.0</v>
      </c>
      <c r="BH12" s="139">
        <v>41821.0</v>
      </c>
      <c r="BI12" s="139">
        <v>41852.0</v>
      </c>
      <c r="BJ12" s="139">
        <v>41883.0</v>
      </c>
      <c r="BK12" s="139">
        <v>41913.0</v>
      </c>
      <c r="BL12" s="139">
        <v>41944.0</v>
      </c>
      <c r="BM12" s="139">
        <v>41974.0</v>
      </c>
      <c r="BN12" s="139">
        <v>42005.0</v>
      </c>
      <c r="BO12" s="139">
        <v>42036.0</v>
      </c>
      <c r="BP12" s="139">
        <v>42064.0</v>
      </c>
      <c r="BQ12" s="139">
        <v>42095.0</v>
      </c>
      <c r="BR12" s="139">
        <v>42125.0</v>
      </c>
      <c r="BS12" s="139">
        <v>42156.0</v>
      </c>
      <c r="BT12" s="139">
        <v>42186.0</v>
      </c>
      <c r="BU12" s="139">
        <v>42217.0</v>
      </c>
      <c r="BV12" s="139">
        <v>42248.0</v>
      </c>
      <c r="BW12" s="139">
        <v>42278.0</v>
      </c>
      <c r="BX12" s="139">
        <v>42309.0</v>
      </c>
      <c r="BY12" s="139">
        <v>42339.0</v>
      </c>
      <c r="BZ12" s="139">
        <v>42370.0</v>
      </c>
      <c r="CA12" s="139">
        <v>42401.0</v>
      </c>
      <c r="CB12" s="139">
        <v>42430.0</v>
      </c>
      <c r="CC12" s="139">
        <v>42461.0</v>
      </c>
      <c r="CD12" s="139">
        <v>42491.0</v>
      </c>
      <c r="CE12" s="139">
        <v>42522.0</v>
      </c>
      <c r="CF12" s="139">
        <v>42552.0</v>
      </c>
      <c r="CG12" s="139">
        <v>42583.0</v>
      </c>
      <c r="CH12" s="139">
        <v>42614.0</v>
      </c>
      <c r="CI12" s="139">
        <v>42644.0</v>
      </c>
      <c r="CJ12" s="139">
        <v>42675.0</v>
      </c>
      <c r="CK12" s="139">
        <v>42705.0</v>
      </c>
      <c r="CL12" s="139">
        <v>42736.0</v>
      </c>
      <c r="CM12" s="139">
        <v>42767.0</v>
      </c>
      <c r="CN12" s="139">
        <v>42795.0</v>
      </c>
      <c r="CO12" s="139">
        <v>42826.0</v>
      </c>
      <c r="CP12" s="139">
        <v>42856.0</v>
      </c>
      <c r="CQ12" s="139">
        <v>42887.0</v>
      </c>
      <c r="CR12" s="139">
        <v>42917.0</v>
      </c>
      <c r="CS12" s="139">
        <v>42948.0</v>
      </c>
      <c r="CT12" s="139">
        <v>42979.0</v>
      </c>
      <c r="CU12" s="139">
        <v>43009.0</v>
      </c>
      <c r="CV12" s="139">
        <v>43040.0</v>
      </c>
      <c r="CW12" s="139">
        <v>43070.0</v>
      </c>
      <c r="CX12" s="139">
        <v>43101.0</v>
      </c>
      <c r="CY12" s="139">
        <v>43132.0</v>
      </c>
      <c r="CZ12" s="139">
        <v>43160.0</v>
      </c>
      <c r="DA12" s="139">
        <v>43191.0</v>
      </c>
      <c r="DB12" s="139">
        <v>43221.0</v>
      </c>
      <c r="DC12" s="139">
        <v>43252.0</v>
      </c>
      <c r="DD12" s="139">
        <v>43282.0</v>
      </c>
      <c r="DE12" s="139">
        <v>43313.0</v>
      </c>
      <c r="DF12" s="139">
        <v>43344.0</v>
      </c>
      <c r="DG12" s="139">
        <v>43374.0</v>
      </c>
      <c r="DH12" s="139">
        <v>43405.0</v>
      </c>
      <c r="DI12" s="139">
        <v>43435.0</v>
      </c>
      <c r="DJ12" s="139">
        <v>43466.0</v>
      </c>
      <c r="DK12" s="139">
        <v>43497.0</v>
      </c>
      <c r="DL12" s="139">
        <v>43525.0</v>
      </c>
      <c r="DM12" s="139">
        <v>43556.0</v>
      </c>
      <c r="DN12" s="139">
        <v>43586.0</v>
      </c>
      <c r="DO12" s="139">
        <v>43617.0</v>
      </c>
      <c r="DP12" s="139">
        <v>43647.0</v>
      </c>
      <c r="DQ12" s="139">
        <v>43678.0</v>
      </c>
      <c r="DR12" s="139">
        <v>43709.0</v>
      </c>
      <c r="DS12" s="139">
        <v>43739.0</v>
      </c>
      <c r="DT12" s="139">
        <v>43770.0</v>
      </c>
      <c r="DU12" s="139">
        <v>43800.0</v>
      </c>
      <c r="DV12" s="139">
        <v>43831.0</v>
      </c>
      <c r="DW12" s="139">
        <v>43862.0</v>
      </c>
      <c r="DX12" s="139">
        <v>43891.0</v>
      </c>
      <c r="DY12" s="139">
        <v>43922.0</v>
      </c>
      <c r="DZ12" s="139">
        <v>43952.0</v>
      </c>
      <c r="EA12" s="139">
        <v>43983.0</v>
      </c>
      <c r="EB12" s="139">
        <v>44013.0</v>
      </c>
      <c r="EC12" s="139">
        <v>44044.0</v>
      </c>
      <c r="ED12" s="139">
        <v>44075.0</v>
      </c>
      <c r="EE12" s="139">
        <v>44105.0</v>
      </c>
      <c r="EF12" s="139">
        <v>44136.0</v>
      </c>
      <c r="EG12" s="139">
        <v>44166.0</v>
      </c>
      <c r="EH12" s="139">
        <v>44197.0</v>
      </c>
      <c r="EI12" s="139">
        <v>44228.0</v>
      </c>
      <c r="EJ12" s="139">
        <v>44256.0</v>
      </c>
      <c r="EK12" s="139">
        <v>44287.0</v>
      </c>
      <c r="EL12" s="139">
        <v>44317.0</v>
      </c>
      <c r="EM12" s="139">
        <v>44348.0</v>
      </c>
      <c r="EN12" s="139">
        <v>44378.0</v>
      </c>
      <c r="EO12" s="139">
        <v>44409.0</v>
      </c>
      <c r="EP12" s="139">
        <v>44440.0</v>
      </c>
      <c r="EQ12" s="139">
        <v>44470.0</v>
      </c>
      <c r="ER12" s="139">
        <v>44501.0</v>
      </c>
      <c r="ES12" s="139">
        <v>44531.0</v>
      </c>
      <c r="ET12" s="139">
        <v>44562.0</v>
      </c>
      <c r="EU12" s="139">
        <v>44593.0</v>
      </c>
      <c r="EV12" s="139">
        <v>44621.0</v>
      </c>
      <c r="EW12" s="139">
        <v>44652.0</v>
      </c>
      <c r="EX12" s="139">
        <v>44682.0</v>
      </c>
      <c r="EY12" s="139">
        <v>44713.0</v>
      </c>
      <c r="EZ12" s="139">
        <v>44743.0</v>
      </c>
      <c r="FA12" s="139">
        <v>44774.0</v>
      </c>
      <c r="FB12" s="139">
        <v>44805.0</v>
      </c>
      <c r="FC12" s="139">
        <v>44835.0</v>
      </c>
      <c r="FD12" s="139">
        <v>44866.0</v>
      </c>
      <c r="FE12" s="139">
        <v>44896.0</v>
      </c>
      <c r="FF12" s="139">
        <v>44927.0</v>
      </c>
      <c r="FG12" s="139">
        <v>44958.0</v>
      </c>
      <c r="FH12" s="139">
        <v>44986.0</v>
      </c>
      <c r="FI12" s="139">
        <v>45017.0</v>
      </c>
      <c r="FJ12" s="139">
        <v>45047.0</v>
      </c>
      <c r="FK12" s="139">
        <v>45078.0</v>
      </c>
      <c r="FL12" s="139">
        <v>45108.0</v>
      </c>
      <c r="FM12" s="139">
        <v>45139.0</v>
      </c>
      <c r="FN12" s="139">
        <v>45170.0</v>
      </c>
      <c r="FO12" s="139">
        <v>45200.0</v>
      </c>
      <c r="FP12" s="139">
        <v>45231.0</v>
      </c>
      <c r="FQ12" s="139">
        <v>45261.0</v>
      </c>
      <c r="FR12" s="139">
        <v>45292.0</v>
      </c>
      <c r="FS12" s="139">
        <v>45323.0</v>
      </c>
      <c r="FT12" s="139">
        <v>45352.0</v>
      </c>
      <c r="FU12" s="139">
        <v>45383.0</v>
      </c>
      <c r="FV12" s="139">
        <v>45413.0</v>
      </c>
      <c r="FW12" s="139">
        <v>45444.0</v>
      </c>
      <c r="FX12" s="139">
        <v>45474.0</v>
      </c>
      <c r="FY12" s="139">
        <v>45505.0</v>
      </c>
      <c r="FZ12" s="139">
        <v>45536.0</v>
      </c>
      <c r="GA12" s="139">
        <v>45566.0</v>
      </c>
      <c r="GB12" s="139">
        <v>45597.0</v>
      </c>
      <c r="GC12" s="139">
        <v>45627.0</v>
      </c>
      <c r="GD12" s="139">
        <v>45658.0</v>
      </c>
      <c r="GE12" s="139">
        <v>45689.0</v>
      </c>
      <c r="GF12" s="139">
        <v>45717.0</v>
      </c>
      <c r="GG12" s="139">
        <v>45748.0</v>
      </c>
      <c r="GH12" s="139">
        <v>45778.0</v>
      </c>
      <c r="GI12" s="139">
        <v>45809.0</v>
      </c>
      <c r="GJ12" s="139">
        <v>45839.0</v>
      </c>
    </row>
    <row r="13">
      <c r="A13" s="133" t="s">
        <v>1409</v>
      </c>
      <c r="B13" s="134">
        <v>41235.73835648148</v>
      </c>
      <c r="C13" s="135" t="str">
        <f t="shared" si="1"/>
        <v>2012/11/22</v>
      </c>
      <c r="D13" s="136" t="s">
        <v>33916</v>
      </c>
      <c r="E13" s="151">
        <v>0.0</v>
      </c>
      <c r="F13" s="138">
        <v>40179.0</v>
      </c>
      <c r="G13" s="138">
        <v>40210.0</v>
      </c>
      <c r="H13" s="138">
        <v>40238.0</v>
      </c>
      <c r="I13" s="138">
        <v>40269.0</v>
      </c>
      <c r="J13" s="138">
        <v>40299.0</v>
      </c>
      <c r="K13" s="138">
        <v>40330.0</v>
      </c>
      <c r="L13" s="138">
        <v>40360.0</v>
      </c>
      <c r="M13" s="138">
        <v>40391.0</v>
      </c>
      <c r="N13" s="138">
        <v>40422.0</v>
      </c>
      <c r="O13" s="138">
        <v>40452.0</v>
      </c>
      <c r="P13" s="138">
        <v>40483.0</v>
      </c>
      <c r="Q13" s="138">
        <v>40513.0</v>
      </c>
      <c r="R13" s="138">
        <v>40544.0</v>
      </c>
      <c r="S13" s="138">
        <v>40575.0</v>
      </c>
      <c r="T13" s="138">
        <v>40603.0</v>
      </c>
      <c r="U13" s="138">
        <v>40634.0</v>
      </c>
      <c r="V13" s="138">
        <v>40664.0</v>
      </c>
      <c r="W13" s="138">
        <v>40695.0</v>
      </c>
      <c r="X13" s="138">
        <v>40725.0</v>
      </c>
      <c r="Y13" s="138">
        <v>40756.0</v>
      </c>
      <c r="Z13" s="138">
        <v>40787.0</v>
      </c>
      <c r="AA13" s="138">
        <v>40817.0</v>
      </c>
      <c r="AB13" s="138">
        <v>40848.0</v>
      </c>
      <c r="AC13" s="138">
        <v>40878.0</v>
      </c>
      <c r="AD13" s="138">
        <v>40909.0</v>
      </c>
      <c r="AE13" s="138">
        <v>40940.0</v>
      </c>
      <c r="AF13" s="138">
        <v>40969.0</v>
      </c>
      <c r="AG13" s="138">
        <v>41000.0</v>
      </c>
      <c r="AH13" s="138">
        <v>41030.0</v>
      </c>
      <c r="AI13" s="138">
        <v>41061.0</v>
      </c>
      <c r="AJ13" s="138">
        <v>41091.0</v>
      </c>
      <c r="AK13" s="138">
        <v>41122.0</v>
      </c>
      <c r="AL13" s="138">
        <v>41153.0</v>
      </c>
      <c r="AM13" s="138">
        <v>41183.0</v>
      </c>
      <c r="AN13" s="138">
        <v>41214.0</v>
      </c>
      <c r="AO13" s="139">
        <v>41244.0</v>
      </c>
      <c r="AP13" s="139">
        <v>41275.0</v>
      </c>
      <c r="AQ13" s="139">
        <v>41306.0</v>
      </c>
      <c r="AR13" s="139">
        <v>41334.0</v>
      </c>
      <c r="AS13" s="139">
        <v>41365.0</v>
      </c>
      <c r="AT13" s="139">
        <v>41395.0</v>
      </c>
      <c r="AU13" s="139">
        <v>41426.0</v>
      </c>
      <c r="AV13" s="139">
        <v>41456.0</v>
      </c>
      <c r="AW13" s="139">
        <v>41487.0</v>
      </c>
      <c r="AX13" s="139">
        <v>41518.0</v>
      </c>
      <c r="AY13" s="139">
        <v>41548.0</v>
      </c>
      <c r="AZ13" s="139">
        <v>41579.0</v>
      </c>
      <c r="BA13" s="139">
        <v>41609.0</v>
      </c>
      <c r="BB13" s="139">
        <v>41640.0</v>
      </c>
      <c r="BC13" s="139">
        <v>41671.0</v>
      </c>
      <c r="BD13" s="139">
        <v>41699.0</v>
      </c>
      <c r="BE13" s="139">
        <v>41730.0</v>
      </c>
      <c r="BF13" s="139">
        <v>41760.0</v>
      </c>
      <c r="BG13" s="139">
        <v>41791.0</v>
      </c>
      <c r="BH13" s="139">
        <v>41821.0</v>
      </c>
      <c r="BI13" s="139">
        <v>41852.0</v>
      </c>
      <c r="BJ13" s="139">
        <v>41883.0</v>
      </c>
      <c r="BK13" s="139">
        <v>41913.0</v>
      </c>
      <c r="BL13" s="139">
        <v>41944.0</v>
      </c>
      <c r="BM13" s="139">
        <v>41974.0</v>
      </c>
      <c r="BN13" s="139">
        <v>42005.0</v>
      </c>
      <c r="BO13" s="139">
        <v>42036.0</v>
      </c>
      <c r="BP13" s="139">
        <v>42064.0</v>
      </c>
      <c r="BQ13" s="139">
        <v>42095.0</v>
      </c>
      <c r="BR13" s="139">
        <v>42125.0</v>
      </c>
      <c r="BS13" s="139">
        <v>42156.0</v>
      </c>
      <c r="BT13" s="139">
        <v>42186.0</v>
      </c>
      <c r="BU13" s="139">
        <v>42217.0</v>
      </c>
      <c r="BV13" s="139">
        <v>42248.0</v>
      </c>
      <c r="BW13" s="139">
        <v>42278.0</v>
      </c>
      <c r="BX13" s="139">
        <v>42309.0</v>
      </c>
      <c r="BY13" s="139">
        <v>42339.0</v>
      </c>
      <c r="BZ13" s="139">
        <v>42370.0</v>
      </c>
      <c r="CA13" s="139">
        <v>42401.0</v>
      </c>
      <c r="CB13" s="139">
        <v>42430.0</v>
      </c>
      <c r="CC13" s="139">
        <v>42461.0</v>
      </c>
      <c r="CD13" s="139">
        <v>42491.0</v>
      </c>
      <c r="CE13" s="139">
        <v>42522.0</v>
      </c>
      <c r="CF13" s="139">
        <v>42552.0</v>
      </c>
      <c r="CG13" s="139">
        <v>42583.0</v>
      </c>
      <c r="CH13" s="139">
        <v>42614.0</v>
      </c>
      <c r="CI13" s="139">
        <v>42644.0</v>
      </c>
      <c r="CJ13" s="139">
        <v>42675.0</v>
      </c>
      <c r="CK13" s="139">
        <v>42705.0</v>
      </c>
      <c r="CL13" s="139">
        <v>42736.0</v>
      </c>
      <c r="CM13" s="139">
        <v>42767.0</v>
      </c>
      <c r="CN13" s="139">
        <v>42795.0</v>
      </c>
      <c r="CO13" s="139">
        <v>42826.0</v>
      </c>
      <c r="CP13" s="139">
        <v>42856.0</v>
      </c>
      <c r="CQ13" s="139">
        <v>42887.0</v>
      </c>
      <c r="CR13" s="139">
        <v>42917.0</v>
      </c>
      <c r="CS13" s="139">
        <v>42948.0</v>
      </c>
      <c r="CT13" s="139">
        <v>42979.0</v>
      </c>
      <c r="CU13" s="139">
        <v>43009.0</v>
      </c>
      <c r="CV13" s="139">
        <v>43040.0</v>
      </c>
      <c r="CW13" s="139">
        <v>43070.0</v>
      </c>
      <c r="CX13" s="139">
        <v>43101.0</v>
      </c>
      <c r="CY13" s="139">
        <v>43132.0</v>
      </c>
      <c r="CZ13" s="139">
        <v>43160.0</v>
      </c>
      <c r="DA13" s="139">
        <v>43191.0</v>
      </c>
      <c r="DB13" s="139">
        <v>43221.0</v>
      </c>
      <c r="DC13" s="139">
        <v>43252.0</v>
      </c>
      <c r="DD13" s="139">
        <v>43282.0</v>
      </c>
      <c r="DE13" s="139">
        <v>43313.0</v>
      </c>
      <c r="DF13" s="139">
        <v>43344.0</v>
      </c>
      <c r="DG13" s="139">
        <v>43374.0</v>
      </c>
      <c r="DH13" s="139">
        <v>43405.0</v>
      </c>
      <c r="DI13" s="139">
        <v>43435.0</v>
      </c>
      <c r="DJ13" s="139">
        <v>43466.0</v>
      </c>
      <c r="DK13" s="139">
        <v>43497.0</v>
      </c>
      <c r="DL13" s="139">
        <v>43525.0</v>
      </c>
      <c r="DM13" s="139">
        <v>43556.0</v>
      </c>
      <c r="DN13" s="139">
        <v>43586.0</v>
      </c>
      <c r="DO13" s="139">
        <v>43617.0</v>
      </c>
      <c r="DP13" s="139">
        <v>43647.0</v>
      </c>
      <c r="DQ13" s="139">
        <v>43678.0</v>
      </c>
      <c r="DR13" s="139">
        <v>43709.0</v>
      </c>
      <c r="DS13" s="139">
        <v>43739.0</v>
      </c>
      <c r="DT13" s="139">
        <v>43770.0</v>
      </c>
      <c r="DU13" s="139">
        <v>43800.0</v>
      </c>
      <c r="DV13" s="139">
        <v>43831.0</v>
      </c>
      <c r="DW13" s="139">
        <v>43862.0</v>
      </c>
      <c r="DX13" s="139">
        <v>43891.0</v>
      </c>
      <c r="DY13" s="139">
        <v>43922.0</v>
      </c>
      <c r="DZ13" s="139">
        <v>43952.0</v>
      </c>
      <c r="EA13" s="139">
        <v>43983.0</v>
      </c>
      <c r="EB13" s="139">
        <v>44013.0</v>
      </c>
      <c r="EC13" s="139">
        <v>44044.0</v>
      </c>
      <c r="ED13" s="139">
        <v>44075.0</v>
      </c>
      <c r="EE13" s="139">
        <v>44105.0</v>
      </c>
      <c r="EF13" s="139">
        <v>44136.0</v>
      </c>
      <c r="EG13" s="139">
        <v>44166.0</v>
      </c>
      <c r="EH13" s="139">
        <v>44197.0</v>
      </c>
      <c r="EI13" s="139">
        <v>44228.0</v>
      </c>
      <c r="EJ13" s="139">
        <v>44256.0</v>
      </c>
      <c r="EK13" s="139">
        <v>44287.0</v>
      </c>
      <c r="EL13" s="139">
        <v>44317.0</v>
      </c>
      <c r="EM13" s="139">
        <v>44348.0</v>
      </c>
      <c r="EN13" s="139">
        <v>44378.0</v>
      </c>
      <c r="EO13" s="139">
        <v>44409.0</v>
      </c>
      <c r="EP13" s="139">
        <v>44440.0</v>
      </c>
      <c r="EQ13" s="139">
        <v>44470.0</v>
      </c>
      <c r="ER13" s="139">
        <v>44501.0</v>
      </c>
      <c r="ES13" s="139">
        <v>44531.0</v>
      </c>
      <c r="ET13" s="139">
        <v>44562.0</v>
      </c>
      <c r="EU13" s="139">
        <v>44593.0</v>
      </c>
      <c r="EV13" s="139">
        <v>44621.0</v>
      </c>
      <c r="EW13" s="139">
        <v>44652.0</v>
      </c>
      <c r="EX13" s="139">
        <v>44682.0</v>
      </c>
      <c r="EY13" s="139">
        <v>44713.0</v>
      </c>
      <c r="EZ13" s="139">
        <v>44743.0</v>
      </c>
      <c r="FA13" s="139">
        <v>44774.0</v>
      </c>
      <c r="FB13" s="139">
        <v>44805.0</v>
      </c>
      <c r="FC13" s="139">
        <v>44835.0</v>
      </c>
      <c r="FD13" s="139">
        <v>44866.0</v>
      </c>
      <c r="FE13" s="139">
        <v>44896.0</v>
      </c>
      <c r="FF13" s="139">
        <v>44927.0</v>
      </c>
      <c r="FG13" s="139">
        <v>44958.0</v>
      </c>
      <c r="FH13" s="139">
        <v>44986.0</v>
      </c>
      <c r="FI13" s="139">
        <v>45017.0</v>
      </c>
      <c r="FJ13" s="139">
        <v>45047.0</v>
      </c>
      <c r="FK13" s="139">
        <v>45078.0</v>
      </c>
      <c r="FL13" s="139">
        <v>45108.0</v>
      </c>
      <c r="FM13" s="139">
        <v>45139.0</v>
      </c>
      <c r="FN13" s="139">
        <v>45170.0</v>
      </c>
      <c r="FO13" s="139">
        <v>45200.0</v>
      </c>
      <c r="FP13" s="139">
        <v>45231.0</v>
      </c>
      <c r="FQ13" s="139">
        <v>45261.0</v>
      </c>
      <c r="FR13" s="139">
        <v>45292.0</v>
      </c>
      <c r="FS13" s="139">
        <v>45323.0</v>
      </c>
      <c r="FT13" s="139">
        <v>45352.0</v>
      </c>
      <c r="FU13" s="139">
        <v>45383.0</v>
      </c>
      <c r="FV13" s="139">
        <v>45413.0</v>
      </c>
      <c r="FW13" s="139">
        <v>45444.0</v>
      </c>
      <c r="FX13" s="139">
        <v>45474.0</v>
      </c>
      <c r="FY13" s="139">
        <v>45505.0</v>
      </c>
      <c r="FZ13" s="139">
        <v>45536.0</v>
      </c>
      <c r="GA13" s="139">
        <v>45566.0</v>
      </c>
      <c r="GB13" s="139">
        <v>45597.0</v>
      </c>
      <c r="GC13" s="139">
        <v>45627.0</v>
      </c>
      <c r="GD13" s="139">
        <v>45658.0</v>
      </c>
      <c r="GE13" s="139">
        <v>45689.0</v>
      </c>
      <c r="GF13" s="139">
        <v>45717.0</v>
      </c>
      <c r="GG13" s="139">
        <v>45748.0</v>
      </c>
      <c r="GH13" s="139">
        <v>45778.0</v>
      </c>
      <c r="GI13" s="139">
        <v>45809.0</v>
      </c>
      <c r="GJ13" s="139">
        <v>45839.0</v>
      </c>
    </row>
    <row r="14">
      <c r="A14" s="133" t="s">
        <v>1761</v>
      </c>
      <c r="B14" s="134">
        <v>41262.8034837963</v>
      </c>
      <c r="C14" s="135" t="str">
        <f t="shared" si="1"/>
        <v>2012/12/19</v>
      </c>
      <c r="D14" s="136" t="s">
        <v>33985</v>
      </c>
      <c r="E14" s="151">
        <v>0.0</v>
      </c>
      <c r="F14" s="138">
        <v>40179.0</v>
      </c>
      <c r="G14" s="138">
        <v>40210.0</v>
      </c>
      <c r="H14" s="138">
        <v>40238.0</v>
      </c>
      <c r="I14" s="138">
        <v>40269.0</v>
      </c>
      <c r="J14" s="138">
        <v>40299.0</v>
      </c>
      <c r="K14" s="138">
        <v>40330.0</v>
      </c>
      <c r="L14" s="138">
        <v>40360.0</v>
      </c>
      <c r="M14" s="138">
        <v>40391.0</v>
      </c>
      <c r="N14" s="138">
        <v>40422.0</v>
      </c>
      <c r="O14" s="138">
        <v>40452.0</v>
      </c>
      <c r="P14" s="138">
        <v>40483.0</v>
      </c>
      <c r="Q14" s="138">
        <v>40513.0</v>
      </c>
      <c r="R14" s="138">
        <v>40544.0</v>
      </c>
      <c r="S14" s="138">
        <v>40575.0</v>
      </c>
      <c r="T14" s="138">
        <v>40603.0</v>
      </c>
      <c r="U14" s="138">
        <v>40634.0</v>
      </c>
      <c r="V14" s="138">
        <v>40664.0</v>
      </c>
      <c r="W14" s="138">
        <v>40695.0</v>
      </c>
      <c r="X14" s="138">
        <v>40725.0</v>
      </c>
      <c r="Y14" s="138">
        <v>40756.0</v>
      </c>
      <c r="Z14" s="138">
        <v>40787.0</v>
      </c>
      <c r="AA14" s="138">
        <v>40817.0</v>
      </c>
      <c r="AB14" s="138">
        <v>40848.0</v>
      </c>
      <c r="AC14" s="138">
        <v>40878.0</v>
      </c>
      <c r="AD14" s="138">
        <v>40909.0</v>
      </c>
      <c r="AE14" s="138">
        <v>40940.0</v>
      </c>
      <c r="AF14" s="138">
        <v>40969.0</v>
      </c>
      <c r="AG14" s="138">
        <v>41000.0</v>
      </c>
      <c r="AH14" s="138">
        <v>41030.0</v>
      </c>
      <c r="AI14" s="138">
        <v>41061.0</v>
      </c>
      <c r="AJ14" s="138">
        <v>41091.0</v>
      </c>
      <c r="AK14" s="138">
        <v>41122.0</v>
      </c>
      <c r="AL14" s="138">
        <v>41153.0</v>
      </c>
      <c r="AM14" s="138">
        <v>41183.0</v>
      </c>
      <c r="AN14" s="138">
        <v>41214.0</v>
      </c>
      <c r="AO14" s="138">
        <v>41244.0</v>
      </c>
      <c r="AP14" s="139">
        <v>41275.0</v>
      </c>
      <c r="AQ14" s="139">
        <v>41306.0</v>
      </c>
      <c r="AR14" s="139">
        <v>41334.0</v>
      </c>
      <c r="AS14" s="139">
        <v>41365.0</v>
      </c>
      <c r="AT14" s="139">
        <v>41395.0</v>
      </c>
      <c r="AU14" s="139">
        <v>41426.0</v>
      </c>
      <c r="AV14" s="139">
        <v>41456.0</v>
      </c>
      <c r="AW14" s="139">
        <v>41487.0</v>
      </c>
      <c r="AX14" s="139">
        <v>41518.0</v>
      </c>
      <c r="AY14" s="139">
        <v>41548.0</v>
      </c>
      <c r="AZ14" s="139">
        <v>41579.0</v>
      </c>
      <c r="BA14" s="139">
        <v>41609.0</v>
      </c>
      <c r="BB14" s="139">
        <v>41640.0</v>
      </c>
      <c r="BC14" s="139">
        <v>41671.0</v>
      </c>
      <c r="BD14" s="139">
        <v>41699.0</v>
      </c>
      <c r="BE14" s="139">
        <v>41730.0</v>
      </c>
      <c r="BF14" s="139">
        <v>41760.0</v>
      </c>
      <c r="BG14" s="139">
        <v>41791.0</v>
      </c>
      <c r="BH14" s="139">
        <v>41821.0</v>
      </c>
      <c r="BI14" s="139">
        <v>41852.0</v>
      </c>
      <c r="BJ14" s="139">
        <v>41883.0</v>
      </c>
      <c r="BK14" s="139">
        <v>41913.0</v>
      </c>
      <c r="BL14" s="139">
        <v>41944.0</v>
      </c>
      <c r="BM14" s="139">
        <v>41974.0</v>
      </c>
      <c r="BN14" s="139">
        <v>42005.0</v>
      </c>
      <c r="BO14" s="139">
        <v>42036.0</v>
      </c>
      <c r="BP14" s="139">
        <v>42064.0</v>
      </c>
      <c r="BQ14" s="139">
        <v>42095.0</v>
      </c>
      <c r="BR14" s="139">
        <v>42125.0</v>
      </c>
      <c r="BS14" s="139">
        <v>42156.0</v>
      </c>
      <c r="BT14" s="139">
        <v>42186.0</v>
      </c>
      <c r="BU14" s="139">
        <v>42217.0</v>
      </c>
      <c r="BV14" s="139">
        <v>42248.0</v>
      </c>
      <c r="BW14" s="139">
        <v>42278.0</v>
      </c>
      <c r="BX14" s="139">
        <v>42309.0</v>
      </c>
      <c r="BY14" s="139">
        <v>42339.0</v>
      </c>
      <c r="BZ14" s="139">
        <v>42370.0</v>
      </c>
      <c r="CA14" s="139">
        <v>42401.0</v>
      </c>
      <c r="CB14" s="139">
        <v>42430.0</v>
      </c>
      <c r="CC14" s="139">
        <v>42461.0</v>
      </c>
      <c r="CD14" s="139">
        <v>42491.0</v>
      </c>
      <c r="CE14" s="139">
        <v>42522.0</v>
      </c>
      <c r="CF14" s="139">
        <v>42552.0</v>
      </c>
      <c r="CG14" s="139">
        <v>42583.0</v>
      </c>
      <c r="CH14" s="139">
        <v>42614.0</v>
      </c>
      <c r="CI14" s="139">
        <v>42644.0</v>
      </c>
      <c r="CJ14" s="139">
        <v>42675.0</v>
      </c>
      <c r="CK14" s="139">
        <v>42705.0</v>
      </c>
      <c r="CL14" s="139">
        <v>42736.0</v>
      </c>
      <c r="CM14" s="139">
        <v>42767.0</v>
      </c>
      <c r="CN14" s="139">
        <v>42795.0</v>
      </c>
      <c r="CO14" s="139">
        <v>42826.0</v>
      </c>
      <c r="CP14" s="139">
        <v>42856.0</v>
      </c>
      <c r="CQ14" s="139">
        <v>42887.0</v>
      </c>
      <c r="CR14" s="139">
        <v>42917.0</v>
      </c>
      <c r="CS14" s="139">
        <v>42948.0</v>
      </c>
      <c r="CT14" s="139">
        <v>42979.0</v>
      </c>
      <c r="CU14" s="139">
        <v>43009.0</v>
      </c>
      <c r="CV14" s="139">
        <v>43040.0</v>
      </c>
      <c r="CW14" s="139">
        <v>43070.0</v>
      </c>
      <c r="CX14" s="139">
        <v>43101.0</v>
      </c>
      <c r="CY14" s="139">
        <v>43132.0</v>
      </c>
      <c r="CZ14" s="139">
        <v>43160.0</v>
      </c>
      <c r="DA14" s="139">
        <v>43191.0</v>
      </c>
      <c r="DB14" s="139">
        <v>43221.0</v>
      </c>
      <c r="DC14" s="139">
        <v>43252.0</v>
      </c>
      <c r="DD14" s="139">
        <v>43282.0</v>
      </c>
      <c r="DE14" s="139">
        <v>43313.0</v>
      </c>
      <c r="DF14" s="139">
        <v>43344.0</v>
      </c>
      <c r="DG14" s="139">
        <v>43374.0</v>
      </c>
      <c r="DH14" s="139">
        <v>43405.0</v>
      </c>
      <c r="DI14" s="139">
        <v>43435.0</v>
      </c>
      <c r="DJ14" s="139">
        <v>43466.0</v>
      </c>
      <c r="DK14" s="139">
        <v>43497.0</v>
      </c>
      <c r="DL14" s="139">
        <v>43525.0</v>
      </c>
      <c r="DM14" s="139">
        <v>43556.0</v>
      </c>
      <c r="DN14" s="139">
        <v>43586.0</v>
      </c>
      <c r="DO14" s="139">
        <v>43617.0</v>
      </c>
      <c r="DP14" s="139">
        <v>43647.0</v>
      </c>
      <c r="DQ14" s="139">
        <v>43678.0</v>
      </c>
      <c r="DR14" s="139">
        <v>43709.0</v>
      </c>
      <c r="DS14" s="139">
        <v>43739.0</v>
      </c>
      <c r="DT14" s="139">
        <v>43770.0</v>
      </c>
      <c r="DU14" s="139">
        <v>43800.0</v>
      </c>
      <c r="DV14" s="139">
        <v>43831.0</v>
      </c>
      <c r="DW14" s="139">
        <v>43862.0</v>
      </c>
      <c r="DX14" s="139">
        <v>43891.0</v>
      </c>
      <c r="DY14" s="139">
        <v>43922.0</v>
      </c>
      <c r="DZ14" s="139">
        <v>43952.0</v>
      </c>
      <c r="EA14" s="139">
        <v>43983.0</v>
      </c>
      <c r="EB14" s="139">
        <v>44013.0</v>
      </c>
      <c r="EC14" s="139">
        <v>44044.0</v>
      </c>
      <c r="ED14" s="139">
        <v>44075.0</v>
      </c>
      <c r="EE14" s="139">
        <v>44105.0</v>
      </c>
      <c r="EF14" s="139">
        <v>44136.0</v>
      </c>
      <c r="EG14" s="139">
        <v>44166.0</v>
      </c>
      <c r="EH14" s="139">
        <v>44197.0</v>
      </c>
      <c r="EI14" s="139">
        <v>44228.0</v>
      </c>
      <c r="EJ14" s="139">
        <v>44256.0</v>
      </c>
      <c r="EK14" s="139">
        <v>44287.0</v>
      </c>
      <c r="EL14" s="139">
        <v>44317.0</v>
      </c>
      <c r="EM14" s="139">
        <v>44348.0</v>
      </c>
      <c r="EN14" s="139">
        <v>44378.0</v>
      </c>
      <c r="EO14" s="139">
        <v>44409.0</v>
      </c>
      <c r="EP14" s="139">
        <v>44440.0</v>
      </c>
      <c r="EQ14" s="139">
        <v>44470.0</v>
      </c>
      <c r="ER14" s="139">
        <v>44501.0</v>
      </c>
      <c r="ES14" s="139">
        <v>44531.0</v>
      </c>
      <c r="ET14" s="139">
        <v>44562.0</v>
      </c>
      <c r="EU14" s="139">
        <v>44593.0</v>
      </c>
      <c r="EV14" s="139">
        <v>44621.0</v>
      </c>
      <c r="EW14" s="139">
        <v>44652.0</v>
      </c>
      <c r="EX14" s="139">
        <v>44682.0</v>
      </c>
      <c r="EY14" s="139">
        <v>44713.0</v>
      </c>
      <c r="EZ14" s="139">
        <v>44743.0</v>
      </c>
      <c r="FA14" s="139">
        <v>44774.0</v>
      </c>
      <c r="FB14" s="139">
        <v>44805.0</v>
      </c>
      <c r="FC14" s="139">
        <v>44835.0</v>
      </c>
      <c r="FD14" s="139">
        <v>44866.0</v>
      </c>
      <c r="FE14" s="139">
        <v>44896.0</v>
      </c>
      <c r="FF14" s="139">
        <v>44927.0</v>
      </c>
      <c r="FG14" s="139">
        <v>44958.0</v>
      </c>
      <c r="FH14" s="139">
        <v>44986.0</v>
      </c>
      <c r="FI14" s="139">
        <v>45017.0</v>
      </c>
      <c r="FJ14" s="139">
        <v>45047.0</v>
      </c>
      <c r="FK14" s="139">
        <v>45078.0</v>
      </c>
      <c r="FL14" s="139">
        <v>45108.0</v>
      </c>
      <c r="FM14" s="139">
        <v>45139.0</v>
      </c>
      <c r="FN14" s="139">
        <v>45170.0</v>
      </c>
      <c r="FO14" s="139">
        <v>45200.0</v>
      </c>
      <c r="FP14" s="139">
        <v>45231.0</v>
      </c>
      <c r="FQ14" s="139">
        <v>45261.0</v>
      </c>
      <c r="FR14" s="139">
        <v>45292.0</v>
      </c>
      <c r="FS14" s="139">
        <v>45323.0</v>
      </c>
      <c r="FT14" s="139">
        <v>45352.0</v>
      </c>
      <c r="FU14" s="139">
        <v>45383.0</v>
      </c>
      <c r="FV14" s="139">
        <v>45413.0</v>
      </c>
      <c r="FW14" s="139">
        <v>45444.0</v>
      </c>
      <c r="FX14" s="139">
        <v>45474.0</v>
      </c>
      <c r="FY14" s="139">
        <v>45505.0</v>
      </c>
      <c r="FZ14" s="139">
        <v>45536.0</v>
      </c>
      <c r="GA14" s="139">
        <v>45566.0</v>
      </c>
      <c r="GB14" s="139">
        <v>45597.0</v>
      </c>
      <c r="GC14" s="139">
        <v>45627.0</v>
      </c>
      <c r="GD14" s="139">
        <v>45658.0</v>
      </c>
      <c r="GE14" s="139">
        <v>45689.0</v>
      </c>
      <c r="GF14" s="139">
        <v>45717.0</v>
      </c>
      <c r="GG14" s="139">
        <v>45748.0</v>
      </c>
      <c r="GH14" s="139">
        <v>45778.0</v>
      </c>
      <c r="GI14" s="139">
        <v>45809.0</v>
      </c>
      <c r="GJ14" s="139">
        <v>45839.0</v>
      </c>
    </row>
    <row r="15">
      <c r="A15" s="133" t="s">
        <v>1471</v>
      </c>
      <c r="B15" s="134">
        <v>41311.60445601852</v>
      </c>
      <c r="C15" s="135" t="str">
        <f t="shared" si="1"/>
        <v>2013/02/06</v>
      </c>
      <c r="D15" s="136" t="s">
        <v>33912</v>
      </c>
      <c r="E15" s="151">
        <v>0.0</v>
      </c>
      <c r="F15" s="138">
        <v>40179.0</v>
      </c>
      <c r="G15" s="138">
        <v>40210.0</v>
      </c>
      <c r="H15" s="138">
        <v>40238.0</v>
      </c>
      <c r="I15" s="138">
        <v>40269.0</v>
      </c>
      <c r="J15" s="138">
        <v>40299.0</v>
      </c>
      <c r="K15" s="138">
        <v>40330.0</v>
      </c>
      <c r="L15" s="138">
        <v>40360.0</v>
      </c>
      <c r="M15" s="138">
        <v>40391.0</v>
      </c>
      <c r="N15" s="138">
        <v>40422.0</v>
      </c>
      <c r="O15" s="138">
        <v>40452.0</v>
      </c>
      <c r="P15" s="138">
        <v>40483.0</v>
      </c>
      <c r="Q15" s="138">
        <v>40513.0</v>
      </c>
      <c r="R15" s="138">
        <v>40544.0</v>
      </c>
      <c r="S15" s="138">
        <v>40575.0</v>
      </c>
      <c r="T15" s="138">
        <v>40603.0</v>
      </c>
      <c r="U15" s="138">
        <v>40634.0</v>
      </c>
      <c r="V15" s="138">
        <v>40664.0</v>
      </c>
      <c r="W15" s="138">
        <v>40695.0</v>
      </c>
      <c r="X15" s="138">
        <v>40725.0</v>
      </c>
      <c r="Y15" s="138">
        <v>40756.0</v>
      </c>
      <c r="Z15" s="138">
        <v>40787.0</v>
      </c>
      <c r="AA15" s="138">
        <v>40817.0</v>
      </c>
      <c r="AB15" s="138">
        <v>40848.0</v>
      </c>
      <c r="AC15" s="138">
        <v>40878.0</v>
      </c>
      <c r="AD15" s="138">
        <v>40909.0</v>
      </c>
      <c r="AE15" s="138">
        <v>40940.0</v>
      </c>
      <c r="AF15" s="138">
        <v>40969.0</v>
      </c>
      <c r="AG15" s="138">
        <v>41000.0</v>
      </c>
      <c r="AH15" s="138">
        <v>41030.0</v>
      </c>
      <c r="AI15" s="138">
        <v>41061.0</v>
      </c>
      <c r="AJ15" s="138">
        <v>41091.0</v>
      </c>
      <c r="AK15" s="138">
        <v>41122.0</v>
      </c>
      <c r="AL15" s="138">
        <v>41153.0</v>
      </c>
      <c r="AM15" s="138">
        <v>41183.0</v>
      </c>
      <c r="AN15" s="138">
        <v>41214.0</v>
      </c>
      <c r="AO15" s="138">
        <v>41244.0</v>
      </c>
      <c r="AP15" s="138">
        <v>41275.0</v>
      </c>
      <c r="AQ15" s="138">
        <v>41306.0</v>
      </c>
      <c r="AR15" s="139">
        <v>41334.0</v>
      </c>
      <c r="AS15" s="139">
        <v>41365.0</v>
      </c>
      <c r="AT15" s="139">
        <v>41395.0</v>
      </c>
      <c r="AU15" s="139">
        <v>41426.0</v>
      </c>
      <c r="AV15" s="139">
        <v>41456.0</v>
      </c>
      <c r="AW15" s="139">
        <v>41487.0</v>
      </c>
      <c r="AX15" s="139">
        <v>41518.0</v>
      </c>
      <c r="AY15" s="139">
        <v>41548.0</v>
      </c>
      <c r="AZ15" s="139">
        <v>41579.0</v>
      </c>
      <c r="BA15" s="139">
        <v>41609.0</v>
      </c>
      <c r="BB15" s="139">
        <v>41640.0</v>
      </c>
      <c r="BC15" s="139">
        <v>41671.0</v>
      </c>
      <c r="BD15" s="139">
        <v>41699.0</v>
      </c>
      <c r="BE15" s="139">
        <v>41730.0</v>
      </c>
      <c r="BF15" s="139">
        <v>41760.0</v>
      </c>
      <c r="BG15" s="139">
        <v>41791.0</v>
      </c>
      <c r="BH15" s="139">
        <v>41821.0</v>
      </c>
      <c r="BI15" s="139">
        <v>41852.0</v>
      </c>
      <c r="BJ15" s="139">
        <v>41883.0</v>
      </c>
      <c r="BK15" s="139">
        <v>41913.0</v>
      </c>
      <c r="BL15" s="139">
        <v>41944.0</v>
      </c>
      <c r="BM15" s="139">
        <v>41974.0</v>
      </c>
      <c r="BN15" s="139">
        <v>42005.0</v>
      </c>
      <c r="BO15" s="139">
        <v>42036.0</v>
      </c>
      <c r="BP15" s="139">
        <v>42064.0</v>
      </c>
      <c r="BQ15" s="139">
        <v>42095.0</v>
      </c>
      <c r="BR15" s="139">
        <v>42125.0</v>
      </c>
      <c r="BS15" s="139">
        <v>42156.0</v>
      </c>
      <c r="BT15" s="139">
        <v>42186.0</v>
      </c>
      <c r="BU15" s="139">
        <v>42217.0</v>
      </c>
      <c r="BV15" s="139">
        <v>42248.0</v>
      </c>
      <c r="BW15" s="139">
        <v>42278.0</v>
      </c>
      <c r="BX15" s="139">
        <v>42309.0</v>
      </c>
      <c r="BY15" s="139">
        <v>42339.0</v>
      </c>
      <c r="BZ15" s="139">
        <v>42370.0</v>
      </c>
      <c r="CA15" s="139">
        <v>42401.0</v>
      </c>
      <c r="CB15" s="139">
        <v>42430.0</v>
      </c>
      <c r="CC15" s="139">
        <v>42461.0</v>
      </c>
      <c r="CD15" s="139">
        <v>42491.0</v>
      </c>
      <c r="CE15" s="139">
        <v>42522.0</v>
      </c>
      <c r="CF15" s="139">
        <v>42552.0</v>
      </c>
      <c r="CG15" s="139">
        <v>42583.0</v>
      </c>
      <c r="CH15" s="139">
        <v>42614.0</v>
      </c>
      <c r="CI15" s="139">
        <v>42644.0</v>
      </c>
      <c r="CJ15" s="139">
        <v>42675.0</v>
      </c>
      <c r="CK15" s="139">
        <v>42705.0</v>
      </c>
      <c r="CL15" s="139">
        <v>42736.0</v>
      </c>
      <c r="CM15" s="139">
        <v>42767.0</v>
      </c>
      <c r="CN15" s="139">
        <v>42795.0</v>
      </c>
      <c r="CO15" s="139">
        <v>42826.0</v>
      </c>
      <c r="CP15" s="139">
        <v>42856.0</v>
      </c>
      <c r="CQ15" s="139">
        <v>42887.0</v>
      </c>
      <c r="CR15" s="139">
        <v>42917.0</v>
      </c>
      <c r="CS15" s="139">
        <v>42948.0</v>
      </c>
      <c r="CT15" s="139">
        <v>42979.0</v>
      </c>
      <c r="CU15" s="139">
        <v>43009.0</v>
      </c>
      <c r="CV15" s="139">
        <v>43040.0</v>
      </c>
      <c r="CW15" s="139">
        <v>43070.0</v>
      </c>
      <c r="CX15" s="139">
        <v>43101.0</v>
      </c>
      <c r="CY15" s="139">
        <v>43132.0</v>
      </c>
      <c r="CZ15" s="139">
        <v>43160.0</v>
      </c>
      <c r="DA15" s="139">
        <v>43191.0</v>
      </c>
      <c r="DB15" s="139">
        <v>43221.0</v>
      </c>
      <c r="DC15" s="139">
        <v>43252.0</v>
      </c>
      <c r="DD15" s="139">
        <v>43282.0</v>
      </c>
      <c r="DE15" s="139">
        <v>43313.0</v>
      </c>
      <c r="DF15" s="139">
        <v>43344.0</v>
      </c>
      <c r="DG15" s="139">
        <v>43374.0</v>
      </c>
      <c r="DH15" s="139">
        <v>43405.0</v>
      </c>
      <c r="DI15" s="139">
        <v>43435.0</v>
      </c>
      <c r="DJ15" s="139">
        <v>43466.0</v>
      </c>
      <c r="DK15" s="139">
        <v>43497.0</v>
      </c>
      <c r="DL15" s="139">
        <v>43525.0</v>
      </c>
      <c r="DM15" s="139">
        <v>43556.0</v>
      </c>
      <c r="DN15" s="139">
        <v>43586.0</v>
      </c>
      <c r="DO15" s="139">
        <v>43617.0</v>
      </c>
      <c r="DP15" s="139">
        <v>43647.0</v>
      </c>
      <c r="DQ15" s="139">
        <v>43678.0</v>
      </c>
      <c r="DR15" s="139">
        <v>43709.0</v>
      </c>
      <c r="DS15" s="139">
        <v>43739.0</v>
      </c>
      <c r="DT15" s="139">
        <v>43770.0</v>
      </c>
      <c r="DU15" s="139">
        <v>43800.0</v>
      </c>
      <c r="DV15" s="139">
        <v>43831.0</v>
      </c>
      <c r="DW15" s="139">
        <v>43862.0</v>
      </c>
      <c r="DX15" s="139">
        <v>43891.0</v>
      </c>
      <c r="DY15" s="139">
        <v>43922.0</v>
      </c>
      <c r="DZ15" s="139">
        <v>43952.0</v>
      </c>
      <c r="EA15" s="139">
        <v>43983.0</v>
      </c>
      <c r="EB15" s="139">
        <v>44013.0</v>
      </c>
      <c r="EC15" s="139">
        <v>44044.0</v>
      </c>
      <c r="ED15" s="139">
        <v>44075.0</v>
      </c>
      <c r="EE15" s="139">
        <v>44105.0</v>
      </c>
      <c r="EF15" s="139">
        <v>44136.0</v>
      </c>
      <c r="EG15" s="139">
        <v>44166.0</v>
      </c>
      <c r="EH15" s="139">
        <v>44197.0</v>
      </c>
      <c r="EI15" s="139">
        <v>44228.0</v>
      </c>
      <c r="EJ15" s="139">
        <v>44256.0</v>
      </c>
      <c r="EK15" s="139">
        <v>44287.0</v>
      </c>
      <c r="EL15" s="139">
        <v>44317.0</v>
      </c>
      <c r="EM15" s="139">
        <v>44348.0</v>
      </c>
      <c r="EN15" s="139">
        <v>44378.0</v>
      </c>
      <c r="EO15" s="139">
        <v>44409.0</v>
      </c>
      <c r="EP15" s="139">
        <v>44440.0</v>
      </c>
      <c r="EQ15" s="139">
        <v>44470.0</v>
      </c>
      <c r="ER15" s="139">
        <v>44501.0</v>
      </c>
      <c r="ES15" s="139">
        <v>44531.0</v>
      </c>
      <c r="ET15" s="139">
        <v>44562.0</v>
      </c>
      <c r="EU15" s="139">
        <v>44593.0</v>
      </c>
      <c r="EV15" s="139">
        <v>44621.0</v>
      </c>
      <c r="EW15" s="139">
        <v>44652.0</v>
      </c>
      <c r="EX15" s="139">
        <v>44682.0</v>
      </c>
      <c r="EY15" s="139">
        <v>44713.0</v>
      </c>
      <c r="EZ15" s="139">
        <v>44743.0</v>
      </c>
      <c r="FA15" s="139">
        <v>44774.0</v>
      </c>
      <c r="FB15" s="139">
        <v>44805.0</v>
      </c>
      <c r="FC15" s="139">
        <v>44835.0</v>
      </c>
      <c r="FD15" s="139">
        <v>44866.0</v>
      </c>
      <c r="FE15" s="139">
        <v>44896.0</v>
      </c>
      <c r="FF15" s="139">
        <v>44927.0</v>
      </c>
      <c r="FG15" s="139">
        <v>44958.0</v>
      </c>
      <c r="FH15" s="139">
        <v>44986.0</v>
      </c>
      <c r="FI15" s="139">
        <v>45017.0</v>
      </c>
      <c r="FJ15" s="139">
        <v>45047.0</v>
      </c>
      <c r="FK15" s="139">
        <v>45078.0</v>
      </c>
      <c r="FL15" s="139">
        <v>45108.0</v>
      </c>
      <c r="FM15" s="139">
        <v>45139.0</v>
      </c>
      <c r="FN15" s="139">
        <v>45170.0</v>
      </c>
      <c r="FO15" s="139">
        <v>45200.0</v>
      </c>
      <c r="FP15" s="139">
        <v>45231.0</v>
      </c>
      <c r="FQ15" s="139">
        <v>45261.0</v>
      </c>
      <c r="FR15" s="139">
        <v>45292.0</v>
      </c>
      <c r="FS15" s="139">
        <v>45323.0</v>
      </c>
      <c r="FT15" s="139">
        <v>45352.0</v>
      </c>
      <c r="FU15" s="139">
        <v>45383.0</v>
      </c>
      <c r="FV15" s="139">
        <v>45413.0</v>
      </c>
      <c r="FW15" s="139">
        <v>45444.0</v>
      </c>
      <c r="FX15" s="139">
        <v>45474.0</v>
      </c>
      <c r="FY15" s="139">
        <v>45505.0</v>
      </c>
      <c r="FZ15" s="139">
        <v>45536.0</v>
      </c>
      <c r="GA15" s="139">
        <v>45566.0</v>
      </c>
      <c r="GB15" s="139">
        <v>45597.0</v>
      </c>
      <c r="GC15" s="139">
        <v>45627.0</v>
      </c>
      <c r="GD15" s="139">
        <v>45658.0</v>
      </c>
      <c r="GE15" s="139">
        <v>45689.0</v>
      </c>
      <c r="GF15" s="139">
        <v>45717.0</v>
      </c>
      <c r="GG15" s="139">
        <v>45748.0</v>
      </c>
      <c r="GH15" s="139">
        <v>45778.0</v>
      </c>
      <c r="GI15" s="139">
        <v>45809.0</v>
      </c>
      <c r="GJ15" s="139">
        <v>45839.0</v>
      </c>
    </row>
    <row r="16">
      <c r="A16" s="133" t="s">
        <v>1677</v>
      </c>
      <c r="B16" s="134">
        <v>41389.708020833335</v>
      </c>
      <c r="C16" s="135" t="str">
        <f t="shared" si="1"/>
        <v>2013/04/25</v>
      </c>
      <c r="D16" s="136" t="s">
        <v>34248</v>
      </c>
      <c r="E16" s="151">
        <v>0.0</v>
      </c>
      <c r="F16" s="138">
        <v>40179.0</v>
      </c>
      <c r="G16" s="138">
        <v>40210.0</v>
      </c>
      <c r="H16" s="138">
        <v>40238.0</v>
      </c>
      <c r="I16" s="138">
        <v>40269.0</v>
      </c>
      <c r="J16" s="138">
        <v>40299.0</v>
      </c>
      <c r="K16" s="138">
        <v>40330.0</v>
      </c>
      <c r="L16" s="138">
        <v>40360.0</v>
      </c>
      <c r="M16" s="138">
        <v>40391.0</v>
      </c>
      <c r="N16" s="138">
        <v>40422.0</v>
      </c>
      <c r="O16" s="138">
        <v>40452.0</v>
      </c>
      <c r="P16" s="138">
        <v>40483.0</v>
      </c>
      <c r="Q16" s="138">
        <v>40513.0</v>
      </c>
      <c r="R16" s="138">
        <v>40544.0</v>
      </c>
      <c r="S16" s="138">
        <v>40575.0</v>
      </c>
      <c r="T16" s="138">
        <v>40603.0</v>
      </c>
      <c r="U16" s="138">
        <v>40634.0</v>
      </c>
      <c r="V16" s="138">
        <v>40664.0</v>
      </c>
      <c r="W16" s="138">
        <v>40695.0</v>
      </c>
      <c r="X16" s="138">
        <v>40725.0</v>
      </c>
      <c r="Y16" s="138">
        <v>40756.0</v>
      </c>
      <c r="Z16" s="138">
        <v>40787.0</v>
      </c>
      <c r="AA16" s="138">
        <v>40817.0</v>
      </c>
      <c r="AB16" s="138">
        <v>40848.0</v>
      </c>
      <c r="AC16" s="138">
        <v>40878.0</v>
      </c>
      <c r="AD16" s="138">
        <v>40909.0</v>
      </c>
      <c r="AE16" s="138">
        <v>40940.0</v>
      </c>
      <c r="AF16" s="138">
        <v>40969.0</v>
      </c>
      <c r="AG16" s="138">
        <v>41000.0</v>
      </c>
      <c r="AH16" s="138">
        <v>41030.0</v>
      </c>
      <c r="AI16" s="138">
        <v>41061.0</v>
      </c>
      <c r="AJ16" s="138">
        <v>41091.0</v>
      </c>
      <c r="AK16" s="138">
        <v>41122.0</v>
      </c>
      <c r="AL16" s="138">
        <v>41153.0</v>
      </c>
      <c r="AM16" s="138">
        <v>41183.0</v>
      </c>
      <c r="AN16" s="138">
        <v>41214.0</v>
      </c>
      <c r="AO16" s="138">
        <v>41244.0</v>
      </c>
      <c r="AP16" s="138">
        <v>41275.0</v>
      </c>
      <c r="AQ16" s="138">
        <v>41306.0</v>
      </c>
      <c r="AR16" s="138">
        <v>41334.0</v>
      </c>
      <c r="AS16" s="138">
        <v>41365.0</v>
      </c>
      <c r="AT16" s="139">
        <v>41395.0</v>
      </c>
      <c r="AU16" s="139">
        <v>41426.0</v>
      </c>
      <c r="AV16" s="139">
        <v>41456.0</v>
      </c>
      <c r="AW16" s="139">
        <v>41487.0</v>
      </c>
      <c r="AX16" s="139">
        <v>41518.0</v>
      </c>
      <c r="AY16" s="139">
        <v>41548.0</v>
      </c>
      <c r="AZ16" s="139">
        <v>41579.0</v>
      </c>
      <c r="BA16" s="139">
        <v>41609.0</v>
      </c>
      <c r="BB16" s="139">
        <v>41640.0</v>
      </c>
      <c r="BC16" s="139">
        <v>41671.0</v>
      </c>
      <c r="BD16" s="139">
        <v>41699.0</v>
      </c>
      <c r="BE16" s="139">
        <v>41730.0</v>
      </c>
      <c r="BF16" s="139">
        <v>41760.0</v>
      </c>
      <c r="BG16" s="139">
        <v>41791.0</v>
      </c>
      <c r="BH16" s="139">
        <v>41821.0</v>
      </c>
      <c r="BI16" s="139">
        <v>41852.0</v>
      </c>
      <c r="BJ16" s="139">
        <v>41883.0</v>
      </c>
      <c r="BK16" s="139">
        <v>41913.0</v>
      </c>
      <c r="BL16" s="139">
        <v>41944.0</v>
      </c>
      <c r="BM16" s="139">
        <v>41974.0</v>
      </c>
      <c r="BN16" s="139">
        <v>42005.0</v>
      </c>
      <c r="BO16" s="139">
        <v>42036.0</v>
      </c>
      <c r="BP16" s="139">
        <v>42064.0</v>
      </c>
      <c r="BQ16" s="139">
        <v>42095.0</v>
      </c>
      <c r="BR16" s="139">
        <v>42125.0</v>
      </c>
      <c r="BS16" s="139">
        <v>42156.0</v>
      </c>
      <c r="BT16" s="139">
        <v>42186.0</v>
      </c>
      <c r="BU16" s="139">
        <v>42217.0</v>
      </c>
      <c r="BV16" s="139">
        <v>42248.0</v>
      </c>
      <c r="BW16" s="139">
        <v>42278.0</v>
      </c>
      <c r="BX16" s="139">
        <v>42309.0</v>
      </c>
      <c r="BY16" s="139">
        <v>42339.0</v>
      </c>
      <c r="BZ16" s="139">
        <v>42370.0</v>
      </c>
      <c r="CA16" s="139">
        <v>42401.0</v>
      </c>
      <c r="CB16" s="139">
        <v>42430.0</v>
      </c>
      <c r="CC16" s="139">
        <v>42461.0</v>
      </c>
      <c r="CD16" s="139">
        <v>42491.0</v>
      </c>
      <c r="CE16" s="139">
        <v>42522.0</v>
      </c>
      <c r="CF16" s="139">
        <v>42552.0</v>
      </c>
      <c r="CG16" s="139">
        <v>42583.0</v>
      </c>
      <c r="CH16" s="139">
        <v>42614.0</v>
      </c>
      <c r="CI16" s="139">
        <v>42644.0</v>
      </c>
      <c r="CJ16" s="139">
        <v>42675.0</v>
      </c>
      <c r="CK16" s="139">
        <v>42705.0</v>
      </c>
      <c r="CL16" s="139">
        <v>42736.0</v>
      </c>
      <c r="CM16" s="139">
        <v>42767.0</v>
      </c>
      <c r="CN16" s="139">
        <v>42795.0</v>
      </c>
      <c r="CO16" s="139">
        <v>42826.0</v>
      </c>
      <c r="CP16" s="139">
        <v>42856.0</v>
      </c>
      <c r="CQ16" s="139">
        <v>42887.0</v>
      </c>
      <c r="CR16" s="139">
        <v>42917.0</v>
      </c>
      <c r="CS16" s="139">
        <v>42948.0</v>
      </c>
      <c r="CT16" s="139">
        <v>42979.0</v>
      </c>
      <c r="CU16" s="139">
        <v>43009.0</v>
      </c>
      <c r="CV16" s="139">
        <v>43040.0</v>
      </c>
      <c r="CW16" s="139">
        <v>43070.0</v>
      </c>
      <c r="CX16" s="139">
        <v>43101.0</v>
      </c>
      <c r="CY16" s="139">
        <v>43132.0</v>
      </c>
      <c r="CZ16" s="139">
        <v>43160.0</v>
      </c>
      <c r="DA16" s="139">
        <v>43191.0</v>
      </c>
      <c r="DB16" s="139">
        <v>43221.0</v>
      </c>
      <c r="DC16" s="139">
        <v>43252.0</v>
      </c>
      <c r="DD16" s="139">
        <v>43282.0</v>
      </c>
      <c r="DE16" s="139">
        <v>43313.0</v>
      </c>
      <c r="DF16" s="139">
        <v>43344.0</v>
      </c>
      <c r="DG16" s="139">
        <v>43374.0</v>
      </c>
      <c r="DH16" s="139">
        <v>43405.0</v>
      </c>
      <c r="DI16" s="139">
        <v>43435.0</v>
      </c>
      <c r="DJ16" s="139">
        <v>43466.0</v>
      </c>
      <c r="DK16" s="139">
        <v>43497.0</v>
      </c>
      <c r="DL16" s="139">
        <v>43525.0</v>
      </c>
      <c r="DM16" s="139">
        <v>43556.0</v>
      </c>
      <c r="DN16" s="139">
        <v>43586.0</v>
      </c>
      <c r="DO16" s="139">
        <v>43617.0</v>
      </c>
      <c r="DP16" s="139">
        <v>43647.0</v>
      </c>
      <c r="DQ16" s="139">
        <v>43678.0</v>
      </c>
      <c r="DR16" s="139">
        <v>43709.0</v>
      </c>
      <c r="DS16" s="139">
        <v>43739.0</v>
      </c>
      <c r="DT16" s="139">
        <v>43770.0</v>
      </c>
      <c r="DU16" s="139">
        <v>43800.0</v>
      </c>
      <c r="DV16" s="139">
        <v>43831.0</v>
      </c>
      <c r="DW16" s="139">
        <v>43862.0</v>
      </c>
      <c r="DX16" s="139">
        <v>43891.0</v>
      </c>
      <c r="DY16" s="139">
        <v>43922.0</v>
      </c>
      <c r="DZ16" s="139">
        <v>43952.0</v>
      </c>
      <c r="EA16" s="139">
        <v>43983.0</v>
      </c>
      <c r="EB16" s="139">
        <v>44013.0</v>
      </c>
      <c r="EC16" s="139">
        <v>44044.0</v>
      </c>
      <c r="ED16" s="139">
        <v>44075.0</v>
      </c>
      <c r="EE16" s="139">
        <v>44105.0</v>
      </c>
      <c r="EF16" s="139">
        <v>44136.0</v>
      </c>
      <c r="EG16" s="139">
        <v>44166.0</v>
      </c>
      <c r="EH16" s="139">
        <v>44197.0</v>
      </c>
      <c r="EI16" s="139">
        <v>44228.0</v>
      </c>
      <c r="EJ16" s="139">
        <v>44256.0</v>
      </c>
      <c r="EK16" s="139">
        <v>44287.0</v>
      </c>
      <c r="EL16" s="139">
        <v>44317.0</v>
      </c>
      <c r="EM16" s="139">
        <v>44348.0</v>
      </c>
      <c r="EN16" s="139">
        <v>44378.0</v>
      </c>
      <c r="EO16" s="139">
        <v>44409.0</v>
      </c>
      <c r="EP16" s="139">
        <v>44440.0</v>
      </c>
      <c r="EQ16" s="139">
        <v>44470.0</v>
      </c>
      <c r="ER16" s="139">
        <v>44501.0</v>
      </c>
      <c r="ES16" s="139">
        <v>44531.0</v>
      </c>
      <c r="ET16" s="139">
        <v>44562.0</v>
      </c>
      <c r="EU16" s="139">
        <v>44593.0</v>
      </c>
      <c r="EV16" s="139">
        <v>44621.0</v>
      </c>
      <c r="EW16" s="139">
        <v>44652.0</v>
      </c>
      <c r="EX16" s="139">
        <v>44682.0</v>
      </c>
      <c r="EY16" s="139">
        <v>44713.0</v>
      </c>
      <c r="EZ16" s="139">
        <v>44743.0</v>
      </c>
      <c r="FA16" s="139">
        <v>44774.0</v>
      </c>
      <c r="FB16" s="139">
        <v>44805.0</v>
      </c>
      <c r="FC16" s="139">
        <v>44835.0</v>
      </c>
      <c r="FD16" s="139">
        <v>44866.0</v>
      </c>
      <c r="FE16" s="139">
        <v>44896.0</v>
      </c>
      <c r="FF16" s="139">
        <v>44927.0</v>
      </c>
      <c r="FG16" s="139">
        <v>44958.0</v>
      </c>
      <c r="FH16" s="139">
        <v>44986.0</v>
      </c>
      <c r="FI16" s="139">
        <v>45017.0</v>
      </c>
      <c r="FJ16" s="139">
        <v>45047.0</v>
      </c>
      <c r="FK16" s="139">
        <v>45078.0</v>
      </c>
      <c r="FL16" s="139">
        <v>45108.0</v>
      </c>
      <c r="FM16" s="139">
        <v>45139.0</v>
      </c>
      <c r="FN16" s="139">
        <v>45170.0</v>
      </c>
      <c r="FO16" s="139">
        <v>45200.0</v>
      </c>
      <c r="FP16" s="139">
        <v>45231.0</v>
      </c>
      <c r="FQ16" s="139">
        <v>45261.0</v>
      </c>
      <c r="FR16" s="139">
        <v>45292.0</v>
      </c>
      <c r="FS16" s="139">
        <v>45323.0</v>
      </c>
      <c r="FT16" s="139">
        <v>45352.0</v>
      </c>
      <c r="FU16" s="139">
        <v>45383.0</v>
      </c>
      <c r="FV16" s="139">
        <v>45413.0</v>
      </c>
      <c r="FW16" s="139">
        <v>45444.0</v>
      </c>
      <c r="FX16" s="139">
        <v>45474.0</v>
      </c>
      <c r="FY16" s="139">
        <v>45505.0</v>
      </c>
      <c r="FZ16" s="139">
        <v>45536.0</v>
      </c>
      <c r="GA16" s="139">
        <v>45566.0</v>
      </c>
      <c r="GB16" s="139">
        <v>45597.0</v>
      </c>
      <c r="GC16" s="139">
        <v>45627.0</v>
      </c>
      <c r="GD16" s="139">
        <v>45658.0</v>
      </c>
      <c r="GE16" s="139">
        <v>45689.0</v>
      </c>
      <c r="GF16" s="139">
        <v>45717.0</v>
      </c>
      <c r="GG16" s="139">
        <v>45748.0</v>
      </c>
      <c r="GH16" s="139">
        <v>45778.0</v>
      </c>
      <c r="GI16" s="139">
        <v>45809.0</v>
      </c>
      <c r="GJ16" s="139">
        <v>45839.0</v>
      </c>
    </row>
    <row r="17">
      <c r="A17" s="133" t="s">
        <v>1762</v>
      </c>
      <c r="B17" s="134">
        <v>41442.72346064815</v>
      </c>
      <c r="C17" s="135" t="str">
        <f t="shared" si="1"/>
        <v>2013/06/17</v>
      </c>
      <c r="D17" s="136" t="s">
        <v>34249</v>
      </c>
      <c r="E17" s="151">
        <v>0.0</v>
      </c>
      <c r="F17" s="138">
        <v>40179.0</v>
      </c>
      <c r="G17" s="138">
        <v>40210.0</v>
      </c>
      <c r="H17" s="138">
        <v>40238.0</v>
      </c>
      <c r="I17" s="138">
        <v>40269.0</v>
      </c>
      <c r="J17" s="138">
        <v>40299.0</v>
      </c>
      <c r="K17" s="138">
        <v>40330.0</v>
      </c>
      <c r="L17" s="138">
        <v>40360.0</v>
      </c>
      <c r="M17" s="138">
        <v>40391.0</v>
      </c>
      <c r="N17" s="138">
        <v>40422.0</v>
      </c>
      <c r="O17" s="138">
        <v>40452.0</v>
      </c>
      <c r="P17" s="138">
        <v>40483.0</v>
      </c>
      <c r="Q17" s="138">
        <v>40513.0</v>
      </c>
      <c r="R17" s="138">
        <v>40544.0</v>
      </c>
      <c r="S17" s="138">
        <v>40575.0</v>
      </c>
      <c r="T17" s="138">
        <v>40603.0</v>
      </c>
      <c r="U17" s="138">
        <v>40634.0</v>
      </c>
      <c r="V17" s="138">
        <v>40664.0</v>
      </c>
      <c r="W17" s="138">
        <v>40695.0</v>
      </c>
      <c r="X17" s="138">
        <v>40725.0</v>
      </c>
      <c r="Y17" s="138">
        <v>40756.0</v>
      </c>
      <c r="Z17" s="138">
        <v>40787.0</v>
      </c>
      <c r="AA17" s="138">
        <v>40817.0</v>
      </c>
      <c r="AB17" s="138">
        <v>40848.0</v>
      </c>
      <c r="AC17" s="138">
        <v>40878.0</v>
      </c>
      <c r="AD17" s="138">
        <v>40909.0</v>
      </c>
      <c r="AE17" s="138">
        <v>40940.0</v>
      </c>
      <c r="AF17" s="138">
        <v>40969.0</v>
      </c>
      <c r="AG17" s="138">
        <v>41000.0</v>
      </c>
      <c r="AH17" s="138">
        <v>41030.0</v>
      </c>
      <c r="AI17" s="138">
        <v>41061.0</v>
      </c>
      <c r="AJ17" s="138">
        <v>41091.0</v>
      </c>
      <c r="AK17" s="138">
        <v>41122.0</v>
      </c>
      <c r="AL17" s="138">
        <v>41153.0</v>
      </c>
      <c r="AM17" s="138">
        <v>41183.0</v>
      </c>
      <c r="AN17" s="138">
        <v>41214.0</v>
      </c>
      <c r="AO17" s="138">
        <v>41244.0</v>
      </c>
      <c r="AP17" s="138">
        <v>41275.0</v>
      </c>
      <c r="AQ17" s="138">
        <v>41306.0</v>
      </c>
      <c r="AR17" s="138">
        <v>41334.0</v>
      </c>
      <c r="AS17" s="138">
        <v>41365.0</v>
      </c>
      <c r="AT17" s="138">
        <v>41395.0</v>
      </c>
      <c r="AU17" s="138">
        <v>41426.0</v>
      </c>
      <c r="AV17" s="139">
        <v>41456.0</v>
      </c>
      <c r="AW17" s="139">
        <v>41487.0</v>
      </c>
      <c r="AX17" s="139">
        <v>41518.0</v>
      </c>
      <c r="AY17" s="139">
        <v>41548.0</v>
      </c>
      <c r="AZ17" s="139">
        <v>41579.0</v>
      </c>
      <c r="BA17" s="139">
        <v>41609.0</v>
      </c>
      <c r="BB17" s="139">
        <v>41640.0</v>
      </c>
      <c r="BC17" s="139">
        <v>41671.0</v>
      </c>
      <c r="BD17" s="139">
        <v>41699.0</v>
      </c>
      <c r="BE17" s="139">
        <v>41730.0</v>
      </c>
      <c r="BF17" s="139">
        <v>41760.0</v>
      </c>
      <c r="BG17" s="139">
        <v>41791.0</v>
      </c>
      <c r="BH17" s="139">
        <v>41821.0</v>
      </c>
      <c r="BI17" s="139">
        <v>41852.0</v>
      </c>
      <c r="BJ17" s="139">
        <v>41883.0</v>
      </c>
      <c r="BK17" s="139">
        <v>41913.0</v>
      </c>
      <c r="BL17" s="139">
        <v>41944.0</v>
      </c>
      <c r="BM17" s="139">
        <v>41974.0</v>
      </c>
      <c r="BN17" s="139">
        <v>42005.0</v>
      </c>
      <c r="BO17" s="139">
        <v>42036.0</v>
      </c>
      <c r="BP17" s="139">
        <v>42064.0</v>
      </c>
      <c r="BQ17" s="139">
        <v>42095.0</v>
      </c>
      <c r="BR17" s="139">
        <v>42125.0</v>
      </c>
      <c r="BS17" s="139">
        <v>42156.0</v>
      </c>
      <c r="BT17" s="139">
        <v>42186.0</v>
      </c>
      <c r="BU17" s="139">
        <v>42217.0</v>
      </c>
      <c r="BV17" s="139">
        <v>42248.0</v>
      </c>
      <c r="BW17" s="139">
        <v>42278.0</v>
      </c>
      <c r="BX17" s="139">
        <v>42309.0</v>
      </c>
      <c r="BY17" s="139">
        <v>42339.0</v>
      </c>
      <c r="BZ17" s="139">
        <v>42370.0</v>
      </c>
      <c r="CA17" s="139">
        <v>42401.0</v>
      </c>
      <c r="CB17" s="139">
        <v>42430.0</v>
      </c>
      <c r="CC17" s="139">
        <v>42461.0</v>
      </c>
      <c r="CD17" s="139">
        <v>42491.0</v>
      </c>
      <c r="CE17" s="139">
        <v>42522.0</v>
      </c>
      <c r="CF17" s="139">
        <v>42552.0</v>
      </c>
      <c r="CG17" s="139">
        <v>42583.0</v>
      </c>
      <c r="CH17" s="139">
        <v>42614.0</v>
      </c>
      <c r="CI17" s="139">
        <v>42644.0</v>
      </c>
      <c r="CJ17" s="139">
        <v>42675.0</v>
      </c>
      <c r="CK17" s="139">
        <v>42705.0</v>
      </c>
      <c r="CL17" s="139">
        <v>42736.0</v>
      </c>
      <c r="CM17" s="139">
        <v>42767.0</v>
      </c>
      <c r="CN17" s="139">
        <v>42795.0</v>
      </c>
      <c r="CO17" s="139">
        <v>42826.0</v>
      </c>
      <c r="CP17" s="139">
        <v>42856.0</v>
      </c>
      <c r="CQ17" s="139">
        <v>42887.0</v>
      </c>
      <c r="CR17" s="139">
        <v>42917.0</v>
      </c>
      <c r="CS17" s="139">
        <v>42948.0</v>
      </c>
      <c r="CT17" s="139">
        <v>42979.0</v>
      </c>
      <c r="CU17" s="139">
        <v>43009.0</v>
      </c>
      <c r="CV17" s="139">
        <v>43040.0</v>
      </c>
      <c r="CW17" s="139">
        <v>43070.0</v>
      </c>
      <c r="CX17" s="139">
        <v>43101.0</v>
      </c>
      <c r="CY17" s="139">
        <v>43132.0</v>
      </c>
      <c r="CZ17" s="139">
        <v>43160.0</v>
      </c>
      <c r="DA17" s="139">
        <v>43191.0</v>
      </c>
      <c r="DB17" s="139">
        <v>43221.0</v>
      </c>
      <c r="DC17" s="139">
        <v>43252.0</v>
      </c>
      <c r="DD17" s="139">
        <v>43282.0</v>
      </c>
      <c r="DE17" s="139">
        <v>43313.0</v>
      </c>
      <c r="DF17" s="139">
        <v>43344.0</v>
      </c>
      <c r="DG17" s="139">
        <v>43374.0</v>
      </c>
      <c r="DH17" s="139">
        <v>43405.0</v>
      </c>
      <c r="DI17" s="139">
        <v>43435.0</v>
      </c>
      <c r="DJ17" s="139">
        <v>43466.0</v>
      </c>
      <c r="DK17" s="139">
        <v>43497.0</v>
      </c>
      <c r="DL17" s="139">
        <v>43525.0</v>
      </c>
      <c r="DM17" s="139">
        <v>43556.0</v>
      </c>
      <c r="DN17" s="139">
        <v>43586.0</v>
      </c>
      <c r="DO17" s="139">
        <v>43617.0</v>
      </c>
      <c r="DP17" s="139">
        <v>43647.0</v>
      </c>
      <c r="DQ17" s="139">
        <v>43678.0</v>
      </c>
      <c r="DR17" s="139">
        <v>43709.0</v>
      </c>
      <c r="DS17" s="139">
        <v>43739.0</v>
      </c>
      <c r="DT17" s="139">
        <v>43770.0</v>
      </c>
      <c r="DU17" s="139">
        <v>43800.0</v>
      </c>
      <c r="DV17" s="139">
        <v>43831.0</v>
      </c>
      <c r="DW17" s="139">
        <v>43862.0</v>
      </c>
      <c r="DX17" s="139">
        <v>43891.0</v>
      </c>
      <c r="DY17" s="139">
        <v>43922.0</v>
      </c>
      <c r="DZ17" s="139">
        <v>43952.0</v>
      </c>
      <c r="EA17" s="139">
        <v>43983.0</v>
      </c>
      <c r="EB17" s="139">
        <v>44013.0</v>
      </c>
      <c r="EC17" s="139">
        <v>44044.0</v>
      </c>
      <c r="ED17" s="139">
        <v>44075.0</v>
      </c>
      <c r="EE17" s="139">
        <v>44105.0</v>
      </c>
      <c r="EF17" s="139">
        <v>44136.0</v>
      </c>
      <c r="EG17" s="139">
        <v>44166.0</v>
      </c>
      <c r="EH17" s="139">
        <v>44197.0</v>
      </c>
      <c r="EI17" s="139">
        <v>44228.0</v>
      </c>
      <c r="EJ17" s="139">
        <v>44256.0</v>
      </c>
      <c r="EK17" s="139">
        <v>44287.0</v>
      </c>
      <c r="EL17" s="139">
        <v>44317.0</v>
      </c>
      <c r="EM17" s="139">
        <v>44348.0</v>
      </c>
      <c r="EN17" s="139">
        <v>44378.0</v>
      </c>
      <c r="EO17" s="139">
        <v>44409.0</v>
      </c>
      <c r="EP17" s="139">
        <v>44440.0</v>
      </c>
      <c r="EQ17" s="139">
        <v>44470.0</v>
      </c>
      <c r="ER17" s="139">
        <v>44501.0</v>
      </c>
      <c r="ES17" s="139">
        <v>44531.0</v>
      </c>
      <c r="ET17" s="139">
        <v>44562.0</v>
      </c>
      <c r="EU17" s="139">
        <v>44593.0</v>
      </c>
      <c r="EV17" s="139">
        <v>44621.0</v>
      </c>
      <c r="EW17" s="139">
        <v>44652.0</v>
      </c>
      <c r="EX17" s="139">
        <v>44682.0</v>
      </c>
      <c r="EY17" s="139">
        <v>44713.0</v>
      </c>
      <c r="EZ17" s="139">
        <v>44743.0</v>
      </c>
      <c r="FA17" s="139">
        <v>44774.0</v>
      </c>
      <c r="FB17" s="139">
        <v>44805.0</v>
      </c>
      <c r="FC17" s="139">
        <v>44835.0</v>
      </c>
      <c r="FD17" s="139">
        <v>44866.0</v>
      </c>
      <c r="FE17" s="139">
        <v>44896.0</v>
      </c>
      <c r="FF17" s="139">
        <v>44927.0</v>
      </c>
      <c r="FG17" s="139">
        <v>44958.0</v>
      </c>
      <c r="FH17" s="139">
        <v>44986.0</v>
      </c>
      <c r="FI17" s="139">
        <v>45017.0</v>
      </c>
      <c r="FJ17" s="139">
        <v>45047.0</v>
      </c>
      <c r="FK17" s="139">
        <v>45078.0</v>
      </c>
      <c r="FL17" s="139">
        <v>45108.0</v>
      </c>
      <c r="FM17" s="139">
        <v>45139.0</v>
      </c>
      <c r="FN17" s="139">
        <v>45170.0</v>
      </c>
      <c r="FO17" s="139">
        <v>45200.0</v>
      </c>
      <c r="FP17" s="139">
        <v>45231.0</v>
      </c>
      <c r="FQ17" s="139">
        <v>45261.0</v>
      </c>
      <c r="FR17" s="139">
        <v>45292.0</v>
      </c>
      <c r="FS17" s="139">
        <v>45323.0</v>
      </c>
      <c r="FT17" s="139">
        <v>45352.0</v>
      </c>
      <c r="FU17" s="139">
        <v>45383.0</v>
      </c>
      <c r="FV17" s="139">
        <v>45413.0</v>
      </c>
      <c r="FW17" s="139">
        <v>45444.0</v>
      </c>
      <c r="FX17" s="139">
        <v>45474.0</v>
      </c>
      <c r="FY17" s="139">
        <v>45505.0</v>
      </c>
      <c r="FZ17" s="139">
        <v>45536.0</v>
      </c>
      <c r="GA17" s="139">
        <v>45566.0</v>
      </c>
      <c r="GB17" s="139">
        <v>45597.0</v>
      </c>
      <c r="GC17" s="139">
        <v>45627.0</v>
      </c>
      <c r="GD17" s="139">
        <v>45658.0</v>
      </c>
      <c r="GE17" s="139">
        <v>45689.0</v>
      </c>
      <c r="GF17" s="139">
        <v>45717.0</v>
      </c>
      <c r="GG17" s="139">
        <v>45748.0</v>
      </c>
      <c r="GH17" s="139">
        <v>45778.0</v>
      </c>
      <c r="GI17" s="139">
        <v>45809.0</v>
      </c>
      <c r="GJ17" s="139">
        <v>45839.0</v>
      </c>
    </row>
    <row r="18">
      <c r="A18" s="133" t="s">
        <v>1720</v>
      </c>
      <c r="B18" s="134">
        <v>41453.70247685185</v>
      </c>
      <c r="C18" s="135" t="str">
        <f t="shared" si="1"/>
        <v>2013/06/28</v>
      </c>
      <c r="D18" s="136" t="s">
        <v>34250</v>
      </c>
      <c r="E18" s="151">
        <v>0.0</v>
      </c>
      <c r="F18" s="138">
        <v>40179.0</v>
      </c>
      <c r="G18" s="138">
        <v>40210.0</v>
      </c>
      <c r="H18" s="138">
        <v>40238.0</v>
      </c>
      <c r="I18" s="138">
        <v>40269.0</v>
      </c>
      <c r="J18" s="138">
        <v>40299.0</v>
      </c>
      <c r="K18" s="138">
        <v>40330.0</v>
      </c>
      <c r="L18" s="138">
        <v>40360.0</v>
      </c>
      <c r="M18" s="138">
        <v>40391.0</v>
      </c>
      <c r="N18" s="138">
        <v>40422.0</v>
      </c>
      <c r="O18" s="138">
        <v>40452.0</v>
      </c>
      <c r="P18" s="138">
        <v>40483.0</v>
      </c>
      <c r="Q18" s="138">
        <v>40513.0</v>
      </c>
      <c r="R18" s="138">
        <v>40544.0</v>
      </c>
      <c r="S18" s="138">
        <v>40575.0</v>
      </c>
      <c r="T18" s="138">
        <v>40603.0</v>
      </c>
      <c r="U18" s="138">
        <v>40634.0</v>
      </c>
      <c r="V18" s="138">
        <v>40664.0</v>
      </c>
      <c r="W18" s="138">
        <v>40695.0</v>
      </c>
      <c r="X18" s="138">
        <v>40725.0</v>
      </c>
      <c r="Y18" s="138">
        <v>40756.0</v>
      </c>
      <c r="Z18" s="138">
        <v>40787.0</v>
      </c>
      <c r="AA18" s="138">
        <v>40817.0</v>
      </c>
      <c r="AB18" s="138">
        <v>40848.0</v>
      </c>
      <c r="AC18" s="138">
        <v>40878.0</v>
      </c>
      <c r="AD18" s="138">
        <v>40909.0</v>
      </c>
      <c r="AE18" s="138">
        <v>40940.0</v>
      </c>
      <c r="AF18" s="138">
        <v>40969.0</v>
      </c>
      <c r="AG18" s="138">
        <v>41000.0</v>
      </c>
      <c r="AH18" s="138">
        <v>41030.0</v>
      </c>
      <c r="AI18" s="138">
        <v>41061.0</v>
      </c>
      <c r="AJ18" s="138">
        <v>41091.0</v>
      </c>
      <c r="AK18" s="138">
        <v>41122.0</v>
      </c>
      <c r="AL18" s="138">
        <v>41153.0</v>
      </c>
      <c r="AM18" s="138">
        <v>41183.0</v>
      </c>
      <c r="AN18" s="138">
        <v>41214.0</v>
      </c>
      <c r="AO18" s="138">
        <v>41244.0</v>
      </c>
      <c r="AP18" s="138">
        <v>41275.0</v>
      </c>
      <c r="AQ18" s="138">
        <v>41306.0</v>
      </c>
      <c r="AR18" s="138">
        <v>41334.0</v>
      </c>
      <c r="AS18" s="138">
        <v>41365.0</v>
      </c>
      <c r="AT18" s="138">
        <v>41395.0</v>
      </c>
      <c r="AU18" s="138">
        <v>41426.0</v>
      </c>
      <c r="AV18" s="139">
        <v>41456.0</v>
      </c>
      <c r="AW18" s="139">
        <v>41487.0</v>
      </c>
      <c r="AX18" s="139">
        <v>41518.0</v>
      </c>
      <c r="AY18" s="139">
        <v>41548.0</v>
      </c>
      <c r="AZ18" s="139">
        <v>41579.0</v>
      </c>
      <c r="BA18" s="139">
        <v>41609.0</v>
      </c>
      <c r="BB18" s="139">
        <v>41640.0</v>
      </c>
      <c r="BC18" s="139">
        <v>41671.0</v>
      </c>
      <c r="BD18" s="139">
        <v>41699.0</v>
      </c>
      <c r="BE18" s="139">
        <v>41730.0</v>
      </c>
      <c r="BF18" s="139">
        <v>41760.0</v>
      </c>
      <c r="BG18" s="139">
        <v>41791.0</v>
      </c>
      <c r="BH18" s="139">
        <v>41821.0</v>
      </c>
      <c r="BI18" s="139">
        <v>41852.0</v>
      </c>
      <c r="BJ18" s="139">
        <v>41883.0</v>
      </c>
      <c r="BK18" s="139">
        <v>41913.0</v>
      </c>
      <c r="BL18" s="139">
        <v>41944.0</v>
      </c>
      <c r="BM18" s="139">
        <v>41974.0</v>
      </c>
      <c r="BN18" s="139">
        <v>42005.0</v>
      </c>
      <c r="BO18" s="139">
        <v>42036.0</v>
      </c>
      <c r="BP18" s="139">
        <v>42064.0</v>
      </c>
      <c r="BQ18" s="139">
        <v>42095.0</v>
      </c>
      <c r="BR18" s="139">
        <v>42125.0</v>
      </c>
      <c r="BS18" s="139">
        <v>42156.0</v>
      </c>
      <c r="BT18" s="139">
        <v>42186.0</v>
      </c>
      <c r="BU18" s="139">
        <v>42217.0</v>
      </c>
      <c r="BV18" s="139">
        <v>42248.0</v>
      </c>
      <c r="BW18" s="139">
        <v>42278.0</v>
      </c>
      <c r="BX18" s="139">
        <v>42309.0</v>
      </c>
      <c r="BY18" s="139">
        <v>42339.0</v>
      </c>
      <c r="BZ18" s="139">
        <v>42370.0</v>
      </c>
      <c r="CA18" s="139">
        <v>42401.0</v>
      </c>
      <c r="CB18" s="139">
        <v>42430.0</v>
      </c>
      <c r="CC18" s="139">
        <v>42461.0</v>
      </c>
      <c r="CD18" s="139">
        <v>42491.0</v>
      </c>
      <c r="CE18" s="139">
        <v>42522.0</v>
      </c>
      <c r="CF18" s="139">
        <v>42552.0</v>
      </c>
      <c r="CG18" s="139">
        <v>42583.0</v>
      </c>
      <c r="CH18" s="139">
        <v>42614.0</v>
      </c>
      <c r="CI18" s="139">
        <v>42644.0</v>
      </c>
      <c r="CJ18" s="139">
        <v>42675.0</v>
      </c>
      <c r="CK18" s="139">
        <v>42705.0</v>
      </c>
      <c r="CL18" s="139">
        <v>42736.0</v>
      </c>
      <c r="CM18" s="139">
        <v>42767.0</v>
      </c>
      <c r="CN18" s="139">
        <v>42795.0</v>
      </c>
      <c r="CO18" s="139">
        <v>42826.0</v>
      </c>
      <c r="CP18" s="139">
        <v>42856.0</v>
      </c>
      <c r="CQ18" s="139">
        <v>42887.0</v>
      </c>
      <c r="CR18" s="139">
        <v>42917.0</v>
      </c>
      <c r="CS18" s="139">
        <v>42948.0</v>
      </c>
      <c r="CT18" s="139">
        <v>42979.0</v>
      </c>
      <c r="CU18" s="139">
        <v>43009.0</v>
      </c>
      <c r="CV18" s="139">
        <v>43040.0</v>
      </c>
      <c r="CW18" s="139">
        <v>43070.0</v>
      </c>
      <c r="CX18" s="139">
        <v>43101.0</v>
      </c>
      <c r="CY18" s="139">
        <v>43132.0</v>
      </c>
      <c r="CZ18" s="139">
        <v>43160.0</v>
      </c>
      <c r="DA18" s="139">
        <v>43191.0</v>
      </c>
      <c r="DB18" s="139">
        <v>43221.0</v>
      </c>
      <c r="DC18" s="139">
        <v>43252.0</v>
      </c>
      <c r="DD18" s="139">
        <v>43282.0</v>
      </c>
      <c r="DE18" s="139">
        <v>43313.0</v>
      </c>
      <c r="DF18" s="139">
        <v>43344.0</v>
      </c>
      <c r="DG18" s="139">
        <v>43374.0</v>
      </c>
      <c r="DH18" s="139">
        <v>43405.0</v>
      </c>
      <c r="DI18" s="139">
        <v>43435.0</v>
      </c>
      <c r="DJ18" s="139">
        <v>43466.0</v>
      </c>
      <c r="DK18" s="139">
        <v>43497.0</v>
      </c>
      <c r="DL18" s="139">
        <v>43525.0</v>
      </c>
      <c r="DM18" s="139">
        <v>43556.0</v>
      </c>
      <c r="DN18" s="139">
        <v>43586.0</v>
      </c>
      <c r="DO18" s="139">
        <v>43617.0</v>
      </c>
      <c r="DP18" s="139">
        <v>43647.0</v>
      </c>
      <c r="DQ18" s="139">
        <v>43678.0</v>
      </c>
      <c r="DR18" s="139">
        <v>43709.0</v>
      </c>
      <c r="DS18" s="139">
        <v>43739.0</v>
      </c>
      <c r="DT18" s="139">
        <v>43770.0</v>
      </c>
      <c r="DU18" s="139">
        <v>43800.0</v>
      </c>
      <c r="DV18" s="139">
        <v>43831.0</v>
      </c>
      <c r="DW18" s="139">
        <v>43862.0</v>
      </c>
      <c r="DX18" s="139">
        <v>43891.0</v>
      </c>
      <c r="DY18" s="139">
        <v>43922.0</v>
      </c>
      <c r="DZ18" s="139">
        <v>43952.0</v>
      </c>
      <c r="EA18" s="139">
        <v>43983.0</v>
      </c>
      <c r="EB18" s="139">
        <v>44013.0</v>
      </c>
      <c r="EC18" s="139">
        <v>44044.0</v>
      </c>
      <c r="ED18" s="139">
        <v>44075.0</v>
      </c>
      <c r="EE18" s="139">
        <v>44105.0</v>
      </c>
      <c r="EF18" s="139">
        <v>44136.0</v>
      </c>
      <c r="EG18" s="139">
        <v>44166.0</v>
      </c>
      <c r="EH18" s="139">
        <v>44197.0</v>
      </c>
      <c r="EI18" s="139">
        <v>44228.0</v>
      </c>
      <c r="EJ18" s="139">
        <v>44256.0</v>
      </c>
      <c r="EK18" s="139">
        <v>44287.0</v>
      </c>
      <c r="EL18" s="139">
        <v>44317.0</v>
      </c>
      <c r="EM18" s="139">
        <v>44348.0</v>
      </c>
      <c r="EN18" s="139">
        <v>44378.0</v>
      </c>
      <c r="EO18" s="139">
        <v>44409.0</v>
      </c>
      <c r="EP18" s="139">
        <v>44440.0</v>
      </c>
      <c r="EQ18" s="139">
        <v>44470.0</v>
      </c>
      <c r="ER18" s="139">
        <v>44501.0</v>
      </c>
      <c r="ES18" s="139">
        <v>44531.0</v>
      </c>
      <c r="ET18" s="139">
        <v>44562.0</v>
      </c>
      <c r="EU18" s="139">
        <v>44593.0</v>
      </c>
      <c r="EV18" s="139">
        <v>44621.0</v>
      </c>
      <c r="EW18" s="139">
        <v>44652.0</v>
      </c>
      <c r="EX18" s="139">
        <v>44682.0</v>
      </c>
      <c r="EY18" s="139">
        <v>44713.0</v>
      </c>
      <c r="EZ18" s="139">
        <v>44743.0</v>
      </c>
      <c r="FA18" s="139">
        <v>44774.0</v>
      </c>
      <c r="FB18" s="139">
        <v>44805.0</v>
      </c>
      <c r="FC18" s="139">
        <v>44835.0</v>
      </c>
      <c r="FD18" s="139">
        <v>44866.0</v>
      </c>
      <c r="FE18" s="139">
        <v>44896.0</v>
      </c>
      <c r="FF18" s="139">
        <v>44927.0</v>
      </c>
      <c r="FG18" s="139">
        <v>44958.0</v>
      </c>
      <c r="FH18" s="139">
        <v>44986.0</v>
      </c>
      <c r="FI18" s="139">
        <v>45017.0</v>
      </c>
      <c r="FJ18" s="139">
        <v>45047.0</v>
      </c>
      <c r="FK18" s="139">
        <v>45078.0</v>
      </c>
      <c r="FL18" s="139">
        <v>45108.0</v>
      </c>
      <c r="FM18" s="139">
        <v>45139.0</v>
      </c>
      <c r="FN18" s="139">
        <v>45170.0</v>
      </c>
      <c r="FO18" s="139">
        <v>45200.0</v>
      </c>
      <c r="FP18" s="139">
        <v>45231.0</v>
      </c>
      <c r="FQ18" s="139">
        <v>45261.0</v>
      </c>
      <c r="FR18" s="139">
        <v>45292.0</v>
      </c>
      <c r="FS18" s="139">
        <v>45323.0</v>
      </c>
      <c r="FT18" s="139">
        <v>45352.0</v>
      </c>
      <c r="FU18" s="139">
        <v>45383.0</v>
      </c>
      <c r="FV18" s="139">
        <v>45413.0</v>
      </c>
      <c r="FW18" s="139">
        <v>45444.0</v>
      </c>
      <c r="FX18" s="139">
        <v>45474.0</v>
      </c>
      <c r="FY18" s="139">
        <v>45505.0</v>
      </c>
      <c r="FZ18" s="139">
        <v>45536.0</v>
      </c>
      <c r="GA18" s="139">
        <v>45566.0</v>
      </c>
      <c r="GB18" s="139">
        <v>45597.0</v>
      </c>
      <c r="GC18" s="139">
        <v>45627.0</v>
      </c>
      <c r="GD18" s="139">
        <v>45658.0</v>
      </c>
      <c r="GE18" s="139">
        <v>45689.0</v>
      </c>
      <c r="GF18" s="139">
        <v>45717.0</v>
      </c>
      <c r="GG18" s="139">
        <v>45748.0</v>
      </c>
      <c r="GH18" s="139">
        <v>45778.0</v>
      </c>
      <c r="GI18" s="139">
        <v>45809.0</v>
      </c>
      <c r="GJ18" s="139">
        <v>45839.0</v>
      </c>
    </row>
    <row r="19">
      <c r="A19" s="133" t="s">
        <v>1528</v>
      </c>
      <c r="B19" s="134">
        <v>41456.497025462966</v>
      </c>
      <c r="C19" s="135" t="str">
        <f t="shared" si="1"/>
        <v>2013/07/01</v>
      </c>
      <c r="D19" s="136" t="s">
        <v>33912</v>
      </c>
      <c r="E19" s="151">
        <v>0.0</v>
      </c>
      <c r="F19" s="138">
        <v>40179.0</v>
      </c>
      <c r="G19" s="138">
        <v>40210.0</v>
      </c>
      <c r="H19" s="138">
        <v>40238.0</v>
      </c>
      <c r="I19" s="138">
        <v>40269.0</v>
      </c>
      <c r="J19" s="138">
        <v>40299.0</v>
      </c>
      <c r="K19" s="138">
        <v>40330.0</v>
      </c>
      <c r="L19" s="138">
        <v>40360.0</v>
      </c>
      <c r="M19" s="138">
        <v>40391.0</v>
      </c>
      <c r="N19" s="138">
        <v>40422.0</v>
      </c>
      <c r="O19" s="138">
        <v>40452.0</v>
      </c>
      <c r="P19" s="138">
        <v>40483.0</v>
      </c>
      <c r="Q19" s="138">
        <v>40513.0</v>
      </c>
      <c r="R19" s="138">
        <v>40544.0</v>
      </c>
      <c r="S19" s="138">
        <v>40575.0</v>
      </c>
      <c r="T19" s="138">
        <v>40603.0</v>
      </c>
      <c r="U19" s="138">
        <v>40634.0</v>
      </c>
      <c r="V19" s="138">
        <v>40664.0</v>
      </c>
      <c r="W19" s="138">
        <v>40695.0</v>
      </c>
      <c r="X19" s="138">
        <v>40725.0</v>
      </c>
      <c r="Y19" s="138">
        <v>40756.0</v>
      </c>
      <c r="Z19" s="138">
        <v>40787.0</v>
      </c>
      <c r="AA19" s="138">
        <v>40817.0</v>
      </c>
      <c r="AB19" s="138">
        <v>40848.0</v>
      </c>
      <c r="AC19" s="138">
        <v>40878.0</v>
      </c>
      <c r="AD19" s="138">
        <v>40909.0</v>
      </c>
      <c r="AE19" s="138">
        <v>40940.0</v>
      </c>
      <c r="AF19" s="138">
        <v>40969.0</v>
      </c>
      <c r="AG19" s="138">
        <v>41000.0</v>
      </c>
      <c r="AH19" s="138">
        <v>41030.0</v>
      </c>
      <c r="AI19" s="138">
        <v>41061.0</v>
      </c>
      <c r="AJ19" s="138">
        <v>41091.0</v>
      </c>
      <c r="AK19" s="138">
        <v>41122.0</v>
      </c>
      <c r="AL19" s="138">
        <v>41153.0</v>
      </c>
      <c r="AM19" s="138">
        <v>41183.0</v>
      </c>
      <c r="AN19" s="138">
        <v>41214.0</v>
      </c>
      <c r="AO19" s="138">
        <v>41244.0</v>
      </c>
      <c r="AP19" s="138">
        <v>41275.0</v>
      </c>
      <c r="AQ19" s="138">
        <v>41306.0</v>
      </c>
      <c r="AR19" s="138">
        <v>41334.0</v>
      </c>
      <c r="AS19" s="138">
        <v>41365.0</v>
      </c>
      <c r="AT19" s="138">
        <v>41395.0</v>
      </c>
      <c r="AU19" s="138">
        <v>41426.0</v>
      </c>
      <c r="AV19" s="138">
        <v>41456.0</v>
      </c>
      <c r="AW19" s="139">
        <v>41487.0</v>
      </c>
      <c r="AX19" s="139">
        <v>41518.0</v>
      </c>
      <c r="AY19" s="139">
        <v>41548.0</v>
      </c>
      <c r="AZ19" s="139">
        <v>41579.0</v>
      </c>
      <c r="BA19" s="139">
        <v>41609.0</v>
      </c>
      <c r="BB19" s="139">
        <v>41640.0</v>
      </c>
      <c r="BC19" s="139">
        <v>41671.0</v>
      </c>
      <c r="BD19" s="139">
        <v>41699.0</v>
      </c>
      <c r="BE19" s="139">
        <v>41730.0</v>
      </c>
      <c r="BF19" s="139">
        <v>41760.0</v>
      </c>
      <c r="BG19" s="139">
        <v>41791.0</v>
      </c>
      <c r="BH19" s="139">
        <v>41821.0</v>
      </c>
      <c r="BI19" s="139">
        <v>41852.0</v>
      </c>
      <c r="BJ19" s="139">
        <v>41883.0</v>
      </c>
      <c r="BK19" s="139">
        <v>41913.0</v>
      </c>
      <c r="BL19" s="139">
        <v>41944.0</v>
      </c>
      <c r="BM19" s="139">
        <v>41974.0</v>
      </c>
      <c r="BN19" s="139">
        <v>42005.0</v>
      </c>
      <c r="BO19" s="139">
        <v>42036.0</v>
      </c>
      <c r="BP19" s="139">
        <v>42064.0</v>
      </c>
      <c r="BQ19" s="139">
        <v>42095.0</v>
      </c>
      <c r="BR19" s="139">
        <v>42125.0</v>
      </c>
      <c r="BS19" s="139">
        <v>42156.0</v>
      </c>
      <c r="BT19" s="139">
        <v>42186.0</v>
      </c>
      <c r="BU19" s="139">
        <v>42217.0</v>
      </c>
      <c r="BV19" s="139">
        <v>42248.0</v>
      </c>
      <c r="BW19" s="139">
        <v>42278.0</v>
      </c>
      <c r="BX19" s="139">
        <v>42309.0</v>
      </c>
      <c r="BY19" s="139">
        <v>42339.0</v>
      </c>
      <c r="BZ19" s="139">
        <v>42370.0</v>
      </c>
      <c r="CA19" s="139">
        <v>42401.0</v>
      </c>
      <c r="CB19" s="139">
        <v>42430.0</v>
      </c>
      <c r="CC19" s="139">
        <v>42461.0</v>
      </c>
      <c r="CD19" s="139">
        <v>42491.0</v>
      </c>
      <c r="CE19" s="139">
        <v>42522.0</v>
      </c>
      <c r="CF19" s="139">
        <v>42552.0</v>
      </c>
      <c r="CG19" s="139">
        <v>42583.0</v>
      </c>
      <c r="CH19" s="139">
        <v>42614.0</v>
      </c>
      <c r="CI19" s="139">
        <v>42644.0</v>
      </c>
      <c r="CJ19" s="139">
        <v>42675.0</v>
      </c>
      <c r="CK19" s="139">
        <v>42705.0</v>
      </c>
      <c r="CL19" s="139">
        <v>42736.0</v>
      </c>
      <c r="CM19" s="139">
        <v>42767.0</v>
      </c>
      <c r="CN19" s="139">
        <v>42795.0</v>
      </c>
      <c r="CO19" s="139">
        <v>42826.0</v>
      </c>
      <c r="CP19" s="139">
        <v>42856.0</v>
      </c>
      <c r="CQ19" s="139">
        <v>42887.0</v>
      </c>
      <c r="CR19" s="139">
        <v>42917.0</v>
      </c>
      <c r="CS19" s="139">
        <v>42948.0</v>
      </c>
      <c r="CT19" s="139">
        <v>42979.0</v>
      </c>
      <c r="CU19" s="139">
        <v>43009.0</v>
      </c>
      <c r="CV19" s="139">
        <v>43040.0</v>
      </c>
      <c r="CW19" s="139">
        <v>43070.0</v>
      </c>
      <c r="CX19" s="139">
        <v>43101.0</v>
      </c>
      <c r="CY19" s="139">
        <v>43132.0</v>
      </c>
      <c r="CZ19" s="139">
        <v>43160.0</v>
      </c>
      <c r="DA19" s="139">
        <v>43191.0</v>
      </c>
      <c r="DB19" s="139">
        <v>43221.0</v>
      </c>
      <c r="DC19" s="139">
        <v>43252.0</v>
      </c>
      <c r="DD19" s="139">
        <v>43282.0</v>
      </c>
      <c r="DE19" s="139">
        <v>43313.0</v>
      </c>
      <c r="DF19" s="139">
        <v>43344.0</v>
      </c>
      <c r="DG19" s="139">
        <v>43374.0</v>
      </c>
      <c r="DH19" s="139">
        <v>43405.0</v>
      </c>
      <c r="DI19" s="139">
        <v>43435.0</v>
      </c>
      <c r="DJ19" s="139">
        <v>43466.0</v>
      </c>
      <c r="DK19" s="139">
        <v>43497.0</v>
      </c>
      <c r="DL19" s="139">
        <v>43525.0</v>
      </c>
      <c r="DM19" s="139">
        <v>43556.0</v>
      </c>
      <c r="DN19" s="139">
        <v>43586.0</v>
      </c>
      <c r="DO19" s="139">
        <v>43617.0</v>
      </c>
      <c r="DP19" s="139">
        <v>43647.0</v>
      </c>
      <c r="DQ19" s="139">
        <v>43678.0</v>
      </c>
      <c r="DR19" s="139">
        <v>43709.0</v>
      </c>
      <c r="DS19" s="139">
        <v>43739.0</v>
      </c>
      <c r="DT19" s="139">
        <v>43770.0</v>
      </c>
      <c r="DU19" s="139">
        <v>43800.0</v>
      </c>
      <c r="DV19" s="139">
        <v>43831.0</v>
      </c>
      <c r="DW19" s="139">
        <v>43862.0</v>
      </c>
      <c r="DX19" s="139">
        <v>43891.0</v>
      </c>
      <c r="DY19" s="139">
        <v>43922.0</v>
      </c>
      <c r="DZ19" s="139">
        <v>43952.0</v>
      </c>
      <c r="EA19" s="139">
        <v>43983.0</v>
      </c>
      <c r="EB19" s="139">
        <v>44013.0</v>
      </c>
      <c r="EC19" s="139">
        <v>44044.0</v>
      </c>
      <c r="ED19" s="139">
        <v>44075.0</v>
      </c>
      <c r="EE19" s="139">
        <v>44105.0</v>
      </c>
      <c r="EF19" s="139">
        <v>44136.0</v>
      </c>
      <c r="EG19" s="139">
        <v>44166.0</v>
      </c>
      <c r="EH19" s="139">
        <v>44197.0</v>
      </c>
      <c r="EI19" s="139">
        <v>44228.0</v>
      </c>
      <c r="EJ19" s="139">
        <v>44256.0</v>
      </c>
      <c r="EK19" s="139">
        <v>44287.0</v>
      </c>
      <c r="EL19" s="139">
        <v>44317.0</v>
      </c>
      <c r="EM19" s="139">
        <v>44348.0</v>
      </c>
      <c r="EN19" s="139">
        <v>44378.0</v>
      </c>
      <c r="EO19" s="139">
        <v>44409.0</v>
      </c>
      <c r="EP19" s="139">
        <v>44440.0</v>
      </c>
      <c r="EQ19" s="139">
        <v>44470.0</v>
      </c>
      <c r="ER19" s="139">
        <v>44501.0</v>
      </c>
      <c r="ES19" s="139">
        <v>44531.0</v>
      </c>
      <c r="ET19" s="139">
        <v>44562.0</v>
      </c>
      <c r="EU19" s="139">
        <v>44593.0</v>
      </c>
      <c r="EV19" s="139">
        <v>44621.0</v>
      </c>
      <c r="EW19" s="139">
        <v>44652.0</v>
      </c>
      <c r="EX19" s="139">
        <v>44682.0</v>
      </c>
      <c r="EY19" s="139">
        <v>44713.0</v>
      </c>
      <c r="EZ19" s="139">
        <v>44743.0</v>
      </c>
      <c r="FA19" s="139">
        <v>44774.0</v>
      </c>
      <c r="FB19" s="139">
        <v>44805.0</v>
      </c>
      <c r="FC19" s="139">
        <v>44835.0</v>
      </c>
      <c r="FD19" s="139">
        <v>44866.0</v>
      </c>
      <c r="FE19" s="139">
        <v>44896.0</v>
      </c>
      <c r="FF19" s="139">
        <v>44927.0</v>
      </c>
      <c r="FG19" s="139">
        <v>44958.0</v>
      </c>
      <c r="FH19" s="139">
        <v>44986.0</v>
      </c>
      <c r="FI19" s="139">
        <v>45017.0</v>
      </c>
      <c r="FJ19" s="139">
        <v>45047.0</v>
      </c>
      <c r="FK19" s="139">
        <v>45078.0</v>
      </c>
      <c r="FL19" s="139">
        <v>45108.0</v>
      </c>
      <c r="FM19" s="139">
        <v>45139.0</v>
      </c>
      <c r="FN19" s="139">
        <v>45170.0</v>
      </c>
      <c r="FO19" s="139">
        <v>45200.0</v>
      </c>
      <c r="FP19" s="139">
        <v>45231.0</v>
      </c>
      <c r="FQ19" s="139">
        <v>45261.0</v>
      </c>
      <c r="FR19" s="139">
        <v>45292.0</v>
      </c>
      <c r="FS19" s="139">
        <v>45323.0</v>
      </c>
      <c r="FT19" s="139">
        <v>45352.0</v>
      </c>
      <c r="FU19" s="139">
        <v>45383.0</v>
      </c>
      <c r="FV19" s="139">
        <v>45413.0</v>
      </c>
      <c r="FW19" s="139">
        <v>45444.0</v>
      </c>
      <c r="FX19" s="139">
        <v>45474.0</v>
      </c>
      <c r="FY19" s="139">
        <v>45505.0</v>
      </c>
      <c r="FZ19" s="139">
        <v>45536.0</v>
      </c>
      <c r="GA19" s="139">
        <v>45566.0</v>
      </c>
      <c r="GB19" s="139">
        <v>45597.0</v>
      </c>
      <c r="GC19" s="139">
        <v>45627.0</v>
      </c>
      <c r="GD19" s="139">
        <v>45658.0</v>
      </c>
      <c r="GE19" s="139">
        <v>45689.0</v>
      </c>
      <c r="GF19" s="139">
        <v>45717.0</v>
      </c>
      <c r="GG19" s="139">
        <v>45748.0</v>
      </c>
      <c r="GH19" s="139">
        <v>45778.0</v>
      </c>
      <c r="GI19" s="139">
        <v>45809.0</v>
      </c>
      <c r="GJ19" s="139">
        <v>45839.0</v>
      </c>
    </row>
    <row r="20">
      <c r="A20" s="133" t="s">
        <v>1691</v>
      </c>
      <c r="B20" s="134">
        <v>41456.77663194444</v>
      </c>
      <c r="C20" s="135" t="str">
        <f t="shared" si="1"/>
        <v>2013/07/01</v>
      </c>
      <c r="D20" s="136" t="s">
        <v>33977</v>
      </c>
      <c r="E20" s="151">
        <v>0.0</v>
      </c>
      <c r="F20" s="138">
        <v>40179.0</v>
      </c>
      <c r="G20" s="138">
        <v>40210.0</v>
      </c>
      <c r="H20" s="138">
        <v>40238.0</v>
      </c>
      <c r="I20" s="138">
        <v>40269.0</v>
      </c>
      <c r="J20" s="138">
        <v>40299.0</v>
      </c>
      <c r="K20" s="138">
        <v>40330.0</v>
      </c>
      <c r="L20" s="138">
        <v>40360.0</v>
      </c>
      <c r="M20" s="138">
        <v>40391.0</v>
      </c>
      <c r="N20" s="138">
        <v>40422.0</v>
      </c>
      <c r="O20" s="138">
        <v>40452.0</v>
      </c>
      <c r="P20" s="138">
        <v>40483.0</v>
      </c>
      <c r="Q20" s="138">
        <v>40513.0</v>
      </c>
      <c r="R20" s="138">
        <v>40544.0</v>
      </c>
      <c r="S20" s="138">
        <v>40575.0</v>
      </c>
      <c r="T20" s="138">
        <v>40603.0</v>
      </c>
      <c r="U20" s="138">
        <v>40634.0</v>
      </c>
      <c r="V20" s="138">
        <v>40664.0</v>
      </c>
      <c r="W20" s="138">
        <v>40695.0</v>
      </c>
      <c r="X20" s="138">
        <v>40725.0</v>
      </c>
      <c r="Y20" s="138">
        <v>40756.0</v>
      </c>
      <c r="Z20" s="138">
        <v>40787.0</v>
      </c>
      <c r="AA20" s="138">
        <v>40817.0</v>
      </c>
      <c r="AB20" s="138">
        <v>40848.0</v>
      </c>
      <c r="AC20" s="138">
        <v>40878.0</v>
      </c>
      <c r="AD20" s="138">
        <v>40909.0</v>
      </c>
      <c r="AE20" s="138">
        <v>40940.0</v>
      </c>
      <c r="AF20" s="138">
        <v>40969.0</v>
      </c>
      <c r="AG20" s="138">
        <v>41000.0</v>
      </c>
      <c r="AH20" s="138">
        <v>41030.0</v>
      </c>
      <c r="AI20" s="138">
        <v>41061.0</v>
      </c>
      <c r="AJ20" s="138">
        <v>41091.0</v>
      </c>
      <c r="AK20" s="138">
        <v>41122.0</v>
      </c>
      <c r="AL20" s="138">
        <v>41153.0</v>
      </c>
      <c r="AM20" s="138">
        <v>41183.0</v>
      </c>
      <c r="AN20" s="138">
        <v>41214.0</v>
      </c>
      <c r="AO20" s="138">
        <v>41244.0</v>
      </c>
      <c r="AP20" s="138">
        <v>41275.0</v>
      </c>
      <c r="AQ20" s="138">
        <v>41306.0</v>
      </c>
      <c r="AR20" s="138">
        <v>41334.0</v>
      </c>
      <c r="AS20" s="138">
        <v>41365.0</v>
      </c>
      <c r="AT20" s="138">
        <v>41395.0</v>
      </c>
      <c r="AU20" s="138">
        <v>41426.0</v>
      </c>
      <c r="AV20" s="138">
        <v>41456.0</v>
      </c>
      <c r="AW20" s="139">
        <v>41487.0</v>
      </c>
      <c r="AX20" s="139">
        <v>41518.0</v>
      </c>
      <c r="AY20" s="139">
        <v>41548.0</v>
      </c>
      <c r="AZ20" s="139">
        <v>41579.0</v>
      </c>
      <c r="BA20" s="139">
        <v>41609.0</v>
      </c>
      <c r="BB20" s="139">
        <v>41640.0</v>
      </c>
      <c r="BC20" s="139">
        <v>41671.0</v>
      </c>
      <c r="BD20" s="139">
        <v>41699.0</v>
      </c>
      <c r="BE20" s="139">
        <v>41730.0</v>
      </c>
      <c r="BF20" s="139">
        <v>41760.0</v>
      </c>
      <c r="BG20" s="139">
        <v>41791.0</v>
      </c>
      <c r="BH20" s="139">
        <v>41821.0</v>
      </c>
      <c r="BI20" s="139">
        <v>41852.0</v>
      </c>
      <c r="BJ20" s="139">
        <v>41883.0</v>
      </c>
      <c r="BK20" s="139">
        <v>41913.0</v>
      </c>
      <c r="BL20" s="139">
        <v>41944.0</v>
      </c>
      <c r="BM20" s="139">
        <v>41974.0</v>
      </c>
      <c r="BN20" s="139">
        <v>42005.0</v>
      </c>
      <c r="BO20" s="139">
        <v>42036.0</v>
      </c>
      <c r="BP20" s="139">
        <v>42064.0</v>
      </c>
      <c r="BQ20" s="139">
        <v>42095.0</v>
      </c>
      <c r="BR20" s="139">
        <v>42125.0</v>
      </c>
      <c r="BS20" s="139">
        <v>42156.0</v>
      </c>
      <c r="BT20" s="139">
        <v>42186.0</v>
      </c>
      <c r="BU20" s="139">
        <v>42217.0</v>
      </c>
      <c r="BV20" s="139">
        <v>42248.0</v>
      </c>
      <c r="BW20" s="139">
        <v>42278.0</v>
      </c>
      <c r="BX20" s="139">
        <v>42309.0</v>
      </c>
      <c r="BY20" s="139">
        <v>42339.0</v>
      </c>
      <c r="BZ20" s="139">
        <v>42370.0</v>
      </c>
      <c r="CA20" s="139">
        <v>42401.0</v>
      </c>
      <c r="CB20" s="139">
        <v>42430.0</v>
      </c>
      <c r="CC20" s="139">
        <v>42461.0</v>
      </c>
      <c r="CD20" s="139">
        <v>42491.0</v>
      </c>
      <c r="CE20" s="139">
        <v>42522.0</v>
      </c>
      <c r="CF20" s="139">
        <v>42552.0</v>
      </c>
      <c r="CG20" s="139">
        <v>42583.0</v>
      </c>
      <c r="CH20" s="139">
        <v>42614.0</v>
      </c>
      <c r="CI20" s="139">
        <v>42644.0</v>
      </c>
      <c r="CJ20" s="139">
        <v>42675.0</v>
      </c>
      <c r="CK20" s="139">
        <v>42705.0</v>
      </c>
      <c r="CL20" s="139">
        <v>42736.0</v>
      </c>
      <c r="CM20" s="139">
        <v>42767.0</v>
      </c>
      <c r="CN20" s="139">
        <v>42795.0</v>
      </c>
      <c r="CO20" s="139">
        <v>42826.0</v>
      </c>
      <c r="CP20" s="139">
        <v>42856.0</v>
      </c>
      <c r="CQ20" s="139">
        <v>42887.0</v>
      </c>
      <c r="CR20" s="139">
        <v>42917.0</v>
      </c>
      <c r="CS20" s="139">
        <v>42948.0</v>
      </c>
      <c r="CT20" s="139">
        <v>42979.0</v>
      </c>
      <c r="CU20" s="139">
        <v>43009.0</v>
      </c>
      <c r="CV20" s="139">
        <v>43040.0</v>
      </c>
      <c r="CW20" s="139">
        <v>43070.0</v>
      </c>
      <c r="CX20" s="139">
        <v>43101.0</v>
      </c>
      <c r="CY20" s="139">
        <v>43132.0</v>
      </c>
      <c r="CZ20" s="139">
        <v>43160.0</v>
      </c>
      <c r="DA20" s="139">
        <v>43191.0</v>
      </c>
      <c r="DB20" s="139">
        <v>43221.0</v>
      </c>
      <c r="DC20" s="139">
        <v>43252.0</v>
      </c>
      <c r="DD20" s="139">
        <v>43282.0</v>
      </c>
      <c r="DE20" s="139">
        <v>43313.0</v>
      </c>
      <c r="DF20" s="139">
        <v>43344.0</v>
      </c>
      <c r="DG20" s="139">
        <v>43374.0</v>
      </c>
      <c r="DH20" s="139">
        <v>43405.0</v>
      </c>
      <c r="DI20" s="139">
        <v>43435.0</v>
      </c>
      <c r="DJ20" s="139">
        <v>43466.0</v>
      </c>
      <c r="DK20" s="139">
        <v>43497.0</v>
      </c>
      <c r="DL20" s="139">
        <v>43525.0</v>
      </c>
      <c r="DM20" s="139">
        <v>43556.0</v>
      </c>
      <c r="DN20" s="139">
        <v>43586.0</v>
      </c>
      <c r="DO20" s="139">
        <v>43617.0</v>
      </c>
      <c r="DP20" s="139">
        <v>43647.0</v>
      </c>
      <c r="DQ20" s="139">
        <v>43678.0</v>
      </c>
      <c r="DR20" s="139">
        <v>43709.0</v>
      </c>
      <c r="DS20" s="139">
        <v>43739.0</v>
      </c>
      <c r="DT20" s="139">
        <v>43770.0</v>
      </c>
      <c r="DU20" s="139">
        <v>43800.0</v>
      </c>
      <c r="DV20" s="139">
        <v>43831.0</v>
      </c>
      <c r="DW20" s="139">
        <v>43862.0</v>
      </c>
      <c r="DX20" s="139">
        <v>43891.0</v>
      </c>
      <c r="DY20" s="139">
        <v>43922.0</v>
      </c>
      <c r="DZ20" s="139">
        <v>43952.0</v>
      </c>
      <c r="EA20" s="139">
        <v>43983.0</v>
      </c>
      <c r="EB20" s="139">
        <v>44013.0</v>
      </c>
      <c r="EC20" s="139">
        <v>44044.0</v>
      </c>
      <c r="ED20" s="139">
        <v>44075.0</v>
      </c>
      <c r="EE20" s="139">
        <v>44105.0</v>
      </c>
      <c r="EF20" s="139">
        <v>44136.0</v>
      </c>
      <c r="EG20" s="139">
        <v>44166.0</v>
      </c>
      <c r="EH20" s="139">
        <v>44197.0</v>
      </c>
      <c r="EI20" s="139">
        <v>44228.0</v>
      </c>
      <c r="EJ20" s="139">
        <v>44256.0</v>
      </c>
      <c r="EK20" s="139">
        <v>44287.0</v>
      </c>
      <c r="EL20" s="139">
        <v>44317.0</v>
      </c>
      <c r="EM20" s="139">
        <v>44348.0</v>
      </c>
      <c r="EN20" s="139">
        <v>44378.0</v>
      </c>
      <c r="EO20" s="139">
        <v>44409.0</v>
      </c>
      <c r="EP20" s="139">
        <v>44440.0</v>
      </c>
      <c r="EQ20" s="139">
        <v>44470.0</v>
      </c>
      <c r="ER20" s="139">
        <v>44501.0</v>
      </c>
      <c r="ES20" s="139">
        <v>44531.0</v>
      </c>
      <c r="ET20" s="139">
        <v>44562.0</v>
      </c>
      <c r="EU20" s="139">
        <v>44593.0</v>
      </c>
      <c r="EV20" s="139">
        <v>44621.0</v>
      </c>
      <c r="EW20" s="139">
        <v>44652.0</v>
      </c>
      <c r="EX20" s="139">
        <v>44682.0</v>
      </c>
      <c r="EY20" s="139">
        <v>44713.0</v>
      </c>
      <c r="EZ20" s="139">
        <v>44743.0</v>
      </c>
      <c r="FA20" s="139">
        <v>44774.0</v>
      </c>
      <c r="FB20" s="139">
        <v>44805.0</v>
      </c>
      <c r="FC20" s="139">
        <v>44835.0</v>
      </c>
      <c r="FD20" s="139">
        <v>44866.0</v>
      </c>
      <c r="FE20" s="139">
        <v>44896.0</v>
      </c>
      <c r="FF20" s="139">
        <v>44927.0</v>
      </c>
      <c r="FG20" s="139">
        <v>44958.0</v>
      </c>
      <c r="FH20" s="139">
        <v>44986.0</v>
      </c>
      <c r="FI20" s="139">
        <v>45017.0</v>
      </c>
      <c r="FJ20" s="139">
        <v>45047.0</v>
      </c>
      <c r="FK20" s="139">
        <v>45078.0</v>
      </c>
      <c r="FL20" s="139">
        <v>45108.0</v>
      </c>
      <c r="FM20" s="139">
        <v>45139.0</v>
      </c>
      <c r="FN20" s="139">
        <v>45170.0</v>
      </c>
      <c r="FO20" s="139">
        <v>45200.0</v>
      </c>
      <c r="FP20" s="139">
        <v>45231.0</v>
      </c>
      <c r="FQ20" s="139">
        <v>45261.0</v>
      </c>
      <c r="FR20" s="139">
        <v>45292.0</v>
      </c>
      <c r="FS20" s="139">
        <v>45323.0</v>
      </c>
      <c r="FT20" s="139">
        <v>45352.0</v>
      </c>
      <c r="FU20" s="139">
        <v>45383.0</v>
      </c>
      <c r="FV20" s="139">
        <v>45413.0</v>
      </c>
      <c r="FW20" s="139">
        <v>45444.0</v>
      </c>
      <c r="FX20" s="139">
        <v>45474.0</v>
      </c>
      <c r="FY20" s="139">
        <v>45505.0</v>
      </c>
      <c r="FZ20" s="139">
        <v>45536.0</v>
      </c>
      <c r="GA20" s="139">
        <v>45566.0</v>
      </c>
      <c r="GB20" s="139">
        <v>45597.0</v>
      </c>
      <c r="GC20" s="139">
        <v>45627.0</v>
      </c>
      <c r="GD20" s="139">
        <v>45658.0</v>
      </c>
      <c r="GE20" s="139">
        <v>45689.0</v>
      </c>
      <c r="GF20" s="139">
        <v>45717.0</v>
      </c>
      <c r="GG20" s="139">
        <v>45748.0</v>
      </c>
      <c r="GH20" s="139">
        <v>45778.0</v>
      </c>
      <c r="GI20" s="139">
        <v>45809.0</v>
      </c>
      <c r="GJ20" s="139">
        <v>45839.0</v>
      </c>
    </row>
    <row r="21">
      <c r="A21" s="133" t="s">
        <v>1700</v>
      </c>
      <c r="B21" s="134">
        <v>41466.6150462963</v>
      </c>
      <c r="C21" s="135" t="str">
        <f t="shared" si="1"/>
        <v>2013/07/11</v>
      </c>
      <c r="D21" s="136" t="s">
        <v>34251</v>
      </c>
      <c r="E21" s="151">
        <v>0.0</v>
      </c>
      <c r="F21" s="138">
        <v>40179.0</v>
      </c>
      <c r="G21" s="138">
        <v>40210.0</v>
      </c>
      <c r="H21" s="138">
        <v>40238.0</v>
      </c>
      <c r="I21" s="138">
        <v>40269.0</v>
      </c>
      <c r="J21" s="138">
        <v>40299.0</v>
      </c>
      <c r="K21" s="138">
        <v>40330.0</v>
      </c>
      <c r="L21" s="138">
        <v>40360.0</v>
      </c>
      <c r="M21" s="138">
        <v>40391.0</v>
      </c>
      <c r="N21" s="138">
        <v>40422.0</v>
      </c>
      <c r="O21" s="138">
        <v>40452.0</v>
      </c>
      <c r="P21" s="138">
        <v>40483.0</v>
      </c>
      <c r="Q21" s="138">
        <v>40513.0</v>
      </c>
      <c r="R21" s="138">
        <v>40544.0</v>
      </c>
      <c r="S21" s="138">
        <v>40575.0</v>
      </c>
      <c r="T21" s="138">
        <v>40603.0</v>
      </c>
      <c r="U21" s="138">
        <v>40634.0</v>
      </c>
      <c r="V21" s="138">
        <v>40664.0</v>
      </c>
      <c r="W21" s="138">
        <v>40695.0</v>
      </c>
      <c r="X21" s="138">
        <v>40725.0</v>
      </c>
      <c r="Y21" s="138">
        <v>40756.0</v>
      </c>
      <c r="Z21" s="138">
        <v>40787.0</v>
      </c>
      <c r="AA21" s="138">
        <v>40817.0</v>
      </c>
      <c r="AB21" s="138">
        <v>40848.0</v>
      </c>
      <c r="AC21" s="138">
        <v>40878.0</v>
      </c>
      <c r="AD21" s="138">
        <v>40909.0</v>
      </c>
      <c r="AE21" s="138">
        <v>40940.0</v>
      </c>
      <c r="AF21" s="138">
        <v>40969.0</v>
      </c>
      <c r="AG21" s="138">
        <v>41000.0</v>
      </c>
      <c r="AH21" s="138">
        <v>41030.0</v>
      </c>
      <c r="AI21" s="138">
        <v>41061.0</v>
      </c>
      <c r="AJ21" s="138">
        <v>41091.0</v>
      </c>
      <c r="AK21" s="138">
        <v>41122.0</v>
      </c>
      <c r="AL21" s="138">
        <v>41153.0</v>
      </c>
      <c r="AM21" s="138">
        <v>41183.0</v>
      </c>
      <c r="AN21" s="138">
        <v>41214.0</v>
      </c>
      <c r="AO21" s="138">
        <v>41244.0</v>
      </c>
      <c r="AP21" s="138">
        <v>41275.0</v>
      </c>
      <c r="AQ21" s="138">
        <v>41306.0</v>
      </c>
      <c r="AR21" s="138">
        <v>41334.0</v>
      </c>
      <c r="AS21" s="138">
        <v>41365.0</v>
      </c>
      <c r="AT21" s="138">
        <v>41395.0</v>
      </c>
      <c r="AU21" s="138">
        <v>41426.0</v>
      </c>
      <c r="AV21" s="138">
        <v>41456.0</v>
      </c>
      <c r="AW21" s="139">
        <v>41487.0</v>
      </c>
      <c r="AX21" s="139">
        <v>41518.0</v>
      </c>
      <c r="AY21" s="139">
        <v>41548.0</v>
      </c>
      <c r="AZ21" s="139">
        <v>41579.0</v>
      </c>
      <c r="BA21" s="139">
        <v>41609.0</v>
      </c>
      <c r="BB21" s="139">
        <v>41640.0</v>
      </c>
      <c r="BC21" s="139">
        <v>41671.0</v>
      </c>
      <c r="BD21" s="139">
        <v>41699.0</v>
      </c>
      <c r="BE21" s="139">
        <v>41730.0</v>
      </c>
      <c r="BF21" s="139">
        <v>41760.0</v>
      </c>
      <c r="BG21" s="139">
        <v>41791.0</v>
      </c>
      <c r="BH21" s="139">
        <v>41821.0</v>
      </c>
      <c r="BI21" s="139">
        <v>41852.0</v>
      </c>
      <c r="BJ21" s="139">
        <v>41883.0</v>
      </c>
      <c r="BK21" s="139">
        <v>41913.0</v>
      </c>
      <c r="BL21" s="139">
        <v>41944.0</v>
      </c>
      <c r="BM21" s="139">
        <v>41974.0</v>
      </c>
      <c r="BN21" s="139">
        <v>42005.0</v>
      </c>
      <c r="BO21" s="139">
        <v>42036.0</v>
      </c>
      <c r="BP21" s="139">
        <v>42064.0</v>
      </c>
      <c r="BQ21" s="139">
        <v>42095.0</v>
      </c>
      <c r="BR21" s="139">
        <v>42125.0</v>
      </c>
      <c r="BS21" s="139">
        <v>42156.0</v>
      </c>
      <c r="BT21" s="139">
        <v>42186.0</v>
      </c>
      <c r="BU21" s="139">
        <v>42217.0</v>
      </c>
      <c r="BV21" s="139">
        <v>42248.0</v>
      </c>
      <c r="BW21" s="139">
        <v>42278.0</v>
      </c>
      <c r="BX21" s="139">
        <v>42309.0</v>
      </c>
      <c r="BY21" s="139">
        <v>42339.0</v>
      </c>
      <c r="BZ21" s="139">
        <v>42370.0</v>
      </c>
      <c r="CA21" s="139">
        <v>42401.0</v>
      </c>
      <c r="CB21" s="139">
        <v>42430.0</v>
      </c>
      <c r="CC21" s="139">
        <v>42461.0</v>
      </c>
      <c r="CD21" s="139">
        <v>42491.0</v>
      </c>
      <c r="CE21" s="139">
        <v>42522.0</v>
      </c>
      <c r="CF21" s="139">
        <v>42552.0</v>
      </c>
      <c r="CG21" s="139">
        <v>42583.0</v>
      </c>
      <c r="CH21" s="139">
        <v>42614.0</v>
      </c>
      <c r="CI21" s="139">
        <v>42644.0</v>
      </c>
      <c r="CJ21" s="139">
        <v>42675.0</v>
      </c>
      <c r="CK21" s="139">
        <v>42705.0</v>
      </c>
      <c r="CL21" s="139">
        <v>42736.0</v>
      </c>
      <c r="CM21" s="139">
        <v>42767.0</v>
      </c>
      <c r="CN21" s="139">
        <v>42795.0</v>
      </c>
      <c r="CO21" s="139">
        <v>42826.0</v>
      </c>
      <c r="CP21" s="139">
        <v>42856.0</v>
      </c>
      <c r="CQ21" s="139">
        <v>42887.0</v>
      </c>
      <c r="CR21" s="139">
        <v>42917.0</v>
      </c>
      <c r="CS21" s="139">
        <v>42948.0</v>
      </c>
      <c r="CT21" s="139">
        <v>42979.0</v>
      </c>
      <c r="CU21" s="139">
        <v>43009.0</v>
      </c>
      <c r="CV21" s="139">
        <v>43040.0</v>
      </c>
      <c r="CW21" s="139">
        <v>43070.0</v>
      </c>
      <c r="CX21" s="139">
        <v>43101.0</v>
      </c>
      <c r="CY21" s="139">
        <v>43132.0</v>
      </c>
      <c r="CZ21" s="139">
        <v>43160.0</v>
      </c>
      <c r="DA21" s="139">
        <v>43191.0</v>
      </c>
      <c r="DB21" s="139">
        <v>43221.0</v>
      </c>
      <c r="DC21" s="139">
        <v>43252.0</v>
      </c>
      <c r="DD21" s="139">
        <v>43282.0</v>
      </c>
      <c r="DE21" s="139">
        <v>43313.0</v>
      </c>
      <c r="DF21" s="139">
        <v>43344.0</v>
      </c>
      <c r="DG21" s="139">
        <v>43374.0</v>
      </c>
      <c r="DH21" s="139">
        <v>43405.0</v>
      </c>
      <c r="DI21" s="139">
        <v>43435.0</v>
      </c>
      <c r="DJ21" s="139">
        <v>43466.0</v>
      </c>
      <c r="DK21" s="139">
        <v>43497.0</v>
      </c>
      <c r="DL21" s="139">
        <v>43525.0</v>
      </c>
      <c r="DM21" s="139">
        <v>43556.0</v>
      </c>
      <c r="DN21" s="139">
        <v>43586.0</v>
      </c>
      <c r="DO21" s="139">
        <v>43617.0</v>
      </c>
      <c r="DP21" s="139">
        <v>43647.0</v>
      </c>
      <c r="DQ21" s="139">
        <v>43678.0</v>
      </c>
      <c r="DR21" s="139">
        <v>43709.0</v>
      </c>
      <c r="DS21" s="139">
        <v>43739.0</v>
      </c>
      <c r="DT21" s="139">
        <v>43770.0</v>
      </c>
      <c r="DU21" s="139">
        <v>43800.0</v>
      </c>
      <c r="DV21" s="139">
        <v>43831.0</v>
      </c>
      <c r="DW21" s="139">
        <v>43862.0</v>
      </c>
      <c r="DX21" s="139">
        <v>43891.0</v>
      </c>
      <c r="DY21" s="139">
        <v>43922.0</v>
      </c>
      <c r="DZ21" s="139">
        <v>43952.0</v>
      </c>
      <c r="EA21" s="139">
        <v>43983.0</v>
      </c>
      <c r="EB21" s="139">
        <v>44013.0</v>
      </c>
      <c r="EC21" s="139">
        <v>44044.0</v>
      </c>
      <c r="ED21" s="139">
        <v>44075.0</v>
      </c>
      <c r="EE21" s="139">
        <v>44105.0</v>
      </c>
      <c r="EF21" s="139">
        <v>44136.0</v>
      </c>
      <c r="EG21" s="139">
        <v>44166.0</v>
      </c>
      <c r="EH21" s="139">
        <v>44197.0</v>
      </c>
      <c r="EI21" s="139">
        <v>44228.0</v>
      </c>
      <c r="EJ21" s="139">
        <v>44256.0</v>
      </c>
      <c r="EK21" s="139">
        <v>44287.0</v>
      </c>
      <c r="EL21" s="139">
        <v>44317.0</v>
      </c>
      <c r="EM21" s="139">
        <v>44348.0</v>
      </c>
      <c r="EN21" s="139">
        <v>44378.0</v>
      </c>
      <c r="EO21" s="139">
        <v>44409.0</v>
      </c>
      <c r="EP21" s="139">
        <v>44440.0</v>
      </c>
      <c r="EQ21" s="139">
        <v>44470.0</v>
      </c>
      <c r="ER21" s="139">
        <v>44501.0</v>
      </c>
      <c r="ES21" s="139">
        <v>44531.0</v>
      </c>
      <c r="ET21" s="139">
        <v>44562.0</v>
      </c>
      <c r="EU21" s="139">
        <v>44593.0</v>
      </c>
      <c r="EV21" s="139">
        <v>44621.0</v>
      </c>
      <c r="EW21" s="139">
        <v>44652.0</v>
      </c>
      <c r="EX21" s="139">
        <v>44682.0</v>
      </c>
      <c r="EY21" s="139">
        <v>44713.0</v>
      </c>
      <c r="EZ21" s="139">
        <v>44743.0</v>
      </c>
      <c r="FA21" s="139">
        <v>44774.0</v>
      </c>
      <c r="FB21" s="139">
        <v>44805.0</v>
      </c>
      <c r="FC21" s="139">
        <v>44835.0</v>
      </c>
      <c r="FD21" s="139">
        <v>44866.0</v>
      </c>
      <c r="FE21" s="139">
        <v>44896.0</v>
      </c>
      <c r="FF21" s="139">
        <v>44927.0</v>
      </c>
      <c r="FG21" s="139">
        <v>44958.0</v>
      </c>
      <c r="FH21" s="139">
        <v>44986.0</v>
      </c>
      <c r="FI21" s="139">
        <v>45017.0</v>
      </c>
      <c r="FJ21" s="139">
        <v>45047.0</v>
      </c>
      <c r="FK21" s="139">
        <v>45078.0</v>
      </c>
      <c r="FL21" s="139">
        <v>45108.0</v>
      </c>
      <c r="FM21" s="139">
        <v>45139.0</v>
      </c>
      <c r="FN21" s="139">
        <v>45170.0</v>
      </c>
      <c r="FO21" s="139">
        <v>45200.0</v>
      </c>
      <c r="FP21" s="139">
        <v>45231.0</v>
      </c>
      <c r="FQ21" s="139">
        <v>45261.0</v>
      </c>
      <c r="FR21" s="139">
        <v>45292.0</v>
      </c>
      <c r="FS21" s="139">
        <v>45323.0</v>
      </c>
      <c r="FT21" s="139">
        <v>45352.0</v>
      </c>
      <c r="FU21" s="139">
        <v>45383.0</v>
      </c>
      <c r="FV21" s="139">
        <v>45413.0</v>
      </c>
      <c r="FW21" s="139">
        <v>45444.0</v>
      </c>
      <c r="FX21" s="139">
        <v>45474.0</v>
      </c>
      <c r="FY21" s="139">
        <v>45505.0</v>
      </c>
      <c r="FZ21" s="139">
        <v>45536.0</v>
      </c>
      <c r="GA21" s="139">
        <v>45566.0</v>
      </c>
      <c r="GB21" s="139">
        <v>45597.0</v>
      </c>
      <c r="GC21" s="139">
        <v>45627.0</v>
      </c>
      <c r="GD21" s="139">
        <v>45658.0</v>
      </c>
      <c r="GE21" s="139">
        <v>45689.0</v>
      </c>
      <c r="GF21" s="139">
        <v>45717.0</v>
      </c>
      <c r="GG21" s="139">
        <v>45748.0</v>
      </c>
      <c r="GH21" s="139">
        <v>45778.0</v>
      </c>
      <c r="GI21" s="139">
        <v>45809.0</v>
      </c>
      <c r="GJ21" s="139">
        <v>45839.0</v>
      </c>
    </row>
    <row r="22">
      <c r="A22" s="133" t="s">
        <v>1569</v>
      </c>
      <c r="B22" s="134">
        <v>41479.42313657407</v>
      </c>
      <c r="C22" s="135" t="str">
        <f t="shared" si="1"/>
        <v>2013/07/24</v>
      </c>
      <c r="D22" s="136" t="s">
        <v>33929</v>
      </c>
      <c r="E22" s="151">
        <v>0.0</v>
      </c>
      <c r="F22" s="138">
        <v>40179.0</v>
      </c>
      <c r="G22" s="138">
        <v>40210.0</v>
      </c>
      <c r="H22" s="138">
        <v>40238.0</v>
      </c>
      <c r="I22" s="138">
        <v>40269.0</v>
      </c>
      <c r="J22" s="138">
        <v>40299.0</v>
      </c>
      <c r="K22" s="138">
        <v>40330.0</v>
      </c>
      <c r="L22" s="138">
        <v>40360.0</v>
      </c>
      <c r="M22" s="138">
        <v>40391.0</v>
      </c>
      <c r="N22" s="138">
        <v>40422.0</v>
      </c>
      <c r="O22" s="138">
        <v>40452.0</v>
      </c>
      <c r="P22" s="138">
        <v>40483.0</v>
      </c>
      <c r="Q22" s="138">
        <v>40513.0</v>
      </c>
      <c r="R22" s="138">
        <v>40544.0</v>
      </c>
      <c r="S22" s="138">
        <v>40575.0</v>
      </c>
      <c r="T22" s="138">
        <v>40603.0</v>
      </c>
      <c r="U22" s="138">
        <v>40634.0</v>
      </c>
      <c r="V22" s="138">
        <v>40664.0</v>
      </c>
      <c r="W22" s="138">
        <v>40695.0</v>
      </c>
      <c r="X22" s="138">
        <v>40725.0</v>
      </c>
      <c r="Y22" s="138">
        <v>40756.0</v>
      </c>
      <c r="Z22" s="138">
        <v>40787.0</v>
      </c>
      <c r="AA22" s="138">
        <v>40817.0</v>
      </c>
      <c r="AB22" s="138">
        <v>40848.0</v>
      </c>
      <c r="AC22" s="138">
        <v>40878.0</v>
      </c>
      <c r="AD22" s="138">
        <v>40909.0</v>
      </c>
      <c r="AE22" s="138">
        <v>40940.0</v>
      </c>
      <c r="AF22" s="138">
        <v>40969.0</v>
      </c>
      <c r="AG22" s="138">
        <v>41000.0</v>
      </c>
      <c r="AH22" s="138">
        <v>41030.0</v>
      </c>
      <c r="AI22" s="138">
        <v>41061.0</v>
      </c>
      <c r="AJ22" s="138">
        <v>41091.0</v>
      </c>
      <c r="AK22" s="138">
        <v>41122.0</v>
      </c>
      <c r="AL22" s="138">
        <v>41153.0</v>
      </c>
      <c r="AM22" s="138">
        <v>41183.0</v>
      </c>
      <c r="AN22" s="138">
        <v>41214.0</v>
      </c>
      <c r="AO22" s="138">
        <v>41244.0</v>
      </c>
      <c r="AP22" s="138">
        <v>41275.0</v>
      </c>
      <c r="AQ22" s="138">
        <v>41306.0</v>
      </c>
      <c r="AR22" s="138">
        <v>41334.0</v>
      </c>
      <c r="AS22" s="138">
        <v>41365.0</v>
      </c>
      <c r="AT22" s="138">
        <v>41395.0</v>
      </c>
      <c r="AU22" s="138">
        <v>41426.0</v>
      </c>
      <c r="AV22" s="138">
        <v>41456.0</v>
      </c>
      <c r="AW22" s="139">
        <v>41487.0</v>
      </c>
      <c r="AX22" s="139">
        <v>41518.0</v>
      </c>
      <c r="AY22" s="139">
        <v>41548.0</v>
      </c>
      <c r="AZ22" s="139">
        <v>41579.0</v>
      </c>
      <c r="BA22" s="139">
        <v>41609.0</v>
      </c>
      <c r="BB22" s="139">
        <v>41640.0</v>
      </c>
      <c r="BC22" s="139">
        <v>41671.0</v>
      </c>
      <c r="BD22" s="139">
        <v>41699.0</v>
      </c>
      <c r="BE22" s="139">
        <v>41730.0</v>
      </c>
      <c r="BF22" s="139">
        <v>41760.0</v>
      </c>
      <c r="BG22" s="139">
        <v>41791.0</v>
      </c>
      <c r="BH22" s="139">
        <v>41821.0</v>
      </c>
      <c r="BI22" s="139">
        <v>41852.0</v>
      </c>
      <c r="BJ22" s="139">
        <v>41883.0</v>
      </c>
      <c r="BK22" s="139">
        <v>41913.0</v>
      </c>
      <c r="BL22" s="139">
        <v>41944.0</v>
      </c>
      <c r="BM22" s="139">
        <v>41974.0</v>
      </c>
      <c r="BN22" s="139">
        <v>42005.0</v>
      </c>
      <c r="BO22" s="139">
        <v>42036.0</v>
      </c>
      <c r="BP22" s="139">
        <v>42064.0</v>
      </c>
      <c r="BQ22" s="139">
        <v>42095.0</v>
      </c>
      <c r="BR22" s="139">
        <v>42125.0</v>
      </c>
      <c r="BS22" s="139">
        <v>42156.0</v>
      </c>
      <c r="BT22" s="139">
        <v>42186.0</v>
      </c>
      <c r="BU22" s="139">
        <v>42217.0</v>
      </c>
      <c r="BV22" s="139">
        <v>42248.0</v>
      </c>
      <c r="BW22" s="139">
        <v>42278.0</v>
      </c>
      <c r="BX22" s="139">
        <v>42309.0</v>
      </c>
      <c r="BY22" s="139">
        <v>42339.0</v>
      </c>
      <c r="BZ22" s="139">
        <v>42370.0</v>
      </c>
      <c r="CA22" s="139">
        <v>42401.0</v>
      </c>
      <c r="CB22" s="139">
        <v>42430.0</v>
      </c>
      <c r="CC22" s="139">
        <v>42461.0</v>
      </c>
      <c r="CD22" s="139">
        <v>42491.0</v>
      </c>
      <c r="CE22" s="139">
        <v>42522.0</v>
      </c>
      <c r="CF22" s="139">
        <v>42552.0</v>
      </c>
      <c r="CG22" s="139">
        <v>42583.0</v>
      </c>
      <c r="CH22" s="139">
        <v>42614.0</v>
      </c>
      <c r="CI22" s="139">
        <v>42644.0</v>
      </c>
      <c r="CJ22" s="139">
        <v>42675.0</v>
      </c>
      <c r="CK22" s="139">
        <v>42705.0</v>
      </c>
      <c r="CL22" s="139">
        <v>42736.0</v>
      </c>
      <c r="CM22" s="139">
        <v>42767.0</v>
      </c>
      <c r="CN22" s="139">
        <v>42795.0</v>
      </c>
      <c r="CO22" s="139">
        <v>42826.0</v>
      </c>
      <c r="CP22" s="139">
        <v>42856.0</v>
      </c>
      <c r="CQ22" s="139">
        <v>42887.0</v>
      </c>
      <c r="CR22" s="139">
        <v>42917.0</v>
      </c>
      <c r="CS22" s="139">
        <v>42948.0</v>
      </c>
      <c r="CT22" s="139">
        <v>42979.0</v>
      </c>
      <c r="CU22" s="139">
        <v>43009.0</v>
      </c>
      <c r="CV22" s="139">
        <v>43040.0</v>
      </c>
      <c r="CW22" s="139">
        <v>43070.0</v>
      </c>
      <c r="CX22" s="139">
        <v>43101.0</v>
      </c>
      <c r="CY22" s="139">
        <v>43132.0</v>
      </c>
      <c r="CZ22" s="139">
        <v>43160.0</v>
      </c>
      <c r="DA22" s="139">
        <v>43191.0</v>
      </c>
      <c r="DB22" s="139">
        <v>43221.0</v>
      </c>
      <c r="DC22" s="139">
        <v>43252.0</v>
      </c>
      <c r="DD22" s="139">
        <v>43282.0</v>
      </c>
      <c r="DE22" s="139">
        <v>43313.0</v>
      </c>
      <c r="DF22" s="139">
        <v>43344.0</v>
      </c>
      <c r="DG22" s="139">
        <v>43374.0</v>
      </c>
      <c r="DH22" s="139">
        <v>43405.0</v>
      </c>
      <c r="DI22" s="139">
        <v>43435.0</v>
      </c>
      <c r="DJ22" s="139">
        <v>43466.0</v>
      </c>
      <c r="DK22" s="139">
        <v>43497.0</v>
      </c>
      <c r="DL22" s="139">
        <v>43525.0</v>
      </c>
      <c r="DM22" s="139">
        <v>43556.0</v>
      </c>
      <c r="DN22" s="139">
        <v>43586.0</v>
      </c>
      <c r="DO22" s="139">
        <v>43617.0</v>
      </c>
      <c r="DP22" s="139">
        <v>43647.0</v>
      </c>
      <c r="DQ22" s="139">
        <v>43678.0</v>
      </c>
      <c r="DR22" s="139">
        <v>43709.0</v>
      </c>
      <c r="DS22" s="139">
        <v>43739.0</v>
      </c>
      <c r="DT22" s="139">
        <v>43770.0</v>
      </c>
      <c r="DU22" s="139">
        <v>43800.0</v>
      </c>
      <c r="DV22" s="139">
        <v>43831.0</v>
      </c>
      <c r="DW22" s="139">
        <v>43862.0</v>
      </c>
      <c r="DX22" s="139">
        <v>43891.0</v>
      </c>
      <c r="DY22" s="139">
        <v>43922.0</v>
      </c>
      <c r="DZ22" s="139">
        <v>43952.0</v>
      </c>
      <c r="EA22" s="139">
        <v>43983.0</v>
      </c>
      <c r="EB22" s="139">
        <v>44013.0</v>
      </c>
      <c r="EC22" s="139">
        <v>44044.0</v>
      </c>
      <c r="ED22" s="139">
        <v>44075.0</v>
      </c>
      <c r="EE22" s="139">
        <v>44105.0</v>
      </c>
      <c r="EF22" s="139">
        <v>44136.0</v>
      </c>
      <c r="EG22" s="139">
        <v>44166.0</v>
      </c>
      <c r="EH22" s="139">
        <v>44197.0</v>
      </c>
      <c r="EI22" s="139">
        <v>44228.0</v>
      </c>
      <c r="EJ22" s="139">
        <v>44256.0</v>
      </c>
      <c r="EK22" s="139">
        <v>44287.0</v>
      </c>
      <c r="EL22" s="139">
        <v>44317.0</v>
      </c>
      <c r="EM22" s="139">
        <v>44348.0</v>
      </c>
      <c r="EN22" s="139">
        <v>44378.0</v>
      </c>
      <c r="EO22" s="139">
        <v>44409.0</v>
      </c>
      <c r="EP22" s="139">
        <v>44440.0</v>
      </c>
      <c r="EQ22" s="139">
        <v>44470.0</v>
      </c>
      <c r="ER22" s="139">
        <v>44501.0</v>
      </c>
      <c r="ES22" s="139">
        <v>44531.0</v>
      </c>
      <c r="ET22" s="139">
        <v>44562.0</v>
      </c>
      <c r="EU22" s="139">
        <v>44593.0</v>
      </c>
      <c r="EV22" s="139">
        <v>44621.0</v>
      </c>
      <c r="EW22" s="139">
        <v>44652.0</v>
      </c>
      <c r="EX22" s="139">
        <v>44682.0</v>
      </c>
      <c r="EY22" s="139">
        <v>44713.0</v>
      </c>
      <c r="EZ22" s="139">
        <v>44743.0</v>
      </c>
      <c r="FA22" s="139">
        <v>44774.0</v>
      </c>
      <c r="FB22" s="139">
        <v>44805.0</v>
      </c>
      <c r="FC22" s="139">
        <v>44835.0</v>
      </c>
      <c r="FD22" s="139">
        <v>44866.0</v>
      </c>
      <c r="FE22" s="139">
        <v>44896.0</v>
      </c>
      <c r="FF22" s="139">
        <v>44927.0</v>
      </c>
      <c r="FG22" s="139">
        <v>44958.0</v>
      </c>
      <c r="FH22" s="139">
        <v>44986.0</v>
      </c>
      <c r="FI22" s="139">
        <v>45017.0</v>
      </c>
      <c r="FJ22" s="139">
        <v>45047.0</v>
      </c>
      <c r="FK22" s="139">
        <v>45078.0</v>
      </c>
      <c r="FL22" s="139">
        <v>45108.0</v>
      </c>
      <c r="FM22" s="139">
        <v>45139.0</v>
      </c>
      <c r="FN22" s="139">
        <v>45170.0</v>
      </c>
      <c r="FO22" s="139">
        <v>45200.0</v>
      </c>
      <c r="FP22" s="139">
        <v>45231.0</v>
      </c>
      <c r="FQ22" s="139">
        <v>45261.0</v>
      </c>
      <c r="FR22" s="139">
        <v>45292.0</v>
      </c>
      <c r="FS22" s="139">
        <v>45323.0</v>
      </c>
      <c r="FT22" s="139">
        <v>45352.0</v>
      </c>
      <c r="FU22" s="139">
        <v>45383.0</v>
      </c>
      <c r="FV22" s="139">
        <v>45413.0</v>
      </c>
      <c r="FW22" s="139">
        <v>45444.0</v>
      </c>
      <c r="FX22" s="139">
        <v>45474.0</v>
      </c>
      <c r="FY22" s="139">
        <v>45505.0</v>
      </c>
      <c r="FZ22" s="139">
        <v>45536.0</v>
      </c>
      <c r="GA22" s="139">
        <v>45566.0</v>
      </c>
      <c r="GB22" s="139">
        <v>45597.0</v>
      </c>
      <c r="GC22" s="139">
        <v>45627.0</v>
      </c>
      <c r="GD22" s="139">
        <v>45658.0</v>
      </c>
      <c r="GE22" s="139">
        <v>45689.0</v>
      </c>
      <c r="GF22" s="139">
        <v>45717.0</v>
      </c>
      <c r="GG22" s="139">
        <v>45748.0</v>
      </c>
      <c r="GH22" s="139">
        <v>45778.0</v>
      </c>
      <c r="GI22" s="139">
        <v>45809.0</v>
      </c>
      <c r="GJ22" s="139">
        <v>45839.0</v>
      </c>
    </row>
    <row r="23">
      <c r="A23" s="133" t="s">
        <v>1653</v>
      </c>
      <c r="B23" s="134">
        <v>41499.78524305556</v>
      </c>
      <c r="C23" s="135" t="str">
        <f t="shared" si="1"/>
        <v>2013/08/13</v>
      </c>
      <c r="D23" s="136" t="s">
        <v>34252</v>
      </c>
      <c r="E23" s="151">
        <v>0.0</v>
      </c>
      <c r="F23" s="138">
        <v>40179.0</v>
      </c>
      <c r="G23" s="138">
        <v>40210.0</v>
      </c>
      <c r="H23" s="138">
        <v>40238.0</v>
      </c>
      <c r="I23" s="138">
        <v>40269.0</v>
      </c>
      <c r="J23" s="138">
        <v>40299.0</v>
      </c>
      <c r="K23" s="138">
        <v>40330.0</v>
      </c>
      <c r="L23" s="138">
        <v>40360.0</v>
      </c>
      <c r="M23" s="138">
        <v>40391.0</v>
      </c>
      <c r="N23" s="138">
        <v>40422.0</v>
      </c>
      <c r="O23" s="138">
        <v>40452.0</v>
      </c>
      <c r="P23" s="138">
        <v>40483.0</v>
      </c>
      <c r="Q23" s="138">
        <v>40513.0</v>
      </c>
      <c r="R23" s="138">
        <v>40544.0</v>
      </c>
      <c r="S23" s="138">
        <v>40575.0</v>
      </c>
      <c r="T23" s="138">
        <v>40603.0</v>
      </c>
      <c r="U23" s="138">
        <v>40634.0</v>
      </c>
      <c r="V23" s="138">
        <v>40664.0</v>
      </c>
      <c r="W23" s="138">
        <v>40695.0</v>
      </c>
      <c r="X23" s="138">
        <v>40725.0</v>
      </c>
      <c r="Y23" s="138">
        <v>40756.0</v>
      </c>
      <c r="Z23" s="138">
        <v>40787.0</v>
      </c>
      <c r="AA23" s="138">
        <v>40817.0</v>
      </c>
      <c r="AB23" s="138">
        <v>40848.0</v>
      </c>
      <c r="AC23" s="138">
        <v>40878.0</v>
      </c>
      <c r="AD23" s="138">
        <v>40909.0</v>
      </c>
      <c r="AE23" s="138">
        <v>40940.0</v>
      </c>
      <c r="AF23" s="138">
        <v>40969.0</v>
      </c>
      <c r="AG23" s="138">
        <v>41000.0</v>
      </c>
      <c r="AH23" s="138">
        <v>41030.0</v>
      </c>
      <c r="AI23" s="138">
        <v>41061.0</v>
      </c>
      <c r="AJ23" s="138">
        <v>41091.0</v>
      </c>
      <c r="AK23" s="138">
        <v>41122.0</v>
      </c>
      <c r="AL23" s="138">
        <v>41153.0</v>
      </c>
      <c r="AM23" s="138">
        <v>41183.0</v>
      </c>
      <c r="AN23" s="138">
        <v>41214.0</v>
      </c>
      <c r="AO23" s="138">
        <v>41244.0</v>
      </c>
      <c r="AP23" s="138">
        <v>41275.0</v>
      </c>
      <c r="AQ23" s="138">
        <v>41306.0</v>
      </c>
      <c r="AR23" s="138">
        <v>41334.0</v>
      </c>
      <c r="AS23" s="138">
        <v>41365.0</v>
      </c>
      <c r="AT23" s="138">
        <v>41395.0</v>
      </c>
      <c r="AU23" s="138">
        <v>41426.0</v>
      </c>
      <c r="AV23" s="138">
        <v>41456.0</v>
      </c>
      <c r="AW23" s="138">
        <v>41487.0</v>
      </c>
      <c r="AX23" s="139">
        <v>41518.0</v>
      </c>
      <c r="AY23" s="139">
        <v>41548.0</v>
      </c>
      <c r="AZ23" s="139">
        <v>41579.0</v>
      </c>
      <c r="BA23" s="139">
        <v>41609.0</v>
      </c>
      <c r="BB23" s="139">
        <v>41640.0</v>
      </c>
      <c r="BC23" s="139">
        <v>41671.0</v>
      </c>
      <c r="BD23" s="139">
        <v>41699.0</v>
      </c>
      <c r="BE23" s="139">
        <v>41730.0</v>
      </c>
      <c r="BF23" s="139">
        <v>41760.0</v>
      </c>
      <c r="BG23" s="139">
        <v>41791.0</v>
      </c>
      <c r="BH23" s="139">
        <v>41821.0</v>
      </c>
      <c r="BI23" s="139">
        <v>41852.0</v>
      </c>
      <c r="BJ23" s="139">
        <v>41883.0</v>
      </c>
      <c r="BK23" s="139">
        <v>41913.0</v>
      </c>
      <c r="BL23" s="139">
        <v>41944.0</v>
      </c>
      <c r="BM23" s="139">
        <v>41974.0</v>
      </c>
      <c r="BN23" s="139">
        <v>42005.0</v>
      </c>
      <c r="BO23" s="139">
        <v>42036.0</v>
      </c>
      <c r="BP23" s="139">
        <v>42064.0</v>
      </c>
      <c r="BQ23" s="139">
        <v>42095.0</v>
      </c>
      <c r="BR23" s="139">
        <v>42125.0</v>
      </c>
      <c r="BS23" s="139">
        <v>42156.0</v>
      </c>
      <c r="BT23" s="139">
        <v>42186.0</v>
      </c>
      <c r="BU23" s="139">
        <v>42217.0</v>
      </c>
      <c r="BV23" s="139">
        <v>42248.0</v>
      </c>
      <c r="BW23" s="139">
        <v>42278.0</v>
      </c>
      <c r="BX23" s="139">
        <v>42309.0</v>
      </c>
      <c r="BY23" s="139">
        <v>42339.0</v>
      </c>
      <c r="BZ23" s="139">
        <v>42370.0</v>
      </c>
      <c r="CA23" s="139">
        <v>42401.0</v>
      </c>
      <c r="CB23" s="139">
        <v>42430.0</v>
      </c>
      <c r="CC23" s="139">
        <v>42461.0</v>
      </c>
      <c r="CD23" s="139">
        <v>42491.0</v>
      </c>
      <c r="CE23" s="139">
        <v>42522.0</v>
      </c>
      <c r="CF23" s="139">
        <v>42552.0</v>
      </c>
      <c r="CG23" s="139">
        <v>42583.0</v>
      </c>
      <c r="CH23" s="139">
        <v>42614.0</v>
      </c>
      <c r="CI23" s="139">
        <v>42644.0</v>
      </c>
      <c r="CJ23" s="139">
        <v>42675.0</v>
      </c>
      <c r="CK23" s="139">
        <v>42705.0</v>
      </c>
      <c r="CL23" s="139">
        <v>42736.0</v>
      </c>
      <c r="CM23" s="139">
        <v>42767.0</v>
      </c>
      <c r="CN23" s="139">
        <v>42795.0</v>
      </c>
      <c r="CO23" s="139">
        <v>42826.0</v>
      </c>
      <c r="CP23" s="139">
        <v>42856.0</v>
      </c>
      <c r="CQ23" s="139">
        <v>42887.0</v>
      </c>
      <c r="CR23" s="139">
        <v>42917.0</v>
      </c>
      <c r="CS23" s="139">
        <v>42948.0</v>
      </c>
      <c r="CT23" s="139">
        <v>42979.0</v>
      </c>
      <c r="CU23" s="139">
        <v>43009.0</v>
      </c>
      <c r="CV23" s="139">
        <v>43040.0</v>
      </c>
      <c r="CW23" s="139">
        <v>43070.0</v>
      </c>
      <c r="CX23" s="139">
        <v>43101.0</v>
      </c>
      <c r="CY23" s="139">
        <v>43132.0</v>
      </c>
      <c r="CZ23" s="139">
        <v>43160.0</v>
      </c>
      <c r="DA23" s="139">
        <v>43191.0</v>
      </c>
      <c r="DB23" s="139">
        <v>43221.0</v>
      </c>
      <c r="DC23" s="139">
        <v>43252.0</v>
      </c>
      <c r="DD23" s="139">
        <v>43282.0</v>
      </c>
      <c r="DE23" s="139">
        <v>43313.0</v>
      </c>
      <c r="DF23" s="139">
        <v>43344.0</v>
      </c>
      <c r="DG23" s="139">
        <v>43374.0</v>
      </c>
      <c r="DH23" s="139">
        <v>43405.0</v>
      </c>
      <c r="DI23" s="139">
        <v>43435.0</v>
      </c>
      <c r="DJ23" s="139">
        <v>43466.0</v>
      </c>
      <c r="DK23" s="139">
        <v>43497.0</v>
      </c>
      <c r="DL23" s="139">
        <v>43525.0</v>
      </c>
      <c r="DM23" s="139">
        <v>43556.0</v>
      </c>
      <c r="DN23" s="139">
        <v>43586.0</v>
      </c>
      <c r="DO23" s="139">
        <v>43617.0</v>
      </c>
      <c r="DP23" s="139">
        <v>43647.0</v>
      </c>
      <c r="DQ23" s="139">
        <v>43678.0</v>
      </c>
      <c r="DR23" s="139">
        <v>43709.0</v>
      </c>
      <c r="DS23" s="139">
        <v>43739.0</v>
      </c>
      <c r="DT23" s="139">
        <v>43770.0</v>
      </c>
      <c r="DU23" s="139">
        <v>43800.0</v>
      </c>
      <c r="DV23" s="139">
        <v>43831.0</v>
      </c>
      <c r="DW23" s="139">
        <v>43862.0</v>
      </c>
      <c r="DX23" s="139">
        <v>43891.0</v>
      </c>
      <c r="DY23" s="139">
        <v>43922.0</v>
      </c>
      <c r="DZ23" s="139">
        <v>43952.0</v>
      </c>
      <c r="EA23" s="139">
        <v>43983.0</v>
      </c>
      <c r="EB23" s="139">
        <v>44013.0</v>
      </c>
      <c r="EC23" s="139">
        <v>44044.0</v>
      </c>
      <c r="ED23" s="139">
        <v>44075.0</v>
      </c>
      <c r="EE23" s="139">
        <v>44105.0</v>
      </c>
      <c r="EF23" s="139">
        <v>44136.0</v>
      </c>
      <c r="EG23" s="139">
        <v>44166.0</v>
      </c>
      <c r="EH23" s="139">
        <v>44197.0</v>
      </c>
      <c r="EI23" s="139">
        <v>44228.0</v>
      </c>
      <c r="EJ23" s="139">
        <v>44256.0</v>
      </c>
      <c r="EK23" s="139">
        <v>44287.0</v>
      </c>
      <c r="EL23" s="139">
        <v>44317.0</v>
      </c>
      <c r="EM23" s="139">
        <v>44348.0</v>
      </c>
      <c r="EN23" s="139">
        <v>44378.0</v>
      </c>
      <c r="EO23" s="139">
        <v>44409.0</v>
      </c>
      <c r="EP23" s="139">
        <v>44440.0</v>
      </c>
      <c r="EQ23" s="139">
        <v>44470.0</v>
      </c>
      <c r="ER23" s="139">
        <v>44501.0</v>
      </c>
      <c r="ES23" s="139">
        <v>44531.0</v>
      </c>
      <c r="ET23" s="139">
        <v>44562.0</v>
      </c>
      <c r="EU23" s="139">
        <v>44593.0</v>
      </c>
      <c r="EV23" s="139">
        <v>44621.0</v>
      </c>
      <c r="EW23" s="139">
        <v>44652.0</v>
      </c>
      <c r="EX23" s="139">
        <v>44682.0</v>
      </c>
      <c r="EY23" s="139">
        <v>44713.0</v>
      </c>
      <c r="EZ23" s="139">
        <v>44743.0</v>
      </c>
      <c r="FA23" s="139">
        <v>44774.0</v>
      </c>
      <c r="FB23" s="139">
        <v>44805.0</v>
      </c>
      <c r="FC23" s="139">
        <v>44835.0</v>
      </c>
      <c r="FD23" s="139">
        <v>44866.0</v>
      </c>
      <c r="FE23" s="139">
        <v>44896.0</v>
      </c>
      <c r="FF23" s="139">
        <v>44927.0</v>
      </c>
      <c r="FG23" s="139">
        <v>44958.0</v>
      </c>
      <c r="FH23" s="139">
        <v>44986.0</v>
      </c>
      <c r="FI23" s="139">
        <v>45017.0</v>
      </c>
      <c r="FJ23" s="139">
        <v>45047.0</v>
      </c>
      <c r="FK23" s="139">
        <v>45078.0</v>
      </c>
      <c r="FL23" s="139">
        <v>45108.0</v>
      </c>
      <c r="FM23" s="139">
        <v>45139.0</v>
      </c>
      <c r="FN23" s="139">
        <v>45170.0</v>
      </c>
      <c r="FO23" s="139">
        <v>45200.0</v>
      </c>
      <c r="FP23" s="139">
        <v>45231.0</v>
      </c>
      <c r="FQ23" s="139">
        <v>45261.0</v>
      </c>
      <c r="FR23" s="139">
        <v>45292.0</v>
      </c>
      <c r="FS23" s="139">
        <v>45323.0</v>
      </c>
      <c r="FT23" s="139">
        <v>45352.0</v>
      </c>
      <c r="FU23" s="139">
        <v>45383.0</v>
      </c>
      <c r="FV23" s="139">
        <v>45413.0</v>
      </c>
      <c r="FW23" s="139">
        <v>45444.0</v>
      </c>
      <c r="FX23" s="139">
        <v>45474.0</v>
      </c>
      <c r="FY23" s="139">
        <v>45505.0</v>
      </c>
      <c r="FZ23" s="139">
        <v>45536.0</v>
      </c>
      <c r="GA23" s="139">
        <v>45566.0</v>
      </c>
      <c r="GB23" s="139">
        <v>45597.0</v>
      </c>
      <c r="GC23" s="139">
        <v>45627.0</v>
      </c>
      <c r="GD23" s="139">
        <v>45658.0</v>
      </c>
      <c r="GE23" s="139">
        <v>45689.0</v>
      </c>
      <c r="GF23" s="139">
        <v>45717.0</v>
      </c>
      <c r="GG23" s="139">
        <v>45748.0</v>
      </c>
      <c r="GH23" s="139">
        <v>45778.0</v>
      </c>
      <c r="GI23" s="139">
        <v>45809.0</v>
      </c>
      <c r="GJ23" s="139">
        <v>45839.0</v>
      </c>
    </row>
    <row r="24">
      <c r="A24" s="133" t="s">
        <v>1470</v>
      </c>
      <c r="B24" s="134">
        <v>41501.77217592593</v>
      </c>
      <c r="C24" s="135" t="str">
        <f t="shared" si="1"/>
        <v>2013/08/15</v>
      </c>
      <c r="D24" s="136" t="s">
        <v>33920</v>
      </c>
      <c r="E24" s="151">
        <v>0.0</v>
      </c>
      <c r="F24" s="138">
        <v>40179.0</v>
      </c>
      <c r="G24" s="138">
        <v>40210.0</v>
      </c>
      <c r="H24" s="138">
        <v>40238.0</v>
      </c>
      <c r="I24" s="138">
        <v>40269.0</v>
      </c>
      <c r="J24" s="138">
        <v>40299.0</v>
      </c>
      <c r="K24" s="138">
        <v>40330.0</v>
      </c>
      <c r="L24" s="138">
        <v>40360.0</v>
      </c>
      <c r="M24" s="138">
        <v>40391.0</v>
      </c>
      <c r="N24" s="138">
        <v>40422.0</v>
      </c>
      <c r="O24" s="138">
        <v>40452.0</v>
      </c>
      <c r="P24" s="138">
        <v>40483.0</v>
      </c>
      <c r="Q24" s="138">
        <v>40513.0</v>
      </c>
      <c r="R24" s="138">
        <v>40544.0</v>
      </c>
      <c r="S24" s="138">
        <v>40575.0</v>
      </c>
      <c r="T24" s="138">
        <v>40603.0</v>
      </c>
      <c r="U24" s="138">
        <v>40634.0</v>
      </c>
      <c r="V24" s="138">
        <v>40664.0</v>
      </c>
      <c r="W24" s="138">
        <v>40695.0</v>
      </c>
      <c r="X24" s="138">
        <v>40725.0</v>
      </c>
      <c r="Y24" s="138">
        <v>40756.0</v>
      </c>
      <c r="Z24" s="138">
        <v>40787.0</v>
      </c>
      <c r="AA24" s="138">
        <v>40817.0</v>
      </c>
      <c r="AB24" s="138">
        <v>40848.0</v>
      </c>
      <c r="AC24" s="138">
        <v>40878.0</v>
      </c>
      <c r="AD24" s="138">
        <v>40909.0</v>
      </c>
      <c r="AE24" s="138">
        <v>40940.0</v>
      </c>
      <c r="AF24" s="138">
        <v>40969.0</v>
      </c>
      <c r="AG24" s="138">
        <v>41000.0</v>
      </c>
      <c r="AH24" s="138">
        <v>41030.0</v>
      </c>
      <c r="AI24" s="138">
        <v>41061.0</v>
      </c>
      <c r="AJ24" s="138">
        <v>41091.0</v>
      </c>
      <c r="AK24" s="138">
        <v>41122.0</v>
      </c>
      <c r="AL24" s="138">
        <v>41153.0</v>
      </c>
      <c r="AM24" s="138">
        <v>41183.0</v>
      </c>
      <c r="AN24" s="138">
        <v>41214.0</v>
      </c>
      <c r="AO24" s="138">
        <v>41244.0</v>
      </c>
      <c r="AP24" s="138">
        <v>41275.0</v>
      </c>
      <c r="AQ24" s="138">
        <v>41306.0</v>
      </c>
      <c r="AR24" s="138">
        <v>41334.0</v>
      </c>
      <c r="AS24" s="138">
        <v>41365.0</v>
      </c>
      <c r="AT24" s="138">
        <v>41395.0</v>
      </c>
      <c r="AU24" s="138">
        <v>41426.0</v>
      </c>
      <c r="AV24" s="138">
        <v>41456.0</v>
      </c>
      <c r="AW24" s="138">
        <v>41487.0</v>
      </c>
      <c r="AX24" s="139">
        <v>41518.0</v>
      </c>
      <c r="AY24" s="139">
        <v>41548.0</v>
      </c>
      <c r="AZ24" s="139">
        <v>41579.0</v>
      </c>
      <c r="BA24" s="139">
        <v>41609.0</v>
      </c>
      <c r="BB24" s="139">
        <v>41640.0</v>
      </c>
      <c r="BC24" s="139">
        <v>41671.0</v>
      </c>
      <c r="BD24" s="139">
        <v>41699.0</v>
      </c>
      <c r="BE24" s="139">
        <v>41730.0</v>
      </c>
      <c r="BF24" s="139">
        <v>41760.0</v>
      </c>
      <c r="BG24" s="139">
        <v>41791.0</v>
      </c>
      <c r="BH24" s="139">
        <v>41821.0</v>
      </c>
      <c r="BI24" s="139">
        <v>41852.0</v>
      </c>
      <c r="BJ24" s="139">
        <v>41883.0</v>
      </c>
      <c r="BK24" s="139">
        <v>41913.0</v>
      </c>
      <c r="BL24" s="139">
        <v>41944.0</v>
      </c>
      <c r="BM24" s="139">
        <v>41974.0</v>
      </c>
      <c r="BN24" s="139">
        <v>42005.0</v>
      </c>
      <c r="BO24" s="139">
        <v>42036.0</v>
      </c>
      <c r="BP24" s="139">
        <v>42064.0</v>
      </c>
      <c r="BQ24" s="139">
        <v>42095.0</v>
      </c>
      <c r="BR24" s="139">
        <v>42125.0</v>
      </c>
      <c r="BS24" s="139">
        <v>42156.0</v>
      </c>
      <c r="BT24" s="139">
        <v>42186.0</v>
      </c>
      <c r="BU24" s="139">
        <v>42217.0</v>
      </c>
      <c r="BV24" s="139">
        <v>42248.0</v>
      </c>
      <c r="BW24" s="139">
        <v>42278.0</v>
      </c>
      <c r="BX24" s="139">
        <v>42309.0</v>
      </c>
      <c r="BY24" s="139">
        <v>42339.0</v>
      </c>
      <c r="BZ24" s="139">
        <v>42370.0</v>
      </c>
      <c r="CA24" s="139">
        <v>42401.0</v>
      </c>
      <c r="CB24" s="139">
        <v>42430.0</v>
      </c>
      <c r="CC24" s="139">
        <v>42461.0</v>
      </c>
      <c r="CD24" s="139">
        <v>42491.0</v>
      </c>
      <c r="CE24" s="139">
        <v>42522.0</v>
      </c>
      <c r="CF24" s="139">
        <v>42552.0</v>
      </c>
      <c r="CG24" s="139">
        <v>42583.0</v>
      </c>
      <c r="CH24" s="139">
        <v>42614.0</v>
      </c>
      <c r="CI24" s="139">
        <v>42644.0</v>
      </c>
      <c r="CJ24" s="139">
        <v>42675.0</v>
      </c>
      <c r="CK24" s="139">
        <v>42705.0</v>
      </c>
      <c r="CL24" s="139">
        <v>42736.0</v>
      </c>
      <c r="CM24" s="139">
        <v>42767.0</v>
      </c>
      <c r="CN24" s="139">
        <v>42795.0</v>
      </c>
      <c r="CO24" s="139">
        <v>42826.0</v>
      </c>
      <c r="CP24" s="139">
        <v>42856.0</v>
      </c>
      <c r="CQ24" s="139">
        <v>42887.0</v>
      </c>
      <c r="CR24" s="139">
        <v>42917.0</v>
      </c>
      <c r="CS24" s="139">
        <v>42948.0</v>
      </c>
      <c r="CT24" s="139">
        <v>42979.0</v>
      </c>
      <c r="CU24" s="139">
        <v>43009.0</v>
      </c>
      <c r="CV24" s="139">
        <v>43040.0</v>
      </c>
      <c r="CW24" s="139">
        <v>43070.0</v>
      </c>
      <c r="CX24" s="139">
        <v>43101.0</v>
      </c>
      <c r="CY24" s="139">
        <v>43132.0</v>
      </c>
      <c r="CZ24" s="139">
        <v>43160.0</v>
      </c>
      <c r="DA24" s="139">
        <v>43191.0</v>
      </c>
      <c r="DB24" s="139">
        <v>43221.0</v>
      </c>
      <c r="DC24" s="139">
        <v>43252.0</v>
      </c>
      <c r="DD24" s="139">
        <v>43282.0</v>
      </c>
      <c r="DE24" s="139">
        <v>43313.0</v>
      </c>
      <c r="DF24" s="139">
        <v>43344.0</v>
      </c>
      <c r="DG24" s="139">
        <v>43374.0</v>
      </c>
      <c r="DH24" s="139">
        <v>43405.0</v>
      </c>
      <c r="DI24" s="139">
        <v>43435.0</v>
      </c>
      <c r="DJ24" s="139">
        <v>43466.0</v>
      </c>
      <c r="DK24" s="139">
        <v>43497.0</v>
      </c>
      <c r="DL24" s="139">
        <v>43525.0</v>
      </c>
      <c r="DM24" s="139">
        <v>43556.0</v>
      </c>
      <c r="DN24" s="139">
        <v>43586.0</v>
      </c>
      <c r="DO24" s="139">
        <v>43617.0</v>
      </c>
      <c r="DP24" s="139">
        <v>43647.0</v>
      </c>
      <c r="DQ24" s="139">
        <v>43678.0</v>
      </c>
      <c r="DR24" s="139">
        <v>43709.0</v>
      </c>
      <c r="DS24" s="139">
        <v>43739.0</v>
      </c>
      <c r="DT24" s="139">
        <v>43770.0</v>
      </c>
      <c r="DU24" s="139">
        <v>43800.0</v>
      </c>
      <c r="DV24" s="139">
        <v>43831.0</v>
      </c>
      <c r="DW24" s="139">
        <v>43862.0</v>
      </c>
      <c r="DX24" s="139">
        <v>43891.0</v>
      </c>
      <c r="DY24" s="139">
        <v>43922.0</v>
      </c>
      <c r="DZ24" s="139">
        <v>43952.0</v>
      </c>
      <c r="EA24" s="139">
        <v>43983.0</v>
      </c>
      <c r="EB24" s="139">
        <v>44013.0</v>
      </c>
      <c r="EC24" s="139">
        <v>44044.0</v>
      </c>
      <c r="ED24" s="139">
        <v>44075.0</v>
      </c>
      <c r="EE24" s="139">
        <v>44105.0</v>
      </c>
      <c r="EF24" s="139">
        <v>44136.0</v>
      </c>
      <c r="EG24" s="139">
        <v>44166.0</v>
      </c>
      <c r="EH24" s="139">
        <v>44197.0</v>
      </c>
      <c r="EI24" s="139">
        <v>44228.0</v>
      </c>
      <c r="EJ24" s="139">
        <v>44256.0</v>
      </c>
      <c r="EK24" s="139">
        <v>44287.0</v>
      </c>
      <c r="EL24" s="139">
        <v>44317.0</v>
      </c>
      <c r="EM24" s="139">
        <v>44348.0</v>
      </c>
      <c r="EN24" s="139">
        <v>44378.0</v>
      </c>
      <c r="EO24" s="139">
        <v>44409.0</v>
      </c>
      <c r="EP24" s="139">
        <v>44440.0</v>
      </c>
      <c r="EQ24" s="139">
        <v>44470.0</v>
      </c>
      <c r="ER24" s="139">
        <v>44501.0</v>
      </c>
      <c r="ES24" s="139">
        <v>44531.0</v>
      </c>
      <c r="ET24" s="139">
        <v>44562.0</v>
      </c>
      <c r="EU24" s="139">
        <v>44593.0</v>
      </c>
      <c r="EV24" s="139">
        <v>44621.0</v>
      </c>
      <c r="EW24" s="139">
        <v>44652.0</v>
      </c>
      <c r="EX24" s="139">
        <v>44682.0</v>
      </c>
      <c r="EY24" s="139">
        <v>44713.0</v>
      </c>
      <c r="EZ24" s="139">
        <v>44743.0</v>
      </c>
      <c r="FA24" s="139">
        <v>44774.0</v>
      </c>
      <c r="FB24" s="139">
        <v>44805.0</v>
      </c>
      <c r="FC24" s="139">
        <v>44835.0</v>
      </c>
      <c r="FD24" s="139">
        <v>44866.0</v>
      </c>
      <c r="FE24" s="139">
        <v>44896.0</v>
      </c>
      <c r="FF24" s="139">
        <v>44927.0</v>
      </c>
      <c r="FG24" s="139">
        <v>44958.0</v>
      </c>
      <c r="FH24" s="139">
        <v>44986.0</v>
      </c>
      <c r="FI24" s="139">
        <v>45017.0</v>
      </c>
      <c r="FJ24" s="139">
        <v>45047.0</v>
      </c>
      <c r="FK24" s="139">
        <v>45078.0</v>
      </c>
      <c r="FL24" s="139">
        <v>45108.0</v>
      </c>
      <c r="FM24" s="139">
        <v>45139.0</v>
      </c>
      <c r="FN24" s="139">
        <v>45170.0</v>
      </c>
      <c r="FO24" s="139">
        <v>45200.0</v>
      </c>
      <c r="FP24" s="139">
        <v>45231.0</v>
      </c>
      <c r="FQ24" s="139">
        <v>45261.0</v>
      </c>
      <c r="FR24" s="139">
        <v>45292.0</v>
      </c>
      <c r="FS24" s="139">
        <v>45323.0</v>
      </c>
      <c r="FT24" s="139">
        <v>45352.0</v>
      </c>
      <c r="FU24" s="139">
        <v>45383.0</v>
      </c>
      <c r="FV24" s="139">
        <v>45413.0</v>
      </c>
      <c r="FW24" s="139">
        <v>45444.0</v>
      </c>
      <c r="FX24" s="139">
        <v>45474.0</v>
      </c>
      <c r="FY24" s="139">
        <v>45505.0</v>
      </c>
      <c r="FZ24" s="139">
        <v>45536.0</v>
      </c>
      <c r="GA24" s="139">
        <v>45566.0</v>
      </c>
      <c r="GB24" s="139">
        <v>45597.0</v>
      </c>
      <c r="GC24" s="139">
        <v>45627.0</v>
      </c>
      <c r="GD24" s="139">
        <v>45658.0</v>
      </c>
      <c r="GE24" s="139">
        <v>45689.0</v>
      </c>
      <c r="GF24" s="139">
        <v>45717.0</v>
      </c>
      <c r="GG24" s="139">
        <v>45748.0</v>
      </c>
      <c r="GH24" s="139">
        <v>45778.0</v>
      </c>
      <c r="GI24" s="139">
        <v>45809.0</v>
      </c>
      <c r="GJ24" s="139">
        <v>45839.0</v>
      </c>
    </row>
    <row r="25">
      <c r="A25" s="133" t="s">
        <v>1376</v>
      </c>
      <c r="B25" s="134">
        <v>41555.71917824074</v>
      </c>
      <c r="C25" s="135" t="str">
        <f t="shared" si="1"/>
        <v>2013/10/08</v>
      </c>
      <c r="D25" s="136" t="s">
        <v>34253</v>
      </c>
      <c r="E25" s="151">
        <v>0.0</v>
      </c>
      <c r="F25" s="138">
        <v>40179.0</v>
      </c>
      <c r="G25" s="138">
        <v>40210.0</v>
      </c>
      <c r="H25" s="138">
        <v>40238.0</v>
      </c>
      <c r="I25" s="138">
        <v>40269.0</v>
      </c>
      <c r="J25" s="138">
        <v>40299.0</v>
      </c>
      <c r="K25" s="138">
        <v>40330.0</v>
      </c>
      <c r="L25" s="138">
        <v>40360.0</v>
      </c>
      <c r="M25" s="138">
        <v>40391.0</v>
      </c>
      <c r="N25" s="138">
        <v>40422.0</v>
      </c>
      <c r="O25" s="138">
        <v>40452.0</v>
      </c>
      <c r="P25" s="138">
        <v>40483.0</v>
      </c>
      <c r="Q25" s="138">
        <v>40513.0</v>
      </c>
      <c r="R25" s="138">
        <v>40544.0</v>
      </c>
      <c r="S25" s="138">
        <v>40575.0</v>
      </c>
      <c r="T25" s="138">
        <v>40603.0</v>
      </c>
      <c r="U25" s="138">
        <v>40634.0</v>
      </c>
      <c r="V25" s="138">
        <v>40664.0</v>
      </c>
      <c r="W25" s="138">
        <v>40695.0</v>
      </c>
      <c r="X25" s="138">
        <v>40725.0</v>
      </c>
      <c r="Y25" s="138">
        <v>40756.0</v>
      </c>
      <c r="Z25" s="138">
        <v>40787.0</v>
      </c>
      <c r="AA25" s="138">
        <v>40817.0</v>
      </c>
      <c r="AB25" s="138">
        <v>40848.0</v>
      </c>
      <c r="AC25" s="138">
        <v>40878.0</v>
      </c>
      <c r="AD25" s="138">
        <v>40909.0</v>
      </c>
      <c r="AE25" s="138">
        <v>40940.0</v>
      </c>
      <c r="AF25" s="138">
        <v>40969.0</v>
      </c>
      <c r="AG25" s="138">
        <v>41000.0</v>
      </c>
      <c r="AH25" s="138">
        <v>41030.0</v>
      </c>
      <c r="AI25" s="138">
        <v>41061.0</v>
      </c>
      <c r="AJ25" s="138">
        <v>41091.0</v>
      </c>
      <c r="AK25" s="138">
        <v>41122.0</v>
      </c>
      <c r="AL25" s="138">
        <v>41153.0</v>
      </c>
      <c r="AM25" s="138">
        <v>41183.0</v>
      </c>
      <c r="AN25" s="138">
        <v>41214.0</v>
      </c>
      <c r="AO25" s="138">
        <v>41244.0</v>
      </c>
      <c r="AP25" s="138">
        <v>41275.0</v>
      </c>
      <c r="AQ25" s="138">
        <v>41306.0</v>
      </c>
      <c r="AR25" s="138">
        <v>41334.0</v>
      </c>
      <c r="AS25" s="138">
        <v>41365.0</v>
      </c>
      <c r="AT25" s="138">
        <v>41395.0</v>
      </c>
      <c r="AU25" s="138">
        <v>41426.0</v>
      </c>
      <c r="AV25" s="138">
        <v>41456.0</v>
      </c>
      <c r="AW25" s="138">
        <v>41487.0</v>
      </c>
      <c r="AX25" s="138">
        <v>41518.0</v>
      </c>
      <c r="AY25" s="138">
        <v>41548.0</v>
      </c>
      <c r="AZ25" s="139">
        <v>41579.0</v>
      </c>
      <c r="BA25" s="139">
        <v>41609.0</v>
      </c>
      <c r="BB25" s="139">
        <v>41640.0</v>
      </c>
      <c r="BC25" s="139">
        <v>41671.0</v>
      </c>
      <c r="BD25" s="139">
        <v>41699.0</v>
      </c>
      <c r="BE25" s="139">
        <v>41730.0</v>
      </c>
      <c r="BF25" s="139">
        <v>41760.0</v>
      </c>
      <c r="BG25" s="139">
        <v>41791.0</v>
      </c>
      <c r="BH25" s="139">
        <v>41821.0</v>
      </c>
      <c r="BI25" s="139">
        <v>41852.0</v>
      </c>
      <c r="BJ25" s="139">
        <v>41883.0</v>
      </c>
      <c r="BK25" s="139">
        <v>41913.0</v>
      </c>
      <c r="BL25" s="139">
        <v>41944.0</v>
      </c>
      <c r="BM25" s="139">
        <v>41974.0</v>
      </c>
      <c r="BN25" s="139">
        <v>42005.0</v>
      </c>
      <c r="BO25" s="139">
        <v>42036.0</v>
      </c>
      <c r="BP25" s="139">
        <v>42064.0</v>
      </c>
      <c r="BQ25" s="139">
        <v>42095.0</v>
      </c>
      <c r="BR25" s="139">
        <v>42125.0</v>
      </c>
      <c r="BS25" s="139">
        <v>42156.0</v>
      </c>
      <c r="BT25" s="139">
        <v>42186.0</v>
      </c>
      <c r="BU25" s="139">
        <v>42217.0</v>
      </c>
      <c r="BV25" s="139">
        <v>42248.0</v>
      </c>
      <c r="BW25" s="139">
        <v>42278.0</v>
      </c>
      <c r="BX25" s="139">
        <v>42309.0</v>
      </c>
      <c r="BY25" s="139">
        <v>42339.0</v>
      </c>
      <c r="BZ25" s="139">
        <v>42370.0</v>
      </c>
      <c r="CA25" s="139">
        <v>42401.0</v>
      </c>
      <c r="CB25" s="139">
        <v>42430.0</v>
      </c>
      <c r="CC25" s="139">
        <v>42461.0</v>
      </c>
      <c r="CD25" s="139">
        <v>42491.0</v>
      </c>
      <c r="CE25" s="139">
        <v>42522.0</v>
      </c>
      <c r="CF25" s="139">
        <v>42552.0</v>
      </c>
      <c r="CG25" s="139">
        <v>42583.0</v>
      </c>
      <c r="CH25" s="139">
        <v>42614.0</v>
      </c>
      <c r="CI25" s="139">
        <v>42644.0</v>
      </c>
      <c r="CJ25" s="139">
        <v>42675.0</v>
      </c>
      <c r="CK25" s="139">
        <v>42705.0</v>
      </c>
      <c r="CL25" s="139">
        <v>42736.0</v>
      </c>
      <c r="CM25" s="139">
        <v>42767.0</v>
      </c>
      <c r="CN25" s="139">
        <v>42795.0</v>
      </c>
      <c r="CO25" s="139">
        <v>42826.0</v>
      </c>
      <c r="CP25" s="139">
        <v>42856.0</v>
      </c>
      <c r="CQ25" s="139">
        <v>42887.0</v>
      </c>
      <c r="CR25" s="139">
        <v>42917.0</v>
      </c>
      <c r="CS25" s="139">
        <v>42948.0</v>
      </c>
      <c r="CT25" s="139">
        <v>42979.0</v>
      </c>
      <c r="CU25" s="139">
        <v>43009.0</v>
      </c>
      <c r="CV25" s="139">
        <v>43040.0</v>
      </c>
      <c r="CW25" s="139">
        <v>43070.0</v>
      </c>
      <c r="CX25" s="139">
        <v>43101.0</v>
      </c>
      <c r="CY25" s="139">
        <v>43132.0</v>
      </c>
      <c r="CZ25" s="139">
        <v>43160.0</v>
      </c>
      <c r="DA25" s="139">
        <v>43191.0</v>
      </c>
      <c r="DB25" s="139">
        <v>43221.0</v>
      </c>
      <c r="DC25" s="139">
        <v>43252.0</v>
      </c>
      <c r="DD25" s="139">
        <v>43282.0</v>
      </c>
      <c r="DE25" s="139">
        <v>43313.0</v>
      </c>
      <c r="DF25" s="139">
        <v>43344.0</v>
      </c>
      <c r="DG25" s="139">
        <v>43374.0</v>
      </c>
      <c r="DH25" s="139">
        <v>43405.0</v>
      </c>
      <c r="DI25" s="139">
        <v>43435.0</v>
      </c>
      <c r="DJ25" s="139">
        <v>43466.0</v>
      </c>
      <c r="DK25" s="139">
        <v>43497.0</v>
      </c>
      <c r="DL25" s="139">
        <v>43525.0</v>
      </c>
      <c r="DM25" s="139">
        <v>43556.0</v>
      </c>
      <c r="DN25" s="139">
        <v>43586.0</v>
      </c>
      <c r="DO25" s="139">
        <v>43617.0</v>
      </c>
      <c r="DP25" s="139">
        <v>43647.0</v>
      </c>
      <c r="DQ25" s="139">
        <v>43678.0</v>
      </c>
      <c r="DR25" s="139">
        <v>43709.0</v>
      </c>
      <c r="DS25" s="139">
        <v>43739.0</v>
      </c>
      <c r="DT25" s="139">
        <v>43770.0</v>
      </c>
      <c r="DU25" s="139">
        <v>43800.0</v>
      </c>
      <c r="DV25" s="139">
        <v>43831.0</v>
      </c>
      <c r="DW25" s="139">
        <v>43862.0</v>
      </c>
      <c r="DX25" s="139">
        <v>43891.0</v>
      </c>
      <c r="DY25" s="139">
        <v>43922.0</v>
      </c>
      <c r="DZ25" s="139">
        <v>43952.0</v>
      </c>
      <c r="EA25" s="139">
        <v>43983.0</v>
      </c>
      <c r="EB25" s="139">
        <v>44013.0</v>
      </c>
      <c r="EC25" s="139">
        <v>44044.0</v>
      </c>
      <c r="ED25" s="139">
        <v>44075.0</v>
      </c>
      <c r="EE25" s="139">
        <v>44105.0</v>
      </c>
      <c r="EF25" s="139">
        <v>44136.0</v>
      </c>
      <c r="EG25" s="139">
        <v>44166.0</v>
      </c>
      <c r="EH25" s="139">
        <v>44197.0</v>
      </c>
      <c r="EI25" s="139">
        <v>44228.0</v>
      </c>
      <c r="EJ25" s="139">
        <v>44256.0</v>
      </c>
      <c r="EK25" s="139">
        <v>44287.0</v>
      </c>
      <c r="EL25" s="139">
        <v>44317.0</v>
      </c>
      <c r="EM25" s="139">
        <v>44348.0</v>
      </c>
      <c r="EN25" s="139">
        <v>44378.0</v>
      </c>
      <c r="EO25" s="139">
        <v>44409.0</v>
      </c>
      <c r="EP25" s="139">
        <v>44440.0</v>
      </c>
      <c r="EQ25" s="139">
        <v>44470.0</v>
      </c>
      <c r="ER25" s="139">
        <v>44501.0</v>
      </c>
      <c r="ES25" s="139">
        <v>44531.0</v>
      </c>
      <c r="ET25" s="139">
        <v>44562.0</v>
      </c>
      <c r="EU25" s="139">
        <v>44593.0</v>
      </c>
      <c r="EV25" s="139">
        <v>44621.0</v>
      </c>
      <c r="EW25" s="139">
        <v>44652.0</v>
      </c>
      <c r="EX25" s="139">
        <v>44682.0</v>
      </c>
      <c r="EY25" s="139">
        <v>44713.0</v>
      </c>
      <c r="EZ25" s="139">
        <v>44743.0</v>
      </c>
      <c r="FA25" s="139">
        <v>44774.0</v>
      </c>
      <c r="FB25" s="139">
        <v>44805.0</v>
      </c>
      <c r="FC25" s="139">
        <v>44835.0</v>
      </c>
      <c r="FD25" s="139">
        <v>44866.0</v>
      </c>
      <c r="FE25" s="139">
        <v>44896.0</v>
      </c>
      <c r="FF25" s="139">
        <v>44927.0</v>
      </c>
      <c r="FG25" s="139">
        <v>44958.0</v>
      </c>
      <c r="FH25" s="139">
        <v>44986.0</v>
      </c>
      <c r="FI25" s="139">
        <v>45017.0</v>
      </c>
      <c r="FJ25" s="139">
        <v>45047.0</v>
      </c>
      <c r="FK25" s="139">
        <v>45078.0</v>
      </c>
      <c r="FL25" s="139">
        <v>45108.0</v>
      </c>
      <c r="FM25" s="139">
        <v>45139.0</v>
      </c>
      <c r="FN25" s="139">
        <v>45170.0</v>
      </c>
      <c r="FO25" s="139">
        <v>45200.0</v>
      </c>
      <c r="FP25" s="139">
        <v>45231.0</v>
      </c>
      <c r="FQ25" s="139">
        <v>45261.0</v>
      </c>
      <c r="FR25" s="139">
        <v>45292.0</v>
      </c>
      <c r="FS25" s="139">
        <v>45323.0</v>
      </c>
      <c r="FT25" s="139">
        <v>45352.0</v>
      </c>
      <c r="FU25" s="139">
        <v>45383.0</v>
      </c>
      <c r="FV25" s="139">
        <v>45413.0</v>
      </c>
      <c r="FW25" s="139">
        <v>45444.0</v>
      </c>
      <c r="FX25" s="139">
        <v>45474.0</v>
      </c>
      <c r="FY25" s="139">
        <v>45505.0</v>
      </c>
      <c r="FZ25" s="139">
        <v>45536.0</v>
      </c>
      <c r="GA25" s="139">
        <v>45566.0</v>
      </c>
      <c r="GB25" s="139">
        <v>45597.0</v>
      </c>
      <c r="GC25" s="139">
        <v>45627.0</v>
      </c>
      <c r="GD25" s="139">
        <v>45658.0</v>
      </c>
      <c r="GE25" s="139">
        <v>45689.0</v>
      </c>
      <c r="GF25" s="139">
        <v>45717.0</v>
      </c>
      <c r="GG25" s="139">
        <v>45748.0</v>
      </c>
      <c r="GH25" s="139">
        <v>45778.0</v>
      </c>
      <c r="GI25" s="139">
        <v>45809.0</v>
      </c>
      <c r="GJ25" s="139">
        <v>45839.0</v>
      </c>
    </row>
    <row r="26">
      <c r="A26" s="133" t="s">
        <v>1695</v>
      </c>
      <c r="B26" s="134">
        <v>41565.591828703706</v>
      </c>
      <c r="C26" s="135" t="str">
        <f t="shared" si="1"/>
        <v>2013/10/18</v>
      </c>
      <c r="D26" s="136" t="s">
        <v>34254</v>
      </c>
      <c r="E26" s="151">
        <v>0.0</v>
      </c>
      <c r="F26" s="138">
        <v>40179.0</v>
      </c>
      <c r="G26" s="138">
        <v>40210.0</v>
      </c>
      <c r="H26" s="138">
        <v>40238.0</v>
      </c>
      <c r="I26" s="138">
        <v>40269.0</v>
      </c>
      <c r="J26" s="138">
        <v>40299.0</v>
      </c>
      <c r="K26" s="138">
        <v>40330.0</v>
      </c>
      <c r="L26" s="138">
        <v>40360.0</v>
      </c>
      <c r="M26" s="138">
        <v>40391.0</v>
      </c>
      <c r="N26" s="138">
        <v>40422.0</v>
      </c>
      <c r="O26" s="138">
        <v>40452.0</v>
      </c>
      <c r="P26" s="138">
        <v>40483.0</v>
      </c>
      <c r="Q26" s="138">
        <v>40513.0</v>
      </c>
      <c r="R26" s="138">
        <v>40544.0</v>
      </c>
      <c r="S26" s="138">
        <v>40575.0</v>
      </c>
      <c r="T26" s="138">
        <v>40603.0</v>
      </c>
      <c r="U26" s="138">
        <v>40634.0</v>
      </c>
      <c r="V26" s="138">
        <v>40664.0</v>
      </c>
      <c r="W26" s="138">
        <v>40695.0</v>
      </c>
      <c r="X26" s="138">
        <v>40725.0</v>
      </c>
      <c r="Y26" s="138">
        <v>40756.0</v>
      </c>
      <c r="Z26" s="138">
        <v>40787.0</v>
      </c>
      <c r="AA26" s="138">
        <v>40817.0</v>
      </c>
      <c r="AB26" s="138">
        <v>40848.0</v>
      </c>
      <c r="AC26" s="138">
        <v>40878.0</v>
      </c>
      <c r="AD26" s="138">
        <v>40909.0</v>
      </c>
      <c r="AE26" s="138">
        <v>40940.0</v>
      </c>
      <c r="AF26" s="138">
        <v>40969.0</v>
      </c>
      <c r="AG26" s="138">
        <v>41000.0</v>
      </c>
      <c r="AH26" s="138">
        <v>41030.0</v>
      </c>
      <c r="AI26" s="138">
        <v>41061.0</v>
      </c>
      <c r="AJ26" s="138">
        <v>41091.0</v>
      </c>
      <c r="AK26" s="138">
        <v>41122.0</v>
      </c>
      <c r="AL26" s="138">
        <v>41153.0</v>
      </c>
      <c r="AM26" s="138">
        <v>41183.0</v>
      </c>
      <c r="AN26" s="138">
        <v>41214.0</v>
      </c>
      <c r="AO26" s="138">
        <v>41244.0</v>
      </c>
      <c r="AP26" s="138">
        <v>41275.0</v>
      </c>
      <c r="AQ26" s="138">
        <v>41306.0</v>
      </c>
      <c r="AR26" s="138">
        <v>41334.0</v>
      </c>
      <c r="AS26" s="138">
        <v>41365.0</v>
      </c>
      <c r="AT26" s="138">
        <v>41395.0</v>
      </c>
      <c r="AU26" s="138">
        <v>41426.0</v>
      </c>
      <c r="AV26" s="138">
        <v>41456.0</v>
      </c>
      <c r="AW26" s="138">
        <v>41487.0</v>
      </c>
      <c r="AX26" s="138">
        <v>41518.0</v>
      </c>
      <c r="AY26" s="138">
        <v>41548.0</v>
      </c>
      <c r="AZ26" s="139">
        <v>41579.0</v>
      </c>
      <c r="BA26" s="139">
        <v>41609.0</v>
      </c>
      <c r="BB26" s="139">
        <v>41640.0</v>
      </c>
      <c r="BC26" s="139">
        <v>41671.0</v>
      </c>
      <c r="BD26" s="139">
        <v>41699.0</v>
      </c>
      <c r="BE26" s="139">
        <v>41730.0</v>
      </c>
      <c r="BF26" s="139">
        <v>41760.0</v>
      </c>
      <c r="BG26" s="139">
        <v>41791.0</v>
      </c>
      <c r="BH26" s="139">
        <v>41821.0</v>
      </c>
      <c r="BI26" s="139">
        <v>41852.0</v>
      </c>
      <c r="BJ26" s="139">
        <v>41883.0</v>
      </c>
      <c r="BK26" s="139">
        <v>41913.0</v>
      </c>
      <c r="BL26" s="139">
        <v>41944.0</v>
      </c>
      <c r="BM26" s="139">
        <v>41974.0</v>
      </c>
      <c r="BN26" s="139">
        <v>42005.0</v>
      </c>
      <c r="BO26" s="139">
        <v>42036.0</v>
      </c>
      <c r="BP26" s="139">
        <v>42064.0</v>
      </c>
      <c r="BQ26" s="139">
        <v>42095.0</v>
      </c>
      <c r="BR26" s="139">
        <v>42125.0</v>
      </c>
      <c r="BS26" s="139">
        <v>42156.0</v>
      </c>
      <c r="BT26" s="139">
        <v>42186.0</v>
      </c>
      <c r="BU26" s="139">
        <v>42217.0</v>
      </c>
      <c r="BV26" s="139">
        <v>42248.0</v>
      </c>
      <c r="BW26" s="139">
        <v>42278.0</v>
      </c>
      <c r="BX26" s="139">
        <v>42309.0</v>
      </c>
      <c r="BY26" s="139">
        <v>42339.0</v>
      </c>
      <c r="BZ26" s="139">
        <v>42370.0</v>
      </c>
      <c r="CA26" s="139">
        <v>42401.0</v>
      </c>
      <c r="CB26" s="139">
        <v>42430.0</v>
      </c>
      <c r="CC26" s="139">
        <v>42461.0</v>
      </c>
      <c r="CD26" s="139">
        <v>42491.0</v>
      </c>
      <c r="CE26" s="139">
        <v>42522.0</v>
      </c>
      <c r="CF26" s="139">
        <v>42552.0</v>
      </c>
      <c r="CG26" s="139">
        <v>42583.0</v>
      </c>
      <c r="CH26" s="139">
        <v>42614.0</v>
      </c>
      <c r="CI26" s="139">
        <v>42644.0</v>
      </c>
      <c r="CJ26" s="139">
        <v>42675.0</v>
      </c>
      <c r="CK26" s="139">
        <v>42705.0</v>
      </c>
      <c r="CL26" s="139">
        <v>42736.0</v>
      </c>
      <c r="CM26" s="139">
        <v>42767.0</v>
      </c>
      <c r="CN26" s="139">
        <v>42795.0</v>
      </c>
      <c r="CO26" s="139">
        <v>42826.0</v>
      </c>
      <c r="CP26" s="139">
        <v>42856.0</v>
      </c>
      <c r="CQ26" s="139">
        <v>42887.0</v>
      </c>
      <c r="CR26" s="139">
        <v>42917.0</v>
      </c>
      <c r="CS26" s="139">
        <v>42948.0</v>
      </c>
      <c r="CT26" s="139">
        <v>42979.0</v>
      </c>
      <c r="CU26" s="139">
        <v>43009.0</v>
      </c>
      <c r="CV26" s="139">
        <v>43040.0</v>
      </c>
      <c r="CW26" s="139">
        <v>43070.0</v>
      </c>
      <c r="CX26" s="139">
        <v>43101.0</v>
      </c>
      <c r="CY26" s="139">
        <v>43132.0</v>
      </c>
      <c r="CZ26" s="139">
        <v>43160.0</v>
      </c>
      <c r="DA26" s="139">
        <v>43191.0</v>
      </c>
      <c r="DB26" s="139">
        <v>43221.0</v>
      </c>
      <c r="DC26" s="139">
        <v>43252.0</v>
      </c>
      <c r="DD26" s="139">
        <v>43282.0</v>
      </c>
      <c r="DE26" s="139">
        <v>43313.0</v>
      </c>
      <c r="DF26" s="139">
        <v>43344.0</v>
      </c>
      <c r="DG26" s="139">
        <v>43374.0</v>
      </c>
      <c r="DH26" s="139">
        <v>43405.0</v>
      </c>
      <c r="DI26" s="139">
        <v>43435.0</v>
      </c>
      <c r="DJ26" s="139">
        <v>43466.0</v>
      </c>
      <c r="DK26" s="139">
        <v>43497.0</v>
      </c>
      <c r="DL26" s="139">
        <v>43525.0</v>
      </c>
      <c r="DM26" s="139">
        <v>43556.0</v>
      </c>
      <c r="DN26" s="139">
        <v>43586.0</v>
      </c>
      <c r="DO26" s="139">
        <v>43617.0</v>
      </c>
      <c r="DP26" s="139">
        <v>43647.0</v>
      </c>
      <c r="DQ26" s="139">
        <v>43678.0</v>
      </c>
      <c r="DR26" s="139">
        <v>43709.0</v>
      </c>
      <c r="DS26" s="139">
        <v>43739.0</v>
      </c>
      <c r="DT26" s="139">
        <v>43770.0</v>
      </c>
      <c r="DU26" s="139">
        <v>43800.0</v>
      </c>
      <c r="DV26" s="139">
        <v>43831.0</v>
      </c>
      <c r="DW26" s="139">
        <v>43862.0</v>
      </c>
      <c r="DX26" s="139">
        <v>43891.0</v>
      </c>
      <c r="DY26" s="139">
        <v>43922.0</v>
      </c>
      <c r="DZ26" s="139">
        <v>43952.0</v>
      </c>
      <c r="EA26" s="139">
        <v>43983.0</v>
      </c>
      <c r="EB26" s="139">
        <v>44013.0</v>
      </c>
      <c r="EC26" s="139">
        <v>44044.0</v>
      </c>
      <c r="ED26" s="139">
        <v>44075.0</v>
      </c>
      <c r="EE26" s="139">
        <v>44105.0</v>
      </c>
      <c r="EF26" s="139">
        <v>44136.0</v>
      </c>
      <c r="EG26" s="139">
        <v>44166.0</v>
      </c>
      <c r="EH26" s="139">
        <v>44197.0</v>
      </c>
      <c r="EI26" s="139">
        <v>44228.0</v>
      </c>
      <c r="EJ26" s="139">
        <v>44256.0</v>
      </c>
      <c r="EK26" s="139">
        <v>44287.0</v>
      </c>
      <c r="EL26" s="139">
        <v>44317.0</v>
      </c>
      <c r="EM26" s="139">
        <v>44348.0</v>
      </c>
      <c r="EN26" s="139">
        <v>44378.0</v>
      </c>
      <c r="EO26" s="139">
        <v>44409.0</v>
      </c>
      <c r="EP26" s="139">
        <v>44440.0</v>
      </c>
      <c r="EQ26" s="139">
        <v>44470.0</v>
      </c>
      <c r="ER26" s="139">
        <v>44501.0</v>
      </c>
      <c r="ES26" s="139">
        <v>44531.0</v>
      </c>
      <c r="ET26" s="139">
        <v>44562.0</v>
      </c>
      <c r="EU26" s="139">
        <v>44593.0</v>
      </c>
      <c r="EV26" s="139">
        <v>44621.0</v>
      </c>
      <c r="EW26" s="139">
        <v>44652.0</v>
      </c>
      <c r="EX26" s="139">
        <v>44682.0</v>
      </c>
      <c r="EY26" s="139">
        <v>44713.0</v>
      </c>
      <c r="EZ26" s="139">
        <v>44743.0</v>
      </c>
      <c r="FA26" s="139">
        <v>44774.0</v>
      </c>
      <c r="FB26" s="139">
        <v>44805.0</v>
      </c>
      <c r="FC26" s="139">
        <v>44835.0</v>
      </c>
      <c r="FD26" s="139">
        <v>44866.0</v>
      </c>
      <c r="FE26" s="139">
        <v>44896.0</v>
      </c>
      <c r="FF26" s="139">
        <v>44927.0</v>
      </c>
      <c r="FG26" s="139">
        <v>44958.0</v>
      </c>
      <c r="FH26" s="139">
        <v>44986.0</v>
      </c>
      <c r="FI26" s="139">
        <v>45017.0</v>
      </c>
      <c r="FJ26" s="139">
        <v>45047.0</v>
      </c>
      <c r="FK26" s="139">
        <v>45078.0</v>
      </c>
      <c r="FL26" s="139">
        <v>45108.0</v>
      </c>
      <c r="FM26" s="139">
        <v>45139.0</v>
      </c>
      <c r="FN26" s="139">
        <v>45170.0</v>
      </c>
      <c r="FO26" s="139">
        <v>45200.0</v>
      </c>
      <c r="FP26" s="139">
        <v>45231.0</v>
      </c>
      <c r="FQ26" s="139">
        <v>45261.0</v>
      </c>
      <c r="FR26" s="139">
        <v>45292.0</v>
      </c>
      <c r="FS26" s="139">
        <v>45323.0</v>
      </c>
      <c r="FT26" s="139">
        <v>45352.0</v>
      </c>
      <c r="FU26" s="139">
        <v>45383.0</v>
      </c>
      <c r="FV26" s="139">
        <v>45413.0</v>
      </c>
      <c r="FW26" s="139">
        <v>45444.0</v>
      </c>
      <c r="FX26" s="139">
        <v>45474.0</v>
      </c>
      <c r="FY26" s="139">
        <v>45505.0</v>
      </c>
      <c r="FZ26" s="139">
        <v>45536.0</v>
      </c>
      <c r="GA26" s="139">
        <v>45566.0</v>
      </c>
      <c r="GB26" s="139">
        <v>45597.0</v>
      </c>
      <c r="GC26" s="139">
        <v>45627.0</v>
      </c>
      <c r="GD26" s="139">
        <v>45658.0</v>
      </c>
      <c r="GE26" s="139">
        <v>45689.0</v>
      </c>
      <c r="GF26" s="139">
        <v>45717.0</v>
      </c>
      <c r="GG26" s="139">
        <v>45748.0</v>
      </c>
      <c r="GH26" s="139">
        <v>45778.0</v>
      </c>
      <c r="GI26" s="139">
        <v>45809.0</v>
      </c>
      <c r="GJ26" s="139">
        <v>45839.0</v>
      </c>
    </row>
    <row r="27">
      <c r="A27" s="133" t="s">
        <v>1718</v>
      </c>
      <c r="B27" s="134">
        <v>41577.72006944445</v>
      </c>
      <c r="C27" s="135" t="str">
        <f t="shared" si="1"/>
        <v>2013/10/30</v>
      </c>
      <c r="D27" s="136" t="s">
        <v>33910</v>
      </c>
      <c r="E27" s="151">
        <v>0.0</v>
      </c>
      <c r="F27" s="138">
        <v>40179.0</v>
      </c>
      <c r="G27" s="138">
        <v>40210.0</v>
      </c>
      <c r="H27" s="138">
        <v>40238.0</v>
      </c>
      <c r="I27" s="138">
        <v>40269.0</v>
      </c>
      <c r="J27" s="138">
        <v>40299.0</v>
      </c>
      <c r="K27" s="138">
        <v>40330.0</v>
      </c>
      <c r="L27" s="138">
        <v>40360.0</v>
      </c>
      <c r="M27" s="138">
        <v>40391.0</v>
      </c>
      <c r="N27" s="138">
        <v>40422.0</v>
      </c>
      <c r="O27" s="138">
        <v>40452.0</v>
      </c>
      <c r="P27" s="138">
        <v>40483.0</v>
      </c>
      <c r="Q27" s="138">
        <v>40513.0</v>
      </c>
      <c r="R27" s="138">
        <v>40544.0</v>
      </c>
      <c r="S27" s="138">
        <v>40575.0</v>
      </c>
      <c r="T27" s="138">
        <v>40603.0</v>
      </c>
      <c r="U27" s="138">
        <v>40634.0</v>
      </c>
      <c r="V27" s="138">
        <v>40664.0</v>
      </c>
      <c r="W27" s="138">
        <v>40695.0</v>
      </c>
      <c r="X27" s="138">
        <v>40725.0</v>
      </c>
      <c r="Y27" s="138">
        <v>40756.0</v>
      </c>
      <c r="Z27" s="138">
        <v>40787.0</v>
      </c>
      <c r="AA27" s="138">
        <v>40817.0</v>
      </c>
      <c r="AB27" s="138">
        <v>40848.0</v>
      </c>
      <c r="AC27" s="138">
        <v>40878.0</v>
      </c>
      <c r="AD27" s="138">
        <v>40909.0</v>
      </c>
      <c r="AE27" s="138">
        <v>40940.0</v>
      </c>
      <c r="AF27" s="138">
        <v>40969.0</v>
      </c>
      <c r="AG27" s="138">
        <v>41000.0</v>
      </c>
      <c r="AH27" s="138">
        <v>41030.0</v>
      </c>
      <c r="AI27" s="138">
        <v>41061.0</v>
      </c>
      <c r="AJ27" s="138">
        <v>41091.0</v>
      </c>
      <c r="AK27" s="138">
        <v>41122.0</v>
      </c>
      <c r="AL27" s="138">
        <v>41153.0</v>
      </c>
      <c r="AM27" s="138">
        <v>41183.0</v>
      </c>
      <c r="AN27" s="138">
        <v>41214.0</v>
      </c>
      <c r="AO27" s="138">
        <v>41244.0</v>
      </c>
      <c r="AP27" s="138">
        <v>41275.0</v>
      </c>
      <c r="AQ27" s="138">
        <v>41306.0</v>
      </c>
      <c r="AR27" s="138">
        <v>41334.0</v>
      </c>
      <c r="AS27" s="138">
        <v>41365.0</v>
      </c>
      <c r="AT27" s="138">
        <v>41395.0</v>
      </c>
      <c r="AU27" s="138">
        <v>41426.0</v>
      </c>
      <c r="AV27" s="138">
        <v>41456.0</v>
      </c>
      <c r="AW27" s="138">
        <v>41487.0</v>
      </c>
      <c r="AX27" s="138">
        <v>41518.0</v>
      </c>
      <c r="AY27" s="138">
        <v>41548.0</v>
      </c>
      <c r="AZ27" s="139">
        <v>41579.0</v>
      </c>
      <c r="BA27" s="139">
        <v>41609.0</v>
      </c>
      <c r="BB27" s="139">
        <v>41640.0</v>
      </c>
      <c r="BC27" s="139">
        <v>41671.0</v>
      </c>
      <c r="BD27" s="139">
        <v>41699.0</v>
      </c>
      <c r="BE27" s="139">
        <v>41730.0</v>
      </c>
      <c r="BF27" s="139">
        <v>41760.0</v>
      </c>
      <c r="BG27" s="139">
        <v>41791.0</v>
      </c>
      <c r="BH27" s="139">
        <v>41821.0</v>
      </c>
      <c r="BI27" s="139">
        <v>41852.0</v>
      </c>
      <c r="BJ27" s="139">
        <v>41883.0</v>
      </c>
      <c r="BK27" s="139">
        <v>41913.0</v>
      </c>
      <c r="BL27" s="139">
        <v>41944.0</v>
      </c>
      <c r="BM27" s="139">
        <v>41974.0</v>
      </c>
      <c r="BN27" s="139">
        <v>42005.0</v>
      </c>
      <c r="BO27" s="139">
        <v>42036.0</v>
      </c>
      <c r="BP27" s="139">
        <v>42064.0</v>
      </c>
      <c r="BQ27" s="139">
        <v>42095.0</v>
      </c>
      <c r="BR27" s="139">
        <v>42125.0</v>
      </c>
      <c r="BS27" s="139">
        <v>42156.0</v>
      </c>
      <c r="BT27" s="139">
        <v>42186.0</v>
      </c>
      <c r="BU27" s="139">
        <v>42217.0</v>
      </c>
      <c r="BV27" s="139">
        <v>42248.0</v>
      </c>
      <c r="BW27" s="139">
        <v>42278.0</v>
      </c>
      <c r="BX27" s="139">
        <v>42309.0</v>
      </c>
      <c r="BY27" s="139">
        <v>42339.0</v>
      </c>
      <c r="BZ27" s="139">
        <v>42370.0</v>
      </c>
      <c r="CA27" s="139">
        <v>42401.0</v>
      </c>
      <c r="CB27" s="139">
        <v>42430.0</v>
      </c>
      <c r="CC27" s="139">
        <v>42461.0</v>
      </c>
      <c r="CD27" s="139">
        <v>42491.0</v>
      </c>
      <c r="CE27" s="139">
        <v>42522.0</v>
      </c>
      <c r="CF27" s="139">
        <v>42552.0</v>
      </c>
      <c r="CG27" s="139">
        <v>42583.0</v>
      </c>
      <c r="CH27" s="139">
        <v>42614.0</v>
      </c>
      <c r="CI27" s="139">
        <v>42644.0</v>
      </c>
      <c r="CJ27" s="139">
        <v>42675.0</v>
      </c>
      <c r="CK27" s="139">
        <v>42705.0</v>
      </c>
      <c r="CL27" s="139">
        <v>42736.0</v>
      </c>
      <c r="CM27" s="139">
        <v>42767.0</v>
      </c>
      <c r="CN27" s="139">
        <v>42795.0</v>
      </c>
      <c r="CO27" s="139">
        <v>42826.0</v>
      </c>
      <c r="CP27" s="139">
        <v>42856.0</v>
      </c>
      <c r="CQ27" s="139">
        <v>42887.0</v>
      </c>
      <c r="CR27" s="139">
        <v>42917.0</v>
      </c>
      <c r="CS27" s="139">
        <v>42948.0</v>
      </c>
      <c r="CT27" s="139">
        <v>42979.0</v>
      </c>
      <c r="CU27" s="139">
        <v>43009.0</v>
      </c>
      <c r="CV27" s="139">
        <v>43040.0</v>
      </c>
      <c r="CW27" s="139">
        <v>43070.0</v>
      </c>
      <c r="CX27" s="139">
        <v>43101.0</v>
      </c>
      <c r="CY27" s="139">
        <v>43132.0</v>
      </c>
      <c r="CZ27" s="139">
        <v>43160.0</v>
      </c>
      <c r="DA27" s="139">
        <v>43191.0</v>
      </c>
      <c r="DB27" s="139">
        <v>43221.0</v>
      </c>
      <c r="DC27" s="139">
        <v>43252.0</v>
      </c>
      <c r="DD27" s="139">
        <v>43282.0</v>
      </c>
      <c r="DE27" s="139">
        <v>43313.0</v>
      </c>
      <c r="DF27" s="139">
        <v>43344.0</v>
      </c>
      <c r="DG27" s="139">
        <v>43374.0</v>
      </c>
      <c r="DH27" s="139">
        <v>43405.0</v>
      </c>
      <c r="DI27" s="139">
        <v>43435.0</v>
      </c>
      <c r="DJ27" s="139">
        <v>43466.0</v>
      </c>
      <c r="DK27" s="139">
        <v>43497.0</v>
      </c>
      <c r="DL27" s="139">
        <v>43525.0</v>
      </c>
      <c r="DM27" s="139">
        <v>43556.0</v>
      </c>
      <c r="DN27" s="139">
        <v>43586.0</v>
      </c>
      <c r="DO27" s="139">
        <v>43617.0</v>
      </c>
      <c r="DP27" s="139">
        <v>43647.0</v>
      </c>
      <c r="DQ27" s="139">
        <v>43678.0</v>
      </c>
      <c r="DR27" s="139">
        <v>43709.0</v>
      </c>
      <c r="DS27" s="139">
        <v>43739.0</v>
      </c>
      <c r="DT27" s="139">
        <v>43770.0</v>
      </c>
      <c r="DU27" s="139">
        <v>43800.0</v>
      </c>
      <c r="DV27" s="139">
        <v>43831.0</v>
      </c>
      <c r="DW27" s="139">
        <v>43862.0</v>
      </c>
      <c r="DX27" s="139">
        <v>43891.0</v>
      </c>
      <c r="DY27" s="139">
        <v>43922.0</v>
      </c>
      <c r="DZ27" s="139">
        <v>43952.0</v>
      </c>
      <c r="EA27" s="139">
        <v>43983.0</v>
      </c>
      <c r="EB27" s="139">
        <v>44013.0</v>
      </c>
      <c r="EC27" s="139">
        <v>44044.0</v>
      </c>
      <c r="ED27" s="139">
        <v>44075.0</v>
      </c>
      <c r="EE27" s="139">
        <v>44105.0</v>
      </c>
      <c r="EF27" s="139">
        <v>44136.0</v>
      </c>
      <c r="EG27" s="139">
        <v>44166.0</v>
      </c>
      <c r="EH27" s="139">
        <v>44197.0</v>
      </c>
      <c r="EI27" s="139">
        <v>44228.0</v>
      </c>
      <c r="EJ27" s="139">
        <v>44256.0</v>
      </c>
      <c r="EK27" s="139">
        <v>44287.0</v>
      </c>
      <c r="EL27" s="139">
        <v>44317.0</v>
      </c>
      <c r="EM27" s="139">
        <v>44348.0</v>
      </c>
      <c r="EN27" s="139">
        <v>44378.0</v>
      </c>
      <c r="EO27" s="139">
        <v>44409.0</v>
      </c>
      <c r="EP27" s="139">
        <v>44440.0</v>
      </c>
      <c r="EQ27" s="139">
        <v>44470.0</v>
      </c>
      <c r="ER27" s="139">
        <v>44501.0</v>
      </c>
      <c r="ES27" s="139">
        <v>44531.0</v>
      </c>
      <c r="ET27" s="139">
        <v>44562.0</v>
      </c>
      <c r="EU27" s="139">
        <v>44593.0</v>
      </c>
      <c r="EV27" s="139">
        <v>44621.0</v>
      </c>
      <c r="EW27" s="139">
        <v>44652.0</v>
      </c>
      <c r="EX27" s="139">
        <v>44682.0</v>
      </c>
      <c r="EY27" s="139">
        <v>44713.0</v>
      </c>
      <c r="EZ27" s="139">
        <v>44743.0</v>
      </c>
      <c r="FA27" s="139">
        <v>44774.0</v>
      </c>
      <c r="FB27" s="139">
        <v>44805.0</v>
      </c>
      <c r="FC27" s="139">
        <v>44835.0</v>
      </c>
      <c r="FD27" s="139">
        <v>44866.0</v>
      </c>
      <c r="FE27" s="139">
        <v>44896.0</v>
      </c>
      <c r="FF27" s="139">
        <v>44927.0</v>
      </c>
      <c r="FG27" s="139">
        <v>44958.0</v>
      </c>
      <c r="FH27" s="139">
        <v>44986.0</v>
      </c>
      <c r="FI27" s="139">
        <v>45017.0</v>
      </c>
      <c r="FJ27" s="139">
        <v>45047.0</v>
      </c>
      <c r="FK27" s="139">
        <v>45078.0</v>
      </c>
      <c r="FL27" s="139">
        <v>45108.0</v>
      </c>
      <c r="FM27" s="139">
        <v>45139.0</v>
      </c>
      <c r="FN27" s="139">
        <v>45170.0</v>
      </c>
      <c r="FO27" s="139">
        <v>45200.0</v>
      </c>
      <c r="FP27" s="139">
        <v>45231.0</v>
      </c>
      <c r="FQ27" s="139">
        <v>45261.0</v>
      </c>
      <c r="FR27" s="139">
        <v>45292.0</v>
      </c>
      <c r="FS27" s="139">
        <v>45323.0</v>
      </c>
      <c r="FT27" s="139">
        <v>45352.0</v>
      </c>
      <c r="FU27" s="139">
        <v>45383.0</v>
      </c>
      <c r="FV27" s="139">
        <v>45413.0</v>
      </c>
      <c r="FW27" s="139">
        <v>45444.0</v>
      </c>
      <c r="FX27" s="139">
        <v>45474.0</v>
      </c>
      <c r="FY27" s="139">
        <v>45505.0</v>
      </c>
      <c r="FZ27" s="139">
        <v>45536.0</v>
      </c>
      <c r="GA27" s="139">
        <v>45566.0</v>
      </c>
      <c r="GB27" s="139">
        <v>45597.0</v>
      </c>
      <c r="GC27" s="139">
        <v>45627.0</v>
      </c>
      <c r="GD27" s="139">
        <v>45658.0</v>
      </c>
      <c r="GE27" s="139">
        <v>45689.0</v>
      </c>
      <c r="GF27" s="139">
        <v>45717.0</v>
      </c>
      <c r="GG27" s="139">
        <v>45748.0</v>
      </c>
      <c r="GH27" s="139">
        <v>45778.0</v>
      </c>
      <c r="GI27" s="139">
        <v>45809.0</v>
      </c>
      <c r="GJ27" s="139">
        <v>45839.0</v>
      </c>
    </row>
    <row r="28">
      <c r="A28" s="133" t="s">
        <v>1640</v>
      </c>
      <c r="B28" s="134">
        <v>41578.66359953704</v>
      </c>
      <c r="C28" s="135" t="str">
        <f t="shared" si="1"/>
        <v>2013/10/31</v>
      </c>
      <c r="D28" s="136" t="s">
        <v>33974</v>
      </c>
      <c r="E28" s="151">
        <v>0.0</v>
      </c>
      <c r="F28" s="138">
        <v>40179.0</v>
      </c>
      <c r="G28" s="138">
        <v>40210.0</v>
      </c>
      <c r="H28" s="138">
        <v>40238.0</v>
      </c>
      <c r="I28" s="138">
        <v>40269.0</v>
      </c>
      <c r="J28" s="138">
        <v>40299.0</v>
      </c>
      <c r="K28" s="138">
        <v>40330.0</v>
      </c>
      <c r="L28" s="138">
        <v>40360.0</v>
      </c>
      <c r="M28" s="138">
        <v>40391.0</v>
      </c>
      <c r="N28" s="138">
        <v>40422.0</v>
      </c>
      <c r="O28" s="138">
        <v>40452.0</v>
      </c>
      <c r="P28" s="138">
        <v>40483.0</v>
      </c>
      <c r="Q28" s="138">
        <v>40513.0</v>
      </c>
      <c r="R28" s="138">
        <v>40544.0</v>
      </c>
      <c r="S28" s="138">
        <v>40575.0</v>
      </c>
      <c r="T28" s="138">
        <v>40603.0</v>
      </c>
      <c r="U28" s="138">
        <v>40634.0</v>
      </c>
      <c r="V28" s="138">
        <v>40664.0</v>
      </c>
      <c r="W28" s="138">
        <v>40695.0</v>
      </c>
      <c r="X28" s="138">
        <v>40725.0</v>
      </c>
      <c r="Y28" s="138">
        <v>40756.0</v>
      </c>
      <c r="Z28" s="138">
        <v>40787.0</v>
      </c>
      <c r="AA28" s="138">
        <v>40817.0</v>
      </c>
      <c r="AB28" s="138">
        <v>40848.0</v>
      </c>
      <c r="AC28" s="138">
        <v>40878.0</v>
      </c>
      <c r="AD28" s="138">
        <v>40909.0</v>
      </c>
      <c r="AE28" s="138">
        <v>40940.0</v>
      </c>
      <c r="AF28" s="138">
        <v>40969.0</v>
      </c>
      <c r="AG28" s="138">
        <v>41000.0</v>
      </c>
      <c r="AH28" s="138">
        <v>41030.0</v>
      </c>
      <c r="AI28" s="138">
        <v>41061.0</v>
      </c>
      <c r="AJ28" s="138">
        <v>41091.0</v>
      </c>
      <c r="AK28" s="138">
        <v>41122.0</v>
      </c>
      <c r="AL28" s="138">
        <v>41153.0</v>
      </c>
      <c r="AM28" s="138">
        <v>41183.0</v>
      </c>
      <c r="AN28" s="138">
        <v>41214.0</v>
      </c>
      <c r="AO28" s="138">
        <v>41244.0</v>
      </c>
      <c r="AP28" s="138">
        <v>41275.0</v>
      </c>
      <c r="AQ28" s="138">
        <v>41306.0</v>
      </c>
      <c r="AR28" s="138">
        <v>41334.0</v>
      </c>
      <c r="AS28" s="138">
        <v>41365.0</v>
      </c>
      <c r="AT28" s="138">
        <v>41395.0</v>
      </c>
      <c r="AU28" s="138">
        <v>41426.0</v>
      </c>
      <c r="AV28" s="138">
        <v>41456.0</v>
      </c>
      <c r="AW28" s="138">
        <v>41487.0</v>
      </c>
      <c r="AX28" s="138">
        <v>41518.0</v>
      </c>
      <c r="AY28" s="138">
        <v>41548.0</v>
      </c>
      <c r="AZ28" s="139">
        <v>41579.0</v>
      </c>
      <c r="BA28" s="139">
        <v>41609.0</v>
      </c>
      <c r="BB28" s="139">
        <v>41640.0</v>
      </c>
      <c r="BC28" s="139">
        <v>41671.0</v>
      </c>
      <c r="BD28" s="139">
        <v>41699.0</v>
      </c>
      <c r="BE28" s="139">
        <v>41730.0</v>
      </c>
      <c r="BF28" s="139">
        <v>41760.0</v>
      </c>
      <c r="BG28" s="139">
        <v>41791.0</v>
      </c>
      <c r="BH28" s="139">
        <v>41821.0</v>
      </c>
      <c r="BI28" s="139">
        <v>41852.0</v>
      </c>
      <c r="BJ28" s="139">
        <v>41883.0</v>
      </c>
      <c r="BK28" s="139">
        <v>41913.0</v>
      </c>
      <c r="BL28" s="139">
        <v>41944.0</v>
      </c>
      <c r="BM28" s="139">
        <v>41974.0</v>
      </c>
      <c r="BN28" s="139">
        <v>42005.0</v>
      </c>
      <c r="BO28" s="139">
        <v>42036.0</v>
      </c>
      <c r="BP28" s="139">
        <v>42064.0</v>
      </c>
      <c r="BQ28" s="139">
        <v>42095.0</v>
      </c>
      <c r="BR28" s="139">
        <v>42125.0</v>
      </c>
      <c r="BS28" s="139">
        <v>42156.0</v>
      </c>
      <c r="BT28" s="139">
        <v>42186.0</v>
      </c>
      <c r="BU28" s="139">
        <v>42217.0</v>
      </c>
      <c r="BV28" s="139">
        <v>42248.0</v>
      </c>
      <c r="BW28" s="139">
        <v>42278.0</v>
      </c>
      <c r="BX28" s="139">
        <v>42309.0</v>
      </c>
      <c r="BY28" s="139">
        <v>42339.0</v>
      </c>
      <c r="BZ28" s="139">
        <v>42370.0</v>
      </c>
      <c r="CA28" s="139">
        <v>42401.0</v>
      </c>
      <c r="CB28" s="139">
        <v>42430.0</v>
      </c>
      <c r="CC28" s="139">
        <v>42461.0</v>
      </c>
      <c r="CD28" s="139">
        <v>42491.0</v>
      </c>
      <c r="CE28" s="139">
        <v>42522.0</v>
      </c>
      <c r="CF28" s="139">
        <v>42552.0</v>
      </c>
      <c r="CG28" s="139">
        <v>42583.0</v>
      </c>
      <c r="CH28" s="139">
        <v>42614.0</v>
      </c>
      <c r="CI28" s="139">
        <v>42644.0</v>
      </c>
      <c r="CJ28" s="139">
        <v>42675.0</v>
      </c>
      <c r="CK28" s="139">
        <v>42705.0</v>
      </c>
      <c r="CL28" s="139">
        <v>42736.0</v>
      </c>
      <c r="CM28" s="139">
        <v>42767.0</v>
      </c>
      <c r="CN28" s="139">
        <v>42795.0</v>
      </c>
      <c r="CO28" s="139">
        <v>42826.0</v>
      </c>
      <c r="CP28" s="139">
        <v>42856.0</v>
      </c>
      <c r="CQ28" s="139">
        <v>42887.0</v>
      </c>
      <c r="CR28" s="139">
        <v>42917.0</v>
      </c>
      <c r="CS28" s="139">
        <v>42948.0</v>
      </c>
      <c r="CT28" s="139">
        <v>42979.0</v>
      </c>
      <c r="CU28" s="139">
        <v>43009.0</v>
      </c>
      <c r="CV28" s="139">
        <v>43040.0</v>
      </c>
      <c r="CW28" s="139">
        <v>43070.0</v>
      </c>
      <c r="CX28" s="139">
        <v>43101.0</v>
      </c>
      <c r="CY28" s="139">
        <v>43132.0</v>
      </c>
      <c r="CZ28" s="139">
        <v>43160.0</v>
      </c>
      <c r="DA28" s="139">
        <v>43191.0</v>
      </c>
      <c r="DB28" s="139">
        <v>43221.0</v>
      </c>
      <c r="DC28" s="139">
        <v>43252.0</v>
      </c>
      <c r="DD28" s="139">
        <v>43282.0</v>
      </c>
      <c r="DE28" s="139">
        <v>43313.0</v>
      </c>
      <c r="DF28" s="139">
        <v>43344.0</v>
      </c>
      <c r="DG28" s="139">
        <v>43374.0</v>
      </c>
      <c r="DH28" s="139">
        <v>43405.0</v>
      </c>
      <c r="DI28" s="139">
        <v>43435.0</v>
      </c>
      <c r="DJ28" s="139">
        <v>43466.0</v>
      </c>
      <c r="DK28" s="139">
        <v>43497.0</v>
      </c>
      <c r="DL28" s="139">
        <v>43525.0</v>
      </c>
      <c r="DM28" s="139">
        <v>43556.0</v>
      </c>
      <c r="DN28" s="139">
        <v>43586.0</v>
      </c>
      <c r="DO28" s="139">
        <v>43617.0</v>
      </c>
      <c r="DP28" s="139">
        <v>43647.0</v>
      </c>
      <c r="DQ28" s="139">
        <v>43678.0</v>
      </c>
      <c r="DR28" s="139">
        <v>43709.0</v>
      </c>
      <c r="DS28" s="139">
        <v>43739.0</v>
      </c>
      <c r="DT28" s="139">
        <v>43770.0</v>
      </c>
      <c r="DU28" s="139">
        <v>43800.0</v>
      </c>
      <c r="DV28" s="139">
        <v>43831.0</v>
      </c>
      <c r="DW28" s="139">
        <v>43862.0</v>
      </c>
      <c r="DX28" s="139">
        <v>43891.0</v>
      </c>
      <c r="DY28" s="139">
        <v>43922.0</v>
      </c>
      <c r="DZ28" s="139">
        <v>43952.0</v>
      </c>
      <c r="EA28" s="139">
        <v>43983.0</v>
      </c>
      <c r="EB28" s="139">
        <v>44013.0</v>
      </c>
      <c r="EC28" s="139">
        <v>44044.0</v>
      </c>
      <c r="ED28" s="139">
        <v>44075.0</v>
      </c>
      <c r="EE28" s="139">
        <v>44105.0</v>
      </c>
      <c r="EF28" s="139">
        <v>44136.0</v>
      </c>
      <c r="EG28" s="139">
        <v>44166.0</v>
      </c>
      <c r="EH28" s="139">
        <v>44197.0</v>
      </c>
      <c r="EI28" s="139">
        <v>44228.0</v>
      </c>
      <c r="EJ28" s="139">
        <v>44256.0</v>
      </c>
      <c r="EK28" s="139">
        <v>44287.0</v>
      </c>
      <c r="EL28" s="139">
        <v>44317.0</v>
      </c>
      <c r="EM28" s="139">
        <v>44348.0</v>
      </c>
      <c r="EN28" s="139">
        <v>44378.0</v>
      </c>
      <c r="EO28" s="139">
        <v>44409.0</v>
      </c>
      <c r="EP28" s="139">
        <v>44440.0</v>
      </c>
      <c r="EQ28" s="139">
        <v>44470.0</v>
      </c>
      <c r="ER28" s="139">
        <v>44501.0</v>
      </c>
      <c r="ES28" s="139">
        <v>44531.0</v>
      </c>
      <c r="ET28" s="139">
        <v>44562.0</v>
      </c>
      <c r="EU28" s="139">
        <v>44593.0</v>
      </c>
      <c r="EV28" s="139">
        <v>44621.0</v>
      </c>
      <c r="EW28" s="139">
        <v>44652.0</v>
      </c>
      <c r="EX28" s="139">
        <v>44682.0</v>
      </c>
      <c r="EY28" s="139">
        <v>44713.0</v>
      </c>
      <c r="EZ28" s="139">
        <v>44743.0</v>
      </c>
      <c r="FA28" s="139">
        <v>44774.0</v>
      </c>
      <c r="FB28" s="139">
        <v>44805.0</v>
      </c>
      <c r="FC28" s="139">
        <v>44835.0</v>
      </c>
      <c r="FD28" s="139">
        <v>44866.0</v>
      </c>
      <c r="FE28" s="139">
        <v>44896.0</v>
      </c>
      <c r="FF28" s="139">
        <v>44927.0</v>
      </c>
      <c r="FG28" s="139">
        <v>44958.0</v>
      </c>
      <c r="FH28" s="139">
        <v>44986.0</v>
      </c>
      <c r="FI28" s="139">
        <v>45017.0</v>
      </c>
      <c r="FJ28" s="139">
        <v>45047.0</v>
      </c>
      <c r="FK28" s="139">
        <v>45078.0</v>
      </c>
      <c r="FL28" s="139">
        <v>45108.0</v>
      </c>
      <c r="FM28" s="139">
        <v>45139.0</v>
      </c>
      <c r="FN28" s="139">
        <v>45170.0</v>
      </c>
      <c r="FO28" s="139">
        <v>45200.0</v>
      </c>
      <c r="FP28" s="139">
        <v>45231.0</v>
      </c>
      <c r="FQ28" s="139">
        <v>45261.0</v>
      </c>
      <c r="FR28" s="139">
        <v>45292.0</v>
      </c>
      <c r="FS28" s="139">
        <v>45323.0</v>
      </c>
      <c r="FT28" s="139">
        <v>45352.0</v>
      </c>
      <c r="FU28" s="139">
        <v>45383.0</v>
      </c>
      <c r="FV28" s="139">
        <v>45413.0</v>
      </c>
      <c r="FW28" s="139">
        <v>45444.0</v>
      </c>
      <c r="FX28" s="139">
        <v>45474.0</v>
      </c>
      <c r="FY28" s="139">
        <v>45505.0</v>
      </c>
      <c r="FZ28" s="139">
        <v>45536.0</v>
      </c>
      <c r="GA28" s="139">
        <v>45566.0</v>
      </c>
      <c r="GB28" s="139">
        <v>45597.0</v>
      </c>
      <c r="GC28" s="139">
        <v>45627.0</v>
      </c>
      <c r="GD28" s="139">
        <v>45658.0</v>
      </c>
      <c r="GE28" s="139">
        <v>45689.0</v>
      </c>
      <c r="GF28" s="139">
        <v>45717.0</v>
      </c>
      <c r="GG28" s="139">
        <v>45748.0</v>
      </c>
      <c r="GH28" s="139">
        <v>45778.0</v>
      </c>
      <c r="GI28" s="139">
        <v>45809.0</v>
      </c>
      <c r="GJ28" s="139">
        <v>45839.0</v>
      </c>
    </row>
    <row r="29">
      <c r="A29" s="133" t="s">
        <v>1779</v>
      </c>
      <c r="B29" s="134">
        <v>41578.83630787037</v>
      </c>
      <c r="C29" s="135" t="str">
        <f t="shared" si="1"/>
        <v>2013/10/31</v>
      </c>
      <c r="D29" s="136" t="s">
        <v>34255</v>
      </c>
      <c r="E29" s="151">
        <v>0.0</v>
      </c>
      <c r="F29" s="138">
        <v>40179.0</v>
      </c>
      <c r="G29" s="138">
        <v>40210.0</v>
      </c>
      <c r="H29" s="138">
        <v>40238.0</v>
      </c>
      <c r="I29" s="138">
        <v>40269.0</v>
      </c>
      <c r="J29" s="138">
        <v>40299.0</v>
      </c>
      <c r="K29" s="138">
        <v>40330.0</v>
      </c>
      <c r="L29" s="138">
        <v>40360.0</v>
      </c>
      <c r="M29" s="138">
        <v>40391.0</v>
      </c>
      <c r="N29" s="138">
        <v>40422.0</v>
      </c>
      <c r="O29" s="138">
        <v>40452.0</v>
      </c>
      <c r="P29" s="138">
        <v>40483.0</v>
      </c>
      <c r="Q29" s="138">
        <v>40513.0</v>
      </c>
      <c r="R29" s="138">
        <v>40544.0</v>
      </c>
      <c r="S29" s="138">
        <v>40575.0</v>
      </c>
      <c r="T29" s="138">
        <v>40603.0</v>
      </c>
      <c r="U29" s="138">
        <v>40634.0</v>
      </c>
      <c r="V29" s="138">
        <v>40664.0</v>
      </c>
      <c r="W29" s="138">
        <v>40695.0</v>
      </c>
      <c r="X29" s="138">
        <v>40725.0</v>
      </c>
      <c r="Y29" s="138">
        <v>40756.0</v>
      </c>
      <c r="Z29" s="138">
        <v>40787.0</v>
      </c>
      <c r="AA29" s="138">
        <v>40817.0</v>
      </c>
      <c r="AB29" s="138">
        <v>40848.0</v>
      </c>
      <c r="AC29" s="138">
        <v>40878.0</v>
      </c>
      <c r="AD29" s="138">
        <v>40909.0</v>
      </c>
      <c r="AE29" s="138">
        <v>40940.0</v>
      </c>
      <c r="AF29" s="138">
        <v>40969.0</v>
      </c>
      <c r="AG29" s="138">
        <v>41000.0</v>
      </c>
      <c r="AH29" s="138">
        <v>41030.0</v>
      </c>
      <c r="AI29" s="138">
        <v>41061.0</v>
      </c>
      <c r="AJ29" s="138">
        <v>41091.0</v>
      </c>
      <c r="AK29" s="138">
        <v>41122.0</v>
      </c>
      <c r="AL29" s="138">
        <v>41153.0</v>
      </c>
      <c r="AM29" s="138">
        <v>41183.0</v>
      </c>
      <c r="AN29" s="138">
        <v>41214.0</v>
      </c>
      <c r="AO29" s="138">
        <v>41244.0</v>
      </c>
      <c r="AP29" s="138">
        <v>41275.0</v>
      </c>
      <c r="AQ29" s="138">
        <v>41306.0</v>
      </c>
      <c r="AR29" s="138">
        <v>41334.0</v>
      </c>
      <c r="AS29" s="138">
        <v>41365.0</v>
      </c>
      <c r="AT29" s="138">
        <v>41395.0</v>
      </c>
      <c r="AU29" s="138">
        <v>41426.0</v>
      </c>
      <c r="AV29" s="138">
        <v>41456.0</v>
      </c>
      <c r="AW29" s="138">
        <v>41487.0</v>
      </c>
      <c r="AX29" s="138">
        <v>41518.0</v>
      </c>
      <c r="AY29" s="138">
        <v>41548.0</v>
      </c>
      <c r="AZ29" s="139">
        <v>41579.0</v>
      </c>
      <c r="BA29" s="139">
        <v>41609.0</v>
      </c>
      <c r="BB29" s="139">
        <v>41640.0</v>
      </c>
      <c r="BC29" s="139">
        <v>41671.0</v>
      </c>
      <c r="BD29" s="139">
        <v>41699.0</v>
      </c>
      <c r="BE29" s="139">
        <v>41730.0</v>
      </c>
      <c r="BF29" s="139">
        <v>41760.0</v>
      </c>
      <c r="BG29" s="139">
        <v>41791.0</v>
      </c>
      <c r="BH29" s="139">
        <v>41821.0</v>
      </c>
      <c r="BI29" s="139">
        <v>41852.0</v>
      </c>
      <c r="BJ29" s="139">
        <v>41883.0</v>
      </c>
      <c r="BK29" s="139">
        <v>41913.0</v>
      </c>
      <c r="BL29" s="139">
        <v>41944.0</v>
      </c>
      <c r="BM29" s="139">
        <v>41974.0</v>
      </c>
      <c r="BN29" s="139">
        <v>42005.0</v>
      </c>
      <c r="BO29" s="139">
        <v>42036.0</v>
      </c>
      <c r="BP29" s="139">
        <v>42064.0</v>
      </c>
      <c r="BQ29" s="139">
        <v>42095.0</v>
      </c>
      <c r="BR29" s="139">
        <v>42125.0</v>
      </c>
      <c r="BS29" s="139">
        <v>42156.0</v>
      </c>
      <c r="BT29" s="139">
        <v>42186.0</v>
      </c>
      <c r="BU29" s="139">
        <v>42217.0</v>
      </c>
      <c r="BV29" s="139">
        <v>42248.0</v>
      </c>
      <c r="BW29" s="139">
        <v>42278.0</v>
      </c>
      <c r="BX29" s="139">
        <v>42309.0</v>
      </c>
      <c r="BY29" s="139">
        <v>42339.0</v>
      </c>
      <c r="BZ29" s="139">
        <v>42370.0</v>
      </c>
      <c r="CA29" s="139">
        <v>42401.0</v>
      </c>
      <c r="CB29" s="139">
        <v>42430.0</v>
      </c>
      <c r="CC29" s="139">
        <v>42461.0</v>
      </c>
      <c r="CD29" s="139">
        <v>42491.0</v>
      </c>
      <c r="CE29" s="139">
        <v>42522.0</v>
      </c>
      <c r="CF29" s="139">
        <v>42552.0</v>
      </c>
      <c r="CG29" s="139">
        <v>42583.0</v>
      </c>
      <c r="CH29" s="139">
        <v>42614.0</v>
      </c>
      <c r="CI29" s="139">
        <v>42644.0</v>
      </c>
      <c r="CJ29" s="139">
        <v>42675.0</v>
      </c>
      <c r="CK29" s="139">
        <v>42705.0</v>
      </c>
      <c r="CL29" s="139">
        <v>42736.0</v>
      </c>
      <c r="CM29" s="139">
        <v>42767.0</v>
      </c>
      <c r="CN29" s="139">
        <v>42795.0</v>
      </c>
      <c r="CO29" s="139">
        <v>42826.0</v>
      </c>
      <c r="CP29" s="139">
        <v>42856.0</v>
      </c>
      <c r="CQ29" s="139">
        <v>42887.0</v>
      </c>
      <c r="CR29" s="139">
        <v>42917.0</v>
      </c>
      <c r="CS29" s="139">
        <v>42948.0</v>
      </c>
      <c r="CT29" s="139">
        <v>42979.0</v>
      </c>
      <c r="CU29" s="139">
        <v>43009.0</v>
      </c>
      <c r="CV29" s="139">
        <v>43040.0</v>
      </c>
      <c r="CW29" s="139">
        <v>43070.0</v>
      </c>
      <c r="CX29" s="139">
        <v>43101.0</v>
      </c>
      <c r="CY29" s="139">
        <v>43132.0</v>
      </c>
      <c r="CZ29" s="139">
        <v>43160.0</v>
      </c>
      <c r="DA29" s="139">
        <v>43191.0</v>
      </c>
      <c r="DB29" s="139">
        <v>43221.0</v>
      </c>
      <c r="DC29" s="139">
        <v>43252.0</v>
      </c>
      <c r="DD29" s="139">
        <v>43282.0</v>
      </c>
      <c r="DE29" s="139">
        <v>43313.0</v>
      </c>
      <c r="DF29" s="139">
        <v>43344.0</v>
      </c>
      <c r="DG29" s="139">
        <v>43374.0</v>
      </c>
      <c r="DH29" s="139">
        <v>43405.0</v>
      </c>
      <c r="DI29" s="139">
        <v>43435.0</v>
      </c>
      <c r="DJ29" s="139">
        <v>43466.0</v>
      </c>
      <c r="DK29" s="139">
        <v>43497.0</v>
      </c>
      <c r="DL29" s="139">
        <v>43525.0</v>
      </c>
      <c r="DM29" s="139">
        <v>43556.0</v>
      </c>
      <c r="DN29" s="139">
        <v>43586.0</v>
      </c>
      <c r="DO29" s="139">
        <v>43617.0</v>
      </c>
      <c r="DP29" s="139">
        <v>43647.0</v>
      </c>
      <c r="DQ29" s="139">
        <v>43678.0</v>
      </c>
      <c r="DR29" s="139">
        <v>43709.0</v>
      </c>
      <c r="DS29" s="139">
        <v>43739.0</v>
      </c>
      <c r="DT29" s="139">
        <v>43770.0</v>
      </c>
      <c r="DU29" s="139">
        <v>43800.0</v>
      </c>
      <c r="DV29" s="139">
        <v>43831.0</v>
      </c>
      <c r="DW29" s="139">
        <v>43862.0</v>
      </c>
      <c r="DX29" s="139">
        <v>43891.0</v>
      </c>
      <c r="DY29" s="139">
        <v>43922.0</v>
      </c>
      <c r="DZ29" s="139">
        <v>43952.0</v>
      </c>
      <c r="EA29" s="139">
        <v>43983.0</v>
      </c>
      <c r="EB29" s="139">
        <v>44013.0</v>
      </c>
      <c r="EC29" s="139">
        <v>44044.0</v>
      </c>
      <c r="ED29" s="139">
        <v>44075.0</v>
      </c>
      <c r="EE29" s="139">
        <v>44105.0</v>
      </c>
      <c r="EF29" s="139">
        <v>44136.0</v>
      </c>
      <c r="EG29" s="139">
        <v>44166.0</v>
      </c>
      <c r="EH29" s="139">
        <v>44197.0</v>
      </c>
      <c r="EI29" s="139">
        <v>44228.0</v>
      </c>
      <c r="EJ29" s="139">
        <v>44256.0</v>
      </c>
      <c r="EK29" s="139">
        <v>44287.0</v>
      </c>
      <c r="EL29" s="139">
        <v>44317.0</v>
      </c>
      <c r="EM29" s="139">
        <v>44348.0</v>
      </c>
      <c r="EN29" s="139">
        <v>44378.0</v>
      </c>
      <c r="EO29" s="139">
        <v>44409.0</v>
      </c>
      <c r="EP29" s="139">
        <v>44440.0</v>
      </c>
      <c r="EQ29" s="139">
        <v>44470.0</v>
      </c>
      <c r="ER29" s="139">
        <v>44501.0</v>
      </c>
      <c r="ES29" s="139">
        <v>44531.0</v>
      </c>
      <c r="ET29" s="139">
        <v>44562.0</v>
      </c>
      <c r="EU29" s="139">
        <v>44593.0</v>
      </c>
      <c r="EV29" s="139">
        <v>44621.0</v>
      </c>
      <c r="EW29" s="139">
        <v>44652.0</v>
      </c>
      <c r="EX29" s="139">
        <v>44682.0</v>
      </c>
      <c r="EY29" s="139">
        <v>44713.0</v>
      </c>
      <c r="EZ29" s="139">
        <v>44743.0</v>
      </c>
      <c r="FA29" s="139">
        <v>44774.0</v>
      </c>
      <c r="FB29" s="139">
        <v>44805.0</v>
      </c>
      <c r="FC29" s="139">
        <v>44835.0</v>
      </c>
      <c r="FD29" s="139">
        <v>44866.0</v>
      </c>
      <c r="FE29" s="139">
        <v>44896.0</v>
      </c>
      <c r="FF29" s="139">
        <v>44927.0</v>
      </c>
      <c r="FG29" s="139">
        <v>44958.0</v>
      </c>
      <c r="FH29" s="139">
        <v>44986.0</v>
      </c>
      <c r="FI29" s="139">
        <v>45017.0</v>
      </c>
      <c r="FJ29" s="139">
        <v>45047.0</v>
      </c>
      <c r="FK29" s="139">
        <v>45078.0</v>
      </c>
      <c r="FL29" s="139">
        <v>45108.0</v>
      </c>
      <c r="FM29" s="139">
        <v>45139.0</v>
      </c>
      <c r="FN29" s="139">
        <v>45170.0</v>
      </c>
      <c r="FO29" s="139">
        <v>45200.0</v>
      </c>
      <c r="FP29" s="139">
        <v>45231.0</v>
      </c>
      <c r="FQ29" s="139">
        <v>45261.0</v>
      </c>
      <c r="FR29" s="139">
        <v>45292.0</v>
      </c>
      <c r="FS29" s="139">
        <v>45323.0</v>
      </c>
      <c r="FT29" s="139">
        <v>45352.0</v>
      </c>
      <c r="FU29" s="139">
        <v>45383.0</v>
      </c>
      <c r="FV29" s="139">
        <v>45413.0</v>
      </c>
      <c r="FW29" s="139">
        <v>45444.0</v>
      </c>
      <c r="FX29" s="139">
        <v>45474.0</v>
      </c>
      <c r="FY29" s="139">
        <v>45505.0</v>
      </c>
      <c r="FZ29" s="139">
        <v>45536.0</v>
      </c>
      <c r="GA29" s="139">
        <v>45566.0</v>
      </c>
      <c r="GB29" s="139">
        <v>45597.0</v>
      </c>
      <c r="GC29" s="139">
        <v>45627.0</v>
      </c>
      <c r="GD29" s="139">
        <v>45658.0</v>
      </c>
      <c r="GE29" s="139">
        <v>45689.0</v>
      </c>
      <c r="GF29" s="139">
        <v>45717.0</v>
      </c>
      <c r="GG29" s="139">
        <v>45748.0</v>
      </c>
      <c r="GH29" s="139">
        <v>45778.0</v>
      </c>
      <c r="GI29" s="139">
        <v>45809.0</v>
      </c>
      <c r="GJ29" s="139">
        <v>45839.0</v>
      </c>
    </row>
    <row r="30">
      <c r="A30" s="133" t="s">
        <v>1613</v>
      </c>
      <c r="B30" s="134">
        <v>41598.892175925925</v>
      </c>
      <c r="C30" s="135" t="str">
        <f t="shared" si="1"/>
        <v>2013/11/20</v>
      </c>
      <c r="D30" s="136" t="s">
        <v>33912</v>
      </c>
      <c r="E30" s="151">
        <v>0.0</v>
      </c>
      <c r="F30" s="138">
        <v>40179.0</v>
      </c>
      <c r="G30" s="138">
        <v>40210.0</v>
      </c>
      <c r="H30" s="138">
        <v>40238.0</v>
      </c>
      <c r="I30" s="138">
        <v>40269.0</v>
      </c>
      <c r="J30" s="138">
        <v>40299.0</v>
      </c>
      <c r="K30" s="138">
        <v>40330.0</v>
      </c>
      <c r="L30" s="138">
        <v>40360.0</v>
      </c>
      <c r="M30" s="138">
        <v>40391.0</v>
      </c>
      <c r="N30" s="138">
        <v>40422.0</v>
      </c>
      <c r="O30" s="138">
        <v>40452.0</v>
      </c>
      <c r="P30" s="138">
        <v>40483.0</v>
      </c>
      <c r="Q30" s="138">
        <v>40513.0</v>
      </c>
      <c r="R30" s="138">
        <v>40544.0</v>
      </c>
      <c r="S30" s="138">
        <v>40575.0</v>
      </c>
      <c r="T30" s="138">
        <v>40603.0</v>
      </c>
      <c r="U30" s="138">
        <v>40634.0</v>
      </c>
      <c r="V30" s="138">
        <v>40664.0</v>
      </c>
      <c r="W30" s="138">
        <v>40695.0</v>
      </c>
      <c r="X30" s="138">
        <v>40725.0</v>
      </c>
      <c r="Y30" s="138">
        <v>40756.0</v>
      </c>
      <c r="Z30" s="138">
        <v>40787.0</v>
      </c>
      <c r="AA30" s="138">
        <v>40817.0</v>
      </c>
      <c r="AB30" s="138">
        <v>40848.0</v>
      </c>
      <c r="AC30" s="138">
        <v>40878.0</v>
      </c>
      <c r="AD30" s="138">
        <v>40909.0</v>
      </c>
      <c r="AE30" s="138">
        <v>40940.0</v>
      </c>
      <c r="AF30" s="138">
        <v>40969.0</v>
      </c>
      <c r="AG30" s="138">
        <v>41000.0</v>
      </c>
      <c r="AH30" s="138">
        <v>41030.0</v>
      </c>
      <c r="AI30" s="138">
        <v>41061.0</v>
      </c>
      <c r="AJ30" s="138">
        <v>41091.0</v>
      </c>
      <c r="AK30" s="138">
        <v>41122.0</v>
      </c>
      <c r="AL30" s="138">
        <v>41153.0</v>
      </c>
      <c r="AM30" s="138">
        <v>41183.0</v>
      </c>
      <c r="AN30" s="138">
        <v>41214.0</v>
      </c>
      <c r="AO30" s="138">
        <v>41244.0</v>
      </c>
      <c r="AP30" s="138">
        <v>41275.0</v>
      </c>
      <c r="AQ30" s="138">
        <v>41306.0</v>
      </c>
      <c r="AR30" s="138">
        <v>41334.0</v>
      </c>
      <c r="AS30" s="138">
        <v>41365.0</v>
      </c>
      <c r="AT30" s="138">
        <v>41395.0</v>
      </c>
      <c r="AU30" s="138">
        <v>41426.0</v>
      </c>
      <c r="AV30" s="138">
        <v>41456.0</v>
      </c>
      <c r="AW30" s="138">
        <v>41487.0</v>
      </c>
      <c r="AX30" s="138">
        <v>41518.0</v>
      </c>
      <c r="AY30" s="138">
        <v>41548.0</v>
      </c>
      <c r="AZ30" s="138">
        <v>41579.0</v>
      </c>
      <c r="BA30" s="139">
        <v>41609.0</v>
      </c>
      <c r="BB30" s="139">
        <v>41640.0</v>
      </c>
      <c r="BC30" s="139">
        <v>41671.0</v>
      </c>
      <c r="BD30" s="139">
        <v>41699.0</v>
      </c>
      <c r="BE30" s="139">
        <v>41730.0</v>
      </c>
      <c r="BF30" s="139">
        <v>41760.0</v>
      </c>
      <c r="BG30" s="139">
        <v>41791.0</v>
      </c>
      <c r="BH30" s="139">
        <v>41821.0</v>
      </c>
      <c r="BI30" s="139">
        <v>41852.0</v>
      </c>
      <c r="BJ30" s="139">
        <v>41883.0</v>
      </c>
      <c r="BK30" s="139">
        <v>41913.0</v>
      </c>
      <c r="BL30" s="139">
        <v>41944.0</v>
      </c>
      <c r="BM30" s="139">
        <v>41974.0</v>
      </c>
      <c r="BN30" s="139">
        <v>42005.0</v>
      </c>
      <c r="BO30" s="139">
        <v>42036.0</v>
      </c>
      <c r="BP30" s="139">
        <v>42064.0</v>
      </c>
      <c r="BQ30" s="139">
        <v>42095.0</v>
      </c>
      <c r="BR30" s="139">
        <v>42125.0</v>
      </c>
      <c r="BS30" s="139">
        <v>42156.0</v>
      </c>
      <c r="BT30" s="139">
        <v>42186.0</v>
      </c>
      <c r="BU30" s="139">
        <v>42217.0</v>
      </c>
      <c r="BV30" s="139">
        <v>42248.0</v>
      </c>
      <c r="BW30" s="139">
        <v>42278.0</v>
      </c>
      <c r="BX30" s="139">
        <v>42309.0</v>
      </c>
      <c r="BY30" s="139">
        <v>42339.0</v>
      </c>
      <c r="BZ30" s="139">
        <v>42370.0</v>
      </c>
      <c r="CA30" s="139">
        <v>42401.0</v>
      </c>
      <c r="CB30" s="139">
        <v>42430.0</v>
      </c>
      <c r="CC30" s="139">
        <v>42461.0</v>
      </c>
      <c r="CD30" s="139">
        <v>42491.0</v>
      </c>
      <c r="CE30" s="139">
        <v>42522.0</v>
      </c>
      <c r="CF30" s="139">
        <v>42552.0</v>
      </c>
      <c r="CG30" s="139">
        <v>42583.0</v>
      </c>
      <c r="CH30" s="139">
        <v>42614.0</v>
      </c>
      <c r="CI30" s="139">
        <v>42644.0</v>
      </c>
      <c r="CJ30" s="139">
        <v>42675.0</v>
      </c>
      <c r="CK30" s="139">
        <v>42705.0</v>
      </c>
      <c r="CL30" s="139">
        <v>42736.0</v>
      </c>
      <c r="CM30" s="139">
        <v>42767.0</v>
      </c>
      <c r="CN30" s="139">
        <v>42795.0</v>
      </c>
      <c r="CO30" s="139">
        <v>42826.0</v>
      </c>
      <c r="CP30" s="139">
        <v>42856.0</v>
      </c>
      <c r="CQ30" s="139">
        <v>42887.0</v>
      </c>
      <c r="CR30" s="139">
        <v>42917.0</v>
      </c>
      <c r="CS30" s="139">
        <v>42948.0</v>
      </c>
      <c r="CT30" s="139">
        <v>42979.0</v>
      </c>
      <c r="CU30" s="139">
        <v>43009.0</v>
      </c>
      <c r="CV30" s="139">
        <v>43040.0</v>
      </c>
      <c r="CW30" s="139">
        <v>43070.0</v>
      </c>
      <c r="CX30" s="139">
        <v>43101.0</v>
      </c>
      <c r="CY30" s="139">
        <v>43132.0</v>
      </c>
      <c r="CZ30" s="139">
        <v>43160.0</v>
      </c>
      <c r="DA30" s="139">
        <v>43191.0</v>
      </c>
      <c r="DB30" s="139">
        <v>43221.0</v>
      </c>
      <c r="DC30" s="139">
        <v>43252.0</v>
      </c>
      <c r="DD30" s="139">
        <v>43282.0</v>
      </c>
      <c r="DE30" s="139">
        <v>43313.0</v>
      </c>
      <c r="DF30" s="139">
        <v>43344.0</v>
      </c>
      <c r="DG30" s="139">
        <v>43374.0</v>
      </c>
      <c r="DH30" s="139">
        <v>43405.0</v>
      </c>
      <c r="DI30" s="139">
        <v>43435.0</v>
      </c>
      <c r="DJ30" s="139">
        <v>43466.0</v>
      </c>
      <c r="DK30" s="139">
        <v>43497.0</v>
      </c>
      <c r="DL30" s="139">
        <v>43525.0</v>
      </c>
      <c r="DM30" s="139">
        <v>43556.0</v>
      </c>
      <c r="DN30" s="139">
        <v>43586.0</v>
      </c>
      <c r="DO30" s="139">
        <v>43617.0</v>
      </c>
      <c r="DP30" s="139">
        <v>43647.0</v>
      </c>
      <c r="DQ30" s="139">
        <v>43678.0</v>
      </c>
      <c r="DR30" s="139">
        <v>43709.0</v>
      </c>
      <c r="DS30" s="139">
        <v>43739.0</v>
      </c>
      <c r="DT30" s="139">
        <v>43770.0</v>
      </c>
      <c r="DU30" s="139">
        <v>43800.0</v>
      </c>
      <c r="DV30" s="139">
        <v>43831.0</v>
      </c>
      <c r="DW30" s="139">
        <v>43862.0</v>
      </c>
      <c r="DX30" s="139">
        <v>43891.0</v>
      </c>
      <c r="DY30" s="139">
        <v>43922.0</v>
      </c>
      <c r="DZ30" s="139">
        <v>43952.0</v>
      </c>
      <c r="EA30" s="139">
        <v>43983.0</v>
      </c>
      <c r="EB30" s="139">
        <v>44013.0</v>
      </c>
      <c r="EC30" s="139">
        <v>44044.0</v>
      </c>
      <c r="ED30" s="139">
        <v>44075.0</v>
      </c>
      <c r="EE30" s="139">
        <v>44105.0</v>
      </c>
      <c r="EF30" s="139">
        <v>44136.0</v>
      </c>
      <c r="EG30" s="139">
        <v>44166.0</v>
      </c>
      <c r="EH30" s="139">
        <v>44197.0</v>
      </c>
      <c r="EI30" s="139">
        <v>44228.0</v>
      </c>
      <c r="EJ30" s="139">
        <v>44256.0</v>
      </c>
      <c r="EK30" s="139">
        <v>44287.0</v>
      </c>
      <c r="EL30" s="139">
        <v>44317.0</v>
      </c>
      <c r="EM30" s="139">
        <v>44348.0</v>
      </c>
      <c r="EN30" s="139">
        <v>44378.0</v>
      </c>
      <c r="EO30" s="139">
        <v>44409.0</v>
      </c>
      <c r="EP30" s="139">
        <v>44440.0</v>
      </c>
      <c r="EQ30" s="139">
        <v>44470.0</v>
      </c>
      <c r="ER30" s="139">
        <v>44501.0</v>
      </c>
      <c r="ES30" s="139">
        <v>44531.0</v>
      </c>
      <c r="ET30" s="139">
        <v>44562.0</v>
      </c>
      <c r="EU30" s="139">
        <v>44593.0</v>
      </c>
      <c r="EV30" s="139">
        <v>44621.0</v>
      </c>
      <c r="EW30" s="139">
        <v>44652.0</v>
      </c>
      <c r="EX30" s="139">
        <v>44682.0</v>
      </c>
      <c r="EY30" s="139">
        <v>44713.0</v>
      </c>
      <c r="EZ30" s="139">
        <v>44743.0</v>
      </c>
      <c r="FA30" s="139">
        <v>44774.0</v>
      </c>
      <c r="FB30" s="139">
        <v>44805.0</v>
      </c>
      <c r="FC30" s="139">
        <v>44835.0</v>
      </c>
      <c r="FD30" s="139">
        <v>44866.0</v>
      </c>
      <c r="FE30" s="139">
        <v>44896.0</v>
      </c>
      <c r="FF30" s="139">
        <v>44927.0</v>
      </c>
      <c r="FG30" s="139">
        <v>44958.0</v>
      </c>
      <c r="FH30" s="139">
        <v>44986.0</v>
      </c>
      <c r="FI30" s="139">
        <v>45017.0</v>
      </c>
      <c r="FJ30" s="139">
        <v>45047.0</v>
      </c>
      <c r="FK30" s="139">
        <v>45078.0</v>
      </c>
      <c r="FL30" s="139">
        <v>45108.0</v>
      </c>
      <c r="FM30" s="139">
        <v>45139.0</v>
      </c>
      <c r="FN30" s="139">
        <v>45170.0</v>
      </c>
      <c r="FO30" s="139">
        <v>45200.0</v>
      </c>
      <c r="FP30" s="139">
        <v>45231.0</v>
      </c>
      <c r="FQ30" s="139">
        <v>45261.0</v>
      </c>
      <c r="FR30" s="139">
        <v>45292.0</v>
      </c>
      <c r="FS30" s="139">
        <v>45323.0</v>
      </c>
      <c r="FT30" s="139">
        <v>45352.0</v>
      </c>
      <c r="FU30" s="139">
        <v>45383.0</v>
      </c>
      <c r="FV30" s="139">
        <v>45413.0</v>
      </c>
      <c r="FW30" s="139">
        <v>45444.0</v>
      </c>
      <c r="FX30" s="139">
        <v>45474.0</v>
      </c>
      <c r="FY30" s="139">
        <v>45505.0</v>
      </c>
      <c r="FZ30" s="139">
        <v>45536.0</v>
      </c>
      <c r="GA30" s="139">
        <v>45566.0</v>
      </c>
      <c r="GB30" s="139">
        <v>45597.0</v>
      </c>
      <c r="GC30" s="139">
        <v>45627.0</v>
      </c>
      <c r="GD30" s="139">
        <v>45658.0</v>
      </c>
      <c r="GE30" s="139">
        <v>45689.0</v>
      </c>
      <c r="GF30" s="139">
        <v>45717.0</v>
      </c>
      <c r="GG30" s="139">
        <v>45748.0</v>
      </c>
      <c r="GH30" s="139">
        <v>45778.0</v>
      </c>
      <c r="GI30" s="139">
        <v>45809.0</v>
      </c>
      <c r="GJ30" s="139">
        <v>45839.0</v>
      </c>
    </row>
    <row r="31">
      <c r="A31" s="133" t="s">
        <v>1680</v>
      </c>
      <c r="B31" s="134">
        <v>41648.64934027778</v>
      </c>
      <c r="C31" s="135" t="str">
        <f t="shared" si="1"/>
        <v>2014/01/09</v>
      </c>
      <c r="D31" s="136" t="s">
        <v>33912</v>
      </c>
      <c r="E31" s="151">
        <v>0.0</v>
      </c>
      <c r="F31" s="138">
        <v>40179.0</v>
      </c>
      <c r="G31" s="138">
        <v>40210.0</v>
      </c>
      <c r="H31" s="138">
        <v>40238.0</v>
      </c>
      <c r="I31" s="138">
        <v>40269.0</v>
      </c>
      <c r="J31" s="138">
        <v>40299.0</v>
      </c>
      <c r="K31" s="138">
        <v>40330.0</v>
      </c>
      <c r="L31" s="138">
        <v>40360.0</v>
      </c>
      <c r="M31" s="138">
        <v>40391.0</v>
      </c>
      <c r="N31" s="138">
        <v>40422.0</v>
      </c>
      <c r="O31" s="138">
        <v>40452.0</v>
      </c>
      <c r="P31" s="138">
        <v>40483.0</v>
      </c>
      <c r="Q31" s="138">
        <v>40513.0</v>
      </c>
      <c r="R31" s="138">
        <v>40544.0</v>
      </c>
      <c r="S31" s="138">
        <v>40575.0</v>
      </c>
      <c r="T31" s="138">
        <v>40603.0</v>
      </c>
      <c r="U31" s="138">
        <v>40634.0</v>
      </c>
      <c r="V31" s="138">
        <v>40664.0</v>
      </c>
      <c r="W31" s="138">
        <v>40695.0</v>
      </c>
      <c r="X31" s="138">
        <v>40725.0</v>
      </c>
      <c r="Y31" s="138">
        <v>40756.0</v>
      </c>
      <c r="Z31" s="138">
        <v>40787.0</v>
      </c>
      <c r="AA31" s="138">
        <v>40817.0</v>
      </c>
      <c r="AB31" s="138">
        <v>40848.0</v>
      </c>
      <c r="AC31" s="138">
        <v>40878.0</v>
      </c>
      <c r="AD31" s="138">
        <v>40909.0</v>
      </c>
      <c r="AE31" s="138">
        <v>40940.0</v>
      </c>
      <c r="AF31" s="138">
        <v>40969.0</v>
      </c>
      <c r="AG31" s="138">
        <v>41000.0</v>
      </c>
      <c r="AH31" s="138">
        <v>41030.0</v>
      </c>
      <c r="AI31" s="138">
        <v>41061.0</v>
      </c>
      <c r="AJ31" s="138">
        <v>41091.0</v>
      </c>
      <c r="AK31" s="138">
        <v>41122.0</v>
      </c>
      <c r="AL31" s="138">
        <v>41153.0</v>
      </c>
      <c r="AM31" s="138">
        <v>41183.0</v>
      </c>
      <c r="AN31" s="138">
        <v>41214.0</v>
      </c>
      <c r="AO31" s="138">
        <v>41244.0</v>
      </c>
      <c r="AP31" s="138">
        <v>41275.0</v>
      </c>
      <c r="AQ31" s="138">
        <v>41306.0</v>
      </c>
      <c r="AR31" s="138">
        <v>41334.0</v>
      </c>
      <c r="AS31" s="138">
        <v>41365.0</v>
      </c>
      <c r="AT31" s="138">
        <v>41395.0</v>
      </c>
      <c r="AU31" s="138">
        <v>41426.0</v>
      </c>
      <c r="AV31" s="138">
        <v>41456.0</v>
      </c>
      <c r="AW31" s="138">
        <v>41487.0</v>
      </c>
      <c r="AX31" s="138">
        <v>41518.0</v>
      </c>
      <c r="AY31" s="138">
        <v>41548.0</v>
      </c>
      <c r="AZ31" s="138">
        <v>41579.0</v>
      </c>
      <c r="BA31" s="138">
        <v>41609.0</v>
      </c>
      <c r="BB31" s="138">
        <v>41640.0</v>
      </c>
      <c r="BC31" s="139">
        <v>41671.0</v>
      </c>
      <c r="BD31" s="139">
        <v>41699.0</v>
      </c>
      <c r="BE31" s="139">
        <v>41730.0</v>
      </c>
      <c r="BF31" s="139">
        <v>41760.0</v>
      </c>
      <c r="BG31" s="139">
        <v>41791.0</v>
      </c>
      <c r="BH31" s="139">
        <v>41821.0</v>
      </c>
      <c r="BI31" s="139">
        <v>41852.0</v>
      </c>
      <c r="BJ31" s="139">
        <v>41883.0</v>
      </c>
      <c r="BK31" s="139">
        <v>41913.0</v>
      </c>
      <c r="BL31" s="139">
        <v>41944.0</v>
      </c>
      <c r="BM31" s="139">
        <v>41974.0</v>
      </c>
      <c r="BN31" s="139">
        <v>42005.0</v>
      </c>
      <c r="BO31" s="139">
        <v>42036.0</v>
      </c>
      <c r="BP31" s="139">
        <v>42064.0</v>
      </c>
      <c r="BQ31" s="139">
        <v>42095.0</v>
      </c>
      <c r="BR31" s="139">
        <v>42125.0</v>
      </c>
      <c r="BS31" s="139">
        <v>42156.0</v>
      </c>
      <c r="BT31" s="139">
        <v>42186.0</v>
      </c>
      <c r="BU31" s="139">
        <v>42217.0</v>
      </c>
      <c r="BV31" s="139">
        <v>42248.0</v>
      </c>
      <c r="BW31" s="139">
        <v>42278.0</v>
      </c>
      <c r="BX31" s="139">
        <v>42309.0</v>
      </c>
      <c r="BY31" s="139">
        <v>42339.0</v>
      </c>
      <c r="BZ31" s="139">
        <v>42370.0</v>
      </c>
      <c r="CA31" s="139">
        <v>42401.0</v>
      </c>
      <c r="CB31" s="139">
        <v>42430.0</v>
      </c>
      <c r="CC31" s="139">
        <v>42461.0</v>
      </c>
      <c r="CD31" s="139">
        <v>42491.0</v>
      </c>
      <c r="CE31" s="139">
        <v>42522.0</v>
      </c>
      <c r="CF31" s="139">
        <v>42552.0</v>
      </c>
      <c r="CG31" s="139">
        <v>42583.0</v>
      </c>
      <c r="CH31" s="139">
        <v>42614.0</v>
      </c>
      <c r="CI31" s="139">
        <v>42644.0</v>
      </c>
      <c r="CJ31" s="139">
        <v>42675.0</v>
      </c>
      <c r="CK31" s="139">
        <v>42705.0</v>
      </c>
      <c r="CL31" s="139">
        <v>42736.0</v>
      </c>
      <c r="CM31" s="139">
        <v>42767.0</v>
      </c>
      <c r="CN31" s="139">
        <v>42795.0</v>
      </c>
      <c r="CO31" s="139">
        <v>42826.0</v>
      </c>
      <c r="CP31" s="139">
        <v>42856.0</v>
      </c>
      <c r="CQ31" s="139">
        <v>42887.0</v>
      </c>
      <c r="CR31" s="139">
        <v>42917.0</v>
      </c>
      <c r="CS31" s="139">
        <v>42948.0</v>
      </c>
      <c r="CT31" s="139">
        <v>42979.0</v>
      </c>
      <c r="CU31" s="139">
        <v>43009.0</v>
      </c>
      <c r="CV31" s="139">
        <v>43040.0</v>
      </c>
      <c r="CW31" s="139">
        <v>43070.0</v>
      </c>
      <c r="CX31" s="139">
        <v>43101.0</v>
      </c>
      <c r="CY31" s="139">
        <v>43132.0</v>
      </c>
      <c r="CZ31" s="139">
        <v>43160.0</v>
      </c>
      <c r="DA31" s="139">
        <v>43191.0</v>
      </c>
      <c r="DB31" s="139">
        <v>43221.0</v>
      </c>
      <c r="DC31" s="139">
        <v>43252.0</v>
      </c>
      <c r="DD31" s="139">
        <v>43282.0</v>
      </c>
      <c r="DE31" s="139">
        <v>43313.0</v>
      </c>
      <c r="DF31" s="139">
        <v>43344.0</v>
      </c>
      <c r="DG31" s="139">
        <v>43374.0</v>
      </c>
      <c r="DH31" s="139">
        <v>43405.0</v>
      </c>
      <c r="DI31" s="139">
        <v>43435.0</v>
      </c>
      <c r="DJ31" s="139">
        <v>43466.0</v>
      </c>
      <c r="DK31" s="139">
        <v>43497.0</v>
      </c>
      <c r="DL31" s="139">
        <v>43525.0</v>
      </c>
      <c r="DM31" s="139">
        <v>43556.0</v>
      </c>
      <c r="DN31" s="139">
        <v>43586.0</v>
      </c>
      <c r="DO31" s="139">
        <v>43617.0</v>
      </c>
      <c r="DP31" s="139">
        <v>43647.0</v>
      </c>
      <c r="DQ31" s="139">
        <v>43678.0</v>
      </c>
      <c r="DR31" s="139">
        <v>43709.0</v>
      </c>
      <c r="DS31" s="139">
        <v>43739.0</v>
      </c>
      <c r="DT31" s="139">
        <v>43770.0</v>
      </c>
      <c r="DU31" s="139">
        <v>43800.0</v>
      </c>
      <c r="DV31" s="139">
        <v>43831.0</v>
      </c>
      <c r="DW31" s="139">
        <v>43862.0</v>
      </c>
      <c r="DX31" s="139">
        <v>43891.0</v>
      </c>
      <c r="DY31" s="139">
        <v>43922.0</v>
      </c>
      <c r="DZ31" s="139">
        <v>43952.0</v>
      </c>
      <c r="EA31" s="139">
        <v>43983.0</v>
      </c>
      <c r="EB31" s="139">
        <v>44013.0</v>
      </c>
      <c r="EC31" s="139">
        <v>44044.0</v>
      </c>
      <c r="ED31" s="139">
        <v>44075.0</v>
      </c>
      <c r="EE31" s="139">
        <v>44105.0</v>
      </c>
      <c r="EF31" s="139">
        <v>44136.0</v>
      </c>
      <c r="EG31" s="139">
        <v>44166.0</v>
      </c>
      <c r="EH31" s="139">
        <v>44197.0</v>
      </c>
      <c r="EI31" s="139">
        <v>44228.0</v>
      </c>
      <c r="EJ31" s="139">
        <v>44256.0</v>
      </c>
      <c r="EK31" s="139">
        <v>44287.0</v>
      </c>
      <c r="EL31" s="139">
        <v>44317.0</v>
      </c>
      <c r="EM31" s="139">
        <v>44348.0</v>
      </c>
      <c r="EN31" s="139">
        <v>44378.0</v>
      </c>
      <c r="EO31" s="139">
        <v>44409.0</v>
      </c>
      <c r="EP31" s="139">
        <v>44440.0</v>
      </c>
      <c r="EQ31" s="139">
        <v>44470.0</v>
      </c>
      <c r="ER31" s="139">
        <v>44501.0</v>
      </c>
      <c r="ES31" s="139">
        <v>44531.0</v>
      </c>
      <c r="ET31" s="139">
        <v>44562.0</v>
      </c>
      <c r="EU31" s="139">
        <v>44593.0</v>
      </c>
      <c r="EV31" s="139">
        <v>44621.0</v>
      </c>
      <c r="EW31" s="139">
        <v>44652.0</v>
      </c>
      <c r="EX31" s="139">
        <v>44682.0</v>
      </c>
      <c r="EY31" s="139">
        <v>44713.0</v>
      </c>
      <c r="EZ31" s="139">
        <v>44743.0</v>
      </c>
      <c r="FA31" s="139">
        <v>44774.0</v>
      </c>
      <c r="FB31" s="139">
        <v>44805.0</v>
      </c>
      <c r="FC31" s="139">
        <v>44835.0</v>
      </c>
      <c r="FD31" s="139">
        <v>44866.0</v>
      </c>
      <c r="FE31" s="139">
        <v>44896.0</v>
      </c>
      <c r="FF31" s="139">
        <v>44927.0</v>
      </c>
      <c r="FG31" s="139">
        <v>44958.0</v>
      </c>
      <c r="FH31" s="139">
        <v>44986.0</v>
      </c>
      <c r="FI31" s="139">
        <v>45017.0</v>
      </c>
      <c r="FJ31" s="139">
        <v>45047.0</v>
      </c>
      <c r="FK31" s="139">
        <v>45078.0</v>
      </c>
      <c r="FL31" s="139">
        <v>45108.0</v>
      </c>
      <c r="FM31" s="139">
        <v>45139.0</v>
      </c>
      <c r="FN31" s="139">
        <v>45170.0</v>
      </c>
      <c r="FO31" s="139">
        <v>45200.0</v>
      </c>
      <c r="FP31" s="139">
        <v>45231.0</v>
      </c>
      <c r="FQ31" s="139">
        <v>45261.0</v>
      </c>
      <c r="FR31" s="139">
        <v>45292.0</v>
      </c>
      <c r="FS31" s="139">
        <v>45323.0</v>
      </c>
      <c r="FT31" s="139">
        <v>45352.0</v>
      </c>
      <c r="FU31" s="139">
        <v>45383.0</v>
      </c>
      <c r="FV31" s="139">
        <v>45413.0</v>
      </c>
      <c r="FW31" s="139">
        <v>45444.0</v>
      </c>
      <c r="FX31" s="139">
        <v>45474.0</v>
      </c>
      <c r="FY31" s="139">
        <v>45505.0</v>
      </c>
      <c r="FZ31" s="139">
        <v>45536.0</v>
      </c>
      <c r="GA31" s="139">
        <v>45566.0</v>
      </c>
      <c r="GB31" s="139">
        <v>45597.0</v>
      </c>
      <c r="GC31" s="139">
        <v>45627.0</v>
      </c>
      <c r="GD31" s="139">
        <v>45658.0</v>
      </c>
      <c r="GE31" s="139">
        <v>45689.0</v>
      </c>
      <c r="GF31" s="139">
        <v>45717.0</v>
      </c>
      <c r="GG31" s="139">
        <v>45748.0</v>
      </c>
      <c r="GH31" s="139">
        <v>45778.0</v>
      </c>
      <c r="GI31" s="139">
        <v>45809.0</v>
      </c>
      <c r="GJ31" s="139">
        <v>45839.0</v>
      </c>
    </row>
    <row r="32">
      <c r="A32" s="133" t="s">
        <v>1846</v>
      </c>
      <c r="B32" s="134">
        <v>41703.500497685185</v>
      </c>
      <c r="C32" s="135" t="str">
        <f t="shared" si="1"/>
        <v>2014/03/05</v>
      </c>
      <c r="D32" s="136" t="s">
        <v>33920</v>
      </c>
      <c r="E32" s="151">
        <v>0.0</v>
      </c>
      <c r="F32" s="138">
        <v>40179.0</v>
      </c>
      <c r="G32" s="138">
        <v>40210.0</v>
      </c>
      <c r="H32" s="138">
        <v>40238.0</v>
      </c>
      <c r="I32" s="138">
        <v>40269.0</v>
      </c>
      <c r="J32" s="138">
        <v>40299.0</v>
      </c>
      <c r="K32" s="138">
        <v>40330.0</v>
      </c>
      <c r="L32" s="138">
        <v>40360.0</v>
      </c>
      <c r="M32" s="138">
        <v>40391.0</v>
      </c>
      <c r="N32" s="138">
        <v>40422.0</v>
      </c>
      <c r="O32" s="138">
        <v>40452.0</v>
      </c>
      <c r="P32" s="138">
        <v>40483.0</v>
      </c>
      <c r="Q32" s="138">
        <v>40513.0</v>
      </c>
      <c r="R32" s="138">
        <v>40544.0</v>
      </c>
      <c r="S32" s="138">
        <v>40575.0</v>
      </c>
      <c r="T32" s="138">
        <v>40603.0</v>
      </c>
      <c r="U32" s="138">
        <v>40634.0</v>
      </c>
      <c r="V32" s="138">
        <v>40664.0</v>
      </c>
      <c r="W32" s="138">
        <v>40695.0</v>
      </c>
      <c r="X32" s="138">
        <v>40725.0</v>
      </c>
      <c r="Y32" s="138">
        <v>40756.0</v>
      </c>
      <c r="Z32" s="138">
        <v>40787.0</v>
      </c>
      <c r="AA32" s="138">
        <v>40817.0</v>
      </c>
      <c r="AB32" s="138">
        <v>40848.0</v>
      </c>
      <c r="AC32" s="138">
        <v>40878.0</v>
      </c>
      <c r="AD32" s="138">
        <v>40909.0</v>
      </c>
      <c r="AE32" s="138">
        <v>40940.0</v>
      </c>
      <c r="AF32" s="138">
        <v>40969.0</v>
      </c>
      <c r="AG32" s="138">
        <v>41000.0</v>
      </c>
      <c r="AH32" s="138">
        <v>41030.0</v>
      </c>
      <c r="AI32" s="138">
        <v>41061.0</v>
      </c>
      <c r="AJ32" s="138">
        <v>41091.0</v>
      </c>
      <c r="AK32" s="138">
        <v>41122.0</v>
      </c>
      <c r="AL32" s="138">
        <v>41153.0</v>
      </c>
      <c r="AM32" s="138">
        <v>41183.0</v>
      </c>
      <c r="AN32" s="138">
        <v>41214.0</v>
      </c>
      <c r="AO32" s="138">
        <v>41244.0</v>
      </c>
      <c r="AP32" s="138">
        <v>41275.0</v>
      </c>
      <c r="AQ32" s="138">
        <v>41306.0</v>
      </c>
      <c r="AR32" s="138">
        <v>41334.0</v>
      </c>
      <c r="AS32" s="138">
        <v>41365.0</v>
      </c>
      <c r="AT32" s="138">
        <v>41395.0</v>
      </c>
      <c r="AU32" s="138">
        <v>41426.0</v>
      </c>
      <c r="AV32" s="138">
        <v>41456.0</v>
      </c>
      <c r="AW32" s="138">
        <v>41487.0</v>
      </c>
      <c r="AX32" s="138">
        <v>41518.0</v>
      </c>
      <c r="AY32" s="138">
        <v>41548.0</v>
      </c>
      <c r="AZ32" s="138">
        <v>41579.0</v>
      </c>
      <c r="BA32" s="138">
        <v>41609.0</v>
      </c>
      <c r="BB32" s="138">
        <v>41640.0</v>
      </c>
      <c r="BC32" s="138">
        <v>41671.0</v>
      </c>
      <c r="BD32" s="138">
        <v>41699.0</v>
      </c>
      <c r="BE32" s="139">
        <v>41730.0</v>
      </c>
      <c r="BF32" s="139">
        <v>41760.0</v>
      </c>
      <c r="BG32" s="139">
        <v>41791.0</v>
      </c>
      <c r="BH32" s="139">
        <v>41821.0</v>
      </c>
      <c r="BI32" s="139">
        <v>41852.0</v>
      </c>
      <c r="BJ32" s="139">
        <v>41883.0</v>
      </c>
      <c r="BK32" s="139">
        <v>41913.0</v>
      </c>
      <c r="BL32" s="139">
        <v>41944.0</v>
      </c>
      <c r="BM32" s="139">
        <v>41974.0</v>
      </c>
      <c r="BN32" s="139">
        <v>42005.0</v>
      </c>
      <c r="BO32" s="139">
        <v>42036.0</v>
      </c>
      <c r="BP32" s="139">
        <v>42064.0</v>
      </c>
      <c r="BQ32" s="139">
        <v>42095.0</v>
      </c>
      <c r="BR32" s="139">
        <v>42125.0</v>
      </c>
      <c r="BS32" s="139">
        <v>42156.0</v>
      </c>
      <c r="BT32" s="139">
        <v>42186.0</v>
      </c>
      <c r="BU32" s="139">
        <v>42217.0</v>
      </c>
      <c r="BV32" s="139">
        <v>42248.0</v>
      </c>
      <c r="BW32" s="139">
        <v>42278.0</v>
      </c>
      <c r="BX32" s="139">
        <v>42309.0</v>
      </c>
      <c r="BY32" s="139">
        <v>42339.0</v>
      </c>
      <c r="BZ32" s="139">
        <v>42370.0</v>
      </c>
      <c r="CA32" s="139">
        <v>42401.0</v>
      </c>
      <c r="CB32" s="139">
        <v>42430.0</v>
      </c>
      <c r="CC32" s="139">
        <v>42461.0</v>
      </c>
      <c r="CD32" s="139">
        <v>42491.0</v>
      </c>
      <c r="CE32" s="139">
        <v>42522.0</v>
      </c>
      <c r="CF32" s="139">
        <v>42552.0</v>
      </c>
      <c r="CG32" s="139">
        <v>42583.0</v>
      </c>
      <c r="CH32" s="139">
        <v>42614.0</v>
      </c>
      <c r="CI32" s="139">
        <v>42644.0</v>
      </c>
      <c r="CJ32" s="139">
        <v>42675.0</v>
      </c>
      <c r="CK32" s="139">
        <v>42705.0</v>
      </c>
      <c r="CL32" s="139">
        <v>42736.0</v>
      </c>
      <c r="CM32" s="139">
        <v>42767.0</v>
      </c>
      <c r="CN32" s="139">
        <v>42795.0</v>
      </c>
      <c r="CO32" s="139">
        <v>42826.0</v>
      </c>
      <c r="CP32" s="139">
        <v>42856.0</v>
      </c>
      <c r="CQ32" s="139">
        <v>42887.0</v>
      </c>
      <c r="CR32" s="139">
        <v>42917.0</v>
      </c>
      <c r="CS32" s="139">
        <v>42948.0</v>
      </c>
      <c r="CT32" s="139">
        <v>42979.0</v>
      </c>
      <c r="CU32" s="139">
        <v>43009.0</v>
      </c>
      <c r="CV32" s="139">
        <v>43040.0</v>
      </c>
      <c r="CW32" s="139">
        <v>43070.0</v>
      </c>
      <c r="CX32" s="139">
        <v>43101.0</v>
      </c>
      <c r="CY32" s="139">
        <v>43132.0</v>
      </c>
      <c r="CZ32" s="139">
        <v>43160.0</v>
      </c>
      <c r="DA32" s="139">
        <v>43191.0</v>
      </c>
      <c r="DB32" s="139">
        <v>43221.0</v>
      </c>
      <c r="DC32" s="139">
        <v>43252.0</v>
      </c>
      <c r="DD32" s="139">
        <v>43282.0</v>
      </c>
      <c r="DE32" s="139">
        <v>43313.0</v>
      </c>
      <c r="DF32" s="139">
        <v>43344.0</v>
      </c>
      <c r="DG32" s="139">
        <v>43374.0</v>
      </c>
      <c r="DH32" s="139">
        <v>43405.0</v>
      </c>
      <c r="DI32" s="139">
        <v>43435.0</v>
      </c>
      <c r="DJ32" s="139">
        <v>43466.0</v>
      </c>
      <c r="DK32" s="139">
        <v>43497.0</v>
      </c>
      <c r="DL32" s="139">
        <v>43525.0</v>
      </c>
      <c r="DM32" s="139">
        <v>43556.0</v>
      </c>
      <c r="DN32" s="139">
        <v>43586.0</v>
      </c>
      <c r="DO32" s="139">
        <v>43617.0</v>
      </c>
      <c r="DP32" s="139">
        <v>43647.0</v>
      </c>
      <c r="DQ32" s="139">
        <v>43678.0</v>
      </c>
      <c r="DR32" s="139">
        <v>43709.0</v>
      </c>
      <c r="DS32" s="139">
        <v>43739.0</v>
      </c>
      <c r="DT32" s="139">
        <v>43770.0</v>
      </c>
      <c r="DU32" s="139">
        <v>43800.0</v>
      </c>
      <c r="DV32" s="139">
        <v>43831.0</v>
      </c>
      <c r="DW32" s="139">
        <v>43862.0</v>
      </c>
      <c r="DX32" s="139">
        <v>43891.0</v>
      </c>
      <c r="DY32" s="139">
        <v>43922.0</v>
      </c>
      <c r="DZ32" s="139">
        <v>43952.0</v>
      </c>
      <c r="EA32" s="139">
        <v>43983.0</v>
      </c>
      <c r="EB32" s="139">
        <v>44013.0</v>
      </c>
      <c r="EC32" s="139">
        <v>44044.0</v>
      </c>
      <c r="ED32" s="139">
        <v>44075.0</v>
      </c>
      <c r="EE32" s="139">
        <v>44105.0</v>
      </c>
      <c r="EF32" s="139">
        <v>44136.0</v>
      </c>
      <c r="EG32" s="139">
        <v>44166.0</v>
      </c>
      <c r="EH32" s="139">
        <v>44197.0</v>
      </c>
      <c r="EI32" s="139">
        <v>44228.0</v>
      </c>
      <c r="EJ32" s="139">
        <v>44256.0</v>
      </c>
      <c r="EK32" s="139">
        <v>44287.0</v>
      </c>
      <c r="EL32" s="139">
        <v>44317.0</v>
      </c>
      <c r="EM32" s="139">
        <v>44348.0</v>
      </c>
      <c r="EN32" s="139">
        <v>44378.0</v>
      </c>
      <c r="EO32" s="139">
        <v>44409.0</v>
      </c>
      <c r="EP32" s="139">
        <v>44440.0</v>
      </c>
      <c r="EQ32" s="139">
        <v>44470.0</v>
      </c>
      <c r="ER32" s="139">
        <v>44501.0</v>
      </c>
      <c r="ES32" s="139">
        <v>44531.0</v>
      </c>
      <c r="ET32" s="139">
        <v>44562.0</v>
      </c>
      <c r="EU32" s="139">
        <v>44593.0</v>
      </c>
      <c r="EV32" s="139">
        <v>44621.0</v>
      </c>
      <c r="EW32" s="139">
        <v>44652.0</v>
      </c>
      <c r="EX32" s="139">
        <v>44682.0</v>
      </c>
      <c r="EY32" s="139">
        <v>44713.0</v>
      </c>
      <c r="EZ32" s="139">
        <v>44743.0</v>
      </c>
      <c r="FA32" s="139">
        <v>44774.0</v>
      </c>
      <c r="FB32" s="139">
        <v>44805.0</v>
      </c>
      <c r="FC32" s="139">
        <v>44835.0</v>
      </c>
      <c r="FD32" s="139">
        <v>44866.0</v>
      </c>
      <c r="FE32" s="139">
        <v>44896.0</v>
      </c>
      <c r="FF32" s="139">
        <v>44927.0</v>
      </c>
      <c r="FG32" s="139">
        <v>44958.0</v>
      </c>
      <c r="FH32" s="139">
        <v>44986.0</v>
      </c>
      <c r="FI32" s="139">
        <v>45017.0</v>
      </c>
      <c r="FJ32" s="139">
        <v>45047.0</v>
      </c>
      <c r="FK32" s="139">
        <v>45078.0</v>
      </c>
      <c r="FL32" s="139">
        <v>45108.0</v>
      </c>
      <c r="FM32" s="139">
        <v>45139.0</v>
      </c>
      <c r="FN32" s="139">
        <v>45170.0</v>
      </c>
      <c r="FO32" s="139">
        <v>45200.0</v>
      </c>
      <c r="FP32" s="139">
        <v>45231.0</v>
      </c>
      <c r="FQ32" s="139">
        <v>45261.0</v>
      </c>
      <c r="FR32" s="139">
        <v>45292.0</v>
      </c>
      <c r="FS32" s="139">
        <v>45323.0</v>
      </c>
      <c r="FT32" s="139">
        <v>45352.0</v>
      </c>
      <c r="FU32" s="139">
        <v>45383.0</v>
      </c>
      <c r="FV32" s="139">
        <v>45413.0</v>
      </c>
      <c r="FW32" s="139">
        <v>45444.0</v>
      </c>
      <c r="FX32" s="139">
        <v>45474.0</v>
      </c>
      <c r="FY32" s="139">
        <v>45505.0</v>
      </c>
      <c r="FZ32" s="139">
        <v>45536.0</v>
      </c>
      <c r="GA32" s="139">
        <v>45566.0</v>
      </c>
      <c r="GB32" s="139">
        <v>45597.0</v>
      </c>
      <c r="GC32" s="139">
        <v>45627.0</v>
      </c>
      <c r="GD32" s="139">
        <v>45658.0</v>
      </c>
      <c r="GE32" s="139">
        <v>45689.0</v>
      </c>
      <c r="GF32" s="139">
        <v>45717.0</v>
      </c>
      <c r="GG32" s="139">
        <v>45748.0</v>
      </c>
      <c r="GH32" s="139">
        <v>45778.0</v>
      </c>
      <c r="GI32" s="139">
        <v>45809.0</v>
      </c>
      <c r="GJ32" s="139">
        <v>45839.0</v>
      </c>
    </row>
    <row r="33">
      <c r="A33" s="133" t="s">
        <v>1784</v>
      </c>
      <c r="B33" s="134">
        <v>41718.46111111111</v>
      </c>
      <c r="C33" s="135" t="str">
        <f t="shared" si="1"/>
        <v>2014/03/20</v>
      </c>
      <c r="D33" s="136" t="s">
        <v>33974</v>
      </c>
      <c r="E33" s="151">
        <v>0.0</v>
      </c>
      <c r="F33" s="138">
        <v>40179.0</v>
      </c>
      <c r="G33" s="138">
        <v>40210.0</v>
      </c>
      <c r="H33" s="138">
        <v>40238.0</v>
      </c>
      <c r="I33" s="138">
        <v>40269.0</v>
      </c>
      <c r="J33" s="138">
        <v>40299.0</v>
      </c>
      <c r="K33" s="138">
        <v>40330.0</v>
      </c>
      <c r="L33" s="138">
        <v>40360.0</v>
      </c>
      <c r="M33" s="138">
        <v>40391.0</v>
      </c>
      <c r="N33" s="138">
        <v>40422.0</v>
      </c>
      <c r="O33" s="138">
        <v>40452.0</v>
      </c>
      <c r="P33" s="138">
        <v>40483.0</v>
      </c>
      <c r="Q33" s="138">
        <v>40513.0</v>
      </c>
      <c r="R33" s="138">
        <v>40544.0</v>
      </c>
      <c r="S33" s="138">
        <v>40575.0</v>
      </c>
      <c r="T33" s="138">
        <v>40603.0</v>
      </c>
      <c r="U33" s="138">
        <v>40634.0</v>
      </c>
      <c r="V33" s="138">
        <v>40664.0</v>
      </c>
      <c r="W33" s="138">
        <v>40695.0</v>
      </c>
      <c r="X33" s="138">
        <v>40725.0</v>
      </c>
      <c r="Y33" s="138">
        <v>40756.0</v>
      </c>
      <c r="Z33" s="138">
        <v>40787.0</v>
      </c>
      <c r="AA33" s="138">
        <v>40817.0</v>
      </c>
      <c r="AB33" s="138">
        <v>40848.0</v>
      </c>
      <c r="AC33" s="138">
        <v>40878.0</v>
      </c>
      <c r="AD33" s="138">
        <v>40909.0</v>
      </c>
      <c r="AE33" s="138">
        <v>40940.0</v>
      </c>
      <c r="AF33" s="138">
        <v>40969.0</v>
      </c>
      <c r="AG33" s="138">
        <v>41000.0</v>
      </c>
      <c r="AH33" s="138">
        <v>41030.0</v>
      </c>
      <c r="AI33" s="138">
        <v>41061.0</v>
      </c>
      <c r="AJ33" s="138">
        <v>41091.0</v>
      </c>
      <c r="AK33" s="138">
        <v>41122.0</v>
      </c>
      <c r="AL33" s="138">
        <v>41153.0</v>
      </c>
      <c r="AM33" s="138">
        <v>41183.0</v>
      </c>
      <c r="AN33" s="138">
        <v>41214.0</v>
      </c>
      <c r="AO33" s="138">
        <v>41244.0</v>
      </c>
      <c r="AP33" s="138">
        <v>41275.0</v>
      </c>
      <c r="AQ33" s="138">
        <v>41306.0</v>
      </c>
      <c r="AR33" s="138">
        <v>41334.0</v>
      </c>
      <c r="AS33" s="138">
        <v>41365.0</v>
      </c>
      <c r="AT33" s="138">
        <v>41395.0</v>
      </c>
      <c r="AU33" s="138">
        <v>41426.0</v>
      </c>
      <c r="AV33" s="138">
        <v>41456.0</v>
      </c>
      <c r="AW33" s="138">
        <v>41487.0</v>
      </c>
      <c r="AX33" s="138">
        <v>41518.0</v>
      </c>
      <c r="AY33" s="138">
        <v>41548.0</v>
      </c>
      <c r="AZ33" s="138">
        <v>41579.0</v>
      </c>
      <c r="BA33" s="138">
        <v>41609.0</v>
      </c>
      <c r="BB33" s="138">
        <v>41640.0</v>
      </c>
      <c r="BC33" s="138">
        <v>41671.0</v>
      </c>
      <c r="BD33" s="138">
        <v>41699.0</v>
      </c>
      <c r="BE33" s="139">
        <v>41730.0</v>
      </c>
      <c r="BF33" s="139">
        <v>41760.0</v>
      </c>
      <c r="BG33" s="139">
        <v>41791.0</v>
      </c>
      <c r="BH33" s="139">
        <v>41821.0</v>
      </c>
      <c r="BI33" s="139">
        <v>41852.0</v>
      </c>
      <c r="BJ33" s="139">
        <v>41883.0</v>
      </c>
      <c r="BK33" s="139">
        <v>41913.0</v>
      </c>
      <c r="BL33" s="139">
        <v>41944.0</v>
      </c>
      <c r="BM33" s="139">
        <v>41974.0</v>
      </c>
      <c r="BN33" s="139">
        <v>42005.0</v>
      </c>
      <c r="BO33" s="139">
        <v>42036.0</v>
      </c>
      <c r="BP33" s="139">
        <v>42064.0</v>
      </c>
      <c r="BQ33" s="139">
        <v>42095.0</v>
      </c>
      <c r="BR33" s="139">
        <v>42125.0</v>
      </c>
      <c r="BS33" s="139">
        <v>42156.0</v>
      </c>
      <c r="BT33" s="139">
        <v>42186.0</v>
      </c>
      <c r="BU33" s="139">
        <v>42217.0</v>
      </c>
      <c r="BV33" s="139">
        <v>42248.0</v>
      </c>
      <c r="BW33" s="139">
        <v>42278.0</v>
      </c>
      <c r="BX33" s="139">
        <v>42309.0</v>
      </c>
      <c r="BY33" s="139">
        <v>42339.0</v>
      </c>
      <c r="BZ33" s="139">
        <v>42370.0</v>
      </c>
      <c r="CA33" s="139">
        <v>42401.0</v>
      </c>
      <c r="CB33" s="139">
        <v>42430.0</v>
      </c>
      <c r="CC33" s="139">
        <v>42461.0</v>
      </c>
      <c r="CD33" s="139">
        <v>42491.0</v>
      </c>
      <c r="CE33" s="139">
        <v>42522.0</v>
      </c>
      <c r="CF33" s="139">
        <v>42552.0</v>
      </c>
      <c r="CG33" s="139">
        <v>42583.0</v>
      </c>
      <c r="CH33" s="139">
        <v>42614.0</v>
      </c>
      <c r="CI33" s="139">
        <v>42644.0</v>
      </c>
      <c r="CJ33" s="139">
        <v>42675.0</v>
      </c>
      <c r="CK33" s="139">
        <v>42705.0</v>
      </c>
      <c r="CL33" s="139">
        <v>42736.0</v>
      </c>
      <c r="CM33" s="139">
        <v>42767.0</v>
      </c>
      <c r="CN33" s="139">
        <v>42795.0</v>
      </c>
      <c r="CO33" s="139">
        <v>42826.0</v>
      </c>
      <c r="CP33" s="139">
        <v>42856.0</v>
      </c>
      <c r="CQ33" s="139">
        <v>42887.0</v>
      </c>
      <c r="CR33" s="139">
        <v>42917.0</v>
      </c>
      <c r="CS33" s="139">
        <v>42948.0</v>
      </c>
      <c r="CT33" s="139">
        <v>42979.0</v>
      </c>
      <c r="CU33" s="139">
        <v>43009.0</v>
      </c>
      <c r="CV33" s="139">
        <v>43040.0</v>
      </c>
      <c r="CW33" s="139">
        <v>43070.0</v>
      </c>
      <c r="CX33" s="139">
        <v>43101.0</v>
      </c>
      <c r="CY33" s="139">
        <v>43132.0</v>
      </c>
      <c r="CZ33" s="139">
        <v>43160.0</v>
      </c>
      <c r="DA33" s="139">
        <v>43191.0</v>
      </c>
      <c r="DB33" s="139">
        <v>43221.0</v>
      </c>
      <c r="DC33" s="139">
        <v>43252.0</v>
      </c>
      <c r="DD33" s="139">
        <v>43282.0</v>
      </c>
      <c r="DE33" s="139">
        <v>43313.0</v>
      </c>
      <c r="DF33" s="139">
        <v>43344.0</v>
      </c>
      <c r="DG33" s="139">
        <v>43374.0</v>
      </c>
      <c r="DH33" s="139">
        <v>43405.0</v>
      </c>
      <c r="DI33" s="139">
        <v>43435.0</v>
      </c>
      <c r="DJ33" s="139">
        <v>43466.0</v>
      </c>
      <c r="DK33" s="139">
        <v>43497.0</v>
      </c>
      <c r="DL33" s="139">
        <v>43525.0</v>
      </c>
      <c r="DM33" s="139">
        <v>43556.0</v>
      </c>
      <c r="DN33" s="139">
        <v>43586.0</v>
      </c>
      <c r="DO33" s="139">
        <v>43617.0</v>
      </c>
      <c r="DP33" s="139">
        <v>43647.0</v>
      </c>
      <c r="DQ33" s="139">
        <v>43678.0</v>
      </c>
      <c r="DR33" s="139">
        <v>43709.0</v>
      </c>
      <c r="DS33" s="139">
        <v>43739.0</v>
      </c>
      <c r="DT33" s="139">
        <v>43770.0</v>
      </c>
      <c r="DU33" s="139">
        <v>43800.0</v>
      </c>
      <c r="DV33" s="139">
        <v>43831.0</v>
      </c>
      <c r="DW33" s="139">
        <v>43862.0</v>
      </c>
      <c r="DX33" s="139">
        <v>43891.0</v>
      </c>
      <c r="DY33" s="139">
        <v>43922.0</v>
      </c>
      <c r="DZ33" s="139">
        <v>43952.0</v>
      </c>
      <c r="EA33" s="139">
        <v>43983.0</v>
      </c>
      <c r="EB33" s="139">
        <v>44013.0</v>
      </c>
      <c r="EC33" s="139">
        <v>44044.0</v>
      </c>
      <c r="ED33" s="139">
        <v>44075.0</v>
      </c>
      <c r="EE33" s="139">
        <v>44105.0</v>
      </c>
      <c r="EF33" s="139">
        <v>44136.0</v>
      </c>
      <c r="EG33" s="139">
        <v>44166.0</v>
      </c>
      <c r="EH33" s="139">
        <v>44197.0</v>
      </c>
      <c r="EI33" s="139">
        <v>44228.0</v>
      </c>
      <c r="EJ33" s="139">
        <v>44256.0</v>
      </c>
      <c r="EK33" s="139">
        <v>44287.0</v>
      </c>
      <c r="EL33" s="139">
        <v>44317.0</v>
      </c>
      <c r="EM33" s="139">
        <v>44348.0</v>
      </c>
      <c r="EN33" s="139">
        <v>44378.0</v>
      </c>
      <c r="EO33" s="139">
        <v>44409.0</v>
      </c>
      <c r="EP33" s="139">
        <v>44440.0</v>
      </c>
      <c r="EQ33" s="139">
        <v>44470.0</v>
      </c>
      <c r="ER33" s="139">
        <v>44501.0</v>
      </c>
      <c r="ES33" s="139">
        <v>44531.0</v>
      </c>
      <c r="ET33" s="139">
        <v>44562.0</v>
      </c>
      <c r="EU33" s="139">
        <v>44593.0</v>
      </c>
      <c r="EV33" s="139">
        <v>44621.0</v>
      </c>
      <c r="EW33" s="139">
        <v>44652.0</v>
      </c>
      <c r="EX33" s="139">
        <v>44682.0</v>
      </c>
      <c r="EY33" s="139">
        <v>44713.0</v>
      </c>
      <c r="EZ33" s="139">
        <v>44743.0</v>
      </c>
      <c r="FA33" s="139">
        <v>44774.0</v>
      </c>
      <c r="FB33" s="139">
        <v>44805.0</v>
      </c>
      <c r="FC33" s="139">
        <v>44835.0</v>
      </c>
      <c r="FD33" s="139">
        <v>44866.0</v>
      </c>
      <c r="FE33" s="139">
        <v>44896.0</v>
      </c>
      <c r="FF33" s="139">
        <v>44927.0</v>
      </c>
      <c r="FG33" s="139">
        <v>44958.0</v>
      </c>
      <c r="FH33" s="139">
        <v>44986.0</v>
      </c>
      <c r="FI33" s="139">
        <v>45017.0</v>
      </c>
      <c r="FJ33" s="139">
        <v>45047.0</v>
      </c>
      <c r="FK33" s="139">
        <v>45078.0</v>
      </c>
      <c r="FL33" s="139">
        <v>45108.0</v>
      </c>
      <c r="FM33" s="139">
        <v>45139.0</v>
      </c>
      <c r="FN33" s="139">
        <v>45170.0</v>
      </c>
      <c r="FO33" s="139">
        <v>45200.0</v>
      </c>
      <c r="FP33" s="139">
        <v>45231.0</v>
      </c>
      <c r="FQ33" s="139">
        <v>45261.0</v>
      </c>
      <c r="FR33" s="139">
        <v>45292.0</v>
      </c>
      <c r="FS33" s="139">
        <v>45323.0</v>
      </c>
      <c r="FT33" s="139">
        <v>45352.0</v>
      </c>
      <c r="FU33" s="139">
        <v>45383.0</v>
      </c>
      <c r="FV33" s="139">
        <v>45413.0</v>
      </c>
      <c r="FW33" s="139">
        <v>45444.0</v>
      </c>
      <c r="FX33" s="139">
        <v>45474.0</v>
      </c>
      <c r="FY33" s="139">
        <v>45505.0</v>
      </c>
      <c r="FZ33" s="139">
        <v>45536.0</v>
      </c>
      <c r="GA33" s="139">
        <v>45566.0</v>
      </c>
      <c r="GB33" s="139">
        <v>45597.0</v>
      </c>
      <c r="GC33" s="139">
        <v>45627.0</v>
      </c>
      <c r="GD33" s="139">
        <v>45658.0</v>
      </c>
      <c r="GE33" s="139">
        <v>45689.0</v>
      </c>
      <c r="GF33" s="139">
        <v>45717.0</v>
      </c>
      <c r="GG33" s="139">
        <v>45748.0</v>
      </c>
      <c r="GH33" s="139">
        <v>45778.0</v>
      </c>
      <c r="GI33" s="139">
        <v>45809.0</v>
      </c>
      <c r="GJ33" s="139">
        <v>45839.0</v>
      </c>
    </row>
    <row r="34">
      <c r="A34" s="133" t="s">
        <v>1765</v>
      </c>
      <c r="B34" s="134">
        <v>41718.6847337963</v>
      </c>
      <c r="C34" s="135" t="str">
        <f t="shared" si="1"/>
        <v>2014/03/20</v>
      </c>
      <c r="D34" s="136" t="s">
        <v>33929</v>
      </c>
      <c r="E34" s="151">
        <v>0.0</v>
      </c>
      <c r="F34" s="138">
        <v>40179.0</v>
      </c>
      <c r="G34" s="138">
        <v>40210.0</v>
      </c>
      <c r="H34" s="138">
        <v>40238.0</v>
      </c>
      <c r="I34" s="138">
        <v>40269.0</v>
      </c>
      <c r="J34" s="138">
        <v>40299.0</v>
      </c>
      <c r="K34" s="138">
        <v>40330.0</v>
      </c>
      <c r="L34" s="138">
        <v>40360.0</v>
      </c>
      <c r="M34" s="138">
        <v>40391.0</v>
      </c>
      <c r="N34" s="138">
        <v>40422.0</v>
      </c>
      <c r="O34" s="138">
        <v>40452.0</v>
      </c>
      <c r="P34" s="138">
        <v>40483.0</v>
      </c>
      <c r="Q34" s="138">
        <v>40513.0</v>
      </c>
      <c r="R34" s="138">
        <v>40544.0</v>
      </c>
      <c r="S34" s="138">
        <v>40575.0</v>
      </c>
      <c r="T34" s="138">
        <v>40603.0</v>
      </c>
      <c r="U34" s="138">
        <v>40634.0</v>
      </c>
      <c r="V34" s="138">
        <v>40664.0</v>
      </c>
      <c r="W34" s="138">
        <v>40695.0</v>
      </c>
      <c r="X34" s="138">
        <v>40725.0</v>
      </c>
      <c r="Y34" s="138">
        <v>40756.0</v>
      </c>
      <c r="Z34" s="138">
        <v>40787.0</v>
      </c>
      <c r="AA34" s="138">
        <v>40817.0</v>
      </c>
      <c r="AB34" s="138">
        <v>40848.0</v>
      </c>
      <c r="AC34" s="138">
        <v>40878.0</v>
      </c>
      <c r="AD34" s="138">
        <v>40909.0</v>
      </c>
      <c r="AE34" s="138">
        <v>40940.0</v>
      </c>
      <c r="AF34" s="138">
        <v>40969.0</v>
      </c>
      <c r="AG34" s="138">
        <v>41000.0</v>
      </c>
      <c r="AH34" s="138">
        <v>41030.0</v>
      </c>
      <c r="AI34" s="138">
        <v>41061.0</v>
      </c>
      <c r="AJ34" s="138">
        <v>41091.0</v>
      </c>
      <c r="AK34" s="138">
        <v>41122.0</v>
      </c>
      <c r="AL34" s="138">
        <v>41153.0</v>
      </c>
      <c r="AM34" s="138">
        <v>41183.0</v>
      </c>
      <c r="AN34" s="138">
        <v>41214.0</v>
      </c>
      <c r="AO34" s="138">
        <v>41244.0</v>
      </c>
      <c r="AP34" s="138">
        <v>41275.0</v>
      </c>
      <c r="AQ34" s="138">
        <v>41306.0</v>
      </c>
      <c r="AR34" s="138">
        <v>41334.0</v>
      </c>
      <c r="AS34" s="138">
        <v>41365.0</v>
      </c>
      <c r="AT34" s="138">
        <v>41395.0</v>
      </c>
      <c r="AU34" s="138">
        <v>41426.0</v>
      </c>
      <c r="AV34" s="138">
        <v>41456.0</v>
      </c>
      <c r="AW34" s="138">
        <v>41487.0</v>
      </c>
      <c r="AX34" s="138">
        <v>41518.0</v>
      </c>
      <c r="AY34" s="138">
        <v>41548.0</v>
      </c>
      <c r="AZ34" s="138">
        <v>41579.0</v>
      </c>
      <c r="BA34" s="138">
        <v>41609.0</v>
      </c>
      <c r="BB34" s="138">
        <v>41640.0</v>
      </c>
      <c r="BC34" s="138">
        <v>41671.0</v>
      </c>
      <c r="BD34" s="138">
        <v>41699.0</v>
      </c>
      <c r="BE34" s="139">
        <v>41730.0</v>
      </c>
      <c r="BF34" s="139">
        <v>41760.0</v>
      </c>
      <c r="BG34" s="139">
        <v>41791.0</v>
      </c>
      <c r="BH34" s="139">
        <v>41821.0</v>
      </c>
      <c r="BI34" s="139">
        <v>41852.0</v>
      </c>
      <c r="BJ34" s="139">
        <v>41883.0</v>
      </c>
      <c r="BK34" s="139">
        <v>41913.0</v>
      </c>
      <c r="BL34" s="139">
        <v>41944.0</v>
      </c>
      <c r="BM34" s="139">
        <v>41974.0</v>
      </c>
      <c r="BN34" s="139">
        <v>42005.0</v>
      </c>
      <c r="BO34" s="139">
        <v>42036.0</v>
      </c>
      <c r="BP34" s="139">
        <v>42064.0</v>
      </c>
      <c r="BQ34" s="139">
        <v>42095.0</v>
      </c>
      <c r="BR34" s="139">
        <v>42125.0</v>
      </c>
      <c r="BS34" s="139">
        <v>42156.0</v>
      </c>
      <c r="BT34" s="139">
        <v>42186.0</v>
      </c>
      <c r="BU34" s="139">
        <v>42217.0</v>
      </c>
      <c r="BV34" s="139">
        <v>42248.0</v>
      </c>
      <c r="BW34" s="139">
        <v>42278.0</v>
      </c>
      <c r="BX34" s="139">
        <v>42309.0</v>
      </c>
      <c r="BY34" s="139">
        <v>42339.0</v>
      </c>
      <c r="BZ34" s="139">
        <v>42370.0</v>
      </c>
      <c r="CA34" s="139">
        <v>42401.0</v>
      </c>
      <c r="CB34" s="139">
        <v>42430.0</v>
      </c>
      <c r="CC34" s="139">
        <v>42461.0</v>
      </c>
      <c r="CD34" s="139">
        <v>42491.0</v>
      </c>
      <c r="CE34" s="139">
        <v>42522.0</v>
      </c>
      <c r="CF34" s="139">
        <v>42552.0</v>
      </c>
      <c r="CG34" s="139">
        <v>42583.0</v>
      </c>
      <c r="CH34" s="139">
        <v>42614.0</v>
      </c>
      <c r="CI34" s="139">
        <v>42644.0</v>
      </c>
      <c r="CJ34" s="139">
        <v>42675.0</v>
      </c>
      <c r="CK34" s="139">
        <v>42705.0</v>
      </c>
      <c r="CL34" s="139">
        <v>42736.0</v>
      </c>
      <c r="CM34" s="139">
        <v>42767.0</v>
      </c>
      <c r="CN34" s="139">
        <v>42795.0</v>
      </c>
      <c r="CO34" s="139">
        <v>42826.0</v>
      </c>
      <c r="CP34" s="139">
        <v>42856.0</v>
      </c>
      <c r="CQ34" s="139">
        <v>42887.0</v>
      </c>
      <c r="CR34" s="139">
        <v>42917.0</v>
      </c>
      <c r="CS34" s="139">
        <v>42948.0</v>
      </c>
      <c r="CT34" s="139">
        <v>42979.0</v>
      </c>
      <c r="CU34" s="139">
        <v>43009.0</v>
      </c>
      <c r="CV34" s="139">
        <v>43040.0</v>
      </c>
      <c r="CW34" s="139">
        <v>43070.0</v>
      </c>
      <c r="CX34" s="139">
        <v>43101.0</v>
      </c>
      <c r="CY34" s="139">
        <v>43132.0</v>
      </c>
      <c r="CZ34" s="139">
        <v>43160.0</v>
      </c>
      <c r="DA34" s="139">
        <v>43191.0</v>
      </c>
      <c r="DB34" s="139">
        <v>43221.0</v>
      </c>
      <c r="DC34" s="139">
        <v>43252.0</v>
      </c>
      <c r="DD34" s="139">
        <v>43282.0</v>
      </c>
      <c r="DE34" s="139">
        <v>43313.0</v>
      </c>
      <c r="DF34" s="139">
        <v>43344.0</v>
      </c>
      <c r="DG34" s="139">
        <v>43374.0</v>
      </c>
      <c r="DH34" s="139">
        <v>43405.0</v>
      </c>
      <c r="DI34" s="139">
        <v>43435.0</v>
      </c>
      <c r="DJ34" s="139">
        <v>43466.0</v>
      </c>
      <c r="DK34" s="139">
        <v>43497.0</v>
      </c>
      <c r="DL34" s="139">
        <v>43525.0</v>
      </c>
      <c r="DM34" s="139">
        <v>43556.0</v>
      </c>
      <c r="DN34" s="139">
        <v>43586.0</v>
      </c>
      <c r="DO34" s="139">
        <v>43617.0</v>
      </c>
      <c r="DP34" s="139">
        <v>43647.0</v>
      </c>
      <c r="DQ34" s="139">
        <v>43678.0</v>
      </c>
      <c r="DR34" s="139">
        <v>43709.0</v>
      </c>
      <c r="DS34" s="139">
        <v>43739.0</v>
      </c>
      <c r="DT34" s="139">
        <v>43770.0</v>
      </c>
      <c r="DU34" s="139">
        <v>43800.0</v>
      </c>
      <c r="DV34" s="139">
        <v>43831.0</v>
      </c>
      <c r="DW34" s="139">
        <v>43862.0</v>
      </c>
      <c r="DX34" s="139">
        <v>43891.0</v>
      </c>
      <c r="DY34" s="139">
        <v>43922.0</v>
      </c>
      <c r="DZ34" s="139">
        <v>43952.0</v>
      </c>
      <c r="EA34" s="139">
        <v>43983.0</v>
      </c>
      <c r="EB34" s="139">
        <v>44013.0</v>
      </c>
      <c r="EC34" s="139">
        <v>44044.0</v>
      </c>
      <c r="ED34" s="139">
        <v>44075.0</v>
      </c>
      <c r="EE34" s="139">
        <v>44105.0</v>
      </c>
      <c r="EF34" s="139">
        <v>44136.0</v>
      </c>
      <c r="EG34" s="139">
        <v>44166.0</v>
      </c>
      <c r="EH34" s="139">
        <v>44197.0</v>
      </c>
      <c r="EI34" s="139">
        <v>44228.0</v>
      </c>
      <c r="EJ34" s="139">
        <v>44256.0</v>
      </c>
      <c r="EK34" s="139">
        <v>44287.0</v>
      </c>
      <c r="EL34" s="139">
        <v>44317.0</v>
      </c>
      <c r="EM34" s="139">
        <v>44348.0</v>
      </c>
      <c r="EN34" s="139">
        <v>44378.0</v>
      </c>
      <c r="EO34" s="139">
        <v>44409.0</v>
      </c>
      <c r="EP34" s="139">
        <v>44440.0</v>
      </c>
      <c r="EQ34" s="139">
        <v>44470.0</v>
      </c>
      <c r="ER34" s="139">
        <v>44501.0</v>
      </c>
      <c r="ES34" s="139">
        <v>44531.0</v>
      </c>
      <c r="ET34" s="139">
        <v>44562.0</v>
      </c>
      <c r="EU34" s="139">
        <v>44593.0</v>
      </c>
      <c r="EV34" s="139">
        <v>44621.0</v>
      </c>
      <c r="EW34" s="139">
        <v>44652.0</v>
      </c>
      <c r="EX34" s="139">
        <v>44682.0</v>
      </c>
      <c r="EY34" s="139">
        <v>44713.0</v>
      </c>
      <c r="EZ34" s="139">
        <v>44743.0</v>
      </c>
      <c r="FA34" s="139">
        <v>44774.0</v>
      </c>
      <c r="FB34" s="139">
        <v>44805.0</v>
      </c>
      <c r="FC34" s="139">
        <v>44835.0</v>
      </c>
      <c r="FD34" s="139">
        <v>44866.0</v>
      </c>
      <c r="FE34" s="139">
        <v>44896.0</v>
      </c>
      <c r="FF34" s="139">
        <v>44927.0</v>
      </c>
      <c r="FG34" s="139">
        <v>44958.0</v>
      </c>
      <c r="FH34" s="139">
        <v>44986.0</v>
      </c>
      <c r="FI34" s="139">
        <v>45017.0</v>
      </c>
      <c r="FJ34" s="139">
        <v>45047.0</v>
      </c>
      <c r="FK34" s="139">
        <v>45078.0</v>
      </c>
      <c r="FL34" s="139">
        <v>45108.0</v>
      </c>
      <c r="FM34" s="139">
        <v>45139.0</v>
      </c>
      <c r="FN34" s="139">
        <v>45170.0</v>
      </c>
      <c r="FO34" s="139">
        <v>45200.0</v>
      </c>
      <c r="FP34" s="139">
        <v>45231.0</v>
      </c>
      <c r="FQ34" s="139">
        <v>45261.0</v>
      </c>
      <c r="FR34" s="139">
        <v>45292.0</v>
      </c>
      <c r="FS34" s="139">
        <v>45323.0</v>
      </c>
      <c r="FT34" s="139">
        <v>45352.0</v>
      </c>
      <c r="FU34" s="139">
        <v>45383.0</v>
      </c>
      <c r="FV34" s="139">
        <v>45413.0</v>
      </c>
      <c r="FW34" s="139">
        <v>45444.0</v>
      </c>
      <c r="FX34" s="139">
        <v>45474.0</v>
      </c>
      <c r="FY34" s="139">
        <v>45505.0</v>
      </c>
      <c r="FZ34" s="139">
        <v>45536.0</v>
      </c>
      <c r="GA34" s="139">
        <v>45566.0</v>
      </c>
      <c r="GB34" s="139">
        <v>45597.0</v>
      </c>
      <c r="GC34" s="139">
        <v>45627.0</v>
      </c>
      <c r="GD34" s="139">
        <v>45658.0</v>
      </c>
      <c r="GE34" s="139">
        <v>45689.0</v>
      </c>
      <c r="GF34" s="139">
        <v>45717.0</v>
      </c>
      <c r="GG34" s="139">
        <v>45748.0</v>
      </c>
      <c r="GH34" s="139">
        <v>45778.0</v>
      </c>
      <c r="GI34" s="139">
        <v>45809.0</v>
      </c>
      <c r="GJ34" s="139">
        <v>45839.0</v>
      </c>
    </row>
    <row r="35">
      <c r="A35" s="133" t="s">
        <v>1744</v>
      </c>
      <c r="B35" s="134">
        <v>41724.66569444445</v>
      </c>
      <c r="C35" s="135" t="str">
        <f t="shared" si="1"/>
        <v>2014/03/26</v>
      </c>
      <c r="D35" s="136" t="s">
        <v>33912</v>
      </c>
      <c r="E35" s="151">
        <v>0.0</v>
      </c>
      <c r="F35" s="138">
        <v>40179.0</v>
      </c>
      <c r="G35" s="138">
        <v>40210.0</v>
      </c>
      <c r="H35" s="138">
        <v>40238.0</v>
      </c>
      <c r="I35" s="138">
        <v>40269.0</v>
      </c>
      <c r="J35" s="138">
        <v>40299.0</v>
      </c>
      <c r="K35" s="138">
        <v>40330.0</v>
      </c>
      <c r="L35" s="138">
        <v>40360.0</v>
      </c>
      <c r="M35" s="138">
        <v>40391.0</v>
      </c>
      <c r="N35" s="138">
        <v>40422.0</v>
      </c>
      <c r="O35" s="138">
        <v>40452.0</v>
      </c>
      <c r="P35" s="138">
        <v>40483.0</v>
      </c>
      <c r="Q35" s="138">
        <v>40513.0</v>
      </c>
      <c r="R35" s="138">
        <v>40544.0</v>
      </c>
      <c r="S35" s="138">
        <v>40575.0</v>
      </c>
      <c r="T35" s="138">
        <v>40603.0</v>
      </c>
      <c r="U35" s="138">
        <v>40634.0</v>
      </c>
      <c r="V35" s="138">
        <v>40664.0</v>
      </c>
      <c r="W35" s="138">
        <v>40695.0</v>
      </c>
      <c r="X35" s="138">
        <v>40725.0</v>
      </c>
      <c r="Y35" s="138">
        <v>40756.0</v>
      </c>
      <c r="Z35" s="138">
        <v>40787.0</v>
      </c>
      <c r="AA35" s="138">
        <v>40817.0</v>
      </c>
      <c r="AB35" s="138">
        <v>40848.0</v>
      </c>
      <c r="AC35" s="138">
        <v>40878.0</v>
      </c>
      <c r="AD35" s="138">
        <v>40909.0</v>
      </c>
      <c r="AE35" s="138">
        <v>40940.0</v>
      </c>
      <c r="AF35" s="138">
        <v>40969.0</v>
      </c>
      <c r="AG35" s="138">
        <v>41000.0</v>
      </c>
      <c r="AH35" s="138">
        <v>41030.0</v>
      </c>
      <c r="AI35" s="138">
        <v>41061.0</v>
      </c>
      <c r="AJ35" s="138">
        <v>41091.0</v>
      </c>
      <c r="AK35" s="138">
        <v>41122.0</v>
      </c>
      <c r="AL35" s="138">
        <v>41153.0</v>
      </c>
      <c r="AM35" s="138">
        <v>41183.0</v>
      </c>
      <c r="AN35" s="138">
        <v>41214.0</v>
      </c>
      <c r="AO35" s="138">
        <v>41244.0</v>
      </c>
      <c r="AP35" s="138">
        <v>41275.0</v>
      </c>
      <c r="AQ35" s="138">
        <v>41306.0</v>
      </c>
      <c r="AR35" s="138">
        <v>41334.0</v>
      </c>
      <c r="AS35" s="138">
        <v>41365.0</v>
      </c>
      <c r="AT35" s="138">
        <v>41395.0</v>
      </c>
      <c r="AU35" s="138">
        <v>41426.0</v>
      </c>
      <c r="AV35" s="138">
        <v>41456.0</v>
      </c>
      <c r="AW35" s="138">
        <v>41487.0</v>
      </c>
      <c r="AX35" s="138">
        <v>41518.0</v>
      </c>
      <c r="AY35" s="138">
        <v>41548.0</v>
      </c>
      <c r="AZ35" s="138">
        <v>41579.0</v>
      </c>
      <c r="BA35" s="138">
        <v>41609.0</v>
      </c>
      <c r="BB35" s="138">
        <v>41640.0</v>
      </c>
      <c r="BC35" s="138">
        <v>41671.0</v>
      </c>
      <c r="BD35" s="138">
        <v>41699.0</v>
      </c>
      <c r="BE35" s="139">
        <v>41730.0</v>
      </c>
      <c r="BF35" s="139">
        <v>41760.0</v>
      </c>
      <c r="BG35" s="139">
        <v>41791.0</v>
      </c>
      <c r="BH35" s="139">
        <v>41821.0</v>
      </c>
      <c r="BI35" s="139">
        <v>41852.0</v>
      </c>
      <c r="BJ35" s="139">
        <v>41883.0</v>
      </c>
      <c r="BK35" s="139">
        <v>41913.0</v>
      </c>
      <c r="BL35" s="139">
        <v>41944.0</v>
      </c>
      <c r="BM35" s="139">
        <v>41974.0</v>
      </c>
      <c r="BN35" s="139">
        <v>42005.0</v>
      </c>
      <c r="BO35" s="139">
        <v>42036.0</v>
      </c>
      <c r="BP35" s="139">
        <v>42064.0</v>
      </c>
      <c r="BQ35" s="139">
        <v>42095.0</v>
      </c>
      <c r="BR35" s="139">
        <v>42125.0</v>
      </c>
      <c r="BS35" s="139">
        <v>42156.0</v>
      </c>
      <c r="BT35" s="139">
        <v>42186.0</v>
      </c>
      <c r="BU35" s="139">
        <v>42217.0</v>
      </c>
      <c r="BV35" s="139">
        <v>42248.0</v>
      </c>
      <c r="BW35" s="139">
        <v>42278.0</v>
      </c>
      <c r="BX35" s="139">
        <v>42309.0</v>
      </c>
      <c r="BY35" s="139">
        <v>42339.0</v>
      </c>
      <c r="BZ35" s="139">
        <v>42370.0</v>
      </c>
      <c r="CA35" s="139">
        <v>42401.0</v>
      </c>
      <c r="CB35" s="139">
        <v>42430.0</v>
      </c>
      <c r="CC35" s="139">
        <v>42461.0</v>
      </c>
      <c r="CD35" s="139">
        <v>42491.0</v>
      </c>
      <c r="CE35" s="139">
        <v>42522.0</v>
      </c>
      <c r="CF35" s="139">
        <v>42552.0</v>
      </c>
      <c r="CG35" s="139">
        <v>42583.0</v>
      </c>
      <c r="CH35" s="139">
        <v>42614.0</v>
      </c>
      <c r="CI35" s="139">
        <v>42644.0</v>
      </c>
      <c r="CJ35" s="139">
        <v>42675.0</v>
      </c>
      <c r="CK35" s="139">
        <v>42705.0</v>
      </c>
      <c r="CL35" s="139">
        <v>42736.0</v>
      </c>
      <c r="CM35" s="139">
        <v>42767.0</v>
      </c>
      <c r="CN35" s="139">
        <v>42795.0</v>
      </c>
      <c r="CO35" s="139">
        <v>42826.0</v>
      </c>
      <c r="CP35" s="139">
        <v>42856.0</v>
      </c>
      <c r="CQ35" s="139">
        <v>42887.0</v>
      </c>
      <c r="CR35" s="139">
        <v>42917.0</v>
      </c>
      <c r="CS35" s="139">
        <v>42948.0</v>
      </c>
      <c r="CT35" s="139">
        <v>42979.0</v>
      </c>
      <c r="CU35" s="139">
        <v>43009.0</v>
      </c>
      <c r="CV35" s="139">
        <v>43040.0</v>
      </c>
      <c r="CW35" s="139">
        <v>43070.0</v>
      </c>
      <c r="CX35" s="139">
        <v>43101.0</v>
      </c>
      <c r="CY35" s="139">
        <v>43132.0</v>
      </c>
      <c r="CZ35" s="139">
        <v>43160.0</v>
      </c>
      <c r="DA35" s="139">
        <v>43191.0</v>
      </c>
      <c r="DB35" s="139">
        <v>43221.0</v>
      </c>
      <c r="DC35" s="139">
        <v>43252.0</v>
      </c>
      <c r="DD35" s="139">
        <v>43282.0</v>
      </c>
      <c r="DE35" s="139">
        <v>43313.0</v>
      </c>
      <c r="DF35" s="139">
        <v>43344.0</v>
      </c>
      <c r="DG35" s="139">
        <v>43374.0</v>
      </c>
      <c r="DH35" s="139">
        <v>43405.0</v>
      </c>
      <c r="DI35" s="139">
        <v>43435.0</v>
      </c>
      <c r="DJ35" s="139">
        <v>43466.0</v>
      </c>
      <c r="DK35" s="139">
        <v>43497.0</v>
      </c>
      <c r="DL35" s="139">
        <v>43525.0</v>
      </c>
      <c r="DM35" s="139">
        <v>43556.0</v>
      </c>
      <c r="DN35" s="139">
        <v>43586.0</v>
      </c>
      <c r="DO35" s="139">
        <v>43617.0</v>
      </c>
      <c r="DP35" s="139">
        <v>43647.0</v>
      </c>
      <c r="DQ35" s="139">
        <v>43678.0</v>
      </c>
      <c r="DR35" s="139">
        <v>43709.0</v>
      </c>
      <c r="DS35" s="139">
        <v>43739.0</v>
      </c>
      <c r="DT35" s="139">
        <v>43770.0</v>
      </c>
      <c r="DU35" s="139">
        <v>43800.0</v>
      </c>
      <c r="DV35" s="139">
        <v>43831.0</v>
      </c>
      <c r="DW35" s="139">
        <v>43862.0</v>
      </c>
      <c r="DX35" s="139">
        <v>43891.0</v>
      </c>
      <c r="DY35" s="139">
        <v>43922.0</v>
      </c>
      <c r="DZ35" s="139">
        <v>43952.0</v>
      </c>
      <c r="EA35" s="139">
        <v>43983.0</v>
      </c>
      <c r="EB35" s="139">
        <v>44013.0</v>
      </c>
      <c r="EC35" s="139">
        <v>44044.0</v>
      </c>
      <c r="ED35" s="139">
        <v>44075.0</v>
      </c>
      <c r="EE35" s="139">
        <v>44105.0</v>
      </c>
      <c r="EF35" s="139">
        <v>44136.0</v>
      </c>
      <c r="EG35" s="139">
        <v>44166.0</v>
      </c>
      <c r="EH35" s="139">
        <v>44197.0</v>
      </c>
      <c r="EI35" s="139">
        <v>44228.0</v>
      </c>
      <c r="EJ35" s="139">
        <v>44256.0</v>
      </c>
      <c r="EK35" s="139">
        <v>44287.0</v>
      </c>
      <c r="EL35" s="139">
        <v>44317.0</v>
      </c>
      <c r="EM35" s="139">
        <v>44348.0</v>
      </c>
      <c r="EN35" s="139">
        <v>44378.0</v>
      </c>
      <c r="EO35" s="139">
        <v>44409.0</v>
      </c>
      <c r="EP35" s="139">
        <v>44440.0</v>
      </c>
      <c r="EQ35" s="139">
        <v>44470.0</v>
      </c>
      <c r="ER35" s="139">
        <v>44501.0</v>
      </c>
      <c r="ES35" s="139">
        <v>44531.0</v>
      </c>
      <c r="ET35" s="139">
        <v>44562.0</v>
      </c>
      <c r="EU35" s="139">
        <v>44593.0</v>
      </c>
      <c r="EV35" s="139">
        <v>44621.0</v>
      </c>
      <c r="EW35" s="139">
        <v>44652.0</v>
      </c>
      <c r="EX35" s="139">
        <v>44682.0</v>
      </c>
      <c r="EY35" s="139">
        <v>44713.0</v>
      </c>
      <c r="EZ35" s="139">
        <v>44743.0</v>
      </c>
      <c r="FA35" s="139">
        <v>44774.0</v>
      </c>
      <c r="FB35" s="139">
        <v>44805.0</v>
      </c>
      <c r="FC35" s="139">
        <v>44835.0</v>
      </c>
      <c r="FD35" s="139">
        <v>44866.0</v>
      </c>
      <c r="FE35" s="139">
        <v>44896.0</v>
      </c>
      <c r="FF35" s="139">
        <v>44927.0</v>
      </c>
      <c r="FG35" s="139">
        <v>44958.0</v>
      </c>
      <c r="FH35" s="139">
        <v>44986.0</v>
      </c>
      <c r="FI35" s="139">
        <v>45017.0</v>
      </c>
      <c r="FJ35" s="139">
        <v>45047.0</v>
      </c>
      <c r="FK35" s="139">
        <v>45078.0</v>
      </c>
      <c r="FL35" s="139">
        <v>45108.0</v>
      </c>
      <c r="FM35" s="139">
        <v>45139.0</v>
      </c>
      <c r="FN35" s="139">
        <v>45170.0</v>
      </c>
      <c r="FO35" s="139">
        <v>45200.0</v>
      </c>
      <c r="FP35" s="139">
        <v>45231.0</v>
      </c>
      <c r="FQ35" s="139">
        <v>45261.0</v>
      </c>
      <c r="FR35" s="139">
        <v>45292.0</v>
      </c>
      <c r="FS35" s="139">
        <v>45323.0</v>
      </c>
      <c r="FT35" s="139">
        <v>45352.0</v>
      </c>
      <c r="FU35" s="139">
        <v>45383.0</v>
      </c>
      <c r="FV35" s="139">
        <v>45413.0</v>
      </c>
      <c r="FW35" s="139">
        <v>45444.0</v>
      </c>
      <c r="FX35" s="139">
        <v>45474.0</v>
      </c>
      <c r="FY35" s="139">
        <v>45505.0</v>
      </c>
      <c r="FZ35" s="139">
        <v>45536.0</v>
      </c>
      <c r="GA35" s="139">
        <v>45566.0</v>
      </c>
      <c r="GB35" s="139">
        <v>45597.0</v>
      </c>
      <c r="GC35" s="139">
        <v>45627.0</v>
      </c>
      <c r="GD35" s="139">
        <v>45658.0</v>
      </c>
      <c r="GE35" s="139">
        <v>45689.0</v>
      </c>
      <c r="GF35" s="139">
        <v>45717.0</v>
      </c>
      <c r="GG35" s="139">
        <v>45748.0</v>
      </c>
      <c r="GH35" s="139">
        <v>45778.0</v>
      </c>
      <c r="GI35" s="139">
        <v>45809.0</v>
      </c>
      <c r="GJ35" s="139">
        <v>45839.0</v>
      </c>
    </row>
    <row r="36">
      <c r="A36" s="133" t="s">
        <v>1553</v>
      </c>
      <c r="B36" s="134">
        <v>41733.54145833333</v>
      </c>
      <c r="C36" s="135" t="str">
        <f t="shared" si="1"/>
        <v>2014/04/04</v>
      </c>
      <c r="D36" s="136" t="s">
        <v>34256</v>
      </c>
      <c r="E36" s="151">
        <v>0.0</v>
      </c>
      <c r="F36" s="138">
        <v>40179.0</v>
      </c>
      <c r="G36" s="138">
        <v>40210.0</v>
      </c>
      <c r="H36" s="138">
        <v>40238.0</v>
      </c>
      <c r="I36" s="138">
        <v>40269.0</v>
      </c>
      <c r="J36" s="138">
        <v>40299.0</v>
      </c>
      <c r="K36" s="138">
        <v>40330.0</v>
      </c>
      <c r="L36" s="138">
        <v>40360.0</v>
      </c>
      <c r="M36" s="138">
        <v>40391.0</v>
      </c>
      <c r="N36" s="138">
        <v>40422.0</v>
      </c>
      <c r="O36" s="138">
        <v>40452.0</v>
      </c>
      <c r="P36" s="138">
        <v>40483.0</v>
      </c>
      <c r="Q36" s="138">
        <v>40513.0</v>
      </c>
      <c r="R36" s="138">
        <v>40544.0</v>
      </c>
      <c r="S36" s="138">
        <v>40575.0</v>
      </c>
      <c r="T36" s="138">
        <v>40603.0</v>
      </c>
      <c r="U36" s="138">
        <v>40634.0</v>
      </c>
      <c r="V36" s="138">
        <v>40664.0</v>
      </c>
      <c r="W36" s="138">
        <v>40695.0</v>
      </c>
      <c r="X36" s="138">
        <v>40725.0</v>
      </c>
      <c r="Y36" s="138">
        <v>40756.0</v>
      </c>
      <c r="Z36" s="138">
        <v>40787.0</v>
      </c>
      <c r="AA36" s="138">
        <v>40817.0</v>
      </c>
      <c r="AB36" s="138">
        <v>40848.0</v>
      </c>
      <c r="AC36" s="138">
        <v>40878.0</v>
      </c>
      <c r="AD36" s="138">
        <v>40909.0</v>
      </c>
      <c r="AE36" s="138">
        <v>40940.0</v>
      </c>
      <c r="AF36" s="138">
        <v>40969.0</v>
      </c>
      <c r="AG36" s="138">
        <v>41000.0</v>
      </c>
      <c r="AH36" s="138">
        <v>41030.0</v>
      </c>
      <c r="AI36" s="138">
        <v>41061.0</v>
      </c>
      <c r="AJ36" s="138">
        <v>41091.0</v>
      </c>
      <c r="AK36" s="138">
        <v>41122.0</v>
      </c>
      <c r="AL36" s="138">
        <v>41153.0</v>
      </c>
      <c r="AM36" s="138">
        <v>41183.0</v>
      </c>
      <c r="AN36" s="138">
        <v>41214.0</v>
      </c>
      <c r="AO36" s="138">
        <v>41244.0</v>
      </c>
      <c r="AP36" s="138">
        <v>41275.0</v>
      </c>
      <c r="AQ36" s="138">
        <v>41306.0</v>
      </c>
      <c r="AR36" s="138">
        <v>41334.0</v>
      </c>
      <c r="AS36" s="138">
        <v>41365.0</v>
      </c>
      <c r="AT36" s="138">
        <v>41395.0</v>
      </c>
      <c r="AU36" s="138">
        <v>41426.0</v>
      </c>
      <c r="AV36" s="138">
        <v>41456.0</v>
      </c>
      <c r="AW36" s="138">
        <v>41487.0</v>
      </c>
      <c r="AX36" s="138">
        <v>41518.0</v>
      </c>
      <c r="AY36" s="138">
        <v>41548.0</v>
      </c>
      <c r="AZ36" s="138">
        <v>41579.0</v>
      </c>
      <c r="BA36" s="138">
        <v>41609.0</v>
      </c>
      <c r="BB36" s="138">
        <v>41640.0</v>
      </c>
      <c r="BC36" s="138">
        <v>41671.0</v>
      </c>
      <c r="BD36" s="138">
        <v>41699.0</v>
      </c>
      <c r="BE36" s="138">
        <v>41730.0</v>
      </c>
      <c r="BF36" s="139">
        <v>41760.0</v>
      </c>
      <c r="BG36" s="139">
        <v>41791.0</v>
      </c>
      <c r="BH36" s="139">
        <v>41821.0</v>
      </c>
      <c r="BI36" s="139">
        <v>41852.0</v>
      </c>
      <c r="BJ36" s="139">
        <v>41883.0</v>
      </c>
      <c r="BK36" s="139">
        <v>41913.0</v>
      </c>
      <c r="BL36" s="139">
        <v>41944.0</v>
      </c>
      <c r="BM36" s="139">
        <v>41974.0</v>
      </c>
      <c r="BN36" s="139">
        <v>42005.0</v>
      </c>
      <c r="BO36" s="139">
        <v>42036.0</v>
      </c>
      <c r="BP36" s="139">
        <v>42064.0</v>
      </c>
      <c r="BQ36" s="139">
        <v>42095.0</v>
      </c>
      <c r="BR36" s="139">
        <v>42125.0</v>
      </c>
      <c r="BS36" s="139">
        <v>42156.0</v>
      </c>
      <c r="BT36" s="139">
        <v>42186.0</v>
      </c>
      <c r="BU36" s="139">
        <v>42217.0</v>
      </c>
      <c r="BV36" s="139">
        <v>42248.0</v>
      </c>
      <c r="BW36" s="139">
        <v>42278.0</v>
      </c>
      <c r="BX36" s="139">
        <v>42309.0</v>
      </c>
      <c r="BY36" s="139">
        <v>42339.0</v>
      </c>
      <c r="BZ36" s="139">
        <v>42370.0</v>
      </c>
      <c r="CA36" s="139">
        <v>42401.0</v>
      </c>
      <c r="CB36" s="139">
        <v>42430.0</v>
      </c>
      <c r="CC36" s="139">
        <v>42461.0</v>
      </c>
      <c r="CD36" s="139">
        <v>42491.0</v>
      </c>
      <c r="CE36" s="139">
        <v>42522.0</v>
      </c>
      <c r="CF36" s="139">
        <v>42552.0</v>
      </c>
      <c r="CG36" s="139">
        <v>42583.0</v>
      </c>
      <c r="CH36" s="139">
        <v>42614.0</v>
      </c>
      <c r="CI36" s="139">
        <v>42644.0</v>
      </c>
      <c r="CJ36" s="139">
        <v>42675.0</v>
      </c>
      <c r="CK36" s="139">
        <v>42705.0</v>
      </c>
      <c r="CL36" s="139">
        <v>42736.0</v>
      </c>
      <c r="CM36" s="139">
        <v>42767.0</v>
      </c>
      <c r="CN36" s="139">
        <v>42795.0</v>
      </c>
      <c r="CO36" s="139">
        <v>42826.0</v>
      </c>
      <c r="CP36" s="139">
        <v>42856.0</v>
      </c>
      <c r="CQ36" s="139">
        <v>42887.0</v>
      </c>
      <c r="CR36" s="139">
        <v>42917.0</v>
      </c>
      <c r="CS36" s="139">
        <v>42948.0</v>
      </c>
      <c r="CT36" s="139">
        <v>42979.0</v>
      </c>
      <c r="CU36" s="139">
        <v>43009.0</v>
      </c>
      <c r="CV36" s="139">
        <v>43040.0</v>
      </c>
      <c r="CW36" s="139">
        <v>43070.0</v>
      </c>
      <c r="CX36" s="139">
        <v>43101.0</v>
      </c>
      <c r="CY36" s="139">
        <v>43132.0</v>
      </c>
      <c r="CZ36" s="139">
        <v>43160.0</v>
      </c>
      <c r="DA36" s="139">
        <v>43191.0</v>
      </c>
      <c r="DB36" s="139">
        <v>43221.0</v>
      </c>
      <c r="DC36" s="139">
        <v>43252.0</v>
      </c>
      <c r="DD36" s="139">
        <v>43282.0</v>
      </c>
      <c r="DE36" s="139">
        <v>43313.0</v>
      </c>
      <c r="DF36" s="139">
        <v>43344.0</v>
      </c>
      <c r="DG36" s="139">
        <v>43374.0</v>
      </c>
      <c r="DH36" s="139">
        <v>43405.0</v>
      </c>
      <c r="DI36" s="139">
        <v>43435.0</v>
      </c>
      <c r="DJ36" s="139">
        <v>43466.0</v>
      </c>
      <c r="DK36" s="139">
        <v>43497.0</v>
      </c>
      <c r="DL36" s="139">
        <v>43525.0</v>
      </c>
      <c r="DM36" s="139">
        <v>43556.0</v>
      </c>
      <c r="DN36" s="139">
        <v>43586.0</v>
      </c>
      <c r="DO36" s="139">
        <v>43617.0</v>
      </c>
      <c r="DP36" s="139">
        <v>43647.0</v>
      </c>
      <c r="DQ36" s="139">
        <v>43678.0</v>
      </c>
      <c r="DR36" s="139">
        <v>43709.0</v>
      </c>
      <c r="DS36" s="139">
        <v>43739.0</v>
      </c>
      <c r="DT36" s="139">
        <v>43770.0</v>
      </c>
      <c r="DU36" s="139">
        <v>43800.0</v>
      </c>
      <c r="DV36" s="139">
        <v>43831.0</v>
      </c>
      <c r="DW36" s="139">
        <v>43862.0</v>
      </c>
      <c r="DX36" s="139">
        <v>43891.0</v>
      </c>
      <c r="DY36" s="139">
        <v>43922.0</v>
      </c>
      <c r="DZ36" s="139">
        <v>43952.0</v>
      </c>
      <c r="EA36" s="139">
        <v>43983.0</v>
      </c>
      <c r="EB36" s="139">
        <v>44013.0</v>
      </c>
      <c r="EC36" s="139">
        <v>44044.0</v>
      </c>
      <c r="ED36" s="139">
        <v>44075.0</v>
      </c>
      <c r="EE36" s="139">
        <v>44105.0</v>
      </c>
      <c r="EF36" s="139">
        <v>44136.0</v>
      </c>
      <c r="EG36" s="139">
        <v>44166.0</v>
      </c>
      <c r="EH36" s="139">
        <v>44197.0</v>
      </c>
      <c r="EI36" s="139">
        <v>44228.0</v>
      </c>
      <c r="EJ36" s="139">
        <v>44256.0</v>
      </c>
      <c r="EK36" s="139">
        <v>44287.0</v>
      </c>
      <c r="EL36" s="139">
        <v>44317.0</v>
      </c>
      <c r="EM36" s="139">
        <v>44348.0</v>
      </c>
      <c r="EN36" s="139">
        <v>44378.0</v>
      </c>
      <c r="EO36" s="139">
        <v>44409.0</v>
      </c>
      <c r="EP36" s="139">
        <v>44440.0</v>
      </c>
      <c r="EQ36" s="139">
        <v>44470.0</v>
      </c>
      <c r="ER36" s="139">
        <v>44501.0</v>
      </c>
      <c r="ES36" s="139">
        <v>44531.0</v>
      </c>
      <c r="ET36" s="139">
        <v>44562.0</v>
      </c>
      <c r="EU36" s="139">
        <v>44593.0</v>
      </c>
      <c r="EV36" s="139">
        <v>44621.0</v>
      </c>
      <c r="EW36" s="139">
        <v>44652.0</v>
      </c>
      <c r="EX36" s="139">
        <v>44682.0</v>
      </c>
      <c r="EY36" s="139">
        <v>44713.0</v>
      </c>
      <c r="EZ36" s="139">
        <v>44743.0</v>
      </c>
      <c r="FA36" s="139">
        <v>44774.0</v>
      </c>
      <c r="FB36" s="139">
        <v>44805.0</v>
      </c>
      <c r="FC36" s="139">
        <v>44835.0</v>
      </c>
      <c r="FD36" s="139">
        <v>44866.0</v>
      </c>
      <c r="FE36" s="139">
        <v>44896.0</v>
      </c>
      <c r="FF36" s="139">
        <v>44927.0</v>
      </c>
      <c r="FG36" s="139">
        <v>44958.0</v>
      </c>
      <c r="FH36" s="139">
        <v>44986.0</v>
      </c>
      <c r="FI36" s="139">
        <v>45017.0</v>
      </c>
      <c r="FJ36" s="139">
        <v>45047.0</v>
      </c>
      <c r="FK36" s="139">
        <v>45078.0</v>
      </c>
      <c r="FL36" s="139">
        <v>45108.0</v>
      </c>
      <c r="FM36" s="139">
        <v>45139.0</v>
      </c>
      <c r="FN36" s="139">
        <v>45170.0</v>
      </c>
      <c r="FO36" s="139">
        <v>45200.0</v>
      </c>
      <c r="FP36" s="139">
        <v>45231.0</v>
      </c>
      <c r="FQ36" s="139">
        <v>45261.0</v>
      </c>
      <c r="FR36" s="139">
        <v>45292.0</v>
      </c>
      <c r="FS36" s="139">
        <v>45323.0</v>
      </c>
      <c r="FT36" s="139">
        <v>45352.0</v>
      </c>
      <c r="FU36" s="139">
        <v>45383.0</v>
      </c>
      <c r="FV36" s="139">
        <v>45413.0</v>
      </c>
      <c r="FW36" s="139">
        <v>45444.0</v>
      </c>
      <c r="FX36" s="139">
        <v>45474.0</v>
      </c>
      <c r="FY36" s="139">
        <v>45505.0</v>
      </c>
      <c r="FZ36" s="139">
        <v>45536.0</v>
      </c>
      <c r="GA36" s="139">
        <v>45566.0</v>
      </c>
      <c r="GB36" s="139">
        <v>45597.0</v>
      </c>
      <c r="GC36" s="139">
        <v>45627.0</v>
      </c>
      <c r="GD36" s="139">
        <v>45658.0</v>
      </c>
      <c r="GE36" s="139">
        <v>45689.0</v>
      </c>
      <c r="GF36" s="139">
        <v>45717.0</v>
      </c>
      <c r="GG36" s="139">
        <v>45748.0</v>
      </c>
      <c r="GH36" s="139">
        <v>45778.0</v>
      </c>
      <c r="GI36" s="139">
        <v>45809.0</v>
      </c>
      <c r="GJ36" s="139">
        <v>45839.0</v>
      </c>
    </row>
    <row r="37">
      <c r="A37" s="133" t="s">
        <v>1384</v>
      </c>
      <c r="B37" s="134">
        <v>41739.53885416667</v>
      </c>
      <c r="C37" s="135" t="str">
        <f t="shared" si="1"/>
        <v>2014/04/10</v>
      </c>
      <c r="D37" s="136" t="s">
        <v>34257</v>
      </c>
      <c r="E37" s="151">
        <v>0.0</v>
      </c>
      <c r="F37" s="138">
        <v>40179.0</v>
      </c>
      <c r="G37" s="138">
        <v>40210.0</v>
      </c>
      <c r="H37" s="138">
        <v>40238.0</v>
      </c>
      <c r="I37" s="138">
        <v>40269.0</v>
      </c>
      <c r="J37" s="138">
        <v>40299.0</v>
      </c>
      <c r="K37" s="138">
        <v>40330.0</v>
      </c>
      <c r="L37" s="138">
        <v>40360.0</v>
      </c>
      <c r="M37" s="138">
        <v>40391.0</v>
      </c>
      <c r="N37" s="138">
        <v>40422.0</v>
      </c>
      <c r="O37" s="138">
        <v>40452.0</v>
      </c>
      <c r="P37" s="138">
        <v>40483.0</v>
      </c>
      <c r="Q37" s="138">
        <v>40513.0</v>
      </c>
      <c r="R37" s="138">
        <v>40544.0</v>
      </c>
      <c r="S37" s="138">
        <v>40575.0</v>
      </c>
      <c r="T37" s="138">
        <v>40603.0</v>
      </c>
      <c r="U37" s="138">
        <v>40634.0</v>
      </c>
      <c r="V37" s="138">
        <v>40664.0</v>
      </c>
      <c r="W37" s="138">
        <v>40695.0</v>
      </c>
      <c r="X37" s="138">
        <v>40725.0</v>
      </c>
      <c r="Y37" s="138">
        <v>40756.0</v>
      </c>
      <c r="Z37" s="138">
        <v>40787.0</v>
      </c>
      <c r="AA37" s="138">
        <v>40817.0</v>
      </c>
      <c r="AB37" s="138">
        <v>40848.0</v>
      </c>
      <c r="AC37" s="138">
        <v>40878.0</v>
      </c>
      <c r="AD37" s="138">
        <v>40909.0</v>
      </c>
      <c r="AE37" s="138">
        <v>40940.0</v>
      </c>
      <c r="AF37" s="138">
        <v>40969.0</v>
      </c>
      <c r="AG37" s="138">
        <v>41000.0</v>
      </c>
      <c r="AH37" s="138">
        <v>41030.0</v>
      </c>
      <c r="AI37" s="138">
        <v>41061.0</v>
      </c>
      <c r="AJ37" s="138">
        <v>41091.0</v>
      </c>
      <c r="AK37" s="138">
        <v>41122.0</v>
      </c>
      <c r="AL37" s="138">
        <v>41153.0</v>
      </c>
      <c r="AM37" s="138">
        <v>41183.0</v>
      </c>
      <c r="AN37" s="138">
        <v>41214.0</v>
      </c>
      <c r="AO37" s="138">
        <v>41244.0</v>
      </c>
      <c r="AP37" s="138">
        <v>41275.0</v>
      </c>
      <c r="AQ37" s="138">
        <v>41306.0</v>
      </c>
      <c r="AR37" s="138">
        <v>41334.0</v>
      </c>
      <c r="AS37" s="138">
        <v>41365.0</v>
      </c>
      <c r="AT37" s="138">
        <v>41395.0</v>
      </c>
      <c r="AU37" s="138">
        <v>41426.0</v>
      </c>
      <c r="AV37" s="138">
        <v>41456.0</v>
      </c>
      <c r="AW37" s="138">
        <v>41487.0</v>
      </c>
      <c r="AX37" s="138">
        <v>41518.0</v>
      </c>
      <c r="AY37" s="138">
        <v>41548.0</v>
      </c>
      <c r="AZ37" s="138">
        <v>41579.0</v>
      </c>
      <c r="BA37" s="138">
        <v>41609.0</v>
      </c>
      <c r="BB37" s="138">
        <v>41640.0</v>
      </c>
      <c r="BC37" s="138">
        <v>41671.0</v>
      </c>
      <c r="BD37" s="138">
        <v>41699.0</v>
      </c>
      <c r="BE37" s="138">
        <v>41730.0</v>
      </c>
      <c r="BF37" s="139">
        <v>41760.0</v>
      </c>
      <c r="BG37" s="139">
        <v>41791.0</v>
      </c>
      <c r="BH37" s="139">
        <v>41821.0</v>
      </c>
      <c r="BI37" s="139">
        <v>41852.0</v>
      </c>
      <c r="BJ37" s="139">
        <v>41883.0</v>
      </c>
      <c r="BK37" s="139">
        <v>41913.0</v>
      </c>
      <c r="BL37" s="139">
        <v>41944.0</v>
      </c>
      <c r="BM37" s="139">
        <v>41974.0</v>
      </c>
      <c r="BN37" s="139">
        <v>42005.0</v>
      </c>
      <c r="BO37" s="139">
        <v>42036.0</v>
      </c>
      <c r="BP37" s="139">
        <v>42064.0</v>
      </c>
      <c r="BQ37" s="139">
        <v>42095.0</v>
      </c>
      <c r="BR37" s="139">
        <v>42125.0</v>
      </c>
      <c r="BS37" s="139">
        <v>42156.0</v>
      </c>
      <c r="BT37" s="139">
        <v>42186.0</v>
      </c>
      <c r="BU37" s="139">
        <v>42217.0</v>
      </c>
      <c r="BV37" s="139">
        <v>42248.0</v>
      </c>
      <c r="BW37" s="139">
        <v>42278.0</v>
      </c>
      <c r="BX37" s="139">
        <v>42309.0</v>
      </c>
      <c r="BY37" s="139">
        <v>42339.0</v>
      </c>
      <c r="BZ37" s="139">
        <v>42370.0</v>
      </c>
      <c r="CA37" s="139">
        <v>42401.0</v>
      </c>
      <c r="CB37" s="139">
        <v>42430.0</v>
      </c>
      <c r="CC37" s="139">
        <v>42461.0</v>
      </c>
      <c r="CD37" s="139">
        <v>42491.0</v>
      </c>
      <c r="CE37" s="139">
        <v>42522.0</v>
      </c>
      <c r="CF37" s="139">
        <v>42552.0</v>
      </c>
      <c r="CG37" s="139">
        <v>42583.0</v>
      </c>
      <c r="CH37" s="139">
        <v>42614.0</v>
      </c>
      <c r="CI37" s="139">
        <v>42644.0</v>
      </c>
      <c r="CJ37" s="139">
        <v>42675.0</v>
      </c>
      <c r="CK37" s="139">
        <v>42705.0</v>
      </c>
      <c r="CL37" s="139">
        <v>42736.0</v>
      </c>
      <c r="CM37" s="139">
        <v>42767.0</v>
      </c>
      <c r="CN37" s="139">
        <v>42795.0</v>
      </c>
      <c r="CO37" s="139">
        <v>42826.0</v>
      </c>
      <c r="CP37" s="139">
        <v>42856.0</v>
      </c>
      <c r="CQ37" s="139">
        <v>42887.0</v>
      </c>
      <c r="CR37" s="139">
        <v>42917.0</v>
      </c>
      <c r="CS37" s="139">
        <v>42948.0</v>
      </c>
      <c r="CT37" s="139">
        <v>42979.0</v>
      </c>
      <c r="CU37" s="139">
        <v>43009.0</v>
      </c>
      <c r="CV37" s="139">
        <v>43040.0</v>
      </c>
      <c r="CW37" s="139">
        <v>43070.0</v>
      </c>
      <c r="CX37" s="139">
        <v>43101.0</v>
      </c>
      <c r="CY37" s="139">
        <v>43132.0</v>
      </c>
      <c r="CZ37" s="139">
        <v>43160.0</v>
      </c>
      <c r="DA37" s="139">
        <v>43191.0</v>
      </c>
      <c r="DB37" s="139">
        <v>43221.0</v>
      </c>
      <c r="DC37" s="139">
        <v>43252.0</v>
      </c>
      <c r="DD37" s="139">
        <v>43282.0</v>
      </c>
      <c r="DE37" s="139">
        <v>43313.0</v>
      </c>
      <c r="DF37" s="139">
        <v>43344.0</v>
      </c>
      <c r="DG37" s="139">
        <v>43374.0</v>
      </c>
      <c r="DH37" s="139">
        <v>43405.0</v>
      </c>
      <c r="DI37" s="139">
        <v>43435.0</v>
      </c>
      <c r="DJ37" s="139">
        <v>43466.0</v>
      </c>
      <c r="DK37" s="139">
        <v>43497.0</v>
      </c>
      <c r="DL37" s="139">
        <v>43525.0</v>
      </c>
      <c r="DM37" s="139">
        <v>43556.0</v>
      </c>
      <c r="DN37" s="139">
        <v>43586.0</v>
      </c>
      <c r="DO37" s="139">
        <v>43617.0</v>
      </c>
      <c r="DP37" s="139">
        <v>43647.0</v>
      </c>
      <c r="DQ37" s="139">
        <v>43678.0</v>
      </c>
      <c r="DR37" s="139">
        <v>43709.0</v>
      </c>
      <c r="DS37" s="139">
        <v>43739.0</v>
      </c>
      <c r="DT37" s="139">
        <v>43770.0</v>
      </c>
      <c r="DU37" s="139">
        <v>43800.0</v>
      </c>
      <c r="DV37" s="139">
        <v>43831.0</v>
      </c>
      <c r="DW37" s="139">
        <v>43862.0</v>
      </c>
      <c r="DX37" s="139">
        <v>43891.0</v>
      </c>
      <c r="DY37" s="139">
        <v>43922.0</v>
      </c>
      <c r="DZ37" s="139">
        <v>43952.0</v>
      </c>
      <c r="EA37" s="139">
        <v>43983.0</v>
      </c>
      <c r="EB37" s="139">
        <v>44013.0</v>
      </c>
      <c r="EC37" s="139">
        <v>44044.0</v>
      </c>
      <c r="ED37" s="139">
        <v>44075.0</v>
      </c>
      <c r="EE37" s="139">
        <v>44105.0</v>
      </c>
      <c r="EF37" s="139">
        <v>44136.0</v>
      </c>
      <c r="EG37" s="139">
        <v>44166.0</v>
      </c>
      <c r="EH37" s="139">
        <v>44197.0</v>
      </c>
      <c r="EI37" s="139">
        <v>44228.0</v>
      </c>
      <c r="EJ37" s="139">
        <v>44256.0</v>
      </c>
      <c r="EK37" s="139">
        <v>44287.0</v>
      </c>
      <c r="EL37" s="139">
        <v>44317.0</v>
      </c>
      <c r="EM37" s="139">
        <v>44348.0</v>
      </c>
      <c r="EN37" s="139">
        <v>44378.0</v>
      </c>
      <c r="EO37" s="139">
        <v>44409.0</v>
      </c>
      <c r="EP37" s="139">
        <v>44440.0</v>
      </c>
      <c r="EQ37" s="139">
        <v>44470.0</v>
      </c>
      <c r="ER37" s="139">
        <v>44501.0</v>
      </c>
      <c r="ES37" s="139">
        <v>44531.0</v>
      </c>
      <c r="ET37" s="139">
        <v>44562.0</v>
      </c>
      <c r="EU37" s="139">
        <v>44593.0</v>
      </c>
      <c r="EV37" s="139">
        <v>44621.0</v>
      </c>
      <c r="EW37" s="139">
        <v>44652.0</v>
      </c>
      <c r="EX37" s="139">
        <v>44682.0</v>
      </c>
      <c r="EY37" s="139">
        <v>44713.0</v>
      </c>
      <c r="EZ37" s="139">
        <v>44743.0</v>
      </c>
      <c r="FA37" s="139">
        <v>44774.0</v>
      </c>
      <c r="FB37" s="139">
        <v>44805.0</v>
      </c>
      <c r="FC37" s="139">
        <v>44835.0</v>
      </c>
      <c r="FD37" s="139">
        <v>44866.0</v>
      </c>
      <c r="FE37" s="139">
        <v>44896.0</v>
      </c>
      <c r="FF37" s="139">
        <v>44927.0</v>
      </c>
      <c r="FG37" s="139">
        <v>44958.0</v>
      </c>
      <c r="FH37" s="139">
        <v>44986.0</v>
      </c>
      <c r="FI37" s="139">
        <v>45017.0</v>
      </c>
      <c r="FJ37" s="139">
        <v>45047.0</v>
      </c>
      <c r="FK37" s="139">
        <v>45078.0</v>
      </c>
      <c r="FL37" s="139">
        <v>45108.0</v>
      </c>
      <c r="FM37" s="139">
        <v>45139.0</v>
      </c>
      <c r="FN37" s="139">
        <v>45170.0</v>
      </c>
      <c r="FO37" s="139">
        <v>45200.0</v>
      </c>
      <c r="FP37" s="139">
        <v>45231.0</v>
      </c>
      <c r="FQ37" s="139">
        <v>45261.0</v>
      </c>
      <c r="FR37" s="139">
        <v>45292.0</v>
      </c>
      <c r="FS37" s="139">
        <v>45323.0</v>
      </c>
      <c r="FT37" s="139">
        <v>45352.0</v>
      </c>
      <c r="FU37" s="139">
        <v>45383.0</v>
      </c>
      <c r="FV37" s="139">
        <v>45413.0</v>
      </c>
      <c r="FW37" s="139">
        <v>45444.0</v>
      </c>
      <c r="FX37" s="139">
        <v>45474.0</v>
      </c>
      <c r="FY37" s="139">
        <v>45505.0</v>
      </c>
      <c r="FZ37" s="139">
        <v>45536.0</v>
      </c>
      <c r="GA37" s="139">
        <v>45566.0</v>
      </c>
      <c r="GB37" s="139">
        <v>45597.0</v>
      </c>
      <c r="GC37" s="139">
        <v>45627.0</v>
      </c>
      <c r="GD37" s="139">
        <v>45658.0</v>
      </c>
      <c r="GE37" s="139">
        <v>45689.0</v>
      </c>
      <c r="GF37" s="139">
        <v>45717.0</v>
      </c>
      <c r="GG37" s="139">
        <v>45748.0</v>
      </c>
      <c r="GH37" s="139">
        <v>45778.0</v>
      </c>
      <c r="GI37" s="139">
        <v>45809.0</v>
      </c>
      <c r="GJ37" s="139">
        <v>45839.0</v>
      </c>
    </row>
    <row r="38">
      <c r="A38" s="133" t="s">
        <v>1448</v>
      </c>
      <c r="B38" s="134">
        <v>41761.43546296296</v>
      </c>
      <c r="C38" s="135" t="str">
        <f t="shared" si="1"/>
        <v>2014/05/02</v>
      </c>
      <c r="D38" s="136" t="s">
        <v>33977</v>
      </c>
      <c r="E38" s="151">
        <v>0.0</v>
      </c>
      <c r="F38" s="138">
        <v>40179.0</v>
      </c>
      <c r="G38" s="138">
        <v>40210.0</v>
      </c>
      <c r="H38" s="138">
        <v>40238.0</v>
      </c>
      <c r="I38" s="138">
        <v>40269.0</v>
      </c>
      <c r="J38" s="138">
        <v>40299.0</v>
      </c>
      <c r="K38" s="138">
        <v>40330.0</v>
      </c>
      <c r="L38" s="138">
        <v>40360.0</v>
      </c>
      <c r="M38" s="138">
        <v>40391.0</v>
      </c>
      <c r="N38" s="138">
        <v>40422.0</v>
      </c>
      <c r="O38" s="138">
        <v>40452.0</v>
      </c>
      <c r="P38" s="138">
        <v>40483.0</v>
      </c>
      <c r="Q38" s="138">
        <v>40513.0</v>
      </c>
      <c r="R38" s="138">
        <v>40544.0</v>
      </c>
      <c r="S38" s="138">
        <v>40575.0</v>
      </c>
      <c r="T38" s="138">
        <v>40603.0</v>
      </c>
      <c r="U38" s="138">
        <v>40634.0</v>
      </c>
      <c r="V38" s="138">
        <v>40664.0</v>
      </c>
      <c r="W38" s="138">
        <v>40695.0</v>
      </c>
      <c r="X38" s="138">
        <v>40725.0</v>
      </c>
      <c r="Y38" s="138">
        <v>40756.0</v>
      </c>
      <c r="Z38" s="138">
        <v>40787.0</v>
      </c>
      <c r="AA38" s="138">
        <v>40817.0</v>
      </c>
      <c r="AB38" s="138">
        <v>40848.0</v>
      </c>
      <c r="AC38" s="138">
        <v>40878.0</v>
      </c>
      <c r="AD38" s="138">
        <v>40909.0</v>
      </c>
      <c r="AE38" s="138">
        <v>40940.0</v>
      </c>
      <c r="AF38" s="138">
        <v>40969.0</v>
      </c>
      <c r="AG38" s="138">
        <v>41000.0</v>
      </c>
      <c r="AH38" s="138">
        <v>41030.0</v>
      </c>
      <c r="AI38" s="138">
        <v>41061.0</v>
      </c>
      <c r="AJ38" s="138">
        <v>41091.0</v>
      </c>
      <c r="AK38" s="138">
        <v>41122.0</v>
      </c>
      <c r="AL38" s="138">
        <v>41153.0</v>
      </c>
      <c r="AM38" s="138">
        <v>41183.0</v>
      </c>
      <c r="AN38" s="138">
        <v>41214.0</v>
      </c>
      <c r="AO38" s="138">
        <v>41244.0</v>
      </c>
      <c r="AP38" s="138">
        <v>41275.0</v>
      </c>
      <c r="AQ38" s="138">
        <v>41306.0</v>
      </c>
      <c r="AR38" s="138">
        <v>41334.0</v>
      </c>
      <c r="AS38" s="138">
        <v>41365.0</v>
      </c>
      <c r="AT38" s="138">
        <v>41395.0</v>
      </c>
      <c r="AU38" s="138">
        <v>41426.0</v>
      </c>
      <c r="AV38" s="138">
        <v>41456.0</v>
      </c>
      <c r="AW38" s="138">
        <v>41487.0</v>
      </c>
      <c r="AX38" s="138">
        <v>41518.0</v>
      </c>
      <c r="AY38" s="138">
        <v>41548.0</v>
      </c>
      <c r="AZ38" s="138">
        <v>41579.0</v>
      </c>
      <c r="BA38" s="138">
        <v>41609.0</v>
      </c>
      <c r="BB38" s="138">
        <v>41640.0</v>
      </c>
      <c r="BC38" s="138">
        <v>41671.0</v>
      </c>
      <c r="BD38" s="138">
        <v>41699.0</v>
      </c>
      <c r="BE38" s="138">
        <v>41730.0</v>
      </c>
      <c r="BF38" s="138">
        <v>41760.0</v>
      </c>
      <c r="BG38" s="139">
        <v>41791.0</v>
      </c>
      <c r="BH38" s="139">
        <v>41821.0</v>
      </c>
      <c r="BI38" s="139">
        <v>41852.0</v>
      </c>
      <c r="BJ38" s="139">
        <v>41883.0</v>
      </c>
      <c r="BK38" s="139">
        <v>41913.0</v>
      </c>
      <c r="BL38" s="139">
        <v>41944.0</v>
      </c>
      <c r="BM38" s="139">
        <v>41974.0</v>
      </c>
      <c r="BN38" s="139">
        <v>42005.0</v>
      </c>
      <c r="BO38" s="139">
        <v>42036.0</v>
      </c>
      <c r="BP38" s="139">
        <v>42064.0</v>
      </c>
      <c r="BQ38" s="139">
        <v>42095.0</v>
      </c>
      <c r="BR38" s="139">
        <v>42125.0</v>
      </c>
      <c r="BS38" s="139">
        <v>42156.0</v>
      </c>
      <c r="BT38" s="139">
        <v>42186.0</v>
      </c>
      <c r="BU38" s="139">
        <v>42217.0</v>
      </c>
      <c r="BV38" s="139">
        <v>42248.0</v>
      </c>
      <c r="BW38" s="139">
        <v>42278.0</v>
      </c>
      <c r="BX38" s="139">
        <v>42309.0</v>
      </c>
      <c r="BY38" s="139">
        <v>42339.0</v>
      </c>
      <c r="BZ38" s="139">
        <v>42370.0</v>
      </c>
      <c r="CA38" s="139">
        <v>42401.0</v>
      </c>
      <c r="CB38" s="139">
        <v>42430.0</v>
      </c>
      <c r="CC38" s="139">
        <v>42461.0</v>
      </c>
      <c r="CD38" s="139">
        <v>42491.0</v>
      </c>
      <c r="CE38" s="139">
        <v>42522.0</v>
      </c>
      <c r="CF38" s="139">
        <v>42552.0</v>
      </c>
      <c r="CG38" s="139">
        <v>42583.0</v>
      </c>
      <c r="CH38" s="139">
        <v>42614.0</v>
      </c>
      <c r="CI38" s="139">
        <v>42644.0</v>
      </c>
      <c r="CJ38" s="139">
        <v>42675.0</v>
      </c>
      <c r="CK38" s="139">
        <v>42705.0</v>
      </c>
      <c r="CL38" s="139">
        <v>42736.0</v>
      </c>
      <c r="CM38" s="139">
        <v>42767.0</v>
      </c>
      <c r="CN38" s="139">
        <v>42795.0</v>
      </c>
      <c r="CO38" s="139">
        <v>42826.0</v>
      </c>
      <c r="CP38" s="139">
        <v>42856.0</v>
      </c>
      <c r="CQ38" s="139">
        <v>42887.0</v>
      </c>
      <c r="CR38" s="139">
        <v>42917.0</v>
      </c>
      <c r="CS38" s="139">
        <v>42948.0</v>
      </c>
      <c r="CT38" s="139">
        <v>42979.0</v>
      </c>
      <c r="CU38" s="139">
        <v>43009.0</v>
      </c>
      <c r="CV38" s="139">
        <v>43040.0</v>
      </c>
      <c r="CW38" s="139">
        <v>43070.0</v>
      </c>
      <c r="CX38" s="139">
        <v>43101.0</v>
      </c>
      <c r="CY38" s="139">
        <v>43132.0</v>
      </c>
      <c r="CZ38" s="139">
        <v>43160.0</v>
      </c>
      <c r="DA38" s="139">
        <v>43191.0</v>
      </c>
      <c r="DB38" s="139">
        <v>43221.0</v>
      </c>
      <c r="DC38" s="139">
        <v>43252.0</v>
      </c>
      <c r="DD38" s="139">
        <v>43282.0</v>
      </c>
      <c r="DE38" s="139">
        <v>43313.0</v>
      </c>
      <c r="DF38" s="139">
        <v>43344.0</v>
      </c>
      <c r="DG38" s="139">
        <v>43374.0</v>
      </c>
      <c r="DH38" s="139">
        <v>43405.0</v>
      </c>
      <c r="DI38" s="139">
        <v>43435.0</v>
      </c>
      <c r="DJ38" s="139">
        <v>43466.0</v>
      </c>
      <c r="DK38" s="139">
        <v>43497.0</v>
      </c>
      <c r="DL38" s="139">
        <v>43525.0</v>
      </c>
      <c r="DM38" s="139">
        <v>43556.0</v>
      </c>
      <c r="DN38" s="139">
        <v>43586.0</v>
      </c>
      <c r="DO38" s="139">
        <v>43617.0</v>
      </c>
      <c r="DP38" s="139">
        <v>43647.0</v>
      </c>
      <c r="DQ38" s="139">
        <v>43678.0</v>
      </c>
      <c r="DR38" s="139">
        <v>43709.0</v>
      </c>
      <c r="DS38" s="139">
        <v>43739.0</v>
      </c>
      <c r="DT38" s="139">
        <v>43770.0</v>
      </c>
      <c r="DU38" s="139">
        <v>43800.0</v>
      </c>
      <c r="DV38" s="139">
        <v>43831.0</v>
      </c>
      <c r="DW38" s="139">
        <v>43862.0</v>
      </c>
      <c r="DX38" s="139">
        <v>43891.0</v>
      </c>
      <c r="DY38" s="139">
        <v>43922.0</v>
      </c>
      <c r="DZ38" s="139">
        <v>43952.0</v>
      </c>
      <c r="EA38" s="139">
        <v>43983.0</v>
      </c>
      <c r="EB38" s="139">
        <v>44013.0</v>
      </c>
      <c r="EC38" s="139">
        <v>44044.0</v>
      </c>
      <c r="ED38" s="139">
        <v>44075.0</v>
      </c>
      <c r="EE38" s="139">
        <v>44105.0</v>
      </c>
      <c r="EF38" s="139">
        <v>44136.0</v>
      </c>
      <c r="EG38" s="139">
        <v>44166.0</v>
      </c>
      <c r="EH38" s="139">
        <v>44197.0</v>
      </c>
      <c r="EI38" s="139">
        <v>44228.0</v>
      </c>
      <c r="EJ38" s="139">
        <v>44256.0</v>
      </c>
      <c r="EK38" s="139">
        <v>44287.0</v>
      </c>
      <c r="EL38" s="139">
        <v>44317.0</v>
      </c>
      <c r="EM38" s="139">
        <v>44348.0</v>
      </c>
      <c r="EN38" s="139">
        <v>44378.0</v>
      </c>
      <c r="EO38" s="139">
        <v>44409.0</v>
      </c>
      <c r="EP38" s="139">
        <v>44440.0</v>
      </c>
      <c r="EQ38" s="139">
        <v>44470.0</v>
      </c>
      <c r="ER38" s="139">
        <v>44501.0</v>
      </c>
      <c r="ES38" s="139">
        <v>44531.0</v>
      </c>
      <c r="ET38" s="139">
        <v>44562.0</v>
      </c>
      <c r="EU38" s="139">
        <v>44593.0</v>
      </c>
      <c r="EV38" s="139">
        <v>44621.0</v>
      </c>
      <c r="EW38" s="139">
        <v>44652.0</v>
      </c>
      <c r="EX38" s="139">
        <v>44682.0</v>
      </c>
      <c r="EY38" s="139">
        <v>44713.0</v>
      </c>
      <c r="EZ38" s="139">
        <v>44743.0</v>
      </c>
      <c r="FA38" s="139">
        <v>44774.0</v>
      </c>
      <c r="FB38" s="139">
        <v>44805.0</v>
      </c>
      <c r="FC38" s="139">
        <v>44835.0</v>
      </c>
      <c r="FD38" s="139">
        <v>44866.0</v>
      </c>
      <c r="FE38" s="139">
        <v>44896.0</v>
      </c>
      <c r="FF38" s="139">
        <v>44927.0</v>
      </c>
      <c r="FG38" s="139">
        <v>44958.0</v>
      </c>
      <c r="FH38" s="139">
        <v>44986.0</v>
      </c>
      <c r="FI38" s="139">
        <v>45017.0</v>
      </c>
      <c r="FJ38" s="139">
        <v>45047.0</v>
      </c>
      <c r="FK38" s="139">
        <v>45078.0</v>
      </c>
      <c r="FL38" s="139">
        <v>45108.0</v>
      </c>
      <c r="FM38" s="139">
        <v>45139.0</v>
      </c>
      <c r="FN38" s="139">
        <v>45170.0</v>
      </c>
      <c r="FO38" s="139">
        <v>45200.0</v>
      </c>
      <c r="FP38" s="139">
        <v>45231.0</v>
      </c>
      <c r="FQ38" s="139">
        <v>45261.0</v>
      </c>
      <c r="FR38" s="139">
        <v>45292.0</v>
      </c>
      <c r="FS38" s="139">
        <v>45323.0</v>
      </c>
      <c r="FT38" s="139">
        <v>45352.0</v>
      </c>
      <c r="FU38" s="139">
        <v>45383.0</v>
      </c>
      <c r="FV38" s="139">
        <v>45413.0</v>
      </c>
      <c r="FW38" s="139">
        <v>45444.0</v>
      </c>
      <c r="FX38" s="139">
        <v>45474.0</v>
      </c>
      <c r="FY38" s="139">
        <v>45505.0</v>
      </c>
      <c r="FZ38" s="139">
        <v>45536.0</v>
      </c>
      <c r="GA38" s="139">
        <v>45566.0</v>
      </c>
      <c r="GB38" s="139">
        <v>45597.0</v>
      </c>
      <c r="GC38" s="139">
        <v>45627.0</v>
      </c>
      <c r="GD38" s="139">
        <v>45658.0</v>
      </c>
      <c r="GE38" s="139">
        <v>45689.0</v>
      </c>
      <c r="GF38" s="139">
        <v>45717.0</v>
      </c>
      <c r="GG38" s="139">
        <v>45748.0</v>
      </c>
      <c r="GH38" s="139">
        <v>45778.0</v>
      </c>
      <c r="GI38" s="139">
        <v>45809.0</v>
      </c>
      <c r="GJ38" s="139">
        <v>45839.0</v>
      </c>
    </row>
    <row r="39">
      <c r="A39" s="133" t="s">
        <v>1734</v>
      </c>
      <c r="B39" s="134">
        <v>41801.523460648146</v>
      </c>
      <c r="C39" s="135" t="str">
        <f t="shared" si="1"/>
        <v>2014/06/11</v>
      </c>
      <c r="D39" s="136" t="s">
        <v>33977</v>
      </c>
      <c r="E39" s="151">
        <v>0.0</v>
      </c>
      <c r="F39" s="138">
        <v>40179.0</v>
      </c>
      <c r="G39" s="138">
        <v>40210.0</v>
      </c>
      <c r="H39" s="138">
        <v>40238.0</v>
      </c>
      <c r="I39" s="138">
        <v>40269.0</v>
      </c>
      <c r="J39" s="138">
        <v>40299.0</v>
      </c>
      <c r="K39" s="138">
        <v>40330.0</v>
      </c>
      <c r="L39" s="138">
        <v>40360.0</v>
      </c>
      <c r="M39" s="138">
        <v>40391.0</v>
      </c>
      <c r="N39" s="138">
        <v>40422.0</v>
      </c>
      <c r="O39" s="138">
        <v>40452.0</v>
      </c>
      <c r="P39" s="138">
        <v>40483.0</v>
      </c>
      <c r="Q39" s="138">
        <v>40513.0</v>
      </c>
      <c r="R39" s="138">
        <v>40544.0</v>
      </c>
      <c r="S39" s="138">
        <v>40575.0</v>
      </c>
      <c r="T39" s="138">
        <v>40603.0</v>
      </c>
      <c r="U39" s="138">
        <v>40634.0</v>
      </c>
      <c r="V39" s="138">
        <v>40664.0</v>
      </c>
      <c r="W39" s="138">
        <v>40695.0</v>
      </c>
      <c r="X39" s="138">
        <v>40725.0</v>
      </c>
      <c r="Y39" s="138">
        <v>40756.0</v>
      </c>
      <c r="Z39" s="138">
        <v>40787.0</v>
      </c>
      <c r="AA39" s="138">
        <v>40817.0</v>
      </c>
      <c r="AB39" s="138">
        <v>40848.0</v>
      </c>
      <c r="AC39" s="138">
        <v>40878.0</v>
      </c>
      <c r="AD39" s="138">
        <v>40909.0</v>
      </c>
      <c r="AE39" s="138">
        <v>40940.0</v>
      </c>
      <c r="AF39" s="138">
        <v>40969.0</v>
      </c>
      <c r="AG39" s="138">
        <v>41000.0</v>
      </c>
      <c r="AH39" s="138">
        <v>41030.0</v>
      </c>
      <c r="AI39" s="138">
        <v>41061.0</v>
      </c>
      <c r="AJ39" s="138">
        <v>41091.0</v>
      </c>
      <c r="AK39" s="138">
        <v>41122.0</v>
      </c>
      <c r="AL39" s="138">
        <v>41153.0</v>
      </c>
      <c r="AM39" s="138">
        <v>41183.0</v>
      </c>
      <c r="AN39" s="138">
        <v>41214.0</v>
      </c>
      <c r="AO39" s="138">
        <v>41244.0</v>
      </c>
      <c r="AP39" s="138">
        <v>41275.0</v>
      </c>
      <c r="AQ39" s="138">
        <v>41306.0</v>
      </c>
      <c r="AR39" s="138">
        <v>41334.0</v>
      </c>
      <c r="AS39" s="138">
        <v>41365.0</v>
      </c>
      <c r="AT39" s="138">
        <v>41395.0</v>
      </c>
      <c r="AU39" s="138">
        <v>41426.0</v>
      </c>
      <c r="AV39" s="138">
        <v>41456.0</v>
      </c>
      <c r="AW39" s="138">
        <v>41487.0</v>
      </c>
      <c r="AX39" s="138">
        <v>41518.0</v>
      </c>
      <c r="AY39" s="138">
        <v>41548.0</v>
      </c>
      <c r="AZ39" s="138">
        <v>41579.0</v>
      </c>
      <c r="BA39" s="138">
        <v>41609.0</v>
      </c>
      <c r="BB39" s="138">
        <v>41640.0</v>
      </c>
      <c r="BC39" s="138">
        <v>41671.0</v>
      </c>
      <c r="BD39" s="138">
        <v>41699.0</v>
      </c>
      <c r="BE39" s="138">
        <v>41730.0</v>
      </c>
      <c r="BF39" s="138">
        <v>41760.0</v>
      </c>
      <c r="BG39" s="138">
        <v>41791.0</v>
      </c>
      <c r="BH39" s="139">
        <v>41821.0</v>
      </c>
      <c r="BI39" s="139">
        <v>41852.0</v>
      </c>
      <c r="BJ39" s="139">
        <v>41883.0</v>
      </c>
      <c r="BK39" s="139">
        <v>41913.0</v>
      </c>
      <c r="BL39" s="139">
        <v>41944.0</v>
      </c>
      <c r="BM39" s="139">
        <v>41974.0</v>
      </c>
      <c r="BN39" s="139">
        <v>42005.0</v>
      </c>
      <c r="BO39" s="139">
        <v>42036.0</v>
      </c>
      <c r="BP39" s="139">
        <v>42064.0</v>
      </c>
      <c r="BQ39" s="139">
        <v>42095.0</v>
      </c>
      <c r="BR39" s="139">
        <v>42125.0</v>
      </c>
      <c r="BS39" s="139">
        <v>42156.0</v>
      </c>
      <c r="BT39" s="139">
        <v>42186.0</v>
      </c>
      <c r="BU39" s="139">
        <v>42217.0</v>
      </c>
      <c r="BV39" s="139">
        <v>42248.0</v>
      </c>
      <c r="BW39" s="139">
        <v>42278.0</v>
      </c>
      <c r="BX39" s="139">
        <v>42309.0</v>
      </c>
      <c r="BY39" s="139">
        <v>42339.0</v>
      </c>
      <c r="BZ39" s="139">
        <v>42370.0</v>
      </c>
      <c r="CA39" s="139">
        <v>42401.0</v>
      </c>
      <c r="CB39" s="139">
        <v>42430.0</v>
      </c>
      <c r="CC39" s="139">
        <v>42461.0</v>
      </c>
      <c r="CD39" s="139">
        <v>42491.0</v>
      </c>
      <c r="CE39" s="139">
        <v>42522.0</v>
      </c>
      <c r="CF39" s="139">
        <v>42552.0</v>
      </c>
      <c r="CG39" s="139">
        <v>42583.0</v>
      </c>
      <c r="CH39" s="139">
        <v>42614.0</v>
      </c>
      <c r="CI39" s="139">
        <v>42644.0</v>
      </c>
      <c r="CJ39" s="139">
        <v>42675.0</v>
      </c>
      <c r="CK39" s="139">
        <v>42705.0</v>
      </c>
      <c r="CL39" s="139">
        <v>42736.0</v>
      </c>
      <c r="CM39" s="139">
        <v>42767.0</v>
      </c>
      <c r="CN39" s="139">
        <v>42795.0</v>
      </c>
      <c r="CO39" s="139">
        <v>42826.0</v>
      </c>
      <c r="CP39" s="139">
        <v>42856.0</v>
      </c>
      <c r="CQ39" s="139">
        <v>42887.0</v>
      </c>
      <c r="CR39" s="139">
        <v>42917.0</v>
      </c>
      <c r="CS39" s="139">
        <v>42948.0</v>
      </c>
      <c r="CT39" s="139">
        <v>42979.0</v>
      </c>
      <c r="CU39" s="139">
        <v>43009.0</v>
      </c>
      <c r="CV39" s="139">
        <v>43040.0</v>
      </c>
      <c r="CW39" s="139">
        <v>43070.0</v>
      </c>
      <c r="CX39" s="139">
        <v>43101.0</v>
      </c>
      <c r="CY39" s="139">
        <v>43132.0</v>
      </c>
      <c r="CZ39" s="139">
        <v>43160.0</v>
      </c>
      <c r="DA39" s="139">
        <v>43191.0</v>
      </c>
      <c r="DB39" s="139">
        <v>43221.0</v>
      </c>
      <c r="DC39" s="139">
        <v>43252.0</v>
      </c>
      <c r="DD39" s="139">
        <v>43282.0</v>
      </c>
      <c r="DE39" s="139">
        <v>43313.0</v>
      </c>
      <c r="DF39" s="139">
        <v>43344.0</v>
      </c>
      <c r="DG39" s="139">
        <v>43374.0</v>
      </c>
      <c r="DH39" s="139">
        <v>43405.0</v>
      </c>
      <c r="DI39" s="139">
        <v>43435.0</v>
      </c>
      <c r="DJ39" s="139">
        <v>43466.0</v>
      </c>
      <c r="DK39" s="139">
        <v>43497.0</v>
      </c>
      <c r="DL39" s="139">
        <v>43525.0</v>
      </c>
      <c r="DM39" s="139">
        <v>43556.0</v>
      </c>
      <c r="DN39" s="139">
        <v>43586.0</v>
      </c>
      <c r="DO39" s="139">
        <v>43617.0</v>
      </c>
      <c r="DP39" s="139">
        <v>43647.0</v>
      </c>
      <c r="DQ39" s="139">
        <v>43678.0</v>
      </c>
      <c r="DR39" s="139">
        <v>43709.0</v>
      </c>
      <c r="DS39" s="139">
        <v>43739.0</v>
      </c>
      <c r="DT39" s="139">
        <v>43770.0</v>
      </c>
      <c r="DU39" s="139">
        <v>43800.0</v>
      </c>
      <c r="DV39" s="139">
        <v>43831.0</v>
      </c>
      <c r="DW39" s="139">
        <v>43862.0</v>
      </c>
      <c r="DX39" s="139">
        <v>43891.0</v>
      </c>
      <c r="DY39" s="139">
        <v>43922.0</v>
      </c>
      <c r="DZ39" s="139">
        <v>43952.0</v>
      </c>
      <c r="EA39" s="139">
        <v>43983.0</v>
      </c>
      <c r="EB39" s="139">
        <v>44013.0</v>
      </c>
      <c r="EC39" s="139">
        <v>44044.0</v>
      </c>
      <c r="ED39" s="139">
        <v>44075.0</v>
      </c>
      <c r="EE39" s="139">
        <v>44105.0</v>
      </c>
      <c r="EF39" s="139">
        <v>44136.0</v>
      </c>
      <c r="EG39" s="139">
        <v>44166.0</v>
      </c>
      <c r="EH39" s="139">
        <v>44197.0</v>
      </c>
      <c r="EI39" s="139">
        <v>44228.0</v>
      </c>
      <c r="EJ39" s="139">
        <v>44256.0</v>
      </c>
      <c r="EK39" s="139">
        <v>44287.0</v>
      </c>
      <c r="EL39" s="139">
        <v>44317.0</v>
      </c>
      <c r="EM39" s="139">
        <v>44348.0</v>
      </c>
      <c r="EN39" s="139">
        <v>44378.0</v>
      </c>
      <c r="EO39" s="139">
        <v>44409.0</v>
      </c>
      <c r="EP39" s="139">
        <v>44440.0</v>
      </c>
      <c r="EQ39" s="139">
        <v>44470.0</v>
      </c>
      <c r="ER39" s="139">
        <v>44501.0</v>
      </c>
      <c r="ES39" s="139">
        <v>44531.0</v>
      </c>
      <c r="ET39" s="139">
        <v>44562.0</v>
      </c>
      <c r="EU39" s="139">
        <v>44593.0</v>
      </c>
      <c r="EV39" s="139">
        <v>44621.0</v>
      </c>
      <c r="EW39" s="139">
        <v>44652.0</v>
      </c>
      <c r="EX39" s="139">
        <v>44682.0</v>
      </c>
      <c r="EY39" s="139">
        <v>44713.0</v>
      </c>
      <c r="EZ39" s="139">
        <v>44743.0</v>
      </c>
      <c r="FA39" s="139">
        <v>44774.0</v>
      </c>
      <c r="FB39" s="139">
        <v>44805.0</v>
      </c>
      <c r="FC39" s="139">
        <v>44835.0</v>
      </c>
      <c r="FD39" s="139">
        <v>44866.0</v>
      </c>
      <c r="FE39" s="139">
        <v>44896.0</v>
      </c>
      <c r="FF39" s="139">
        <v>44927.0</v>
      </c>
      <c r="FG39" s="139">
        <v>44958.0</v>
      </c>
      <c r="FH39" s="139">
        <v>44986.0</v>
      </c>
      <c r="FI39" s="139">
        <v>45017.0</v>
      </c>
      <c r="FJ39" s="139">
        <v>45047.0</v>
      </c>
      <c r="FK39" s="139">
        <v>45078.0</v>
      </c>
      <c r="FL39" s="139">
        <v>45108.0</v>
      </c>
      <c r="FM39" s="139">
        <v>45139.0</v>
      </c>
      <c r="FN39" s="139">
        <v>45170.0</v>
      </c>
      <c r="FO39" s="139">
        <v>45200.0</v>
      </c>
      <c r="FP39" s="139">
        <v>45231.0</v>
      </c>
      <c r="FQ39" s="139">
        <v>45261.0</v>
      </c>
      <c r="FR39" s="139">
        <v>45292.0</v>
      </c>
      <c r="FS39" s="139">
        <v>45323.0</v>
      </c>
      <c r="FT39" s="139">
        <v>45352.0</v>
      </c>
      <c r="FU39" s="139">
        <v>45383.0</v>
      </c>
      <c r="FV39" s="139">
        <v>45413.0</v>
      </c>
      <c r="FW39" s="139">
        <v>45444.0</v>
      </c>
      <c r="FX39" s="139">
        <v>45474.0</v>
      </c>
      <c r="FY39" s="139">
        <v>45505.0</v>
      </c>
      <c r="FZ39" s="139">
        <v>45536.0</v>
      </c>
      <c r="GA39" s="139">
        <v>45566.0</v>
      </c>
      <c r="GB39" s="139">
        <v>45597.0</v>
      </c>
      <c r="GC39" s="139">
        <v>45627.0</v>
      </c>
      <c r="GD39" s="139">
        <v>45658.0</v>
      </c>
      <c r="GE39" s="139">
        <v>45689.0</v>
      </c>
      <c r="GF39" s="139">
        <v>45717.0</v>
      </c>
      <c r="GG39" s="139">
        <v>45748.0</v>
      </c>
      <c r="GH39" s="139">
        <v>45778.0</v>
      </c>
      <c r="GI39" s="139">
        <v>45809.0</v>
      </c>
      <c r="GJ39" s="139">
        <v>45839.0</v>
      </c>
    </row>
    <row r="40">
      <c r="A40" s="133" t="s">
        <v>1626</v>
      </c>
      <c r="B40" s="134">
        <v>41831.44253472222</v>
      </c>
      <c r="C40" s="135" t="str">
        <f t="shared" si="1"/>
        <v>2014/07/11</v>
      </c>
      <c r="D40" s="136" t="s">
        <v>34258</v>
      </c>
      <c r="E40" s="151">
        <v>0.0</v>
      </c>
      <c r="F40" s="138">
        <v>40179.0</v>
      </c>
      <c r="G40" s="138">
        <v>40210.0</v>
      </c>
      <c r="H40" s="138">
        <v>40238.0</v>
      </c>
      <c r="I40" s="138">
        <v>40269.0</v>
      </c>
      <c r="J40" s="138">
        <v>40299.0</v>
      </c>
      <c r="K40" s="138">
        <v>40330.0</v>
      </c>
      <c r="L40" s="138">
        <v>40360.0</v>
      </c>
      <c r="M40" s="138">
        <v>40391.0</v>
      </c>
      <c r="N40" s="138">
        <v>40422.0</v>
      </c>
      <c r="O40" s="138">
        <v>40452.0</v>
      </c>
      <c r="P40" s="138">
        <v>40483.0</v>
      </c>
      <c r="Q40" s="138">
        <v>40513.0</v>
      </c>
      <c r="R40" s="138">
        <v>40544.0</v>
      </c>
      <c r="S40" s="138">
        <v>40575.0</v>
      </c>
      <c r="T40" s="138">
        <v>40603.0</v>
      </c>
      <c r="U40" s="138">
        <v>40634.0</v>
      </c>
      <c r="V40" s="138">
        <v>40664.0</v>
      </c>
      <c r="W40" s="138">
        <v>40695.0</v>
      </c>
      <c r="X40" s="138">
        <v>40725.0</v>
      </c>
      <c r="Y40" s="138">
        <v>40756.0</v>
      </c>
      <c r="Z40" s="138">
        <v>40787.0</v>
      </c>
      <c r="AA40" s="138">
        <v>40817.0</v>
      </c>
      <c r="AB40" s="138">
        <v>40848.0</v>
      </c>
      <c r="AC40" s="138">
        <v>40878.0</v>
      </c>
      <c r="AD40" s="138">
        <v>40909.0</v>
      </c>
      <c r="AE40" s="138">
        <v>40940.0</v>
      </c>
      <c r="AF40" s="138">
        <v>40969.0</v>
      </c>
      <c r="AG40" s="138">
        <v>41000.0</v>
      </c>
      <c r="AH40" s="138">
        <v>41030.0</v>
      </c>
      <c r="AI40" s="138">
        <v>41061.0</v>
      </c>
      <c r="AJ40" s="138">
        <v>41091.0</v>
      </c>
      <c r="AK40" s="138">
        <v>41122.0</v>
      </c>
      <c r="AL40" s="138">
        <v>41153.0</v>
      </c>
      <c r="AM40" s="138">
        <v>41183.0</v>
      </c>
      <c r="AN40" s="138">
        <v>41214.0</v>
      </c>
      <c r="AO40" s="138">
        <v>41244.0</v>
      </c>
      <c r="AP40" s="138">
        <v>41275.0</v>
      </c>
      <c r="AQ40" s="138">
        <v>41306.0</v>
      </c>
      <c r="AR40" s="138">
        <v>41334.0</v>
      </c>
      <c r="AS40" s="138">
        <v>41365.0</v>
      </c>
      <c r="AT40" s="138">
        <v>41395.0</v>
      </c>
      <c r="AU40" s="138">
        <v>41426.0</v>
      </c>
      <c r="AV40" s="138">
        <v>41456.0</v>
      </c>
      <c r="AW40" s="138">
        <v>41487.0</v>
      </c>
      <c r="AX40" s="138">
        <v>41518.0</v>
      </c>
      <c r="AY40" s="138">
        <v>41548.0</v>
      </c>
      <c r="AZ40" s="138">
        <v>41579.0</v>
      </c>
      <c r="BA40" s="138">
        <v>41609.0</v>
      </c>
      <c r="BB40" s="138">
        <v>41640.0</v>
      </c>
      <c r="BC40" s="138">
        <v>41671.0</v>
      </c>
      <c r="BD40" s="138">
        <v>41699.0</v>
      </c>
      <c r="BE40" s="138">
        <v>41730.0</v>
      </c>
      <c r="BF40" s="138">
        <v>41760.0</v>
      </c>
      <c r="BG40" s="138">
        <v>41791.0</v>
      </c>
      <c r="BH40" s="138">
        <v>41821.0</v>
      </c>
      <c r="BI40" s="139">
        <v>41852.0</v>
      </c>
      <c r="BJ40" s="139">
        <v>41883.0</v>
      </c>
      <c r="BK40" s="139">
        <v>41913.0</v>
      </c>
      <c r="BL40" s="139">
        <v>41944.0</v>
      </c>
      <c r="BM40" s="139">
        <v>41974.0</v>
      </c>
      <c r="BN40" s="139">
        <v>42005.0</v>
      </c>
      <c r="BO40" s="139">
        <v>42036.0</v>
      </c>
      <c r="BP40" s="139">
        <v>42064.0</v>
      </c>
      <c r="BQ40" s="139">
        <v>42095.0</v>
      </c>
      <c r="BR40" s="139">
        <v>42125.0</v>
      </c>
      <c r="BS40" s="139">
        <v>42156.0</v>
      </c>
      <c r="BT40" s="139">
        <v>42186.0</v>
      </c>
      <c r="BU40" s="139">
        <v>42217.0</v>
      </c>
      <c r="BV40" s="139">
        <v>42248.0</v>
      </c>
      <c r="BW40" s="139">
        <v>42278.0</v>
      </c>
      <c r="BX40" s="139">
        <v>42309.0</v>
      </c>
      <c r="BY40" s="139">
        <v>42339.0</v>
      </c>
      <c r="BZ40" s="139">
        <v>42370.0</v>
      </c>
      <c r="CA40" s="139">
        <v>42401.0</v>
      </c>
      <c r="CB40" s="139">
        <v>42430.0</v>
      </c>
      <c r="CC40" s="139">
        <v>42461.0</v>
      </c>
      <c r="CD40" s="139">
        <v>42491.0</v>
      </c>
      <c r="CE40" s="139">
        <v>42522.0</v>
      </c>
      <c r="CF40" s="139">
        <v>42552.0</v>
      </c>
      <c r="CG40" s="139">
        <v>42583.0</v>
      </c>
      <c r="CH40" s="139">
        <v>42614.0</v>
      </c>
      <c r="CI40" s="139">
        <v>42644.0</v>
      </c>
      <c r="CJ40" s="139">
        <v>42675.0</v>
      </c>
      <c r="CK40" s="139">
        <v>42705.0</v>
      </c>
      <c r="CL40" s="139">
        <v>42736.0</v>
      </c>
      <c r="CM40" s="139">
        <v>42767.0</v>
      </c>
      <c r="CN40" s="139">
        <v>42795.0</v>
      </c>
      <c r="CO40" s="139">
        <v>42826.0</v>
      </c>
      <c r="CP40" s="139">
        <v>42856.0</v>
      </c>
      <c r="CQ40" s="139">
        <v>42887.0</v>
      </c>
      <c r="CR40" s="139">
        <v>42917.0</v>
      </c>
      <c r="CS40" s="139">
        <v>42948.0</v>
      </c>
      <c r="CT40" s="139">
        <v>42979.0</v>
      </c>
      <c r="CU40" s="139">
        <v>43009.0</v>
      </c>
      <c r="CV40" s="139">
        <v>43040.0</v>
      </c>
      <c r="CW40" s="139">
        <v>43070.0</v>
      </c>
      <c r="CX40" s="139">
        <v>43101.0</v>
      </c>
      <c r="CY40" s="139">
        <v>43132.0</v>
      </c>
      <c r="CZ40" s="139">
        <v>43160.0</v>
      </c>
      <c r="DA40" s="139">
        <v>43191.0</v>
      </c>
      <c r="DB40" s="139">
        <v>43221.0</v>
      </c>
      <c r="DC40" s="139">
        <v>43252.0</v>
      </c>
      <c r="DD40" s="139">
        <v>43282.0</v>
      </c>
      <c r="DE40" s="139">
        <v>43313.0</v>
      </c>
      <c r="DF40" s="139">
        <v>43344.0</v>
      </c>
      <c r="DG40" s="139">
        <v>43374.0</v>
      </c>
      <c r="DH40" s="139">
        <v>43405.0</v>
      </c>
      <c r="DI40" s="139">
        <v>43435.0</v>
      </c>
      <c r="DJ40" s="139">
        <v>43466.0</v>
      </c>
      <c r="DK40" s="139">
        <v>43497.0</v>
      </c>
      <c r="DL40" s="139">
        <v>43525.0</v>
      </c>
      <c r="DM40" s="139">
        <v>43556.0</v>
      </c>
      <c r="DN40" s="139">
        <v>43586.0</v>
      </c>
      <c r="DO40" s="139">
        <v>43617.0</v>
      </c>
      <c r="DP40" s="139">
        <v>43647.0</v>
      </c>
      <c r="DQ40" s="139">
        <v>43678.0</v>
      </c>
      <c r="DR40" s="139">
        <v>43709.0</v>
      </c>
      <c r="DS40" s="139">
        <v>43739.0</v>
      </c>
      <c r="DT40" s="139">
        <v>43770.0</v>
      </c>
      <c r="DU40" s="139">
        <v>43800.0</v>
      </c>
      <c r="DV40" s="139">
        <v>43831.0</v>
      </c>
      <c r="DW40" s="139">
        <v>43862.0</v>
      </c>
      <c r="DX40" s="139">
        <v>43891.0</v>
      </c>
      <c r="DY40" s="139">
        <v>43922.0</v>
      </c>
      <c r="DZ40" s="139">
        <v>43952.0</v>
      </c>
      <c r="EA40" s="139">
        <v>43983.0</v>
      </c>
      <c r="EB40" s="139">
        <v>44013.0</v>
      </c>
      <c r="EC40" s="139">
        <v>44044.0</v>
      </c>
      <c r="ED40" s="139">
        <v>44075.0</v>
      </c>
      <c r="EE40" s="139">
        <v>44105.0</v>
      </c>
      <c r="EF40" s="139">
        <v>44136.0</v>
      </c>
      <c r="EG40" s="139">
        <v>44166.0</v>
      </c>
      <c r="EH40" s="139">
        <v>44197.0</v>
      </c>
      <c r="EI40" s="139">
        <v>44228.0</v>
      </c>
      <c r="EJ40" s="139">
        <v>44256.0</v>
      </c>
      <c r="EK40" s="139">
        <v>44287.0</v>
      </c>
      <c r="EL40" s="139">
        <v>44317.0</v>
      </c>
      <c r="EM40" s="139">
        <v>44348.0</v>
      </c>
      <c r="EN40" s="139">
        <v>44378.0</v>
      </c>
      <c r="EO40" s="139">
        <v>44409.0</v>
      </c>
      <c r="EP40" s="139">
        <v>44440.0</v>
      </c>
      <c r="EQ40" s="139">
        <v>44470.0</v>
      </c>
      <c r="ER40" s="139">
        <v>44501.0</v>
      </c>
      <c r="ES40" s="139">
        <v>44531.0</v>
      </c>
      <c r="ET40" s="139">
        <v>44562.0</v>
      </c>
      <c r="EU40" s="139">
        <v>44593.0</v>
      </c>
      <c r="EV40" s="139">
        <v>44621.0</v>
      </c>
      <c r="EW40" s="139">
        <v>44652.0</v>
      </c>
      <c r="EX40" s="139">
        <v>44682.0</v>
      </c>
      <c r="EY40" s="139">
        <v>44713.0</v>
      </c>
      <c r="EZ40" s="139">
        <v>44743.0</v>
      </c>
      <c r="FA40" s="139">
        <v>44774.0</v>
      </c>
      <c r="FB40" s="139">
        <v>44805.0</v>
      </c>
      <c r="FC40" s="139">
        <v>44835.0</v>
      </c>
      <c r="FD40" s="139">
        <v>44866.0</v>
      </c>
      <c r="FE40" s="139">
        <v>44896.0</v>
      </c>
      <c r="FF40" s="139">
        <v>44927.0</v>
      </c>
      <c r="FG40" s="139">
        <v>44958.0</v>
      </c>
      <c r="FH40" s="139">
        <v>44986.0</v>
      </c>
      <c r="FI40" s="139">
        <v>45017.0</v>
      </c>
      <c r="FJ40" s="139">
        <v>45047.0</v>
      </c>
      <c r="FK40" s="139">
        <v>45078.0</v>
      </c>
      <c r="FL40" s="139">
        <v>45108.0</v>
      </c>
      <c r="FM40" s="139">
        <v>45139.0</v>
      </c>
      <c r="FN40" s="139">
        <v>45170.0</v>
      </c>
      <c r="FO40" s="139">
        <v>45200.0</v>
      </c>
      <c r="FP40" s="139">
        <v>45231.0</v>
      </c>
      <c r="FQ40" s="139">
        <v>45261.0</v>
      </c>
      <c r="FR40" s="139">
        <v>45292.0</v>
      </c>
      <c r="FS40" s="139">
        <v>45323.0</v>
      </c>
      <c r="FT40" s="139">
        <v>45352.0</v>
      </c>
      <c r="FU40" s="139">
        <v>45383.0</v>
      </c>
      <c r="FV40" s="139">
        <v>45413.0</v>
      </c>
      <c r="FW40" s="139">
        <v>45444.0</v>
      </c>
      <c r="FX40" s="139">
        <v>45474.0</v>
      </c>
      <c r="FY40" s="139">
        <v>45505.0</v>
      </c>
      <c r="FZ40" s="139">
        <v>45536.0</v>
      </c>
      <c r="GA40" s="139">
        <v>45566.0</v>
      </c>
      <c r="GB40" s="139">
        <v>45597.0</v>
      </c>
      <c r="GC40" s="139">
        <v>45627.0</v>
      </c>
      <c r="GD40" s="139">
        <v>45658.0</v>
      </c>
      <c r="GE40" s="139">
        <v>45689.0</v>
      </c>
      <c r="GF40" s="139">
        <v>45717.0</v>
      </c>
      <c r="GG40" s="139">
        <v>45748.0</v>
      </c>
      <c r="GH40" s="139">
        <v>45778.0</v>
      </c>
      <c r="GI40" s="139">
        <v>45809.0</v>
      </c>
      <c r="GJ40" s="139">
        <v>45839.0</v>
      </c>
    </row>
    <row r="41">
      <c r="A41" s="133" t="s">
        <v>1778</v>
      </c>
      <c r="B41" s="134">
        <v>41856.79255787037</v>
      </c>
      <c r="C41" s="135" t="str">
        <f t="shared" si="1"/>
        <v>2014/08/05</v>
      </c>
      <c r="D41" s="136" t="s">
        <v>33920</v>
      </c>
      <c r="E41" s="151">
        <v>0.0</v>
      </c>
      <c r="F41" s="138">
        <v>40179.0</v>
      </c>
      <c r="G41" s="138">
        <v>40210.0</v>
      </c>
      <c r="H41" s="138">
        <v>40238.0</v>
      </c>
      <c r="I41" s="138">
        <v>40269.0</v>
      </c>
      <c r="J41" s="138">
        <v>40299.0</v>
      </c>
      <c r="K41" s="138">
        <v>40330.0</v>
      </c>
      <c r="L41" s="138">
        <v>40360.0</v>
      </c>
      <c r="M41" s="138">
        <v>40391.0</v>
      </c>
      <c r="N41" s="138">
        <v>40422.0</v>
      </c>
      <c r="O41" s="138">
        <v>40452.0</v>
      </c>
      <c r="P41" s="138">
        <v>40483.0</v>
      </c>
      <c r="Q41" s="138">
        <v>40513.0</v>
      </c>
      <c r="R41" s="138">
        <v>40544.0</v>
      </c>
      <c r="S41" s="138">
        <v>40575.0</v>
      </c>
      <c r="T41" s="138">
        <v>40603.0</v>
      </c>
      <c r="U41" s="138">
        <v>40634.0</v>
      </c>
      <c r="V41" s="138">
        <v>40664.0</v>
      </c>
      <c r="W41" s="138">
        <v>40695.0</v>
      </c>
      <c r="X41" s="138">
        <v>40725.0</v>
      </c>
      <c r="Y41" s="138">
        <v>40756.0</v>
      </c>
      <c r="Z41" s="138">
        <v>40787.0</v>
      </c>
      <c r="AA41" s="138">
        <v>40817.0</v>
      </c>
      <c r="AB41" s="138">
        <v>40848.0</v>
      </c>
      <c r="AC41" s="138">
        <v>40878.0</v>
      </c>
      <c r="AD41" s="138">
        <v>40909.0</v>
      </c>
      <c r="AE41" s="138">
        <v>40940.0</v>
      </c>
      <c r="AF41" s="138">
        <v>40969.0</v>
      </c>
      <c r="AG41" s="138">
        <v>41000.0</v>
      </c>
      <c r="AH41" s="138">
        <v>41030.0</v>
      </c>
      <c r="AI41" s="138">
        <v>41061.0</v>
      </c>
      <c r="AJ41" s="138">
        <v>41091.0</v>
      </c>
      <c r="AK41" s="138">
        <v>41122.0</v>
      </c>
      <c r="AL41" s="138">
        <v>41153.0</v>
      </c>
      <c r="AM41" s="138">
        <v>41183.0</v>
      </c>
      <c r="AN41" s="138">
        <v>41214.0</v>
      </c>
      <c r="AO41" s="138">
        <v>41244.0</v>
      </c>
      <c r="AP41" s="138">
        <v>41275.0</v>
      </c>
      <c r="AQ41" s="138">
        <v>41306.0</v>
      </c>
      <c r="AR41" s="138">
        <v>41334.0</v>
      </c>
      <c r="AS41" s="138">
        <v>41365.0</v>
      </c>
      <c r="AT41" s="138">
        <v>41395.0</v>
      </c>
      <c r="AU41" s="138">
        <v>41426.0</v>
      </c>
      <c r="AV41" s="138">
        <v>41456.0</v>
      </c>
      <c r="AW41" s="138">
        <v>41487.0</v>
      </c>
      <c r="AX41" s="138">
        <v>41518.0</v>
      </c>
      <c r="AY41" s="138">
        <v>41548.0</v>
      </c>
      <c r="AZ41" s="138">
        <v>41579.0</v>
      </c>
      <c r="BA41" s="138">
        <v>41609.0</v>
      </c>
      <c r="BB41" s="138">
        <v>41640.0</v>
      </c>
      <c r="BC41" s="138">
        <v>41671.0</v>
      </c>
      <c r="BD41" s="138">
        <v>41699.0</v>
      </c>
      <c r="BE41" s="138">
        <v>41730.0</v>
      </c>
      <c r="BF41" s="138">
        <v>41760.0</v>
      </c>
      <c r="BG41" s="138">
        <v>41791.0</v>
      </c>
      <c r="BH41" s="138">
        <v>41821.0</v>
      </c>
      <c r="BI41" s="138">
        <v>41852.0</v>
      </c>
      <c r="BJ41" s="139">
        <v>41883.0</v>
      </c>
      <c r="BK41" s="139">
        <v>41913.0</v>
      </c>
      <c r="BL41" s="139">
        <v>41944.0</v>
      </c>
      <c r="BM41" s="139">
        <v>41974.0</v>
      </c>
      <c r="BN41" s="139">
        <v>42005.0</v>
      </c>
      <c r="BO41" s="139">
        <v>42036.0</v>
      </c>
      <c r="BP41" s="139">
        <v>42064.0</v>
      </c>
      <c r="BQ41" s="139">
        <v>42095.0</v>
      </c>
      <c r="BR41" s="139">
        <v>42125.0</v>
      </c>
      <c r="BS41" s="139">
        <v>42156.0</v>
      </c>
      <c r="BT41" s="139">
        <v>42186.0</v>
      </c>
      <c r="BU41" s="139">
        <v>42217.0</v>
      </c>
      <c r="BV41" s="139">
        <v>42248.0</v>
      </c>
      <c r="BW41" s="139">
        <v>42278.0</v>
      </c>
      <c r="BX41" s="139">
        <v>42309.0</v>
      </c>
      <c r="BY41" s="139">
        <v>42339.0</v>
      </c>
      <c r="BZ41" s="139">
        <v>42370.0</v>
      </c>
      <c r="CA41" s="139">
        <v>42401.0</v>
      </c>
      <c r="CB41" s="139">
        <v>42430.0</v>
      </c>
      <c r="CC41" s="139">
        <v>42461.0</v>
      </c>
      <c r="CD41" s="139">
        <v>42491.0</v>
      </c>
      <c r="CE41" s="139">
        <v>42522.0</v>
      </c>
      <c r="CF41" s="139">
        <v>42552.0</v>
      </c>
      <c r="CG41" s="139">
        <v>42583.0</v>
      </c>
      <c r="CH41" s="139">
        <v>42614.0</v>
      </c>
      <c r="CI41" s="139">
        <v>42644.0</v>
      </c>
      <c r="CJ41" s="139">
        <v>42675.0</v>
      </c>
      <c r="CK41" s="139">
        <v>42705.0</v>
      </c>
      <c r="CL41" s="139">
        <v>42736.0</v>
      </c>
      <c r="CM41" s="139">
        <v>42767.0</v>
      </c>
      <c r="CN41" s="139">
        <v>42795.0</v>
      </c>
      <c r="CO41" s="139">
        <v>42826.0</v>
      </c>
      <c r="CP41" s="139">
        <v>42856.0</v>
      </c>
      <c r="CQ41" s="139">
        <v>42887.0</v>
      </c>
      <c r="CR41" s="139">
        <v>42917.0</v>
      </c>
      <c r="CS41" s="139">
        <v>42948.0</v>
      </c>
      <c r="CT41" s="139">
        <v>42979.0</v>
      </c>
      <c r="CU41" s="139">
        <v>43009.0</v>
      </c>
      <c r="CV41" s="139">
        <v>43040.0</v>
      </c>
      <c r="CW41" s="139">
        <v>43070.0</v>
      </c>
      <c r="CX41" s="139">
        <v>43101.0</v>
      </c>
      <c r="CY41" s="139">
        <v>43132.0</v>
      </c>
      <c r="CZ41" s="139">
        <v>43160.0</v>
      </c>
      <c r="DA41" s="139">
        <v>43191.0</v>
      </c>
      <c r="DB41" s="139">
        <v>43221.0</v>
      </c>
      <c r="DC41" s="139">
        <v>43252.0</v>
      </c>
      <c r="DD41" s="139">
        <v>43282.0</v>
      </c>
      <c r="DE41" s="139">
        <v>43313.0</v>
      </c>
      <c r="DF41" s="139">
        <v>43344.0</v>
      </c>
      <c r="DG41" s="139">
        <v>43374.0</v>
      </c>
      <c r="DH41" s="139">
        <v>43405.0</v>
      </c>
      <c r="DI41" s="139">
        <v>43435.0</v>
      </c>
      <c r="DJ41" s="139">
        <v>43466.0</v>
      </c>
      <c r="DK41" s="139">
        <v>43497.0</v>
      </c>
      <c r="DL41" s="139">
        <v>43525.0</v>
      </c>
      <c r="DM41" s="139">
        <v>43556.0</v>
      </c>
      <c r="DN41" s="139">
        <v>43586.0</v>
      </c>
      <c r="DO41" s="139">
        <v>43617.0</v>
      </c>
      <c r="DP41" s="139">
        <v>43647.0</v>
      </c>
      <c r="DQ41" s="139">
        <v>43678.0</v>
      </c>
      <c r="DR41" s="139">
        <v>43709.0</v>
      </c>
      <c r="DS41" s="139">
        <v>43739.0</v>
      </c>
      <c r="DT41" s="139">
        <v>43770.0</v>
      </c>
      <c r="DU41" s="139">
        <v>43800.0</v>
      </c>
      <c r="DV41" s="139">
        <v>43831.0</v>
      </c>
      <c r="DW41" s="139">
        <v>43862.0</v>
      </c>
      <c r="DX41" s="139">
        <v>43891.0</v>
      </c>
      <c r="DY41" s="139">
        <v>43922.0</v>
      </c>
      <c r="DZ41" s="139">
        <v>43952.0</v>
      </c>
      <c r="EA41" s="139">
        <v>43983.0</v>
      </c>
      <c r="EB41" s="139">
        <v>44013.0</v>
      </c>
      <c r="EC41" s="139">
        <v>44044.0</v>
      </c>
      <c r="ED41" s="139">
        <v>44075.0</v>
      </c>
      <c r="EE41" s="139">
        <v>44105.0</v>
      </c>
      <c r="EF41" s="139">
        <v>44136.0</v>
      </c>
      <c r="EG41" s="139">
        <v>44166.0</v>
      </c>
      <c r="EH41" s="139">
        <v>44197.0</v>
      </c>
      <c r="EI41" s="139">
        <v>44228.0</v>
      </c>
      <c r="EJ41" s="139">
        <v>44256.0</v>
      </c>
      <c r="EK41" s="139">
        <v>44287.0</v>
      </c>
      <c r="EL41" s="139">
        <v>44317.0</v>
      </c>
      <c r="EM41" s="139">
        <v>44348.0</v>
      </c>
      <c r="EN41" s="139">
        <v>44378.0</v>
      </c>
      <c r="EO41" s="139">
        <v>44409.0</v>
      </c>
      <c r="EP41" s="139">
        <v>44440.0</v>
      </c>
      <c r="EQ41" s="139">
        <v>44470.0</v>
      </c>
      <c r="ER41" s="139">
        <v>44501.0</v>
      </c>
      <c r="ES41" s="139">
        <v>44531.0</v>
      </c>
      <c r="ET41" s="139">
        <v>44562.0</v>
      </c>
      <c r="EU41" s="139">
        <v>44593.0</v>
      </c>
      <c r="EV41" s="139">
        <v>44621.0</v>
      </c>
      <c r="EW41" s="139">
        <v>44652.0</v>
      </c>
      <c r="EX41" s="139">
        <v>44682.0</v>
      </c>
      <c r="EY41" s="139">
        <v>44713.0</v>
      </c>
      <c r="EZ41" s="139">
        <v>44743.0</v>
      </c>
      <c r="FA41" s="139">
        <v>44774.0</v>
      </c>
      <c r="FB41" s="139">
        <v>44805.0</v>
      </c>
      <c r="FC41" s="139">
        <v>44835.0</v>
      </c>
      <c r="FD41" s="139">
        <v>44866.0</v>
      </c>
      <c r="FE41" s="139">
        <v>44896.0</v>
      </c>
      <c r="FF41" s="139">
        <v>44927.0</v>
      </c>
      <c r="FG41" s="139">
        <v>44958.0</v>
      </c>
      <c r="FH41" s="139">
        <v>44986.0</v>
      </c>
      <c r="FI41" s="139">
        <v>45017.0</v>
      </c>
      <c r="FJ41" s="139">
        <v>45047.0</v>
      </c>
      <c r="FK41" s="139">
        <v>45078.0</v>
      </c>
      <c r="FL41" s="139">
        <v>45108.0</v>
      </c>
      <c r="FM41" s="139">
        <v>45139.0</v>
      </c>
      <c r="FN41" s="139">
        <v>45170.0</v>
      </c>
      <c r="FO41" s="139">
        <v>45200.0</v>
      </c>
      <c r="FP41" s="139">
        <v>45231.0</v>
      </c>
      <c r="FQ41" s="139">
        <v>45261.0</v>
      </c>
      <c r="FR41" s="139">
        <v>45292.0</v>
      </c>
      <c r="FS41" s="139">
        <v>45323.0</v>
      </c>
      <c r="FT41" s="139">
        <v>45352.0</v>
      </c>
      <c r="FU41" s="139">
        <v>45383.0</v>
      </c>
      <c r="FV41" s="139">
        <v>45413.0</v>
      </c>
      <c r="FW41" s="139">
        <v>45444.0</v>
      </c>
      <c r="FX41" s="139">
        <v>45474.0</v>
      </c>
      <c r="FY41" s="139">
        <v>45505.0</v>
      </c>
      <c r="FZ41" s="139">
        <v>45536.0</v>
      </c>
      <c r="GA41" s="139">
        <v>45566.0</v>
      </c>
      <c r="GB41" s="139">
        <v>45597.0</v>
      </c>
      <c r="GC41" s="139">
        <v>45627.0</v>
      </c>
      <c r="GD41" s="139">
        <v>45658.0</v>
      </c>
      <c r="GE41" s="139">
        <v>45689.0</v>
      </c>
      <c r="GF41" s="139">
        <v>45717.0</v>
      </c>
      <c r="GG41" s="139">
        <v>45748.0</v>
      </c>
      <c r="GH41" s="139">
        <v>45778.0</v>
      </c>
      <c r="GI41" s="139">
        <v>45809.0</v>
      </c>
      <c r="GJ41" s="139">
        <v>45839.0</v>
      </c>
    </row>
    <row r="42">
      <c r="A42" s="133" t="s">
        <v>1511</v>
      </c>
      <c r="B42" s="134">
        <v>41949.780023148145</v>
      </c>
      <c r="C42" s="135" t="str">
        <f t="shared" si="1"/>
        <v>2014/11/06</v>
      </c>
      <c r="D42" s="136" t="s">
        <v>33983</v>
      </c>
      <c r="E42" s="151">
        <v>0.0</v>
      </c>
      <c r="F42" s="138">
        <v>40179.0</v>
      </c>
      <c r="G42" s="138">
        <v>40210.0</v>
      </c>
      <c r="H42" s="138">
        <v>40238.0</v>
      </c>
      <c r="I42" s="138">
        <v>40269.0</v>
      </c>
      <c r="J42" s="138">
        <v>40299.0</v>
      </c>
      <c r="K42" s="138">
        <v>40330.0</v>
      </c>
      <c r="L42" s="138">
        <v>40360.0</v>
      </c>
      <c r="M42" s="138">
        <v>40391.0</v>
      </c>
      <c r="N42" s="138">
        <v>40422.0</v>
      </c>
      <c r="O42" s="138">
        <v>40452.0</v>
      </c>
      <c r="P42" s="138">
        <v>40483.0</v>
      </c>
      <c r="Q42" s="138">
        <v>40513.0</v>
      </c>
      <c r="R42" s="138">
        <v>40544.0</v>
      </c>
      <c r="S42" s="138">
        <v>40575.0</v>
      </c>
      <c r="T42" s="138">
        <v>40603.0</v>
      </c>
      <c r="U42" s="138">
        <v>40634.0</v>
      </c>
      <c r="V42" s="138">
        <v>40664.0</v>
      </c>
      <c r="W42" s="138">
        <v>40695.0</v>
      </c>
      <c r="X42" s="138">
        <v>40725.0</v>
      </c>
      <c r="Y42" s="138">
        <v>40756.0</v>
      </c>
      <c r="Z42" s="138">
        <v>40787.0</v>
      </c>
      <c r="AA42" s="138">
        <v>40817.0</v>
      </c>
      <c r="AB42" s="138">
        <v>40848.0</v>
      </c>
      <c r="AC42" s="138">
        <v>40878.0</v>
      </c>
      <c r="AD42" s="138">
        <v>40909.0</v>
      </c>
      <c r="AE42" s="138">
        <v>40940.0</v>
      </c>
      <c r="AF42" s="138">
        <v>40969.0</v>
      </c>
      <c r="AG42" s="138">
        <v>41000.0</v>
      </c>
      <c r="AH42" s="138">
        <v>41030.0</v>
      </c>
      <c r="AI42" s="138">
        <v>41061.0</v>
      </c>
      <c r="AJ42" s="138">
        <v>41091.0</v>
      </c>
      <c r="AK42" s="138">
        <v>41122.0</v>
      </c>
      <c r="AL42" s="138">
        <v>41153.0</v>
      </c>
      <c r="AM42" s="138">
        <v>41183.0</v>
      </c>
      <c r="AN42" s="138">
        <v>41214.0</v>
      </c>
      <c r="AO42" s="138">
        <v>41244.0</v>
      </c>
      <c r="AP42" s="138">
        <v>41275.0</v>
      </c>
      <c r="AQ42" s="138">
        <v>41306.0</v>
      </c>
      <c r="AR42" s="138">
        <v>41334.0</v>
      </c>
      <c r="AS42" s="138">
        <v>41365.0</v>
      </c>
      <c r="AT42" s="138">
        <v>41395.0</v>
      </c>
      <c r="AU42" s="138">
        <v>41426.0</v>
      </c>
      <c r="AV42" s="138">
        <v>41456.0</v>
      </c>
      <c r="AW42" s="138">
        <v>41487.0</v>
      </c>
      <c r="AX42" s="138">
        <v>41518.0</v>
      </c>
      <c r="AY42" s="138">
        <v>41548.0</v>
      </c>
      <c r="AZ42" s="138">
        <v>41579.0</v>
      </c>
      <c r="BA42" s="138">
        <v>41609.0</v>
      </c>
      <c r="BB42" s="138">
        <v>41640.0</v>
      </c>
      <c r="BC42" s="138">
        <v>41671.0</v>
      </c>
      <c r="BD42" s="138">
        <v>41699.0</v>
      </c>
      <c r="BE42" s="138">
        <v>41730.0</v>
      </c>
      <c r="BF42" s="138">
        <v>41760.0</v>
      </c>
      <c r="BG42" s="138">
        <v>41791.0</v>
      </c>
      <c r="BH42" s="138">
        <v>41821.0</v>
      </c>
      <c r="BI42" s="138">
        <v>41852.0</v>
      </c>
      <c r="BJ42" s="138">
        <v>41883.0</v>
      </c>
      <c r="BK42" s="138">
        <v>41913.0</v>
      </c>
      <c r="BL42" s="138">
        <v>41944.0</v>
      </c>
      <c r="BM42" s="139">
        <v>41974.0</v>
      </c>
      <c r="BN42" s="139">
        <v>42005.0</v>
      </c>
      <c r="BO42" s="139">
        <v>42036.0</v>
      </c>
      <c r="BP42" s="139">
        <v>42064.0</v>
      </c>
      <c r="BQ42" s="139">
        <v>42095.0</v>
      </c>
      <c r="BR42" s="139">
        <v>42125.0</v>
      </c>
      <c r="BS42" s="139">
        <v>42156.0</v>
      </c>
      <c r="BT42" s="139">
        <v>42186.0</v>
      </c>
      <c r="BU42" s="139">
        <v>42217.0</v>
      </c>
      <c r="BV42" s="139">
        <v>42248.0</v>
      </c>
      <c r="BW42" s="139">
        <v>42278.0</v>
      </c>
      <c r="BX42" s="139">
        <v>42309.0</v>
      </c>
      <c r="BY42" s="139">
        <v>42339.0</v>
      </c>
      <c r="BZ42" s="139">
        <v>42370.0</v>
      </c>
      <c r="CA42" s="139">
        <v>42401.0</v>
      </c>
      <c r="CB42" s="139">
        <v>42430.0</v>
      </c>
      <c r="CC42" s="139">
        <v>42461.0</v>
      </c>
      <c r="CD42" s="139">
        <v>42491.0</v>
      </c>
      <c r="CE42" s="139">
        <v>42522.0</v>
      </c>
      <c r="CF42" s="139">
        <v>42552.0</v>
      </c>
      <c r="CG42" s="139">
        <v>42583.0</v>
      </c>
      <c r="CH42" s="139">
        <v>42614.0</v>
      </c>
      <c r="CI42" s="139">
        <v>42644.0</v>
      </c>
      <c r="CJ42" s="139">
        <v>42675.0</v>
      </c>
      <c r="CK42" s="139">
        <v>42705.0</v>
      </c>
      <c r="CL42" s="139">
        <v>42736.0</v>
      </c>
      <c r="CM42" s="139">
        <v>42767.0</v>
      </c>
      <c r="CN42" s="139">
        <v>42795.0</v>
      </c>
      <c r="CO42" s="139">
        <v>42826.0</v>
      </c>
      <c r="CP42" s="139">
        <v>42856.0</v>
      </c>
      <c r="CQ42" s="139">
        <v>42887.0</v>
      </c>
      <c r="CR42" s="139">
        <v>42917.0</v>
      </c>
      <c r="CS42" s="139">
        <v>42948.0</v>
      </c>
      <c r="CT42" s="139">
        <v>42979.0</v>
      </c>
      <c r="CU42" s="139">
        <v>43009.0</v>
      </c>
      <c r="CV42" s="139">
        <v>43040.0</v>
      </c>
      <c r="CW42" s="139">
        <v>43070.0</v>
      </c>
      <c r="CX42" s="139">
        <v>43101.0</v>
      </c>
      <c r="CY42" s="139">
        <v>43132.0</v>
      </c>
      <c r="CZ42" s="139">
        <v>43160.0</v>
      </c>
      <c r="DA42" s="139">
        <v>43191.0</v>
      </c>
      <c r="DB42" s="139">
        <v>43221.0</v>
      </c>
      <c r="DC42" s="139">
        <v>43252.0</v>
      </c>
      <c r="DD42" s="139">
        <v>43282.0</v>
      </c>
      <c r="DE42" s="139">
        <v>43313.0</v>
      </c>
      <c r="DF42" s="139">
        <v>43344.0</v>
      </c>
      <c r="DG42" s="139">
        <v>43374.0</v>
      </c>
      <c r="DH42" s="139">
        <v>43405.0</v>
      </c>
      <c r="DI42" s="139">
        <v>43435.0</v>
      </c>
      <c r="DJ42" s="139">
        <v>43466.0</v>
      </c>
      <c r="DK42" s="139">
        <v>43497.0</v>
      </c>
      <c r="DL42" s="139">
        <v>43525.0</v>
      </c>
      <c r="DM42" s="139">
        <v>43556.0</v>
      </c>
      <c r="DN42" s="139">
        <v>43586.0</v>
      </c>
      <c r="DO42" s="139">
        <v>43617.0</v>
      </c>
      <c r="DP42" s="139">
        <v>43647.0</v>
      </c>
      <c r="DQ42" s="139">
        <v>43678.0</v>
      </c>
      <c r="DR42" s="139">
        <v>43709.0</v>
      </c>
      <c r="DS42" s="139">
        <v>43739.0</v>
      </c>
      <c r="DT42" s="139">
        <v>43770.0</v>
      </c>
      <c r="DU42" s="139">
        <v>43800.0</v>
      </c>
      <c r="DV42" s="139">
        <v>43831.0</v>
      </c>
      <c r="DW42" s="139">
        <v>43862.0</v>
      </c>
      <c r="DX42" s="139">
        <v>43891.0</v>
      </c>
      <c r="DY42" s="139">
        <v>43922.0</v>
      </c>
      <c r="DZ42" s="139">
        <v>43952.0</v>
      </c>
      <c r="EA42" s="139">
        <v>43983.0</v>
      </c>
      <c r="EB42" s="139">
        <v>44013.0</v>
      </c>
      <c r="EC42" s="139">
        <v>44044.0</v>
      </c>
      <c r="ED42" s="139">
        <v>44075.0</v>
      </c>
      <c r="EE42" s="139">
        <v>44105.0</v>
      </c>
      <c r="EF42" s="139">
        <v>44136.0</v>
      </c>
      <c r="EG42" s="139">
        <v>44166.0</v>
      </c>
      <c r="EH42" s="139">
        <v>44197.0</v>
      </c>
      <c r="EI42" s="139">
        <v>44228.0</v>
      </c>
      <c r="EJ42" s="139">
        <v>44256.0</v>
      </c>
      <c r="EK42" s="139">
        <v>44287.0</v>
      </c>
      <c r="EL42" s="139">
        <v>44317.0</v>
      </c>
      <c r="EM42" s="139">
        <v>44348.0</v>
      </c>
      <c r="EN42" s="139">
        <v>44378.0</v>
      </c>
      <c r="EO42" s="139">
        <v>44409.0</v>
      </c>
      <c r="EP42" s="139">
        <v>44440.0</v>
      </c>
      <c r="EQ42" s="139">
        <v>44470.0</v>
      </c>
      <c r="ER42" s="139">
        <v>44501.0</v>
      </c>
      <c r="ES42" s="139">
        <v>44531.0</v>
      </c>
      <c r="ET42" s="139">
        <v>44562.0</v>
      </c>
      <c r="EU42" s="139">
        <v>44593.0</v>
      </c>
      <c r="EV42" s="139">
        <v>44621.0</v>
      </c>
      <c r="EW42" s="139">
        <v>44652.0</v>
      </c>
      <c r="EX42" s="139">
        <v>44682.0</v>
      </c>
      <c r="EY42" s="139">
        <v>44713.0</v>
      </c>
      <c r="EZ42" s="139">
        <v>44743.0</v>
      </c>
      <c r="FA42" s="139">
        <v>44774.0</v>
      </c>
      <c r="FB42" s="139">
        <v>44805.0</v>
      </c>
      <c r="FC42" s="139">
        <v>44835.0</v>
      </c>
      <c r="FD42" s="139">
        <v>44866.0</v>
      </c>
      <c r="FE42" s="139">
        <v>44896.0</v>
      </c>
      <c r="FF42" s="139">
        <v>44927.0</v>
      </c>
      <c r="FG42" s="139">
        <v>44958.0</v>
      </c>
      <c r="FH42" s="139">
        <v>44986.0</v>
      </c>
      <c r="FI42" s="139">
        <v>45017.0</v>
      </c>
      <c r="FJ42" s="139">
        <v>45047.0</v>
      </c>
      <c r="FK42" s="139">
        <v>45078.0</v>
      </c>
      <c r="FL42" s="139">
        <v>45108.0</v>
      </c>
      <c r="FM42" s="139">
        <v>45139.0</v>
      </c>
      <c r="FN42" s="139">
        <v>45170.0</v>
      </c>
      <c r="FO42" s="139">
        <v>45200.0</v>
      </c>
      <c r="FP42" s="139">
        <v>45231.0</v>
      </c>
      <c r="FQ42" s="139">
        <v>45261.0</v>
      </c>
      <c r="FR42" s="139">
        <v>45292.0</v>
      </c>
      <c r="FS42" s="139">
        <v>45323.0</v>
      </c>
      <c r="FT42" s="139">
        <v>45352.0</v>
      </c>
      <c r="FU42" s="139">
        <v>45383.0</v>
      </c>
      <c r="FV42" s="139">
        <v>45413.0</v>
      </c>
      <c r="FW42" s="139">
        <v>45444.0</v>
      </c>
      <c r="FX42" s="139">
        <v>45474.0</v>
      </c>
      <c r="FY42" s="139">
        <v>45505.0</v>
      </c>
      <c r="FZ42" s="139">
        <v>45536.0</v>
      </c>
      <c r="GA42" s="139">
        <v>45566.0</v>
      </c>
      <c r="GB42" s="139">
        <v>45597.0</v>
      </c>
      <c r="GC42" s="139">
        <v>45627.0</v>
      </c>
      <c r="GD42" s="139">
        <v>45658.0</v>
      </c>
      <c r="GE42" s="139">
        <v>45689.0</v>
      </c>
      <c r="GF42" s="139">
        <v>45717.0</v>
      </c>
      <c r="GG42" s="139">
        <v>45748.0</v>
      </c>
      <c r="GH42" s="139">
        <v>45778.0</v>
      </c>
      <c r="GI42" s="139">
        <v>45809.0</v>
      </c>
      <c r="GJ42" s="139">
        <v>45839.0</v>
      </c>
    </row>
    <row r="43">
      <c r="A43" s="133" t="s">
        <v>1759</v>
      </c>
      <c r="B43" s="134">
        <v>41957.74778935185</v>
      </c>
      <c r="C43" s="135" t="str">
        <f t="shared" si="1"/>
        <v>2014/11/14</v>
      </c>
      <c r="D43" s="136" t="s">
        <v>34258</v>
      </c>
      <c r="E43" s="151">
        <v>0.0</v>
      </c>
      <c r="F43" s="138">
        <v>40179.0</v>
      </c>
      <c r="G43" s="138">
        <v>40210.0</v>
      </c>
      <c r="H43" s="138">
        <v>40238.0</v>
      </c>
      <c r="I43" s="138">
        <v>40269.0</v>
      </c>
      <c r="J43" s="138">
        <v>40299.0</v>
      </c>
      <c r="K43" s="138">
        <v>40330.0</v>
      </c>
      <c r="L43" s="138">
        <v>40360.0</v>
      </c>
      <c r="M43" s="138">
        <v>40391.0</v>
      </c>
      <c r="N43" s="138">
        <v>40422.0</v>
      </c>
      <c r="O43" s="138">
        <v>40452.0</v>
      </c>
      <c r="P43" s="138">
        <v>40483.0</v>
      </c>
      <c r="Q43" s="138">
        <v>40513.0</v>
      </c>
      <c r="R43" s="138">
        <v>40544.0</v>
      </c>
      <c r="S43" s="138">
        <v>40575.0</v>
      </c>
      <c r="T43" s="138">
        <v>40603.0</v>
      </c>
      <c r="U43" s="138">
        <v>40634.0</v>
      </c>
      <c r="V43" s="138">
        <v>40664.0</v>
      </c>
      <c r="W43" s="138">
        <v>40695.0</v>
      </c>
      <c r="X43" s="138">
        <v>40725.0</v>
      </c>
      <c r="Y43" s="138">
        <v>40756.0</v>
      </c>
      <c r="Z43" s="138">
        <v>40787.0</v>
      </c>
      <c r="AA43" s="138">
        <v>40817.0</v>
      </c>
      <c r="AB43" s="138">
        <v>40848.0</v>
      </c>
      <c r="AC43" s="138">
        <v>40878.0</v>
      </c>
      <c r="AD43" s="138">
        <v>40909.0</v>
      </c>
      <c r="AE43" s="138">
        <v>40940.0</v>
      </c>
      <c r="AF43" s="138">
        <v>40969.0</v>
      </c>
      <c r="AG43" s="138">
        <v>41000.0</v>
      </c>
      <c r="AH43" s="138">
        <v>41030.0</v>
      </c>
      <c r="AI43" s="138">
        <v>41061.0</v>
      </c>
      <c r="AJ43" s="138">
        <v>41091.0</v>
      </c>
      <c r="AK43" s="138">
        <v>41122.0</v>
      </c>
      <c r="AL43" s="138">
        <v>41153.0</v>
      </c>
      <c r="AM43" s="138">
        <v>41183.0</v>
      </c>
      <c r="AN43" s="138">
        <v>41214.0</v>
      </c>
      <c r="AO43" s="138">
        <v>41244.0</v>
      </c>
      <c r="AP43" s="138">
        <v>41275.0</v>
      </c>
      <c r="AQ43" s="138">
        <v>41306.0</v>
      </c>
      <c r="AR43" s="138">
        <v>41334.0</v>
      </c>
      <c r="AS43" s="138">
        <v>41365.0</v>
      </c>
      <c r="AT43" s="138">
        <v>41395.0</v>
      </c>
      <c r="AU43" s="138">
        <v>41426.0</v>
      </c>
      <c r="AV43" s="138">
        <v>41456.0</v>
      </c>
      <c r="AW43" s="138">
        <v>41487.0</v>
      </c>
      <c r="AX43" s="138">
        <v>41518.0</v>
      </c>
      <c r="AY43" s="138">
        <v>41548.0</v>
      </c>
      <c r="AZ43" s="138">
        <v>41579.0</v>
      </c>
      <c r="BA43" s="138">
        <v>41609.0</v>
      </c>
      <c r="BB43" s="138">
        <v>41640.0</v>
      </c>
      <c r="BC43" s="138">
        <v>41671.0</v>
      </c>
      <c r="BD43" s="138">
        <v>41699.0</v>
      </c>
      <c r="BE43" s="138">
        <v>41730.0</v>
      </c>
      <c r="BF43" s="138">
        <v>41760.0</v>
      </c>
      <c r="BG43" s="138">
        <v>41791.0</v>
      </c>
      <c r="BH43" s="138">
        <v>41821.0</v>
      </c>
      <c r="BI43" s="138">
        <v>41852.0</v>
      </c>
      <c r="BJ43" s="138">
        <v>41883.0</v>
      </c>
      <c r="BK43" s="138">
        <v>41913.0</v>
      </c>
      <c r="BL43" s="138">
        <v>41944.0</v>
      </c>
      <c r="BM43" s="139">
        <v>41974.0</v>
      </c>
      <c r="BN43" s="139">
        <v>42005.0</v>
      </c>
      <c r="BO43" s="139">
        <v>42036.0</v>
      </c>
      <c r="BP43" s="139">
        <v>42064.0</v>
      </c>
      <c r="BQ43" s="139">
        <v>42095.0</v>
      </c>
      <c r="BR43" s="139">
        <v>42125.0</v>
      </c>
      <c r="BS43" s="139">
        <v>42156.0</v>
      </c>
      <c r="BT43" s="139">
        <v>42186.0</v>
      </c>
      <c r="BU43" s="139">
        <v>42217.0</v>
      </c>
      <c r="BV43" s="139">
        <v>42248.0</v>
      </c>
      <c r="BW43" s="139">
        <v>42278.0</v>
      </c>
      <c r="BX43" s="139">
        <v>42309.0</v>
      </c>
      <c r="BY43" s="139">
        <v>42339.0</v>
      </c>
      <c r="BZ43" s="139">
        <v>42370.0</v>
      </c>
      <c r="CA43" s="139">
        <v>42401.0</v>
      </c>
      <c r="CB43" s="139">
        <v>42430.0</v>
      </c>
      <c r="CC43" s="139">
        <v>42461.0</v>
      </c>
      <c r="CD43" s="139">
        <v>42491.0</v>
      </c>
      <c r="CE43" s="139">
        <v>42522.0</v>
      </c>
      <c r="CF43" s="139">
        <v>42552.0</v>
      </c>
      <c r="CG43" s="139">
        <v>42583.0</v>
      </c>
      <c r="CH43" s="139">
        <v>42614.0</v>
      </c>
      <c r="CI43" s="139">
        <v>42644.0</v>
      </c>
      <c r="CJ43" s="139">
        <v>42675.0</v>
      </c>
      <c r="CK43" s="139">
        <v>42705.0</v>
      </c>
      <c r="CL43" s="139">
        <v>42736.0</v>
      </c>
      <c r="CM43" s="139">
        <v>42767.0</v>
      </c>
      <c r="CN43" s="139">
        <v>42795.0</v>
      </c>
      <c r="CO43" s="139">
        <v>42826.0</v>
      </c>
      <c r="CP43" s="139">
        <v>42856.0</v>
      </c>
      <c r="CQ43" s="139">
        <v>42887.0</v>
      </c>
      <c r="CR43" s="139">
        <v>42917.0</v>
      </c>
      <c r="CS43" s="139">
        <v>42948.0</v>
      </c>
      <c r="CT43" s="139">
        <v>42979.0</v>
      </c>
      <c r="CU43" s="139">
        <v>43009.0</v>
      </c>
      <c r="CV43" s="139">
        <v>43040.0</v>
      </c>
      <c r="CW43" s="139">
        <v>43070.0</v>
      </c>
      <c r="CX43" s="139">
        <v>43101.0</v>
      </c>
      <c r="CY43" s="139">
        <v>43132.0</v>
      </c>
      <c r="CZ43" s="139">
        <v>43160.0</v>
      </c>
      <c r="DA43" s="139">
        <v>43191.0</v>
      </c>
      <c r="DB43" s="139">
        <v>43221.0</v>
      </c>
      <c r="DC43" s="139">
        <v>43252.0</v>
      </c>
      <c r="DD43" s="139">
        <v>43282.0</v>
      </c>
      <c r="DE43" s="139">
        <v>43313.0</v>
      </c>
      <c r="DF43" s="139">
        <v>43344.0</v>
      </c>
      <c r="DG43" s="139">
        <v>43374.0</v>
      </c>
      <c r="DH43" s="139">
        <v>43405.0</v>
      </c>
      <c r="DI43" s="139">
        <v>43435.0</v>
      </c>
      <c r="DJ43" s="139">
        <v>43466.0</v>
      </c>
      <c r="DK43" s="139">
        <v>43497.0</v>
      </c>
      <c r="DL43" s="139">
        <v>43525.0</v>
      </c>
      <c r="DM43" s="139">
        <v>43556.0</v>
      </c>
      <c r="DN43" s="139">
        <v>43586.0</v>
      </c>
      <c r="DO43" s="139">
        <v>43617.0</v>
      </c>
      <c r="DP43" s="139">
        <v>43647.0</v>
      </c>
      <c r="DQ43" s="139">
        <v>43678.0</v>
      </c>
      <c r="DR43" s="139">
        <v>43709.0</v>
      </c>
      <c r="DS43" s="139">
        <v>43739.0</v>
      </c>
      <c r="DT43" s="139">
        <v>43770.0</v>
      </c>
      <c r="DU43" s="139">
        <v>43800.0</v>
      </c>
      <c r="DV43" s="139">
        <v>43831.0</v>
      </c>
      <c r="DW43" s="139">
        <v>43862.0</v>
      </c>
      <c r="DX43" s="139">
        <v>43891.0</v>
      </c>
      <c r="DY43" s="139">
        <v>43922.0</v>
      </c>
      <c r="DZ43" s="139">
        <v>43952.0</v>
      </c>
      <c r="EA43" s="139">
        <v>43983.0</v>
      </c>
      <c r="EB43" s="139">
        <v>44013.0</v>
      </c>
      <c r="EC43" s="139">
        <v>44044.0</v>
      </c>
      <c r="ED43" s="139">
        <v>44075.0</v>
      </c>
      <c r="EE43" s="139">
        <v>44105.0</v>
      </c>
      <c r="EF43" s="139">
        <v>44136.0</v>
      </c>
      <c r="EG43" s="139">
        <v>44166.0</v>
      </c>
      <c r="EH43" s="139">
        <v>44197.0</v>
      </c>
      <c r="EI43" s="139">
        <v>44228.0</v>
      </c>
      <c r="EJ43" s="139">
        <v>44256.0</v>
      </c>
      <c r="EK43" s="139">
        <v>44287.0</v>
      </c>
      <c r="EL43" s="139">
        <v>44317.0</v>
      </c>
      <c r="EM43" s="139">
        <v>44348.0</v>
      </c>
      <c r="EN43" s="139">
        <v>44378.0</v>
      </c>
      <c r="EO43" s="139">
        <v>44409.0</v>
      </c>
      <c r="EP43" s="139">
        <v>44440.0</v>
      </c>
      <c r="EQ43" s="139">
        <v>44470.0</v>
      </c>
      <c r="ER43" s="139">
        <v>44501.0</v>
      </c>
      <c r="ES43" s="139">
        <v>44531.0</v>
      </c>
      <c r="ET43" s="139">
        <v>44562.0</v>
      </c>
      <c r="EU43" s="139">
        <v>44593.0</v>
      </c>
      <c r="EV43" s="139">
        <v>44621.0</v>
      </c>
      <c r="EW43" s="139">
        <v>44652.0</v>
      </c>
      <c r="EX43" s="139">
        <v>44682.0</v>
      </c>
      <c r="EY43" s="139">
        <v>44713.0</v>
      </c>
      <c r="EZ43" s="139">
        <v>44743.0</v>
      </c>
      <c r="FA43" s="139">
        <v>44774.0</v>
      </c>
      <c r="FB43" s="139">
        <v>44805.0</v>
      </c>
      <c r="FC43" s="139">
        <v>44835.0</v>
      </c>
      <c r="FD43" s="139">
        <v>44866.0</v>
      </c>
      <c r="FE43" s="139">
        <v>44896.0</v>
      </c>
      <c r="FF43" s="139">
        <v>44927.0</v>
      </c>
      <c r="FG43" s="139">
        <v>44958.0</v>
      </c>
      <c r="FH43" s="139">
        <v>44986.0</v>
      </c>
      <c r="FI43" s="139">
        <v>45017.0</v>
      </c>
      <c r="FJ43" s="139">
        <v>45047.0</v>
      </c>
      <c r="FK43" s="139">
        <v>45078.0</v>
      </c>
      <c r="FL43" s="139">
        <v>45108.0</v>
      </c>
      <c r="FM43" s="139">
        <v>45139.0</v>
      </c>
      <c r="FN43" s="139">
        <v>45170.0</v>
      </c>
      <c r="FO43" s="139">
        <v>45200.0</v>
      </c>
      <c r="FP43" s="139">
        <v>45231.0</v>
      </c>
      <c r="FQ43" s="139">
        <v>45261.0</v>
      </c>
      <c r="FR43" s="139">
        <v>45292.0</v>
      </c>
      <c r="FS43" s="139">
        <v>45323.0</v>
      </c>
      <c r="FT43" s="139">
        <v>45352.0</v>
      </c>
      <c r="FU43" s="139">
        <v>45383.0</v>
      </c>
      <c r="FV43" s="139">
        <v>45413.0</v>
      </c>
      <c r="FW43" s="139">
        <v>45444.0</v>
      </c>
      <c r="FX43" s="139">
        <v>45474.0</v>
      </c>
      <c r="FY43" s="139">
        <v>45505.0</v>
      </c>
      <c r="FZ43" s="139">
        <v>45536.0</v>
      </c>
      <c r="GA43" s="139">
        <v>45566.0</v>
      </c>
      <c r="GB43" s="139">
        <v>45597.0</v>
      </c>
      <c r="GC43" s="139">
        <v>45627.0</v>
      </c>
      <c r="GD43" s="139">
        <v>45658.0</v>
      </c>
      <c r="GE43" s="139">
        <v>45689.0</v>
      </c>
      <c r="GF43" s="139">
        <v>45717.0</v>
      </c>
      <c r="GG43" s="139">
        <v>45748.0</v>
      </c>
      <c r="GH43" s="139">
        <v>45778.0</v>
      </c>
      <c r="GI43" s="139">
        <v>45809.0</v>
      </c>
      <c r="GJ43" s="139">
        <v>45839.0</v>
      </c>
    </row>
    <row r="44">
      <c r="A44" s="133" t="s">
        <v>1594</v>
      </c>
      <c r="B44" s="134">
        <v>41999.48396990741</v>
      </c>
      <c r="C44" s="135" t="str">
        <f t="shared" si="1"/>
        <v>2014/12/26</v>
      </c>
      <c r="D44" s="136" t="s">
        <v>34259</v>
      </c>
      <c r="E44" s="151">
        <v>0.0</v>
      </c>
      <c r="F44" s="138">
        <v>40179.0</v>
      </c>
      <c r="G44" s="138">
        <v>40210.0</v>
      </c>
      <c r="H44" s="138">
        <v>40238.0</v>
      </c>
      <c r="I44" s="138">
        <v>40269.0</v>
      </c>
      <c r="J44" s="138">
        <v>40299.0</v>
      </c>
      <c r="K44" s="138">
        <v>40330.0</v>
      </c>
      <c r="L44" s="138">
        <v>40360.0</v>
      </c>
      <c r="M44" s="138">
        <v>40391.0</v>
      </c>
      <c r="N44" s="138">
        <v>40422.0</v>
      </c>
      <c r="O44" s="138">
        <v>40452.0</v>
      </c>
      <c r="P44" s="138">
        <v>40483.0</v>
      </c>
      <c r="Q44" s="138">
        <v>40513.0</v>
      </c>
      <c r="R44" s="138">
        <v>40544.0</v>
      </c>
      <c r="S44" s="138">
        <v>40575.0</v>
      </c>
      <c r="T44" s="138">
        <v>40603.0</v>
      </c>
      <c r="U44" s="138">
        <v>40634.0</v>
      </c>
      <c r="V44" s="138">
        <v>40664.0</v>
      </c>
      <c r="W44" s="138">
        <v>40695.0</v>
      </c>
      <c r="X44" s="138">
        <v>40725.0</v>
      </c>
      <c r="Y44" s="138">
        <v>40756.0</v>
      </c>
      <c r="Z44" s="138">
        <v>40787.0</v>
      </c>
      <c r="AA44" s="138">
        <v>40817.0</v>
      </c>
      <c r="AB44" s="138">
        <v>40848.0</v>
      </c>
      <c r="AC44" s="138">
        <v>40878.0</v>
      </c>
      <c r="AD44" s="138">
        <v>40909.0</v>
      </c>
      <c r="AE44" s="138">
        <v>40940.0</v>
      </c>
      <c r="AF44" s="138">
        <v>40969.0</v>
      </c>
      <c r="AG44" s="138">
        <v>41000.0</v>
      </c>
      <c r="AH44" s="138">
        <v>41030.0</v>
      </c>
      <c r="AI44" s="138">
        <v>41061.0</v>
      </c>
      <c r="AJ44" s="138">
        <v>41091.0</v>
      </c>
      <c r="AK44" s="138">
        <v>41122.0</v>
      </c>
      <c r="AL44" s="138">
        <v>41153.0</v>
      </c>
      <c r="AM44" s="138">
        <v>41183.0</v>
      </c>
      <c r="AN44" s="138">
        <v>41214.0</v>
      </c>
      <c r="AO44" s="138">
        <v>41244.0</v>
      </c>
      <c r="AP44" s="138">
        <v>41275.0</v>
      </c>
      <c r="AQ44" s="138">
        <v>41306.0</v>
      </c>
      <c r="AR44" s="138">
        <v>41334.0</v>
      </c>
      <c r="AS44" s="138">
        <v>41365.0</v>
      </c>
      <c r="AT44" s="138">
        <v>41395.0</v>
      </c>
      <c r="AU44" s="138">
        <v>41426.0</v>
      </c>
      <c r="AV44" s="138">
        <v>41456.0</v>
      </c>
      <c r="AW44" s="138">
        <v>41487.0</v>
      </c>
      <c r="AX44" s="138">
        <v>41518.0</v>
      </c>
      <c r="AY44" s="138">
        <v>41548.0</v>
      </c>
      <c r="AZ44" s="138">
        <v>41579.0</v>
      </c>
      <c r="BA44" s="138">
        <v>41609.0</v>
      </c>
      <c r="BB44" s="138">
        <v>41640.0</v>
      </c>
      <c r="BC44" s="138">
        <v>41671.0</v>
      </c>
      <c r="BD44" s="138">
        <v>41699.0</v>
      </c>
      <c r="BE44" s="138">
        <v>41730.0</v>
      </c>
      <c r="BF44" s="138">
        <v>41760.0</v>
      </c>
      <c r="BG44" s="138">
        <v>41791.0</v>
      </c>
      <c r="BH44" s="138">
        <v>41821.0</v>
      </c>
      <c r="BI44" s="138">
        <v>41852.0</v>
      </c>
      <c r="BJ44" s="138">
        <v>41883.0</v>
      </c>
      <c r="BK44" s="138">
        <v>41913.0</v>
      </c>
      <c r="BL44" s="138">
        <v>41944.0</v>
      </c>
      <c r="BM44" s="138">
        <v>41974.0</v>
      </c>
      <c r="BN44" s="139">
        <v>42005.0</v>
      </c>
      <c r="BO44" s="139">
        <v>42036.0</v>
      </c>
      <c r="BP44" s="139">
        <v>42064.0</v>
      </c>
      <c r="BQ44" s="139">
        <v>42095.0</v>
      </c>
      <c r="BR44" s="139">
        <v>42125.0</v>
      </c>
      <c r="BS44" s="139">
        <v>42156.0</v>
      </c>
      <c r="BT44" s="139">
        <v>42186.0</v>
      </c>
      <c r="BU44" s="139">
        <v>42217.0</v>
      </c>
      <c r="BV44" s="139">
        <v>42248.0</v>
      </c>
      <c r="BW44" s="139">
        <v>42278.0</v>
      </c>
      <c r="BX44" s="139">
        <v>42309.0</v>
      </c>
      <c r="BY44" s="139">
        <v>42339.0</v>
      </c>
      <c r="BZ44" s="139">
        <v>42370.0</v>
      </c>
      <c r="CA44" s="139">
        <v>42401.0</v>
      </c>
      <c r="CB44" s="139">
        <v>42430.0</v>
      </c>
      <c r="CC44" s="139">
        <v>42461.0</v>
      </c>
      <c r="CD44" s="139">
        <v>42491.0</v>
      </c>
      <c r="CE44" s="139">
        <v>42522.0</v>
      </c>
      <c r="CF44" s="139">
        <v>42552.0</v>
      </c>
      <c r="CG44" s="139">
        <v>42583.0</v>
      </c>
      <c r="CH44" s="139">
        <v>42614.0</v>
      </c>
      <c r="CI44" s="139">
        <v>42644.0</v>
      </c>
      <c r="CJ44" s="139">
        <v>42675.0</v>
      </c>
      <c r="CK44" s="139">
        <v>42705.0</v>
      </c>
      <c r="CL44" s="139">
        <v>42736.0</v>
      </c>
      <c r="CM44" s="139">
        <v>42767.0</v>
      </c>
      <c r="CN44" s="139">
        <v>42795.0</v>
      </c>
      <c r="CO44" s="139">
        <v>42826.0</v>
      </c>
      <c r="CP44" s="139">
        <v>42856.0</v>
      </c>
      <c r="CQ44" s="139">
        <v>42887.0</v>
      </c>
      <c r="CR44" s="139">
        <v>42917.0</v>
      </c>
      <c r="CS44" s="139">
        <v>42948.0</v>
      </c>
      <c r="CT44" s="139">
        <v>42979.0</v>
      </c>
      <c r="CU44" s="139">
        <v>43009.0</v>
      </c>
      <c r="CV44" s="139">
        <v>43040.0</v>
      </c>
      <c r="CW44" s="139">
        <v>43070.0</v>
      </c>
      <c r="CX44" s="139">
        <v>43101.0</v>
      </c>
      <c r="CY44" s="139">
        <v>43132.0</v>
      </c>
      <c r="CZ44" s="139">
        <v>43160.0</v>
      </c>
      <c r="DA44" s="139">
        <v>43191.0</v>
      </c>
      <c r="DB44" s="139">
        <v>43221.0</v>
      </c>
      <c r="DC44" s="139">
        <v>43252.0</v>
      </c>
      <c r="DD44" s="139">
        <v>43282.0</v>
      </c>
      <c r="DE44" s="139">
        <v>43313.0</v>
      </c>
      <c r="DF44" s="139">
        <v>43344.0</v>
      </c>
      <c r="DG44" s="139">
        <v>43374.0</v>
      </c>
      <c r="DH44" s="139">
        <v>43405.0</v>
      </c>
      <c r="DI44" s="139">
        <v>43435.0</v>
      </c>
      <c r="DJ44" s="139">
        <v>43466.0</v>
      </c>
      <c r="DK44" s="139">
        <v>43497.0</v>
      </c>
      <c r="DL44" s="139">
        <v>43525.0</v>
      </c>
      <c r="DM44" s="139">
        <v>43556.0</v>
      </c>
      <c r="DN44" s="139">
        <v>43586.0</v>
      </c>
      <c r="DO44" s="139">
        <v>43617.0</v>
      </c>
      <c r="DP44" s="139">
        <v>43647.0</v>
      </c>
      <c r="DQ44" s="139">
        <v>43678.0</v>
      </c>
      <c r="DR44" s="139">
        <v>43709.0</v>
      </c>
      <c r="DS44" s="139">
        <v>43739.0</v>
      </c>
      <c r="DT44" s="139">
        <v>43770.0</v>
      </c>
      <c r="DU44" s="139">
        <v>43800.0</v>
      </c>
      <c r="DV44" s="139">
        <v>43831.0</v>
      </c>
      <c r="DW44" s="139">
        <v>43862.0</v>
      </c>
      <c r="DX44" s="139">
        <v>43891.0</v>
      </c>
      <c r="DY44" s="139">
        <v>43922.0</v>
      </c>
      <c r="DZ44" s="139">
        <v>43952.0</v>
      </c>
      <c r="EA44" s="139">
        <v>43983.0</v>
      </c>
      <c r="EB44" s="139">
        <v>44013.0</v>
      </c>
      <c r="EC44" s="139">
        <v>44044.0</v>
      </c>
      <c r="ED44" s="139">
        <v>44075.0</v>
      </c>
      <c r="EE44" s="139">
        <v>44105.0</v>
      </c>
      <c r="EF44" s="139">
        <v>44136.0</v>
      </c>
      <c r="EG44" s="139">
        <v>44166.0</v>
      </c>
      <c r="EH44" s="139">
        <v>44197.0</v>
      </c>
      <c r="EI44" s="139">
        <v>44228.0</v>
      </c>
      <c r="EJ44" s="139">
        <v>44256.0</v>
      </c>
      <c r="EK44" s="139">
        <v>44287.0</v>
      </c>
      <c r="EL44" s="139">
        <v>44317.0</v>
      </c>
      <c r="EM44" s="139">
        <v>44348.0</v>
      </c>
      <c r="EN44" s="139">
        <v>44378.0</v>
      </c>
      <c r="EO44" s="139">
        <v>44409.0</v>
      </c>
      <c r="EP44" s="139">
        <v>44440.0</v>
      </c>
      <c r="EQ44" s="139">
        <v>44470.0</v>
      </c>
      <c r="ER44" s="139">
        <v>44501.0</v>
      </c>
      <c r="ES44" s="139">
        <v>44531.0</v>
      </c>
      <c r="ET44" s="139">
        <v>44562.0</v>
      </c>
      <c r="EU44" s="139">
        <v>44593.0</v>
      </c>
      <c r="EV44" s="139">
        <v>44621.0</v>
      </c>
      <c r="EW44" s="139">
        <v>44652.0</v>
      </c>
      <c r="EX44" s="139">
        <v>44682.0</v>
      </c>
      <c r="EY44" s="139">
        <v>44713.0</v>
      </c>
      <c r="EZ44" s="139">
        <v>44743.0</v>
      </c>
      <c r="FA44" s="139">
        <v>44774.0</v>
      </c>
      <c r="FB44" s="139">
        <v>44805.0</v>
      </c>
      <c r="FC44" s="139">
        <v>44835.0</v>
      </c>
      <c r="FD44" s="139">
        <v>44866.0</v>
      </c>
      <c r="FE44" s="139">
        <v>44896.0</v>
      </c>
      <c r="FF44" s="139">
        <v>44927.0</v>
      </c>
      <c r="FG44" s="139">
        <v>44958.0</v>
      </c>
      <c r="FH44" s="139">
        <v>44986.0</v>
      </c>
      <c r="FI44" s="139">
        <v>45017.0</v>
      </c>
      <c r="FJ44" s="139">
        <v>45047.0</v>
      </c>
      <c r="FK44" s="139">
        <v>45078.0</v>
      </c>
      <c r="FL44" s="139">
        <v>45108.0</v>
      </c>
      <c r="FM44" s="139">
        <v>45139.0</v>
      </c>
      <c r="FN44" s="139">
        <v>45170.0</v>
      </c>
      <c r="FO44" s="139">
        <v>45200.0</v>
      </c>
      <c r="FP44" s="139">
        <v>45231.0</v>
      </c>
      <c r="FQ44" s="139">
        <v>45261.0</v>
      </c>
      <c r="FR44" s="139">
        <v>45292.0</v>
      </c>
      <c r="FS44" s="139">
        <v>45323.0</v>
      </c>
      <c r="FT44" s="139">
        <v>45352.0</v>
      </c>
      <c r="FU44" s="139">
        <v>45383.0</v>
      </c>
      <c r="FV44" s="139">
        <v>45413.0</v>
      </c>
      <c r="FW44" s="139">
        <v>45444.0</v>
      </c>
      <c r="FX44" s="139">
        <v>45474.0</v>
      </c>
      <c r="FY44" s="139">
        <v>45505.0</v>
      </c>
      <c r="FZ44" s="139">
        <v>45536.0</v>
      </c>
      <c r="GA44" s="139">
        <v>45566.0</v>
      </c>
      <c r="GB44" s="139">
        <v>45597.0</v>
      </c>
      <c r="GC44" s="139">
        <v>45627.0</v>
      </c>
      <c r="GD44" s="139">
        <v>45658.0</v>
      </c>
      <c r="GE44" s="139">
        <v>45689.0</v>
      </c>
      <c r="GF44" s="139">
        <v>45717.0</v>
      </c>
      <c r="GG44" s="139">
        <v>45748.0</v>
      </c>
      <c r="GH44" s="139">
        <v>45778.0</v>
      </c>
      <c r="GI44" s="139">
        <v>45809.0</v>
      </c>
      <c r="GJ44" s="139">
        <v>45839.0</v>
      </c>
    </row>
    <row r="45">
      <c r="A45" s="133" t="s">
        <v>1825</v>
      </c>
      <c r="B45" s="134">
        <v>42012.65337962963</v>
      </c>
      <c r="C45" s="135" t="str">
        <f t="shared" si="1"/>
        <v>2015/01/08</v>
      </c>
      <c r="D45" s="136" t="s">
        <v>34260</v>
      </c>
      <c r="E45" s="151">
        <v>0.0</v>
      </c>
      <c r="F45" s="138">
        <v>40179.0</v>
      </c>
      <c r="G45" s="138">
        <v>40210.0</v>
      </c>
      <c r="H45" s="138">
        <v>40238.0</v>
      </c>
      <c r="I45" s="138">
        <v>40269.0</v>
      </c>
      <c r="J45" s="138">
        <v>40299.0</v>
      </c>
      <c r="K45" s="138">
        <v>40330.0</v>
      </c>
      <c r="L45" s="138">
        <v>40360.0</v>
      </c>
      <c r="M45" s="138">
        <v>40391.0</v>
      </c>
      <c r="N45" s="138">
        <v>40422.0</v>
      </c>
      <c r="O45" s="138">
        <v>40452.0</v>
      </c>
      <c r="P45" s="138">
        <v>40483.0</v>
      </c>
      <c r="Q45" s="138">
        <v>40513.0</v>
      </c>
      <c r="R45" s="138">
        <v>40544.0</v>
      </c>
      <c r="S45" s="138">
        <v>40575.0</v>
      </c>
      <c r="T45" s="138">
        <v>40603.0</v>
      </c>
      <c r="U45" s="138">
        <v>40634.0</v>
      </c>
      <c r="V45" s="138">
        <v>40664.0</v>
      </c>
      <c r="W45" s="138">
        <v>40695.0</v>
      </c>
      <c r="X45" s="138">
        <v>40725.0</v>
      </c>
      <c r="Y45" s="138">
        <v>40756.0</v>
      </c>
      <c r="Z45" s="138">
        <v>40787.0</v>
      </c>
      <c r="AA45" s="138">
        <v>40817.0</v>
      </c>
      <c r="AB45" s="138">
        <v>40848.0</v>
      </c>
      <c r="AC45" s="138">
        <v>40878.0</v>
      </c>
      <c r="AD45" s="138">
        <v>40909.0</v>
      </c>
      <c r="AE45" s="138">
        <v>40940.0</v>
      </c>
      <c r="AF45" s="138">
        <v>40969.0</v>
      </c>
      <c r="AG45" s="138">
        <v>41000.0</v>
      </c>
      <c r="AH45" s="138">
        <v>41030.0</v>
      </c>
      <c r="AI45" s="138">
        <v>41061.0</v>
      </c>
      <c r="AJ45" s="138">
        <v>41091.0</v>
      </c>
      <c r="AK45" s="138">
        <v>41122.0</v>
      </c>
      <c r="AL45" s="138">
        <v>41153.0</v>
      </c>
      <c r="AM45" s="138">
        <v>41183.0</v>
      </c>
      <c r="AN45" s="138">
        <v>41214.0</v>
      </c>
      <c r="AO45" s="138">
        <v>41244.0</v>
      </c>
      <c r="AP45" s="138">
        <v>41275.0</v>
      </c>
      <c r="AQ45" s="138">
        <v>41306.0</v>
      </c>
      <c r="AR45" s="138">
        <v>41334.0</v>
      </c>
      <c r="AS45" s="138">
        <v>41365.0</v>
      </c>
      <c r="AT45" s="138">
        <v>41395.0</v>
      </c>
      <c r="AU45" s="138">
        <v>41426.0</v>
      </c>
      <c r="AV45" s="138">
        <v>41456.0</v>
      </c>
      <c r="AW45" s="138">
        <v>41487.0</v>
      </c>
      <c r="AX45" s="138">
        <v>41518.0</v>
      </c>
      <c r="AY45" s="138">
        <v>41548.0</v>
      </c>
      <c r="AZ45" s="138">
        <v>41579.0</v>
      </c>
      <c r="BA45" s="138">
        <v>41609.0</v>
      </c>
      <c r="BB45" s="138">
        <v>41640.0</v>
      </c>
      <c r="BC45" s="138">
        <v>41671.0</v>
      </c>
      <c r="BD45" s="138">
        <v>41699.0</v>
      </c>
      <c r="BE45" s="138">
        <v>41730.0</v>
      </c>
      <c r="BF45" s="138">
        <v>41760.0</v>
      </c>
      <c r="BG45" s="138">
        <v>41791.0</v>
      </c>
      <c r="BH45" s="138">
        <v>41821.0</v>
      </c>
      <c r="BI45" s="138">
        <v>41852.0</v>
      </c>
      <c r="BJ45" s="138">
        <v>41883.0</v>
      </c>
      <c r="BK45" s="138">
        <v>41913.0</v>
      </c>
      <c r="BL45" s="138">
        <v>41944.0</v>
      </c>
      <c r="BM45" s="138">
        <v>41974.0</v>
      </c>
      <c r="BN45" s="138">
        <v>42005.0</v>
      </c>
      <c r="BO45" s="139">
        <v>42036.0</v>
      </c>
      <c r="BP45" s="139">
        <v>42064.0</v>
      </c>
      <c r="BQ45" s="139">
        <v>42095.0</v>
      </c>
      <c r="BR45" s="139">
        <v>42125.0</v>
      </c>
      <c r="BS45" s="139">
        <v>42156.0</v>
      </c>
      <c r="BT45" s="139">
        <v>42186.0</v>
      </c>
      <c r="BU45" s="139">
        <v>42217.0</v>
      </c>
      <c r="BV45" s="139">
        <v>42248.0</v>
      </c>
      <c r="BW45" s="139">
        <v>42278.0</v>
      </c>
      <c r="BX45" s="139">
        <v>42309.0</v>
      </c>
      <c r="BY45" s="139">
        <v>42339.0</v>
      </c>
      <c r="BZ45" s="139">
        <v>42370.0</v>
      </c>
      <c r="CA45" s="139">
        <v>42401.0</v>
      </c>
      <c r="CB45" s="139">
        <v>42430.0</v>
      </c>
      <c r="CC45" s="139">
        <v>42461.0</v>
      </c>
      <c r="CD45" s="139">
        <v>42491.0</v>
      </c>
      <c r="CE45" s="139">
        <v>42522.0</v>
      </c>
      <c r="CF45" s="139">
        <v>42552.0</v>
      </c>
      <c r="CG45" s="139">
        <v>42583.0</v>
      </c>
      <c r="CH45" s="139">
        <v>42614.0</v>
      </c>
      <c r="CI45" s="139">
        <v>42644.0</v>
      </c>
      <c r="CJ45" s="139">
        <v>42675.0</v>
      </c>
      <c r="CK45" s="139">
        <v>42705.0</v>
      </c>
      <c r="CL45" s="139">
        <v>42736.0</v>
      </c>
      <c r="CM45" s="139">
        <v>42767.0</v>
      </c>
      <c r="CN45" s="139">
        <v>42795.0</v>
      </c>
      <c r="CO45" s="139">
        <v>42826.0</v>
      </c>
      <c r="CP45" s="139">
        <v>42856.0</v>
      </c>
      <c r="CQ45" s="139">
        <v>42887.0</v>
      </c>
      <c r="CR45" s="139">
        <v>42917.0</v>
      </c>
      <c r="CS45" s="139">
        <v>42948.0</v>
      </c>
      <c r="CT45" s="139">
        <v>42979.0</v>
      </c>
      <c r="CU45" s="139">
        <v>43009.0</v>
      </c>
      <c r="CV45" s="139">
        <v>43040.0</v>
      </c>
      <c r="CW45" s="139">
        <v>43070.0</v>
      </c>
      <c r="CX45" s="139">
        <v>43101.0</v>
      </c>
      <c r="CY45" s="139">
        <v>43132.0</v>
      </c>
      <c r="CZ45" s="139">
        <v>43160.0</v>
      </c>
      <c r="DA45" s="139">
        <v>43191.0</v>
      </c>
      <c r="DB45" s="139">
        <v>43221.0</v>
      </c>
      <c r="DC45" s="139">
        <v>43252.0</v>
      </c>
      <c r="DD45" s="139">
        <v>43282.0</v>
      </c>
      <c r="DE45" s="139">
        <v>43313.0</v>
      </c>
      <c r="DF45" s="139">
        <v>43344.0</v>
      </c>
      <c r="DG45" s="139">
        <v>43374.0</v>
      </c>
      <c r="DH45" s="139">
        <v>43405.0</v>
      </c>
      <c r="DI45" s="139">
        <v>43435.0</v>
      </c>
      <c r="DJ45" s="139">
        <v>43466.0</v>
      </c>
      <c r="DK45" s="139">
        <v>43497.0</v>
      </c>
      <c r="DL45" s="139">
        <v>43525.0</v>
      </c>
      <c r="DM45" s="139">
        <v>43556.0</v>
      </c>
      <c r="DN45" s="139">
        <v>43586.0</v>
      </c>
      <c r="DO45" s="139">
        <v>43617.0</v>
      </c>
      <c r="DP45" s="139">
        <v>43647.0</v>
      </c>
      <c r="DQ45" s="139">
        <v>43678.0</v>
      </c>
      <c r="DR45" s="139">
        <v>43709.0</v>
      </c>
      <c r="DS45" s="139">
        <v>43739.0</v>
      </c>
      <c r="DT45" s="139">
        <v>43770.0</v>
      </c>
      <c r="DU45" s="139">
        <v>43800.0</v>
      </c>
      <c r="DV45" s="139">
        <v>43831.0</v>
      </c>
      <c r="DW45" s="139">
        <v>43862.0</v>
      </c>
      <c r="DX45" s="139">
        <v>43891.0</v>
      </c>
      <c r="DY45" s="139">
        <v>43922.0</v>
      </c>
      <c r="DZ45" s="139">
        <v>43952.0</v>
      </c>
      <c r="EA45" s="139">
        <v>43983.0</v>
      </c>
      <c r="EB45" s="139">
        <v>44013.0</v>
      </c>
      <c r="EC45" s="139">
        <v>44044.0</v>
      </c>
      <c r="ED45" s="139">
        <v>44075.0</v>
      </c>
      <c r="EE45" s="139">
        <v>44105.0</v>
      </c>
      <c r="EF45" s="139">
        <v>44136.0</v>
      </c>
      <c r="EG45" s="139">
        <v>44166.0</v>
      </c>
      <c r="EH45" s="139">
        <v>44197.0</v>
      </c>
      <c r="EI45" s="139">
        <v>44228.0</v>
      </c>
      <c r="EJ45" s="139">
        <v>44256.0</v>
      </c>
      <c r="EK45" s="139">
        <v>44287.0</v>
      </c>
      <c r="EL45" s="139">
        <v>44317.0</v>
      </c>
      <c r="EM45" s="139">
        <v>44348.0</v>
      </c>
      <c r="EN45" s="139">
        <v>44378.0</v>
      </c>
      <c r="EO45" s="139">
        <v>44409.0</v>
      </c>
      <c r="EP45" s="139">
        <v>44440.0</v>
      </c>
      <c r="EQ45" s="139">
        <v>44470.0</v>
      </c>
      <c r="ER45" s="139">
        <v>44501.0</v>
      </c>
      <c r="ES45" s="139">
        <v>44531.0</v>
      </c>
      <c r="ET45" s="139">
        <v>44562.0</v>
      </c>
      <c r="EU45" s="139">
        <v>44593.0</v>
      </c>
      <c r="EV45" s="139">
        <v>44621.0</v>
      </c>
      <c r="EW45" s="139">
        <v>44652.0</v>
      </c>
      <c r="EX45" s="139">
        <v>44682.0</v>
      </c>
      <c r="EY45" s="139">
        <v>44713.0</v>
      </c>
      <c r="EZ45" s="139">
        <v>44743.0</v>
      </c>
      <c r="FA45" s="139">
        <v>44774.0</v>
      </c>
      <c r="FB45" s="139">
        <v>44805.0</v>
      </c>
      <c r="FC45" s="139">
        <v>44835.0</v>
      </c>
      <c r="FD45" s="139">
        <v>44866.0</v>
      </c>
      <c r="FE45" s="139">
        <v>44896.0</v>
      </c>
      <c r="FF45" s="139">
        <v>44927.0</v>
      </c>
      <c r="FG45" s="139">
        <v>44958.0</v>
      </c>
      <c r="FH45" s="139">
        <v>44986.0</v>
      </c>
      <c r="FI45" s="139">
        <v>45017.0</v>
      </c>
      <c r="FJ45" s="139">
        <v>45047.0</v>
      </c>
      <c r="FK45" s="139">
        <v>45078.0</v>
      </c>
      <c r="FL45" s="139">
        <v>45108.0</v>
      </c>
      <c r="FM45" s="139">
        <v>45139.0</v>
      </c>
      <c r="FN45" s="139">
        <v>45170.0</v>
      </c>
      <c r="FO45" s="139">
        <v>45200.0</v>
      </c>
      <c r="FP45" s="139">
        <v>45231.0</v>
      </c>
      <c r="FQ45" s="139">
        <v>45261.0</v>
      </c>
      <c r="FR45" s="139">
        <v>45292.0</v>
      </c>
      <c r="FS45" s="139">
        <v>45323.0</v>
      </c>
      <c r="FT45" s="139">
        <v>45352.0</v>
      </c>
      <c r="FU45" s="139">
        <v>45383.0</v>
      </c>
      <c r="FV45" s="139">
        <v>45413.0</v>
      </c>
      <c r="FW45" s="139">
        <v>45444.0</v>
      </c>
      <c r="FX45" s="139">
        <v>45474.0</v>
      </c>
      <c r="FY45" s="139">
        <v>45505.0</v>
      </c>
      <c r="FZ45" s="139">
        <v>45536.0</v>
      </c>
      <c r="GA45" s="139">
        <v>45566.0</v>
      </c>
      <c r="GB45" s="139">
        <v>45597.0</v>
      </c>
      <c r="GC45" s="139">
        <v>45627.0</v>
      </c>
      <c r="GD45" s="139">
        <v>45658.0</v>
      </c>
      <c r="GE45" s="139">
        <v>45689.0</v>
      </c>
      <c r="GF45" s="139">
        <v>45717.0</v>
      </c>
      <c r="GG45" s="139">
        <v>45748.0</v>
      </c>
      <c r="GH45" s="139">
        <v>45778.0</v>
      </c>
      <c r="GI45" s="139">
        <v>45809.0</v>
      </c>
      <c r="GJ45" s="139">
        <v>45839.0</v>
      </c>
    </row>
    <row r="46">
      <c r="A46" s="133" t="s">
        <v>1690</v>
      </c>
      <c r="B46" s="134">
        <v>42059.635625</v>
      </c>
      <c r="C46" s="135" t="str">
        <f t="shared" si="1"/>
        <v>2015/02/24</v>
      </c>
      <c r="D46" s="136" t="s">
        <v>34261</v>
      </c>
      <c r="E46" s="151">
        <v>0.0</v>
      </c>
      <c r="F46" s="138">
        <v>40179.0</v>
      </c>
      <c r="G46" s="138">
        <v>40210.0</v>
      </c>
      <c r="H46" s="138">
        <v>40238.0</v>
      </c>
      <c r="I46" s="138">
        <v>40269.0</v>
      </c>
      <c r="J46" s="138">
        <v>40299.0</v>
      </c>
      <c r="K46" s="138">
        <v>40330.0</v>
      </c>
      <c r="L46" s="138">
        <v>40360.0</v>
      </c>
      <c r="M46" s="138">
        <v>40391.0</v>
      </c>
      <c r="N46" s="138">
        <v>40422.0</v>
      </c>
      <c r="O46" s="138">
        <v>40452.0</v>
      </c>
      <c r="P46" s="138">
        <v>40483.0</v>
      </c>
      <c r="Q46" s="138">
        <v>40513.0</v>
      </c>
      <c r="R46" s="138">
        <v>40544.0</v>
      </c>
      <c r="S46" s="138">
        <v>40575.0</v>
      </c>
      <c r="T46" s="138">
        <v>40603.0</v>
      </c>
      <c r="U46" s="138">
        <v>40634.0</v>
      </c>
      <c r="V46" s="138">
        <v>40664.0</v>
      </c>
      <c r="W46" s="138">
        <v>40695.0</v>
      </c>
      <c r="X46" s="138">
        <v>40725.0</v>
      </c>
      <c r="Y46" s="138">
        <v>40756.0</v>
      </c>
      <c r="Z46" s="138">
        <v>40787.0</v>
      </c>
      <c r="AA46" s="138">
        <v>40817.0</v>
      </c>
      <c r="AB46" s="138">
        <v>40848.0</v>
      </c>
      <c r="AC46" s="138">
        <v>40878.0</v>
      </c>
      <c r="AD46" s="138">
        <v>40909.0</v>
      </c>
      <c r="AE46" s="138">
        <v>40940.0</v>
      </c>
      <c r="AF46" s="138">
        <v>40969.0</v>
      </c>
      <c r="AG46" s="138">
        <v>41000.0</v>
      </c>
      <c r="AH46" s="138">
        <v>41030.0</v>
      </c>
      <c r="AI46" s="138">
        <v>41061.0</v>
      </c>
      <c r="AJ46" s="138">
        <v>41091.0</v>
      </c>
      <c r="AK46" s="138">
        <v>41122.0</v>
      </c>
      <c r="AL46" s="138">
        <v>41153.0</v>
      </c>
      <c r="AM46" s="138">
        <v>41183.0</v>
      </c>
      <c r="AN46" s="138">
        <v>41214.0</v>
      </c>
      <c r="AO46" s="138">
        <v>41244.0</v>
      </c>
      <c r="AP46" s="138">
        <v>41275.0</v>
      </c>
      <c r="AQ46" s="138">
        <v>41306.0</v>
      </c>
      <c r="AR46" s="138">
        <v>41334.0</v>
      </c>
      <c r="AS46" s="138">
        <v>41365.0</v>
      </c>
      <c r="AT46" s="138">
        <v>41395.0</v>
      </c>
      <c r="AU46" s="138">
        <v>41426.0</v>
      </c>
      <c r="AV46" s="138">
        <v>41456.0</v>
      </c>
      <c r="AW46" s="138">
        <v>41487.0</v>
      </c>
      <c r="AX46" s="138">
        <v>41518.0</v>
      </c>
      <c r="AY46" s="138">
        <v>41548.0</v>
      </c>
      <c r="AZ46" s="138">
        <v>41579.0</v>
      </c>
      <c r="BA46" s="138">
        <v>41609.0</v>
      </c>
      <c r="BB46" s="138">
        <v>41640.0</v>
      </c>
      <c r="BC46" s="138">
        <v>41671.0</v>
      </c>
      <c r="BD46" s="138">
        <v>41699.0</v>
      </c>
      <c r="BE46" s="138">
        <v>41730.0</v>
      </c>
      <c r="BF46" s="138">
        <v>41760.0</v>
      </c>
      <c r="BG46" s="138">
        <v>41791.0</v>
      </c>
      <c r="BH46" s="138">
        <v>41821.0</v>
      </c>
      <c r="BI46" s="138">
        <v>41852.0</v>
      </c>
      <c r="BJ46" s="138">
        <v>41883.0</v>
      </c>
      <c r="BK46" s="138">
        <v>41913.0</v>
      </c>
      <c r="BL46" s="138">
        <v>41944.0</v>
      </c>
      <c r="BM46" s="138">
        <v>41974.0</v>
      </c>
      <c r="BN46" s="138">
        <v>42005.0</v>
      </c>
      <c r="BO46" s="138">
        <v>42036.0</v>
      </c>
      <c r="BP46" s="139">
        <v>42064.0</v>
      </c>
      <c r="BQ46" s="139">
        <v>42095.0</v>
      </c>
      <c r="BR46" s="139">
        <v>42125.0</v>
      </c>
      <c r="BS46" s="139">
        <v>42156.0</v>
      </c>
      <c r="BT46" s="139">
        <v>42186.0</v>
      </c>
      <c r="BU46" s="139">
        <v>42217.0</v>
      </c>
      <c r="BV46" s="139">
        <v>42248.0</v>
      </c>
      <c r="BW46" s="139">
        <v>42278.0</v>
      </c>
      <c r="BX46" s="139">
        <v>42309.0</v>
      </c>
      <c r="BY46" s="139">
        <v>42339.0</v>
      </c>
      <c r="BZ46" s="139">
        <v>42370.0</v>
      </c>
      <c r="CA46" s="139">
        <v>42401.0</v>
      </c>
      <c r="CB46" s="139">
        <v>42430.0</v>
      </c>
      <c r="CC46" s="139">
        <v>42461.0</v>
      </c>
      <c r="CD46" s="139">
        <v>42491.0</v>
      </c>
      <c r="CE46" s="139">
        <v>42522.0</v>
      </c>
      <c r="CF46" s="139">
        <v>42552.0</v>
      </c>
      <c r="CG46" s="139">
        <v>42583.0</v>
      </c>
      <c r="CH46" s="139">
        <v>42614.0</v>
      </c>
      <c r="CI46" s="139">
        <v>42644.0</v>
      </c>
      <c r="CJ46" s="139">
        <v>42675.0</v>
      </c>
      <c r="CK46" s="139">
        <v>42705.0</v>
      </c>
      <c r="CL46" s="139">
        <v>42736.0</v>
      </c>
      <c r="CM46" s="139">
        <v>42767.0</v>
      </c>
      <c r="CN46" s="139">
        <v>42795.0</v>
      </c>
      <c r="CO46" s="139">
        <v>42826.0</v>
      </c>
      <c r="CP46" s="139">
        <v>42856.0</v>
      </c>
      <c r="CQ46" s="139">
        <v>42887.0</v>
      </c>
      <c r="CR46" s="139">
        <v>42917.0</v>
      </c>
      <c r="CS46" s="139">
        <v>42948.0</v>
      </c>
      <c r="CT46" s="139">
        <v>42979.0</v>
      </c>
      <c r="CU46" s="139">
        <v>43009.0</v>
      </c>
      <c r="CV46" s="139">
        <v>43040.0</v>
      </c>
      <c r="CW46" s="139">
        <v>43070.0</v>
      </c>
      <c r="CX46" s="139">
        <v>43101.0</v>
      </c>
      <c r="CY46" s="139">
        <v>43132.0</v>
      </c>
      <c r="CZ46" s="139">
        <v>43160.0</v>
      </c>
      <c r="DA46" s="139">
        <v>43191.0</v>
      </c>
      <c r="DB46" s="139">
        <v>43221.0</v>
      </c>
      <c r="DC46" s="139">
        <v>43252.0</v>
      </c>
      <c r="DD46" s="139">
        <v>43282.0</v>
      </c>
      <c r="DE46" s="139">
        <v>43313.0</v>
      </c>
      <c r="DF46" s="139">
        <v>43344.0</v>
      </c>
      <c r="DG46" s="139">
        <v>43374.0</v>
      </c>
      <c r="DH46" s="139">
        <v>43405.0</v>
      </c>
      <c r="DI46" s="139">
        <v>43435.0</v>
      </c>
      <c r="DJ46" s="139">
        <v>43466.0</v>
      </c>
      <c r="DK46" s="139">
        <v>43497.0</v>
      </c>
      <c r="DL46" s="139">
        <v>43525.0</v>
      </c>
      <c r="DM46" s="139">
        <v>43556.0</v>
      </c>
      <c r="DN46" s="139">
        <v>43586.0</v>
      </c>
      <c r="DO46" s="139">
        <v>43617.0</v>
      </c>
      <c r="DP46" s="139">
        <v>43647.0</v>
      </c>
      <c r="DQ46" s="139">
        <v>43678.0</v>
      </c>
      <c r="DR46" s="139">
        <v>43709.0</v>
      </c>
      <c r="DS46" s="139">
        <v>43739.0</v>
      </c>
      <c r="DT46" s="139">
        <v>43770.0</v>
      </c>
      <c r="DU46" s="139">
        <v>43800.0</v>
      </c>
      <c r="DV46" s="139">
        <v>43831.0</v>
      </c>
      <c r="DW46" s="139">
        <v>43862.0</v>
      </c>
      <c r="DX46" s="139">
        <v>43891.0</v>
      </c>
      <c r="DY46" s="139">
        <v>43922.0</v>
      </c>
      <c r="DZ46" s="139">
        <v>43952.0</v>
      </c>
      <c r="EA46" s="139">
        <v>43983.0</v>
      </c>
      <c r="EB46" s="139">
        <v>44013.0</v>
      </c>
      <c r="EC46" s="139">
        <v>44044.0</v>
      </c>
      <c r="ED46" s="139">
        <v>44075.0</v>
      </c>
      <c r="EE46" s="139">
        <v>44105.0</v>
      </c>
      <c r="EF46" s="139">
        <v>44136.0</v>
      </c>
      <c r="EG46" s="139">
        <v>44166.0</v>
      </c>
      <c r="EH46" s="139">
        <v>44197.0</v>
      </c>
      <c r="EI46" s="139">
        <v>44228.0</v>
      </c>
      <c r="EJ46" s="139">
        <v>44256.0</v>
      </c>
      <c r="EK46" s="139">
        <v>44287.0</v>
      </c>
      <c r="EL46" s="139">
        <v>44317.0</v>
      </c>
      <c r="EM46" s="139">
        <v>44348.0</v>
      </c>
      <c r="EN46" s="139">
        <v>44378.0</v>
      </c>
      <c r="EO46" s="139">
        <v>44409.0</v>
      </c>
      <c r="EP46" s="139">
        <v>44440.0</v>
      </c>
      <c r="EQ46" s="139">
        <v>44470.0</v>
      </c>
      <c r="ER46" s="139">
        <v>44501.0</v>
      </c>
      <c r="ES46" s="139">
        <v>44531.0</v>
      </c>
      <c r="ET46" s="139">
        <v>44562.0</v>
      </c>
      <c r="EU46" s="139">
        <v>44593.0</v>
      </c>
      <c r="EV46" s="139">
        <v>44621.0</v>
      </c>
      <c r="EW46" s="139">
        <v>44652.0</v>
      </c>
      <c r="EX46" s="139">
        <v>44682.0</v>
      </c>
      <c r="EY46" s="139">
        <v>44713.0</v>
      </c>
      <c r="EZ46" s="139">
        <v>44743.0</v>
      </c>
      <c r="FA46" s="139">
        <v>44774.0</v>
      </c>
      <c r="FB46" s="139">
        <v>44805.0</v>
      </c>
      <c r="FC46" s="139">
        <v>44835.0</v>
      </c>
      <c r="FD46" s="139">
        <v>44866.0</v>
      </c>
      <c r="FE46" s="139">
        <v>44896.0</v>
      </c>
      <c r="FF46" s="139">
        <v>44927.0</v>
      </c>
      <c r="FG46" s="139">
        <v>44958.0</v>
      </c>
      <c r="FH46" s="139">
        <v>44986.0</v>
      </c>
      <c r="FI46" s="139">
        <v>45017.0</v>
      </c>
      <c r="FJ46" s="139">
        <v>45047.0</v>
      </c>
      <c r="FK46" s="139">
        <v>45078.0</v>
      </c>
      <c r="FL46" s="139">
        <v>45108.0</v>
      </c>
      <c r="FM46" s="139">
        <v>45139.0</v>
      </c>
      <c r="FN46" s="139">
        <v>45170.0</v>
      </c>
      <c r="FO46" s="139">
        <v>45200.0</v>
      </c>
      <c r="FP46" s="139">
        <v>45231.0</v>
      </c>
      <c r="FQ46" s="139">
        <v>45261.0</v>
      </c>
      <c r="FR46" s="139">
        <v>45292.0</v>
      </c>
      <c r="FS46" s="139">
        <v>45323.0</v>
      </c>
      <c r="FT46" s="139">
        <v>45352.0</v>
      </c>
      <c r="FU46" s="139">
        <v>45383.0</v>
      </c>
      <c r="FV46" s="139">
        <v>45413.0</v>
      </c>
      <c r="FW46" s="139">
        <v>45444.0</v>
      </c>
      <c r="FX46" s="139">
        <v>45474.0</v>
      </c>
      <c r="FY46" s="139">
        <v>45505.0</v>
      </c>
      <c r="FZ46" s="139">
        <v>45536.0</v>
      </c>
      <c r="GA46" s="139">
        <v>45566.0</v>
      </c>
      <c r="GB46" s="139">
        <v>45597.0</v>
      </c>
      <c r="GC46" s="139">
        <v>45627.0</v>
      </c>
      <c r="GD46" s="139">
        <v>45658.0</v>
      </c>
      <c r="GE46" s="139">
        <v>45689.0</v>
      </c>
      <c r="GF46" s="139">
        <v>45717.0</v>
      </c>
      <c r="GG46" s="139">
        <v>45748.0</v>
      </c>
      <c r="GH46" s="139">
        <v>45778.0</v>
      </c>
      <c r="GI46" s="139">
        <v>45809.0</v>
      </c>
      <c r="GJ46" s="139">
        <v>45839.0</v>
      </c>
    </row>
    <row r="47">
      <c r="A47" s="133" t="s">
        <v>1763</v>
      </c>
      <c r="B47" s="134">
        <v>42072.63905092593</v>
      </c>
      <c r="C47" s="135" t="str">
        <f t="shared" si="1"/>
        <v>2015/03/09</v>
      </c>
      <c r="D47" s="136" t="s">
        <v>34262</v>
      </c>
      <c r="E47" s="151">
        <v>0.0</v>
      </c>
      <c r="F47" s="138">
        <v>40179.0</v>
      </c>
      <c r="G47" s="138">
        <v>40210.0</v>
      </c>
      <c r="H47" s="138">
        <v>40238.0</v>
      </c>
      <c r="I47" s="138">
        <v>40269.0</v>
      </c>
      <c r="J47" s="138">
        <v>40299.0</v>
      </c>
      <c r="K47" s="138">
        <v>40330.0</v>
      </c>
      <c r="L47" s="138">
        <v>40360.0</v>
      </c>
      <c r="M47" s="138">
        <v>40391.0</v>
      </c>
      <c r="N47" s="138">
        <v>40422.0</v>
      </c>
      <c r="O47" s="138">
        <v>40452.0</v>
      </c>
      <c r="P47" s="138">
        <v>40483.0</v>
      </c>
      <c r="Q47" s="138">
        <v>40513.0</v>
      </c>
      <c r="R47" s="138">
        <v>40544.0</v>
      </c>
      <c r="S47" s="138">
        <v>40575.0</v>
      </c>
      <c r="T47" s="138">
        <v>40603.0</v>
      </c>
      <c r="U47" s="138">
        <v>40634.0</v>
      </c>
      <c r="V47" s="138">
        <v>40664.0</v>
      </c>
      <c r="W47" s="138">
        <v>40695.0</v>
      </c>
      <c r="X47" s="138">
        <v>40725.0</v>
      </c>
      <c r="Y47" s="138">
        <v>40756.0</v>
      </c>
      <c r="Z47" s="138">
        <v>40787.0</v>
      </c>
      <c r="AA47" s="138">
        <v>40817.0</v>
      </c>
      <c r="AB47" s="138">
        <v>40848.0</v>
      </c>
      <c r="AC47" s="138">
        <v>40878.0</v>
      </c>
      <c r="AD47" s="138">
        <v>40909.0</v>
      </c>
      <c r="AE47" s="138">
        <v>40940.0</v>
      </c>
      <c r="AF47" s="138">
        <v>40969.0</v>
      </c>
      <c r="AG47" s="138">
        <v>41000.0</v>
      </c>
      <c r="AH47" s="138">
        <v>41030.0</v>
      </c>
      <c r="AI47" s="138">
        <v>41061.0</v>
      </c>
      <c r="AJ47" s="138">
        <v>41091.0</v>
      </c>
      <c r="AK47" s="138">
        <v>41122.0</v>
      </c>
      <c r="AL47" s="138">
        <v>41153.0</v>
      </c>
      <c r="AM47" s="138">
        <v>41183.0</v>
      </c>
      <c r="AN47" s="138">
        <v>41214.0</v>
      </c>
      <c r="AO47" s="138">
        <v>41244.0</v>
      </c>
      <c r="AP47" s="138">
        <v>41275.0</v>
      </c>
      <c r="AQ47" s="138">
        <v>41306.0</v>
      </c>
      <c r="AR47" s="138">
        <v>41334.0</v>
      </c>
      <c r="AS47" s="138">
        <v>41365.0</v>
      </c>
      <c r="AT47" s="138">
        <v>41395.0</v>
      </c>
      <c r="AU47" s="138">
        <v>41426.0</v>
      </c>
      <c r="AV47" s="138">
        <v>41456.0</v>
      </c>
      <c r="AW47" s="138">
        <v>41487.0</v>
      </c>
      <c r="AX47" s="138">
        <v>41518.0</v>
      </c>
      <c r="AY47" s="138">
        <v>41548.0</v>
      </c>
      <c r="AZ47" s="138">
        <v>41579.0</v>
      </c>
      <c r="BA47" s="138">
        <v>41609.0</v>
      </c>
      <c r="BB47" s="138">
        <v>41640.0</v>
      </c>
      <c r="BC47" s="138">
        <v>41671.0</v>
      </c>
      <c r="BD47" s="138">
        <v>41699.0</v>
      </c>
      <c r="BE47" s="138">
        <v>41730.0</v>
      </c>
      <c r="BF47" s="138">
        <v>41760.0</v>
      </c>
      <c r="BG47" s="138">
        <v>41791.0</v>
      </c>
      <c r="BH47" s="138">
        <v>41821.0</v>
      </c>
      <c r="BI47" s="138">
        <v>41852.0</v>
      </c>
      <c r="BJ47" s="138">
        <v>41883.0</v>
      </c>
      <c r="BK47" s="138">
        <v>41913.0</v>
      </c>
      <c r="BL47" s="138">
        <v>41944.0</v>
      </c>
      <c r="BM47" s="138">
        <v>41974.0</v>
      </c>
      <c r="BN47" s="138">
        <v>42005.0</v>
      </c>
      <c r="BO47" s="138">
        <v>42036.0</v>
      </c>
      <c r="BP47" s="138">
        <v>42064.0</v>
      </c>
      <c r="BQ47" s="139">
        <v>42095.0</v>
      </c>
      <c r="BR47" s="139">
        <v>42125.0</v>
      </c>
      <c r="BS47" s="139">
        <v>42156.0</v>
      </c>
      <c r="BT47" s="139">
        <v>42186.0</v>
      </c>
      <c r="BU47" s="139">
        <v>42217.0</v>
      </c>
      <c r="BV47" s="139">
        <v>42248.0</v>
      </c>
      <c r="BW47" s="139">
        <v>42278.0</v>
      </c>
      <c r="BX47" s="139">
        <v>42309.0</v>
      </c>
      <c r="BY47" s="139">
        <v>42339.0</v>
      </c>
      <c r="BZ47" s="139">
        <v>42370.0</v>
      </c>
      <c r="CA47" s="139">
        <v>42401.0</v>
      </c>
      <c r="CB47" s="139">
        <v>42430.0</v>
      </c>
      <c r="CC47" s="139">
        <v>42461.0</v>
      </c>
      <c r="CD47" s="139">
        <v>42491.0</v>
      </c>
      <c r="CE47" s="139">
        <v>42522.0</v>
      </c>
      <c r="CF47" s="139">
        <v>42552.0</v>
      </c>
      <c r="CG47" s="139">
        <v>42583.0</v>
      </c>
      <c r="CH47" s="139">
        <v>42614.0</v>
      </c>
      <c r="CI47" s="139">
        <v>42644.0</v>
      </c>
      <c r="CJ47" s="139">
        <v>42675.0</v>
      </c>
      <c r="CK47" s="139">
        <v>42705.0</v>
      </c>
      <c r="CL47" s="139">
        <v>42736.0</v>
      </c>
      <c r="CM47" s="139">
        <v>42767.0</v>
      </c>
      <c r="CN47" s="139">
        <v>42795.0</v>
      </c>
      <c r="CO47" s="139">
        <v>42826.0</v>
      </c>
      <c r="CP47" s="139">
        <v>42856.0</v>
      </c>
      <c r="CQ47" s="139">
        <v>42887.0</v>
      </c>
      <c r="CR47" s="139">
        <v>42917.0</v>
      </c>
      <c r="CS47" s="139">
        <v>42948.0</v>
      </c>
      <c r="CT47" s="139">
        <v>42979.0</v>
      </c>
      <c r="CU47" s="139">
        <v>43009.0</v>
      </c>
      <c r="CV47" s="139">
        <v>43040.0</v>
      </c>
      <c r="CW47" s="139">
        <v>43070.0</v>
      </c>
      <c r="CX47" s="139">
        <v>43101.0</v>
      </c>
      <c r="CY47" s="139">
        <v>43132.0</v>
      </c>
      <c r="CZ47" s="139">
        <v>43160.0</v>
      </c>
      <c r="DA47" s="139">
        <v>43191.0</v>
      </c>
      <c r="DB47" s="139">
        <v>43221.0</v>
      </c>
      <c r="DC47" s="139">
        <v>43252.0</v>
      </c>
      <c r="DD47" s="139">
        <v>43282.0</v>
      </c>
      <c r="DE47" s="139">
        <v>43313.0</v>
      </c>
      <c r="DF47" s="139">
        <v>43344.0</v>
      </c>
      <c r="DG47" s="139">
        <v>43374.0</v>
      </c>
      <c r="DH47" s="139">
        <v>43405.0</v>
      </c>
      <c r="DI47" s="139">
        <v>43435.0</v>
      </c>
      <c r="DJ47" s="139">
        <v>43466.0</v>
      </c>
      <c r="DK47" s="139">
        <v>43497.0</v>
      </c>
      <c r="DL47" s="139">
        <v>43525.0</v>
      </c>
      <c r="DM47" s="139">
        <v>43556.0</v>
      </c>
      <c r="DN47" s="139">
        <v>43586.0</v>
      </c>
      <c r="DO47" s="139">
        <v>43617.0</v>
      </c>
      <c r="DP47" s="139">
        <v>43647.0</v>
      </c>
      <c r="DQ47" s="139">
        <v>43678.0</v>
      </c>
      <c r="DR47" s="139">
        <v>43709.0</v>
      </c>
      <c r="DS47" s="139">
        <v>43739.0</v>
      </c>
      <c r="DT47" s="139">
        <v>43770.0</v>
      </c>
      <c r="DU47" s="139">
        <v>43800.0</v>
      </c>
      <c r="DV47" s="139">
        <v>43831.0</v>
      </c>
      <c r="DW47" s="139">
        <v>43862.0</v>
      </c>
      <c r="DX47" s="139">
        <v>43891.0</v>
      </c>
      <c r="DY47" s="139">
        <v>43922.0</v>
      </c>
      <c r="DZ47" s="139">
        <v>43952.0</v>
      </c>
      <c r="EA47" s="139">
        <v>43983.0</v>
      </c>
      <c r="EB47" s="139">
        <v>44013.0</v>
      </c>
      <c r="EC47" s="139">
        <v>44044.0</v>
      </c>
      <c r="ED47" s="139">
        <v>44075.0</v>
      </c>
      <c r="EE47" s="139">
        <v>44105.0</v>
      </c>
      <c r="EF47" s="139">
        <v>44136.0</v>
      </c>
      <c r="EG47" s="139">
        <v>44166.0</v>
      </c>
      <c r="EH47" s="139">
        <v>44197.0</v>
      </c>
      <c r="EI47" s="139">
        <v>44228.0</v>
      </c>
      <c r="EJ47" s="139">
        <v>44256.0</v>
      </c>
      <c r="EK47" s="139">
        <v>44287.0</v>
      </c>
      <c r="EL47" s="139">
        <v>44317.0</v>
      </c>
      <c r="EM47" s="139">
        <v>44348.0</v>
      </c>
      <c r="EN47" s="139">
        <v>44378.0</v>
      </c>
      <c r="EO47" s="139">
        <v>44409.0</v>
      </c>
      <c r="EP47" s="139">
        <v>44440.0</v>
      </c>
      <c r="EQ47" s="139">
        <v>44470.0</v>
      </c>
      <c r="ER47" s="139">
        <v>44501.0</v>
      </c>
      <c r="ES47" s="139">
        <v>44531.0</v>
      </c>
      <c r="ET47" s="139">
        <v>44562.0</v>
      </c>
      <c r="EU47" s="139">
        <v>44593.0</v>
      </c>
      <c r="EV47" s="139">
        <v>44621.0</v>
      </c>
      <c r="EW47" s="139">
        <v>44652.0</v>
      </c>
      <c r="EX47" s="139">
        <v>44682.0</v>
      </c>
      <c r="EY47" s="139">
        <v>44713.0</v>
      </c>
      <c r="EZ47" s="139">
        <v>44743.0</v>
      </c>
      <c r="FA47" s="139">
        <v>44774.0</v>
      </c>
      <c r="FB47" s="139">
        <v>44805.0</v>
      </c>
      <c r="FC47" s="139">
        <v>44835.0</v>
      </c>
      <c r="FD47" s="139">
        <v>44866.0</v>
      </c>
      <c r="FE47" s="139">
        <v>44896.0</v>
      </c>
      <c r="FF47" s="139">
        <v>44927.0</v>
      </c>
      <c r="FG47" s="139">
        <v>44958.0</v>
      </c>
      <c r="FH47" s="139">
        <v>44986.0</v>
      </c>
      <c r="FI47" s="139">
        <v>45017.0</v>
      </c>
      <c r="FJ47" s="139">
        <v>45047.0</v>
      </c>
      <c r="FK47" s="139">
        <v>45078.0</v>
      </c>
      <c r="FL47" s="139">
        <v>45108.0</v>
      </c>
      <c r="FM47" s="139">
        <v>45139.0</v>
      </c>
      <c r="FN47" s="139">
        <v>45170.0</v>
      </c>
      <c r="FO47" s="139">
        <v>45200.0</v>
      </c>
      <c r="FP47" s="139">
        <v>45231.0</v>
      </c>
      <c r="FQ47" s="139">
        <v>45261.0</v>
      </c>
      <c r="FR47" s="139">
        <v>45292.0</v>
      </c>
      <c r="FS47" s="139">
        <v>45323.0</v>
      </c>
      <c r="FT47" s="139">
        <v>45352.0</v>
      </c>
      <c r="FU47" s="139">
        <v>45383.0</v>
      </c>
      <c r="FV47" s="139">
        <v>45413.0</v>
      </c>
      <c r="FW47" s="139">
        <v>45444.0</v>
      </c>
      <c r="FX47" s="139">
        <v>45474.0</v>
      </c>
      <c r="FY47" s="139">
        <v>45505.0</v>
      </c>
      <c r="FZ47" s="139">
        <v>45536.0</v>
      </c>
      <c r="GA47" s="139">
        <v>45566.0</v>
      </c>
      <c r="GB47" s="139">
        <v>45597.0</v>
      </c>
      <c r="GC47" s="139">
        <v>45627.0</v>
      </c>
      <c r="GD47" s="139">
        <v>45658.0</v>
      </c>
      <c r="GE47" s="139">
        <v>45689.0</v>
      </c>
      <c r="GF47" s="139">
        <v>45717.0</v>
      </c>
      <c r="GG47" s="139">
        <v>45748.0</v>
      </c>
      <c r="GH47" s="139">
        <v>45778.0</v>
      </c>
      <c r="GI47" s="139">
        <v>45809.0</v>
      </c>
      <c r="GJ47" s="139">
        <v>45839.0</v>
      </c>
    </row>
    <row r="48">
      <c r="A48" s="133" t="s">
        <v>1840</v>
      </c>
      <c r="B48" s="134">
        <v>42101.853634259256</v>
      </c>
      <c r="C48" s="135" t="str">
        <f t="shared" si="1"/>
        <v>2015/04/07</v>
      </c>
      <c r="D48" s="136" t="s">
        <v>34263</v>
      </c>
      <c r="E48" s="151">
        <v>0.0</v>
      </c>
      <c r="F48" s="138">
        <v>40179.0</v>
      </c>
      <c r="G48" s="138">
        <v>40210.0</v>
      </c>
      <c r="H48" s="138">
        <v>40238.0</v>
      </c>
      <c r="I48" s="138">
        <v>40269.0</v>
      </c>
      <c r="J48" s="138">
        <v>40299.0</v>
      </c>
      <c r="K48" s="138">
        <v>40330.0</v>
      </c>
      <c r="L48" s="138">
        <v>40360.0</v>
      </c>
      <c r="M48" s="138">
        <v>40391.0</v>
      </c>
      <c r="N48" s="138">
        <v>40422.0</v>
      </c>
      <c r="O48" s="138">
        <v>40452.0</v>
      </c>
      <c r="P48" s="138">
        <v>40483.0</v>
      </c>
      <c r="Q48" s="138">
        <v>40513.0</v>
      </c>
      <c r="R48" s="138">
        <v>40544.0</v>
      </c>
      <c r="S48" s="138">
        <v>40575.0</v>
      </c>
      <c r="T48" s="138">
        <v>40603.0</v>
      </c>
      <c r="U48" s="138">
        <v>40634.0</v>
      </c>
      <c r="V48" s="138">
        <v>40664.0</v>
      </c>
      <c r="W48" s="138">
        <v>40695.0</v>
      </c>
      <c r="X48" s="138">
        <v>40725.0</v>
      </c>
      <c r="Y48" s="138">
        <v>40756.0</v>
      </c>
      <c r="Z48" s="138">
        <v>40787.0</v>
      </c>
      <c r="AA48" s="138">
        <v>40817.0</v>
      </c>
      <c r="AB48" s="138">
        <v>40848.0</v>
      </c>
      <c r="AC48" s="138">
        <v>40878.0</v>
      </c>
      <c r="AD48" s="138">
        <v>40909.0</v>
      </c>
      <c r="AE48" s="138">
        <v>40940.0</v>
      </c>
      <c r="AF48" s="138">
        <v>40969.0</v>
      </c>
      <c r="AG48" s="138">
        <v>41000.0</v>
      </c>
      <c r="AH48" s="138">
        <v>41030.0</v>
      </c>
      <c r="AI48" s="138">
        <v>41061.0</v>
      </c>
      <c r="AJ48" s="138">
        <v>41091.0</v>
      </c>
      <c r="AK48" s="138">
        <v>41122.0</v>
      </c>
      <c r="AL48" s="138">
        <v>41153.0</v>
      </c>
      <c r="AM48" s="138">
        <v>41183.0</v>
      </c>
      <c r="AN48" s="138">
        <v>41214.0</v>
      </c>
      <c r="AO48" s="138">
        <v>41244.0</v>
      </c>
      <c r="AP48" s="138">
        <v>41275.0</v>
      </c>
      <c r="AQ48" s="138">
        <v>41306.0</v>
      </c>
      <c r="AR48" s="138">
        <v>41334.0</v>
      </c>
      <c r="AS48" s="138">
        <v>41365.0</v>
      </c>
      <c r="AT48" s="138">
        <v>41395.0</v>
      </c>
      <c r="AU48" s="138">
        <v>41426.0</v>
      </c>
      <c r="AV48" s="138">
        <v>41456.0</v>
      </c>
      <c r="AW48" s="138">
        <v>41487.0</v>
      </c>
      <c r="AX48" s="138">
        <v>41518.0</v>
      </c>
      <c r="AY48" s="138">
        <v>41548.0</v>
      </c>
      <c r="AZ48" s="138">
        <v>41579.0</v>
      </c>
      <c r="BA48" s="138">
        <v>41609.0</v>
      </c>
      <c r="BB48" s="138">
        <v>41640.0</v>
      </c>
      <c r="BC48" s="138">
        <v>41671.0</v>
      </c>
      <c r="BD48" s="138">
        <v>41699.0</v>
      </c>
      <c r="BE48" s="138">
        <v>41730.0</v>
      </c>
      <c r="BF48" s="138">
        <v>41760.0</v>
      </c>
      <c r="BG48" s="138">
        <v>41791.0</v>
      </c>
      <c r="BH48" s="138">
        <v>41821.0</v>
      </c>
      <c r="BI48" s="138">
        <v>41852.0</v>
      </c>
      <c r="BJ48" s="138">
        <v>41883.0</v>
      </c>
      <c r="BK48" s="138">
        <v>41913.0</v>
      </c>
      <c r="BL48" s="138">
        <v>41944.0</v>
      </c>
      <c r="BM48" s="138">
        <v>41974.0</v>
      </c>
      <c r="BN48" s="138">
        <v>42005.0</v>
      </c>
      <c r="BO48" s="138">
        <v>42036.0</v>
      </c>
      <c r="BP48" s="138">
        <v>42064.0</v>
      </c>
      <c r="BQ48" s="138">
        <v>42095.0</v>
      </c>
      <c r="BR48" s="139">
        <v>42125.0</v>
      </c>
      <c r="BS48" s="139">
        <v>42156.0</v>
      </c>
      <c r="BT48" s="139">
        <v>42186.0</v>
      </c>
      <c r="BU48" s="139">
        <v>42217.0</v>
      </c>
      <c r="BV48" s="139">
        <v>42248.0</v>
      </c>
      <c r="BW48" s="139">
        <v>42278.0</v>
      </c>
      <c r="BX48" s="139">
        <v>42309.0</v>
      </c>
      <c r="BY48" s="139">
        <v>42339.0</v>
      </c>
      <c r="BZ48" s="139">
        <v>42370.0</v>
      </c>
      <c r="CA48" s="139">
        <v>42401.0</v>
      </c>
      <c r="CB48" s="139">
        <v>42430.0</v>
      </c>
      <c r="CC48" s="139">
        <v>42461.0</v>
      </c>
      <c r="CD48" s="139">
        <v>42491.0</v>
      </c>
      <c r="CE48" s="139">
        <v>42522.0</v>
      </c>
      <c r="CF48" s="139">
        <v>42552.0</v>
      </c>
      <c r="CG48" s="139">
        <v>42583.0</v>
      </c>
      <c r="CH48" s="139">
        <v>42614.0</v>
      </c>
      <c r="CI48" s="139">
        <v>42644.0</v>
      </c>
      <c r="CJ48" s="139">
        <v>42675.0</v>
      </c>
      <c r="CK48" s="139">
        <v>42705.0</v>
      </c>
      <c r="CL48" s="139">
        <v>42736.0</v>
      </c>
      <c r="CM48" s="139">
        <v>42767.0</v>
      </c>
      <c r="CN48" s="139">
        <v>42795.0</v>
      </c>
      <c r="CO48" s="139">
        <v>42826.0</v>
      </c>
      <c r="CP48" s="139">
        <v>42856.0</v>
      </c>
      <c r="CQ48" s="139">
        <v>42887.0</v>
      </c>
      <c r="CR48" s="139">
        <v>42917.0</v>
      </c>
      <c r="CS48" s="139">
        <v>42948.0</v>
      </c>
      <c r="CT48" s="139">
        <v>42979.0</v>
      </c>
      <c r="CU48" s="139">
        <v>43009.0</v>
      </c>
      <c r="CV48" s="139">
        <v>43040.0</v>
      </c>
      <c r="CW48" s="139">
        <v>43070.0</v>
      </c>
      <c r="CX48" s="139">
        <v>43101.0</v>
      </c>
      <c r="CY48" s="139">
        <v>43132.0</v>
      </c>
      <c r="CZ48" s="139">
        <v>43160.0</v>
      </c>
      <c r="DA48" s="139">
        <v>43191.0</v>
      </c>
      <c r="DB48" s="139">
        <v>43221.0</v>
      </c>
      <c r="DC48" s="139">
        <v>43252.0</v>
      </c>
      <c r="DD48" s="139">
        <v>43282.0</v>
      </c>
      <c r="DE48" s="139">
        <v>43313.0</v>
      </c>
      <c r="DF48" s="139">
        <v>43344.0</v>
      </c>
      <c r="DG48" s="139">
        <v>43374.0</v>
      </c>
      <c r="DH48" s="139">
        <v>43405.0</v>
      </c>
      <c r="DI48" s="139">
        <v>43435.0</v>
      </c>
      <c r="DJ48" s="139">
        <v>43466.0</v>
      </c>
      <c r="DK48" s="139">
        <v>43497.0</v>
      </c>
      <c r="DL48" s="139">
        <v>43525.0</v>
      </c>
      <c r="DM48" s="139">
        <v>43556.0</v>
      </c>
      <c r="DN48" s="139">
        <v>43586.0</v>
      </c>
      <c r="DO48" s="139">
        <v>43617.0</v>
      </c>
      <c r="DP48" s="139">
        <v>43647.0</v>
      </c>
      <c r="DQ48" s="139">
        <v>43678.0</v>
      </c>
      <c r="DR48" s="139">
        <v>43709.0</v>
      </c>
      <c r="DS48" s="139">
        <v>43739.0</v>
      </c>
      <c r="DT48" s="139">
        <v>43770.0</v>
      </c>
      <c r="DU48" s="139">
        <v>43800.0</v>
      </c>
      <c r="DV48" s="139">
        <v>43831.0</v>
      </c>
      <c r="DW48" s="139">
        <v>43862.0</v>
      </c>
      <c r="DX48" s="139">
        <v>43891.0</v>
      </c>
      <c r="DY48" s="139">
        <v>43922.0</v>
      </c>
      <c r="DZ48" s="139">
        <v>43952.0</v>
      </c>
      <c r="EA48" s="139">
        <v>43983.0</v>
      </c>
      <c r="EB48" s="139">
        <v>44013.0</v>
      </c>
      <c r="EC48" s="139">
        <v>44044.0</v>
      </c>
      <c r="ED48" s="139">
        <v>44075.0</v>
      </c>
      <c r="EE48" s="139">
        <v>44105.0</v>
      </c>
      <c r="EF48" s="139">
        <v>44136.0</v>
      </c>
      <c r="EG48" s="139">
        <v>44166.0</v>
      </c>
      <c r="EH48" s="139">
        <v>44197.0</v>
      </c>
      <c r="EI48" s="139">
        <v>44228.0</v>
      </c>
      <c r="EJ48" s="139">
        <v>44256.0</v>
      </c>
      <c r="EK48" s="139">
        <v>44287.0</v>
      </c>
      <c r="EL48" s="139">
        <v>44317.0</v>
      </c>
      <c r="EM48" s="139">
        <v>44348.0</v>
      </c>
      <c r="EN48" s="139">
        <v>44378.0</v>
      </c>
      <c r="EO48" s="139">
        <v>44409.0</v>
      </c>
      <c r="EP48" s="139">
        <v>44440.0</v>
      </c>
      <c r="EQ48" s="139">
        <v>44470.0</v>
      </c>
      <c r="ER48" s="139">
        <v>44501.0</v>
      </c>
      <c r="ES48" s="139">
        <v>44531.0</v>
      </c>
      <c r="ET48" s="139">
        <v>44562.0</v>
      </c>
      <c r="EU48" s="139">
        <v>44593.0</v>
      </c>
      <c r="EV48" s="139">
        <v>44621.0</v>
      </c>
      <c r="EW48" s="139">
        <v>44652.0</v>
      </c>
      <c r="EX48" s="139">
        <v>44682.0</v>
      </c>
      <c r="EY48" s="139">
        <v>44713.0</v>
      </c>
      <c r="EZ48" s="139">
        <v>44743.0</v>
      </c>
      <c r="FA48" s="139">
        <v>44774.0</v>
      </c>
      <c r="FB48" s="139">
        <v>44805.0</v>
      </c>
      <c r="FC48" s="139">
        <v>44835.0</v>
      </c>
      <c r="FD48" s="139">
        <v>44866.0</v>
      </c>
      <c r="FE48" s="139">
        <v>44896.0</v>
      </c>
      <c r="FF48" s="139">
        <v>44927.0</v>
      </c>
      <c r="FG48" s="139">
        <v>44958.0</v>
      </c>
      <c r="FH48" s="139">
        <v>44986.0</v>
      </c>
      <c r="FI48" s="139">
        <v>45017.0</v>
      </c>
      <c r="FJ48" s="139">
        <v>45047.0</v>
      </c>
      <c r="FK48" s="139">
        <v>45078.0</v>
      </c>
      <c r="FL48" s="139">
        <v>45108.0</v>
      </c>
      <c r="FM48" s="139">
        <v>45139.0</v>
      </c>
      <c r="FN48" s="139">
        <v>45170.0</v>
      </c>
      <c r="FO48" s="139">
        <v>45200.0</v>
      </c>
      <c r="FP48" s="139">
        <v>45231.0</v>
      </c>
      <c r="FQ48" s="139">
        <v>45261.0</v>
      </c>
      <c r="FR48" s="139">
        <v>45292.0</v>
      </c>
      <c r="FS48" s="139">
        <v>45323.0</v>
      </c>
      <c r="FT48" s="139">
        <v>45352.0</v>
      </c>
      <c r="FU48" s="139">
        <v>45383.0</v>
      </c>
      <c r="FV48" s="139">
        <v>45413.0</v>
      </c>
      <c r="FW48" s="139">
        <v>45444.0</v>
      </c>
      <c r="FX48" s="139">
        <v>45474.0</v>
      </c>
      <c r="FY48" s="139">
        <v>45505.0</v>
      </c>
      <c r="FZ48" s="139">
        <v>45536.0</v>
      </c>
      <c r="GA48" s="139">
        <v>45566.0</v>
      </c>
      <c r="GB48" s="139">
        <v>45597.0</v>
      </c>
      <c r="GC48" s="139">
        <v>45627.0</v>
      </c>
      <c r="GD48" s="139">
        <v>45658.0</v>
      </c>
      <c r="GE48" s="139">
        <v>45689.0</v>
      </c>
      <c r="GF48" s="139">
        <v>45717.0</v>
      </c>
      <c r="GG48" s="139">
        <v>45748.0</v>
      </c>
      <c r="GH48" s="139">
        <v>45778.0</v>
      </c>
      <c r="GI48" s="139">
        <v>45809.0</v>
      </c>
      <c r="GJ48" s="139">
        <v>45839.0</v>
      </c>
    </row>
    <row r="49">
      <c r="A49" s="133" t="s">
        <v>1746</v>
      </c>
      <c r="B49" s="134">
        <v>42125.58583333333</v>
      </c>
      <c r="C49" s="135" t="str">
        <f t="shared" si="1"/>
        <v>2015/05/01</v>
      </c>
      <c r="D49" s="136" t="s">
        <v>33974</v>
      </c>
      <c r="E49" s="151">
        <v>0.0</v>
      </c>
      <c r="F49" s="138">
        <v>40179.0</v>
      </c>
      <c r="G49" s="138">
        <v>40210.0</v>
      </c>
      <c r="H49" s="138">
        <v>40238.0</v>
      </c>
      <c r="I49" s="138">
        <v>40269.0</v>
      </c>
      <c r="J49" s="138">
        <v>40299.0</v>
      </c>
      <c r="K49" s="138">
        <v>40330.0</v>
      </c>
      <c r="L49" s="138">
        <v>40360.0</v>
      </c>
      <c r="M49" s="138">
        <v>40391.0</v>
      </c>
      <c r="N49" s="138">
        <v>40422.0</v>
      </c>
      <c r="O49" s="138">
        <v>40452.0</v>
      </c>
      <c r="P49" s="138">
        <v>40483.0</v>
      </c>
      <c r="Q49" s="138">
        <v>40513.0</v>
      </c>
      <c r="R49" s="138">
        <v>40544.0</v>
      </c>
      <c r="S49" s="138">
        <v>40575.0</v>
      </c>
      <c r="T49" s="138">
        <v>40603.0</v>
      </c>
      <c r="U49" s="138">
        <v>40634.0</v>
      </c>
      <c r="V49" s="138">
        <v>40664.0</v>
      </c>
      <c r="W49" s="138">
        <v>40695.0</v>
      </c>
      <c r="X49" s="138">
        <v>40725.0</v>
      </c>
      <c r="Y49" s="138">
        <v>40756.0</v>
      </c>
      <c r="Z49" s="138">
        <v>40787.0</v>
      </c>
      <c r="AA49" s="138">
        <v>40817.0</v>
      </c>
      <c r="AB49" s="138">
        <v>40848.0</v>
      </c>
      <c r="AC49" s="138">
        <v>40878.0</v>
      </c>
      <c r="AD49" s="138">
        <v>40909.0</v>
      </c>
      <c r="AE49" s="138">
        <v>40940.0</v>
      </c>
      <c r="AF49" s="138">
        <v>40969.0</v>
      </c>
      <c r="AG49" s="138">
        <v>41000.0</v>
      </c>
      <c r="AH49" s="138">
        <v>41030.0</v>
      </c>
      <c r="AI49" s="138">
        <v>41061.0</v>
      </c>
      <c r="AJ49" s="138">
        <v>41091.0</v>
      </c>
      <c r="AK49" s="138">
        <v>41122.0</v>
      </c>
      <c r="AL49" s="138">
        <v>41153.0</v>
      </c>
      <c r="AM49" s="138">
        <v>41183.0</v>
      </c>
      <c r="AN49" s="138">
        <v>41214.0</v>
      </c>
      <c r="AO49" s="138">
        <v>41244.0</v>
      </c>
      <c r="AP49" s="138">
        <v>41275.0</v>
      </c>
      <c r="AQ49" s="138">
        <v>41306.0</v>
      </c>
      <c r="AR49" s="138">
        <v>41334.0</v>
      </c>
      <c r="AS49" s="138">
        <v>41365.0</v>
      </c>
      <c r="AT49" s="138">
        <v>41395.0</v>
      </c>
      <c r="AU49" s="138">
        <v>41426.0</v>
      </c>
      <c r="AV49" s="138">
        <v>41456.0</v>
      </c>
      <c r="AW49" s="138">
        <v>41487.0</v>
      </c>
      <c r="AX49" s="138">
        <v>41518.0</v>
      </c>
      <c r="AY49" s="138">
        <v>41548.0</v>
      </c>
      <c r="AZ49" s="138">
        <v>41579.0</v>
      </c>
      <c r="BA49" s="138">
        <v>41609.0</v>
      </c>
      <c r="BB49" s="138">
        <v>41640.0</v>
      </c>
      <c r="BC49" s="138">
        <v>41671.0</v>
      </c>
      <c r="BD49" s="138">
        <v>41699.0</v>
      </c>
      <c r="BE49" s="138">
        <v>41730.0</v>
      </c>
      <c r="BF49" s="138">
        <v>41760.0</v>
      </c>
      <c r="BG49" s="138">
        <v>41791.0</v>
      </c>
      <c r="BH49" s="138">
        <v>41821.0</v>
      </c>
      <c r="BI49" s="138">
        <v>41852.0</v>
      </c>
      <c r="BJ49" s="138">
        <v>41883.0</v>
      </c>
      <c r="BK49" s="138">
        <v>41913.0</v>
      </c>
      <c r="BL49" s="138">
        <v>41944.0</v>
      </c>
      <c r="BM49" s="138">
        <v>41974.0</v>
      </c>
      <c r="BN49" s="138">
        <v>42005.0</v>
      </c>
      <c r="BO49" s="138">
        <v>42036.0</v>
      </c>
      <c r="BP49" s="138">
        <v>42064.0</v>
      </c>
      <c r="BQ49" s="138">
        <v>42095.0</v>
      </c>
      <c r="BR49" s="138">
        <v>42125.0</v>
      </c>
      <c r="BS49" s="139">
        <v>42156.0</v>
      </c>
      <c r="BT49" s="139">
        <v>42186.0</v>
      </c>
      <c r="BU49" s="139">
        <v>42217.0</v>
      </c>
      <c r="BV49" s="139">
        <v>42248.0</v>
      </c>
      <c r="BW49" s="139">
        <v>42278.0</v>
      </c>
      <c r="BX49" s="139">
        <v>42309.0</v>
      </c>
      <c r="BY49" s="139">
        <v>42339.0</v>
      </c>
      <c r="BZ49" s="139">
        <v>42370.0</v>
      </c>
      <c r="CA49" s="139">
        <v>42401.0</v>
      </c>
      <c r="CB49" s="139">
        <v>42430.0</v>
      </c>
      <c r="CC49" s="139">
        <v>42461.0</v>
      </c>
      <c r="CD49" s="139">
        <v>42491.0</v>
      </c>
      <c r="CE49" s="139">
        <v>42522.0</v>
      </c>
      <c r="CF49" s="139">
        <v>42552.0</v>
      </c>
      <c r="CG49" s="139">
        <v>42583.0</v>
      </c>
      <c r="CH49" s="139">
        <v>42614.0</v>
      </c>
      <c r="CI49" s="139">
        <v>42644.0</v>
      </c>
      <c r="CJ49" s="139">
        <v>42675.0</v>
      </c>
      <c r="CK49" s="139">
        <v>42705.0</v>
      </c>
      <c r="CL49" s="139">
        <v>42736.0</v>
      </c>
      <c r="CM49" s="139">
        <v>42767.0</v>
      </c>
      <c r="CN49" s="139">
        <v>42795.0</v>
      </c>
      <c r="CO49" s="139">
        <v>42826.0</v>
      </c>
      <c r="CP49" s="139">
        <v>42856.0</v>
      </c>
      <c r="CQ49" s="139">
        <v>42887.0</v>
      </c>
      <c r="CR49" s="139">
        <v>42917.0</v>
      </c>
      <c r="CS49" s="139">
        <v>42948.0</v>
      </c>
      <c r="CT49" s="139">
        <v>42979.0</v>
      </c>
      <c r="CU49" s="139">
        <v>43009.0</v>
      </c>
      <c r="CV49" s="139">
        <v>43040.0</v>
      </c>
      <c r="CW49" s="139">
        <v>43070.0</v>
      </c>
      <c r="CX49" s="139">
        <v>43101.0</v>
      </c>
      <c r="CY49" s="139">
        <v>43132.0</v>
      </c>
      <c r="CZ49" s="139">
        <v>43160.0</v>
      </c>
      <c r="DA49" s="139">
        <v>43191.0</v>
      </c>
      <c r="DB49" s="139">
        <v>43221.0</v>
      </c>
      <c r="DC49" s="139">
        <v>43252.0</v>
      </c>
      <c r="DD49" s="139">
        <v>43282.0</v>
      </c>
      <c r="DE49" s="139">
        <v>43313.0</v>
      </c>
      <c r="DF49" s="139">
        <v>43344.0</v>
      </c>
      <c r="DG49" s="139">
        <v>43374.0</v>
      </c>
      <c r="DH49" s="139">
        <v>43405.0</v>
      </c>
      <c r="DI49" s="139">
        <v>43435.0</v>
      </c>
      <c r="DJ49" s="139">
        <v>43466.0</v>
      </c>
      <c r="DK49" s="139">
        <v>43497.0</v>
      </c>
      <c r="DL49" s="139">
        <v>43525.0</v>
      </c>
      <c r="DM49" s="139">
        <v>43556.0</v>
      </c>
      <c r="DN49" s="139">
        <v>43586.0</v>
      </c>
      <c r="DO49" s="139">
        <v>43617.0</v>
      </c>
      <c r="DP49" s="139">
        <v>43647.0</v>
      </c>
      <c r="DQ49" s="139">
        <v>43678.0</v>
      </c>
      <c r="DR49" s="139">
        <v>43709.0</v>
      </c>
      <c r="DS49" s="139">
        <v>43739.0</v>
      </c>
      <c r="DT49" s="139">
        <v>43770.0</v>
      </c>
      <c r="DU49" s="139">
        <v>43800.0</v>
      </c>
      <c r="DV49" s="139">
        <v>43831.0</v>
      </c>
      <c r="DW49" s="139">
        <v>43862.0</v>
      </c>
      <c r="DX49" s="139">
        <v>43891.0</v>
      </c>
      <c r="DY49" s="139">
        <v>43922.0</v>
      </c>
      <c r="DZ49" s="139">
        <v>43952.0</v>
      </c>
      <c r="EA49" s="139">
        <v>43983.0</v>
      </c>
      <c r="EB49" s="139">
        <v>44013.0</v>
      </c>
      <c r="EC49" s="139">
        <v>44044.0</v>
      </c>
      <c r="ED49" s="139">
        <v>44075.0</v>
      </c>
      <c r="EE49" s="139">
        <v>44105.0</v>
      </c>
      <c r="EF49" s="139">
        <v>44136.0</v>
      </c>
      <c r="EG49" s="139">
        <v>44166.0</v>
      </c>
      <c r="EH49" s="139">
        <v>44197.0</v>
      </c>
      <c r="EI49" s="139">
        <v>44228.0</v>
      </c>
      <c r="EJ49" s="139">
        <v>44256.0</v>
      </c>
      <c r="EK49" s="139">
        <v>44287.0</v>
      </c>
      <c r="EL49" s="139">
        <v>44317.0</v>
      </c>
      <c r="EM49" s="139">
        <v>44348.0</v>
      </c>
      <c r="EN49" s="139">
        <v>44378.0</v>
      </c>
      <c r="EO49" s="139">
        <v>44409.0</v>
      </c>
      <c r="EP49" s="139">
        <v>44440.0</v>
      </c>
      <c r="EQ49" s="139">
        <v>44470.0</v>
      </c>
      <c r="ER49" s="139">
        <v>44501.0</v>
      </c>
      <c r="ES49" s="139">
        <v>44531.0</v>
      </c>
      <c r="ET49" s="139">
        <v>44562.0</v>
      </c>
      <c r="EU49" s="139">
        <v>44593.0</v>
      </c>
      <c r="EV49" s="139">
        <v>44621.0</v>
      </c>
      <c r="EW49" s="139">
        <v>44652.0</v>
      </c>
      <c r="EX49" s="139">
        <v>44682.0</v>
      </c>
      <c r="EY49" s="139">
        <v>44713.0</v>
      </c>
      <c r="EZ49" s="139">
        <v>44743.0</v>
      </c>
      <c r="FA49" s="139">
        <v>44774.0</v>
      </c>
      <c r="FB49" s="139">
        <v>44805.0</v>
      </c>
      <c r="FC49" s="139">
        <v>44835.0</v>
      </c>
      <c r="FD49" s="139">
        <v>44866.0</v>
      </c>
      <c r="FE49" s="139">
        <v>44896.0</v>
      </c>
      <c r="FF49" s="139">
        <v>44927.0</v>
      </c>
      <c r="FG49" s="139">
        <v>44958.0</v>
      </c>
      <c r="FH49" s="139">
        <v>44986.0</v>
      </c>
      <c r="FI49" s="139">
        <v>45017.0</v>
      </c>
      <c r="FJ49" s="139">
        <v>45047.0</v>
      </c>
      <c r="FK49" s="139">
        <v>45078.0</v>
      </c>
      <c r="FL49" s="139">
        <v>45108.0</v>
      </c>
      <c r="FM49" s="139">
        <v>45139.0</v>
      </c>
      <c r="FN49" s="139">
        <v>45170.0</v>
      </c>
      <c r="FO49" s="139">
        <v>45200.0</v>
      </c>
      <c r="FP49" s="139">
        <v>45231.0</v>
      </c>
      <c r="FQ49" s="139">
        <v>45261.0</v>
      </c>
      <c r="FR49" s="139">
        <v>45292.0</v>
      </c>
      <c r="FS49" s="139">
        <v>45323.0</v>
      </c>
      <c r="FT49" s="139">
        <v>45352.0</v>
      </c>
      <c r="FU49" s="139">
        <v>45383.0</v>
      </c>
      <c r="FV49" s="139">
        <v>45413.0</v>
      </c>
      <c r="FW49" s="139">
        <v>45444.0</v>
      </c>
      <c r="FX49" s="139">
        <v>45474.0</v>
      </c>
      <c r="FY49" s="139">
        <v>45505.0</v>
      </c>
      <c r="FZ49" s="139">
        <v>45536.0</v>
      </c>
      <c r="GA49" s="139">
        <v>45566.0</v>
      </c>
      <c r="GB49" s="139">
        <v>45597.0</v>
      </c>
      <c r="GC49" s="139">
        <v>45627.0</v>
      </c>
      <c r="GD49" s="139">
        <v>45658.0</v>
      </c>
      <c r="GE49" s="139">
        <v>45689.0</v>
      </c>
      <c r="GF49" s="139">
        <v>45717.0</v>
      </c>
      <c r="GG49" s="139">
        <v>45748.0</v>
      </c>
      <c r="GH49" s="139">
        <v>45778.0</v>
      </c>
      <c r="GI49" s="139">
        <v>45809.0</v>
      </c>
      <c r="GJ49" s="139">
        <v>45839.0</v>
      </c>
    </row>
    <row r="50">
      <c r="A50" s="133" t="s">
        <v>1477</v>
      </c>
      <c r="B50" s="134">
        <v>42131.49717592593</v>
      </c>
      <c r="C50" s="135" t="str">
        <f t="shared" si="1"/>
        <v>2015/05/07</v>
      </c>
      <c r="D50" s="136" t="s">
        <v>33912</v>
      </c>
      <c r="E50" s="151">
        <v>0.0</v>
      </c>
      <c r="F50" s="138">
        <v>40179.0</v>
      </c>
      <c r="G50" s="138">
        <v>40210.0</v>
      </c>
      <c r="H50" s="138">
        <v>40238.0</v>
      </c>
      <c r="I50" s="138">
        <v>40269.0</v>
      </c>
      <c r="J50" s="138">
        <v>40299.0</v>
      </c>
      <c r="K50" s="138">
        <v>40330.0</v>
      </c>
      <c r="L50" s="138">
        <v>40360.0</v>
      </c>
      <c r="M50" s="138">
        <v>40391.0</v>
      </c>
      <c r="N50" s="138">
        <v>40422.0</v>
      </c>
      <c r="O50" s="138">
        <v>40452.0</v>
      </c>
      <c r="P50" s="138">
        <v>40483.0</v>
      </c>
      <c r="Q50" s="138">
        <v>40513.0</v>
      </c>
      <c r="R50" s="138">
        <v>40544.0</v>
      </c>
      <c r="S50" s="138">
        <v>40575.0</v>
      </c>
      <c r="T50" s="138">
        <v>40603.0</v>
      </c>
      <c r="U50" s="138">
        <v>40634.0</v>
      </c>
      <c r="V50" s="138">
        <v>40664.0</v>
      </c>
      <c r="W50" s="138">
        <v>40695.0</v>
      </c>
      <c r="X50" s="138">
        <v>40725.0</v>
      </c>
      <c r="Y50" s="138">
        <v>40756.0</v>
      </c>
      <c r="Z50" s="138">
        <v>40787.0</v>
      </c>
      <c r="AA50" s="138">
        <v>40817.0</v>
      </c>
      <c r="AB50" s="138">
        <v>40848.0</v>
      </c>
      <c r="AC50" s="138">
        <v>40878.0</v>
      </c>
      <c r="AD50" s="138">
        <v>40909.0</v>
      </c>
      <c r="AE50" s="138">
        <v>40940.0</v>
      </c>
      <c r="AF50" s="138">
        <v>40969.0</v>
      </c>
      <c r="AG50" s="138">
        <v>41000.0</v>
      </c>
      <c r="AH50" s="138">
        <v>41030.0</v>
      </c>
      <c r="AI50" s="138">
        <v>41061.0</v>
      </c>
      <c r="AJ50" s="138">
        <v>41091.0</v>
      </c>
      <c r="AK50" s="138">
        <v>41122.0</v>
      </c>
      <c r="AL50" s="138">
        <v>41153.0</v>
      </c>
      <c r="AM50" s="138">
        <v>41183.0</v>
      </c>
      <c r="AN50" s="138">
        <v>41214.0</v>
      </c>
      <c r="AO50" s="138">
        <v>41244.0</v>
      </c>
      <c r="AP50" s="138">
        <v>41275.0</v>
      </c>
      <c r="AQ50" s="138">
        <v>41306.0</v>
      </c>
      <c r="AR50" s="138">
        <v>41334.0</v>
      </c>
      <c r="AS50" s="138">
        <v>41365.0</v>
      </c>
      <c r="AT50" s="138">
        <v>41395.0</v>
      </c>
      <c r="AU50" s="138">
        <v>41426.0</v>
      </c>
      <c r="AV50" s="138">
        <v>41456.0</v>
      </c>
      <c r="AW50" s="138">
        <v>41487.0</v>
      </c>
      <c r="AX50" s="138">
        <v>41518.0</v>
      </c>
      <c r="AY50" s="138">
        <v>41548.0</v>
      </c>
      <c r="AZ50" s="138">
        <v>41579.0</v>
      </c>
      <c r="BA50" s="138">
        <v>41609.0</v>
      </c>
      <c r="BB50" s="138">
        <v>41640.0</v>
      </c>
      <c r="BC50" s="138">
        <v>41671.0</v>
      </c>
      <c r="BD50" s="138">
        <v>41699.0</v>
      </c>
      <c r="BE50" s="138">
        <v>41730.0</v>
      </c>
      <c r="BF50" s="138">
        <v>41760.0</v>
      </c>
      <c r="BG50" s="138">
        <v>41791.0</v>
      </c>
      <c r="BH50" s="138">
        <v>41821.0</v>
      </c>
      <c r="BI50" s="138">
        <v>41852.0</v>
      </c>
      <c r="BJ50" s="138">
        <v>41883.0</v>
      </c>
      <c r="BK50" s="138">
        <v>41913.0</v>
      </c>
      <c r="BL50" s="138">
        <v>41944.0</v>
      </c>
      <c r="BM50" s="138">
        <v>41974.0</v>
      </c>
      <c r="BN50" s="138">
        <v>42005.0</v>
      </c>
      <c r="BO50" s="138">
        <v>42036.0</v>
      </c>
      <c r="BP50" s="138">
        <v>42064.0</v>
      </c>
      <c r="BQ50" s="138">
        <v>42095.0</v>
      </c>
      <c r="BR50" s="138">
        <v>42125.0</v>
      </c>
      <c r="BS50" s="139">
        <v>42156.0</v>
      </c>
      <c r="BT50" s="139">
        <v>42186.0</v>
      </c>
      <c r="BU50" s="139">
        <v>42217.0</v>
      </c>
      <c r="BV50" s="139">
        <v>42248.0</v>
      </c>
      <c r="BW50" s="139">
        <v>42278.0</v>
      </c>
      <c r="BX50" s="139">
        <v>42309.0</v>
      </c>
      <c r="BY50" s="139">
        <v>42339.0</v>
      </c>
      <c r="BZ50" s="139">
        <v>42370.0</v>
      </c>
      <c r="CA50" s="139">
        <v>42401.0</v>
      </c>
      <c r="CB50" s="139">
        <v>42430.0</v>
      </c>
      <c r="CC50" s="139">
        <v>42461.0</v>
      </c>
      <c r="CD50" s="139">
        <v>42491.0</v>
      </c>
      <c r="CE50" s="139">
        <v>42522.0</v>
      </c>
      <c r="CF50" s="139">
        <v>42552.0</v>
      </c>
      <c r="CG50" s="139">
        <v>42583.0</v>
      </c>
      <c r="CH50" s="139">
        <v>42614.0</v>
      </c>
      <c r="CI50" s="139">
        <v>42644.0</v>
      </c>
      <c r="CJ50" s="139">
        <v>42675.0</v>
      </c>
      <c r="CK50" s="139">
        <v>42705.0</v>
      </c>
      <c r="CL50" s="139">
        <v>42736.0</v>
      </c>
      <c r="CM50" s="139">
        <v>42767.0</v>
      </c>
      <c r="CN50" s="139">
        <v>42795.0</v>
      </c>
      <c r="CO50" s="139">
        <v>42826.0</v>
      </c>
      <c r="CP50" s="139">
        <v>42856.0</v>
      </c>
      <c r="CQ50" s="139">
        <v>42887.0</v>
      </c>
      <c r="CR50" s="139">
        <v>42917.0</v>
      </c>
      <c r="CS50" s="139">
        <v>42948.0</v>
      </c>
      <c r="CT50" s="139">
        <v>42979.0</v>
      </c>
      <c r="CU50" s="139">
        <v>43009.0</v>
      </c>
      <c r="CV50" s="139">
        <v>43040.0</v>
      </c>
      <c r="CW50" s="139">
        <v>43070.0</v>
      </c>
      <c r="CX50" s="139">
        <v>43101.0</v>
      </c>
      <c r="CY50" s="139">
        <v>43132.0</v>
      </c>
      <c r="CZ50" s="139">
        <v>43160.0</v>
      </c>
      <c r="DA50" s="139">
        <v>43191.0</v>
      </c>
      <c r="DB50" s="139">
        <v>43221.0</v>
      </c>
      <c r="DC50" s="139">
        <v>43252.0</v>
      </c>
      <c r="DD50" s="139">
        <v>43282.0</v>
      </c>
      <c r="DE50" s="139">
        <v>43313.0</v>
      </c>
      <c r="DF50" s="139">
        <v>43344.0</v>
      </c>
      <c r="DG50" s="139">
        <v>43374.0</v>
      </c>
      <c r="DH50" s="139">
        <v>43405.0</v>
      </c>
      <c r="DI50" s="139">
        <v>43435.0</v>
      </c>
      <c r="DJ50" s="139">
        <v>43466.0</v>
      </c>
      <c r="DK50" s="139">
        <v>43497.0</v>
      </c>
      <c r="DL50" s="139">
        <v>43525.0</v>
      </c>
      <c r="DM50" s="139">
        <v>43556.0</v>
      </c>
      <c r="DN50" s="139">
        <v>43586.0</v>
      </c>
      <c r="DO50" s="139">
        <v>43617.0</v>
      </c>
      <c r="DP50" s="139">
        <v>43647.0</v>
      </c>
      <c r="DQ50" s="139">
        <v>43678.0</v>
      </c>
      <c r="DR50" s="139">
        <v>43709.0</v>
      </c>
      <c r="DS50" s="139">
        <v>43739.0</v>
      </c>
      <c r="DT50" s="139">
        <v>43770.0</v>
      </c>
      <c r="DU50" s="139">
        <v>43800.0</v>
      </c>
      <c r="DV50" s="139">
        <v>43831.0</v>
      </c>
      <c r="DW50" s="139">
        <v>43862.0</v>
      </c>
      <c r="DX50" s="139">
        <v>43891.0</v>
      </c>
      <c r="DY50" s="139">
        <v>43922.0</v>
      </c>
      <c r="DZ50" s="139">
        <v>43952.0</v>
      </c>
      <c r="EA50" s="139">
        <v>43983.0</v>
      </c>
      <c r="EB50" s="139">
        <v>44013.0</v>
      </c>
      <c r="EC50" s="139">
        <v>44044.0</v>
      </c>
      <c r="ED50" s="139">
        <v>44075.0</v>
      </c>
      <c r="EE50" s="139">
        <v>44105.0</v>
      </c>
      <c r="EF50" s="139">
        <v>44136.0</v>
      </c>
      <c r="EG50" s="139">
        <v>44166.0</v>
      </c>
      <c r="EH50" s="139">
        <v>44197.0</v>
      </c>
      <c r="EI50" s="139">
        <v>44228.0</v>
      </c>
      <c r="EJ50" s="139">
        <v>44256.0</v>
      </c>
      <c r="EK50" s="139">
        <v>44287.0</v>
      </c>
      <c r="EL50" s="139">
        <v>44317.0</v>
      </c>
      <c r="EM50" s="139">
        <v>44348.0</v>
      </c>
      <c r="EN50" s="139">
        <v>44378.0</v>
      </c>
      <c r="EO50" s="139">
        <v>44409.0</v>
      </c>
      <c r="EP50" s="139">
        <v>44440.0</v>
      </c>
      <c r="EQ50" s="139">
        <v>44470.0</v>
      </c>
      <c r="ER50" s="139">
        <v>44501.0</v>
      </c>
      <c r="ES50" s="139">
        <v>44531.0</v>
      </c>
      <c r="ET50" s="139">
        <v>44562.0</v>
      </c>
      <c r="EU50" s="139">
        <v>44593.0</v>
      </c>
      <c r="EV50" s="139">
        <v>44621.0</v>
      </c>
      <c r="EW50" s="139">
        <v>44652.0</v>
      </c>
      <c r="EX50" s="139">
        <v>44682.0</v>
      </c>
      <c r="EY50" s="139">
        <v>44713.0</v>
      </c>
      <c r="EZ50" s="139">
        <v>44743.0</v>
      </c>
      <c r="FA50" s="139">
        <v>44774.0</v>
      </c>
      <c r="FB50" s="139">
        <v>44805.0</v>
      </c>
      <c r="FC50" s="139">
        <v>44835.0</v>
      </c>
      <c r="FD50" s="139">
        <v>44866.0</v>
      </c>
      <c r="FE50" s="139">
        <v>44896.0</v>
      </c>
      <c r="FF50" s="139">
        <v>44927.0</v>
      </c>
      <c r="FG50" s="139">
        <v>44958.0</v>
      </c>
      <c r="FH50" s="139">
        <v>44986.0</v>
      </c>
      <c r="FI50" s="139">
        <v>45017.0</v>
      </c>
      <c r="FJ50" s="139">
        <v>45047.0</v>
      </c>
      <c r="FK50" s="139">
        <v>45078.0</v>
      </c>
      <c r="FL50" s="139">
        <v>45108.0</v>
      </c>
      <c r="FM50" s="139">
        <v>45139.0</v>
      </c>
      <c r="FN50" s="139">
        <v>45170.0</v>
      </c>
      <c r="FO50" s="139">
        <v>45200.0</v>
      </c>
      <c r="FP50" s="139">
        <v>45231.0</v>
      </c>
      <c r="FQ50" s="139">
        <v>45261.0</v>
      </c>
      <c r="FR50" s="139">
        <v>45292.0</v>
      </c>
      <c r="FS50" s="139">
        <v>45323.0</v>
      </c>
      <c r="FT50" s="139">
        <v>45352.0</v>
      </c>
      <c r="FU50" s="139">
        <v>45383.0</v>
      </c>
      <c r="FV50" s="139">
        <v>45413.0</v>
      </c>
      <c r="FW50" s="139">
        <v>45444.0</v>
      </c>
      <c r="FX50" s="139">
        <v>45474.0</v>
      </c>
      <c r="FY50" s="139">
        <v>45505.0</v>
      </c>
      <c r="FZ50" s="139">
        <v>45536.0</v>
      </c>
      <c r="GA50" s="139">
        <v>45566.0</v>
      </c>
      <c r="GB50" s="139">
        <v>45597.0</v>
      </c>
      <c r="GC50" s="139">
        <v>45627.0</v>
      </c>
      <c r="GD50" s="139">
        <v>45658.0</v>
      </c>
      <c r="GE50" s="139">
        <v>45689.0</v>
      </c>
      <c r="GF50" s="139">
        <v>45717.0</v>
      </c>
      <c r="GG50" s="139">
        <v>45748.0</v>
      </c>
      <c r="GH50" s="139">
        <v>45778.0</v>
      </c>
      <c r="GI50" s="139">
        <v>45809.0</v>
      </c>
      <c r="GJ50" s="139">
        <v>45839.0</v>
      </c>
    </row>
    <row r="51">
      <c r="A51" s="133" t="s">
        <v>1497</v>
      </c>
      <c r="B51" s="134">
        <v>42184.51832175926</v>
      </c>
      <c r="C51" s="135" t="str">
        <f t="shared" si="1"/>
        <v>2015/06/29</v>
      </c>
      <c r="D51" s="136" t="s">
        <v>34264</v>
      </c>
      <c r="E51" s="151">
        <v>0.0</v>
      </c>
      <c r="F51" s="138">
        <v>40179.0</v>
      </c>
      <c r="G51" s="138">
        <v>40210.0</v>
      </c>
      <c r="H51" s="138">
        <v>40238.0</v>
      </c>
      <c r="I51" s="138">
        <v>40269.0</v>
      </c>
      <c r="J51" s="138">
        <v>40299.0</v>
      </c>
      <c r="K51" s="138">
        <v>40330.0</v>
      </c>
      <c r="L51" s="138">
        <v>40360.0</v>
      </c>
      <c r="M51" s="138">
        <v>40391.0</v>
      </c>
      <c r="N51" s="138">
        <v>40422.0</v>
      </c>
      <c r="O51" s="138">
        <v>40452.0</v>
      </c>
      <c r="P51" s="138">
        <v>40483.0</v>
      </c>
      <c r="Q51" s="138">
        <v>40513.0</v>
      </c>
      <c r="R51" s="138">
        <v>40544.0</v>
      </c>
      <c r="S51" s="138">
        <v>40575.0</v>
      </c>
      <c r="T51" s="138">
        <v>40603.0</v>
      </c>
      <c r="U51" s="138">
        <v>40634.0</v>
      </c>
      <c r="V51" s="138">
        <v>40664.0</v>
      </c>
      <c r="W51" s="138">
        <v>40695.0</v>
      </c>
      <c r="X51" s="138">
        <v>40725.0</v>
      </c>
      <c r="Y51" s="138">
        <v>40756.0</v>
      </c>
      <c r="Z51" s="138">
        <v>40787.0</v>
      </c>
      <c r="AA51" s="138">
        <v>40817.0</v>
      </c>
      <c r="AB51" s="138">
        <v>40848.0</v>
      </c>
      <c r="AC51" s="138">
        <v>40878.0</v>
      </c>
      <c r="AD51" s="138">
        <v>40909.0</v>
      </c>
      <c r="AE51" s="138">
        <v>40940.0</v>
      </c>
      <c r="AF51" s="138">
        <v>40969.0</v>
      </c>
      <c r="AG51" s="138">
        <v>41000.0</v>
      </c>
      <c r="AH51" s="138">
        <v>41030.0</v>
      </c>
      <c r="AI51" s="138">
        <v>41061.0</v>
      </c>
      <c r="AJ51" s="138">
        <v>41091.0</v>
      </c>
      <c r="AK51" s="138">
        <v>41122.0</v>
      </c>
      <c r="AL51" s="138">
        <v>41153.0</v>
      </c>
      <c r="AM51" s="138">
        <v>41183.0</v>
      </c>
      <c r="AN51" s="138">
        <v>41214.0</v>
      </c>
      <c r="AO51" s="138">
        <v>41244.0</v>
      </c>
      <c r="AP51" s="138">
        <v>41275.0</v>
      </c>
      <c r="AQ51" s="138">
        <v>41306.0</v>
      </c>
      <c r="AR51" s="138">
        <v>41334.0</v>
      </c>
      <c r="AS51" s="138">
        <v>41365.0</v>
      </c>
      <c r="AT51" s="138">
        <v>41395.0</v>
      </c>
      <c r="AU51" s="138">
        <v>41426.0</v>
      </c>
      <c r="AV51" s="138">
        <v>41456.0</v>
      </c>
      <c r="AW51" s="138">
        <v>41487.0</v>
      </c>
      <c r="AX51" s="138">
        <v>41518.0</v>
      </c>
      <c r="AY51" s="138">
        <v>41548.0</v>
      </c>
      <c r="AZ51" s="138">
        <v>41579.0</v>
      </c>
      <c r="BA51" s="138">
        <v>41609.0</v>
      </c>
      <c r="BB51" s="138">
        <v>41640.0</v>
      </c>
      <c r="BC51" s="138">
        <v>41671.0</v>
      </c>
      <c r="BD51" s="138">
        <v>41699.0</v>
      </c>
      <c r="BE51" s="138">
        <v>41730.0</v>
      </c>
      <c r="BF51" s="138">
        <v>41760.0</v>
      </c>
      <c r="BG51" s="138">
        <v>41791.0</v>
      </c>
      <c r="BH51" s="138">
        <v>41821.0</v>
      </c>
      <c r="BI51" s="138">
        <v>41852.0</v>
      </c>
      <c r="BJ51" s="138">
        <v>41883.0</v>
      </c>
      <c r="BK51" s="138">
        <v>41913.0</v>
      </c>
      <c r="BL51" s="138">
        <v>41944.0</v>
      </c>
      <c r="BM51" s="138">
        <v>41974.0</v>
      </c>
      <c r="BN51" s="138">
        <v>42005.0</v>
      </c>
      <c r="BO51" s="138">
        <v>42036.0</v>
      </c>
      <c r="BP51" s="138">
        <v>42064.0</v>
      </c>
      <c r="BQ51" s="138">
        <v>42095.0</v>
      </c>
      <c r="BR51" s="138">
        <v>42125.0</v>
      </c>
      <c r="BS51" s="138">
        <v>42156.0</v>
      </c>
      <c r="BT51" s="139">
        <v>42186.0</v>
      </c>
      <c r="BU51" s="139">
        <v>42217.0</v>
      </c>
      <c r="BV51" s="139">
        <v>42248.0</v>
      </c>
      <c r="BW51" s="139">
        <v>42278.0</v>
      </c>
      <c r="BX51" s="139">
        <v>42309.0</v>
      </c>
      <c r="BY51" s="139">
        <v>42339.0</v>
      </c>
      <c r="BZ51" s="139">
        <v>42370.0</v>
      </c>
      <c r="CA51" s="139">
        <v>42401.0</v>
      </c>
      <c r="CB51" s="139">
        <v>42430.0</v>
      </c>
      <c r="CC51" s="139">
        <v>42461.0</v>
      </c>
      <c r="CD51" s="139">
        <v>42491.0</v>
      </c>
      <c r="CE51" s="139">
        <v>42522.0</v>
      </c>
      <c r="CF51" s="139">
        <v>42552.0</v>
      </c>
      <c r="CG51" s="139">
        <v>42583.0</v>
      </c>
      <c r="CH51" s="139">
        <v>42614.0</v>
      </c>
      <c r="CI51" s="139">
        <v>42644.0</v>
      </c>
      <c r="CJ51" s="139">
        <v>42675.0</v>
      </c>
      <c r="CK51" s="139">
        <v>42705.0</v>
      </c>
      <c r="CL51" s="139">
        <v>42736.0</v>
      </c>
      <c r="CM51" s="139">
        <v>42767.0</v>
      </c>
      <c r="CN51" s="139">
        <v>42795.0</v>
      </c>
      <c r="CO51" s="139">
        <v>42826.0</v>
      </c>
      <c r="CP51" s="139">
        <v>42856.0</v>
      </c>
      <c r="CQ51" s="139">
        <v>42887.0</v>
      </c>
      <c r="CR51" s="139">
        <v>42917.0</v>
      </c>
      <c r="CS51" s="139">
        <v>42948.0</v>
      </c>
      <c r="CT51" s="139">
        <v>42979.0</v>
      </c>
      <c r="CU51" s="139">
        <v>43009.0</v>
      </c>
      <c r="CV51" s="139">
        <v>43040.0</v>
      </c>
      <c r="CW51" s="139">
        <v>43070.0</v>
      </c>
      <c r="CX51" s="139">
        <v>43101.0</v>
      </c>
      <c r="CY51" s="139">
        <v>43132.0</v>
      </c>
      <c r="CZ51" s="139">
        <v>43160.0</v>
      </c>
      <c r="DA51" s="139">
        <v>43191.0</v>
      </c>
      <c r="DB51" s="139">
        <v>43221.0</v>
      </c>
      <c r="DC51" s="139">
        <v>43252.0</v>
      </c>
      <c r="DD51" s="139">
        <v>43282.0</v>
      </c>
      <c r="DE51" s="139">
        <v>43313.0</v>
      </c>
      <c r="DF51" s="139">
        <v>43344.0</v>
      </c>
      <c r="DG51" s="139">
        <v>43374.0</v>
      </c>
      <c r="DH51" s="139">
        <v>43405.0</v>
      </c>
      <c r="DI51" s="139">
        <v>43435.0</v>
      </c>
      <c r="DJ51" s="139">
        <v>43466.0</v>
      </c>
      <c r="DK51" s="139">
        <v>43497.0</v>
      </c>
      <c r="DL51" s="139">
        <v>43525.0</v>
      </c>
      <c r="DM51" s="139">
        <v>43556.0</v>
      </c>
      <c r="DN51" s="139">
        <v>43586.0</v>
      </c>
      <c r="DO51" s="139">
        <v>43617.0</v>
      </c>
      <c r="DP51" s="139">
        <v>43647.0</v>
      </c>
      <c r="DQ51" s="139">
        <v>43678.0</v>
      </c>
      <c r="DR51" s="139">
        <v>43709.0</v>
      </c>
      <c r="DS51" s="139">
        <v>43739.0</v>
      </c>
      <c r="DT51" s="139">
        <v>43770.0</v>
      </c>
      <c r="DU51" s="139">
        <v>43800.0</v>
      </c>
      <c r="DV51" s="139">
        <v>43831.0</v>
      </c>
      <c r="DW51" s="139">
        <v>43862.0</v>
      </c>
      <c r="DX51" s="139">
        <v>43891.0</v>
      </c>
      <c r="DY51" s="139">
        <v>43922.0</v>
      </c>
      <c r="DZ51" s="139">
        <v>43952.0</v>
      </c>
      <c r="EA51" s="139">
        <v>43983.0</v>
      </c>
      <c r="EB51" s="139">
        <v>44013.0</v>
      </c>
      <c r="EC51" s="139">
        <v>44044.0</v>
      </c>
      <c r="ED51" s="139">
        <v>44075.0</v>
      </c>
      <c r="EE51" s="139">
        <v>44105.0</v>
      </c>
      <c r="EF51" s="139">
        <v>44136.0</v>
      </c>
      <c r="EG51" s="139">
        <v>44166.0</v>
      </c>
      <c r="EH51" s="139">
        <v>44197.0</v>
      </c>
      <c r="EI51" s="139">
        <v>44228.0</v>
      </c>
      <c r="EJ51" s="139">
        <v>44256.0</v>
      </c>
      <c r="EK51" s="139">
        <v>44287.0</v>
      </c>
      <c r="EL51" s="139">
        <v>44317.0</v>
      </c>
      <c r="EM51" s="139">
        <v>44348.0</v>
      </c>
      <c r="EN51" s="139">
        <v>44378.0</v>
      </c>
      <c r="EO51" s="139">
        <v>44409.0</v>
      </c>
      <c r="EP51" s="139">
        <v>44440.0</v>
      </c>
      <c r="EQ51" s="139">
        <v>44470.0</v>
      </c>
      <c r="ER51" s="139">
        <v>44501.0</v>
      </c>
      <c r="ES51" s="139">
        <v>44531.0</v>
      </c>
      <c r="ET51" s="139">
        <v>44562.0</v>
      </c>
      <c r="EU51" s="139">
        <v>44593.0</v>
      </c>
      <c r="EV51" s="139">
        <v>44621.0</v>
      </c>
      <c r="EW51" s="139">
        <v>44652.0</v>
      </c>
      <c r="EX51" s="139">
        <v>44682.0</v>
      </c>
      <c r="EY51" s="139">
        <v>44713.0</v>
      </c>
      <c r="EZ51" s="139">
        <v>44743.0</v>
      </c>
      <c r="FA51" s="139">
        <v>44774.0</v>
      </c>
      <c r="FB51" s="139">
        <v>44805.0</v>
      </c>
      <c r="FC51" s="139">
        <v>44835.0</v>
      </c>
      <c r="FD51" s="139">
        <v>44866.0</v>
      </c>
      <c r="FE51" s="139">
        <v>44896.0</v>
      </c>
      <c r="FF51" s="139">
        <v>44927.0</v>
      </c>
      <c r="FG51" s="139">
        <v>44958.0</v>
      </c>
      <c r="FH51" s="139">
        <v>44986.0</v>
      </c>
      <c r="FI51" s="139">
        <v>45017.0</v>
      </c>
      <c r="FJ51" s="139">
        <v>45047.0</v>
      </c>
      <c r="FK51" s="139">
        <v>45078.0</v>
      </c>
      <c r="FL51" s="139">
        <v>45108.0</v>
      </c>
      <c r="FM51" s="139">
        <v>45139.0</v>
      </c>
      <c r="FN51" s="139">
        <v>45170.0</v>
      </c>
      <c r="FO51" s="139">
        <v>45200.0</v>
      </c>
      <c r="FP51" s="139">
        <v>45231.0</v>
      </c>
      <c r="FQ51" s="139">
        <v>45261.0</v>
      </c>
      <c r="FR51" s="139">
        <v>45292.0</v>
      </c>
      <c r="FS51" s="139">
        <v>45323.0</v>
      </c>
      <c r="FT51" s="139">
        <v>45352.0</v>
      </c>
      <c r="FU51" s="139">
        <v>45383.0</v>
      </c>
      <c r="FV51" s="139">
        <v>45413.0</v>
      </c>
      <c r="FW51" s="139">
        <v>45444.0</v>
      </c>
      <c r="FX51" s="139">
        <v>45474.0</v>
      </c>
      <c r="FY51" s="139">
        <v>45505.0</v>
      </c>
      <c r="FZ51" s="139">
        <v>45536.0</v>
      </c>
      <c r="GA51" s="139">
        <v>45566.0</v>
      </c>
      <c r="GB51" s="139">
        <v>45597.0</v>
      </c>
      <c r="GC51" s="139">
        <v>45627.0</v>
      </c>
      <c r="GD51" s="139">
        <v>45658.0</v>
      </c>
      <c r="GE51" s="139">
        <v>45689.0</v>
      </c>
      <c r="GF51" s="139">
        <v>45717.0</v>
      </c>
      <c r="GG51" s="139">
        <v>45748.0</v>
      </c>
      <c r="GH51" s="139">
        <v>45778.0</v>
      </c>
      <c r="GI51" s="139">
        <v>45809.0</v>
      </c>
      <c r="GJ51" s="139">
        <v>45839.0</v>
      </c>
    </row>
    <row r="52">
      <c r="A52" s="133" t="s">
        <v>1466</v>
      </c>
      <c r="B52" s="134">
        <v>42199.52349537037</v>
      </c>
      <c r="C52" s="135" t="str">
        <f t="shared" si="1"/>
        <v>2015/07/14</v>
      </c>
      <c r="D52" s="136" t="s">
        <v>34265</v>
      </c>
      <c r="E52" s="151">
        <v>0.0</v>
      </c>
      <c r="F52" s="138">
        <v>40179.0</v>
      </c>
      <c r="G52" s="138">
        <v>40210.0</v>
      </c>
      <c r="H52" s="138">
        <v>40238.0</v>
      </c>
      <c r="I52" s="138">
        <v>40269.0</v>
      </c>
      <c r="J52" s="138">
        <v>40299.0</v>
      </c>
      <c r="K52" s="138">
        <v>40330.0</v>
      </c>
      <c r="L52" s="138">
        <v>40360.0</v>
      </c>
      <c r="M52" s="138">
        <v>40391.0</v>
      </c>
      <c r="N52" s="138">
        <v>40422.0</v>
      </c>
      <c r="O52" s="138">
        <v>40452.0</v>
      </c>
      <c r="P52" s="138">
        <v>40483.0</v>
      </c>
      <c r="Q52" s="138">
        <v>40513.0</v>
      </c>
      <c r="R52" s="138">
        <v>40544.0</v>
      </c>
      <c r="S52" s="138">
        <v>40575.0</v>
      </c>
      <c r="T52" s="138">
        <v>40603.0</v>
      </c>
      <c r="U52" s="138">
        <v>40634.0</v>
      </c>
      <c r="V52" s="138">
        <v>40664.0</v>
      </c>
      <c r="W52" s="138">
        <v>40695.0</v>
      </c>
      <c r="X52" s="138">
        <v>40725.0</v>
      </c>
      <c r="Y52" s="138">
        <v>40756.0</v>
      </c>
      <c r="Z52" s="138">
        <v>40787.0</v>
      </c>
      <c r="AA52" s="138">
        <v>40817.0</v>
      </c>
      <c r="AB52" s="138">
        <v>40848.0</v>
      </c>
      <c r="AC52" s="138">
        <v>40878.0</v>
      </c>
      <c r="AD52" s="138">
        <v>40909.0</v>
      </c>
      <c r="AE52" s="138">
        <v>40940.0</v>
      </c>
      <c r="AF52" s="138">
        <v>40969.0</v>
      </c>
      <c r="AG52" s="138">
        <v>41000.0</v>
      </c>
      <c r="AH52" s="138">
        <v>41030.0</v>
      </c>
      <c r="AI52" s="138">
        <v>41061.0</v>
      </c>
      <c r="AJ52" s="138">
        <v>41091.0</v>
      </c>
      <c r="AK52" s="138">
        <v>41122.0</v>
      </c>
      <c r="AL52" s="138">
        <v>41153.0</v>
      </c>
      <c r="AM52" s="138">
        <v>41183.0</v>
      </c>
      <c r="AN52" s="138">
        <v>41214.0</v>
      </c>
      <c r="AO52" s="138">
        <v>41244.0</v>
      </c>
      <c r="AP52" s="138">
        <v>41275.0</v>
      </c>
      <c r="AQ52" s="138">
        <v>41306.0</v>
      </c>
      <c r="AR52" s="138">
        <v>41334.0</v>
      </c>
      <c r="AS52" s="138">
        <v>41365.0</v>
      </c>
      <c r="AT52" s="138">
        <v>41395.0</v>
      </c>
      <c r="AU52" s="138">
        <v>41426.0</v>
      </c>
      <c r="AV52" s="138">
        <v>41456.0</v>
      </c>
      <c r="AW52" s="138">
        <v>41487.0</v>
      </c>
      <c r="AX52" s="138">
        <v>41518.0</v>
      </c>
      <c r="AY52" s="138">
        <v>41548.0</v>
      </c>
      <c r="AZ52" s="138">
        <v>41579.0</v>
      </c>
      <c r="BA52" s="138">
        <v>41609.0</v>
      </c>
      <c r="BB52" s="138">
        <v>41640.0</v>
      </c>
      <c r="BC52" s="138">
        <v>41671.0</v>
      </c>
      <c r="BD52" s="138">
        <v>41699.0</v>
      </c>
      <c r="BE52" s="138">
        <v>41730.0</v>
      </c>
      <c r="BF52" s="138">
        <v>41760.0</v>
      </c>
      <c r="BG52" s="138">
        <v>41791.0</v>
      </c>
      <c r="BH52" s="138">
        <v>41821.0</v>
      </c>
      <c r="BI52" s="138">
        <v>41852.0</v>
      </c>
      <c r="BJ52" s="138">
        <v>41883.0</v>
      </c>
      <c r="BK52" s="138">
        <v>41913.0</v>
      </c>
      <c r="BL52" s="138">
        <v>41944.0</v>
      </c>
      <c r="BM52" s="138">
        <v>41974.0</v>
      </c>
      <c r="BN52" s="138">
        <v>42005.0</v>
      </c>
      <c r="BO52" s="138">
        <v>42036.0</v>
      </c>
      <c r="BP52" s="138">
        <v>42064.0</v>
      </c>
      <c r="BQ52" s="138">
        <v>42095.0</v>
      </c>
      <c r="BR52" s="138">
        <v>42125.0</v>
      </c>
      <c r="BS52" s="138">
        <v>42156.0</v>
      </c>
      <c r="BT52" s="138">
        <v>42186.0</v>
      </c>
      <c r="BU52" s="139">
        <v>42217.0</v>
      </c>
      <c r="BV52" s="139">
        <v>42248.0</v>
      </c>
      <c r="BW52" s="139">
        <v>42278.0</v>
      </c>
      <c r="BX52" s="139">
        <v>42309.0</v>
      </c>
      <c r="BY52" s="139">
        <v>42339.0</v>
      </c>
      <c r="BZ52" s="139">
        <v>42370.0</v>
      </c>
      <c r="CA52" s="139">
        <v>42401.0</v>
      </c>
      <c r="CB52" s="139">
        <v>42430.0</v>
      </c>
      <c r="CC52" s="139">
        <v>42461.0</v>
      </c>
      <c r="CD52" s="139">
        <v>42491.0</v>
      </c>
      <c r="CE52" s="139">
        <v>42522.0</v>
      </c>
      <c r="CF52" s="139">
        <v>42552.0</v>
      </c>
      <c r="CG52" s="139">
        <v>42583.0</v>
      </c>
      <c r="CH52" s="139">
        <v>42614.0</v>
      </c>
      <c r="CI52" s="139">
        <v>42644.0</v>
      </c>
      <c r="CJ52" s="139">
        <v>42675.0</v>
      </c>
      <c r="CK52" s="139">
        <v>42705.0</v>
      </c>
      <c r="CL52" s="139">
        <v>42736.0</v>
      </c>
      <c r="CM52" s="139">
        <v>42767.0</v>
      </c>
      <c r="CN52" s="139">
        <v>42795.0</v>
      </c>
      <c r="CO52" s="139">
        <v>42826.0</v>
      </c>
      <c r="CP52" s="139">
        <v>42856.0</v>
      </c>
      <c r="CQ52" s="139">
        <v>42887.0</v>
      </c>
      <c r="CR52" s="139">
        <v>42917.0</v>
      </c>
      <c r="CS52" s="139">
        <v>42948.0</v>
      </c>
      <c r="CT52" s="139">
        <v>42979.0</v>
      </c>
      <c r="CU52" s="139">
        <v>43009.0</v>
      </c>
      <c r="CV52" s="139">
        <v>43040.0</v>
      </c>
      <c r="CW52" s="139">
        <v>43070.0</v>
      </c>
      <c r="CX52" s="139">
        <v>43101.0</v>
      </c>
      <c r="CY52" s="139">
        <v>43132.0</v>
      </c>
      <c r="CZ52" s="139">
        <v>43160.0</v>
      </c>
      <c r="DA52" s="139">
        <v>43191.0</v>
      </c>
      <c r="DB52" s="139">
        <v>43221.0</v>
      </c>
      <c r="DC52" s="139">
        <v>43252.0</v>
      </c>
      <c r="DD52" s="139">
        <v>43282.0</v>
      </c>
      <c r="DE52" s="139">
        <v>43313.0</v>
      </c>
      <c r="DF52" s="139">
        <v>43344.0</v>
      </c>
      <c r="DG52" s="139">
        <v>43374.0</v>
      </c>
      <c r="DH52" s="139">
        <v>43405.0</v>
      </c>
      <c r="DI52" s="139">
        <v>43435.0</v>
      </c>
      <c r="DJ52" s="139">
        <v>43466.0</v>
      </c>
      <c r="DK52" s="139">
        <v>43497.0</v>
      </c>
      <c r="DL52" s="139">
        <v>43525.0</v>
      </c>
      <c r="DM52" s="139">
        <v>43556.0</v>
      </c>
      <c r="DN52" s="139">
        <v>43586.0</v>
      </c>
      <c r="DO52" s="139">
        <v>43617.0</v>
      </c>
      <c r="DP52" s="139">
        <v>43647.0</v>
      </c>
      <c r="DQ52" s="139">
        <v>43678.0</v>
      </c>
      <c r="DR52" s="139">
        <v>43709.0</v>
      </c>
      <c r="DS52" s="139">
        <v>43739.0</v>
      </c>
      <c r="DT52" s="139">
        <v>43770.0</v>
      </c>
      <c r="DU52" s="139">
        <v>43800.0</v>
      </c>
      <c r="DV52" s="139">
        <v>43831.0</v>
      </c>
      <c r="DW52" s="139">
        <v>43862.0</v>
      </c>
      <c r="DX52" s="139">
        <v>43891.0</v>
      </c>
      <c r="DY52" s="139">
        <v>43922.0</v>
      </c>
      <c r="DZ52" s="139">
        <v>43952.0</v>
      </c>
      <c r="EA52" s="139">
        <v>43983.0</v>
      </c>
      <c r="EB52" s="139">
        <v>44013.0</v>
      </c>
      <c r="EC52" s="139">
        <v>44044.0</v>
      </c>
      <c r="ED52" s="139">
        <v>44075.0</v>
      </c>
      <c r="EE52" s="139">
        <v>44105.0</v>
      </c>
      <c r="EF52" s="139">
        <v>44136.0</v>
      </c>
      <c r="EG52" s="139">
        <v>44166.0</v>
      </c>
      <c r="EH52" s="139">
        <v>44197.0</v>
      </c>
      <c r="EI52" s="139">
        <v>44228.0</v>
      </c>
      <c r="EJ52" s="139">
        <v>44256.0</v>
      </c>
      <c r="EK52" s="139">
        <v>44287.0</v>
      </c>
      <c r="EL52" s="139">
        <v>44317.0</v>
      </c>
      <c r="EM52" s="139">
        <v>44348.0</v>
      </c>
      <c r="EN52" s="139">
        <v>44378.0</v>
      </c>
      <c r="EO52" s="139">
        <v>44409.0</v>
      </c>
      <c r="EP52" s="139">
        <v>44440.0</v>
      </c>
      <c r="EQ52" s="139">
        <v>44470.0</v>
      </c>
      <c r="ER52" s="139">
        <v>44501.0</v>
      </c>
      <c r="ES52" s="139">
        <v>44531.0</v>
      </c>
      <c r="ET52" s="139">
        <v>44562.0</v>
      </c>
      <c r="EU52" s="139">
        <v>44593.0</v>
      </c>
      <c r="EV52" s="139">
        <v>44621.0</v>
      </c>
      <c r="EW52" s="139">
        <v>44652.0</v>
      </c>
      <c r="EX52" s="139">
        <v>44682.0</v>
      </c>
      <c r="EY52" s="139">
        <v>44713.0</v>
      </c>
      <c r="EZ52" s="139">
        <v>44743.0</v>
      </c>
      <c r="FA52" s="139">
        <v>44774.0</v>
      </c>
      <c r="FB52" s="139">
        <v>44805.0</v>
      </c>
      <c r="FC52" s="139">
        <v>44835.0</v>
      </c>
      <c r="FD52" s="139">
        <v>44866.0</v>
      </c>
      <c r="FE52" s="139">
        <v>44896.0</v>
      </c>
      <c r="FF52" s="139">
        <v>44927.0</v>
      </c>
      <c r="FG52" s="139">
        <v>44958.0</v>
      </c>
      <c r="FH52" s="139">
        <v>44986.0</v>
      </c>
      <c r="FI52" s="139">
        <v>45017.0</v>
      </c>
      <c r="FJ52" s="139">
        <v>45047.0</v>
      </c>
      <c r="FK52" s="139">
        <v>45078.0</v>
      </c>
      <c r="FL52" s="139">
        <v>45108.0</v>
      </c>
      <c r="FM52" s="139">
        <v>45139.0</v>
      </c>
      <c r="FN52" s="139">
        <v>45170.0</v>
      </c>
      <c r="FO52" s="139">
        <v>45200.0</v>
      </c>
      <c r="FP52" s="139">
        <v>45231.0</v>
      </c>
      <c r="FQ52" s="139">
        <v>45261.0</v>
      </c>
      <c r="FR52" s="139">
        <v>45292.0</v>
      </c>
      <c r="FS52" s="139">
        <v>45323.0</v>
      </c>
      <c r="FT52" s="139">
        <v>45352.0</v>
      </c>
      <c r="FU52" s="139">
        <v>45383.0</v>
      </c>
      <c r="FV52" s="139">
        <v>45413.0</v>
      </c>
      <c r="FW52" s="139">
        <v>45444.0</v>
      </c>
      <c r="FX52" s="139">
        <v>45474.0</v>
      </c>
      <c r="FY52" s="139">
        <v>45505.0</v>
      </c>
      <c r="FZ52" s="139">
        <v>45536.0</v>
      </c>
      <c r="GA52" s="139">
        <v>45566.0</v>
      </c>
      <c r="GB52" s="139">
        <v>45597.0</v>
      </c>
      <c r="GC52" s="139">
        <v>45627.0</v>
      </c>
      <c r="GD52" s="139">
        <v>45658.0</v>
      </c>
      <c r="GE52" s="139">
        <v>45689.0</v>
      </c>
      <c r="GF52" s="139">
        <v>45717.0</v>
      </c>
      <c r="GG52" s="139">
        <v>45748.0</v>
      </c>
      <c r="GH52" s="139">
        <v>45778.0</v>
      </c>
      <c r="GI52" s="139">
        <v>45809.0</v>
      </c>
      <c r="GJ52" s="139">
        <v>45839.0</v>
      </c>
    </row>
    <row r="53">
      <c r="A53" s="133" t="s">
        <v>1380</v>
      </c>
      <c r="B53" s="134">
        <v>42200.49383101852</v>
      </c>
      <c r="C53" s="135" t="str">
        <f t="shared" si="1"/>
        <v>2015/07/15</v>
      </c>
      <c r="D53" s="136" t="s">
        <v>33912</v>
      </c>
      <c r="E53" s="151">
        <v>0.0</v>
      </c>
      <c r="F53" s="138">
        <v>40179.0</v>
      </c>
      <c r="G53" s="138">
        <v>40210.0</v>
      </c>
      <c r="H53" s="138">
        <v>40238.0</v>
      </c>
      <c r="I53" s="138">
        <v>40269.0</v>
      </c>
      <c r="J53" s="138">
        <v>40299.0</v>
      </c>
      <c r="K53" s="138">
        <v>40330.0</v>
      </c>
      <c r="L53" s="138">
        <v>40360.0</v>
      </c>
      <c r="M53" s="138">
        <v>40391.0</v>
      </c>
      <c r="N53" s="138">
        <v>40422.0</v>
      </c>
      <c r="O53" s="138">
        <v>40452.0</v>
      </c>
      <c r="P53" s="138">
        <v>40483.0</v>
      </c>
      <c r="Q53" s="138">
        <v>40513.0</v>
      </c>
      <c r="R53" s="138">
        <v>40544.0</v>
      </c>
      <c r="S53" s="138">
        <v>40575.0</v>
      </c>
      <c r="T53" s="138">
        <v>40603.0</v>
      </c>
      <c r="U53" s="138">
        <v>40634.0</v>
      </c>
      <c r="V53" s="138">
        <v>40664.0</v>
      </c>
      <c r="W53" s="138">
        <v>40695.0</v>
      </c>
      <c r="X53" s="138">
        <v>40725.0</v>
      </c>
      <c r="Y53" s="138">
        <v>40756.0</v>
      </c>
      <c r="Z53" s="138">
        <v>40787.0</v>
      </c>
      <c r="AA53" s="138">
        <v>40817.0</v>
      </c>
      <c r="AB53" s="138">
        <v>40848.0</v>
      </c>
      <c r="AC53" s="138">
        <v>40878.0</v>
      </c>
      <c r="AD53" s="138">
        <v>40909.0</v>
      </c>
      <c r="AE53" s="138">
        <v>40940.0</v>
      </c>
      <c r="AF53" s="138">
        <v>40969.0</v>
      </c>
      <c r="AG53" s="138">
        <v>41000.0</v>
      </c>
      <c r="AH53" s="138">
        <v>41030.0</v>
      </c>
      <c r="AI53" s="138">
        <v>41061.0</v>
      </c>
      <c r="AJ53" s="138">
        <v>41091.0</v>
      </c>
      <c r="AK53" s="138">
        <v>41122.0</v>
      </c>
      <c r="AL53" s="138">
        <v>41153.0</v>
      </c>
      <c r="AM53" s="138">
        <v>41183.0</v>
      </c>
      <c r="AN53" s="138">
        <v>41214.0</v>
      </c>
      <c r="AO53" s="138">
        <v>41244.0</v>
      </c>
      <c r="AP53" s="138">
        <v>41275.0</v>
      </c>
      <c r="AQ53" s="138">
        <v>41306.0</v>
      </c>
      <c r="AR53" s="138">
        <v>41334.0</v>
      </c>
      <c r="AS53" s="138">
        <v>41365.0</v>
      </c>
      <c r="AT53" s="138">
        <v>41395.0</v>
      </c>
      <c r="AU53" s="138">
        <v>41426.0</v>
      </c>
      <c r="AV53" s="138">
        <v>41456.0</v>
      </c>
      <c r="AW53" s="138">
        <v>41487.0</v>
      </c>
      <c r="AX53" s="138">
        <v>41518.0</v>
      </c>
      <c r="AY53" s="138">
        <v>41548.0</v>
      </c>
      <c r="AZ53" s="138">
        <v>41579.0</v>
      </c>
      <c r="BA53" s="138">
        <v>41609.0</v>
      </c>
      <c r="BB53" s="138">
        <v>41640.0</v>
      </c>
      <c r="BC53" s="138">
        <v>41671.0</v>
      </c>
      <c r="BD53" s="138">
        <v>41699.0</v>
      </c>
      <c r="BE53" s="138">
        <v>41730.0</v>
      </c>
      <c r="BF53" s="138">
        <v>41760.0</v>
      </c>
      <c r="BG53" s="138">
        <v>41791.0</v>
      </c>
      <c r="BH53" s="138">
        <v>41821.0</v>
      </c>
      <c r="BI53" s="138">
        <v>41852.0</v>
      </c>
      <c r="BJ53" s="138">
        <v>41883.0</v>
      </c>
      <c r="BK53" s="138">
        <v>41913.0</v>
      </c>
      <c r="BL53" s="138">
        <v>41944.0</v>
      </c>
      <c r="BM53" s="138">
        <v>41974.0</v>
      </c>
      <c r="BN53" s="138">
        <v>42005.0</v>
      </c>
      <c r="BO53" s="138">
        <v>42036.0</v>
      </c>
      <c r="BP53" s="138">
        <v>42064.0</v>
      </c>
      <c r="BQ53" s="138">
        <v>42095.0</v>
      </c>
      <c r="BR53" s="138">
        <v>42125.0</v>
      </c>
      <c r="BS53" s="138">
        <v>42156.0</v>
      </c>
      <c r="BT53" s="138">
        <v>42186.0</v>
      </c>
      <c r="BU53" s="139">
        <v>42217.0</v>
      </c>
      <c r="BV53" s="139">
        <v>42248.0</v>
      </c>
      <c r="BW53" s="139">
        <v>42278.0</v>
      </c>
      <c r="BX53" s="139">
        <v>42309.0</v>
      </c>
      <c r="BY53" s="139">
        <v>42339.0</v>
      </c>
      <c r="BZ53" s="139">
        <v>42370.0</v>
      </c>
      <c r="CA53" s="139">
        <v>42401.0</v>
      </c>
      <c r="CB53" s="139">
        <v>42430.0</v>
      </c>
      <c r="CC53" s="139">
        <v>42461.0</v>
      </c>
      <c r="CD53" s="139">
        <v>42491.0</v>
      </c>
      <c r="CE53" s="139">
        <v>42522.0</v>
      </c>
      <c r="CF53" s="139">
        <v>42552.0</v>
      </c>
      <c r="CG53" s="139">
        <v>42583.0</v>
      </c>
      <c r="CH53" s="139">
        <v>42614.0</v>
      </c>
      <c r="CI53" s="139">
        <v>42644.0</v>
      </c>
      <c r="CJ53" s="139">
        <v>42675.0</v>
      </c>
      <c r="CK53" s="139">
        <v>42705.0</v>
      </c>
      <c r="CL53" s="139">
        <v>42736.0</v>
      </c>
      <c r="CM53" s="139">
        <v>42767.0</v>
      </c>
      <c r="CN53" s="139">
        <v>42795.0</v>
      </c>
      <c r="CO53" s="139">
        <v>42826.0</v>
      </c>
      <c r="CP53" s="139">
        <v>42856.0</v>
      </c>
      <c r="CQ53" s="139">
        <v>42887.0</v>
      </c>
      <c r="CR53" s="139">
        <v>42917.0</v>
      </c>
      <c r="CS53" s="139">
        <v>42948.0</v>
      </c>
      <c r="CT53" s="139">
        <v>42979.0</v>
      </c>
      <c r="CU53" s="139">
        <v>43009.0</v>
      </c>
      <c r="CV53" s="139">
        <v>43040.0</v>
      </c>
      <c r="CW53" s="139">
        <v>43070.0</v>
      </c>
      <c r="CX53" s="139">
        <v>43101.0</v>
      </c>
      <c r="CY53" s="139">
        <v>43132.0</v>
      </c>
      <c r="CZ53" s="139">
        <v>43160.0</v>
      </c>
      <c r="DA53" s="139">
        <v>43191.0</v>
      </c>
      <c r="DB53" s="139">
        <v>43221.0</v>
      </c>
      <c r="DC53" s="139">
        <v>43252.0</v>
      </c>
      <c r="DD53" s="139">
        <v>43282.0</v>
      </c>
      <c r="DE53" s="139">
        <v>43313.0</v>
      </c>
      <c r="DF53" s="139">
        <v>43344.0</v>
      </c>
      <c r="DG53" s="139">
        <v>43374.0</v>
      </c>
      <c r="DH53" s="139">
        <v>43405.0</v>
      </c>
      <c r="DI53" s="139">
        <v>43435.0</v>
      </c>
      <c r="DJ53" s="139">
        <v>43466.0</v>
      </c>
      <c r="DK53" s="139">
        <v>43497.0</v>
      </c>
      <c r="DL53" s="139">
        <v>43525.0</v>
      </c>
      <c r="DM53" s="139">
        <v>43556.0</v>
      </c>
      <c r="DN53" s="139">
        <v>43586.0</v>
      </c>
      <c r="DO53" s="139">
        <v>43617.0</v>
      </c>
      <c r="DP53" s="139">
        <v>43647.0</v>
      </c>
      <c r="DQ53" s="139">
        <v>43678.0</v>
      </c>
      <c r="DR53" s="139">
        <v>43709.0</v>
      </c>
      <c r="DS53" s="139">
        <v>43739.0</v>
      </c>
      <c r="DT53" s="139">
        <v>43770.0</v>
      </c>
      <c r="DU53" s="139">
        <v>43800.0</v>
      </c>
      <c r="DV53" s="139">
        <v>43831.0</v>
      </c>
      <c r="DW53" s="139">
        <v>43862.0</v>
      </c>
      <c r="DX53" s="139">
        <v>43891.0</v>
      </c>
      <c r="DY53" s="139">
        <v>43922.0</v>
      </c>
      <c r="DZ53" s="139">
        <v>43952.0</v>
      </c>
      <c r="EA53" s="139">
        <v>43983.0</v>
      </c>
      <c r="EB53" s="139">
        <v>44013.0</v>
      </c>
      <c r="EC53" s="139">
        <v>44044.0</v>
      </c>
      <c r="ED53" s="139">
        <v>44075.0</v>
      </c>
      <c r="EE53" s="139">
        <v>44105.0</v>
      </c>
      <c r="EF53" s="139">
        <v>44136.0</v>
      </c>
      <c r="EG53" s="139">
        <v>44166.0</v>
      </c>
      <c r="EH53" s="139">
        <v>44197.0</v>
      </c>
      <c r="EI53" s="139">
        <v>44228.0</v>
      </c>
      <c r="EJ53" s="139">
        <v>44256.0</v>
      </c>
      <c r="EK53" s="139">
        <v>44287.0</v>
      </c>
      <c r="EL53" s="139">
        <v>44317.0</v>
      </c>
      <c r="EM53" s="139">
        <v>44348.0</v>
      </c>
      <c r="EN53" s="139">
        <v>44378.0</v>
      </c>
      <c r="EO53" s="139">
        <v>44409.0</v>
      </c>
      <c r="EP53" s="139">
        <v>44440.0</v>
      </c>
      <c r="EQ53" s="139">
        <v>44470.0</v>
      </c>
      <c r="ER53" s="139">
        <v>44501.0</v>
      </c>
      <c r="ES53" s="139">
        <v>44531.0</v>
      </c>
      <c r="ET53" s="139">
        <v>44562.0</v>
      </c>
      <c r="EU53" s="139">
        <v>44593.0</v>
      </c>
      <c r="EV53" s="139">
        <v>44621.0</v>
      </c>
      <c r="EW53" s="139">
        <v>44652.0</v>
      </c>
      <c r="EX53" s="139">
        <v>44682.0</v>
      </c>
      <c r="EY53" s="139">
        <v>44713.0</v>
      </c>
      <c r="EZ53" s="139">
        <v>44743.0</v>
      </c>
      <c r="FA53" s="139">
        <v>44774.0</v>
      </c>
      <c r="FB53" s="139">
        <v>44805.0</v>
      </c>
      <c r="FC53" s="139">
        <v>44835.0</v>
      </c>
      <c r="FD53" s="139">
        <v>44866.0</v>
      </c>
      <c r="FE53" s="139">
        <v>44896.0</v>
      </c>
      <c r="FF53" s="139">
        <v>44927.0</v>
      </c>
      <c r="FG53" s="139">
        <v>44958.0</v>
      </c>
      <c r="FH53" s="139">
        <v>44986.0</v>
      </c>
      <c r="FI53" s="139">
        <v>45017.0</v>
      </c>
      <c r="FJ53" s="139">
        <v>45047.0</v>
      </c>
      <c r="FK53" s="139">
        <v>45078.0</v>
      </c>
      <c r="FL53" s="139">
        <v>45108.0</v>
      </c>
      <c r="FM53" s="139">
        <v>45139.0</v>
      </c>
      <c r="FN53" s="139">
        <v>45170.0</v>
      </c>
      <c r="FO53" s="139">
        <v>45200.0</v>
      </c>
      <c r="FP53" s="139">
        <v>45231.0</v>
      </c>
      <c r="FQ53" s="139">
        <v>45261.0</v>
      </c>
      <c r="FR53" s="139">
        <v>45292.0</v>
      </c>
      <c r="FS53" s="139">
        <v>45323.0</v>
      </c>
      <c r="FT53" s="139">
        <v>45352.0</v>
      </c>
      <c r="FU53" s="139">
        <v>45383.0</v>
      </c>
      <c r="FV53" s="139">
        <v>45413.0</v>
      </c>
      <c r="FW53" s="139">
        <v>45444.0</v>
      </c>
      <c r="FX53" s="139">
        <v>45474.0</v>
      </c>
      <c r="FY53" s="139">
        <v>45505.0</v>
      </c>
      <c r="FZ53" s="139">
        <v>45536.0</v>
      </c>
      <c r="GA53" s="139">
        <v>45566.0</v>
      </c>
      <c r="GB53" s="139">
        <v>45597.0</v>
      </c>
      <c r="GC53" s="139">
        <v>45627.0</v>
      </c>
      <c r="GD53" s="139">
        <v>45658.0</v>
      </c>
      <c r="GE53" s="139">
        <v>45689.0</v>
      </c>
      <c r="GF53" s="139">
        <v>45717.0</v>
      </c>
      <c r="GG53" s="139">
        <v>45748.0</v>
      </c>
      <c r="GH53" s="139">
        <v>45778.0</v>
      </c>
      <c r="GI53" s="139">
        <v>45809.0</v>
      </c>
      <c r="GJ53" s="139">
        <v>45839.0</v>
      </c>
    </row>
    <row r="54">
      <c r="A54" s="133" t="s">
        <v>1485</v>
      </c>
      <c r="B54" s="134">
        <v>42201.48303240741</v>
      </c>
      <c r="C54" s="135" t="str">
        <f t="shared" si="1"/>
        <v>2015/07/16</v>
      </c>
      <c r="D54" s="136" t="s">
        <v>33908</v>
      </c>
      <c r="E54" s="151">
        <v>0.0</v>
      </c>
      <c r="F54" s="138">
        <v>40179.0</v>
      </c>
      <c r="G54" s="138">
        <v>40210.0</v>
      </c>
      <c r="H54" s="138">
        <v>40238.0</v>
      </c>
      <c r="I54" s="138">
        <v>40269.0</v>
      </c>
      <c r="J54" s="138">
        <v>40299.0</v>
      </c>
      <c r="K54" s="138">
        <v>40330.0</v>
      </c>
      <c r="L54" s="138">
        <v>40360.0</v>
      </c>
      <c r="M54" s="138">
        <v>40391.0</v>
      </c>
      <c r="N54" s="138">
        <v>40422.0</v>
      </c>
      <c r="O54" s="138">
        <v>40452.0</v>
      </c>
      <c r="P54" s="138">
        <v>40483.0</v>
      </c>
      <c r="Q54" s="138">
        <v>40513.0</v>
      </c>
      <c r="R54" s="138">
        <v>40544.0</v>
      </c>
      <c r="S54" s="138">
        <v>40575.0</v>
      </c>
      <c r="T54" s="138">
        <v>40603.0</v>
      </c>
      <c r="U54" s="138">
        <v>40634.0</v>
      </c>
      <c r="V54" s="138">
        <v>40664.0</v>
      </c>
      <c r="W54" s="138">
        <v>40695.0</v>
      </c>
      <c r="X54" s="138">
        <v>40725.0</v>
      </c>
      <c r="Y54" s="138">
        <v>40756.0</v>
      </c>
      <c r="Z54" s="138">
        <v>40787.0</v>
      </c>
      <c r="AA54" s="138">
        <v>40817.0</v>
      </c>
      <c r="AB54" s="138">
        <v>40848.0</v>
      </c>
      <c r="AC54" s="138">
        <v>40878.0</v>
      </c>
      <c r="AD54" s="138">
        <v>40909.0</v>
      </c>
      <c r="AE54" s="138">
        <v>40940.0</v>
      </c>
      <c r="AF54" s="138">
        <v>40969.0</v>
      </c>
      <c r="AG54" s="138">
        <v>41000.0</v>
      </c>
      <c r="AH54" s="138">
        <v>41030.0</v>
      </c>
      <c r="AI54" s="138">
        <v>41061.0</v>
      </c>
      <c r="AJ54" s="138">
        <v>41091.0</v>
      </c>
      <c r="AK54" s="138">
        <v>41122.0</v>
      </c>
      <c r="AL54" s="138">
        <v>41153.0</v>
      </c>
      <c r="AM54" s="138">
        <v>41183.0</v>
      </c>
      <c r="AN54" s="138">
        <v>41214.0</v>
      </c>
      <c r="AO54" s="138">
        <v>41244.0</v>
      </c>
      <c r="AP54" s="138">
        <v>41275.0</v>
      </c>
      <c r="AQ54" s="138">
        <v>41306.0</v>
      </c>
      <c r="AR54" s="138">
        <v>41334.0</v>
      </c>
      <c r="AS54" s="138">
        <v>41365.0</v>
      </c>
      <c r="AT54" s="138">
        <v>41395.0</v>
      </c>
      <c r="AU54" s="138">
        <v>41426.0</v>
      </c>
      <c r="AV54" s="138">
        <v>41456.0</v>
      </c>
      <c r="AW54" s="138">
        <v>41487.0</v>
      </c>
      <c r="AX54" s="138">
        <v>41518.0</v>
      </c>
      <c r="AY54" s="138">
        <v>41548.0</v>
      </c>
      <c r="AZ54" s="138">
        <v>41579.0</v>
      </c>
      <c r="BA54" s="138">
        <v>41609.0</v>
      </c>
      <c r="BB54" s="138">
        <v>41640.0</v>
      </c>
      <c r="BC54" s="138">
        <v>41671.0</v>
      </c>
      <c r="BD54" s="138">
        <v>41699.0</v>
      </c>
      <c r="BE54" s="138">
        <v>41730.0</v>
      </c>
      <c r="BF54" s="138">
        <v>41760.0</v>
      </c>
      <c r="BG54" s="138">
        <v>41791.0</v>
      </c>
      <c r="BH54" s="138">
        <v>41821.0</v>
      </c>
      <c r="BI54" s="138">
        <v>41852.0</v>
      </c>
      <c r="BJ54" s="138">
        <v>41883.0</v>
      </c>
      <c r="BK54" s="138">
        <v>41913.0</v>
      </c>
      <c r="BL54" s="138">
        <v>41944.0</v>
      </c>
      <c r="BM54" s="138">
        <v>41974.0</v>
      </c>
      <c r="BN54" s="138">
        <v>42005.0</v>
      </c>
      <c r="BO54" s="138">
        <v>42036.0</v>
      </c>
      <c r="BP54" s="138">
        <v>42064.0</v>
      </c>
      <c r="BQ54" s="138">
        <v>42095.0</v>
      </c>
      <c r="BR54" s="138">
        <v>42125.0</v>
      </c>
      <c r="BS54" s="138">
        <v>42156.0</v>
      </c>
      <c r="BT54" s="138">
        <v>42186.0</v>
      </c>
      <c r="BU54" s="139">
        <v>42217.0</v>
      </c>
      <c r="BV54" s="139">
        <v>42248.0</v>
      </c>
      <c r="BW54" s="139">
        <v>42278.0</v>
      </c>
      <c r="BX54" s="139">
        <v>42309.0</v>
      </c>
      <c r="BY54" s="139">
        <v>42339.0</v>
      </c>
      <c r="BZ54" s="139">
        <v>42370.0</v>
      </c>
      <c r="CA54" s="139">
        <v>42401.0</v>
      </c>
      <c r="CB54" s="139">
        <v>42430.0</v>
      </c>
      <c r="CC54" s="139">
        <v>42461.0</v>
      </c>
      <c r="CD54" s="139">
        <v>42491.0</v>
      </c>
      <c r="CE54" s="139">
        <v>42522.0</v>
      </c>
      <c r="CF54" s="139">
        <v>42552.0</v>
      </c>
      <c r="CG54" s="139">
        <v>42583.0</v>
      </c>
      <c r="CH54" s="139">
        <v>42614.0</v>
      </c>
      <c r="CI54" s="139">
        <v>42644.0</v>
      </c>
      <c r="CJ54" s="139">
        <v>42675.0</v>
      </c>
      <c r="CK54" s="139">
        <v>42705.0</v>
      </c>
      <c r="CL54" s="139">
        <v>42736.0</v>
      </c>
      <c r="CM54" s="139">
        <v>42767.0</v>
      </c>
      <c r="CN54" s="139">
        <v>42795.0</v>
      </c>
      <c r="CO54" s="139">
        <v>42826.0</v>
      </c>
      <c r="CP54" s="139">
        <v>42856.0</v>
      </c>
      <c r="CQ54" s="139">
        <v>42887.0</v>
      </c>
      <c r="CR54" s="139">
        <v>42917.0</v>
      </c>
      <c r="CS54" s="139">
        <v>42948.0</v>
      </c>
      <c r="CT54" s="139">
        <v>42979.0</v>
      </c>
      <c r="CU54" s="139">
        <v>43009.0</v>
      </c>
      <c r="CV54" s="139">
        <v>43040.0</v>
      </c>
      <c r="CW54" s="139">
        <v>43070.0</v>
      </c>
      <c r="CX54" s="139">
        <v>43101.0</v>
      </c>
      <c r="CY54" s="139">
        <v>43132.0</v>
      </c>
      <c r="CZ54" s="139">
        <v>43160.0</v>
      </c>
      <c r="DA54" s="139">
        <v>43191.0</v>
      </c>
      <c r="DB54" s="139">
        <v>43221.0</v>
      </c>
      <c r="DC54" s="139">
        <v>43252.0</v>
      </c>
      <c r="DD54" s="139">
        <v>43282.0</v>
      </c>
      <c r="DE54" s="139">
        <v>43313.0</v>
      </c>
      <c r="DF54" s="139">
        <v>43344.0</v>
      </c>
      <c r="DG54" s="139">
        <v>43374.0</v>
      </c>
      <c r="DH54" s="139">
        <v>43405.0</v>
      </c>
      <c r="DI54" s="139">
        <v>43435.0</v>
      </c>
      <c r="DJ54" s="139">
        <v>43466.0</v>
      </c>
      <c r="DK54" s="139">
        <v>43497.0</v>
      </c>
      <c r="DL54" s="139">
        <v>43525.0</v>
      </c>
      <c r="DM54" s="139">
        <v>43556.0</v>
      </c>
      <c r="DN54" s="139">
        <v>43586.0</v>
      </c>
      <c r="DO54" s="139">
        <v>43617.0</v>
      </c>
      <c r="DP54" s="139">
        <v>43647.0</v>
      </c>
      <c r="DQ54" s="139">
        <v>43678.0</v>
      </c>
      <c r="DR54" s="139">
        <v>43709.0</v>
      </c>
      <c r="DS54" s="139">
        <v>43739.0</v>
      </c>
      <c r="DT54" s="139">
        <v>43770.0</v>
      </c>
      <c r="DU54" s="139">
        <v>43800.0</v>
      </c>
      <c r="DV54" s="139">
        <v>43831.0</v>
      </c>
      <c r="DW54" s="139">
        <v>43862.0</v>
      </c>
      <c r="DX54" s="139">
        <v>43891.0</v>
      </c>
      <c r="DY54" s="139">
        <v>43922.0</v>
      </c>
      <c r="DZ54" s="139">
        <v>43952.0</v>
      </c>
      <c r="EA54" s="139">
        <v>43983.0</v>
      </c>
      <c r="EB54" s="139">
        <v>44013.0</v>
      </c>
      <c r="EC54" s="139">
        <v>44044.0</v>
      </c>
      <c r="ED54" s="139">
        <v>44075.0</v>
      </c>
      <c r="EE54" s="139">
        <v>44105.0</v>
      </c>
      <c r="EF54" s="139">
        <v>44136.0</v>
      </c>
      <c r="EG54" s="139">
        <v>44166.0</v>
      </c>
      <c r="EH54" s="139">
        <v>44197.0</v>
      </c>
      <c r="EI54" s="139">
        <v>44228.0</v>
      </c>
      <c r="EJ54" s="139">
        <v>44256.0</v>
      </c>
      <c r="EK54" s="139">
        <v>44287.0</v>
      </c>
      <c r="EL54" s="139">
        <v>44317.0</v>
      </c>
      <c r="EM54" s="139">
        <v>44348.0</v>
      </c>
      <c r="EN54" s="139">
        <v>44378.0</v>
      </c>
      <c r="EO54" s="139">
        <v>44409.0</v>
      </c>
      <c r="EP54" s="139">
        <v>44440.0</v>
      </c>
      <c r="EQ54" s="139">
        <v>44470.0</v>
      </c>
      <c r="ER54" s="139">
        <v>44501.0</v>
      </c>
      <c r="ES54" s="139">
        <v>44531.0</v>
      </c>
      <c r="ET54" s="139">
        <v>44562.0</v>
      </c>
      <c r="EU54" s="139">
        <v>44593.0</v>
      </c>
      <c r="EV54" s="139">
        <v>44621.0</v>
      </c>
      <c r="EW54" s="139">
        <v>44652.0</v>
      </c>
      <c r="EX54" s="139">
        <v>44682.0</v>
      </c>
      <c r="EY54" s="139">
        <v>44713.0</v>
      </c>
      <c r="EZ54" s="139">
        <v>44743.0</v>
      </c>
      <c r="FA54" s="139">
        <v>44774.0</v>
      </c>
      <c r="FB54" s="139">
        <v>44805.0</v>
      </c>
      <c r="FC54" s="139">
        <v>44835.0</v>
      </c>
      <c r="FD54" s="139">
        <v>44866.0</v>
      </c>
      <c r="FE54" s="139">
        <v>44896.0</v>
      </c>
      <c r="FF54" s="139">
        <v>44927.0</v>
      </c>
      <c r="FG54" s="139">
        <v>44958.0</v>
      </c>
      <c r="FH54" s="139">
        <v>44986.0</v>
      </c>
      <c r="FI54" s="139">
        <v>45017.0</v>
      </c>
      <c r="FJ54" s="139">
        <v>45047.0</v>
      </c>
      <c r="FK54" s="139">
        <v>45078.0</v>
      </c>
      <c r="FL54" s="139">
        <v>45108.0</v>
      </c>
      <c r="FM54" s="139">
        <v>45139.0</v>
      </c>
      <c r="FN54" s="139">
        <v>45170.0</v>
      </c>
      <c r="FO54" s="139">
        <v>45200.0</v>
      </c>
      <c r="FP54" s="139">
        <v>45231.0</v>
      </c>
      <c r="FQ54" s="139">
        <v>45261.0</v>
      </c>
      <c r="FR54" s="139">
        <v>45292.0</v>
      </c>
      <c r="FS54" s="139">
        <v>45323.0</v>
      </c>
      <c r="FT54" s="139">
        <v>45352.0</v>
      </c>
      <c r="FU54" s="139">
        <v>45383.0</v>
      </c>
      <c r="FV54" s="139">
        <v>45413.0</v>
      </c>
      <c r="FW54" s="139">
        <v>45444.0</v>
      </c>
      <c r="FX54" s="139">
        <v>45474.0</v>
      </c>
      <c r="FY54" s="139">
        <v>45505.0</v>
      </c>
      <c r="FZ54" s="139">
        <v>45536.0</v>
      </c>
      <c r="GA54" s="139">
        <v>45566.0</v>
      </c>
      <c r="GB54" s="139">
        <v>45597.0</v>
      </c>
      <c r="GC54" s="139">
        <v>45627.0</v>
      </c>
      <c r="GD54" s="139">
        <v>45658.0</v>
      </c>
      <c r="GE54" s="139">
        <v>45689.0</v>
      </c>
      <c r="GF54" s="139">
        <v>45717.0</v>
      </c>
      <c r="GG54" s="139">
        <v>45748.0</v>
      </c>
      <c r="GH54" s="139">
        <v>45778.0</v>
      </c>
      <c r="GI54" s="139">
        <v>45809.0</v>
      </c>
      <c r="GJ54" s="139">
        <v>45839.0</v>
      </c>
    </row>
    <row r="55">
      <c r="A55" s="133" t="s">
        <v>1719</v>
      </c>
      <c r="B55" s="134">
        <v>42284.78952546296</v>
      </c>
      <c r="C55" s="135" t="str">
        <f t="shared" si="1"/>
        <v>2015/10/07</v>
      </c>
      <c r="D55" s="136" t="s">
        <v>34266</v>
      </c>
      <c r="E55" s="151">
        <v>0.0</v>
      </c>
      <c r="F55" s="138">
        <v>40179.0</v>
      </c>
      <c r="G55" s="138">
        <v>40210.0</v>
      </c>
      <c r="H55" s="138">
        <v>40238.0</v>
      </c>
      <c r="I55" s="138">
        <v>40269.0</v>
      </c>
      <c r="J55" s="138">
        <v>40299.0</v>
      </c>
      <c r="K55" s="138">
        <v>40330.0</v>
      </c>
      <c r="L55" s="138">
        <v>40360.0</v>
      </c>
      <c r="M55" s="138">
        <v>40391.0</v>
      </c>
      <c r="N55" s="138">
        <v>40422.0</v>
      </c>
      <c r="O55" s="138">
        <v>40452.0</v>
      </c>
      <c r="P55" s="138">
        <v>40483.0</v>
      </c>
      <c r="Q55" s="138">
        <v>40513.0</v>
      </c>
      <c r="R55" s="138">
        <v>40544.0</v>
      </c>
      <c r="S55" s="138">
        <v>40575.0</v>
      </c>
      <c r="T55" s="138">
        <v>40603.0</v>
      </c>
      <c r="U55" s="138">
        <v>40634.0</v>
      </c>
      <c r="V55" s="138">
        <v>40664.0</v>
      </c>
      <c r="W55" s="138">
        <v>40695.0</v>
      </c>
      <c r="X55" s="138">
        <v>40725.0</v>
      </c>
      <c r="Y55" s="138">
        <v>40756.0</v>
      </c>
      <c r="Z55" s="138">
        <v>40787.0</v>
      </c>
      <c r="AA55" s="138">
        <v>40817.0</v>
      </c>
      <c r="AB55" s="138">
        <v>40848.0</v>
      </c>
      <c r="AC55" s="138">
        <v>40878.0</v>
      </c>
      <c r="AD55" s="138">
        <v>40909.0</v>
      </c>
      <c r="AE55" s="138">
        <v>40940.0</v>
      </c>
      <c r="AF55" s="138">
        <v>40969.0</v>
      </c>
      <c r="AG55" s="138">
        <v>41000.0</v>
      </c>
      <c r="AH55" s="138">
        <v>41030.0</v>
      </c>
      <c r="AI55" s="138">
        <v>41061.0</v>
      </c>
      <c r="AJ55" s="138">
        <v>41091.0</v>
      </c>
      <c r="AK55" s="138">
        <v>41122.0</v>
      </c>
      <c r="AL55" s="138">
        <v>41153.0</v>
      </c>
      <c r="AM55" s="138">
        <v>41183.0</v>
      </c>
      <c r="AN55" s="138">
        <v>41214.0</v>
      </c>
      <c r="AO55" s="138">
        <v>41244.0</v>
      </c>
      <c r="AP55" s="138">
        <v>41275.0</v>
      </c>
      <c r="AQ55" s="138">
        <v>41306.0</v>
      </c>
      <c r="AR55" s="138">
        <v>41334.0</v>
      </c>
      <c r="AS55" s="138">
        <v>41365.0</v>
      </c>
      <c r="AT55" s="138">
        <v>41395.0</v>
      </c>
      <c r="AU55" s="138">
        <v>41426.0</v>
      </c>
      <c r="AV55" s="138">
        <v>41456.0</v>
      </c>
      <c r="AW55" s="138">
        <v>41487.0</v>
      </c>
      <c r="AX55" s="138">
        <v>41518.0</v>
      </c>
      <c r="AY55" s="138">
        <v>41548.0</v>
      </c>
      <c r="AZ55" s="138">
        <v>41579.0</v>
      </c>
      <c r="BA55" s="138">
        <v>41609.0</v>
      </c>
      <c r="BB55" s="138">
        <v>41640.0</v>
      </c>
      <c r="BC55" s="138">
        <v>41671.0</v>
      </c>
      <c r="BD55" s="138">
        <v>41699.0</v>
      </c>
      <c r="BE55" s="138">
        <v>41730.0</v>
      </c>
      <c r="BF55" s="138">
        <v>41760.0</v>
      </c>
      <c r="BG55" s="138">
        <v>41791.0</v>
      </c>
      <c r="BH55" s="138">
        <v>41821.0</v>
      </c>
      <c r="BI55" s="138">
        <v>41852.0</v>
      </c>
      <c r="BJ55" s="138">
        <v>41883.0</v>
      </c>
      <c r="BK55" s="138">
        <v>41913.0</v>
      </c>
      <c r="BL55" s="138">
        <v>41944.0</v>
      </c>
      <c r="BM55" s="138">
        <v>41974.0</v>
      </c>
      <c r="BN55" s="138">
        <v>42005.0</v>
      </c>
      <c r="BO55" s="138">
        <v>42036.0</v>
      </c>
      <c r="BP55" s="138">
        <v>42064.0</v>
      </c>
      <c r="BQ55" s="138">
        <v>42095.0</v>
      </c>
      <c r="BR55" s="138">
        <v>42125.0</v>
      </c>
      <c r="BS55" s="138">
        <v>42156.0</v>
      </c>
      <c r="BT55" s="138">
        <v>42186.0</v>
      </c>
      <c r="BU55" s="138">
        <v>42217.0</v>
      </c>
      <c r="BV55" s="138">
        <v>42248.0</v>
      </c>
      <c r="BW55" s="138">
        <v>42278.0</v>
      </c>
      <c r="BX55" s="139">
        <v>42309.0</v>
      </c>
      <c r="BY55" s="139">
        <v>42339.0</v>
      </c>
      <c r="BZ55" s="139">
        <v>42370.0</v>
      </c>
      <c r="CA55" s="139">
        <v>42401.0</v>
      </c>
      <c r="CB55" s="139">
        <v>42430.0</v>
      </c>
      <c r="CC55" s="139">
        <v>42461.0</v>
      </c>
      <c r="CD55" s="139">
        <v>42491.0</v>
      </c>
      <c r="CE55" s="139">
        <v>42522.0</v>
      </c>
      <c r="CF55" s="139">
        <v>42552.0</v>
      </c>
      <c r="CG55" s="139">
        <v>42583.0</v>
      </c>
      <c r="CH55" s="139">
        <v>42614.0</v>
      </c>
      <c r="CI55" s="139">
        <v>42644.0</v>
      </c>
      <c r="CJ55" s="139">
        <v>42675.0</v>
      </c>
      <c r="CK55" s="139">
        <v>42705.0</v>
      </c>
      <c r="CL55" s="139">
        <v>42736.0</v>
      </c>
      <c r="CM55" s="139">
        <v>42767.0</v>
      </c>
      <c r="CN55" s="139">
        <v>42795.0</v>
      </c>
      <c r="CO55" s="139">
        <v>42826.0</v>
      </c>
      <c r="CP55" s="139">
        <v>42856.0</v>
      </c>
      <c r="CQ55" s="139">
        <v>42887.0</v>
      </c>
      <c r="CR55" s="139">
        <v>42917.0</v>
      </c>
      <c r="CS55" s="139">
        <v>42948.0</v>
      </c>
      <c r="CT55" s="139">
        <v>42979.0</v>
      </c>
      <c r="CU55" s="139">
        <v>43009.0</v>
      </c>
      <c r="CV55" s="139">
        <v>43040.0</v>
      </c>
      <c r="CW55" s="139">
        <v>43070.0</v>
      </c>
      <c r="CX55" s="139">
        <v>43101.0</v>
      </c>
      <c r="CY55" s="139">
        <v>43132.0</v>
      </c>
      <c r="CZ55" s="139">
        <v>43160.0</v>
      </c>
      <c r="DA55" s="139">
        <v>43191.0</v>
      </c>
      <c r="DB55" s="139">
        <v>43221.0</v>
      </c>
      <c r="DC55" s="139">
        <v>43252.0</v>
      </c>
      <c r="DD55" s="139">
        <v>43282.0</v>
      </c>
      <c r="DE55" s="139">
        <v>43313.0</v>
      </c>
      <c r="DF55" s="139">
        <v>43344.0</v>
      </c>
      <c r="DG55" s="139">
        <v>43374.0</v>
      </c>
      <c r="DH55" s="139">
        <v>43405.0</v>
      </c>
      <c r="DI55" s="139">
        <v>43435.0</v>
      </c>
      <c r="DJ55" s="139">
        <v>43466.0</v>
      </c>
      <c r="DK55" s="139">
        <v>43497.0</v>
      </c>
      <c r="DL55" s="139">
        <v>43525.0</v>
      </c>
      <c r="DM55" s="139">
        <v>43556.0</v>
      </c>
      <c r="DN55" s="139">
        <v>43586.0</v>
      </c>
      <c r="DO55" s="139">
        <v>43617.0</v>
      </c>
      <c r="DP55" s="139">
        <v>43647.0</v>
      </c>
      <c r="DQ55" s="139">
        <v>43678.0</v>
      </c>
      <c r="DR55" s="139">
        <v>43709.0</v>
      </c>
      <c r="DS55" s="139">
        <v>43739.0</v>
      </c>
      <c r="DT55" s="139">
        <v>43770.0</v>
      </c>
      <c r="DU55" s="139">
        <v>43800.0</v>
      </c>
      <c r="DV55" s="139">
        <v>43831.0</v>
      </c>
      <c r="DW55" s="139">
        <v>43862.0</v>
      </c>
      <c r="DX55" s="139">
        <v>43891.0</v>
      </c>
      <c r="DY55" s="139">
        <v>43922.0</v>
      </c>
      <c r="DZ55" s="139">
        <v>43952.0</v>
      </c>
      <c r="EA55" s="139">
        <v>43983.0</v>
      </c>
      <c r="EB55" s="139">
        <v>44013.0</v>
      </c>
      <c r="EC55" s="139">
        <v>44044.0</v>
      </c>
      <c r="ED55" s="139">
        <v>44075.0</v>
      </c>
      <c r="EE55" s="139">
        <v>44105.0</v>
      </c>
      <c r="EF55" s="139">
        <v>44136.0</v>
      </c>
      <c r="EG55" s="139">
        <v>44166.0</v>
      </c>
      <c r="EH55" s="139">
        <v>44197.0</v>
      </c>
      <c r="EI55" s="139">
        <v>44228.0</v>
      </c>
      <c r="EJ55" s="139">
        <v>44256.0</v>
      </c>
      <c r="EK55" s="139">
        <v>44287.0</v>
      </c>
      <c r="EL55" s="139">
        <v>44317.0</v>
      </c>
      <c r="EM55" s="139">
        <v>44348.0</v>
      </c>
      <c r="EN55" s="139">
        <v>44378.0</v>
      </c>
      <c r="EO55" s="139">
        <v>44409.0</v>
      </c>
      <c r="EP55" s="139">
        <v>44440.0</v>
      </c>
      <c r="EQ55" s="139">
        <v>44470.0</v>
      </c>
      <c r="ER55" s="139">
        <v>44501.0</v>
      </c>
      <c r="ES55" s="139">
        <v>44531.0</v>
      </c>
      <c r="ET55" s="139">
        <v>44562.0</v>
      </c>
      <c r="EU55" s="139">
        <v>44593.0</v>
      </c>
      <c r="EV55" s="139">
        <v>44621.0</v>
      </c>
      <c r="EW55" s="139">
        <v>44652.0</v>
      </c>
      <c r="EX55" s="139">
        <v>44682.0</v>
      </c>
      <c r="EY55" s="139">
        <v>44713.0</v>
      </c>
      <c r="EZ55" s="139">
        <v>44743.0</v>
      </c>
      <c r="FA55" s="139">
        <v>44774.0</v>
      </c>
      <c r="FB55" s="139">
        <v>44805.0</v>
      </c>
      <c r="FC55" s="139">
        <v>44835.0</v>
      </c>
      <c r="FD55" s="139">
        <v>44866.0</v>
      </c>
      <c r="FE55" s="139">
        <v>44896.0</v>
      </c>
      <c r="FF55" s="139">
        <v>44927.0</v>
      </c>
      <c r="FG55" s="139">
        <v>44958.0</v>
      </c>
      <c r="FH55" s="139">
        <v>44986.0</v>
      </c>
      <c r="FI55" s="139">
        <v>45017.0</v>
      </c>
      <c r="FJ55" s="139">
        <v>45047.0</v>
      </c>
      <c r="FK55" s="139">
        <v>45078.0</v>
      </c>
      <c r="FL55" s="139">
        <v>45108.0</v>
      </c>
      <c r="FM55" s="139">
        <v>45139.0</v>
      </c>
      <c r="FN55" s="139">
        <v>45170.0</v>
      </c>
      <c r="FO55" s="139">
        <v>45200.0</v>
      </c>
      <c r="FP55" s="139">
        <v>45231.0</v>
      </c>
      <c r="FQ55" s="139">
        <v>45261.0</v>
      </c>
      <c r="FR55" s="139">
        <v>45292.0</v>
      </c>
      <c r="FS55" s="139">
        <v>45323.0</v>
      </c>
      <c r="FT55" s="139">
        <v>45352.0</v>
      </c>
      <c r="FU55" s="139">
        <v>45383.0</v>
      </c>
      <c r="FV55" s="139">
        <v>45413.0</v>
      </c>
      <c r="FW55" s="139">
        <v>45444.0</v>
      </c>
      <c r="FX55" s="139">
        <v>45474.0</v>
      </c>
      <c r="FY55" s="139">
        <v>45505.0</v>
      </c>
      <c r="FZ55" s="139">
        <v>45536.0</v>
      </c>
      <c r="GA55" s="139">
        <v>45566.0</v>
      </c>
      <c r="GB55" s="139">
        <v>45597.0</v>
      </c>
      <c r="GC55" s="139">
        <v>45627.0</v>
      </c>
      <c r="GD55" s="139">
        <v>45658.0</v>
      </c>
      <c r="GE55" s="139">
        <v>45689.0</v>
      </c>
      <c r="GF55" s="139">
        <v>45717.0</v>
      </c>
      <c r="GG55" s="139">
        <v>45748.0</v>
      </c>
      <c r="GH55" s="139">
        <v>45778.0</v>
      </c>
      <c r="GI55" s="139">
        <v>45809.0</v>
      </c>
      <c r="GJ55" s="139">
        <v>45839.0</v>
      </c>
    </row>
    <row r="56">
      <c r="A56" s="133" t="s">
        <v>1851</v>
      </c>
      <c r="B56" s="134">
        <v>42298.520902777775</v>
      </c>
      <c r="C56" s="135" t="str">
        <f t="shared" si="1"/>
        <v>2015/10/21</v>
      </c>
      <c r="D56" s="136" t="s">
        <v>33949</v>
      </c>
      <c r="E56" s="151">
        <v>0.0</v>
      </c>
      <c r="F56" s="138">
        <v>40179.0</v>
      </c>
      <c r="G56" s="138">
        <v>40210.0</v>
      </c>
      <c r="H56" s="138">
        <v>40238.0</v>
      </c>
      <c r="I56" s="138">
        <v>40269.0</v>
      </c>
      <c r="J56" s="138">
        <v>40299.0</v>
      </c>
      <c r="K56" s="138">
        <v>40330.0</v>
      </c>
      <c r="L56" s="138">
        <v>40360.0</v>
      </c>
      <c r="M56" s="138">
        <v>40391.0</v>
      </c>
      <c r="N56" s="138">
        <v>40422.0</v>
      </c>
      <c r="O56" s="138">
        <v>40452.0</v>
      </c>
      <c r="P56" s="138">
        <v>40483.0</v>
      </c>
      <c r="Q56" s="138">
        <v>40513.0</v>
      </c>
      <c r="R56" s="138">
        <v>40544.0</v>
      </c>
      <c r="S56" s="138">
        <v>40575.0</v>
      </c>
      <c r="T56" s="138">
        <v>40603.0</v>
      </c>
      <c r="U56" s="138">
        <v>40634.0</v>
      </c>
      <c r="V56" s="138">
        <v>40664.0</v>
      </c>
      <c r="W56" s="138">
        <v>40695.0</v>
      </c>
      <c r="X56" s="138">
        <v>40725.0</v>
      </c>
      <c r="Y56" s="138">
        <v>40756.0</v>
      </c>
      <c r="Z56" s="138">
        <v>40787.0</v>
      </c>
      <c r="AA56" s="138">
        <v>40817.0</v>
      </c>
      <c r="AB56" s="138">
        <v>40848.0</v>
      </c>
      <c r="AC56" s="138">
        <v>40878.0</v>
      </c>
      <c r="AD56" s="138">
        <v>40909.0</v>
      </c>
      <c r="AE56" s="138">
        <v>40940.0</v>
      </c>
      <c r="AF56" s="138">
        <v>40969.0</v>
      </c>
      <c r="AG56" s="138">
        <v>41000.0</v>
      </c>
      <c r="AH56" s="138">
        <v>41030.0</v>
      </c>
      <c r="AI56" s="138">
        <v>41061.0</v>
      </c>
      <c r="AJ56" s="138">
        <v>41091.0</v>
      </c>
      <c r="AK56" s="138">
        <v>41122.0</v>
      </c>
      <c r="AL56" s="138">
        <v>41153.0</v>
      </c>
      <c r="AM56" s="138">
        <v>41183.0</v>
      </c>
      <c r="AN56" s="138">
        <v>41214.0</v>
      </c>
      <c r="AO56" s="138">
        <v>41244.0</v>
      </c>
      <c r="AP56" s="138">
        <v>41275.0</v>
      </c>
      <c r="AQ56" s="138">
        <v>41306.0</v>
      </c>
      <c r="AR56" s="138">
        <v>41334.0</v>
      </c>
      <c r="AS56" s="138">
        <v>41365.0</v>
      </c>
      <c r="AT56" s="138">
        <v>41395.0</v>
      </c>
      <c r="AU56" s="138">
        <v>41426.0</v>
      </c>
      <c r="AV56" s="138">
        <v>41456.0</v>
      </c>
      <c r="AW56" s="138">
        <v>41487.0</v>
      </c>
      <c r="AX56" s="138">
        <v>41518.0</v>
      </c>
      <c r="AY56" s="138">
        <v>41548.0</v>
      </c>
      <c r="AZ56" s="138">
        <v>41579.0</v>
      </c>
      <c r="BA56" s="138">
        <v>41609.0</v>
      </c>
      <c r="BB56" s="138">
        <v>41640.0</v>
      </c>
      <c r="BC56" s="138">
        <v>41671.0</v>
      </c>
      <c r="BD56" s="138">
        <v>41699.0</v>
      </c>
      <c r="BE56" s="138">
        <v>41730.0</v>
      </c>
      <c r="BF56" s="138">
        <v>41760.0</v>
      </c>
      <c r="BG56" s="138">
        <v>41791.0</v>
      </c>
      <c r="BH56" s="138">
        <v>41821.0</v>
      </c>
      <c r="BI56" s="138">
        <v>41852.0</v>
      </c>
      <c r="BJ56" s="138">
        <v>41883.0</v>
      </c>
      <c r="BK56" s="138">
        <v>41913.0</v>
      </c>
      <c r="BL56" s="138">
        <v>41944.0</v>
      </c>
      <c r="BM56" s="138">
        <v>41974.0</v>
      </c>
      <c r="BN56" s="138">
        <v>42005.0</v>
      </c>
      <c r="BO56" s="138">
        <v>42036.0</v>
      </c>
      <c r="BP56" s="138">
        <v>42064.0</v>
      </c>
      <c r="BQ56" s="138">
        <v>42095.0</v>
      </c>
      <c r="BR56" s="138">
        <v>42125.0</v>
      </c>
      <c r="BS56" s="138">
        <v>42156.0</v>
      </c>
      <c r="BT56" s="138">
        <v>42186.0</v>
      </c>
      <c r="BU56" s="138">
        <v>42217.0</v>
      </c>
      <c r="BV56" s="138">
        <v>42248.0</v>
      </c>
      <c r="BW56" s="138">
        <v>42278.0</v>
      </c>
      <c r="BX56" s="139">
        <v>42309.0</v>
      </c>
      <c r="BY56" s="139">
        <v>42339.0</v>
      </c>
      <c r="BZ56" s="139">
        <v>42370.0</v>
      </c>
      <c r="CA56" s="139">
        <v>42401.0</v>
      </c>
      <c r="CB56" s="139">
        <v>42430.0</v>
      </c>
      <c r="CC56" s="139">
        <v>42461.0</v>
      </c>
      <c r="CD56" s="139">
        <v>42491.0</v>
      </c>
      <c r="CE56" s="139">
        <v>42522.0</v>
      </c>
      <c r="CF56" s="139">
        <v>42552.0</v>
      </c>
      <c r="CG56" s="139">
        <v>42583.0</v>
      </c>
      <c r="CH56" s="139">
        <v>42614.0</v>
      </c>
      <c r="CI56" s="139">
        <v>42644.0</v>
      </c>
      <c r="CJ56" s="139">
        <v>42675.0</v>
      </c>
      <c r="CK56" s="139">
        <v>42705.0</v>
      </c>
      <c r="CL56" s="139">
        <v>42736.0</v>
      </c>
      <c r="CM56" s="139">
        <v>42767.0</v>
      </c>
      <c r="CN56" s="139">
        <v>42795.0</v>
      </c>
      <c r="CO56" s="139">
        <v>42826.0</v>
      </c>
      <c r="CP56" s="139">
        <v>42856.0</v>
      </c>
      <c r="CQ56" s="139">
        <v>42887.0</v>
      </c>
      <c r="CR56" s="139">
        <v>42917.0</v>
      </c>
      <c r="CS56" s="139">
        <v>42948.0</v>
      </c>
      <c r="CT56" s="139">
        <v>42979.0</v>
      </c>
      <c r="CU56" s="139">
        <v>43009.0</v>
      </c>
      <c r="CV56" s="139">
        <v>43040.0</v>
      </c>
      <c r="CW56" s="139">
        <v>43070.0</v>
      </c>
      <c r="CX56" s="139">
        <v>43101.0</v>
      </c>
      <c r="CY56" s="139">
        <v>43132.0</v>
      </c>
      <c r="CZ56" s="139">
        <v>43160.0</v>
      </c>
      <c r="DA56" s="139">
        <v>43191.0</v>
      </c>
      <c r="DB56" s="139">
        <v>43221.0</v>
      </c>
      <c r="DC56" s="139">
        <v>43252.0</v>
      </c>
      <c r="DD56" s="139">
        <v>43282.0</v>
      </c>
      <c r="DE56" s="139">
        <v>43313.0</v>
      </c>
      <c r="DF56" s="139">
        <v>43344.0</v>
      </c>
      <c r="DG56" s="139">
        <v>43374.0</v>
      </c>
      <c r="DH56" s="139">
        <v>43405.0</v>
      </c>
      <c r="DI56" s="139">
        <v>43435.0</v>
      </c>
      <c r="DJ56" s="139">
        <v>43466.0</v>
      </c>
      <c r="DK56" s="139">
        <v>43497.0</v>
      </c>
      <c r="DL56" s="139">
        <v>43525.0</v>
      </c>
      <c r="DM56" s="139">
        <v>43556.0</v>
      </c>
      <c r="DN56" s="139">
        <v>43586.0</v>
      </c>
      <c r="DO56" s="139">
        <v>43617.0</v>
      </c>
      <c r="DP56" s="139">
        <v>43647.0</v>
      </c>
      <c r="DQ56" s="139">
        <v>43678.0</v>
      </c>
      <c r="DR56" s="139">
        <v>43709.0</v>
      </c>
      <c r="DS56" s="139">
        <v>43739.0</v>
      </c>
      <c r="DT56" s="139">
        <v>43770.0</v>
      </c>
      <c r="DU56" s="139">
        <v>43800.0</v>
      </c>
      <c r="DV56" s="139">
        <v>43831.0</v>
      </c>
      <c r="DW56" s="139">
        <v>43862.0</v>
      </c>
      <c r="DX56" s="139">
        <v>43891.0</v>
      </c>
      <c r="DY56" s="139">
        <v>43922.0</v>
      </c>
      <c r="DZ56" s="139">
        <v>43952.0</v>
      </c>
      <c r="EA56" s="139">
        <v>43983.0</v>
      </c>
      <c r="EB56" s="139">
        <v>44013.0</v>
      </c>
      <c r="EC56" s="139">
        <v>44044.0</v>
      </c>
      <c r="ED56" s="139">
        <v>44075.0</v>
      </c>
      <c r="EE56" s="139">
        <v>44105.0</v>
      </c>
      <c r="EF56" s="139">
        <v>44136.0</v>
      </c>
      <c r="EG56" s="139">
        <v>44166.0</v>
      </c>
      <c r="EH56" s="139">
        <v>44197.0</v>
      </c>
      <c r="EI56" s="139">
        <v>44228.0</v>
      </c>
      <c r="EJ56" s="139">
        <v>44256.0</v>
      </c>
      <c r="EK56" s="139">
        <v>44287.0</v>
      </c>
      <c r="EL56" s="139">
        <v>44317.0</v>
      </c>
      <c r="EM56" s="139">
        <v>44348.0</v>
      </c>
      <c r="EN56" s="139">
        <v>44378.0</v>
      </c>
      <c r="EO56" s="139">
        <v>44409.0</v>
      </c>
      <c r="EP56" s="139">
        <v>44440.0</v>
      </c>
      <c r="EQ56" s="139">
        <v>44470.0</v>
      </c>
      <c r="ER56" s="139">
        <v>44501.0</v>
      </c>
      <c r="ES56" s="139">
        <v>44531.0</v>
      </c>
      <c r="ET56" s="139">
        <v>44562.0</v>
      </c>
      <c r="EU56" s="139">
        <v>44593.0</v>
      </c>
      <c r="EV56" s="139">
        <v>44621.0</v>
      </c>
      <c r="EW56" s="139">
        <v>44652.0</v>
      </c>
      <c r="EX56" s="139">
        <v>44682.0</v>
      </c>
      <c r="EY56" s="139">
        <v>44713.0</v>
      </c>
      <c r="EZ56" s="139">
        <v>44743.0</v>
      </c>
      <c r="FA56" s="139">
        <v>44774.0</v>
      </c>
      <c r="FB56" s="139">
        <v>44805.0</v>
      </c>
      <c r="FC56" s="139">
        <v>44835.0</v>
      </c>
      <c r="FD56" s="139">
        <v>44866.0</v>
      </c>
      <c r="FE56" s="139">
        <v>44896.0</v>
      </c>
      <c r="FF56" s="139">
        <v>44927.0</v>
      </c>
      <c r="FG56" s="139">
        <v>44958.0</v>
      </c>
      <c r="FH56" s="139">
        <v>44986.0</v>
      </c>
      <c r="FI56" s="139">
        <v>45017.0</v>
      </c>
      <c r="FJ56" s="139">
        <v>45047.0</v>
      </c>
      <c r="FK56" s="139">
        <v>45078.0</v>
      </c>
      <c r="FL56" s="139">
        <v>45108.0</v>
      </c>
      <c r="FM56" s="139">
        <v>45139.0</v>
      </c>
      <c r="FN56" s="139">
        <v>45170.0</v>
      </c>
      <c r="FO56" s="139">
        <v>45200.0</v>
      </c>
      <c r="FP56" s="139">
        <v>45231.0</v>
      </c>
      <c r="FQ56" s="139">
        <v>45261.0</v>
      </c>
      <c r="FR56" s="139">
        <v>45292.0</v>
      </c>
      <c r="FS56" s="139">
        <v>45323.0</v>
      </c>
      <c r="FT56" s="139">
        <v>45352.0</v>
      </c>
      <c r="FU56" s="139">
        <v>45383.0</v>
      </c>
      <c r="FV56" s="139">
        <v>45413.0</v>
      </c>
      <c r="FW56" s="139">
        <v>45444.0</v>
      </c>
      <c r="FX56" s="139">
        <v>45474.0</v>
      </c>
      <c r="FY56" s="139">
        <v>45505.0</v>
      </c>
      <c r="FZ56" s="139">
        <v>45536.0</v>
      </c>
      <c r="GA56" s="139">
        <v>45566.0</v>
      </c>
      <c r="GB56" s="139">
        <v>45597.0</v>
      </c>
      <c r="GC56" s="139">
        <v>45627.0</v>
      </c>
      <c r="GD56" s="139">
        <v>45658.0</v>
      </c>
      <c r="GE56" s="139">
        <v>45689.0</v>
      </c>
      <c r="GF56" s="139">
        <v>45717.0</v>
      </c>
      <c r="GG56" s="139">
        <v>45748.0</v>
      </c>
      <c r="GH56" s="139">
        <v>45778.0</v>
      </c>
      <c r="GI56" s="139">
        <v>45809.0</v>
      </c>
      <c r="GJ56" s="139">
        <v>45839.0</v>
      </c>
    </row>
    <row r="57">
      <c r="A57" s="133" t="s">
        <v>1563</v>
      </c>
      <c r="B57" s="134">
        <v>42325.6062962963</v>
      </c>
      <c r="C57" s="135" t="str">
        <f t="shared" si="1"/>
        <v>2015/11/17</v>
      </c>
      <c r="D57" s="136" t="s">
        <v>34267</v>
      </c>
      <c r="E57" s="151">
        <v>0.0</v>
      </c>
      <c r="F57" s="138">
        <v>40179.0</v>
      </c>
      <c r="G57" s="138">
        <v>40210.0</v>
      </c>
      <c r="H57" s="138">
        <v>40238.0</v>
      </c>
      <c r="I57" s="138">
        <v>40269.0</v>
      </c>
      <c r="J57" s="138">
        <v>40299.0</v>
      </c>
      <c r="K57" s="138">
        <v>40330.0</v>
      </c>
      <c r="L57" s="138">
        <v>40360.0</v>
      </c>
      <c r="M57" s="138">
        <v>40391.0</v>
      </c>
      <c r="N57" s="138">
        <v>40422.0</v>
      </c>
      <c r="O57" s="138">
        <v>40452.0</v>
      </c>
      <c r="P57" s="138">
        <v>40483.0</v>
      </c>
      <c r="Q57" s="138">
        <v>40513.0</v>
      </c>
      <c r="R57" s="138">
        <v>40544.0</v>
      </c>
      <c r="S57" s="138">
        <v>40575.0</v>
      </c>
      <c r="T57" s="138">
        <v>40603.0</v>
      </c>
      <c r="U57" s="138">
        <v>40634.0</v>
      </c>
      <c r="V57" s="138">
        <v>40664.0</v>
      </c>
      <c r="W57" s="138">
        <v>40695.0</v>
      </c>
      <c r="X57" s="138">
        <v>40725.0</v>
      </c>
      <c r="Y57" s="138">
        <v>40756.0</v>
      </c>
      <c r="Z57" s="138">
        <v>40787.0</v>
      </c>
      <c r="AA57" s="138">
        <v>40817.0</v>
      </c>
      <c r="AB57" s="138">
        <v>40848.0</v>
      </c>
      <c r="AC57" s="138">
        <v>40878.0</v>
      </c>
      <c r="AD57" s="138">
        <v>40909.0</v>
      </c>
      <c r="AE57" s="138">
        <v>40940.0</v>
      </c>
      <c r="AF57" s="138">
        <v>40969.0</v>
      </c>
      <c r="AG57" s="138">
        <v>41000.0</v>
      </c>
      <c r="AH57" s="138">
        <v>41030.0</v>
      </c>
      <c r="AI57" s="138">
        <v>41061.0</v>
      </c>
      <c r="AJ57" s="138">
        <v>41091.0</v>
      </c>
      <c r="AK57" s="138">
        <v>41122.0</v>
      </c>
      <c r="AL57" s="138">
        <v>41153.0</v>
      </c>
      <c r="AM57" s="138">
        <v>41183.0</v>
      </c>
      <c r="AN57" s="138">
        <v>41214.0</v>
      </c>
      <c r="AO57" s="138">
        <v>41244.0</v>
      </c>
      <c r="AP57" s="138">
        <v>41275.0</v>
      </c>
      <c r="AQ57" s="138">
        <v>41306.0</v>
      </c>
      <c r="AR57" s="138">
        <v>41334.0</v>
      </c>
      <c r="AS57" s="138">
        <v>41365.0</v>
      </c>
      <c r="AT57" s="138">
        <v>41395.0</v>
      </c>
      <c r="AU57" s="138">
        <v>41426.0</v>
      </c>
      <c r="AV57" s="138">
        <v>41456.0</v>
      </c>
      <c r="AW57" s="138">
        <v>41487.0</v>
      </c>
      <c r="AX57" s="138">
        <v>41518.0</v>
      </c>
      <c r="AY57" s="138">
        <v>41548.0</v>
      </c>
      <c r="AZ57" s="138">
        <v>41579.0</v>
      </c>
      <c r="BA57" s="138">
        <v>41609.0</v>
      </c>
      <c r="BB57" s="138">
        <v>41640.0</v>
      </c>
      <c r="BC57" s="138">
        <v>41671.0</v>
      </c>
      <c r="BD57" s="138">
        <v>41699.0</v>
      </c>
      <c r="BE57" s="138">
        <v>41730.0</v>
      </c>
      <c r="BF57" s="138">
        <v>41760.0</v>
      </c>
      <c r="BG57" s="138">
        <v>41791.0</v>
      </c>
      <c r="BH57" s="138">
        <v>41821.0</v>
      </c>
      <c r="BI57" s="138">
        <v>41852.0</v>
      </c>
      <c r="BJ57" s="138">
        <v>41883.0</v>
      </c>
      <c r="BK57" s="138">
        <v>41913.0</v>
      </c>
      <c r="BL57" s="138">
        <v>41944.0</v>
      </c>
      <c r="BM57" s="138">
        <v>41974.0</v>
      </c>
      <c r="BN57" s="138">
        <v>42005.0</v>
      </c>
      <c r="BO57" s="138">
        <v>42036.0</v>
      </c>
      <c r="BP57" s="138">
        <v>42064.0</v>
      </c>
      <c r="BQ57" s="138">
        <v>42095.0</v>
      </c>
      <c r="BR57" s="138">
        <v>42125.0</v>
      </c>
      <c r="BS57" s="138">
        <v>42156.0</v>
      </c>
      <c r="BT57" s="138">
        <v>42186.0</v>
      </c>
      <c r="BU57" s="138">
        <v>42217.0</v>
      </c>
      <c r="BV57" s="138">
        <v>42248.0</v>
      </c>
      <c r="BW57" s="138">
        <v>42278.0</v>
      </c>
      <c r="BX57" s="138">
        <v>42309.0</v>
      </c>
      <c r="BY57" s="139">
        <v>42339.0</v>
      </c>
      <c r="BZ57" s="139">
        <v>42370.0</v>
      </c>
      <c r="CA57" s="139">
        <v>42401.0</v>
      </c>
      <c r="CB57" s="139">
        <v>42430.0</v>
      </c>
      <c r="CC57" s="139">
        <v>42461.0</v>
      </c>
      <c r="CD57" s="139">
        <v>42491.0</v>
      </c>
      <c r="CE57" s="139">
        <v>42522.0</v>
      </c>
      <c r="CF57" s="139">
        <v>42552.0</v>
      </c>
      <c r="CG57" s="139">
        <v>42583.0</v>
      </c>
      <c r="CH57" s="139">
        <v>42614.0</v>
      </c>
      <c r="CI57" s="139">
        <v>42644.0</v>
      </c>
      <c r="CJ57" s="139">
        <v>42675.0</v>
      </c>
      <c r="CK57" s="139">
        <v>42705.0</v>
      </c>
      <c r="CL57" s="139">
        <v>42736.0</v>
      </c>
      <c r="CM57" s="139">
        <v>42767.0</v>
      </c>
      <c r="CN57" s="139">
        <v>42795.0</v>
      </c>
      <c r="CO57" s="139">
        <v>42826.0</v>
      </c>
      <c r="CP57" s="139">
        <v>42856.0</v>
      </c>
      <c r="CQ57" s="139">
        <v>42887.0</v>
      </c>
      <c r="CR57" s="139">
        <v>42917.0</v>
      </c>
      <c r="CS57" s="139">
        <v>42948.0</v>
      </c>
      <c r="CT57" s="139">
        <v>42979.0</v>
      </c>
      <c r="CU57" s="139">
        <v>43009.0</v>
      </c>
      <c r="CV57" s="139">
        <v>43040.0</v>
      </c>
      <c r="CW57" s="139">
        <v>43070.0</v>
      </c>
      <c r="CX57" s="139">
        <v>43101.0</v>
      </c>
      <c r="CY57" s="139">
        <v>43132.0</v>
      </c>
      <c r="CZ57" s="139">
        <v>43160.0</v>
      </c>
      <c r="DA57" s="139">
        <v>43191.0</v>
      </c>
      <c r="DB57" s="139">
        <v>43221.0</v>
      </c>
      <c r="DC57" s="139">
        <v>43252.0</v>
      </c>
      <c r="DD57" s="139">
        <v>43282.0</v>
      </c>
      <c r="DE57" s="139">
        <v>43313.0</v>
      </c>
      <c r="DF57" s="139">
        <v>43344.0</v>
      </c>
      <c r="DG57" s="139">
        <v>43374.0</v>
      </c>
      <c r="DH57" s="139">
        <v>43405.0</v>
      </c>
      <c r="DI57" s="139">
        <v>43435.0</v>
      </c>
      <c r="DJ57" s="139">
        <v>43466.0</v>
      </c>
      <c r="DK57" s="139">
        <v>43497.0</v>
      </c>
      <c r="DL57" s="139">
        <v>43525.0</v>
      </c>
      <c r="DM57" s="139">
        <v>43556.0</v>
      </c>
      <c r="DN57" s="139">
        <v>43586.0</v>
      </c>
      <c r="DO57" s="139">
        <v>43617.0</v>
      </c>
      <c r="DP57" s="139">
        <v>43647.0</v>
      </c>
      <c r="DQ57" s="139">
        <v>43678.0</v>
      </c>
      <c r="DR57" s="139">
        <v>43709.0</v>
      </c>
      <c r="DS57" s="139">
        <v>43739.0</v>
      </c>
      <c r="DT57" s="139">
        <v>43770.0</v>
      </c>
      <c r="DU57" s="139">
        <v>43800.0</v>
      </c>
      <c r="DV57" s="139">
        <v>43831.0</v>
      </c>
      <c r="DW57" s="139">
        <v>43862.0</v>
      </c>
      <c r="DX57" s="139">
        <v>43891.0</v>
      </c>
      <c r="DY57" s="139">
        <v>43922.0</v>
      </c>
      <c r="DZ57" s="139">
        <v>43952.0</v>
      </c>
      <c r="EA57" s="139">
        <v>43983.0</v>
      </c>
      <c r="EB57" s="139">
        <v>44013.0</v>
      </c>
      <c r="EC57" s="139">
        <v>44044.0</v>
      </c>
      <c r="ED57" s="139">
        <v>44075.0</v>
      </c>
      <c r="EE57" s="139">
        <v>44105.0</v>
      </c>
      <c r="EF57" s="139">
        <v>44136.0</v>
      </c>
      <c r="EG57" s="139">
        <v>44166.0</v>
      </c>
      <c r="EH57" s="139">
        <v>44197.0</v>
      </c>
      <c r="EI57" s="139">
        <v>44228.0</v>
      </c>
      <c r="EJ57" s="139">
        <v>44256.0</v>
      </c>
      <c r="EK57" s="139">
        <v>44287.0</v>
      </c>
      <c r="EL57" s="139">
        <v>44317.0</v>
      </c>
      <c r="EM57" s="139">
        <v>44348.0</v>
      </c>
      <c r="EN57" s="139">
        <v>44378.0</v>
      </c>
      <c r="EO57" s="139">
        <v>44409.0</v>
      </c>
      <c r="EP57" s="139">
        <v>44440.0</v>
      </c>
      <c r="EQ57" s="139">
        <v>44470.0</v>
      </c>
      <c r="ER57" s="139">
        <v>44501.0</v>
      </c>
      <c r="ES57" s="139">
        <v>44531.0</v>
      </c>
      <c r="ET57" s="139">
        <v>44562.0</v>
      </c>
      <c r="EU57" s="139">
        <v>44593.0</v>
      </c>
      <c r="EV57" s="139">
        <v>44621.0</v>
      </c>
      <c r="EW57" s="139">
        <v>44652.0</v>
      </c>
      <c r="EX57" s="139">
        <v>44682.0</v>
      </c>
      <c r="EY57" s="139">
        <v>44713.0</v>
      </c>
      <c r="EZ57" s="139">
        <v>44743.0</v>
      </c>
      <c r="FA57" s="139">
        <v>44774.0</v>
      </c>
      <c r="FB57" s="139">
        <v>44805.0</v>
      </c>
      <c r="FC57" s="139">
        <v>44835.0</v>
      </c>
      <c r="FD57" s="139">
        <v>44866.0</v>
      </c>
      <c r="FE57" s="139">
        <v>44896.0</v>
      </c>
      <c r="FF57" s="139">
        <v>44927.0</v>
      </c>
      <c r="FG57" s="139">
        <v>44958.0</v>
      </c>
      <c r="FH57" s="139">
        <v>44986.0</v>
      </c>
      <c r="FI57" s="139">
        <v>45017.0</v>
      </c>
      <c r="FJ57" s="139">
        <v>45047.0</v>
      </c>
      <c r="FK57" s="139">
        <v>45078.0</v>
      </c>
      <c r="FL57" s="139">
        <v>45108.0</v>
      </c>
      <c r="FM57" s="139">
        <v>45139.0</v>
      </c>
      <c r="FN57" s="139">
        <v>45170.0</v>
      </c>
      <c r="FO57" s="139">
        <v>45200.0</v>
      </c>
      <c r="FP57" s="139">
        <v>45231.0</v>
      </c>
      <c r="FQ57" s="139">
        <v>45261.0</v>
      </c>
      <c r="FR57" s="139">
        <v>45292.0</v>
      </c>
      <c r="FS57" s="139">
        <v>45323.0</v>
      </c>
      <c r="FT57" s="139">
        <v>45352.0</v>
      </c>
      <c r="FU57" s="139">
        <v>45383.0</v>
      </c>
      <c r="FV57" s="139">
        <v>45413.0</v>
      </c>
      <c r="FW57" s="139">
        <v>45444.0</v>
      </c>
      <c r="FX57" s="139">
        <v>45474.0</v>
      </c>
      <c r="FY57" s="139">
        <v>45505.0</v>
      </c>
      <c r="FZ57" s="139">
        <v>45536.0</v>
      </c>
      <c r="GA57" s="139">
        <v>45566.0</v>
      </c>
      <c r="GB57" s="139">
        <v>45597.0</v>
      </c>
      <c r="GC57" s="139">
        <v>45627.0</v>
      </c>
      <c r="GD57" s="139">
        <v>45658.0</v>
      </c>
      <c r="GE57" s="139">
        <v>45689.0</v>
      </c>
      <c r="GF57" s="139">
        <v>45717.0</v>
      </c>
      <c r="GG57" s="139">
        <v>45748.0</v>
      </c>
      <c r="GH57" s="139">
        <v>45778.0</v>
      </c>
      <c r="GI57" s="139">
        <v>45809.0</v>
      </c>
      <c r="GJ57" s="139">
        <v>45839.0</v>
      </c>
    </row>
    <row r="58">
      <c r="A58" s="133" t="s">
        <v>1844</v>
      </c>
      <c r="B58" s="134">
        <v>42332.53923611111</v>
      </c>
      <c r="C58" s="135" t="str">
        <f t="shared" si="1"/>
        <v>2015/11/24</v>
      </c>
      <c r="D58" s="136" t="s">
        <v>34268</v>
      </c>
      <c r="E58" s="151">
        <v>0.0</v>
      </c>
      <c r="F58" s="138">
        <v>40179.0</v>
      </c>
      <c r="G58" s="138">
        <v>40210.0</v>
      </c>
      <c r="H58" s="138">
        <v>40238.0</v>
      </c>
      <c r="I58" s="138">
        <v>40269.0</v>
      </c>
      <c r="J58" s="138">
        <v>40299.0</v>
      </c>
      <c r="K58" s="138">
        <v>40330.0</v>
      </c>
      <c r="L58" s="138">
        <v>40360.0</v>
      </c>
      <c r="M58" s="138">
        <v>40391.0</v>
      </c>
      <c r="N58" s="138">
        <v>40422.0</v>
      </c>
      <c r="O58" s="138">
        <v>40452.0</v>
      </c>
      <c r="P58" s="138">
        <v>40483.0</v>
      </c>
      <c r="Q58" s="138">
        <v>40513.0</v>
      </c>
      <c r="R58" s="138">
        <v>40544.0</v>
      </c>
      <c r="S58" s="138">
        <v>40575.0</v>
      </c>
      <c r="T58" s="138">
        <v>40603.0</v>
      </c>
      <c r="U58" s="138">
        <v>40634.0</v>
      </c>
      <c r="V58" s="138">
        <v>40664.0</v>
      </c>
      <c r="W58" s="138">
        <v>40695.0</v>
      </c>
      <c r="X58" s="138">
        <v>40725.0</v>
      </c>
      <c r="Y58" s="138">
        <v>40756.0</v>
      </c>
      <c r="Z58" s="138">
        <v>40787.0</v>
      </c>
      <c r="AA58" s="138">
        <v>40817.0</v>
      </c>
      <c r="AB58" s="138">
        <v>40848.0</v>
      </c>
      <c r="AC58" s="138">
        <v>40878.0</v>
      </c>
      <c r="AD58" s="138">
        <v>40909.0</v>
      </c>
      <c r="AE58" s="138">
        <v>40940.0</v>
      </c>
      <c r="AF58" s="138">
        <v>40969.0</v>
      </c>
      <c r="AG58" s="138">
        <v>41000.0</v>
      </c>
      <c r="AH58" s="138">
        <v>41030.0</v>
      </c>
      <c r="AI58" s="138">
        <v>41061.0</v>
      </c>
      <c r="AJ58" s="138">
        <v>41091.0</v>
      </c>
      <c r="AK58" s="138">
        <v>41122.0</v>
      </c>
      <c r="AL58" s="138">
        <v>41153.0</v>
      </c>
      <c r="AM58" s="138">
        <v>41183.0</v>
      </c>
      <c r="AN58" s="138">
        <v>41214.0</v>
      </c>
      <c r="AO58" s="138">
        <v>41244.0</v>
      </c>
      <c r="AP58" s="138">
        <v>41275.0</v>
      </c>
      <c r="AQ58" s="138">
        <v>41306.0</v>
      </c>
      <c r="AR58" s="138">
        <v>41334.0</v>
      </c>
      <c r="AS58" s="138">
        <v>41365.0</v>
      </c>
      <c r="AT58" s="138">
        <v>41395.0</v>
      </c>
      <c r="AU58" s="138">
        <v>41426.0</v>
      </c>
      <c r="AV58" s="138">
        <v>41456.0</v>
      </c>
      <c r="AW58" s="138">
        <v>41487.0</v>
      </c>
      <c r="AX58" s="138">
        <v>41518.0</v>
      </c>
      <c r="AY58" s="138">
        <v>41548.0</v>
      </c>
      <c r="AZ58" s="138">
        <v>41579.0</v>
      </c>
      <c r="BA58" s="138">
        <v>41609.0</v>
      </c>
      <c r="BB58" s="138">
        <v>41640.0</v>
      </c>
      <c r="BC58" s="138">
        <v>41671.0</v>
      </c>
      <c r="BD58" s="138">
        <v>41699.0</v>
      </c>
      <c r="BE58" s="138">
        <v>41730.0</v>
      </c>
      <c r="BF58" s="138">
        <v>41760.0</v>
      </c>
      <c r="BG58" s="138">
        <v>41791.0</v>
      </c>
      <c r="BH58" s="138">
        <v>41821.0</v>
      </c>
      <c r="BI58" s="138">
        <v>41852.0</v>
      </c>
      <c r="BJ58" s="138">
        <v>41883.0</v>
      </c>
      <c r="BK58" s="138">
        <v>41913.0</v>
      </c>
      <c r="BL58" s="138">
        <v>41944.0</v>
      </c>
      <c r="BM58" s="138">
        <v>41974.0</v>
      </c>
      <c r="BN58" s="138">
        <v>42005.0</v>
      </c>
      <c r="BO58" s="138">
        <v>42036.0</v>
      </c>
      <c r="BP58" s="138">
        <v>42064.0</v>
      </c>
      <c r="BQ58" s="138">
        <v>42095.0</v>
      </c>
      <c r="BR58" s="138">
        <v>42125.0</v>
      </c>
      <c r="BS58" s="138">
        <v>42156.0</v>
      </c>
      <c r="BT58" s="138">
        <v>42186.0</v>
      </c>
      <c r="BU58" s="138">
        <v>42217.0</v>
      </c>
      <c r="BV58" s="138">
        <v>42248.0</v>
      </c>
      <c r="BW58" s="138">
        <v>42278.0</v>
      </c>
      <c r="BX58" s="138">
        <v>42309.0</v>
      </c>
      <c r="BY58" s="139">
        <v>42339.0</v>
      </c>
      <c r="BZ58" s="139">
        <v>42370.0</v>
      </c>
      <c r="CA58" s="139">
        <v>42401.0</v>
      </c>
      <c r="CB58" s="139">
        <v>42430.0</v>
      </c>
      <c r="CC58" s="139">
        <v>42461.0</v>
      </c>
      <c r="CD58" s="139">
        <v>42491.0</v>
      </c>
      <c r="CE58" s="139">
        <v>42522.0</v>
      </c>
      <c r="CF58" s="139">
        <v>42552.0</v>
      </c>
      <c r="CG58" s="139">
        <v>42583.0</v>
      </c>
      <c r="CH58" s="139">
        <v>42614.0</v>
      </c>
      <c r="CI58" s="139">
        <v>42644.0</v>
      </c>
      <c r="CJ58" s="139">
        <v>42675.0</v>
      </c>
      <c r="CK58" s="139">
        <v>42705.0</v>
      </c>
      <c r="CL58" s="139">
        <v>42736.0</v>
      </c>
      <c r="CM58" s="139">
        <v>42767.0</v>
      </c>
      <c r="CN58" s="139">
        <v>42795.0</v>
      </c>
      <c r="CO58" s="139">
        <v>42826.0</v>
      </c>
      <c r="CP58" s="139">
        <v>42856.0</v>
      </c>
      <c r="CQ58" s="139">
        <v>42887.0</v>
      </c>
      <c r="CR58" s="139">
        <v>42917.0</v>
      </c>
      <c r="CS58" s="139">
        <v>42948.0</v>
      </c>
      <c r="CT58" s="139">
        <v>42979.0</v>
      </c>
      <c r="CU58" s="139">
        <v>43009.0</v>
      </c>
      <c r="CV58" s="139">
        <v>43040.0</v>
      </c>
      <c r="CW58" s="139">
        <v>43070.0</v>
      </c>
      <c r="CX58" s="139">
        <v>43101.0</v>
      </c>
      <c r="CY58" s="139">
        <v>43132.0</v>
      </c>
      <c r="CZ58" s="139">
        <v>43160.0</v>
      </c>
      <c r="DA58" s="139">
        <v>43191.0</v>
      </c>
      <c r="DB58" s="139">
        <v>43221.0</v>
      </c>
      <c r="DC58" s="139">
        <v>43252.0</v>
      </c>
      <c r="DD58" s="139">
        <v>43282.0</v>
      </c>
      <c r="DE58" s="139">
        <v>43313.0</v>
      </c>
      <c r="DF58" s="139">
        <v>43344.0</v>
      </c>
      <c r="DG58" s="139">
        <v>43374.0</v>
      </c>
      <c r="DH58" s="139">
        <v>43405.0</v>
      </c>
      <c r="DI58" s="139">
        <v>43435.0</v>
      </c>
      <c r="DJ58" s="139">
        <v>43466.0</v>
      </c>
      <c r="DK58" s="139">
        <v>43497.0</v>
      </c>
      <c r="DL58" s="139">
        <v>43525.0</v>
      </c>
      <c r="DM58" s="139">
        <v>43556.0</v>
      </c>
      <c r="DN58" s="139">
        <v>43586.0</v>
      </c>
      <c r="DO58" s="139">
        <v>43617.0</v>
      </c>
      <c r="DP58" s="139">
        <v>43647.0</v>
      </c>
      <c r="DQ58" s="139">
        <v>43678.0</v>
      </c>
      <c r="DR58" s="139">
        <v>43709.0</v>
      </c>
      <c r="DS58" s="139">
        <v>43739.0</v>
      </c>
      <c r="DT58" s="139">
        <v>43770.0</v>
      </c>
      <c r="DU58" s="139">
        <v>43800.0</v>
      </c>
      <c r="DV58" s="139">
        <v>43831.0</v>
      </c>
      <c r="DW58" s="139">
        <v>43862.0</v>
      </c>
      <c r="DX58" s="139">
        <v>43891.0</v>
      </c>
      <c r="DY58" s="139">
        <v>43922.0</v>
      </c>
      <c r="DZ58" s="139">
        <v>43952.0</v>
      </c>
      <c r="EA58" s="139">
        <v>43983.0</v>
      </c>
      <c r="EB58" s="139">
        <v>44013.0</v>
      </c>
      <c r="EC58" s="139">
        <v>44044.0</v>
      </c>
      <c r="ED58" s="139">
        <v>44075.0</v>
      </c>
      <c r="EE58" s="139">
        <v>44105.0</v>
      </c>
      <c r="EF58" s="139">
        <v>44136.0</v>
      </c>
      <c r="EG58" s="139">
        <v>44166.0</v>
      </c>
      <c r="EH58" s="139">
        <v>44197.0</v>
      </c>
      <c r="EI58" s="139">
        <v>44228.0</v>
      </c>
      <c r="EJ58" s="139">
        <v>44256.0</v>
      </c>
      <c r="EK58" s="139">
        <v>44287.0</v>
      </c>
      <c r="EL58" s="139">
        <v>44317.0</v>
      </c>
      <c r="EM58" s="139">
        <v>44348.0</v>
      </c>
      <c r="EN58" s="139">
        <v>44378.0</v>
      </c>
      <c r="EO58" s="139">
        <v>44409.0</v>
      </c>
      <c r="EP58" s="139">
        <v>44440.0</v>
      </c>
      <c r="EQ58" s="139">
        <v>44470.0</v>
      </c>
      <c r="ER58" s="139">
        <v>44501.0</v>
      </c>
      <c r="ES58" s="139">
        <v>44531.0</v>
      </c>
      <c r="ET58" s="139">
        <v>44562.0</v>
      </c>
      <c r="EU58" s="139">
        <v>44593.0</v>
      </c>
      <c r="EV58" s="139">
        <v>44621.0</v>
      </c>
      <c r="EW58" s="139">
        <v>44652.0</v>
      </c>
      <c r="EX58" s="139">
        <v>44682.0</v>
      </c>
      <c r="EY58" s="139">
        <v>44713.0</v>
      </c>
      <c r="EZ58" s="139">
        <v>44743.0</v>
      </c>
      <c r="FA58" s="139">
        <v>44774.0</v>
      </c>
      <c r="FB58" s="139">
        <v>44805.0</v>
      </c>
      <c r="FC58" s="139">
        <v>44835.0</v>
      </c>
      <c r="FD58" s="139">
        <v>44866.0</v>
      </c>
      <c r="FE58" s="139">
        <v>44896.0</v>
      </c>
      <c r="FF58" s="139">
        <v>44927.0</v>
      </c>
      <c r="FG58" s="139">
        <v>44958.0</v>
      </c>
      <c r="FH58" s="139">
        <v>44986.0</v>
      </c>
      <c r="FI58" s="139">
        <v>45017.0</v>
      </c>
      <c r="FJ58" s="139">
        <v>45047.0</v>
      </c>
      <c r="FK58" s="139">
        <v>45078.0</v>
      </c>
      <c r="FL58" s="139">
        <v>45108.0</v>
      </c>
      <c r="FM58" s="139">
        <v>45139.0</v>
      </c>
      <c r="FN58" s="139">
        <v>45170.0</v>
      </c>
      <c r="FO58" s="139">
        <v>45200.0</v>
      </c>
      <c r="FP58" s="139">
        <v>45231.0</v>
      </c>
      <c r="FQ58" s="139">
        <v>45261.0</v>
      </c>
      <c r="FR58" s="139">
        <v>45292.0</v>
      </c>
      <c r="FS58" s="139">
        <v>45323.0</v>
      </c>
      <c r="FT58" s="139">
        <v>45352.0</v>
      </c>
      <c r="FU58" s="139">
        <v>45383.0</v>
      </c>
      <c r="FV58" s="139">
        <v>45413.0</v>
      </c>
      <c r="FW58" s="139">
        <v>45444.0</v>
      </c>
      <c r="FX58" s="139">
        <v>45474.0</v>
      </c>
      <c r="FY58" s="139">
        <v>45505.0</v>
      </c>
      <c r="FZ58" s="139">
        <v>45536.0</v>
      </c>
      <c r="GA58" s="139">
        <v>45566.0</v>
      </c>
      <c r="GB58" s="139">
        <v>45597.0</v>
      </c>
      <c r="GC58" s="139">
        <v>45627.0</v>
      </c>
      <c r="GD58" s="139">
        <v>45658.0</v>
      </c>
      <c r="GE58" s="139">
        <v>45689.0</v>
      </c>
      <c r="GF58" s="139">
        <v>45717.0</v>
      </c>
      <c r="GG58" s="139">
        <v>45748.0</v>
      </c>
      <c r="GH58" s="139">
        <v>45778.0</v>
      </c>
      <c r="GI58" s="139">
        <v>45809.0</v>
      </c>
      <c r="GJ58" s="139">
        <v>45839.0</v>
      </c>
    </row>
    <row r="59">
      <c r="A59" s="133" t="s">
        <v>1838</v>
      </c>
      <c r="B59" s="134">
        <v>42345.617106481484</v>
      </c>
      <c r="C59" s="135" t="str">
        <f t="shared" si="1"/>
        <v>2015/12/07</v>
      </c>
      <c r="D59" s="136" t="s">
        <v>33974</v>
      </c>
      <c r="E59" s="151">
        <v>0.0</v>
      </c>
      <c r="F59" s="138">
        <v>40179.0</v>
      </c>
      <c r="G59" s="138">
        <v>40210.0</v>
      </c>
      <c r="H59" s="138">
        <v>40238.0</v>
      </c>
      <c r="I59" s="138">
        <v>40269.0</v>
      </c>
      <c r="J59" s="138">
        <v>40299.0</v>
      </c>
      <c r="K59" s="138">
        <v>40330.0</v>
      </c>
      <c r="L59" s="138">
        <v>40360.0</v>
      </c>
      <c r="M59" s="138">
        <v>40391.0</v>
      </c>
      <c r="N59" s="138">
        <v>40422.0</v>
      </c>
      <c r="O59" s="138">
        <v>40452.0</v>
      </c>
      <c r="P59" s="138">
        <v>40483.0</v>
      </c>
      <c r="Q59" s="138">
        <v>40513.0</v>
      </c>
      <c r="R59" s="138">
        <v>40544.0</v>
      </c>
      <c r="S59" s="138">
        <v>40575.0</v>
      </c>
      <c r="T59" s="138">
        <v>40603.0</v>
      </c>
      <c r="U59" s="138">
        <v>40634.0</v>
      </c>
      <c r="V59" s="138">
        <v>40664.0</v>
      </c>
      <c r="W59" s="138">
        <v>40695.0</v>
      </c>
      <c r="X59" s="138">
        <v>40725.0</v>
      </c>
      <c r="Y59" s="138">
        <v>40756.0</v>
      </c>
      <c r="Z59" s="138">
        <v>40787.0</v>
      </c>
      <c r="AA59" s="138">
        <v>40817.0</v>
      </c>
      <c r="AB59" s="138">
        <v>40848.0</v>
      </c>
      <c r="AC59" s="138">
        <v>40878.0</v>
      </c>
      <c r="AD59" s="138">
        <v>40909.0</v>
      </c>
      <c r="AE59" s="138">
        <v>40940.0</v>
      </c>
      <c r="AF59" s="138">
        <v>40969.0</v>
      </c>
      <c r="AG59" s="138">
        <v>41000.0</v>
      </c>
      <c r="AH59" s="138">
        <v>41030.0</v>
      </c>
      <c r="AI59" s="138">
        <v>41061.0</v>
      </c>
      <c r="AJ59" s="138">
        <v>41091.0</v>
      </c>
      <c r="AK59" s="138">
        <v>41122.0</v>
      </c>
      <c r="AL59" s="138">
        <v>41153.0</v>
      </c>
      <c r="AM59" s="138">
        <v>41183.0</v>
      </c>
      <c r="AN59" s="138">
        <v>41214.0</v>
      </c>
      <c r="AO59" s="138">
        <v>41244.0</v>
      </c>
      <c r="AP59" s="138">
        <v>41275.0</v>
      </c>
      <c r="AQ59" s="138">
        <v>41306.0</v>
      </c>
      <c r="AR59" s="138">
        <v>41334.0</v>
      </c>
      <c r="AS59" s="138">
        <v>41365.0</v>
      </c>
      <c r="AT59" s="138">
        <v>41395.0</v>
      </c>
      <c r="AU59" s="138">
        <v>41426.0</v>
      </c>
      <c r="AV59" s="138">
        <v>41456.0</v>
      </c>
      <c r="AW59" s="138">
        <v>41487.0</v>
      </c>
      <c r="AX59" s="138">
        <v>41518.0</v>
      </c>
      <c r="AY59" s="138">
        <v>41548.0</v>
      </c>
      <c r="AZ59" s="138">
        <v>41579.0</v>
      </c>
      <c r="BA59" s="138">
        <v>41609.0</v>
      </c>
      <c r="BB59" s="138">
        <v>41640.0</v>
      </c>
      <c r="BC59" s="138">
        <v>41671.0</v>
      </c>
      <c r="BD59" s="138">
        <v>41699.0</v>
      </c>
      <c r="BE59" s="138">
        <v>41730.0</v>
      </c>
      <c r="BF59" s="138">
        <v>41760.0</v>
      </c>
      <c r="BG59" s="138">
        <v>41791.0</v>
      </c>
      <c r="BH59" s="138">
        <v>41821.0</v>
      </c>
      <c r="BI59" s="138">
        <v>41852.0</v>
      </c>
      <c r="BJ59" s="138">
        <v>41883.0</v>
      </c>
      <c r="BK59" s="138">
        <v>41913.0</v>
      </c>
      <c r="BL59" s="138">
        <v>41944.0</v>
      </c>
      <c r="BM59" s="138">
        <v>41974.0</v>
      </c>
      <c r="BN59" s="138">
        <v>42005.0</v>
      </c>
      <c r="BO59" s="138">
        <v>42036.0</v>
      </c>
      <c r="BP59" s="138">
        <v>42064.0</v>
      </c>
      <c r="BQ59" s="138">
        <v>42095.0</v>
      </c>
      <c r="BR59" s="138">
        <v>42125.0</v>
      </c>
      <c r="BS59" s="138">
        <v>42156.0</v>
      </c>
      <c r="BT59" s="138">
        <v>42186.0</v>
      </c>
      <c r="BU59" s="138">
        <v>42217.0</v>
      </c>
      <c r="BV59" s="138">
        <v>42248.0</v>
      </c>
      <c r="BW59" s="138">
        <v>42278.0</v>
      </c>
      <c r="BX59" s="138">
        <v>42309.0</v>
      </c>
      <c r="BY59" s="138">
        <v>42339.0</v>
      </c>
      <c r="BZ59" s="139">
        <v>42370.0</v>
      </c>
      <c r="CA59" s="139">
        <v>42401.0</v>
      </c>
      <c r="CB59" s="139">
        <v>42430.0</v>
      </c>
      <c r="CC59" s="139">
        <v>42461.0</v>
      </c>
      <c r="CD59" s="139">
        <v>42491.0</v>
      </c>
      <c r="CE59" s="139">
        <v>42522.0</v>
      </c>
      <c r="CF59" s="139">
        <v>42552.0</v>
      </c>
      <c r="CG59" s="139">
        <v>42583.0</v>
      </c>
      <c r="CH59" s="139">
        <v>42614.0</v>
      </c>
      <c r="CI59" s="139">
        <v>42644.0</v>
      </c>
      <c r="CJ59" s="139">
        <v>42675.0</v>
      </c>
      <c r="CK59" s="139">
        <v>42705.0</v>
      </c>
      <c r="CL59" s="139">
        <v>42736.0</v>
      </c>
      <c r="CM59" s="139">
        <v>42767.0</v>
      </c>
      <c r="CN59" s="139">
        <v>42795.0</v>
      </c>
      <c r="CO59" s="139">
        <v>42826.0</v>
      </c>
      <c r="CP59" s="139">
        <v>42856.0</v>
      </c>
      <c r="CQ59" s="139">
        <v>42887.0</v>
      </c>
      <c r="CR59" s="139">
        <v>42917.0</v>
      </c>
      <c r="CS59" s="139">
        <v>42948.0</v>
      </c>
      <c r="CT59" s="139">
        <v>42979.0</v>
      </c>
      <c r="CU59" s="139">
        <v>43009.0</v>
      </c>
      <c r="CV59" s="139">
        <v>43040.0</v>
      </c>
      <c r="CW59" s="139">
        <v>43070.0</v>
      </c>
      <c r="CX59" s="139">
        <v>43101.0</v>
      </c>
      <c r="CY59" s="139">
        <v>43132.0</v>
      </c>
      <c r="CZ59" s="139">
        <v>43160.0</v>
      </c>
      <c r="DA59" s="139">
        <v>43191.0</v>
      </c>
      <c r="DB59" s="139">
        <v>43221.0</v>
      </c>
      <c r="DC59" s="139">
        <v>43252.0</v>
      </c>
      <c r="DD59" s="139">
        <v>43282.0</v>
      </c>
      <c r="DE59" s="139">
        <v>43313.0</v>
      </c>
      <c r="DF59" s="139">
        <v>43344.0</v>
      </c>
      <c r="DG59" s="139">
        <v>43374.0</v>
      </c>
      <c r="DH59" s="139">
        <v>43405.0</v>
      </c>
      <c r="DI59" s="139">
        <v>43435.0</v>
      </c>
      <c r="DJ59" s="139">
        <v>43466.0</v>
      </c>
      <c r="DK59" s="139">
        <v>43497.0</v>
      </c>
      <c r="DL59" s="139">
        <v>43525.0</v>
      </c>
      <c r="DM59" s="139">
        <v>43556.0</v>
      </c>
      <c r="DN59" s="139">
        <v>43586.0</v>
      </c>
      <c r="DO59" s="139">
        <v>43617.0</v>
      </c>
      <c r="DP59" s="139">
        <v>43647.0</v>
      </c>
      <c r="DQ59" s="139">
        <v>43678.0</v>
      </c>
      <c r="DR59" s="139">
        <v>43709.0</v>
      </c>
      <c r="DS59" s="139">
        <v>43739.0</v>
      </c>
      <c r="DT59" s="139">
        <v>43770.0</v>
      </c>
      <c r="DU59" s="139">
        <v>43800.0</v>
      </c>
      <c r="DV59" s="139">
        <v>43831.0</v>
      </c>
      <c r="DW59" s="139">
        <v>43862.0</v>
      </c>
      <c r="DX59" s="139">
        <v>43891.0</v>
      </c>
      <c r="DY59" s="139">
        <v>43922.0</v>
      </c>
      <c r="DZ59" s="139">
        <v>43952.0</v>
      </c>
      <c r="EA59" s="139">
        <v>43983.0</v>
      </c>
      <c r="EB59" s="139">
        <v>44013.0</v>
      </c>
      <c r="EC59" s="139">
        <v>44044.0</v>
      </c>
      <c r="ED59" s="139">
        <v>44075.0</v>
      </c>
      <c r="EE59" s="139">
        <v>44105.0</v>
      </c>
      <c r="EF59" s="139">
        <v>44136.0</v>
      </c>
      <c r="EG59" s="139">
        <v>44166.0</v>
      </c>
      <c r="EH59" s="139">
        <v>44197.0</v>
      </c>
      <c r="EI59" s="139">
        <v>44228.0</v>
      </c>
      <c r="EJ59" s="139">
        <v>44256.0</v>
      </c>
      <c r="EK59" s="139">
        <v>44287.0</v>
      </c>
      <c r="EL59" s="139">
        <v>44317.0</v>
      </c>
      <c r="EM59" s="139">
        <v>44348.0</v>
      </c>
      <c r="EN59" s="139">
        <v>44378.0</v>
      </c>
      <c r="EO59" s="139">
        <v>44409.0</v>
      </c>
      <c r="EP59" s="139">
        <v>44440.0</v>
      </c>
      <c r="EQ59" s="139">
        <v>44470.0</v>
      </c>
      <c r="ER59" s="139">
        <v>44501.0</v>
      </c>
      <c r="ES59" s="139">
        <v>44531.0</v>
      </c>
      <c r="ET59" s="139">
        <v>44562.0</v>
      </c>
      <c r="EU59" s="139">
        <v>44593.0</v>
      </c>
      <c r="EV59" s="139">
        <v>44621.0</v>
      </c>
      <c r="EW59" s="139">
        <v>44652.0</v>
      </c>
      <c r="EX59" s="139">
        <v>44682.0</v>
      </c>
      <c r="EY59" s="139">
        <v>44713.0</v>
      </c>
      <c r="EZ59" s="139">
        <v>44743.0</v>
      </c>
      <c r="FA59" s="139">
        <v>44774.0</v>
      </c>
      <c r="FB59" s="139">
        <v>44805.0</v>
      </c>
      <c r="FC59" s="139">
        <v>44835.0</v>
      </c>
      <c r="FD59" s="139">
        <v>44866.0</v>
      </c>
      <c r="FE59" s="139">
        <v>44896.0</v>
      </c>
      <c r="FF59" s="139">
        <v>44927.0</v>
      </c>
      <c r="FG59" s="139">
        <v>44958.0</v>
      </c>
      <c r="FH59" s="139">
        <v>44986.0</v>
      </c>
      <c r="FI59" s="139">
        <v>45017.0</v>
      </c>
      <c r="FJ59" s="139">
        <v>45047.0</v>
      </c>
      <c r="FK59" s="139">
        <v>45078.0</v>
      </c>
      <c r="FL59" s="139">
        <v>45108.0</v>
      </c>
      <c r="FM59" s="139">
        <v>45139.0</v>
      </c>
      <c r="FN59" s="139">
        <v>45170.0</v>
      </c>
      <c r="FO59" s="139">
        <v>45200.0</v>
      </c>
      <c r="FP59" s="139">
        <v>45231.0</v>
      </c>
      <c r="FQ59" s="139">
        <v>45261.0</v>
      </c>
      <c r="FR59" s="139">
        <v>45292.0</v>
      </c>
      <c r="FS59" s="139">
        <v>45323.0</v>
      </c>
      <c r="FT59" s="139">
        <v>45352.0</v>
      </c>
      <c r="FU59" s="139">
        <v>45383.0</v>
      </c>
      <c r="FV59" s="139">
        <v>45413.0</v>
      </c>
      <c r="FW59" s="139">
        <v>45444.0</v>
      </c>
      <c r="FX59" s="139">
        <v>45474.0</v>
      </c>
      <c r="FY59" s="139">
        <v>45505.0</v>
      </c>
      <c r="FZ59" s="139">
        <v>45536.0</v>
      </c>
      <c r="GA59" s="139">
        <v>45566.0</v>
      </c>
      <c r="GB59" s="139">
        <v>45597.0</v>
      </c>
      <c r="GC59" s="139">
        <v>45627.0</v>
      </c>
      <c r="GD59" s="139">
        <v>45658.0</v>
      </c>
      <c r="GE59" s="139">
        <v>45689.0</v>
      </c>
      <c r="GF59" s="139">
        <v>45717.0</v>
      </c>
      <c r="GG59" s="139">
        <v>45748.0</v>
      </c>
      <c r="GH59" s="139">
        <v>45778.0</v>
      </c>
      <c r="GI59" s="139">
        <v>45809.0</v>
      </c>
      <c r="GJ59" s="139">
        <v>45839.0</v>
      </c>
    </row>
    <row r="60">
      <c r="A60" s="133" t="s">
        <v>1712</v>
      </c>
      <c r="B60" s="134">
        <v>42397.66328703704</v>
      </c>
      <c r="C60" s="135" t="str">
        <f t="shared" si="1"/>
        <v>2016/01/28</v>
      </c>
      <c r="D60" s="136" t="s">
        <v>34269</v>
      </c>
      <c r="E60" s="151">
        <v>0.0</v>
      </c>
      <c r="F60" s="138">
        <v>40179.0</v>
      </c>
      <c r="G60" s="138">
        <v>40210.0</v>
      </c>
      <c r="H60" s="138">
        <v>40238.0</v>
      </c>
      <c r="I60" s="138">
        <v>40269.0</v>
      </c>
      <c r="J60" s="138">
        <v>40299.0</v>
      </c>
      <c r="K60" s="138">
        <v>40330.0</v>
      </c>
      <c r="L60" s="138">
        <v>40360.0</v>
      </c>
      <c r="M60" s="138">
        <v>40391.0</v>
      </c>
      <c r="N60" s="138">
        <v>40422.0</v>
      </c>
      <c r="O60" s="138">
        <v>40452.0</v>
      </c>
      <c r="P60" s="138">
        <v>40483.0</v>
      </c>
      <c r="Q60" s="138">
        <v>40513.0</v>
      </c>
      <c r="R60" s="138">
        <v>40544.0</v>
      </c>
      <c r="S60" s="138">
        <v>40575.0</v>
      </c>
      <c r="T60" s="138">
        <v>40603.0</v>
      </c>
      <c r="U60" s="138">
        <v>40634.0</v>
      </c>
      <c r="V60" s="138">
        <v>40664.0</v>
      </c>
      <c r="W60" s="138">
        <v>40695.0</v>
      </c>
      <c r="X60" s="138">
        <v>40725.0</v>
      </c>
      <c r="Y60" s="138">
        <v>40756.0</v>
      </c>
      <c r="Z60" s="138">
        <v>40787.0</v>
      </c>
      <c r="AA60" s="138">
        <v>40817.0</v>
      </c>
      <c r="AB60" s="138">
        <v>40848.0</v>
      </c>
      <c r="AC60" s="138">
        <v>40878.0</v>
      </c>
      <c r="AD60" s="138">
        <v>40909.0</v>
      </c>
      <c r="AE60" s="138">
        <v>40940.0</v>
      </c>
      <c r="AF60" s="138">
        <v>40969.0</v>
      </c>
      <c r="AG60" s="138">
        <v>41000.0</v>
      </c>
      <c r="AH60" s="138">
        <v>41030.0</v>
      </c>
      <c r="AI60" s="138">
        <v>41061.0</v>
      </c>
      <c r="AJ60" s="138">
        <v>41091.0</v>
      </c>
      <c r="AK60" s="138">
        <v>41122.0</v>
      </c>
      <c r="AL60" s="138">
        <v>41153.0</v>
      </c>
      <c r="AM60" s="138">
        <v>41183.0</v>
      </c>
      <c r="AN60" s="138">
        <v>41214.0</v>
      </c>
      <c r="AO60" s="138">
        <v>41244.0</v>
      </c>
      <c r="AP60" s="138">
        <v>41275.0</v>
      </c>
      <c r="AQ60" s="138">
        <v>41306.0</v>
      </c>
      <c r="AR60" s="138">
        <v>41334.0</v>
      </c>
      <c r="AS60" s="138">
        <v>41365.0</v>
      </c>
      <c r="AT60" s="138">
        <v>41395.0</v>
      </c>
      <c r="AU60" s="138">
        <v>41426.0</v>
      </c>
      <c r="AV60" s="138">
        <v>41456.0</v>
      </c>
      <c r="AW60" s="138">
        <v>41487.0</v>
      </c>
      <c r="AX60" s="138">
        <v>41518.0</v>
      </c>
      <c r="AY60" s="138">
        <v>41548.0</v>
      </c>
      <c r="AZ60" s="138">
        <v>41579.0</v>
      </c>
      <c r="BA60" s="138">
        <v>41609.0</v>
      </c>
      <c r="BB60" s="138">
        <v>41640.0</v>
      </c>
      <c r="BC60" s="138">
        <v>41671.0</v>
      </c>
      <c r="BD60" s="138">
        <v>41699.0</v>
      </c>
      <c r="BE60" s="138">
        <v>41730.0</v>
      </c>
      <c r="BF60" s="138">
        <v>41760.0</v>
      </c>
      <c r="BG60" s="138">
        <v>41791.0</v>
      </c>
      <c r="BH60" s="138">
        <v>41821.0</v>
      </c>
      <c r="BI60" s="138">
        <v>41852.0</v>
      </c>
      <c r="BJ60" s="138">
        <v>41883.0</v>
      </c>
      <c r="BK60" s="138">
        <v>41913.0</v>
      </c>
      <c r="BL60" s="138">
        <v>41944.0</v>
      </c>
      <c r="BM60" s="138">
        <v>41974.0</v>
      </c>
      <c r="BN60" s="138">
        <v>42005.0</v>
      </c>
      <c r="BO60" s="138">
        <v>42036.0</v>
      </c>
      <c r="BP60" s="138">
        <v>42064.0</v>
      </c>
      <c r="BQ60" s="138">
        <v>42095.0</v>
      </c>
      <c r="BR60" s="138">
        <v>42125.0</v>
      </c>
      <c r="BS60" s="138">
        <v>42156.0</v>
      </c>
      <c r="BT60" s="138">
        <v>42186.0</v>
      </c>
      <c r="BU60" s="138">
        <v>42217.0</v>
      </c>
      <c r="BV60" s="138">
        <v>42248.0</v>
      </c>
      <c r="BW60" s="138">
        <v>42278.0</v>
      </c>
      <c r="BX60" s="138">
        <v>42309.0</v>
      </c>
      <c r="BY60" s="138">
        <v>42339.0</v>
      </c>
      <c r="BZ60" s="138">
        <v>42370.0</v>
      </c>
      <c r="CA60" s="139">
        <v>42401.0</v>
      </c>
      <c r="CB60" s="139">
        <v>42430.0</v>
      </c>
      <c r="CC60" s="139">
        <v>42461.0</v>
      </c>
      <c r="CD60" s="139">
        <v>42491.0</v>
      </c>
      <c r="CE60" s="139">
        <v>42522.0</v>
      </c>
      <c r="CF60" s="139">
        <v>42552.0</v>
      </c>
      <c r="CG60" s="139">
        <v>42583.0</v>
      </c>
      <c r="CH60" s="139">
        <v>42614.0</v>
      </c>
      <c r="CI60" s="139">
        <v>42644.0</v>
      </c>
      <c r="CJ60" s="139">
        <v>42675.0</v>
      </c>
      <c r="CK60" s="139">
        <v>42705.0</v>
      </c>
      <c r="CL60" s="139">
        <v>42736.0</v>
      </c>
      <c r="CM60" s="139">
        <v>42767.0</v>
      </c>
      <c r="CN60" s="139">
        <v>42795.0</v>
      </c>
      <c r="CO60" s="139">
        <v>42826.0</v>
      </c>
      <c r="CP60" s="139">
        <v>42856.0</v>
      </c>
      <c r="CQ60" s="139">
        <v>42887.0</v>
      </c>
      <c r="CR60" s="139">
        <v>42917.0</v>
      </c>
      <c r="CS60" s="139">
        <v>42948.0</v>
      </c>
      <c r="CT60" s="139">
        <v>42979.0</v>
      </c>
      <c r="CU60" s="139">
        <v>43009.0</v>
      </c>
      <c r="CV60" s="139">
        <v>43040.0</v>
      </c>
      <c r="CW60" s="139">
        <v>43070.0</v>
      </c>
      <c r="CX60" s="139">
        <v>43101.0</v>
      </c>
      <c r="CY60" s="139">
        <v>43132.0</v>
      </c>
      <c r="CZ60" s="139">
        <v>43160.0</v>
      </c>
      <c r="DA60" s="139">
        <v>43191.0</v>
      </c>
      <c r="DB60" s="139">
        <v>43221.0</v>
      </c>
      <c r="DC60" s="139">
        <v>43252.0</v>
      </c>
      <c r="DD60" s="139">
        <v>43282.0</v>
      </c>
      <c r="DE60" s="139">
        <v>43313.0</v>
      </c>
      <c r="DF60" s="139">
        <v>43344.0</v>
      </c>
      <c r="DG60" s="139">
        <v>43374.0</v>
      </c>
      <c r="DH60" s="139">
        <v>43405.0</v>
      </c>
      <c r="DI60" s="139">
        <v>43435.0</v>
      </c>
      <c r="DJ60" s="139">
        <v>43466.0</v>
      </c>
      <c r="DK60" s="139">
        <v>43497.0</v>
      </c>
      <c r="DL60" s="139">
        <v>43525.0</v>
      </c>
      <c r="DM60" s="139">
        <v>43556.0</v>
      </c>
      <c r="DN60" s="139">
        <v>43586.0</v>
      </c>
      <c r="DO60" s="139">
        <v>43617.0</v>
      </c>
      <c r="DP60" s="139">
        <v>43647.0</v>
      </c>
      <c r="DQ60" s="139">
        <v>43678.0</v>
      </c>
      <c r="DR60" s="139">
        <v>43709.0</v>
      </c>
      <c r="DS60" s="139">
        <v>43739.0</v>
      </c>
      <c r="DT60" s="139">
        <v>43770.0</v>
      </c>
      <c r="DU60" s="139">
        <v>43800.0</v>
      </c>
      <c r="DV60" s="139">
        <v>43831.0</v>
      </c>
      <c r="DW60" s="139">
        <v>43862.0</v>
      </c>
      <c r="DX60" s="139">
        <v>43891.0</v>
      </c>
      <c r="DY60" s="139">
        <v>43922.0</v>
      </c>
      <c r="DZ60" s="139">
        <v>43952.0</v>
      </c>
      <c r="EA60" s="139">
        <v>43983.0</v>
      </c>
      <c r="EB60" s="139">
        <v>44013.0</v>
      </c>
      <c r="EC60" s="139">
        <v>44044.0</v>
      </c>
      <c r="ED60" s="139">
        <v>44075.0</v>
      </c>
      <c r="EE60" s="139">
        <v>44105.0</v>
      </c>
      <c r="EF60" s="139">
        <v>44136.0</v>
      </c>
      <c r="EG60" s="139">
        <v>44166.0</v>
      </c>
      <c r="EH60" s="139">
        <v>44197.0</v>
      </c>
      <c r="EI60" s="139">
        <v>44228.0</v>
      </c>
      <c r="EJ60" s="139">
        <v>44256.0</v>
      </c>
      <c r="EK60" s="139">
        <v>44287.0</v>
      </c>
      <c r="EL60" s="139">
        <v>44317.0</v>
      </c>
      <c r="EM60" s="139">
        <v>44348.0</v>
      </c>
      <c r="EN60" s="139">
        <v>44378.0</v>
      </c>
      <c r="EO60" s="139">
        <v>44409.0</v>
      </c>
      <c r="EP60" s="139">
        <v>44440.0</v>
      </c>
      <c r="EQ60" s="139">
        <v>44470.0</v>
      </c>
      <c r="ER60" s="139">
        <v>44501.0</v>
      </c>
      <c r="ES60" s="139">
        <v>44531.0</v>
      </c>
      <c r="ET60" s="139">
        <v>44562.0</v>
      </c>
      <c r="EU60" s="139">
        <v>44593.0</v>
      </c>
      <c r="EV60" s="139">
        <v>44621.0</v>
      </c>
      <c r="EW60" s="139">
        <v>44652.0</v>
      </c>
      <c r="EX60" s="139">
        <v>44682.0</v>
      </c>
      <c r="EY60" s="139">
        <v>44713.0</v>
      </c>
      <c r="EZ60" s="139">
        <v>44743.0</v>
      </c>
      <c r="FA60" s="139">
        <v>44774.0</v>
      </c>
      <c r="FB60" s="139">
        <v>44805.0</v>
      </c>
      <c r="FC60" s="139">
        <v>44835.0</v>
      </c>
      <c r="FD60" s="139">
        <v>44866.0</v>
      </c>
      <c r="FE60" s="139">
        <v>44896.0</v>
      </c>
      <c r="FF60" s="139">
        <v>44927.0</v>
      </c>
      <c r="FG60" s="139">
        <v>44958.0</v>
      </c>
      <c r="FH60" s="139">
        <v>44986.0</v>
      </c>
      <c r="FI60" s="139">
        <v>45017.0</v>
      </c>
      <c r="FJ60" s="139">
        <v>45047.0</v>
      </c>
      <c r="FK60" s="139">
        <v>45078.0</v>
      </c>
      <c r="FL60" s="139">
        <v>45108.0</v>
      </c>
      <c r="FM60" s="139">
        <v>45139.0</v>
      </c>
      <c r="FN60" s="139">
        <v>45170.0</v>
      </c>
      <c r="FO60" s="139">
        <v>45200.0</v>
      </c>
      <c r="FP60" s="139">
        <v>45231.0</v>
      </c>
      <c r="FQ60" s="139">
        <v>45261.0</v>
      </c>
      <c r="FR60" s="139">
        <v>45292.0</v>
      </c>
      <c r="FS60" s="139">
        <v>45323.0</v>
      </c>
      <c r="FT60" s="139">
        <v>45352.0</v>
      </c>
      <c r="FU60" s="139">
        <v>45383.0</v>
      </c>
      <c r="FV60" s="139">
        <v>45413.0</v>
      </c>
      <c r="FW60" s="139">
        <v>45444.0</v>
      </c>
      <c r="FX60" s="139">
        <v>45474.0</v>
      </c>
      <c r="FY60" s="139">
        <v>45505.0</v>
      </c>
      <c r="FZ60" s="139">
        <v>45536.0</v>
      </c>
      <c r="GA60" s="139">
        <v>45566.0</v>
      </c>
      <c r="GB60" s="139">
        <v>45597.0</v>
      </c>
      <c r="GC60" s="139">
        <v>45627.0</v>
      </c>
      <c r="GD60" s="139">
        <v>45658.0</v>
      </c>
      <c r="GE60" s="139">
        <v>45689.0</v>
      </c>
      <c r="GF60" s="139">
        <v>45717.0</v>
      </c>
      <c r="GG60" s="139">
        <v>45748.0</v>
      </c>
      <c r="GH60" s="139">
        <v>45778.0</v>
      </c>
      <c r="GI60" s="139">
        <v>45809.0</v>
      </c>
      <c r="GJ60" s="139">
        <v>45839.0</v>
      </c>
    </row>
    <row r="61">
      <c r="A61" s="133" t="s">
        <v>1539</v>
      </c>
      <c r="B61" s="134">
        <v>42425.46460648148</v>
      </c>
      <c r="C61" s="135" t="str">
        <f t="shared" si="1"/>
        <v>2016/02/25</v>
      </c>
      <c r="D61" s="136" t="s">
        <v>33974</v>
      </c>
      <c r="E61" s="151">
        <v>0.0</v>
      </c>
      <c r="F61" s="138">
        <v>40179.0</v>
      </c>
      <c r="G61" s="138">
        <v>40210.0</v>
      </c>
      <c r="H61" s="138">
        <v>40238.0</v>
      </c>
      <c r="I61" s="138">
        <v>40269.0</v>
      </c>
      <c r="J61" s="138">
        <v>40299.0</v>
      </c>
      <c r="K61" s="138">
        <v>40330.0</v>
      </c>
      <c r="L61" s="138">
        <v>40360.0</v>
      </c>
      <c r="M61" s="138">
        <v>40391.0</v>
      </c>
      <c r="N61" s="138">
        <v>40422.0</v>
      </c>
      <c r="O61" s="138">
        <v>40452.0</v>
      </c>
      <c r="P61" s="138">
        <v>40483.0</v>
      </c>
      <c r="Q61" s="138">
        <v>40513.0</v>
      </c>
      <c r="R61" s="138">
        <v>40544.0</v>
      </c>
      <c r="S61" s="138">
        <v>40575.0</v>
      </c>
      <c r="T61" s="138">
        <v>40603.0</v>
      </c>
      <c r="U61" s="138">
        <v>40634.0</v>
      </c>
      <c r="V61" s="138">
        <v>40664.0</v>
      </c>
      <c r="W61" s="138">
        <v>40695.0</v>
      </c>
      <c r="X61" s="138">
        <v>40725.0</v>
      </c>
      <c r="Y61" s="138">
        <v>40756.0</v>
      </c>
      <c r="Z61" s="138">
        <v>40787.0</v>
      </c>
      <c r="AA61" s="138">
        <v>40817.0</v>
      </c>
      <c r="AB61" s="138">
        <v>40848.0</v>
      </c>
      <c r="AC61" s="138">
        <v>40878.0</v>
      </c>
      <c r="AD61" s="138">
        <v>40909.0</v>
      </c>
      <c r="AE61" s="138">
        <v>40940.0</v>
      </c>
      <c r="AF61" s="138">
        <v>40969.0</v>
      </c>
      <c r="AG61" s="138">
        <v>41000.0</v>
      </c>
      <c r="AH61" s="138">
        <v>41030.0</v>
      </c>
      <c r="AI61" s="138">
        <v>41061.0</v>
      </c>
      <c r="AJ61" s="138">
        <v>41091.0</v>
      </c>
      <c r="AK61" s="138">
        <v>41122.0</v>
      </c>
      <c r="AL61" s="138">
        <v>41153.0</v>
      </c>
      <c r="AM61" s="138">
        <v>41183.0</v>
      </c>
      <c r="AN61" s="138">
        <v>41214.0</v>
      </c>
      <c r="AO61" s="138">
        <v>41244.0</v>
      </c>
      <c r="AP61" s="138">
        <v>41275.0</v>
      </c>
      <c r="AQ61" s="138">
        <v>41306.0</v>
      </c>
      <c r="AR61" s="138">
        <v>41334.0</v>
      </c>
      <c r="AS61" s="138">
        <v>41365.0</v>
      </c>
      <c r="AT61" s="138">
        <v>41395.0</v>
      </c>
      <c r="AU61" s="138">
        <v>41426.0</v>
      </c>
      <c r="AV61" s="138">
        <v>41456.0</v>
      </c>
      <c r="AW61" s="138">
        <v>41487.0</v>
      </c>
      <c r="AX61" s="138">
        <v>41518.0</v>
      </c>
      <c r="AY61" s="138">
        <v>41548.0</v>
      </c>
      <c r="AZ61" s="138">
        <v>41579.0</v>
      </c>
      <c r="BA61" s="138">
        <v>41609.0</v>
      </c>
      <c r="BB61" s="138">
        <v>41640.0</v>
      </c>
      <c r="BC61" s="138">
        <v>41671.0</v>
      </c>
      <c r="BD61" s="138">
        <v>41699.0</v>
      </c>
      <c r="BE61" s="138">
        <v>41730.0</v>
      </c>
      <c r="BF61" s="138">
        <v>41760.0</v>
      </c>
      <c r="BG61" s="138">
        <v>41791.0</v>
      </c>
      <c r="BH61" s="138">
        <v>41821.0</v>
      </c>
      <c r="BI61" s="138">
        <v>41852.0</v>
      </c>
      <c r="BJ61" s="138">
        <v>41883.0</v>
      </c>
      <c r="BK61" s="138">
        <v>41913.0</v>
      </c>
      <c r="BL61" s="138">
        <v>41944.0</v>
      </c>
      <c r="BM61" s="138">
        <v>41974.0</v>
      </c>
      <c r="BN61" s="138">
        <v>42005.0</v>
      </c>
      <c r="BO61" s="138">
        <v>42036.0</v>
      </c>
      <c r="BP61" s="138">
        <v>42064.0</v>
      </c>
      <c r="BQ61" s="138">
        <v>42095.0</v>
      </c>
      <c r="BR61" s="138">
        <v>42125.0</v>
      </c>
      <c r="BS61" s="138">
        <v>42156.0</v>
      </c>
      <c r="BT61" s="138">
        <v>42186.0</v>
      </c>
      <c r="BU61" s="138">
        <v>42217.0</v>
      </c>
      <c r="BV61" s="138">
        <v>42248.0</v>
      </c>
      <c r="BW61" s="138">
        <v>42278.0</v>
      </c>
      <c r="BX61" s="138">
        <v>42309.0</v>
      </c>
      <c r="BY61" s="138">
        <v>42339.0</v>
      </c>
      <c r="BZ61" s="138">
        <v>42370.0</v>
      </c>
      <c r="CA61" s="138">
        <v>42401.0</v>
      </c>
      <c r="CB61" s="139">
        <v>42430.0</v>
      </c>
      <c r="CC61" s="139">
        <v>42461.0</v>
      </c>
      <c r="CD61" s="139">
        <v>42491.0</v>
      </c>
      <c r="CE61" s="139">
        <v>42522.0</v>
      </c>
      <c r="CF61" s="139">
        <v>42552.0</v>
      </c>
      <c r="CG61" s="139">
        <v>42583.0</v>
      </c>
      <c r="CH61" s="139">
        <v>42614.0</v>
      </c>
      <c r="CI61" s="139">
        <v>42644.0</v>
      </c>
      <c r="CJ61" s="139">
        <v>42675.0</v>
      </c>
      <c r="CK61" s="139">
        <v>42705.0</v>
      </c>
      <c r="CL61" s="139">
        <v>42736.0</v>
      </c>
      <c r="CM61" s="139">
        <v>42767.0</v>
      </c>
      <c r="CN61" s="139">
        <v>42795.0</v>
      </c>
      <c r="CO61" s="139">
        <v>42826.0</v>
      </c>
      <c r="CP61" s="139">
        <v>42856.0</v>
      </c>
      <c r="CQ61" s="139">
        <v>42887.0</v>
      </c>
      <c r="CR61" s="139">
        <v>42917.0</v>
      </c>
      <c r="CS61" s="139">
        <v>42948.0</v>
      </c>
      <c r="CT61" s="139">
        <v>42979.0</v>
      </c>
      <c r="CU61" s="139">
        <v>43009.0</v>
      </c>
      <c r="CV61" s="139">
        <v>43040.0</v>
      </c>
      <c r="CW61" s="139">
        <v>43070.0</v>
      </c>
      <c r="CX61" s="139">
        <v>43101.0</v>
      </c>
      <c r="CY61" s="139">
        <v>43132.0</v>
      </c>
      <c r="CZ61" s="139">
        <v>43160.0</v>
      </c>
      <c r="DA61" s="139">
        <v>43191.0</v>
      </c>
      <c r="DB61" s="139">
        <v>43221.0</v>
      </c>
      <c r="DC61" s="139">
        <v>43252.0</v>
      </c>
      <c r="DD61" s="139">
        <v>43282.0</v>
      </c>
      <c r="DE61" s="139">
        <v>43313.0</v>
      </c>
      <c r="DF61" s="139">
        <v>43344.0</v>
      </c>
      <c r="DG61" s="139">
        <v>43374.0</v>
      </c>
      <c r="DH61" s="139">
        <v>43405.0</v>
      </c>
      <c r="DI61" s="139">
        <v>43435.0</v>
      </c>
      <c r="DJ61" s="139">
        <v>43466.0</v>
      </c>
      <c r="DK61" s="139">
        <v>43497.0</v>
      </c>
      <c r="DL61" s="139">
        <v>43525.0</v>
      </c>
      <c r="DM61" s="139">
        <v>43556.0</v>
      </c>
      <c r="DN61" s="139">
        <v>43586.0</v>
      </c>
      <c r="DO61" s="139">
        <v>43617.0</v>
      </c>
      <c r="DP61" s="139">
        <v>43647.0</v>
      </c>
      <c r="DQ61" s="139">
        <v>43678.0</v>
      </c>
      <c r="DR61" s="139">
        <v>43709.0</v>
      </c>
      <c r="DS61" s="139">
        <v>43739.0</v>
      </c>
      <c r="DT61" s="139">
        <v>43770.0</v>
      </c>
      <c r="DU61" s="139">
        <v>43800.0</v>
      </c>
      <c r="DV61" s="139">
        <v>43831.0</v>
      </c>
      <c r="DW61" s="139">
        <v>43862.0</v>
      </c>
      <c r="DX61" s="139">
        <v>43891.0</v>
      </c>
      <c r="DY61" s="139">
        <v>43922.0</v>
      </c>
      <c r="DZ61" s="139">
        <v>43952.0</v>
      </c>
      <c r="EA61" s="139">
        <v>43983.0</v>
      </c>
      <c r="EB61" s="139">
        <v>44013.0</v>
      </c>
      <c r="EC61" s="139">
        <v>44044.0</v>
      </c>
      <c r="ED61" s="139">
        <v>44075.0</v>
      </c>
      <c r="EE61" s="139">
        <v>44105.0</v>
      </c>
      <c r="EF61" s="139">
        <v>44136.0</v>
      </c>
      <c r="EG61" s="139">
        <v>44166.0</v>
      </c>
      <c r="EH61" s="139">
        <v>44197.0</v>
      </c>
      <c r="EI61" s="139">
        <v>44228.0</v>
      </c>
      <c r="EJ61" s="139">
        <v>44256.0</v>
      </c>
      <c r="EK61" s="139">
        <v>44287.0</v>
      </c>
      <c r="EL61" s="139">
        <v>44317.0</v>
      </c>
      <c r="EM61" s="139">
        <v>44348.0</v>
      </c>
      <c r="EN61" s="139">
        <v>44378.0</v>
      </c>
      <c r="EO61" s="139">
        <v>44409.0</v>
      </c>
      <c r="EP61" s="139">
        <v>44440.0</v>
      </c>
      <c r="EQ61" s="139">
        <v>44470.0</v>
      </c>
      <c r="ER61" s="139">
        <v>44501.0</v>
      </c>
      <c r="ES61" s="139">
        <v>44531.0</v>
      </c>
      <c r="ET61" s="139">
        <v>44562.0</v>
      </c>
      <c r="EU61" s="139">
        <v>44593.0</v>
      </c>
      <c r="EV61" s="139">
        <v>44621.0</v>
      </c>
      <c r="EW61" s="139">
        <v>44652.0</v>
      </c>
      <c r="EX61" s="139">
        <v>44682.0</v>
      </c>
      <c r="EY61" s="139">
        <v>44713.0</v>
      </c>
      <c r="EZ61" s="139">
        <v>44743.0</v>
      </c>
      <c r="FA61" s="139">
        <v>44774.0</v>
      </c>
      <c r="FB61" s="139">
        <v>44805.0</v>
      </c>
      <c r="FC61" s="139">
        <v>44835.0</v>
      </c>
      <c r="FD61" s="139">
        <v>44866.0</v>
      </c>
      <c r="FE61" s="139">
        <v>44896.0</v>
      </c>
      <c r="FF61" s="139">
        <v>44927.0</v>
      </c>
      <c r="FG61" s="139">
        <v>44958.0</v>
      </c>
      <c r="FH61" s="139">
        <v>44986.0</v>
      </c>
      <c r="FI61" s="139">
        <v>45017.0</v>
      </c>
      <c r="FJ61" s="139">
        <v>45047.0</v>
      </c>
      <c r="FK61" s="139">
        <v>45078.0</v>
      </c>
      <c r="FL61" s="139">
        <v>45108.0</v>
      </c>
      <c r="FM61" s="139">
        <v>45139.0</v>
      </c>
      <c r="FN61" s="139">
        <v>45170.0</v>
      </c>
      <c r="FO61" s="139">
        <v>45200.0</v>
      </c>
      <c r="FP61" s="139">
        <v>45231.0</v>
      </c>
      <c r="FQ61" s="139">
        <v>45261.0</v>
      </c>
      <c r="FR61" s="139">
        <v>45292.0</v>
      </c>
      <c r="FS61" s="139">
        <v>45323.0</v>
      </c>
      <c r="FT61" s="139">
        <v>45352.0</v>
      </c>
      <c r="FU61" s="139">
        <v>45383.0</v>
      </c>
      <c r="FV61" s="139">
        <v>45413.0</v>
      </c>
      <c r="FW61" s="139">
        <v>45444.0</v>
      </c>
      <c r="FX61" s="139">
        <v>45474.0</v>
      </c>
      <c r="FY61" s="139">
        <v>45505.0</v>
      </c>
      <c r="FZ61" s="139">
        <v>45536.0</v>
      </c>
      <c r="GA61" s="139">
        <v>45566.0</v>
      </c>
      <c r="GB61" s="139">
        <v>45597.0</v>
      </c>
      <c r="GC61" s="139">
        <v>45627.0</v>
      </c>
      <c r="GD61" s="139">
        <v>45658.0</v>
      </c>
      <c r="GE61" s="139">
        <v>45689.0</v>
      </c>
      <c r="GF61" s="139">
        <v>45717.0</v>
      </c>
      <c r="GG61" s="139">
        <v>45748.0</v>
      </c>
      <c r="GH61" s="139">
        <v>45778.0</v>
      </c>
      <c r="GI61" s="139">
        <v>45809.0</v>
      </c>
      <c r="GJ61" s="139">
        <v>45839.0</v>
      </c>
    </row>
    <row r="62">
      <c r="A62" s="133" t="s">
        <v>1764</v>
      </c>
      <c r="B62" s="134">
        <v>42426.72474537037</v>
      </c>
      <c r="C62" s="135" t="str">
        <f t="shared" si="1"/>
        <v>2016/02/26</v>
      </c>
      <c r="D62" s="136" t="s">
        <v>34270</v>
      </c>
      <c r="E62" s="151">
        <v>0.01</v>
      </c>
      <c r="F62" s="138">
        <v>40179.0</v>
      </c>
      <c r="G62" s="138">
        <v>40210.0</v>
      </c>
      <c r="H62" s="138">
        <v>40238.0</v>
      </c>
      <c r="I62" s="138">
        <v>40269.0</v>
      </c>
      <c r="J62" s="138">
        <v>40299.0</v>
      </c>
      <c r="K62" s="138">
        <v>40330.0</v>
      </c>
      <c r="L62" s="138">
        <v>40360.0</v>
      </c>
      <c r="M62" s="138">
        <v>40391.0</v>
      </c>
      <c r="N62" s="138">
        <v>40422.0</v>
      </c>
      <c r="O62" s="138">
        <v>40452.0</v>
      </c>
      <c r="P62" s="138">
        <v>40483.0</v>
      </c>
      <c r="Q62" s="138">
        <v>40513.0</v>
      </c>
      <c r="R62" s="138">
        <v>40544.0</v>
      </c>
      <c r="S62" s="138">
        <v>40575.0</v>
      </c>
      <c r="T62" s="138">
        <v>40603.0</v>
      </c>
      <c r="U62" s="138">
        <v>40634.0</v>
      </c>
      <c r="V62" s="138">
        <v>40664.0</v>
      </c>
      <c r="W62" s="138">
        <v>40695.0</v>
      </c>
      <c r="X62" s="138">
        <v>40725.0</v>
      </c>
      <c r="Y62" s="138">
        <v>40756.0</v>
      </c>
      <c r="Z62" s="138">
        <v>40787.0</v>
      </c>
      <c r="AA62" s="138">
        <v>40817.0</v>
      </c>
      <c r="AB62" s="138">
        <v>40848.0</v>
      </c>
      <c r="AC62" s="138">
        <v>40878.0</v>
      </c>
      <c r="AD62" s="138">
        <v>40909.0</v>
      </c>
      <c r="AE62" s="138">
        <v>40940.0</v>
      </c>
      <c r="AF62" s="138">
        <v>40969.0</v>
      </c>
      <c r="AG62" s="138">
        <v>41000.0</v>
      </c>
      <c r="AH62" s="138">
        <v>41030.0</v>
      </c>
      <c r="AI62" s="138">
        <v>41061.0</v>
      </c>
      <c r="AJ62" s="138">
        <v>41091.0</v>
      </c>
      <c r="AK62" s="138">
        <v>41122.0</v>
      </c>
      <c r="AL62" s="138">
        <v>41153.0</v>
      </c>
      <c r="AM62" s="138">
        <v>41183.0</v>
      </c>
      <c r="AN62" s="138">
        <v>41214.0</v>
      </c>
      <c r="AO62" s="138">
        <v>41244.0</v>
      </c>
      <c r="AP62" s="138">
        <v>41275.0</v>
      </c>
      <c r="AQ62" s="138">
        <v>41306.0</v>
      </c>
      <c r="AR62" s="138">
        <v>41334.0</v>
      </c>
      <c r="AS62" s="138">
        <v>41365.0</v>
      </c>
      <c r="AT62" s="138">
        <v>41395.0</v>
      </c>
      <c r="AU62" s="138">
        <v>41426.0</v>
      </c>
      <c r="AV62" s="138">
        <v>41456.0</v>
      </c>
      <c r="AW62" s="138">
        <v>41487.0</v>
      </c>
      <c r="AX62" s="138">
        <v>41518.0</v>
      </c>
      <c r="AY62" s="138">
        <v>41548.0</v>
      </c>
      <c r="AZ62" s="138">
        <v>41579.0</v>
      </c>
      <c r="BA62" s="138">
        <v>41609.0</v>
      </c>
      <c r="BB62" s="138">
        <v>41640.0</v>
      </c>
      <c r="BC62" s="138">
        <v>41671.0</v>
      </c>
      <c r="BD62" s="138">
        <v>41699.0</v>
      </c>
      <c r="BE62" s="138">
        <v>41730.0</v>
      </c>
      <c r="BF62" s="138">
        <v>41760.0</v>
      </c>
      <c r="BG62" s="138">
        <v>41791.0</v>
      </c>
      <c r="BH62" s="138">
        <v>41821.0</v>
      </c>
      <c r="BI62" s="138">
        <v>41852.0</v>
      </c>
      <c r="BJ62" s="138">
        <v>41883.0</v>
      </c>
      <c r="BK62" s="138">
        <v>41913.0</v>
      </c>
      <c r="BL62" s="138">
        <v>41944.0</v>
      </c>
      <c r="BM62" s="138">
        <v>41974.0</v>
      </c>
      <c r="BN62" s="138">
        <v>42005.0</v>
      </c>
      <c r="BO62" s="138">
        <v>42036.0</v>
      </c>
      <c r="BP62" s="138">
        <v>42064.0</v>
      </c>
      <c r="BQ62" s="138">
        <v>42095.0</v>
      </c>
      <c r="BR62" s="138">
        <v>42125.0</v>
      </c>
      <c r="BS62" s="138">
        <v>42156.0</v>
      </c>
      <c r="BT62" s="138">
        <v>42186.0</v>
      </c>
      <c r="BU62" s="138">
        <v>42217.0</v>
      </c>
      <c r="BV62" s="138">
        <v>42248.0</v>
      </c>
      <c r="BW62" s="138">
        <v>42278.0</v>
      </c>
      <c r="BX62" s="138">
        <v>42309.0</v>
      </c>
      <c r="BY62" s="138">
        <v>42339.0</v>
      </c>
      <c r="BZ62" s="138">
        <v>42370.0</v>
      </c>
      <c r="CA62" s="138">
        <v>42401.0</v>
      </c>
      <c r="CB62" s="139">
        <v>42430.0</v>
      </c>
      <c r="CC62" s="139">
        <v>42461.0</v>
      </c>
      <c r="CD62" s="139">
        <v>42491.0</v>
      </c>
      <c r="CE62" s="139">
        <v>42522.0</v>
      </c>
      <c r="CF62" s="139">
        <v>42552.0</v>
      </c>
      <c r="CG62" s="139">
        <v>42583.0</v>
      </c>
      <c r="CH62" s="139">
        <v>42614.0</v>
      </c>
      <c r="CI62" s="139">
        <v>42644.0</v>
      </c>
      <c r="CJ62" s="139">
        <v>42675.0</v>
      </c>
      <c r="CK62" s="139">
        <v>42705.0</v>
      </c>
      <c r="CL62" s="139">
        <v>42736.0</v>
      </c>
      <c r="CM62" s="139">
        <v>42767.0</v>
      </c>
      <c r="CN62" s="139">
        <v>42795.0</v>
      </c>
      <c r="CO62" s="139">
        <v>42826.0</v>
      </c>
      <c r="CP62" s="139">
        <v>42856.0</v>
      </c>
      <c r="CQ62" s="139">
        <v>42887.0</v>
      </c>
      <c r="CR62" s="139">
        <v>42917.0</v>
      </c>
      <c r="CS62" s="139">
        <v>42948.0</v>
      </c>
      <c r="CT62" s="139">
        <v>42979.0</v>
      </c>
      <c r="CU62" s="139">
        <v>43009.0</v>
      </c>
      <c r="CV62" s="139">
        <v>43040.0</v>
      </c>
      <c r="CW62" s="139">
        <v>43070.0</v>
      </c>
      <c r="CX62" s="139">
        <v>43101.0</v>
      </c>
      <c r="CY62" s="139">
        <v>43132.0</v>
      </c>
      <c r="CZ62" s="139">
        <v>43160.0</v>
      </c>
      <c r="DA62" s="139">
        <v>43191.0</v>
      </c>
      <c r="DB62" s="139">
        <v>43221.0</v>
      </c>
      <c r="DC62" s="139">
        <v>43252.0</v>
      </c>
      <c r="DD62" s="139">
        <v>43282.0</v>
      </c>
      <c r="DE62" s="139">
        <v>43313.0</v>
      </c>
      <c r="DF62" s="139">
        <v>43344.0</v>
      </c>
      <c r="DG62" s="139">
        <v>43374.0</v>
      </c>
      <c r="DH62" s="139">
        <v>43405.0</v>
      </c>
      <c r="DI62" s="139">
        <v>43435.0</v>
      </c>
      <c r="DJ62" s="139">
        <v>43466.0</v>
      </c>
      <c r="DK62" s="139">
        <v>43497.0</v>
      </c>
      <c r="DL62" s="139">
        <v>43525.0</v>
      </c>
      <c r="DM62" s="139">
        <v>43556.0</v>
      </c>
      <c r="DN62" s="139">
        <v>43586.0</v>
      </c>
      <c r="DO62" s="139">
        <v>43617.0</v>
      </c>
      <c r="DP62" s="139">
        <v>43647.0</v>
      </c>
      <c r="DQ62" s="139">
        <v>43678.0</v>
      </c>
      <c r="DR62" s="139">
        <v>43709.0</v>
      </c>
      <c r="DS62" s="139">
        <v>43739.0</v>
      </c>
      <c r="DT62" s="139">
        <v>43770.0</v>
      </c>
      <c r="DU62" s="139">
        <v>43800.0</v>
      </c>
      <c r="DV62" s="139">
        <v>43831.0</v>
      </c>
      <c r="DW62" s="139">
        <v>43862.0</v>
      </c>
      <c r="DX62" s="139">
        <v>43891.0</v>
      </c>
      <c r="DY62" s="139">
        <v>43922.0</v>
      </c>
      <c r="DZ62" s="139">
        <v>43952.0</v>
      </c>
      <c r="EA62" s="139">
        <v>43983.0</v>
      </c>
      <c r="EB62" s="139">
        <v>44013.0</v>
      </c>
      <c r="EC62" s="139">
        <v>44044.0</v>
      </c>
      <c r="ED62" s="139">
        <v>44075.0</v>
      </c>
      <c r="EE62" s="139">
        <v>44105.0</v>
      </c>
      <c r="EF62" s="139">
        <v>44136.0</v>
      </c>
      <c r="EG62" s="139">
        <v>44166.0</v>
      </c>
      <c r="EH62" s="139">
        <v>44197.0</v>
      </c>
      <c r="EI62" s="139">
        <v>44228.0</v>
      </c>
      <c r="EJ62" s="139">
        <v>44256.0</v>
      </c>
      <c r="EK62" s="139">
        <v>44287.0</v>
      </c>
      <c r="EL62" s="139">
        <v>44317.0</v>
      </c>
      <c r="EM62" s="139">
        <v>44348.0</v>
      </c>
      <c r="EN62" s="139">
        <v>44378.0</v>
      </c>
      <c r="EO62" s="139">
        <v>44409.0</v>
      </c>
      <c r="EP62" s="139">
        <v>44440.0</v>
      </c>
      <c r="EQ62" s="139">
        <v>44470.0</v>
      </c>
      <c r="ER62" s="139">
        <v>44501.0</v>
      </c>
      <c r="ES62" s="139">
        <v>44531.0</v>
      </c>
      <c r="ET62" s="139">
        <v>44562.0</v>
      </c>
      <c r="EU62" s="139">
        <v>44593.0</v>
      </c>
      <c r="EV62" s="139">
        <v>44621.0</v>
      </c>
      <c r="EW62" s="139">
        <v>44652.0</v>
      </c>
      <c r="EX62" s="139">
        <v>44682.0</v>
      </c>
      <c r="EY62" s="139">
        <v>44713.0</v>
      </c>
      <c r="EZ62" s="139">
        <v>44743.0</v>
      </c>
      <c r="FA62" s="139">
        <v>44774.0</v>
      </c>
      <c r="FB62" s="139">
        <v>44805.0</v>
      </c>
      <c r="FC62" s="139">
        <v>44835.0</v>
      </c>
      <c r="FD62" s="139">
        <v>44866.0</v>
      </c>
      <c r="FE62" s="139">
        <v>44896.0</v>
      </c>
      <c r="FF62" s="139">
        <v>44927.0</v>
      </c>
      <c r="FG62" s="139">
        <v>44958.0</v>
      </c>
      <c r="FH62" s="139">
        <v>44986.0</v>
      </c>
      <c r="FI62" s="139">
        <v>45017.0</v>
      </c>
      <c r="FJ62" s="139">
        <v>45047.0</v>
      </c>
      <c r="FK62" s="139">
        <v>45078.0</v>
      </c>
      <c r="FL62" s="139">
        <v>45108.0</v>
      </c>
      <c r="FM62" s="139">
        <v>45139.0</v>
      </c>
      <c r="FN62" s="139">
        <v>45170.0</v>
      </c>
      <c r="FO62" s="139">
        <v>45200.0</v>
      </c>
      <c r="FP62" s="139">
        <v>45231.0</v>
      </c>
      <c r="FQ62" s="139">
        <v>45261.0</v>
      </c>
      <c r="FR62" s="139">
        <v>45292.0</v>
      </c>
      <c r="FS62" s="139">
        <v>45323.0</v>
      </c>
      <c r="FT62" s="139">
        <v>45352.0</v>
      </c>
      <c r="FU62" s="139">
        <v>45383.0</v>
      </c>
      <c r="FV62" s="139">
        <v>45413.0</v>
      </c>
      <c r="FW62" s="139">
        <v>45444.0</v>
      </c>
      <c r="FX62" s="139">
        <v>45474.0</v>
      </c>
      <c r="FY62" s="139">
        <v>45505.0</v>
      </c>
      <c r="FZ62" s="139">
        <v>45536.0</v>
      </c>
      <c r="GA62" s="139">
        <v>45566.0</v>
      </c>
      <c r="GB62" s="139">
        <v>45597.0</v>
      </c>
      <c r="GC62" s="139">
        <v>45627.0</v>
      </c>
      <c r="GD62" s="139">
        <v>45658.0</v>
      </c>
      <c r="GE62" s="139">
        <v>45689.0</v>
      </c>
      <c r="GF62" s="139">
        <v>45717.0</v>
      </c>
      <c r="GG62" s="139">
        <v>45748.0</v>
      </c>
      <c r="GH62" s="139">
        <v>45778.0</v>
      </c>
      <c r="GI62" s="139">
        <v>45809.0</v>
      </c>
      <c r="GJ62" s="139">
        <v>45839.0</v>
      </c>
    </row>
    <row r="63">
      <c r="A63" s="133" t="s">
        <v>1685</v>
      </c>
      <c r="B63" s="134">
        <v>42467.51211805556</v>
      </c>
      <c r="C63" s="135" t="str">
        <f t="shared" si="1"/>
        <v>2016/04/07</v>
      </c>
      <c r="D63" s="136" t="s">
        <v>34271</v>
      </c>
      <c r="E63" s="151">
        <v>0.0</v>
      </c>
      <c r="F63" s="138">
        <v>40179.0</v>
      </c>
      <c r="G63" s="138">
        <v>40210.0</v>
      </c>
      <c r="H63" s="138">
        <v>40238.0</v>
      </c>
      <c r="I63" s="138">
        <v>40269.0</v>
      </c>
      <c r="J63" s="138">
        <v>40299.0</v>
      </c>
      <c r="K63" s="138">
        <v>40330.0</v>
      </c>
      <c r="L63" s="138">
        <v>40360.0</v>
      </c>
      <c r="M63" s="138">
        <v>40391.0</v>
      </c>
      <c r="N63" s="138">
        <v>40422.0</v>
      </c>
      <c r="O63" s="138">
        <v>40452.0</v>
      </c>
      <c r="P63" s="138">
        <v>40483.0</v>
      </c>
      <c r="Q63" s="138">
        <v>40513.0</v>
      </c>
      <c r="R63" s="138">
        <v>40544.0</v>
      </c>
      <c r="S63" s="138">
        <v>40575.0</v>
      </c>
      <c r="T63" s="138">
        <v>40603.0</v>
      </c>
      <c r="U63" s="138">
        <v>40634.0</v>
      </c>
      <c r="V63" s="138">
        <v>40664.0</v>
      </c>
      <c r="W63" s="138">
        <v>40695.0</v>
      </c>
      <c r="X63" s="138">
        <v>40725.0</v>
      </c>
      <c r="Y63" s="138">
        <v>40756.0</v>
      </c>
      <c r="Z63" s="138">
        <v>40787.0</v>
      </c>
      <c r="AA63" s="138">
        <v>40817.0</v>
      </c>
      <c r="AB63" s="138">
        <v>40848.0</v>
      </c>
      <c r="AC63" s="138">
        <v>40878.0</v>
      </c>
      <c r="AD63" s="138">
        <v>40909.0</v>
      </c>
      <c r="AE63" s="138">
        <v>40940.0</v>
      </c>
      <c r="AF63" s="138">
        <v>40969.0</v>
      </c>
      <c r="AG63" s="138">
        <v>41000.0</v>
      </c>
      <c r="AH63" s="138">
        <v>41030.0</v>
      </c>
      <c r="AI63" s="138">
        <v>41061.0</v>
      </c>
      <c r="AJ63" s="138">
        <v>41091.0</v>
      </c>
      <c r="AK63" s="138">
        <v>41122.0</v>
      </c>
      <c r="AL63" s="138">
        <v>41153.0</v>
      </c>
      <c r="AM63" s="138">
        <v>41183.0</v>
      </c>
      <c r="AN63" s="138">
        <v>41214.0</v>
      </c>
      <c r="AO63" s="138">
        <v>41244.0</v>
      </c>
      <c r="AP63" s="138">
        <v>41275.0</v>
      </c>
      <c r="AQ63" s="138">
        <v>41306.0</v>
      </c>
      <c r="AR63" s="138">
        <v>41334.0</v>
      </c>
      <c r="AS63" s="138">
        <v>41365.0</v>
      </c>
      <c r="AT63" s="138">
        <v>41395.0</v>
      </c>
      <c r="AU63" s="138">
        <v>41426.0</v>
      </c>
      <c r="AV63" s="138">
        <v>41456.0</v>
      </c>
      <c r="AW63" s="138">
        <v>41487.0</v>
      </c>
      <c r="AX63" s="138">
        <v>41518.0</v>
      </c>
      <c r="AY63" s="138">
        <v>41548.0</v>
      </c>
      <c r="AZ63" s="138">
        <v>41579.0</v>
      </c>
      <c r="BA63" s="138">
        <v>41609.0</v>
      </c>
      <c r="BB63" s="138">
        <v>41640.0</v>
      </c>
      <c r="BC63" s="138">
        <v>41671.0</v>
      </c>
      <c r="BD63" s="138">
        <v>41699.0</v>
      </c>
      <c r="BE63" s="138">
        <v>41730.0</v>
      </c>
      <c r="BF63" s="138">
        <v>41760.0</v>
      </c>
      <c r="BG63" s="138">
        <v>41791.0</v>
      </c>
      <c r="BH63" s="138">
        <v>41821.0</v>
      </c>
      <c r="BI63" s="138">
        <v>41852.0</v>
      </c>
      <c r="BJ63" s="138">
        <v>41883.0</v>
      </c>
      <c r="BK63" s="138">
        <v>41913.0</v>
      </c>
      <c r="BL63" s="138">
        <v>41944.0</v>
      </c>
      <c r="BM63" s="138">
        <v>41974.0</v>
      </c>
      <c r="BN63" s="138">
        <v>42005.0</v>
      </c>
      <c r="BO63" s="138">
        <v>42036.0</v>
      </c>
      <c r="BP63" s="138">
        <v>42064.0</v>
      </c>
      <c r="BQ63" s="138">
        <v>42095.0</v>
      </c>
      <c r="BR63" s="138">
        <v>42125.0</v>
      </c>
      <c r="BS63" s="138">
        <v>42156.0</v>
      </c>
      <c r="BT63" s="138">
        <v>42186.0</v>
      </c>
      <c r="BU63" s="138">
        <v>42217.0</v>
      </c>
      <c r="BV63" s="138">
        <v>42248.0</v>
      </c>
      <c r="BW63" s="138">
        <v>42278.0</v>
      </c>
      <c r="BX63" s="138">
        <v>42309.0</v>
      </c>
      <c r="BY63" s="138">
        <v>42339.0</v>
      </c>
      <c r="BZ63" s="138">
        <v>42370.0</v>
      </c>
      <c r="CA63" s="138">
        <v>42401.0</v>
      </c>
      <c r="CB63" s="138">
        <v>42430.0</v>
      </c>
      <c r="CC63" s="138">
        <v>42461.0</v>
      </c>
      <c r="CD63" s="139">
        <v>42491.0</v>
      </c>
      <c r="CE63" s="139">
        <v>42522.0</v>
      </c>
      <c r="CF63" s="139">
        <v>42552.0</v>
      </c>
      <c r="CG63" s="139">
        <v>42583.0</v>
      </c>
      <c r="CH63" s="139">
        <v>42614.0</v>
      </c>
      <c r="CI63" s="139">
        <v>42644.0</v>
      </c>
      <c r="CJ63" s="139">
        <v>42675.0</v>
      </c>
      <c r="CK63" s="139">
        <v>42705.0</v>
      </c>
      <c r="CL63" s="139">
        <v>42736.0</v>
      </c>
      <c r="CM63" s="139">
        <v>42767.0</v>
      </c>
      <c r="CN63" s="139">
        <v>42795.0</v>
      </c>
      <c r="CO63" s="139">
        <v>42826.0</v>
      </c>
      <c r="CP63" s="139">
        <v>42856.0</v>
      </c>
      <c r="CQ63" s="139">
        <v>42887.0</v>
      </c>
      <c r="CR63" s="139">
        <v>42917.0</v>
      </c>
      <c r="CS63" s="139">
        <v>42948.0</v>
      </c>
      <c r="CT63" s="139">
        <v>42979.0</v>
      </c>
      <c r="CU63" s="139">
        <v>43009.0</v>
      </c>
      <c r="CV63" s="139">
        <v>43040.0</v>
      </c>
      <c r="CW63" s="139">
        <v>43070.0</v>
      </c>
      <c r="CX63" s="139">
        <v>43101.0</v>
      </c>
      <c r="CY63" s="139">
        <v>43132.0</v>
      </c>
      <c r="CZ63" s="139">
        <v>43160.0</v>
      </c>
      <c r="DA63" s="139">
        <v>43191.0</v>
      </c>
      <c r="DB63" s="139">
        <v>43221.0</v>
      </c>
      <c r="DC63" s="139">
        <v>43252.0</v>
      </c>
      <c r="DD63" s="139">
        <v>43282.0</v>
      </c>
      <c r="DE63" s="139">
        <v>43313.0</v>
      </c>
      <c r="DF63" s="139">
        <v>43344.0</v>
      </c>
      <c r="DG63" s="139">
        <v>43374.0</v>
      </c>
      <c r="DH63" s="139">
        <v>43405.0</v>
      </c>
      <c r="DI63" s="139">
        <v>43435.0</v>
      </c>
      <c r="DJ63" s="139">
        <v>43466.0</v>
      </c>
      <c r="DK63" s="139">
        <v>43497.0</v>
      </c>
      <c r="DL63" s="139">
        <v>43525.0</v>
      </c>
      <c r="DM63" s="139">
        <v>43556.0</v>
      </c>
      <c r="DN63" s="139">
        <v>43586.0</v>
      </c>
      <c r="DO63" s="139">
        <v>43617.0</v>
      </c>
      <c r="DP63" s="139">
        <v>43647.0</v>
      </c>
      <c r="DQ63" s="139">
        <v>43678.0</v>
      </c>
      <c r="DR63" s="139">
        <v>43709.0</v>
      </c>
      <c r="DS63" s="139">
        <v>43739.0</v>
      </c>
      <c r="DT63" s="139">
        <v>43770.0</v>
      </c>
      <c r="DU63" s="139">
        <v>43800.0</v>
      </c>
      <c r="DV63" s="139">
        <v>43831.0</v>
      </c>
      <c r="DW63" s="139">
        <v>43862.0</v>
      </c>
      <c r="DX63" s="139">
        <v>43891.0</v>
      </c>
      <c r="DY63" s="139">
        <v>43922.0</v>
      </c>
      <c r="DZ63" s="139">
        <v>43952.0</v>
      </c>
      <c r="EA63" s="139">
        <v>43983.0</v>
      </c>
      <c r="EB63" s="139">
        <v>44013.0</v>
      </c>
      <c r="EC63" s="139">
        <v>44044.0</v>
      </c>
      <c r="ED63" s="139">
        <v>44075.0</v>
      </c>
      <c r="EE63" s="139">
        <v>44105.0</v>
      </c>
      <c r="EF63" s="139">
        <v>44136.0</v>
      </c>
      <c r="EG63" s="139">
        <v>44166.0</v>
      </c>
      <c r="EH63" s="139">
        <v>44197.0</v>
      </c>
      <c r="EI63" s="139">
        <v>44228.0</v>
      </c>
      <c r="EJ63" s="139">
        <v>44256.0</v>
      </c>
      <c r="EK63" s="139">
        <v>44287.0</v>
      </c>
      <c r="EL63" s="139">
        <v>44317.0</v>
      </c>
      <c r="EM63" s="139">
        <v>44348.0</v>
      </c>
      <c r="EN63" s="139">
        <v>44378.0</v>
      </c>
      <c r="EO63" s="139">
        <v>44409.0</v>
      </c>
      <c r="EP63" s="139">
        <v>44440.0</v>
      </c>
      <c r="EQ63" s="139">
        <v>44470.0</v>
      </c>
      <c r="ER63" s="139">
        <v>44501.0</v>
      </c>
      <c r="ES63" s="139">
        <v>44531.0</v>
      </c>
      <c r="ET63" s="139">
        <v>44562.0</v>
      </c>
      <c r="EU63" s="139">
        <v>44593.0</v>
      </c>
      <c r="EV63" s="139">
        <v>44621.0</v>
      </c>
      <c r="EW63" s="139">
        <v>44652.0</v>
      </c>
      <c r="EX63" s="139">
        <v>44682.0</v>
      </c>
      <c r="EY63" s="139">
        <v>44713.0</v>
      </c>
      <c r="EZ63" s="139">
        <v>44743.0</v>
      </c>
      <c r="FA63" s="139">
        <v>44774.0</v>
      </c>
      <c r="FB63" s="139">
        <v>44805.0</v>
      </c>
      <c r="FC63" s="139">
        <v>44835.0</v>
      </c>
      <c r="FD63" s="139">
        <v>44866.0</v>
      </c>
      <c r="FE63" s="139">
        <v>44896.0</v>
      </c>
      <c r="FF63" s="139">
        <v>44927.0</v>
      </c>
      <c r="FG63" s="139">
        <v>44958.0</v>
      </c>
      <c r="FH63" s="139">
        <v>44986.0</v>
      </c>
      <c r="FI63" s="139">
        <v>45017.0</v>
      </c>
      <c r="FJ63" s="139">
        <v>45047.0</v>
      </c>
      <c r="FK63" s="139">
        <v>45078.0</v>
      </c>
      <c r="FL63" s="139">
        <v>45108.0</v>
      </c>
      <c r="FM63" s="139">
        <v>45139.0</v>
      </c>
      <c r="FN63" s="139">
        <v>45170.0</v>
      </c>
      <c r="FO63" s="139">
        <v>45200.0</v>
      </c>
      <c r="FP63" s="139">
        <v>45231.0</v>
      </c>
      <c r="FQ63" s="139">
        <v>45261.0</v>
      </c>
      <c r="FR63" s="139">
        <v>45292.0</v>
      </c>
      <c r="FS63" s="139">
        <v>45323.0</v>
      </c>
      <c r="FT63" s="139">
        <v>45352.0</v>
      </c>
      <c r="FU63" s="139">
        <v>45383.0</v>
      </c>
      <c r="FV63" s="139">
        <v>45413.0</v>
      </c>
      <c r="FW63" s="139">
        <v>45444.0</v>
      </c>
      <c r="FX63" s="139">
        <v>45474.0</v>
      </c>
      <c r="FY63" s="139">
        <v>45505.0</v>
      </c>
      <c r="FZ63" s="139">
        <v>45536.0</v>
      </c>
      <c r="GA63" s="139">
        <v>45566.0</v>
      </c>
      <c r="GB63" s="139">
        <v>45597.0</v>
      </c>
      <c r="GC63" s="139">
        <v>45627.0</v>
      </c>
      <c r="GD63" s="139">
        <v>45658.0</v>
      </c>
      <c r="GE63" s="139">
        <v>45689.0</v>
      </c>
      <c r="GF63" s="139">
        <v>45717.0</v>
      </c>
      <c r="GG63" s="139">
        <v>45748.0</v>
      </c>
      <c r="GH63" s="139">
        <v>45778.0</v>
      </c>
      <c r="GI63" s="139">
        <v>45809.0</v>
      </c>
      <c r="GJ63" s="139">
        <v>45839.0</v>
      </c>
    </row>
    <row r="64">
      <c r="A64" s="133" t="s">
        <v>1440</v>
      </c>
      <c r="B64" s="134">
        <v>42479.77725694444</v>
      </c>
      <c r="C64" s="135" t="str">
        <f t="shared" si="1"/>
        <v>2016/04/19</v>
      </c>
      <c r="D64" s="136" t="s">
        <v>33912</v>
      </c>
      <c r="E64" s="151">
        <v>0.0</v>
      </c>
      <c r="F64" s="138">
        <v>40179.0</v>
      </c>
      <c r="G64" s="138">
        <v>40210.0</v>
      </c>
      <c r="H64" s="138">
        <v>40238.0</v>
      </c>
      <c r="I64" s="138">
        <v>40269.0</v>
      </c>
      <c r="J64" s="138">
        <v>40299.0</v>
      </c>
      <c r="K64" s="138">
        <v>40330.0</v>
      </c>
      <c r="L64" s="138">
        <v>40360.0</v>
      </c>
      <c r="M64" s="138">
        <v>40391.0</v>
      </c>
      <c r="N64" s="138">
        <v>40422.0</v>
      </c>
      <c r="O64" s="138">
        <v>40452.0</v>
      </c>
      <c r="P64" s="138">
        <v>40483.0</v>
      </c>
      <c r="Q64" s="138">
        <v>40513.0</v>
      </c>
      <c r="R64" s="138">
        <v>40544.0</v>
      </c>
      <c r="S64" s="138">
        <v>40575.0</v>
      </c>
      <c r="T64" s="138">
        <v>40603.0</v>
      </c>
      <c r="U64" s="138">
        <v>40634.0</v>
      </c>
      <c r="V64" s="138">
        <v>40664.0</v>
      </c>
      <c r="W64" s="138">
        <v>40695.0</v>
      </c>
      <c r="X64" s="138">
        <v>40725.0</v>
      </c>
      <c r="Y64" s="138">
        <v>40756.0</v>
      </c>
      <c r="Z64" s="138">
        <v>40787.0</v>
      </c>
      <c r="AA64" s="138">
        <v>40817.0</v>
      </c>
      <c r="AB64" s="138">
        <v>40848.0</v>
      </c>
      <c r="AC64" s="138">
        <v>40878.0</v>
      </c>
      <c r="AD64" s="138">
        <v>40909.0</v>
      </c>
      <c r="AE64" s="138">
        <v>40940.0</v>
      </c>
      <c r="AF64" s="138">
        <v>40969.0</v>
      </c>
      <c r="AG64" s="138">
        <v>41000.0</v>
      </c>
      <c r="AH64" s="138">
        <v>41030.0</v>
      </c>
      <c r="AI64" s="138">
        <v>41061.0</v>
      </c>
      <c r="AJ64" s="138">
        <v>41091.0</v>
      </c>
      <c r="AK64" s="138">
        <v>41122.0</v>
      </c>
      <c r="AL64" s="138">
        <v>41153.0</v>
      </c>
      <c r="AM64" s="138">
        <v>41183.0</v>
      </c>
      <c r="AN64" s="138">
        <v>41214.0</v>
      </c>
      <c r="AO64" s="138">
        <v>41244.0</v>
      </c>
      <c r="AP64" s="138">
        <v>41275.0</v>
      </c>
      <c r="AQ64" s="138">
        <v>41306.0</v>
      </c>
      <c r="AR64" s="138">
        <v>41334.0</v>
      </c>
      <c r="AS64" s="138">
        <v>41365.0</v>
      </c>
      <c r="AT64" s="138">
        <v>41395.0</v>
      </c>
      <c r="AU64" s="138">
        <v>41426.0</v>
      </c>
      <c r="AV64" s="138">
        <v>41456.0</v>
      </c>
      <c r="AW64" s="138">
        <v>41487.0</v>
      </c>
      <c r="AX64" s="138">
        <v>41518.0</v>
      </c>
      <c r="AY64" s="138">
        <v>41548.0</v>
      </c>
      <c r="AZ64" s="138">
        <v>41579.0</v>
      </c>
      <c r="BA64" s="138">
        <v>41609.0</v>
      </c>
      <c r="BB64" s="138">
        <v>41640.0</v>
      </c>
      <c r="BC64" s="138">
        <v>41671.0</v>
      </c>
      <c r="BD64" s="138">
        <v>41699.0</v>
      </c>
      <c r="BE64" s="138">
        <v>41730.0</v>
      </c>
      <c r="BF64" s="138">
        <v>41760.0</v>
      </c>
      <c r="BG64" s="138">
        <v>41791.0</v>
      </c>
      <c r="BH64" s="138">
        <v>41821.0</v>
      </c>
      <c r="BI64" s="138">
        <v>41852.0</v>
      </c>
      <c r="BJ64" s="138">
        <v>41883.0</v>
      </c>
      <c r="BK64" s="138">
        <v>41913.0</v>
      </c>
      <c r="BL64" s="138">
        <v>41944.0</v>
      </c>
      <c r="BM64" s="138">
        <v>41974.0</v>
      </c>
      <c r="BN64" s="138">
        <v>42005.0</v>
      </c>
      <c r="BO64" s="138">
        <v>42036.0</v>
      </c>
      <c r="BP64" s="138">
        <v>42064.0</v>
      </c>
      <c r="BQ64" s="138">
        <v>42095.0</v>
      </c>
      <c r="BR64" s="138">
        <v>42125.0</v>
      </c>
      <c r="BS64" s="138">
        <v>42156.0</v>
      </c>
      <c r="BT64" s="138">
        <v>42186.0</v>
      </c>
      <c r="BU64" s="138">
        <v>42217.0</v>
      </c>
      <c r="BV64" s="138">
        <v>42248.0</v>
      </c>
      <c r="BW64" s="138">
        <v>42278.0</v>
      </c>
      <c r="BX64" s="138">
        <v>42309.0</v>
      </c>
      <c r="BY64" s="138">
        <v>42339.0</v>
      </c>
      <c r="BZ64" s="138">
        <v>42370.0</v>
      </c>
      <c r="CA64" s="138">
        <v>42401.0</v>
      </c>
      <c r="CB64" s="138">
        <v>42430.0</v>
      </c>
      <c r="CC64" s="138">
        <v>42461.0</v>
      </c>
      <c r="CD64" s="139">
        <v>42491.0</v>
      </c>
      <c r="CE64" s="139">
        <v>42522.0</v>
      </c>
      <c r="CF64" s="139">
        <v>42552.0</v>
      </c>
      <c r="CG64" s="139">
        <v>42583.0</v>
      </c>
      <c r="CH64" s="139">
        <v>42614.0</v>
      </c>
      <c r="CI64" s="139">
        <v>42644.0</v>
      </c>
      <c r="CJ64" s="139">
        <v>42675.0</v>
      </c>
      <c r="CK64" s="139">
        <v>42705.0</v>
      </c>
      <c r="CL64" s="139">
        <v>42736.0</v>
      </c>
      <c r="CM64" s="139">
        <v>42767.0</v>
      </c>
      <c r="CN64" s="139">
        <v>42795.0</v>
      </c>
      <c r="CO64" s="139">
        <v>42826.0</v>
      </c>
      <c r="CP64" s="139">
        <v>42856.0</v>
      </c>
      <c r="CQ64" s="139">
        <v>42887.0</v>
      </c>
      <c r="CR64" s="139">
        <v>42917.0</v>
      </c>
      <c r="CS64" s="139">
        <v>42948.0</v>
      </c>
      <c r="CT64" s="139">
        <v>42979.0</v>
      </c>
      <c r="CU64" s="139">
        <v>43009.0</v>
      </c>
      <c r="CV64" s="139">
        <v>43040.0</v>
      </c>
      <c r="CW64" s="139">
        <v>43070.0</v>
      </c>
      <c r="CX64" s="139">
        <v>43101.0</v>
      </c>
      <c r="CY64" s="139">
        <v>43132.0</v>
      </c>
      <c r="CZ64" s="139">
        <v>43160.0</v>
      </c>
      <c r="DA64" s="139">
        <v>43191.0</v>
      </c>
      <c r="DB64" s="139">
        <v>43221.0</v>
      </c>
      <c r="DC64" s="139">
        <v>43252.0</v>
      </c>
      <c r="DD64" s="139">
        <v>43282.0</v>
      </c>
      <c r="DE64" s="139">
        <v>43313.0</v>
      </c>
      <c r="DF64" s="139">
        <v>43344.0</v>
      </c>
      <c r="DG64" s="139">
        <v>43374.0</v>
      </c>
      <c r="DH64" s="139">
        <v>43405.0</v>
      </c>
      <c r="DI64" s="139">
        <v>43435.0</v>
      </c>
      <c r="DJ64" s="139">
        <v>43466.0</v>
      </c>
      <c r="DK64" s="139">
        <v>43497.0</v>
      </c>
      <c r="DL64" s="139">
        <v>43525.0</v>
      </c>
      <c r="DM64" s="139">
        <v>43556.0</v>
      </c>
      <c r="DN64" s="139">
        <v>43586.0</v>
      </c>
      <c r="DO64" s="139">
        <v>43617.0</v>
      </c>
      <c r="DP64" s="139">
        <v>43647.0</v>
      </c>
      <c r="DQ64" s="139">
        <v>43678.0</v>
      </c>
      <c r="DR64" s="139">
        <v>43709.0</v>
      </c>
      <c r="DS64" s="139">
        <v>43739.0</v>
      </c>
      <c r="DT64" s="139">
        <v>43770.0</v>
      </c>
      <c r="DU64" s="139">
        <v>43800.0</v>
      </c>
      <c r="DV64" s="139">
        <v>43831.0</v>
      </c>
      <c r="DW64" s="139">
        <v>43862.0</v>
      </c>
      <c r="DX64" s="139">
        <v>43891.0</v>
      </c>
      <c r="DY64" s="139">
        <v>43922.0</v>
      </c>
      <c r="DZ64" s="139">
        <v>43952.0</v>
      </c>
      <c r="EA64" s="139">
        <v>43983.0</v>
      </c>
      <c r="EB64" s="139">
        <v>44013.0</v>
      </c>
      <c r="EC64" s="139">
        <v>44044.0</v>
      </c>
      <c r="ED64" s="139">
        <v>44075.0</v>
      </c>
      <c r="EE64" s="139">
        <v>44105.0</v>
      </c>
      <c r="EF64" s="139">
        <v>44136.0</v>
      </c>
      <c r="EG64" s="139">
        <v>44166.0</v>
      </c>
      <c r="EH64" s="139">
        <v>44197.0</v>
      </c>
      <c r="EI64" s="139">
        <v>44228.0</v>
      </c>
      <c r="EJ64" s="139">
        <v>44256.0</v>
      </c>
      <c r="EK64" s="139">
        <v>44287.0</v>
      </c>
      <c r="EL64" s="139">
        <v>44317.0</v>
      </c>
      <c r="EM64" s="139">
        <v>44348.0</v>
      </c>
      <c r="EN64" s="139">
        <v>44378.0</v>
      </c>
      <c r="EO64" s="139">
        <v>44409.0</v>
      </c>
      <c r="EP64" s="139">
        <v>44440.0</v>
      </c>
      <c r="EQ64" s="139">
        <v>44470.0</v>
      </c>
      <c r="ER64" s="139">
        <v>44501.0</v>
      </c>
      <c r="ES64" s="139">
        <v>44531.0</v>
      </c>
      <c r="ET64" s="139">
        <v>44562.0</v>
      </c>
      <c r="EU64" s="139">
        <v>44593.0</v>
      </c>
      <c r="EV64" s="139">
        <v>44621.0</v>
      </c>
      <c r="EW64" s="139">
        <v>44652.0</v>
      </c>
      <c r="EX64" s="139">
        <v>44682.0</v>
      </c>
      <c r="EY64" s="139">
        <v>44713.0</v>
      </c>
      <c r="EZ64" s="139">
        <v>44743.0</v>
      </c>
      <c r="FA64" s="139">
        <v>44774.0</v>
      </c>
      <c r="FB64" s="139">
        <v>44805.0</v>
      </c>
      <c r="FC64" s="139">
        <v>44835.0</v>
      </c>
      <c r="FD64" s="139">
        <v>44866.0</v>
      </c>
      <c r="FE64" s="139">
        <v>44896.0</v>
      </c>
      <c r="FF64" s="139">
        <v>44927.0</v>
      </c>
      <c r="FG64" s="139">
        <v>44958.0</v>
      </c>
      <c r="FH64" s="139">
        <v>44986.0</v>
      </c>
      <c r="FI64" s="139">
        <v>45017.0</v>
      </c>
      <c r="FJ64" s="139">
        <v>45047.0</v>
      </c>
      <c r="FK64" s="139">
        <v>45078.0</v>
      </c>
      <c r="FL64" s="139">
        <v>45108.0</v>
      </c>
      <c r="FM64" s="139">
        <v>45139.0</v>
      </c>
      <c r="FN64" s="139">
        <v>45170.0</v>
      </c>
      <c r="FO64" s="139">
        <v>45200.0</v>
      </c>
      <c r="FP64" s="139">
        <v>45231.0</v>
      </c>
      <c r="FQ64" s="139">
        <v>45261.0</v>
      </c>
      <c r="FR64" s="139">
        <v>45292.0</v>
      </c>
      <c r="FS64" s="139">
        <v>45323.0</v>
      </c>
      <c r="FT64" s="139">
        <v>45352.0</v>
      </c>
      <c r="FU64" s="139">
        <v>45383.0</v>
      </c>
      <c r="FV64" s="139">
        <v>45413.0</v>
      </c>
      <c r="FW64" s="139">
        <v>45444.0</v>
      </c>
      <c r="FX64" s="139">
        <v>45474.0</v>
      </c>
      <c r="FY64" s="139">
        <v>45505.0</v>
      </c>
      <c r="FZ64" s="139">
        <v>45536.0</v>
      </c>
      <c r="GA64" s="139">
        <v>45566.0</v>
      </c>
      <c r="GB64" s="139">
        <v>45597.0</v>
      </c>
      <c r="GC64" s="139">
        <v>45627.0</v>
      </c>
      <c r="GD64" s="139">
        <v>45658.0</v>
      </c>
      <c r="GE64" s="139">
        <v>45689.0</v>
      </c>
      <c r="GF64" s="139">
        <v>45717.0</v>
      </c>
      <c r="GG64" s="139">
        <v>45748.0</v>
      </c>
      <c r="GH64" s="139">
        <v>45778.0</v>
      </c>
      <c r="GI64" s="139">
        <v>45809.0</v>
      </c>
      <c r="GJ64" s="139">
        <v>45839.0</v>
      </c>
    </row>
    <row r="65">
      <c r="A65" s="133" t="s">
        <v>1388</v>
      </c>
      <c r="B65" s="134">
        <v>42509.80287037037</v>
      </c>
      <c r="C65" s="135" t="str">
        <f t="shared" si="1"/>
        <v>2016/05/19</v>
      </c>
      <c r="D65" s="136" t="s">
        <v>34272</v>
      </c>
      <c r="E65" s="151">
        <v>0.0</v>
      </c>
      <c r="F65" s="138">
        <v>40179.0</v>
      </c>
      <c r="G65" s="138">
        <v>40210.0</v>
      </c>
      <c r="H65" s="138">
        <v>40238.0</v>
      </c>
      <c r="I65" s="138">
        <v>40269.0</v>
      </c>
      <c r="J65" s="138">
        <v>40299.0</v>
      </c>
      <c r="K65" s="138">
        <v>40330.0</v>
      </c>
      <c r="L65" s="138">
        <v>40360.0</v>
      </c>
      <c r="M65" s="138">
        <v>40391.0</v>
      </c>
      <c r="N65" s="138">
        <v>40422.0</v>
      </c>
      <c r="O65" s="138">
        <v>40452.0</v>
      </c>
      <c r="P65" s="138">
        <v>40483.0</v>
      </c>
      <c r="Q65" s="138">
        <v>40513.0</v>
      </c>
      <c r="R65" s="138">
        <v>40544.0</v>
      </c>
      <c r="S65" s="138">
        <v>40575.0</v>
      </c>
      <c r="T65" s="138">
        <v>40603.0</v>
      </c>
      <c r="U65" s="138">
        <v>40634.0</v>
      </c>
      <c r="V65" s="138">
        <v>40664.0</v>
      </c>
      <c r="W65" s="138">
        <v>40695.0</v>
      </c>
      <c r="X65" s="138">
        <v>40725.0</v>
      </c>
      <c r="Y65" s="138">
        <v>40756.0</v>
      </c>
      <c r="Z65" s="138">
        <v>40787.0</v>
      </c>
      <c r="AA65" s="138">
        <v>40817.0</v>
      </c>
      <c r="AB65" s="138">
        <v>40848.0</v>
      </c>
      <c r="AC65" s="138">
        <v>40878.0</v>
      </c>
      <c r="AD65" s="138">
        <v>40909.0</v>
      </c>
      <c r="AE65" s="138">
        <v>40940.0</v>
      </c>
      <c r="AF65" s="138">
        <v>40969.0</v>
      </c>
      <c r="AG65" s="138">
        <v>41000.0</v>
      </c>
      <c r="AH65" s="138">
        <v>41030.0</v>
      </c>
      <c r="AI65" s="138">
        <v>41061.0</v>
      </c>
      <c r="AJ65" s="138">
        <v>41091.0</v>
      </c>
      <c r="AK65" s="138">
        <v>41122.0</v>
      </c>
      <c r="AL65" s="138">
        <v>41153.0</v>
      </c>
      <c r="AM65" s="138">
        <v>41183.0</v>
      </c>
      <c r="AN65" s="138">
        <v>41214.0</v>
      </c>
      <c r="AO65" s="138">
        <v>41244.0</v>
      </c>
      <c r="AP65" s="138">
        <v>41275.0</v>
      </c>
      <c r="AQ65" s="138">
        <v>41306.0</v>
      </c>
      <c r="AR65" s="138">
        <v>41334.0</v>
      </c>
      <c r="AS65" s="138">
        <v>41365.0</v>
      </c>
      <c r="AT65" s="138">
        <v>41395.0</v>
      </c>
      <c r="AU65" s="138">
        <v>41426.0</v>
      </c>
      <c r="AV65" s="138">
        <v>41456.0</v>
      </c>
      <c r="AW65" s="138">
        <v>41487.0</v>
      </c>
      <c r="AX65" s="138">
        <v>41518.0</v>
      </c>
      <c r="AY65" s="138">
        <v>41548.0</v>
      </c>
      <c r="AZ65" s="138">
        <v>41579.0</v>
      </c>
      <c r="BA65" s="138">
        <v>41609.0</v>
      </c>
      <c r="BB65" s="138">
        <v>41640.0</v>
      </c>
      <c r="BC65" s="138">
        <v>41671.0</v>
      </c>
      <c r="BD65" s="138">
        <v>41699.0</v>
      </c>
      <c r="BE65" s="138">
        <v>41730.0</v>
      </c>
      <c r="BF65" s="138">
        <v>41760.0</v>
      </c>
      <c r="BG65" s="138">
        <v>41791.0</v>
      </c>
      <c r="BH65" s="138">
        <v>41821.0</v>
      </c>
      <c r="BI65" s="138">
        <v>41852.0</v>
      </c>
      <c r="BJ65" s="138">
        <v>41883.0</v>
      </c>
      <c r="BK65" s="138">
        <v>41913.0</v>
      </c>
      <c r="BL65" s="138">
        <v>41944.0</v>
      </c>
      <c r="BM65" s="138">
        <v>41974.0</v>
      </c>
      <c r="BN65" s="138">
        <v>42005.0</v>
      </c>
      <c r="BO65" s="138">
        <v>42036.0</v>
      </c>
      <c r="BP65" s="138">
        <v>42064.0</v>
      </c>
      <c r="BQ65" s="138">
        <v>42095.0</v>
      </c>
      <c r="BR65" s="138">
        <v>42125.0</v>
      </c>
      <c r="BS65" s="138">
        <v>42156.0</v>
      </c>
      <c r="BT65" s="138">
        <v>42186.0</v>
      </c>
      <c r="BU65" s="138">
        <v>42217.0</v>
      </c>
      <c r="BV65" s="138">
        <v>42248.0</v>
      </c>
      <c r="BW65" s="138">
        <v>42278.0</v>
      </c>
      <c r="BX65" s="138">
        <v>42309.0</v>
      </c>
      <c r="BY65" s="138">
        <v>42339.0</v>
      </c>
      <c r="BZ65" s="138">
        <v>42370.0</v>
      </c>
      <c r="CA65" s="138">
        <v>42401.0</v>
      </c>
      <c r="CB65" s="138">
        <v>42430.0</v>
      </c>
      <c r="CC65" s="138">
        <v>42461.0</v>
      </c>
      <c r="CD65" s="138">
        <v>42491.0</v>
      </c>
      <c r="CE65" s="139">
        <v>42522.0</v>
      </c>
      <c r="CF65" s="139">
        <v>42552.0</v>
      </c>
      <c r="CG65" s="139">
        <v>42583.0</v>
      </c>
      <c r="CH65" s="139">
        <v>42614.0</v>
      </c>
      <c r="CI65" s="139">
        <v>42644.0</v>
      </c>
      <c r="CJ65" s="139">
        <v>42675.0</v>
      </c>
      <c r="CK65" s="139">
        <v>42705.0</v>
      </c>
      <c r="CL65" s="139">
        <v>42736.0</v>
      </c>
      <c r="CM65" s="139">
        <v>42767.0</v>
      </c>
      <c r="CN65" s="139">
        <v>42795.0</v>
      </c>
      <c r="CO65" s="139">
        <v>42826.0</v>
      </c>
      <c r="CP65" s="139">
        <v>42856.0</v>
      </c>
      <c r="CQ65" s="139">
        <v>42887.0</v>
      </c>
      <c r="CR65" s="139">
        <v>42917.0</v>
      </c>
      <c r="CS65" s="139">
        <v>42948.0</v>
      </c>
      <c r="CT65" s="139">
        <v>42979.0</v>
      </c>
      <c r="CU65" s="139">
        <v>43009.0</v>
      </c>
      <c r="CV65" s="139">
        <v>43040.0</v>
      </c>
      <c r="CW65" s="139">
        <v>43070.0</v>
      </c>
      <c r="CX65" s="139">
        <v>43101.0</v>
      </c>
      <c r="CY65" s="139">
        <v>43132.0</v>
      </c>
      <c r="CZ65" s="139">
        <v>43160.0</v>
      </c>
      <c r="DA65" s="139">
        <v>43191.0</v>
      </c>
      <c r="DB65" s="139">
        <v>43221.0</v>
      </c>
      <c r="DC65" s="139">
        <v>43252.0</v>
      </c>
      <c r="DD65" s="139">
        <v>43282.0</v>
      </c>
      <c r="DE65" s="139">
        <v>43313.0</v>
      </c>
      <c r="DF65" s="139">
        <v>43344.0</v>
      </c>
      <c r="DG65" s="139">
        <v>43374.0</v>
      </c>
      <c r="DH65" s="139">
        <v>43405.0</v>
      </c>
      <c r="DI65" s="139">
        <v>43435.0</v>
      </c>
      <c r="DJ65" s="139">
        <v>43466.0</v>
      </c>
      <c r="DK65" s="139">
        <v>43497.0</v>
      </c>
      <c r="DL65" s="139">
        <v>43525.0</v>
      </c>
      <c r="DM65" s="139">
        <v>43556.0</v>
      </c>
      <c r="DN65" s="139">
        <v>43586.0</v>
      </c>
      <c r="DO65" s="139">
        <v>43617.0</v>
      </c>
      <c r="DP65" s="139">
        <v>43647.0</v>
      </c>
      <c r="DQ65" s="139">
        <v>43678.0</v>
      </c>
      <c r="DR65" s="139">
        <v>43709.0</v>
      </c>
      <c r="DS65" s="139">
        <v>43739.0</v>
      </c>
      <c r="DT65" s="139">
        <v>43770.0</v>
      </c>
      <c r="DU65" s="139">
        <v>43800.0</v>
      </c>
      <c r="DV65" s="139">
        <v>43831.0</v>
      </c>
      <c r="DW65" s="139">
        <v>43862.0</v>
      </c>
      <c r="DX65" s="139">
        <v>43891.0</v>
      </c>
      <c r="DY65" s="139">
        <v>43922.0</v>
      </c>
      <c r="DZ65" s="139">
        <v>43952.0</v>
      </c>
      <c r="EA65" s="139">
        <v>43983.0</v>
      </c>
      <c r="EB65" s="139">
        <v>44013.0</v>
      </c>
      <c r="EC65" s="139">
        <v>44044.0</v>
      </c>
      <c r="ED65" s="139">
        <v>44075.0</v>
      </c>
      <c r="EE65" s="139">
        <v>44105.0</v>
      </c>
      <c r="EF65" s="139">
        <v>44136.0</v>
      </c>
      <c r="EG65" s="139">
        <v>44166.0</v>
      </c>
      <c r="EH65" s="139">
        <v>44197.0</v>
      </c>
      <c r="EI65" s="139">
        <v>44228.0</v>
      </c>
      <c r="EJ65" s="139">
        <v>44256.0</v>
      </c>
      <c r="EK65" s="139">
        <v>44287.0</v>
      </c>
      <c r="EL65" s="139">
        <v>44317.0</v>
      </c>
      <c r="EM65" s="139">
        <v>44348.0</v>
      </c>
      <c r="EN65" s="139">
        <v>44378.0</v>
      </c>
      <c r="EO65" s="139">
        <v>44409.0</v>
      </c>
      <c r="EP65" s="139">
        <v>44440.0</v>
      </c>
      <c r="EQ65" s="139">
        <v>44470.0</v>
      </c>
      <c r="ER65" s="139">
        <v>44501.0</v>
      </c>
      <c r="ES65" s="139">
        <v>44531.0</v>
      </c>
      <c r="ET65" s="139">
        <v>44562.0</v>
      </c>
      <c r="EU65" s="139">
        <v>44593.0</v>
      </c>
      <c r="EV65" s="139">
        <v>44621.0</v>
      </c>
      <c r="EW65" s="139">
        <v>44652.0</v>
      </c>
      <c r="EX65" s="139">
        <v>44682.0</v>
      </c>
      <c r="EY65" s="139">
        <v>44713.0</v>
      </c>
      <c r="EZ65" s="139">
        <v>44743.0</v>
      </c>
      <c r="FA65" s="139">
        <v>44774.0</v>
      </c>
      <c r="FB65" s="139">
        <v>44805.0</v>
      </c>
      <c r="FC65" s="139">
        <v>44835.0</v>
      </c>
      <c r="FD65" s="139">
        <v>44866.0</v>
      </c>
      <c r="FE65" s="139">
        <v>44896.0</v>
      </c>
      <c r="FF65" s="139">
        <v>44927.0</v>
      </c>
      <c r="FG65" s="139">
        <v>44958.0</v>
      </c>
      <c r="FH65" s="139">
        <v>44986.0</v>
      </c>
      <c r="FI65" s="139">
        <v>45017.0</v>
      </c>
      <c r="FJ65" s="139">
        <v>45047.0</v>
      </c>
      <c r="FK65" s="139">
        <v>45078.0</v>
      </c>
      <c r="FL65" s="139">
        <v>45108.0</v>
      </c>
      <c r="FM65" s="139">
        <v>45139.0</v>
      </c>
      <c r="FN65" s="139">
        <v>45170.0</v>
      </c>
      <c r="FO65" s="139">
        <v>45200.0</v>
      </c>
      <c r="FP65" s="139">
        <v>45231.0</v>
      </c>
      <c r="FQ65" s="139">
        <v>45261.0</v>
      </c>
      <c r="FR65" s="139">
        <v>45292.0</v>
      </c>
      <c r="FS65" s="139">
        <v>45323.0</v>
      </c>
      <c r="FT65" s="139">
        <v>45352.0</v>
      </c>
      <c r="FU65" s="139">
        <v>45383.0</v>
      </c>
      <c r="FV65" s="139">
        <v>45413.0</v>
      </c>
      <c r="FW65" s="139">
        <v>45444.0</v>
      </c>
      <c r="FX65" s="139">
        <v>45474.0</v>
      </c>
      <c r="FY65" s="139">
        <v>45505.0</v>
      </c>
      <c r="FZ65" s="139">
        <v>45536.0</v>
      </c>
      <c r="GA65" s="139">
        <v>45566.0</v>
      </c>
      <c r="GB65" s="139">
        <v>45597.0</v>
      </c>
      <c r="GC65" s="139">
        <v>45627.0</v>
      </c>
      <c r="GD65" s="139">
        <v>45658.0</v>
      </c>
      <c r="GE65" s="139">
        <v>45689.0</v>
      </c>
      <c r="GF65" s="139">
        <v>45717.0</v>
      </c>
      <c r="GG65" s="139">
        <v>45748.0</v>
      </c>
      <c r="GH65" s="139">
        <v>45778.0</v>
      </c>
      <c r="GI65" s="139">
        <v>45809.0</v>
      </c>
      <c r="GJ65" s="139">
        <v>45839.0</v>
      </c>
    </row>
    <row r="66">
      <c r="A66" s="133" t="s">
        <v>1641</v>
      </c>
      <c r="B66" s="134">
        <v>42613.633310185185</v>
      </c>
      <c r="C66" s="135" t="str">
        <f t="shared" si="1"/>
        <v>2016/08/31</v>
      </c>
      <c r="D66" s="136" t="s">
        <v>34273</v>
      </c>
      <c r="E66" s="151">
        <v>0.0</v>
      </c>
      <c r="F66" s="138">
        <v>40179.0</v>
      </c>
      <c r="G66" s="138">
        <v>40210.0</v>
      </c>
      <c r="H66" s="138">
        <v>40238.0</v>
      </c>
      <c r="I66" s="138">
        <v>40269.0</v>
      </c>
      <c r="J66" s="138">
        <v>40299.0</v>
      </c>
      <c r="K66" s="138">
        <v>40330.0</v>
      </c>
      <c r="L66" s="138">
        <v>40360.0</v>
      </c>
      <c r="M66" s="138">
        <v>40391.0</v>
      </c>
      <c r="N66" s="138">
        <v>40422.0</v>
      </c>
      <c r="O66" s="138">
        <v>40452.0</v>
      </c>
      <c r="P66" s="138">
        <v>40483.0</v>
      </c>
      <c r="Q66" s="138">
        <v>40513.0</v>
      </c>
      <c r="R66" s="138">
        <v>40544.0</v>
      </c>
      <c r="S66" s="138">
        <v>40575.0</v>
      </c>
      <c r="T66" s="138">
        <v>40603.0</v>
      </c>
      <c r="U66" s="138">
        <v>40634.0</v>
      </c>
      <c r="V66" s="138">
        <v>40664.0</v>
      </c>
      <c r="W66" s="138">
        <v>40695.0</v>
      </c>
      <c r="X66" s="138">
        <v>40725.0</v>
      </c>
      <c r="Y66" s="138">
        <v>40756.0</v>
      </c>
      <c r="Z66" s="138">
        <v>40787.0</v>
      </c>
      <c r="AA66" s="138">
        <v>40817.0</v>
      </c>
      <c r="AB66" s="138">
        <v>40848.0</v>
      </c>
      <c r="AC66" s="138">
        <v>40878.0</v>
      </c>
      <c r="AD66" s="138">
        <v>40909.0</v>
      </c>
      <c r="AE66" s="138">
        <v>40940.0</v>
      </c>
      <c r="AF66" s="138">
        <v>40969.0</v>
      </c>
      <c r="AG66" s="138">
        <v>41000.0</v>
      </c>
      <c r="AH66" s="138">
        <v>41030.0</v>
      </c>
      <c r="AI66" s="138">
        <v>41061.0</v>
      </c>
      <c r="AJ66" s="138">
        <v>41091.0</v>
      </c>
      <c r="AK66" s="138">
        <v>41122.0</v>
      </c>
      <c r="AL66" s="138">
        <v>41153.0</v>
      </c>
      <c r="AM66" s="138">
        <v>41183.0</v>
      </c>
      <c r="AN66" s="138">
        <v>41214.0</v>
      </c>
      <c r="AO66" s="138">
        <v>41244.0</v>
      </c>
      <c r="AP66" s="138">
        <v>41275.0</v>
      </c>
      <c r="AQ66" s="138">
        <v>41306.0</v>
      </c>
      <c r="AR66" s="138">
        <v>41334.0</v>
      </c>
      <c r="AS66" s="138">
        <v>41365.0</v>
      </c>
      <c r="AT66" s="138">
        <v>41395.0</v>
      </c>
      <c r="AU66" s="138">
        <v>41426.0</v>
      </c>
      <c r="AV66" s="138">
        <v>41456.0</v>
      </c>
      <c r="AW66" s="138">
        <v>41487.0</v>
      </c>
      <c r="AX66" s="138">
        <v>41518.0</v>
      </c>
      <c r="AY66" s="138">
        <v>41548.0</v>
      </c>
      <c r="AZ66" s="138">
        <v>41579.0</v>
      </c>
      <c r="BA66" s="138">
        <v>41609.0</v>
      </c>
      <c r="BB66" s="138">
        <v>41640.0</v>
      </c>
      <c r="BC66" s="138">
        <v>41671.0</v>
      </c>
      <c r="BD66" s="138">
        <v>41699.0</v>
      </c>
      <c r="BE66" s="138">
        <v>41730.0</v>
      </c>
      <c r="BF66" s="138">
        <v>41760.0</v>
      </c>
      <c r="BG66" s="138">
        <v>41791.0</v>
      </c>
      <c r="BH66" s="138">
        <v>41821.0</v>
      </c>
      <c r="BI66" s="138">
        <v>41852.0</v>
      </c>
      <c r="BJ66" s="138">
        <v>41883.0</v>
      </c>
      <c r="BK66" s="138">
        <v>41913.0</v>
      </c>
      <c r="BL66" s="138">
        <v>41944.0</v>
      </c>
      <c r="BM66" s="138">
        <v>41974.0</v>
      </c>
      <c r="BN66" s="138">
        <v>42005.0</v>
      </c>
      <c r="BO66" s="138">
        <v>42036.0</v>
      </c>
      <c r="BP66" s="138">
        <v>42064.0</v>
      </c>
      <c r="BQ66" s="138">
        <v>42095.0</v>
      </c>
      <c r="BR66" s="138">
        <v>42125.0</v>
      </c>
      <c r="BS66" s="138">
        <v>42156.0</v>
      </c>
      <c r="BT66" s="138">
        <v>42186.0</v>
      </c>
      <c r="BU66" s="138">
        <v>42217.0</v>
      </c>
      <c r="BV66" s="138">
        <v>42248.0</v>
      </c>
      <c r="BW66" s="138">
        <v>42278.0</v>
      </c>
      <c r="BX66" s="138">
        <v>42309.0</v>
      </c>
      <c r="BY66" s="138">
        <v>42339.0</v>
      </c>
      <c r="BZ66" s="138">
        <v>42370.0</v>
      </c>
      <c r="CA66" s="138">
        <v>42401.0</v>
      </c>
      <c r="CB66" s="138">
        <v>42430.0</v>
      </c>
      <c r="CC66" s="138">
        <v>42461.0</v>
      </c>
      <c r="CD66" s="138">
        <v>42491.0</v>
      </c>
      <c r="CE66" s="138">
        <v>42522.0</v>
      </c>
      <c r="CF66" s="138">
        <v>42552.0</v>
      </c>
      <c r="CG66" s="138">
        <v>42583.0</v>
      </c>
      <c r="CH66" s="139">
        <v>42614.0</v>
      </c>
      <c r="CI66" s="139">
        <v>42644.0</v>
      </c>
      <c r="CJ66" s="139">
        <v>42675.0</v>
      </c>
      <c r="CK66" s="139">
        <v>42705.0</v>
      </c>
      <c r="CL66" s="139">
        <v>42736.0</v>
      </c>
      <c r="CM66" s="139">
        <v>42767.0</v>
      </c>
      <c r="CN66" s="139">
        <v>42795.0</v>
      </c>
      <c r="CO66" s="139">
        <v>42826.0</v>
      </c>
      <c r="CP66" s="139">
        <v>42856.0</v>
      </c>
      <c r="CQ66" s="139">
        <v>42887.0</v>
      </c>
      <c r="CR66" s="139">
        <v>42917.0</v>
      </c>
      <c r="CS66" s="139">
        <v>42948.0</v>
      </c>
      <c r="CT66" s="139">
        <v>42979.0</v>
      </c>
      <c r="CU66" s="139">
        <v>43009.0</v>
      </c>
      <c r="CV66" s="139">
        <v>43040.0</v>
      </c>
      <c r="CW66" s="139">
        <v>43070.0</v>
      </c>
      <c r="CX66" s="139">
        <v>43101.0</v>
      </c>
      <c r="CY66" s="139">
        <v>43132.0</v>
      </c>
      <c r="CZ66" s="139">
        <v>43160.0</v>
      </c>
      <c r="DA66" s="139">
        <v>43191.0</v>
      </c>
      <c r="DB66" s="139">
        <v>43221.0</v>
      </c>
      <c r="DC66" s="139">
        <v>43252.0</v>
      </c>
      <c r="DD66" s="139">
        <v>43282.0</v>
      </c>
      <c r="DE66" s="139">
        <v>43313.0</v>
      </c>
      <c r="DF66" s="139">
        <v>43344.0</v>
      </c>
      <c r="DG66" s="139">
        <v>43374.0</v>
      </c>
      <c r="DH66" s="139">
        <v>43405.0</v>
      </c>
      <c r="DI66" s="139">
        <v>43435.0</v>
      </c>
      <c r="DJ66" s="139">
        <v>43466.0</v>
      </c>
      <c r="DK66" s="139">
        <v>43497.0</v>
      </c>
      <c r="DL66" s="139">
        <v>43525.0</v>
      </c>
      <c r="DM66" s="139">
        <v>43556.0</v>
      </c>
      <c r="DN66" s="139">
        <v>43586.0</v>
      </c>
      <c r="DO66" s="139">
        <v>43617.0</v>
      </c>
      <c r="DP66" s="139">
        <v>43647.0</v>
      </c>
      <c r="DQ66" s="139">
        <v>43678.0</v>
      </c>
      <c r="DR66" s="139">
        <v>43709.0</v>
      </c>
      <c r="DS66" s="139">
        <v>43739.0</v>
      </c>
      <c r="DT66" s="139">
        <v>43770.0</v>
      </c>
      <c r="DU66" s="139">
        <v>43800.0</v>
      </c>
      <c r="DV66" s="139">
        <v>43831.0</v>
      </c>
      <c r="DW66" s="139">
        <v>43862.0</v>
      </c>
      <c r="DX66" s="139">
        <v>43891.0</v>
      </c>
      <c r="DY66" s="139">
        <v>43922.0</v>
      </c>
      <c r="DZ66" s="139">
        <v>43952.0</v>
      </c>
      <c r="EA66" s="139">
        <v>43983.0</v>
      </c>
      <c r="EB66" s="139">
        <v>44013.0</v>
      </c>
      <c r="EC66" s="139">
        <v>44044.0</v>
      </c>
      <c r="ED66" s="139">
        <v>44075.0</v>
      </c>
      <c r="EE66" s="139">
        <v>44105.0</v>
      </c>
      <c r="EF66" s="139">
        <v>44136.0</v>
      </c>
      <c r="EG66" s="139">
        <v>44166.0</v>
      </c>
      <c r="EH66" s="139">
        <v>44197.0</v>
      </c>
      <c r="EI66" s="139">
        <v>44228.0</v>
      </c>
      <c r="EJ66" s="139">
        <v>44256.0</v>
      </c>
      <c r="EK66" s="139">
        <v>44287.0</v>
      </c>
      <c r="EL66" s="139">
        <v>44317.0</v>
      </c>
      <c r="EM66" s="139">
        <v>44348.0</v>
      </c>
      <c r="EN66" s="139">
        <v>44378.0</v>
      </c>
      <c r="EO66" s="139">
        <v>44409.0</v>
      </c>
      <c r="EP66" s="139">
        <v>44440.0</v>
      </c>
      <c r="EQ66" s="139">
        <v>44470.0</v>
      </c>
      <c r="ER66" s="139">
        <v>44501.0</v>
      </c>
      <c r="ES66" s="139">
        <v>44531.0</v>
      </c>
      <c r="ET66" s="139">
        <v>44562.0</v>
      </c>
      <c r="EU66" s="139">
        <v>44593.0</v>
      </c>
      <c r="EV66" s="139">
        <v>44621.0</v>
      </c>
      <c r="EW66" s="139">
        <v>44652.0</v>
      </c>
      <c r="EX66" s="139">
        <v>44682.0</v>
      </c>
      <c r="EY66" s="139">
        <v>44713.0</v>
      </c>
      <c r="EZ66" s="139">
        <v>44743.0</v>
      </c>
      <c r="FA66" s="139">
        <v>44774.0</v>
      </c>
      <c r="FB66" s="139">
        <v>44805.0</v>
      </c>
      <c r="FC66" s="139">
        <v>44835.0</v>
      </c>
      <c r="FD66" s="139">
        <v>44866.0</v>
      </c>
      <c r="FE66" s="139">
        <v>44896.0</v>
      </c>
      <c r="FF66" s="139">
        <v>44927.0</v>
      </c>
      <c r="FG66" s="139">
        <v>44958.0</v>
      </c>
      <c r="FH66" s="139">
        <v>44986.0</v>
      </c>
      <c r="FI66" s="139">
        <v>45017.0</v>
      </c>
      <c r="FJ66" s="139">
        <v>45047.0</v>
      </c>
      <c r="FK66" s="139">
        <v>45078.0</v>
      </c>
      <c r="FL66" s="139">
        <v>45108.0</v>
      </c>
      <c r="FM66" s="139">
        <v>45139.0</v>
      </c>
      <c r="FN66" s="139">
        <v>45170.0</v>
      </c>
      <c r="FO66" s="139">
        <v>45200.0</v>
      </c>
      <c r="FP66" s="139">
        <v>45231.0</v>
      </c>
      <c r="FQ66" s="139">
        <v>45261.0</v>
      </c>
      <c r="FR66" s="139">
        <v>45292.0</v>
      </c>
      <c r="FS66" s="139">
        <v>45323.0</v>
      </c>
      <c r="FT66" s="139">
        <v>45352.0</v>
      </c>
      <c r="FU66" s="139">
        <v>45383.0</v>
      </c>
      <c r="FV66" s="139">
        <v>45413.0</v>
      </c>
      <c r="FW66" s="139">
        <v>45444.0</v>
      </c>
      <c r="FX66" s="139">
        <v>45474.0</v>
      </c>
      <c r="FY66" s="139">
        <v>45505.0</v>
      </c>
      <c r="FZ66" s="139">
        <v>45536.0</v>
      </c>
      <c r="GA66" s="139">
        <v>45566.0</v>
      </c>
      <c r="GB66" s="139">
        <v>45597.0</v>
      </c>
      <c r="GC66" s="139">
        <v>45627.0</v>
      </c>
      <c r="GD66" s="139">
        <v>45658.0</v>
      </c>
      <c r="GE66" s="139">
        <v>45689.0</v>
      </c>
      <c r="GF66" s="139">
        <v>45717.0</v>
      </c>
      <c r="GG66" s="139">
        <v>45748.0</v>
      </c>
      <c r="GH66" s="139">
        <v>45778.0</v>
      </c>
      <c r="GI66" s="139">
        <v>45809.0</v>
      </c>
      <c r="GJ66" s="139">
        <v>45839.0</v>
      </c>
    </row>
    <row r="67">
      <c r="A67" s="133" t="s">
        <v>1772</v>
      </c>
      <c r="B67" s="134">
        <v>42681.5312962963</v>
      </c>
      <c r="C67" s="135" t="str">
        <f t="shared" si="1"/>
        <v>2016/11/07</v>
      </c>
      <c r="D67" s="136" t="s">
        <v>34274</v>
      </c>
      <c r="E67" s="151">
        <v>0.0</v>
      </c>
      <c r="F67" s="138">
        <v>40179.0</v>
      </c>
      <c r="G67" s="138">
        <v>40210.0</v>
      </c>
      <c r="H67" s="138">
        <v>40238.0</v>
      </c>
      <c r="I67" s="138">
        <v>40269.0</v>
      </c>
      <c r="J67" s="138">
        <v>40299.0</v>
      </c>
      <c r="K67" s="138">
        <v>40330.0</v>
      </c>
      <c r="L67" s="138">
        <v>40360.0</v>
      </c>
      <c r="M67" s="138">
        <v>40391.0</v>
      </c>
      <c r="N67" s="138">
        <v>40422.0</v>
      </c>
      <c r="O67" s="138">
        <v>40452.0</v>
      </c>
      <c r="P67" s="138">
        <v>40483.0</v>
      </c>
      <c r="Q67" s="138">
        <v>40513.0</v>
      </c>
      <c r="R67" s="138">
        <v>40544.0</v>
      </c>
      <c r="S67" s="138">
        <v>40575.0</v>
      </c>
      <c r="T67" s="138">
        <v>40603.0</v>
      </c>
      <c r="U67" s="138">
        <v>40634.0</v>
      </c>
      <c r="V67" s="138">
        <v>40664.0</v>
      </c>
      <c r="W67" s="138">
        <v>40695.0</v>
      </c>
      <c r="X67" s="138">
        <v>40725.0</v>
      </c>
      <c r="Y67" s="138">
        <v>40756.0</v>
      </c>
      <c r="Z67" s="138">
        <v>40787.0</v>
      </c>
      <c r="AA67" s="138">
        <v>40817.0</v>
      </c>
      <c r="AB67" s="138">
        <v>40848.0</v>
      </c>
      <c r="AC67" s="138">
        <v>40878.0</v>
      </c>
      <c r="AD67" s="138">
        <v>40909.0</v>
      </c>
      <c r="AE67" s="138">
        <v>40940.0</v>
      </c>
      <c r="AF67" s="138">
        <v>40969.0</v>
      </c>
      <c r="AG67" s="138">
        <v>41000.0</v>
      </c>
      <c r="AH67" s="138">
        <v>41030.0</v>
      </c>
      <c r="AI67" s="138">
        <v>41061.0</v>
      </c>
      <c r="AJ67" s="138">
        <v>41091.0</v>
      </c>
      <c r="AK67" s="138">
        <v>41122.0</v>
      </c>
      <c r="AL67" s="138">
        <v>41153.0</v>
      </c>
      <c r="AM67" s="138">
        <v>41183.0</v>
      </c>
      <c r="AN67" s="138">
        <v>41214.0</v>
      </c>
      <c r="AO67" s="138">
        <v>41244.0</v>
      </c>
      <c r="AP67" s="138">
        <v>41275.0</v>
      </c>
      <c r="AQ67" s="138">
        <v>41306.0</v>
      </c>
      <c r="AR67" s="138">
        <v>41334.0</v>
      </c>
      <c r="AS67" s="138">
        <v>41365.0</v>
      </c>
      <c r="AT67" s="138">
        <v>41395.0</v>
      </c>
      <c r="AU67" s="138">
        <v>41426.0</v>
      </c>
      <c r="AV67" s="138">
        <v>41456.0</v>
      </c>
      <c r="AW67" s="138">
        <v>41487.0</v>
      </c>
      <c r="AX67" s="138">
        <v>41518.0</v>
      </c>
      <c r="AY67" s="138">
        <v>41548.0</v>
      </c>
      <c r="AZ67" s="138">
        <v>41579.0</v>
      </c>
      <c r="BA67" s="138">
        <v>41609.0</v>
      </c>
      <c r="BB67" s="138">
        <v>41640.0</v>
      </c>
      <c r="BC67" s="138">
        <v>41671.0</v>
      </c>
      <c r="BD67" s="138">
        <v>41699.0</v>
      </c>
      <c r="BE67" s="138">
        <v>41730.0</v>
      </c>
      <c r="BF67" s="138">
        <v>41760.0</v>
      </c>
      <c r="BG67" s="138">
        <v>41791.0</v>
      </c>
      <c r="BH67" s="138">
        <v>41821.0</v>
      </c>
      <c r="BI67" s="138">
        <v>41852.0</v>
      </c>
      <c r="BJ67" s="138">
        <v>41883.0</v>
      </c>
      <c r="BK67" s="138">
        <v>41913.0</v>
      </c>
      <c r="BL67" s="138">
        <v>41944.0</v>
      </c>
      <c r="BM67" s="138">
        <v>41974.0</v>
      </c>
      <c r="BN67" s="138">
        <v>42005.0</v>
      </c>
      <c r="BO67" s="138">
        <v>42036.0</v>
      </c>
      <c r="BP67" s="138">
        <v>42064.0</v>
      </c>
      <c r="BQ67" s="138">
        <v>42095.0</v>
      </c>
      <c r="BR67" s="138">
        <v>42125.0</v>
      </c>
      <c r="BS67" s="138">
        <v>42156.0</v>
      </c>
      <c r="BT67" s="138">
        <v>42186.0</v>
      </c>
      <c r="BU67" s="138">
        <v>42217.0</v>
      </c>
      <c r="BV67" s="138">
        <v>42248.0</v>
      </c>
      <c r="BW67" s="138">
        <v>42278.0</v>
      </c>
      <c r="BX67" s="138">
        <v>42309.0</v>
      </c>
      <c r="BY67" s="138">
        <v>42339.0</v>
      </c>
      <c r="BZ67" s="138">
        <v>42370.0</v>
      </c>
      <c r="CA67" s="138">
        <v>42401.0</v>
      </c>
      <c r="CB67" s="138">
        <v>42430.0</v>
      </c>
      <c r="CC67" s="138">
        <v>42461.0</v>
      </c>
      <c r="CD67" s="138">
        <v>42491.0</v>
      </c>
      <c r="CE67" s="138">
        <v>42522.0</v>
      </c>
      <c r="CF67" s="138">
        <v>42552.0</v>
      </c>
      <c r="CG67" s="138">
        <v>42583.0</v>
      </c>
      <c r="CH67" s="138">
        <v>42614.0</v>
      </c>
      <c r="CI67" s="138">
        <v>42644.0</v>
      </c>
      <c r="CJ67" s="138">
        <v>42675.0</v>
      </c>
      <c r="CK67" s="139">
        <v>42705.0</v>
      </c>
      <c r="CL67" s="139">
        <v>42736.0</v>
      </c>
      <c r="CM67" s="139">
        <v>42767.0</v>
      </c>
      <c r="CN67" s="139">
        <v>42795.0</v>
      </c>
      <c r="CO67" s="139">
        <v>42826.0</v>
      </c>
      <c r="CP67" s="139">
        <v>42856.0</v>
      </c>
      <c r="CQ67" s="139">
        <v>42887.0</v>
      </c>
      <c r="CR67" s="139">
        <v>42917.0</v>
      </c>
      <c r="CS67" s="139">
        <v>42948.0</v>
      </c>
      <c r="CT67" s="139">
        <v>42979.0</v>
      </c>
      <c r="CU67" s="139">
        <v>43009.0</v>
      </c>
      <c r="CV67" s="139">
        <v>43040.0</v>
      </c>
      <c r="CW67" s="139">
        <v>43070.0</v>
      </c>
      <c r="CX67" s="139">
        <v>43101.0</v>
      </c>
      <c r="CY67" s="139">
        <v>43132.0</v>
      </c>
      <c r="CZ67" s="139">
        <v>43160.0</v>
      </c>
      <c r="DA67" s="139">
        <v>43191.0</v>
      </c>
      <c r="DB67" s="139">
        <v>43221.0</v>
      </c>
      <c r="DC67" s="139">
        <v>43252.0</v>
      </c>
      <c r="DD67" s="139">
        <v>43282.0</v>
      </c>
      <c r="DE67" s="139">
        <v>43313.0</v>
      </c>
      <c r="DF67" s="139">
        <v>43344.0</v>
      </c>
      <c r="DG67" s="139">
        <v>43374.0</v>
      </c>
      <c r="DH67" s="139">
        <v>43405.0</v>
      </c>
      <c r="DI67" s="139">
        <v>43435.0</v>
      </c>
      <c r="DJ67" s="139">
        <v>43466.0</v>
      </c>
      <c r="DK67" s="139">
        <v>43497.0</v>
      </c>
      <c r="DL67" s="139">
        <v>43525.0</v>
      </c>
      <c r="DM67" s="139">
        <v>43556.0</v>
      </c>
      <c r="DN67" s="139">
        <v>43586.0</v>
      </c>
      <c r="DO67" s="139">
        <v>43617.0</v>
      </c>
      <c r="DP67" s="139">
        <v>43647.0</v>
      </c>
      <c r="DQ67" s="139">
        <v>43678.0</v>
      </c>
      <c r="DR67" s="139">
        <v>43709.0</v>
      </c>
      <c r="DS67" s="139">
        <v>43739.0</v>
      </c>
      <c r="DT67" s="139">
        <v>43770.0</v>
      </c>
      <c r="DU67" s="139">
        <v>43800.0</v>
      </c>
      <c r="DV67" s="139">
        <v>43831.0</v>
      </c>
      <c r="DW67" s="139">
        <v>43862.0</v>
      </c>
      <c r="DX67" s="139">
        <v>43891.0</v>
      </c>
      <c r="DY67" s="139">
        <v>43922.0</v>
      </c>
      <c r="DZ67" s="139">
        <v>43952.0</v>
      </c>
      <c r="EA67" s="139">
        <v>43983.0</v>
      </c>
      <c r="EB67" s="139">
        <v>44013.0</v>
      </c>
      <c r="EC67" s="139">
        <v>44044.0</v>
      </c>
      <c r="ED67" s="139">
        <v>44075.0</v>
      </c>
      <c r="EE67" s="139">
        <v>44105.0</v>
      </c>
      <c r="EF67" s="139">
        <v>44136.0</v>
      </c>
      <c r="EG67" s="139">
        <v>44166.0</v>
      </c>
      <c r="EH67" s="139">
        <v>44197.0</v>
      </c>
      <c r="EI67" s="139">
        <v>44228.0</v>
      </c>
      <c r="EJ67" s="139">
        <v>44256.0</v>
      </c>
      <c r="EK67" s="139">
        <v>44287.0</v>
      </c>
      <c r="EL67" s="139">
        <v>44317.0</v>
      </c>
      <c r="EM67" s="139">
        <v>44348.0</v>
      </c>
      <c r="EN67" s="139">
        <v>44378.0</v>
      </c>
      <c r="EO67" s="139">
        <v>44409.0</v>
      </c>
      <c r="EP67" s="139">
        <v>44440.0</v>
      </c>
      <c r="EQ67" s="139">
        <v>44470.0</v>
      </c>
      <c r="ER67" s="139">
        <v>44501.0</v>
      </c>
      <c r="ES67" s="139">
        <v>44531.0</v>
      </c>
      <c r="ET67" s="139">
        <v>44562.0</v>
      </c>
      <c r="EU67" s="139">
        <v>44593.0</v>
      </c>
      <c r="EV67" s="139">
        <v>44621.0</v>
      </c>
      <c r="EW67" s="139">
        <v>44652.0</v>
      </c>
      <c r="EX67" s="139">
        <v>44682.0</v>
      </c>
      <c r="EY67" s="139">
        <v>44713.0</v>
      </c>
      <c r="EZ67" s="139">
        <v>44743.0</v>
      </c>
      <c r="FA67" s="139">
        <v>44774.0</v>
      </c>
      <c r="FB67" s="139">
        <v>44805.0</v>
      </c>
      <c r="FC67" s="139">
        <v>44835.0</v>
      </c>
      <c r="FD67" s="139">
        <v>44866.0</v>
      </c>
      <c r="FE67" s="139">
        <v>44896.0</v>
      </c>
      <c r="FF67" s="139">
        <v>44927.0</v>
      </c>
      <c r="FG67" s="139">
        <v>44958.0</v>
      </c>
      <c r="FH67" s="139">
        <v>44986.0</v>
      </c>
      <c r="FI67" s="139">
        <v>45017.0</v>
      </c>
      <c r="FJ67" s="139">
        <v>45047.0</v>
      </c>
      <c r="FK67" s="139">
        <v>45078.0</v>
      </c>
      <c r="FL67" s="139">
        <v>45108.0</v>
      </c>
      <c r="FM67" s="139">
        <v>45139.0</v>
      </c>
      <c r="FN67" s="139">
        <v>45170.0</v>
      </c>
      <c r="FO67" s="139">
        <v>45200.0</v>
      </c>
      <c r="FP67" s="139">
        <v>45231.0</v>
      </c>
      <c r="FQ67" s="139">
        <v>45261.0</v>
      </c>
      <c r="FR67" s="139">
        <v>45292.0</v>
      </c>
      <c r="FS67" s="139">
        <v>45323.0</v>
      </c>
      <c r="FT67" s="139">
        <v>45352.0</v>
      </c>
      <c r="FU67" s="139">
        <v>45383.0</v>
      </c>
      <c r="FV67" s="139">
        <v>45413.0</v>
      </c>
      <c r="FW67" s="139">
        <v>45444.0</v>
      </c>
      <c r="FX67" s="139">
        <v>45474.0</v>
      </c>
      <c r="FY67" s="139">
        <v>45505.0</v>
      </c>
      <c r="FZ67" s="139">
        <v>45536.0</v>
      </c>
      <c r="GA67" s="139">
        <v>45566.0</v>
      </c>
      <c r="GB67" s="139">
        <v>45597.0</v>
      </c>
      <c r="GC67" s="139">
        <v>45627.0</v>
      </c>
      <c r="GD67" s="139">
        <v>45658.0</v>
      </c>
      <c r="GE67" s="139">
        <v>45689.0</v>
      </c>
      <c r="GF67" s="139">
        <v>45717.0</v>
      </c>
      <c r="GG67" s="139">
        <v>45748.0</v>
      </c>
      <c r="GH67" s="139">
        <v>45778.0</v>
      </c>
      <c r="GI67" s="139">
        <v>45809.0</v>
      </c>
      <c r="GJ67" s="139">
        <v>45839.0</v>
      </c>
    </row>
    <row r="68">
      <c r="A68" s="133" t="s">
        <v>1504</v>
      </c>
      <c r="B68" s="134">
        <v>42725.77712962963</v>
      </c>
      <c r="C68" s="135" t="str">
        <f t="shared" si="1"/>
        <v>2016/12/21</v>
      </c>
      <c r="D68" s="136" t="s">
        <v>34275</v>
      </c>
      <c r="E68" s="151">
        <v>0.0</v>
      </c>
      <c r="F68" s="138">
        <v>40179.0</v>
      </c>
      <c r="G68" s="138">
        <v>40210.0</v>
      </c>
      <c r="H68" s="138">
        <v>40238.0</v>
      </c>
      <c r="I68" s="138">
        <v>40269.0</v>
      </c>
      <c r="J68" s="138">
        <v>40299.0</v>
      </c>
      <c r="K68" s="138">
        <v>40330.0</v>
      </c>
      <c r="L68" s="138">
        <v>40360.0</v>
      </c>
      <c r="M68" s="138">
        <v>40391.0</v>
      </c>
      <c r="N68" s="138">
        <v>40422.0</v>
      </c>
      <c r="O68" s="138">
        <v>40452.0</v>
      </c>
      <c r="P68" s="138">
        <v>40483.0</v>
      </c>
      <c r="Q68" s="138">
        <v>40513.0</v>
      </c>
      <c r="R68" s="138">
        <v>40544.0</v>
      </c>
      <c r="S68" s="138">
        <v>40575.0</v>
      </c>
      <c r="T68" s="138">
        <v>40603.0</v>
      </c>
      <c r="U68" s="138">
        <v>40634.0</v>
      </c>
      <c r="V68" s="138">
        <v>40664.0</v>
      </c>
      <c r="W68" s="138">
        <v>40695.0</v>
      </c>
      <c r="X68" s="138">
        <v>40725.0</v>
      </c>
      <c r="Y68" s="138">
        <v>40756.0</v>
      </c>
      <c r="Z68" s="138">
        <v>40787.0</v>
      </c>
      <c r="AA68" s="138">
        <v>40817.0</v>
      </c>
      <c r="AB68" s="138">
        <v>40848.0</v>
      </c>
      <c r="AC68" s="138">
        <v>40878.0</v>
      </c>
      <c r="AD68" s="138">
        <v>40909.0</v>
      </c>
      <c r="AE68" s="138">
        <v>40940.0</v>
      </c>
      <c r="AF68" s="138">
        <v>40969.0</v>
      </c>
      <c r="AG68" s="138">
        <v>41000.0</v>
      </c>
      <c r="AH68" s="138">
        <v>41030.0</v>
      </c>
      <c r="AI68" s="138">
        <v>41061.0</v>
      </c>
      <c r="AJ68" s="138">
        <v>41091.0</v>
      </c>
      <c r="AK68" s="138">
        <v>41122.0</v>
      </c>
      <c r="AL68" s="138">
        <v>41153.0</v>
      </c>
      <c r="AM68" s="138">
        <v>41183.0</v>
      </c>
      <c r="AN68" s="138">
        <v>41214.0</v>
      </c>
      <c r="AO68" s="138">
        <v>41244.0</v>
      </c>
      <c r="AP68" s="138">
        <v>41275.0</v>
      </c>
      <c r="AQ68" s="138">
        <v>41306.0</v>
      </c>
      <c r="AR68" s="138">
        <v>41334.0</v>
      </c>
      <c r="AS68" s="138">
        <v>41365.0</v>
      </c>
      <c r="AT68" s="138">
        <v>41395.0</v>
      </c>
      <c r="AU68" s="138">
        <v>41426.0</v>
      </c>
      <c r="AV68" s="138">
        <v>41456.0</v>
      </c>
      <c r="AW68" s="138">
        <v>41487.0</v>
      </c>
      <c r="AX68" s="138">
        <v>41518.0</v>
      </c>
      <c r="AY68" s="138">
        <v>41548.0</v>
      </c>
      <c r="AZ68" s="138">
        <v>41579.0</v>
      </c>
      <c r="BA68" s="138">
        <v>41609.0</v>
      </c>
      <c r="BB68" s="138">
        <v>41640.0</v>
      </c>
      <c r="BC68" s="138">
        <v>41671.0</v>
      </c>
      <c r="BD68" s="138">
        <v>41699.0</v>
      </c>
      <c r="BE68" s="138">
        <v>41730.0</v>
      </c>
      <c r="BF68" s="138">
        <v>41760.0</v>
      </c>
      <c r="BG68" s="138">
        <v>41791.0</v>
      </c>
      <c r="BH68" s="138">
        <v>41821.0</v>
      </c>
      <c r="BI68" s="138">
        <v>41852.0</v>
      </c>
      <c r="BJ68" s="138">
        <v>41883.0</v>
      </c>
      <c r="BK68" s="138">
        <v>41913.0</v>
      </c>
      <c r="BL68" s="138">
        <v>41944.0</v>
      </c>
      <c r="BM68" s="138">
        <v>41974.0</v>
      </c>
      <c r="BN68" s="138">
        <v>42005.0</v>
      </c>
      <c r="BO68" s="138">
        <v>42036.0</v>
      </c>
      <c r="BP68" s="138">
        <v>42064.0</v>
      </c>
      <c r="BQ68" s="138">
        <v>42095.0</v>
      </c>
      <c r="BR68" s="138">
        <v>42125.0</v>
      </c>
      <c r="BS68" s="138">
        <v>42156.0</v>
      </c>
      <c r="BT68" s="138">
        <v>42186.0</v>
      </c>
      <c r="BU68" s="138">
        <v>42217.0</v>
      </c>
      <c r="BV68" s="138">
        <v>42248.0</v>
      </c>
      <c r="BW68" s="138">
        <v>42278.0</v>
      </c>
      <c r="BX68" s="138">
        <v>42309.0</v>
      </c>
      <c r="BY68" s="138">
        <v>42339.0</v>
      </c>
      <c r="BZ68" s="138">
        <v>42370.0</v>
      </c>
      <c r="CA68" s="138">
        <v>42401.0</v>
      </c>
      <c r="CB68" s="138">
        <v>42430.0</v>
      </c>
      <c r="CC68" s="138">
        <v>42461.0</v>
      </c>
      <c r="CD68" s="138">
        <v>42491.0</v>
      </c>
      <c r="CE68" s="138">
        <v>42522.0</v>
      </c>
      <c r="CF68" s="138">
        <v>42552.0</v>
      </c>
      <c r="CG68" s="138">
        <v>42583.0</v>
      </c>
      <c r="CH68" s="138">
        <v>42614.0</v>
      </c>
      <c r="CI68" s="138">
        <v>42644.0</v>
      </c>
      <c r="CJ68" s="138">
        <v>42675.0</v>
      </c>
      <c r="CK68" s="138">
        <v>42705.0</v>
      </c>
      <c r="CL68" s="139">
        <v>42736.0</v>
      </c>
      <c r="CM68" s="139">
        <v>42767.0</v>
      </c>
      <c r="CN68" s="139">
        <v>42795.0</v>
      </c>
      <c r="CO68" s="139">
        <v>42826.0</v>
      </c>
      <c r="CP68" s="139">
        <v>42856.0</v>
      </c>
      <c r="CQ68" s="139">
        <v>42887.0</v>
      </c>
      <c r="CR68" s="139">
        <v>42917.0</v>
      </c>
      <c r="CS68" s="139">
        <v>42948.0</v>
      </c>
      <c r="CT68" s="139">
        <v>42979.0</v>
      </c>
      <c r="CU68" s="139">
        <v>43009.0</v>
      </c>
      <c r="CV68" s="139">
        <v>43040.0</v>
      </c>
      <c r="CW68" s="139">
        <v>43070.0</v>
      </c>
      <c r="CX68" s="139">
        <v>43101.0</v>
      </c>
      <c r="CY68" s="139">
        <v>43132.0</v>
      </c>
      <c r="CZ68" s="139">
        <v>43160.0</v>
      </c>
      <c r="DA68" s="139">
        <v>43191.0</v>
      </c>
      <c r="DB68" s="139">
        <v>43221.0</v>
      </c>
      <c r="DC68" s="139">
        <v>43252.0</v>
      </c>
      <c r="DD68" s="139">
        <v>43282.0</v>
      </c>
      <c r="DE68" s="139">
        <v>43313.0</v>
      </c>
      <c r="DF68" s="139">
        <v>43344.0</v>
      </c>
      <c r="DG68" s="139">
        <v>43374.0</v>
      </c>
      <c r="DH68" s="139">
        <v>43405.0</v>
      </c>
      <c r="DI68" s="139">
        <v>43435.0</v>
      </c>
      <c r="DJ68" s="139">
        <v>43466.0</v>
      </c>
      <c r="DK68" s="139">
        <v>43497.0</v>
      </c>
      <c r="DL68" s="139">
        <v>43525.0</v>
      </c>
      <c r="DM68" s="139">
        <v>43556.0</v>
      </c>
      <c r="DN68" s="139">
        <v>43586.0</v>
      </c>
      <c r="DO68" s="139">
        <v>43617.0</v>
      </c>
      <c r="DP68" s="139">
        <v>43647.0</v>
      </c>
      <c r="DQ68" s="139">
        <v>43678.0</v>
      </c>
      <c r="DR68" s="139">
        <v>43709.0</v>
      </c>
      <c r="DS68" s="139">
        <v>43739.0</v>
      </c>
      <c r="DT68" s="139">
        <v>43770.0</v>
      </c>
      <c r="DU68" s="139">
        <v>43800.0</v>
      </c>
      <c r="DV68" s="139">
        <v>43831.0</v>
      </c>
      <c r="DW68" s="139">
        <v>43862.0</v>
      </c>
      <c r="DX68" s="139">
        <v>43891.0</v>
      </c>
      <c r="DY68" s="139">
        <v>43922.0</v>
      </c>
      <c r="DZ68" s="139">
        <v>43952.0</v>
      </c>
      <c r="EA68" s="139">
        <v>43983.0</v>
      </c>
      <c r="EB68" s="139">
        <v>44013.0</v>
      </c>
      <c r="EC68" s="139">
        <v>44044.0</v>
      </c>
      <c r="ED68" s="139">
        <v>44075.0</v>
      </c>
      <c r="EE68" s="139">
        <v>44105.0</v>
      </c>
      <c r="EF68" s="139">
        <v>44136.0</v>
      </c>
      <c r="EG68" s="139">
        <v>44166.0</v>
      </c>
      <c r="EH68" s="139">
        <v>44197.0</v>
      </c>
      <c r="EI68" s="139">
        <v>44228.0</v>
      </c>
      <c r="EJ68" s="139">
        <v>44256.0</v>
      </c>
      <c r="EK68" s="139">
        <v>44287.0</v>
      </c>
      <c r="EL68" s="139">
        <v>44317.0</v>
      </c>
      <c r="EM68" s="139">
        <v>44348.0</v>
      </c>
      <c r="EN68" s="139">
        <v>44378.0</v>
      </c>
      <c r="EO68" s="139">
        <v>44409.0</v>
      </c>
      <c r="EP68" s="139">
        <v>44440.0</v>
      </c>
      <c r="EQ68" s="139">
        <v>44470.0</v>
      </c>
      <c r="ER68" s="139">
        <v>44501.0</v>
      </c>
      <c r="ES68" s="139">
        <v>44531.0</v>
      </c>
      <c r="ET68" s="139">
        <v>44562.0</v>
      </c>
      <c r="EU68" s="139">
        <v>44593.0</v>
      </c>
      <c r="EV68" s="139">
        <v>44621.0</v>
      </c>
      <c r="EW68" s="139">
        <v>44652.0</v>
      </c>
      <c r="EX68" s="139">
        <v>44682.0</v>
      </c>
      <c r="EY68" s="139">
        <v>44713.0</v>
      </c>
      <c r="EZ68" s="139">
        <v>44743.0</v>
      </c>
      <c r="FA68" s="139">
        <v>44774.0</v>
      </c>
      <c r="FB68" s="139">
        <v>44805.0</v>
      </c>
      <c r="FC68" s="139">
        <v>44835.0</v>
      </c>
      <c r="FD68" s="139">
        <v>44866.0</v>
      </c>
      <c r="FE68" s="139">
        <v>44896.0</v>
      </c>
      <c r="FF68" s="139">
        <v>44927.0</v>
      </c>
      <c r="FG68" s="139">
        <v>44958.0</v>
      </c>
      <c r="FH68" s="139">
        <v>44986.0</v>
      </c>
      <c r="FI68" s="139">
        <v>45017.0</v>
      </c>
      <c r="FJ68" s="139">
        <v>45047.0</v>
      </c>
      <c r="FK68" s="139">
        <v>45078.0</v>
      </c>
      <c r="FL68" s="139">
        <v>45108.0</v>
      </c>
      <c r="FM68" s="139">
        <v>45139.0</v>
      </c>
      <c r="FN68" s="139">
        <v>45170.0</v>
      </c>
      <c r="FO68" s="139">
        <v>45200.0</v>
      </c>
      <c r="FP68" s="139">
        <v>45231.0</v>
      </c>
      <c r="FQ68" s="139">
        <v>45261.0</v>
      </c>
      <c r="FR68" s="139">
        <v>45292.0</v>
      </c>
      <c r="FS68" s="139">
        <v>45323.0</v>
      </c>
      <c r="FT68" s="139">
        <v>45352.0</v>
      </c>
      <c r="FU68" s="139">
        <v>45383.0</v>
      </c>
      <c r="FV68" s="139">
        <v>45413.0</v>
      </c>
      <c r="FW68" s="139">
        <v>45444.0</v>
      </c>
      <c r="FX68" s="139">
        <v>45474.0</v>
      </c>
      <c r="FY68" s="139">
        <v>45505.0</v>
      </c>
      <c r="FZ68" s="139">
        <v>45536.0</v>
      </c>
      <c r="GA68" s="139">
        <v>45566.0</v>
      </c>
      <c r="GB68" s="139">
        <v>45597.0</v>
      </c>
      <c r="GC68" s="139">
        <v>45627.0</v>
      </c>
      <c r="GD68" s="139">
        <v>45658.0</v>
      </c>
      <c r="GE68" s="139">
        <v>45689.0</v>
      </c>
      <c r="GF68" s="139">
        <v>45717.0</v>
      </c>
      <c r="GG68" s="139">
        <v>45748.0</v>
      </c>
      <c r="GH68" s="139">
        <v>45778.0</v>
      </c>
      <c r="GI68" s="139">
        <v>45809.0</v>
      </c>
      <c r="GJ68" s="139">
        <v>45839.0</v>
      </c>
    </row>
    <row r="69">
      <c r="A69" s="133" t="s">
        <v>1644</v>
      </c>
      <c r="B69" s="134">
        <v>42766.653229166666</v>
      </c>
      <c r="C69" s="135" t="str">
        <f t="shared" si="1"/>
        <v>2017/01/31</v>
      </c>
      <c r="D69" s="136" t="s">
        <v>34276</v>
      </c>
      <c r="E69" s="151">
        <v>0.0</v>
      </c>
      <c r="F69" s="138">
        <v>40179.0</v>
      </c>
      <c r="G69" s="138">
        <v>40210.0</v>
      </c>
      <c r="H69" s="138">
        <v>40238.0</v>
      </c>
      <c r="I69" s="138">
        <v>40269.0</v>
      </c>
      <c r="J69" s="138">
        <v>40299.0</v>
      </c>
      <c r="K69" s="138">
        <v>40330.0</v>
      </c>
      <c r="L69" s="138">
        <v>40360.0</v>
      </c>
      <c r="M69" s="138">
        <v>40391.0</v>
      </c>
      <c r="N69" s="138">
        <v>40422.0</v>
      </c>
      <c r="O69" s="138">
        <v>40452.0</v>
      </c>
      <c r="P69" s="138">
        <v>40483.0</v>
      </c>
      <c r="Q69" s="138">
        <v>40513.0</v>
      </c>
      <c r="R69" s="138">
        <v>40544.0</v>
      </c>
      <c r="S69" s="138">
        <v>40575.0</v>
      </c>
      <c r="T69" s="138">
        <v>40603.0</v>
      </c>
      <c r="U69" s="138">
        <v>40634.0</v>
      </c>
      <c r="V69" s="138">
        <v>40664.0</v>
      </c>
      <c r="W69" s="138">
        <v>40695.0</v>
      </c>
      <c r="X69" s="138">
        <v>40725.0</v>
      </c>
      <c r="Y69" s="138">
        <v>40756.0</v>
      </c>
      <c r="Z69" s="138">
        <v>40787.0</v>
      </c>
      <c r="AA69" s="138">
        <v>40817.0</v>
      </c>
      <c r="AB69" s="138">
        <v>40848.0</v>
      </c>
      <c r="AC69" s="138">
        <v>40878.0</v>
      </c>
      <c r="AD69" s="138">
        <v>40909.0</v>
      </c>
      <c r="AE69" s="138">
        <v>40940.0</v>
      </c>
      <c r="AF69" s="138">
        <v>40969.0</v>
      </c>
      <c r="AG69" s="138">
        <v>41000.0</v>
      </c>
      <c r="AH69" s="138">
        <v>41030.0</v>
      </c>
      <c r="AI69" s="138">
        <v>41061.0</v>
      </c>
      <c r="AJ69" s="138">
        <v>41091.0</v>
      </c>
      <c r="AK69" s="138">
        <v>41122.0</v>
      </c>
      <c r="AL69" s="138">
        <v>41153.0</v>
      </c>
      <c r="AM69" s="138">
        <v>41183.0</v>
      </c>
      <c r="AN69" s="138">
        <v>41214.0</v>
      </c>
      <c r="AO69" s="138">
        <v>41244.0</v>
      </c>
      <c r="AP69" s="138">
        <v>41275.0</v>
      </c>
      <c r="AQ69" s="138">
        <v>41306.0</v>
      </c>
      <c r="AR69" s="138">
        <v>41334.0</v>
      </c>
      <c r="AS69" s="138">
        <v>41365.0</v>
      </c>
      <c r="AT69" s="138">
        <v>41395.0</v>
      </c>
      <c r="AU69" s="138">
        <v>41426.0</v>
      </c>
      <c r="AV69" s="138">
        <v>41456.0</v>
      </c>
      <c r="AW69" s="138">
        <v>41487.0</v>
      </c>
      <c r="AX69" s="138">
        <v>41518.0</v>
      </c>
      <c r="AY69" s="138">
        <v>41548.0</v>
      </c>
      <c r="AZ69" s="138">
        <v>41579.0</v>
      </c>
      <c r="BA69" s="138">
        <v>41609.0</v>
      </c>
      <c r="BB69" s="138">
        <v>41640.0</v>
      </c>
      <c r="BC69" s="138">
        <v>41671.0</v>
      </c>
      <c r="BD69" s="138">
        <v>41699.0</v>
      </c>
      <c r="BE69" s="138">
        <v>41730.0</v>
      </c>
      <c r="BF69" s="138">
        <v>41760.0</v>
      </c>
      <c r="BG69" s="138">
        <v>41791.0</v>
      </c>
      <c r="BH69" s="138">
        <v>41821.0</v>
      </c>
      <c r="BI69" s="138">
        <v>41852.0</v>
      </c>
      <c r="BJ69" s="138">
        <v>41883.0</v>
      </c>
      <c r="BK69" s="138">
        <v>41913.0</v>
      </c>
      <c r="BL69" s="138">
        <v>41944.0</v>
      </c>
      <c r="BM69" s="138">
        <v>41974.0</v>
      </c>
      <c r="BN69" s="138">
        <v>42005.0</v>
      </c>
      <c r="BO69" s="138">
        <v>42036.0</v>
      </c>
      <c r="BP69" s="138">
        <v>42064.0</v>
      </c>
      <c r="BQ69" s="138">
        <v>42095.0</v>
      </c>
      <c r="BR69" s="138">
        <v>42125.0</v>
      </c>
      <c r="BS69" s="138">
        <v>42156.0</v>
      </c>
      <c r="BT69" s="138">
        <v>42186.0</v>
      </c>
      <c r="BU69" s="138">
        <v>42217.0</v>
      </c>
      <c r="BV69" s="138">
        <v>42248.0</v>
      </c>
      <c r="BW69" s="138">
        <v>42278.0</v>
      </c>
      <c r="BX69" s="138">
        <v>42309.0</v>
      </c>
      <c r="BY69" s="138">
        <v>42339.0</v>
      </c>
      <c r="BZ69" s="138">
        <v>42370.0</v>
      </c>
      <c r="CA69" s="138">
        <v>42401.0</v>
      </c>
      <c r="CB69" s="138">
        <v>42430.0</v>
      </c>
      <c r="CC69" s="138">
        <v>42461.0</v>
      </c>
      <c r="CD69" s="138">
        <v>42491.0</v>
      </c>
      <c r="CE69" s="138">
        <v>42522.0</v>
      </c>
      <c r="CF69" s="138">
        <v>42552.0</v>
      </c>
      <c r="CG69" s="138">
        <v>42583.0</v>
      </c>
      <c r="CH69" s="138">
        <v>42614.0</v>
      </c>
      <c r="CI69" s="138">
        <v>42644.0</v>
      </c>
      <c r="CJ69" s="138">
        <v>42675.0</v>
      </c>
      <c r="CK69" s="138">
        <v>42705.0</v>
      </c>
      <c r="CL69" s="138">
        <v>42736.0</v>
      </c>
      <c r="CM69" s="139">
        <v>42767.0</v>
      </c>
      <c r="CN69" s="139">
        <v>42795.0</v>
      </c>
      <c r="CO69" s="139">
        <v>42826.0</v>
      </c>
      <c r="CP69" s="139">
        <v>42856.0</v>
      </c>
      <c r="CQ69" s="139">
        <v>42887.0</v>
      </c>
      <c r="CR69" s="139">
        <v>42917.0</v>
      </c>
      <c r="CS69" s="139">
        <v>42948.0</v>
      </c>
      <c r="CT69" s="139">
        <v>42979.0</v>
      </c>
      <c r="CU69" s="139">
        <v>43009.0</v>
      </c>
      <c r="CV69" s="139">
        <v>43040.0</v>
      </c>
      <c r="CW69" s="139">
        <v>43070.0</v>
      </c>
      <c r="CX69" s="139">
        <v>43101.0</v>
      </c>
      <c r="CY69" s="139">
        <v>43132.0</v>
      </c>
      <c r="CZ69" s="139">
        <v>43160.0</v>
      </c>
      <c r="DA69" s="139">
        <v>43191.0</v>
      </c>
      <c r="DB69" s="139">
        <v>43221.0</v>
      </c>
      <c r="DC69" s="139">
        <v>43252.0</v>
      </c>
      <c r="DD69" s="139">
        <v>43282.0</v>
      </c>
      <c r="DE69" s="139">
        <v>43313.0</v>
      </c>
      <c r="DF69" s="139">
        <v>43344.0</v>
      </c>
      <c r="DG69" s="139">
        <v>43374.0</v>
      </c>
      <c r="DH69" s="139">
        <v>43405.0</v>
      </c>
      <c r="DI69" s="139">
        <v>43435.0</v>
      </c>
      <c r="DJ69" s="139">
        <v>43466.0</v>
      </c>
      <c r="DK69" s="139">
        <v>43497.0</v>
      </c>
      <c r="DL69" s="139">
        <v>43525.0</v>
      </c>
      <c r="DM69" s="139">
        <v>43556.0</v>
      </c>
      <c r="DN69" s="139">
        <v>43586.0</v>
      </c>
      <c r="DO69" s="139">
        <v>43617.0</v>
      </c>
      <c r="DP69" s="139">
        <v>43647.0</v>
      </c>
      <c r="DQ69" s="139">
        <v>43678.0</v>
      </c>
      <c r="DR69" s="139">
        <v>43709.0</v>
      </c>
      <c r="DS69" s="139">
        <v>43739.0</v>
      </c>
      <c r="DT69" s="139">
        <v>43770.0</v>
      </c>
      <c r="DU69" s="139">
        <v>43800.0</v>
      </c>
      <c r="DV69" s="139">
        <v>43831.0</v>
      </c>
      <c r="DW69" s="139">
        <v>43862.0</v>
      </c>
      <c r="DX69" s="139">
        <v>43891.0</v>
      </c>
      <c r="DY69" s="139">
        <v>43922.0</v>
      </c>
      <c r="DZ69" s="139">
        <v>43952.0</v>
      </c>
      <c r="EA69" s="139">
        <v>43983.0</v>
      </c>
      <c r="EB69" s="139">
        <v>44013.0</v>
      </c>
      <c r="EC69" s="139">
        <v>44044.0</v>
      </c>
      <c r="ED69" s="139">
        <v>44075.0</v>
      </c>
      <c r="EE69" s="139">
        <v>44105.0</v>
      </c>
      <c r="EF69" s="139">
        <v>44136.0</v>
      </c>
      <c r="EG69" s="139">
        <v>44166.0</v>
      </c>
      <c r="EH69" s="139">
        <v>44197.0</v>
      </c>
      <c r="EI69" s="139">
        <v>44228.0</v>
      </c>
      <c r="EJ69" s="139">
        <v>44256.0</v>
      </c>
      <c r="EK69" s="139">
        <v>44287.0</v>
      </c>
      <c r="EL69" s="139">
        <v>44317.0</v>
      </c>
      <c r="EM69" s="139">
        <v>44348.0</v>
      </c>
      <c r="EN69" s="139">
        <v>44378.0</v>
      </c>
      <c r="EO69" s="139">
        <v>44409.0</v>
      </c>
      <c r="EP69" s="139">
        <v>44440.0</v>
      </c>
      <c r="EQ69" s="139">
        <v>44470.0</v>
      </c>
      <c r="ER69" s="139">
        <v>44501.0</v>
      </c>
      <c r="ES69" s="139">
        <v>44531.0</v>
      </c>
      <c r="ET69" s="139">
        <v>44562.0</v>
      </c>
      <c r="EU69" s="139">
        <v>44593.0</v>
      </c>
      <c r="EV69" s="139">
        <v>44621.0</v>
      </c>
      <c r="EW69" s="139">
        <v>44652.0</v>
      </c>
      <c r="EX69" s="139">
        <v>44682.0</v>
      </c>
      <c r="EY69" s="139">
        <v>44713.0</v>
      </c>
      <c r="EZ69" s="139">
        <v>44743.0</v>
      </c>
      <c r="FA69" s="139">
        <v>44774.0</v>
      </c>
      <c r="FB69" s="139">
        <v>44805.0</v>
      </c>
      <c r="FC69" s="139">
        <v>44835.0</v>
      </c>
      <c r="FD69" s="139">
        <v>44866.0</v>
      </c>
      <c r="FE69" s="139">
        <v>44896.0</v>
      </c>
      <c r="FF69" s="139">
        <v>44927.0</v>
      </c>
      <c r="FG69" s="139">
        <v>44958.0</v>
      </c>
      <c r="FH69" s="139">
        <v>44986.0</v>
      </c>
      <c r="FI69" s="139">
        <v>45017.0</v>
      </c>
      <c r="FJ69" s="139">
        <v>45047.0</v>
      </c>
      <c r="FK69" s="139">
        <v>45078.0</v>
      </c>
      <c r="FL69" s="139">
        <v>45108.0</v>
      </c>
      <c r="FM69" s="139">
        <v>45139.0</v>
      </c>
      <c r="FN69" s="139">
        <v>45170.0</v>
      </c>
      <c r="FO69" s="139">
        <v>45200.0</v>
      </c>
      <c r="FP69" s="139">
        <v>45231.0</v>
      </c>
      <c r="FQ69" s="139">
        <v>45261.0</v>
      </c>
      <c r="FR69" s="139">
        <v>45292.0</v>
      </c>
      <c r="FS69" s="139">
        <v>45323.0</v>
      </c>
      <c r="FT69" s="139">
        <v>45352.0</v>
      </c>
      <c r="FU69" s="139">
        <v>45383.0</v>
      </c>
      <c r="FV69" s="139">
        <v>45413.0</v>
      </c>
      <c r="FW69" s="139">
        <v>45444.0</v>
      </c>
      <c r="FX69" s="139">
        <v>45474.0</v>
      </c>
      <c r="FY69" s="139">
        <v>45505.0</v>
      </c>
      <c r="FZ69" s="139">
        <v>45536.0</v>
      </c>
      <c r="GA69" s="139">
        <v>45566.0</v>
      </c>
      <c r="GB69" s="139">
        <v>45597.0</v>
      </c>
      <c r="GC69" s="139">
        <v>45627.0</v>
      </c>
      <c r="GD69" s="139">
        <v>45658.0</v>
      </c>
      <c r="GE69" s="139">
        <v>45689.0</v>
      </c>
      <c r="GF69" s="139">
        <v>45717.0</v>
      </c>
      <c r="GG69" s="139">
        <v>45748.0</v>
      </c>
      <c r="GH69" s="139">
        <v>45778.0</v>
      </c>
      <c r="GI69" s="139">
        <v>45809.0</v>
      </c>
      <c r="GJ69" s="139">
        <v>45839.0</v>
      </c>
    </row>
    <row r="70">
      <c r="A70" s="133" t="s">
        <v>1771</v>
      </c>
      <c r="B70" s="134">
        <v>42825.772939814815</v>
      </c>
      <c r="C70" s="135" t="str">
        <f t="shared" si="1"/>
        <v>2017/03/31</v>
      </c>
      <c r="D70" s="136" t="s">
        <v>34277</v>
      </c>
      <c r="E70" s="151">
        <v>0.0</v>
      </c>
      <c r="F70" s="138">
        <v>40179.0</v>
      </c>
      <c r="G70" s="138">
        <v>40210.0</v>
      </c>
      <c r="H70" s="138">
        <v>40238.0</v>
      </c>
      <c r="I70" s="138">
        <v>40269.0</v>
      </c>
      <c r="J70" s="138">
        <v>40299.0</v>
      </c>
      <c r="K70" s="138">
        <v>40330.0</v>
      </c>
      <c r="L70" s="138">
        <v>40360.0</v>
      </c>
      <c r="M70" s="138">
        <v>40391.0</v>
      </c>
      <c r="N70" s="138">
        <v>40422.0</v>
      </c>
      <c r="O70" s="138">
        <v>40452.0</v>
      </c>
      <c r="P70" s="138">
        <v>40483.0</v>
      </c>
      <c r="Q70" s="138">
        <v>40513.0</v>
      </c>
      <c r="R70" s="138">
        <v>40544.0</v>
      </c>
      <c r="S70" s="138">
        <v>40575.0</v>
      </c>
      <c r="T70" s="138">
        <v>40603.0</v>
      </c>
      <c r="U70" s="138">
        <v>40634.0</v>
      </c>
      <c r="V70" s="138">
        <v>40664.0</v>
      </c>
      <c r="W70" s="138">
        <v>40695.0</v>
      </c>
      <c r="X70" s="138">
        <v>40725.0</v>
      </c>
      <c r="Y70" s="138">
        <v>40756.0</v>
      </c>
      <c r="Z70" s="138">
        <v>40787.0</v>
      </c>
      <c r="AA70" s="138">
        <v>40817.0</v>
      </c>
      <c r="AB70" s="138">
        <v>40848.0</v>
      </c>
      <c r="AC70" s="138">
        <v>40878.0</v>
      </c>
      <c r="AD70" s="138">
        <v>40909.0</v>
      </c>
      <c r="AE70" s="138">
        <v>40940.0</v>
      </c>
      <c r="AF70" s="138">
        <v>40969.0</v>
      </c>
      <c r="AG70" s="138">
        <v>41000.0</v>
      </c>
      <c r="AH70" s="138">
        <v>41030.0</v>
      </c>
      <c r="AI70" s="138">
        <v>41061.0</v>
      </c>
      <c r="AJ70" s="138">
        <v>41091.0</v>
      </c>
      <c r="AK70" s="138">
        <v>41122.0</v>
      </c>
      <c r="AL70" s="138">
        <v>41153.0</v>
      </c>
      <c r="AM70" s="138">
        <v>41183.0</v>
      </c>
      <c r="AN70" s="138">
        <v>41214.0</v>
      </c>
      <c r="AO70" s="138">
        <v>41244.0</v>
      </c>
      <c r="AP70" s="138">
        <v>41275.0</v>
      </c>
      <c r="AQ70" s="138">
        <v>41306.0</v>
      </c>
      <c r="AR70" s="138">
        <v>41334.0</v>
      </c>
      <c r="AS70" s="138">
        <v>41365.0</v>
      </c>
      <c r="AT70" s="138">
        <v>41395.0</v>
      </c>
      <c r="AU70" s="138">
        <v>41426.0</v>
      </c>
      <c r="AV70" s="138">
        <v>41456.0</v>
      </c>
      <c r="AW70" s="138">
        <v>41487.0</v>
      </c>
      <c r="AX70" s="138">
        <v>41518.0</v>
      </c>
      <c r="AY70" s="138">
        <v>41548.0</v>
      </c>
      <c r="AZ70" s="138">
        <v>41579.0</v>
      </c>
      <c r="BA70" s="138">
        <v>41609.0</v>
      </c>
      <c r="BB70" s="138">
        <v>41640.0</v>
      </c>
      <c r="BC70" s="138">
        <v>41671.0</v>
      </c>
      <c r="BD70" s="138">
        <v>41699.0</v>
      </c>
      <c r="BE70" s="138">
        <v>41730.0</v>
      </c>
      <c r="BF70" s="138">
        <v>41760.0</v>
      </c>
      <c r="BG70" s="138">
        <v>41791.0</v>
      </c>
      <c r="BH70" s="138">
        <v>41821.0</v>
      </c>
      <c r="BI70" s="138">
        <v>41852.0</v>
      </c>
      <c r="BJ70" s="138">
        <v>41883.0</v>
      </c>
      <c r="BK70" s="138">
        <v>41913.0</v>
      </c>
      <c r="BL70" s="138">
        <v>41944.0</v>
      </c>
      <c r="BM70" s="138">
        <v>41974.0</v>
      </c>
      <c r="BN70" s="138">
        <v>42005.0</v>
      </c>
      <c r="BO70" s="138">
        <v>42036.0</v>
      </c>
      <c r="BP70" s="138">
        <v>42064.0</v>
      </c>
      <c r="BQ70" s="138">
        <v>42095.0</v>
      </c>
      <c r="BR70" s="138">
        <v>42125.0</v>
      </c>
      <c r="BS70" s="138">
        <v>42156.0</v>
      </c>
      <c r="BT70" s="138">
        <v>42186.0</v>
      </c>
      <c r="BU70" s="138">
        <v>42217.0</v>
      </c>
      <c r="BV70" s="138">
        <v>42248.0</v>
      </c>
      <c r="BW70" s="138">
        <v>42278.0</v>
      </c>
      <c r="BX70" s="138">
        <v>42309.0</v>
      </c>
      <c r="BY70" s="138">
        <v>42339.0</v>
      </c>
      <c r="BZ70" s="138">
        <v>42370.0</v>
      </c>
      <c r="CA70" s="138">
        <v>42401.0</v>
      </c>
      <c r="CB70" s="138">
        <v>42430.0</v>
      </c>
      <c r="CC70" s="138">
        <v>42461.0</v>
      </c>
      <c r="CD70" s="138">
        <v>42491.0</v>
      </c>
      <c r="CE70" s="138">
        <v>42522.0</v>
      </c>
      <c r="CF70" s="138">
        <v>42552.0</v>
      </c>
      <c r="CG70" s="138">
        <v>42583.0</v>
      </c>
      <c r="CH70" s="138">
        <v>42614.0</v>
      </c>
      <c r="CI70" s="138">
        <v>42644.0</v>
      </c>
      <c r="CJ70" s="138">
        <v>42675.0</v>
      </c>
      <c r="CK70" s="138">
        <v>42705.0</v>
      </c>
      <c r="CL70" s="138">
        <v>42736.0</v>
      </c>
      <c r="CM70" s="138">
        <v>42767.0</v>
      </c>
      <c r="CN70" s="138">
        <v>42795.0</v>
      </c>
      <c r="CO70" s="139">
        <v>42826.0</v>
      </c>
      <c r="CP70" s="139">
        <v>42856.0</v>
      </c>
      <c r="CQ70" s="139">
        <v>42887.0</v>
      </c>
      <c r="CR70" s="139">
        <v>42917.0</v>
      </c>
      <c r="CS70" s="139">
        <v>42948.0</v>
      </c>
      <c r="CT70" s="139">
        <v>42979.0</v>
      </c>
      <c r="CU70" s="139">
        <v>43009.0</v>
      </c>
      <c r="CV70" s="139">
        <v>43040.0</v>
      </c>
      <c r="CW70" s="139">
        <v>43070.0</v>
      </c>
      <c r="CX70" s="139">
        <v>43101.0</v>
      </c>
      <c r="CY70" s="139">
        <v>43132.0</v>
      </c>
      <c r="CZ70" s="139">
        <v>43160.0</v>
      </c>
      <c r="DA70" s="139">
        <v>43191.0</v>
      </c>
      <c r="DB70" s="139">
        <v>43221.0</v>
      </c>
      <c r="DC70" s="139">
        <v>43252.0</v>
      </c>
      <c r="DD70" s="139">
        <v>43282.0</v>
      </c>
      <c r="DE70" s="139">
        <v>43313.0</v>
      </c>
      <c r="DF70" s="139">
        <v>43344.0</v>
      </c>
      <c r="DG70" s="139">
        <v>43374.0</v>
      </c>
      <c r="DH70" s="139">
        <v>43405.0</v>
      </c>
      <c r="DI70" s="139">
        <v>43435.0</v>
      </c>
      <c r="DJ70" s="139">
        <v>43466.0</v>
      </c>
      <c r="DK70" s="139">
        <v>43497.0</v>
      </c>
      <c r="DL70" s="139">
        <v>43525.0</v>
      </c>
      <c r="DM70" s="139">
        <v>43556.0</v>
      </c>
      <c r="DN70" s="139">
        <v>43586.0</v>
      </c>
      <c r="DO70" s="139">
        <v>43617.0</v>
      </c>
      <c r="DP70" s="139">
        <v>43647.0</v>
      </c>
      <c r="DQ70" s="139">
        <v>43678.0</v>
      </c>
      <c r="DR70" s="139">
        <v>43709.0</v>
      </c>
      <c r="DS70" s="139">
        <v>43739.0</v>
      </c>
      <c r="DT70" s="139">
        <v>43770.0</v>
      </c>
      <c r="DU70" s="139">
        <v>43800.0</v>
      </c>
      <c r="DV70" s="139">
        <v>43831.0</v>
      </c>
      <c r="DW70" s="139">
        <v>43862.0</v>
      </c>
      <c r="DX70" s="139">
        <v>43891.0</v>
      </c>
      <c r="DY70" s="139">
        <v>43922.0</v>
      </c>
      <c r="DZ70" s="139">
        <v>43952.0</v>
      </c>
      <c r="EA70" s="139">
        <v>43983.0</v>
      </c>
      <c r="EB70" s="139">
        <v>44013.0</v>
      </c>
      <c r="EC70" s="139">
        <v>44044.0</v>
      </c>
      <c r="ED70" s="139">
        <v>44075.0</v>
      </c>
      <c r="EE70" s="139">
        <v>44105.0</v>
      </c>
      <c r="EF70" s="139">
        <v>44136.0</v>
      </c>
      <c r="EG70" s="139">
        <v>44166.0</v>
      </c>
      <c r="EH70" s="139">
        <v>44197.0</v>
      </c>
      <c r="EI70" s="139">
        <v>44228.0</v>
      </c>
      <c r="EJ70" s="139">
        <v>44256.0</v>
      </c>
      <c r="EK70" s="139">
        <v>44287.0</v>
      </c>
      <c r="EL70" s="139">
        <v>44317.0</v>
      </c>
      <c r="EM70" s="139">
        <v>44348.0</v>
      </c>
      <c r="EN70" s="139">
        <v>44378.0</v>
      </c>
      <c r="EO70" s="139">
        <v>44409.0</v>
      </c>
      <c r="EP70" s="139">
        <v>44440.0</v>
      </c>
      <c r="EQ70" s="139">
        <v>44470.0</v>
      </c>
      <c r="ER70" s="139">
        <v>44501.0</v>
      </c>
      <c r="ES70" s="139">
        <v>44531.0</v>
      </c>
      <c r="ET70" s="139">
        <v>44562.0</v>
      </c>
      <c r="EU70" s="139">
        <v>44593.0</v>
      </c>
      <c r="EV70" s="139">
        <v>44621.0</v>
      </c>
      <c r="EW70" s="139">
        <v>44652.0</v>
      </c>
      <c r="EX70" s="139">
        <v>44682.0</v>
      </c>
      <c r="EY70" s="139">
        <v>44713.0</v>
      </c>
      <c r="EZ70" s="139">
        <v>44743.0</v>
      </c>
      <c r="FA70" s="139">
        <v>44774.0</v>
      </c>
      <c r="FB70" s="139">
        <v>44805.0</v>
      </c>
      <c r="FC70" s="139">
        <v>44835.0</v>
      </c>
      <c r="FD70" s="139">
        <v>44866.0</v>
      </c>
      <c r="FE70" s="139">
        <v>44896.0</v>
      </c>
      <c r="FF70" s="139">
        <v>44927.0</v>
      </c>
      <c r="FG70" s="139">
        <v>44958.0</v>
      </c>
      <c r="FH70" s="139">
        <v>44986.0</v>
      </c>
      <c r="FI70" s="139">
        <v>45017.0</v>
      </c>
      <c r="FJ70" s="139">
        <v>45047.0</v>
      </c>
      <c r="FK70" s="139">
        <v>45078.0</v>
      </c>
      <c r="FL70" s="139">
        <v>45108.0</v>
      </c>
      <c r="FM70" s="139">
        <v>45139.0</v>
      </c>
      <c r="FN70" s="139">
        <v>45170.0</v>
      </c>
      <c r="FO70" s="139">
        <v>45200.0</v>
      </c>
      <c r="FP70" s="139">
        <v>45231.0</v>
      </c>
      <c r="FQ70" s="139">
        <v>45261.0</v>
      </c>
      <c r="FR70" s="139">
        <v>45292.0</v>
      </c>
      <c r="FS70" s="139">
        <v>45323.0</v>
      </c>
      <c r="FT70" s="139">
        <v>45352.0</v>
      </c>
      <c r="FU70" s="139">
        <v>45383.0</v>
      </c>
      <c r="FV70" s="139">
        <v>45413.0</v>
      </c>
      <c r="FW70" s="139">
        <v>45444.0</v>
      </c>
      <c r="FX70" s="139">
        <v>45474.0</v>
      </c>
      <c r="FY70" s="139">
        <v>45505.0</v>
      </c>
      <c r="FZ70" s="139">
        <v>45536.0</v>
      </c>
      <c r="GA70" s="139">
        <v>45566.0</v>
      </c>
      <c r="GB70" s="139">
        <v>45597.0</v>
      </c>
      <c r="GC70" s="139">
        <v>45627.0</v>
      </c>
      <c r="GD70" s="139">
        <v>45658.0</v>
      </c>
      <c r="GE70" s="139">
        <v>45689.0</v>
      </c>
      <c r="GF70" s="139">
        <v>45717.0</v>
      </c>
      <c r="GG70" s="139">
        <v>45748.0</v>
      </c>
      <c r="GH70" s="139">
        <v>45778.0</v>
      </c>
      <c r="GI70" s="139">
        <v>45809.0</v>
      </c>
      <c r="GJ70" s="139">
        <v>45839.0</v>
      </c>
    </row>
    <row r="71">
      <c r="A71" s="133" t="s">
        <v>1686</v>
      </c>
      <c r="B71" s="134">
        <v>42845.484143518515</v>
      </c>
      <c r="C71" s="135" t="str">
        <f t="shared" si="1"/>
        <v>2017/04/20</v>
      </c>
      <c r="D71" s="136" t="s">
        <v>34278</v>
      </c>
      <c r="E71" s="151">
        <v>0.0</v>
      </c>
      <c r="F71" s="138">
        <v>40179.0</v>
      </c>
      <c r="G71" s="138">
        <v>40210.0</v>
      </c>
      <c r="H71" s="138">
        <v>40238.0</v>
      </c>
      <c r="I71" s="138">
        <v>40269.0</v>
      </c>
      <c r="J71" s="138">
        <v>40299.0</v>
      </c>
      <c r="K71" s="138">
        <v>40330.0</v>
      </c>
      <c r="L71" s="138">
        <v>40360.0</v>
      </c>
      <c r="M71" s="138">
        <v>40391.0</v>
      </c>
      <c r="N71" s="138">
        <v>40422.0</v>
      </c>
      <c r="O71" s="138">
        <v>40452.0</v>
      </c>
      <c r="P71" s="138">
        <v>40483.0</v>
      </c>
      <c r="Q71" s="138">
        <v>40513.0</v>
      </c>
      <c r="R71" s="138">
        <v>40544.0</v>
      </c>
      <c r="S71" s="138">
        <v>40575.0</v>
      </c>
      <c r="T71" s="138">
        <v>40603.0</v>
      </c>
      <c r="U71" s="138">
        <v>40634.0</v>
      </c>
      <c r="V71" s="138">
        <v>40664.0</v>
      </c>
      <c r="W71" s="138">
        <v>40695.0</v>
      </c>
      <c r="X71" s="138">
        <v>40725.0</v>
      </c>
      <c r="Y71" s="138">
        <v>40756.0</v>
      </c>
      <c r="Z71" s="138">
        <v>40787.0</v>
      </c>
      <c r="AA71" s="138">
        <v>40817.0</v>
      </c>
      <c r="AB71" s="138">
        <v>40848.0</v>
      </c>
      <c r="AC71" s="138">
        <v>40878.0</v>
      </c>
      <c r="AD71" s="138">
        <v>40909.0</v>
      </c>
      <c r="AE71" s="138">
        <v>40940.0</v>
      </c>
      <c r="AF71" s="138">
        <v>40969.0</v>
      </c>
      <c r="AG71" s="138">
        <v>41000.0</v>
      </c>
      <c r="AH71" s="138">
        <v>41030.0</v>
      </c>
      <c r="AI71" s="138">
        <v>41061.0</v>
      </c>
      <c r="AJ71" s="138">
        <v>41091.0</v>
      </c>
      <c r="AK71" s="138">
        <v>41122.0</v>
      </c>
      <c r="AL71" s="138">
        <v>41153.0</v>
      </c>
      <c r="AM71" s="138">
        <v>41183.0</v>
      </c>
      <c r="AN71" s="138">
        <v>41214.0</v>
      </c>
      <c r="AO71" s="138">
        <v>41244.0</v>
      </c>
      <c r="AP71" s="138">
        <v>41275.0</v>
      </c>
      <c r="AQ71" s="138">
        <v>41306.0</v>
      </c>
      <c r="AR71" s="138">
        <v>41334.0</v>
      </c>
      <c r="AS71" s="138">
        <v>41365.0</v>
      </c>
      <c r="AT71" s="138">
        <v>41395.0</v>
      </c>
      <c r="AU71" s="138">
        <v>41426.0</v>
      </c>
      <c r="AV71" s="138">
        <v>41456.0</v>
      </c>
      <c r="AW71" s="138">
        <v>41487.0</v>
      </c>
      <c r="AX71" s="138">
        <v>41518.0</v>
      </c>
      <c r="AY71" s="138">
        <v>41548.0</v>
      </c>
      <c r="AZ71" s="138">
        <v>41579.0</v>
      </c>
      <c r="BA71" s="138">
        <v>41609.0</v>
      </c>
      <c r="BB71" s="138">
        <v>41640.0</v>
      </c>
      <c r="BC71" s="138">
        <v>41671.0</v>
      </c>
      <c r="BD71" s="138">
        <v>41699.0</v>
      </c>
      <c r="BE71" s="138">
        <v>41730.0</v>
      </c>
      <c r="BF71" s="138">
        <v>41760.0</v>
      </c>
      <c r="BG71" s="138">
        <v>41791.0</v>
      </c>
      <c r="BH71" s="138">
        <v>41821.0</v>
      </c>
      <c r="BI71" s="138">
        <v>41852.0</v>
      </c>
      <c r="BJ71" s="138">
        <v>41883.0</v>
      </c>
      <c r="BK71" s="138">
        <v>41913.0</v>
      </c>
      <c r="BL71" s="138">
        <v>41944.0</v>
      </c>
      <c r="BM71" s="138">
        <v>41974.0</v>
      </c>
      <c r="BN71" s="138">
        <v>42005.0</v>
      </c>
      <c r="BO71" s="138">
        <v>42036.0</v>
      </c>
      <c r="BP71" s="138">
        <v>42064.0</v>
      </c>
      <c r="BQ71" s="138">
        <v>42095.0</v>
      </c>
      <c r="BR71" s="138">
        <v>42125.0</v>
      </c>
      <c r="BS71" s="138">
        <v>42156.0</v>
      </c>
      <c r="BT71" s="138">
        <v>42186.0</v>
      </c>
      <c r="BU71" s="138">
        <v>42217.0</v>
      </c>
      <c r="BV71" s="138">
        <v>42248.0</v>
      </c>
      <c r="BW71" s="138">
        <v>42278.0</v>
      </c>
      <c r="BX71" s="138">
        <v>42309.0</v>
      </c>
      <c r="BY71" s="138">
        <v>42339.0</v>
      </c>
      <c r="BZ71" s="138">
        <v>42370.0</v>
      </c>
      <c r="CA71" s="138">
        <v>42401.0</v>
      </c>
      <c r="CB71" s="138">
        <v>42430.0</v>
      </c>
      <c r="CC71" s="138">
        <v>42461.0</v>
      </c>
      <c r="CD71" s="138">
        <v>42491.0</v>
      </c>
      <c r="CE71" s="138">
        <v>42522.0</v>
      </c>
      <c r="CF71" s="138">
        <v>42552.0</v>
      </c>
      <c r="CG71" s="138">
        <v>42583.0</v>
      </c>
      <c r="CH71" s="138">
        <v>42614.0</v>
      </c>
      <c r="CI71" s="138">
        <v>42644.0</v>
      </c>
      <c r="CJ71" s="138">
        <v>42675.0</v>
      </c>
      <c r="CK71" s="138">
        <v>42705.0</v>
      </c>
      <c r="CL71" s="138">
        <v>42736.0</v>
      </c>
      <c r="CM71" s="138">
        <v>42767.0</v>
      </c>
      <c r="CN71" s="138">
        <v>42795.0</v>
      </c>
      <c r="CO71" s="138">
        <v>42826.0</v>
      </c>
      <c r="CP71" s="139">
        <v>42856.0</v>
      </c>
      <c r="CQ71" s="139">
        <v>42887.0</v>
      </c>
      <c r="CR71" s="139">
        <v>42917.0</v>
      </c>
      <c r="CS71" s="139">
        <v>42948.0</v>
      </c>
      <c r="CT71" s="139">
        <v>42979.0</v>
      </c>
      <c r="CU71" s="139">
        <v>43009.0</v>
      </c>
      <c r="CV71" s="139">
        <v>43040.0</v>
      </c>
      <c r="CW71" s="139">
        <v>43070.0</v>
      </c>
      <c r="CX71" s="139">
        <v>43101.0</v>
      </c>
      <c r="CY71" s="139">
        <v>43132.0</v>
      </c>
      <c r="CZ71" s="139">
        <v>43160.0</v>
      </c>
      <c r="DA71" s="139">
        <v>43191.0</v>
      </c>
      <c r="DB71" s="139">
        <v>43221.0</v>
      </c>
      <c r="DC71" s="139">
        <v>43252.0</v>
      </c>
      <c r="DD71" s="139">
        <v>43282.0</v>
      </c>
      <c r="DE71" s="139">
        <v>43313.0</v>
      </c>
      <c r="DF71" s="139">
        <v>43344.0</v>
      </c>
      <c r="DG71" s="139">
        <v>43374.0</v>
      </c>
      <c r="DH71" s="139">
        <v>43405.0</v>
      </c>
      <c r="DI71" s="139">
        <v>43435.0</v>
      </c>
      <c r="DJ71" s="139">
        <v>43466.0</v>
      </c>
      <c r="DK71" s="139">
        <v>43497.0</v>
      </c>
      <c r="DL71" s="139">
        <v>43525.0</v>
      </c>
      <c r="DM71" s="139">
        <v>43556.0</v>
      </c>
      <c r="DN71" s="139">
        <v>43586.0</v>
      </c>
      <c r="DO71" s="139">
        <v>43617.0</v>
      </c>
      <c r="DP71" s="139">
        <v>43647.0</v>
      </c>
      <c r="DQ71" s="139">
        <v>43678.0</v>
      </c>
      <c r="DR71" s="139">
        <v>43709.0</v>
      </c>
      <c r="DS71" s="139">
        <v>43739.0</v>
      </c>
      <c r="DT71" s="139">
        <v>43770.0</v>
      </c>
      <c r="DU71" s="139">
        <v>43800.0</v>
      </c>
      <c r="DV71" s="139">
        <v>43831.0</v>
      </c>
      <c r="DW71" s="139">
        <v>43862.0</v>
      </c>
      <c r="DX71" s="139">
        <v>43891.0</v>
      </c>
      <c r="DY71" s="139">
        <v>43922.0</v>
      </c>
      <c r="DZ71" s="139">
        <v>43952.0</v>
      </c>
      <c r="EA71" s="139">
        <v>43983.0</v>
      </c>
      <c r="EB71" s="139">
        <v>44013.0</v>
      </c>
      <c r="EC71" s="139">
        <v>44044.0</v>
      </c>
      <c r="ED71" s="139">
        <v>44075.0</v>
      </c>
      <c r="EE71" s="139">
        <v>44105.0</v>
      </c>
      <c r="EF71" s="139">
        <v>44136.0</v>
      </c>
      <c r="EG71" s="139">
        <v>44166.0</v>
      </c>
      <c r="EH71" s="139">
        <v>44197.0</v>
      </c>
      <c r="EI71" s="139">
        <v>44228.0</v>
      </c>
      <c r="EJ71" s="139">
        <v>44256.0</v>
      </c>
      <c r="EK71" s="139">
        <v>44287.0</v>
      </c>
      <c r="EL71" s="139">
        <v>44317.0</v>
      </c>
      <c r="EM71" s="139">
        <v>44348.0</v>
      </c>
      <c r="EN71" s="139">
        <v>44378.0</v>
      </c>
      <c r="EO71" s="139">
        <v>44409.0</v>
      </c>
      <c r="EP71" s="139">
        <v>44440.0</v>
      </c>
      <c r="EQ71" s="139">
        <v>44470.0</v>
      </c>
      <c r="ER71" s="139">
        <v>44501.0</v>
      </c>
      <c r="ES71" s="139">
        <v>44531.0</v>
      </c>
      <c r="ET71" s="139">
        <v>44562.0</v>
      </c>
      <c r="EU71" s="139">
        <v>44593.0</v>
      </c>
      <c r="EV71" s="139">
        <v>44621.0</v>
      </c>
      <c r="EW71" s="139">
        <v>44652.0</v>
      </c>
      <c r="EX71" s="139">
        <v>44682.0</v>
      </c>
      <c r="EY71" s="139">
        <v>44713.0</v>
      </c>
      <c r="EZ71" s="139">
        <v>44743.0</v>
      </c>
      <c r="FA71" s="139">
        <v>44774.0</v>
      </c>
      <c r="FB71" s="139">
        <v>44805.0</v>
      </c>
      <c r="FC71" s="139">
        <v>44835.0</v>
      </c>
      <c r="FD71" s="139">
        <v>44866.0</v>
      </c>
      <c r="FE71" s="139">
        <v>44896.0</v>
      </c>
      <c r="FF71" s="139">
        <v>44927.0</v>
      </c>
      <c r="FG71" s="139">
        <v>44958.0</v>
      </c>
      <c r="FH71" s="139">
        <v>44986.0</v>
      </c>
      <c r="FI71" s="139">
        <v>45017.0</v>
      </c>
      <c r="FJ71" s="139">
        <v>45047.0</v>
      </c>
      <c r="FK71" s="139">
        <v>45078.0</v>
      </c>
      <c r="FL71" s="139">
        <v>45108.0</v>
      </c>
      <c r="FM71" s="139">
        <v>45139.0</v>
      </c>
      <c r="FN71" s="139">
        <v>45170.0</v>
      </c>
      <c r="FO71" s="139">
        <v>45200.0</v>
      </c>
      <c r="FP71" s="139">
        <v>45231.0</v>
      </c>
      <c r="FQ71" s="139">
        <v>45261.0</v>
      </c>
      <c r="FR71" s="139">
        <v>45292.0</v>
      </c>
      <c r="FS71" s="139">
        <v>45323.0</v>
      </c>
      <c r="FT71" s="139">
        <v>45352.0</v>
      </c>
      <c r="FU71" s="139">
        <v>45383.0</v>
      </c>
      <c r="FV71" s="139">
        <v>45413.0</v>
      </c>
      <c r="FW71" s="139">
        <v>45444.0</v>
      </c>
      <c r="FX71" s="139">
        <v>45474.0</v>
      </c>
      <c r="FY71" s="139">
        <v>45505.0</v>
      </c>
      <c r="FZ71" s="139">
        <v>45536.0</v>
      </c>
      <c r="GA71" s="139">
        <v>45566.0</v>
      </c>
      <c r="GB71" s="139">
        <v>45597.0</v>
      </c>
      <c r="GC71" s="139">
        <v>45627.0</v>
      </c>
      <c r="GD71" s="139">
        <v>45658.0</v>
      </c>
      <c r="GE71" s="139">
        <v>45689.0</v>
      </c>
      <c r="GF71" s="139">
        <v>45717.0</v>
      </c>
      <c r="GG71" s="139">
        <v>45748.0</v>
      </c>
      <c r="GH71" s="139">
        <v>45778.0</v>
      </c>
      <c r="GI71" s="139">
        <v>45809.0</v>
      </c>
      <c r="GJ71" s="139">
        <v>45839.0</v>
      </c>
    </row>
    <row r="72">
      <c r="A72" s="133" t="s">
        <v>1431</v>
      </c>
      <c r="B72" s="134">
        <v>42879.729166666664</v>
      </c>
      <c r="C72" s="135" t="str">
        <f t="shared" si="1"/>
        <v>2017/05/24</v>
      </c>
      <c r="D72" s="136" t="s">
        <v>34279</v>
      </c>
      <c r="E72" s="151">
        <v>0.0</v>
      </c>
      <c r="F72" s="138">
        <v>40179.0</v>
      </c>
      <c r="G72" s="138">
        <v>40210.0</v>
      </c>
      <c r="H72" s="138">
        <v>40238.0</v>
      </c>
      <c r="I72" s="138">
        <v>40269.0</v>
      </c>
      <c r="J72" s="138">
        <v>40299.0</v>
      </c>
      <c r="K72" s="138">
        <v>40330.0</v>
      </c>
      <c r="L72" s="138">
        <v>40360.0</v>
      </c>
      <c r="M72" s="138">
        <v>40391.0</v>
      </c>
      <c r="N72" s="138">
        <v>40422.0</v>
      </c>
      <c r="O72" s="138">
        <v>40452.0</v>
      </c>
      <c r="P72" s="138">
        <v>40483.0</v>
      </c>
      <c r="Q72" s="138">
        <v>40513.0</v>
      </c>
      <c r="R72" s="138">
        <v>40544.0</v>
      </c>
      <c r="S72" s="138">
        <v>40575.0</v>
      </c>
      <c r="T72" s="138">
        <v>40603.0</v>
      </c>
      <c r="U72" s="138">
        <v>40634.0</v>
      </c>
      <c r="V72" s="138">
        <v>40664.0</v>
      </c>
      <c r="W72" s="138">
        <v>40695.0</v>
      </c>
      <c r="X72" s="138">
        <v>40725.0</v>
      </c>
      <c r="Y72" s="138">
        <v>40756.0</v>
      </c>
      <c r="Z72" s="138">
        <v>40787.0</v>
      </c>
      <c r="AA72" s="138">
        <v>40817.0</v>
      </c>
      <c r="AB72" s="138">
        <v>40848.0</v>
      </c>
      <c r="AC72" s="138">
        <v>40878.0</v>
      </c>
      <c r="AD72" s="138">
        <v>40909.0</v>
      </c>
      <c r="AE72" s="138">
        <v>40940.0</v>
      </c>
      <c r="AF72" s="138">
        <v>40969.0</v>
      </c>
      <c r="AG72" s="138">
        <v>41000.0</v>
      </c>
      <c r="AH72" s="138">
        <v>41030.0</v>
      </c>
      <c r="AI72" s="138">
        <v>41061.0</v>
      </c>
      <c r="AJ72" s="138">
        <v>41091.0</v>
      </c>
      <c r="AK72" s="138">
        <v>41122.0</v>
      </c>
      <c r="AL72" s="138">
        <v>41153.0</v>
      </c>
      <c r="AM72" s="138">
        <v>41183.0</v>
      </c>
      <c r="AN72" s="138">
        <v>41214.0</v>
      </c>
      <c r="AO72" s="138">
        <v>41244.0</v>
      </c>
      <c r="AP72" s="138">
        <v>41275.0</v>
      </c>
      <c r="AQ72" s="138">
        <v>41306.0</v>
      </c>
      <c r="AR72" s="138">
        <v>41334.0</v>
      </c>
      <c r="AS72" s="138">
        <v>41365.0</v>
      </c>
      <c r="AT72" s="138">
        <v>41395.0</v>
      </c>
      <c r="AU72" s="138">
        <v>41426.0</v>
      </c>
      <c r="AV72" s="138">
        <v>41456.0</v>
      </c>
      <c r="AW72" s="138">
        <v>41487.0</v>
      </c>
      <c r="AX72" s="138">
        <v>41518.0</v>
      </c>
      <c r="AY72" s="138">
        <v>41548.0</v>
      </c>
      <c r="AZ72" s="138">
        <v>41579.0</v>
      </c>
      <c r="BA72" s="138">
        <v>41609.0</v>
      </c>
      <c r="BB72" s="138">
        <v>41640.0</v>
      </c>
      <c r="BC72" s="138">
        <v>41671.0</v>
      </c>
      <c r="BD72" s="138">
        <v>41699.0</v>
      </c>
      <c r="BE72" s="138">
        <v>41730.0</v>
      </c>
      <c r="BF72" s="138">
        <v>41760.0</v>
      </c>
      <c r="BG72" s="138">
        <v>41791.0</v>
      </c>
      <c r="BH72" s="138">
        <v>41821.0</v>
      </c>
      <c r="BI72" s="138">
        <v>41852.0</v>
      </c>
      <c r="BJ72" s="138">
        <v>41883.0</v>
      </c>
      <c r="BK72" s="138">
        <v>41913.0</v>
      </c>
      <c r="BL72" s="138">
        <v>41944.0</v>
      </c>
      <c r="BM72" s="138">
        <v>41974.0</v>
      </c>
      <c r="BN72" s="138">
        <v>42005.0</v>
      </c>
      <c r="BO72" s="138">
        <v>42036.0</v>
      </c>
      <c r="BP72" s="138">
        <v>42064.0</v>
      </c>
      <c r="BQ72" s="138">
        <v>42095.0</v>
      </c>
      <c r="BR72" s="138">
        <v>42125.0</v>
      </c>
      <c r="BS72" s="138">
        <v>42156.0</v>
      </c>
      <c r="BT72" s="138">
        <v>42186.0</v>
      </c>
      <c r="BU72" s="138">
        <v>42217.0</v>
      </c>
      <c r="BV72" s="138">
        <v>42248.0</v>
      </c>
      <c r="BW72" s="138">
        <v>42278.0</v>
      </c>
      <c r="BX72" s="138">
        <v>42309.0</v>
      </c>
      <c r="BY72" s="138">
        <v>42339.0</v>
      </c>
      <c r="BZ72" s="138">
        <v>42370.0</v>
      </c>
      <c r="CA72" s="138">
        <v>42401.0</v>
      </c>
      <c r="CB72" s="138">
        <v>42430.0</v>
      </c>
      <c r="CC72" s="138">
        <v>42461.0</v>
      </c>
      <c r="CD72" s="138">
        <v>42491.0</v>
      </c>
      <c r="CE72" s="138">
        <v>42522.0</v>
      </c>
      <c r="CF72" s="138">
        <v>42552.0</v>
      </c>
      <c r="CG72" s="138">
        <v>42583.0</v>
      </c>
      <c r="CH72" s="138">
        <v>42614.0</v>
      </c>
      <c r="CI72" s="138">
        <v>42644.0</v>
      </c>
      <c r="CJ72" s="138">
        <v>42675.0</v>
      </c>
      <c r="CK72" s="138">
        <v>42705.0</v>
      </c>
      <c r="CL72" s="138">
        <v>42736.0</v>
      </c>
      <c r="CM72" s="138">
        <v>42767.0</v>
      </c>
      <c r="CN72" s="138">
        <v>42795.0</v>
      </c>
      <c r="CO72" s="138">
        <v>42826.0</v>
      </c>
      <c r="CP72" s="138">
        <v>42856.0</v>
      </c>
      <c r="CQ72" s="139">
        <v>42887.0</v>
      </c>
      <c r="CR72" s="139">
        <v>42917.0</v>
      </c>
      <c r="CS72" s="139">
        <v>42948.0</v>
      </c>
      <c r="CT72" s="139">
        <v>42979.0</v>
      </c>
      <c r="CU72" s="139">
        <v>43009.0</v>
      </c>
      <c r="CV72" s="139">
        <v>43040.0</v>
      </c>
      <c r="CW72" s="139">
        <v>43070.0</v>
      </c>
      <c r="CX72" s="139">
        <v>43101.0</v>
      </c>
      <c r="CY72" s="139">
        <v>43132.0</v>
      </c>
      <c r="CZ72" s="139">
        <v>43160.0</v>
      </c>
      <c r="DA72" s="139">
        <v>43191.0</v>
      </c>
      <c r="DB72" s="139">
        <v>43221.0</v>
      </c>
      <c r="DC72" s="139">
        <v>43252.0</v>
      </c>
      <c r="DD72" s="139">
        <v>43282.0</v>
      </c>
      <c r="DE72" s="139">
        <v>43313.0</v>
      </c>
      <c r="DF72" s="139">
        <v>43344.0</v>
      </c>
      <c r="DG72" s="139">
        <v>43374.0</v>
      </c>
      <c r="DH72" s="139">
        <v>43405.0</v>
      </c>
      <c r="DI72" s="139">
        <v>43435.0</v>
      </c>
      <c r="DJ72" s="139">
        <v>43466.0</v>
      </c>
      <c r="DK72" s="139">
        <v>43497.0</v>
      </c>
      <c r="DL72" s="139">
        <v>43525.0</v>
      </c>
      <c r="DM72" s="139">
        <v>43556.0</v>
      </c>
      <c r="DN72" s="139">
        <v>43586.0</v>
      </c>
      <c r="DO72" s="139">
        <v>43617.0</v>
      </c>
      <c r="DP72" s="139">
        <v>43647.0</v>
      </c>
      <c r="DQ72" s="139">
        <v>43678.0</v>
      </c>
      <c r="DR72" s="139">
        <v>43709.0</v>
      </c>
      <c r="DS72" s="139">
        <v>43739.0</v>
      </c>
      <c r="DT72" s="139">
        <v>43770.0</v>
      </c>
      <c r="DU72" s="139">
        <v>43800.0</v>
      </c>
      <c r="DV72" s="139">
        <v>43831.0</v>
      </c>
      <c r="DW72" s="139">
        <v>43862.0</v>
      </c>
      <c r="DX72" s="139">
        <v>43891.0</v>
      </c>
      <c r="DY72" s="139">
        <v>43922.0</v>
      </c>
      <c r="DZ72" s="139">
        <v>43952.0</v>
      </c>
      <c r="EA72" s="139">
        <v>43983.0</v>
      </c>
      <c r="EB72" s="139">
        <v>44013.0</v>
      </c>
      <c r="EC72" s="139">
        <v>44044.0</v>
      </c>
      <c r="ED72" s="139">
        <v>44075.0</v>
      </c>
      <c r="EE72" s="139">
        <v>44105.0</v>
      </c>
      <c r="EF72" s="139">
        <v>44136.0</v>
      </c>
      <c r="EG72" s="139">
        <v>44166.0</v>
      </c>
      <c r="EH72" s="139">
        <v>44197.0</v>
      </c>
      <c r="EI72" s="139">
        <v>44228.0</v>
      </c>
      <c r="EJ72" s="139">
        <v>44256.0</v>
      </c>
      <c r="EK72" s="139">
        <v>44287.0</v>
      </c>
      <c r="EL72" s="139">
        <v>44317.0</v>
      </c>
      <c r="EM72" s="139">
        <v>44348.0</v>
      </c>
      <c r="EN72" s="139">
        <v>44378.0</v>
      </c>
      <c r="EO72" s="139">
        <v>44409.0</v>
      </c>
      <c r="EP72" s="139">
        <v>44440.0</v>
      </c>
      <c r="EQ72" s="139">
        <v>44470.0</v>
      </c>
      <c r="ER72" s="139">
        <v>44501.0</v>
      </c>
      <c r="ES72" s="139">
        <v>44531.0</v>
      </c>
      <c r="ET72" s="139">
        <v>44562.0</v>
      </c>
      <c r="EU72" s="139">
        <v>44593.0</v>
      </c>
      <c r="EV72" s="139">
        <v>44621.0</v>
      </c>
      <c r="EW72" s="139">
        <v>44652.0</v>
      </c>
      <c r="EX72" s="139">
        <v>44682.0</v>
      </c>
      <c r="EY72" s="139">
        <v>44713.0</v>
      </c>
      <c r="EZ72" s="139">
        <v>44743.0</v>
      </c>
      <c r="FA72" s="139">
        <v>44774.0</v>
      </c>
      <c r="FB72" s="139">
        <v>44805.0</v>
      </c>
      <c r="FC72" s="139">
        <v>44835.0</v>
      </c>
      <c r="FD72" s="139">
        <v>44866.0</v>
      </c>
      <c r="FE72" s="139">
        <v>44896.0</v>
      </c>
      <c r="FF72" s="139">
        <v>44927.0</v>
      </c>
      <c r="FG72" s="139">
        <v>44958.0</v>
      </c>
      <c r="FH72" s="139">
        <v>44986.0</v>
      </c>
      <c r="FI72" s="139">
        <v>45017.0</v>
      </c>
      <c r="FJ72" s="139">
        <v>45047.0</v>
      </c>
      <c r="FK72" s="139">
        <v>45078.0</v>
      </c>
      <c r="FL72" s="139">
        <v>45108.0</v>
      </c>
      <c r="FM72" s="139">
        <v>45139.0</v>
      </c>
      <c r="FN72" s="139">
        <v>45170.0</v>
      </c>
      <c r="FO72" s="139">
        <v>45200.0</v>
      </c>
      <c r="FP72" s="139">
        <v>45231.0</v>
      </c>
      <c r="FQ72" s="139">
        <v>45261.0</v>
      </c>
      <c r="FR72" s="139">
        <v>45292.0</v>
      </c>
      <c r="FS72" s="139">
        <v>45323.0</v>
      </c>
      <c r="FT72" s="139">
        <v>45352.0</v>
      </c>
      <c r="FU72" s="139">
        <v>45383.0</v>
      </c>
      <c r="FV72" s="139">
        <v>45413.0</v>
      </c>
      <c r="FW72" s="139">
        <v>45444.0</v>
      </c>
      <c r="FX72" s="139">
        <v>45474.0</v>
      </c>
      <c r="FY72" s="139">
        <v>45505.0</v>
      </c>
      <c r="FZ72" s="139">
        <v>45536.0</v>
      </c>
      <c r="GA72" s="139">
        <v>45566.0</v>
      </c>
      <c r="GB72" s="139">
        <v>45597.0</v>
      </c>
      <c r="GC72" s="139">
        <v>45627.0</v>
      </c>
      <c r="GD72" s="139">
        <v>45658.0</v>
      </c>
      <c r="GE72" s="139">
        <v>45689.0</v>
      </c>
      <c r="GF72" s="139">
        <v>45717.0</v>
      </c>
      <c r="GG72" s="139">
        <v>45748.0</v>
      </c>
      <c r="GH72" s="139">
        <v>45778.0</v>
      </c>
      <c r="GI72" s="139">
        <v>45809.0</v>
      </c>
      <c r="GJ72" s="139">
        <v>45839.0</v>
      </c>
    </row>
    <row r="73">
      <c r="A73" s="133" t="s">
        <v>1412</v>
      </c>
      <c r="B73" s="134">
        <v>42923.46973379629</v>
      </c>
      <c r="C73" s="135" t="str">
        <f t="shared" si="1"/>
        <v>2017/07/07</v>
      </c>
      <c r="D73" s="136" t="s">
        <v>33912</v>
      </c>
      <c r="E73" s="151">
        <v>0.0</v>
      </c>
      <c r="F73" s="138">
        <v>40179.0</v>
      </c>
      <c r="G73" s="138">
        <v>40210.0</v>
      </c>
      <c r="H73" s="138">
        <v>40238.0</v>
      </c>
      <c r="I73" s="138">
        <v>40269.0</v>
      </c>
      <c r="J73" s="138">
        <v>40299.0</v>
      </c>
      <c r="K73" s="138">
        <v>40330.0</v>
      </c>
      <c r="L73" s="138">
        <v>40360.0</v>
      </c>
      <c r="M73" s="138">
        <v>40391.0</v>
      </c>
      <c r="N73" s="138">
        <v>40422.0</v>
      </c>
      <c r="O73" s="138">
        <v>40452.0</v>
      </c>
      <c r="P73" s="138">
        <v>40483.0</v>
      </c>
      <c r="Q73" s="138">
        <v>40513.0</v>
      </c>
      <c r="R73" s="138">
        <v>40544.0</v>
      </c>
      <c r="S73" s="138">
        <v>40575.0</v>
      </c>
      <c r="T73" s="138">
        <v>40603.0</v>
      </c>
      <c r="U73" s="138">
        <v>40634.0</v>
      </c>
      <c r="V73" s="138">
        <v>40664.0</v>
      </c>
      <c r="W73" s="138">
        <v>40695.0</v>
      </c>
      <c r="X73" s="138">
        <v>40725.0</v>
      </c>
      <c r="Y73" s="138">
        <v>40756.0</v>
      </c>
      <c r="Z73" s="138">
        <v>40787.0</v>
      </c>
      <c r="AA73" s="138">
        <v>40817.0</v>
      </c>
      <c r="AB73" s="138">
        <v>40848.0</v>
      </c>
      <c r="AC73" s="138">
        <v>40878.0</v>
      </c>
      <c r="AD73" s="138">
        <v>40909.0</v>
      </c>
      <c r="AE73" s="138">
        <v>40940.0</v>
      </c>
      <c r="AF73" s="138">
        <v>40969.0</v>
      </c>
      <c r="AG73" s="138">
        <v>41000.0</v>
      </c>
      <c r="AH73" s="138">
        <v>41030.0</v>
      </c>
      <c r="AI73" s="138">
        <v>41061.0</v>
      </c>
      <c r="AJ73" s="138">
        <v>41091.0</v>
      </c>
      <c r="AK73" s="138">
        <v>41122.0</v>
      </c>
      <c r="AL73" s="138">
        <v>41153.0</v>
      </c>
      <c r="AM73" s="138">
        <v>41183.0</v>
      </c>
      <c r="AN73" s="138">
        <v>41214.0</v>
      </c>
      <c r="AO73" s="138">
        <v>41244.0</v>
      </c>
      <c r="AP73" s="138">
        <v>41275.0</v>
      </c>
      <c r="AQ73" s="138">
        <v>41306.0</v>
      </c>
      <c r="AR73" s="138">
        <v>41334.0</v>
      </c>
      <c r="AS73" s="138">
        <v>41365.0</v>
      </c>
      <c r="AT73" s="138">
        <v>41395.0</v>
      </c>
      <c r="AU73" s="138">
        <v>41426.0</v>
      </c>
      <c r="AV73" s="138">
        <v>41456.0</v>
      </c>
      <c r="AW73" s="138">
        <v>41487.0</v>
      </c>
      <c r="AX73" s="138">
        <v>41518.0</v>
      </c>
      <c r="AY73" s="138">
        <v>41548.0</v>
      </c>
      <c r="AZ73" s="138">
        <v>41579.0</v>
      </c>
      <c r="BA73" s="138">
        <v>41609.0</v>
      </c>
      <c r="BB73" s="138">
        <v>41640.0</v>
      </c>
      <c r="BC73" s="138">
        <v>41671.0</v>
      </c>
      <c r="BD73" s="138">
        <v>41699.0</v>
      </c>
      <c r="BE73" s="138">
        <v>41730.0</v>
      </c>
      <c r="BF73" s="138">
        <v>41760.0</v>
      </c>
      <c r="BG73" s="138">
        <v>41791.0</v>
      </c>
      <c r="BH73" s="138">
        <v>41821.0</v>
      </c>
      <c r="BI73" s="138">
        <v>41852.0</v>
      </c>
      <c r="BJ73" s="138">
        <v>41883.0</v>
      </c>
      <c r="BK73" s="138">
        <v>41913.0</v>
      </c>
      <c r="BL73" s="138">
        <v>41944.0</v>
      </c>
      <c r="BM73" s="138">
        <v>41974.0</v>
      </c>
      <c r="BN73" s="138">
        <v>42005.0</v>
      </c>
      <c r="BO73" s="138">
        <v>42036.0</v>
      </c>
      <c r="BP73" s="138">
        <v>42064.0</v>
      </c>
      <c r="BQ73" s="138">
        <v>42095.0</v>
      </c>
      <c r="BR73" s="138">
        <v>42125.0</v>
      </c>
      <c r="BS73" s="138">
        <v>42156.0</v>
      </c>
      <c r="BT73" s="138">
        <v>42186.0</v>
      </c>
      <c r="BU73" s="138">
        <v>42217.0</v>
      </c>
      <c r="BV73" s="138">
        <v>42248.0</v>
      </c>
      <c r="BW73" s="138">
        <v>42278.0</v>
      </c>
      <c r="BX73" s="138">
        <v>42309.0</v>
      </c>
      <c r="BY73" s="138">
        <v>42339.0</v>
      </c>
      <c r="BZ73" s="138">
        <v>42370.0</v>
      </c>
      <c r="CA73" s="138">
        <v>42401.0</v>
      </c>
      <c r="CB73" s="138">
        <v>42430.0</v>
      </c>
      <c r="CC73" s="138">
        <v>42461.0</v>
      </c>
      <c r="CD73" s="138">
        <v>42491.0</v>
      </c>
      <c r="CE73" s="138">
        <v>42522.0</v>
      </c>
      <c r="CF73" s="138">
        <v>42552.0</v>
      </c>
      <c r="CG73" s="138">
        <v>42583.0</v>
      </c>
      <c r="CH73" s="138">
        <v>42614.0</v>
      </c>
      <c r="CI73" s="138">
        <v>42644.0</v>
      </c>
      <c r="CJ73" s="138">
        <v>42675.0</v>
      </c>
      <c r="CK73" s="138">
        <v>42705.0</v>
      </c>
      <c r="CL73" s="138">
        <v>42736.0</v>
      </c>
      <c r="CM73" s="138">
        <v>42767.0</v>
      </c>
      <c r="CN73" s="138">
        <v>42795.0</v>
      </c>
      <c r="CO73" s="138">
        <v>42826.0</v>
      </c>
      <c r="CP73" s="138">
        <v>42856.0</v>
      </c>
      <c r="CQ73" s="138">
        <v>42887.0</v>
      </c>
      <c r="CR73" s="138">
        <v>42917.0</v>
      </c>
      <c r="CS73" s="139">
        <v>42948.0</v>
      </c>
      <c r="CT73" s="139">
        <v>42979.0</v>
      </c>
      <c r="CU73" s="139">
        <v>43009.0</v>
      </c>
      <c r="CV73" s="139">
        <v>43040.0</v>
      </c>
      <c r="CW73" s="139">
        <v>43070.0</v>
      </c>
      <c r="CX73" s="139">
        <v>43101.0</v>
      </c>
      <c r="CY73" s="139">
        <v>43132.0</v>
      </c>
      <c r="CZ73" s="139">
        <v>43160.0</v>
      </c>
      <c r="DA73" s="139">
        <v>43191.0</v>
      </c>
      <c r="DB73" s="139">
        <v>43221.0</v>
      </c>
      <c r="DC73" s="139">
        <v>43252.0</v>
      </c>
      <c r="DD73" s="139">
        <v>43282.0</v>
      </c>
      <c r="DE73" s="139">
        <v>43313.0</v>
      </c>
      <c r="DF73" s="139">
        <v>43344.0</v>
      </c>
      <c r="DG73" s="139">
        <v>43374.0</v>
      </c>
      <c r="DH73" s="139">
        <v>43405.0</v>
      </c>
      <c r="DI73" s="139">
        <v>43435.0</v>
      </c>
      <c r="DJ73" s="139">
        <v>43466.0</v>
      </c>
      <c r="DK73" s="139">
        <v>43497.0</v>
      </c>
      <c r="DL73" s="139">
        <v>43525.0</v>
      </c>
      <c r="DM73" s="139">
        <v>43556.0</v>
      </c>
      <c r="DN73" s="139">
        <v>43586.0</v>
      </c>
      <c r="DO73" s="139">
        <v>43617.0</v>
      </c>
      <c r="DP73" s="139">
        <v>43647.0</v>
      </c>
      <c r="DQ73" s="139">
        <v>43678.0</v>
      </c>
      <c r="DR73" s="139">
        <v>43709.0</v>
      </c>
      <c r="DS73" s="139">
        <v>43739.0</v>
      </c>
      <c r="DT73" s="139">
        <v>43770.0</v>
      </c>
      <c r="DU73" s="139">
        <v>43800.0</v>
      </c>
      <c r="DV73" s="139">
        <v>43831.0</v>
      </c>
      <c r="DW73" s="139">
        <v>43862.0</v>
      </c>
      <c r="DX73" s="139">
        <v>43891.0</v>
      </c>
      <c r="DY73" s="139">
        <v>43922.0</v>
      </c>
      <c r="DZ73" s="139">
        <v>43952.0</v>
      </c>
      <c r="EA73" s="139">
        <v>43983.0</v>
      </c>
      <c r="EB73" s="139">
        <v>44013.0</v>
      </c>
      <c r="EC73" s="139">
        <v>44044.0</v>
      </c>
      <c r="ED73" s="139">
        <v>44075.0</v>
      </c>
      <c r="EE73" s="139">
        <v>44105.0</v>
      </c>
      <c r="EF73" s="139">
        <v>44136.0</v>
      </c>
      <c r="EG73" s="139">
        <v>44166.0</v>
      </c>
      <c r="EH73" s="139">
        <v>44197.0</v>
      </c>
      <c r="EI73" s="139">
        <v>44228.0</v>
      </c>
      <c r="EJ73" s="139">
        <v>44256.0</v>
      </c>
      <c r="EK73" s="139">
        <v>44287.0</v>
      </c>
      <c r="EL73" s="139">
        <v>44317.0</v>
      </c>
      <c r="EM73" s="139">
        <v>44348.0</v>
      </c>
      <c r="EN73" s="139">
        <v>44378.0</v>
      </c>
      <c r="EO73" s="139">
        <v>44409.0</v>
      </c>
      <c r="EP73" s="139">
        <v>44440.0</v>
      </c>
      <c r="EQ73" s="139">
        <v>44470.0</v>
      </c>
      <c r="ER73" s="139">
        <v>44501.0</v>
      </c>
      <c r="ES73" s="139">
        <v>44531.0</v>
      </c>
      <c r="ET73" s="139">
        <v>44562.0</v>
      </c>
      <c r="EU73" s="139">
        <v>44593.0</v>
      </c>
      <c r="EV73" s="139">
        <v>44621.0</v>
      </c>
      <c r="EW73" s="139">
        <v>44652.0</v>
      </c>
      <c r="EX73" s="139">
        <v>44682.0</v>
      </c>
      <c r="EY73" s="139">
        <v>44713.0</v>
      </c>
      <c r="EZ73" s="139">
        <v>44743.0</v>
      </c>
      <c r="FA73" s="139">
        <v>44774.0</v>
      </c>
      <c r="FB73" s="139">
        <v>44805.0</v>
      </c>
      <c r="FC73" s="139">
        <v>44835.0</v>
      </c>
      <c r="FD73" s="139">
        <v>44866.0</v>
      </c>
      <c r="FE73" s="139">
        <v>44896.0</v>
      </c>
      <c r="FF73" s="139">
        <v>44927.0</v>
      </c>
      <c r="FG73" s="139">
        <v>44958.0</v>
      </c>
      <c r="FH73" s="139">
        <v>44986.0</v>
      </c>
      <c r="FI73" s="139">
        <v>45017.0</v>
      </c>
      <c r="FJ73" s="139">
        <v>45047.0</v>
      </c>
      <c r="FK73" s="139">
        <v>45078.0</v>
      </c>
      <c r="FL73" s="139">
        <v>45108.0</v>
      </c>
      <c r="FM73" s="139">
        <v>45139.0</v>
      </c>
      <c r="FN73" s="139">
        <v>45170.0</v>
      </c>
      <c r="FO73" s="139">
        <v>45200.0</v>
      </c>
      <c r="FP73" s="139">
        <v>45231.0</v>
      </c>
      <c r="FQ73" s="139">
        <v>45261.0</v>
      </c>
      <c r="FR73" s="139">
        <v>45292.0</v>
      </c>
      <c r="FS73" s="139">
        <v>45323.0</v>
      </c>
      <c r="FT73" s="139">
        <v>45352.0</v>
      </c>
      <c r="FU73" s="139">
        <v>45383.0</v>
      </c>
      <c r="FV73" s="139">
        <v>45413.0</v>
      </c>
      <c r="FW73" s="139">
        <v>45444.0</v>
      </c>
      <c r="FX73" s="139">
        <v>45474.0</v>
      </c>
      <c r="FY73" s="139">
        <v>45505.0</v>
      </c>
      <c r="FZ73" s="139">
        <v>45536.0</v>
      </c>
      <c r="GA73" s="139">
        <v>45566.0</v>
      </c>
      <c r="GB73" s="139">
        <v>45597.0</v>
      </c>
      <c r="GC73" s="139">
        <v>45627.0</v>
      </c>
      <c r="GD73" s="139">
        <v>45658.0</v>
      </c>
      <c r="GE73" s="139">
        <v>45689.0</v>
      </c>
      <c r="GF73" s="139">
        <v>45717.0</v>
      </c>
      <c r="GG73" s="139">
        <v>45748.0</v>
      </c>
      <c r="GH73" s="139">
        <v>45778.0</v>
      </c>
      <c r="GI73" s="139">
        <v>45809.0</v>
      </c>
      <c r="GJ73" s="139">
        <v>45839.0</v>
      </c>
    </row>
    <row r="74">
      <c r="A74" s="133" t="s">
        <v>1760</v>
      </c>
      <c r="B74" s="134">
        <v>42991.67309027778</v>
      </c>
      <c r="C74" s="135" t="str">
        <f t="shared" si="1"/>
        <v>2017/09/13</v>
      </c>
      <c r="D74" s="136" t="s">
        <v>34280</v>
      </c>
      <c r="E74" s="151">
        <v>0.0</v>
      </c>
      <c r="F74" s="138">
        <v>40179.0</v>
      </c>
      <c r="G74" s="138">
        <v>40210.0</v>
      </c>
      <c r="H74" s="138">
        <v>40238.0</v>
      </c>
      <c r="I74" s="138">
        <v>40269.0</v>
      </c>
      <c r="J74" s="138">
        <v>40299.0</v>
      </c>
      <c r="K74" s="138">
        <v>40330.0</v>
      </c>
      <c r="L74" s="138">
        <v>40360.0</v>
      </c>
      <c r="M74" s="138">
        <v>40391.0</v>
      </c>
      <c r="N74" s="138">
        <v>40422.0</v>
      </c>
      <c r="O74" s="138">
        <v>40452.0</v>
      </c>
      <c r="P74" s="138">
        <v>40483.0</v>
      </c>
      <c r="Q74" s="138">
        <v>40513.0</v>
      </c>
      <c r="R74" s="138">
        <v>40544.0</v>
      </c>
      <c r="S74" s="138">
        <v>40575.0</v>
      </c>
      <c r="T74" s="138">
        <v>40603.0</v>
      </c>
      <c r="U74" s="138">
        <v>40634.0</v>
      </c>
      <c r="V74" s="138">
        <v>40664.0</v>
      </c>
      <c r="W74" s="138">
        <v>40695.0</v>
      </c>
      <c r="X74" s="138">
        <v>40725.0</v>
      </c>
      <c r="Y74" s="138">
        <v>40756.0</v>
      </c>
      <c r="Z74" s="138">
        <v>40787.0</v>
      </c>
      <c r="AA74" s="138">
        <v>40817.0</v>
      </c>
      <c r="AB74" s="138">
        <v>40848.0</v>
      </c>
      <c r="AC74" s="138">
        <v>40878.0</v>
      </c>
      <c r="AD74" s="138">
        <v>40909.0</v>
      </c>
      <c r="AE74" s="138">
        <v>40940.0</v>
      </c>
      <c r="AF74" s="138">
        <v>40969.0</v>
      </c>
      <c r="AG74" s="138">
        <v>41000.0</v>
      </c>
      <c r="AH74" s="138">
        <v>41030.0</v>
      </c>
      <c r="AI74" s="138">
        <v>41061.0</v>
      </c>
      <c r="AJ74" s="138">
        <v>41091.0</v>
      </c>
      <c r="AK74" s="138">
        <v>41122.0</v>
      </c>
      <c r="AL74" s="138">
        <v>41153.0</v>
      </c>
      <c r="AM74" s="138">
        <v>41183.0</v>
      </c>
      <c r="AN74" s="138">
        <v>41214.0</v>
      </c>
      <c r="AO74" s="138">
        <v>41244.0</v>
      </c>
      <c r="AP74" s="138">
        <v>41275.0</v>
      </c>
      <c r="AQ74" s="138">
        <v>41306.0</v>
      </c>
      <c r="AR74" s="138">
        <v>41334.0</v>
      </c>
      <c r="AS74" s="138">
        <v>41365.0</v>
      </c>
      <c r="AT74" s="138">
        <v>41395.0</v>
      </c>
      <c r="AU74" s="138">
        <v>41426.0</v>
      </c>
      <c r="AV74" s="138">
        <v>41456.0</v>
      </c>
      <c r="AW74" s="138">
        <v>41487.0</v>
      </c>
      <c r="AX74" s="138">
        <v>41518.0</v>
      </c>
      <c r="AY74" s="138">
        <v>41548.0</v>
      </c>
      <c r="AZ74" s="138">
        <v>41579.0</v>
      </c>
      <c r="BA74" s="138">
        <v>41609.0</v>
      </c>
      <c r="BB74" s="138">
        <v>41640.0</v>
      </c>
      <c r="BC74" s="138">
        <v>41671.0</v>
      </c>
      <c r="BD74" s="138">
        <v>41699.0</v>
      </c>
      <c r="BE74" s="138">
        <v>41730.0</v>
      </c>
      <c r="BF74" s="138">
        <v>41760.0</v>
      </c>
      <c r="BG74" s="138">
        <v>41791.0</v>
      </c>
      <c r="BH74" s="138">
        <v>41821.0</v>
      </c>
      <c r="BI74" s="138">
        <v>41852.0</v>
      </c>
      <c r="BJ74" s="138">
        <v>41883.0</v>
      </c>
      <c r="BK74" s="138">
        <v>41913.0</v>
      </c>
      <c r="BL74" s="138">
        <v>41944.0</v>
      </c>
      <c r="BM74" s="138">
        <v>41974.0</v>
      </c>
      <c r="BN74" s="138">
        <v>42005.0</v>
      </c>
      <c r="BO74" s="138">
        <v>42036.0</v>
      </c>
      <c r="BP74" s="138">
        <v>42064.0</v>
      </c>
      <c r="BQ74" s="138">
        <v>42095.0</v>
      </c>
      <c r="BR74" s="138">
        <v>42125.0</v>
      </c>
      <c r="BS74" s="138">
        <v>42156.0</v>
      </c>
      <c r="BT74" s="138">
        <v>42186.0</v>
      </c>
      <c r="BU74" s="138">
        <v>42217.0</v>
      </c>
      <c r="BV74" s="138">
        <v>42248.0</v>
      </c>
      <c r="BW74" s="138">
        <v>42278.0</v>
      </c>
      <c r="BX74" s="138">
        <v>42309.0</v>
      </c>
      <c r="BY74" s="138">
        <v>42339.0</v>
      </c>
      <c r="BZ74" s="138">
        <v>42370.0</v>
      </c>
      <c r="CA74" s="138">
        <v>42401.0</v>
      </c>
      <c r="CB74" s="138">
        <v>42430.0</v>
      </c>
      <c r="CC74" s="138">
        <v>42461.0</v>
      </c>
      <c r="CD74" s="138">
        <v>42491.0</v>
      </c>
      <c r="CE74" s="138">
        <v>42522.0</v>
      </c>
      <c r="CF74" s="138">
        <v>42552.0</v>
      </c>
      <c r="CG74" s="138">
        <v>42583.0</v>
      </c>
      <c r="CH74" s="138">
        <v>42614.0</v>
      </c>
      <c r="CI74" s="138">
        <v>42644.0</v>
      </c>
      <c r="CJ74" s="138">
        <v>42675.0</v>
      </c>
      <c r="CK74" s="138">
        <v>42705.0</v>
      </c>
      <c r="CL74" s="138">
        <v>42736.0</v>
      </c>
      <c r="CM74" s="138">
        <v>42767.0</v>
      </c>
      <c r="CN74" s="138">
        <v>42795.0</v>
      </c>
      <c r="CO74" s="138">
        <v>42826.0</v>
      </c>
      <c r="CP74" s="138">
        <v>42856.0</v>
      </c>
      <c r="CQ74" s="138">
        <v>42887.0</v>
      </c>
      <c r="CR74" s="138">
        <v>42917.0</v>
      </c>
      <c r="CS74" s="138">
        <v>42948.0</v>
      </c>
      <c r="CT74" s="138">
        <v>42979.0</v>
      </c>
      <c r="CU74" s="139">
        <v>43009.0</v>
      </c>
      <c r="CV74" s="139">
        <v>43040.0</v>
      </c>
      <c r="CW74" s="139">
        <v>43070.0</v>
      </c>
      <c r="CX74" s="139">
        <v>43101.0</v>
      </c>
      <c r="CY74" s="139">
        <v>43132.0</v>
      </c>
      <c r="CZ74" s="139">
        <v>43160.0</v>
      </c>
      <c r="DA74" s="139">
        <v>43191.0</v>
      </c>
      <c r="DB74" s="139">
        <v>43221.0</v>
      </c>
      <c r="DC74" s="139">
        <v>43252.0</v>
      </c>
      <c r="DD74" s="139">
        <v>43282.0</v>
      </c>
      <c r="DE74" s="139">
        <v>43313.0</v>
      </c>
      <c r="DF74" s="139">
        <v>43344.0</v>
      </c>
      <c r="DG74" s="139">
        <v>43374.0</v>
      </c>
      <c r="DH74" s="139">
        <v>43405.0</v>
      </c>
      <c r="DI74" s="139">
        <v>43435.0</v>
      </c>
      <c r="DJ74" s="139">
        <v>43466.0</v>
      </c>
      <c r="DK74" s="139">
        <v>43497.0</v>
      </c>
      <c r="DL74" s="139">
        <v>43525.0</v>
      </c>
      <c r="DM74" s="139">
        <v>43556.0</v>
      </c>
      <c r="DN74" s="139">
        <v>43586.0</v>
      </c>
      <c r="DO74" s="139">
        <v>43617.0</v>
      </c>
      <c r="DP74" s="139">
        <v>43647.0</v>
      </c>
      <c r="DQ74" s="139">
        <v>43678.0</v>
      </c>
      <c r="DR74" s="139">
        <v>43709.0</v>
      </c>
      <c r="DS74" s="139">
        <v>43739.0</v>
      </c>
      <c r="DT74" s="139">
        <v>43770.0</v>
      </c>
      <c r="DU74" s="139">
        <v>43800.0</v>
      </c>
      <c r="DV74" s="139">
        <v>43831.0</v>
      </c>
      <c r="DW74" s="139">
        <v>43862.0</v>
      </c>
      <c r="DX74" s="139">
        <v>43891.0</v>
      </c>
      <c r="DY74" s="139">
        <v>43922.0</v>
      </c>
      <c r="DZ74" s="139">
        <v>43952.0</v>
      </c>
      <c r="EA74" s="139">
        <v>43983.0</v>
      </c>
      <c r="EB74" s="139">
        <v>44013.0</v>
      </c>
      <c r="EC74" s="139">
        <v>44044.0</v>
      </c>
      <c r="ED74" s="139">
        <v>44075.0</v>
      </c>
      <c r="EE74" s="139">
        <v>44105.0</v>
      </c>
      <c r="EF74" s="139">
        <v>44136.0</v>
      </c>
      <c r="EG74" s="139">
        <v>44166.0</v>
      </c>
      <c r="EH74" s="139">
        <v>44197.0</v>
      </c>
      <c r="EI74" s="139">
        <v>44228.0</v>
      </c>
      <c r="EJ74" s="139">
        <v>44256.0</v>
      </c>
      <c r="EK74" s="139">
        <v>44287.0</v>
      </c>
      <c r="EL74" s="139">
        <v>44317.0</v>
      </c>
      <c r="EM74" s="139">
        <v>44348.0</v>
      </c>
      <c r="EN74" s="139">
        <v>44378.0</v>
      </c>
      <c r="EO74" s="139">
        <v>44409.0</v>
      </c>
      <c r="EP74" s="139">
        <v>44440.0</v>
      </c>
      <c r="EQ74" s="139">
        <v>44470.0</v>
      </c>
      <c r="ER74" s="139">
        <v>44501.0</v>
      </c>
      <c r="ES74" s="139">
        <v>44531.0</v>
      </c>
      <c r="ET74" s="139">
        <v>44562.0</v>
      </c>
      <c r="EU74" s="139">
        <v>44593.0</v>
      </c>
      <c r="EV74" s="139">
        <v>44621.0</v>
      </c>
      <c r="EW74" s="139">
        <v>44652.0</v>
      </c>
      <c r="EX74" s="139">
        <v>44682.0</v>
      </c>
      <c r="EY74" s="139">
        <v>44713.0</v>
      </c>
      <c r="EZ74" s="139">
        <v>44743.0</v>
      </c>
      <c r="FA74" s="139">
        <v>44774.0</v>
      </c>
      <c r="FB74" s="139">
        <v>44805.0</v>
      </c>
      <c r="FC74" s="139">
        <v>44835.0</v>
      </c>
      <c r="FD74" s="139">
        <v>44866.0</v>
      </c>
      <c r="FE74" s="139">
        <v>44896.0</v>
      </c>
      <c r="FF74" s="139">
        <v>44927.0</v>
      </c>
      <c r="FG74" s="139">
        <v>44958.0</v>
      </c>
      <c r="FH74" s="139">
        <v>44986.0</v>
      </c>
      <c r="FI74" s="139">
        <v>45017.0</v>
      </c>
      <c r="FJ74" s="139">
        <v>45047.0</v>
      </c>
      <c r="FK74" s="139">
        <v>45078.0</v>
      </c>
      <c r="FL74" s="139">
        <v>45108.0</v>
      </c>
      <c r="FM74" s="139">
        <v>45139.0</v>
      </c>
      <c r="FN74" s="139">
        <v>45170.0</v>
      </c>
      <c r="FO74" s="139">
        <v>45200.0</v>
      </c>
      <c r="FP74" s="139">
        <v>45231.0</v>
      </c>
      <c r="FQ74" s="139">
        <v>45261.0</v>
      </c>
      <c r="FR74" s="139">
        <v>45292.0</v>
      </c>
      <c r="FS74" s="139">
        <v>45323.0</v>
      </c>
      <c r="FT74" s="139">
        <v>45352.0</v>
      </c>
      <c r="FU74" s="139">
        <v>45383.0</v>
      </c>
      <c r="FV74" s="139">
        <v>45413.0</v>
      </c>
      <c r="FW74" s="139">
        <v>45444.0</v>
      </c>
      <c r="FX74" s="139">
        <v>45474.0</v>
      </c>
      <c r="FY74" s="139">
        <v>45505.0</v>
      </c>
      <c r="FZ74" s="139">
        <v>45536.0</v>
      </c>
      <c r="GA74" s="139">
        <v>45566.0</v>
      </c>
      <c r="GB74" s="139">
        <v>45597.0</v>
      </c>
      <c r="GC74" s="139">
        <v>45627.0</v>
      </c>
      <c r="GD74" s="139">
        <v>45658.0</v>
      </c>
      <c r="GE74" s="139">
        <v>45689.0</v>
      </c>
      <c r="GF74" s="139">
        <v>45717.0</v>
      </c>
      <c r="GG74" s="139">
        <v>45748.0</v>
      </c>
      <c r="GH74" s="139">
        <v>45778.0</v>
      </c>
      <c r="GI74" s="139">
        <v>45809.0</v>
      </c>
      <c r="GJ74" s="139">
        <v>45839.0</v>
      </c>
    </row>
    <row r="75">
      <c r="A75" s="133" t="s">
        <v>1584</v>
      </c>
      <c r="B75" s="134">
        <v>43024.621203703704</v>
      </c>
      <c r="C75" s="135" t="str">
        <f t="shared" si="1"/>
        <v>2017/10/16</v>
      </c>
      <c r="D75" s="136" t="s">
        <v>34281</v>
      </c>
      <c r="E75" s="151">
        <v>0.0</v>
      </c>
      <c r="F75" s="138">
        <v>40179.0</v>
      </c>
      <c r="G75" s="138">
        <v>40210.0</v>
      </c>
      <c r="H75" s="138">
        <v>40238.0</v>
      </c>
      <c r="I75" s="138">
        <v>40269.0</v>
      </c>
      <c r="J75" s="138">
        <v>40299.0</v>
      </c>
      <c r="K75" s="138">
        <v>40330.0</v>
      </c>
      <c r="L75" s="138">
        <v>40360.0</v>
      </c>
      <c r="M75" s="138">
        <v>40391.0</v>
      </c>
      <c r="N75" s="138">
        <v>40422.0</v>
      </c>
      <c r="O75" s="138">
        <v>40452.0</v>
      </c>
      <c r="P75" s="138">
        <v>40483.0</v>
      </c>
      <c r="Q75" s="138">
        <v>40513.0</v>
      </c>
      <c r="R75" s="138">
        <v>40544.0</v>
      </c>
      <c r="S75" s="138">
        <v>40575.0</v>
      </c>
      <c r="T75" s="138">
        <v>40603.0</v>
      </c>
      <c r="U75" s="138">
        <v>40634.0</v>
      </c>
      <c r="V75" s="138">
        <v>40664.0</v>
      </c>
      <c r="W75" s="138">
        <v>40695.0</v>
      </c>
      <c r="X75" s="138">
        <v>40725.0</v>
      </c>
      <c r="Y75" s="138">
        <v>40756.0</v>
      </c>
      <c r="Z75" s="138">
        <v>40787.0</v>
      </c>
      <c r="AA75" s="138">
        <v>40817.0</v>
      </c>
      <c r="AB75" s="138">
        <v>40848.0</v>
      </c>
      <c r="AC75" s="138">
        <v>40878.0</v>
      </c>
      <c r="AD75" s="138">
        <v>40909.0</v>
      </c>
      <c r="AE75" s="138">
        <v>40940.0</v>
      </c>
      <c r="AF75" s="138">
        <v>40969.0</v>
      </c>
      <c r="AG75" s="138">
        <v>41000.0</v>
      </c>
      <c r="AH75" s="138">
        <v>41030.0</v>
      </c>
      <c r="AI75" s="138">
        <v>41061.0</v>
      </c>
      <c r="AJ75" s="138">
        <v>41091.0</v>
      </c>
      <c r="AK75" s="138">
        <v>41122.0</v>
      </c>
      <c r="AL75" s="138">
        <v>41153.0</v>
      </c>
      <c r="AM75" s="138">
        <v>41183.0</v>
      </c>
      <c r="AN75" s="138">
        <v>41214.0</v>
      </c>
      <c r="AO75" s="138">
        <v>41244.0</v>
      </c>
      <c r="AP75" s="138">
        <v>41275.0</v>
      </c>
      <c r="AQ75" s="138">
        <v>41306.0</v>
      </c>
      <c r="AR75" s="138">
        <v>41334.0</v>
      </c>
      <c r="AS75" s="138">
        <v>41365.0</v>
      </c>
      <c r="AT75" s="138">
        <v>41395.0</v>
      </c>
      <c r="AU75" s="138">
        <v>41426.0</v>
      </c>
      <c r="AV75" s="138">
        <v>41456.0</v>
      </c>
      <c r="AW75" s="138">
        <v>41487.0</v>
      </c>
      <c r="AX75" s="138">
        <v>41518.0</v>
      </c>
      <c r="AY75" s="138">
        <v>41548.0</v>
      </c>
      <c r="AZ75" s="138">
        <v>41579.0</v>
      </c>
      <c r="BA75" s="138">
        <v>41609.0</v>
      </c>
      <c r="BB75" s="138">
        <v>41640.0</v>
      </c>
      <c r="BC75" s="138">
        <v>41671.0</v>
      </c>
      <c r="BD75" s="138">
        <v>41699.0</v>
      </c>
      <c r="BE75" s="138">
        <v>41730.0</v>
      </c>
      <c r="BF75" s="138">
        <v>41760.0</v>
      </c>
      <c r="BG75" s="138">
        <v>41791.0</v>
      </c>
      <c r="BH75" s="138">
        <v>41821.0</v>
      </c>
      <c r="BI75" s="138">
        <v>41852.0</v>
      </c>
      <c r="BJ75" s="138">
        <v>41883.0</v>
      </c>
      <c r="BK75" s="138">
        <v>41913.0</v>
      </c>
      <c r="BL75" s="138">
        <v>41944.0</v>
      </c>
      <c r="BM75" s="138">
        <v>41974.0</v>
      </c>
      <c r="BN75" s="138">
        <v>42005.0</v>
      </c>
      <c r="BO75" s="138">
        <v>42036.0</v>
      </c>
      <c r="BP75" s="138">
        <v>42064.0</v>
      </c>
      <c r="BQ75" s="138">
        <v>42095.0</v>
      </c>
      <c r="BR75" s="138">
        <v>42125.0</v>
      </c>
      <c r="BS75" s="138">
        <v>42156.0</v>
      </c>
      <c r="BT75" s="138">
        <v>42186.0</v>
      </c>
      <c r="BU75" s="138">
        <v>42217.0</v>
      </c>
      <c r="BV75" s="138">
        <v>42248.0</v>
      </c>
      <c r="BW75" s="138">
        <v>42278.0</v>
      </c>
      <c r="BX75" s="138">
        <v>42309.0</v>
      </c>
      <c r="BY75" s="138">
        <v>42339.0</v>
      </c>
      <c r="BZ75" s="138">
        <v>42370.0</v>
      </c>
      <c r="CA75" s="138">
        <v>42401.0</v>
      </c>
      <c r="CB75" s="138">
        <v>42430.0</v>
      </c>
      <c r="CC75" s="138">
        <v>42461.0</v>
      </c>
      <c r="CD75" s="138">
        <v>42491.0</v>
      </c>
      <c r="CE75" s="138">
        <v>42522.0</v>
      </c>
      <c r="CF75" s="138">
        <v>42552.0</v>
      </c>
      <c r="CG75" s="138">
        <v>42583.0</v>
      </c>
      <c r="CH75" s="138">
        <v>42614.0</v>
      </c>
      <c r="CI75" s="138">
        <v>42644.0</v>
      </c>
      <c r="CJ75" s="138">
        <v>42675.0</v>
      </c>
      <c r="CK75" s="138">
        <v>42705.0</v>
      </c>
      <c r="CL75" s="138">
        <v>42736.0</v>
      </c>
      <c r="CM75" s="138">
        <v>42767.0</v>
      </c>
      <c r="CN75" s="138">
        <v>42795.0</v>
      </c>
      <c r="CO75" s="138">
        <v>42826.0</v>
      </c>
      <c r="CP75" s="138">
        <v>42856.0</v>
      </c>
      <c r="CQ75" s="138">
        <v>42887.0</v>
      </c>
      <c r="CR75" s="138">
        <v>42917.0</v>
      </c>
      <c r="CS75" s="138">
        <v>42948.0</v>
      </c>
      <c r="CT75" s="138">
        <v>42979.0</v>
      </c>
      <c r="CU75" s="138">
        <v>43009.0</v>
      </c>
      <c r="CV75" s="139">
        <v>43040.0</v>
      </c>
      <c r="CW75" s="139">
        <v>43070.0</v>
      </c>
      <c r="CX75" s="139">
        <v>43101.0</v>
      </c>
      <c r="CY75" s="139">
        <v>43132.0</v>
      </c>
      <c r="CZ75" s="139">
        <v>43160.0</v>
      </c>
      <c r="DA75" s="139">
        <v>43191.0</v>
      </c>
      <c r="DB75" s="139">
        <v>43221.0</v>
      </c>
      <c r="DC75" s="139">
        <v>43252.0</v>
      </c>
      <c r="DD75" s="139">
        <v>43282.0</v>
      </c>
      <c r="DE75" s="139">
        <v>43313.0</v>
      </c>
      <c r="DF75" s="139">
        <v>43344.0</v>
      </c>
      <c r="DG75" s="139">
        <v>43374.0</v>
      </c>
      <c r="DH75" s="139">
        <v>43405.0</v>
      </c>
      <c r="DI75" s="139">
        <v>43435.0</v>
      </c>
      <c r="DJ75" s="139">
        <v>43466.0</v>
      </c>
      <c r="DK75" s="139">
        <v>43497.0</v>
      </c>
      <c r="DL75" s="139">
        <v>43525.0</v>
      </c>
      <c r="DM75" s="139">
        <v>43556.0</v>
      </c>
      <c r="DN75" s="139">
        <v>43586.0</v>
      </c>
      <c r="DO75" s="139">
        <v>43617.0</v>
      </c>
      <c r="DP75" s="139">
        <v>43647.0</v>
      </c>
      <c r="DQ75" s="139">
        <v>43678.0</v>
      </c>
      <c r="DR75" s="139">
        <v>43709.0</v>
      </c>
      <c r="DS75" s="139">
        <v>43739.0</v>
      </c>
      <c r="DT75" s="139">
        <v>43770.0</v>
      </c>
      <c r="DU75" s="139">
        <v>43800.0</v>
      </c>
      <c r="DV75" s="139">
        <v>43831.0</v>
      </c>
      <c r="DW75" s="139">
        <v>43862.0</v>
      </c>
      <c r="DX75" s="139">
        <v>43891.0</v>
      </c>
      <c r="DY75" s="139">
        <v>43922.0</v>
      </c>
      <c r="DZ75" s="139">
        <v>43952.0</v>
      </c>
      <c r="EA75" s="139">
        <v>43983.0</v>
      </c>
      <c r="EB75" s="139">
        <v>44013.0</v>
      </c>
      <c r="EC75" s="139">
        <v>44044.0</v>
      </c>
      <c r="ED75" s="139">
        <v>44075.0</v>
      </c>
      <c r="EE75" s="139">
        <v>44105.0</v>
      </c>
      <c r="EF75" s="139">
        <v>44136.0</v>
      </c>
      <c r="EG75" s="139">
        <v>44166.0</v>
      </c>
      <c r="EH75" s="139">
        <v>44197.0</v>
      </c>
      <c r="EI75" s="139">
        <v>44228.0</v>
      </c>
      <c r="EJ75" s="139">
        <v>44256.0</v>
      </c>
      <c r="EK75" s="139">
        <v>44287.0</v>
      </c>
      <c r="EL75" s="139">
        <v>44317.0</v>
      </c>
      <c r="EM75" s="139">
        <v>44348.0</v>
      </c>
      <c r="EN75" s="139">
        <v>44378.0</v>
      </c>
      <c r="EO75" s="139">
        <v>44409.0</v>
      </c>
      <c r="EP75" s="139">
        <v>44440.0</v>
      </c>
      <c r="EQ75" s="139">
        <v>44470.0</v>
      </c>
      <c r="ER75" s="139">
        <v>44501.0</v>
      </c>
      <c r="ES75" s="139">
        <v>44531.0</v>
      </c>
      <c r="ET75" s="139">
        <v>44562.0</v>
      </c>
      <c r="EU75" s="139">
        <v>44593.0</v>
      </c>
      <c r="EV75" s="139">
        <v>44621.0</v>
      </c>
      <c r="EW75" s="139">
        <v>44652.0</v>
      </c>
      <c r="EX75" s="139">
        <v>44682.0</v>
      </c>
      <c r="EY75" s="139">
        <v>44713.0</v>
      </c>
      <c r="EZ75" s="139">
        <v>44743.0</v>
      </c>
      <c r="FA75" s="139">
        <v>44774.0</v>
      </c>
      <c r="FB75" s="139">
        <v>44805.0</v>
      </c>
      <c r="FC75" s="139">
        <v>44835.0</v>
      </c>
      <c r="FD75" s="139">
        <v>44866.0</v>
      </c>
      <c r="FE75" s="139">
        <v>44896.0</v>
      </c>
      <c r="FF75" s="139">
        <v>44927.0</v>
      </c>
      <c r="FG75" s="139">
        <v>44958.0</v>
      </c>
      <c r="FH75" s="139">
        <v>44986.0</v>
      </c>
      <c r="FI75" s="139">
        <v>45017.0</v>
      </c>
      <c r="FJ75" s="139">
        <v>45047.0</v>
      </c>
      <c r="FK75" s="139">
        <v>45078.0</v>
      </c>
      <c r="FL75" s="139">
        <v>45108.0</v>
      </c>
      <c r="FM75" s="139">
        <v>45139.0</v>
      </c>
      <c r="FN75" s="139">
        <v>45170.0</v>
      </c>
      <c r="FO75" s="139">
        <v>45200.0</v>
      </c>
      <c r="FP75" s="139">
        <v>45231.0</v>
      </c>
      <c r="FQ75" s="139">
        <v>45261.0</v>
      </c>
      <c r="FR75" s="139">
        <v>45292.0</v>
      </c>
      <c r="FS75" s="139">
        <v>45323.0</v>
      </c>
      <c r="FT75" s="139">
        <v>45352.0</v>
      </c>
      <c r="FU75" s="139">
        <v>45383.0</v>
      </c>
      <c r="FV75" s="139">
        <v>45413.0</v>
      </c>
      <c r="FW75" s="139">
        <v>45444.0</v>
      </c>
      <c r="FX75" s="139">
        <v>45474.0</v>
      </c>
      <c r="FY75" s="139">
        <v>45505.0</v>
      </c>
      <c r="FZ75" s="139">
        <v>45536.0</v>
      </c>
      <c r="GA75" s="139">
        <v>45566.0</v>
      </c>
      <c r="GB75" s="139">
        <v>45597.0</v>
      </c>
      <c r="GC75" s="139">
        <v>45627.0</v>
      </c>
      <c r="GD75" s="139">
        <v>45658.0</v>
      </c>
      <c r="GE75" s="139">
        <v>45689.0</v>
      </c>
      <c r="GF75" s="139">
        <v>45717.0</v>
      </c>
      <c r="GG75" s="139">
        <v>45748.0</v>
      </c>
      <c r="GH75" s="139">
        <v>45778.0</v>
      </c>
      <c r="GI75" s="139">
        <v>45809.0</v>
      </c>
      <c r="GJ75" s="139">
        <v>45839.0</v>
      </c>
    </row>
    <row r="76">
      <c r="A76" s="133" t="s">
        <v>1600</v>
      </c>
      <c r="B76" s="134">
        <v>43035.70447916666</v>
      </c>
      <c r="C76" s="135" t="str">
        <f t="shared" si="1"/>
        <v>2017/10/27</v>
      </c>
      <c r="D76" s="136" t="s">
        <v>34282</v>
      </c>
      <c r="E76" s="151">
        <v>0.0</v>
      </c>
      <c r="F76" s="138">
        <v>40179.0</v>
      </c>
      <c r="G76" s="138">
        <v>40210.0</v>
      </c>
      <c r="H76" s="138">
        <v>40238.0</v>
      </c>
      <c r="I76" s="138">
        <v>40269.0</v>
      </c>
      <c r="J76" s="138">
        <v>40299.0</v>
      </c>
      <c r="K76" s="138">
        <v>40330.0</v>
      </c>
      <c r="L76" s="138">
        <v>40360.0</v>
      </c>
      <c r="M76" s="138">
        <v>40391.0</v>
      </c>
      <c r="N76" s="138">
        <v>40422.0</v>
      </c>
      <c r="O76" s="138">
        <v>40452.0</v>
      </c>
      <c r="P76" s="138">
        <v>40483.0</v>
      </c>
      <c r="Q76" s="138">
        <v>40513.0</v>
      </c>
      <c r="R76" s="138">
        <v>40544.0</v>
      </c>
      <c r="S76" s="138">
        <v>40575.0</v>
      </c>
      <c r="T76" s="138">
        <v>40603.0</v>
      </c>
      <c r="U76" s="138">
        <v>40634.0</v>
      </c>
      <c r="V76" s="138">
        <v>40664.0</v>
      </c>
      <c r="W76" s="138">
        <v>40695.0</v>
      </c>
      <c r="X76" s="138">
        <v>40725.0</v>
      </c>
      <c r="Y76" s="138">
        <v>40756.0</v>
      </c>
      <c r="Z76" s="138">
        <v>40787.0</v>
      </c>
      <c r="AA76" s="138">
        <v>40817.0</v>
      </c>
      <c r="AB76" s="138">
        <v>40848.0</v>
      </c>
      <c r="AC76" s="138">
        <v>40878.0</v>
      </c>
      <c r="AD76" s="138">
        <v>40909.0</v>
      </c>
      <c r="AE76" s="138">
        <v>40940.0</v>
      </c>
      <c r="AF76" s="138">
        <v>40969.0</v>
      </c>
      <c r="AG76" s="138">
        <v>41000.0</v>
      </c>
      <c r="AH76" s="138">
        <v>41030.0</v>
      </c>
      <c r="AI76" s="138">
        <v>41061.0</v>
      </c>
      <c r="AJ76" s="138">
        <v>41091.0</v>
      </c>
      <c r="AK76" s="138">
        <v>41122.0</v>
      </c>
      <c r="AL76" s="138">
        <v>41153.0</v>
      </c>
      <c r="AM76" s="138">
        <v>41183.0</v>
      </c>
      <c r="AN76" s="138">
        <v>41214.0</v>
      </c>
      <c r="AO76" s="138">
        <v>41244.0</v>
      </c>
      <c r="AP76" s="138">
        <v>41275.0</v>
      </c>
      <c r="AQ76" s="138">
        <v>41306.0</v>
      </c>
      <c r="AR76" s="138">
        <v>41334.0</v>
      </c>
      <c r="AS76" s="138">
        <v>41365.0</v>
      </c>
      <c r="AT76" s="138">
        <v>41395.0</v>
      </c>
      <c r="AU76" s="138">
        <v>41426.0</v>
      </c>
      <c r="AV76" s="138">
        <v>41456.0</v>
      </c>
      <c r="AW76" s="138">
        <v>41487.0</v>
      </c>
      <c r="AX76" s="138">
        <v>41518.0</v>
      </c>
      <c r="AY76" s="138">
        <v>41548.0</v>
      </c>
      <c r="AZ76" s="138">
        <v>41579.0</v>
      </c>
      <c r="BA76" s="138">
        <v>41609.0</v>
      </c>
      <c r="BB76" s="138">
        <v>41640.0</v>
      </c>
      <c r="BC76" s="138">
        <v>41671.0</v>
      </c>
      <c r="BD76" s="138">
        <v>41699.0</v>
      </c>
      <c r="BE76" s="138">
        <v>41730.0</v>
      </c>
      <c r="BF76" s="138">
        <v>41760.0</v>
      </c>
      <c r="BG76" s="138">
        <v>41791.0</v>
      </c>
      <c r="BH76" s="138">
        <v>41821.0</v>
      </c>
      <c r="BI76" s="138">
        <v>41852.0</v>
      </c>
      <c r="BJ76" s="138">
        <v>41883.0</v>
      </c>
      <c r="BK76" s="138">
        <v>41913.0</v>
      </c>
      <c r="BL76" s="138">
        <v>41944.0</v>
      </c>
      <c r="BM76" s="138">
        <v>41974.0</v>
      </c>
      <c r="BN76" s="138">
        <v>42005.0</v>
      </c>
      <c r="BO76" s="138">
        <v>42036.0</v>
      </c>
      <c r="BP76" s="138">
        <v>42064.0</v>
      </c>
      <c r="BQ76" s="138">
        <v>42095.0</v>
      </c>
      <c r="BR76" s="138">
        <v>42125.0</v>
      </c>
      <c r="BS76" s="138">
        <v>42156.0</v>
      </c>
      <c r="BT76" s="138">
        <v>42186.0</v>
      </c>
      <c r="BU76" s="138">
        <v>42217.0</v>
      </c>
      <c r="BV76" s="138">
        <v>42248.0</v>
      </c>
      <c r="BW76" s="138">
        <v>42278.0</v>
      </c>
      <c r="BX76" s="138">
        <v>42309.0</v>
      </c>
      <c r="BY76" s="138">
        <v>42339.0</v>
      </c>
      <c r="BZ76" s="138">
        <v>42370.0</v>
      </c>
      <c r="CA76" s="138">
        <v>42401.0</v>
      </c>
      <c r="CB76" s="138">
        <v>42430.0</v>
      </c>
      <c r="CC76" s="138">
        <v>42461.0</v>
      </c>
      <c r="CD76" s="138">
        <v>42491.0</v>
      </c>
      <c r="CE76" s="138">
        <v>42522.0</v>
      </c>
      <c r="CF76" s="138">
        <v>42552.0</v>
      </c>
      <c r="CG76" s="138">
        <v>42583.0</v>
      </c>
      <c r="CH76" s="138">
        <v>42614.0</v>
      </c>
      <c r="CI76" s="138">
        <v>42644.0</v>
      </c>
      <c r="CJ76" s="138">
        <v>42675.0</v>
      </c>
      <c r="CK76" s="138">
        <v>42705.0</v>
      </c>
      <c r="CL76" s="138">
        <v>42736.0</v>
      </c>
      <c r="CM76" s="138">
        <v>42767.0</v>
      </c>
      <c r="CN76" s="138">
        <v>42795.0</v>
      </c>
      <c r="CO76" s="138">
        <v>42826.0</v>
      </c>
      <c r="CP76" s="138">
        <v>42856.0</v>
      </c>
      <c r="CQ76" s="138">
        <v>42887.0</v>
      </c>
      <c r="CR76" s="138">
        <v>42917.0</v>
      </c>
      <c r="CS76" s="138">
        <v>42948.0</v>
      </c>
      <c r="CT76" s="138">
        <v>42979.0</v>
      </c>
      <c r="CU76" s="138">
        <v>43009.0</v>
      </c>
      <c r="CV76" s="139">
        <v>43040.0</v>
      </c>
      <c r="CW76" s="139">
        <v>43070.0</v>
      </c>
      <c r="CX76" s="139">
        <v>43101.0</v>
      </c>
      <c r="CY76" s="139">
        <v>43132.0</v>
      </c>
      <c r="CZ76" s="139">
        <v>43160.0</v>
      </c>
      <c r="DA76" s="139">
        <v>43191.0</v>
      </c>
      <c r="DB76" s="139">
        <v>43221.0</v>
      </c>
      <c r="DC76" s="139">
        <v>43252.0</v>
      </c>
      <c r="DD76" s="139">
        <v>43282.0</v>
      </c>
      <c r="DE76" s="139">
        <v>43313.0</v>
      </c>
      <c r="DF76" s="139">
        <v>43344.0</v>
      </c>
      <c r="DG76" s="139">
        <v>43374.0</v>
      </c>
      <c r="DH76" s="139">
        <v>43405.0</v>
      </c>
      <c r="DI76" s="139">
        <v>43435.0</v>
      </c>
      <c r="DJ76" s="139">
        <v>43466.0</v>
      </c>
      <c r="DK76" s="139">
        <v>43497.0</v>
      </c>
      <c r="DL76" s="139">
        <v>43525.0</v>
      </c>
      <c r="DM76" s="139">
        <v>43556.0</v>
      </c>
      <c r="DN76" s="139">
        <v>43586.0</v>
      </c>
      <c r="DO76" s="139">
        <v>43617.0</v>
      </c>
      <c r="DP76" s="139">
        <v>43647.0</v>
      </c>
      <c r="DQ76" s="139">
        <v>43678.0</v>
      </c>
      <c r="DR76" s="139">
        <v>43709.0</v>
      </c>
      <c r="DS76" s="139">
        <v>43739.0</v>
      </c>
      <c r="DT76" s="139">
        <v>43770.0</v>
      </c>
      <c r="DU76" s="139">
        <v>43800.0</v>
      </c>
      <c r="DV76" s="139">
        <v>43831.0</v>
      </c>
      <c r="DW76" s="139">
        <v>43862.0</v>
      </c>
      <c r="DX76" s="139">
        <v>43891.0</v>
      </c>
      <c r="DY76" s="139">
        <v>43922.0</v>
      </c>
      <c r="DZ76" s="139">
        <v>43952.0</v>
      </c>
      <c r="EA76" s="139">
        <v>43983.0</v>
      </c>
      <c r="EB76" s="139">
        <v>44013.0</v>
      </c>
      <c r="EC76" s="139">
        <v>44044.0</v>
      </c>
      <c r="ED76" s="139">
        <v>44075.0</v>
      </c>
      <c r="EE76" s="139">
        <v>44105.0</v>
      </c>
      <c r="EF76" s="139">
        <v>44136.0</v>
      </c>
      <c r="EG76" s="139">
        <v>44166.0</v>
      </c>
      <c r="EH76" s="139">
        <v>44197.0</v>
      </c>
      <c r="EI76" s="139">
        <v>44228.0</v>
      </c>
      <c r="EJ76" s="139">
        <v>44256.0</v>
      </c>
      <c r="EK76" s="139">
        <v>44287.0</v>
      </c>
      <c r="EL76" s="139">
        <v>44317.0</v>
      </c>
      <c r="EM76" s="139">
        <v>44348.0</v>
      </c>
      <c r="EN76" s="139">
        <v>44378.0</v>
      </c>
      <c r="EO76" s="139">
        <v>44409.0</v>
      </c>
      <c r="EP76" s="139">
        <v>44440.0</v>
      </c>
      <c r="EQ76" s="139">
        <v>44470.0</v>
      </c>
      <c r="ER76" s="139">
        <v>44501.0</v>
      </c>
      <c r="ES76" s="139">
        <v>44531.0</v>
      </c>
      <c r="ET76" s="139">
        <v>44562.0</v>
      </c>
      <c r="EU76" s="139">
        <v>44593.0</v>
      </c>
      <c r="EV76" s="139">
        <v>44621.0</v>
      </c>
      <c r="EW76" s="139">
        <v>44652.0</v>
      </c>
      <c r="EX76" s="139">
        <v>44682.0</v>
      </c>
      <c r="EY76" s="139">
        <v>44713.0</v>
      </c>
      <c r="EZ76" s="139">
        <v>44743.0</v>
      </c>
      <c r="FA76" s="139">
        <v>44774.0</v>
      </c>
      <c r="FB76" s="139">
        <v>44805.0</v>
      </c>
      <c r="FC76" s="139">
        <v>44835.0</v>
      </c>
      <c r="FD76" s="139">
        <v>44866.0</v>
      </c>
      <c r="FE76" s="139">
        <v>44896.0</v>
      </c>
      <c r="FF76" s="139">
        <v>44927.0</v>
      </c>
      <c r="FG76" s="139">
        <v>44958.0</v>
      </c>
      <c r="FH76" s="139">
        <v>44986.0</v>
      </c>
      <c r="FI76" s="139">
        <v>45017.0</v>
      </c>
      <c r="FJ76" s="139">
        <v>45047.0</v>
      </c>
      <c r="FK76" s="139">
        <v>45078.0</v>
      </c>
      <c r="FL76" s="139">
        <v>45108.0</v>
      </c>
      <c r="FM76" s="139">
        <v>45139.0</v>
      </c>
      <c r="FN76" s="139">
        <v>45170.0</v>
      </c>
      <c r="FO76" s="139">
        <v>45200.0</v>
      </c>
      <c r="FP76" s="139">
        <v>45231.0</v>
      </c>
      <c r="FQ76" s="139">
        <v>45261.0</v>
      </c>
      <c r="FR76" s="139">
        <v>45292.0</v>
      </c>
      <c r="FS76" s="139">
        <v>45323.0</v>
      </c>
      <c r="FT76" s="139">
        <v>45352.0</v>
      </c>
      <c r="FU76" s="139">
        <v>45383.0</v>
      </c>
      <c r="FV76" s="139">
        <v>45413.0</v>
      </c>
      <c r="FW76" s="139">
        <v>45444.0</v>
      </c>
      <c r="FX76" s="139">
        <v>45474.0</v>
      </c>
      <c r="FY76" s="139">
        <v>45505.0</v>
      </c>
      <c r="FZ76" s="139">
        <v>45536.0</v>
      </c>
      <c r="GA76" s="139">
        <v>45566.0</v>
      </c>
      <c r="GB76" s="139">
        <v>45597.0</v>
      </c>
      <c r="GC76" s="139">
        <v>45627.0</v>
      </c>
      <c r="GD76" s="139">
        <v>45658.0</v>
      </c>
      <c r="GE76" s="139">
        <v>45689.0</v>
      </c>
      <c r="GF76" s="139">
        <v>45717.0</v>
      </c>
      <c r="GG76" s="139">
        <v>45748.0</v>
      </c>
      <c r="GH76" s="139">
        <v>45778.0</v>
      </c>
      <c r="GI76" s="139">
        <v>45809.0</v>
      </c>
      <c r="GJ76" s="139">
        <v>45839.0</v>
      </c>
    </row>
    <row r="77">
      <c r="A77" s="133" t="s">
        <v>1373</v>
      </c>
      <c r="B77" s="134">
        <v>43053.66206018518</v>
      </c>
      <c r="C77" s="135" t="str">
        <f t="shared" si="1"/>
        <v>2017/11/14</v>
      </c>
      <c r="D77" s="136" t="s">
        <v>33963</v>
      </c>
      <c r="E77" s="151">
        <v>0.0</v>
      </c>
      <c r="F77" s="138">
        <v>40179.0</v>
      </c>
      <c r="G77" s="138">
        <v>40210.0</v>
      </c>
      <c r="H77" s="138">
        <v>40238.0</v>
      </c>
      <c r="I77" s="138">
        <v>40269.0</v>
      </c>
      <c r="J77" s="138">
        <v>40299.0</v>
      </c>
      <c r="K77" s="138">
        <v>40330.0</v>
      </c>
      <c r="L77" s="138">
        <v>40360.0</v>
      </c>
      <c r="M77" s="138">
        <v>40391.0</v>
      </c>
      <c r="N77" s="138">
        <v>40422.0</v>
      </c>
      <c r="O77" s="138">
        <v>40452.0</v>
      </c>
      <c r="P77" s="138">
        <v>40483.0</v>
      </c>
      <c r="Q77" s="138">
        <v>40513.0</v>
      </c>
      <c r="R77" s="138">
        <v>40544.0</v>
      </c>
      <c r="S77" s="138">
        <v>40575.0</v>
      </c>
      <c r="T77" s="138">
        <v>40603.0</v>
      </c>
      <c r="U77" s="138">
        <v>40634.0</v>
      </c>
      <c r="V77" s="138">
        <v>40664.0</v>
      </c>
      <c r="W77" s="138">
        <v>40695.0</v>
      </c>
      <c r="X77" s="138">
        <v>40725.0</v>
      </c>
      <c r="Y77" s="138">
        <v>40756.0</v>
      </c>
      <c r="Z77" s="138">
        <v>40787.0</v>
      </c>
      <c r="AA77" s="138">
        <v>40817.0</v>
      </c>
      <c r="AB77" s="138">
        <v>40848.0</v>
      </c>
      <c r="AC77" s="138">
        <v>40878.0</v>
      </c>
      <c r="AD77" s="138">
        <v>40909.0</v>
      </c>
      <c r="AE77" s="138">
        <v>40940.0</v>
      </c>
      <c r="AF77" s="138">
        <v>40969.0</v>
      </c>
      <c r="AG77" s="138">
        <v>41000.0</v>
      </c>
      <c r="AH77" s="138">
        <v>41030.0</v>
      </c>
      <c r="AI77" s="138">
        <v>41061.0</v>
      </c>
      <c r="AJ77" s="138">
        <v>41091.0</v>
      </c>
      <c r="AK77" s="138">
        <v>41122.0</v>
      </c>
      <c r="AL77" s="138">
        <v>41153.0</v>
      </c>
      <c r="AM77" s="138">
        <v>41183.0</v>
      </c>
      <c r="AN77" s="138">
        <v>41214.0</v>
      </c>
      <c r="AO77" s="138">
        <v>41244.0</v>
      </c>
      <c r="AP77" s="138">
        <v>41275.0</v>
      </c>
      <c r="AQ77" s="138">
        <v>41306.0</v>
      </c>
      <c r="AR77" s="138">
        <v>41334.0</v>
      </c>
      <c r="AS77" s="138">
        <v>41365.0</v>
      </c>
      <c r="AT77" s="138">
        <v>41395.0</v>
      </c>
      <c r="AU77" s="138">
        <v>41426.0</v>
      </c>
      <c r="AV77" s="138">
        <v>41456.0</v>
      </c>
      <c r="AW77" s="138">
        <v>41487.0</v>
      </c>
      <c r="AX77" s="138">
        <v>41518.0</v>
      </c>
      <c r="AY77" s="138">
        <v>41548.0</v>
      </c>
      <c r="AZ77" s="138">
        <v>41579.0</v>
      </c>
      <c r="BA77" s="138">
        <v>41609.0</v>
      </c>
      <c r="BB77" s="138">
        <v>41640.0</v>
      </c>
      <c r="BC77" s="138">
        <v>41671.0</v>
      </c>
      <c r="BD77" s="138">
        <v>41699.0</v>
      </c>
      <c r="BE77" s="138">
        <v>41730.0</v>
      </c>
      <c r="BF77" s="138">
        <v>41760.0</v>
      </c>
      <c r="BG77" s="138">
        <v>41791.0</v>
      </c>
      <c r="BH77" s="138">
        <v>41821.0</v>
      </c>
      <c r="BI77" s="138">
        <v>41852.0</v>
      </c>
      <c r="BJ77" s="138">
        <v>41883.0</v>
      </c>
      <c r="BK77" s="138">
        <v>41913.0</v>
      </c>
      <c r="BL77" s="138">
        <v>41944.0</v>
      </c>
      <c r="BM77" s="138">
        <v>41974.0</v>
      </c>
      <c r="BN77" s="138">
        <v>42005.0</v>
      </c>
      <c r="BO77" s="138">
        <v>42036.0</v>
      </c>
      <c r="BP77" s="138">
        <v>42064.0</v>
      </c>
      <c r="BQ77" s="138">
        <v>42095.0</v>
      </c>
      <c r="BR77" s="138">
        <v>42125.0</v>
      </c>
      <c r="BS77" s="138">
        <v>42156.0</v>
      </c>
      <c r="BT77" s="138">
        <v>42186.0</v>
      </c>
      <c r="BU77" s="138">
        <v>42217.0</v>
      </c>
      <c r="BV77" s="138">
        <v>42248.0</v>
      </c>
      <c r="BW77" s="138">
        <v>42278.0</v>
      </c>
      <c r="BX77" s="138">
        <v>42309.0</v>
      </c>
      <c r="BY77" s="138">
        <v>42339.0</v>
      </c>
      <c r="BZ77" s="138">
        <v>42370.0</v>
      </c>
      <c r="CA77" s="138">
        <v>42401.0</v>
      </c>
      <c r="CB77" s="138">
        <v>42430.0</v>
      </c>
      <c r="CC77" s="138">
        <v>42461.0</v>
      </c>
      <c r="CD77" s="138">
        <v>42491.0</v>
      </c>
      <c r="CE77" s="138">
        <v>42522.0</v>
      </c>
      <c r="CF77" s="138">
        <v>42552.0</v>
      </c>
      <c r="CG77" s="138">
        <v>42583.0</v>
      </c>
      <c r="CH77" s="138">
        <v>42614.0</v>
      </c>
      <c r="CI77" s="138">
        <v>42644.0</v>
      </c>
      <c r="CJ77" s="138">
        <v>42675.0</v>
      </c>
      <c r="CK77" s="138">
        <v>42705.0</v>
      </c>
      <c r="CL77" s="138">
        <v>42736.0</v>
      </c>
      <c r="CM77" s="138">
        <v>42767.0</v>
      </c>
      <c r="CN77" s="138">
        <v>42795.0</v>
      </c>
      <c r="CO77" s="138">
        <v>42826.0</v>
      </c>
      <c r="CP77" s="138">
        <v>42856.0</v>
      </c>
      <c r="CQ77" s="138">
        <v>42887.0</v>
      </c>
      <c r="CR77" s="138">
        <v>42917.0</v>
      </c>
      <c r="CS77" s="138">
        <v>42948.0</v>
      </c>
      <c r="CT77" s="138">
        <v>42979.0</v>
      </c>
      <c r="CU77" s="138">
        <v>43009.0</v>
      </c>
      <c r="CV77" s="138">
        <v>43040.0</v>
      </c>
      <c r="CW77" s="139">
        <v>43070.0</v>
      </c>
      <c r="CX77" s="139">
        <v>43101.0</v>
      </c>
      <c r="CY77" s="139">
        <v>43132.0</v>
      </c>
      <c r="CZ77" s="139">
        <v>43160.0</v>
      </c>
      <c r="DA77" s="139">
        <v>43191.0</v>
      </c>
      <c r="DB77" s="139">
        <v>43221.0</v>
      </c>
      <c r="DC77" s="139">
        <v>43252.0</v>
      </c>
      <c r="DD77" s="139">
        <v>43282.0</v>
      </c>
      <c r="DE77" s="139">
        <v>43313.0</v>
      </c>
      <c r="DF77" s="139">
        <v>43344.0</v>
      </c>
      <c r="DG77" s="139">
        <v>43374.0</v>
      </c>
      <c r="DH77" s="139">
        <v>43405.0</v>
      </c>
      <c r="DI77" s="139">
        <v>43435.0</v>
      </c>
      <c r="DJ77" s="139">
        <v>43466.0</v>
      </c>
      <c r="DK77" s="139">
        <v>43497.0</v>
      </c>
      <c r="DL77" s="139">
        <v>43525.0</v>
      </c>
      <c r="DM77" s="139">
        <v>43556.0</v>
      </c>
      <c r="DN77" s="139">
        <v>43586.0</v>
      </c>
      <c r="DO77" s="139">
        <v>43617.0</v>
      </c>
      <c r="DP77" s="139">
        <v>43647.0</v>
      </c>
      <c r="DQ77" s="139">
        <v>43678.0</v>
      </c>
      <c r="DR77" s="139">
        <v>43709.0</v>
      </c>
      <c r="DS77" s="139">
        <v>43739.0</v>
      </c>
      <c r="DT77" s="139">
        <v>43770.0</v>
      </c>
      <c r="DU77" s="139">
        <v>43800.0</v>
      </c>
      <c r="DV77" s="139">
        <v>43831.0</v>
      </c>
      <c r="DW77" s="139">
        <v>43862.0</v>
      </c>
      <c r="DX77" s="139">
        <v>43891.0</v>
      </c>
      <c r="DY77" s="139">
        <v>43922.0</v>
      </c>
      <c r="DZ77" s="139">
        <v>43952.0</v>
      </c>
      <c r="EA77" s="139">
        <v>43983.0</v>
      </c>
      <c r="EB77" s="139">
        <v>44013.0</v>
      </c>
      <c r="EC77" s="139">
        <v>44044.0</v>
      </c>
      <c r="ED77" s="139">
        <v>44075.0</v>
      </c>
      <c r="EE77" s="139">
        <v>44105.0</v>
      </c>
      <c r="EF77" s="139">
        <v>44136.0</v>
      </c>
      <c r="EG77" s="139">
        <v>44166.0</v>
      </c>
      <c r="EH77" s="139">
        <v>44197.0</v>
      </c>
      <c r="EI77" s="139">
        <v>44228.0</v>
      </c>
      <c r="EJ77" s="139">
        <v>44256.0</v>
      </c>
      <c r="EK77" s="139">
        <v>44287.0</v>
      </c>
      <c r="EL77" s="139">
        <v>44317.0</v>
      </c>
      <c r="EM77" s="139">
        <v>44348.0</v>
      </c>
      <c r="EN77" s="139">
        <v>44378.0</v>
      </c>
      <c r="EO77" s="139">
        <v>44409.0</v>
      </c>
      <c r="EP77" s="139">
        <v>44440.0</v>
      </c>
      <c r="EQ77" s="139">
        <v>44470.0</v>
      </c>
      <c r="ER77" s="139">
        <v>44501.0</v>
      </c>
      <c r="ES77" s="139">
        <v>44531.0</v>
      </c>
      <c r="ET77" s="139">
        <v>44562.0</v>
      </c>
      <c r="EU77" s="139">
        <v>44593.0</v>
      </c>
      <c r="EV77" s="139">
        <v>44621.0</v>
      </c>
      <c r="EW77" s="139">
        <v>44652.0</v>
      </c>
      <c r="EX77" s="139">
        <v>44682.0</v>
      </c>
      <c r="EY77" s="139">
        <v>44713.0</v>
      </c>
      <c r="EZ77" s="139">
        <v>44743.0</v>
      </c>
      <c r="FA77" s="139">
        <v>44774.0</v>
      </c>
      <c r="FB77" s="139">
        <v>44805.0</v>
      </c>
      <c r="FC77" s="139">
        <v>44835.0</v>
      </c>
      <c r="FD77" s="139">
        <v>44866.0</v>
      </c>
      <c r="FE77" s="139">
        <v>44896.0</v>
      </c>
      <c r="FF77" s="139">
        <v>44927.0</v>
      </c>
      <c r="FG77" s="139">
        <v>44958.0</v>
      </c>
      <c r="FH77" s="139">
        <v>44986.0</v>
      </c>
      <c r="FI77" s="139">
        <v>45017.0</v>
      </c>
      <c r="FJ77" s="139">
        <v>45047.0</v>
      </c>
      <c r="FK77" s="139">
        <v>45078.0</v>
      </c>
      <c r="FL77" s="139">
        <v>45108.0</v>
      </c>
      <c r="FM77" s="139">
        <v>45139.0</v>
      </c>
      <c r="FN77" s="139">
        <v>45170.0</v>
      </c>
      <c r="FO77" s="139">
        <v>45200.0</v>
      </c>
      <c r="FP77" s="139">
        <v>45231.0</v>
      </c>
      <c r="FQ77" s="139">
        <v>45261.0</v>
      </c>
      <c r="FR77" s="139">
        <v>45292.0</v>
      </c>
      <c r="FS77" s="139">
        <v>45323.0</v>
      </c>
      <c r="FT77" s="139">
        <v>45352.0</v>
      </c>
      <c r="FU77" s="139">
        <v>45383.0</v>
      </c>
      <c r="FV77" s="139">
        <v>45413.0</v>
      </c>
      <c r="FW77" s="139">
        <v>45444.0</v>
      </c>
      <c r="FX77" s="139">
        <v>45474.0</v>
      </c>
      <c r="FY77" s="139">
        <v>45505.0</v>
      </c>
      <c r="FZ77" s="139">
        <v>45536.0</v>
      </c>
      <c r="GA77" s="139">
        <v>45566.0</v>
      </c>
      <c r="GB77" s="139">
        <v>45597.0</v>
      </c>
      <c r="GC77" s="139">
        <v>45627.0</v>
      </c>
      <c r="GD77" s="139">
        <v>45658.0</v>
      </c>
      <c r="GE77" s="139">
        <v>45689.0</v>
      </c>
      <c r="GF77" s="139">
        <v>45717.0</v>
      </c>
      <c r="GG77" s="139">
        <v>45748.0</v>
      </c>
      <c r="GH77" s="139">
        <v>45778.0</v>
      </c>
      <c r="GI77" s="139">
        <v>45809.0</v>
      </c>
      <c r="GJ77" s="139">
        <v>45839.0</v>
      </c>
    </row>
    <row r="78">
      <c r="A78" s="133" t="s">
        <v>1848</v>
      </c>
      <c r="B78" s="134">
        <v>43067.86226851852</v>
      </c>
      <c r="C78" s="135" t="str">
        <f t="shared" si="1"/>
        <v>2017/11/28</v>
      </c>
      <c r="D78" s="136" t="s">
        <v>34283</v>
      </c>
      <c r="E78" s="151">
        <v>0.0</v>
      </c>
      <c r="F78" s="138">
        <v>40179.0</v>
      </c>
      <c r="G78" s="138">
        <v>40210.0</v>
      </c>
      <c r="H78" s="138">
        <v>40238.0</v>
      </c>
      <c r="I78" s="138">
        <v>40269.0</v>
      </c>
      <c r="J78" s="138">
        <v>40299.0</v>
      </c>
      <c r="K78" s="138">
        <v>40330.0</v>
      </c>
      <c r="L78" s="138">
        <v>40360.0</v>
      </c>
      <c r="M78" s="138">
        <v>40391.0</v>
      </c>
      <c r="N78" s="138">
        <v>40422.0</v>
      </c>
      <c r="O78" s="138">
        <v>40452.0</v>
      </c>
      <c r="P78" s="138">
        <v>40483.0</v>
      </c>
      <c r="Q78" s="138">
        <v>40513.0</v>
      </c>
      <c r="R78" s="138">
        <v>40544.0</v>
      </c>
      <c r="S78" s="138">
        <v>40575.0</v>
      </c>
      <c r="T78" s="138">
        <v>40603.0</v>
      </c>
      <c r="U78" s="138">
        <v>40634.0</v>
      </c>
      <c r="V78" s="138">
        <v>40664.0</v>
      </c>
      <c r="W78" s="138">
        <v>40695.0</v>
      </c>
      <c r="X78" s="138">
        <v>40725.0</v>
      </c>
      <c r="Y78" s="138">
        <v>40756.0</v>
      </c>
      <c r="Z78" s="138">
        <v>40787.0</v>
      </c>
      <c r="AA78" s="138">
        <v>40817.0</v>
      </c>
      <c r="AB78" s="138">
        <v>40848.0</v>
      </c>
      <c r="AC78" s="138">
        <v>40878.0</v>
      </c>
      <c r="AD78" s="138">
        <v>40909.0</v>
      </c>
      <c r="AE78" s="138">
        <v>40940.0</v>
      </c>
      <c r="AF78" s="138">
        <v>40969.0</v>
      </c>
      <c r="AG78" s="138">
        <v>41000.0</v>
      </c>
      <c r="AH78" s="138">
        <v>41030.0</v>
      </c>
      <c r="AI78" s="138">
        <v>41061.0</v>
      </c>
      <c r="AJ78" s="138">
        <v>41091.0</v>
      </c>
      <c r="AK78" s="138">
        <v>41122.0</v>
      </c>
      <c r="AL78" s="138">
        <v>41153.0</v>
      </c>
      <c r="AM78" s="138">
        <v>41183.0</v>
      </c>
      <c r="AN78" s="138">
        <v>41214.0</v>
      </c>
      <c r="AO78" s="138">
        <v>41244.0</v>
      </c>
      <c r="AP78" s="138">
        <v>41275.0</v>
      </c>
      <c r="AQ78" s="138">
        <v>41306.0</v>
      </c>
      <c r="AR78" s="138">
        <v>41334.0</v>
      </c>
      <c r="AS78" s="138">
        <v>41365.0</v>
      </c>
      <c r="AT78" s="138">
        <v>41395.0</v>
      </c>
      <c r="AU78" s="138">
        <v>41426.0</v>
      </c>
      <c r="AV78" s="138">
        <v>41456.0</v>
      </c>
      <c r="AW78" s="138">
        <v>41487.0</v>
      </c>
      <c r="AX78" s="138">
        <v>41518.0</v>
      </c>
      <c r="AY78" s="138">
        <v>41548.0</v>
      </c>
      <c r="AZ78" s="138">
        <v>41579.0</v>
      </c>
      <c r="BA78" s="138">
        <v>41609.0</v>
      </c>
      <c r="BB78" s="138">
        <v>41640.0</v>
      </c>
      <c r="BC78" s="138">
        <v>41671.0</v>
      </c>
      <c r="BD78" s="138">
        <v>41699.0</v>
      </c>
      <c r="BE78" s="138">
        <v>41730.0</v>
      </c>
      <c r="BF78" s="138">
        <v>41760.0</v>
      </c>
      <c r="BG78" s="138">
        <v>41791.0</v>
      </c>
      <c r="BH78" s="138">
        <v>41821.0</v>
      </c>
      <c r="BI78" s="138">
        <v>41852.0</v>
      </c>
      <c r="BJ78" s="138">
        <v>41883.0</v>
      </c>
      <c r="BK78" s="138">
        <v>41913.0</v>
      </c>
      <c r="BL78" s="138">
        <v>41944.0</v>
      </c>
      <c r="BM78" s="138">
        <v>41974.0</v>
      </c>
      <c r="BN78" s="138">
        <v>42005.0</v>
      </c>
      <c r="BO78" s="138">
        <v>42036.0</v>
      </c>
      <c r="BP78" s="138">
        <v>42064.0</v>
      </c>
      <c r="BQ78" s="138">
        <v>42095.0</v>
      </c>
      <c r="BR78" s="138">
        <v>42125.0</v>
      </c>
      <c r="BS78" s="138">
        <v>42156.0</v>
      </c>
      <c r="BT78" s="138">
        <v>42186.0</v>
      </c>
      <c r="BU78" s="138">
        <v>42217.0</v>
      </c>
      <c r="BV78" s="138">
        <v>42248.0</v>
      </c>
      <c r="BW78" s="138">
        <v>42278.0</v>
      </c>
      <c r="BX78" s="138">
        <v>42309.0</v>
      </c>
      <c r="BY78" s="138">
        <v>42339.0</v>
      </c>
      <c r="BZ78" s="138">
        <v>42370.0</v>
      </c>
      <c r="CA78" s="138">
        <v>42401.0</v>
      </c>
      <c r="CB78" s="138">
        <v>42430.0</v>
      </c>
      <c r="CC78" s="138">
        <v>42461.0</v>
      </c>
      <c r="CD78" s="138">
        <v>42491.0</v>
      </c>
      <c r="CE78" s="138">
        <v>42522.0</v>
      </c>
      <c r="CF78" s="138">
        <v>42552.0</v>
      </c>
      <c r="CG78" s="138">
        <v>42583.0</v>
      </c>
      <c r="CH78" s="138">
        <v>42614.0</v>
      </c>
      <c r="CI78" s="138">
        <v>42644.0</v>
      </c>
      <c r="CJ78" s="138">
        <v>42675.0</v>
      </c>
      <c r="CK78" s="138">
        <v>42705.0</v>
      </c>
      <c r="CL78" s="138">
        <v>42736.0</v>
      </c>
      <c r="CM78" s="138">
        <v>42767.0</v>
      </c>
      <c r="CN78" s="138">
        <v>42795.0</v>
      </c>
      <c r="CO78" s="138">
        <v>42826.0</v>
      </c>
      <c r="CP78" s="138">
        <v>42856.0</v>
      </c>
      <c r="CQ78" s="138">
        <v>42887.0</v>
      </c>
      <c r="CR78" s="138">
        <v>42917.0</v>
      </c>
      <c r="CS78" s="138">
        <v>42948.0</v>
      </c>
      <c r="CT78" s="138">
        <v>42979.0</v>
      </c>
      <c r="CU78" s="138">
        <v>43009.0</v>
      </c>
      <c r="CV78" s="138">
        <v>43040.0</v>
      </c>
      <c r="CW78" s="139">
        <v>43070.0</v>
      </c>
      <c r="CX78" s="139">
        <v>43101.0</v>
      </c>
      <c r="CY78" s="139">
        <v>43132.0</v>
      </c>
      <c r="CZ78" s="139">
        <v>43160.0</v>
      </c>
      <c r="DA78" s="139">
        <v>43191.0</v>
      </c>
      <c r="DB78" s="139">
        <v>43221.0</v>
      </c>
      <c r="DC78" s="139">
        <v>43252.0</v>
      </c>
      <c r="DD78" s="139">
        <v>43282.0</v>
      </c>
      <c r="DE78" s="139">
        <v>43313.0</v>
      </c>
      <c r="DF78" s="139">
        <v>43344.0</v>
      </c>
      <c r="DG78" s="139">
        <v>43374.0</v>
      </c>
      <c r="DH78" s="139">
        <v>43405.0</v>
      </c>
      <c r="DI78" s="139">
        <v>43435.0</v>
      </c>
      <c r="DJ78" s="139">
        <v>43466.0</v>
      </c>
      <c r="DK78" s="139">
        <v>43497.0</v>
      </c>
      <c r="DL78" s="139">
        <v>43525.0</v>
      </c>
      <c r="DM78" s="139">
        <v>43556.0</v>
      </c>
      <c r="DN78" s="139">
        <v>43586.0</v>
      </c>
      <c r="DO78" s="139">
        <v>43617.0</v>
      </c>
      <c r="DP78" s="139">
        <v>43647.0</v>
      </c>
      <c r="DQ78" s="139">
        <v>43678.0</v>
      </c>
      <c r="DR78" s="139">
        <v>43709.0</v>
      </c>
      <c r="DS78" s="139">
        <v>43739.0</v>
      </c>
      <c r="DT78" s="139">
        <v>43770.0</v>
      </c>
      <c r="DU78" s="139">
        <v>43800.0</v>
      </c>
      <c r="DV78" s="139">
        <v>43831.0</v>
      </c>
      <c r="DW78" s="139">
        <v>43862.0</v>
      </c>
      <c r="DX78" s="139">
        <v>43891.0</v>
      </c>
      <c r="DY78" s="139">
        <v>43922.0</v>
      </c>
      <c r="DZ78" s="139">
        <v>43952.0</v>
      </c>
      <c r="EA78" s="139">
        <v>43983.0</v>
      </c>
      <c r="EB78" s="139">
        <v>44013.0</v>
      </c>
      <c r="EC78" s="139">
        <v>44044.0</v>
      </c>
      <c r="ED78" s="139">
        <v>44075.0</v>
      </c>
      <c r="EE78" s="139">
        <v>44105.0</v>
      </c>
      <c r="EF78" s="139">
        <v>44136.0</v>
      </c>
      <c r="EG78" s="139">
        <v>44166.0</v>
      </c>
      <c r="EH78" s="139">
        <v>44197.0</v>
      </c>
      <c r="EI78" s="139">
        <v>44228.0</v>
      </c>
      <c r="EJ78" s="139">
        <v>44256.0</v>
      </c>
      <c r="EK78" s="139">
        <v>44287.0</v>
      </c>
      <c r="EL78" s="139">
        <v>44317.0</v>
      </c>
      <c r="EM78" s="139">
        <v>44348.0</v>
      </c>
      <c r="EN78" s="139">
        <v>44378.0</v>
      </c>
      <c r="EO78" s="139">
        <v>44409.0</v>
      </c>
      <c r="EP78" s="139">
        <v>44440.0</v>
      </c>
      <c r="EQ78" s="139">
        <v>44470.0</v>
      </c>
      <c r="ER78" s="139">
        <v>44501.0</v>
      </c>
      <c r="ES78" s="139">
        <v>44531.0</v>
      </c>
      <c r="ET78" s="139">
        <v>44562.0</v>
      </c>
      <c r="EU78" s="139">
        <v>44593.0</v>
      </c>
      <c r="EV78" s="139">
        <v>44621.0</v>
      </c>
      <c r="EW78" s="139">
        <v>44652.0</v>
      </c>
      <c r="EX78" s="139">
        <v>44682.0</v>
      </c>
      <c r="EY78" s="139">
        <v>44713.0</v>
      </c>
      <c r="EZ78" s="139">
        <v>44743.0</v>
      </c>
      <c r="FA78" s="139">
        <v>44774.0</v>
      </c>
      <c r="FB78" s="139">
        <v>44805.0</v>
      </c>
      <c r="FC78" s="139">
        <v>44835.0</v>
      </c>
      <c r="FD78" s="139">
        <v>44866.0</v>
      </c>
      <c r="FE78" s="139">
        <v>44896.0</v>
      </c>
      <c r="FF78" s="139">
        <v>44927.0</v>
      </c>
      <c r="FG78" s="139">
        <v>44958.0</v>
      </c>
      <c r="FH78" s="139">
        <v>44986.0</v>
      </c>
      <c r="FI78" s="139">
        <v>45017.0</v>
      </c>
      <c r="FJ78" s="139">
        <v>45047.0</v>
      </c>
      <c r="FK78" s="139">
        <v>45078.0</v>
      </c>
      <c r="FL78" s="139">
        <v>45108.0</v>
      </c>
      <c r="FM78" s="139">
        <v>45139.0</v>
      </c>
      <c r="FN78" s="139">
        <v>45170.0</v>
      </c>
      <c r="FO78" s="139">
        <v>45200.0</v>
      </c>
      <c r="FP78" s="139">
        <v>45231.0</v>
      </c>
      <c r="FQ78" s="139">
        <v>45261.0</v>
      </c>
      <c r="FR78" s="139">
        <v>45292.0</v>
      </c>
      <c r="FS78" s="139">
        <v>45323.0</v>
      </c>
      <c r="FT78" s="139">
        <v>45352.0</v>
      </c>
      <c r="FU78" s="139">
        <v>45383.0</v>
      </c>
      <c r="FV78" s="139">
        <v>45413.0</v>
      </c>
      <c r="FW78" s="139">
        <v>45444.0</v>
      </c>
      <c r="FX78" s="139">
        <v>45474.0</v>
      </c>
      <c r="FY78" s="139">
        <v>45505.0</v>
      </c>
      <c r="FZ78" s="139">
        <v>45536.0</v>
      </c>
      <c r="GA78" s="139">
        <v>45566.0</v>
      </c>
      <c r="GB78" s="139">
        <v>45597.0</v>
      </c>
      <c r="GC78" s="139">
        <v>45627.0</v>
      </c>
      <c r="GD78" s="139">
        <v>45658.0</v>
      </c>
      <c r="GE78" s="139">
        <v>45689.0</v>
      </c>
      <c r="GF78" s="139">
        <v>45717.0</v>
      </c>
      <c r="GG78" s="139">
        <v>45748.0</v>
      </c>
      <c r="GH78" s="139">
        <v>45778.0</v>
      </c>
      <c r="GI78" s="139">
        <v>45809.0</v>
      </c>
      <c r="GJ78" s="139">
        <v>45839.0</v>
      </c>
    </row>
    <row r="79">
      <c r="A79" s="133" t="s">
        <v>1776</v>
      </c>
      <c r="B79" s="134">
        <v>43077.715092592596</v>
      </c>
      <c r="C79" s="135" t="str">
        <f t="shared" si="1"/>
        <v>2017/12/08</v>
      </c>
      <c r="D79" s="136" t="s">
        <v>34191</v>
      </c>
      <c r="E79" s="151">
        <v>0.0</v>
      </c>
      <c r="F79" s="138">
        <v>40179.0</v>
      </c>
      <c r="G79" s="138">
        <v>40210.0</v>
      </c>
      <c r="H79" s="138">
        <v>40238.0</v>
      </c>
      <c r="I79" s="138">
        <v>40269.0</v>
      </c>
      <c r="J79" s="138">
        <v>40299.0</v>
      </c>
      <c r="K79" s="138">
        <v>40330.0</v>
      </c>
      <c r="L79" s="138">
        <v>40360.0</v>
      </c>
      <c r="M79" s="138">
        <v>40391.0</v>
      </c>
      <c r="N79" s="138">
        <v>40422.0</v>
      </c>
      <c r="O79" s="138">
        <v>40452.0</v>
      </c>
      <c r="P79" s="138">
        <v>40483.0</v>
      </c>
      <c r="Q79" s="138">
        <v>40513.0</v>
      </c>
      <c r="R79" s="138">
        <v>40544.0</v>
      </c>
      <c r="S79" s="138">
        <v>40575.0</v>
      </c>
      <c r="T79" s="138">
        <v>40603.0</v>
      </c>
      <c r="U79" s="138">
        <v>40634.0</v>
      </c>
      <c r="V79" s="138">
        <v>40664.0</v>
      </c>
      <c r="W79" s="138">
        <v>40695.0</v>
      </c>
      <c r="X79" s="138">
        <v>40725.0</v>
      </c>
      <c r="Y79" s="138">
        <v>40756.0</v>
      </c>
      <c r="Z79" s="138">
        <v>40787.0</v>
      </c>
      <c r="AA79" s="138">
        <v>40817.0</v>
      </c>
      <c r="AB79" s="138">
        <v>40848.0</v>
      </c>
      <c r="AC79" s="138">
        <v>40878.0</v>
      </c>
      <c r="AD79" s="138">
        <v>40909.0</v>
      </c>
      <c r="AE79" s="138">
        <v>40940.0</v>
      </c>
      <c r="AF79" s="138">
        <v>40969.0</v>
      </c>
      <c r="AG79" s="138">
        <v>41000.0</v>
      </c>
      <c r="AH79" s="138">
        <v>41030.0</v>
      </c>
      <c r="AI79" s="138">
        <v>41061.0</v>
      </c>
      <c r="AJ79" s="138">
        <v>41091.0</v>
      </c>
      <c r="AK79" s="138">
        <v>41122.0</v>
      </c>
      <c r="AL79" s="138">
        <v>41153.0</v>
      </c>
      <c r="AM79" s="138">
        <v>41183.0</v>
      </c>
      <c r="AN79" s="138">
        <v>41214.0</v>
      </c>
      <c r="AO79" s="138">
        <v>41244.0</v>
      </c>
      <c r="AP79" s="138">
        <v>41275.0</v>
      </c>
      <c r="AQ79" s="138">
        <v>41306.0</v>
      </c>
      <c r="AR79" s="138">
        <v>41334.0</v>
      </c>
      <c r="AS79" s="138">
        <v>41365.0</v>
      </c>
      <c r="AT79" s="138">
        <v>41395.0</v>
      </c>
      <c r="AU79" s="138">
        <v>41426.0</v>
      </c>
      <c r="AV79" s="138">
        <v>41456.0</v>
      </c>
      <c r="AW79" s="138">
        <v>41487.0</v>
      </c>
      <c r="AX79" s="138">
        <v>41518.0</v>
      </c>
      <c r="AY79" s="138">
        <v>41548.0</v>
      </c>
      <c r="AZ79" s="138">
        <v>41579.0</v>
      </c>
      <c r="BA79" s="138">
        <v>41609.0</v>
      </c>
      <c r="BB79" s="138">
        <v>41640.0</v>
      </c>
      <c r="BC79" s="138">
        <v>41671.0</v>
      </c>
      <c r="BD79" s="138">
        <v>41699.0</v>
      </c>
      <c r="BE79" s="138">
        <v>41730.0</v>
      </c>
      <c r="BF79" s="138">
        <v>41760.0</v>
      </c>
      <c r="BG79" s="138">
        <v>41791.0</v>
      </c>
      <c r="BH79" s="138">
        <v>41821.0</v>
      </c>
      <c r="BI79" s="138">
        <v>41852.0</v>
      </c>
      <c r="BJ79" s="138">
        <v>41883.0</v>
      </c>
      <c r="BK79" s="138">
        <v>41913.0</v>
      </c>
      <c r="BL79" s="138">
        <v>41944.0</v>
      </c>
      <c r="BM79" s="138">
        <v>41974.0</v>
      </c>
      <c r="BN79" s="138">
        <v>42005.0</v>
      </c>
      <c r="BO79" s="138">
        <v>42036.0</v>
      </c>
      <c r="BP79" s="138">
        <v>42064.0</v>
      </c>
      <c r="BQ79" s="138">
        <v>42095.0</v>
      </c>
      <c r="BR79" s="138">
        <v>42125.0</v>
      </c>
      <c r="BS79" s="138">
        <v>42156.0</v>
      </c>
      <c r="BT79" s="138">
        <v>42186.0</v>
      </c>
      <c r="BU79" s="138">
        <v>42217.0</v>
      </c>
      <c r="BV79" s="138">
        <v>42248.0</v>
      </c>
      <c r="BW79" s="138">
        <v>42278.0</v>
      </c>
      <c r="BX79" s="138">
        <v>42309.0</v>
      </c>
      <c r="BY79" s="138">
        <v>42339.0</v>
      </c>
      <c r="BZ79" s="138">
        <v>42370.0</v>
      </c>
      <c r="CA79" s="138">
        <v>42401.0</v>
      </c>
      <c r="CB79" s="138">
        <v>42430.0</v>
      </c>
      <c r="CC79" s="138">
        <v>42461.0</v>
      </c>
      <c r="CD79" s="138">
        <v>42491.0</v>
      </c>
      <c r="CE79" s="138">
        <v>42522.0</v>
      </c>
      <c r="CF79" s="138">
        <v>42552.0</v>
      </c>
      <c r="CG79" s="138">
        <v>42583.0</v>
      </c>
      <c r="CH79" s="138">
        <v>42614.0</v>
      </c>
      <c r="CI79" s="138">
        <v>42644.0</v>
      </c>
      <c r="CJ79" s="138">
        <v>42675.0</v>
      </c>
      <c r="CK79" s="138">
        <v>42705.0</v>
      </c>
      <c r="CL79" s="138">
        <v>42736.0</v>
      </c>
      <c r="CM79" s="138">
        <v>42767.0</v>
      </c>
      <c r="CN79" s="138">
        <v>42795.0</v>
      </c>
      <c r="CO79" s="138">
        <v>42826.0</v>
      </c>
      <c r="CP79" s="138">
        <v>42856.0</v>
      </c>
      <c r="CQ79" s="138">
        <v>42887.0</v>
      </c>
      <c r="CR79" s="138">
        <v>42917.0</v>
      </c>
      <c r="CS79" s="138">
        <v>42948.0</v>
      </c>
      <c r="CT79" s="138">
        <v>42979.0</v>
      </c>
      <c r="CU79" s="138">
        <v>43009.0</v>
      </c>
      <c r="CV79" s="138">
        <v>43040.0</v>
      </c>
      <c r="CW79" s="138">
        <v>43070.0</v>
      </c>
      <c r="CX79" s="139">
        <v>43101.0</v>
      </c>
      <c r="CY79" s="139">
        <v>43132.0</v>
      </c>
      <c r="CZ79" s="139">
        <v>43160.0</v>
      </c>
      <c r="DA79" s="139">
        <v>43191.0</v>
      </c>
      <c r="DB79" s="139">
        <v>43221.0</v>
      </c>
      <c r="DC79" s="139">
        <v>43252.0</v>
      </c>
      <c r="DD79" s="139">
        <v>43282.0</v>
      </c>
      <c r="DE79" s="139">
        <v>43313.0</v>
      </c>
      <c r="DF79" s="139">
        <v>43344.0</v>
      </c>
      <c r="DG79" s="139">
        <v>43374.0</v>
      </c>
      <c r="DH79" s="139">
        <v>43405.0</v>
      </c>
      <c r="DI79" s="139">
        <v>43435.0</v>
      </c>
      <c r="DJ79" s="139">
        <v>43466.0</v>
      </c>
      <c r="DK79" s="139">
        <v>43497.0</v>
      </c>
      <c r="DL79" s="139">
        <v>43525.0</v>
      </c>
      <c r="DM79" s="139">
        <v>43556.0</v>
      </c>
      <c r="DN79" s="139">
        <v>43586.0</v>
      </c>
      <c r="DO79" s="139">
        <v>43617.0</v>
      </c>
      <c r="DP79" s="139">
        <v>43647.0</v>
      </c>
      <c r="DQ79" s="139">
        <v>43678.0</v>
      </c>
      <c r="DR79" s="139">
        <v>43709.0</v>
      </c>
      <c r="DS79" s="139">
        <v>43739.0</v>
      </c>
      <c r="DT79" s="139">
        <v>43770.0</v>
      </c>
      <c r="DU79" s="139">
        <v>43800.0</v>
      </c>
      <c r="DV79" s="139">
        <v>43831.0</v>
      </c>
      <c r="DW79" s="139">
        <v>43862.0</v>
      </c>
      <c r="DX79" s="139">
        <v>43891.0</v>
      </c>
      <c r="DY79" s="139">
        <v>43922.0</v>
      </c>
      <c r="DZ79" s="139">
        <v>43952.0</v>
      </c>
      <c r="EA79" s="139">
        <v>43983.0</v>
      </c>
      <c r="EB79" s="139">
        <v>44013.0</v>
      </c>
      <c r="EC79" s="139">
        <v>44044.0</v>
      </c>
      <c r="ED79" s="139">
        <v>44075.0</v>
      </c>
      <c r="EE79" s="139">
        <v>44105.0</v>
      </c>
      <c r="EF79" s="139">
        <v>44136.0</v>
      </c>
      <c r="EG79" s="139">
        <v>44166.0</v>
      </c>
      <c r="EH79" s="139">
        <v>44197.0</v>
      </c>
      <c r="EI79" s="139">
        <v>44228.0</v>
      </c>
      <c r="EJ79" s="139">
        <v>44256.0</v>
      </c>
      <c r="EK79" s="139">
        <v>44287.0</v>
      </c>
      <c r="EL79" s="139">
        <v>44317.0</v>
      </c>
      <c r="EM79" s="139">
        <v>44348.0</v>
      </c>
      <c r="EN79" s="139">
        <v>44378.0</v>
      </c>
      <c r="EO79" s="139">
        <v>44409.0</v>
      </c>
      <c r="EP79" s="139">
        <v>44440.0</v>
      </c>
      <c r="EQ79" s="139">
        <v>44470.0</v>
      </c>
      <c r="ER79" s="139">
        <v>44501.0</v>
      </c>
      <c r="ES79" s="139">
        <v>44531.0</v>
      </c>
      <c r="ET79" s="139">
        <v>44562.0</v>
      </c>
      <c r="EU79" s="139">
        <v>44593.0</v>
      </c>
      <c r="EV79" s="139">
        <v>44621.0</v>
      </c>
      <c r="EW79" s="139">
        <v>44652.0</v>
      </c>
      <c r="EX79" s="139">
        <v>44682.0</v>
      </c>
      <c r="EY79" s="139">
        <v>44713.0</v>
      </c>
      <c r="EZ79" s="139">
        <v>44743.0</v>
      </c>
      <c r="FA79" s="139">
        <v>44774.0</v>
      </c>
      <c r="FB79" s="139">
        <v>44805.0</v>
      </c>
      <c r="FC79" s="139">
        <v>44835.0</v>
      </c>
      <c r="FD79" s="139">
        <v>44866.0</v>
      </c>
      <c r="FE79" s="139">
        <v>44896.0</v>
      </c>
      <c r="FF79" s="139">
        <v>44927.0</v>
      </c>
      <c r="FG79" s="139">
        <v>44958.0</v>
      </c>
      <c r="FH79" s="139">
        <v>44986.0</v>
      </c>
      <c r="FI79" s="139">
        <v>45017.0</v>
      </c>
      <c r="FJ79" s="139">
        <v>45047.0</v>
      </c>
      <c r="FK79" s="139">
        <v>45078.0</v>
      </c>
      <c r="FL79" s="139">
        <v>45108.0</v>
      </c>
      <c r="FM79" s="139">
        <v>45139.0</v>
      </c>
      <c r="FN79" s="139">
        <v>45170.0</v>
      </c>
      <c r="FO79" s="139">
        <v>45200.0</v>
      </c>
      <c r="FP79" s="139">
        <v>45231.0</v>
      </c>
      <c r="FQ79" s="139">
        <v>45261.0</v>
      </c>
      <c r="FR79" s="139">
        <v>45292.0</v>
      </c>
      <c r="FS79" s="139">
        <v>45323.0</v>
      </c>
      <c r="FT79" s="139">
        <v>45352.0</v>
      </c>
      <c r="FU79" s="139">
        <v>45383.0</v>
      </c>
      <c r="FV79" s="139">
        <v>45413.0</v>
      </c>
      <c r="FW79" s="139">
        <v>45444.0</v>
      </c>
      <c r="FX79" s="139">
        <v>45474.0</v>
      </c>
      <c r="FY79" s="139">
        <v>45505.0</v>
      </c>
      <c r="FZ79" s="139">
        <v>45536.0</v>
      </c>
      <c r="GA79" s="139">
        <v>45566.0</v>
      </c>
      <c r="GB79" s="139">
        <v>45597.0</v>
      </c>
      <c r="GC79" s="139">
        <v>45627.0</v>
      </c>
      <c r="GD79" s="139">
        <v>45658.0</v>
      </c>
      <c r="GE79" s="139">
        <v>45689.0</v>
      </c>
      <c r="GF79" s="139">
        <v>45717.0</v>
      </c>
      <c r="GG79" s="139">
        <v>45748.0</v>
      </c>
      <c r="GH79" s="139">
        <v>45778.0</v>
      </c>
      <c r="GI79" s="139">
        <v>45809.0</v>
      </c>
      <c r="GJ79" s="139">
        <v>45839.0</v>
      </c>
    </row>
    <row r="80">
      <c r="A80" s="133" t="s">
        <v>1447</v>
      </c>
      <c r="B80" s="134">
        <v>43151.70119212963</v>
      </c>
      <c r="C80" s="135" t="str">
        <f t="shared" si="1"/>
        <v>2018/02/20</v>
      </c>
      <c r="D80" s="136" t="s">
        <v>34284</v>
      </c>
      <c r="E80" s="151">
        <v>0.0</v>
      </c>
      <c r="F80" s="138">
        <v>40179.0</v>
      </c>
      <c r="G80" s="138">
        <v>40210.0</v>
      </c>
      <c r="H80" s="138">
        <v>40238.0</v>
      </c>
      <c r="I80" s="138">
        <v>40269.0</v>
      </c>
      <c r="J80" s="138">
        <v>40299.0</v>
      </c>
      <c r="K80" s="138">
        <v>40330.0</v>
      </c>
      <c r="L80" s="138">
        <v>40360.0</v>
      </c>
      <c r="M80" s="138">
        <v>40391.0</v>
      </c>
      <c r="N80" s="138">
        <v>40422.0</v>
      </c>
      <c r="O80" s="138">
        <v>40452.0</v>
      </c>
      <c r="P80" s="138">
        <v>40483.0</v>
      </c>
      <c r="Q80" s="138">
        <v>40513.0</v>
      </c>
      <c r="R80" s="138">
        <v>40544.0</v>
      </c>
      <c r="S80" s="138">
        <v>40575.0</v>
      </c>
      <c r="T80" s="138">
        <v>40603.0</v>
      </c>
      <c r="U80" s="138">
        <v>40634.0</v>
      </c>
      <c r="V80" s="138">
        <v>40664.0</v>
      </c>
      <c r="W80" s="138">
        <v>40695.0</v>
      </c>
      <c r="X80" s="138">
        <v>40725.0</v>
      </c>
      <c r="Y80" s="138">
        <v>40756.0</v>
      </c>
      <c r="Z80" s="138">
        <v>40787.0</v>
      </c>
      <c r="AA80" s="138">
        <v>40817.0</v>
      </c>
      <c r="AB80" s="138">
        <v>40848.0</v>
      </c>
      <c r="AC80" s="138">
        <v>40878.0</v>
      </c>
      <c r="AD80" s="138">
        <v>40909.0</v>
      </c>
      <c r="AE80" s="138">
        <v>40940.0</v>
      </c>
      <c r="AF80" s="138">
        <v>40969.0</v>
      </c>
      <c r="AG80" s="138">
        <v>41000.0</v>
      </c>
      <c r="AH80" s="138">
        <v>41030.0</v>
      </c>
      <c r="AI80" s="138">
        <v>41061.0</v>
      </c>
      <c r="AJ80" s="138">
        <v>41091.0</v>
      </c>
      <c r="AK80" s="138">
        <v>41122.0</v>
      </c>
      <c r="AL80" s="138">
        <v>41153.0</v>
      </c>
      <c r="AM80" s="138">
        <v>41183.0</v>
      </c>
      <c r="AN80" s="138">
        <v>41214.0</v>
      </c>
      <c r="AO80" s="138">
        <v>41244.0</v>
      </c>
      <c r="AP80" s="138">
        <v>41275.0</v>
      </c>
      <c r="AQ80" s="138">
        <v>41306.0</v>
      </c>
      <c r="AR80" s="138">
        <v>41334.0</v>
      </c>
      <c r="AS80" s="138">
        <v>41365.0</v>
      </c>
      <c r="AT80" s="138">
        <v>41395.0</v>
      </c>
      <c r="AU80" s="138">
        <v>41426.0</v>
      </c>
      <c r="AV80" s="138">
        <v>41456.0</v>
      </c>
      <c r="AW80" s="138">
        <v>41487.0</v>
      </c>
      <c r="AX80" s="138">
        <v>41518.0</v>
      </c>
      <c r="AY80" s="138">
        <v>41548.0</v>
      </c>
      <c r="AZ80" s="138">
        <v>41579.0</v>
      </c>
      <c r="BA80" s="138">
        <v>41609.0</v>
      </c>
      <c r="BB80" s="138">
        <v>41640.0</v>
      </c>
      <c r="BC80" s="138">
        <v>41671.0</v>
      </c>
      <c r="BD80" s="138">
        <v>41699.0</v>
      </c>
      <c r="BE80" s="138">
        <v>41730.0</v>
      </c>
      <c r="BF80" s="138">
        <v>41760.0</v>
      </c>
      <c r="BG80" s="138">
        <v>41791.0</v>
      </c>
      <c r="BH80" s="138">
        <v>41821.0</v>
      </c>
      <c r="BI80" s="138">
        <v>41852.0</v>
      </c>
      <c r="BJ80" s="138">
        <v>41883.0</v>
      </c>
      <c r="BK80" s="138">
        <v>41913.0</v>
      </c>
      <c r="BL80" s="138">
        <v>41944.0</v>
      </c>
      <c r="BM80" s="138">
        <v>41974.0</v>
      </c>
      <c r="BN80" s="138">
        <v>42005.0</v>
      </c>
      <c r="BO80" s="138">
        <v>42036.0</v>
      </c>
      <c r="BP80" s="138">
        <v>42064.0</v>
      </c>
      <c r="BQ80" s="138">
        <v>42095.0</v>
      </c>
      <c r="BR80" s="138">
        <v>42125.0</v>
      </c>
      <c r="BS80" s="138">
        <v>42156.0</v>
      </c>
      <c r="BT80" s="138">
        <v>42186.0</v>
      </c>
      <c r="BU80" s="138">
        <v>42217.0</v>
      </c>
      <c r="BV80" s="138">
        <v>42248.0</v>
      </c>
      <c r="BW80" s="138">
        <v>42278.0</v>
      </c>
      <c r="BX80" s="138">
        <v>42309.0</v>
      </c>
      <c r="BY80" s="138">
        <v>42339.0</v>
      </c>
      <c r="BZ80" s="138">
        <v>42370.0</v>
      </c>
      <c r="CA80" s="138">
        <v>42401.0</v>
      </c>
      <c r="CB80" s="138">
        <v>42430.0</v>
      </c>
      <c r="CC80" s="138">
        <v>42461.0</v>
      </c>
      <c r="CD80" s="138">
        <v>42491.0</v>
      </c>
      <c r="CE80" s="138">
        <v>42522.0</v>
      </c>
      <c r="CF80" s="138">
        <v>42552.0</v>
      </c>
      <c r="CG80" s="138">
        <v>42583.0</v>
      </c>
      <c r="CH80" s="138">
        <v>42614.0</v>
      </c>
      <c r="CI80" s="138">
        <v>42644.0</v>
      </c>
      <c r="CJ80" s="138">
        <v>42675.0</v>
      </c>
      <c r="CK80" s="138">
        <v>42705.0</v>
      </c>
      <c r="CL80" s="138">
        <v>42736.0</v>
      </c>
      <c r="CM80" s="138">
        <v>42767.0</v>
      </c>
      <c r="CN80" s="138">
        <v>42795.0</v>
      </c>
      <c r="CO80" s="138">
        <v>42826.0</v>
      </c>
      <c r="CP80" s="138">
        <v>42856.0</v>
      </c>
      <c r="CQ80" s="138">
        <v>42887.0</v>
      </c>
      <c r="CR80" s="138">
        <v>42917.0</v>
      </c>
      <c r="CS80" s="138">
        <v>42948.0</v>
      </c>
      <c r="CT80" s="138">
        <v>42979.0</v>
      </c>
      <c r="CU80" s="138">
        <v>43009.0</v>
      </c>
      <c r="CV80" s="138">
        <v>43040.0</v>
      </c>
      <c r="CW80" s="138">
        <v>43070.0</v>
      </c>
      <c r="CX80" s="138">
        <v>43101.0</v>
      </c>
      <c r="CY80" s="138">
        <v>43132.0</v>
      </c>
      <c r="CZ80" s="139">
        <v>43160.0</v>
      </c>
      <c r="DA80" s="139">
        <v>43191.0</v>
      </c>
      <c r="DB80" s="139">
        <v>43221.0</v>
      </c>
      <c r="DC80" s="139">
        <v>43252.0</v>
      </c>
      <c r="DD80" s="139">
        <v>43282.0</v>
      </c>
      <c r="DE80" s="139">
        <v>43313.0</v>
      </c>
      <c r="DF80" s="139">
        <v>43344.0</v>
      </c>
      <c r="DG80" s="139">
        <v>43374.0</v>
      </c>
      <c r="DH80" s="139">
        <v>43405.0</v>
      </c>
      <c r="DI80" s="139">
        <v>43435.0</v>
      </c>
      <c r="DJ80" s="139">
        <v>43466.0</v>
      </c>
      <c r="DK80" s="139">
        <v>43497.0</v>
      </c>
      <c r="DL80" s="139">
        <v>43525.0</v>
      </c>
      <c r="DM80" s="139">
        <v>43556.0</v>
      </c>
      <c r="DN80" s="139">
        <v>43586.0</v>
      </c>
      <c r="DO80" s="139">
        <v>43617.0</v>
      </c>
      <c r="DP80" s="139">
        <v>43647.0</v>
      </c>
      <c r="DQ80" s="139">
        <v>43678.0</v>
      </c>
      <c r="DR80" s="139">
        <v>43709.0</v>
      </c>
      <c r="DS80" s="139">
        <v>43739.0</v>
      </c>
      <c r="DT80" s="139">
        <v>43770.0</v>
      </c>
      <c r="DU80" s="139">
        <v>43800.0</v>
      </c>
      <c r="DV80" s="139">
        <v>43831.0</v>
      </c>
      <c r="DW80" s="139">
        <v>43862.0</v>
      </c>
      <c r="DX80" s="139">
        <v>43891.0</v>
      </c>
      <c r="DY80" s="139">
        <v>43922.0</v>
      </c>
      <c r="DZ80" s="139">
        <v>43952.0</v>
      </c>
      <c r="EA80" s="139">
        <v>43983.0</v>
      </c>
      <c r="EB80" s="139">
        <v>44013.0</v>
      </c>
      <c r="EC80" s="139">
        <v>44044.0</v>
      </c>
      <c r="ED80" s="139">
        <v>44075.0</v>
      </c>
      <c r="EE80" s="139">
        <v>44105.0</v>
      </c>
      <c r="EF80" s="139">
        <v>44136.0</v>
      </c>
      <c r="EG80" s="139">
        <v>44166.0</v>
      </c>
      <c r="EH80" s="139">
        <v>44197.0</v>
      </c>
      <c r="EI80" s="139">
        <v>44228.0</v>
      </c>
      <c r="EJ80" s="139">
        <v>44256.0</v>
      </c>
      <c r="EK80" s="139">
        <v>44287.0</v>
      </c>
      <c r="EL80" s="139">
        <v>44317.0</v>
      </c>
      <c r="EM80" s="139">
        <v>44348.0</v>
      </c>
      <c r="EN80" s="139">
        <v>44378.0</v>
      </c>
      <c r="EO80" s="139">
        <v>44409.0</v>
      </c>
      <c r="EP80" s="139">
        <v>44440.0</v>
      </c>
      <c r="EQ80" s="139">
        <v>44470.0</v>
      </c>
      <c r="ER80" s="139">
        <v>44501.0</v>
      </c>
      <c r="ES80" s="139">
        <v>44531.0</v>
      </c>
      <c r="ET80" s="139">
        <v>44562.0</v>
      </c>
      <c r="EU80" s="139">
        <v>44593.0</v>
      </c>
      <c r="EV80" s="139">
        <v>44621.0</v>
      </c>
      <c r="EW80" s="139">
        <v>44652.0</v>
      </c>
      <c r="EX80" s="139">
        <v>44682.0</v>
      </c>
      <c r="EY80" s="139">
        <v>44713.0</v>
      </c>
      <c r="EZ80" s="139">
        <v>44743.0</v>
      </c>
      <c r="FA80" s="139">
        <v>44774.0</v>
      </c>
      <c r="FB80" s="139">
        <v>44805.0</v>
      </c>
      <c r="FC80" s="139">
        <v>44835.0</v>
      </c>
      <c r="FD80" s="139">
        <v>44866.0</v>
      </c>
      <c r="FE80" s="139">
        <v>44896.0</v>
      </c>
      <c r="FF80" s="139">
        <v>44927.0</v>
      </c>
      <c r="FG80" s="139">
        <v>44958.0</v>
      </c>
      <c r="FH80" s="139">
        <v>44986.0</v>
      </c>
      <c r="FI80" s="139">
        <v>45017.0</v>
      </c>
      <c r="FJ80" s="139">
        <v>45047.0</v>
      </c>
      <c r="FK80" s="139">
        <v>45078.0</v>
      </c>
      <c r="FL80" s="139">
        <v>45108.0</v>
      </c>
      <c r="FM80" s="139">
        <v>45139.0</v>
      </c>
      <c r="FN80" s="139">
        <v>45170.0</v>
      </c>
      <c r="FO80" s="139">
        <v>45200.0</v>
      </c>
      <c r="FP80" s="139">
        <v>45231.0</v>
      </c>
      <c r="FQ80" s="139">
        <v>45261.0</v>
      </c>
      <c r="FR80" s="139">
        <v>45292.0</v>
      </c>
      <c r="FS80" s="139">
        <v>45323.0</v>
      </c>
      <c r="FT80" s="139">
        <v>45352.0</v>
      </c>
      <c r="FU80" s="139">
        <v>45383.0</v>
      </c>
      <c r="FV80" s="139">
        <v>45413.0</v>
      </c>
      <c r="FW80" s="139">
        <v>45444.0</v>
      </c>
      <c r="FX80" s="139">
        <v>45474.0</v>
      </c>
      <c r="FY80" s="139">
        <v>45505.0</v>
      </c>
      <c r="FZ80" s="139">
        <v>45536.0</v>
      </c>
      <c r="GA80" s="139">
        <v>45566.0</v>
      </c>
      <c r="GB80" s="139">
        <v>45597.0</v>
      </c>
      <c r="GC80" s="139">
        <v>45627.0</v>
      </c>
      <c r="GD80" s="139">
        <v>45658.0</v>
      </c>
      <c r="GE80" s="139">
        <v>45689.0</v>
      </c>
      <c r="GF80" s="139">
        <v>45717.0</v>
      </c>
      <c r="GG80" s="139">
        <v>45748.0</v>
      </c>
      <c r="GH80" s="139">
        <v>45778.0</v>
      </c>
      <c r="GI80" s="139">
        <v>45809.0</v>
      </c>
      <c r="GJ80" s="139">
        <v>45839.0</v>
      </c>
    </row>
    <row r="81">
      <c r="A81" s="133" t="s">
        <v>1562</v>
      </c>
      <c r="B81" s="134">
        <v>43151.701261574075</v>
      </c>
      <c r="C81" s="135" t="str">
        <f t="shared" si="1"/>
        <v>2018/02/20</v>
      </c>
      <c r="D81" s="136" t="s">
        <v>33949</v>
      </c>
      <c r="E81" s="151">
        <v>0.0</v>
      </c>
      <c r="F81" s="138">
        <v>40179.0</v>
      </c>
      <c r="G81" s="138">
        <v>40210.0</v>
      </c>
      <c r="H81" s="138">
        <v>40238.0</v>
      </c>
      <c r="I81" s="138">
        <v>40269.0</v>
      </c>
      <c r="J81" s="138">
        <v>40299.0</v>
      </c>
      <c r="K81" s="138">
        <v>40330.0</v>
      </c>
      <c r="L81" s="138">
        <v>40360.0</v>
      </c>
      <c r="M81" s="138">
        <v>40391.0</v>
      </c>
      <c r="N81" s="138">
        <v>40422.0</v>
      </c>
      <c r="O81" s="138">
        <v>40452.0</v>
      </c>
      <c r="P81" s="138">
        <v>40483.0</v>
      </c>
      <c r="Q81" s="138">
        <v>40513.0</v>
      </c>
      <c r="R81" s="138">
        <v>40544.0</v>
      </c>
      <c r="S81" s="138">
        <v>40575.0</v>
      </c>
      <c r="T81" s="138">
        <v>40603.0</v>
      </c>
      <c r="U81" s="138">
        <v>40634.0</v>
      </c>
      <c r="V81" s="138">
        <v>40664.0</v>
      </c>
      <c r="W81" s="138">
        <v>40695.0</v>
      </c>
      <c r="X81" s="138">
        <v>40725.0</v>
      </c>
      <c r="Y81" s="138">
        <v>40756.0</v>
      </c>
      <c r="Z81" s="138">
        <v>40787.0</v>
      </c>
      <c r="AA81" s="138">
        <v>40817.0</v>
      </c>
      <c r="AB81" s="138">
        <v>40848.0</v>
      </c>
      <c r="AC81" s="138">
        <v>40878.0</v>
      </c>
      <c r="AD81" s="138">
        <v>40909.0</v>
      </c>
      <c r="AE81" s="138">
        <v>40940.0</v>
      </c>
      <c r="AF81" s="138">
        <v>40969.0</v>
      </c>
      <c r="AG81" s="138">
        <v>41000.0</v>
      </c>
      <c r="AH81" s="138">
        <v>41030.0</v>
      </c>
      <c r="AI81" s="138">
        <v>41061.0</v>
      </c>
      <c r="AJ81" s="138">
        <v>41091.0</v>
      </c>
      <c r="AK81" s="138">
        <v>41122.0</v>
      </c>
      <c r="AL81" s="138">
        <v>41153.0</v>
      </c>
      <c r="AM81" s="138">
        <v>41183.0</v>
      </c>
      <c r="AN81" s="138">
        <v>41214.0</v>
      </c>
      <c r="AO81" s="138">
        <v>41244.0</v>
      </c>
      <c r="AP81" s="138">
        <v>41275.0</v>
      </c>
      <c r="AQ81" s="138">
        <v>41306.0</v>
      </c>
      <c r="AR81" s="138">
        <v>41334.0</v>
      </c>
      <c r="AS81" s="138">
        <v>41365.0</v>
      </c>
      <c r="AT81" s="138">
        <v>41395.0</v>
      </c>
      <c r="AU81" s="138">
        <v>41426.0</v>
      </c>
      <c r="AV81" s="138">
        <v>41456.0</v>
      </c>
      <c r="AW81" s="138">
        <v>41487.0</v>
      </c>
      <c r="AX81" s="138">
        <v>41518.0</v>
      </c>
      <c r="AY81" s="138">
        <v>41548.0</v>
      </c>
      <c r="AZ81" s="138">
        <v>41579.0</v>
      </c>
      <c r="BA81" s="138">
        <v>41609.0</v>
      </c>
      <c r="BB81" s="138">
        <v>41640.0</v>
      </c>
      <c r="BC81" s="138">
        <v>41671.0</v>
      </c>
      <c r="BD81" s="138">
        <v>41699.0</v>
      </c>
      <c r="BE81" s="138">
        <v>41730.0</v>
      </c>
      <c r="BF81" s="138">
        <v>41760.0</v>
      </c>
      <c r="BG81" s="138">
        <v>41791.0</v>
      </c>
      <c r="BH81" s="138">
        <v>41821.0</v>
      </c>
      <c r="BI81" s="138">
        <v>41852.0</v>
      </c>
      <c r="BJ81" s="138">
        <v>41883.0</v>
      </c>
      <c r="BK81" s="138">
        <v>41913.0</v>
      </c>
      <c r="BL81" s="138">
        <v>41944.0</v>
      </c>
      <c r="BM81" s="138">
        <v>41974.0</v>
      </c>
      <c r="BN81" s="138">
        <v>42005.0</v>
      </c>
      <c r="BO81" s="138">
        <v>42036.0</v>
      </c>
      <c r="BP81" s="138">
        <v>42064.0</v>
      </c>
      <c r="BQ81" s="138">
        <v>42095.0</v>
      </c>
      <c r="BR81" s="138">
        <v>42125.0</v>
      </c>
      <c r="BS81" s="138">
        <v>42156.0</v>
      </c>
      <c r="BT81" s="138">
        <v>42186.0</v>
      </c>
      <c r="BU81" s="138">
        <v>42217.0</v>
      </c>
      <c r="BV81" s="138">
        <v>42248.0</v>
      </c>
      <c r="BW81" s="138">
        <v>42278.0</v>
      </c>
      <c r="BX81" s="138">
        <v>42309.0</v>
      </c>
      <c r="BY81" s="138">
        <v>42339.0</v>
      </c>
      <c r="BZ81" s="138">
        <v>42370.0</v>
      </c>
      <c r="CA81" s="138">
        <v>42401.0</v>
      </c>
      <c r="CB81" s="138">
        <v>42430.0</v>
      </c>
      <c r="CC81" s="138">
        <v>42461.0</v>
      </c>
      <c r="CD81" s="138">
        <v>42491.0</v>
      </c>
      <c r="CE81" s="138">
        <v>42522.0</v>
      </c>
      <c r="CF81" s="138">
        <v>42552.0</v>
      </c>
      <c r="CG81" s="138">
        <v>42583.0</v>
      </c>
      <c r="CH81" s="138">
        <v>42614.0</v>
      </c>
      <c r="CI81" s="138">
        <v>42644.0</v>
      </c>
      <c r="CJ81" s="138">
        <v>42675.0</v>
      </c>
      <c r="CK81" s="138">
        <v>42705.0</v>
      </c>
      <c r="CL81" s="138">
        <v>42736.0</v>
      </c>
      <c r="CM81" s="138">
        <v>42767.0</v>
      </c>
      <c r="CN81" s="138">
        <v>42795.0</v>
      </c>
      <c r="CO81" s="138">
        <v>42826.0</v>
      </c>
      <c r="CP81" s="138">
        <v>42856.0</v>
      </c>
      <c r="CQ81" s="138">
        <v>42887.0</v>
      </c>
      <c r="CR81" s="138">
        <v>42917.0</v>
      </c>
      <c r="CS81" s="138">
        <v>42948.0</v>
      </c>
      <c r="CT81" s="138">
        <v>42979.0</v>
      </c>
      <c r="CU81" s="138">
        <v>43009.0</v>
      </c>
      <c r="CV81" s="138">
        <v>43040.0</v>
      </c>
      <c r="CW81" s="138">
        <v>43070.0</v>
      </c>
      <c r="CX81" s="138">
        <v>43101.0</v>
      </c>
      <c r="CY81" s="138">
        <v>43132.0</v>
      </c>
      <c r="CZ81" s="139">
        <v>43160.0</v>
      </c>
      <c r="DA81" s="139">
        <v>43191.0</v>
      </c>
      <c r="DB81" s="139">
        <v>43221.0</v>
      </c>
      <c r="DC81" s="139">
        <v>43252.0</v>
      </c>
      <c r="DD81" s="139">
        <v>43282.0</v>
      </c>
      <c r="DE81" s="139">
        <v>43313.0</v>
      </c>
      <c r="DF81" s="139">
        <v>43344.0</v>
      </c>
      <c r="DG81" s="139">
        <v>43374.0</v>
      </c>
      <c r="DH81" s="139">
        <v>43405.0</v>
      </c>
      <c r="DI81" s="139">
        <v>43435.0</v>
      </c>
      <c r="DJ81" s="139">
        <v>43466.0</v>
      </c>
      <c r="DK81" s="139">
        <v>43497.0</v>
      </c>
      <c r="DL81" s="139">
        <v>43525.0</v>
      </c>
      <c r="DM81" s="139">
        <v>43556.0</v>
      </c>
      <c r="DN81" s="139">
        <v>43586.0</v>
      </c>
      <c r="DO81" s="139">
        <v>43617.0</v>
      </c>
      <c r="DP81" s="139">
        <v>43647.0</v>
      </c>
      <c r="DQ81" s="139">
        <v>43678.0</v>
      </c>
      <c r="DR81" s="139">
        <v>43709.0</v>
      </c>
      <c r="DS81" s="139">
        <v>43739.0</v>
      </c>
      <c r="DT81" s="139">
        <v>43770.0</v>
      </c>
      <c r="DU81" s="139">
        <v>43800.0</v>
      </c>
      <c r="DV81" s="139">
        <v>43831.0</v>
      </c>
      <c r="DW81" s="139">
        <v>43862.0</v>
      </c>
      <c r="DX81" s="139">
        <v>43891.0</v>
      </c>
      <c r="DY81" s="139">
        <v>43922.0</v>
      </c>
      <c r="DZ81" s="139">
        <v>43952.0</v>
      </c>
      <c r="EA81" s="139">
        <v>43983.0</v>
      </c>
      <c r="EB81" s="139">
        <v>44013.0</v>
      </c>
      <c r="EC81" s="139">
        <v>44044.0</v>
      </c>
      <c r="ED81" s="139">
        <v>44075.0</v>
      </c>
      <c r="EE81" s="139">
        <v>44105.0</v>
      </c>
      <c r="EF81" s="139">
        <v>44136.0</v>
      </c>
      <c r="EG81" s="139">
        <v>44166.0</v>
      </c>
      <c r="EH81" s="139">
        <v>44197.0</v>
      </c>
      <c r="EI81" s="139">
        <v>44228.0</v>
      </c>
      <c r="EJ81" s="139">
        <v>44256.0</v>
      </c>
      <c r="EK81" s="139">
        <v>44287.0</v>
      </c>
      <c r="EL81" s="139">
        <v>44317.0</v>
      </c>
      <c r="EM81" s="139">
        <v>44348.0</v>
      </c>
      <c r="EN81" s="139">
        <v>44378.0</v>
      </c>
      <c r="EO81" s="139">
        <v>44409.0</v>
      </c>
      <c r="EP81" s="139">
        <v>44440.0</v>
      </c>
      <c r="EQ81" s="139">
        <v>44470.0</v>
      </c>
      <c r="ER81" s="139">
        <v>44501.0</v>
      </c>
      <c r="ES81" s="139">
        <v>44531.0</v>
      </c>
      <c r="ET81" s="139">
        <v>44562.0</v>
      </c>
      <c r="EU81" s="139">
        <v>44593.0</v>
      </c>
      <c r="EV81" s="139">
        <v>44621.0</v>
      </c>
      <c r="EW81" s="139">
        <v>44652.0</v>
      </c>
      <c r="EX81" s="139">
        <v>44682.0</v>
      </c>
      <c r="EY81" s="139">
        <v>44713.0</v>
      </c>
      <c r="EZ81" s="139">
        <v>44743.0</v>
      </c>
      <c r="FA81" s="139">
        <v>44774.0</v>
      </c>
      <c r="FB81" s="139">
        <v>44805.0</v>
      </c>
      <c r="FC81" s="139">
        <v>44835.0</v>
      </c>
      <c r="FD81" s="139">
        <v>44866.0</v>
      </c>
      <c r="FE81" s="139">
        <v>44896.0</v>
      </c>
      <c r="FF81" s="139">
        <v>44927.0</v>
      </c>
      <c r="FG81" s="139">
        <v>44958.0</v>
      </c>
      <c r="FH81" s="139">
        <v>44986.0</v>
      </c>
      <c r="FI81" s="139">
        <v>45017.0</v>
      </c>
      <c r="FJ81" s="139">
        <v>45047.0</v>
      </c>
      <c r="FK81" s="139">
        <v>45078.0</v>
      </c>
      <c r="FL81" s="139">
        <v>45108.0</v>
      </c>
      <c r="FM81" s="139">
        <v>45139.0</v>
      </c>
      <c r="FN81" s="139">
        <v>45170.0</v>
      </c>
      <c r="FO81" s="139">
        <v>45200.0</v>
      </c>
      <c r="FP81" s="139">
        <v>45231.0</v>
      </c>
      <c r="FQ81" s="139">
        <v>45261.0</v>
      </c>
      <c r="FR81" s="139">
        <v>45292.0</v>
      </c>
      <c r="FS81" s="139">
        <v>45323.0</v>
      </c>
      <c r="FT81" s="139">
        <v>45352.0</v>
      </c>
      <c r="FU81" s="139">
        <v>45383.0</v>
      </c>
      <c r="FV81" s="139">
        <v>45413.0</v>
      </c>
      <c r="FW81" s="139">
        <v>45444.0</v>
      </c>
      <c r="FX81" s="139">
        <v>45474.0</v>
      </c>
      <c r="FY81" s="139">
        <v>45505.0</v>
      </c>
      <c r="FZ81" s="139">
        <v>45536.0</v>
      </c>
      <c r="GA81" s="139">
        <v>45566.0</v>
      </c>
      <c r="GB81" s="139">
        <v>45597.0</v>
      </c>
      <c r="GC81" s="139">
        <v>45627.0</v>
      </c>
      <c r="GD81" s="139">
        <v>45658.0</v>
      </c>
      <c r="GE81" s="139">
        <v>45689.0</v>
      </c>
      <c r="GF81" s="139">
        <v>45717.0</v>
      </c>
      <c r="GG81" s="139">
        <v>45748.0</v>
      </c>
      <c r="GH81" s="139">
        <v>45778.0</v>
      </c>
      <c r="GI81" s="139">
        <v>45809.0</v>
      </c>
      <c r="GJ81" s="139">
        <v>45839.0</v>
      </c>
    </row>
    <row r="82">
      <c r="A82" s="133" t="s">
        <v>1841</v>
      </c>
      <c r="B82" s="134">
        <v>43227.605474537035</v>
      </c>
      <c r="C82" s="135" t="str">
        <f t="shared" si="1"/>
        <v>2018/05/07</v>
      </c>
      <c r="D82" s="136" t="s">
        <v>33983</v>
      </c>
      <c r="E82" s="151">
        <v>0.0</v>
      </c>
      <c r="F82" s="138">
        <v>40179.0</v>
      </c>
      <c r="G82" s="138">
        <v>40210.0</v>
      </c>
      <c r="H82" s="138">
        <v>40238.0</v>
      </c>
      <c r="I82" s="138">
        <v>40269.0</v>
      </c>
      <c r="J82" s="138">
        <v>40299.0</v>
      </c>
      <c r="K82" s="138">
        <v>40330.0</v>
      </c>
      <c r="L82" s="138">
        <v>40360.0</v>
      </c>
      <c r="M82" s="138">
        <v>40391.0</v>
      </c>
      <c r="N82" s="138">
        <v>40422.0</v>
      </c>
      <c r="O82" s="138">
        <v>40452.0</v>
      </c>
      <c r="P82" s="138">
        <v>40483.0</v>
      </c>
      <c r="Q82" s="138">
        <v>40513.0</v>
      </c>
      <c r="R82" s="138">
        <v>40544.0</v>
      </c>
      <c r="S82" s="138">
        <v>40575.0</v>
      </c>
      <c r="T82" s="138">
        <v>40603.0</v>
      </c>
      <c r="U82" s="138">
        <v>40634.0</v>
      </c>
      <c r="V82" s="138">
        <v>40664.0</v>
      </c>
      <c r="W82" s="138">
        <v>40695.0</v>
      </c>
      <c r="X82" s="138">
        <v>40725.0</v>
      </c>
      <c r="Y82" s="138">
        <v>40756.0</v>
      </c>
      <c r="Z82" s="138">
        <v>40787.0</v>
      </c>
      <c r="AA82" s="138">
        <v>40817.0</v>
      </c>
      <c r="AB82" s="138">
        <v>40848.0</v>
      </c>
      <c r="AC82" s="138">
        <v>40878.0</v>
      </c>
      <c r="AD82" s="138">
        <v>40909.0</v>
      </c>
      <c r="AE82" s="138">
        <v>40940.0</v>
      </c>
      <c r="AF82" s="138">
        <v>40969.0</v>
      </c>
      <c r="AG82" s="138">
        <v>41000.0</v>
      </c>
      <c r="AH82" s="138">
        <v>41030.0</v>
      </c>
      <c r="AI82" s="138">
        <v>41061.0</v>
      </c>
      <c r="AJ82" s="138">
        <v>41091.0</v>
      </c>
      <c r="AK82" s="138">
        <v>41122.0</v>
      </c>
      <c r="AL82" s="138">
        <v>41153.0</v>
      </c>
      <c r="AM82" s="138">
        <v>41183.0</v>
      </c>
      <c r="AN82" s="138">
        <v>41214.0</v>
      </c>
      <c r="AO82" s="138">
        <v>41244.0</v>
      </c>
      <c r="AP82" s="138">
        <v>41275.0</v>
      </c>
      <c r="AQ82" s="138">
        <v>41306.0</v>
      </c>
      <c r="AR82" s="138">
        <v>41334.0</v>
      </c>
      <c r="AS82" s="138">
        <v>41365.0</v>
      </c>
      <c r="AT82" s="138">
        <v>41395.0</v>
      </c>
      <c r="AU82" s="138">
        <v>41426.0</v>
      </c>
      <c r="AV82" s="138">
        <v>41456.0</v>
      </c>
      <c r="AW82" s="138">
        <v>41487.0</v>
      </c>
      <c r="AX82" s="138">
        <v>41518.0</v>
      </c>
      <c r="AY82" s="138">
        <v>41548.0</v>
      </c>
      <c r="AZ82" s="138">
        <v>41579.0</v>
      </c>
      <c r="BA82" s="138">
        <v>41609.0</v>
      </c>
      <c r="BB82" s="138">
        <v>41640.0</v>
      </c>
      <c r="BC82" s="138">
        <v>41671.0</v>
      </c>
      <c r="BD82" s="138">
        <v>41699.0</v>
      </c>
      <c r="BE82" s="138">
        <v>41730.0</v>
      </c>
      <c r="BF82" s="138">
        <v>41760.0</v>
      </c>
      <c r="BG82" s="138">
        <v>41791.0</v>
      </c>
      <c r="BH82" s="138">
        <v>41821.0</v>
      </c>
      <c r="BI82" s="138">
        <v>41852.0</v>
      </c>
      <c r="BJ82" s="138">
        <v>41883.0</v>
      </c>
      <c r="BK82" s="138">
        <v>41913.0</v>
      </c>
      <c r="BL82" s="138">
        <v>41944.0</v>
      </c>
      <c r="BM82" s="138">
        <v>41974.0</v>
      </c>
      <c r="BN82" s="138">
        <v>42005.0</v>
      </c>
      <c r="BO82" s="138">
        <v>42036.0</v>
      </c>
      <c r="BP82" s="138">
        <v>42064.0</v>
      </c>
      <c r="BQ82" s="138">
        <v>42095.0</v>
      </c>
      <c r="BR82" s="138">
        <v>42125.0</v>
      </c>
      <c r="BS82" s="138">
        <v>42156.0</v>
      </c>
      <c r="BT82" s="138">
        <v>42186.0</v>
      </c>
      <c r="BU82" s="138">
        <v>42217.0</v>
      </c>
      <c r="BV82" s="138">
        <v>42248.0</v>
      </c>
      <c r="BW82" s="138">
        <v>42278.0</v>
      </c>
      <c r="BX82" s="138">
        <v>42309.0</v>
      </c>
      <c r="BY82" s="138">
        <v>42339.0</v>
      </c>
      <c r="BZ82" s="138">
        <v>42370.0</v>
      </c>
      <c r="CA82" s="138">
        <v>42401.0</v>
      </c>
      <c r="CB82" s="138">
        <v>42430.0</v>
      </c>
      <c r="CC82" s="138">
        <v>42461.0</v>
      </c>
      <c r="CD82" s="138">
        <v>42491.0</v>
      </c>
      <c r="CE82" s="138">
        <v>42522.0</v>
      </c>
      <c r="CF82" s="138">
        <v>42552.0</v>
      </c>
      <c r="CG82" s="138">
        <v>42583.0</v>
      </c>
      <c r="CH82" s="138">
        <v>42614.0</v>
      </c>
      <c r="CI82" s="138">
        <v>42644.0</v>
      </c>
      <c r="CJ82" s="138">
        <v>42675.0</v>
      </c>
      <c r="CK82" s="138">
        <v>42705.0</v>
      </c>
      <c r="CL82" s="138">
        <v>42736.0</v>
      </c>
      <c r="CM82" s="138">
        <v>42767.0</v>
      </c>
      <c r="CN82" s="138">
        <v>42795.0</v>
      </c>
      <c r="CO82" s="138">
        <v>42826.0</v>
      </c>
      <c r="CP82" s="138">
        <v>42856.0</v>
      </c>
      <c r="CQ82" s="138">
        <v>42887.0</v>
      </c>
      <c r="CR82" s="138">
        <v>42917.0</v>
      </c>
      <c r="CS82" s="138">
        <v>42948.0</v>
      </c>
      <c r="CT82" s="138">
        <v>42979.0</v>
      </c>
      <c r="CU82" s="138">
        <v>43009.0</v>
      </c>
      <c r="CV82" s="138">
        <v>43040.0</v>
      </c>
      <c r="CW82" s="138">
        <v>43070.0</v>
      </c>
      <c r="CX82" s="138">
        <v>43101.0</v>
      </c>
      <c r="CY82" s="138">
        <v>43132.0</v>
      </c>
      <c r="CZ82" s="138">
        <v>43160.0</v>
      </c>
      <c r="DA82" s="138">
        <v>43191.0</v>
      </c>
      <c r="DB82" s="138">
        <v>43221.0</v>
      </c>
      <c r="DC82" s="139">
        <v>43252.0</v>
      </c>
      <c r="DD82" s="139">
        <v>43282.0</v>
      </c>
      <c r="DE82" s="139">
        <v>43313.0</v>
      </c>
      <c r="DF82" s="139">
        <v>43344.0</v>
      </c>
      <c r="DG82" s="139">
        <v>43374.0</v>
      </c>
      <c r="DH82" s="139">
        <v>43405.0</v>
      </c>
      <c r="DI82" s="139">
        <v>43435.0</v>
      </c>
      <c r="DJ82" s="139">
        <v>43466.0</v>
      </c>
      <c r="DK82" s="139">
        <v>43497.0</v>
      </c>
      <c r="DL82" s="139">
        <v>43525.0</v>
      </c>
      <c r="DM82" s="139">
        <v>43556.0</v>
      </c>
      <c r="DN82" s="139">
        <v>43586.0</v>
      </c>
      <c r="DO82" s="139">
        <v>43617.0</v>
      </c>
      <c r="DP82" s="139">
        <v>43647.0</v>
      </c>
      <c r="DQ82" s="139">
        <v>43678.0</v>
      </c>
      <c r="DR82" s="139">
        <v>43709.0</v>
      </c>
      <c r="DS82" s="139">
        <v>43739.0</v>
      </c>
      <c r="DT82" s="139">
        <v>43770.0</v>
      </c>
      <c r="DU82" s="139">
        <v>43800.0</v>
      </c>
      <c r="DV82" s="139">
        <v>43831.0</v>
      </c>
      <c r="DW82" s="139">
        <v>43862.0</v>
      </c>
      <c r="DX82" s="139">
        <v>43891.0</v>
      </c>
      <c r="DY82" s="139">
        <v>43922.0</v>
      </c>
      <c r="DZ82" s="139">
        <v>43952.0</v>
      </c>
      <c r="EA82" s="139">
        <v>43983.0</v>
      </c>
      <c r="EB82" s="139">
        <v>44013.0</v>
      </c>
      <c r="EC82" s="139">
        <v>44044.0</v>
      </c>
      <c r="ED82" s="139">
        <v>44075.0</v>
      </c>
      <c r="EE82" s="139">
        <v>44105.0</v>
      </c>
      <c r="EF82" s="139">
        <v>44136.0</v>
      </c>
      <c r="EG82" s="139">
        <v>44166.0</v>
      </c>
      <c r="EH82" s="139">
        <v>44197.0</v>
      </c>
      <c r="EI82" s="139">
        <v>44228.0</v>
      </c>
      <c r="EJ82" s="139">
        <v>44256.0</v>
      </c>
      <c r="EK82" s="139">
        <v>44287.0</v>
      </c>
      <c r="EL82" s="139">
        <v>44317.0</v>
      </c>
      <c r="EM82" s="139">
        <v>44348.0</v>
      </c>
      <c r="EN82" s="139">
        <v>44378.0</v>
      </c>
      <c r="EO82" s="139">
        <v>44409.0</v>
      </c>
      <c r="EP82" s="139">
        <v>44440.0</v>
      </c>
      <c r="EQ82" s="139">
        <v>44470.0</v>
      </c>
      <c r="ER82" s="139">
        <v>44501.0</v>
      </c>
      <c r="ES82" s="139">
        <v>44531.0</v>
      </c>
      <c r="ET82" s="139">
        <v>44562.0</v>
      </c>
      <c r="EU82" s="139">
        <v>44593.0</v>
      </c>
      <c r="EV82" s="139">
        <v>44621.0</v>
      </c>
      <c r="EW82" s="139">
        <v>44652.0</v>
      </c>
      <c r="EX82" s="139">
        <v>44682.0</v>
      </c>
      <c r="EY82" s="139">
        <v>44713.0</v>
      </c>
      <c r="EZ82" s="139">
        <v>44743.0</v>
      </c>
      <c r="FA82" s="139">
        <v>44774.0</v>
      </c>
      <c r="FB82" s="139">
        <v>44805.0</v>
      </c>
      <c r="FC82" s="139">
        <v>44835.0</v>
      </c>
      <c r="FD82" s="139">
        <v>44866.0</v>
      </c>
      <c r="FE82" s="139">
        <v>44896.0</v>
      </c>
      <c r="FF82" s="139">
        <v>44927.0</v>
      </c>
      <c r="FG82" s="139">
        <v>44958.0</v>
      </c>
      <c r="FH82" s="139">
        <v>44986.0</v>
      </c>
      <c r="FI82" s="139">
        <v>45017.0</v>
      </c>
      <c r="FJ82" s="139">
        <v>45047.0</v>
      </c>
      <c r="FK82" s="139">
        <v>45078.0</v>
      </c>
      <c r="FL82" s="139">
        <v>45108.0</v>
      </c>
      <c r="FM82" s="139">
        <v>45139.0</v>
      </c>
      <c r="FN82" s="139">
        <v>45170.0</v>
      </c>
      <c r="FO82" s="139">
        <v>45200.0</v>
      </c>
      <c r="FP82" s="139">
        <v>45231.0</v>
      </c>
      <c r="FQ82" s="139">
        <v>45261.0</v>
      </c>
      <c r="FR82" s="139">
        <v>45292.0</v>
      </c>
      <c r="FS82" s="139">
        <v>45323.0</v>
      </c>
      <c r="FT82" s="139">
        <v>45352.0</v>
      </c>
      <c r="FU82" s="139">
        <v>45383.0</v>
      </c>
      <c r="FV82" s="139">
        <v>45413.0</v>
      </c>
      <c r="FW82" s="139">
        <v>45444.0</v>
      </c>
      <c r="FX82" s="139">
        <v>45474.0</v>
      </c>
      <c r="FY82" s="139">
        <v>45505.0</v>
      </c>
      <c r="FZ82" s="139">
        <v>45536.0</v>
      </c>
      <c r="GA82" s="139">
        <v>45566.0</v>
      </c>
      <c r="GB82" s="139">
        <v>45597.0</v>
      </c>
      <c r="GC82" s="139">
        <v>45627.0</v>
      </c>
      <c r="GD82" s="139">
        <v>45658.0</v>
      </c>
      <c r="GE82" s="139">
        <v>45689.0</v>
      </c>
      <c r="GF82" s="139">
        <v>45717.0</v>
      </c>
      <c r="GG82" s="139">
        <v>45748.0</v>
      </c>
      <c r="GH82" s="139">
        <v>45778.0</v>
      </c>
      <c r="GI82" s="139">
        <v>45809.0</v>
      </c>
      <c r="GJ82" s="139">
        <v>45839.0</v>
      </c>
    </row>
    <row r="83">
      <c r="A83" s="133" t="s">
        <v>1826</v>
      </c>
      <c r="B83" s="134">
        <v>43276.59607638889</v>
      </c>
      <c r="C83" s="135" t="str">
        <f t="shared" si="1"/>
        <v>2018/06/25</v>
      </c>
      <c r="D83" s="136" t="s">
        <v>33912</v>
      </c>
      <c r="E83" s="151">
        <v>0.0</v>
      </c>
      <c r="F83" s="138">
        <v>40179.0</v>
      </c>
      <c r="G83" s="138">
        <v>40210.0</v>
      </c>
      <c r="H83" s="138">
        <v>40238.0</v>
      </c>
      <c r="I83" s="138">
        <v>40269.0</v>
      </c>
      <c r="J83" s="138">
        <v>40299.0</v>
      </c>
      <c r="K83" s="138">
        <v>40330.0</v>
      </c>
      <c r="L83" s="138">
        <v>40360.0</v>
      </c>
      <c r="M83" s="138">
        <v>40391.0</v>
      </c>
      <c r="N83" s="138">
        <v>40422.0</v>
      </c>
      <c r="O83" s="138">
        <v>40452.0</v>
      </c>
      <c r="P83" s="138">
        <v>40483.0</v>
      </c>
      <c r="Q83" s="138">
        <v>40513.0</v>
      </c>
      <c r="R83" s="138">
        <v>40544.0</v>
      </c>
      <c r="S83" s="138">
        <v>40575.0</v>
      </c>
      <c r="T83" s="138">
        <v>40603.0</v>
      </c>
      <c r="U83" s="138">
        <v>40634.0</v>
      </c>
      <c r="V83" s="138">
        <v>40664.0</v>
      </c>
      <c r="W83" s="138">
        <v>40695.0</v>
      </c>
      <c r="X83" s="138">
        <v>40725.0</v>
      </c>
      <c r="Y83" s="138">
        <v>40756.0</v>
      </c>
      <c r="Z83" s="138">
        <v>40787.0</v>
      </c>
      <c r="AA83" s="138">
        <v>40817.0</v>
      </c>
      <c r="AB83" s="138">
        <v>40848.0</v>
      </c>
      <c r="AC83" s="138">
        <v>40878.0</v>
      </c>
      <c r="AD83" s="138">
        <v>40909.0</v>
      </c>
      <c r="AE83" s="138">
        <v>40940.0</v>
      </c>
      <c r="AF83" s="138">
        <v>40969.0</v>
      </c>
      <c r="AG83" s="138">
        <v>41000.0</v>
      </c>
      <c r="AH83" s="138">
        <v>41030.0</v>
      </c>
      <c r="AI83" s="138">
        <v>41061.0</v>
      </c>
      <c r="AJ83" s="138">
        <v>41091.0</v>
      </c>
      <c r="AK83" s="138">
        <v>41122.0</v>
      </c>
      <c r="AL83" s="138">
        <v>41153.0</v>
      </c>
      <c r="AM83" s="138">
        <v>41183.0</v>
      </c>
      <c r="AN83" s="138">
        <v>41214.0</v>
      </c>
      <c r="AO83" s="138">
        <v>41244.0</v>
      </c>
      <c r="AP83" s="138">
        <v>41275.0</v>
      </c>
      <c r="AQ83" s="138">
        <v>41306.0</v>
      </c>
      <c r="AR83" s="138">
        <v>41334.0</v>
      </c>
      <c r="AS83" s="138">
        <v>41365.0</v>
      </c>
      <c r="AT83" s="138">
        <v>41395.0</v>
      </c>
      <c r="AU83" s="138">
        <v>41426.0</v>
      </c>
      <c r="AV83" s="138">
        <v>41456.0</v>
      </c>
      <c r="AW83" s="138">
        <v>41487.0</v>
      </c>
      <c r="AX83" s="138">
        <v>41518.0</v>
      </c>
      <c r="AY83" s="138">
        <v>41548.0</v>
      </c>
      <c r="AZ83" s="138">
        <v>41579.0</v>
      </c>
      <c r="BA83" s="138">
        <v>41609.0</v>
      </c>
      <c r="BB83" s="138">
        <v>41640.0</v>
      </c>
      <c r="BC83" s="138">
        <v>41671.0</v>
      </c>
      <c r="BD83" s="138">
        <v>41699.0</v>
      </c>
      <c r="BE83" s="138">
        <v>41730.0</v>
      </c>
      <c r="BF83" s="138">
        <v>41760.0</v>
      </c>
      <c r="BG83" s="138">
        <v>41791.0</v>
      </c>
      <c r="BH83" s="138">
        <v>41821.0</v>
      </c>
      <c r="BI83" s="138">
        <v>41852.0</v>
      </c>
      <c r="BJ83" s="138">
        <v>41883.0</v>
      </c>
      <c r="BK83" s="138">
        <v>41913.0</v>
      </c>
      <c r="BL83" s="138">
        <v>41944.0</v>
      </c>
      <c r="BM83" s="138">
        <v>41974.0</v>
      </c>
      <c r="BN83" s="138">
        <v>42005.0</v>
      </c>
      <c r="BO83" s="138">
        <v>42036.0</v>
      </c>
      <c r="BP83" s="138">
        <v>42064.0</v>
      </c>
      <c r="BQ83" s="138">
        <v>42095.0</v>
      </c>
      <c r="BR83" s="138">
        <v>42125.0</v>
      </c>
      <c r="BS83" s="138">
        <v>42156.0</v>
      </c>
      <c r="BT83" s="138">
        <v>42186.0</v>
      </c>
      <c r="BU83" s="138">
        <v>42217.0</v>
      </c>
      <c r="BV83" s="138">
        <v>42248.0</v>
      </c>
      <c r="BW83" s="138">
        <v>42278.0</v>
      </c>
      <c r="BX83" s="138">
        <v>42309.0</v>
      </c>
      <c r="BY83" s="138">
        <v>42339.0</v>
      </c>
      <c r="BZ83" s="138">
        <v>42370.0</v>
      </c>
      <c r="CA83" s="138">
        <v>42401.0</v>
      </c>
      <c r="CB83" s="138">
        <v>42430.0</v>
      </c>
      <c r="CC83" s="138">
        <v>42461.0</v>
      </c>
      <c r="CD83" s="138">
        <v>42491.0</v>
      </c>
      <c r="CE83" s="138">
        <v>42522.0</v>
      </c>
      <c r="CF83" s="138">
        <v>42552.0</v>
      </c>
      <c r="CG83" s="138">
        <v>42583.0</v>
      </c>
      <c r="CH83" s="138">
        <v>42614.0</v>
      </c>
      <c r="CI83" s="138">
        <v>42644.0</v>
      </c>
      <c r="CJ83" s="138">
        <v>42675.0</v>
      </c>
      <c r="CK83" s="138">
        <v>42705.0</v>
      </c>
      <c r="CL83" s="138">
        <v>42736.0</v>
      </c>
      <c r="CM83" s="138">
        <v>42767.0</v>
      </c>
      <c r="CN83" s="138">
        <v>42795.0</v>
      </c>
      <c r="CO83" s="138">
        <v>42826.0</v>
      </c>
      <c r="CP83" s="138">
        <v>42856.0</v>
      </c>
      <c r="CQ83" s="138">
        <v>42887.0</v>
      </c>
      <c r="CR83" s="138">
        <v>42917.0</v>
      </c>
      <c r="CS83" s="138">
        <v>42948.0</v>
      </c>
      <c r="CT83" s="138">
        <v>42979.0</v>
      </c>
      <c r="CU83" s="138">
        <v>43009.0</v>
      </c>
      <c r="CV83" s="138">
        <v>43040.0</v>
      </c>
      <c r="CW83" s="138">
        <v>43070.0</v>
      </c>
      <c r="CX83" s="138">
        <v>43101.0</v>
      </c>
      <c r="CY83" s="138">
        <v>43132.0</v>
      </c>
      <c r="CZ83" s="138">
        <v>43160.0</v>
      </c>
      <c r="DA83" s="138">
        <v>43191.0</v>
      </c>
      <c r="DB83" s="138">
        <v>43221.0</v>
      </c>
      <c r="DC83" s="138">
        <v>43252.0</v>
      </c>
      <c r="DD83" s="139">
        <v>43282.0</v>
      </c>
      <c r="DE83" s="139">
        <v>43313.0</v>
      </c>
      <c r="DF83" s="139">
        <v>43344.0</v>
      </c>
      <c r="DG83" s="139">
        <v>43374.0</v>
      </c>
      <c r="DH83" s="139">
        <v>43405.0</v>
      </c>
      <c r="DI83" s="139">
        <v>43435.0</v>
      </c>
      <c r="DJ83" s="139">
        <v>43466.0</v>
      </c>
      <c r="DK83" s="139">
        <v>43497.0</v>
      </c>
      <c r="DL83" s="139">
        <v>43525.0</v>
      </c>
      <c r="DM83" s="139">
        <v>43556.0</v>
      </c>
      <c r="DN83" s="139">
        <v>43586.0</v>
      </c>
      <c r="DO83" s="139">
        <v>43617.0</v>
      </c>
      <c r="DP83" s="139">
        <v>43647.0</v>
      </c>
      <c r="DQ83" s="139">
        <v>43678.0</v>
      </c>
      <c r="DR83" s="139">
        <v>43709.0</v>
      </c>
      <c r="DS83" s="139">
        <v>43739.0</v>
      </c>
      <c r="DT83" s="139">
        <v>43770.0</v>
      </c>
      <c r="DU83" s="139">
        <v>43800.0</v>
      </c>
      <c r="DV83" s="139">
        <v>43831.0</v>
      </c>
      <c r="DW83" s="139">
        <v>43862.0</v>
      </c>
      <c r="DX83" s="139">
        <v>43891.0</v>
      </c>
      <c r="DY83" s="139">
        <v>43922.0</v>
      </c>
      <c r="DZ83" s="139">
        <v>43952.0</v>
      </c>
      <c r="EA83" s="139">
        <v>43983.0</v>
      </c>
      <c r="EB83" s="139">
        <v>44013.0</v>
      </c>
      <c r="EC83" s="139">
        <v>44044.0</v>
      </c>
      <c r="ED83" s="139">
        <v>44075.0</v>
      </c>
      <c r="EE83" s="139">
        <v>44105.0</v>
      </c>
      <c r="EF83" s="139">
        <v>44136.0</v>
      </c>
      <c r="EG83" s="139">
        <v>44166.0</v>
      </c>
      <c r="EH83" s="139">
        <v>44197.0</v>
      </c>
      <c r="EI83" s="139">
        <v>44228.0</v>
      </c>
      <c r="EJ83" s="139">
        <v>44256.0</v>
      </c>
      <c r="EK83" s="139">
        <v>44287.0</v>
      </c>
      <c r="EL83" s="139">
        <v>44317.0</v>
      </c>
      <c r="EM83" s="139">
        <v>44348.0</v>
      </c>
      <c r="EN83" s="139">
        <v>44378.0</v>
      </c>
      <c r="EO83" s="139">
        <v>44409.0</v>
      </c>
      <c r="EP83" s="139">
        <v>44440.0</v>
      </c>
      <c r="EQ83" s="139">
        <v>44470.0</v>
      </c>
      <c r="ER83" s="139">
        <v>44501.0</v>
      </c>
      <c r="ES83" s="139">
        <v>44531.0</v>
      </c>
      <c r="ET83" s="139">
        <v>44562.0</v>
      </c>
      <c r="EU83" s="139">
        <v>44593.0</v>
      </c>
      <c r="EV83" s="139">
        <v>44621.0</v>
      </c>
      <c r="EW83" s="139">
        <v>44652.0</v>
      </c>
      <c r="EX83" s="139">
        <v>44682.0</v>
      </c>
      <c r="EY83" s="139">
        <v>44713.0</v>
      </c>
      <c r="EZ83" s="139">
        <v>44743.0</v>
      </c>
      <c r="FA83" s="139">
        <v>44774.0</v>
      </c>
      <c r="FB83" s="139">
        <v>44805.0</v>
      </c>
      <c r="FC83" s="139">
        <v>44835.0</v>
      </c>
      <c r="FD83" s="139">
        <v>44866.0</v>
      </c>
      <c r="FE83" s="139">
        <v>44896.0</v>
      </c>
      <c r="FF83" s="139">
        <v>44927.0</v>
      </c>
      <c r="FG83" s="139">
        <v>44958.0</v>
      </c>
      <c r="FH83" s="139">
        <v>44986.0</v>
      </c>
      <c r="FI83" s="139">
        <v>45017.0</v>
      </c>
      <c r="FJ83" s="139">
        <v>45047.0</v>
      </c>
      <c r="FK83" s="139">
        <v>45078.0</v>
      </c>
      <c r="FL83" s="139">
        <v>45108.0</v>
      </c>
      <c r="FM83" s="139">
        <v>45139.0</v>
      </c>
      <c r="FN83" s="139">
        <v>45170.0</v>
      </c>
      <c r="FO83" s="139">
        <v>45200.0</v>
      </c>
      <c r="FP83" s="139">
        <v>45231.0</v>
      </c>
      <c r="FQ83" s="139">
        <v>45261.0</v>
      </c>
      <c r="FR83" s="139">
        <v>45292.0</v>
      </c>
      <c r="FS83" s="139">
        <v>45323.0</v>
      </c>
      <c r="FT83" s="139">
        <v>45352.0</v>
      </c>
      <c r="FU83" s="139">
        <v>45383.0</v>
      </c>
      <c r="FV83" s="139">
        <v>45413.0</v>
      </c>
      <c r="FW83" s="139">
        <v>45444.0</v>
      </c>
      <c r="FX83" s="139">
        <v>45474.0</v>
      </c>
      <c r="FY83" s="139">
        <v>45505.0</v>
      </c>
      <c r="FZ83" s="139">
        <v>45536.0</v>
      </c>
      <c r="GA83" s="139">
        <v>45566.0</v>
      </c>
      <c r="GB83" s="139">
        <v>45597.0</v>
      </c>
      <c r="GC83" s="139">
        <v>45627.0</v>
      </c>
      <c r="GD83" s="139">
        <v>45658.0</v>
      </c>
      <c r="GE83" s="139">
        <v>45689.0</v>
      </c>
      <c r="GF83" s="139">
        <v>45717.0</v>
      </c>
      <c r="GG83" s="139">
        <v>45748.0</v>
      </c>
      <c r="GH83" s="139">
        <v>45778.0</v>
      </c>
      <c r="GI83" s="139">
        <v>45809.0</v>
      </c>
      <c r="GJ83" s="139">
        <v>45839.0</v>
      </c>
    </row>
    <row r="84">
      <c r="A84" s="133" t="s">
        <v>1669</v>
      </c>
      <c r="B84" s="134">
        <v>43339.63653935185</v>
      </c>
      <c r="C84" s="135" t="str">
        <f t="shared" si="1"/>
        <v>2018/08/27</v>
      </c>
      <c r="D84" s="136" t="s">
        <v>33908</v>
      </c>
      <c r="E84" s="151">
        <v>0.0</v>
      </c>
      <c r="F84" s="138">
        <v>40179.0</v>
      </c>
      <c r="G84" s="138">
        <v>40210.0</v>
      </c>
      <c r="H84" s="138">
        <v>40238.0</v>
      </c>
      <c r="I84" s="138">
        <v>40269.0</v>
      </c>
      <c r="J84" s="138">
        <v>40299.0</v>
      </c>
      <c r="K84" s="138">
        <v>40330.0</v>
      </c>
      <c r="L84" s="138">
        <v>40360.0</v>
      </c>
      <c r="M84" s="138">
        <v>40391.0</v>
      </c>
      <c r="N84" s="138">
        <v>40422.0</v>
      </c>
      <c r="O84" s="138">
        <v>40452.0</v>
      </c>
      <c r="P84" s="138">
        <v>40483.0</v>
      </c>
      <c r="Q84" s="138">
        <v>40513.0</v>
      </c>
      <c r="R84" s="138">
        <v>40544.0</v>
      </c>
      <c r="S84" s="138">
        <v>40575.0</v>
      </c>
      <c r="T84" s="138">
        <v>40603.0</v>
      </c>
      <c r="U84" s="138">
        <v>40634.0</v>
      </c>
      <c r="V84" s="138">
        <v>40664.0</v>
      </c>
      <c r="W84" s="138">
        <v>40695.0</v>
      </c>
      <c r="X84" s="138">
        <v>40725.0</v>
      </c>
      <c r="Y84" s="138">
        <v>40756.0</v>
      </c>
      <c r="Z84" s="138">
        <v>40787.0</v>
      </c>
      <c r="AA84" s="138">
        <v>40817.0</v>
      </c>
      <c r="AB84" s="138">
        <v>40848.0</v>
      </c>
      <c r="AC84" s="138">
        <v>40878.0</v>
      </c>
      <c r="AD84" s="138">
        <v>40909.0</v>
      </c>
      <c r="AE84" s="138">
        <v>40940.0</v>
      </c>
      <c r="AF84" s="138">
        <v>40969.0</v>
      </c>
      <c r="AG84" s="138">
        <v>41000.0</v>
      </c>
      <c r="AH84" s="138">
        <v>41030.0</v>
      </c>
      <c r="AI84" s="138">
        <v>41061.0</v>
      </c>
      <c r="AJ84" s="138">
        <v>41091.0</v>
      </c>
      <c r="AK84" s="138">
        <v>41122.0</v>
      </c>
      <c r="AL84" s="138">
        <v>41153.0</v>
      </c>
      <c r="AM84" s="138">
        <v>41183.0</v>
      </c>
      <c r="AN84" s="138">
        <v>41214.0</v>
      </c>
      <c r="AO84" s="138">
        <v>41244.0</v>
      </c>
      <c r="AP84" s="138">
        <v>41275.0</v>
      </c>
      <c r="AQ84" s="138">
        <v>41306.0</v>
      </c>
      <c r="AR84" s="138">
        <v>41334.0</v>
      </c>
      <c r="AS84" s="138">
        <v>41365.0</v>
      </c>
      <c r="AT84" s="138">
        <v>41395.0</v>
      </c>
      <c r="AU84" s="138">
        <v>41426.0</v>
      </c>
      <c r="AV84" s="138">
        <v>41456.0</v>
      </c>
      <c r="AW84" s="138">
        <v>41487.0</v>
      </c>
      <c r="AX84" s="138">
        <v>41518.0</v>
      </c>
      <c r="AY84" s="138">
        <v>41548.0</v>
      </c>
      <c r="AZ84" s="138">
        <v>41579.0</v>
      </c>
      <c r="BA84" s="138">
        <v>41609.0</v>
      </c>
      <c r="BB84" s="138">
        <v>41640.0</v>
      </c>
      <c r="BC84" s="138">
        <v>41671.0</v>
      </c>
      <c r="BD84" s="138">
        <v>41699.0</v>
      </c>
      <c r="BE84" s="138">
        <v>41730.0</v>
      </c>
      <c r="BF84" s="138">
        <v>41760.0</v>
      </c>
      <c r="BG84" s="138">
        <v>41791.0</v>
      </c>
      <c r="BH84" s="138">
        <v>41821.0</v>
      </c>
      <c r="BI84" s="138">
        <v>41852.0</v>
      </c>
      <c r="BJ84" s="138">
        <v>41883.0</v>
      </c>
      <c r="BK84" s="138">
        <v>41913.0</v>
      </c>
      <c r="BL84" s="138">
        <v>41944.0</v>
      </c>
      <c r="BM84" s="138">
        <v>41974.0</v>
      </c>
      <c r="BN84" s="138">
        <v>42005.0</v>
      </c>
      <c r="BO84" s="138">
        <v>42036.0</v>
      </c>
      <c r="BP84" s="138">
        <v>42064.0</v>
      </c>
      <c r="BQ84" s="138">
        <v>42095.0</v>
      </c>
      <c r="BR84" s="138">
        <v>42125.0</v>
      </c>
      <c r="BS84" s="138">
        <v>42156.0</v>
      </c>
      <c r="BT84" s="138">
        <v>42186.0</v>
      </c>
      <c r="BU84" s="138">
        <v>42217.0</v>
      </c>
      <c r="BV84" s="138">
        <v>42248.0</v>
      </c>
      <c r="BW84" s="138">
        <v>42278.0</v>
      </c>
      <c r="BX84" s="138">
        <v>42309.0</v>
      </c>
      <c r="BY84" s="138">
        <v>42339.0</v>
      </c>
      <c r="BZ84" s="138">
        <v>42370.0</v>
      </c>
      <c r="CA84" s="138">
        <v>42401.0</v>
      </c>
      <c r="CB84" s="138">
        <v>42430.0</v>
      </c>
      <c r="CC84" s="138">
        <v>42461.0</v>
      </c>
      <c r="CD84" s="138">
        <v>42491.0</v>
      </c>
      <c r="CE84" s="138">
        <v>42522.0</v>
      </c>
      <c r="CF84" s="138">
        <v>42552.0</v>
      </c>
      <c r="CG84" s="138">
        <v>42583.0</v>
      </c>
      <c r="CH84" s="138">
        <v>42614.0</v>
      </c>
      <c r="CI84" s="138">
        <v>42644.0</v>
      </c>
      <c r="CJ84" s="138">
        <v>42675.0</v>
      </c>
      <c r="CK84" s="138">
        <v>42705.0</v>
      </c>
      <c r="CL84" s="138">
        <v>42736.0</v>
      </c>
      <c r="CM84" s="138">
        <v>42767.0</v>
      </c>
      <c r="CN84" s="138">
        <v>42795.0</v>
      </c>
      <c r="CO84" s="138">
        <v>42826.0</v>
      </c>
      <c r="CP84" s="138">
        <v>42856.0</v>
      </c>
      <c r="CQ84" s="138">
        <v>42887.0</v>
      </c>
      <c r="CR84" s="138">
        <v>42917.0</v>
      </c>
      <c r="CS84" s="138">
        <v>42948.0</v>
      </c>
      <c r="CT84" s="138">
        <v>42979.0</v>
      </c>
      <c r="CU84" s="138">
        <v>43009.0</v>
      </c>
      <c r="CV84" s="138">
        <v>43040.0</v>
      </c>
      <c r="CW84" s="138">
        <v>43070.0</v>
      </c>
      <c r="CX84" s="138">
        <v>43101.0</v>
      </c>
      <c r="CY84" s="138">
        <v>43132.0</v>
      </c>
      <c r="CZ84" s="138">
        <v>43160.0</v>
      </c>
      <c r="DA84" s="138">
        <v>43191.0</v>
      </c>
      <c r="DB84" s="138">
        <v>43221.0</v>
      </c>
      <c r="DC84" s="138">
        <v>43252.0</v>
      </c>
      <c r="DD84" s="138">
        <v>43282.0</v>
      </c>
      <c r="DE84" s="138">
        <v>43313.0</v>
      </c>
      <c r="DF84" s="139">
        <v>43344.0</v>
      </c>
      <c r="DG84" s="139">
        <v>43374.0</v>
      </c>
      <c r="DH84" s="139">
        <v>43405.0</v>
      </c>
      <c r="DI84" s="139">
        <v>43435.0</v>
      </c>
      <c r="DJ84" s="139">
        <v>43466.0</v>
      </c>
      <c r="DK84" s="139">
        <v>43497.0</v>
      </c>
      <c r="DL84" s="139">
        <v>43525.0</v>
      </c>
      <c r="DM84" s="139">
        <v>43556.0</v>
      </c>
      <c r="DN84" s="139">
        <v>43586.0</v>
      </c>
      <c r="DO84" s="139">
        <v>43617.0</v>
      </c>
      <c r="DP84" s="139">
        <v>43647.0</v>
      </c>
      <c r="DQ84" s="139">
        <v>43678.0</v>
      </c>
      <c r="DR84" s="139">
        <v>43709.0</v>
      </c>
      <c r="DS84" s="139">
        <v>43739.0</v>
      </c>
      <c r="DT84" s="139">
        <v>43770.0</v>
      </c>
      <c r="DU84" s="139">
        <v>43800.0</v>
      </c>
      <c r="DV84" s="139">
        <v>43831.0</v>
      </c>
      <c r="DW84" s="139">
        <v>43862.0</v>
      </c>
      <c r="DX84" s="139">
        <v>43891.0</v>
      </c>
      <c r="DY84" s="139">
        <v>43922.0</v>
      </c>
      <c r="DZ84" s="139">
        <v>43952.0</v>
      </c>
      <c r="EA84" s="139">
        <v>43983.0</v>
      </c>
      <c r="EB84" s="139">
        <v>44013.0</v>
      </c>
      <c r="EC84" s="139">
        <v>44044.0</v>
      </c>
      <c r="ED84" s="139">
        <v>44075.0</v>
      </c>
      <c r="EE84" s="139">
        <v>44105.0</v>
      </c>
      <c r="EF84" s="139">
        <v>44136.0</v>
      </c>
      <c r="EG84" s="139">
        <v>44166.0</v>
      </c>
      <c r="EH84" s="139">
        <v>44197.0</v>
      </c>
      <c r="EI84" s="139">
        <v>44228.0</v>
      </c>
      <c r="EJ84" s="139">
        <v>44256.0</v>
      </c>
      <c r="EK84" s="139">
        <v>44287.0</v>
      </c>
      <c r="EL84" s="139">
        <v>44317.0</v>
      </c>
      <c r="EM84" s="139">
        <v>44348.0</v>
      </c>
      <c r="EN84" s="139">
        <v>44378.0</v>
      </c>
      <c r="EO84" s="139">
        <v>44409.0</v>
      </c>
      <c r="EP84" s="139">
        <v>44440.0</v>
      </c>
      <c r="EQ84" s="139">
        <v>44470.0</v>
      </c>
      <c r="ER84" s="139">
        <v>44501.0</v>
      </c>
      <c r="ES84" s="139">
        <v>44531.0</v>
      </c>
      <c r="ET84" s="139">
        <v>44562.0</v>
      </c>
      <c r="EU84" s="139">
        <v>44593.0</v>
      </c>
      <c r="EV84" s="139">
        <v>44621.0</v>
      </c>
      <c r="EW84" s="139">
        <v>44652.0</v>
      </c>
      <c r="EX84" s="139">
        <v>44682.0</v>
      </c>
      <c r="EY84" s="139">
        <v>44713.0</v>
      </c>
      <c r="EZ84" s="139">
        <v>44743.0</v>
      </c>
      <c r="FA84" s="139">
        <v>44774.0</v>
      </c>
      <c r="FB84" s="139">
        <v>44805.0</v>
      </c>
      <c r="FC84" s="139">
        <v>44835.0</v>
      </c>
      <c r="FD84" s="139">
        <v>44866.0</v>
      </c>
      <c r="FE84" s="139">
        <v>44896.0</v>
      </c>
      <c r="FF84" s="139">
        <v>44927.0</v>
      </c>
      <c r="FG84" s="139">
        <v>44958.0</v>
      </c>
      <c r="FH84" s="139">
        <v>44986.0</v>
      </c>
      <c r="FI84" s="139">
        <v>45017.0</v>
      </c>
      <c r="FJ84" s="139">
        <v>45047.0</v>
      </c>
      <c r="FK84" s="139">
        <v>45078.0</v>
      </c>
      <c r="FL84" s="139">
        <v>45108.0</v>
      </c>
      <c r="FM84" s="139">
        <v>45139.0</v>
      </c>
      <c r="FN84" s="139">
        <v>45170.0</v>
      </c>
      <c r="FO84" s="139">
        <v>45200.0</v>
      </c>
      <c r="FP84" s="139">
        <v>45231.0</v>
      </c>
      <c r="FQ84" s="139">
        <v>45261.0</v>
      </c>
      <c r="FR84" s="139">
        <v>45292.0</v>
      </c>
      <c r="FS84" s="139">
        <v>45323.0</v>
      </c>
      <c r="FT84" s="139">
        <v>45352.0</v>
      </c>
      <c r="FU84" s="139">
        <v>45383.0</v>
      </c>
      <c r="FV84" s="139">
        <v>45413.0</v>
      </c>
      <c r="FW84" s="139">
        <v>45444.0</v>
      </c>
      <c r="FX84" s="139">
        <v>45474.0</v>
      </c>
      <c r="FY84" s="139">
        <v>45505.0</v>
      </c>
      <c r="FZ84" s="139">
        <v>45536.0</v>
      </c>
      <c r="GA84" s="139">
        <v>45566.0</v>
      </c>
      <c r="GB84" s="139">
        <v>45597.0</v>
      </c>
      <c r="GC84" s="139">
        <v>45627.0</v>
      </c>
      <c r="GD84" s="139">
        <v>45658.0</v>
      </c>
      <c r="GE84" s="139">
        <v>45689.0</v>
      </c>
      <c r="GF84" s="139">
        <v>45717.0</v>
      </c>
      <c r="GG84" s="139">
        <v>45748.0</v>
      </c>
      <c r="GH84" s="139">
        <v>45778.0</v>
      </c>
      <c r="GI84" s="139">
        <v>45809.0</v>
      </c>
      <c r="GJ84" s="139">
        <v>45839.0</v>
      </c>
    </row>
    <row r="85">
      <c r="A85" s="133" t="s">
        <v>1793</v>
      </c>
      <c r="B85" s="134">
        <v>43357.692037037035</v>
      </c>
      <c r="C85" s="135" t="str">
        <f t="shared" si="1"/>
        <v>2018/09/14</v>
      </c>
      <c r="D85" s="136" t="s">
        <v>34285</v>
      </c>
      <c r="E85" s="151">
        <v>0.0</v>
      </c>
      <c r="F85" s="138">
        <v>40179.0</v>
      </c>
      <c r="G85" s="138">
        <v>40210.0</v>
      </c>
      <c r="H85" s="138">
        <v>40238.0</v>
      </c>
      <c r="I85" s="138">
        <v>40269.0</v>
      </c>
      <c r="J85" s="138">
        <v>40299.0</v>
      </c>
      <c r="K85" s="138">
        <v>40330.0</v>
      </c>
      <c r="L85" s="138">
        <v>40360.0</v>
      </c>
      <c r="M85" s="138">
        <v>40391.0</v>
      </c>
      <c r="N85" s="138">
        <v>40422.0</v>
      </c>
      <c r="O85" s="138">
        <v>40452.0</v>
      </c>
      <c r="P85" s="138">
        <v>40483.0</v>
      </c>
      <c r="Q85" s="138">
        <v>40513.0</v>
      </c>
      <c r="R85" s="138">
        <v>40544.0</v>
      </c>
      <c r="S85" s="138">
        <v>40575.0</v>
      </c>
      <c r="T85" s="138">
        <v>40603.0</v>
      </c>
      <c r="U85" s="138">
        <v>40634.0</v>
      </c>
      <c r="V85" s="138">
        <v>40664.0</v>
      </c>
      <c r="W85" s="138">
        <v>40695.0</v>
      </c>
      <c r="X85" s="138">
        <v>40725.0</v>
      </c>
      <c r="Y85" s="138">
        <v>40756.0</v>
      </c>
      <c r="Z85" s="138">
        <v>40787.0</v>
      </c>
      <c r="AA85" s="138">
        <v>40817.0</v>
      </c>
      <c r="AB85" s="138">
        <v>40848.0</v>
      </c>
      <c r="AC85" s="138">
        <v>40878.0</v>
      </c>
      <c r="AD85" s="138">
        <v>40909.0</v>
      </c>
      <c r="AE85" s="138">
        <v>40940.0</v>
      </c>
      <c r="AF85" s="138">
        <v>40969.0</v>
      </c>
      <c r="AG85" s="138">
        <v>41000.0</v>
      </c>
      <c r="AH85" s="138">
        <v>41030.0</v>
      </c>
      <c r="AI85" s="138">
        <v>41061.0</v>
      </c>
      <c r="AJ85" s="138">
        <v>41091.0</v>
      </c>
      <c r="AK85" s="138">
        <v>41122.0</v>
      </c>
      <c r="AL85" s="138">
        <v>41153.0</v>
      </c>
      <c r="AM85" s="138">
        <v>41183.0</v>
      </c>
      <c r="AN85" s="138">
        <v>41214.0</v>
      </c>
      <c r="AO85" s="138">
        <v>41244.0</v>
      </c>
      <c r="AP85" s="138">
        <v>41275.0</v>
      </c>
      <c r="AQ85" s="138">
        <v>41306.0</v>
      </c>
      <c r="AR85" s="138">
        <v>41334.0</v>
      </c>
      <c r="AS85" s="138">
        <v>41365.0</v>
      </c>
      <c r="AT85" s="138">
        <v>41395.0</v>
      </c>
      <c r="AU85" s="138">
        <v>41426.0</v>
      </c>
      <c r="AV85" s="138">
        <v>41456.0</v>
      </c>
      <c r="AW85" s="138">
        <v>41487.0</v>
      </c>
      <c r="AX85" s="138">
        <v>41518.0</v>
      </c>
      <c r="AY85" s="138">
        <v>41548.0</v>
      </c>
      <c r="AZ85" s="138">
        <v>41579.0</v>
      </c>
      <c r="BA85" s="138">
        <v>41609.0</v>
      </c>
      <c r="BB85" s="138">
        <v>41640.0</v>
      </c>
      <c r="BC85" s="138">
        <v>41671.0</v>
      </c>
      <c r="BD85" s="138">
        <v>41699.0</v>
      </c>
      <c r="BE85" s="138">
        <v>41730.0</v>
      </c>
      <c r="BF85" s="138">
        <v>41760.0</v>
      </c>
      <c r="BG85" s="138">
        <v>41791.0</v>
      </c>
      <c r="BH85" s="138">
        <v>41821.0</v>
      </c>
      <c r="BI85" s="138">
        <v>41852.0</v>
      </c>
      <c r="BJ85" s="138">
        <v>41883.0</v>
      </c>
      <c r="BK85" s="138">
        <v>41913.0</v>
      </c>
      <c r="BL85" s="138">
        <v>41944.0</v>
      </c>
      <c r="BM85" s="138">
        <v>41974.0</v>
      </c>
      <c r="BN85" s="138">
        <v>42005.0</v>
      </c>
      <c r="BO85" s="138">
        <v>42036.0</v>
      </c>
      <c r="BP85" s="138">
        <v>42064.0</v>
      </c>
      <c r="BQ85" s="138">
        <v>42095.0</v>
      </c>
      <c r="BR85" s="138">
        <v>42125.0</v>
      </c>
      <c r="BS85" s="138">
        <v>42156.0</v>
      </c>
      <c r="BT85" s="138">
        <v>42186.0</v>
      </c>
      <c r="BU85" s="138">
        <v>42217.0</v>
      </c>
      <c r="BV85" s="138">
        <v>42248.0</v>
      </c>
      <c r="BW85" s="138">
        <v>42278.0</v>
      </c>
      <c r="BX85" s="138">
        <v>42309.0</v>
      </c>
      <c r="BY85" s="138">
        <v>42339.0</v>
      </c>
      <c r="BZ85" s="138">
        <v>42370.0</v>
      </c>
      <c r="CA85" s="138">
        <v>42401.0</v>
      </c>
      <c r="CB85" s="138">
        <v>42430.0</v>
      </c>
      <c r="CC85" s="138">
        <v>42461.0</v>
      </c>
      <c r="CD85" s="138">
        <v>42491.0</v>
      </c>
      <c r="CE85" s="138">
        <v>42522.0</v>
      </c>
      <c r="CF85" s="138">
        <v>42552.0</v>
      </c>
      <c r="CG85" s="138">
        <v>42583.0</v>
      </c>
      <c r="CH85" s="138">
        <v>42614.0</v>
      </c>
      <c r="CI85" s="138">
        <v>42644.0</v>
      </c>
      <c r="CJ85" s="138">
        <v>42675.0</v>
      </c>
      <c r="CK85" s="138">
        <v>42705.0</v>
      </c>
      <c r="CL85" s="138">
        <v>42736.0</v>
      </c>
      <c r="CM85" s="138">
        <v>42767.0</v>
      </c>
      <c r="CN85" s="138">
        <v>42795.0</v>
      </c>
      <c r="CO85" s="138">
        <v>42826.0</v>
      </c>
      <c r="CP85" s="138">
        <v>42856.0</v>
      </c>
      <c r="CQ85" s="138">
        <v>42887.0</v>
      </c>
      <c r="CR85" s="138">
        <v>42917.0</v>
      </c>
      <c r="CS85" s="138">
        <v>42948.0</v>
      </c>
      <c r="CT85" s="138">
        <v>42979.0</v>
      </c>
      <c r="CU85" s="138">
        <v>43009.0</v>
      </c>
      <c r="CV85" s="138">
        <v>43040.0</v>
      </c>
      <c r="CW85" s="138">
        <v>43070.0</v>
      </c>
      <c r="CX85" s="138">
        <v>43101.0</v>
      </c>
      <c r="CY85" s="138">
        <v>43132.0</v>
      </c>
      <c r="CZ85" s="138">
        <v>43160.0</v>
      </c>
      <c r="DA85" s="138">
        <v>43191.0</v>
      </c>
      <c r="DB85" s="138">
        <v>43221.0</v>
      </c>
      <c r="DC85" s="138">
        <v>43252.0</v>
      </c>
      <c r="DD85" s="138">
        <v>43282.0</v>
      </c>
      <c r="DE85" s="138">
        <v>43313.0</v>
      </c>
      <c r="DF85" s="138">
        <v>43344.0</v>
      </c>
      <c r="DG85" s="139">
        <v>43374.0</v>
      </c>
      <c r="DH85" s="139">
        <v>43405.0</v>
      </c>
      <c r="DI85" s="139">
        <v>43435.0</v>
      </c>
      <c r="DJ85" s="139">
        <v>43466.0</v>
      </c>
      <c r="DK85" s="139">
        <v>43497.0</v>
      </c>
      <c r="DL85" s="139">
        <v>43525.0</v>
      </c>
      <c r="DM85" s="139">
        <v>43556.0</v>
      </c>
      <c r="DN85" s="139">
        <v>43586.0</v>
      </c>
      <c r="DO85" s="139">
        <v>43617.0</v>
      </c>
      <c r="DP85" s="139">
        <v>43647.0</v>
      </c>
      <c r="DQ85" s="139">
        <v>43678.0</v>
      </c>
      <c r="DR85" s="139">
        <v>43709.0</v>
      </c>
      <c r="DS85" s="139">
        <v>43739.0</v>
      </c>
      <c r="DT85" s="139">
        <v>43770.0</v>
      </c>
      <c r="DU85" s="139">
        <v>43800.0</v>
      </c>
      <c r="DV85" s="139">
        <v>43831.0</v>
      </c>
      <c r="DW85" s="139">
        <v>43862.0</v>
      </c>
      <c r="DX85" s="139">
        <v>43891.0</v>
      </c>
      <c r="DY85" s="139">
        <v>43922.0</v>
      </c>
      <c r="DZ85" s="139">
        <v>43952.0</v>
      </c>
      <c r="EA85" s="139">
        <v>43983.0</v>
      </c>
      <c r="EB85" s="139">
        <v>44013.0</v>
      </c>
      <c r="EC85" s="139">
        <v>44044.0</v>
      </c>
      <c r="ED85" s="139">
        <v>44075.0</v>
      </c>
      <c r="EE85" s="139">
        <v>44105.0</v>
      </c>
      <c r="EF85" s="139">
        <v>44136.0</v>
      </c>
      <c r="EG85" s="139">
        <v>44166.0</v>
      </c>
      <c r="EH85" s="139">
        <v>44197.0</v>
      </c>
      <c r="EI85" s="139">
        <v>44228.0</v>
      </c>
      <c r="EJ85" s="139">
        <v>44256.0</v>
      </c>
      <c r="EK85" s="139">
        <v>44287.0</v>
      </c>
      <c r="EL85" s="139">
        <v>44317.0</v>
      </c>
      <c r="EM85" s="139">
        <v>44348.0</v>
      </c>
      <c r="EN85" s="139">
        <v>44378.0</v>
      </c>
      <c r="EO85" s="139">
        <v>44409.0</v>
      </c>
      <c r="EP85" s="139">
        <v>44440.0</v>
      </c>
      <c r="EQ85" s="139">
        <v>44470.0</v>
      </c>
      <c r="ER85" s="139">
        <v>44501.0</v>
      </c>
      <c r="ES85" s="139">
        <v>44531.0</v>
      </c>
      <c r="ET85" s="139">
        <v>44562.0</v>
      </c>
      <c r="EU85" s="139">
        <v>44593.0</v>
      </c>
      <c r="EV85" s="139">
        <v>44621.0</v>
      </c>
      <c r="EW85" s="139">
        <v>44652.0</v>
      </c>
      <c r="EX85" s="139">
        <v>44682.0</v>
      </c>
      <c r="EY85" s="139">
        <v>44713.0</v>
      </c>
      <c r="EZ85" s="139">
        <v>44743.0</v>
      </c>
      <c r="FA85" s="139">
        <v>44774.0</v>
      </c>
      <c r="FB85" s="139">
        <v>44805.0</v>
      </c>
      <c r="FC85" s="139">
        <v>44835.0</v>
      </c>
      <c r="FD85" s="139">
        <v>44866.0</v>
      </c>
      <c r="FE85" s="139">
        <v>44896.0</v>
      </c>
      <c r="FF85" s="139">
        <v>44927.0</v>
      </c>
      <c r="FG85" s="139">
        <v>44958.0</v>
      </c>
      <c r="FH85" s="139">
        <v>44986.0</v>
      </c>
      <c r="FI85" s="139">
        <v>45017.0</v>
      </c>
      <c r="FJ85" s="139">
        <v>45047.0</v>
      </c>
      <c r="FK85" s="139">
        <v>45078.0</v>
      </c>
      <c r="FL85" s="139">
        <v>45108.0</v>
      </c>
      <c r="FM85" s="139">
        <v>45139.0</v>
      </c>
      <c r="FN85" s="139">
        <v>45170.0</v>
      </c>
      <c r="FO85" s="139">
        <v>45200.0</v>
      </c>
      <c r="FP85" s="139">
        <v>45231.0</v>
      </c>
      <c r="FQ85" s="139">
        <v>45261.0</v>
      </c>
      <c r="FR85" s="139">
        <v>45292.0</v>
      </c>
      <c r="FS85" s="139">
        <v>45323.0</v>
      </c>
      <c r="FT85" s="139">
        <v>45352.0</v>
      </c>
      <c r="FU85" s="139">
        <v>45383.0</v>
      </c>
      <c r="FV85" s="139">
        <v>45413.0</v>
      </c>
      <c r="FW85" s="139">
        <v>45444.0</v>
      </c>
      <c r="FX85" s="139">
        <v>45474.0</v>
      </c>
      <c r="FY85" s="139">
        <v>45505.0</v>
      </c>
      <c r="FZ85" s="139">
        <v>45536.0</v>
      </c>
      <c r="GA85" s="139">
        <v>45566.0</v>
      </c>
      <c r="GB85" s="139">
        <v>45597.0</v>
      </c>
      <c r="GC85" s="139">
        <v>45627.0</v>
      </c>
      <c r="GD85" s="139">
        <v>45658.0</v>
      </c>
      <c r="GE85" s="139">
        <v>45689.0</v>
      </c>
      <c r="GF85" s="139">
        <v>45717.0</v>
      </c>
      <c r="GG85" s="139">
        <v>45748.0</v>
      </c>
      <c r="GH85" s="139">
        <v>45778.0</v>
      </c>
      <c r="GI85" s="139">
        <v>45809.0</v>
      </c>
      <c r="GJ85" s="139">
        <v>45839.0</v>
      </c>
    </row>
    <row r="86">
      <c r="A86" s="133" t="s">
        <v>1711</v>
      </c>
      <c r="B86" s="134">
        <v>43410.54006944445</v>
      </c>
      <c r="C86" s="135" t="str">
        <f t="shared" si="1"/>
        <v>2018/11/06</v>
      </c>
      <c r="D86" s="136" t="s">
        <v>34286</v>
      </c>
      <c r="E86" s="151">
        <v>0.0</v>
      </c>
      <c r="F86" s="138">
        <v>40179.0</v>
      </c>
      <c r="G86" s="138">
        <v>40210.0</v>
      </c>
      <c r="H86" s="138">
        <v>40238.0</v>
      </c>
      <c r="I86" s="138">
        <v>40269.0</v>
      </c>
      <c r="J86" s="138">
        <v>40299.0</v>
      </c>
      <c r="K86" s="138">
        <v>40330.0</v>
      </c>
      <c r="L86" s="138">
        <v>40360.0</v>
      </c>
      <c r="M86" s="138">
        <v>40391.0</v>
      </c>
      <c r="N86" s="138">
        <v>40422.0</v>
      </c>
      <c r="O86" s="138">
        <v>40452.0</v>
      </c>
      <c r="P86" s="138">
        <v>40483.0</v>
      </c>
      <c r="Q86" s="138">
        <v>40513.0</v>
      </c>
      <c r="R86" s="138">
        <v>40544.0</v>
      </c>
      <c r="S86" s="138">
        <v>40575.0</v>
      </c>
      <c r="T86" s="138">
        <v>40603.0</v>
      </c>
      <c r="U86" s="138">
        <v>40634.0</v>
      </c>
      <c r="V86" s="138">
        <v>40664.0</v>
      </c>
      <c r="W86" s="138">
        <v>40695.0</v>
      </c>
      <c r="X86" s="138">
        <v>40725.0</v>
      </c>
      <c r="Y86" s="138">
        <v>40756.0</v>
      </c>
      <c r="Z86" s="138">
        <v>40787.0</v>
      </c>
      <c r="AA86" s="138">
        <v>40817.0</v>
      </c>
      <c r="AB86" s="138">
        <v>40848.0</v>
      </c>
      <c r="AC86" s="138">
        <v>40878.0</v>
      </c>
      <c r="AD86" s="138">
        <v>40909.0</v>
      </c>
      <c r="AE86" s="138">
        <v>40940.0</v>
      </c>
      <c r="AF86" s="138">
        <v>40969.0</v>
      </c>
      <c r="AG86" s="138">
        <v>41000.0</v>
      </c>
      <c r="AH86" s="138">
        <v>41030.0</v>
      </c>
      <c r="AI86" s="138">
        <v>41061.0</v>
      </c>
      <c r="AJ86" s="138">
        <v>41091.0</v>
      </c>
      <c r="AK86" s="138">
        <v>41122.0</v>
      </c>
      <c r="AL86" s="138">
        <v>41153.0</v>
      </c>
      <c r="AM86" s="138">
        <v>41183.0</v>
      </c>
      <c r="AN86" s="138">
        <v>41214.0</v>
      </c>
      <c r="AO86" s="138">
        <v>41244.0</v>
      </c>
      <c r="AP86" s="138">
        <v>41275.0</v>
      </c>
      <c r="AQ86" s="138">
        <v>41306.0</v>
      </c>
      <c r="AR86" s="138">
        <v>41334.0</v>
      </c>
      <c r="AS86" s="138">
        <v>41365.0</v>
      </c>
      <c r="AT86" s="138">
        <v>41395.0</v>
      </c>
      <c r="AU86" s="138">
        <v>41426.0</v>
      </c>
      <c r="AV86" s="138">
        <v>41456.0</v>
      </c>
      <c r="AW86" s="138">
        <v>41487.0</v>
      </c>
      <c r="AX86" s="138">
        <v>41518.0</v>
      </c>
      <c r="AY86" s="138">
        <v>41548.0</v>
      </c>
      <c r="AZ86" s="138">
        <v>41579.0</v>
      </c>
      <c r="BA86" s="138">
        <v>41609.0</v>
      </c>
      <c r="BB86" s="138">
        <v>41640.0</v>
      </c>
      <c r="BC86" s="138">
        <v>41671.0</v>
      </c>
      <c r="BD86" s="138">
        <v>41699.0</v>
      </c>
      <c r="BE86" s="138">
        <v>41730.0</v>
      </c>
      <c r="BF86" s="138">
        <v>41760.0</v>
      </c>
      <c r="BG86" s="138">
        <v>41791.0</v>
      </c>
      <c r="BH86" s="138">
        <v>41821.0</v>
      </c>
      <c r="BI86" s="138">
        <v>41852.0</v>
      </c>
      <c r="BJ86" s="138">
        <v>41883.0</v>
      </c>
      <c r="BK86" s="138">
        <v>41913.0</v>
      </c>
      <c r="BL86" s="138">
        <v>41944.0</v>
      </c>
      <c r="BM86" s="138">
        <v>41974.0</v>
      </c>
      <c r="BN86" s="138">
        <v>42005.0</v>
      </c>
      <c r="BO86" s="138">
        <v>42036.0</v>
      </c>
      <c r="BP86" s="138">
        <v>42064.0</v>
      </c>
      <c r="BQ86" s="138">
        <v>42095.0</v>
      </c>
      <c r="BR86" s="138">
        <v>42125.0</v>
      </c>
      <c r="BS86" s="138">
        <v>42156.0</v>
      </c>
      <c r="BT86" s="138">
        <v>42186.0</v>
      </c>
      <c r="BU86" s="138">
        <v>42217.0</v>
      </c>
      <c r="BV86" s="138">
        <v>42248.0</v>
      </c>
      <c r="BW86" s="138">
        <v>42278.0</v>
      </c>
      <c r="BX86" s="138">
        <v>42309.0</v>
      </c>
      <c r="BY86" s="138">
        <v>42339.0</v>
      </c>
      <c r="BZ86" s="138">
        <v>42370.0</v>
      </c>
      <c r="CA86" s="138">
        <v>42401.0</v>
      </c>
      <c r="CB86" s="138">
        <v>42430.0</v>
      </c>
      <c r="CC86" s="138">
        <v>42461.0</v>
      </c>
      <c r="CD86" s="138">
        <v>42491.0</v>
      </c>
      <c r="CE86" s="138">
        <v>42522.0</v>
      </c>
      <c r="CF86" s="138">
        <v>42552.0</v>
      </c>
      <c r="CG86" s="138">
        <v>42583.0</v>
      </c>
      <c r="CH86" s="138">
        <v>42614.0</v>
      </c>
      <c r="CI86" s="138">
        <v>42644.0</v>
      </c>
      <c r="CJ86" s="138">
        <v>42675.0</v>
      </c>
      <c r="CK86" s="138">
        <v>42705.0</v>
      </c>
      <c r="CL86" s="138">
        <v>42736.0</v>
      </c>
      <c r="CM86" s="138">
        <v>42767.0</v>
      </c>
      <c r="CN86" s="138">
        <v>42795.0</v>
      </c>
      <c r="CO86" s="138">
        <v>42826.0</v>
      </c>
      <c r="CP86" s="138">
        <v>42856.0</v>
      </c>
      <c r="CQ86" s="138">
        <v>42887.0</v>
      </c>
      <c r="CR86" s="138">
        <v>42917.0</v>
      </c>
      <c r="CS86" s="138">
        <v>42948.0</v>
      </c>
      <c r="CT86" s="138">
        <v>42979.0</v>
      </c>
      <c r="CU86" s="138">
        <v>43009.0</v>
      </c>
      <c r="CV86" s="138">
        <v>43040.0</v>
      </c>
      <c r="CW86" s="138">
        <v>43070.0</v>
      </c>
      <c r="CX86" s="138">
        <v>43101.0</v>
      </c>
      <c r="CY86" s="138">
        <v>43132.0</v>
      </c>
      <c r="CZ86" s="138">
        <v>43160.0</v>
      </c>
      <c r="DA86" s="138">
        <v>43191.0</v>
      </c>
      <c r="DB86" s="138">
        <v>43221.0</v>
      </c>
      <c r="DC86" s="138">
        <v>43252.0</v>
      </c>
      <c r="DD86" s="138">
        <v>43282.0</v>
      </c>
      <c r="DE86" s="138">
        <v>43313.0</v>
      </c>
      <c r="DF86" s="138">
        <v>43344.0</v>
      </c>
      <c r="DG86" s="138">
        <v>43374.0</v>
      </c>
      <c r="DH86" s="138">
        <v>43405.0</v>
      </c>
      <c r="DI86" s="139">
        <v>43435.0</v>
      </c>
      <c r="DJ86" s="139">
        <v>43466.0</v>
      </c>
      <c r="DK86" s="139">
        <v>43497.0</v>
      </c>
      <c r="DL86" s="139">
        <v>43525.0</v>
      </c>
      <c r="DM86" s="139">
        <v>43556.0</v>
      </c>
      <c r="DN86" s="139">
        <v>43586.0</v>
      </c>
      <c r="DO86" s="139">
        <v>43617.0</v>
      </c>
      <c r="DP86" s="139">
        <v>43647.0</v>
      </c>
      <c r="DQ86" s="139">
        <v>43678.0</v>
      </c>
      <c r="DR86" s="139">
        <v>43709.0</v>
      </c>
      <c r="DS86" s="139">
        <v>43739.0</v>
      </c>
      <c r="DT86" s="139">
        <v>43770.0</v>
      </c>
      <c r="DU86" s="139">
        <v>43800.0</v>
      </c>
      <c r="DV86" s="139">
        <v>43831.0</v>
      </c>
      <c r="DW86" s="139">
        <v>43862.0</v>
      </c>
      <c r="DX86" s="139">
        <v>43891.0</v>
      </c>
      <c r="DY86" s="139">
        <v>43922.0</v>
      </c>
      <c r="DZ86" s="139">
        <v>43952.0</v>
      </c>
      <c r="EA86" s="139">
        <v>43983.0</v>
      </c>
      <c r="EB86" s="139">
        <v>44013.0</v>
      </c>
      <c r="EC86" s="139">
        <v>44044.0</v>
      </c>
      <c r="ED86" s="139">
        <v>44075.0</v>
      </c>
      <c r="EE86" s="139">
        <v>44105.0</v>
      </c>
      <c r="EF86" s="139">
        <v>44136.0</v>
      </c>
      <c r="EG86" s="139">
        <v>44166.0</v>
      </c>
      <c r="EH86" s="139">
        <v>44197.0</v>
      </c>
      <c r="EI86" s="139">
        <v>44228.0</v>
      </c>
      <c r="EJ86" s="139">
        <v>44256.0</v>
      </c>
      <c r="EK86" s="139">
        <v>44287.0</v>
      </c>
      <c r="EL86" s="139">
        <v>44317.0</v>
      </c>
      <c r="EM86" s="139">
        <v>44348.0</v>
      </c>
      <c r="EN86" s="139">
        <v>44378.0</v>
      </c>
      <c r="EO86" s="139">
        <v>44409.0</v>
      </c>
      <c r="EP86" s="139">
        <v>44440.0</v>
      </c>
      <c r="EQ86" s="139">
        <v>44470.0</v>
      </c>
      <c r="ER86" s="139">
        <v>44501.0</v>
      </c>
      <c r="ES86" s="139">
        <v>44531.0</v>
      </c>
      <c r="ET86" s="139">
        <v>44562.0</v>
      </c>
      <c r="EU86" s="139">
        <v>44593.0</v>
      </c>
      <c r="EV86" s="139">
        <v>44621.0</v>
      </c>
      <c r="EW86" s="139">
        <v>44652.0</v>
      </c>
      <c r="EX86" s="139">
        <v>44682.0</v>
      </c>
      <c r="EY86" s="139">
        <v>44713.0</v>
      </c>
      <c r="EZ86" s="139">
        <v>44743.0</v>
      </c>
      <c r="FA86" s="139">
        <v>44774.0</v>
      </c>
      <c r="FB86" s="139">
        <v>44805.0</v>
      </c>
      <c r="FC86" s="139">
        <v>44835.0</v>
      </c>
      <c r="FD86" s="139">
        <v>44866.0</v>
      </c>
      <c r="FE86" s="139">
        <v>44896.0</v>
      </c>
      <c r="FF86" s="139">
        <v>44927.0</v>
      </c>
      <c r="FG86" s="139">
        <v>44958.0</v>
      </c>
      <c r="FH86" s="139">
        <v>44986.0</v>
      </c>
      <c r="FI86" s="139">
        <v>45017.0</v>
      </c>
      <c r="FJ86" s="139">
        <v>45047.0</v>
      </c>
      <c r="FK86" s="139">
        <v>45078.0</v>
      </c>
      <c r="FL86" s="139">
        <v>45108.0</v>
      </c>
      <c r="FM86" s="139">
        <v>45139.0</v>
      </c>
      <c r="FN86" s="139">
        <v>45170.0</v>
      </c>
      <c r="FO86" s="139">
        <v>45200.0</v>
      </c>
      <c r="FP86" s="139">
        <v>45231.0</v>
      </c>
      <c r="FQ86" s="139">
        <v>45261.0</v>
      </c>
      <c r="FR86" s="139">
        <v>45292.0</v>
      </c>
      <c r="FS86" s="139">
        <v>45323.0</v>
      </c>
      <c r="FT86" s="139">
        <v>45352.0</v>
      </c>
      <c r="FU86" s="139">
        <v>45383.0</v>
      </c>
      <c r="FV86" s="139">
        <v>45413.0</v>
      </c>
      <c r="FW86" s="139">
        <v>45444.0</v>
      </c>
      <c r="FX86" s="139">
        <v>45474.0</v>
      </c>
      <c r="FY86" s="139">
        <v>45505.0</v>
      </c>
      <c r="FZ86" s="139">
        <v>45536.0</v>
      </c>
      <c r="GA86" s="139">
        <v>45566.0</v>
      </c>
      <c r="GB86" s="139">
        <v>45597.0</v>
      </c>
      <c r="GC86" s="139">
        <v>45627.0</v>
      </c>
      <c r="GD86" s="139">
        <v>45658.0</v>
      </c>
      <c r="GE86" s="139">
        <v>45689.0</v>
      </c>
      <c r="GF86" s="139">
        <v>45717.0</v>
      </c>
      <c r="GG86" s="139">
        <v>45748.0</v>
      </c>
      <c r="GH86" s="139">
        <v>45778.0</v>
      </c>
      <c r="GI86" s="139">
        <v>45809.0</v>
      </c>
      <c r="GJ86" s="139">
        <v>45839.0</v>
      </c>
    </row>
    <row r="87">
      <c r="A87" s="133" t="s">
        <v>1549</v>
      </c>
      <c r="B87" s="134">
        <v>43486.57892361111</v>
      </c>
      <c r="C87" s="135" t="str">
        <f t="shared" si="1"/>
        <v>2019/01/21</v>
      </c>
      <c r="D87" s="136" t="s">
        <v>34287</v>
      </c>
      <c r="E87" s="151">
        <v>0.0</v>
      </c>
      <c r="F87" s="138">
        <v>40179.0</v>
      </c>
      <c r="G87" s="138">
        <v>40210.0</v>
      </c>
      <c r="H87" s="138">
        <v>40238.0</v>
      </c>
      <c r="I87" s="138">
        <v>40269.0</v>
      </c>
      <c r="J87" s="138">
        <v>40299.0</v>
      </c>
      <c r="K87" s="138">
        <v>40330.0</v>
      </c>
      <c r="L87" s="138">
        <v>40360.0</v>
      </c>
      <c r="M87" s="138">
        <v>40391.0</v>
      </c>
      <c r="N87" s="138">
        <v>40422.0</v>
      </c>
      <c r="O87" s="138">
        <v>40452.0</v>
      </c>
      <c r="P87" s="138">
        <v>40483.0</v>
      </c>
      <c r="Q87" s="138">
        <v>40513.0</v>
      </c>
      <c r="R87" s="138">
        <v>40544.0</v>
      </c>
      <c r="S87" s="138">
        <v>40575.0</v>
      </c>
      <c r="T87" s="138">
        <v>40603.0</v>
      </c>
      <c r="U87" s="138">
        <v>40634.0</v>
      </c>
      <c r="V87" s="138">
        <v>40664.0</v>
      </c>
      <c r="W87" s="138">
        <v>40695.0</v>
      </c>
      <c r="X87" s="138">
        <v>40725.0</v>
      </c>
      <c r="Y87" s="138">
        <v>40756.0</v>
      </c>
      <c r="Z87" s="138">
        <v>40787.0</v>
      </c>
      <c r="AA87" s="138">
        <v>40817.0</v>
      </c>
      <c r="AB87" s="138">
        <v>40848.0</v>
      </c>
      <c r="AC87" s="138">
        <v>40878.0</v>
      </c>
      <c r="AD87" s="138">
        <v>40909.0</v>
      </c>
      <c r="AE87" s="138">
        <v>40940.0</v>
      </c>
      <c r="AF87" s="138">
        <v>40969.0</v>
      </c>
      <c r="AG87" s="138">
        <v>41000.0</v>
      </c>
      <c r="AH87" s="138">
        <v>41030.0</v>
      </c>
      <c r="AI87" s="138">
        <v>41061.0</v>
      </c>
      <c r="AJ87" s="138">
        <v>41091.0</v>
      </c>
      <c r="AK87" s="138">
        <v>41122.0</v>
      </c>
      <c r="AL87" s="138">
        <v>41153.0</v>
      </c>
      <c r="AM87" s="138">
        <v>41183.0</v>
      </c>
      <c r="AN87" s="138">
        <v>41214.0</v>
      </c>
      <c r="AO87" s="138">
        <v>41244.0</v>
      </c>
      <c r="AP87" s="138">
        <v>41275.0</v>
      </c>
      <c r="AQ87" s="138">
        <v>41306.0</v>
      </c>
      <c r="AR87" s="138">
        <v>41334.0</v>
      </c>
      <c r="AS87" s="138">
        <v>41365.0</v>
      </c>
      <c r="AT87" s="138">
        <v>41395.0</v>
      </c>
      <c r="AU87" s="138">
        <v>41426.0</v>
      </c>
      <c r="AV87" s="138">
        <v>41456.0</v>
      </c>
      <c r="AW87" s="138">
        <v>41487.0</v>
      </c>
      <c r="AX87" s="138">
        <v>41518.0</v>
      </c>
      <c r="AY87" s="138">
        <v>41548.0</v>
      </c>
      <c r="AZ87" s="138">
        <v>41579.0</v>
      </c>
      <c r="BA87" s="138">
        <v>41609.0</v>
      </c>
      <c r="BB87" s="138">
        <v>41640.0</v>
      </c>
      <c r="BC87" s="138">
        <v>41671.0</v>
      </c>
      <c r="BD87" s="138">
        <v>41699.0</v>
      </c>
      <c r="BE87" s="138">
        <v>41730.0</v>
      </c>
      <c r="BF87" s="138">
        <v>41760.0</v>
      </c>
      <c r="BG87" s="138">
        <v>41791.0</v>
      </c>
      <c r="BH87" s="138">
        <v>41821.0</v>
      </c>
      <c r="BI87" s="138">
        <v>41852.0</v>
      </c>
      <c r="BJ87" s="138">
        <v>41883.0</v>
      </c>
      <c r="BK87" s="138">
        <v>41913.0</v>
      </c>
      <c r="BL87" s="138">
        <v>41944.0</v>
      </c>
      <c r="BM87" s="138">
        <v>41974.0</v>
      </c>
      <c r="BN87" s="138">
        <v>42005.0</v>
      </c>
      <c r="BO87" s="138">
        <v>42036.0</v>
      </c>
      <c r="BP87" s="138">
        <v>42064.0</v>
      </c>
      <c r="BQ87" s="138">
        <v>42095.0</v>
      </c>
      <c r="BR87" s="138">
        <v>42125.0</v>
      </c>
      <c r="BS87" s="138">
        <v>42156.0</v>
      </c>
      <c r="BT87" s="138">
        <v>42186.0</v>
      </c>
      <c r="BU87" s="138">
        <v>42217.0</v>
      </c>
      <c r="BV87" s="138">
        <v>42248.0</v>
      </c>
      <c r="BW87" s="138">
        <v>42278.0</v>
      </c>
      <c r="BX87" s="138">
        <v>42309.0</v>
      </c>
      <c r="BY87" s="138">
        <v>42339.0</v>
      </c>
      <c r="BZ87" s="138">
        <v>42370.0</v>
      </c>
      <c r="CA87" s="138">
        <v>42401.0</v>
      </c>
      <c r="CB87" s="138">
        <v>42430.0</v>
      </c>
      <c r="CC87" s="138">
        <v>42461.0</v>
      </c>
      <c r="CD87" s="138">
        <v>42491.0</v>
      </c>
      <c r="CE87" s="138">
        <v>42522.0</v>
      </c>
      <c r="CF87" s="138">
        <v>42552.0</v>
      </c>
      <c r="CG87" s="138">
        <v>42583.0</v>
      </c>
      <c r="CH87" s="138">
        <v>42614.0</v>
      </c>
      <c r="CI87" s="138">
        <v>42644.0</v>
      </c>
      <c r="CJ87" s="138">
        <v>42675.0</v>
      </c>
      <c r="CK87" s="138">
        <v>42705.0</v>
      </c>
      <c r="CL87" s="138">
        <v>42736.0</v>
      </c>
      <c r="CM87" s="138">
        <v>42767.0</v>
      </c>
      <c r="CN87" s="138">
        <v>42795.0</v>
      </c>
      <c r="CO87" s="138">
        <v>42826.0</v>
      </c>
      <c r="CP87" s="138">
        <v>42856.0</v>
      </c>
      <c r="CQ87" s="138">
        <v>42887.0</v>
      </c>
      <c r="CR87" s="138">
        <v>42917.0</v>
      </c>
      <c r="CS87" s="138">
        <v>42948.0</v>
      </c>
      <c r="CT87" s="138">
        <v>42979.0</v>
      </c>
      <c r="CU87" s="138">
        <v>43009.0</v>
      </c>
      <c r="CV87" s="138">
        <v>43040.0</v>
      </c>
      <c r="CW87" s="138">
        <v>43070.0</v>
      </c>
      <c r="CX87" s="138">
        <v>43101.0</v>
      </c>
      <c r="CY87" s="138">
        <v>43132.0</v>
      </c>
      <c r="CZ87" s="138">
        <v>43160.0</v>
      </c>
      <c r="DA87" s="138">
        <v>43191.0</v>
      </c>
      <c r="DB87" s="138">
        <v>43221.0</v>
      </c>
      <c r="DC87" s="138">
        <v>43252.0</v>
      </c>
      <c r="DD87" s="138">
        <v>43282.0</v>
      </c>
      <c r="DE87" s="138">
        <v>43313.0</v>
      </c>
      <c r="DF87" s="138">
        <v>43344.0</v>
      </c>
      <c r="DG87" s="138">
        <v>43374.0</v>
      </c>
      <c r="DH87" s="138">
        <v>43405.0</v>
      </c>
      <c r="DI87" s="138">
        <v>43435.0</v>
      </c>
      <c r="DJ87" s="138">
        <v>43466.0</v>
      </c>
      <c r="DK87" s="139">
        <v>43497.0</v>
      </c>
      <c r="DL87" s="139">
        <v>43525.0</v>
      </c>
      <c r="DM87" s="139">
        <v>43556.0</v>
      </c>
      <c r="DN87" s="139">
        <v>43586.0</v>
      </c>
      <c r="DO87" s="139">
        <v>43617.0</v>
      </c>
      <c r="DP87" s="139">
        <v>43647.0</v>
      </c>
      <c r="DQ87" s="139">
        <v>43678.0</v>
      </c>
      <c r="DR87" s="139">
        <v>43709.0</v>
      </c>
      <c r="DS87" s="139">
        <v>43739.0</v>
      </c>
      <c r="DT87" s="139">
        <v>43770.0</v>
      </c>
      <c r="DU87" s="139">
        <v>43800.0</v>
      </c>
      <c r="DV87" s="139">
        <v>43831.0</v>
      </c>
      <c r="DW87" s="139">
        <v>43862.0</v>
      </c>
      <c r="DX87" s="139">
        <v>43891.0</v>
      </c>
      <c r="DY87" s="139">
        <v>43922.0</v>
      </c>
      <c r="DZ87" s="139">
        <v>43952.0</v>
      </c>
      <c r="EA87" s="139">
        <v>43983.0</v>
      </c>
      <c r="EB87" s="139">
        <v>44013.0</v>
      </c>
      <c r="EC87" s="139">
        <v>44044.0</v>
      </c>
      <c r="ED87" s="139">
        <v>44075.0</v>
      </c>
      <c r="EE87" s="139">
        <v>44105.0</v>
      </c>
      <c r="EF87" s="139">
        <v>44136.0</v>
      </c>
      <c r="EG87" s="139">
        <v>44166.0</v>
      </c>
      <c r="EH87" s="139">
        <v>44197.0</v>
      </c>
      <c r="EI87" s="139">
        <v>44228.0</v>
      </c>
      <c r="EJ87" s="139">
        <v>44256.0</v>
      </c>
      <c r="EK87" s="139">
        <v>44287.0</v>
      </c>
      <c r="EL87" s="139">
        <v>44317.0</v>
      </c>
      <c r="EM87" s="139">
        <v>44348.0</v>
      </c>
      <c r="EN87" s="139">
        <v>44378.0</v>
      </c>
      <c r="EO87" s="139">
        <v>44409.0</v>
      </c>
      <c r="EP87" s="139">
        <v>44440.0</v>
      </c>
      <c r="EQ87" s="139">
        <v>44470.0</v>
      </c>
      <c r="ER87" s="139">
        <v>44501.0</v>
      </c>
      <c r="ES87" s="139">
        <v>44531.0</v>
      </c>
      <c r="ET87" s="139">
        <v>44562.0</v>
      </c>
      <c r="EU87" s="139">
        <v>44593.0</v>
      </c>
      <c r="EV87" s="139">
        <v>44621.0</v>
      </c>
      <c r="EW87" s="139">
        <v>44652.0</v>
      </c>
      <c r="EX87" s="139">
        <v>44682.0</v>
      </c>
      <c r="EY87" s="139">
        <v>44713.0</v>
      </c>
      <c r="EZ87" s="139">
        <v>44743.0</v>
      </c>
      <c r="FA87" s="139">
        <v>44774.0</v>
      </c>
      <c r="FB87" s="139">
        <v>44805.0</v>
      </c>
      <c r="FC87" s="139">
        <v>44835.0</v>
      </c>
      <c r="FD87" s="139">
        <v>44866.0</v>
      </c>
      <c r="FE87" s="139">
        <v>44896.0</v>
      </c>
      <c r="FF87" s="139">
        <v>44927.0</v>
      </c>
      <c r="FG87" s="139">
        <v>44958.0</v>
      </c>
      <c r="FH87" s="139">
        <v>44986.0</v>
      </c>
      <c r="FI87" s="139">
        <v>45017.0</v>
      </c>
      <c r="FJ87" s="139">
        <v>45047.0</v>
      </c>
      <c r="FK87" s="139">
        <v>45078.0</v>
      </c>
      <c r="FL87" s="139">
        <v>45108.0</v>
      </c>
      <c r="FM87" s="139">
        <v>45139.0</v>
      </c>
      <c r="FN87" s="139">
        <v>45170.0</v>
      </c>
      <c r="FO87" s="139">
        <v>45200.0</v>
      </c>
      <c r="FP87" s="139">
        <v>45231.0</v>
      </c>
      <c r="FQ87" s="139">
        <v>45261.0</v>
      </c>
      <c r="FR87" s="139">
        <v>45292.0</v>
      </c>
      <c r="FS87" s="139">
        <v>45323.0</v>
      </c>
      <c r="FT87" s="139">
        <v>45352.0</v>
      </c>
      <c r="FU87" s="139">
        <v>45383.0</v>
      </c>
      <c r="FV87" s="139">
        <v>45413.0</v>
      </c>
      <c r="FW87" s="139">
        <v>45444.0</v>
      </c>
      <c r="FX87" s="139">
        <v>45474.0</v>
      </c>
      <c r="FY87" s="139">
        <v>45505.0</v>
      </c>
      <c r="FZ87" s="139">
        <v>45536.0</v>
      </c>
      <c r="GA87" s="139">
        <v>45566.0</v>
      </c>
      <c r="GB87" s="139">
        <v>45597.0</v>
      </c>
      <c r="GC87" s="139">
        <v>45627.0</v>
      </c>
      <c r="GD87" s="139">
        <v>45658.0</v>
      </c>
      <c r="GE87" s="139">
        <v>45689.0</v>
      </c>
      <c r="GF87" s="139">
        <v>45717.0</v>
      </c>
      <c r="GG87" s="139">
        <v>45748.0</v>
      </c>
      <c r="GH87" s="139">
        <v>45778.0</v>
      </c>
      <c r="GI87" s="139">
        <v>45809.0</v>
      </c>
      <c r="GJ87" s="139">
        <v>45839.0</v>
      </c>
    </row>
    <row r="88">
      <c r="A88" s="133" t="s">
        <v>1508</v>
      </c>
      <c r="B88" s="134">
        <v>43496.569710648146</v>
      </c>
      <c r="C88" s="135" t="str">
        <f t="shared" si="1"/>
        <v>2019/01/31</v>
      </c>
      <c r="D88" s="136" t="s">
        <v>34288</v>
      </c>
      <c r="E88" s="151">
        <v>0.0</v>
      </c>
      <c r="F88" s="138">
        <v>40179.0</v>
      </c>
      <c r="G88" s="138">
        <v>40210.0</v>
      </c>
      <c r="H88" s="138">
        <v>40238.0</v>
      </c>
      <c r="I88" s="138">
        <v>40269.0</v>
      </c>
      <c r="J88" s="138">
        <v>40299.0</v>
      </c>
      <c r="K88" s="138">
        <v>40330.0</v>
      </c>
      <c r="L88" s="138">
        <v>40360.0</v>
      </c>
      <c r="M88" s="138">
        <v>40391.0</v>
      </c>
      <c r="N88" s="138">
        <v>40422.0</v>
      </c>
      <c r="O88" s="138">
        <v>40452.0</v>
      </c>
      <c r="P88" s="138">
        <v>40483.0</v>
      </c>
      <c r="Q88" s="138">
        <v>40513.0</v>
      </c>
      <c r="R88" s="138">
        <v>40544.0</v>
      </c>
      <c r="S88" s="138">
        <v>40575.0</v>
      </c>
      <c r="T88" s="138">
        <v>40603.0</v>
      </c>
      <c r="U88" s="138">
        <v>40634.0</v>
      </c>
      <c r="V88" s="138">
        <v>40664.0</v>
      </c>
      <c r="W88" s="138">
        <v>40695.0</v>
      </c>
      <c r="X88" s="138">
        <v>40725.0</v>
      </c>
      <c r="Y88" s="138">
        <v>40756.0</v>
      </c>
      <c r="Z88" s="138">
        <v>40787.0</v>
      </c>
      <c r="AA88" s="138">
        <v>40817.0</v>
      </c>
      <c r="AB88" s="138">
        <v>40848.0</v>
      </c>
      <c r="AC88" s="138">
        <v>40878.0</v>
      </c>
      <c r="AD88" s="138">
        <v>40909.0</v>
      </c>
      <c r="AE88" s="138">
        <v>40940.0</v>
      </c>
      <c r="AF88" s="138">
        <v>40969.0</v>
      </c>
      <c r="AG88" s="138">
        <v>41000.0</v>
      </c>
      <c r="AH88" s="138">
        <v>41030.0</v>
      </c>
      <c r="AI88" s="138">
        <v>41061.0</v>
      </c>
      <c r="AJ88" s="138">
        <v>41091.0</v>
      </c>
      <c r="AK88" s="138">
        <v>41122.0</v>
      </c>
      <c r="AL88" s="138">
        <v>41153.0</v>
      </c>
      <c r="AM88" s="138">
        <v>41183.0</v>
      </c>
      <c r="AN88" s="138">
        <v>41214.0</v>
      </c>
      <c r="AO88" s="138">
        <v>41244.0</v>
      </c>
      <c r="AP88" s="138">
        <v>41275.0</v>
      </c>
      <c r="AQ88" s="138">
        <v>41306.0</v>
      </c>
      <c r="AR88" s="138">
        <v>41334.0</v>
      </c>
      <c r="AS88" s="138">
        <v>41365.0</v>
      </c>
      <c r="AT88" s="138">
        <v>41395.0</v>
      </c>
      <c r="AU88" s="138">
        <v>41426.0</v>
      </c>
      <c r="AV88" s="138">
        <v>41456.0</v>
      </c>
      <c r="AW88" s="138">
        <v>41487.0</v>
      </c>
      <c r="AX88" s="138">
        <v>41518.0</v>
      </c>
      <c r="AY88" s="138">
        <v>41548.0</v>
      </c>
      <c r="AZ88" s="138">
        <v>41579.0</v>
      </c>
      <c r="BA88" s="138">
        <v>41609.0</v>
      </c>
      <c r="BB88" s="138">
        <v>41640.0</v>
      </c>
      <c r="BC88" s="138">
        <v>41671.0</v>
      </c>
      <c r="BD88" s="138">
        <v>41699.0</v>
      </c>
      <c r="BE88" s="138">
        <v>41730.0</v>
      </c>
      <c r="BF88" s="138">
        <v>41760.0</v>
      </c>
      <c r="BG88" s="138">
        <v>41791.0</v>
      </c>
      <c r="BH88" s="138">
        <v>41821.0</v>
      </c>
      <c r="BI88" s="138">
        <v>41852.0</v>
      </c>
      <c r="BJ88" s="138">
        <v>41883.0</v>
      </c>
      <c r="BK88" s="138">
        <v>41913.0</v>
      </c>
      <c r="BL88" s="138">
        <v>41944.0</v>
      </c>
      <c r="BM88" s="138">
        <v>41974.0</v>
      </c>
      <c r="BN88" s="138">
        <v>42005.0</v>
      </c>
      <c r="BO88" s="138">
        <v>42036.0</v>
      </c>
      <c r="BP88" s="138">
        <v>42064.0</v>
      </c>
      <c r="BQ88" s="138">
        <v>42095.0</v>
      </c>
      <c r="BR88" s="138">
        <v>42125.0</v>
      </c>
      <c r="BS88" s="138">
        <v>42156.0</v>
      </c>
      <c r="BT88" s="138">
        <v>42186.0</v>
      </c>
      <c r="BU88" s="138">
        <v>42217.0</v>
      </c>
      <c r="BV88" s="138">
        <v>42248.0</v>
      </c>
      <c r="BW88" s="138">
        <v>42278.0</v>
      </c>
      <c r="BX88" s="138">
        <v>42309.0</v>
      </c>
      <c r="BY88" s="138">
        <v>42339.0</v>
      </c>
      <c r="BZ88" s="138">
        <v>42370.0</v>
      </c>
      <c r="CA88" s="138">
        <v>42401.0</v>
      </c>
      <c r="CB88" s="138">
        <v>42430.0</v>
      </c>
      <c r="CC88" s="138">
        <v>42461.0</v>
      </c>
      <c r="CD88" s="138">
        <v>42491.0</v>
      </c>
      <c r="CE88" s="138">
        <v>42522.0</v>
      </c>
      <c r="CF88" s="138">
        <v>42552.0</v>
      </c>
      <c r="CG88" s="138">
        <v>42583.0</v>
      </c>
      <c r="CH88" s="138">
        <v>42614.0</v>
      </c>
      <c r="CI88" s="138">
        <v>42644.0</v>
      </c>
      <c r="CJ88" s="138">
        <v>42675.0</v>
      </c>
      <c r="CK88" s="138">
        <v>42705.0</v>
      </c>
      <c r="CL88" s="138">
        <v>42736.0</v>
      </c>
      <c r="CM88" s="138">
        <v>42767.0</v>
      </c>
      <c r="CN88" s="138">
        <v>42795.0</v>
      </c>
      <c r="CO88" s="138">
        <v>42826.0</v>
      </c>
      <c r="CP88" s="138">
        <v>42856.0</v>
      </c>
      <c r="CQ88" s="138">
        <v>42887.0</v>
      </c>
      <c r="CR88" s="138">
        <v>42917.0</v>
      </c>
      <c r="CS88" s="138">
        <v>42948.0</v>
      </c>
      <c r="CT88" s="138">
        <v>42979.0</v>
      </c>
      <c r="CU88" s="138">
        <v>43009.0</v>
      </c>
      <c r="CV88" s="138">
        <v>43040.0</v>
      </c>
      <c r="CW88" s="138">
        <v>43070.0</v>
      </c>
      <c r="CX88" s="138">
        <v>43101.0</v>
      </c>
      <c r="CY88" s="138">
        <v>43132.0</v>
      </c>
      <c r="CZ88" s="138">
        <v>43160.0</v>
      </c>
      <c r="DA88" s="138">
        <v>43191.0</v>
      </c>
      <c r="DB88" s="138">
        <v>43221.0</v>
      </c>
      <c r="DC88" s="138">
        <v>43252.0</v>
      </c>
      <c r="DD88" s="138">
        <v>43282.0</v>
      </c>
      <c r="DE88" s="138">
        <v>43313.0</v>
      </c>
      <c r="DF88" s="138">
        <v>43344.0</v>
      </c>
      <c r="DG88" s="138">
        <v>43374.0</v>
      </c>
      <c r="DH88" s="138">
        <v>43405.0</v>
      </c>
      <c r="DI88" s="138">
        <v>43435.0</v>
      </c>
      <c r="DJ88" s="138">
        <v>43466.0</v>
      </c>
      <c r="DK88" s="139">
        <v>43497.0</v>
      </c>
      <c r="DL88" s="139">
        <v>43525.0</v>
      </c>
      <c r="DM88" s="139">
        <v>43556.0</v>
      </c>
      <c r="DN88" s="139">
        <v>43586.0</v>
      </c>
      <c r="DO88" s="139">
        <v>43617.0</v>
      </c>
      <c r="DP88" s="139">
        <v>43647.0</v>
      </c>
      <c r="DQ88" s="139">
        <v>43678.0</v>
      </c>
      <c r="DR88" s="139">
        <v>43709.0</v>
      </c>
      <c r="DS88" s="139">
        <v>43739.0</v>
      </c>
      <c r="DT88" s="139">
        <v>43770.0</v>
      </c>
      <c r="DU88" s="139">
        <v>43800.0</v>
      </c>
      <c r="DV88" s="139">
        <v>43831.0</v>
      </c>
      <c r="DW88" s="139">
        <v>43862.0</v>
      </c>
      <c r="DX88" s="139">
        <v>43891.0</v>
      </c>
      <c r="DY88" s="139">
        <v>43922.0</v>
      </c>
      <c r="DZ88" s="139">
        <v>43952.0</v>
      </c>
      <c r="EA88" s="139">
        <v>43983.0</v>
      </c>
      <c r="EB88" s="139">
        <v>44013.0</v>
      </c>
      <c r="EC88" s="139">
        <v>44044.0</v>
      </c>
      <c r="ED88" s="139">
        <v>44075.0</v>
      </c>
      <c r="EE88" s="139">
        <v>44105.0</v>
      </c>
      <c r="EF88" s="139">
        <v>44136.0</v>
      </c>
      <c r="EG88" s="139">
        <v>44166.0</v>
      </c>
      <c r="EH88" s="139">
        <v>44197.0</v>
      </c>
      <c r="EI88" s="139">
        <v>44228.0</v>
      </c>
      <c r="EJ88" s="139">
        <v>44256.0</v>
      </c>
      <c r="EK88" s="139">
        <v>44287.0</v>
      </c>
      <c r="EL88" s="139">
        <v>44317.0</v>
      </c>
      <c r="EM88" s="139">
        <v>44348.0</v>
      </c>
      <c r="EN88" s="139">
        <v>44378.0</v>
      </c>
      <c r="EO88" s="139">
        <v>44409.0</v>
      </c>
      <c r="EP88" s="139">
        <v>44440.0</v>
      </c>
      <c r="EQ88" s="139">
        <v>44470.0</v>
      </c>
      <c r="ER88" s="139">
        <v>44501.0</v>
      </c>
      <c r="ES88" s="139">
        <v>44531.0</v>
      </c>
      <c r="ET88" s="139">
        <v>44562.0</v>
      </c>
      <c r="EU88" s="139">
        <v>44593.0</v>
      </c>
      <c r="EV88" s="139">
        <v>44621.0</v>
      </c>
      <c r="EW88" s="139">
        <v>44652.0</v>
      </c>
      <c r="EX88" s="139">
        <v>44682.0</v>
      </c>
      <c r="EY88" s="139">
        <v>44713.0</v>
      </c>
      <c r="EZ88" s="139">
        <v>44743.0</v>
      </c>
      <c r="FA88" s="139">
        <v>44774.0</v>
      </c>
      <c r="FB88" s="139">
        <v>44805.0</v>
      </c>
      <c r="FC88" s="139">
        <v>44835.0</v>
      </c>
      <c r="FD88" s="139">
        <v>44866.0</v>
      </c>
      <c r="FE88" s="139">
        <v>44896.0</v>
      </c>
      <c r="FF88" s="139">
        <v>44927.0</v>
      </c>
      <c r="FG88" s="139">
        <v>44958.0</v>
      </c>
      <c r="FH88" s="139">
        <v>44986.0</v>
      </c>
      <c r="FI88" s="139">
        <v>45017.0</v>
      </c>
      <c r="FJ88" s="139">
        <v>45047.0</v>
      </c>
      <c r="FK88" s="139">
        <v>45078.0</v>
      </c>
      <c r="FL88" s="139">
        <v>45108.0</v>
      </c>
      <c r="FM88" s="139">
        <v>45139.0</v>
      </c>
      <c r="FN88" s="139">
        <v>45170.0</v>
      </c>
      <c r="FO88" s="139">
        <v>45200.0</v>
      </c>
      <c r="FP88" s="139">
        <v>45231.0</v>
      </c>
      <c r="FQ88" s="139">
        <v>45261.0</v>
      </c>
      <c r="FR88" s="139">
        <v>45292.0</v>
      </c>
      <c r="FS88" s="139">
        <v>45323.0</v>
      </c>
      <c r="FT88" s="139">
        <v>45352.0</v>
      </c>
      <c r="FU88" s="139">
        <v>45383.0</v>
      </c>
      <c r="FV88" s="139">
        <v>45413.0</v>
      </c>
      <c r="FW88" s="139">
        <v>45444.0</v>
      </c>
      <c r="FX88" s="139">
        <v>45474.0</v>
      </c>
      <c r="FY88" s="139">
        <v>45505.0</v>
      </c>
      <c r="FZ88" s="139">
        <v>45536.0</v>
      </c>
      <c r="GA88" s="139">
        <v>45566.0</v>
      </c>
      <c r="GB88" s="139">
        <v>45597.0</v>
      </c>
      <c r="GC88" s="139">
        <v>45627.0</v>
      </c>
      <c r="GD88" s="139">
        <v>45658.0</v>
      </c>
      <c r="GE88" s="139">
        <v>45689.0</v>
      </c>
      <c r="GF88" s="139">
        <v>45717.0</v>
      </c>
      <c r="GG88" s="139">
        <v>45748.0</v>
      </c>
      <c r="GH88" s="139">
        <v>45778.0</v>
      </c>
      <c r="GI88" s="139">
        <v>45809.0</v>
      </c>
      <c r="GJ88" s="139">
        <v>45839.0</v>
      </c>
    </row>
    <row r="89">
      <c r="A89" s="133" t="s">
        <v>1845</v>
      </c>
      <c r="B89" s="134">
        <v>43497.72431712963</v>
      </c>
      <c r="C89" s="135" t="str">
        <f t="shared" si="1"/>
        <v>2019/02/01</v>
      </c>
      <c r="D89" s="136" t="s">
        <v>33912</v>
      </c>
      <c r="E89" s="151">
        <v>0.0</v>
      </c>
      <c r="F89" s="138">
        <v>40179.0</v>
      </c>
      <c r="G89" s="138">
        <v>40210.0</v>
      </c>
      <c r="H89" s="138">
        <v>40238.0</v>
      </c>
      <c r="I89" s="138">
        <v>40269.0</v>
      </c>
      <c r="J89" s="138">
        <v>40299.0</v>
      </c>
      <c r="K89" s="138">
        <v>40330.0</v>
      </c>
      <c r="L89" s="138">
        <v>40360.0</v>
      </c>
      <c r="M89" s="138">
        <v>40391.0</v>
      </c>
      <c r="N89" s="138">
        <v>40422.0</v>
      </c>
      <c r="O89" s="138">
        <v>40452.0</v>
      </c>
      <c r="P89" s="138">
        <v>40483.0</v>
      </c>
      <c r="Q89" s="138">
        <v>40513.0</v>
      </c>
      <c r="R89" s="138">
        <v>40544.0</v>
      </c>
      <c r="S89" s="138">
        <v>40575.0</v>
      </c>
      <c r="T89" s="138">
        <v>40603.0</v>
      </c>
      <c r="U89" s="138">
        <v>40634.0</v>
      </c>
      <c r="V89" s="138">
        <v>40664.0</v>
      </c>
      <c r="W89" s="138">
        <v>40695.0</v>
      </c>
      <c r="X89" s="138">
        <v>40725.0</v>
      </c>
      <c r="Y89" s="138">
        <v>40756.0</v>
      </c>
      <c r="Z89" s="138">
        <v>40787.0</v>
      </c>
      <c r="AA89" s="138">
        <v>40817.0</v>
      </c>
      <c r="AB89" s="138">
        <v>40848.0</v>
      </c>
      <c r="AC89" s="138">
        <v>40878.0</v>
      </c>
      <c r="AD89" s="138">
        <v>40909.0</v>
      </c>
      <c r="AE89" s="138">
        <v>40940.0</v>
      </c>
      <c r="AF89" s="138">
        <v>40969.0</v>
      </c>
      <c r="AG89" s="138">
        <v>41000.0</v>
      </c>
      <c r="AH89" s="138">
        <v>41030.0</v>
      </c>
      <c r="AI89" s="138">
        <v>41061.0</v>
      </c>
      <c r="AJ89" s="138">
        <v>41091.0</v>
      </c>
      <c r="AK89" s="138">
        <v>41122.0</v>
      </c>
      <c r="AL89" s="138">
        <v>41153.0</v>
      </c>
      <c r="AM89" s="138">
        <v>41183.0</v>
      </c>
      <c r="AN89" s="138">
        <v>41214.0</v>
      </c>
      <c r="AO89" s="138">
        <v>41244.0</v>
      </c>
      <c r="AP89" s="138">
        <v>41275.0</v>
      </c>
      <c r="AQ89" s="138">
        <v>41306.0</v>
      </c>
      <c r="AR89" s="138">
        <v>41334.0</v>
      </c>
      <c r="AS89" s="138">
        <v>41365.0</v>
      </c>
      <c r="AT89" s="138">
        <v>41395.0</v>
      </c>
      <c r="AU89" s="138">
        <v>41426.0</v>
      </c>
      <c r="AV89" s="138">
        <v>41456.0</v>
      </c>
      <c r="AW89" s="138">
        <v>41487.0</v>
      </c>
      <c r="AX89" s="138">
        <v>41518.0</v>
      </c>
      <c r="AY89" s="138">
        <v>41548.0</v>
      </c>
      <c r="AZ89" s="138">
        <v>41579.0</v>
      </c>
      <c r="BA89" s="138">
        <v>41609.0</v>
      </c>
      <c r="BB89" s="138">
        <v>41640.0</v>
      </c>
      <c r="BC89" s="138">
        <v>41671.0</v>
      </c>
      <c r="BD89" s="138">
        <v>41699.0</v>
      </c>
      <c r="BE89" s="138">
        <v>41730.0</v>
      </c>
      <c r="BF89" s="138">
        <v>41760.0</v>
      </c>
      <c r="BG89" s="138">
        <v>41791.0</v>
      </c>
      <c r="BH89" s="138">
        <v>41821.0</v>
      </c>
      <c r="BI89" s="138">
        <v>41852.0</v>
      </c>
      <c r="BJ89" s="138">
        <v>41883.0</v>
      </c>
      <c r="BK89" s="138">
        <v>41913.0</v>
      </c>
      <c r="BL89" s="138">
        <v>41944.0</v>
      </c>
      <c r="BM89" s="138">
        <v>41974.0</v>
      </c>
      <c r="BN89" s="138">
        <v>42005.0</v>
      </c>
      <c r="BO89" s="138">
        <v>42036.0</v>
      </c>
      <c r="BP89" s="138">
        <v>42064.0</v>
      </c>
      <c r="BQ89" s="138">
        <v>42095.0</v>
      </c>
      <c r="BR89" s="138">
        <v>42125.0</v>
      </c>
      <c r="BS89" s="138">
        <v>42156.0</v>
      </c>
      <c r="BT89" s="138">
        <v>42186.0</v>
      </c>
      <c r="BU89" s="138">
        <v>42217.0</v>
      </c>
      <c r="BV89" s="138">
        <v>42248.0</v>
      </c>
      <c r="BW89" s="138">
        <v>42278.0</v>
      </c>
      <c r="BX89" s="138">
        <v>42309.0</v>
      </c>
      <c r="BY89" s="138">
        <v>42339.0</v>
      </c>
      <c r="BZ89" s="138">
        <v>42370.0</v>
      </c>
      <c r="CA89" s="138">
        <v>42401.0</v>
      </c>
      <c r="CB89" s="138">
        <v>42430.0</v>
      </c>
      <c r="CC89" s="138">
        <v>42461.0</v>
      </c>
      <c r="CD89" s="138">
        <v>42491.0</v>
      </c>
      <c r="CE89" s="138">
        <v>42522.0</v>
      </c>
      <c r="CF89" s="138">
        <v>42552.0</v>
      </c>
      <c r="CG89" s="138">
        <v>42583.0</v>
      </c>
      <c r="CH89" s="138">
        <v>42614.0</v>
      </c>
      <c r="CI89" s="138">
        <v>42644.0</v>
      </c>
      <c r="CJ89" s="138">
        <v>42675.0</v>
      </c>
      <c r="CK89" s="138">
        <v>42705.0</v>
      </c>
      <c r="CL89" s="138">
        <v>42736.0</v>
      </c>
      <c r="CM89" s="138">
        <v>42767.0</v>
      </c>
      <c r="CN89" s="138">
        <v>42795.0</v>
      </c>
      <c r="CO89" s="138">
        <v>42826.0</v>
      </c>
      <c r="CP89" s="138">
        <v>42856.0</v>
      </c>
      <c r="CQ89" s="138">
        <v>42887.0</v>
      </c>
      <c r="CR89" s="138">
        <v>42917.0</v>
      </c>
      <c r="CS89" s="138">
        <v>42948.0</v>
      </c>
      <c r="CT89" s="138">
        <v>42979.0</v>
      </c>
      <c r="CU89" s="138">
        <v>43009.0</v>
      </c>
      <c r="CV89" s="138">
        <v>43040.0</v>
      </c>
      <c r="CW89" s="138">
        <v>43070.0</v>
      </c>
      <c r="CX89" s="138">
        <v>43101.0</v>
      </c>
      <c r="CY89" s="138">
        <v>43132.0</v>
      </c>
      <c r="CZ89" s="138">
        <v>43160.0</v>
      </c>
      <c r="DA89" s="138">
        <v>43191.0</v>
      </c>
      <c r="DB89" s="138">
        <v>43221.0</v>
      </c>
      <c r="DC89" s="138">
        <v>43252.0</v>
      </c>
      <c r="DD89" s="138">
        <v>43282.0</v>
      </c>
      <c r="DE89" s="138">
        <v>43313.0</v>
      </c>
      <c r="DF89" s="138">
        <v>43344.0</v>
      </c>
      <c r="DG89" s="138">
        <v>43374.0</v>
      </c>
      <c r="DH89" s="138">
        <v>43405.0</v>
      </c>
      <c r="DI89" s="138">
        <v>43435.0</v>
      </c>
      <c r="DJ89" s="138">
        <v>43466.0</v>
      </c>
      <c r="DK89" s="138">
        <v>43497.0</v>
      </c>
      <c r="DL89" s="139">
        <v>43525.0</v>
      </c>
      <c r="DM89" s="139">
        <v>43556.0</v>
      </c>
      <c r="DN89" s="139">
        <v>43586.0</v>
      </c>
      <c r="DO89" s="139">
        <v>43617.0</v>
      </c>
      <c r="DP89" s="139">
        <v>43647.0</v>
      </c>
      <c r="DQ89" s="139">
        <v>43678.0</v>
      </c>
      <c r="DR89" s="139">
        <v>43709.0</v>
      </c>
      <c r="DS89" s="139">
        <v>43739.0</v>
      </c>
      <c r="DT89" s="139">
        <v>43770.0</v>
      </c>
      <c r="DU89" s="139">
        <v>43800.0</v>
      </c>
      <c r="DV89" s="139">
        <v>43831.0</v>
      </c>
      <c r="DW89" s="139">
        <v>43862.0</v>
      </c>
      <c r="DX89" s="139">
        <v>43891.0</v>
      </c>
      <c r="DY89" s="139">
        <v>43922.0</v>
      </c>
      <c r="DZ89" s="139">
        <v>43952.0</v>
      </c>
      <c r="EA89" s="139">
        <v>43983.0</v>
      </c>
      <c r="EB89" s="139">
        <v>44013.0</v>
      </c>
      <c r="EC89" s="139">
        <v>44044.0</v>
      </c>
      <c r="ED89" s="139">
        <v>44075.0</v>
      </c>
      <c r="EE89" s="139">
        <v>44105.0</v>
      </c>
      <c r="EF89" s="139">
        <v>44136.0</v>
      </c>
      <c r="EG89" s="139">
        <v>44166.0</v>
      </c>
      <c r="EH89" s="139">
        <v>44197.0</v>
      </c>
      <c r="EI89" s="139">
        <v>44228.0</v>
      </c>
      <c r="EJ89" s="139">
        <v>44256.0</v>
      </c>
      <c r="EK89" s="139">
        <v>44287.0</v>
      </c>
      <c r="EL89" s="139">
        <v>44317.0</v>
      </c>
      <c r="EM89" s="139">
        <v>44348.0</v>
      </c>
      <c r="EN89" s="139">
        <v>44378.0</v>
      </c>
      <c r="EO89" s="139">
        <v>44409.0</v>
      </c>
      <c r="EP89" s="139">
        <v>44440.0</v>
      </c>
      <c r="EQ89" s="139">
        <v>44470.0</v>
      </c>
      <c r="ER89" s="139">
        <v>44501.0</v>
      </c>
      <c r="ES89" s="139">
        <v>44531.0</v>
      </c>
      <c r="ET89" s="139">
        <v>44562.0</v>
      </c>
      <c r="EU89" s="139">
        <v>44593.0</v>
      </c>
      <c r="EV89" s="139">
        <v>44621.0</v>
      </c>
      <c r="EW89" s="139">
        <v>44652.0</v>
      </c>
      <c r="EX89" s="139">
        <v>44682.0</v>
      </c>
      <c r="EY89" s="139">
        <v>44713.0</v>
      </c>
      <c r="EZ89" s="139">
        <v>44743.0</v>
      </c>
      <c r="FA89" s="139">
        <v>44774.0</v>
      </c>
      <c r="FB89" s="139">
        <v>44805.0</v>
      </c>
      <c r="FC89" s="139">
        <v>44835.0</v>
      </c>
      <c r="FD89" s="139">
        <v>44866.0</v>
      </c>
      <c r="FE89" s="139">
        <v>44896.0</v>
      </c>
      <c r="FF89" s="139">
        <v>44927.0</v>
      </c>
      <c r="FG89" s="139">
        <v>44958.0</v>
      </c>
      <c r="FH89" s="139">
        <v>44986.0</v>
      </c>
      <c r="FI89" s="139">
        <v>45017.0</v>
      </c>
      <c r="FJ89" s="139">
        <v>45047.0</v>
      </c>
      <c r="FK89" s="139">
        <v>45078.0</v>
      </c>
      <c r="FL89" s="139">
        <v>45108.0</v>
      </c>
      <c r="FM89" s="139">
        <v>45139.0</v>
      </c>
      <c r="FN89" s="139">
        <v>45170.0</v>
      </c>
      <c r="FO89" s="139">
        <v>45200.0</v>
      </c>
      <c r="FP89" s="139">
        <v>45231.0</v>
      </c>
      <c r="FQ89" s="139">
        <v>45261.0</v>
      </c>
      <c r="FR89" s="139">
        <v>45292.0</v>
      </c>
      <c r="FS89" s="139">
        <v>45323.0</v>
      </c>
      <c r="FT89" s="139">
        <v>45352.0</v>
      </c>
      <c r="FU89" s="139">
        <v>45383.0</v>
      </c>
      <c r="FV89" s="139">
        <v>45413.0</v>
      </c>
      <c r="FW89" s="139">
        <v>45444.0</v>
      </c>
      <c r="FX89" s="139">
        <v>45474.0</v>
      </c>
      <c r="FY89" s="139">
        <v>45505.0</v>
      </c>
      <c r="FZ89" s="139">
        <v>45536.0</v>
      </c>
      <c r="GA89" s="139">
        <v>45566.0</v>
      </c>
      <c r="GB89" s="139">
        <v>45597.0</v>
      </c>
      <c r="GC89" s="139">
        <v>45627.0</v>
      </c>
      <c r="GD89" s="139">
        <v>45658.0</v>
      </c>
      <c r="GE89" s="139">
        <v>45689.0</v>
      </c>
      <c r="GF89" s="139">
        <v>45717.0</v>
      </c>
      <c r="GG89" s="139">
        <v>45748.0</v>
      </c>
      <c r="GH89" s="139">
        <v>45778.0</v>
      </c>
      <c r="GI89" s="139">
        <v>45809.0</v>
      </c>
      <c r="GJ89" s="139">
        <v>45839.0</v>
      </c>
    </row>
    <row r="90">
      <c r="A90" s="133" t="s">
        <v>1424</v>
      </c>
      <c r="B90" s="134">
        <v>43500.86628472222</v>
      </c>
      <c r="C90" s="135" t="str">
        <f t="shared" si="1"/>
        <v>2019/02/04</v>
      </c>
      <c r="D90" s="136" t="s">
        <v>33974</v>
      </c>
      <c r="E90" s="151">
        <v>0.0</v>
      </c>
      <c r="F90" s="138">
        <v>40179.0</v>
      </c>
      <c r="G90" s="138">
        <v>40210.0</v>
      </c>
      <c r="H90" s="138">
        <v>40238.0</v>
      </c>
      <c r="I90" s="138">
        <v>40269.0</v>
      </c>
      <c r="J90" s="138">
        <v>40299.0</v>
      </c>
      <c r="K90" s="138">
        <v>40330.0</v>
      </c>
      <c r="L90" s="138">
        <v>40360.0</v>
      </c>
      <c r="M90" s="138">
        <v>40391.0</v>
      </c>
      <c r="N90" s="138">
        <v>40422.0</v>
      </c>
      <c r="O90" s="138">
        <v>40452.0</v>
      </c>
      <c r="P90" s="138">
        <v>40483.0</v>
      </c>
      <c r="Q90" s="138">
        <v>40513.0</v>
      </c>
      <c r="R90" s="138">
        <v>40544.0</v>
      </c>
      <c r="S90" s="138">
        <v>40575.0</v>
      </c>
      <c r="T90" s="138">
        <v>40603.0</v>
      </c>
      <c r="U90" s="138">
        <v>40634.0</v>
      </c>
      <c r="V90" s="138">
        <v>40664.0</v>
      </c>
      <c r="W90" s="138">
        <v>40695.0</v>
      </c>
      <c r="X90" s="138">
        <v>40725.0</v>
      </c>
      <c r="Y90" s="138">
        <v>40756.0</v>
      </c>
      <c r="Z90" s="138">
        <v>40787.0</v>
      </c>
      <c r="AA90" s="138">
        <v>40817.0</v>
      </c>
      <c r="AB90" s="138">
        <v>40848.0</v>
      </c>
      <c r="AC90" s="138">
        <v>40878.0</v>
      </c>
      <c r="AD90" s="138">
        <v>40909.0</v>
      </c>
      <c r="AE90" s="138">
        <v>40940.0</v>
      </c>
      <c r="AF90" s="138">
        <v>40969.0</v>
      </c>
      <c r="AG90" s="138">
        <v>41000.0</v>
      </c>
      <c r="AH90" s="138">
        <v>41030.0</v>
      </c>
      <c r="AI90" s="138">
        <v>41061.0</v>
      </c>
      <c r="AJ90" s="138">
        <v>41091.0</v>
      </c>
      <c r="AK90" s="138">
        <v>41122.0</v>
      </c>
      <c r="AL90" s="138">
        <v>41153.0</v>
      </c>
      <c r="AM90" s="138">
        <v>41183.0</v>
      </c>
      <c r="AN90" s="138">
        <v>41214.0</v>
      </c>
      <c r="AO90" s="138">
        <v>41244.0</v>
      </c>
      <c r="AP90" s="138">
        <v>41275.0</v>
      </c>
      <c r="AQ90" s="138">
        <v>41306.0</v>
      </c>
      <c r="AR90" s="138">
        <v>41334.0</v>
      </c>
      <c r="AS90" s="138">
        <v>41365.0</v>
      </c>
      <c r="AT90" s="138">
        <v>41395.0</v>
      </c>
      <c r="AU90" s="138">
        <v>41426.0</v>
      </c>
      <c r="AV90" s="138">
        <v>41456.0</v>
      </c>
      <c r="AW90" s="138">
        <v>41487.0</v>
      </c>
      <c r="AX90" s="138">
        <v>41518.0</v>
      </c>
      <c r="AY90" s="138">
        <v>41548.0</v>
      </c>
      <c r="AZ90" s="138">
        <v>41579.0</v>
      </c>
      <c r="BA90" s="138">
        <v>41609.0</v>
      </c>
      <c r="BB90" s="138">
        <v>41640.0</v>
      </c>
      <c r="BC90" s="138">
        <v>41671.0</v>
      </c>
      <c r="BD90" s="138">
        <v>41699.0</v>
      </c>
      <c r="BE90" s="138">
        <v>41730.0</v>
      </c>
      <c r="BF90" s="138">
        <v>41760.0</v>
      </c>
      <c r="BG90" s="138">
        <v>41791.0</v>
      </c>
      <c r="BH90" s="138">
        <v>41821.0</v>
      </c>
      <c r="BI90" s="138">
        <v>41852.0</v>
      </c>
      <c r="BJ90" s="138">
        <v>41883.0</v>
      </c>
      <c r="BK90" s="138">
        <v>41913.0</v>
      </c>
      <c r="BL90" s="138">
        <v>41944.0</v>
      </c>
      <c r="BM90" s="138">
        <v>41974.0</v>
      </c>
      <c r="BN90" s="138">
        <v>42005.0</v>
      </c>
      <c r="BO90" s="138">
        <v>42036.0</v>
      </c>
      <c r="BP90" s="138">
        <v>42064.0</v>
      </c>
      <c r="BQ90" s="138">
        <v>42095.0</v>
      </c>
      <c r="BR90" s="138">
        <v>42125.0</v>
      </c>
      <c r="BS90" s="138">
        <v>42156.0</v>
      </c>
      <c r="BT90" s="138">
        <v>42186.0</v>
      </c>
      <c r="BU90" s="138">
        <v>42217.0</v>
      </c>
      <c r="BV90" s="138">
        <v>42248.0</v>
      </c>
      <c r="BW90" s="138">
        <v>42278.0</v>
      </c>
      <c r="BX90" s="138">
        <v>42309.0</v>
      </c>
      <c r="BY90" s="138">
        <v>42339.0</v>
      </c>
      <c r="BZ90" s="138">
        <v>42370.0</v>
      </c>
      <c r="CA90" s="138">
        <v>42401.0</v>
      </c>
      <c r="CB90" s="138">
        <v>42430.0</v>
      </c>
      <c r="CC90" s="138">
        <v>42461.0</v>
      </c>
      <c r="CD90" s="138">
        <v>42491.0</v>
      </c>
      <c r="CE90" s="138">
        <v>42522.0</v>
      </c>
      <c r="CF90" s="138">
        <v>42552.0</v>
      </c>
      <c r="CG90" s="138">
        <v>42583.0</v>
      </c>
      <c r="CH90" s="138">
        <v>42614.0</v>
      </c>
      <c r="CI90" s="138">
        <v>42644.0</v>
      </c>
      <c r="CJ90" s="138">
        <v>42675.0</v>
      </c>
      <c r="CK90" s="138">
        <v>42705.0</v>
      </c>
      <c r="CL90" s="138">
        <v>42736.0</v>
      </c>
      <c r="CM90" s="138">
        <v>42767.0</v>
      </c>
      <c r="CN90" s="138">
        <v>42795.0</v>
      </c>
      <c r="CO90" s="138">
        <v>42826.0</v>
      </c>
      <c r="CP90" s="138">
        <v>42856.0</v>
      </c>
      <c r="CQ90" s="138">
        <v>42887.0</v>
      </c>
      <c r="CR90" s="138">
        <v>42917.0</v>
      </c>
      <c r="CS90" s="138">
        <v>42948.0</v>
      </c>
      <c r="CT90" s="138">
        <v>42979.0</v>
      </c>
      <c r="CU90" s="138">
        <v>43009.0</v>
      </c>
      <c r="CV90" s="138">
        <v>43040.0</v>
      </c>
      <c r="CW90" s="138">
        <v>43070.0</v>
      </c>
      <c r="CX90" s="138">
        <v>43101.0</v>
      </c>
      <c r="CY90" s="138">
        <v>43132.0</v>
      </c>
      <c r="CZ90" s="138">
        <v>43160.0</v>
      </c>
      <c r="DA90" s="138">
        <v>43191.0</v>
      </c>
      <c r="DB90" s="138">
        <v>43221.0</v>
      </c>
      <c r="DC90" s="138">
        <v>43252.0</v>
      </c>
      <c r="DD90" s="138">
        <v>43282.0</v>
      </c>
      <c r="DE90" s="138">
        <v>43313.0</v>
      </c>
      <c r="DF90" s="138">
        <v>43344.0</v>
      </c>
      <c r="DG90" s="138">
        <v>43374.0</v>
      </c>
      <c r="DH90" s="138">
        <v>43405.0</v>
      </c>
      <c r="DI90" s="138">
        <v>43435.0</v>
      </c>
      <c r="DJ90" s="138">
        <v>43466.0</v>
      </c>
      <c r="DK90" s="138">
        <v>43497.0</v>
      </c>
      <c r="DL90" s="139">
        <v>43525.0</v>
      </c>
      <c r="DM90" s="139">
        <v>43556.0</v>
      </c>
      <c r="DN90" s="139">
        <v>43586.0</v>
      </c>
      <c r="DO90" s="139">
        <v>43617.0</v>
      </c>
      <c r="DP90" s="139">
        <v>43647.0</v>
      </c>
      <c r="DQ90" s="139">
        <v>43678.0</v>
      </c>
      <c r="DR90" s="139">
        <v>43709.0</v>
      </c>
      <c r="DS90" s="139">
        <v>43739.0</v>
      </c>
      <c r="DT90" s="139">
        <v>43770.0</v>
      </c>
      <c r="DU90" s="139">
        <v>43800.0</v>
      </c>
      <c r="DV90" s="139">
        <v>43831.0</v>
      </c>
      <c r="DW90" s="139">
        <v>43862.0</v>
      </c>
      <c r="DX90" s="139">
        <v>43891.0</v>
      </c>
      <c r="DY90" s="139">
        <v>43922.0</v>
      </c>
      <c r="DZ90" s="139">
        <v>43952.0</v>
      </c>
      <c r="EA90" s="139">
        <v>43983.0</v>
      </c>
      <c r="EB90" s="139">
        <v>44013.0</v>
      </c>
      <c r="EC90" s="139">
        <v>44044.0</v>
      </c>
      <c r="ED90" s="139">
        <v>44075.0</v>
      </c>
      <c r="EE90" s="139">
        <v>44105.0</v>
      </c>
      <c r="EF90" s="139">
        <v>44136.0</v>
      </c>
      <c r="EG90" s="139">
        <v>44166.0</v>
      </c>
      <c r="EH90" s="139">
        <v>44197.0</v>
      </c>
      <c r="EI90" s="139">
        <v>44228.0</v>
      </c>
      <c r="EJ90" s="139">
        <v>44256.0</v>
      </c>
      <c r="EK90" s="139">
        <v>44287.0</v>
      </c>
      <c r="EL90" s="139">
        <v>44317.0</v>
      </c>
      <c r="EM90" s="139">
        <v>44348.0</v>
      </c>
      <c r="EN90" s="139">
        <v>44378.0</v>
      </c>
      <c r="EO90" s="139">
        <v>44409.0</v>
      </c>
      <c r="EP90" s="139">
        <v>44440.0</v>
      </c>
      <c r="EQ90" s="139">
        <v>44470.0</v>
      </c>
      <c r="ER90" s="139">
        <v>44501.0</v>
      </c>
      <c r="ES90" s="139">
        <v>44531.0</v>
      </c>
      <c r="ET90" s="139">
        <v>44562.0</v>
      </c>
      <c r="EU90" s="139">
        <v>44593.0</v>
      </c>
      <c r="EV90" s="139">
        <v>44621.0</v>
      </c>
      <c r="EW90" s="139">
        <v>44652.0</v>
      </c>
      <c r="EX90" s="139">
        <v>44682.0</v>
      </c>
      <c r="EY90" s="139">
        <v>44713.0</v>
      </c>
      <c r="EZ90" s="139">
        <v>44743.0</v>
      </c>
      <c r="FA90" s="139">
        <v>44774.0</v>
      </c>
      <c r="FB90" s="139">
        <v>44805.0</v>
      </c>
      <c r="FC90" s="139">
        <v>44835.0</v>
      </c>
      <c r="FD90" s="139">
        <v>44866.0</v>
      </c>
      <c r="FE90" s="139">
        <v>44896.0</v>
      </c>
      <c r="FF90" s="139">
        <v>44927.0</v>
      </c>
      <c r="FG90" s="139">
        <v>44958.0</v>
      </c>
      <c r="FH90" s="139">
        <v>44986.0</v>
      </c>
      <c r="FI90" s="139">
        <v>45017.0</v>
      </c>
      <c r="FJ90" s="139">
        <v>45047.0</v>
      </c>
      <c r="FK90" s="139">
        <v>45078.0</v>
      </c>
      <c r="FL90" s="139">
        <v>45108.0</v>
      </c>
      <c r="FM90" s="139">
        <v>45139.0</v>
      </c>
      <c r="FN90" s="139">
        <v>45170.0</v>
      </c>
      <c r="FO90" s="139">
        <v>45200.0</v>
      </c>
      <c r="FP90" s="139">
        <v>45231.0</v>
      </c>
      <c r="FQ90" s="139">
        <v>45261.0</v>
      </c>
      <c r="FR90" s="139">
        <v>45292.0</v>
      </c>
      <c r="FS90" s="139">
        <v>45323.0</v>
      </c>
      <c r="FT90" s="139">
        <v>45352.0</v>
      </c>
      <c r="FU90" s="139">
        <v>45383.0</v>
      </c>
      <c r="FV90" s="139">
        <v>45413.0</v>
      </c>
      <c r="FW90" s="139">
        <v>45444.0</v>
      </c>
      <c r="FX90" s="139">
        <v>45474.0</v>
      </c>
      <c r="FY90" s="139">
        <v>45505.0</v>
      </c>
      <c r="FZ90" s="139">
        <v>45536.0</v>
      </c>
      <c r="GA90" s="139">
        <v>45566.0</v>
      </c>
      <c r="GB90" s="139">
        <v>45597.0</v>
      </c>
      <c r="GC90" s="139">
        <v>45627.0</v>
      </c>
      <c r="GD90" s="139">
        <v>45658.0</v>
      </c>
      <c r="GE90" s="139">
        <v>45689.0</v>
      </c>
      <c r="GF90" s="139">
        <v>45717.0</v>
      </c>
      <c r="GG90" s="139">
        <v>45748.0</v>
      </c>
      <c r="GH90" s="139">
        <v>45778.0</v>
      </c>
      <c r="GI90" s="139">
        <v>45809.0</v>
      </c>
      <c r="GJ90" s="139">
        <v>45839.0</v>
      </c>
    </row>
    <row r="91">
      <c r="A91" s="133" t="s">
        <v>1459</v>
      </c>
      <c r="B91" s="134">
        <v>43546.65804398148</v>
      </c>
      <c r="C91" s="135" t="str">
        <f t="shared" si="1"/>
        <v>2019/03/22</v>
      </c>
      <c r="D91" s="136" t="s">
        <v>34289</v>
      </c>
      <c r="E91" s="151">
        <v>0.0</v>
      </c>
      <c r="F91" s="138">
        <v>40179.0</v>
      </c>
      <c r="G91" s="138">
        <v>40210.0</v>
      </c>
      <c r="H91" s="138">
        <v>40238.0</v>
      </c>
      <c r="I91" s="138">
        <v>40269.0</v>
      </c>
      <c r="J91" s="138">
        <v>40299.0</v>
      </c>
      <c r="K91" s="138">
        <v>40330.0</v>
      </c>
      <c r="L91" s="138">
        <v>40360.0</v>
      </c>
      <c r="M91" s="138">
        <v>40391.0</v>
      </c>
      <c r="N91" s="138">
        <v>40422.0</v>
      </c>
      <c r="O91" s="138">
        <v>40452.0</v>
      </c>
      <c r="P91" s="138">
        <v>40483.0</v>
      </c>
      <c r="Q91" s="138">
        <v>40513.0</v>
      </c>
      <c r="R91" s="138">
        <v>40544.0</v>
      </c>
      <c r="S91" s="138">
        <v>40575.0</v>
      </c>
      <c r="T91" s="138">
        <v>40603.0</v>
      </c>
      <c r="U91" s="138">
        <v>40634.0</v>
      </c>
      <c r="V91" s="138">
        <v>40664.0</v>
      </c>
      <c r="W91" s="138">
        <v>40695.0</v>
      </c>
      <c r="X91" s="138">
        <v>40725.0</v>
      </c>
      <c r="Y91" s="138">
        <v>40756.0</v>
      </c>
      <c r="Z91" s="138">
        <v>40787.0</v>
      </c>
      <c r="AA91" s="138">
        <v>40817.0</v>
      </c>
      <c r="AB91" s="138">
        <v>40848.0</v>
      </c>
      <c r="AC91" s="138">
        <v>40878.0</v>
      </c>
      <c r="AD91" s="138">
        <v>40909.0</v>
      </c>
      <c r="AE91" s="138">
        <v>40940.0</v>
      </c>
      <c r="AF91" s="138">
        <v>40969.0</v>
      </c>
      <c r="AG91" s="138">
        <v>41000.0</v>
      </c>
      <c r="AH91" s="138">
        <v>41030.0</v>
      </c>
      <c r="AI91" s="138">
        <v>41061.0</v>
      </c>
      <c r="AJ91" s="138">
        <v>41091.0</v>
      </c>
      <c r="AK91" s="138">
        <v>41122.0</v>
      </c>
      <c r="AL91" s="138">
        <v>41153.0</v>
      </c>
      <c r="AM91" s="138">
        <v>41183.0</v>
      </c>
      <c r="AN91" s="138">
        <v>41214.0</v>
      </c>
      <c r="AO91" s="138">
        <v>41244.0</v>
      </c>
      <c r="AP91" s="138">
        <v>41275.0</v>
      </c>
      <c r="AQ91" s="138">
        <v>41306.0</v>
      </c>
      <c r="AR91" s="138">
        <v>41334.0</v>
      </c>
      <c r="AS91" s="138">
        <v>41365.0</v>
      </c>
      <c r="AT91" s="138">
        <v>41395.0</v>
      </c>
      <c r="AU91" s="138">
        <v>41426.0</v>
      </c>
      <c r="AV91" s="138">
        <v>41456.0</v>
      </c>
      <c r="AW91" s="138">
        <v>41487.0</v>
      </c>
      <c r="AX91" s="138">
        <v>41518.0</v>
      </c>
      <c r="AY91" s="138">
        <v>41548.0</v>
      </c>
      <c r="AZ91" s="138">
        <v>41579.0</v>
      </c>
      <c r="BA91" s="138">
        <v>41609.0</v>
      </c>
      <c r="BB91" s="138">
        <v>41640.0</v>
      </c>
      <c r="BC91" s="138">
        <v>41671.0</v>
      </c>
      <c r="BD91" s="138">
        <v>41699.0</v>
      </c>
      <c r="BE91" s="138">
        <v>41730.0</v>
      </c>
      <c r="BF91" s="138">
        <v>41760.0</v>
      </c>
      <c r="BG91" s="138">
        <v>41791.0</v>
      </c>
      <c r="BH91" s="138">
        <v>41821.0</v>
      </c>
      <c r="BI91" s="138">
        <v>41852.0</v>
      </c>
      <c r="BJ91" s="138">
        <v>41883.0</v>
      </c>
      <c r="BK91" s="138">
        <v>41913.0</v>
      </c>
      <c r="BL91" s="138">
        <v>41944.0</v>
      </c>
      <c r="BM91" s="138">
        <v>41974.0</v>
      </c>
      <c r="BN91" s="138">
        <v>42005.0</v>
      </c>
      <c r="BO91" s="138">
        <v>42036.0</v>
      </c>
      <c r="BP91" s="138">
        <v>42064.0</v>
      </c>
      <c r="BQ91" s="138">
        <v>42095.0</v>
      </c>
      <c r="BR91" s="138">
        <v>42125.0</v>
      </c>
      <c r="BS91" s="138">
        <v>42156.0</v>
      </c>
      <c r="BT91" s="138">
        <v>42186.0</v>
      </c>
      <c r="BU91" s="138">
        <v>42217.0</v>
      </c>
      <c r="BV91" s="138">
        <v>42248.0</v>
      </c>
      <c r="BW91" s="138">
        <v>42278.0</v>
      </c>
      <c r="BX91" s="138">
        <v>42309.0</v>
      </c>
      <c r="BY91" s="138">
        <v>42339.0</v>
      </c>
      <c r="BZ91" s="138">
        <v>42370.0</v>
      </c>
      <c r="CA91" s="138">
        <v>42401.0</v>
      </c>
      <c r="CB91" s="138">
        <v>42430.0</v>
      </c>
      <c r="CC91" s="138">
        <v>42461.0</v>
      </c>
      <c r="CD91" s="138">
        <v>42491.0</v>
      </c>
      <c r="CE91" s="138">
        <v>42522.0</v>
      </c>
      <c r="CF91" s="138">
        <v>42552.0</v>
      </c>
      <c r="CG91" s="138">
        <v>42583.0</v>
      </c>
      <c r="CH91" s="138">
        <v>42614.0</v>
      </c>
      <c r="CI91" s="138">
        <v>42644.0</v>
      </c>
      <c r="CJ91" s="138">
        <v>42675.0</v>
      </c>
      <c r="CK91" s="138">
        <v>42705.0</v>
      </c>
      <c r="CL91" s="138">
        <v>42736.0</v>
      </c>
      <c r="CM91" s="138">
        <v>42767.0</v>
      </c>
      <c r="CN91" s="138">
        <v>42795.0</v>
      </c>
      <c r="CO91" s="138">
        <v>42826.0</v>
      </c>
      <c r="CP91" s="138">
        <v>42856.0</v>
      </c>
      <c r="CQ91" s="138">
        <v>42887.0</v>
      </c>
      <c r="CR91" s="138">
        <v>42917.0</v>
      </c>
      <c r="CS91" s="138">
        <v>42948.0</v>
      </c>
      <c r="CT91" s="138">
        <v>42979.0</v>
      </c>
      <c r="CU91" s="138">
        <v>43009.0</v>
      </c>
      <c r="CV91" s="138">
        <v>43040.0</v>
      </c>
      <c r="CW91" s="138">
        <v>43070.0</v>
      </c>
      <c r="CX91" s="138">
        <v>43101.0</v>
      </c>
      <c r="CY91" s="138">
        <v>43132.0</v>
      </c>
      <c r="CZ91" s="138">
        <v>43160.0</v>
      </c>
      <c r="DA91" s="138">
        <v>43191.0</v>
      </c>
      <c r="DB91" s="138">
        <v>43221.0</v>
      </c>
      <c r="DC91" s="138">
        <v>43252.0</v>
      </c>
      <c r="DD91" s="138">
        <v>43282.0</v>
      </c>
      <c r="DE91" s="138">
        <v>43313.0</v>
      </c>
      <c r="DF91" s="138">
        <v>43344.0</v>
      </c>
      <c r="DG91" s="138">
        <v>43374.0</v>
      </c>
      <c r="DH91" s="138">
        <v>43405.0</v>
      </c>
      <c r="DI91" s="138">
        <v>43435.0</v>
      </c>
      <c r="DJ91" s="138">
        <v>43466.0</v>
      </c>
      <c r="DK91" s="138">
        <v>43497.0</v>
      </c>
      <c r="DL91" s="138">
        <v>43525.0</v>
      </c>
      <c r="DM91" s="139">
        <v>43556.0</v>
      </c>
      <c r="DN91" s="139">
        <v>43586.0</v>
      </c>
      <c r="DO91" s="139">
        <v>43617.0</v>
      </c>
      <c r="DP91" s="139">
        <v>43647.0</v>
      </c>
      <c r="DQ91" s="139">
        <v>43678.0</v>
      </c>
      <c r="DR91" s="139">
        <v>43709.0</v>
      </c>
      <c r="DS91" s="139">
        <v>43739.0</v>
      </c>
      <c r="DT91" s="139">
        <v>43770.0</v>
      </c>
      <c r="DU91" s="139">
        <v>43800.0</v>
      </c>
      <c r="DV91" s="139">
        <v>43831.0</v>
      </c>
      <c r="DW91" s="139">
        <v>43862.0</v>
      </c>
      <c r="DX91" s="139">
        <v>43891.0</v>
      </c>
      <c r="DY91" s="139">
        <v>43922.0</v>
      </c>
      <c r="DZ91" s="139">
        <v>43952.0</v>
      </c>
      <c r="EA91" s="139">
        <v>43983.0</v>
      </c>
      <c r="EB91" s="139">
        <v>44013.0</v>
      </c>
      <c r="EC91" s="139">
        <v>44044.0</v>
      </c>
      <c r="ED91" s="139">
        <v>44075.0</v>
      </c>
      <c r="EE91" s="139">
        <v>44105.0</v>
      </c>
      <c r="EF91" s="139">
        <v>44136.0</v>
      </c>
      <c r="EG91" s="139">
        <v>44166.0</v>
      </c>
      <c r="EH91" s="139">
        <v>44197.0</v>
      </c>
      <c r="EI91" s="139">
        <v>44228.0</v>
      </c>
      <c r="EJ91" s="139">
        <v>44256.0</v>
      </c>
      <c r="EK91" s="139">
        <v>44287.0</v>
      </c>
      <c r="EL91" s="139">
        <v>44317.0</v>
      </c>
      <c r="EM91" s="139">
        <v>44348.0</v>
      </c>
      <c r="EN91" s="139">
        <v>44378.0</v>
      </c>
      <c r="EO91" s="139">
        <v>44409.0</v>
      </c>
      <c r="EP91" s="139">
        <v>44440.0</v>
      </c>
      <c r="EQ91" s="139">
        <v>44470.0</v>
      </c>
      <c r="ER91" s="139">
        <v>44501.0</v>
      </c>
      <c r="ES91" s="139">
        <v>44531.0</v>
      </c>
      <c r="ET91" s="139">
        <v>44562.0</v>
      </c>
      <c r="EU91" s="139">
        <v>44593.0</v>
      </c>
      <c r="EV91" s="139">
        <v>44621.0</v>
      </c>
      <c r="EW91" s="139">
        <v>44652.0</v>
      </c>
      <c r="EX91" s="139">
        <v>44682.0</v>
      </c>
      <c r="EY91" s="139">
        <v>44713.0</v>
      </c>
      <c r="EZ91" s="139">
        <v>44743.0</v>
      </c>
      <c r="FA91" s="139">
        <v>44774.0</v>
      </c>
      <c r="FB91" s="139">
        <v>44805.0</v>
      </c>
      <c r="FC91" s="139">
        <v>44835.0</v>
      </c>
      <c r="FD91" s="139">
        <v>44866.0</v>
      </c>
      <c r="FE91" s="139">
        <v>44896.0</v>
      </c>
      <c r="FF91" s="139">
        <v>44927.0</v>
      </c>
      <c r="FG91" s="139">
        <v>44958.0</v>
      </c>
      <c r="FH91" s="139">
        <v>44986.0</v>
      </c>
      <c r="FI91" s="139">
        <v>45017.0</v>
      </c>
      <c r="FJ91" s="139">
        <v>45047.0</v>
      </c>
      <c r="FK91" s="139">
        <v>45078.0</v>
      </c>
      <c r="FL91" s="139">
        <v>45108.0</v>
      </c>
      <c r="FM91" s="139">
        <v>45139.0</v>
      </c>
      <c r="FN91" s="139">
        <v>45170.0</v>
      </c>
      <c r="FO91" s="139">
        <v>45200.0</v>
      </c>
      <c r="FP91" s="139">
        <v>45231.0</v>
      </c>
      <c r="FQ91" s="139">
        <v>45261.0</v>
      </c>
      <c r="FR91" s="139">
        <v>45292.0</v>
      </c>
      <c r="FS91" s="139">
        <v>45323.0</v>
      </c>
      <c r="FT91" s="139">
        <v>45352.0</v>
      </c>
      <c r="FU91" s="139">
        <v>45383.0</v>
      </c>
      <c r="FV91" s="139">
        <v>45413.0</v>
      </c>
      <c r="FW91" s="139">
        <v>45444.0</v>
      </c>
      <c r="FX91" s="139">
        <v>45474.0</v>
      </c>
      <c r="FY91" s="139">
        <v>45505.0</v>
      </c>
      <c r="FZ91" s="139">
        <v>45536.0</v>
      </c>
      <c r="GA91" s="139">
        <v>45566.0</v>
      </c>
      <c r="GB91" s="139">
        <v>45597.0</v>
      </c>
      <c r="GC91" s="139">
        <v>45627.0</v>
      </c>
      <c r="GD91" s="139">
        <v>45658.0</v>
      </c>
      <c r="GE91" s="139">
        <v>45689.0</v>
      </c>
      <c r="GF91" s="139">
        <v>45717.0</v>
      </c>
      <c r="GG91" s="139">
        <v>45748.0</v>
      </c>
      <c r="GH91" s="139">
        <v>45778.0</v>
      </c>
      <c r="GI91" s="139">
        <v>45809.0</v>
      </c>
      <c r="GJ91" s="139">
        <v>45839.0</v>
      </c>
    </row>
    <row r="92">
      <c r="A92" s="133" t="s">
        <v>1786</v>
      </c>
      <c r="B92" s="134">
        <v>43598.421851851854</v>
      </c>
      <c r="C92" s="135" t="str">
        <f t="shared" si="1"/>
        <v>2019/05/13</v>
      </c>
      <c r="D92" s="136" t="s">
        <v>34290</v>
      </c>
      <c r="E92" s="151">
        <v>0.01</v>
      </c>
      <c r="F92" s="138">
        <v>40179.0</v>
      </c>
      <c r="G92" s="138">
        <v>40210.0</v>
      </c>
      <c r="H92" s="138">
        <v>40238.0</v>
      </c>
      <c r="I92" s="138">
        <v>40269.0</v>
      </c>
      <c r="J92" s="138">
        <v>40299.0</v>
      </c>
      <c r="K92" s="138">
        <v>40330.0</v>
      </c>
      <c r="L92" s="138">
        <v>40360.0</v>
      </c>
      <c r="M92" s="138">
        <v>40391.0</v>
      </c>
      <c r="N92" s="138">
        <v>40422.0</v>
      </c>
      <c r="O92" s="138">
        <v>40452.0</v>
      </c>
      <c r="P92" s="138">
        <v>40483.0</v>
      </c>
      <c r="Q92" s="138">
        <v>40513.0</v>
      </c>
      <c r="R92" s="138">
        <v>40544.0</v>
      </c>
      <c r="S92" s="138">
        <v>40575.0</v>
      </c>
      <c r="T92" s="138">
        <v>40603.0</v>
      </c>
      <c r="U92" s="138">
        <v>40634.0</v>
      </c>
      <c r="V92" s="138">
        <v>40664.0</v>
      </c>
      <c r="W92" s="138">
        <v>40695.0</v>
      </c>
      <c r="X92" s="138">
        <v>40725.0</v>
      </c>
      <c r="Y92" s="138">
        <v>40756.0</v>
      </c>
      <c r="Z92" s="138">
        <v>40787.0</v>
      </c>
      <c r="AA92" s="138">
        <v>40817.0</v>
      </c>
      <c r="AB92" s="138">
        <v>40848.0</v>
      </c>
      <c r="AC92" s="138">
        <v>40878.0</v>
      </c>
      <c r="AD92" s="138">
        <v>40909.0</v>
      </c>
      <c r="AE92" s="138">
        <v>40940.0</v>
      </c>
      <c r="AF92" s="138">
        <v>40969.0</v>
      </c>
      <c r="AG92" s="138">
        <v>41000.0</v>
      </c>
      <c r="AH92" s="138">
        <v>41030.0</v>
      </c>
      <c r="AI92" s="138">
        <v>41061.0</v>
      </c>
      <c r="AJ92" s="138">
        <v>41091.0</v>
      </c>
      <c r="AK92" s="138">
        <v>41122.0</v>
      </c>
      <c r="AL92" s="138">
        <v>41153.0</v>
      </c>
      <c r="AM92" s="138">
        <v>41183.0</v>
      </c>
      <c r="AN92" s="138">
        <v>41214.0</v>
      </c>
      <c r="AO92" s="138">
        <v>41244.0</v>
      </c>
      <c r="AP92" s="138">
        <v>41275.0</v>
      </c>
      <c r="AQ92" s="138">
        <v>41306.0</v>
      </c>
      <c r="AR92" s="138">
        <v>41334.0</v>
      </c>
      <c r="AS92" s="138">
        <v>41365.0</v>
      </c>
      <c r="AT92" s="138">
        <v>41395.0</v>
      </c>
      <c r="AU92" s="138">
        <v>41426.0</v>
      </c>
      <c r="AV92" s="138">
        <v>41456.0</v>
      </c>
      <c r="AW92" s="138">
        <v>41487.0</v>
      </c>
      <c r="AX92" s="138">
        <v>41518.0</v>
      </c>
      <c r="AY92" s="138">
        <v>41548.0</v>
      </c>
      <c r="AZ92" s="138">
        <v>41579.0</v>
      </c>
      <c r="BA92" s="138">
        <v>41609.0</v>
      </c>
      <c r="BB92" s="138">
        <v>41640.0</v>
      </c>
      <c r="BC92" s="138">
        <v>41671.0</v>
      </c>
      <c r="BD92" s="138">
        <v>41699.0</v>
      </c>
      <c r="BE92" s="138">
        <v>41730.0</v>
      </c>
      <c r="BF92" s="138">
        <v>41760.0</v>
      </c>
      <c r="BG92" s="138">
        <v>41791.0</v>
      </c>
      <c r="BH92" s="138">
        <v>41821.0</v>
      </c>
      <c r="BI92" s="138">
        <v>41852.0</v>
      </c>
      <c r="BJ92" s="138">
        <v>41883.0</v>
      </c>
      <c r="BK92" s="138">
        <v>41913.0</v>
      </c>
      <c r="BL92" s="138">
        <v>41944.0</v>
      </c>
      <c r="BM92" s="138">
        <v>41974.0</v>
      </c>
      <c r="BN92" s="138">
        <v>42005.0</v>
      </c>
      <c r="BO92" s="138">
        <v>42036.0</v>
      </c>
      <c r="BP92" s="138">
        <v>42064.0</v>
      </c>
      <c r="BQ92" s="138">
        <v>42095.0</v>
      </c>
      <c r="BR92" s="138">
        <v>42125.0</v>
      </c>
      <c r="BS92" s="138">
        <v>42156.0</v>
      </c>
      <c r="BT92" s="138">
        <v>42186.0</v>
      </c>
      <c r="BU92" s="138">
        <v>42217.0</v>
      </c>
      <c r="BV92" s="138">
        <v>42248.0</v>
      </c>
      <c r="BW92" s="138">
        <v>42278.0</v>
      </c>
      <c r="BX92" s="138">
        <v>42309.0</v>
      </c>
      <c r="BY92" s="138">
        <v>42339.0</v>
      </c>
      <c r="BZ92" s="138">
        <v>42370.0</v>
      </c>
      <c r="CA92" s="138">
        <v>42401.0</v>
      </c>
      <c r="CB92" s="138">
        <v>42430.0</v>
      </c>
      <c r="CC92" s="138">
        <v>42461.0</v>
      </c>
      <c r="CD92" s="138">
        <v>42491.0</v>
      </c>
      <c r="CE92" s="138">
        <v>42522.0</v>
      </c>
      <c r="CF92" s="138">
        <v>42552.0</v>
      </c>
      <c r="CG92" s="138">
        <v>42583.0</v>
      </c>
      <c r="CH92" s="138">
        <v>42614.0</v>
      </c>
      <c r="CI92" s="138">
        <v>42644.0</v>
      </c>
      <c r="CJ92" s="138">
        <v>42675.0</v>
      </c>
      <c r="CK92" s="138">
        <v>42705.0</v>
      </c>
      <c r="CL92" s="138">
        <v>42736.0</v>
      </c>
      <c r="CM92" s="138">
        <v>42767.0</v>
      </c>
      <c r="CN92" s="138">
        <v>42795.0</v>
      </c>
      <c r="CO92" s="138">
        <v>42826.0</v>
      </c>
      <c r="CP92" s="138">
        <v>42856.0</v>
      </c>
      <c r="CQ92" s="138">
        <v>42887.0</v>
      </c>
      <c r="CR92" s="138">
        <v>42917.0</v>
      </c>
      <c r="CS92" s="138">
        <v>42948.0</v>
      </c>
      <c r="CT92" s="138">
        <v>42979.0</v>
      </c>
      <c r="CU92" s="138">
        <v>43009.0</v>
      </c>
      <c r="CV92" s="138">
        <v>43040.0</v>
      </c>
      <c r="CW92" s="138">
        <v>43070.0</v>
      </c>
      <c r="CX92" s="138">
        <v>43101.0</v>
      </c>
      <c r="CY92" s="138">
        <v>43132.0</v>
      </c>
      <c r="CZ92" s="138">
        <v>43160.0</v>
      </c>
      <c r="DA92" s="138">
        <v>43191.0</v>
      </c>
      <c r="DB92" s="138">
        <v>43221.0</v>
      </c>
      <c r="DC92" s="138">
        <v>43252.0</v>
      </c>
      <c r="DD92" s="138">
        <v>43282.0</v>
      </c>
      <c r="DE92" s="138">
        <v>43313.0</v>
      </c>
      <c r="DF92" s="138">
        <v>43344.0</v>
      </c>
      <c r="DG92" s="138">
        <v>43374.0</v>
      </c>
      <c r="DH92" s="138">
        <v>43405.0</v>
      </c>
      <c r="DI92" s="138">
        <v>43435.0</v>
      </c>
      <c r="DJ92" s="138">
        <v>43466.0</v>
      </c>
      <c r="DK92" s="138">
        <v>43497.0</v>
      </c>
      <c r="DL92" s="138">
        <v>43525.0</v>
      </c>
      <c r="DM92" s="138">
        <v>43556.0</v>
      </c>
      <c r="DN92" s="138">
        <v>43586.0</v>
      </c>
      <c r="DO92" s="139">
        <v>43617.0</v>
      </c>
      <c r="DP92" s="139">
        <v>43647.0</v>
      </c>
      <c r="DQ92" s="139">
        <v>43678.0</v>
      </c>
      <c r="DR92" s="139">
        <v>43709.0</v>
      </c>
      <c r="DS92" s="139">
        <v>43739.0</v>
      </c>
      <c r="DT92" s="139">
        <v>43770.0</v>
      </c>
      <c r="DU92" s="139">
        <v>43800.0</v>
      </c>
      <c r="DV92" s="139">
        <v>43831.0</v>
      </c>
      <c r="DW92" s="139">
        <v>43862.0</v>
      </c>
      <c r="DX92" s="139">
        <v>43891.0</v>
      </c>
      <c r="DY92" s="139">
        <v>43922.0</v>
      </c>
      <c r="DZ92" s="139">
        <v>43952.0</v>
      </c>
      <c r="EA92" s="139">
        <v>43983.0</v>
      </c>
      <c r="EB92" s="139">
        <v>44013.0</v>
      </c>
      <c r="EC92" s="139">
        <v>44044.0</v>
      </c>
      <c r="ED92" s="139">
        <v>44075.0</v>
      </c>
      <c r="EE92" s="139">
        <v>44105.0</v>
      </c>
      <c r="EF92" s="139">
        <v>44136.0</v>
      </c>
      <c r="EG92" s="139">
        <v>44166.0</v>
      </c>
      <c r="EH92" s="139">
        <v>44197.0</v>
      </c>
      <c r="EI92" s="139">
        <v>44228.0</v>
      </c>
      <c r="EJ92" s="139">
        <v>44256.0</v>
      </c>
      <c r="EK92" s="139">
        <v>44287.0</v>
      </c>
      <c r="EL92" s="139">
        <v>44317.0</v>
      </c>
      <c r="EM92" s="139">
        <v>44348.0</v>
      </c>
      <c r="EN92" s="139">
        <v>44378.0</v>
      </c>
      <c r="EO92" s="139">
        <v>44409.0</v>
      </c>
      <c r="EP92" s="139">
        <v>44440.0</v>
      </c>
      <c r="EQ92" s="139">
        <v>44470.0</v>
      </c>
      <c r="ER92" s="139">
        <v>44501.0</v>
      </c>
      <c r="ES92" s="139">
        <v>44531.0</v>
      </c>
      <c r="ET92" s="139">
        <v>44562.0</v>
      </c>
      <c r="EU92" s="139">
        <v>44593.0</v>
      </c>
      <c r="EV92" s="139">
        <v>44621.0</v>
      </c>
      <c r="EW92" s="139">
        <v>44652.0</v>
      </c>
      <c r="EX92" s="139">
        <v>44682.0</v>
      </c>
      <c r="EY92" s="139">
        <v>44713.0</v>
      </c>
      <c r="EZ92" s="139">
        <v>44743.0</v>
      </c>
      <c r="FA92" s="139">
        <v>44774.0</v>
      </c>
      <c r="FB92" s="139">
        <v>44805.0</v>
      </c>
      <c r="FC92" s="139">
        <v>44835.0</v>
      </c>
      <c r="FD92" s="139">
        <v>44866.0</v>
      </c>
      <c r="FE92" s="139">
        <v>44896.0</v>
      </c>
      <c r="FF92" s="139">
        <v>44927.0</v>
      </c>
      <c r="FG92" s="139">
        <v>44958.0</v>
      </c>
      <c r="FH92" s="139">
        <v>44986.0</v>
      </c>
      <c r="FI92" s="139">
        <v>45017.0</v>
      </c>
      <c r="FJ92" s="139">
        <v>45047.0</v>
      </c>
      <c r="FK92" s="139">
        <v>45078.0</v>
      </c>
      <c r="FL92" s="139">
        <v>45108.0</v>
      </c>
      <c r="FM92" s="139">
        <v>45139.0</v>
      </c>
      <c r="FN92" s="139">
        <v>45170.0</v>
      </c>
      <c r="FO92" s="139">
        <v>45200.0</v>
      </c>
      <c r="FP92" s="139">
        <v>45231.0</v>
      </c>
      <c r="FQ92" s="139">
        <v>45261.0</v>
      </c>
      <c r="FR92" s="139">
        <v>45292.0</v>
      </c>
      <c r="FS92" s="139">
        <v>45323.0</v>
      </c>
      <c r="FT92" s="139">
        <v>45352.0</v>
      </c>
      <c r="FU92" s="139">
        <v>45383.0</v>
      </c>
      <c r="FV92" s="139">
        <v>45413.0</v>
      </c>
      <c r="FW92" s="139">
        <v>45444.0</v>
      </c>
      <c r="FX92" s="139">
        <v>45474.0</v>
      </c>
      <c r="FY92" s="139">
        <v>45505.0</v>
      </c>
      <c r="FZ92" s="139">
        <v>45536.0</v>
      </c>
      <c r="GA92" s="139">
        <v>45566.0</v>
      </c>
      <c r="GB92" s="139">
        <v>45597.0</v>
      </c>
      <c r="GC92" s="139">
        <v>45627.0</v>
      </c>
      <c r="GD92" s="139">
        <v>45658.0</v>
      </c>
      <c r="GE92" s="139">
        <v>45689.0</v>
      </c>
      <c r="GF92" s="139">
        <v>45717.0</v>
      </c>
      <c r="GG92" s="139">
        <v>45748.0</v>
      </c>
      <c r="GH92" s="139">
        <v>45778.0</v>
      </c>
      <c r="GI92" s="139">
        <v>45809.0</v>
      </c>
      <c r="GJ92" s="139">
        <v>45839.0</v>
      </c>
    </row>
    <row r="93">
      <c r="A93" s="133" t="s">
        <v>1799</v>
      </c>
      <c r="B93" s="134">
        <v>43600.775196759256</v>
      </c>
      <c r="C93" s="135" t="str">
        <f t="shared" si="1"/>
        <v>2019/05/15</v>
      </c>
      <c r="D93" s="136" t="s">
        <v>34291</v>
      </c>
      <c r="E93" s="151">
        <v>0.0</v>
      </c>
      <c r="F93" s="138">
        <v>40179.0</v>
      </c>
      <c r="G93" s="138">
        <v>40210.0</v>
      </c>
      <c r="H93" s="138">
        <v>40238.0</v>
      </c>
      <c r="I93" s="138">
        <v>40269.0</v>
      </c>
      <c r="J93" s="138">
        <v>40299.0</v>
      </c>
      <c r="K93" s="138">
        <v>40330.0</v>
      </c>
      <c r="L93" s="138">
        <v>40360.0</v>
      </c>
      <c r="M93" s="138">
        <v>40391.0</v>
      </c>
      <c r="N93" s="138">
        <v>40422.0</v>
      </c>
      <c r="O93" s="138">
        <v>40452.0</v>
      </c>
      <c r="P93" s="138">
        <v>40483.0</v>
      </c>
      <c r="Q93" s="138">
        <v>40513.0</v>
      </c>
      <c r="R93" s="138">
        <v>40544.0</v>
      </c>
      <c r="S93" s="138">
        <v>40575.0</v>
      </c>
      <c r="T93" s="138">
        <v>40603.0</v>
      </c>
      <c r="U93" s="138">
        <v>40634.0</v>
      </c>
      <c r="V93" s="138">
        <v>40664.0</v>
      </c>
      <c r="W93" s="138">
        <v>40695.0</v>
      </c>
      <c r="X93" s="138">
        <v>40725.0</v>
      </c>
      <c r="Y93" s="138">
        <v>40756.0</v>
      </c>
      <c r="Z93" s="138">
        <v>40787.0</v>
      </c>
      <c r="AA93" s="138">
        <v>40817.0</v>
      </c>
      <c r="AB93" s="138">
        <v>40848.0</v>
      </c>
      <c r="AC93" s="138">
        <v>40878.0</v>
      </c>
      <c r="AD93" s="138">
        <v>40909.0</v>
      </c>
      <c r="AE93" s="138">
        <v>40940.0</v>
      </c>
      <c r="AF93" s="138">
        <v>40969.0</v>
      </c>
      <c r="AG93" s="138">
        <v>41000.0</v>
      </c>
      <c r="AH93" s="138">
        <v>41030.0</v>
      </c>
      <c r="AI93" s="138">
        <v>41061.0</v>
      </c>
      <c r="AJ93" s="138">
        <v>41091.0</v>
      </c>
      <c r="AK93" s="138">
        <v>41122.0</v>
      </c>
      <c r="AL93" s="138">
        <v>41153.0</v>
      </c>
      <c r="AM93" s="138">
        <v>41183.0</v>
      </c>
      <c r="AN93" s="138">
        <v>41214.0</v>
      </c>
      <c r="AO93" s="138">
        <v>41244.0</v>
      </c>
      <c r="AP93" s="138">
        <v>41275.0</v>
      </c>
      <c r="AQ93" s="138">
        <v>41306.0</v>
      </c>
      <c r="AR93" s="138">
        <v>41334.0</v>
      </c>
      <c r="AS93" s="138">
        <v>41365.0</v>
      </c>
      <c r="AT93" s="138">
        <v>41395.0</v>
      </c>
      <c r="AU93" s="138">
        <v>41426.0</v>
      </c>
      <c r="AV93" s="138">
        <v>41456.0</v>
      </c>
      <c r="AW93" s="138">
        <v>41487.0</v>
      </c>
      <c r="AX93" s="138">
        <v>41518.0</v>
      </c>
      <c r="AY93" s="138">
        <v>41548.0</v>
      </c>
      <c r="AZ93" s="138">
        <v>41579.0</v>
      </c>
      <c r="BA93" s="138">
        <v>41609.0</v>
      </c>
      <c r="BB93" s="138">
        <v>41640.0</v>
      </c>
      <c r="BC93" s="138">
        <v>41671.0</v>
      </c>
      <c r="BD93" s="138">
        <v>41699.0</v>
      </c>
      <c r="BE93" s="138">
        <v>41730.0</v>
      </c>
      <c r="BF93" s="138">
        <v>41760.0</v>
      </c>
      <c r="BG93" s="138">
        <v>41791.0</v>
      </c>
      <c r="BH93" s="138">
        <v>41821.0</v>
      </c>
      <c r="BI93" s="138">
        <v>41852.0</v>
      </c>
      <c r="BJ93" s="138">
        <v>41883.0</v>
      </c>
      <c r="BK93" s="138">
        <v>41913.0</v>
      </c>
      <c r="BL93" s="138">
        <v>41944.0</v>
      </c>
      <c r="BM93" s="138">
        <v>41974.0</v>
      </c>
      <c r="BN93" s="138">
        <v>42005.0</v>
      </c>
      <c r="BO93" s="138">
        <v>42036.0</v>
      </c>
      <c r="BP93" s="138">
        <v>42064.0</v>
      </c>
      <c r="BQ93" s="138">
        <v>42095.0</v>
      </c>
      <c r="BR93" s="138">
        <v>42125.0</v>
      </c>
      <c r="BS93" s="138">
        <v>42156.0</v>
      </c>
      <c r="BT93" s="138">
        <v>42186.0</v>
      </c>
      <c r="BU93" s="138">
        <v>42217.0</v>
      </c>
      <c r="BV93" s="138">
        <v>42248.0</v>
      </c>
      <c r="BW93" s="138">
        <v>42278.0</v>
      </c>
      <c r="BX93" s="138">
        <v>42309.0</v>
      </c>
      <c r="BY93" s="138">
        <v>42339.0</v>
      </c>
      <c r="BZ93" s="138">
        <v>42370.0</v>
      </c>
      <c r="CA93" s="138">
        <v>42401.0</v>
      </c>
      <c r="CB93" s="138">
        <v>42430.0</v>
      </c>
      <c r="CC93" s="138">
        <v>42461.0</v>
      </c>
      <c r="CD93" s="138">
        <v>42491.0</v>
      </c>
      <c r="CE93" s="138">
        <v>42522.0</v>
      </c>
      <c r="CF93" s="138">
        <v>42552.0</v>
      </c>
      <c r="CG93" s="138">
        <v>42583.0</v>
      </c>
      <c r="CH93" s="138">
        <v>42614.0</v>
      </c>
      <c r="CI93" s="138">
        <v>42644.0</v>
      </c>
      <c r="CJ93" s="138">
        <v>42675.0</v>
      </c>
      <c r="CK93" s="138">
        <v>42705.0</v>
      </c>
      <c r="CL93" s="138">
        <v>42736.0</v>
      </c>
      <c r="CM93" s="138">
        <v>42767.0</v>
      </c>
      <c r="CN93" s="138">
        <v>42795.0</v>
      </c>
      <c r="CO93" s="138">
        <v>42826.0</v>
      </c>
      <c r="CP93" s="138">
        <v>42856.0</v>
      </c>
      <c r="CQ93" s="138">
        <v>42887.0</v>
      </c>
      <c r="CR93" s="138">
        <v>42917.0</v>
      </c>
      <c r="CS93" s="138">
        <v>42948.0</v>
      </c>
      <c r="CT93" s="138">
        <v>42979.0</v>
      </c>
      <c r="CU93" s="138">
        <v>43009.0</v>
      </c>
      <c r="CV93" s="138">
        <v>43040.0</v>
      </c>
      <c r="CW93" s="138">
        <v>43070.0</v>
      </c>
      <c r="CX93" s="138">
        <v>43101.0</v>
      </c>
      <c r="CY93" s="138">
        <v>43132.0</v>
      </c>
      <c r="CZ93" s="138">
        <v>43160.0</v>
      </c>
      <c r="DA93" s="138">
        <v>43191.0</v>
      </c>
      <c r="DB93" s="138">
        <v>43221.0</v>
      </c>
      <c r="DC93" s="138">
        <v>43252.0</v>
      </c>
      <c r="DD93" s="138">
        <v>43282.0</v>
      </c>
      <c r="DE93" s="138">
        <v>43313.0</v>
      </c>
      <c r="DF93" s="138">
        <v>43344.0</v>
      </c>
      <c r="DG93" s="138">
        <v>43374.0</v>
      </c>
      <c r="DH93" s="138">
        <v>43405.0</v>
      </c>
      <c r="DI93" s="138">
        <v>43435.0</v>
      </c>
      <c r="DJ93" s="138">
        <v>43466.0</v>
      </c>
      <c r="DK93" s="138">
        <v>43497.0</v>
      </c>
      <c r="DL93" s="138">
        <v>43525.0</v>
      </c>
      <c r="DM93" s="138">
        <v>43556.0</v>
      </c>
      <c r="DN93" s="138">
        <v>43586.0</v>
      </c>
      <c r="DO93" s="139">
        <v>43617.0</v>
      </c>
      <c r="DP93" s="139">
        <v>43647.0</v>
      </c>
      <c r="DQ93" s="139">
        <v>43678.0</v>
      </c>
      <c r="DR93" s="139">
        <v>43709.0</v>
      </c>
      <c r="DS93" s="139">
        <v>43739.0</v>
      </c>
      <c r="DT93" s="139">
        <v>43770.0</v>
      </c>
      <c r="DU93" s="139">
        <v>43800.0</v>
      </c>
      <c r="DV93" s="139">
        <v>43831.0</v>
      </c>
      <c r="DW93" s="139">
        <v>43862.0</v>
      </c>
      <c r="DX93" s="139">
        <v>43891.0</v>
      </c>
      <c r="DY93" s="139">
        <v>43922.0</v>
      </c>
      <c r="DZ93" s="139">
        <v>43952.0</v>
      </c>
      <c r="EA93" s="139">
        <v>43983.0</v>
      </c>
      <c r="EB93" s="139">
        <v>44013.0</v>
      </c>
      <c r="EC93" s="139">
        <v>44044.0</v>
      </c>
      <c r="ED93" s="139">
        <v>44075.0</v>
      </c>
      <c r="EE93" s="139">
        <v>44105.0</v>
      </c>
      <c r="EF93" s="139">
        <v>44136.0</v>
      </c>
      <c r="EG93" s="139">
        <v>44166.0</v>
      </c>
      <c r="EH93" s="139">
        <v>44197.0</v>
      </c>
      <c r="EI93" s="139">
        <v>44228.0</v>
      </c>
      <c r="EJ93" s="139">
        <v>44256.0</v>
      </c>
      <c r="EK93" s="139">
        <v>44287.0</v>
      </c>
      <c r="EL93" s="139">
        <v>44317.0</v>
      </c>
      <c r="EM93" s="139">
        <v>44348.0</v>
      </c>
      <c r="EN93" s="139">
        <v>44378.0</v>
      </c>
      <c r="EO93" s="139">
        <v>44409.0</v>
      </c>
      <c r="EP93" s="139">
        <v>44440.0</v>
      </c>
      <c r="EQ93" s="139">
        <v>44470.0</v>
      </c>
      <c r="ER93" s="139">
        <v>44501.0</v>
      </c>
      <c r="ES93" s="139">
        <v>44531.0</v>
      </c>
      <c r="ET93" s="139">
        <v>44562.0</v>
      </c>
      <c r="EU93" s="139">
        <v>44593.0</v>
      </c>
      <c r="EV93" s="139">
        <v>44621.0</v>
      </c>
      <c r="EW93" s="139">
        <v>44652.0</v>
      </c>
      <c r="EX93" s="139">
        <v>44682.0</v>
      </c>
      <c r="EY93" s="139">
        <v>44713.0</v>
      </c>
      <c r="EZ93" s="139">
        <v>44743.0</v>
      </c>
      <c r="FA93" s="139">
        <v>44774.0</v>
      </c>
      <c r="FB93" s="139">
        <v>44805.0</v>
      </c>
      <c r="FC93" s="139">
        <v>44835.0</v>
      </c>
      <c r="FD93" s="139">
        <v>44866.0</v>
      </c>
      <c r="FE93" s="139">
        <v>44896.0</v>
      </c>
      <c r="FF93" s="139">
        <v>44927.0</v>
      </c>
      <c r="FG93" s="139">
        <v>44958.0</v>
      </c>
      <c r="FH93" s="139">
        <v>44986.0</v>
      </c>
      <c r="FI93" s="139">
        <v>45017.0</v>
      </c>
      <c r="FJ93" s="139">
        <v>45047.0</v>
      </c>
      <c r="FK93" s="139">
        <v>45078.0</v>
      </c>
      <c r="FL93" s="139">
        <v>45108.0</v>
      </c>
      <c r="FM93" s="139">
        <v>45139.0</v>
      </c>
      <c r="FN93" s="139">
        <v>45170.0</v>
      </c>
      <c r="FO93" s="139">
        <v>45200.0</v>
      </c>
      <c r="FP93" s="139">
        <v>45231.0</v>
      </c>
      <c r="FQ93" s="139">
        <v>45261.0</v>
      </c>
      <c r="FR93" s="139">
        <v>45292.0</v>
      </c>
      <c r="FS93" s="139">
        <v>45323.0</v>
      </c>
      <c r="FT93" s="139">
        <v>45352.0</v>
      </c>
      <c r="FU93" s="139">
        <v>45383.0</v>
      </c>
      <c r="FV93" s="139">
        <v>45413.0</v>
      </c>
      <c r="FW93" s="139">
        <v>45444.0</v>
      </c>
      <c r="FX93" s="139">
        <v>45474.0</v>
      </c>
      <c r="FY93" s="139">
        <v>45505.0</v>
      </c>
      <c r="FZ93" s="139">
        <v>45536.0</v>
      </c>
      <c r="GA93" s="139">
        <v>45566.0</v>
      </c>
      <c r="GB93" s="139">
        <v>45597.0</v>
      </c>
      <c r="GC93" s="139">
        <v>45627.0</v>
      </c>
      <c r="GD93" s="139">
        <v>45658.0</v>
      </c>
      <c r="GE93" s="139">
        <v>45689.0</v>
      </c>
      <c r="GF93" s="139">
        <v>45717.0</v>
      </c>
      <c r="GG93" s="139">
        <v>45748.0</v>
      </c>
      <c r="GH93" s="139">
        <v>45778.0</v>
      </c>
      <c r="GI93" s="139">
        <v>45809.0</v>
      </c>
      <c r="GJ93" s="139">
        <v>45839.0</v>
      </c>
    </row>
    <row r="94">
      <c r="A94" s="133" t="s">
        <v>1629</v>
      </c>
      <c r="B94" s="134">
        <v>43675.7237962963</v>
      </c>
      <c r="C94" s="135" t="str">
        <f t="shared" si="1"/>
        <v>2019/07/29</v>
      </c>
      <c r="D94" s="136" t="s">
        <v>34292</v>
      </c>
      <c r="E94" s="151">
        <v>0.0</v>
      </c>
      <c r="F94" s="138">
        <v>40179.0</v>
      </c>
      <c r="G94" s="138">
        <v>40210.0</v>
      </c>
      <c r="H94" s="138">
        <v>40238.0</v>
      </c>
      <c r="I94" s="138">
        <v>40269.0</v>
      </c>
      <c r="J94" s="138">
        <v>40299.0</v>
      </c>
      <c r="K94" s="138">
        <v>40330.0</v>
      </c>
      <c r="L94" s="138">
        <v>40360.0</v>
      </c>
      <c r="M94" s="138">
        <v>40391.0</v>
      </c>
      <c r="N94" s="138">
        <v>40422.0</v>
      </c>
      <c r="O94" s="138">
        <v>40452.0</v>
      </c>
      <c r="P94" s="138">
        <v>40483.0</v>
      </c>
      <c r="Q94" s="138">
        <v>40513.0</v>
      </c>
      <c r="R94" s="138">
        <v>40544.0</v>
      </c>
      <c r="S94" s="138">
        <v>40575.0</v>
      </c>
      <c r="T94" s="138">
        <v>40603.0</v>
      </c>
      <c r="U94" s="138">
        <v>40634.0</v>
      </c>
      <c r="V94" s="138">
        <v>40664.0</v>
      </c>
      <c r="W94" s="138">
        <v>40695.0</v>
      </c>
      <c r="X94" s="138">
        <v>40725.0</v>
      </c>
      <c r="Y94" s="138">
        <v>40756.0</v>
      </c>
      <c r="Z94" s="138">
        <v>40787.0</v>
      </c>
      <c r="AA94" s="138">
        <v>40817.0</v>
      </c>
      <c r="AB94" s="138">
        <v>40848.0</v>
      </c>
      <c r="AC94" s="138">
        <v>40878.0</v>
      </c>
      <c r="AD94" s="138">
        <v>40909.0</v>
      </c>
      <c r="AE94" s="138">
        <v>40940.0</v>
      </c>
      <c r="AF94" s="138">
        <v>40969.0</v>
      </c>
      <c r="AG94" s="138">
        <v>41000.0</v>
      </c>
      <c r="AH94" s="138">
        <v>41030.0</v>
      </c>
      <c r="AI94" s="138">
        <v>41061.0</v>
      </c>
      <c r="AJ94" s="138">
        <v>41091.0</v>
      </c>
      <c r="AK94" s="138">
        <v>41122.0</v>
      </c>
      <c r="AL94" s="138">
        <v>41153.0</v>
      </c>
      <c r="AM94" s="138">
        <v>41183.0</v>
      </c>
      <c r="AN94" s="138">
        <v>41214.0</v>
      </c>
      <c r="AO94" s="138">
        <v>41244.0</v>
      </c>
      <c r="AP94" s="138">
        <v>41275.0</v>
      </c>
      <c r="AQ94" s="138">
        <v>41306.0</v>
      </c>
      <c r="AR94" s="138">
        <v>41334.0</v>
      </c>
      <c r="AS94" s="138">
        <v>41365.0</v>
      </c>
      <c r="AT94" s="138">
        <v>41395.0</v>
      </c>
      <c r="AU94" s="138">
        <v>41426.0</v>
      </c>
      <c r="AV94" s="138">
        <v>41456.0</v>
      </c>
      <c r="AW94" s="138">
        <v>41487.0</v>
      </c>
      <c r="AX94" s="138">
        <v>41518.0</v>
      </c>
      <c r="AY94" s="138">
        <v>41548.0</v>
      </c>
      <c r="AZ94" s="138">
        <v>41579.0</v>
      </c>
      <c r="BA94" s="138">
        <v>41609.0</v>
      </c>
      <c r="BB94" s="138">
        <v>41640.0</v>
      </c>
      <c r="BC94" s="138">
        <v>41671.0</v>
      </c>
      <c r="BD94" s="138">
        <v>41699.0</v>
      </c>
      <c r="BE94" s="138">
        <v>41730.0</v>
      </c>
      <c r="BF94" s="138">
        <v>41760.0</v>
      </c>
      <c r="BG94" s="138">
        <v>41791.0</v>
      </c>
      <c r="BH94" s="138">
        <v>41821.0</v>
      </c>
      <c r="BI94" s="138">
        <v>41852.0</v>
      </c>
      <c r="BJ94" s="138">
        <v>41883.0</v>
      </c>
      <c r="BK94" s="138">
        <v>41913.0</v>
      </c>
      <c r="BL94" s="138">
        <v>41944.0</v>
      </c>
      <c r="BM94" s="138">
        <v>41974.0</v>
      </c>
      <c r="BN94" s="138">
        <v>42005.0</v>
      </c>
      <c r="BO94" s="138">
        <v>42036.0</v>
      </c>
      <c r="BP94" s="138">
        <v>42064.0</v>
      </c>
      <c r="BQ94" s="138">
        <v>42095.0</v>
      </c>
      <c r="BR94" s="138">
        <v>42125.0</v>
      </c>
      <c r="BS94" s="138">
        <v>42156.0</v>
      </c>
      <c r="BT94" s="138">
        <v>42186.0</v>
      </c>
      <c r="BU94" s="138">
        <v>42217.0</v>
      </c>
      <c r="BV94" s="138">
        <v>42248.0</v>
      </c>
      <c r="BW94" s="138">
        <v>42278.0</v>
      </c>
      <c r="BX94" s="138">
        <v>42309.0</v>
      </c>
      <c r="BY94" s="138">
        <v>42339.0</v>
      </c>
      <c r="BZ94" s="138">
        <v>42370.0</v>
      </c>
      <c r="CA94" s="138">
        <v>42401.0</v>
      </c>
      <c r="CB94" s="138">
        <v>42430.0</v>
      </c>
      <c r="CC94" s="138">
        <v>42461.0</v>
      </c>
      <c r="CD94" s="138">
        <v>42491.0</v>
      </c>
      <c r="CE94" s="138">
        <v>42522.0</v>
      </c>
      <c r="CF94" s="138">
        <v>42552.0</v>
      </c>
      <c r="CG94" s="138">
        <v>42583.0</v>
      </c>
      <c r="CH94" s="138">
        <v>42614.0</v>
      </c>
      <c r="CI94" s="138">
        <v>42644.0</v>
      </c>
      <c r="CJ94" s="138">
        <v>42675.0</v>
      </c>
      <c r="CK94" s="138">
        <v>42705.0</v>
      </c>
      <c r="CL94" s="138">
        <v>42736.0</v>
      </c>
      <c r="CM94" s="138">
        <v>42767.0</v>
      </c>
      <c r="CN94" s="138">
        <v>42795.0</v>
      </c>
      <c r="CO94" s="138">
        <v>42826.0</v>
      </c>
      <c r="CP94" s="138">
        <v>42856.0</v>
      </c>
      <c r="CQ94" s="138">
        <v>42887.0</v>
      </c>
      <c r="CR94" s="138">
        <v>42917.0</v>
      </c>
      <c r="CS94" s="138">
        <v>42948.0</v>
      </c>
      <c r="CT94" s="138">
        <v>42979.0</v>
      </c>
      <c r="CU94" s="138">
        <v>43009.0</v>
      </c>
      <c r="CV94" s="138">
        <v>43040.0</v>
      </c>
      <c r="CW94" s="138">
        <v>43070.0</v>
      </c>
      <c r="CX94" s="138">
        <v>43101.0</v>
      </c>
      <c r="CY94" s="138">
        <v>43132.0</v>
      </c>
      <c r="CZ94" s="138">
        <v>43160.0</v>
      </c>
      <c r="DA94" s="138">
        <v>43191.0</v>
      </c>
      <c r="DB94" s="138">
        <v>43221.0</v>
      </c>
      <c r="DC94" s="138">
        <v>43252.0</v>
      </c>
      <c r="DD94" s="138">
        <v>43282.0</v>
      </c>
      <c r="DE94" s="138">
        <v>43313.0</v>
      </c>
      <c r="DF94" s="138">
        <v>43344.0</v>
      </c>
      <c r="DG94" s="138">
        <v>43374.0</v>
      </c>
      <c r="DH94" s="138">
        <v>43405.0</v>
      </c>
      <c r="DI94" s="138">
        <v>43435.0</v>
      </c>
      <c r="DJ94" s="138">
        <v>43466.0</v>
      </c>
      <c r="DK94" s="138">
        <v>43497.0</v>
      </c>
      <c r="DL94" s="138">
        <v>43525.0</v>
      </c>
      <c r="DM94" s="138">
        <v>43556.0</v>
      </c>
      <c r="DN94" s="138">
        <v>43586.0</v>
      </c>
      <c r="DO94" s="138">
        <v>43617.0</v>
      </c>
      <c r="DP94" s="138">
        <v>43647.0</v>
      </c>
      <c r="DQ94" s="139">
        <v>43678.0</v>
      </c>
      <c r="DR94" s="139">
        <v>43709.0</v>
      </c>
      <c r="DS94" s="139">
        <v>43739.0</v>
      </c>
      <c r="DT94" s="139">
        <v>43770.0</v>
      </c>
      <c r="DU94" s="139">
        <v>43800.0</v>
      </c>
      <c r="DV94" s="139">
        <v>43831.0</v>
      </c>
      <c r="DW94" s="139">
        <v>43862.0</v>
      </c>
      <c r="DX94" s="139">
        <v>43891.0</v>
      </c>
      <c r="DY94" s="139">
        <v>43922.0</v>
      </c>
      <c r="DZ94" s="139">
        <v>43952.0</v>
      </c>
      <c r="EA94" s="139">
        <v>43983.0</v>
      </c>
      <c r="EB94" s="139">
        <v>44013.0</v>
      </c>
      <c r="EC94" s="139">
        <v>44044.0</v>
      </c>
      <c r="ED94" s="139">
        <v>44075.0</v>
      </c>
      <c r="EE94" s="139">
        <v>44105.0</v>
      </c>
      <c r="EF94" s="139">
        <v>44136.0</v>
      </c>
      <c r="EG94" s="139">
        <v>44166.0</v>
      </c>
      <c r="EH94" s="139">
        <v>44197.0</v>
      </c>
      <c r="EI94" s="139">
        <v>44228.0</v>
      </c>
      <c r="EJ94" s="139">
        <v>44256.0</v>
      </c>
      <c r="EK94" s="139">
        <v>44287.0</v>
      </c>
      <c r="EL94" s="139">
        <v>44317.0</v>
      </c>
      <c r="EM94" s="139">
        <v>44348.0</v>
      </c>
      <c r="EN94" s="139">
        <v>44378.0</v>
      </c>
      <c r="EO94" s="139">
        <v>44409.0</v>
      </c>
      <c r="EP94" s="139">
        <v>44440.0</v>
      </c>
      <c r="EQ94" s="139">
        <v>44470.0</v>
      </c>
      <c r="ER94" s="139">
        <v>44501.0</v>
      </c>
      <c r="ES94" s="139">
        <v>44531.0</v>
      </c>
      <c r="ET94" s="139">
        <v>44562.0</v>
      </c>
      <c r="EU94" s="139">
        <v>44593.0</v>
      </c>
      <c r="EV94" s="139">
        <v>44621.0</v>
      </c>
      <c r="EW94" s="139">
        <v>44652.0</v>
      </c>
      <c r="EX94" s="139">
        <v>44682.0</v>
      </c>
      <c r="EY94" s="139">
        <v>44713.0</v>
      </c>
      <c r="EZ94" s="139">
        <v>44743.0</v>
      </c>
      <c r="FA94" s="139">
        <v>44774.0</v>
      </c>
      <c r="FB94" s="139">
        <v>44805.0</v>
      </c>
      <c r="FC94" s="139">
        <v>44835.0</v>
      </c>
      <c r="FD94" s="139">
        <v>44866.0</v>
      </c>
      <c r="FE94" s="139">
        <v>44896.0</v>
      </c>
      <c r="FF94" s="139">
        <v>44927.0</v>
      </c>
      <c r="FG94" s="139">
        <v>44958.0</v>
      </c>
      <c r="FH94" s="139">
        <v>44986.0</v>
      </c>
      <c r="FI94" s="139">
        <v>45017.0</v>
      </c>
      <c r="FJ94" s="139">
        <v>45047.0</v>
      </c>
      <c r="FK94" s="139">
        <v>45078.0</v>
      </c>
      <c r="FL94" s="139">
        <v>45108.0</v>
      </c>
      <c r="FM94" s="139">
        <v>45139.0</v>
      </c>
      <c r="FN94" s="139">
        <v>45170.0</v>
      </c>
      <c r="FO94" s="139">
        <v>45200.0</v>
      </c>
      <c r="FP94" s="139">
        <v>45231.0</v>
      </c>
      <c r="FQ94" s="139">
        <v>45261.0</v>
      </c>
      <c r="FR94" s="139">
        <v>45292.0</v>
      </c>
      <c r="FS94" s="139">
        <v>45323.0</v>
      </c>
      <c r="FT94" s="139">
        <v>45352.0</v>
      </c>
      <c r="FU94" s="139">
        <v>45383.0</v>
      </c>
      <c r="FV94" s="139">
        <v>45413.0</v>
      </c>
      <c r="FW94" s="139">
        <v>45444.0</v>
      </c>
      <c r="FX94" s="139">
        <v>45474.0</v>
      </c>
      <c r="FY94" s="139">
        <v>45505.0</v>
      </c>
      <c r="FZ94" s="139">
        <v>45536.0</v>
      </c>
      <c r="GA94" s="139">
        <v>45566.0</v>
      </c>
      <c r="GB94" s="139">
        <v>45597.0</v>
      </c>
      <c r="GC94" s="139">
        <v>45627.0</v>
      </c>
      <c r="GD94" s="139">
        <v>45658.0</v>
      </c>
      <c r="GE94" s="139">
        <v>45689.0</v>
      </c>
      <c r="GF94" s="139">
        <v>45717.0</v>
      </c>
      <c r="GG94" s="139">
        <v>45748.0</v>
      </c>
      <c r="GH94" s="139">
        <v>45778.0</v>
      </c>
      <c r="GI94" s="139">
        <v>45809.0</v>
      </c>
      <c r="GJ94" s="139">
        <v>45839.0</v>
      </c>
    </row>
    <row r="95">
      <c r="A95" s="133" t="s">
        <v>1750</v>
      </c>
      <c r="B95" s="134">
        <v>43895.68111111111</v>
      </c>
      <c r="C95" s="135" t="str">
        <f t="shared" si="1"/>
        <v>2020/03/05</v>
      </c>
      <c r="D95" s="136" t="s">
        <v>33912</v>
      </c>
      <c r="E95" s="151">
        <v>0.0</v>
      </c>
      <c r="F95" s="138">
        <v>40179.0</v>
      </c>
      <c r="G95" s="138">
        <v>40210.0</v>
      </c>
      <c r="H95" s="138">
        <v>40238.0</v>
      </c>
      <c r="I95" s="138">
        <v>40269.0</v>
      </c>
      <c r="J95" s="138">
        <v>40299.0</v>
      </c>
      <c r="K95" s="138">
        <v>40330.0</v>
      </c>
      <c r="L95" s="138">
        <v>40360.0</v>
      </c>
      <c r="M95" s="138">
        <v>40391.0</v>
      </c>
      <c r="N95" s="138">
        <v>40422.0</v>
      </c>
      <c r="O95" s="138">
        <v>40452.0</v>
      </c>
      <c r="P95" s="138">
        <v>40483.0</v>
      </c>
      <c r="Q95" s="138">
        <v>40513.0</v>
      </c>
      <c r="R95" s="138">
        <v>40544.0</v>
      </c>
      <c r="S95" s="138">
        <v>40575.0</v>
      </c>
      <c r="T95" s="138">
        <v>40603.0</v>
      </c>
      <c r="U95" s="138">
        <v>40634.0</v>
      </c>
      <c r="V95" s="138">
        <v>40664.0</v>
      </c>
      <c r="W95" s="138">
        <v>40695.0</v>
      </c>
      <c r="X95" s="138">
        <v>40725.0</v>
      </c>
      <c r="Y95" s="138">
        <v>40756.0</v>
      </c>
      <c r="Z95" s="138">
        <v>40787.0</v>
      </c>
      <c r="AA95" s="138">
        <v>40817.0</v>
      </c>
      <c r="AB95" s="138">
        <v>40848.0</v>
      </c>
      <c r="AC95" s="138">
        <v>40878.0</v>
      </c>
      <c r="AD95" s="138">
        <v>40909.0</v>
      </c>
      <c r="AE95" s="138">
        <v>40940.0</v>
      </c>
      <c r="AF95" s="138">
        <v>40969.0</v>
      </c>
      <c r="AG95" s="138">
        <v>41000.0</v>
      </c>
      <c r="AH95" s="138">
        <v>41030.0</v>
      </c>
      <c r="AI95" s="138">
        <v>41061.0</v>
      </c>
      <c r="AJ95" s="138">
        <v>41091.0</v>
      </c>
      <c r="AK95" s="138">
        <v>41122.0</v>
      </c>
      <c r="AL95" s="138">
        <v>41153.0</v>
      </c>
      <c r="AM95" s="138">
        <v>41183.0</v>
      </c>
      <c r="AN95" s="138">
        <v>41214.0</v>
      </c>
      <c r="AO95" s="138">
        <v>41244.0</v>
      </c>
      <c r="AP95" s="138">
        <v>41275.0</v>
      </c>
      <c r="AQ95" s="138">
        <v>41306.0</v>
      </c>
      <c r="AR95" s="138">
        <v>41334.0</v>
      </c>
      <c r="AS95" s="138">
        <v>41365.0</v>
      </c>
      <c r="AT95" s="138">
        <v>41395.0</v>
      </c>
      <c r="AU95" s="138">
        <v>41426.0</v>
      </c>
      <c r="AV95" s="138">
        <v>41456.0</v>
      </c>
      <c r="AW95" s="138">
        <v>41487.0</v>
      </c>
      <c r="AX95" s="138">
        <v>41518.0</v>
      </c>
      <c r="AY95" s="138">
        <v>41548.0</v>
      </c>
      <c r="AZ95" s="138">
        <v>41579.0</v>
      </c>
      <c r="BA95" s="138">
        <v>41609.0</v>
      </c>
      <c r="BB95" s="138">
        <v>41640.0</v>
      </c>
      <c r="BC95" s="138">
        <v>41671.0</v>
      </c>
      <c r="BD95" s="138">
        <v>41699.0</v>
      </c>
      <c r="BE95" s="138">
        <v>41730.0</v>
      </c>
      <c r="BF95" s="138">
        <v>41760.0</v>
      </c>
      <c r="BG95" s="138">
        <v>41791.0</v>
      </c>
      <c r="BH95" s="138">
        <v>41821.0</v>
      </c>
      <c r="BI95" s="138">
        <v>41852.0</v>
      </c>
      <c r="BJ95" s="138">
        <v>41883.0</v>
      </c>
      <c r="BK95" s="138">
        <v>41913.0</v>
      </c>
      <c r="BL95" s="138">
        <v>41944.0</v>
      </c>
      <c r="BM95" s="138">
        <v>41974.0</v>
      </c>
      <c r="BN95" s="138">
        <v>42005.0</v>
      </c>
      <c r="BO95" s="138">
        <v>42036.0</v>
      </c>
      <c r="BP95" s="138">
        <v>42064.0</v>
      </c>
      <c r="BQ95" s="138">
        <v>42095.0</v>
      </c>
      <c r="BR95" s="138">
        <v>42125.0</v>
      </c>
      <c r="BS95" s="138">
        <v>42156.0</v>
      </c>
      <c r="BT95" s="138">
        <v>42186.0</v>
      </c>
      <c r="BU95" s="138">
        <v>42217.0</v>
      </c>
      <c r="BV95" s="138">
        <v>42248.0</v>
      </c>
      <c r="BW95" s="138">
        <v>42278.0</v>
      </c>
      <c r="BX95" s="138">
        <v>42309.0</v>
      </c>
      <c r="BY95" s="138">
        <v>42339.0</v>
      </c>
      <c r="BZ95" s="138">
        <v>42370.0</v>
      </c>
      <c r="CA95" s="138">
        <v>42401.0</v>
      </c>
      <c r="CB95" s="138">
        <v>42430.0</v>
      </c>
      <c r="CC95" s="138">
        <v>42461.0</v>
      </c>
      <c r="CD95" s="138">
        <v>42491.0</v>
      </c>
      <c r="CE95" s="138">
        <v>42522.0</v>
      </c>
      <c r="CF95" s="138">
        <v>42552.0</v>
      </c>
      <c r="CG95" s="138">
        <v>42583.0</v>
      </c>
      <c r="CH95" s="138">
        <v>42614.0</v>
      </c>
      <c r="CI95" s="138">
        <v>42644.0</v>
      </c>
      <c r="CJ95" s="138">
        <v>42675.0</v>
      </c>
      <c r="CK95" s="138">
        <v>42705.0</v>
      </c>
      <c r="CL95" s="138">
        <v>42736.0</v>
      </c>
      <c r="CM95" s="138">
        <v>42767.0</v>
      </c>
      <c r="CN95" s="138">
        <v>42795.0</v>
      </c>
      <c r="CO95" s="138">
        <v>42826.0</v>
      </c>
      <c r="CP95" s="138">
        <v>42856.0</v>
      </c>
      <c r="CQ95" s="138">
        <v>42887.0</v>
      </c>
      <c r="CR95" s="138">
        <v>42917.0</v>
      </c>
      <c r="CS95" s="138">
        <v>42948.0</v>
      </c>
      <c r="CT95" s="138">
        <v>42979.0</v>
      </c>
      <c r="CU95" s="138">
        <v>43009.0</v>
      </c>
      <c r="CV95" s="138">
        <v>43040.0</v>
      </c>
      <c r="CW95" s="138">
        <v>43070.0</v>
      </c>
      <c r="CX95" s="138">
        <v>43101.0</v>
      </c>
      <c r="CY95" s="138">
        <v>43132.0</v>
      </c>
      <c r="CZ95" s="138">
        <v>43160.0</v>
      </c>
      <c r="DA95" s="138">
        <v>43191.0</v>
      </c>
      <c r="DB95" s="138">
        <v>43221.0</v>
      </c>
      <c r="DC95" s="138">
        <v>43252.0</v>
      </c>
      <c r="DD95" s="138">
        <v>43282.0</v>
      </c>
      <c r="DE95" s="138">
        <v>43313.0</v>
      </c>
      <c r="DF95" s="138">
        <v>43344.0</v>
      </c>
      <c r="DG95" s="138">
        <v>43374.0</v>
      </c>
      <c r="DH95" s="138">
        <v>43405.0</v>
      </c>
      <c r="DI95" s="138">
        <v>43435.0</v>
      </c>
      <c r="DJ95" s="138">
        <v>43466.0</v>
      </c>
      <c r="DK95" s="138">
        <v>43497.0</v>
      </c>
      <c r="DL95" s="138">
        <v>43525.0</v>
      </c>
      <c r="DM95" s="138">
        <v>43556.0</v>
      </c>
      <c r="DN95" s="138">
        <v>43586.0</v>
      </c>
      <c r="DO95" s="138">
        <v>43617.0</v>
      </c>
      <c r="DP95" s="138">
        <v>43647.0</v>
      </c>
      <c r="DQ95" s="138">
        <v>43678.0</v>
      </c>
      <c r="DR95" s="138">
        <v>43709.0</v>
      </c>
      <c r="DS95" s="138">
        <v>43739.0</v>
      </c>
      <c r="DT95" s="138">
        <v>43770.0</v>
      </c>
      <c r="DU95" s="138">
        <v>43800.0</v>
      </c>
      <c r="DV95" s="138">
        <v>43831.0</v>
      </c>
      <c r="DW95" s="138">
        <v>43862.0</v>
      </c>
      <c r="DX95" s="138">
        <v>43891.0</v>
      </c>
      <c r="DY95" s="139">
        <v>43922.0</v>
      </c>
      <c r="DZ95" s="139">
        <v>43952.0</v>
      </c>
      <c r="EA95" s="139">
        <v>43983.0</v>
      </c>
      <c r="EB95" s="139">
        <v>44013.0</v>
      </c>
      <c r="EC95" s="139">
        <v>44044.0</v>
      </c>
      <c r="ED95" s="139">
        <v>44075.0</v>
      </c>
      <c r="EE95" s="139">
        <v>44105.0</v>
      </c>
      <c r="EF95" s="139">
        <v>44136.0</v>
      </c>
      <c r="EG95" s="139">
        <v>44166.0</v>
      </c>
      <c r="EH95" s="139">
        <v>44197.0</v>
      </c>
      <c r="EI95" s="139">
        <v>44228.0</v>
      </c>
      <c r="EJ95" s="139">
        <v>44256.0</v>
      </c>
      <c r="EK95" s="139">
        <v>44287.0</v>
      </c>
      <c r="EL95" s="139">
        <v>44317.0</v>
      </c>
      <c r="EM95" s="139">
        <v>44348.0</v>
      </c>
      <c r="EN95" s="139">
        <v>44378.0</v>
      </c>
      <c r="EO95" s="139">
        <v>44409.0</v>
      </c>
      <c r="EP95" s="139">
        <v>44440.0</v>
      </c>
      <c r="EQ95" s="139">
        <v>44470.0</v>
      </c>
      <c r="ER95" s="139">
        <v>44501.0</v>
      </c>
      <c r="ES95" s="139">
        <v>44531.0</v>
      </c>
      <c r="ET95" s="139">
        <v>44562.0</v>
      </c>
      <c r="EU95" s="139">
        <v>44593.0</v>
      </c>
      <c r="EV95" s="139">
        <v>44621.0</v>
      </c>
      <c r="EW95" s="139">
        <v>44652.0</v>
      </c>
      <c r="EX95" s="139">
        <v>44682.0</v>
      </c>
      <c r="EY95" s="139">
        <v>44713.0</v>
      </c>
      <c r="EZ95" s="139">
        <v>44743.0</v>
      </c>
      <c r="FA95" s="139">
        <v>44774.0</v>
      </c>
      <c r="FB95" s="139">
        <v>44805.0</v>
      </c>
      <c r="FC95" s="139">
        <v>44835.0</v>
      </c>
      <c r="FD95" s="139">
        <v>44866.0</v>
      </c>
      <c r="FE95" s="139">
        <v>44896.0</v>
      </c>
      <c r="FF95" s="139">
        <v>44927.0</v>
      </c>
      <c r="FG95" s="139">
        <v>44958.0</v>
      </c>
      <c r="FH95" s="139">
        <v>44986.0</v>
      </c>
      <c r="FI95" s="139">
        <v>45017.0</v>
      </c>
      <c r="FJ95" s="139">
        <v>45047.0</v>
      </c>
      <c r="FK95" s="139">
        <v>45078.0</v>
      </c>
      <c r="FL95" s="139">
        <v>45108.0</v>
      </c>
      <c r="FM95" s="139">
        <v>45139.0</v>
      </c>
      <c r="FN95" s="139">
        <v>45170.0</v>
      </c>
      <c r="FO95" s="139">
        <v>45200.0</v>
      </c>
      <c r="FP95" s="139">
        <v>45231.0</v>
      </c>
      <c r="FQ95" s="139">
        <v>45261.0</v>
      </c>
      <c r="FR95" s="139">
        <v>45292.0</v>
      </c>
      <c r="FS95" s="139">
        <v>45323.0</v>
      </c>
      <c r="FT95" s="139">
        <v>45352.0</v>
      </c>
      <c r="FU95" s="139">
        <v>45383.0</v>
      </c>
      <c r="FV95" s="139">
        <v>45413.0</v>
      </c>
      <c r="FW95" s="139">
        <v>45444.0</v>
      </c>
      <c r="FX95" s="139">
        <v>45474.0</v>
      </c>
      <c r="FY95" s="139">
        <v>45505.0</v>
      </c>
      <c r="FZ95" s="139">
        <v>45536.0</v>
      </c>
      <c r="GA95" s="139">
        <v>45566.0</v>
      </c>
      <c r="GB95" s="139">
        <v>45597.0</v>
      </c>
      <c r="GC95" s="139">
        <v>45627.0</v>
      </c>
      <c r="GD95" s="139">
        <v>45658.0</v>
      </c>
      <c r="GE95" s="139">
        <v>45689.0</v>
      </c>
      <c r="GF95" s="139">
        <v>45717.0</v>
      </c>
      <c r="GG95" s="139">
        <v>45748.0</v>
      </c>
      <c r="GH95" s="139">
        <v>45778.0</v>
      </c>
      <c r="GI95" s="139">
        <v>45809.0</v>
      </c>
      <c r="GJ95" s="139">
        <v>45839.0</v>
      </c>
    </row>
    <row r="96">
      <c r="A96" s="133" t="s">
        <v>1452</v>
      </c>
      <c r="B96" s="134">
        <v>43900.527546296296</v>
      </c>
      <c r="C96" s="135" t="str">
        <f t="shared" si="1"/>
        <v>2020/03/10</v>
      </c>
      <c r="D96" s="136" t="s">
        <v>33974</v>
      </c>
      <c r="E96" s="151">
        <v>0.0</v>
      </c>
      <c r="F96" s="138">
        <v>40179.0</v>
      </c>
      <c r="G96" s="138">
        <v>40210.0</v>
      </c>
      <c r="H96" s="138">
        <v>40238.0</v>
      </c>
      <c r="I96" s="138">
        <v>40269.0</v>
      </c>
      <c r="J96" s="138">
        <v>40299.0</v>
      </c>
      <c r="K96" s="138">
        <v>40330.0</v>
      </c>
      <c r="L96" s="138">
        <v>40360.0</v>
      </c>
      <c r="M96" s="138">
        <v>40391.0</v>
      </c>
      <c r="N96" s="138">
        <v>40422.0</v>
      </c>
      <c r="O96" s="138">
        <v>40452.0</v>
      </c>
      <c r="P96" s="138">
        <v>40483.0</v>
      </c>
      <c r="Q96" s="138">
        <v>40513.0</v>
      </c>
      <c r="R96" s="138">
        <v>40544.0</v>
      </c>
      <c r="S96" s="138">
        <v>40575.0</v>
      </c>
      <c r="T96" s="138">
        <v>40603.0</v>
      </c>
      <c r="U96" s="138">
        <v>40634.0</v>
      </c>
      <c r="V96" s="138">
        <v>40664.0</v>
      </c>
      <c r="W96" s="138">
        <v>40695.0</v>
      </c>
      <c r="X96" s="138">
        <v>40725.0</v>
      </c>
      <c r="Y96" s="138">
        <v>40756.0</v>
      </c>
      <c r="Z96" s="138">
        <v>40787.0</v>
      </c>
      <c r="AA96" s="138">
        <v>40817.0</v>
      </c>
      <c r="AB96" s="138">
        <v>40848.0</v>
      </c>
      <c r="AC96" s="138">
        <v>40878.0</v>
      </c>
      <c r="AD96" s="138">
        <v>40909.0</v>
      </c>
      <c r="AE96" s="138">
        <v>40940.0</v>
      </c>
      <c r="AF96" s="138">
        <v>40969.0</v>
      </c>
      <c r="AG96" s="138">
        <v>41000.0</v>
      </c>
      <c r="AH96" s="138">
        <v>41030.0</v>
      </c>
      <c r="AI96" s="138">
        <v>41061.0</v>
      </c>
      <c r="AJ96" s="138">
        <v>41091.0</v>
      </c>
      <c r="AK96" s="138">
        <v>41122.0</v>
      </c>
      <c r="AL96" s="138">
        <v>41153.0</v>
      </c>
      <c r="AM96" s="138">
        <v>41183.0</v>
      </c>
      <c r="AN96" s="138">
        <v>41214.0</v>
      </c>
      <c r="AO96" s="138">
        <v>41244.0</v>
      </c>
      <c r="AP96" s="138">
        <v>41275.0</v>
      </c>
      <c r="AQ96" s="138">
        <v>41306.0</v>
      </c>
      <c r="AR96" s="138">
        <v>41334.0</v>
      </c>
      <c r="AS96" s="138">
        <v>41365.0</v>
      </c>
      <c r="AT96" s="138">
        <v>41395.0</v>
      </c>
      <c r="AU96" s="138">
        <v>41426.0</v>
      </c>
      <c r="AV96" s="138">
        <v>41456.0</v>
      </c>
      <c r="AW96" s="138">
        <v>41487.0</v>
      </c>
      <c r="AX96" s="138">
        <v>41518.0</v>
      </c>
      <c r="AY96" s="138">
        <v>41548.0</v>
      </c>
      <c r="AZ96" s="138">
        <v>41579.0</v>
      </c>
      <c r="BA96" s="138">
        <v>41609.0</v>
      </c>
      <c r="BB96" s="138">
        <v>41640.0</v>
      </c>
      <c r="BC96" s="138">
        <v>41671.0</v>
      </c>
      <c r="BD96" s="138">
        <v>41699.0</v>
      </c>
      <c r="BE96" s="138">
        <v>41730.0</v>
      </c>
      <c r="BF96" s="138">
        <v>41760.0</v>
      </c>
      <c r="BG96" s="138">
        <v>41791.0</v>
      </c>
      <c r="BH96" s="138">
        <v>41821.0</v>
      </c>
      <c r="BI96" s="138">
        <v>41852.0</v>
      </c>
      <c r="BJ96" s="138">
        <v>41883.0</v>
      </c>
      <c r="BK96" s="138">
        <v>41913.0</v>
      </c>
      <c r="BL96" s="138">
        <v>41944.0</v>
      </c>
      <c r="BM96" s="138">
        <v>41974.0</v>
      </c>
      <c r="BN96" s="138">
        <v>42005.0</v>
      </c>
      <c r="BO96" s="138">
        <v>42036.0</v>
      </c>
      <c r="BP96" s="138">
        <v>42064.0</v>
      </c>
      <c r="BQ96" s="138">
        <v>42095.0</v>
      </c>
      <c r="BR96" s="138">
        <v>42125.0</v>
      </c>
      <c r="BS96" s="138">
        <v>42156.0</v>
      </c>
      <c r="BT96" s="138">
        <v>42186.0</v>
      </c>
      <c r="BU96" s="138">
        <v>42217.0</v>
      </c>
      <c r="BV96" s="138">
        <v>42248.0</v>
      </c>
      <c r="BW96" s="138">
        <v>42278.0</v>
      </c>
      <c r="BX96" s="138">
        <v>42309.0</v>
      </c>
      <c r="BY96" s="138">
        <v>42339.0</v>
      </c>
      <c r="BZ96" s="138">
        <v>42370.0</v>
      </c>
      <c r="CA96" s="138">
        <v>42401.0</v>
      </c>
      <c r="CB96" s="138">
        <v>42430.0</v>
      </c>
      <c r="CC96" s="138">
        <v>42461.0</v>
      </c>
      <c r="CD96" s="138">
        <v>42491.0</v>
      </c>
      <c r="CE96" s="138">
        <v>42522.0</v>
      </c>
      <c r="CF96" s="138">
        <v>42552.0</v>
      </c>
      <c r="CG96" s="138">
        <v>42583.0</v>
      </c>
      <c r="CH96" s="138">
        <v>42614.0</v>
      </c>
      <c r="CI96" s="138">
        <v>42644.0</v>
      </c>
      <c r="CJ96" s="138">
        <v>42675.0</v>
      </c>
      <c r="CK96" s="138">
        <v>42705.0</v>
      </c>
      <c r="CL96" s="138">
        <v>42736.0</v>
      </c>
      <c r="CM96" s="138">
        <v>42767.0</v>
      </c>
      <c r="CN96" s="138">
        <v>42795.0</v>
      </c>
      <c r="CO96" s="138">
        <v>42826.0</v>
      </c>
      <c r="CP96" s="138">
        <v>42856.0</v>
      </c>
      <c r="CQ96" s="138">
        <v>42887.0</v>
      </c>
      <c r="CR96" s="138">
        <v>42917.0</v>
      </c>
      <c r="CS96" s="138">
        <v>42948.0</v>
      </c>
      <c r="CT96" s="138">
        <v>42979.0</v>
      </c>
      <c r="CU96" s="138">
        <v>43009.0</v>
      </c>
      <c r="CV96" s="138">
        <v>43040.0</v>
      </c>
      <c r="CW96" s="138">
        <v>43070.0</v>
      </c>
      <c r="CX96" s="138">
        <v>43101.0</v>
      </c>
      <c r="CY96" s="138">
        <v>43132.0</v>
      </c>
      <c r="CZ96" s="138">
        <v>43160.0</v>
      </c>
      <c r="DA96" s="138">
        <v>43191.0</v>
      </c>
      <c r="DB96" s="138">
        <v>43221.0</v>
      </c>
      <c r="DC96" s="138">
        <v>43252.0</v>
      </c>
      <c r="DD96" s="138">
        <v>43282.0</v>
      </c>
      <c r="DE96" s="138">
        <v>43313.0</v>
      </c>
      <c r="DF96" s="138">
        <v>43344.0</v>
      </c>
      <c r="DG96" s="138">
        <v>43374.0</v>
      </c>
      <c r="DH96" s="138">
        <v>43405.0</v>
      </c>
      <c r="DI96" s="138">
        <v>43435.0</v>
      </c>
      <c r="DJ96" s="138">
        <v>43466.0</v>
      </c>
      <c r="DK96" s="138">
        <v>43497.0</v>
      </c>
      <c r="DL96" s="138">
        <v>43525.0</v>
      </c>
      <c r="DM96" s="138">
        <v>43556.0</v>
      </c>
      <c r="DN96" s="138">
        <v>43586.0</v>
      </c>
      <c r="DO96" s="138">
        <v>43617.0</v>
      </c>
      <c r="DP96" s="138">
        <v>43647.0</v>
      </c>
      <c r="DQ96" s="138">
        <v>43678.0</v>
      </c>
      <c r="DR96" s="138">
        <v>43709.0</v>
      </c>
      <c r="DS96" s="138">
        <v>43739.0</v>
      </c>
      <c r="DT96" s="138">
        <v>43770.0</v>
      </c>
      <c r="DU96" s="138">
        <v>43800.0</v>
      </c>
      <c r="DV96" s="138">
        <v>43831.0</v>
      </c>
      <c r="DW96" s="138">
        <v>43862.0</v>
      </c>
      <c r="DX96" s="138">
        <v>43891.0</v>
      </c>
      <c r="DY96" s="139">
        <v>43922.0</v>
      </c>
      <c r="DZ96" s="139">
        <v>43952.0</v>
      </c>
      <c r="EA96" s="139">
        <v>43983.0</v>
      </c>
      <c r="EB96" s="139">
        <v>44013.0</v>
      </c>
      <c r="EC96" s="139">
        <v>44044.0</v>
      </c>
      <c r="ED96" s="139">
        <v>44075.0</v>
      </c>
      <c r="EE96" s="139">
        <v>44105.0</v>
      </c>
      <c r="EF96" s="139">
        <v>44136.0</v>
      </c>
      <c r="EG96" s="139">
        <v>44166.0</v>
      </c>
      <c r="EH96" s="139">
        <v>44197.0</v>
      </c>
      <c r="EI96" s="139">
        <v>44228.0</v>
      </c>
      <c r="EJ96" s="139">
        <v>44256.0</v>
      </c>
      <c r="EK96" s="139">
        <v>44287.0</v>
      </c>
      <c r="EL96" s="139">
        <v>44317.0</v>
      </c>
      <c r="EM96" s="139">
        <v>44348.0</v>
      </c>
      <c r="EN96" s="139">
        <v>44378.0</v>
      </c>
      <c r="EO96" s="139">
        <v>44409.0</v>
      </c>
      <c r="EP96" s="139">
        <v>44440.0</v>
      </c>
      <c r="EQ96" s="139">
        <v>44470.0</v>
      </c>
      <c r="ER96" s="139">
        <v>44501.0</v>
      </c>
      <c r="ES96" s="139">
        <v>44531.0</v>
      </c>
      <c r="ET96" s="139">
        <v>44562.0</v>
      </c>
      <c r="EU96" s="139">
        <v>44593.0</v>
      </c>
      <c r="EV96" s="139">
        <v>44621.0</v>
      </c>
      <c r="EW96" s="139">
        <v>44652.0</v>
      </c>
      <c r="EX96" s="139">
        <v>44682.0</v>
      </c>
      <c r="EY96" s="139">
        <v>44713.0</v>
      </c>
      <c r="EZ96" s="139">
        <v>44743.0</v>
      </c>
      <c r="FA96" s="139">
        <v>44774.0</v>
      </c>
      <c r="FB96" s="139">
        <v>44805.0</v>
      </c>
      <c r="FC96" s="139">
        <v>44835.0</v>
      </c>
      <c r="FD96" s="139">
        <v>44866.0</v>
      </c>
      <c r="FE96" s="139">
        <v>44896.0</v>
      </c>
      <c r="FF96" s="139">
        <v>44927.0</v>
      </c>
      <c r="FG96" s="139">
        <v>44958.0</v>
      </c>
      <c r="FH96" s="139">
        <v>44986.0</v>
      </c>
      <c r="FI96" s="139">
        <v>45017.0</v>
      </c>
      <c r="FJ96" s="139">
        <v>45047.0</v>
      </c>
      <c r="FK96" s="139">
        <v>45078.0</v>
      </c>
      <c r="FL96" s="139">
        <v>45108.0</v>
      </c>
      <c r="FM96" s="139">
        <v>45139.0</v>
      </c>
      <c r="FN96" s="139">
        <v>45170.0</v>
      </c>
      <c r="FO96" s="139">
        <v>45200.0</v>
      </c>
      <c r="FP96" s="139">
        <v>45231.0</v>
      </c>
      <c r="FQ96" s="139">
        <v>45261.0</v>
      </c>
      <c r="FR96" s="139">
        <v>45292.0</v>
      </c>
      <c r="FS96" s="139">
        <v>45323.0</v>
      </c>
      <c r="FT96" s="139">
        <v>45352.0</v>
      </c>
      <c r="FU96" s="139">
        <v>45383.0</v>
      </c>
      <c r="FV96" s="139">
        <v>45413.0</v>
      </c>
      <c r="FW96" s="139">
        <v>45444.0</v>
      </c>
      <c r="FX96" s="139">
        <v>45474.0</v>
      </c>
      <c r="FY96" s="139">
        <v>45505.0</v>
      </c>
      <c r="FZ96" s="139">
        <v>45536.0</v>
      </c>
      <c r="GA96" s="139">
        <v>45566.0</v>
      </c>
      <c r="GB96" s="139">
        <v>45597.0</v>
      </c>
      <c r="GC96" s="139">
        <v>45627.0</v>
      </c>
      <c r="GD96" s="139">
        <v>45658.0</v>
      </c>
      <c r="GE96" s="139">
        <v>45689.0</v>
      </c>
      <c r="GF96" s="139">
        <v>45717.0</v>
      </c>
      <c r="GG96" s="139">
        <v>45748.0</v>
      </c>
      <c r="GH96" s="139">
        <v>45778.0</v>
      </c>
      <c r="GI96" s="139">
        <v>45809.0</v>
      </c>
      <c r="GJ96" s="139">
        <v>45839.0</v>
      </c>
    </row>
    <row r="97">
      <c r="A97" s="133" t="s">
        <v>1820</v>
      </c>
      <c r="B97" s="134">
        <v>43909.696238425924</v>
      </c>
      <c r="C97" s="135" t="str">
        <f t="shared" si="1"/>
        <v>2020/03/19</v>
      </c>
      <c r="D97" s="136" t="s">
        <v>33974</v>
      </c>
      <c r="E97" s="151">
        <v>0.0</v>
      </c>
      <c r="F97" s="138">
        <v>40179.0</v>
      </c>
      <c r="G97" s="138">
        <v>40210.0</v>
      </c>
      <c r="H97" s="138">
        <v>40238.0</v>
      </c>
      <c r="I97" s="138">
        <v>40269.0</v>
      </c>
      <c r="J97" s="138">
        <v>40299.0</v>
      </c>
      <c r="K97" s="138">
        <v>40330.0</v>
      </c>
      <c r="L97" s="138">
        <v>40360.0</v>
      </c>
      <c r="M97" s="138">
        <v>40391.0</v>
      </c>
      <c r="N97" s="138">
        <v>40422.0</v>
      </c>
      <c r="O97" s="138">
        <v>40452.0</v>
      </c>
      <c r="P97" s="138">
        <v>40483.0</v>
      </c>
      <c r="Q97" s="138">
        <v>40513.0</v>
      </c>
      <c r="R97" s="138">
        <v>40544.0</v>
      </c>
      <c r="S97" s="138">
        <v>40575.0</v>
      </c>
      <c r="T97" s="138">
        <v>40603.0</v>
      </c>
      <c r="U97" s="138">
        <v>40634.0</v>
      </c>
      <c r="V97" s="138">
        <v>40664.0</v>
      </c>
      <c r="W97" s="138">
        <v>40695.0</v>
      </c>
      <c r="X97" s="138">
        <v>40725.0</v>
      </c>
      <c r="Y97" s="138">
        <v>40756.0</v>
      </c>
      <c r="Z97" s="138">
        <v>40787.0</v>
      </c>
      <c r="AA97" s="138">
        <v>40817.0</v>
      </c>
      <c r="AB97" s="138">
        <v>40848.0</v>
      </c>
      <c r="AC97" s="138">
        <v>40878.0</v>
      </c>
      <c r="AD97" s="138">
        <v>40909.0</v>
      </c>
      <c r="AE97" s="138">
        <v>40940.0</v>
      </c>
      <c r="AF97" s="138">
        <v>40969.0</v>
      </c>
      <c r="AG97" s="138">
        <v>41000.0</v>
      </c>
      <c r="AH97" s="138">
        <v>41030.0</v>
      </c>
      <c r="AI97" s="138">
        <v>41061.0</v>
      </c>
      <c r="AJ97" s="138">
        <v>41091.0</v>
      </c>
      <c r="AK97" s="138">
        <v>41122.0</v>
      </c>
      <c r="AL97" s="138">
        <v>41153.0</v>
      </c>
      <c r="AM97" s="138">
        <v>41183.0</v>
      </c>
      <c r="AN97" s="138">
        <v>41214.0</v>
      </c>
      <c r="AO97" s="138">
        <v>41244.0</v>
      </c>
      <c r="AP97" s="138">
        <v>41275.0</v>
      </c>
      <c r="AQ97" s="138">
        <v>41306.0</v>
      </c>
      <c r="AR97" s="138">
        <v>41334.0</v>
      </c>
      <c r="AS97" s="138">
        <v>41365.0</v>
      </c>
      <c r="AT97" s="138">
        <v>41395.0</v>
      </c>
      <c r="AU97" s="138">
        <v>41426.0</v>
      </c>
      <c r="AV97" s="138">
        <v>41456.0</v>
      </c>
      <c r="AW97" s="138">
        <v>41487.0</v>
      </c>
      <c r="AX97" s="138">
        <v>41518.0</v>
      </c>
      <c r="AY97" s="138">
        <v>41548.0</v>
      </c>
      <c r="AZ97" s="138">
        <v>41579.0</v>
      </c>
      <c r="BA97" s="138">
        <v>41609.0</v>
      </c>
      <c r="BB97" s="138">
        <v>41640.0</v>
      </c>
      <c r="BC97" s="138">
        <v>41671.0</v>
      </c>
      <c r="BD97" s="138">
        <v>41699.0</v>
      </c>
      <c r="BE97" s="138">
        <v>41730.0</v>
      </c>
      <c r="BF97" s="138">
        <v>41760.0</v>
      </c>
      <c r="BG97" s="138">
        <v>41791.0</v>
      </c>
      <c r="BH97" s="138">
        <v>41821.0</v>
      </c>
      <c r="BI97" s="138">
        <v>41852.0</v>
      </c>
      <c r="BJ97" s="138">
        <v>41883.0</v>
      </c>
      <c r="BK97" s="138">
        <v>41913.0</v>
      </c>
      <c r="BL97" s="138">
        <v>41944.0</v>
      </c>
      <c r="BM97" s="138">
        <v>41974.0</v>
      </c>
      <c r="BN97" s="138">
        <v>42005.0</v>
      </c>
      <c r="BO97" s="138">
        <v>42036.0</v>
      </c>
      <c r="BP97" s="138">
        <v>42064.0</v>
      </c>
      <c r="BQ97" s="138">
        <v>42095.0</v>
      </c>
      <c r="BR97" s="138">
        <v>42125.0</v>
      </c>
      <c r="BS97" s="138">
        <v>42156.0</v>
      </c>
      <c r="BT97" s="138">
        <v>42186.0</v>
      </c>
      <c r="BU97" s="138">
        <v>42217.0</v>
      </c>
      <c r="BV97" s="138">
        <v>42248.0</v>
      </c>
      <c r="BW97" s="138">
        <v>42278.0</v>
      </c>
      <c r="BX97" s="138">
        <v>42309.0</v>
      </c>
      <c r="BY97" s="138">
        <v>42339.0</v>
      </c>
      <c r="BZ97" s="138">
        <v>42370.0</v>
      </c>
      <c r="CA97" s="138">
        <v>42401.0</v>
      </c>
      <c r="CB97" s="138">
        <v>42430.0</v>
      </c>
      <c r="CC97" s="138">
        <v>42461.0</v>
      </c>
      <c r="CD97" s="138">
        <v>42491.0</v>
      </c>
      <c r="CE97" s="138">
        <v>42522.0</v>
      </c>
      <c r="CF97" s="138">
        <v>42552.0</v>
      </c>
      <c r="CG97" s="138">
        <v>42583.0</v>
      </c>
      <c r="CH97" s="138">
        <v>42614.0</v>
      </c>
      <c r="CI97" s="138">
        <v>42644.0</v>
      </c>
      <c r="CJ97" s="138">
        <v>42675.0</v>
      </c>
      <c r="CK97" s="138">
        <v>42705.0</v>
      </c>
      <c r="CL97" s="138">
        <v>42736.0</v>
      </c>
      <c r="CM97" s="138">
        <v>42767.0</v>
      </c>
      <c r="CN97" s="138">
        <v>42795.0</v>
      </c>
      <c r="CO97" s="138">
        <v>42826.0</v>
      </c>
      <c r="CP97" s="138">
        <v>42856.0</v>
      </c>
      <c r="CQ97" s="138">
        <v>42887.0</v>
      </c>
      <c r="CR97" s="138">
        <v>42917.0</v>
      </c>
      <c r="CS97" s="138">
        <v>42948.0</v>
      </c>
      <c r="CT97" s="138">
        <v>42979.0</v>
      </c>
      <c r="CU97" s="138">
        <v>43009.0</v>
      </c>
      <c r="CV97" s="138">
        <v>43040.0</v>
      </c>
      <c r="CW97" s="138">
        <v>43070.0</v>
      </c>
      <c r="CX97" s="138">
        <v>43101.0</v>
      </c>
      <c r="CY97" s="138">
        <v>43132.0</v>
      </c>
      <c r="CZ97" s="138">
        <v>43160.0</v>
      </c>
      <c r="DA97" s="138">
        <v>43191.0</v>
      </c>
      <c r="DB97" s="138">
        <v>43221.0</v>
      </c>
      <c r="DC97" s="138">
        <v>43252.0</v>
      </c>
      <c r="DD97" s="138">
        <v>43282.0</v>
      </c>
      <c r="DE97" s="138">
        <v>43313.0</v>
      </c>
      <c r="DF97" s="138">
        <v>43344.0</v>
      </c>
      <c r="DG97" s="138">
        <v>43374.0</v>
      </c>
      <c r="DH97" s="138">
        <v>43405.0</v>
      </c>
      <c r="DI97" s="138">
        <v>43435.0</v>
      </c>
      <c r="DJ97" s="138">
        <v>43466.0</v>
      </c>
      <c r="DK97" s="138">
        <v>43497.0</v>
      </c>
      <c r="DL97" s="138">
        <v>43525.0</v>
      </c>
      <c r="DM97" s="138">
        <v>43556.0</v>
      </c>
      <c r="DN97" s="138">
        <v>43586.0</v>
      </c>
      <c r="DO97" s="138">
        <v>43617.0</v>
      </c>
      <c r="DP97" s="138">
        <v>43647.0</v>
      </c>
      <c r="DQ97" s="138">
        <v>43678.0</v>
      </c>
      <c r="DR97" s="138">
        <v>43709.0</v>
      </c>
      <c r="DS97" s="138">
        <v>43739.0</v>
      </c>
      <c r="DT97" s="138">
        <v>43770.0</v>
      </c>
      <c r="DU97" s="138">
        <v>43800.0</v>
      </c>
      <c r="DV97" s="138">
        <v>43831.0</v>
      </c>
      <c r="DW97" s="138">
        <v>43862.0</v>
      </c>
      <c r="DX97" s="138">
        <v>43891.0</v>
      </c>
      <c r="DY97" s="139">
        <v>43922.0</v>
      </c>
      <c r="DZ97" s="139">
        <v>43952.0</v>
      </c>
      <c r="EA97" s="139">
        <v>43983.0</v>
      </c>
      <c r="EB97" s="139">
        <v>44013.0</v>
      </c>
      <c r="EC97" s="139">
        <v>44044.0</v>
      </c>
      <c r="ED97" s="139">
        <v>44075.0</v>
      </c>
      <c r="EE97" s="139">
        <v>44105.0</v>
      </c>
      <c r="EF97" s="139">
        <v>44136.0</v>
      </c>
      <c r="EG97" s="139">
        <v>44166.0</v>
      </c>
      <c r="EH97" s="139">
        <v>44197.0</v>
      </c>
      <c r="EI97" s="139">
        <v>44228.0</v>
      </c>
      <c r="EJ97" s="139">
        <v>44256.0</v>
      </c>
      <c r="EK97" s="139">
        <v>44287.0</v>
      </c>
      <c r="EL97" s="139">
        <v>44317.0</v>
      </c>
      <c r="EM97" s="139">
        <v>44348.0</v>
      </c>
      <c r="EN97" s="139">
        <v>44378.0</v>
      </c>
      <c r="EO97" s="139">
        <v>44409.0</v>
      </c>
      <c r="EP97" s="139">
        <v>44440.0</v>
      </c>
      <c r="EQ97" s="139">
        <v>44470.0</v>
      </c>
      <c r="ER97" s="139">
        <v>44501.0</v>
      </c>
      <c r="ES97" s="139">
        <v>44531.0</v>
      </c>
      <c r="ET97" s="139">
        <v>44562.0</v>
      </c>
      <c r="EU97" s="139">
        <v>44593.0</v>
      </c>
      <c r="EV97" s="139">
        <v>44621.0</v>
      </c>
      <c r="EW97" s="139">
        <v>44652.0</v>
      </c>
      <c r="EX97" s="139">
        <v>44682.0</v>
      </c>
      <c r="EY97" s="139">
        <v>44713.0</v>
      </c>
      <c r="EZ97" s="139">
        <v>44743.0</v>
      </c>
      <c r="FA97" s="139">
        <v>44774.0</v>
      </c>
      <c r="FB97" s="139">
        <v>44805.0</v>
      </c>
      <c r="FC97" s="139">
        <v>44835.0</v>
      </c>
      <c r="FD97" s="139">
        <v>44866.0</v>
      </c>
      <c r="FE97" s="139">
        <v>44896.0</v>
      </c>
      <c r="FF97" s="139">
        <v>44927.0</v>
      </c>
      <c r="FG97" s="139">
        <v>44958.0</v>
      </c>
      <c r="FH97" s="139">
        <v>44986.0</v>
      </c>
      <c r="FI97" s="139">
        <v>45017.0</v>
      </c>
      <c r="FJ97" s="139">
        <v>45047.0</v>
      </c>
      <c r="FK97" s="139">
        <v>45078.0</v>
      </c>
      <c r="FL97" s="139">
        <v>45108.0</v>
      </c>
      <c r="FM97" s="139">
        <v>45139.0</v>
      </c>
      <c r="FN97" s="139">
        <v>45170.0</v>
      </c>
      <c r="FO97" s="139">
        <v>45200.0</v>
      </c>
      <c r="FP97" s="139">
        <v>45231.0</v>
      </c>
      <c r="FQ97" s="139">
        <v>45261.0</v>
      </c>
      <c r="FR97" s="139">
        <v>45292.0</v>
      </c>
      <c r="FS97" s="139">
        <v>45323.0</v>
      </c>
      <c r="FT97" s="139">
        <v>45352.0</v>
      </c>
      <c r="FU97" s="139">
        <v>45383.0</v>
      </c>
      <c r="FV97" s="139">
        <v>45413.0</v>
      </c>
      <c r="FW97" s="139">
        <v>45444.0</v>
      </c>
      <c r="FX97" s="139">
        <v>45474.0</v>
      </c>
      <c r="FY97" s="139">
        <v>45505.0</v>
      </c>
      <c r="FZ97" s="139">
        <v>45536.0</v>
      </c>
      <c r="GA97" s="139">
        <v>45566.0</v>
      </c>
      <c r="GB97" s="139">
        <v>45597.0</v>
      </c>
      <c r="GC97" s="139">
        <v>45627.0</v>
      </c>
      <c r="GD97" s="139">
        <v>45658.0</v>
      </c>
      <c r="GE97" s="139">
        <v>45689.0</v>
      </c>
      <c r="GF97" s="139">
        <v>45717.0</v>
      </c>
      <c r="GG97" s="139">
        <v>45748.0</v>
      </c>
      <c r="GH97" s="139">
        <v>45778.0</v>
      </c>
      <c r="GI97" s="139">
        <v>45809.0</v>
      </c>
      <c r="GJ97" s="139">
        <v>45839.0</v>
      </c>
    </row>
    <row r="98">
      <c r="A98" s="133" t="s">
        <v>1783</v>
      </c>
      <c r="B98" s="134">
        <v>43915.70940972222</v>
      </c>
      <c r="C98" s="135" t="str">
        <f t="shared" si="1"/>
        <v>2020/03/25</v>
      </c>
      <c r="D98" s="136" t="s">
        <v>34293</v>
      </c>
      <c r="E98" s="151">
        <v>0.0</v>
      </c>
      <c r="F98" s="138">
        <v>40179.0</v>
      </c>
      <c r="G98" s="138">
        <v>40210.0</v>
      </c>
      <c r="H98" s="138">
        <v>40238.0</v>
      </c>
      <c r="I98" s="138">
        <v>40269.0</v>
      </c>
      <c r="J98" s="138">
        <v>40299.0</v>
      </c>
      <c r="K98" s="138">
        <v>40330.0</v>
      </c>
      <c r="L98" s="138">
        <v>40360.0</v>
      </c>
      <c r="M98" s="138">
        <v>40391.0</v>
      </c>
      <c r="N98" s="138">
        <v>40422.0</v>
      </c>
      <c r="O98" s="138">
        <v>40452.0</v>
      </c>
      <c r="P98" s="138">
        <v>40483.0</v>
      </c>
      <c r="Q98" s="138">
        <v>40513.0</v>
      </c>
      <c r="R98" s="138">
        <v>40544.0</v>
      </c>
      <c r="S98" s="138">
        <v>40575.0</v>
      </c>
      <c r="T98" s="138">
        <v>40603.0</v>
      </c>
      <c r="U98" s="138">
        <v>40634.0</v>
      </c>
      <c r="V98" s="138">
        <v>40664.0</v>
      </c>
      <c r="W98" s="138">
        <v>40695.0</v>
      </c>
      <c r="X98" s="138">
        <v>40725.0</v>
      </c>
      <c r="Y98" s="138">
        <v>40756.0</v>
      </c>
      <c r="Z98" s="138">
        <v>40787.0</v>
      </c>
      <c r="AA98" s="138">
        <v>40817.0</v>
      </c>
      <c r="AB98" s="138">
        <v>40848.0</v>
      </c>
      <c r="AC98" s="138">
        <v>40878.0</v>
      </c>
      <c r="AD98" s="138">
        <v>40909.0</v>
      </c>
      <c r="AE98" s="138">
        <v>40940.0</v>
      </c>
      <c r="AF98" s="138">
        <v>40969.0</v>
      </c>
      <c r="AG98" s="138">
        <v>41000.0</v>
      </c>
      <c r="AH98" s="138">
        <v>41030.0</v>
      </c>
      <c r="AI98" s="138">
        <v>41061.0</v>
      </c>
      <c r="AJ98" s="138">
        <v>41091.0</v>
      </c>
      <c r="AK98" s="138">
        <v>41122.0</v>
      </c>
      <c r="AL98" s="138">
        <v>41153.0</v>
      </c>
      <c r="AM98" s="138">
        <v>41183.0</v>
      </c>
      <c r="AN98" s="138">
        <v>41214.0</v>
      </c>
      <c r="AO98" s="138">
        <v>41244.0</v>
      </c>
      <c r="AP98" s="138">
        <v>41275.0</v>
      </c>
      <c r="AQ98" s="138">
        <v>41306.0</v>
      </c>
      <c r="AR98" s="138">
        <v>41334.0</v>
      </c>
      <c r="AS98" s="138">
        <v>41365.0</v>
      </c>
      <c r="AT98" s="138">
        <v>41395.0</v>
      </c>
      <c r="AU98" s="138">
        <v>41426.0</v>
      </c>
      <c r="AV98" s="138">
        <v>41456.0</v>
      </c>
      <c r="AW98" s="138">
        <v>41487.0</v>
      </c>
      <c r="AX98" s="138">
        <v>41518.0</v>
      </c>
      <c r="AY98" s="138">
        <v>41548.0</v>
      </c>
      <c r="AZ98" s="138">
        <v>41579.0</v>
      </c>
      <c r="BA98" s="138">
        <v>41609.0</v>
      </c>
      <c r="BB98" s="138">
        <v>41640.0</v>
      </c>
      <c r="BC98" s="138">
        <v>41671.0</v>
      </c>
      <c r="BD98" s="138">
        <v>41699.0</v>
      </c>
      <c r="BE98" s="138">
        <v>41730.0</v>
      </c>
      <c r="BF98" s="138">
        <v>41760.0</v>
      </c>
      <c r="BG98" s="138">
        <v>41791.0</v>
      </c>
      <c r="BH98" s="138">
        <v>41821.0</v>
      </c>
      <c r="BI98" s="138">
        <v>41852.0</v>
      </c>
      <c r="BJ98" s="138">
        <v>41883.0</v>
      </c>
      <c r="BK98" s="138">
        <v>41913.0</v>
      </c>
      <c r="BL98" s="138">
        <v>41944.0</v>
      </c>
      <c r="BM98" s="138">
        <v>41974.0</v>
      </c>
      <c r="BN98" s="138">
        <v>42005.0</v>
      </c>
      <c r="BO98" s="138">
        <v>42036.0</v>
      </c>
      <c r="BP98" s="138">
        <v>42064.0</v>
      </c>
      <c r="BQ98" s="138">
        <v>42095.0</v>
      </c>
      <c r="BR98" s="138">
        <v>42125.0</v>
      </c>
      <c r="BS98" s="138">
        <v>42156.0</v>
      </c>
      <c r="BT98" s="138">
        <v>42186.0</v>
      </c>
      <c r="BU98" s="138">
        <v>42217.0</v>
      </c>
      <c r="BV98" s="138">
        <v>42248.0</v>
      </c>
      <c r="BW98" s="138">
        <v>42278.0</v>
      </c>
      <c r="BX98" s="138">
        <v>42309.0</v>
      </c>
      <c r="BY98" s="138">
        <v>42339.0</v>
      </c>
      <c r="BZ98" s="138">
        <v>42370.0</v>
      </c>
      <c r="CA98" s="138">
        <v>42401.0</v>
      </c>
      <c r="CB98" s="138">
        <v>42430.0</v>
      </c>
      <c r="CC98" s="138">
        <v>42461.0</v>
      </c>
      <c r="CD98" s="138">
        <v>42491.0</v>
      </c>
      <c r="CE98" s="138">
        <v>42522.0</v>
      </c>
      <c r="CF98" s="138">
        <v>42552.0</v>
      </c>
      <c r="CG98" s="138">
        <v>42583.0</v>
      </c>
      <c r="CH98" s="138">
        <v>42614.0</v>
      </c>
      <c r="CI98" s="138">
        <v>42644.0</v>
      </c>
      <c r="CJ98" s="138">
        <v>42675.0</v>
      </c>
      <c r="CK98" s="138">
        <v>42705.0</v>
      </c>
      <c r="CL98" s="138">
        <v>42736.0</v>
      </c>
      <c r="CM98" s="138">
        <v>42767.0</v>
      </c>
      <c r="CN98" s="138">
        <v>42795.0</v>
      </c>
      <c r="CO98" s="138">
        <v>42826.0</v>
      </c>
      <c r="CP98" s="138">
        <v>42856.0</v>
      </c>
      <c r="CQ98" s="138">
        <v>42887.0</v>
      </c>
      <c r="CR98" s="138">
        <v>42917.0</v>
      </c>
      <c r="CS98" s="138">
        <v>42948.0</v>
      </c>
      <c r="CT98" s="138">
        <v>42979.0</v>
      </c>
      <c r="CU98" s="138">
        <v>43009.0</v>
      </c>
      <c r="CV98" s="138">
        <v>43040.0</v>
      </c>
      <c r="CW98" s="138">
        <v>43070.0</v>
      </c>
      <c r="CX98" s="138">
        <v>43101.0</v>
      </c>
      <c r="CY98" s="138">
        <v>43132.0</v>
      </c>
      <c r="CZ98" s="138">
        <v>43160.0</v>
      </c>
      <c r="DA98" s="138">
        <v>43191.0</v>
      </c>
      <c r="DB98" s="138">
        <v>43221.0</v>
      </c>
      <c r="DC98" s="138">
        <v>43252.0</v>
      </c>
      <c r="DD98" s="138">
        <v>43282.0</v>
      </c>
      <c r="DE98" s="138">
        <v>43313.0</v>
      </c>
      <c r="DF98" s="138">
        <v>43344.0</v>
      </c>
      <c r="DG98" s="138">
        <v>43374.0</v>
      </c>
      <c r="DH98" s="138">
        <v>43405.0</v>
      </c>
      <c r="DI98" s="138">
        <v>43435.0</v>
      </c>
      <c r="DJ98" s="138">
        <v>43466.0</v>
      </c>
      <c r="DK98" s="138">
        <v>43497.0</v>
      </c>
      <c r="DL98" s="138">
        <v>43525.0</v>
      </c>
      <c r="DM98" s="138">
        <v>43556.0</v>
      </c>
      <c r="DN98" s="138">
        <v>43586.0</v>
      </c>
      <c r="DO98" s="138">
        <v>43617.0</v>
      </c>
      <c r="DP98" s="138">
        <v>43647.0</v>
      </c>
      <c r="DQ98" s="138">
        <v>43678.0</v>
      </c>
      <c r="DR98" s="138">
        <v>43709.0</v>
      </c>
      <c r="DS98" s="138">
        <v>43739.0</v>
      </c>
      <c r="DT98" s="138">
        <v>43770.0</v>
      </c>
      <c r="DU98" s="138">
        <v>43800.0</v>
      </c>
      <c r="DV98" s="138">
        <v>43831.0</v>
      </c>
      <c r="DW98" s="138">
        <v>43862.0</v>
      </c>
      <c r="DX98" s="138">
        <v>43891.0</v>
      </c>
      <c r="DY98" s="139">
        <v>43922.0</v>
      </c>
      <c r="DZ98" s="139">
        <v>43952.0</v>
      </c>
      <c r="EA98" s="139">
        <v>43983.0</v>
      </c>
      <c r="EB98" s="139">
        <v>44013.0</v>
      </c>
      <c r="EC98" s="139">
        <v>44044.0</v>
      </c>
      <c r="ED98" s="139">
        <v>44075.0</v>
      </c>
      <c r="EE98" s="139">
        <v>44105.0</v>
      </c>
      <c r="EF98" s="139">
        <v>44136.0</v>
      </c>
      <c r="EG98" s="139">
        <v>44166.0</v>
      </c>
      <c r="EH98" s="139">
        <v>44197.0</v>
      </c>
      <c r="EI98" s="139">
        <v>44228.0</v>
      </c>
      <c r="EJ98" s="139">
        <v>44256.0</v>
      </c>
      <c r="EK98" s="139">
        <v>44287.0</v>
      </c>
      <c r="EL98" s="139">
        <v>44317.0</v>
      </c>
      <c r="EM98" s="139">
        <v>44348.0</v>
      </c>
      <c r="EN98" s="139">
        <v>44378.0</v>
      </c>
      <c r="EO98" s="139">
        <v>44409.0</v>
      </c>
      <c r="EP98" s="139">
        <v>44440.0</v>
      </c>
      <c r="EQ98" s="139">
        <v>44470.0</v>
      </c>
      <c r="ER98" s="139">
        <v>44501.0</v>
      </c>
      <c r="ES98" s="139">
        <v>44531.0</v>
      </c>
      <c r="ET98" s="139">
        <v>44562.0</v>
      </c>
      <c r="EU98" s="139">
        <v>44593.0</v>
      </c>
      <c r="EV98" s="139">
        <v>44621.0</v>
      </c>
      <c r="EW98" s="139">
        <v>44652.0</v>
      </c>
      <c r="EX98" s="139">
        <v>44682.0</v>
      </c>
      <c r="EY98" s="139">
        <v>44713.0</v>
      </c>
      <c r="EZ98" s="139">
        <v>44743.0</v>
      </c>
      <c r="FA98" s="139">
        <v>44774.0</v>
      </c>
      <c r="FB98" s="139">
        <v>44805.0</v>
      </c>
      <c r="FC98" s="139">
        <v>44835.0</v>
      </c>
      <c r="FD98" s="139">
        <v>44866.0</v>
      </c>
      <c r="FE98" s="139">
        <v>44896.0</v>
      </c>
      <c r="FF98" s="139">
        <v>44927.0</v>
      </c>
      <c r="FG98" s="139">
        <v>44958.0</v>
      </c>
      <c r="FH98" s="139">
        <v>44986.0</v>
      </c>
      <c r="FI98" s="139">
        <v>45017.0</v>
      </c>
      <c r="FJ98" s="139">
        <v>45047.0</v>
      </c>
      <c r="FK98" s="139">
        <v>45078.0</v>
      </c>
      <c r="FL98" s="139">
        <v>45108.0</v>
      </c>
      <c r="FM98" s="139">
        <v>45139.0</v>
      </c>
      <c r="FN98" s="139">
        <v>45170.0</v>
      </c>
      <c r="FO98" s="139">
        <v>45200.0</v>
      </c>
      <c r="FP98" s="139">
        <v>45231.0</v>
      </c>
      <c r="FQ98" s="139">
        <v>45261.0</v>
      </c>
      <c r="FR98" s="139">
        <v>45292.0</v>
      </c>
      <c r="FS98" s="139">
        <v>45323.0</v>
      </c>
      <c r="FT98" s="139">
        <v>45352.0</v>
      </c>
      <c r="FU98" s="139">
        <v>45383.0</v>
      </c>
      <c r="FV98" s="139">
        <v>45413.0</v>
      </c>
      <c r="FW98" s="139">
        <v>45444.0</v>
      </c>
      <c r="FX98" s="139">
        <v>45474.0</v>
      </c>
      <c r="FY98" s="139">
        <v>45505.0</v>
      </c>
      <c r="FZ98" s="139">
        <v>45536.0</v>
      </c>
      <c r="GA98" s="139">
        <v>45566.0</v>
      </c>
      <c r="GB98" s="139">
        <v>45597.0</v>
      </c>
      <c r="GC98" s="139">
        <v>45627.0</v>
      </c>
      <c r="GD98" s="139">
        <v>45658.0</v>
      </c>
      <c r="GE98" s="139">
        <v>45689.0</v>
      </c>
      <c r="GF98" s="139">
        <v>45717.0</v>
      </c>
      <c r="GG98" s="139">
        <v>45748.0</v>
      </c>
      <c r="GH98" s="139">
        <v>45778.0</v>
      </c>
      <c r="GI98" s="139">
        <v>45809.0</v>
      </c>
      <c r="GJ98" s="139">
        <v>45839.0</v>
      </c>
    </row>
    <row r="99">
      <c r="A99" s="133" t="s">
        <v>1736</v>
      </c>
      <c r="B99" s="134">
        <v>44028.68168981482</v>
      </c>
      <c r="C99" s="135" t="str">
        <f t="shared" si="1"/>
        <v>2020/07/16</v>
      </c>
      <c r="D99" s="136" t="s">
        <v>34294</v>
      </c>
      <c r="E99" s="151">
        <v>0.0</v>
      </c>
      <c r="F99" s="138">
        <v>40179.0</v>
      </c>
      <c r="G99" s="138">
        <v>40210.0</v>
      </c>
      <c r="H99" s="138">
        <v>40238.0</v>
      </c>
      <c r="I99" s="138">
        <v>40269.0</v>
      </c>
      <c r="J99" s="138">
        <v>40299.0</v>
      </c>
      <c r="K99" s="138">
        <v>40330.0</v>
      </c>
      <c r="L99" s="138">
        <v>40360.0</v>
      </c>
      <c r="M99" s="138">
        <v>40391.0</v>
      </c>
      <c r="N99" s="138">
        <v>40422.0</v>
      </c>
      <c r="O99" s="138">
        <v>40452.0</v>
      </c>
      <c r="P99" s="138">
        <v>40483.0</v>
      </c>
      <c r="Q99" s="138">
        <v>40513.0</v>
      </c>
      <c r="R99" s="138">
        <v>40544.0</v>
      </c>
      <c r="S99" s="138">
        <v>40575.0</v>
      </c>
      <c r="T99" s="138">
        <v>40603.0</v>
      </c>
      <c r="U99" s="138">
        <v>40634.0</v>
      </c>
      <c r="V99" s="138">
        <v>40664.0</v>
      </c>
      <c r="W99" s="138">
        <v>40695.0</v>
      </c>
      <c r="X99" s="138">
        <v>40725.0</v>
      </c>
      <c r="Y99" s="138">
        <v>40756.0</v>
      </c>
      <c r="Z99" s="138">
        <v>40787.0</v>
      </c>
      <c r="AA99" s="138">
        <v>40817.0</v>
      </c>
      <c r="AB99" s="138">
        <v>40848.0</v>
      </c>
      <c r="AC99" s="138">
        <v>40878.0</v>
      </c>
      <c r="AD99" s="138">
        <v>40909.0</v>
      </c>
      <c r="AE99" s="138">
        <v>40940.0</v>
      </c>
      <c r="AF99" s="138">
        <v>40969.0</v>
      </c>
      <c r="AG99" s="138">
        <v>41000.0</v>
      </c>
      <c r="AH99" s="138">
        <v>41030.0</v>
      </c>
      <c r="AI99" s="138">
        <v>41061.0</v>
      </c>
      <c r="AJ99" s="138">
        <v>41091.0</v>
      </c>
      <c r="AK99" s="138">
        <v>41122.0</v>
      </c>
      <c r="AL99" s="138">
        <v>41153.0</v>
      </c>
      <c r="AM99" s="138">
        <v>41183.0</v>
      </c>
      <c r="AN99" s="138">
        <v>41214.0</v>
      </c>
      <c r="AO99" s="138">
        <v>41244.0</v>
      </c>
      <c r="AP99" s="138">
        <v>41275.0</v>
      </c>
      <c r="AQ99" s="138">
        <v>41306.0</v>
      </c>
      <c r="AR99" s="138">
        <v>41334.0</v>
      </c>
      <c r="AS99" s="138">
        <v>41365.0</v>
      </c>
      <c r="AT99" s="138">
        <v>41395.0</v>
      </c>
      <c r="AU99" s="138">
        <v>41426.0</v>
      </c>
      <c r="AV99" s="138">
        <v>41456.0</v>
      </c>
      <c r="AW99" s="138">
        <v>41487.0</v>
      </c>
      <c r="AX99" s="138">
        <v>41518.0</v>
      </c>
      <c r="AY99" s="138">
        <v>41548.0</v>
      </c>
      <c r="AZ99" s="138">
        <v>41579.0</v>
      </c>
      <c r="BA99" s="138">
        <v>41609.0</v>
      </c>
      <c r="BB99" s="138">
        <v>41640.0</v>
      </c>
      <c r="BC99" s="138">
        <v>41671.0</v>
      </c>
      <c r="BD99" s="138">
        <v>41699.0</v>
      </c>
      <c r="BE99" s="138">
        <v>41730.0</v>
      </c>
      <c r="BF99" s="138">
        <v>41760.0</v>
      </c>
      <c r="BG99" s="138">
        <v>41791.0</v>
      </c>
      <c r="BH99" s="138">
        <v>41821.0</v>
      </c>
      <c r="BI99" s="138">
        <v>41852.0</v>
      </c>
      <c r="BJ99" s="138">
        <v>41883.0</v>
      </c>
      <c r="BK99" s="138">
        <v>41913.0</v>
      </c>
      <c r="BL99" s="138">
        <v>41944.0</v>
      </c>
      <c r="BM99" s="138">
        <v>41974.0</v>
      </c>
      <c r="BN99" s="138">
        <v>42005.0</v>
      </c>
      <c r="BO99" s="138">
        <v>42036.0</v>
      </c>
      <c r="BP99" s="138">
        <v>42064.0</v>
      </c>
      <c r="BQ99" s="138">
        <v>42095.0</v>
      </c>
      <c r="BR99" s="138">
        <v>42125.0</v>
      </c>
      <c r="BS99" s="138">
        <v>42156.0</v>
      </c>
      <c r="BT99" s="138">
        <v>42186.0</v>
      </c>
      <c r="BU99" s="138">
        <v>42217.0</v>
      </c>
      <c r="BV99" s="138">
        <v>42248.0</v>
      </c>
      <c r="BW99" s="138">
        <v>42278.0</v>
      </c>
      <c r="BX99" s="138">
        <v>42309.0</v>
      </c>
      <c r="BY99" s="138">
        <v>42339.0</v>
      </c>
      <c r="BZ99" s="138">
        <v>42370.0</v>
      </c>
      <c r="CA99" s="138">
        <v>42401.0</v>
      </c>
      <c r="CB99" s="138">
        <v>42430.0</v>
      </c>
      <c r="CC99" s="138">
        <v>42461.0</v>
      </c>
      <c r="CD99" s="138">
        <v>42491.0</v>
      </c>
      <c r="CE99" s="138">
        <v>42522.0</v>
      </c>
      <c r="CF99" s="138">
        <v>42552.0</v>
      </c>
      <c r="CG99" s="138">
        <v>42583.0</v>
      </c>
      <c r="CH99" s="138">
        <v>42614.0</v>
      </c>
      <c r="CI99" s="138">
        <v>42644.0</v>
      </c>
      <c r="CJ99" s="138">
        <v>42675.0</v>
      </c>
      <c r="CK99" s="138">
        <v>42705.0</v>
      </c>
      <c r="CL99" s="138">
        <v>42736.0</v>
      </c>
      <c r="CM99" s="138">
        <v>42767.0</v>
      </c>
      <c r="CN99" s="138">
        <v>42795.0</v>
      </c>
      <c r="CO99" s="138">
        <v>42826.0</v>
      </c>
      <c r="CP99" s="138">
        <v>42856.0</v>
      </c>
      <c r="CQ99" s="138">
        <v>42887.0</v>
      </c>
      <c r="CR99" s="138">
        <v>42917.0</v>
      </c>
      <c r="CS99" s="138">
        <v>42948.0</v>
      </c>
      <c r="CT99" s="138">
        <v>42979.0</v>
      </c>
      <c r="CU99" s="138">
        <v>43009.0</v>
      </c>
      <c r="CV99" s="138">
        <v>43040.0</v>
      </c>
      <c r="CW99" s="138">
        <v>43070.0</v>
      </c>
      <c r="CX99" s="138">
        <v>43101.0</v>
      </c>
      <c r="CY99" s="138">
        <v>43132.0</v>
      </c>
      <c r="CZ99" s="138">
        <v>43160.0</v>
      </c>
      <c r="DA99" s="138">
        <v>43191.0</v>
      </c>
      <c r="DB99" s="138">
        <v>43221.0</v>
      </c>
      <c r="DC99" s="138">
        <v>43252.0</v>
      </c>
      <c r="DD99" s="138">
        <v>43282.0</v>
      </c>
      <c r="DE99" s="138">
        <v>43313.0</v>
      </c>
      <c r="DF99" s="138">
        <v>43344.0</v>
      </c>
      <c r="DG99" s="138">
        <v>43374.0</v>
      </c>
      <c r="DH99" s="138">
        <v>43405.0</v>
      </c>
      <c r="DI99" s="138">
        <v>43435.0</v>
      </c>
      <c r="DJ99" s="138">
        <v>43466.0</v>
      </c>
      <c r="DK99" s="138">
        <v>43497.0</v>
      </c>
      <c r="DL99" s="138">
        <v>43525.0</v>
      </c>
      <c r="DM99" s="138">
        <v>43556.0</v>
      </c>
      <c r="DN99" s="138">
        <v>43586.0</v>
      </c>
      <c r="DO99" s="138">
        <v>43617.0</v>
      </c>
      <c r="DP99" s="138">
        <v>43647.0</v>
      </c>
      <c r="DQ99" s="138">
        <v>43678.0</v>
      </c>
      <c r="DR99" s="138">
        <v>43709.0</v>
      </c>
      <c r="DS99" s="138">
        <v>43739.0</v>
      </c>
      <c r="DT99" s="138">
        <v>43770.0</v>
      </c>
      <c r="DU99" s="138">
        <v>43800.0</v>
      </c>
      <c r="DV99" s="138">
        <v>43831.0</v>
      </c>
      <c r="DW99" s="138">
        <v>43862.0</v>
      </c>
      <c r="DX99" s="138">
        <v>43891.0</v>
      </c>
      <c r="DY99" s="138">
        <v>43922.0</v>
      </c>
      <c r="DZ99" s="138">
        <v>43952.0</v>
      </c>
      <c r="EA99" s="138">
        <v>43983.0</v>
      </c>
      <c r="EB99" s="138">
        <v>44013.0</v>
      </c>
      <c r="EC99" s="139">
        <v>44044.0</v>
      </c>
      <c r="ED99" s="139">
        <v>44075.0</v>
      </c>
      <c r="EE99" s="139">
        <v>44105.0</v>
      </c>
      <c r="EF99" s="139">
        <v>44136.0</v>
      </c>
      <c r="EG99" s="139">
        <v>44166.0</v>
      </c>
      <c r="EH99" s="139">
        <v>44197.0</v>
      </c>
      <c r="EI99" s="139">
        <v>44228.0</v>
      </c>
      <c r="EJ99" s="139">
        <v>44256.0</v>
      </c>
      <c r="EK99" s="139">
        <v>44287.0</v>
      </c>
      <c r="EL99" s="139">
        <v>44317.0</v>
      </c>
      <c r="EM99" s="139">
        <v>44348.0</v>
      </c>
      <c r="EN99" s="139">
        <v>44378.0</v>
      </c>
      <c r="EO99" s="139">
        <v>44409.0</v>
      </c>
      <c r="EP99" s="139">
        <v>44440.0</v>
      </c>
      <c r="EQ99" s="139">
        <v>44470.0</v>
      </c>
      <c r="ER99" s="139">
        <v>44501.0</v>
      </c>
      <c r="ES99" s="139">
        <v>44531.0</v>
      </c>
      <c r="ET99" s="139">
        <v>44562.0</v>
      </c>
      <c r="EU99" s="139">
        <v>44593.0</v>
      </c>
      <c r="EV99" s="139">
        <v>44621.0</v>
      </c>
      <c r="EW99" s="139">
        <v>44652.0</v>
      </c>
      <c r="EX99" s="139">
        <v>44682.0</v>
      </c>
      <c r="EY99" s="139">
        <v>44713.0</v>
      </c>
      <c r="EZ99" s="139">
        <v>44743.0</v>
      </c>
      <c r="FA99" s="139">
        <v>44774.0</v>
      </c>
      <c r="FB99" s="139">
        <v>44805.0</v>
      </c>
      <c r="FC99" s="139">
        <v>44835.0</v>
      </c>
      <c r="FD99" s="139">
        <v>44866.0</v>
      </c>
      <c r="FE99" s="139">
        <v>44896.0</v>
      </c>
      <c r="FF99" s="139">
        <v>44927.0</v>
      </c>
      <c r="FG99" s="139">
        <v>44958.0</v>
      </c>
      <c r="FH99" s="139">
        <v>44986.0</v>
      </c>
      <c r="FI99" s="139">
        <v>45017.0</v>
      </c>
      <c r="FJ99" s="139">
        <v>45047.0</v>
      </c>
      <c r="FK99" s="139">
        <v>45078.0</v>
      </c>
      <c r="FL99" s="139">
        <v>45108.0</v>
      </c>
      <c r="FM99" s="139">
        <v>45139.0</v>
      </c>
      <c r="FN99" s="139">
        <v>45170.0</v>
      </c>
      <c r="FO99" s="139">
        <v>45200.0</v>
      </c>
      <c r="FP99" s="139">
        <v>45231.0</v>
      </c>
      <c r="FQ99" s="139">
        <v>45261.0</v>
      </c>
      <c r="FR99" s="139">
        <v>45292.0</v>
      </c>
      <c r="FS99" s="139">
        <v>45323.0</v>
      </c>
      <c r="FT99" s="139">
        <v>45352.0</v>
      </c>
      <c r="FU99" s="139">
        <v>45383.0</v>
      </c>
      <c r="FV99" s="139">
        <v>45413.0</v>
      </c>
      <c r="FW99" s="139">
        <v>45444.0</v>
      </c>
      <c r="FX99" s="139">
        <v>45474.0</v>
      </c>
      <c r="FY99" s="139">
        <v>45505.0</v>
      </c>
      <c r="FZ99" s="139">
        <v>45536.0</v>
      </c>
      <c r="GA99" s="139">
        <v>45566.0</v>
      </c>
      <c r="GB99" s="139">
        <v>45597.0</v>
      </c>
      <c r="GC99" s="139">
        <v>45627.0</v>
      </c>
      <c r="GD99" s="139">
        <v>45658.0</v>
      </c>
      <c r="GE99" s="139">
        <v>45689.0</v>
      </c>
      <c r="GF99" s="139">
        <v>45717.0</v>
      </c>
      <c r="GG99" s="139">
        <v>45748.0</v>
      </c>
      <c r="GH99" s="139">
        <v>45778.0</v>
      </c>
      <c r="GI99" s="139">
        <v>45809.0</v>
      </c>
      <c r="GJ99" s="139">
        <v>45839.0</v>
      </c>
    </row>
    <row r="100">
      <c r="A100" s="133" t="s">
        <v>1514</v>
      </c>
      <c r="B100" s="134">
        <v>44112.6574537037</v>
      </c>
      <c r="C100" s="135" t="str">
        <f t="shared" si="1"/>
        <v>2020/10/08</v>
      </c>
      <c r="D100" s="136" t="s">
        <v>33912</v>
      </c>
      <c r="E100" s="151">
        <v>0.0</v>
      </c>
      <c r="F100" s="138">
        <v>40179.0</v>
      </c>
      <c r="G100" s="138">
        <v>40210.0</v>
      </c>
      <c r="H100" s="138">
        <v>40238.0</v>
      </c>
      <c r="I100" s="138">
        <v>40269.0</v>
      </c>
      <c r="J100" s="138">
        <v>40299.0</v>
      </c>
      <c r="K100" s="138">
        <v>40330.0</v>
      </c>
      <c r="L100" s="138">
        <v>40360.0</v>
      </c>
      <c r="M100" s="138">
        <v>40391.0</v>
      </c>
      <c r="N100" s="138">
        <v>40422.0</v>
      </c>
      <c r="O100" s="138">
        <v>40452.0</v>
      </c>
      <c r="P100" s="138">
        <v>40483.0</v>
      </c>
      <c r="Q100" s="138">
        <v>40513.0</v>
      </c>
      <c r="R100" s="138">
        <v>40544.0</v>
      </c>
      <c r="S100" s="138">
        <v>40575.0</v>
      </c>
      <c r="T100" s="138">
        <v>40603.0</v>
      </c>
      <c r="U100" s="138">
        <v>40634.0</v>
      </c>
      <c r="V100" s="138">
        <v>40664.0</v>
      </c>
      <c r="W100" s="138">
        <v>40695.0</v>
      </c>
      <c r="X100" s="138">
        <v>40725.0</v>
      </c>
      <c r="Y100" s="138">
        <v>40756.0</v>
      </c>
      <c r="Z100" s="138">
        <v>40787.0</v>
      </c>
      <c r="AA100" s="138">
        <v>40817.0</v>
      </c>
      <c r="AB100" s="138">
        <v>40848.0</v>
      </c>
      <c r="AC100" s="138">
        <v>40878.0</v>
      </c>
      <c r="AD100" s="138">
        <v>40909.0</v>
      </c>
      <c r="AE100" s="138">
        <v>40940.0</v>
      </c>
      <c r="AF100" s="138">
        <v>40969.0</v>
      </c>
      <c r="AG100" s="138">
        <v>41000.0</v>
      </c>
      <c r="AH100" s="138">
        <v>41030.0</v>
      </c>
      <c r="AI100" s="138">
        <v>41061.0</v>
      </c>
      <c r="AJ100" s="138">
        <v>41091.0</v>
      </c>
      <c r="AK100" s="138">
        <v>41122.0</v>
      </c>
      <c r="AL100" s="138">
        <v>41153.0</v>
      </c>
      <c r="AM100" s="138">
        <v>41183.0</v>
      </c>
      <c r="AN100" s="138">
        <v>41214.0</v>
      </c>
      <c r="AO100" s="138">
        <v>41244.0</v>
      </c>
      <c r="AP100" s="138">
        <v>41275.0</v>
      </c>
      <c r="AQ100" s="138">
        <v>41306.0</v>
      </c>
      <c r="AR100" s="138">
        <v>41334.0</v>
      </c>
      <c r="AS100" s="138">
        <v>41365.0</v>
      </c>
      <c r="AT100" s="138">
        <v>41395.0</v>
      </c>
      <c r="AU100" s="138">
        <v>41426.0</v>
      </c>
      <c r="AV100" s="138">
        <v>41456.0</v>
      </c>
      <c r="AW100" s="138">
        <v>41487.0</v>
      </c>
      <c r="AX100" s="138">
        <v>41518.0</v>
      </c>
      <c r="AY100" s="138">
        <v>41548.0</v>
      </c>
      <c r="AZ100" s="138">
        <v>41579.0</v>
      </c>
      <c r="BA100" s="138">
        <v>41609.0</v>
      </c>
      <c r="BB100" s="138">
        <v>41640.0</v>
      </c>
      <c r="BC100" s="138">
        <v>41671.0</v>
      </c>
      <c r="BD100" s="138">
        <v>41699.0</v>
      </c>
      <c r="BE100" s="138">
        <v>41730.0</v>
      </c>
      <c r="BF100" s="138">
        <v>41760.0</v>
      </c>
      <c r="BG100" s="138">
        <v>41791.0</v>
      </c>
      <c r="BH100" s="138">
        <v>41821.0</v>
      </c>
      <c r="BI100" s="138">
        <v>41852.0</v>
      </c>
      <c r="BJ100" s="138">
        <v>41883.0</v>
      </c>
      <c r="BK100" s="138">
        <v>41913.0</v>
      </c>
      <c r="BL100" s="138">
        <v>41944.0</v>
      </c>
      <c r="BM100" s="138">
        <v>41974.0</v>
      </c>
      <c r="BN100" s="138">
        <v>42005.0</v>
      </c>
      <c r="BO100" s="138">
        <v>42036.0</v>
      </c>
      <c r="BP100" s="138">
        <v>42064.0</v>
      </c>
      <c r="BQ100" s="138">
        <v>42095.0</v>
      </c>
      <c r="BR100" s="138">
        <v>42125.0</v>
      </c>
      <c r="BS100" s="138">
        <v>42156.0</v>
      </c>
      <c r="BT100" s="138">
        <v>42186.0</v>
      </c>
      <c r="BU100" s="138">
        <v>42217.0</v>
      </c>
      <c r="BV100" s="138">
        <v>42248.0</v>
      </c>
      <c r="BW100" s="138">
        <v>42278.0</v>
      </c>
      <c r="BX100" s="138">
        <v>42309.0</v>
      </c>
      <c r="BY100" s="138">
        <v>42339.0</v>
      </c>
      <c r="BZ100" s="138">
        <v>42370.0</v>
      </c>
      <c r="CA100" s="138">
        <v>42401.0</v>
      </c>
      <c r="CB100" s="138">
        <v>42430.0</v>
      </c>
      <c r="CC100" s="138">
        <v>42461.0</v>
      </c>
      <c r="CD100" s="138">
        <v>42491.0</v>
      </c>
      <c r="CE100" s="138">
        <v>42522.0</v>
      </c>
      <c r="CF100" s="138">
        <v>42552.0</v>
      </c>
      <c r="CG100" s="138">
        <v>42583.0</v>
      </c>
      <c r="CH100" s="138">
        <v>42614.0</v>
      </c>
      <c r="CI100" s="138">
        <v>42644.0</v>
      </c>
      <c r="CJ100" s="138">
        <v>42675.0</v>
      </c>
      <c r="CK100" s="138">
        <v>42705.0</v>
      </c>
      <c r="CL100" s="138">
        <v>42736.0</v>
      </c>
      <c r="CM100" s="138">
        <v>42767.0</v>
      </c>
      <c r="CN100" s="138">
        <v>42795.0</v>
      </c>
      <c r="CO100" s="138">
        <v>42826.0</v>
      </c>
      <c r="CP100" s="138">
        <v>42856.0</v>
      </c>
      <c r="CQ100" s="138">
        <v>42887.0</v>
      </c>
      <c r="CR100" s="138">
        <v>42917.0</v>
      </c>
      <c r="CS100" s="138">
        <v>42948.0</v>
      </c>
      <c r="CT100" s="138">
        <v>42979.0</v>
      </c>
      <c r="CU100" s="138">
        <v>43009.0</v>
      </c>
      <c r="CV100" s="138">
        <v>43040.0</v>
      </c>
      <c r="CW100" s="138">
        <v>43070.0</v>
      </c>
      <c r="CX100" s="138">
        <v>43101.0</v>
      </c>
      <c r="CY100" s="138">
        <v>43132.0</v>
      </c>
      <c r="CZ100" s="138">
        <v>43160.0</v>
      </c>
      <c r="DA100" s="138">
        <v>43191.0</v>
      </c>
      <c r="DB100" s="138">
        <v>43221.0</v>
      </c>
      <c r="DC100" s="138">
        <v>43252.0</v>
      </c>
      <c r="DD100" s="138">
        <v>43282.0</v>
      </c>
      <c r="DE100" s="138">
        <v>43313.0</v>
      </c>
      <c r="DF100" s="138">
        <v>43344.0</v>
      </c>
      <c r="DG100" s="138">
        <v>43374.0</v>
      </c>
      <c r="DH100" s="138">
        <v>43405.0</v>
      </c>
      <c r="DI100" s="138">
        <v>43435.0</v>
      </c>
      <c r="DJ100" s="138">
        <v>43466.0</v>
      </c>
      <c r="DK100" s="138">
        <v>43497.0</v>
      </c>
      <c r="DL100" s="138">
        <v>43525.0</v>
      </c>
      <c r="DM100" s="138">
        <v>43556.0</v>
      </c>
      <c r="DN100" s="138">
        <v>43586.0</v>
      </c>
      <c r="DO100" s="138">
        <v>43617.0</v>
      </c>
      <c r="DP100" s="138">
        <v>43647.0</v>
      </c>
      <c r="DQ100" s="138">
        <v>43678.0</v>
      </c>
      <c r="DR100" s="138">
        <v>43709.0</v>
      </c>
      <c r="DS100" s="138">
        <v>43739.0</v>
      </c>
      <c r="DT100" s="138">
        <v>43770.0</v>
      </c>
      <c r="DU100" s="138">
        <v>43800.0</v>
      </c>
      <c r="DV100" s="138">
        <v>43831.0</v>
      </c>
      <c r="DW100" s="138">
        <v>43862.0</v>
      </c>
      <c r="DX100" s="138">
        <v>43891.0</v>
      </c>
      <c r="DY100" s="138">
        <v>43922.0</v>
      </c>
      <c r="DZ100" s="138">
        <v>43952.0</v>
      </c>
      <c r="EA100" s="138">
        <v>43983.0</v>
      </c>
      <c r="EB100" s="138">
        <v>44013.0</v>
      </c>
      <c r="EC100" s="138">
        <v>44044.0</v>
      </c>
      <c r="ED100" s="138">
        <v>44075.0</v>
      </c>
      <c r="EE100" s="138">
        <v>44105.0</v>
      </c>
      <c r="EF100" s="139">
        <v>44136.0</v>
      </c>
      <c r="EG100" s="139">
        <v>44166.0</v>
      </c>
      <c r="EH100" s="139">
        <v>44197.0</v>
      </c>
      <c r="EI100" s="139">
        <v>44228.0</v>
      </c>
      <c r="EJ100" s="139">
        <v>44256.0</v>
      </c>
      <c r="EK100" s="139">
        <v>44287.0</v>
      </c>
      <c r="EL100" s="139">
        <v>44317.0</v>
      </c>
      <c r="EM100" s="139">
        <v>44348.0</v>
      </c>
      <c r="EN100" s="139">
        <v>44378.0</v>
      </c>
      <c r="EO100" s="139">
        <v>44409.0</v>
      </c>
      <c r="EP100" s="139">
        <v>44440.0</v>
      </c>
      <c r="EQ100" s="139">
        <v>44470.0</v>
      </c>
      <c r="ER100" s="139">
        <v>44501.0</v>
      </c>
      <c r="ES100" s="139">
        <v>44531.0</v>
      </c>
      <c r="ET100" s="139">
        <v>44562.0</v>
      </c>
      <c r="EU100" s="139">
        <v>44593.0</v>
      </c>
      <c r="EV100" s="139">
        <v>44621.0</v>
      </c>
      <c r="EW100" s="139">
        <v>44652.0</v>
      </c>
      <c r="EX100" s="139">
        <v>44682.0</v>
      </c>
      <c r="EY100" s="139">
        <v>44713.0</v>
      </c>
      <c r="EZ100" s="139">
        <v>44743.0</v>
      </c>
      <c r="FA100" s="139">
        <v>44774.0</v>
      </c>
      <c r="FB100" s="139">
        <v>44805.0</v>
      </c>
      <c r="FC100" s="139">
        <v>44835.0</v>
      </c>
      <c r="FD100" s="139">
        <v>44866.0</v>
      </c>
      <c r="FE100" s="139">
        <v>44896.0</v>
      </c>
      <c r="FF100" s="139">
        <v>44927.0</v>
      </c>
      <c r="FG100" s="139">
        <v>44958.0</v>
      </c>
      <c r="FH100" s="139">
        <v>44986.0</v>
      </c>
      <c r="FI100" s="139">
        <v>45017.0</v>
      </c>
      <c r="FJ100" s="139">
        <v>45047.0</v>
      </c>
      <c r="FK100" s="139">
        <v>45078.0</v>
      </c>
      <c r="FL100" s="139">
        <v>45108.0</v>
      </c>
      <c r="FM100" s="139">
        <v>45139.0</v>
      </c>
      <c r="FN100" s="139">
        <v>45170.0</v>
      </c>
      <c r="FO100" s="139">
        <v>45200.0</v>
      </c>
      <c r="FP100" s="139">
        <v>45231.0</v>
      </c>
      <c r="FQ100" s="139">
        <v>45261.0</v>
      </c>
      <c r="FR100" s="139">
        <v>45292.0</v>
      </c>
      <c r="FS100" s="139">
        <v>45323.0</v>
      </c>
      <c r="FT100" s="139">
        <v>45352.0</v>
      </c>
      <c r="FU100" s="139">
        <v>45383.0</v>
      </c>
      <c r="FV100" s="139">
        <v>45413.0</v>
      </c>
      <c r="FW100" s="139">
        <v>45444.0</v>
      </c>
      <c r="FX100" s="139">
        <v>45474.0</v>
      </c>
      <c r="FY100" s="139">
        <v>45505.0</v>
      </c>
      <c r="FZ100" s="139">
        <v>45536.0</v>
      </c>
      <c r="GA100" s="139">
        <v>45566.0</v>
      </c>
      <c r="GB100" s="139">
        <v>45597.0</v>
      </c>
      <c r="GC100" s="139">
        <v>45627.0</v>
      </c>
      <c r="GD100" s="139">
        <v>45658.0</v>
      </c>
      <c r="GE100" s="139">
        <v>45689.0</v>
      </c>
      <c r="GF100" s="139">
        <v>45717.0</v>
      </c>
      <c r="GG100" s="139">
        <v>45748.0</v>
      </c>
      <c r="GH100" s="139">
        <v>45778.0</v>
      </c>
      <c r="GI100" s="139">
        <v>45809.0</v>
      </c>
      <c r="GJ100" s="139">
        <v>45839.0</v>
      </c>
    </row>
    <row r="101">
      <c r="A101" s="133" t="s">
        <v>1853</v>
      </c>
      <c r="B101" s="134">
        <v>44253.90537037037</v>
      </c>
      <c r="C101" s="135" t="str">
        <f t="shared" si="1"/>
        <v>2021/02/26</v>
      </c>
      <c r="D101" s="136" t="s">
        <v>34295</v>
      </c>
      <c r="E101" s="151">
        <v>0.0</v>
      </c>
      <c r="F101" s="138">
        <v>40179.0</v>
      </c>
      <c r="G101" s="138">
        <v>40210.0</v>
      </c>
      <c r="H101" s="138">
        <v>40238.0</v>
      </c>
      <c r="I101" s="138">
        <v>40269.0</v>
      </c>
      <c r="J101" s="138">
        <v>40299.0</v>
      </c>
      <c r="K101" s="138">
        <v>40330.0</v>
      </c>
      <c r="L101" s="138">
        <v>40360.0</v>
      </c>
      <c r="M101" s="138">
        <v>40391.0</v>
      </c>
      <c r="N101" s="138">
        <v>40422.0</v>
      </c>
      <c r="O101" s="138">
        <v>40452.0</v>
      </c>
      <c r="P101" s="138">
        <v>40483.0</v>
      </c>
      <c r="Q101" s="138">
        <v>40513.0</v>
      </c>
      <c r="R101" s="138">
        <v>40544.0</v>
      </c>
      <c r="S101" s="138">
        <v>40575.0</v>
      </c>
      <c r="T101" s="138">
        <v>40603.0</v>
      </c>
      <c r="U101" s="138">
        <v>40634.0</v>
      </c>
      <c r="V101" s="138">
        <v>40664.0</v>
      </c>
      <c r="W101" s="138">
        <v>40695.0</v>
      </c>
      <c r="X101" s="138">
        <v>40725.0</v>
      </c>
      <c r="Y101" s="138">
        <v>40756.0</v>
      </c>
      <c r="Z101" s="138">
        <v>40787.0</v>
      </c>
      <c r="AA101" s="138">
        <v>40817.0</v>
      </c>
      <c r="AB101" s="138">
        <v>40848.0</v>
      </c>
      <c r="AC101" s="138">
        <v>40878.0</v>
      </c>
      <c r="AD101" s="138">
        <v>40909.0</v>
      </c>
      <c r="AE101" s="138">
        <v>40940.0</v>
      </c>
      <c r="AF101" s="138">
        <v>40969.0</v>
      </c>
      <c r="AG101" s="138">
        <v>41000.0</v>
      </c>
      <c r="AH101" s="138">
        <v>41030.0</v>
      </c>
      <c r="AI101" s="138">
        <v>41061.0</v>
      </c>
      <c r="AJ101" s="138">
        <v>41091.0</v>
      </c>
      <c r="AK101" s="138">
        <v>41122.0</v>
      </c>
      <c r="AL101" s="138">
        <v>41153.0</v>
      </c>
      <c r="AM101" s="138">
        <v>41183.0</v>
      </c>
      <c r="AN101" s="138">
        <v>41214.0</v>
      </c>
      <c r="AO101" s="138">
        <v>41244.0</v>
      </c>
      <c r="AP101" s="138">
        <v>41275.0</v>
      </c>
      <c r="AQ101" s="138">
        <v>41306.0</v>
      </c>
      <c r="AR101" s="138">
        <v>41334.0</v>
      </c>
      <c r="AS101" s="138">
        <v>41365.0</v>
      </c>
      <c r="AT101" s="138">
        <v>41395.0</v>
      </c>
      <c r="AU101" s="138">
        <v>41426.0</v>
      </c>
      <c r="AV101" s="138">
        <v>41456.0</v>
      </c>
      <c r="AW101" s="138">
        <v>41487.0</v>
      </c>
      <c r="AX101" s="138">
        <v>41518.0</v>
      </c>
      <c r="AY101" s="138">
        <v>41548.0</v>
      </c>
      <c r="AZ101" s="138">
        <v>41579.0</v>
      </c>
      <c r="BA101" s="138">
        <v>41609.0</v>
      </c>
      <c r="BB101" s="138">
        <v>41640.0</v>
      </c>
      <c r="BC101" s="138">
        <v>41671.0</v>
      </c>
      <c r="BD101" s="138">
        <v>41699.0</v>
      </c>
      <c r="BE101" s="138">
        <v>41730.0</v>
      </c>
      <c r="BF101" s="138">
        <v>41760.0</v>
      </c>
      <c r="BG101" s="138">
        <v>41791.0</v>
      </c>
      <c r="BH101" s="138">
        <v>41821.0</v>
      </c>
      <c r="BI101" s="138">
        <v>41852.0</v>
      </c>
      <c r="BJ101" s="138">
        <v>41883.0</v>
      </c>
      <c r="BK101" s="138">
        <v>41913.0</v>
      </c>
      <c r="BL101" s="138">
        <v>41944.0</v>
      </c>
      <c r="BM101" s="138">
        <v>41974.0</v>
      </c>
      <c r="BN101" s="138">
        <v>42005.0</v>
      </c>
      <c r="BO101" s="138">
        <v>42036.0</v>
      </c>
      <c r="BP101" s="138">
        <v>42064.0</v>
      </c>
      <c r="BQ101" s="138">
        <v>42095.0</v>
      </c>
      <c r="BR101" s="138">
        <v>42125.0</v>
      </c>
      <c r="BS101" s="138">
        <v>42156.0</v>
      </c>
      <c r="BT101" s="138">
        <v>42186.0</v>
      </c>
      <c r="BU101" s="138">
        <v>42217.0</v>
      </c>
      <c r="BV101" s="138">
        <v>42248.0</v>
      </c>
      <c r="BW101" s="138">
        <v>42278.0</v>
      </c>
      <c r="BX101" s="138">
        <v>42309.0</v>
      </c>
      <c r="BY101" s="138">
        <v>42339.0</v>
      </c>
      <c r="BZ101" s="138">
        <v>42370.0</v>
      </c>
      <c r="CA101" s="138">
        <v>42401.0</v>
      </c>
      <c r="CB101" s="138">
        <v>42430.0</v>
      </c>
      <c r="CC101" s="138">
        <v>42461.0</v>
      </c>
      <c r="CD101" s="138">
        <v>42491.0</v>
      </c>
      <c r="CE101" s="138">
        <v>42522.0</v>
      </c>
      <c r="CF101" s="138">
        <v>42552.0</v>
      </c>
      <c r="CG101" s="138">
        <v>42583.0</v>
      </c>
      <c r="CH101" s="138">
        <v>42614.0</v>
      </c>
      <c r="CI101" s="138">
        <v>42644.0</v>
      </c>
      <c r="CJ101" s="138">
        <v>42675.0</v>
      </c>
      <c r="CK101" s="138">
        <v>42705.0</v>
      </c>
      <c r="CL101" s="138">
        <v>42736.0</v>
      </c>
      <c r="CM101" s="138">
        <v>42767.0</v>
      </c>
      <c r="CN101" s="138">
        <v>42795.0</v>
      </c>
      <c r="CO101" s="138">
        <v>42826.0</v>
      </c>
      <c r="CP101" s="138">
        <v>42856.0</v>
      </c>
      <c r="CQ101" s="138">
        <v>42887.0</v>
      </c>
      <c r="CR101" s="138">
        <v>42917.0</v>
      </c>
      <c r="CS101" s="138">
        <v>42948.0</v>
      </c>
      <c r="CT101" s="138">
        <v>42979.0</v>
      </c>
      <c r="CU101" s="138">
        <v>43009.0</v>
      </c>
      <c r="CV101" s="138">
        <v>43040.0</v>
      </c>
      <c r="CW101" s="138">
        <v>43070.0</v>
      </c>
      <c r="CX101" s="138">
        <v>43101.0</v>
      </c>
      <c r="CY101" s="138">
        <v>43132.0</v>
      </c>
      <c r="CZ101" s="138">
        <v>43160.0</v>
      </c>
      <c r="DA101" s="138">
        <v>43191.0</v>
      </c>
      <c r="DB101" s="138">
        <v>43221.0</v>
      </c>
      <c r="DC101" s="138">
        <v>43252.0</v>
      </c>
      <c r="DD101" s="138">
        <v>43282.0</v>
      </c>
      <c r="DE101" s="138">
        <v>43313.0</v>
      </c>
      <c r="DF101" s="138">
        <v>43344.0</v>
      </c>
      <c r="DG101" s="138">
        <v>43374.0</v>
      </c>
      <c r="DH101" s="138">
        <v>43405.0</v>
      </c>
      <c r="DI101" s="138">
        <v>43435.0</v>
      </c>
      <c r="DJ101" s="138">
        <v>43466.0</v>
      </c>
      <c r="DK101" s="138">
        <v>43497.0</v>
      </c>
      <c r="DL101" s="138">
        <v>43525.0</v>
      </c>
      <c r="DM101" s="138">
        <v>43556.0</v>
      </c>
      <c r="DN101" s="138">
        <v>43586.0</v>
      </c>
      <c r="DO101" s="138">
        <v>43617.0</v>
      </c>
      <c r="DP101" s="138">
        <v>43647.0</v>
      </c>
      <c r="DQ101" s="138">
        <v>43678.0</v>
      </c>
      <c r="DR101" s="138">
        <v>43709.0</v>
      </c>
      <c r="DS101" s="138">
        <v>43739.0</v>
      </c>
      <c r="DT101" s="138">
        <v>43770.0</v>
      </c>
      <c r="DU101" s="138">
        <v>43800.0</v>
      </c>
      <c r="DV101" s="138">
        <v>43831.0</v>
      </c>
      <c r="DW101" s="138">
        <v>43862.0</v>
      </c>
      <c r="DX101" s="138">
        <v>43891.0</v>
      </c>
      <c r="DY101" s="138">
        <v>43922.0</v>
      </c>
      <c r="DZ101" s="138">
        <v>43952.0</v>
      </c>
      <c r="EA101" s="138">
        <v>43983.0</v>
      </c>
      <c r="EB101" s="138">
        <v>44013.0</v>
      </c>
      <c r="EC101" s="138">
        <v>44044.0</v>
      </c>
      <c r="ED101" s="138">
        <v>44075.0</v>
      </c>
      <c r="EE101" s="138">
        <v>44105.0</v>
      </c>
      <c r="EF101" s="138">
        <v>44136.0</v>
      </c>
      <c r="EG101" s="138">
        <v>44166.0</v>
      </c>
      <c r="EH101" s="138">
        <v>44197.0</v>
      </c>
      <c r="EI101" s="138">
        <v>44228.0</v>
      </c>
      <c r="EJ101" s="139">
        <v>44256.0</v>
      </c>
      <c r="EK101" s="139">
        <v>44287.0</v>
      </c>
      <c r="EL101" s="139">
        <v>44317.0</v>
      </c>
      <c r="EM101" s="139">
        <v>44348.0</v>
      </c>
      <c r="EN101" s="139">
        <v>44378.0</v>
      </c>
      <c r="EO101" s="139">
        <v>44409.0</v>
      </c>
      <c r="EP101" s="139">
        <v>44440.0</v>
      </c>
      <c r="EQ101" s="139">
        <v>44470.0</v>
      </c>
      <c r="ER101" s="139">
        <v>44501.0</v>
      </c>
      <c r="ES101" s="139">
        <v>44531.0</v>
      </c>
      <c r="ET101" s="139">
        <v>44562.0</v>
      </c>
      <c r="EU101" s="139">
        <v>44593.0</v>
      </c>
      <c r="EV101" s="139">
        <v>44621.0</v>
      </c>
      <c r="EW101" s="139">
        <v>44652.0</v>
      </c>
      <c r="EX101" s="139">
        <v>44682.0</v>
      </c>
      <c r="EY101" s="139">
        <v>44713.0</v>
      </c>
      <c r="EZ101" s="139">
        <v>44743.0</v>
      </c>
      <c r="FA101" s="139">
        <v>44774.0</v>
      </c>
      <c r="FB101" s="139">
        <v>44805.0</v>
      </c>
      <c r="FC101" s="139">
        <v>44835.0</v>
      </c>
      <c r="FD101" s="139">
        <v>44866.0</v>
      </c>
      <c r="FE101" s="139">
        <v>44896.0</v>
      </c>
      <c r="FF101" s="139">
        <v>44927.0</v>
      </c>
      <c r="FG101" s="139">
        <v>44958.0</v>
      </c>
      <c r="FH101" s="139">
        <v>44986.0</v>
      </c>
      <c r="FI101" s="139">
        <v>45017.0</v>
      </c>
      <c r="FJ101" s="139">
        <v>45047.0</v>
      </c>
      <c r="FK101" s="139">
        <v>45078.0</v>
      </c>
      <c r="FL101" s="139">
        <v>45108.0</v>
      </c>
      <c r="FM101" s="139">
        <v>45139.0</v>
      </c>
      <c r="FN101" s="139">
        <v>45170.0</v>
      </c>
      <c r="FO101" s="139">
        <v>45200.0</v>
      </c>
      <c r="FP101" s="139">
        <v>45231.0</v>
      </c>
      <c r="FQ101" s="139">
        <v>45261.0</v>
      </c>
      <c r="FR101" s="139">
        <v>45292.0</v>
      </c>
      <c r="FS101" s="139">
        <v>45323.0</v>
      </c>
      <c r="FT101" s="139">
        <v>45352.0</v>
      </c>
      <c r="FU101" s="139">
        <v>45383.0</v>
      </c>
      <c r="FV101" s="139">
        <v>45413.0</v>
      </c>
      <c r="FW101" s="139">
        <v>45444.0</v>
      </c>
      <c r="FX101" s="139">
        <v>45474.0</v>
      </c>
      <c r="FY101" s="139">
        <v>45505.0</v>
      </c>
      <c r="FZ101" s="139">
        <v>45536.0</v>
      </c>
      <c r="GA101" s="139">
        <v>45566.0</v>
      </c>
      <c r="GB101" s="139">
        <v>45597.0</v>
      </c>
      <c r="GC101" s="139">
        <v>45627.0</v>
      </c>
      <c r="GD101" s="139">
        <v>45658.0</v>
      </c>
      <c r="GE101" s="139">
        <v>45689.0</v>
      </c>
      <c r="GF101" s="139">
        <v>45717.0</v>
      </c>
      <c r="GG101" s="139">
        <v>45748.0</v>
      </c>
      <c r="GH101" s="139">
        <v>45778.0</v>
      </c>
      <c r="GI101" s="139">
        <v>45809.0</v>
      </c>
      <c r="GJ101" s="139">
        <v>45839.0</v>
      </c>
    </row>
    <row r="102">
      <c r="A102" s="133" t="s">
        <v>1649</v>
      </c>
      <c r="B102" s="134">
        <v>44285.47341435185</v>
      </c>
      <c r="C102" s="135" t="str">
        <f t="shared" si="1"/>
        <v>2021/03/30</v>
      </c>
      <c r="D102" s="136" t="s">
        <v>34296</v>
      </c>
      <c r="E102" s="151">
        <v>0.0</v>
      </c>
      <c r="F102" s="138">
        <v>40179.0</v>
      </c>
      <c r="G102" s="138">
        <v>40210.0</v>
      </c>
      <c r="H102" s="138">
        <v>40238.0</v>
      </c>
      <c r="I102" s="138">
        <v>40269.0</v>
      </c>
      <c r="J102" s="138">
        <v>40299.0</v>
      </c>
      <c r="K102" s="138">
        <v>40330.0</v>
      </c>
      <c r="L102" s="138">
        <v>40360.0</v>
      </c>
      <c r="M102" s="138">
        <v>40391.0</v>
      </c>
      <c r="N102" s="138">
        <v>40422.0</v>
      </c>
      <c r="O102" s="138">
        <v>40452.0</v>
      </c>
      <c r="P102" s="138">
        <v>40483.0</v>
      </c>
      <c r="Q102" s="138">
        <v>40513.0</v>
      </c>
      <c r="R102" s="138">
        <v>40544.0</v>
      </c>
      <c r="S102" s="138">
        <v>40575.0</v>
      </c>
      <c r="T102" s="138">
        <v>40603.0</v>
      </c>
      <c r="U102" s="138">
        <v>40634.0</v>
      </c>
      <c r="V102" s="138">
        <v>40664.0</v>
      </c>
      <c r="W102" s="138">
        <v>40695.0</v>
      </c>
      <c r="X102" s="138">
        <v>40725.0</v>
      </c>
      <c r="Y102" s="138">
        <v>40756.0</v>
      </c>
      <c r="Z102" s="138">
        <v>40787.0</v>
      </c>
      <c r="AA102" s="138">
        <v>40817.0</v>
      </c>
      <c r="AB102" s="138">
        <v>40848.0</v>
      </c>
      <c r="AC102" s="138">
        <v>40878.0</v>
      </c>
      <c r="AD102" s="138">
        <v>40909.0</v>
      </c>
      <c r="AE102" s="138">
        <v>40940.0</v>
      </c>
      <c r="AF102" s="138">
        <v>40969.0</v>
      </c>
      <c r="AG102" s="138">
        <v>41000.0</v>
      </c>
      <c r="AH102" s="138">
        <v>41030.0</v>
      </c>
      <c r="AI102" s="138">
        <v>41061.0</v>
      </c>
      <c r="AJ102" s="138">
        <v>41091.0</v>
      </c>
      <c r="AK102" s="138">
        <v>41122.0</v>
      </c>
      <c r="AL102" s="138">
        <v>41153.0</v>
      </c>
      <c r="AM102" s="138">
        <v>41183.0</v>
      </c>
      <c r="AN102" s="138">
        <v>41214.0</v>
      </c>
      <c r="AO102" s="138">
        <v>41244.0</v>
      </c>
      <c r="AP102" s="138">
        <v>41275.0</v>
      </c>
      <c r="AQ102" s="138">
        <v>41306.0</v>
      </c>
      <c r="AR102" s="138">
        <v>41334.0</v>
      </c>
      <c r="AS102" s="138">
        <v>41365.0</v>
      </c>
      <c r="AT102" s="138">
        <v>41395.0</v>
      </c>
      <c r="AU102" s="138">
        <v>41426.0</v>
      </c>
      <c r="AV102" s="138">
        <v>41456.0</v>
      </c>
      <c r="AW102" s="138">
        <v>41487.0</v>
      </c>
      <c r="AX102" s="138">
        <v>41518.0</v>
      </c>
      <c r="AY102" s="138">
        <v>41548.0</v>
      </c>
      <c r="AZ102" s="138">
        <v>41579.0</v>
      </c>
      <c r="BA102" s="138">
        <v>41609.0</v>
      </c>
      <c r="BB102" s="138">
        <v>41640.0</v>
      </c>
      <c r="BC102" s="138">
        <v>41671.0</v>
      </c>
      <c r="BD102" s="138">
        <v>41699.0</v>
      </c>
      <c r="BE102" s="138">
        <v>41730.0</v>
      </c>
      <c r="BF102" s="138">
        <v>41760.0</v>
      </c>
      <c r="BG102" s="138">
        <v>41791.0</v>
      </c>
      <c r="BH102" s="138">
        <v>41821.0</v>
      </c>
      <c r="BI102" s="138">
        <v>41852.0</v>
      </c>
      <c r="BJ102" s="138">
        <v>41883.0</v>
      </c>
      <c r="BK102" s="138">
        <v>41913.0</v>
      </c>
      <c r="BL102" s="138">
        <v>41944.0</v>
      </c>
      <c r="BM102" s="138">
        <v>41974.0</v>
      </c>
      <c r="BN102" s="138">
        <v>42005.0</v>
      </c>
      <c r="BO102" s="138">
        <v>42036.0</v>
      </c>
      <c r="BP102" s="138">
        <v>42064.0</v>
      </c>
      <c r="BQ102" s="138">
        <v>42095.0</v>
      </c>
      <c r="BR102" s="138">
        <v>42125.0</v>
      </c>
      <c r="BS102" s="138">
        <v>42156.0</v>
      </c>
      <c r="BT102" s="138">
        <v>42186.0</v>
      </c>
      <c r="BU102" s="138">
        <v>42217.0</v>
      </c>
      <c r="BV102" s="138">
        <v>42248.0</v>
      </c>
      <c r="BW102" s="138">
        <v>42278.0</v>
      </c>
      <c r="BX102" s="138">
        <v>42309.0</v>
      </c>
      <c r="BY102" s="138">
        <v>42339.0</v>
      </c>
      <c r="BZ102" s="138">
        <v>42370.0</v>
      </c>
      <c r="CA102" s="138">
        <v>42401.0</v>
      </c>
      <c r="CB102" s="138">
        <v>42430.0</v>
      </c>
      <c r="CC102" s="138">
        <v>42461.0</v>
      </c>
      <c r="CD102" s="138">
        <v>42491.0</v>
      </c>
      <c r="CE102" s="138">
        <v>42522.0</v>
      </c>
      <c r="CF102" s="138">
        <v>42552.0</v>
      </c>
      <c r="CG102" s="138">
        <v>42583.0</v>
      </c>
      <c r="CH102" s="138">
        <v>42614.0</v>
      </c>
      <c r="CI102" s="138">
        <v>42644.0</v>
      </c>
      <c r="CJ102" s="138">
        <v>42675.0</v>
      </c>
      <c r="CK102" s="138">
        <v>42705.0</v>
      </c>
      <c r="CL102" s="138">
        <v>42736.0</v>
      </c>
      <c r="CM102" s="138">
        <v>42767.0</v>
      </c>
      <c r="CN102" s="138">
        <v>42795.0</v>
      </c>
      <c r="CO102" s="138">
        <v>42826.0</v>
      </c>
      <c r="CP102" s="138">
        <v>42856.0</v>
      </c>
      <c r="CQ102" s="138">
        <v>42887.0</v>
      </c>
      <c r="CR102" s="138">
        <v>42917.0</v>
      </c>
      <c r="CS102" s="138">
        <v>42948.0</v>
      </c>
      <c r="CT102" s="138">
        <v>42979.0</v>
      </c>
      <c r="CU102" s="138">
        <v>43009.0</v>
      </c>
      <c r="CV102" s="138">
        <v>43040.0</v>
      </c>
      <c r="CW102" s="138">
        <v>43070.0</v>
      </c>
      <c r="CX102" s="138">
        <v>43101.0</v>
      </c>
      <c r="CY102" s="138">
        <v>43132.0</v>
      </c>
      <c r="CZ102" s="138">
        <v>43160.0</v>
      </c>
      <c r="DA102" s="138">
        <v>43191.0</v>
      </c>
      <c r="DB102" s="138">
        <v>43221.0</v>
      </c>
      <c r="DC102" s="138">
        <v>43252.0</v>
      </c>
      <c r="DD102" s="138">
        <v>43282.0</v>
      </c>
      <c r="DE102" s="138">
        <v>43313.0</v>
      </c>
      <c r="DF102" s="138">
        <v>43344.0</v>
      </c>
      <c r="DG102" s="138">
        <v>43374.0</v>
      </c>
      <c r="DH102" s="138">
        <v>43405.0</v>
      </c>
      <c r="DI102" s="138">
        <v>43435.0</v>
      </c>
      <c r="DJ102" s="138">
        <v>43466.0</v>
      </c>
      <c r="DK102" s="138">
        <v>43497.0</v>
      </c>
      <c r="DL102" s="138">
        <v>43525.0</v>
      </c>
      <c r="DM102" s="138">
        <v>43556.0</v>
      </c>
      <c r="DN102" s="138">
        <v>43586.0</v>
      </c>
      <c r="DO102" s="138">
        <v>43617.0</v>
      </c>
      <c r="DP102" s="138">
        <v>43647.0</v>
      </c>
      <c r="DQ102" s="138">
        <v>43678.0</v>
      </c>
      <c r="DR102" s="138">
        <v>43709.0</v>
      </c>
      <c r="DS102" s="138">
        <v>43739.0</v>
      </c>
      <c r="DT102" s="138">
        <v>43770.0</v>
      </c>
      <c r="DU102" s="138">
        <v>43800.0</v>
      </c>
      <c r="DV102" s="138">
        <v>43831.0</v>
      </c>
      <c r="DW102" s="138">
        <v>43862.0</v>
      </c>
      <c r="DX102" s="138">
        <v>43891.0</v>
      </c>
      <c r="DY102" s="138">
        <v>43922.0</v>
      </c>
      <c r="DZ102" s="138">
        <v>43952.0</v>
      </c>
      <c r="EA102" s="138">
        <v>43983.0</v>
      </c>
      <c r="EB102" s="138">
        <v>44013.0</v>
      </c>
      <c r="EC102" s="138">
        <v>44044.0</v>
      </c>
      <c r="ED102" s="138">
        <v>44075.0</v>
      </c>
      <c r="EE102" s="138">
        <v>44105.0</v>
      </c>
      <c r="EF102" s="138">
        <v>44136.0</v>
      </c>
      <c r="EG102" s="138">
        <v>44166.0</v>
      </c>
      <c r="EH102" s="138">
        <v>44197.0</v>
      </c>
      <c r="EI102" s="138">
        <v>44228.0</v>
      </c>
      <c r="EJ102" s="138">
        <v>44256.0</v>
      </c>
      <c r="EK102" s="139">
        <v>44287.0</v>
      </c>
      <c r="EL102" s="139">
        <v>44317.0</v>
      </c>
      <c r="EM102" s="139">
        <v>44348.0</v>
      </c>
      <c r="EN102" s="139">
        <v>44378.0</v>
      </c>
      <c r="EO102" s="139">
        <v>44409.0</v>
      </c>
      <c r="EP102" s="139">
        <v>44440.0</v>
      </c>
      <c r="EQ102" s="139">
        <v>44470.0</v>
      </c>
      <c r="ER102" s="139">
        <v>44501.0</v>
      </c>
      <c r="ES102" s="139">
        <v>44531.0</v>
      </c>
      <c r="ET102" s="139">
        <v>44562.0</v>
      </c>
      <c r="EU102" s="139">
        <v>44593.0</v>
      </c>
      <c r="EV102" s="139">
        <v>44621.0</v>
      </c>
      <c r="EW102" s="139">
        <v>44652.0</v>
      </c>
      <c r="EX102" s="139">
        <v>44682.0</v>
      </c>
      <c r="EY102" s="139">
        <v>44713.0</v>
      </c>
      <c r="EZ102" s="139">
        <v>44743.0</v>
      </c>
      <c r="FA102" s="139">
        <v>44774.0</v>
      </c>
      <c r="FB102" s="139">
        <v>44805.0</v>
      </c>
      <c r="FC102" s="139">
        <v>44835.0</v>
      </c>
      <c r="FD102" s="139">
        <v>44866.0</v>
      </c>
      <c r="FE102" s="139">
        <v>44896.0</v>
      </c>
      <c r="FF102" s="139">
        <v>44927.0</v>
      </c>
      <c r="FG102" s="139">
        <v>44958.0</v>
      </c>
      <c r="FH102" s="139">
        <v>44986.0</v>
      </c>
      <c r="FI102" s="139">
        <v>45017.0</v>
      </c>
      <c r="FJ102" s="139">
        <v>45047.0</v>
      </c>
      <c r="FK102" s="139">
        <v>45078.0</v>
      </c>
      <c r="FL102" s="139">
        <v>45108.0</v>
      </c>
      <c r="FM102" s="139">
        <v>45139.0</v>
      </c>
      <c r="FN102" s="139">
        <v>45170.0</v>
      </c>
      <c r="FO102" s="139">
        <v>45200.0</v>
      </c>
      <c r="FP102" s="139">
        <v>45231.0</v>
      </c>
      <c r="FQ102" s="139">
        <v>45261.0</v>
      </c>
      <c r="FR102" s="139">
        <v>45292.0</v>
      </c>
      <c r="FS102" s="139">
        <v>45323.0</v>
      </c>
      <c r="FT102" s="139">
        <v>45352.0</v>
      </c>
      <c r="FU102" s="139">
        <v>45383.0</v>
      </c>
      <c r="FV102" s="139">
        <v>45413.0</v>
      </c>
      <c r="FW102" s="139">
        <v>45444.0</v>
      </c>
      <c r="FX102" s="139">
        <v>45474.0</v>
      </c>
      <c r="FY102" s="139">
        <v>45505.0</v>
      </c>
      <c r="FZ102" s="139">
        <v>45536.0</v>
      </c>
      <c r="GA102" s="139">
        <v>45566.0</v>
      </c>
      <c r="GB102" s="139">
        <v>45597.0</v>
      </c>
      <c r="GC102" s="139">
        <v>45627.0</v>
      </c>
      <c r="GD102" s="139">
        <v>45658.0</v>
      </c>
      <c r="GE102" s="139">
        <v>45689.0</v>
      </c>
      <c r="GF102" s="139">
        <v>45717.0</v>
      </c>
      <c r="GG102" s="139">
        <v>45748.0</v>
      </c>
      <c r="GH102" s="139">
        <v>45778.0</v>
      </c>
      <c r="GI102" s="139">
        <v>45809.0</v>
      </c>
      <c r="GJ102" s="139">
        <v>45839.0</v>
      </c>
    </row>
    <row r="103">
      <c r="A103" s="133" t="s">
        <v>1573</v>
      </c>
      <c r="B103" s="134">
        <v>44295.63055555556</v>
      </c>
      <c r="C103" s="135" t="str">
        <f t="shared" si="1"/>
        <v>2021/04/09</v>
      </c>
      <c r="D103" s="136" t="s">
        <v>34297</v>
      </c>
      <c r="E103" s="151">
        <v>0.0</v>
      </c>
      <c r="F103" s="138">
        <v>40179.0</v>
      </c>
      <c r="G103" s="138">
        <v>40210.0</v>
      </c>
      <c r="H103" s="138">
        <v>40238.0</v>
      </c>
      <c r="I103" s="138">
        <v>40269.0</v>
      </c>
      <c r="J103" s="138">
        <v>40299.0</v>
      </c>
      <c r="K103" s="138">
        <v>40330.0</v>
      </c>
      <c r="L103" s="138">
        <v>40360.0</v>
      </c>
      <c r="M103" s="138">
        <v>40391.0</v>
      </c>
      <c r="N103" s="138">
        <v>40422.0</v>
      </c>
      <c r="O103" s="138">
        <v>40452.0</v>
      </c>
      <c r="P103" s="138">
        <v>40483.0</v>
      </c>
      <c r="Q103" s="138">
        <v>40513.0</v>
      </c>
      <c r="R103" s="138">
        <v>40544.0</v>
      </c>
      <c r="S103" s="138">
        <v>40575.0</v>
      </c>
      <c r="T103" s="138">
        <v>40603.0</v>
      </c>
      <c r="U103" s="138">
        <v>40634.0</v>
      </c>
      <c r="V103" s="138">
        <v>40664.0</v>
      </c>
      <c r="W103" s="138">
        <v>40695.0</v>
      </c>
      <c r="X103" s="138">
        <v>40725.0</v>
      </c>
      <c r="Y103" s="138">
        <v>40756.0</v>
      </c>
      <c r="Z103" s="138">
        <v>40787.0</v>
      </c>
      <c r="AA103" s="138">
        <v>40817.0</v>
      </c>
      <c r="AB103" s="138">
        <v>40848.0</v>
      </c>
      <c r="AC103" s="138">
        <v>40878.0</v>
      </c>
      <c r="AD103" s="138">
        <v>40909.0</v>
      </c>
      <c r="AE103" s="138">
        <v>40940.0</v>
      </c>
      <c r="AF103" s="138">
        <v>40969.0</v>
      </c>
      <c r="AG103" s="138">
        <v>41000.0</v>
      </c>
      <c r="AH103" s="138">
        <v>41030.0</v>
      </c>
      <c r="AI103" s="138">
        <v>41061.0</v>
      </c>
      <c r="AJ103" s="138">
        <v>41091.0</v>
      </c>
      <c r="AK103" s="138">
        <v>41122.0</v>
      </c>
      <c r="AL103" s="138">
        <v>41153.0</v>
      </c>
      <c r="AM103" s="138">
        <v>41183.0</v>
      </c>
      <c r="AN103" s="138">
        <v>41214.0</v>
      </c>
      <c r="AO103" s="138">
        <v>41244.0</v>
      </c>
      <c r="AP103" s="138">
        <v>41275.0</v>
      </c>
      <c r="AQ103" s="138">
        <v>41306.0</v>
      </c>
      <c r="AR103" s="138">
        <v>41334.0</v>
      </c>
      <c r="AS103" s="138">
        <v>41365.0</v>
      </c>
      <c r="AT103" s="138">
        <v>41395.0</v>
      </c>
      <c r="AU103" s="138">
        <v>41426.0</v>
      </c>
      <c r="AV103" s="138">
        <v>41456.0</v>
      </c>
      <c r="AW103" s="138">
        <v>41487.0</v>
      </c>
      <c r="AX103" s="138">
        <v>41518.0</v>
      </c>
      <c r="AY103" s="138">
        <v>41548.0</v>
      </c>
      <c r="AZ103" s="138">
        <v>41579.0</v>
      </c>
      <c r="BA103" s="138">
        <v>41609.0</v>
      </c>
      <c r="BB103" s="138">
        <v>41640.0</v>
      </c>
      <c r="BC103" s="138">
        <v>41671.0</v>
      </c>
      <c r="BD103" s="138">
        <v>41699.0</v>
      </c>
      <c r="BE103" s="138">
        <v>41730.0</v>
      </c>
      <c r="BF103" s="138">
        <v>41760.0</v>
      </c>
      <c r="BG103" s="138">
        <v>41791.0</v>
      </c>
      <c r="BH103" s="138">
        <v>41821.0</v>
      </c>
      <c r="BI103" s="138">
        <v>41852.0</v>
      </c>
      <c r="BJ103" s="138">
        <v>41883.0</v>
      </c>
      <c r="BK103" s="138">
        <v>41913.0</v>
      </c>
      <c r="BL103" s="138">
        <v>41944.0</v>
      </c>
      <c r="BM103" s="138">
        <v>41974.0</v>
      </c>
      <c r="BN103" s="138">
        <v>42005.0</v>
      </c>
      <c r="BO103" s="138">
        <v>42036.0</v>
      </c>
      <c r="BP103" s="138">
        <v>42064.0</v>
      </c>
      <c r="BQ103" s="138">
        <v>42095.0</v>
      </c>
      <c r="BR103" s="138">
        <v>42125.0</v>
      </c>
      <c r="BS103" s="138">
        <v>42156.0</v>
      </c>
      <c r="BT103" s="138">
        <v>42186.0</v>
      </c>
      <c r="BU103" s="138">
        <v>42217.0</v>
      </c>
      <c r="BV103" s="138">
        <v>42248.0</v>
      </c>
      <c r="BW103" s="138">
        <v>42278.0</v>
      </c>
      <c r="BX103" s="138">
        <v>42309.0</v>
      </c>
      <c r="BY103" s="138">
        <v>42339.0</v>
      </c>
      <c r="BZ103" s="138">
        <v>42370.0</v>
      </c>
      <c r="CA103" s="138">
        <v>42401.0</v>
      </c>
      <c r="CB103" s="138">
        <v>42430.0</v>
      </c>
      <c r="CC103" s="138">
        <v>42461.0</v>
      </c>
      <c r="CD103" s="138">
        <v>42491.0</v>
      </c>
      <c r="CE103" s="138">
        <v>42522.0</v>
      </c>
      <c r="CF103" s="138">
        <v>42552.0</v>
      </c>
      <c r="CG103" s="138">
        <v>42583.0</v>
      </c>
      <c r="CH103" s="138">
        <v>42614.0</v>
      </c>
      <c r="CI103" s="138">
        <v>42644.0</v>
      </c>
      <c r="CJ103" s="138">
        <v>42675.0</v>
      </c>
      <c r="CK103" s="138">
        <v>42705.0</v>
      </c>
      <c r="CL103" s="138">
        <v>42736.0</v>
      </c>
      <c r="CM103" s="138">
        <v>42767.0</v>
      </c>
      <c r="CN103" s="138">
        <v>42795.0</v>
      </c>
      <c r="CO103" s="138">
        <v>42826.0</v>
      </c>
      <c r="CP103" s="138">
        <v>42856.0</v>
      </c>
      <c r="CQ103" s="138">
        <v>42887.0</v>
      </c>
      <c r="CR103" s="138">
        <v>42917.0</v>
      </c>
      <c r="CS103" s="138">
        <v>42948.0</v>
      </c>
      <c r="CT103" s="138">
        <v>42979.0</v>
      </c>
      <c r="CU103" s="138">
        <v>43009.0</v>
      </c>
      <c r="CV103" s="138">
        <v>43040.0</v>
      </c>
      <c r="CW103" s="138">
        <v>43070.0</v>
      </c>
      <c r="CX103" s="138">
        <v>43101.0</v>
      </c>
      <c r="CY103" s="138">
        <v>43132.0</v>
      </c>
      <c r="CZ103" s="138">
        <v>43160.0</v>
      </c>
      <c r="DA103" s="138">
        <v>43191.0</v>
      </c>
      <c r="DB103" s="138">
        <v>43221.0</v>
      </c>
      <c r="DC103" s="138">
        <v>43252.0</v>
      </c>
      <c r="DD103" s="138">
        <v>43282.0</v>
      </c>
      <c r="DE103" s="138">
        <v>43313.0</v>
      </c>
      <c r="DF103" s="138">
        <v>43344.0</v>
      </c>
      <c r="DG103" s="138">
        <v>43374.0</v>
      </c>
      <c r="DH103" s="138">
        <v>43405.0</v>
      </c>
      <c r="DI103" s="138">
        <v>43435.0</v>
      </c>
      <c r="DJ103" s="138">
        <v>43466.0</v>
      </c>
      <c r="DK103" s="138">
        <v>43497.0</v>
      </c>
      <c r="DL103" s="138">
        <v>43525.0</v>
      </c>
      <c r="DM103" s="138">
        <v>43556.0</v>
      </c>
      <c r="DN103" s="138">
        <v>43586.0</v>
      </c>
      <c r="DO103" s="138">
        <v>43617.0</v>
      </c>
      <c r="DP103" s="138">
        <v>43647.0</v>
      </c>
      <c r="DQ103" s="138">
        <v>43678.0</v>
      </c>
      <c r="DR103" s="138">
        <v>43709.0</v>
      </c>
      <c r="DS103" s="138">
        <v>43739.0</v>
      </c>
      <c r="DT103" s="138">
        <v>43770.0</v>
      </c>
      <c r="DU103" s="138">
        <v>43800.0</v>
      </c>
      <c r="DV103" s="138">
        <v>43831.0</v>
      </c>
      <c r="DW103" s="138">
        <v>43862.0</v>
      </c>
      <c r="DX103" s="138">
        <v>43891.0</v>
      </c>
      <c r="DY103" s="138">
        <v>43922.0</v>
      </c>
      <c r="DZ103" s="138">
        <v>43952.0</v>
      </c>
      <c r="EA103" s="138">
        <v>43983.0</v>
      </c>
      <c r="EB103" s="138">
        <v>44013.0</v>
      </c>
      <c r="EC103" s="138">
        <v>44044.0</v>
      </c>
      <c r="ED103" s="138">
        <v>44075.0</v>
      </c>
      <c r="EE103" s="138">
        <v>44105.0</v>
      </c>
      <c r="EF103" s="138">
        <v>44136.0</v>
      </c>
      <c r="EG103" s="138">
        <v>44166.0</v>
      </c>
      <c r="EH103" s="138">
        <v>44197.0</v>
      </c>
      <c r="EI103" s="138">
        <v>44228.0</v>
      </c>
      <c r="EJ103" s="138">
        <v>44256.0</v>
      </c>
      <c r="EK103" s="138">
        <v>44287.0</v>
      </c>
      <c r="EL103" s="139">
        <v>44317.0</v>
      </c>
      <c r="EM103" s="139">
        <v>44348.0</v>
      </c>
      <c r="EN103" s="139">
        <v>44378.0</v>
      </c>
      <c r="EO103" s="139">
        <v>44409.0</v>
      </c>
      <c r="EP103" s="139">
        <v>44440.0</v>
      </c>
      <c r="EQ103" s="139">
        <v>44470.0</v>
      </c>
      <c r="ER103" s="139">
        <v>44501.0</v>
      </c>
      <c r="ES103" s="139">
        <v>44531.0</v>
      </c>
      <c r="ET103" s="139">
        <v>44562.0</v>
      </c>
      <c r="EU103" s="139">
        <v>44593.0</v>
      </c>
      <c r="EV103" s="139">
        <v>44621.0</v>
      </c>
      <c r="EW103" s="139">
        <v>44652.0</v>
      </c>
      <c r="EX103" s="139">
        <v>44682.0</v>
      </c>
      <c r="EY103" s="139">
        <v>44713.0</v>
      </c>
      <c r="EZ103" s="139">
        <v>44743.0</v>
      </c>
      <c r="FA103" s="139">
        <v>44774.0</v>
      </c>
      <c r="FB103" s="139">
        <v>44805.0</v>
      </c>
      <c r="FC103" s="139">
        <v>44835.0</v>
      </c>
      <c r="FD103" s="139">
        <v>44866.0</v>
      </c>
      <c r="FE103" s="139">
        <v>44896.0</v>
      </c>
      <c r="FF103" s="139">
        <v>44927.0</v>
      </c>
      <c r="FG103" s="139">
        <v>44958.0</v>
      </c>
      <c r="FH103" s="139">
        <v>44986.0</v>
      </c>
      <c r="FI103" s="139">
        <v>45017.0</v>
      </c>
      <c r="FJ103" s="139">
        <v>45047.0</v>
      </c>
      <c r="FK103" s="139">
        <v>45078.0</v>
      </c>
      <c r="FL103" s="139">
        <v>45108.0</v>
      </c>
      <c r="FM103" s="139">
        <v>45139.0</v>
      </c>
      <c r="FN103" s="139">
        <v>45170.0</v>
      </c>
      <c r="FO103" s="139">
        <v>45200.0</v>
      </c>
      <c r="FP103" s="139">
        <v>45231.0</v>
      </c>
      <c r="FQ103" s="139">
        <v>45261.0</v>
      </c>
      <c r="FR103" s="139">
        <v>45292.0</v>
      </c>
      <c r="FS103" s="139">
        <v>45323.0</v>
      </c>
      <c r="FT103" s="139">
        <v>45352.0</v>
      </c>
      <c r="FU103" s="139">
        <v>45383.0</v>
      </c>
      <c r="FV103" s="139">
        <v>45413.0</v>
      </c>
      <c r="FW103" s="139">
        <v>45444.0</v>
      </c>
      <c r="FX103" s="139">
        <v>45474.0</v>
      </c>
      <c r="FY103" s="139">
        <v>45505.0</v>
      </c>
      <c r="FZ103" s="139">
        <v>45536.0</v>
      </c>
      <c r="GA103" s="139">
        <v>45566.0</v>
      </c>
      <c r="GB103" s="139">
        <v>45597.0</v>
      </c>
      <c r="GC103" s="139">
        <v>45627.0</v>
      </c>
      <c r="GD103" s="139">
        <v>45658.0</v>
      </c>
      <c r="GE103" s="139">
        <v>45689.0</v>
      </c>
      <c r="GF103" s="139">
        <v>45717.0</v>
      </c>
      <c r="GG103" s="139">
        <v>45748.0</v>
      </c>
      <c r="GH103" s="139">
        <v>45778.0</v>
      </c>
      <c r="GI103" s="139">
        <v>45809.0</v>
      </c>
      <c r="GJ103" s="139">
        <v>45839.0</v>
      </c>
    </row>
    <row r="104">
      <c r="A104" s="133" t="s">
        <v>1782</v>
      </c>
      <c r="B104" s="134">
        <v>44365.775243055556</v>
      </c>
      <c r="C104" s="135" t="str">
        <f t="shared" si="1"/>
        <v>2021/06/18</v>
      </c>
      <c r="D104" s="136" t="s">
        <v>34298</v>
      </c>
      <c r="E104" s="151">
        <v>0.0</v>
      </c>
      <c r="F104" s="138">
        <v>40179.0</v>
      </c>
      <c r="G104" s="138">
        <v>40210.0</v>
      </c>
      <c r="H104" s="138">
        <v>40238.0</v>
      </c>
      <c r="I104" s="138">
        <v>40269.0</v>
      </c>
      <c r="J104" s="138">
        <v>40299.0</v>
      </c>
      <c r="K104" s="138">
        <v>40330.0</v>
      </c>
      <c r="L104" s="138">
        <v>40360.0</v>
      </c>
      <c r="M104" s="138">
        <v>40391.0</v>
      </c>
      <c r="N104" s="138">
        <v>40422.0</v>
      </c>
      <c r="O104" s="138">
        <v>40452.0</v>
      </c>
      <c r="P104" s="138">
        <v>40483.0</v>
      </c>
      <c r="Q104" s="138">
        <v>40513.0</v>
      </c>
      <c r="R104" s="138">
        <v>40544.0</v>
      </c>
      <c r="S104" s="138">
        <v>40575.0</v>
      </c>
      <c r="T104" s="138">
        <v>40603.0</v>
      </c>
      <c r="U104" s="138">
        <v>40634.0</v>
      </c>
      <c r="V104" s="138">
        <v>40664.0</v>
      </c>
      <c r="W104" s="138">
        <v>40695.0</v>
      </c>
      <c r="X104" s="138">
        <v>40725.0</v>
      </c>
      <c r="Y104" s="138">
        <v>40756.0</v>
      </c>
      <c r="Z104" s="138">
        <v>40787.0</v>
      </c>
      <c r="AA104" s="138">
        <v>40817.0</v>
      </c>
      <c r="AB104" s="138">
        <v>40848.0</v>
      </c>
      <c r="AC104" s="138">
        <v>40878.0</v>
      </c>
      <c r="AD104" s="138">
        <v>40909.0</v>
      </c>
      <c r="AE104" s="138">
        <v>40940.0</v>
      </c>
      <c r="AF104" s="138">
        <v>40969.0</v>
      </c>
      <c r="AG104" s="138">
        <v>41000.0</v>
      </c>
      <c r="AH104" s="138">
        <v>41030.0</v>
      </c>
      <c r="AI104" s="138">
        <v>41061.0</v>
      </c>
      <c r="AJ104" s="138">
        <v>41091.0</v>
      </c>
      <c r="AK104" s="138">
        <v>41122.0</v>
      </c>
      <c r="AL104" s="138">
        <v>41153.0</v>
      </c>
      <c r="AM104" s="138">
        <v>41183.0</v>
      </c>
      <c r="AN104" s="138">
        <v>41214.0</v>
      </c>
      <c r="AO104" s="138">
        <v>41244.0</v>
      </c>
      <c r="AP104" s="138">
        <v>41275.0</v>
      </c>
      <c r="AQ104" s="138">
        <v>41306.0</v>
      </c>
      <c r="AR104" s="138">
        <v>41334.0</v>
      </c>
      <c r="AS104" s="138">
        <v>41365.0</v>
      </c>
      <c r="AT104" s="138">
        <v>41395.0</v>
      </c>
      <c r="AU104" s="138">
        <v>41426.0</v>
      </c>
      <c r="AV104" s="138">
        <v>41456.0</v>
      </c>
      <c r="AW104" s="138">
        <v>41487.0</v>
      </c>
      <c r="AX104" s="138">
        <v>41518.0</v>
      </c>
      <c r="AY104" s="138">
        <v>41548.0</v>
      </c>
      <c r="AZ104" s="138">
        <v>41579.0</v>
      </c>
      <c r="BA104" s="138">
        <v>41609.0</v>
      </c>
      <c r="BB104" s="138">
        <v>41640.0</v>
      </c>
      <c r="BC104" s="138">
        <v>41671.0</v>
      </c>
      <c r="BD104" s="138">
        <v>41699.0</v>
      </c>
      <c r="BE104" s="138">
        <v>41730.0</v>
      </c>
      <c r="BF104" s="138">
        <v>41760.0</v>
      </c>
      <c r="BG104" s="138">
        <v>41791.0</v>
      </c>
      <c r="BH104" s="138">
        <v>41821.0</v>
      </c>
      <c r="BI104" s="138">
        <v>41852.0</v>
      </c>
      <c r="BJ104" s="138">
        <v>41883.0</v>
      </c>
      <c r="BK104" s="138">
        <v>41913.0</v>
      </c>
      <c r="BL104" s="138">
        <v>41944.0</v>
      </c>
      <c r="BM104" s="138">
        <v>41974.0</v>
      </c>
      <c r="BN104" s="138">
        <v>42005.0</v>
      </c>
      <c r="BO104" s="138">
        <v>42036.0</v>
      </c>
      <c r="BP104" s="138">
        <v>42064.0</v>
      </c>
      <c r="BQ104" s="138">
        <v>42095.0</v>
      </c>
      <c r="BR104" s="138">
        <v>42125.0</v>
      </c>
      <c r="BS104" s="138">
        <v>42156.0</v>
      </c>
      <c r="BT104" s="138">
        <v>42186.0</v>
      </c>
      <c r="BU104" s="138">
        <v>42217.0</v>
      </c>
      <c r="BV104" s="138">
        <v>42248.0</v>
      </c>
      <c r="BW104" s="138">
        <v>42278.0</v>
      </c>
      <c r="BX104" s="138">
        <v>42309.0</v>
      </c>
      <c r="BY104" s="138">
        <v>42339.0</v>
      </c>
      <c r="BZ104" s="138">
        <v>42370.0</v>
      </c>
      <c r="CA104" s="138">
        <v>42401.0</v>
      </c>
      <c r="CB104" s="138">
        <v>42430.0</v>
      </c>
      <c r="CC104" s="138">
        <v>42461.0</v>
      </c>
      <c r="CD104" s="138">
        <v>42491.0</v>
      </c>
      <c r="CE104" s="138">
        <v>42522.0</v>
      </c>
      <c r="CF104" s="138">
        <v>42552.0</v>
      </c>
      <c r="CG104" s="138">
        <v>42583.0</v>
      </c>
      <c r="CH104" s="138">
        <v>42614.0</v>
      </c>
      <c r="CI104" s="138">
        <v>42644.0</v>
      </c>
      <c r="CJ104" s="138">
        <v>42675.0</v>
      </c>
      <c r="CK104" s="138">
        <v>42705.0</v>
      </c>
      <c r="CL104" s="138">
        <v>42736.0</v>
      </c>
      <c r="CM104" s="138">
        <v>42767.0</v>
      </c>
      <c r="CN104" s="138">
        <v>42795.0</v>
      </c>
      <c r="CO104" s="138">
        <v>42826.0</v>
      </c>
      <c r="CP104" s="138">
        <v>42856.0</v>
      </c>
      <c r="CQ104" s="138">
        <v>42887.0</v>
      </c>
      <c r="CR104" s="138">
        <v>42917.0</v>
      </c>
      <c r="CS104" s="138">
        <v>42948.0</v>
      </c>
      <c r="CT104" s="138">
        <v>42979.0</v>
      </c>
      <c r="CU104" s="138">
        <v>43009.0</v>
      </c>
      <c r="CV104" s="138">
        <v>43040.0</v>
      </c>
      <c r="CW104" s="138">
        <v>43070.0</v>
      </c>
      <c r="CX104" s="138">
        <v>43101.0</v>
      </c>
      <c r="CY104" s="138">
        <v>43132.0</v>
      </c>
      <c r="CZ104" s="138">
        <v>43160.0</v>
      </c>
      <c r="DA104" s="138">
        <v>43191.0</v>
      </c>
      <c r="DB104" s="138">
        <v>43221.0</v>
      </c>
      <c r="DC104" s="138">
        <v>43252.0</v>
      </c>
      <c r="DD104" s="138">
        <v>43282.0</v>
      </c>
      <c r="DE104" s="138">
        <v>43313.0</v>
      </c>
      <c r="DF104" s="138">
        <v>43344.0</v>
      </c>
      <c r="DG104" s="138">
        <v>43374.0</v>
      </c>
      <c r="DH104" s="138">
        <v>43405.0</v>
      </c>
      <c r="DI104" s="138">
        <v>43435.0</v>
      </c>
      <c r="DJ104" s="138">
        <v>43466.0</v>
      </c>
      <c r="DK104" s="138">
        <v>43497.0</v>
      </c>
      <c r="DL104" s="138">
        <v>43525.0</v>
      </c>
      <c r="DM104" s="138">
        <v>43556.0</v>
      </c>
      <c r="DN104" s="138">
        <v>43586.0</v>
      </c>
      <c r="DO104" s="138">
        <v>43617.0</v>
      </c>
      <c r="DP104" s="138">
        <v>43647.0</v>
      </c>
      <c r="DQ104" s="138">
        <v>43678.0</v>
      </c>
      <c r="DR104" s="138">
        <v>43709.0</v>
      </c>
      <c r="DS104" s="138">
        <v>43739.0</v>
      </c>
      <c r="DT104" s="138">
        <v>43770.0</v>
      </c>
      <c r="DU104" s="138">
        <v>43800.0</v>
      </c>
      <c r="DV104" s="138">
        <v>43831.0</v>
      </c>
      <c r="DW104" s="138">
        <v>43862.0</v>
      </c>
      <c r="DX104" s="138">
        <v>43891.0</v>
      </c>
      <c r="DY104" s="138">
        <v>43922.0</v>
      </c>
      <c r="DZ104" s="138">
        <v>43952.0</v>
      </c>
      <c r="EA104" s="138">
        <v>43983.0</v>
      </c>
      <c r="EB104" s="138">
        <v>44013.0</v>
      </c>
      <c r="EC104" s="138">
        <v>44044.0</v>
      </c>
      <c r="ED104" s="138">
        <v>44075.0</v>
      </c>
      <c r="EE104" s="138">
        <v>44105.0</v>
      </c>
      <c r="EF104" s="138">
        <v>44136.0</v>
      </c>
      <c r="EG104" s="138">
        <v>44166.0</v>
      </c>
      <c r="EH104" s="138">
        <v>44197.0</v>
      </c>
      <c r="EI104" s="138">
        <v>44228.0</v>
      </c>
      <c r="EJ104" s="138">
        <v>44256.0</v>
      </c>
      <c r="EK104" s="138">
        <v>44287.0</v>
      </c>
      <c r="EL104" s="138">
        <v>44317.0</v>
      </c>
      <c r="EM104" s="138">
        <v>44348.0</v>
      </c>
      <c r="EN104" s="139">
        <v>44378.0</v>
      </c>
      <c r="EO104" s="139">
        <v>44409.0</v>
      </c>
      <c r="EP104" s="139">
        <v>44440.0</v>
      </c>
      <c r="EQ104" s="139">
        <v>44470.0</v>
      </c>
      <c r="ER104" s="139">
        <v>44501.0</v>
      </c>
      <c r="ES104" s="139">
        <v>44531.0</v>
      </c>
      <c r="ET104" s="139">
        <v>44562.0</v>
      </c>
      <c r="EU104" s="139">
        <v>44593.0</v>
      </c>
      <c r="EV104" s="139">
        <v>44621.0</v>
      </c>
      <c r="EW104" s="139">
        <v>44652.0</v>
      </c>
      <c r="EX104" s="139">
        <v>44682.0</v>
      </c>
      <c r="EY104" s="139">
        <v>44713.0</v>
      </c>
      <c r="EZ104" s="139">
        <v>44743.0</v>
      </c>
      <c r="FA104" s="139">
        <v>44774.0</v>
      </c>
      <c r="FB104" s="139">
        <v>44805.0</v>
      </c>
      <c r="FC104" s="139">
        <v>44835.0</v>
      </c>
      <c r="FD104" s="139">
        <v>44866.0</v>
      </c>
      <c r="FE104" s="139">
        <v>44896.0</v>
      </c>
      <c r="FF104" s="139">
        <v>44927.0</v>
      </c>
      <c r="FG104" s="139">
        <v>44958.0</v>
      </c>
      <c r="FH104" s="139">
        <v>44986.0</v>
      </c>
      <c r="FI104" s="139">
        <v>45017.0</v>
      </c>
      <c r="FJ104" s="139">
        <v>45047.0</v>
      </c>
      <c r="FK104" s="139">
        <v>45078.0</v>
      </c>
      <c r="FL104" s="139">
        <v>45108.0</v>
      </c>
      <c r="FM104" s="139">
        <v>45139.0</v>
      </c>
      <c r="FN104" s="139">
        <v>45170.0</v>
      </c>
      <c r="FO104" s="139">
        <v>45200.0</v>
      </c>
      <c r="FP104" s="139">
        <v>45231.0</v>
      </c>
      <c r="FQ104" s="139">
        <v>45261.0</v>
      </c>
      <c r="FR104" s="139">
        <v>45292.0</v>
      </c>
      <c r="FS104" s="139">
        <v>45323.0</v>
      </c>
      <c r="FT104" s="139">
        <v>45352.0</v>
      </c>
      <c r="FU104" s="139">
        <v>45383.0</v>
      </c>
      <c r="FV104" s="139">
        <v>45413.0</v>
      </c>
      <c r="FW104" s="139">
        <v>45444.0</v>
      </c>
      <c r="FX104" s="139">
        <v>45474.0</v>
      </c>
      <c r="FY104" s="139">
        <v>45505.0</v>
      </c>
      <c r="FZ104" s="139">
        <v>45536.0</v>
      </c>
      <c r="GA104" s="139">
        <v>45566.0</v>
      </c>
      <c r="GB104" s="139">
        <v>45597.0</v>
      </c>
      <c r="GC104" s="139">
        <v>45627.0</v>
      </c>
      <c r="GD104" s="139">
        <v>45658.0</v>
      </c>
      <c r="GE104" s="139">
        <v>45689.0</v>
      </c>
      <c r="GF104" s="139">
        <v>45717.0</v>
      </c>
      <c r="GG104" s="139">
        <v>45748.0</v>
      </c>
      <c r="GH104" s="139">
        <v>45778.0</v>
      </c>
      <c r="GI104" s="139">
        <v>45809.0</v>
      </c>
      <c r="GJ104" s="139">
        <v>45839.0</v>
      </c>
    </row>
    <row r="105">
      <c r="A105" s="133" t="s">
        <v>1847</v>
      </c>
      <c r="B105" s="134">
        <v>44383.77442129629</v>
      </c>
      <c r="C105" s="135" t="str">
        <f t="shared" si="1"/>
        <v>2021/07/06</v>
      </c>
      <c r="D105" s="136" t="s">
        <v>34299</v>
      </c>
      <c r="E105" s="151">
        <v>0.0</v>
      </c>
      <c r="F105" s="138">
        <v>40179.0</v>
      </c>
      <c r="G105" s="138">
        <v>40210.0</v>
      </c>
      <c r="H105" s="138">
        <v>40238.0</v>
      </c>
      <c r="I105" s="138">
        <v>40269.0</v>
      </c>
      <c r="J105" s="138">
        <v>40299.0</v>
      </c>
      <c r="K105" s="138">
        <v>40330.0</v>
      </c>
      <c r="L105" s="138">
        <v>40360.0</v>
      </c>
      <c r="M105" s="138">
        <v>40391.0</v>
      </c>
      <c r="N105" s="138">
        <v>40422.0</v>
      </c>
      <c r="O105" s="138">
        <v>40452.0</v>
      </c>
      <c r="P105" s="138">
        <v>40483.0</v>
      </c>
      <c r="Q105" s="138">
        <v>40513.0</v>
      </c>
      <c r="R105" s="138">
        <v>40544.0</v>
      </c>
      <c r="S105" s="138">
        <v>40575.0</v>
      </c>
      <c r="T105" s="138">
        <v>40603.0</v>
      </c>
      <c r="U105" s="138">
        <v>40634.0</v>
      </c>
      <c r="V105" s="138">
        <v>40664.0</v>
      </c>
      <c r="W105" s="138">
        <v>40695.0</v>
      </c>
      <c r="X105" s="138">
        <v>40725.0</v>
      </c>
      <c r="Y105" s="138">
        <v>40756.0</v>
      </c>
      <c r="Z105" s="138">
        <v>40787.0</v>
      </c>
      <c r="AA105" s="138">
        <v>40817.0</v>
      </c>
      <c r="AB105" s="138">
        <v>40848.0</v>
      </c>
      <c r="AC105" s="138">
        <v>40878.0</v>
      </c>
      <c r="AD105" s="138">
        <v>40909.0</v>
      </c>
      <c r="AE105" s="138">
        <v>40940.0</v>
      </c>
      <c r="AF105" s="138">
        <v>40969.0</v>
      </c>
      <c r="AG105" s="138">
        <v>41000.0</v>
      </c>
      <c r="AH105" s="138">
        <v>41030.0</v>
      </c>
      <c r="AI105" s="138">
        <v>41061.0</v>
      </c>
      <c r="AJ105" s="138">
        <v>41091.0</v>
      </c>
      <c r="AK105" s="138">
        <v>41122.0</v>
      </c>
      <c r="AL105" s="138">
        <v>41153.0</v>
      </c>
      <c r="AM105" s="138">
        <v>41183.0</v>
      </c>
      <c r="AN105" s="138">
        <v>41214.0</v>
      </c>
      <c r="AO105" s="138">
        <v>41244.0</v>
      </c>
      <c r="AP105" s="138">
        <v>41275.0</v>
      </c>
      <c r="AQ105" s="138">
        <v>41306.0</v>
      </c>
      <c r="AR105" s="138">
        <v>41334.0</v>
      </c>
      <c r="AS105" s="138">
        <v>41365.0</v>
      </c>
      <c r="AT105" s="138">
        <v>41395.0</v>
      </c>
      <c r="AU105" s="138">
        <v>41426.0</v>
      </c>
      <c r="AV105" s="138">
        <v>41456.0</v>
      </c>
      <c r="AW105" s="138">
        <v>41487.0</v>
      </c>
      <c r="AX105" s="138">
        <v>41518.0</v>
      </c>
      <c r="AY105" s="138">
        <v>41548.0</v>
      </c>
      <c r="AZ105" s="138">
        <v>41579.0</v>
      </c>
      <c r="BA105" s="138">
        <v>41609.0</v>
      </c>
      <c r="BB105" s="138">
        <v>41640.0</v>
      </c>
      <c r="BC105" s="138">
        <v>41671.0</v>
      </c>
      <c r="BD105" s="138">
        <v>41699.0</v>
      </c>
      <c r="BE105" s="138">
        <v>41730.0</v>
      </c>
      <c r="BF105" s="138">
        <v>41760.0</v>
      </c>
      <c r="BG105" s="138">
        <v>41791.0</v>
      </c>
      <c r="BH105" s="138">
        <v>41821.0</v>
      </c>
      <c r="BI105" s="138">
        <v>41852.0</v>
      </c>
      <c r="BJ105" s="138">
        <v>41883.0</v>
      </c>
      <c r="BK105" s="138">
        <v>41913.0</v>
      </c>
      <c r="BL105" s="138">
        <v>41944.0</v>
      </c>
      <c r="BM105" s="138">
        <v>41974.0</v>
      </c>
      <c r="BN105" s="138">
        <v>42005.0</v>
      </c>
      <c r="BO105" s="138">
        <v>42036.0</v>
      </c>
      <c r="BP105" s="138">
        <v>42064.0</v>
      </c>
      <c r="BQ105" s="138">
        <v>42095.0</v>
      </c>
      <c r="BR105" s="138">
        <v>42125.0</v>
      </c>
      <c r="BS105" s="138">
        <v>42156.0</v>
      </c>
      <c r="BT105" s="138">
        <v>42186.0</v>
      </c>
      <c r="BU105" s="138">
        <v>42217.0</v>
      </c>
      <c r="BV105" s="138">
        <v>42248.0</v>
      </c>
      <c r="BW105" s="138">
        <v>42278.0</v>
      </c>
      <c r="BX105" s="138">
        <v>42309.0</v>
      </c>
      <c r="BY105" s="138">
        <v>42339.0</v>
      </c>
      <c r="BZ105" s="138">
        <v>42370.0</v>
      </c>
      <c r="CA105" s="138">
        <v>42401.0</v>
      </c>
      <c r="CB105" s="138">
        <v>42430.0</v>
      </c>
      <c r="CC105" s="138">
        <v>42461.0</v>
      </c>
      <c r="CD105" s="138">
        <v>42491.0</v>
      </c>
      <c r="CE105" s="138">
        <v>42522.0</v>
      </c>
      <c r="CF105" s="138">
        <v>42552.0</v>
      </c>
      <c r="CG105" s="138">
        <v>42583.0</v>
      </c>
      <c r="CH105" s="138">
        <v>42614.0</v>
      </c>
      <c r="CI105" s="138">
        <v>42644.0</v>
      </c>
      <c r="CJ105" s="138">
        <v>42675.0</v>
      </c>
      <c r="CK105" s="138">
        <v>42705.0</v>
      </c>
      <c r="CL105" s="138">
        <v>42736.0</v>
      </c>
      <c r="CM105" s="138">
        <v>42767.0</v>
      </c>
      <c r="CN105" s="138">
        <v>42795.0</v>
      </c>
      <c r="CO105" s="138">
        <v>42826.0</v>
      </c>
      <c r="CP105" s="138">
        <v>42856.0</v>
      </c>
      <c r="CQ105" s="138">
        <v>42887.0</v>
      </c>
      <c r="CR105" s="138">
        <v>42917.0</v>
      </c>
      <c r="CS105" s="138">
        <v>42948.0</v>
      </c>
      <c r="CT105" s="138">
        <v>42979.0</v>
      </c>
      <c r="CU105" s="138">
        <v>43009.0</v>
      </c>
      <c r="CV105" s="138">
        <v>43040.0</v>
      </c>
      <c r="CW105" s="138">
        <v>43070.0</v>
      </c>
      <c r="CX105" s="138">
        <v>43101.0</v>
      </c>
      <c r="CY105" s="138">
        <v>43132.0</v>
      </c>
      <c r="CZ105" s="138">
        <v>43160.0</v>
      </c>
      <c r="DA105" s="138">
        <v>43191.0</v>
      </c>
      <c r="DB105" s="138">
        <v>43221.0</v>
      </c>
      <c r="DC105" s="138">
        <v>43252.0</v>
      </c>
      <c r="DD105" s="138">
        <v>43282.0</v>
      </c>
      <c r="DE105" s="138">
        <v>43313.0</v>
      </c>
      <c r="DF105" s="138">
        <v>43344.0</v>
      </c>
      <c r="DG105" s="138">
        <v>43374.0</v>
      </c>
      <c r="DH105" s="138">
        <v>43405.0</v>
      </c>
      <c r="DI105" s="138">
        <v>43435.0</v>
      </c>
      <c r="DJ105" s="138">
        <v>43466.0</v>
      </c>
      <c r="DK105" s="138">
        <v>43497.0</v>
      </c>
      <c r="DL105" s="138">
        <v>43525.0</v>
      </c>
      <c r="DM105" s="138">
        <v>43556.0</v>
      </c>
      <c r="DN105" s="138">
        <v>43586.0</v>
      </c>
      <c r="DO105" s="138">
        <v>43617.0</v>
      </c>
      <c r="DP105" s="138">
        <v>43647.0</v>
      </c>
      <c r="DQ105" s="138">
        <v>43678.0</v>
      </c>
      <c r="DR105" s="138">
        <v>43709.0</v>
      </c>
      <c r="DS105" s="138">
        <v>43739.0</v>
      </c>
      <c r="DT105" s="138">
        <v>43770.0</v>
      </c>
      <c r="DU105" s="138">
        <v>43800.0</v>
      </c>
      <c r="DV105" s="138">
        <v>43831.0</v>
      </c>
      <c r="DW105" s="138">
        <v>43862.0</v>
      </c>
      <c r="DX105" s="138">
        <v>43891.0</v>
      </c>
      <c r="DY105" s="138">
        <v>43922.0</v>
      </c>
      <c r="DZ105" s="138">
        <v>43952.0</v>
      </c>
      <c r="EA105" s="138">
        <v>43983.0</v>
      </c>
      <c r="EB105" s="138">
        <v>44013.0</v>
      </c>
      <c r="EC105" s="138">
        <v>44044.0</v>
      </c>
      <c r="ED105" s="138">
        <v>44075.0</v>
      </c>
      <c r="EE105" s="138">
        <v>44105.0</v>
      </c>
      <c r="EF105" s="138">
        <v>44136.0</v>
      </c>
      <c r="EG105" s="138">
        <v>44166.0</v>
      </c>
      <c r="EH105" s="138">
        <v>44197.0</v>
      </c>
      <c r="EI105" s="138">
        <v>44228.0</v>
      </c>
      <c r="EJ105" s="138">
        <v>44256.0</v>
      </c>
      <c r="EK105" s="138">
        <v>44287.0</v>
      </c>
      <c r="EL105" s="138">
        <v>44317.0</v>
      </c>
      <c r="EM105" s="138">
        <v>44348.0</v>
      </c>
      <c r="EN105" s="138">
        <v>44378.0</v>
      </c>
      <c r="EO105" s="139">
        <v>44409.0</v>
      </c>
      <c r="EP105" s="139">
        <v>44440.0</v>
      </c>
      <c r="EQ105" s="139">
        <v>44470.0</v>
      </c>
      <c r="ER105" s="139">
        <v>44501.0</v>
      </c>
      <c r="ES105" s="139">
        <v>44531.0</v>
      </c>
      <c r="ET105" s="139">
        <v>44562.0</v>
      </c>
      <c r="EU105" s="139">
        <v>44593.0</v>
      </c>
      <c r="EV105" s="139">
        <v>44621.0</v>
      </c>
      <c r="EW105" s="139">
        <v>44652.0</v>
      </c>
      <c r="EX105" s="139">
        <v>44682.0</v>
      </c>
      <c r="EY105" s="139">
        <v>44713.0</v>
      </c>
      <c r="EZ105" s="139">
        <v>44743.0</v>
      </c>
      <c r="FA105" s="139">
        <v>44774.0</v>
      </c>
      <c r="FB105" s="139">
        <v>44805.0</v>
      </c>
      <c r="FC105" s="139">
        <v>44835.0</v>
      </c>
      <c r="FD105" s="139">
        <v>44866.0</v>
      </c>
      <c r="FE105" s="139">
        <v>44896.0</v>
      </c>
      <c r="FF105" s="139">
        <v>44927.0</v>
      </c>
      <c r="FG105" s="139">
        <v>44958.0</v>
      </c>
      <c r="FH105" s="139">
        <v>44986.0</v>
      </c>
      <c r="FI105" s="139">
        <v>45017.0</v>
      </c>
      <c r="FJ105" s="139">
        <v>45047.0</v>
      </c>
      <c r="FK105" s="139">
        <v>45078.0</v>
      </c>
      <c r="FL105" s="139">
        <v>45108.0</v>
      </c>
      <c r="FM105" s="139">
        <v>45139.0</v>
      </c>
      <c r="FN105" s="139">
        <v>45170.0</v>
      </c>
      <c r="FO105" s="139">
        <v>45200.0</v>
      </c>
      <c r="FP105" s="139">
        <v>45231.0</v>
      </c>
      <c r="FQ105" s="139">
        <v>45261.0</v>
      </c>
      <c r="FR105" s="139">
        <v>45292.0</v>
      </c>
      <c r="FS105" s="139">
        <v>45323.0</v>
      </c>
      <c r="FT105" s="139">
        <v>45352.0</v>
      </c>
      <c r="FU105" s="139">
        <v>45383.0</v>
      </c>
      <c r="FV105" s="139">
        <v>45413.0</v>
      </c>
      <c r="FW105" s="139">
        <v>45444.0</v>
      </c>
      <c r="FX105" s="139">
        <v>45474.0</v>
      </c>
      <c r="FY105" s="139">
        <v>45505.0</v>
      </c>
      <c r="FZ105" s="139">
        <v>45536.0</v>
      </c>
      <c r="GA105" s="139">
        <v>45566.0</v>
      </c>
      <c r="GB105" s="139">
        <v>45597.0</v>
      </c>
      <c r="GC105" s="139">
        <v>45627.0</v>
      </c>
      <c r="GD105" s="139">
        <v>45658.0</v>
      </c>
      <c r="GE105" s="139">
        <v>45689.0</v>
      </c>
      <c r="GF105" s="139">
        <v>45717.0</v>
      </c>
      <c r="GG105" s="139">
        <v>45748.0</v>
      </c>
      <c r="GH105" s="139">
        <v>45778.0</v>
      </c>
      <c r="GI105" s="139">
        <v>45809.0</v>
      </c>
      <c r="GJ105" s="139">
        <v>45839.0</v>
      </c>
    </row>
    <row r="106">
      <c r="A106" s="133" t="s">
        <v>1797</v>
      </c>
      <c r="B106" s="134">
        <v>44456.49118055555</v>
      </c>
      <c r="C106" s="135" t="str">
        <f t="shared" si="1"/>
        <v>2021/09/17</v>
      </c>
      <c r="D106" s="136" t="s">
        <v>33912</v>
      </c>
      <c r="E106" s="151">
        <v>0.0</v>
      </c>
      <c r="F106" s="138">
        <v>40179.0</v>
      </c>
      <c r="G106" s="138">
        <v>40210.0</v>
      </c>
      <c r="H106" s="138">
        <v>40238.0</v>
      </c>
      <c r="I106" s="138">
        <v>40269.0</v>
      </c>
      <c r="J106" s="138">
        <v>40299.0</v>
      </c>
      <c r="K106" s="138">
        <v>40330.0</v>
      </c>
      <c r="L106" s="138">
        <v>40360.0</v>
      </c>
      <c r="M106" s="138">
        <v>40391.0</v>
      </c>
      <c r="N106" s="138">
        <v>40422.0</v>
      </c>
      <c r="O106" s="138">
        <v>40452.0</v>
      </c>
      <c r="P106" s="138">
        <v>40483.0</v>
      </c>
      <c r="Q106" s="138">
        <v>40513.0</v>
      </c>
      <c r="R106" s="138">
        <v>40544.0</v>
      </c>
      <c r="S106" s="138">
        <v>40575.0</v>
      </c>
      <c r="T106" s="138">
        <v>40603.0</v>
      </c>
      <c r="U106" s="138">
        <v>40634.0</v>
      </c>
      <c r="V106" s="138">
        <v>40664.0</v>
      </c>
      <c r="W106" s="138">
        <v>40695.0</v>
      </c>
      <c r="X106" s="138">
        <v>40725.0</v>
      </c>
      <c r="Y106" s="138">
        <v>40756.0</v>
      </c>
      <c r="Z106" s="138">
        <v>40787.0</v>
      </c>
      <c r="AA106" s="138">
        <v>40817.0</v>
      </c>
      <c r="AB106" s="138">
        <v>40848.0</v>
      </c>
      <c r="AC106" s="138">
        <v>40878.0</v>
      </c>
      <c r="AD106" s="138">
        <v>40909.0</v>
      </c>
      <c r="AE106" s="138">
        <v>40940.0</v>
      </c>
      <c r="AF106" s="138">
        <v>40969.0</v>
      </c>
      <c r="AG106" s="138">
        <v>41000.0</v>
      </c>
      <c r="AH106" s="138">
        <v>41030.0</v>
      </c>
      <c r="AI106" s="138">
        <v>41061.0</v>
      </c>
      <c r="AJ106" s="138">
        <v>41091.0</v>
      </c>
      <c r="AK106" s="138">
        <v>41122.0</v>
      </c>
      <c r="AL106" s="138">
        <v>41153.0</v>
      </c>
      <c r="AM106" s="138">
        <v>41183.0</v>
      </c>
      <c r="AN106" s="138">
        <v>41214.0</v>
      </c>
      <c r="AO106" s="138">
        <v>41244.0</v>
      </c>
      <c r="AP106" s="138">
        <v>41275.0</v>
      </c>
      <c r="AQ106" s="138">
        <v>41306.0</v>
      </c>
      <c r="AR106" s="138">
        <v>41334.0</v>
      </c>
      <c r="AS106" s="138">
        <v>41365.0</v>
      </c>
      <c r="AT106" s="138">
        <v>41395.0</v>
      </c>
      <c r="AU106" s="138">
        <v>41426.0</v>
      </c>
      <c r="AV106" s="138">
        <v>41456.0</v>
      </c>
      <c r="AW106" s="138">
        <v>41487.0</v>
      </c>
      <c r="AX106" s="138">
        <v>41518.0</v>
      </c>
      <c r="AY106" s="138">
        <v>41548.0</v>
      </c>
      <c r="AZ106" s="138">
        <v>41579.0</v>
      </c>
      <c r="BA106" s="138">
        <v>41609.0</v>
      </c>
      <c r="BB106" s="138">
        <v>41640.0</v>
      </c>
      <c r="BC106" s="138">
        <v>41671.0</v>
      </c>
      <c r="BD106" s="138">
        <v>41699.0</v>
      </c>
      <c r="BE106" s="138">
        <v>41730.0</v>
      </c>
      <c r="BF106" s="138">
        <v>41760.0</v>
      </c>
      <c r="BG106" s="138">
        <v>41791.0</v>
      </c>
      <c r="BH106" s="138">
        <v>41821.0</v>
      </c>
      <c r="BI106" s="138">
        <v>41852.0</v>
      </c>
      <c r="BJ106" s="138">
        <v>41883.0</v>
      </c>
      <c r="BK106" s="138">
        <v>41913.0</v>
      </c>
      <c r="BL106" s="138">
        <v>41944.0</v>
      </c>
      <c r="BM106" s="138">
        <v>41974.0</v>
      </c>
      <c r="BN106" s="138">
        <v>42005.0</v>
      </c>
      <c r="BO106" s="138">
        <v>42036.0</v>
      </c>
      <c r="BP106" s="138">
        <v>42064.0</v>
      </c>
      <c r="BQ106" s="138">
        <v>42095.0</v>
      </c>
      <c r="BR106" s="138">
        <v>42125.0</v>
      </c>
      <c r="BS106" s="138">
        <v>42156.0</v>
      </c>
      <c r="BT106" s="138">
        <v>42186.0</v>
      </c>
      <c r="BU106" s="138">
        <v>42217.0</v>
      </c>
      <c r="BV106" s="138">
        <v>42248.0</v>
      </c>
      <c r="BW106" s="138">
        <v>42278.0</v>
      </c>
      <c r="BX106" s="138">
        <v>42309.0</v>
      </c>
      <c r="BY106" s="138">
        <v>42339.0</v>
      </c>
      <c r="BZ106" s="138">
        <v>42370.0</v>
      </c>
      <c r="CA106" s="138">
        <v>42401.0</v>
      </c>
      <c r="CB106" s="138">
        <v>42430.0</v>
      </c>
      <c r="CC106" s="138">
        <v>42461.0</v>
      </c>
      <c r="CD106" s="138">
        <v>42491.0</v>
      </c>
      <c r="CE106" s="138">
        <v>42522.0</v>
      </c>
      <c r="CF106" s="138">
        <v>42552.0</v>
      </c>
      <c r="CG106" s="138">
        <v>42583.0</v>
      </c>
      <c r="CH106" s="138">
        <v>42614.0</v>
      </c>
      <c r="CI106" s="138">
        <v>42644.0</v>
      </c>
      <c r="CJ106" s="138">
        <v>42675.0</v>
      </c>
      <c r="CK106" s="138">
        <v>42705.0</v>
      </c>
      <c r="CL106" s="138">
        <v>42736.0</v>
      </c>
      <c r="CM106" s="138">
        <v>42767.0</v>
      </c>
      <c r="CN106" s="138">
        <v>42795.0</v>
      </c>
      <c r="CO106" s="138">
        <v>42826.0</v>
      </c>
      <c r="CP106" s="138">
        <v>42856.0</v>
      </c>
      <c r="CQ106" s="138">
        <v>42887.0</v>
      </c>
      <c r="CR106" s="138">
        <v>42917.0</v>
      </c>
      <c r="CS106" s="138">
        <v>42948.0</v>
      </c>
      <c r="CT106" s="138">
        <v>42979.0</v>
      </c>
      <c r="CU106" s="138">
        <v>43009.0</v>
      </c>
      <c r="CV106" s="138">
        <v>43040.0</v>
      </c>
      <c r="CW106" s="138">
        <v>43070.0</v>
      </c>
      <c r="CX106" s="138">
        <v>43101.0</v>
      </c>
      <c r="CY106" s="138">
        <v>43132.0</v>
      </c>
      <c r="CZ106" s="138">
        <v>43160.0</v>
      </c>
      <c r="DA106" s="138">
        <v>43191.0</v>
      </c>
      <c r="DB106" s="138">
        <v>43221.0</v>
      </c>
      <c r="DC106" s="138">
        <v>43252.0</v>
      </c>
      <c r="DD106" s="138">
        <v>43282.0</v>
      </c>
      <c r="DE106" s="138">
        <v>43313.0</v>
      </c>
      <c r="DF106" s="138">
        <v>43344.0</v>
      </c>
      <c r="DG106" s="138">
        <v>43374.0</v>
      </c>
      <c r="DH106" s="138">
        <v>43405.0</v>
      </c>
      <c r="DI106" s="138">
        <v>43435.0</v>
      </c>
      <c r="DJ106" s="138">
        <v>43466.0</v>
      </c>
      <c r="DK106" s="138">
        <v>43497.0</v>
      </c>
      <c r="DL106" s="138">
        <v>43525.0</v>
      </c>
      <c r="DM106" s="138">
        <v>43556.0</v>
      </c>
      <c r="DN106" s="138">
        <v>43586.0</v>
      </c>
      <c r="DO106" s="138">
        <v>43617.0</v>
      </c>
      <c r="DP106" s="138">
        <v>43647.0</v>
      </c>
      <c r="DQ106" s="138">
        <v>43678.0</v>
      </c>
      <c r="DR106" s="138">
        <v>43709.0</v>
      </c>
      <c r="DS106" s="138">
        <v>43739.0</v>
      </c>
      <c r="DT106" s="138">
        <v>43770.0</v>
      </c>
      <c r="DU106" s="138">
        <v>43800.0</v>
      </c>
      <c r="DV106" s="138">
        <v>43831.0</v>
      </c>
      <c r="DW106" s="138">
        <v>43862.0</v>
      </c>
      <c r="DX106" s="138">
        <v>43891.0</v>
      </c>
      <c r="DY106" s="138">
        <v>43922.0</v>
      </c>
      <c r="DZ106" s="138">
        <v>43952.0</v>
      </c>
      <c r="EA106" s="138">
        <v>43983.0</v>
      </c>
      <c r="EB106" s="138">
        <v>44013.0</v>
      </c>
      <c r="EC106" s="138">
        <v>44044.0</v>
      </c>
      <c r="ED106" s="138">
        <v>44075.0</v>
      </c>
      <c r="EE106" s="138">
        <v>44105.0</v>
      </c>
      <c r="EF106" s="138">
        <v>44136.0</v>
      </c>
      <c r="EG106" s="138">
        <v>44166.0</v>
      </c>
      <c r="EH106" s="138">
        <v>44197.0</v>
      </c>
      <c r="EI106" s="138">
        <v>44228.0</v>
      </c>
      <c r="EJ106" s="138">
        <v>44256.0</v>
      </c>
      <c r="EK106" s="138">
        <v>44287.0</v>
      </c>
      <c r="EL106" s="138">
        <v>44317.0</v>
      </c>
      <c r="EM106" s="138">
        <v>44348.0</v>
      </c>
      <c r="EN106" s="138">
        <v>44378.0</v>
      </c>
      <c r="EO106" s="138">
        <v>44409.0</v>
      </c>
      <c r="EP106" s="138">
        <v>44440.0</v>
      </c>
      <c r="EQ106" s="139">
        <v>44470.0</v>
      </c>
      <c r="ER106" s="139">
        <v>44501.0</v>
      </c>
      <c r="ES106" s="139">
        <v>44531.0</v>
      </c>
      <c r="ET106" s="139">
        <v>44562.0</v>
      </c>
      <c r="EU106" s="139">
        <v>44593.0</v>
      </c>
      <c r="EV106" s="139">
        <v>44621.0</v>
      </c>
      <c r="EW106" s="139">
        <v>44652.0</v>
      </c>
      <c r="EX106" s="139">
        <v>44682.0</v>
      </c>
      <c r="EY106" s="139">
        <v>44713.0</v>
      </c>
      <c r="EZ106" s="139">
        <v>44743.0</v>
      </c>
      <c r="FA106" s="139">
        <v>44774.0</v>
      </c>
      <c r="FB106" s="139">
        <v>44805.0</v>
      </c>
      <c r="FC106" s="139">
        <v>44835.0</v>
      </c>
      <c r="FD106" s="139">
        <v>44866.0</v>
      </c>
      <c r="FE106" s="139">
        <v>44896.0</v>
      </c>
      <c r="FF106" s="139">
        <v>44927.0</v>
      </c>
      <c r="FG106" s="139">
        <v>44958.0</v>
      </c>
      <c r="FH106" s="139">
        <v>44986.0</v>
      </c>
      <c r="FI106" s="139">
        <v>45017.0</v>
      </c>
      <c r="FJ106" s="139">
        <v>45047.0</v>
      </c>
      <c r="FK106" s="139">
        <v>45078.0</v>
      </c>
      <c r="FL106" s="139">
        <v>45108.0</v>
      </c>
      <c r="FM106" s="139">
        <v>45139.0</v>
      </c>
      <c r="FN106" s="139">
        <v>45170.0</v>
      </c>
      <c r="FO106" s="139">
        <v>45200.0</v>
      </c>
      <c r="FP106" s="139">
        <v>45231.0</v>
      </c>
      <c r="FQ106" s="139">
        <v>45261.0</v>
      </c>
      <c r="FR106" s="139">
        <v>45292.0</v>
      </c>
      <c r="FS106" s="139">
        <v>45323.0</v>
      </c>
      <c r="FT106" s="139">
        <v>45352.0</v>
      </c>
      <c r="FU106" s="139">
        <v>45383.0</v>
      </c>
      <c r="FV106" s="139">
        <v>45413.0</v>
      </c>
      <c r="FW106" s="139">
        <v>45444.0</v>
      </c>
      <c r="FX106" s="139">
        <v>45474.0</v>
      </c>
      <c r="FY106" s="139">
        <v>45505.0</v>
      </c>
      <c r="FZ106" s="139">
        <v>45536.0</v>
      </c>
      <c r="GA106" s="139">
        <v>45566.0</v>
      </c>
      <c r="GB106" s="139">
        <v>45597.0</v>
      </c>
      <c r="GC106" s="139">
        <v>45627.0</v>
      </c>
      <c r="GD106" s="139">
        <v>45658.0</v>
      </c>
      <c r="GE106" s="139">
        <v>45689.0</v>
      </c>
      <c r="GF106" s="139">
        <v>45717.0</v>
      </c>
      <c r="GG106" s="139">
        <v>45748.0</v>
      </c>
      <c r="GH106" s="139">
        <v>45778.0</v>
      </c>
      <c r="GI106" s="139">
        <v>45809.0</v>
      </c>
      <c r="GJ106" s="139">
        <v>45839.0</v>
      </c>
    </row>
    <row r="107">
      <c r="A107" s="133" t="s">
        <v>1543</v>
      </c>
      <c r="B107" s="134">
        <v>44652.65846064815</v>
      </c>
      <c r="C107" s="135" t="str">
        <f t="shared" si="1"/>
        <v>2022/04/01</v>
      </c>
      <c r="D107" s="136" t="s">
        <v>34300</v>
      </c>
      <c r="E107" s="151">
        <v>0.0</v>
      </c>
      <c r="F107" s="138">
        <v>40179.0</v>
      </c>
      <c r="G107" s="138">
        <v>40210.0</v>
      </c>
      <c r="H107" s="138">
        <v>40238.0</v>
      </c>
      <c r="I107" s="138">
        <v>40269.0</v>
      </c>
      <c r="J107" s="138">
        <v>40299.0</v>
      </c>
      <c r="K107" s="138">
        <v>40330.0</v>
      </c>
      <c r="L107" s="138">
        <v>40360.0</v>
      </c>
      <c r="M107" s="138">
        <v>40391.0</v>
      </c>
      <c r="N107" s="138">
        <v>40422.0</v>
      </c>
      <c r="O107" s="138">
        <v>40452.0</v>
      </c>
      <c r="P107" s="138">
        <v>40483.0</v>
      </c>
      <c r="Q107" s="138">
        <v>40513.0</v>
      </c>
      <c r="R107" s="138">
        <v>40544.0</v>
      </c>
      <c r="S107" s="138">
        <v>40575.0</v>
      </c>
      <c r="T107" s="138">
        <v>40603.0</v>
      </c>
      <c r="U107" s="138">
        <v>40634.0</v>
      </c>
      <c r="V107" s="138">
        <v>40664.0</v>
      </c>
      <c r="W107" s="138">
        <v>40695.0</v>
      </c>
      <c r="X107" s="138">
        <v>40725.0</v>
      </c>
      <c r="Y107" s="138">
        <v>40756.0</v>
      </c>
      <c r="Z107" s="138">
        <v>40787.0</v>
      </c>
      <c r="AA107" s="138">
        <v>40817.0</v>
      </c>
      <c r="AB107" s="138">
        <v>40848.0</v>
      </c>
      <c r="AC107" s="138">
        <v>40878.0</v>
      </c>
      <c r="AD107" s="138">
        <v>40909.0</v>
      </c>
      <c r="AE107" s="138">
        <v>40940.0</v>
      </c>
      <c r="AF107" s="138">
        <v>40969.0</v>
      </c>
      <c r="AG107" s="138">
        <v>41000.0</v>
      </c>
      <c r="AH107" s="138">
        <v>41030.0</v>
      </c>
      <c r="AI107" s="138">
        <v>41061.0</v>
      </c>
      <c r="AJ107" s="138">
        <v>41091.0</v>
      </c>
      <c r="AK107" s="138">
        <v>41122.0</v>
      </c>
      <c r="AL107" s="138">
        <v>41153.0</v>
      </c>
      <c r="AM107" s="138">
        <v>41183.0</v>
      </c>
      <c r="AN107" s="138">
        <v>41214.0</v>
      </c>
      <c r="AO107" s="138">
        <v>41244.0</v>
      </c>
      <c r="AP107" s="138">
        <v>41275.0</v>
      </c>
      <c r="AQ107" s="138">
        <v>41306.0</v>
      </c>
      <c r="AR107" s="138">
        <v>41334.0</v>
      </c>
      <c r="AS107" s="138">
        <v>41365.0</v>
      </c>
      <c r="AT107" s="138">
        <v>41395.0</v>
      </c>
      <c r="AU107" s="138">
        <v>41426.0</v>
      </c>
      <c r="AV107" s="138">
        <v>41456.0</v>
      </c>
      <c r="AW107" s="138">
        <v>41487.0</v>
      </c>
      <c r="AX107" s="138">
        <v>41518.0</v>
      </c>
      <c r="AY107" s="138">
        <v>41548.0</v>
      </c>
      <c r="AZ107" s="138">
        <v>41579.0</v>
      </c>
      <c r="BA107" s="138">
        <v>41609.0</v>
      </c>
      <c r="BB107" s="138">
        <v>41640.0</v>
      </c>
      <c r="BC107" s="138">
        <v>41671.0</v>
      </c>
      <c r="BD107" s="138">
        <v>41699.0</v>
      </c>
      <c r="BE107" s="138">
        <v>41730.0</v>
      </c>
      <c r="BF107" s="138">
        <v>41760.0</v>
      </c>
      <c r="BG107" s="138">
        <v>41791.0</v>
      </c>
      <c r="BH107" s="138">
        <v>41821.0</v>
      </c>
      <c r="BI107" s="138">
        <v>41852.0</v>
      </c>
      <c r="BJ107" s="138">
        <v>41883.0</v>
      </c>
      <c r="BK107" s="138">
        <v>41913.0</v>
      </c>
      <c r="BL107" s="138">
        <v>41944.0</v>
      </c>
      <c r="BM107" s="138">
        <v>41974.0</v>
      </c>
      <c r="BN107" s="138">
        <v>42005.0</v>
      </c>
      <c r="BO107" s="138">
        <v>42036.0</v>
      </c>
      <c r="BP107" s="138">
        <v>42064.0</v>
      </c>
      <c r="BQ107" s="138">
        <v>42095.0</v>
      </c>
      <c r="BR107" s="138">
        <v>42125.0</v>
      </c>
      <c r="BS107" s="138">
        <v>42156.0</v>
      </c>
      <c r="BT107" s="138">
        <v>42186.0</v>
      </c>
      <c r="BU107" s="138">
        <v>42217.0</v>
      </c>
      <c r="BV107" s="138">
        <v>42248.0</v>
      </c>
      <c r="BW107" s="138">
        <v>42278.0</v>
      </c>
      <c r="BX107" s="138">
        <v>42309.0</v>
      </c>
      <c r="BY107" s="138">
        <v>42339.0</v>
      </c>
      <c r="BZ107" s="138">
        <v>42370.0</v>
      </c>
      <c r="CA107" s="138">
        <v>42401.0</v>
      </c>
      <c r="CB107" s="138">
        <v>42430.0</v>
      </c>
      <c r="CC107" s="138">
        <v>42461.0</v>
      </c>
      <c r="CD107" s="138">
        <v>42491.0</v>
      </c>
      <c r="CE107" s="138">
        <v>42522.0</v>
      </c>
      <c r="CF107" s="138">
        <v>42552.0</v>
      </c>
      <c r="CG107" s="138">
        <v>42583.0</v>
      </c>
      <c r="CH107" s="138">
        <v>42614.0</v>
      </c>
      <c r="CI107" s="138">
        <v>42644.0</v>
      </c>
      <c r="CJ107" s="138">
        <v>42675.0</v>
      </c>
      <c r="CK107" s="138">
        <v>42705.0</v>
      </c>
      <c r="CL107" s="138">
        <v>42736.0</v>
      </c>
      <c r="CM107" s="138">
        <v>42767.0</v>
      </c>
      <c r="CN107" s="138">
        <v>42795.0</v>
      </c>
      <c r="CO107" s="138">
        <v>42826.0</v>
      </c>
      <c r="CP107" s="138">
        <v>42856.0</v>
      </c>
      <c r="CQ107" s="138">
        <v>42887.0</v>
      </c>
      <c r="CR107" s="138">
        <v>42917.0</v>
      </c>
      <c r="CS107" s="138">
        <v>42948.0</v>
      </c>
      <c r="CT107" s="138">
        <v>42979.0</v>
      </c>
      <c r="CU107" s="138">
        <v>43009.0</v>
      </c>
      <c r="CV107" s="138">
        <v>43040.0</v>
      </c>
      <c r="CW107" s="138">
        <v>43070.0</v>
      </c>
      <c r="CX107" s="138">
        <v>43101.0</v>
      </c>
      <c r="CY107" s="138">
        <v>43132.0</v>
      </c>
      <c r="CZ107" s="138">
        <v>43160.0</v>
      </c>
      <c r="DA107" s="138">
        <v>43191.0</v>
      </c>
      <c r="DB107" s="138">
        <v>43221.0</v>
      </c>
      <c r="DC107" s="138">
        <v>43252.0</v>
      </c>
      <c r="DD107" s="138">
        <v>43282.0</v>
      </c>
      <c r="DE107" s="138">
        <v>43313.0</v>
      </c>
      <c r="DF107" s="138">
        <v>43344.0</v>
      </c>
      <c r="DG107" s="138">
        <v>43374.0</v>
      </c>
      <c r="DH107" s="138">
        <v>43405.0</v>
      </c>
      <c r="DI107" s="138">
        <v>43435.0</v>
      </c>
      <c r="DJ107" s="138">
        <v>43466.0</v>
      </c>
      <c r="DK107" s="138">
        <v>43497.0</v>
      </c>
      <c r="DL107" s="138">
        <v>43525.0</v>
      </c>
      <c r="DM107" s="138">
        <v>43556.0</v>
      </c>
      <c r="DN107" s="138">
        <v>43586.0</v>
      </c>
      <c r="DO107" s="138">
        <v>43617.0</v>
      </c>
      <c r="DP107" s="138">
        <v>43647.0</v>
      </c>
      <c r="DQ107" s="138">
        <v>43678.0</v>
      </c>
      <c r="DR107" s="138">
        <v>43709.0</v>
      </c>
      <c r="DS107" s="138">
        <v>43739.0</v>
      </c>
      <c r="DT107" s="138">
        <v>43770.0</v>
      </c>
      <c r="DU107" s="138">
        <v>43800.0</v>
      </c>
      <c r="DV107" s="138">
        <v>43831.0</v>
      </c>
      <c r="DW107" s="138">
        <v>43862.0</v>
      </c>
      <c r="DX107" s="138">
        <v>43891.0</v>
      </c>
      <c r="DY107" s="138">
        <v>43922.0</v>
      </c>
      <c r="DZ107" s="138">
        <v>43952.0</v>
      </c>
      <c r="EA107" s="138">
        <v>43983.0</v>
      </c>
      <c r="EB107" s="138">
        <v>44013.0</v>
      </c>
      <c r="EC107" s="138">
        <v>44044.0</v>
      </c>
      <c r="ED107" s="138">
        <v>44075.0</v>
      </c>
      <c r="EE107" s="138">
        <v>44105.0</v>
      </c>
      <c r="EF107" s="138">
        <v>44136.0</v>
      </c>
      <c r="EG107" s="138">
        <v>44166.0</v>
      </c>
      <c r="EH107" s="138">
        <v>44197.0</v>
      </c>
      <c r="EI107" s="138">
        <v>44228.0</v>
      </c>
      <c r="EJ107" s="138">
        <v>44256.0</v>
      </c>
      <c r="EK107" s="138">
        <v>44287.0</v>
      </c>
      <c r="EL107" s="138">
        <v>44317.0</v>
      </c>
      <c r="EM107" s="138">
        <v>44348.0</v>
      </c>
      <c r="EN107" s="138">
        <v>44378.0</v>
      </c>
      <c r="EO107" s="138">
        <v>44409.0</v>
      </c>
      <c r="EP107" s="138">
        <v>44440.0</v>
      </c>
      <c r="EQ107" s="138">
        <v>44470.0</v>
      </c>
      <c r="ER107" s="138">
        <v>44501.0</v>
      </c>
      <c r="ES107" s="138">
        <v>44531.0</v>
      </c>
      <c r="ET107" s="138">
        <v>44562.0</v>
      </c>
      <c r="EU107" s="138">
        <v>44593.0</v>
      </c>
      <c r="EV107" s="138">
        <v>44621.0</v>
      </c>
      <c r="EW107" s="138">
        <v>44652.0</v>
      </c>
      <c r="EX107" s="139">
        <v>44682.0</v>
      </c>
      <c r="EY107" s="139">
        <v>44713.0</v>
      </c>
      <c r="EZ107" s="139">
        <v>44743.0</v>
      </c>
      <c r="FA107" s="139">
        <v>44774.0</v>
      </c>
      <c r="FB107" s="139">
        <v>44805.0</v>
      </c>
      <c r="FC107" s="139">
        <v>44835.0</v>
      </c>
      <c r="FD107" s="139">
        <v>44866.0</v>
      </c>
      <c r="FE107" s="139">
        <v>44896.0</v>
      </c>
      <c r="FF107" s="139">
        <v>44927.0</v>
      </c>
      <c r="FG107" s="139">
        <v>44958.0</v>
      </c>
      <c r="FH107" s="139">
        <v>44986.0</v>
      </c>
      <c r="FI107" s="139">
        <v>45017.0</v>
      </c>
      <c r="FJ107" s="139">
        <v>45047.0</v>
      </c>
      <c r="FK107" s="139">
        <v>45078.0</v>
      </c>
      <c r="FL107" s="139">
        <v>45108.0</v>
      </c>
      <c r="FM107" s="139">
        <v>45139.0</v>
      </c>
      <c r="FN107" s="139">
        <v>45170.0</v>
      </c>
      <c r="FO107" s="139">
        <v>45200.0</v>
      </c>
      <c r="FP107" s="139">
        <v>45231.0</v>
      </c>
      <c r="FQ107" s="139">
        <v>45261.0</v>
      </c>
      <c r="FR107" s="139">
        <v>45292.0</v>
      </c>
      <c r="FS107" s="139">
        <v>45323.0</v>
      </c>
      <c r="FT107" s="139">
        <v>45352.0</v>
      </c>
      <c r="FU107" s="139">
        <v>45383.0</v>
      </c>
      <c r="FV107" s="139">
        <v>45413.0</v>
      </c>
      <c r="FW107" s="139">
        <v>45444.0</v>
      </c>
      <c r="FX107" s="139">
        <v>45474.0</v>
      </c>
      <c r="FY107" s="139">
        <v>45505.0</v>
      </c>
      <c r="FZ107" s="139">
        <v>45536.0</v>
      </c>
      <c r="GA107" s="139">
        <v>45566.0</v>
      </c>
      <c r="GB107" s="139">
        <v>45597.0</v>
      </c>
      <c r="GC107" s="139">
        <v>45627.0</v>
      </c>
      <c r="GD107" s="139">
        <v>45658.0</v>
      </c>
      <c r="GE107" s="139">
        <v>45689.0</v>
      </c>
      <c r="GF107" s="139">
        <v>45717.0</v>
      </c>
      <c r="GG107" s="139">
        <v>45748.0</v>
      </c>
      <c r="GH107" s="139">
        <v>45778.0</v>
      </c>
      <c r="GI107" s="139">
        <v>45809.0</v>
      </c>
      <c r="GJ107" s="139">
        <v>45839.0</v>
      </c>
    </row>
    <row r="108">
      <c r="A108" s="133" t="s">
        <v>1694</v>
      </c>
      <c r="B108" s="134">
        <v>44673.788449074076</v>
      </c>
      <c r="C108" s="135" t="str">
        <f t="shared" si="1"/>
        <v>2022/04/22</v>
      </c>
      <c r="D108" s="136" t="s">
        <v>34301</v>
      </c>
      <c r="E108" s="151">
        <v>0.0</v>
      </c>
      <c r="F108" s="138">
        <v>40179.0</v>
      </c>
      <c r="G108" s="138">
        <v>40210.0</v>
      </c>
      <c r="H108" s="138">
        <v>40238.0</v>
      </c>
      <c r="I108" s="138">
        <v>40269.0</v>
      </c>
      <c r="J108" s="138">
        <v>40299.0</v>
      </c>
      <c r="K108" s="138">
        <v>40330.0</v>
      </c>
      <c r="L108" s="138">
        <v>40360.0</v>
      </c>
      <c r="M108" s="138">
        <v>40391.0</v>
      </c>
      <c r="N108" s="138">
        <v>40422.0</v>
      </c>
      <c r="O108" s="138">
        <v>40452.0</v>
      </c>
      <c r="P108" s="138">
        <v>40483.0</v>
      </c>
      <c r="Q108" s="138">
        <v>40513.0</v>
      </c>
      <c r="R108" s="138">
        <v>40544.0</v>
      </c>
      <c r="S108" s="138">
        <v>40575.0</v>
      </c>
      <c r="T108" s="138">
        <v>40603.0</v>
      </c>
      <c r="U108" s="138">
        <v>40634.0</v>
      </c>
      <c r="V108" s="138">
        <v>40664.0</v>
      </c>
      <c r="W108" s="138">
        <v>40695.0</v>
      </c>
      <c r="X108" s="138">
        <v>40725.0</v>
      </c>
      <c r="Y108" s="138">
        <v>40756.0</v>
      </c>
      <c r="Z108" s="138">
        <v>40787.0</v>
      </c>
      <c r="AA108" s="138">
        <v>40817.0</v>
      </c>
      <c r="AB108" s="138">
        <v>40848.0</v>
      </c>
      <c r="AC108" s="138">
        <v>40878.0</v>
      </c>
      <c r="AD108" s="138">
        <v>40909.0</v>
      </c>
      <c r="AE108" s="138">
        <v>40940.0</v>
      </c>
      <c r="AF108" s="138">
        <v>40969.0</v>
      </c>
      <c r="AG108" s="138">
        <v>41000.0</v>
      </c>
      <c r="AH108" s="138">
        <v>41030.0</v>
      </c>
      <c r="AI108" s="138">
        <v>41061.0</v>
      </c>
      <c r="AJ108" s="138">
        <v>41091.0</v>
      </c>
      <c r="AK108" s="138">
        <v>41122.0</v>
      </c>
      <c r="AL108" s="138">
        <v>41153.0</v>
      </c>
      <c r="AM108" s="138">
        <v>41183.0</v>
      </c>
      <c r="AN108" s="138">
        <v>41214.0</v>
      </c>
      <c r="AO108" s="138">
        <v>41244.0</v>
      </c>
      <c r="AP108" s="138">
        <v>41275.0</v>
      </c>
      <c r="AQ108" s="138">
        <v>41306.0</v>
      </c>
      <c r="AR108" s="138">
        <v>41334.0</v>
      </c>
      <c r="AS108" s="138">
        <v>41365.0</v>
      </c>
      <c r="AT108" s="138">
        <v>41395.0</v>
      </c>
      <c r="AU108" s="138">
        <v>41426.0</v>
      </c>
      <c r="AV108" s="138">
        <v>41456.0</v>
      </c>
      <c r="AW108" s="138">
        <v>41487.0</v>
      </c>
      <c r="AX108" s="138">
        <v>41518.0</v>
      </c>
      <c r="AY108" s="138">
        <v>41548.0</v>
      </c>
      <c r="AZ108" s="138">
        <v>41579.0</v>
      </c>
      <c r="BA108" s="138">
        <v>41609.0</v>
      </c>
      <c r="BB108" s="138">
        <v>41640.0</v>
      </c>
      <c r="BC108" s="138">
        <v>41671.0</v>
      </c>
      <c r="BD108" s="138">
        <v>41699.0</v>
      </c>
      <c r="BE108" s="138">
        <v>41730.0</v>
      </c>
      <c r="BF108" s="138">
        <v>41760.0</v>
      </c>
      <c r="BG108" s="138">
        <v>41791.0</v>
      </c>
      <c r="BH108" s="138">
        <v>41821.0</v>
      </c>
      <c r="BI108" s="138">
        <v>41852.0</v>
      </c>
      <c r="BJ108" s="138">
        <v>41883.0</v>
      </c>
      <c r="BK108" s="138">
        <v>41913.0</v>
      </c>
      <c r="BL108" s="138">
        <v>41944.0</v>
      </c>
      <c r="BM108" s="138">
        <v>41974.0</v>
      </c>
      <c r="BN108" s="138">
        <v>42005.0</v>
      </c>
      <c r="BO108" s="138">
        <v>42036.0</v>
      </c>
      <c r="BP108" s="138">
        <v>42064.0</v>
      </c>
      <c r="BQ108" s="138">
        <v>42095.0</v>
      </c>
      <c r="BR108" s="138">
        <v>42125.0</v>
      </c>
      <c r="BS108" s="138">
        <v>42156.0</v>
      </c>
      <c r="BT108" s="138">
        <v>42186.0</v>
      </c>
      <c r="BU108" s="138">
        <v>42217.0</v>
      </c>
      <c r="BV108" s="138">
        <v>42248.0</v>
      </c>
      <c r="BW108" s="138">
        <v>42278.0</v>
      </c>
      <c r="BX108" s="138">
        <v>42309.0</v>
      </c>
      <c r="BY108" s="138">
        <v>42339.0</v>
      </c>
      <c r="BZ108" s="138">
        <v>42370.0</v>
      </c>
      <c r="CA108" s="138">
        <v>42401.0</v>
      </c>
      <c r="CB108" s="138">
        <v>42430.0</v>
      </c>
      <c r="CC108" s="138">
        <v>42461.0</v>
      </c>
      <c r="CD108" s="138">
        <v>42491.0</v>
      </c>
      <c r="CE108" s="138">
        <v>42522.0</v>
      </c>
      <c r="CF108" s="138">
        <v>42552.0</v>
      </c>
      <c r="CG108" s="138">
        <v>42583.0</v>
      </c>
      <c r="CH108" s="138">
        <v>42614.0</v>
      </c>
      <c r="CI108" s="138">
        <v>42644.0</v>
      </c>
      <c r="CJ108" s="138">
        <v>42675.0</v>
      </c>
      <c r="CK108" s="138">
        <v>42705.0</v>
      </c>
      <c r="CL108" s="138">
        <v>42736.0</v>
      </c>
      <c r="CM108" s="138">
        <v>42767.0</v>
      </c>
      <c r="CN108" s="138">
        <v>42795.0</v>
      </c>
      <c r="CO108" s="138">
        <v>42826.0</v>
      </c>
      <c r="CP108" s="138">
        <v>42856.0</v>
      </c>
      <c r="CQ108" s="138">
        <v>42887.0</v>
      </c>
      <c r="CR108" s="138">
        <v>42917.0</v>
      </c>
      <c r="CS108" s="138">
        <v>42948.0</v>
      </c>
      <c r="CT108" s="138">
        <v>42979.0</v>
      </c>
      <c r="CU108" s="138">
        <v>43009.0</v>
      </c>
      <c r="CV108" s="138">
        <v>43040.0</v>
      </c>
      <c r="CW108" s="138">
        <v>43070.0</v>
      </c>
      <c r="CX108" s="138">
        <v>43101.0</v>
      </c>
      <c r="CY108" s="138">
        <v>43132.0</v>
      </c>
      <c r="CZ108" s="138">
        <v>43160.0</v>
      </c>
      <c r="DA108" s="138">
        <v>43191.0</v>
      </c>
      <c r="DB108" s="138">
        <v>43221.0</v>
      </c>
      <c r="DC108" s="138">
        <v>43252.0</v>
      </c>
      <c r="DD108" s="138">
        <v>43282.0</v>
      </c>
      <c r="DE108" s="138">
        <v>43313.0</v>
      </c>
      <c r="DF108" s="138">
        <v>43344.0</v>
      </c>
      <c r="DG108" s="138">
        <v>43374.0</v>
      </c>
      <c r="DH108" s="138">
        <v>43405.0</v>
      </c>
      <c r="DI108" s="138">
        <v>43435.0</v>
      </c>
      <c r="DJ108" s="138">
        <v>43466.0</v>
      </c>
      <c r="DK108" s="138">
        <v>43497.0</v>
      </c>
      <c r="DL108" s="138">
        <v>43525.0</v>
      </c>
      <c r="DM108" s="138">
        <v>43556.0</v>
      </c>
      <c r="DN108" s="138">
        <v>43586.0</v>
      </c>
      <c r="DO108" s="138">
        <v>43617.0</v>
      </c>
      <c r="DP108" s="138">
        <v>43647.0</v>
      </c>
      <c r="DQ108" s="138">
        <v>43678.0</v>
      </c>
      <c r="DR108" s="138">
        <v>43709.0</v>
      </c>
      <c r="DS108" s="138">
        <v>43739.0</v>
      </c>
      <c r="DT108" s="138">
        <v>43770.0</v>
      </c>
      <c r="DU108" s="138">
        <v>43800.0</v>
      </c>
      <c r="DV108" s="138">
        <v>43831.0</v>
      </c>
      <c r="DW108" s="138">
        <v>43862.0</v>
      </c>
      <c r="DX108" s="138">
        <v>43891.0</v>
      </c>
      <c r="DY108" s="138">
        <v>43922.0</v>
      </c>
      <c r="DZ108" s="138">
        <v>43952.0</v>
      </c>
      <c r="EA108" s="138">
        <v>43983.0</v>
      </c>
      <c r="EB108" s="138">
        <v>44013.0</v>
      </c>
      <c r="EC108" s="138">
        <v>44044.0</v>
      </c>
      <c r="ED108" s="138">
        <v>44075.0</v>
      </c>
      <c r="EE108" s="138">
        <v>44105.0</v>
      </c>
      <c r="EF108" s="138">
        <v>44136.0</v>
      </c>
      <c r="EG108" s="138">
        <v>44166.0</v>
      </c>
      <c r="EH108" s="138">
        <v>44197.0</v>
      </c>
      <c r="EI108" s="138">
        <v>44228.0</v>
      </c>
      <c r="EJ108" s="138">
        <v>44256.0</v>
      </c>
      <c r="EK108" s="138">
        <v>44287.0</v>
      </c>
      <c r="EL108" s="138">
        <v>44317.0</v>
      </c>
      <c r="EM108" s="138">
        <v>44348.0</v>
      </c>
      <c r="EN108" s="138">
        <v>44378.0</v>
      </c>
      <c r="EO108" s="138">
        <v>44409.0</v>
      </c>
      <c r="EP108" s="138">
        <v>44440.0</v>
      </c>
      <c r="EQ108" s="138">
        <v>44470.0</v>
      </c>
      <c r="ER108" s="138">
        <v>44501.0</v>
      </c>
      <c r="ES108" s="138">
        <v>44531.0</v>
      </c>
      <c r="ET108" s="138">
        <v>44562.0</v>
      </c>
      <c r="EU108" s="138">
        <v>44593.0</v>
      </c>
      <c r="EV108" s="138">
        <v>44621.0</v>
      </c>
      <c r="EW108" s="138">
        <v>44652.0</v>
      </c>
      <c r="EX108" s="139">
        <v>44682.0</v>
      </c>
      <c r="EY108" s="139">
        <v>44713.0</v>
      </c>
      <c r="EZ108" s="139">
        <v>44743.0</v>
      </c>
      <c r="FA108" s="139">
        <v>44774.0</v>
      </c>
      <c r="FB108" s="139">
        <v>44805.0</v>
      </c>
      <c r="FC108" s="139">
        <v>44835.0</v>
      </c>
      <c r="FD108" s="139">
        <v>44866.0</v>
      </c>
      <c r="FE108" s="139">
        <v>44896.0</v>
      </c>
      <c r="FF108" s="139">
        <v>44927.0</v>
      </c>
      <c r="FG108" s="139">
        <v>44958.0</v>
      </c>
      <c r="FH108" s="139">
        <v>44986.0</v>
      </c>
      <c r="FI108" s="139">
        <v>45017.0</v>
      </c>
      <c r="FJ108" s="139">
        <v>45047.0</v>
      </c>
      <c r="FK108" s="139">
        <v>45078.0</v>
      </c>
      <c r="FL108" s="139">
        <v>45108.0</v>
      </c>
      <c r="FM108" s="139">
        <v>45139.0</v>
      </c>
      <c r="FN108" s="139">
        <v>45170.0</v>
      </c>
      <c r="FO108" s="139">
        <v>45200.0</v>
      </c>
      <c r="FP108" s="139">
        <v>45231.0</v>
      </c>
      <c r="FQ108" s="139">
        <v>45261.0</v>
      </c>
      <c r="FR108" s="139">
        <v>45292.0</v>
      </c>
      <c r="FS108" s="139">
        <v>45323.0</v>
      </c>
      <c r="FT108" s="139">
        <v>45352.0</v>
      </c>
      <c r="FU108" s="139">
        <v>45383.0</v>
      </c>
      <c r="FV108" s="139">
        <v>45413.0</v>
      </c>
      <c r="FW108" s="139">
        <v>45444.0</v>
      </c>
      <c r="FX108" s="139">
        <v>45474.0</v>
      </c>
      <c r="FY108" s="139">
        <v>45505.0</v>
      </c>
      <c r="FZ108" s="139">
        <v>45536.0</v>
      </c>
      <c r="GA108" s="139">
        <v>45566.0</v>
      </c>
      <c r="GB108" s="139">
        <v>45597.0</v>
      </c>
      <c r="GC108" s="139">
        <v>45627.0</v>
      </c>
      <c r="GD108" s="139">
        <v>45658.0</v>
      </c>
      <c r="GE108" s="139">
        <v>45689.0</v>
      </c>
      <c r="GF108" s="139">
        <v>45717.0</v>
      </c>
      <c r="GG108" s="139">
        <v>45748.0</v>
      </c>
      <c r="GH108" s="139">
        <v>45778.0</v>
      </c>
      <c r="GI108" s="139">
        <v>45809.0</v>
      </c>
      <c r="GJ108" s="139">
        <v>45839.0</v>
      </c>
    </row>
    <row r="109">
      <c r="A109" s="133" t="s">
        <v>1493</v>
      </c>
      <c r="B109" s="134">
        <v>44706.774247685185</v>
      </c>
      <c r="C109" s="135" t="str">
        <f t="shared" si="1"/>
        <v>2022/05/25</v>
      </c>
      <c r="D109" s="136" t="s">
        <v>33970</v>
      </c>
      <c r="E109" s="151">
        <v>0.0</v>
      </c>
      <c r="F109" s="138">
        <v>40179.0</v>
      </c>
      <c r="G109" s="138">
        <v>40210.0</v>
      </c>
      <c r="H109" s="138">
        <v>40238.0</v>
      </c>
      <c r="I109" s="138">
        <v>40269.0</v>
      </c>
      <c r="J109" s="138">
        <v>40299.0</v>
      </c>
      <c r="K109" s="138">
        <v>40330.0</v>
      </c>
      <c r="L109" s="138">
        <v>40360.0</v>
      </c>
      <c r="M109" s="138">
        <v>40391.0</v>
      </c>
      <c r="N109" s="138">
        <v>40422.0</v>
      </c>
      <c r="O109" s="138">
        <v>40452.0</v>
      </c>
      <c r="P109" s="138">
        <v>40483.0</v>
      </c>
      <c r="Q109" s="138">
        <v>40513.0</v>
      </c>
      <c r="R109" s="138">
        <v>40544.0</v>
      </c>
      <c r="S109" s="138">
        <v>40575.0</v>
      </c>
      <c r="T109" s="138">
        <v>40603.0</v>
      </c>
      <c r="U109" s="138">
        <v>40634.0</v>
      </c>
      <c r="V109" s="138">
        <v>40664.0</v>
      </c>
      <c r="W109" s="138">
        <v>40695.0</v>
      </c>
      <c r="X109" s="138">
        <v>40725.0</v>
      </c>
      <c r="Y109" s="138">
        <v>40756.0</v>
      </c>
      <c r="Z109" s="138">
        <v>40787.0</v>
      </c>
      <c r="AA109" s="138">
        <v>40817.0</v>
      </c>
      <c r="AB109" s="138">
        <v>40848.0</v>
      </c>
      <c r="AC109" s="138">
        <v>40878.0</v>
      </c>
      <c r="AD109" s="138">
        <v>40909.0</v>
      </c>
      <c r="AE109" s="138">
        <v>40940.0</v>
      </c>
      <c r="AF109" s="138">
        <v>40969.0</v>
      </c>
      <c r="AG109" s="138">
        <v>41000.0</v>
      </c>
      <c r="AH109" s="138">
        <v>41030.0</v>
      </c>
      <c r="AI109" s="138">
        <v>41061.0</v>
      </c>
      <c r="AJ109" s="138">
        <v>41091.0</v>
      </c>
      <c r="AK109" s="138">
        <v>41122.0</v>
      </c>
      <c r="AL109" s="138">
        <v>41153.0</v>
      </c>
      <c r="AM109" s="138">
        <v>41183.0</v>
      </c>
      <c r="AN109" s="138">
        <v>41214.0</v>
      </c>
      <c r="AO109" s="138">
        <v>41244.0</v>
      </c>
      <c r="AP109" s="138">
        <v>41275.0</v>
      </c>
      <c r="AQ109" s="138">
        <v>41306.0</v>
      </c>
      <c r="AR109" s="138">
        <v>41334.0</v>
      </c>
      <c r="AS109" s="138">
        <v>41365.0</v>
      </c>
      <c r="AT109" s="138">
        <v>41395.0</v>
      </c>
      <c r="AU109" s="138">
        <v>41426.0</v>
      </c>
      <c r="AV109" s="138">
        <v>41456.0</v>
      </c>
      <c r="AW109" s="138">
        <v>41487.0</v>
      </c>
      <c r="AX109" s="138">
        <v>41518.0</v>
      </c>
      <c r="AY109" s="138">
        <v>41548.0</v>
      </c>
      <c r="AZ109" s="138">
        <v>41579.0</v>
      </c>
      <c r="BA109" s="138">
        <v>41609.0</v>
      </c>
      <c r="BB109" s="138">
        <v>41640.0</v>
      </c>
      <c r="BC109" s="138">
        <v>41671.0</v>
      </c>
      <c r="BD109" s="138">
        <v>41699.0</v>
      </c>
      <c r="BE109" s="138">
        <v>41730.0</v>
      </c>
      <c r="BF109" s="138">
        <v>41760.0</v>
      </c>
      <c r="BG109" s="138">
        <v>41791.0</v>
      </c>
      <c r="BH109" s="138">
        <v>41821.0</v>
      </c>
      <c r="BI109" s="138">
        <v>41852.0</v>
      </c>
      <c r="BJ109" s="138">
        <v>41883.0</v>
      </c>
      <c r="BK109" s="138">
        <v>41913.0</v>
      </c>
      <c r="BL109" s="138">
        <v>41944.0</v>
      </c>
      <c r="BM109" s="138">
        <v>41974.0</v>
      </c>
      <c r="BN109" s="138">
        <v>42005.0</v>
      </c>
      <c r="BO109" s="138">
        <v>42036.0</v>
      </c>
      <c r="BP109" s="138">
        <v>42064.0</v>
      </c>
      <c r="BQ109" s="138">
        <v>42095.0</v>
      </c>
      <c r="BR109" s="138">
        <v>42125.0</v>
      </c>
      <c r="BS109" s="138">
        <v>42156.0</v>
      </c>
      <c r="BT109" s="138">
        <v>42186.0</v>
      </c>
      <c r="BU109" s="138">
        <v>42217.0</v>
      </c>
      <c r="BV109" s="138">
        <v>42248.0</v>
      </c>
      <c r="BW109" s="138">
        <v>42278.0</v>
      </c>
      <c r="BX109" s="138">
        <v>42309.0</v>
      </c>
      <c r="BY109" s="138">
        <v>42339.0</v>
      </c>
      <c r="BZ109" s="138">
        <v>42370.0</v>
      </c>
      <c r="CA109" s="138">
        <v>42401.0</v>
      </c>
      <c r="CB109" s="138">
        <v>42430.0</v>
      </c>
      <c r="CC109" s="138">
        <v>42461.0</v>
      </c>
      <c r="CD109" s="138">
        <v>42491.0</v>
      </c>
      <c r="CE109" s="138">
        <v>42522.0</v>
      </c>
      <c r="CF109" s="138">
        <v>42552.0</v>
      </c>
      <c r="CG109" s="138">
        <v>42583.0</v>
      </c>
      <c r="CH109" s="138">
        <v>42614.0</v>
      </c>
      <c r="CI109" s="138">
        <v>42644.0</v>
      </c>
      <c r="CJ109" s="138">
        <v>42675.0</v>
      </c>
      <c r="CK109" s="138">
        <v>42705.0</v>
      </c>
      <c r="CL109" s="138">
        <v>42736.0</v>
      </c>
      <c r="CM109" s="138">
        <v>42767.0</v>
      </c>
      <c r="CN109" s="138">
        <v>42795.0</v>
      </c>
      <c r="CO109" s="138">
        <v>42826.0</v>
      </c>
      <c r="CP109" s="138">
        <v>42856.0</v>
      </c>
      <c r="CQ109" s="138">
        <v>42887.0</v>
      </c>
      <c r="CR109" s="138">
        <v>42917.0</v>
      </c>
      <c r="CS109" s="138">
        <v>42948.0</v>
      </c>
      <c r="CT109" s="138">
        <v>42979.0</v>
      </c>
      <c r="CU109" s="138">
        <v>43009.0</v>
      </c>
      <c r="CV109" s="138">
        <v>43040.0</v>
      </c>
      <c r="CW109" s="138">
        <v>43070.0</v>
      </c>
      <c r="CX109" s="138">
        <v>43101.0</v>
      </c>
      <c r="CY109" s="138">
        <v>43132.0</v>
      </c>
      <c r="CZ109" s="138">
        <v>43160.0</v>
      </c>
      <c r="DA109" s="138">
        <v>43191.0</v>
      </c>
      <c r="DB109" s="138">
        <v>43221.0</v>
      </c>
      <c r="DC109" s="138">
        <v>43252.0</v>
      </c>
      <c r="DD109" s="138">
        <v>43282.0</v>
      </c>
      <c r="DE109" s="138">
        <v>43313.0</v>
      </c>
      <c r="DF109" s="138">
        <v>43344.0</v>
      </c>
      <c r="DG109" s="138">
        <v>43374.0</v>
      </c>
      <c r="DH109" s="138">
        <v>43405.0</v>
      </c>
      <c r="DI109" s="138">
        <v>43435.0</v>
      </c>
      <c r="DJ109" s="138">
        <v>43466.0</v>
      </c>
      <c r="DK109" s="138">
        <v>43497.0</v>
      </c>
      <c r="DL109" s="138">
        <v>43525.0</v>
      </c>
      <c r="DM109" s="138">
        <v>43556.0</v>
      </c>
      <c r="DN109" s="138">
        <v>43586.0</v>
      </c>
      <c r="DO109" s="138">
        <v>43617.0</v>
      </c>
      <c r="DP109" s="138">
        <v>43647.0</v>
      </c>
      <c r="DQ109" s="138">
        <v>43678.0</v>
      </c>
      <c r="DR109" s="138">
        <v>43709.0</v>
      </c>
      <c r="DS109" s="138">
        <v>43739.0</v>
      </c>
      <c r="DT109" s="138">
        <v>43770.0</v>
      </c>
      <c r="DU109" s="138">
        <v>43800.0</v>
      </c>
      <c r="DV109" s="138">
        <v>43831.0</v>
      </c>
      <c r="DW109" s="138">
        <v>43862.0</v>
      </c>
      <c r="DX109" s="138">
        <v>43891.0</v>
      </c>
      <c r="DY109" s="138">
        <v>43922.0</v>
      </c>
      <c r="DZ109" s="138">
        <v>43952.0</v>
      </c>
      <c r="EA109" s="138">
        <v>43983.0</v>
      </c>
      <c r="EB109" s="138">
        <v>44013.0</v>
      </c>
      <c r="EC109" s="138">
        <v>44044.0</v>
      </c>
      <c r="ED109" s="138">
        <v>44075.0</v>
      </c>
      <c r="EE109" s="138">
        <v>44105.0</v>
      </c>
      <c r="EF109" s="138">
        <v>44136.0</v>
      </c>
      <c r="EG109" s="138">
        <v>44166.0</v>
      </c>
      <c r="EH109" s="138">
        <v>44197.0</v>
      </c>
      <c r="EI109" s="138">
        <v>44228.0</v>
      </c>
      <c r="EJ109" s="138">
        <v>44256.0</v>
      </c>
      <c r="EK109" s="138">
        <v>44287.0</v>
      </c>
      <c r="EL109" s="138">
        <v>44317.0</v>
      </c>
      <c r="EM109" s="138">
        <v>44348.0</v>
      </c>
      <c r="EN109" s="138">
        <v>44378.0</v>
      </c>
      <c r="EO109" s="138">
        <v>44409.0</v>
      </c>
      <c r="EP109" s="138">
        <v>44440.0</v>
      </c>
      <c r="EQ109" s="138">
        <v>44470.0</v>
      </c>
      <c r="ER109" s="138">
        <v>44501.0</v>
      </c>
      <c r="ES109" s="138">
        <v>44531.0</v>
      </c>
      <c r="ET109" s="138">
        <v>44562.0</v>
      </c>
      <c r="EU109" s="138">
        <v>44593.0</v>
      </c>
      <c r="EV109" s="138">
        <v>44621.0</v>
      </c>
      <c r="EW109" s="138">
        <v>44652.0</v>
      </c>
      <c r="EX109" s="138">
        <v>44682.0</v>
      </c>
      <c r="EY109" s="139">
        <v>44713.0</v>
      </c>
      <c r="EZ109" s="139">
        <v>44743.0</v>
      </c>
      <c r="FA109" s="139">
        <v>44774.0</v>
      </c>
      <c r="FB109" s="139">
        <v>44805.0</v>
      </c>
      <c r="FC109" s="139">
        <v>44835.0</v>
      </c>
      <c r="FD109" s="139">
        <v>44866.0</v>
      </c>
      <c r="FE109" s="139">
        <v>44896.0</v>
      </c>
      <c r="FF109" s="139">
        <v>44927.0</v>
      </c>
      <c r="FG109" s="139">
        <v>44958.0</v>
      </c>
      <c r="FH109" s="139">
        <v>44986.0</v>
      </c>
      <c r="FI109" s="139">
        <v>45017.0</v>
      </c>
      <c r="FJ109" s="139">
        <v>45047.0</v>
      </c>
      <c r="FK109" s="139">
        <v>45078.0</v>
      </c>
      <c r="FL109" s="139">
        <v>45108.0</v>
      </c>
      <c r="FM109" s="139">
        <v>45139.0</v>
      </c>
      <c r="FN109" s="139">
        <v>45170.0</v>
      </c>
      <c r="FO109" s="139">
        <v>45200.0</v>
      </c>
      <c r="FP109" s="139">
        <v>45231.0</v>
      </c>
      <c r="FQ109" s="139">
        <v>45261.0</v>
      </c>
      <c r="FR109" s="139">
        <v>45292.0</v>
      </c>
      <c r="FS109" s="139">
        <v>45323.0</v>
      </c>
      <c r="FT109" s="139">
        <v>45352.0</v>
      </c>
      <c r="FU109" s="139">
        <v>45383.0</v>
      </c>
      <c r="FV109" s="139">
        <v>45413.0</v>
      </c>
      <c r="FW109" s="139">
        <v>45444.0</v>
      </c>
      <c r="FX109" s="139">
        <v>45474.0</v>
      </c>
      <c r="FY109" s="139">
        <v>45505.0</v>
      </c>
      <c r="FZ109" s="139">
        <v>45536.0</v>
      </c>
      <c r="GA109" s="139">
        <v>45566.0</v>
      </c>
      <c r="GB109" s="139">
        <v>45597.0</v>
      </c>
      <c r="GC109" s="139">
        <v>45627.0</v>
      </c>
      <c r="GD109" s="139">
        <v>45658.0</v>
      </c>
      <c r="GE109" s="139">
        <v>45689.0</v>
      </c>
      <c r="GF109" s="139">
        <v>45717.0</v>
      </c>
      <c r="GG109" s="139">
        <v>45748.0</v>
      </c>
      <c r="GH109" s="139">
        <v>45778.0</v>
      </c>
      <c r="GI109" s="139">
        <v>45809.0</v>
      </c>
      <c r="GJ109" s="139">
        <v>45839.0</v>
      </c>
    </row>
    <row r="110">
      <c r="A110" s="133" t="s">
        <v>1747</v>
      </c>
      <c r="B110" s="134">
        <v>44830.78839120371</v>
      </c>
      <c r="C110" s="135" t="str">
        <f t="shared" si="1"/>
        <v>2022/09/26</v>
      </c>
      <c r="D110" s="136" t="s">
        <v>34302</v>
      </c>
      <c r="E110" s="151">
        <v>0.0</v>
      </c>
      <c r="F110" s="138">
        <v>40179.0</v>
      </c>
      <c r="G110" s="138">
        <v>40210.0</v>
      </c>
      <c r="H110" s="138">
        <v>40238.0</v>
      </c>
      <c r="I110" s="138">
        <v>40269.0</v>
      </c>
      <c r="J110" s="138">
        <v>40299.0</v>
      </c>
      <c r="K110" s="138">
        <v>40330.0</v>
      </c>
      <c r="L110" s="138">
        <v>40360.0</v>
      </c>
      <c r="M110" s="138">
        <v>40391.0</v>
      </c>
      <c r="N110" s="138">
        <v>40422.0</v>
      </c>
      <c r="O110" s="138">
        <v>40452.0</v>
      </c>
      <c r="P110" s="138">
        <v>40483.0</v>
      </c>
      <c r="Q110" s="138">
        <v>40513.0</v>
      </c>
      <c r="R110" s="138">
        <v>40544.0</v>
      </c>
      <c r="S110" s="138">
        <v>40575.0</v>
      </c>
      <c r="T110" s="138">
        <v>40603.0</v>
      </c>
      <c r="U110" s="138">
        <v>40634.0</v>
      </c>
      <c r="V110" s="138">
        <v>40664.0</v>
      </c>
      <c r="W110" s="138">
        <v>40695.0</v>
      </c>
      <c r="X110" s="138">
        <v>40725.0</v>
      </c>
      <c r="Y110" s="138">
        <v>40756.0</v>
      </c>
      <c r="Z110" s="138">
        <v>40787.0</v>
      </c>
      <c r="AA110" s="138">
        <v>40817.0</v>
      </c>
      <c r="AB110" s="138">
        <v>40848.0</v>
      </c>
      <c r="AC110" s="138">
        <v>40878.0</v>
      </c>
      <c r="AD110" s="138">
        <v>40909.0</v>
      </c>
      <c r="AE110" s="138">
        <v>40940.0</v>
      </c>
      <c r="AF110" s="138">
        <v>40969.0</v>
      </c>
      <c r="AG110" s="138">
        <v>41000.0</v>
      </c>
      <c r="AH110" s="138">
        <v>41030.0</v>
      </c>
      <c r="AI110" s="138">
        <v>41061.0</v>
      </c>
      <c r="AJ110" s="138">
        <v>41091.0</v>
      </c>
      <c r="AK110" s="138">
        <v>41122.0</v>
      </c>
      <c r="AL110" s="138">
        <v>41153.0</v>
      </c>
      <c r="AM110" s="138">
        <v>41183.0</v>
      </c>
      <c r="AN110" s="138">
        <v>41214.0</v>
      </c>
      <c r="AO110" s="138">
        <v>41244.0</v>
      </c>
      <c r="AP110" s="138">
        <v>41275.0</v>
      </c>
      <c r="AQ110" s="138">
        <v>41306.0</v>
      </c>
      <c r="AR110" s="138">
        <v>41334.0</v>
      </c>
      <c r="AS110" s="138">
        <v>41365.0</v>
      </c>
      <c r="AT110" s="138">
        <v>41395.0</v>
      </c>
      <c r="AU110" s="138">
        <v>41426.0</v>
      </c>
      <c r="AV110" s="138">
        <v>41456.0</v>
      </c>
      <c r="AW110" s="138">
        <v>41487.0</v>
      </c>
      <c r="AX110" s="138">
        <v>41518.0</v>
      </c>
      <c r="AY110" s="138">
        <v>41548.0</v>
      </c>
      <c r="AZ110" s="138">
        <v>41579.0</v>
      </c>
      <c r="BA110" s="138">
        <v>41609.0</v>
      </c>
      <c r="BB110" s="138">
        <v>41640.0</v>
      </c>
      <c r="BC110" s="138">
        <v>41671.0</v>
      </c>
      <c r="BD110" s="138">
        <v>41699.0</v>
      </c>
      <c r="BE110" s="138">
        <v>41730.0</v>
      </c>
      <c r="BF110" s="138">
        <v>41760.0</v>
      </c>
      <c r="BG110" s="138">
        <v>41791.0</v>
      </c>
      <c r="BH110" s="138">
        <v>41821.0</v>
      </c>
      <c r="BI110" s="138">
        <v>41852.0</v>
      </c>
      <c r="BJ110" s="138">
        <v>41883.0</v>
      </c>
      <c r="BK110" s="138">
        <v>41913.0</v>
      </c>
      <c r="BL110" s="138">
        <v>41944.0</v>
      </c>
      <c r="BM110" s="138">
        <v>41974.0</v>
      </c>
      <c r="BN110" s="138">
        <v>42005.0</v>
      </c>
      <c r="BO110" s="138">
        <v>42036.0</v>
      </c>
      <c r="BP110" s="138">
        <v>42064.0</v>
      </c>
      <c r="BQ110" s="138">
        <v>42095.0</v>
      </c>
      <c r="BR110" s="138">
        <v>42125.0</v>
      </c>
      <c r="BS110" s="138">
        <v>42156.0</v>
      </c>
      <c r="BT110" s="138">
        <v>42186.0</v>
      </c>
      <c r="BU110" s="138">
        <v>42217.0</v>
      </c>
      <c r="BV110" s="138">
        <v>42248.0</v>
      </c>
      <c r="BW110" s="138">
        <v>42278.0</v>
      </c>
      <c r="BX110" s="138">
        <v>42309.0</v>
      </c>
      <c r="BY110" s="138">
        <v>42339.0</v>
      </c>
      <c r="BZ110" s="138">
        <v>42370.0</v>
      </c>
      <c r="CA110" s="138">
        <v>42401.0</v>
      </c>
      <c r="CB110" s="138">
        <v>42430.0</v>
      </c>
      <c r="CC110" s="138">
        <v>42461.0</v>
      </c>
      <c r="CD110" s="138">
        <v>42491.0</v>
      </c>
      <c r="CE110" s="138">
        <v>42522.0</v>
      </c>
      <c r="CF110" s="138">
        <v>42552.0</v>
      </c>
      <c r="CG110" s="138">
        <v>42583.0</v>
      </c>
      <c r="CH110" s="138">
        <v>42614.0</v>
      </c>
      <c r="CI110" s="138">
        <v>42644.0</v>
      </c>
      <c r="CJ110" s="138">
        <v>42675.0</v>
      </c>
      <c r="CK110" s="138">
        <v>42705.0</v>
      </c>
      <c r="CL110" s="138">
        <v>42736.0</v>
      </c>
      <c r="CM110" s="138">
        <v>42767.0</v>
      </c>
      <c r="CN110" s="138">
        <v>42795.0</v>
      </c>
      <c r="CO110" s="138">
        <v>42826.0</v>
      </c>
      <c r="CP110" s="138">
        <v>42856.0</v>
      </c>
      <c r="CQ110" s="138">
        <v>42887.0</v>
      </c>
      <c r="CR110" s="138">
        <v>42917.0</v>
      </c>
      <c r="CS110" s="138">
        <v>42948.0</v>
      </c>
      <c r="CT110" s="138">
        <v>42979.0</v>
      </c>
      <c r="CU110" s="138">
        <v>43009.0</v>
      </c>
      <c r="CV110" s="138">
        <v>43040.0</v>
      </c>
      <c r="CW110" s="138">
        <v>43070.0</v>
      </c>
      <c r="CX110" s="138">
        <v>43101.0</v>
      </c>
      <c r="CY110" s="138">
        <v>43132.0</v>
      </c>
      <c r="CZ110" s="138">
        <v>43160.0</v>
      </c>
      <c r="DA110" s="138">
        <v>43191.0</v>
      </c>
      <c r="DB110" s="138">
        <v>43221.0</v>
      </c>
      <c r="DC110" s="138">
        <v>43252.0</v>
      </c>
      <c r="DD110" s="138">
        <v>43282.0</v>
      </c>
      <c r="DE110" s="138">
        <v>43313.0</v>
      </c>
      <c r="DF110" s="138">
        <v>43344.0</v>
      </c>
      <c r="DG110" s="138">
        <v>43374.0</v>
      </c>
      <c r="DH110" s="138">
        <v>43405.0</v>
      </c>
      <c r="DI110" s="138">
        <v>43435.0</v>
      </c>
      <c r="DJ110" s="138">
        <v>43466.0</v>
      </c>
      <c r="DK110" s="138">
        <v>43497.0</v>
      </c>
      <c r="DL110" s="138">
        <v>43525.0</v>
      </c>
      <c r="DM110" s="138">
        <v>43556.0</v>
      </c>
      <c r="DN110" s="138">
        <v>43586.0</v>
      </c>
      <c r="DO110" s="138">
        <v>43617.0</v>
      </c>
      <c r="DP110" s="138">
        <v>43647.0</v>
      </c>
      <c r="DQ110" s="138">
        <v>43678.0</v>
      </c>
      <c r="DR110" s="138">
        <v>43709.0</v>
      </c>
      <c r="DS110" s="138">
        <v>43739.0</v>
      </c>
      <c r="DT110" s="138">
        <v>43770.0</v>
      </c>
      <c r="DU110" s="138">
        <v>43800.0</v>
      </c>
      <c r="DV110" s="138">
        <v>43831.0</v>
      </c>
      <c r="DW110" s="138">
        <v>43862.0</v>
      </c>
      <c r="DX110" s="138">
        <v>43891.0</v>
      </c>
      <c r="DY110" s="138">
        <v>43922.0</v>
      </c>
      <c r="DZ110" s="138">
        <v>43952.0</v>
      </c>
      <c r="EA110" s="138">
        <v>43983.0</v>
      </c>
      <c r="EB110" s="138">
        <v>44013.0</v>
      </c>
      <c r="EC110" s="138">
        <v>44044.0</v>
      </c>
      <c r="ED110" s="138">
        <v>44075.0</v>
      </c>
      <c r="EE110" s="138">
        <v>44105.0</v>
      </c>
      <c r="EF110" s="138">
        <v>44136.0</v>
      </c>
      <c r="EG110" s="138">
        <v>44166.0</v>
      </c>
      <c r="EH110" s="138">
        <v>44197.0</v>
      </c>
      <c r="EI110" s="138">
        <v>44228.0</v>
      </c>
      <c r="EJ110" s="138">
        <v>44256.0</v>
      </c>
      <c r="EK110" s="138">
        <v>44287.0</v>
      </c>
      <c r="EL110" s="138">
        <v>44317.0</v>
      </c>
      <c r="EM110" s="138">
        <v>44348.0</v>
      </c>
      <c r="EN110" s="138">
        <v>44378.0</v>
      </c>
      <c r="EO110" s="138">
        <v>44409.0</v>
      </c>
      <c r="EP110" s="138">
        <v>44440.0</v>
      </c>
      <c r="EQ110" s="138">
        <v>44470.0</v>
      </c>
      <c r="ER110" s="138">
        <v>44501.0</v>
      </c>
      <c r="ES110" s="138">
        <v>44531.0</v>
      </c>
      <c r="ET110" s="138">
        <v>44562.0</v>
      </c>
      <c r="EU110" s="138">
        <v>44593.0</v>
      </c>
      <c r="EV110" s="138">
        <v>44621.0</v>
      </c>
      <c r="EW110" s="138">
        <v>44652.0</v>
      </c>
      <c r="EX110" s="138">
        <v>44682.0</v>
      </c>
      <c r="EY110" s="138">
        <v>44713.0</v>
      </c>
      <c r="EZ110" s="138">
        <v>44743.0</v>
      </c>
      <c r="FA110" s="138">
        <v>44774.0</v>
      </c>
      <c r="FB110" s="138">
        <v>44805.0</v>
      </c>
      <c r="FC110" s="139">
        <v>44835.0</v>
      </c>
      <c r="FD110" s="139">
        <v>44866.0</v>
      </c>
      <c r="FE110" s="139">
        <v>44896.0</v>
      </c>
      <c r="FF110" s="139">
        <v>44927.0</v>
      </c>
      <c r="FG110" s="139">
        <v>44958.0</v>
      </c>
      <c r="FH110" s="139">
        <v>44986.0</v>
      </c>
      <c r="FI110" s="139">
        <v>45017.0</v>
      </c>
      <c r="FJ110" s="139">
        <v>45047.0</v>
      </c>
      <c r="FK110" s="139">
        <v>45078.0</v>
      </c>
      <c r="FL110" s="139">
        <v>45108.0</v>
      </c>
      <c r="FM110" s="139">
        <v>45139.0</v>
      </c>
      <c r="FN110" s="139">
        <v>45170.0</v>
      </c>
      <c r="FO110" s="139">
        <v>45200.0</v>
      </c>
      <c r="FP110" s="139">
        <v>45231.0</v>
      </c>
      <c r="FQ110" s="139">
        <v>45261.0</v>
      </c>
      <c r="FR110" s="139">
        <v>45292.0</v>
      </c>
      <c r="FS110" s="139">
        <v>45323.0</v>
      </c>
      <c r="FT110" s="139">
        <v>45352.0</v>
      </c>
      <c r="FU110" s="139">
        <v>45383.0</v>
      </c>
      <c r="FV110" s="139">
        <v>45413.0</v>
      </c>
      <c r="FW110" s="139">
        <v>45444.0</v>
      </c>
      <c r="FX110" s="139">
        <v>45474.0</v>
      </c>
      <c r="FY110" s="139">
        <v>45505.0</v>
      </c>
      <c r="FZ110" s="139">
        <v>45536.0</v>
      </c>
      <c r="GA110" s="139">
        <v>45566.0</v>
      </c>
      <c r="GB110" s="139">
        <v>45597.0</v>
      </c>
      <c r="GC110" s="139">
        <v>45627.0</v>
      </c>
      <c r="GD110" s="139">
        <v>45658.0</v>
      </c>
      <c r="GE110" s="139">
        <v>45689.0</v>
      </c>
      <c r="GF110" s="139">
        <v>45717.0</v>
      </c>
      <c r="GG110" s="139">
        <v>45748.0</v>
      </c>
      <c r="GH110" s="139">
        <v>45778.0</v>
      </c>
      <c r="GI110" s="139">
        <v>45809.0</v>
      </c>
      <c r="GJ110" s="139">
        <v>45839.0</v>
      </c>
    </row>
    <row r="111">
      <c r="A111" s="133" t="s">
        <v>1526</v>
      </c>
      <c r="B111" s="134">
        <v>44833.83912037037</v>
      </c>
      <c r="C111" s="135" t="str">
        <f t="shared" si="1"/>
        <v>2022/09/29</v>
      </c>
      <c r="D111" s="136" t="s">
        <v>34303</v>
      </c>
      <c r="E111" s="151">
        <v>0.0</v>
      </c>
      <c r="F111" s="138">
        <v>40179.0</v>
      </c>
      <c r="G111" s="138">
        <v>40210.0</v>
      </c>
      <c r="H111" s="138">
        <v>40238.0</v>
      </c>
      <c r="I111" s="138">
        <v>40269.0</v>
      </c>
      <c r="J111" s="138">
        <v>40299.0</v>
      </c>
      <c r="K111" s="138">
        <v>40330.0</v>
      </c>
      <c r="L111" s="138">
        <v>40360.0</v>
      </c>
      <c r="M111" s="138">
        <v>40391.0</v>
      </c>
      <c r="N111" s="138">
        <v>40422.0</v>
      </c>
      <c r="O111" s="138">
        <v>40452.0</v>
      </c>
      <c r="P111" s="138">
        <v>40483.0</v>
      </c>
      <c r="Q111" s="138">
        <v>40513.0</v>
      </c>
      <c r="R111" s="138">
        <v>40544.0</v>
      </c>
      <c r="S111" s="138">
        <v>40575.0</v>
      </c>
      <c r="T111" s="138">
        <v>40603.0</v>
      </c>
      <c r="U111" s="138">
        <v>40634.0</v>
      </c>
      <c r="V111" s="138">
        <v>40664.0</v>
      </c>
      <c r="W111" s="138">
        <v>40695.0</v>
      </c>
      <c r="X111" s="138">
        <v>40725.0</v>
      </c>
      <c r="Y111" s="138">
        <v>40756.0</v>
      </c>
      <c r="Z111" s="138">
        <v>40787.0</v>
      </c>
      <c r="AA111" s="138">
        <v>40817.0</v>
      </c>
      <c r="AB111" s="138">
        <v>40848.0</v>
      </c>
      <c r="AC111" s="138">
        <v>40878.0</v>
      </c>
      <c r="AD111" s="138">
        <v>40909.0</v>
      </c>
      <c r="AE111" s="138">
        <v>40940.0</v>
      </c>
      <c r="AF111" s="138">
        <v>40969.0</v>
      </c>
      <c r="AG111" s="138">
        <v>41000.0</v>
      </c>
      <c r="AH111" s="138">
        <v>41030.0</v>
      </c>
      <c r="AI111" s="138">
        <v>41061.0</v>
      </c>
      <c r="AJ111" s="138">
        <v>41091.0</v>
      </c>
      <c r="AK111" s="138">
        <v>41122.0</v>
      </c>
      <c r="AL111" s="138">
        <v>41153.0</v>
      </c>
      <c r="AM111" s="138">
        <v>41183.0</v>
      </c>
      <c r="AN111" s="138">
        <v>41214.0</v>
      </c>
      <c r="AO111" s="138">
        <v>41244.0</v>
      </c>
      <c r="AP111" s="138">
        <v>41275.0</v>
      </c>
      <c r="AQ111" s="138">
        <v>41306.0</v>
      </c>
      <c r="AR111" s="138">
        <v>41334.0</v>
      </c>
      <c r="AS111" s="138">
        <v>41365.0</v>
      </c>
      <c r="AT111" s="138">
        <v>41395.0</v>
      </c>
      <c r="AU111" s="138">
        <v>41426.0</v>
      </c>
      <c r="AV111" s="138">
        <v>41456.0</v>
      </c>
      <c r="AW111" s="138">
        <v>41487.0</v>
      </c>
      <c r="AX111" s="138">
        <v>41518.0</v>
      </c>
      <c r="AY111" s="138">
        <v>41548.0</v>
      </c>
      <c r="AZ111" s="138">
        <v>41579.0</v>
      </c>
      <c r="BA111" s="138">
        <v>41609.0</v>
      </c>
      <c r="BB111" s="138">
        <v>41640.0</v>
      </c>
      <c r="BC111" s="138">
        <v>41671.0</v>
      </c>
      <c r="BD111" s="138">
        <v>41699.0</v>
      </c>
      <c r="BE111" s="138">
        <v>41730.0</v>
      </c>
      <c r="BF111" s="138">
        <v>41760.0</v>
      </c>
      <c r="BG111" s="138">
        <v>41791.0</v>
      </c>
      <c r="BH111" s="138">
        <v>41821.0</v>
      </c>
      <c r="BI111" s="138">
        <v>41852.0</v>
      </c>
      <c r="BJ111" s="138">
        <v>41883.0</v>
      </c>
      <c r="BK111" s="138">
        <v>41913.0</v>
      </c>
      <c r="BL111" s="138">
        <v>41944.0</v>
      </c>
      <c r="BM111" s="138">
        <v>41974.0</v>
      </c>
      <c r="BN111" s="138">
        <v>42005.0</v>
      </c>
      <c r="BO111" s="138">
        <v>42036.0</v>
      </c>
      <c r="BP111" s="138">
        <v>42064.0</v>
      </c>
      <c r="BQ111" s="138">
        <v>42095.0</v>
      </c>
      <c r="BR111" s="138">
        <v>42125.0</v>
      </c>
      <c r="BS111" s="138">
        <v>42156.0</v>
      </c>
      <c r="BT111" s="138">
        <v>42186.0</v>
      </c>
      <c r="BU111" s="138">
        <v>42217.0</v>
      </c>
      <c r="BV111" s="138">
        <v>42248.0</v>
      </c>
      <c r="BW111" s="138">
        <v>42278.0</v>
      </c>
      <c r="BX111" s="138">
        <v>42309.0</v>
      </c>
      <c r="BY111" s="138">
        <v>42339.0</v>
      </c>
      <c r="BZ111" s="138">
        <v>42370.0</v>
      </c>
      <c r="CA111" s="138">
        <v>42401.0</v>
      </c>
      <c r="CB111" s="138">
        <v>42430.0</v>
      </c>
      <c r="CC111" s="138">
        <v>42461.0</v>
      </c>
      <c r="CD111" s="138">
        <v>42491.0</v>
      </c>
      <c r="CE111" s="138">
        <v>42522.0</v>
      </c>
      <c r="CF111" s="138">
        <v>42552.0</v>
      </c>
      <c r="CG111" s="138">
        <v>42583.0</v>
      </c>
      <c r="CH111" s="138">
        <v>42614.0</v>
      </c>
      <c r="CI111" s="138">
        <v>42644.0</v>
      </c>
      <c r="CJ111" s="138">
        <v>42675.0</v>
      </c>
      <c r="CK111" s="138">
        <v>42705.0</v>
      </c>
      <c r="CL111" s="138">
        <v>42736.0</v>
      </c>
      <c r="CM111" s="138">
        <v>42767.0</v>
      </c>
      <c r="CN111" s="138">
        <v>42795.0</v>
      </c>
      <c r="CO111" s="138">
        <v>42826.0</v>
      </c>
      <c r="CP111" s="138">
        <v>42856.0</v>
      </c>
      <c r="CQ111" s="138">
        <v>42887.0</v>
      </c>
      <c r="CR111" s="138">
        <v>42917.0</v>
      </c>
      <c r="CS111" s="138">
        <v>42948.0</v>
      </c>
      <c r="CT111" s="138">
        <v>42979.0</v>
      </c>
      <c r="CU111" s="138">
        <v>43009.0</v>
      </c>
      <c r="CV111" s="138">
        <v>43040.0</v>
      </c>
      <c r="CW111" s="138">
        <v>43070.0</v>
      </c>
      <c r="CX111" s="138">
        <v>43101.0</v>
      </c>
      <c r="CY111" s="138">
        <v>43132.0</v>
      </c>
      <c r="CZ111" s="138">
        <v>43160.0</v>
      </c>
      <c r="DA111" s="138">
        <v>43191.0</v>
      </c>
      <c r="DB111" s="138">
        <v>43221.0</v>
      </c>
      <c r="DC111" s="138">
        <v>43252.0</v>
      </c>
      <c r="DD111" s="138">
        <v>43282.0</v>
      </c>
      <c r="DE111" s="138">
        <v>43313.0</v>
      </c>
      <c r="DF111" s="138">
        <v>43344.0</v>
      </c>
      <c r="DG111" s="138">
        <v>43374.0</v>
      </c>
      <c r="DH111" s="138">
        <v>43405.0</v>
      </c>
      <c r="DI111" s="138">
        <v>43435.0</v>
      </c>
      <c r="DJ111" s="138">
        <v>43466.0</v>
      </c>
      <c r="DK111" s="138">
        <v>43497.0</v>
      </c>
      <c r="DL111" s="138">
        <v>43525.0</v>
      </c>
      <c r="DM111" s="138">
        <v>43556.0</v>
      </c>
      <c r="DN111" s="138">
        <v>43586.0</v>
      </c>
      <c r="DO111" s="138">
        <v>43617.0</v>
      </c>
      <c r="DP111" s="138">
        <v>43647.0</v>
      </c>
      <c r="DQ111" s="138">
        <v>43678.0</v>
      </c>
      <c r="DR111" s="138">
        <v>43709.0</v>
      </c>
      <c r="DS111" s="138">
        <v>43739.0</v>
      </c>
      <c r="DT111" s="138">
        <v>43770.0</v>
      </c>
      <c r="DU111" s="138">
        <v>43800.0</v>
      </c>
      <c r="DV111" s="138">
        <v>43831.0</v>
      </c>
      <c r="DW111" s="138">
        <v>43862.0</v>
      </c>
      <c r="DX111" s="138">
        <v>43891.0</v>
      </c>
      <c r="DY111" s="138">
        <v>43922.0</v>
      </c>
      <c r="DZ111" s="138">
        <v>43952.0</v>
      </c>
      <c r="EA111" s="138">
        <v>43983.0</v>
      </c>
      <c r="EB111" s="138">
        <v>44013.0</v>
      </c>
      <c r="EC111" s="138">
        <v>44044.0</v>
      </c>
      <c r="ED111" s="138">
        <v>44075.0</v>
      </c>
      <c r="EE111" s="138">
        <v>44105.0</v>
      </c>
      <c r="EF111" s="138">
        <v>44136.0</v>
      </c>
      <c r="EG111" s="138">
        <v>44166.0</v>
      </c>
      <c r="EH111" s="138">
        <v>44197.0</v>
      </c>
      <c r="EI111" s="138">
        <v>44228.0</v>
      </c>
      <c r="EJ111" s="138">
        <v>44256.0</v>
      </c>
      <c r="EK111" s="138">
        <v>44287.0</v>
      </c>
      <c r="EL111" s="138">
        <v>44317.0</v>
      </c>
      <c r="EM111" s="138">
        <v>44348.0</v>
      </c>
      <c r="EN111" s="138">
        <v>44378.0</v>
      </c>
      <c r="EO111" s="138">
        <v>44409.0</v>
      </c>
      <c r="EP111" s="138">
        <v>44440.0</v>
      </c>
      <c r="EQ111" s="138">
        <v>44470.0</v>
      </c>
      <c r="ER111" s="138">
        <v>44501.0</v>
      </c>
      <c r="ES111" s="138">
        <v>44531.0</v>
      </c>
      <c r="ET111" s="138">
        <v>44562.0</v>
      </c>
      <c r="EU111" s="138">
        <v>44593.0</v>
      </c>
      <c r="EV111" s="138">
        <v>44621.0</v>
      </c>
      <c r="EW111" s="138">
        <v>44652.0</v>
      </c>
      <c r="EX111" s="138">
        <v>44682.0</v>
      </c>
      <c r="EY111" s="138">
        <v>44713.0</v>
      </c>
      <c r="EZ111" s="138">
        <v>44743.0</v>
      </c>
      <c r="FA111" s="138">
        <v>44774.0</v>
      </c>
      <c r="FB111" s="138">
        <v>44805.0</v>
      </c>
      <c r="FC111" s="139">
        <v>44835.0</v>
      </c>
      <c r="FD111" s="139">
        <v>44866.0</v>
      </c>
      <c r="FE111" s="139">
        <v>44896.0</v>
      </c>
      <c r="FF111" s="139">
        <v>44927.0</v>
      </c>
      <c r="FG111" s="139">
        <v>44958.0</v>
      </c>
      <c r="FH111" s="139">
        <v>44986.0</v>
      </c>
      <c r="FI111" s="139">
        <v>45017.0</v>
      </c>
      <c r="FJ111" s="139">
        <v>45047.0</v>
      </c>
      <c r="FK111" s="139">
        <v>45078.0</v>
      </c>
      <c r="FL111" s="139">
        <v>45108.0</v>
      </c>
      <c r="FM111" s="139">
        <v>45139.0</v>
      </c>
      <c r="FN111" s="139">
        <v>45170.0</v>
      </c>
      <c r="FO111" s="139">
        <v>45200.0</v>
      </c>
      <c r="FP111" s="139">
        <v>45231.0</v>
      </c>
      <c r="FQ111" s="139">
        <v>45261.0</v>
      </c>
      <c r="FR111" s="139">
        <v>45292.0</v>
      </c>
      <c r="FS111" s="139">
        <v>45323.0</v>
      </c>
      <c r="FT111" s="139">
        <v>45352.0</v>
      </c>
      <c r="FU111" s="139">
        <v>45383.0</v>
      </c>
      <c r="FV111" s="139">
        <v>45413.0</v>
      </c>
      <c r="FW111" s="139">
        <v>45444.0</v>
      </c>
      <c r="FX111" s="139">
        <v>45474.0</v>
      </c>
      <c r="FY111" s="139">
        <v>45505.0</v>
      </c>
      <c r="FZ111" s="139">
        <v>45536.0</v>
      </c>
      <c r="GA111" s="139">
        <v>45566.0</v>
      </c>
      <c r="GB111" s="139">
        <v>45597.0</v>
      </c>
      <c r="GC111" s="139">
        <v>45627.0</v>
      </c>
      <c r="GD111" s="139">
        <v>45658.0</v>
      </c>
      <c r="GE111" s="139">
        <v>45689.0</v>
      </c>
      <c r="GF111" s="139">
        <v>45717.0</v>
      </c>
      <c r="GG111" s="139">
        <v>45748.0</v>
      </c>
      <c r="GH111" s="139">
        <v>45778.0</v>
      </c>
      <c r="GI111" s="139">
        <v>45809.0</v>
      </c>
      <c r="GJ111" s="139">
        <v>45839.0</v>
      </c>
    </row>
    <row r="112">
      <c r="A112" s="133" t="s">
        <v>1396</v>
      </c>
      <c r="B112" s="134">
        <v>44922.718310185184</v>
      </c>
      <c r="C112" s="135" t="str">
        <f t="shared" si="1"/>
        <v>2022/12/27</v>
      </c>
      <c r="D112" s="136" t="s">
        <v>33912</v>
      </c>
      <c r="E112" s="151">
        <v>0.0</v>
      </c>
      <c r="F112" s="138">
        <v>40179.0</v>
      </c>
      <c r="G112" s="138">
        <v>40210.0</v>
      </c>
      <c r="H112" s="138">
        <v>40238.0</v>
      </c>
      <c r="I112" s="138">
        <v>40269.0</v>
      </c>
      <c r="J112" s="138">
        <v>40299.0</v>
      </c>
      <c r="K112" s="138">
        <v>40330.0</v>
      </c>
      <c r="L112" s="138">
        <v>40360.0</v>
      </c>
      <c r="M112" s="138">
        <v>40391.0</v>
      </c>
      <c r="N112" s="138">
        <v>40422.0</v>
      </c>
      <c r="O112" s="138">
        <v>40452.0</v>
      </c>
      <c r="P112" s="138">
        <v>40483.0</v>
      </c>
      <c r="Q112" s="138">
        <v>40513.0</v>
      </c>
      <c r="R112" s="138">
        <v>40544.0</v>
      </c>
      <c r="S112" s="138">
        <v>40575.0</v>
      </c>
      <c r="T112" s="138">
        <v>40603.0</v>
      </c>
      <c r="U112" s="138">
        <v>40634.0</v>
      </c>
      <c r="V112" s="138">
        <v>40664.0</v>
      </c>
      <c r="W112" s="138">
        <v>40695.0</v>
      </c>
      <c r="X112" s="138">
        <v>40725.0</v>
      </c>
      <c r="Y112" s="138">
        <v>40756.0</v>
      </c>
      <c r="Z112" s="138">
        <v>40787.0</v>
      </c>
      <c r="AA112" s="138">
        <v>40817.0</v>
      </c>
      <c r="AB112" s="138">
        <v>40848.0</v>
      </c>
      <c r="AC112" s="138">
        <v>40878.0</v>
      </c>
      <c r="AD112" s="138">
        <v>40909.0</v>
      </c>
      <c r="AE112" s="138">
        <v>40940.0</v>
      </c>
      <c r="AF112" s="138">
        <v>40969.0</v>
      </c>
      <c r="AG112" s="138">
        <v>41000.0</v>
      </c>
      <c r="AH112" s="138">
        <v>41030.0</v>
      </c>
      <c r="AI112" s="138">
        <v>41061.0</v>
      </c>
      <c r="AJ112" s="138">
        <v>41091.0</v>
      </c>
      <c r="AK112" s="138">
        <v>41122.0</v>
      </c>
      <c r="AL112" s="138">
        <v>41153.0</v>
      </c>
      <c r="AM112" s="138">
        <v>41183.0</v>
      </c>
      <c r="AN112" s="138">
        <v>41214.0</v>
      </c>
      <c r="AO112" s="138">
        <v>41244.0</v>
      </c>
      <c r="AP112" s="138">
        <v>41275.0</v>
      </c>
      <c r="AQ112" s="138">
        <v>41306.0</v>
      </c>
      <c r="AR112" s="138">
        <v>41334.0</v>
      </c>
      <c r="AS112" s="138">
        <v>41365.0</v>
      </c>
      <c r="AT112" s="138">
        <v>41395.0</v>
      </c>
      <c r="AU112" s="138">
        <v>41426.0</v>
      </c>
      <c r="AV112" s="138">
        <v>41456.0</v>
      </c>
      <c r="AW112" s="138">
        <v>41487.0</v>
      </c>
      <c r="AX112" s="138">
        <v>41518.0</v>
      </c>
      <c r="AY112" s="138">
        <v>41548.0</v>
      </c>
      <c r="AZ112" s="138">
        <v>41579.0</v>
      </c>
      <c r="BA112" s="138">
        <v>41609.0</v>
      </c>
      <c r="BB112" s="138">
        <v>41640.0</v>
      </c>
      <c r="BC112" s="138">
        <v>41671.0</v>
      </c>
      <c r="BD112" s="138">
        <v>41699.0</v>
      </c>
      <c r="BE112" s="138">
        <v>41730.0</v>
      </c>
      <c r="BF112" s="138">
        <v>41760.0</v>
      </c>
      <c r="BG112" s="138">
        <v>41791.0</v>
      </c>
      <c r="BH112" s="138">
        <v>41821.0</v>
      </c>
      <c r="BI112" s="138">
        <v>41852.0</v>
      </c>
      <c r="BJ112" s="138">
        <v>41883.0</v>
      </c>
      <c r="BK112" s="138">
        <v>41913.0</v>
      </c>
      <c r="BL112" s="138">
        <v>41944.0</v>
      </c>
      <c r="BM112" s="138">
        <v>41974.0</v>
      </c>
      <c r="BN112" s="138">
        <v>42005.0</v>
      </c>
      <c r="BO112" s="138">
        <v>42036.0</v>
      </c>
      <c r="BP112" s="138">
        <v>42064.0</v>
      </c>
      <c r="BQ112" s="138">
        <v>42095.0</v>
      </c>
      <c r="BR112" s="138">
        <v>42125.0</v>
      </c>
      <c r="BS112" s="138">
        <v>42156.0</v>
      </c>
      <c r="BT112" s="138">
        <v>42186.0</v>
      </c>
      <c r="BU112" s="138">
        <v>42217.0</v>
      </c>
      <c r="BV112" s="138">
        <v>42248.0</v>
      </c>
      <c r="BW112" s="138">
        <v>42278.0</v>
      </c>
      <c r="BX112" s="138">
        <v>42309.0</v>
      </c>
      <c r="BY112" s="138">
        <v>42339.0</v>
      </c>
      <c r="BZ112" s="138">
        <v>42370.0</v>
      </c>
      <c r="CA112" s="138">
        <v>42401.0</v>
      </c>
      <c r="CB112" s="138">
        <v>42430.0</v>
      </c>
      <c r="CC112" s="138">
        <v>42461.0</v>
      </c>
      <c r="CD112" s="138">
        <v>42491.0</v>
      </c>
      <c r="CE112" s="138">
        <v>42522.0</v>
      </c>
      <c r="CF112" s="138">
        <v>42552.0</v>
      </c>
      <c r="CG112" s="138">
        <v>42583.0</v>
      </c>
      <c r="CH112" s="138">
        <v>42614.0</v>
      </c>
      <c r="CI112" s="138">
        <v>42644.0</v>
      </c>
      <c r="CJ112" s="138">
        <v>42675.0</v>
      </c>
      <c r="CK112" s="138">
        <v>42705.0</v>
      </c>
      <c r="CL112" s="138">
        <v>42736.0</v>
      </c>
      <c r="CM112" s="138">
        <v>42767.0</v>
      </c>
      <c r="CN112" s="138">
        <v>42795.0</v>
      </c>
      <c r="CO112" s="138">
        <v>42826.0</v>
      </c>
      <c r="CP112" s="138">
        <v>42856.0</v>
      </c>
      <c r="CQ112" s="138">
        <v>42887.0</v>
      </c>
      <c r="CR112" s="138">
        <v>42917.0</v>
      </c>
      <c r="CS112" s="138">
        <v>42948.0</v>
      </c>
      <c r="CT112" s="138">
        <v>42979.0</v>
      </c>
      <c r="CU112" s="138">
        <v>43009.0</v>
      </c>
      <c r="CV112" s="138">
        <v>43040.0</v>
      </c>
      <c r="CW112" s="138">
        <v>43070.0</v>
      </c>
      <c r="CX112" s="138">
        <v>43101.0</v>
      </c>
      <c r="CY112" s="138">
        <v>43132.0</v>
      </c>
      <c r="CZ112" s="138">
        <v>43160.0</v>
      </c>
      <c r="DA112" s="138">
        <v>43191.0</v>
      </c>
      <c r="DB112" s="138">
        <v>43221.0</v>
      </c>
      <c r="DC112" s="138">
        <v>43252.0</v>
      </c>
      <c r="DD112" s="138">
        <v>43282.0</v>
      </c>
      <c r="DE112" s="138">
        <v>43313.0</v>
      </c>
      <c r="DF112" s="138">
        <v>43344.0</v>
      </c>
      <c r="DG112" s="138">
        <v>43374.0</v>
      </c>
      <c r="DH112" s="138">
        <v>43405.0</v>
      </c>
      <c r="DI112" s="138">
        <v>43435.0</v>
      </c>
      <c r="DJ112" s="138">
        <v>43466.0</v>
      </c>
      <c r="DK112" s="138">
        <v>43497.0</v>
      </c>
      <c r="DL112" s="138">
        <v>43525.0</v>
      </c>
      <c r="DM112" s="138">
        <v>43556.0</v>
      </c>
      <c r="DN112" s="138">
        <v>43586.0</v>
      </c>
      <c r="DO112" s="138">
        <v>43617.0</v>
      </c>
      <c r="DP112" s="138">
        <v>43647.0</v>
      </c>
      <c r="DQ112" s="138">
        <v>43678.0</v>
      </c>
      <c r="DR112" s="138">
        <v>43709.0</v>
      </c>
      <c r="DS112" s="138">
        <v>43739.0</v>
      </c>
      <c r="DT112" s="138">
        <v>43770.0</v>
      </c>
      <c r="DU112" s="138">
        <v>43800.0</v>
      </c>
      <c r="DV112" s="138">
        <v>43831.0</v>
      </c>
      <c r="DW112" s="138">
        <v>43862.0</v>
      </c>
      <c r="DX112" s="138">
        <v>43891.0</v>
      </c>
      <c r="DY112" s="138">
        <v>43922.0</v>
      </c>
      <c r="DZ112" s="138">
        <v>43952.0</v>
      </c>
      <c r="EA112" s="138">
        <v>43983.0</v>
      </c>
      <c r="EB112" s="138">
        <v>44013.0</v>
      </c>
      <c r="EC112" s="138">
        <v>44044.0</v>
      </c>
      <c r="ED112" s="138">
        <v>44075.0</v>
      </c>
      <c r="EE112" s="138">
        <v>44105.0</v>
      </c>
      <c r="EF112" s="138">
        <v>44136.0</v>
      </c>
      <c r="EG112" s="138">
        <v>44166.0</v>
      </c>
      <c r="EH112" s="138">
        <v>44197.0</v>
      </c>
      <c r="EI112" s="138">
        <v>44228.0</v>
      </c>
      <c r="EJ112" s="138">
        <v>44256.0</v>
      </c>
      <c r="EK112" s="138">
        <v>44287.0</v>
      </c>
      <c r="EL112" s="138">
        <v>44317.0</v>
      </c>
      <c r="EM112" s="138">
        <v>44348.0</v>
      </c>
      <c r="EN112" s="138">
        <v>44378.0</v>
      </c>
      <c r="EO112" s="138">
        <v>44409.0</v>
      </c>
      <c r="EP112" s="138">
        <v>44440.0</v>
      </c>
      <c r="EQ112" s="138">
        <v>44470.0</v>
      </c>
      <c r="ER112" s="138">
        <v>44501.0</v>
      </c>
      <c r="ES112" s="138">
        <v>44531.0</v>
      </c>
      <c r="ET112" s="138">
        <v>44562.0</v>
      </c>
      <c r="EU112" s="138">
        <v>44593.0</v>
      </c>
      <c r="EV112" s="138">
        <v>44621.0</v>
      </c>
      <c r="EW112" s="138">
        <v>44652.0</v>
      </c>
      <c r="EX112" s="138">
        <v>44682.0</v>
      </c>
      <c r="EY112" s="138">
        <v>44713.0</v>
      </c>
      <c r="EZ112" s="138">
        <v>44743.0</v>
      </c>
      <c r="FA112" s="138">
        <v>44774.0</v>
      </c>
      <c r="FB112" s="138">
        <v>44805.0</v>
      </c>
      <c r="FC112" s="138">
        <v>44835.0</v>
      </c>
      <c r="FD112" s="138">
        <v>44866.0</v>
      </c>
      <c r="FE112" s="138">
        <v>44896.0</v>
      </c>
      <c r="FF112" s="139">
        <v>44927.0</v>
      </c>
      <c r="FG112" s="139">
        <v>44958.0</v>
      </c>
      <c r="FH112" s="139">
        <v>44986.0</v>
      </c>
      <c r="FI112" s="139">
        <v>45017.0</v>
      </c>
      <c r="FJ112" s="139">
        <v>45047.0</v>
      </c>
      <c r="FK112" s="139">
        <v>45078.0</v>
      </c>
      <c r="FL112" s="139">
        <v>45108.0</v>
      </c>
      <c r="FM112" s="139">
        <v>45139.0</v>
      </c>
      <c r="FN112" s="139">
        <v>45170.0</v>
      </c>
      <c r="FO112" s="139">
        <v>45200.0</v>
      </c>
      <c r="FP112" s="139">
        <v>45231.0</v>
      </c>
      <c r="FQ112" s="139">
        <v>45261.0</v>
      </c>
      <c r="FR112" s="139">
        <v>45292.0</v>
      </c>
      <c r="FS112" s="139">
        <v>45323.0</v>
      </c>
      <c r="FT112" s="139">
        <v>45352.0</v>
      </c>
      <c r="FU112" s="139">
        <v>45383.0</v>
      </c>
      <c r="FV112" s="139">
        <v>45413.0</v>
      </c>
      <c r="FW112" s="139">
        <v>45444.0</v>
      </c>
      <c r="FX112" s="139">
        <v>45474.0</v>
      </c>
      <c r="FY112" s="139">
        <v>45505.0</v>
      </c>
      <c r="FZ112" s="139">
        <v>45536.0</v>
      </c>
      <c r="GA112" s="139">
        <v>45566.0</v>
      </c>
      <c r="GB112" s="139">
        <v>45597.0</v>
      </c>
      <c r="GC112" s="139">
        <v>45627.0</v>
      </c>
      <c r="GD112" s="139">
        <v>45658.0</v>
      </c>
      <c r="GE112" s="139">
        <v>45689.0</v>
      </c>
      <c r="GF112" s="139">
        <v>45717.0</v>
      </c>
      <c r="GG112" s="139">
        <v>45748.0</v>
      </c>
      <c r="GH112" s="139">
        <v>45778.0</v>
      </c>
      <c r="GI112" s="139">
        <v>45809.0</v>
      </c>
      <c r="GJ112" s="139">
        <v>45839.0</v>
      </c>
    </row>
    <row r="113">
      <c r="A113" s="133" t="s">
        <v>1766</v>
      </c>
      <c r="B113" s="134">
        <v>44932.46260416666</v>
      </c>
      <c r="C113" s="135" t="str">
        <f t="shared" si="1"/>
        <v>2023/01/06</v>
      </c>
      <c r="D113" s="136" t="s">
        <v>34304</v>
      </c>
      <c r="E113" s="151">
        <v>0.01</v>
      </c>
      <c r="F113" s="138">
        <v>40179.0</v>
      </c>
      <c r="G113" s="138">
        <v>40210.0</v>
      </c>
      <c r="H113" s="138">
        <v>40238.0</v>
      </c>
      <c r="I113" s="138">
        <v>40269.0</v>
      </c>
      <c r="J113" s="138">
        <v>40299.0</v>
      </c>
      <c r="K113" s="138">
        <v>40330.0</v>
      </c>
      <c r="L113" s="138">
        <v>40360.0</v>
      </c>
      <c r="M113" s="138">
        <v>40391.0</v>
      </c>
      <c r="N113" s="138">
        <v>40422.0</v>
      </c>
      <c r="O113" s="138">
        <v>40452.0</v>
      </c>
      <c r="P113" s="138">
        <v>40483.0</v>
      </c>
      <c r="Q113" s="138">
        <v>40513.0</v>
      </c>
      <c r="R113" s="138">
        <v>40544.0</v>
      </c>
      <c r="S113" s="138">
        <v>40575.0</v>
      </c>
      <c r="T113" s="138">
        <v>40603.0</v>
      </c>
      <c r="U113" s="138">
        <v>40634.0</v>
      </c>
      <c r="V113" s="138">
        <v>40664.0</v>
      </c>
      <c r="W113" s="138">
        <v>40695.0</v>
      </c>
      <c r="X113" s="138">
        <v>40725.0</v>
      </c>
      <c r="Y113" s="138">
        <v>40756.0</v>
      </c>
      <c r="Z113" s="138">
        <v>40787.0</v>
      </c>
      <c r="AA113" s="138">
        <v>40817.0</v>
      </c>
      <c r="AB113" s="138">
        <v>40848.0</v>
      </c>
      <c r="AC113" s="138">
        <v>40878.0</v>
      </c>
      <c r="AD113" s="138">
        <v>40909.0</v>
      </c>
      <c r="AE113" s="138">
        <v>40940.0</v>
      </c>
      <c r="AF113" s="138">
        <v>40969.0</v>
      </c>
      <c r="AG113" s="138">
        <v>41000.0</v>
      </c>
      <c r="AH113" s="138">
        <v>41030.0</v>
      </c>
      <c r="AI113" s="138">
        <v>41061.0</v>
      </c>
      <c r="AJ113" s="138">
        <v>41091.0</v>
      </c>
      <c r="AK113" s="138">
        <v>41122.0</v>
      </c>
      <c r="AL113" s="138">
        <v>41153.0</v>
      </c>
      <c r="AM113" s="138">
        <v>41183.0</v>
      </c>
      <c r="AN113" s="138">
        <v>41214.0</v>
      </c>
      <c r="AO113" s="138">
        <v>41244.0</v>
      </c>
      <c r="AP113" s="138">
        <v>41275.0</v>
      </c>
      <c r="AQ113" s="138">
        <v>41306.0</v>
      </c>
      <c r="AR113" s="138">
        <v>41334.0</v>
      </c>
      <c r="AS113" s="138">
        <v>41365.0</v>
      </c>
      <c r="AT113" s="138">
        <v>41395.0</v>
      </c>
      <c r="AU113" s="138">
        <v>41426.0</v>
      </c>
      <c r="AV113" s="138">
        <v>41456.0</v>
      </c>
      <c r="AW113" s="138">
        <v>41487.0</v>
      </c>
      <c r="AX113" s="138">
        <v>41518.0</v>
      </c>
      <c r="AY113" s="138">
        <v>41548.0</v>
      </c>
      <c r="AZ113" s="138">
        <v>41579.0</v>
      </c>
      <c r="BA113" s="138">
        <v>41609.0</v>
      </c>
      <c r="BB113" s="138">
        <v>41640.0</v>
      </c>
      <c r="BC113" s="138">
        <v>41671.0</v>
      </c>
      <c r="BD113" s="138">
        <v>41699.0</v>
      </c>
      <c r="BE113" s="138">
        <v>41730.0</v>
      </c>
      <c r="BF113" s="138">
        <v>41760.0</v>
      </c>
      <c r="BG113" s="138">
        <v>41791.0</v>
      </c>
      <c r="BH113" s="138">
        <v>41821.0</v>
      </c>
      <c r="BI113" s="138">
        <v>41852.0</v>
      </c>
      <c r="BJ113" s="138">
        <v>41883.0</v>
      </c>
      <c r="BK113" s="138">
        <v>41913.0</v>
      </c>
      <c r="BL113" s="138">
        <v>41944.0</v>
      </c>
      <c r="BM113" s="138">
        <v>41974.0</v>
      </c>
      <c r="BN113" s="138">
        <v>42005.0</v>
      </c>
      <c r="BO113" s="138">
        <v>42036.0</v>
      </c>
      <c r="BP113" s="138">
        <v>42064.0</v>
      </c>
      <c r="BQ113" s="138">
        <v>42095.0</v>
      </c>
      <c r="BR113" s="138">
        <v>42125.0</v>
      </c>
      <c r="BS113" s="138">
        <v>42156.0</v>
      </c>
      <c r="BT113" s="138">
        <v>42186.0</v>
      </c>
      <c r="BU113" s="138">
        <v>42217.0</v>
      </c>
      <c r="BV113" s="138">
        <v>42248.0</v>
      </c>
      <c r="BW113" s="138">
        <v>42278.0</v>
      </c>
      <c r="BX113" s="138">
        <v>42309.0</v>
      </c>
      <c r="BY113" s="138">
        <v>42339.0</v>
      </c>
      <c r="BZ113" s="138">
        <v>42370.0</v>
      </c>
      <c r="CA113" s="138">
        <v>42401.0</v>
      </c>
      <c r="CB113" s="138">
        <v>42430.0</v>
      </c>
      <c r="CC113" s="138">
        <v>42461.0</v>
      </c>
      <c r="CD113" s="138">
        <v>42491.0</v>
      </c>
      <c r="CE113" s="138">
        <v>42522.0</v>
      </c>
      <c r="CF113" s="138">
        <v>42552.0</v>
      </c>
      <c r="CG113" s="138">
        <v>42583.0</v>
      </c>
      <c r="CH113" s="138">
        <v>42614.0</v>
      </c>
      <c r="CI113" s="138">
        <v>42644.0</v>
      </c>
      <c r="CJ113" s="138">
        <v>42675.0</v>
      </c>
      <c r="CK113" s="138">
        <v>42705.0</v>
      </c>
      <c r="CL113" s="138">
        <v>42736.0</v>
      </c>
      <c r="CM113" s="138">
        <v>42767.0</v>
      </c>
      <c r="CN113" s="138">
        <v>42795.0</v>
      </c>
      <c r="CO113" s="138">
        <v>42826.0</v>
      </c>
      <c r="CP113" s="138">
        <v>42856.0</v>
      </c>
      <c r="CQ113" s="138">
        <v>42887.0</v>
      </c>
      <c r="CR113" s="138">
        <v>42917.0</v>
      </c>
      <c r="CS113" s="138">
        <v>42948.0</v>
      </c>
      <c r="CT113" s="138">
        <v>42979.0</v>
      </c>
      <c r="CU113" s="138">
        <v>43009.0</v>
      </c>
      <c r="CV113" s="138">
        <v>43040.0</v>
      </c>
      <c r="CW113" s="138">
        <v>43070.0</v>
      </c>
      <c r="CX113" s="138">
        <v>43101.0</v>
      </c>
      <c r="CY113" s="138">
        <v>43132.0</v>
      </c>
      <c r="CZ113" s="138">
        <v>43160.0</v>
      </c>
      <c r="DA113" s="138">
        <v>43191.0</v>
      </c>
      <c r="DB113" s="138">
        <v>43221.0</v>
      </c>
      <c r="DC113" s="138">
        <v>43252.0</v>
      </c>
      <c r="DD113" s="138">
        <v>43282.0</v>
      </c>
      <c r="DE113" s="138">
        <v>43313.0</v>
      </c>
      <c r="DF113" s="138">
        <v>43344.0</v>
      </c>
      <c r="DG113" s="138">
        <v>43374.0</v>
      </c>
      <c r="DH113" s="138">
        <v>43405.0</v>
      </c>
      <c r="DI113" s="138">
        <v>43435.0</v>
      </c>
      <c r="DJ113" s="138">
        <v>43466.0</v>
      </c>
      <c r="DK113" s="138">
        <v>43497.0</v>
      </c>
      <c r="DL113" s="138">
        <v>43525.0</v>
      </c>
      <c r="DM113" s="138">
        <v>43556.0</v>
      </c>
      <c r="DN113" s="138">
        <v>43586.0</v>
      </c>
      <c r="DO113" s="138">
        <v>43617.0</v>
      </c>
      <c r="DP113" s="138">
        <v>43647.0</v>
      </c>
      <c r="DQ113" s="138">
        <v>43678.0</v>
      </c>
      <c r="DR113" s="138">
        <v>43709.0</v>
      </c>
      <c r="DS113" s="138">
        <v>43739.0</v>
      </c>
      <c r="DT113" s="138">
        <v>43770.0</v>
      </c>
      <c r="DU113" s="138">
        <v>43800.0</v>
      </c>
      <c r="DV113" s="138">
        <v>43831.0</v>
      </c>
      <c r="DW113" s="138">
        <v>43862.0</v>
      </c>
      <c r="DX113" s="138">
        <v>43891.0</v>
      </c>
      <c r="DY113" s="138">
        <v>43922.0</v>
      </c>
      <c r="DZ113" s="138">
        <v>43952.0</v>
      </c>
      <c r="EA113" s="138">
        <v>43983.0</v>
      </c>
      <c r="EB113" s="138">
        <v>44013.0</v>
      </c>
      <c r="EC113" s="138">
        <v>44044.0</v>
      </c>
      <c r="ED113" s="138">
        <v>44075.0</v>
      </c>
      <c r="EE113" s="138">
        <v>44105.0</v>
      </c>
      <c r="EF113" s="138">
        <v>44136.0</v>
      </c>
      <c r="EG113" s="138">
        <v>44166.0</v>
      </c>
      <c r="EH113" s="138">
        <v>44197.0</v>
      </c>
      <c r="EI113" s="138">
        <v>44228.0</v>
      </c>
      <c r="EJ113" s="138">
        <v>44256.0</v>
      </c>
      <c r="EK113" s="138">
        <v>44287.0</v>
      </c>
      <c r="EL113" s="138">
        <v>44317.0</v>
      </c>
      <c r="EM113" s="138">
        <v>44348.0</v>
      </c>
      <c r="EN113" s="138">
        <v>44378.0</v>
      </c>
      <c r="EO113" s="138">
        <v>44409.0</v>
      </c>
      <c r="EP113" s="138">
        <v>44440.0</v>
      </c>
      <c r="EQ113" s="138">
        <v>44470.0</v>
      </c>
      <c r="ER113" s="138">
        <v>44501.0</v>
      </c>
      <c r="ES113" s="138">
        <v>44531.0</v>
      </c>
      <c r="ET113" s="138">
        <v>44562.0</v>
      </c>
      <c r="EU113" s="138">
        <v>44593.0</v>
      </c>
      <c r="EV113" s="138">
        <v>44621.0</v>
      </c>
      <c r="EW113" s="138">
        <v>44652.0</v>
      </c>
      <c r="EX113" s="138">
        <v>44682.0</v>
      </c>
      <c r="EY113" s="138">
        <v>44713.0</v>
      </c>
      <c r="EZ113" s="138">
        <v>44743.0</v>
      </c>
      <c r="FA113" s="138">
        <v>44774.0</v>
      </c>
      <c r="FB113" s="138">
        <v>44805.0</v>
      </c>
      <c r="FC113" s="138">
        <v>44835.0</v>
      </c>
      <c r="FD113" s="138">
        <v>44866.0</v>
      </c>
      <c r="FE113" s="138">
        <v>44896.0</v>
      </c>
      <c r="FF113" s="138">
        <v>44927.0</v>
      </c>
      <c r="FG113" s="139">
        <v>44958.0</v>
      </c>
      <c r="FH113" s="139">
        <v>44986.0</v>
      </c>
      <c r="FI113" s="139">
        <v>45017.0</v>
      </c>
      <c r="FJ113" s="139">
        <v>45047.0</v>
      </c>
      <c r="FK113" s="139">
        <v>45078.0</v>
      </c>
      <c r="FL113" s="139">
        <v>45108.0</v>
      </c>
      <c r="FM113" s="139">
        <v>45139.0</v>
      </c>
      <c r="FN113" s="139">
        <v>45170.0</v>
      </c>
      <c r="FO113" s="139">
        <v>45200.0</v>
      </c>
      <c r="FP113" s="139">
        <v>45231.0</v>
      </c>
      <c r="FQ113" s="139">
        <v>45261.0</v>
      </c>
      <c r="FR113" s="139">
        <v>45292.0</v>
      </c>
      <c r="FS113" s="139">
        <v>45323.0</v>
      </c>
      <c r="FT113" s="139">
        <v>45352.0</v>
      </c>
      <c r="FU113" s="139">
        <v>45383.0</v>
      </c>
      <c r="FV113" s="139">
        <v>45413.0</v>
      </c>
      <c r="FW113" s="139">
        <v>45444.0</v>
      </c>
      <c r="FX113" s="139">
        <v>45474.0</v>
      </c>
      <c r="FY113" s="139">
        <v>45505.0</v>
      </c>
      <c r="FZ113" s="139">
        <v>45536.0</v>
      </c>
      <c r="GA113" s="139">
        <v>45566.0</v>
      </c>
      <c r="GB113" s="139">
        <v>45597.0</v>
      </c>
      <c r="GC113" s="139">
        <v>45627.0</v>
      </c>
      <c r="GD113" s="139">
        <v>45658.0</v>
      </c>
      <c r="GE113" s="139">
        <v>45689.0</v>
      </c>
      <c r="GF113" s="139">
        <v>45717.0</v>
      </c>
      <c r="GG113" s="139">
        <v>45748.0</v>
      </c>
      <c r="GH113" s="139">
        <v>45778.0</v>
      </c>
      <c r="GI113" s="139">
        <v>45809.0</v>
      </c>
      <c r="GJ113" s="139">
        <v>45839.0</v>
      </c>
    </row>
    <row r="114">
      <c r="A114" s="133" t="s">
        <v>1832</v>
      </c>
      <c r="B114" s="134">
        <v>44944.61150462963</v>
      </c>
      <c r="C114" s="135" t="str">
        <f t="shared" si="1"/>
        <v>2023/01/18</v>
      </c>
      <c r="D114" s="136" t="s">
        <v>34305</v>
      </c>
      <c r="E114" s="151">
        <v>0.0</v>
      </c>
      <c r="F114" s="138">
        <v>40179.0</v>
      </c>
      <c r="G114" s="138">
        <v>40210.0</v>
      </c>
      <c r="H114" s="138">
        <v>40238.0</v>
      </c>
      <c r="I114" s="138">
        <v>40269.0</v>
      </c>
      <c r="J114" s="138">
        <v>40299.0</v>
      </c>
      <c r="K114" s="138">
        <v>40330.0</v>
      </c>
      <c r="L114" s="138">
        <v>40360.0</v>
      </c>
      <c r="M114" s="138">
        <v>40391.0</v>
      </c>
      <c r="N114" s="138">
        <v>40422.0</v>
      </c>
      <c r="O114" s="138">
        <v>40452.0</v>
      </c>
      <c r="P114" s="138">
        <v>40483.0</v>
      </c>
      <c r="Q114" s="138">
        <v>40513.0</v>
      </c>
      <c r="R114" s="138">
        <v>40544.0</v>
      </c>
      <c r="S114" s="138">
        <v>40575.0</v>
      </c>
      <c r="T114" s="138">
        <v>40603.0</v>
      </c>
      <c r="U114" s="138">
        <v>40634.0</v>
      </c>
      <c r="V114" s="138">
        <v>40664.0</v>
      </c>
      <c r="W114" s="138">
        <v>40695.0</v>
      </c>
      <c r="X114" s="138">
        <v>40725.0</v>
      </c>
      <c r="Y114" s="138">
        <v>40756.0</v>
      </c>
      <c r="Z114" s="138">
        <v>40787.0</v>
      </c>
      <c r="AA114" s="138">
        <v>40817.0</v>
      </c>
      <c r="AB114" s="138">
        <v>40848.0</v>
      </c>
      <c r="AC114" s="138">
        <v>40878.0</v>
      </c>
      <c r="AD114" s="138">
        <v>40909.0</v>
      </c>
      <c r="AE114" s="138">
        <v>40940.0</v>
      </c>
      <c r="AF114" s="138">
        <v>40969.0</v>
      </c>
      <c r="AG114" s="138">
        <v>41000.0</v>
      </c>
      <c r="AH114" s="138">
        <v>41030.0</v>
      </c>
      <c r="AI114" s="138">
        <v>41061.0</v>
      </c>
      <c r="AJ114" s="138">
        <v>41091.0</v>
      </c>
      <c r="AK114" s="138">
        <v>41122.0</v>
      </c>
      <c r="AL114" s="138">
        <v>41153.0</v>
      </c>
      <c r="AM114" s="138">
        <v>41183.0</v>
      </c>
      <c r="AN114" s="138">
        <v>41214.0</v>
      </c>
      <c r="AO114" s="138">
        <v>41244.0</v>
      </c>
      <c r="AP114" s="138">
        <v>41275.0</v>
      </c>
      <c r="AQ114" s="138">
        <v>41306.0</v>
      </c>
      <c r="AR114" s="138">
        <v>41334.0</v>
      </c>
      <c r="AS114" s="138">
        <v>41365.0</v>
      </c>
      <c r="AT114" s="138">
        <v>41395.0</v>
      </c>
      <c r="AU114" s="138">
        <v>41426.0</v>
      </c>
      <c r="AV114" s="138">
        <v>41456.0</v>
      </c>
      <c r="AW114" s="138">
        <v>41487.0</v>
      </c>
      <c r="AX114" s="138">
        <v>41518.0</v>
      </c>
      <c r="AY114" s="138">
        <v>41548.0</v>
      </c>
      <c r="AZ114" s="138">
        <v>41579.0</v>
      </c>
      <c r="BA114" s="138">
        <v>41609.0</v>
      </c>
      <c r="BB114" s="138">
        <v>41640.0</v>
      </c>
      <c r="BC114" s="138">
        <v>41671.0</v>
      </c>
      <c r="BD114" s="138">
        <v>41699.0</v>
      </c>
      <c r="BE114" s="138">
        <v>41730.0</v>
      </c>
      <c r="BF114" s="138">
        <v>41760.0</v>
      </c>
      <c r="BG114" s="138">
        <v>41791.0</v>
      </c>
      <c r="BH114" s="138">
        <v>41821.0</v>
      </c>
      <c r="BI114" s="138">
        <v>41852.0</v>
      </c>
      <c r="BJ114" s="138">
        <v>41883.0</v>
      </c>
      <c r="BK114" s="138">
        <v>41913.0</v>
      </c>
      <c r="BL114" s="138">
        <v>41944.0</v>
      </c>
      <c r="BM114" s="138">
        <v>41974.0</v>
      </c>
      <c r="BN114" s="138">
        <v>42005.0</v>
      </c>
      <c r="BO114" s="138">
        <v>42036.0</v>
      </c>
      <c r="BP114" s="138">
        <v>42064.0</v>
      </c>
      <c r="BQ114" s="138">
        <v>42095.0</v>
      </c>
      <c r="BR114" s="138">
        <v>42125.0</v>
      </c>
      <c r="BS114" s="138">
        <v>42156.0</v>
      </c>
      <c r="BT114" s="138">
        <v>42186.0</v>
      </c>
      <c r="BU114" s="138">
        <v>42217.0</v>
      </c>
      <c r="BV114" s="138">
        <v>42248.0</v>
      </c>
      <c r="BW114" s="138">
        <v>42278.0</v>
      </c>
      <c r="BX114" s="138">
        <v>42309.0</v>
      </c>
      <c r="BY114" s="138">
        <v>42339.0</v>
      </c>
      <c r="BZ114" s="138">
        <v>42370.0</v>
      </c>
      <c r="CA114" s="138">
        <v>42401.0</v>
      </c>
      <c r="CB114" s="138">
        <v>42430.0</v>
      </c>
      <c r="CC114" s="138">
        <v>42461.0</v>
      </c>
      <c r="CD114" s="138">
        <v>42491.0</v>
      </c>
      <c r="CE114" s="138">
        <v>42522.0</v>
      </c>
      <c r="CF114" s="138">
        <v>42552.0</v>
      </c>
      <c r="CG114" s="138">
        <v>42583.0</v>
      </c>
      <c r="CH114" s="138">
        <v>42614.0</v>
      </c>
      <c r="CI114" s="138">
        <v>42644.0</v>
      </c>
      <c r="CJ114" s="138">
        <v>42675.0</v>
      </c>
      <c r="CK114" s="138">
        <v>42705.0</v>
      </c>
      <c r="CL114" s="138">
        <v>42736.0</v>
      </c>
      <c r="CM114" s="138">
        <v>42767.0</v>
      </c>
      <c r="CN114" s="138">
        <v>42795.0</v>
      </c>
      <c r="CO114" s="138">
        <v>42826.0</v>
      </c>
      <c r="CP114" s="138">
        <v>42856.0</v>
      </c>
      <c r="CQ114" s="138">
        <v>42887.0</v>
      </c>
      <c r="CR114" s="138">
        <v>42917.0</v>
      </c>
      <c r="CS114" s="138">
        <v>42948.0</v>
      </c>
      <c r="CT114" s="138">
        <v>42979.0</v>
      </c>
      <c r="CU114" s="138">
        <v>43009.0</v>
      </c>
      <c r="CV114" s="138">
        <v>43040.0</v>
      </c>
      <c r="CW114" s="138">
        <v>43070.0</v>
      </c>
      <c r="CX114" s="138">
        <v>43101.0</v>
      </c>
      <c r="CY114" s="138">
        <v>43132.0</v>
      </c>
      <c r="CZ114" s="138">
        <v>43160.0</v>
      </c>
      <c r="DA114" s="138">
        <v>43191.0</v>
      </c>
      <c r="DB114" s="138">
        <v>43221.0</v>
      </c>
      <c r="DC114" s="138">
        <v>43252.0</v>
      </c>
      <c r="DD114" s="138">
        <v>43282.0</v>
      </c>
      <c r="DE114" s="138">
        <v>43313.0</v>
      </c>
      <c r="DF114" s="138">
        <v>43344.0</v>
      </c>
      <c r="DG114" s="138">
        <v>43374.0</v>
      </c>
      <c r="DH114" s="138">
        <v>43405.0</v>
      </c>
      <c r="DI114" s="138">
        <v>43435.0</v>
      </c>
      <c r="DJ114" s="138">
        <v>43466.0</v>
      </c>
      <c r="DK114" s="138">
        <v>43497.0</v>
      </c>
      <c r="DL114" s="138">
        <v>43525.0</v>
      </c>
      <c r="DM114" s="138">
        <v>43556.0</v>
      </c>
      <c r="DN114" s="138">
        <v>43586.0</v>
      </c>
      <c r="DO114" s="138">
        <v>43617.0</v>
      </c>
      <c r="DP114" s="138">
        <v>43647.0</v>
      </c>
      <c r="DQ114" s="138">
        <v>43678.0</v>
      </c>
      <c r="DR114" s="138">
        <v>43709.0</v>
      </c>
      <c r="DS114" s="138">
        <v>43739.0</v>
      </c>
      <c r="DT114" s="138">
        <v>43770.0</v>
      </c>
      <c r="DU114" s="138">
        <v>43800.0</v>
      </c>
      <c r="DV114" s="138">
        <v>43831.0</v>
      </c>
      <c r="DW114" s="138">
        <v>43862.0</v>
      </c>
      <c r="DX114" s="138">
        <v>43891.0</v>
      </c>
      <c r="DY114" s="138">
        <v>43922.0</v>
      </c>
      <c r="DZ114" s="138">
        <v>43952.0</v>
      </c>
      <c r="EA114" s="138">
        <v>43983.0</v>
      </c>
      <c r="EB114" s="138">
        <v>44013.0</v>
      </c>
      <c r="EC114" s="138">
        <v>44044.0</v>
      </c>
      <c r="ED114" s="138">
        <v>44075.0</v>
      </c>
      <c r="EE114" s="138">
        <v>44105.0</v>
      </c>
      <c r="EF114" s="138">
        <v>44136.0</v>
      </c>
      <c r="EG114" s="138">
        <v>44166.0</v>
      </c>
      <c r="EH114" s="138">
        <v>44197.0</v>
      </c>
      <c r="EI114" s="138">
        <v>44228.0</v>
      </c>
      <c r="EJ114" s="138">
        <v>44256.0</v>
      </c>
      <c r="EK114" s="138">
        <v>44287.0</v>
      </c>
      <c r="EL114" s="138">
        <v>44317.0</v>
      </c>
      <c r="EM114" s="138">
        <v>44348.0</v>
      </c>
      <c r="EN114" s="138">
        <v>44378.0</v>
      </c>
      <c r="EO114" s="138">
        <v>44409.0</v>
      </c>
      <c r="EP114" s="138">
        <v>44440.0</v>
      </c>
      <c r="EQ114" s="138">
        <v>44470.0</v>
      </c>
      <c r="ER114" s="138">
        <v>44501.0</v>
      </c>
      <c r="ES114" s="138">
        <v>44531.0</v>
      </c>
      <c r="ET114" s="138">
        <v>44562.0</v>
      </c>
      <c r="EU114" s="138">
        <v>44593.0</v>
      </c>
      <c r="EV114" s="138">
        <v>44621.0</v>
      </c>
      <c r="EW114" s="138">
        <v>44652.0</v>
      </c>
      <c r="EX114" s="138">
        <v>44682.0</v>
      </c>
      <c r="EY114" s="138">
        <v>44713.0</v>
      </c>
      <c r="EZ114" s="138">
        <v>44743.0</v>
      </c>
      <c r="FA114" s="138">
        <v>44774.0</v>
      </c>
      <c r="FB114" s="138">
        <v>44805.0</v>
      </c>
      <c r="FC114" s="138">
        <v>44835.0</v>
      </c>
      <c r="FD114" s="138">
        <v>44866.0</v>
      </c>
      <c r="FE114" s="138">
        <v>44896.0</v>
      </c>
      <c r="FF114" s="138">
        <v>44927.0</v>
      </c>
      <c r="FG114" s="139">
        <v>44958.0</v>
      </c>
      <c r="FH114" s="139">
        <v>44986.0</v>
      </c>
      <c r="FI114" s="139">
        <v>45017.0</v>
      </c>
      <c r="FJ114" s="139">
        <v>45047.0</v>
      </c>
      <c r="FK114" s="139">
        <v>45078.0</v>
      </c>
      <c r="FL114" s="139">
        <v>45108.0</v>
      </c>
      <c r="FM114" s="139">
        <v>45139.0</v>
      </c>
      <c r="FN114" s="139">
        <v>45170.0</v>
      </c>
      <c r="FO114" s="139">
        <v>45200.0</v>
      </c>
      <c r="FP114" s="139">
        <v>45231.0</v>
      </c>
      <c r="FQ114" s="139">
        <v>45261.0</v>
      </c>
      <c r="FR114" s="139">
        <v>45292.0</v>
      </c>
      <c r="FS114" s="139">
        <v>45323.0</v>
      </c>
      <c r="FT114" s="139">
        <v>45352.0</v>
      </c>
      <c r="FU114" s="139">
        <v>45383.0</v>
      </c>
      <c r="FV114" s="139">
        <v>45413.0</v>
      </c>
      <c r="FW114" s="139">
        <v>45444.0</v>
      </c>
      <c r="FX114" s="139">
        <v>45474.0</v>
      </c>
      <c r="FY114" s="139">
        <v>45505.0</v>
      </c>
      <c r="FZ114" s="139">
        <v>45536.0</v>
      </c>
      <c r="GA114" s="139">
        <v>45566.0</v>
      </c>
      <c r="GB114" s="139">
        <v>45597.0</v>
      </c>
      <c r="GC114" s="139">
        <v>45627.0</v>
      </c>
      <c r="GD114" s="139">
        <v>45658.0</v>
      </c>
      <c r="GE114" s="139">
        <v>45689.0</v>
      </c>
      <c r="GF114" s="139">
        <v>45717.0</v>
      </c>
      <c r="GG114" s="139">
        <v>45748.0</v>
      </c>
      <c r="GH114" s="139">
        <v>45778.0</v>
      </c>
      <c r="GI114" s="139">
        <v>45809.0</v>
      </c>
      <c r="GJ114" s="139">
        <v>45839.0</v>
      </c>
    </row>
    <row r="115">
      <c r="A115" s="133" t="s">
        <v>1474</v>
      </c>
      <c r="B115" s="134">
        <v>44944.828680555554</v>
      </c>
      <c r="C115" s="135" t="str">
        <f t="shared" si="1"/>
        <v>2023/01/18</v>
      </c>
      <c r="D115" s="136" t="s">
        <v>34306</v>
      </c>
      <c r="E115" s="151">
        <v>0.0</v>
      </c>
      <c r="F115" s="138">
        <v>40179.0</v>
      </c>
      <c r="G115" s="138">
        <v>40210.0</v>
      </c>
      <c r="H115" s="138">
        <v>40238.0</v>
      </c>
      <c r="I115" s="138">
        <v>40269.0</v>
      </c>
      <c r="J115" s="138">
        <v>40299.0</v>
      </c>
      <c r="K115" s="138">
        <v>40330.0</v>
      </c>
      <c r="L115" s="138">
        <v>40360.0</v>
      </c>
      <c r="M115" s="138">
        <v>40391.0</v>
      </c>
      <c r="N115" s="138">
        <v>40422.0</v>
      </c>
      <c r="O115" s="138">
        <v>40452.0</v>
      </c>
      <c r="P115" s="138">
        <v>40483.0</v>
      </c>
      <c r="Q115" s="138">
        <v>40513.0</v>
      </c>
      <c r="R115" s="138">
        <v>40544.0</v>
      </c>
      <c r="S115" s="138">
        <v>40575.0</v>
      </c>
      <c r="T115" s="138">
        <v>40603.0</v>
      </c>
      <c r="U115" s="138">
        <v>40634.0</v>
      </c>
      <c r="V115" s="138">
        <v>40664.0</v>
      </c>
      <c r="W115" s="138">
        <v>40695.0</v>
      </c>
      <c r="X115" s="138">
        <v>40725.0</v>
      </c>
      <c r="Y115" s="138">
        <v>40756.0</v>
      </c>
      <c r="Z115" s="138">
        <v>40787.0</v>
      </c>
      <c r="AA115" s="138">
        <v>40817.0</v>
      </c>
      <c r="AB115" s="138">
        <v>40848.0</v>
      </c>
      <c r="AC115" s="138">
        <v>40878.0</v>
      </c>
      <c r="AD115" s="138">
        <v>40909.0</v>
      </c>
      <c r="AE115" s="138">
        <v>40940.0</v>
      </c>
      <c r="AF115" s="138">
        <v>40969.0</v>
      </c>
      <c r="AG115" s="138">
        <v>41000.0</v>
      </c>
      <c r="AH115" s="138">
        <v>41030.0</v>
      </c>
      <c r="AI115" s="138">
        <v>41061.0</v>
      </c>
      <c r="AJ115" s="138">
        <v>41091.0</v>
      </c>
      <c r="AK115" s="138">
        <v>41122.0</v>
      </c>
      <c r="AL115" s="138">
        <v>41153.0</v>
      </c>
      <c r="AM115" s="138">
        <v>41183.0</v>
      </c>
      <c r="AN115" s="138">
        <v>41214.0</v>
      </c>
      <c r="AO115" s="138">
        <v>41244.0</v>
      </c>
      <c r="AP115" s="138">
        <v>41275.0</v>
      </c>
      <c r="AQ115" s="138">
        <v>41306.0</v>
      </c>
      <c r="AR115" s="138">
        <v>41334.0</v>
      </c>
      <c r="AS115" s="138">
        <v>41365.0</v>
      </c>
      <c r="AT115" s="138">
        <v>41395.0</v>
      </c>
      <c r="AU115" s="138">
        <v>41426.0</v>
      </c>
      <c r="AV115" s="138">
        <v>41456.0</v>
      </c>
      <c r="AW115" s="138">
        <v>41487.0</v>
      </c>
      <c r="AX115" s="138">
        <v>41518.0</v>
      </c>
      <c r="AY115" s="138">
        <v>41548.0</v>
      </c>
      <c r="AZ115" s="138">
        <v>41579.0</v>
      </c>
      <c r="BA115" s="138">
        <v>41609.0</v>
      </c>
      <c r="BB115" s="138">
        <v>41640.0</v>
      </c>
      <c r="BC115" s="138">
        <v>41671.0</v>
      </c>
      <c r="BD115" s="138">
        <v>41699.0</v>
      </c>
      <c r="BE115" s="138">
        <v>41730.0</v>
      </c>
      <c r="BF115" s="138">
        <v>41760.0</v>
      </c>
      <c r="BG115" s="138">
        <v>41791.0</v>
      </c>
      <c r="BH115" s="138">
        <v>41821.0</v>
      </c>
      <c r="BI115" s="138">
        <v>41852.0</v>
      </c>
      <c r="BJ115" s="138">
        <v>41883.0</v>
      </c>
      <c r="BK115" s="138">
        <v>41913.0</v>
      </c>
      <c r="BL115" s="138">
        <v>41944.0</v>
      </c>
      <c r="BM115" s="138">
        <v>41974.0</v>
      </c>
      <c r="BN115" s="138">
        <v>42005.0</v>
      </c>
      <c r="BO115" s="138">
        <v>42036.0</v>
      </c>
      <c r="BP115" s="138">
        <v>42064.0</v>
      </c>
      <c r="BQ115" s="138">
        <v>42095.0</v>
      </c>
      <c r="BR115" s="138">
        <v>42125.0</v>
      </c>
      <c r="BS115" s="138">
        <v>42156.0</v>
      </c>
      <c r="BT115" s="138">
        <v>42186.0</v>
      </c>
      <c r="BU115" s="138">
        <v>42217.0</v>
      </c>
      <c r="BV115" s="138">
        <v>42248.0</v>
      </c>
      <c r="BW115" s="138">
        <v>42278.0</v>
      </c>
      <c r="BX115" s="138">
        <v>42309.0</v>
      </c>
      <c r="BY115" s="138">
        <v>42339.0</v>
      </c>
      <c r="BZ115" s="138">
        <v>42370.0</v>
      </c>
      <c r="CA115" s="138">
        <v>42401.0</v>
      </c>
      <c r="CB115" s="138">
        <v>42430.0</v>
      </c>
      <c r="CC115" s="138">
        <v>42461.0</v>
      </c>
      <c r="CD115" s="138">
        <v>42491.0</v>
      </c>
      <c r="CE115" s="138">
        <v>42522.0</v>
      </c>
      <c r="CF115" s="138">
        <v>42552.0</v>
      </c>
      <c r="CG115" s="138">
        <v>42583.0</v>
      </c>
      <c r="CH115" s="138">
        <v>42614.0</v>
      </c>
      <c r="CI115" s="138">
        <v>42644.0</v>
      </c>
      <c r="CJ115" s="138">
        <v>42675.0</v>
      </c>
      <c r="CK115" s="138">
        <v>42705.0</v>
      </c>
      <c r="CL115" s="138">
        <v>42736.0</v>
      </c>
      <c r="CM115" s="138">
        <v>42767.0</v>
      </c>
      <c r="CN115" s="138">
        <v>42795.0</v>
      </c>
      <c r="CO115" s="138">
        <v>42826.0</v>
      </c>
      <c r="CP115" s="138">
        <v>42856.0</v>
      </c>
      <c r="CQ115" s="138">
        <v>42887.0</v>
      </c>
      <c r="CR115" s="138">
        <v>42917.0</v>
      </c>
      <c r="CS115" s="138">
        <v>42948.0</v>
      </c>
      <c r="CT115" s="138">
        <v>42979.0</v>
      </c>
      <c r="CU115" s="138">
        <v>43009.0</v>
      </c>
      <c r="CV115" s="138">
        <v>43040.0</v>
      </c>
      <c r="CW115" s="138">
        <v>43070.0</v>
      </c>
      <c r="CX115" s="138">
        <v>43101.0</v>
      </c>
      <c r="CY115" s="138">
        <v>43132.0</v>
      </c>
      <c r="CZ115" s="138">
        <v>43160.0</v>
      </c>
      <c r="DA115" s="138">
        <v>43191.0</v>
      </c>
      <c r="DB115" s="138">
        <v>43221.0</v>
      </c>
      <c r="DC115" s="138">
        <v>43252.0</v>
      </c>
      <c r="DD115" s="138">
        <v>43282.0</v>
      </c>
      <c r="DE115" s="138">
        <v>43313.0</v>
      </c>
      <c r="DF115" s="138">
        <v>43344.0</v>
      </c>
      <c r="DG115" s="138">
        <v>43374.0</v>
      </c>
      <c r="DH115" s="138">
        <v>43405.0</v>
      </c>
      <c r="DI115" s="138">
        <v>43435.0</v>
      </c>
      <c r="DJ115" s="138">
        <v>43466.0</v>
      </c>
      <c r="DK115" s="138">
        <v>43497.0</v>
      </c>
      <c r="DL115" s="138">
        <v>43525.0</v>
      </c>
      <c r="DM115" s="138">
        <v>43556.0</v>
      </c>
      <c r="DN115" s="138">
        <v>43586.0</v>
      </c>
      <c r="DO115" s="138">
        <v>43617.0</v>
      </c>
      <c r="DP115" s="138">
        <v>43647.0</v>
      </c>
      <c r="DQ115" s="138">
        <v>43678.0</v>
      </c>
      <c r="DR115" s="138">
        <v>43709.0</v>
      </c>
      <c r="DS115" s="138">
        <v>43739.0</v>
      </c>
      <c r="DT115" s="138">
        <v>43770.0</v>
      </c>
      <c r="DU115" s="138">
        <v>43800.0</v>
      </c>
      <c r="DV115" s="138">
        <v>43831.0</v>
      </c>
      <c r="DW115" s="138">
        <v>43862.0</v>
      </c>
      <c r="DX115" s="138">
        <v>43891.0</v>
      </c>
      <c r="DY115" s="138">
        <v>43922.0</v>
      </c>
      <c r="DZ115" s="138">
        <v>43952.0</v>
      </c>
      <c r="EA115" s="138">
        <v>43983.0</v>
      </c>
      <c r="EB115" s="138">
        <v>44013.0</v>
      </c>
      <c r="EC115" s="138">
        <v>44044.0</v>
      </c>
      <c r="ED115" s="138">
        <v>44075.0</v>
      </c>
      <c r="EE115" s="138">
        <v>44105.0</v>
      </c>
      <c r="EF115" s="138">
        <v>44136.0</v>
      </c>
      <c r="EG115" s="138">
        <v>44166.0</v>
      </c>
      <c r="EH115" s="138">
        <v>44197.0</v>
      </c>
      <c r="EI115" s="138">
        <v>44228.0</v>
      </c>
      <c r="EJ115" s="138">
        <v>44256.0</v>
      </c>
      <c r="EK115" s="138">
        <v>44287.0</v>
      </c>
      <c r="EL115" s="138">
        <v>44317.0</v>
      </c>
      <c r="EM115" s="138">
        <v>44348.0</v>
      </c>
      <c r="EN115" s="138">
        <v>44378.0</v>
      </c>
      <c r="EO115" s="138">
        <v>44409.0</v>
      </c>
      <c r="EP115" s="138">
        <v>44440.0</v>
      </c>
      <c r="EQ115" s="138">
        <v>44470.0</v>
      </c>
      <c r="ER115" s="138">
        <v>44501.0</v>
      </c>
      <c r="ES115" s="138">
        <v>44531.0</v>
      </c>
      <c r="ET115" s="138">
        <v>44562.0</v>
      </c>
      <c r="EU115" s="138">
        <v>44593.0</v>
      </c>
      <c r="EV115" s="138">
        <v>44621.0</v>
      </c>
      <c r="EW115" s="138">
        <v>44652.0</v>
      </c>
      <c r="EX115" s="138">
        <v>44682.0</v>
      </c>
      <c r="EY115" s="138">
        <v>44713.0</v>
      </c>
      <c r="EZ115" s="138">
        <v>44743.0</v>
      </c>
      <c r="FA115" s="138">
        <v>44774.0</v>
      </c>
      <c r="FB115" s="138">
        <v>44805.0</v>
      </c>
      <c r="FC115" s="138">
        <v>44835.0</v>
      </c>
      <c r="FD115" s="138">
        <v>44866.0</v>
      </c>
      <c r="FE115" s="138">
        <v>44896.0</v>
      </c>
      <c r="FF115" s="138">
        <v>44927.0</v>
      </c>
      <c r="FG115" s="139">
        <v>44958.0</v>
      </c>
      <c r="FH115" s="139">
        <v>44986.0</v>
      </c>
      <c r="FI115" s="139">
        <v>45017.0</v>
      </c>
      <c r="FJ115" s="139">
        <v>45047.0</v>
      </c>
      <c r="FK115" s="139">
        <v>45078.0</v>
      </c>
      <c r="FL115" s="139">
        <v>45108.0</v>
      </c>
      <c r="FM115" s="139">
        <v>45139.0</v>
      </c>
      <c r="FN115" s="139">
        <v>45170.0</v>
      </c>
      <c r="FO115" s="139">
        <v>45200.0</v>
      </c>
      <c r="FP115" s="139">
        <v>45231.0</v>
      </c>
      <c r="FQ115" s="139">
        <v>45261.0</v>
      </c>
      <c r="FR115" s="139">
        <v>45292.0</v>
      </c>
      <c r="FS115" s="139">
        <v>45323.0</v>
      </c>
      <c r="FT115" s="139">
        <v>45352.0</v>
      </c>
      <c r="FU115" s="139">
        <v>45383.0</v>
      </c>
      <c r="FV115" s="139">
        <v>45413.0</v>
      </c>
      <c r="FW115" s="139">
        <v>45444.0</v>
      </c>
      <c r="FX115" s="139">
        <v>45474.0</v>
      </c>
      <c r="FY115" s="139">
        <v>45505.0</v>
      </c>
      <c r="FZ115" s="139">
        <v>45536.0</v>
      </c>
      <c r="GA115" s="139">
        <v>45566.0</v>
      </c>
      <c r="GB115" s="139">
        <v>45597.0</v>
      </c>
      <c r="GC115" s="139">
        <v>45627.0</v>
      </c>
      <c r="GD115" s="139">
        <v>45658.0</v>
      </c>
      <c r="GE115" s="139">
        <v>45689.0</v>
      </c>
      <c r="GF115" s="139">
        <v>45717.0</v>
      </c>
      <c r="GG115" s="139">
        <v>45748.0</v>
      </c>
      <c r="GH115" s="139">
        <v>45778.0</v>
      </c>
      <c r="GI115" s="139">
        <v>45809.0</v>
      </c>
      <c r="GJ115" s="139">
        <v>45839.0</v>
      </c>
    </row>
    <row r="116">
      <c r="A116" s="133" t="s">
        <v>1598</v>
      </c>
      <c r="B116" s="134">
        <v>45050.522893518515</v>
      </c>
      <c r="C116" s="135" t="str">
        <f t="shared" si="1"/>
        <v>2023/05/04</v>
      </c>
      <c r="D116" s="136" t="s">
        <v>34307</v>
      </c>
      <c r="E116" s="151">
        <v>0.02</v>
      </c>
      <c r="F116" s="138">
        <v>40179.0</v>
      </c>
      <c r="G116" s="138">
        <v>40210.0</v>
      </c>
      <c r="H116" s="138">
        <v>40238.0</v>
      </c>
      <c r="I116" s="138">
        <v>40269.0</v>
      </c>
      <c r="J116" s="138">
        <v>40299.0</v>
      </c>
      <c r="K116" s="138">
        <v>40330.0</v>
      </c>
      <c r="L116" s="138">
        <v>40360.0</v>
      </c>
      <c r="M116" s="138">
        <v>40391.0</v>
      </c>
      <c r="N116" s="138">
        <v>40422.0</v>
      </c>
      <c r="O116" s="138">
        <v>40452.0</v>
      </c>
      <c r="P116" s="138">
        <v>40483.0</v>
      </c>
      <c r="Q116" s="138">
        <v>40513.0</v>
      </c>
      <c r="R116" s="138">
        <v>40544.0</v>
      </c>
      <c r="S116" s="138">
        <v>40575.0</v>
      </c>
      <c r="T116" s="138">
        <v>40603.0</v>
      </c>
      <c r="U116" s="138">
        <v>40634.0</v>
      </c>
      <c r="V116" s="138">
        <v>40664.0</v>
      </c>
      <c r="W116" s="138">
        <v>40695.0</v>
      </c>
      <c r="X116" s="138">
        <v>40725.0</v>
      </c>
      <c r="Y116" s="138">
        <v>40756.0</v>
      </c>
      <c r="Z116" s="138">
        <v>40787.0</v>
      </c>
      <c r="AA116" s="138">
        <v>40817.0</v>
      </c>
      <c r="AB116" s="138">
        <v>40848.0</v>
      </c>
      <c r="AC116" s="138">
        <v>40878.0</v>
      </c>
      <c r="AD116" s="138">
        <v>40909.0</v>
      </c>
      <c r="AE116" s="138">
        <v>40940.0</v>
      </c>
      <c r="AF116" s="138">
        <v>40969.0</v>
      </c>
      <c r="AG116" s="138">
        <v>41000.0</v>
      </c>
      <c r="AH116" s="138">
        <v>41030.0</v>
      </c>
      <c r="AI116" s="138">
        <v>41061.0</v>
      </c>
      <c r="AJ116" s="138">
        <v>41091.0</v>
      </c>
      <c r="AK116" s="138">
        <v>41122.0</v>
      </c>
      <c r="AL116" s="138">
        <v>41153.0</v>
      </c>
      <c r="AM116" s="138">
        <v>41183.0</v>
      </c>
      <c r="AN116" s="138">
        <v>41214.0</v>
      </c>
      <c r="AO116" s="138">
        <v>41244.0</v>
      </c>
      <c r="AP116" s="138">
        <v>41275.0</v>
      </c>
      <c r="AQ116" s="138">
        <v>41306.0</v>
      </c>
      <c r="AR116" s="138">
        <v>41334.0</v>
      </c>
      <c r="AS116" s="138">
        <v>41365.0</v>
      </c>
      <c r="AT116" s="138">
        <v>41395.0</v>
      </c>
      <c r="AU116" s="138">
        <v>41426.0</v>
      </c>
      <c r="AV116" s="138">
        <v>41456.0</v>
      </c>
      <c r="AW116" s="138">
        <v>41487.0</v>
      </c>
      <c r="AX116" s="138">
        <v>41518.0</v>
      </c>
      <c r="AY116" s="138">
        <v>41548.0</v>
      </c>
      <c r="AZ116" s="138">
        <v>41579.0</v>
      </c>
      <c r="BA116" s="138">
        <v>41609.0</v>
      </c>
      <c r="BB116" s="138">
        <v>41640.0</v>
      </c>
      <c r="BC116" s="138">
        <v>41671.0</v>
      </c>
      <c r="BD116" s="138">
        <v>41699.0</v>
      </c>
      <c r="BE116" s="138">
        <v>41730.0</v>
      </c>
      <c r="BF116" s="138">
        <v>41760.0</v>
      </c>
      <c r="BG116" s="138">
        <v>41791.0</v>
      </c>
      <c r="BH116" s="138">
        <v>41821.0</v>
      </c>
      <c r="BI116" s="138">
        <v>41852.0</v>
      </c>
      <c r="BJ116" s="138">
        <v>41883.0</v>
      </c>
      <c r="BK116" s="138">
        <v>41913.0</v>
      </c>
      <c r="BL116" s="138">
        <v>41944.0</v>
      </c>
      <c r="BM116" s="138">
        <v>41974.0</v>
      </c>
      <c r="BN116" s="138">
        <v>42005.0</v>
      </c>
      <c r="BO116" s="138">
        <v>42036.0</v>
      </c>
      <c r="BP116" s="138">
        <v>42064.0</v>
      </c>
      <c r="BQ116" s="138">
        <v>42095.0</v>
      </c>
      <c r="BR116" s="138">
        <v>42125.0</v>
      </c>
      <c r="BS116" s="138">
        <v>42156.0</v>
      </c>
      <c r="BT116" s="138">
        <v>42186.0</v>
      </c>
      <c r="BU116" s="138">
        <v>42217.0</v>
      </c>
      <c r="BV116" s="138">
        <v>42248.0</v>
      </c>
      <c r="BW116" s="138">
        <v>42278.0</v>
      </c>
      <c r="BX116" s="138">
        <v>42309.0</v>
      </c>
      <c r="BY116" s="138">
        <v>42339.0</v>
      </c>
      <c r="BZ116" s="138">
        <v>42370.0</v>
      </c>
      <c r="CA116" s="138">
        <v>42401.0</v>
      </c>
      <c r="CB116" s="138">
        <v>42430.0</v>
      </c>
      <c r="CC116" s="138">
        <v>42461.0</v>
      </c>
      <c r="CD116" s="138">
        <v>42491.0</v>
      </c>
      <c r="CE116" s="138">
        <v>42522.0</v>
      </c>
      <c r="CF116" s="138">
        <v>42552.0</v>
      </c>
      <c r="CG116" s="138">
        <v>42583.0</v>
      </c>
      <c r="CH116" s="138">
        <v>42614.0</v>
      </c>
      <c r="CI116" s="138">
        <v>42644.0</v>
      </c>
      <c r="CJ116" s="138">
        <v>42675.0</v>
      </c>
      <c r="CK116" s="138">
        <v>42705.0</v>
      </c>
      <c r="CL116" s="138">
        <v>42736.0</v>
      </c>
      <c r="CM116" s="138">
        <v>42767.0</v>
      </c>
      <c r="CN116" s="138">
        <v>42795.0</v>
      </c>
      <c r="CO116" s="138">
        <v>42826.0</v>
      </c>
      <c r="CP116" s="138">
        <v>42856.0</v>
      </c>
      <c r="CQ116" s="138">
        <v>42887.0</v>
      </c>
      <c r="CR116" s="138">
        <v>42917.0</v>
      </c>
      <c r="CS116" s="138">
        <v>42948.0</v>
      </c>
      <c r="CT116" s="138">
        <v>42979.0</v>
      </c>
      <c r="CU116" s="138">
        <v>43009.0</v>
      </c>
      <c r="CV116" s="138">
        <v>43040.0</v>
      </c>
      <c r="CW116" s="138">
        <v>43070.0</v>
      </c>
      <c r="CX116" s="138">
        <v>43101.0</v>
      </c>
      <c r="CY116" s="138">
        <v>43132.0</v>
      </c>
      <c r="CZ116" s="138">
        <v>43160.0</v>
      </c>
      <c r="DA116" s="138">
        <v>43191.0</v>
      </c>
      <c r="DB116" s="138">
        <v>43221.0</v>
      </c>
      <c r="DC116" s="138">
        <v>43252.0</v>
      </c>
      <c r="DD116" s="138">
        <v>43282.0</v>
      </c>
      <c r="DE116" s="138">
        <v>43313.0</v>
      </c>
      <c r="DF116" s="138">
        <v>43344.0</v>
      </c>
      <c r="DG116" s="138">
        <v>43374.0</v>
      </c>
      <c r="DH116" s="138">
        <v>43405.0</v>
      </c>
      <c r="DI116" s="138">
        <v>43435.0</v>
      </c>
      <c r="DJ116" s="138">
        <v>43466.0</v>
      </c>
      <c r="DK116" s="138">
        <v>43497.0</v>
      </c>
      <c r="DL116" s="138">
        <v>43525.0</v>
      </c>
      <c r="DM116" s="138">
        <v>43556.0</v>
      </c>
      <c r="DN116" s="138">
        <v>43586.0</v>
      </c>
      <c r="DO116" s="138">
        <v>43617.0</v>
      </c>
      <c r="DP116" s="138">
        <v>43647.0</v>
      </c>
      <c r="DQ116" s="138">
        <v>43678.0</v>
      </c>
      <c r="DR116" s="138">
        <v>43709.0</v>
      </c>
      <c r="DS116" s="138">
        <v>43739.0</v>
      </c>
      <c r="DT116" s="138">
        <v>43770.0</v>
      </c>
      <c r="DU116" s="138">
        <v>43800.0</v>
      </c>
      <c r="DV116" s="138">
        <v>43831.0</v>
      </c>
      <c r="DW116" s="138">
        <v>43862.0</v>
      </c>
      <c r="DX116" s="138">
        <v>43891.0</v>
      </c>
      <c r="DY116" s="138">
        <v>43922.0</v>
      </c>
      <c r="DZ116" s="138">
        <v>43952.0</v>
      </c>
      <c r="EA116" s="138">
        <v>43983.0</v>
      </c>
      <c r="EB116" s="138">
        <v>44013.0</v>
      </c>
      <c r="EC116" s="138">
        <v>44044.0</v>
      </c>
      <c r="ED116" s="138">
        <v>44075.0</v>
      </c>
      <c r="EE116" s="138">
        <v>44105.0</v>
      </c>
      <c r="EF116" s="138">
        <v>44136.0</v>
      </c>
      <c r="EG116" s="138">
        <v>44166.0</v>
      </c>
      <c r="EH116" s="138">
        <v>44197.0</v>
      </c>
      <c r="EI116" s="138">
        <v>44228.0</v>
      </c>
      <c r="EJ116" s="138">
        <v>44256.0</v>
      </c>
      <c r="EK116" s="138">
        <v>44287.0</v>
      </c>
      <c r="EL116" s="138">
        <v>44317.0</v>
      </c>
      <c r="EM116" s="138">
        <v>44348.0</v>
      </c>
      <c r="EN116" s="138">
        <v>44378.0</v>
      </c>
      <c r="EO116" s="138">
        <v>44409.0</v>
      </c>
      <c r="EP116" s="138">
        <v>44440.0</v>
      </c>
      <c r="EQ116" s="138">
        <v>44470.0</v>
      </c>
      <c r="ER116" s="138">
        <v>44501.0</v>
      </c>
      <c r="ES116" s="138">
        <v>44531.0</v>
      </c>
      <c r="ET116" s="138">
        <v>44562.0</v>
      </c>
      <c r="EU116" s="138">
        <v>44593.0</v>
      </c>
      <c r="EV116" s="138">
        <v>44621.0</v>
      </c>
      <c r="EW116" s="138">
        <v>44652.0</v>
      </c>
      <c r="EX116" s="138">
        <v>44682.0</v>
      </c>
      <c r="EY116" s="138">
        <v>44713.0</v>
      </c>
      <c r="EZ116" s="138">
        <v>44743.0</v>
      </c>
      <c r="FA116" s="138">
        <v>44774.0</v>
      </c>
      <c r="FB116" s="138">
        <v>44805.0</v>
      </c>
      <c r="FC116" s="138">
        <v>44835.0</v>
      </c>
      <c r="FD116" s="138">
        <v>44866.0</v>
      </c>
      <c r="FE116" s="138">
        <v>44896.0</v>
      </c>
      <c r="FF116" s="138">
        <v>44927.0</v>
      </c>
      <c r="FG116" s="138">
        <v>44958.0</v>
      </c>
      <c r="FH116" s="138">
        <v>44986.0</v>
      </c>
      <c r="FI116" s="138">
        <v>45017.0</v>
      </c>
      <c r="FJ116" s="138">
        <v>45047.0</v>
      </c>
      <c r="FK116" s="139">
        <v>45078.0</v>
      </c>
      <c r="FL116" s="139">
        <v>45108.0</v>
      </c>
      <c r="FM116" s="139">
        <v>45139.0</v>
      </c>
      <c r="FN116" s="139">
        <v>45170.0</v>
      </c>
      <c r="FO116" s="139">
        <v>45200.0</v>
      </c>
      <c r="FP116" s="139">
        <v>45231.0</v>
      </c>
      <c r="FQ116" s="139">
        <v>45261.0</v>
      </c>
      <c r="FR116" s="139">
        <v>45292.0</v>
      </c>
      <c r="FS116" s="139">
        <v>45323.0</v>
      </c>
      <c r="FT116" s="139">
        <v>45352.0</v>
      </c>
      <c r="FU116" s="139">
        <v>45383.0</v>
      </c>
      <c r="FV116" s="139">
        <v>45413.0</v>
      </c>
      <c r="FW116" s="139">
        <v>45444.0</v>
      </c>
      <c r="FX116" s="139">
        <v>45474.0</v>
      </c>
      <c r="FY116" s="139">
        <v>45505.0</v>
      </c>
      <c r="FZ116" s="139">
        <v>45536.0</v>
      </c>
      <c r="GA116" s="139">
        <v>45566.0</v>
      </c>
      <c r="GB116" s="139">
        <v>45597.0</v>
      </c>
      <c r="GC116" s="139">
        <v>45627.0</v>
      </c>
      <c r="GD116" s="139">
        <v>45658.0</v>
      </c>
      <c r="GE116" s="139">
        <v>45689.0</v>
      </c>
      <c r="GF116" s="139">
        <v>45717.0</v>
      </c>
      <c r="GG116" s="139">
        <v>45748.0</v>
      </c>
      <c r="GH116" s="139">
        <v>45778.0</v>
      </c>
      <c r="GI116" s="139">
        <v>45809.0</v>
      </c>
      <c r="GJ116" s="139">
        <v>45839.0</v>
      </c>
    </row>
    <row r="117">
      <c r="A117" s="133" t="s">
        <v>1633</v>
      </c>
      <c r="B117" s="134">
        <v>45106.859456018516</v>
      </c>
      <c r="C117" s="135" t="str">
        <f t="shared" si="1"/>
        <v>2023/06/29</v>
      </c>
      <c r="D117" s="136" t="s">
        <v>34308</v>
      </c>
      <c r="E117" s="151">
        <v>0.0</v>
      </c>
      <c r="F117" s="138">
        <v>40179.0</v>
      </c>
      <c r="G117" s="138">
        <v>40210.0</v>
      </c>
      <c r="H117" s="138">
        <v>40238.0</v>
      </c>
      <c r="I117" s="138">
        <v>40269.0</v>
      </c>
      <c r="J117" s="138">
        <v>40299.0</v>
      </c>
      <c r="K117" s="138">
        <v>40330.0</v>
      </c>
      <c r="L117" s="138">
        <v>40360.0</v>
      </c>
      <c r="M117" s="138">
        <v>40391.0</v>
      </c>
      <c r="N117" s="138">
        <v>40422.0</v>
      </c>
      <c r="O117" s="138">
        <v>40452.0</v>
      </c>
      <c r="P117" s="138">
        <v>40483.0</v>
      </c>
      <c r="Q117" s="138">
        <v>40513.0</v>
      </c>
      <c r="R117" s="138">
        <v>40544.0</v>
      </c>
      <c r="S117" s="138">
        <v>40575.0</v>
      </c>
      <c r="T117" s="138">
        <v>40603.0</v>
      </c>
      <c r="U117" s="138">
        <v>40634.0</v>
      </c>
      <c r="V117" s="138">
        <v>40664.0</v>
      </c>
      <c r="W117" s="138">
        <v>40695.0</v>
      </c>
      <c r="X117" s="138">
        <v>40725.0</v>
      </c>
      <c r="Y117" s="138">
        <v>40756.0</v>
      </c>
      <c r="Z117" s="138">
        <v>40787.0</v>
      </c>
      <c r="AA117" s="138">
        <v>40817.0</v>
      </c>
      <c r="AB117" s="138">
        <v>40848.0</v>
      </c>
      <c r="AC117" s="138">
        <v>40878.0</v>
      </c>
      <c r="AD117" s="138">
        <v>40909.0</v>
      </c>
      <c r="AE117" s="138">
        <v>40940.0</v>
      </c>
      <c r="AF117" s="138">
        <v>40969.0</v>
      </c>
      <c r="AG117" s="138">
        <v>41000.0</v>
      </c>
      <c r="AH117" s="138">
        <v>41030.0</v>
      </c>
      <c r="AI117" s="138">
        <v>41061.0</v>
      </c>
      <c r="AJ117" s="138">
        <v>41091.0</v>
      </c>
      <c r="AK117" s="138">
        <v>41122.0</v>
      </c>
      <c r="AL117" s="138">
        <v>41153.0</v>
      </c>
      <c r="AM117" s="138">
        <v>41183.0</v>
      </c>
      <c r="AN117" s="138">
        <v>41214.0</v>
      </c>
      <c r="AO117" s="138">
        <v>41244.0</v>
      </c>
      <c r="AP117" s="138">
        <v>41275.0</v>
      </c>
      <c r="AQ117" s="138">
        <v>41306.0</v>
      </c>
      <c r="AR117" s="138">
        <v>41334.0</v>
      </c>
      <c r="AS117" s="138">
        <v>41365.0</v>
      </c>
      <c r="AT117" s="138">
        <v>41395.0</v>
      </c>
      <c r="AU117" s="138">
        <v>41426.0</v>
      </c>
      <c r="AV117" s="138">
        <v>41456.0</v>
      </c>
      <c r="AW117" s="138">
        <v>41487.0</v>
      </c>
      <c r="AX117" s="138">
        <v>41518.0</v>
      </c>
      <c r="AY117" s="138">
        <v>41548.0</v>
      </c>
      <c r="AZ117" s="138">
        <v>41579.0</v>
      </c>
      <c r="BA117" s="138">
        <v>41609.0</v>
      </c>
      <c r="BB117" s="138">
        <v>41640.0</v>
      </c>
      <c r="BC117" s="138">
        <v>41671.0</v>
      </c>
      <c r="BD117" s="138">
        <v>41699.0</v>
      </c>
      <c r="BE117" s="138">
        <v>41730.0</v>
      </c>
      <c r="BF117" s="138">
        <v>41760.0</v>
      </c>
      <c r="BG117" s="138">
        <v>41791.0</v>
      </c>
      <c r="BH117" s="138">
        <v>41821.0</v>
      </c>
      <c r="BI117" s="138">
        <v>41852.0</v>
      </c>
      <c r="BJ117" s="138">
        <v>41883.0</v>
      </c>
      <c r="BK117" s="138">
        <v>41913.0</v>
      </c>
      <c r="BL117" s="138">
        <v>41944.0</v>
      </c>
      <c r="BM117" s="138">
        <v>41974.0</v>
      </c>
      <c r="BN117" s="138">
        <v>42005.0</v>
      </c>
      <c r="BO117" s="138">
        <v>42036.0</v>
      </c>
      <c r="BP117" s="138">
        <v>42064.0</v>
      </c>
      <c r="BQ117" s="138">
        <v>42095.0</v>
      </c>
      <c r="BR117" s="138">
        <v>42125.0</v>
      </c>
      <c r="BS117" s="138">
        <v>42156.0</v>
      </c>
      <c r="BT117" s="138">
        <v>42186.0</v>
      </c>
      <c r="BU117" s="138">
        <v>42217.0</v>
      </c>
      <c r="BV117" s="138">
        <v>42248.0</v>
      </c>
      <c r="BW117" s="138">
        <v>42278.0</v>
      </c>
      <c r="BX117" s="138">
        <v>42309.0</v>
      </c>
      <c r="BY117" s="138">
        <v>42339.0</v>
      </c>
      <c r="BZ117" s="138">
        <v>42370.0</v>
      </c>
      <c r="CA117" s="138">
        <v>42401.0</v>
      </c>
      <c r="CB117" s="138">
        <v>42430.0</v>
      </c>
      <c r="CC117" s="138">
        <v>42461.0</v>
      </c>
      <c r="CD117" s="138">
        <v>42491.0</v>
      </c>
      <c r="CE117" s="138">
        <v>42522.0</v>
      </c>
      <c r="CF117" s="138">
        <v>42552.0</v>
      </c>
      <c r="CG117" s="138">
        <v>42583.0</v>
      </c>
      <c r="CH117" s="138">
        <v>42614.0</v>
      </c>
      <c r="CI117" s="138">
        <v>42644.0</v>
      </c>
      <c r="CJ117" s="138">
        <v>42675.0</v>
      </c>
      <c r="CK117" s="138">
        <v>42705.0</v>
      </c>
      <c r="CL117" s="138">
        <v>42736.0</v>
      </c>
      <c r="CM117" s="138">
        <v>42767.0</v>
      </c>
      <c r="CN117" s="138">
        <v>42795.0</v>
      </c>
      <c r="CO117" s="138">
        <v>42826.0</v>
      </c>
      <c r="CP117" s="138">
        <v>42856.0</v>
      </c>
      <c r="CQ117" s="138">
        <v>42887.0</v>
      </c>
      <c r="CR117" s="138">
        <v>42917.0</v>
      </c>
      <c r="CS117" s="138">
        <v>42948.0</v>
      </c>
      <c r="CT117" s="138">
        <v>42979.0</v>
      </c>
      <c r="CU117" s="138">
        <v>43009.0</v>
      </c>
      <c r="CV117" s="138">
        <v>43040.0</v>
      </c>
      <c r="CW117" s="138">
        <v>43070.0</v>
      </c>
      <c r="CX117" s="138">
        <v>43101.0</v>
      </c>
      <c r="CY117" s="138">
        <v>43132.0</v>
      </c>
      <c r="CZ117" s="138">
        <v>43160.0</v>
      </c>
      <c r="DA117" s="138">
        <v>43191.0</v>
      </c>
      <c r="DB117" s="138">
        <v>43221.0</v>
      </c>
      <c r="DC117" s="138">
        <v>43252.0</v>
      </c>
      <c r="DD117" s="138">
        <v>43282.0</v>
      </c>
      <c r="DE117" s="138">
        <v>43313.0</v>
      </c>
      <c r="DF117" s="138">
        <v>43344.0</v>
      </c>
      <c r="DG117" s="138">
        <v>43374.0</v>
      </c>
      <c r="DH117" s="138">
        <v>43405.0</v>
      </c>
      <c r="DI117" s="138">
        <v>43435.0</v>
      </c>
      <c r="DJ117" s="138">
        <v>43466.0</v>
      </c>
      <c r="DK117" s="138">
        <v>43497.0</v>
      </c>
      <c r="DL117" s="138">
        <v>43525.0</v>
      </c>
      <c r="DM117" s="138">
        <v>43556.0</v>
      </c>
      <c r="DN117" s="138">
        <v>43586.0</v>
      </c>
      <c r="DO117" s="138">
        <v>43617.0</v>
      </c>
      <c r="DP117" s="138">
        <v>43647.0</v>
      </c>
      <c r="DQ117" s="138">
        <v>43678.0</v>
      </c>
      <c r="DR117" s="138">
        <v>43709.0</v>
      </c>
      <c r="DS117" s="138">
        <v>43739.0</v>
      </c>
      <c r="DT117" s="138">
        <v>43770.0</v>
      </c>
      <c r="DU117" s="138">
        <v>43800.0</v>
      </c>
      <c r="DV117" s="138">
        <v>43831.0</v>
      </c>
      <c r="DW117" s="138">
        <v>43862.0</v>
      </c>
      <c r="DX117" s="138">
        <v>43891.0</v>
      </c>
      <c r="DY117" s="138">
        <v>43922.0</v>
      </c>
      <c r="DZ117" s="138">
        <v>43952.0</v>
      </c>
      <c r="EA117" s="138">
        <v>43983.0</v>
      </c>
      <c r="EB117" s="138">
        <v>44013.0</v>
      </c>
      <c r="EC117" s="138">
        <v>44044.0</v>
      </c>
      <c r="ED117" s="138">
        <v>44075.0</v>
      </c>
      <c r="EE117" s="138">
        <v>44105.0</v>
      </c>
      <c r="EF117" s="138">
        <v>44136.0</v>
      </c>
      <c r="EG117" s="138">
        <v>44166.0</v>
      </c>
      <c r="EH117" s="138">
        <v>44197.0</v>
      </c>
      <c r="EI117" s="138">
        <v>44228.0</v>
      </c>
      <c r="EJ117" s="138">
        <v>44256.0</v>
      </c>
      <c r="EK117" s="138">
        <v>44287.0</v>
      </c>
      <c r="EL117" s="138">
        <v>44317.0</v>
      </c>
      <c r="EM117" s="138">
        <v>44348.0</v>
      </c>
      <c r="EN117" s="138">
        <v>44378.0</v>
      </c>
      <c r="EO117" s="138">
        <v>44409.0</v>
      </c>
      <c r="EP117" s="138">
        <v>44440.0</v>
      </c>
      <c r="EQ117" s="138">
        <v>44470.0</v>
      </c>
      <c r="ER117" s="138">
        <v>44501.0</v>
      </c>
      <c r="ES117" s="138">
        <v>44531.0</v>
      </c>
      <c r="ET117" s="138">
        <v>44562.0</v>
      </c>
      <c r="EU117" s="138">
        <v>44593.0</v>
      </c>
      <c r="EV117" s="138">
        <v>44621.0</v>
      </c>
      <c r="EW117" s="138">
        <v>44652.0</v>
      </c>
      <c r="EX117" s="138">
        <v>44682.0</v>
      </c>
      <c r="EY117" s="138">
        <v>44713.0</v>
      </c>
      <c r="EZ117" s="138">
        <v>44743.0</v>
      </c>
      <c r="FA117" s="138">
        <v>44774.0</v>
      </c>
      <c r="FB117" s="138">
        <v>44805.0</v>
      </c>
      <c r="FC117" s="138">
        <v>44835.0</v>
      </c>
      <c r="FD117" s="138">
        <v>44866.0</v>
      </c>
      <c r="FE117" s="138">
        <v>44896.0</v>
      </c>
      <c r="FF117" s="138">
        <v>44927.0</v>
      </c>
      <c r="FG117" s="138">
        <v>44958.0</v>
      </c>
      <c r="FH117" s="138">
        <v>44986.0</v>
      </c>
      <c r="FI117" s="138">
        <v>45017.0</v>
      </c>
      <c r="FJ117" s="138">
        <v>45047.0</v>
      </c>
      <c r="FK117" s="138">
        <v>45078.0</v>
      </c>
      <c r="FL117" s="139">
        <v>45108.0</v>
      </c>
      <c r="FM117" s="139">
        <v>45139.0</v>
      </c>
      <c r="FN117" s="139">
        <v>45170.0</v>
      </c>
      <c r="FO117" s="139">
        <v>45200.0</v>
      </c>
      <c r="FP117" s="139">
        <v>45231.0</v>
      </c>
      <c r="FQ117" s="139">
        <v>45261.0</v>
      </c>
      <c r="FR117" s="139">
        <v>45292.0</v>
      </c>
      <c r="FS117" s="139">
        <v>45323.0</v>
      </c>
      <c r="FT117" s="139">
        <v>45352.0</v>
      </c>
      <c r="FU117" s="139">
        <v>45383.0</v>
      </c>
      <c r="FV117" s="139">
        <v>45413.0</v>
      </c>
      <c r="FW117" s="139">
        <v>45444.0</v>
      </c>
      <c r="FX117" s="139">
        <v>45474.0</v>
      </c>
      <c r="FY117" s="139">
        <v>45505.0</v>
      </c>
      <c r="FZ117" s="139">
        <v>45536.0</v>
      </c>
      <c r="GA117" s="139">
        <v>45566.0</v>
      </c>
      <c r="GB117" s="139">
        <v>45597.0</v>
      </c>
      <c r="GC117" s="139">
        <v>45627.0</v>
      </c>
      <c r="GD117" s="139">
        <v>45658.0</v>
      </c>
      <c r="GE117" s="139">
        <v>45689.0</v>
      </c>
      <c r="GF117" s="139">
        <v>45717.0</v>
      </c>
      <c r="GG117" s="139">
        <v>45748.0</v>
      </c>
      <c r="GH117" s="139">
        <v>45778.0</v>
      </c>
      <c r="GI117" s="139">
        <v>45809.0</v>
      </c>
      <c r="GJ117" s="139">
        <v>45839.0</v>
      </c>
    </row>
    <row r="118">
      <c r="A118" s="133" t="s">
        <v>1621</v>
      </c>
      <c r="B118" s="134">
        <v>45161.5959375</v>
      </c>
      <c r="C118" s="135" t="str">
        <f t="shared" si="1"/>
        <v>2023/08/23</v>
      </c>
      <c r="D118" s="136" t="s">
        <v>34309</v>
      </c>
      <c r="E118" s="151">
        <v>0.01</v>
      </c>
      <c r="F118" s="138">
        <v>40179.0</v>
      </c>
      <c r="G118" s="138">
        <v>40210.0</v>
      </c>
      <c r="H118" s="138">
        <v>40238.0</v>
      </c>
      <c r="I118" s="138">
        <v>40269.0</v>
      </c>
      <c r="J118" s="138">
        <v>40299.0</v>
      </c>
      <c r="K118" s="138">
        <v>40330.0</v>
      </c>
      <c r="L118" s="138">
        <v>40360.0</v>
      </c>
      <c r="M118" s="138">
        <v>40391.0</v>
      </c>
      <c r="N118" s="138">
        <v>40422.0</v>
      </c>
      <c r="O118" s="138">
        <v>40452.0</v>
      </c>
      <c r="P118" s="138">
        <v>40483.0</v>
      </c>
      <c r="Q118" s="138">
        <v>40513.0</v>
      </c>
      <c r="R118" s="138">
        <v>40544.0</v>
      </c>
      <c r="S118" s="138">
        <v>40575.0</v>
      </c>
      <c r="T118" s="138">
        <v>40603.0</v>
      </c>
      <c r="U118" s="138">
        <v>40634.0</v>
      </c>
      <c r="V118" s="138">
        <v>40664.0</v>
      </c>
      <c r="W118" s="138">
        <v>40695.0</v>
      </c>
      <c r="X118" s="138">
        <v>40725.0</v>
      </c>
      <c r="Y118" s="138">
        <v>40756.0</v>
      </c>
      <c r="Z118" s="138">
        <v>40787.0</v>
      </c>
      <c r="AA118" s="138">
        <v>40817.0</v>
      </c>
      <c r="AB118" s="138">
        <v>40848.0</v>
      </c>
      <c r="AC118" s="138">
        <v>40878.0</v>
      </c>
      <c r="AD118" s="138">
        <v>40909.0</v>
      </c>
      <c r="AE118" s="138">
        <v>40940.0</v>
      </c>
      <c r="AF118" s="138">
        <v>40969.0</v>
      </c>
      <c r="AG118" s="138">
        <v>41000.0</v>
      </c>
      <c r="AH118" s="138">
        <v>41030.0</v>
      </c>
      <c r="AI118" s="138">
        <v>41061.0</v>
      </c>
      <c r="AJ118" s="138">
        <v>41091.0</v>
      </c>
      <c r="AK118" s="138">
        <v>41122.0</v>
      </c>
      <c r="AL118" s="138">
        <v>41153.0</v>
      </c>
      <c r="AM118" s="138">
        <v>41183.0</v>
      </c>
      <c r="AN118" s="138">
        <v>41214.0</v>
      </c>
      <c r="AO118" s="138">
        <v>41244.0</v>
      </c>
      <c r="AP118" s="138">
        <v>41275.0</v>
      </c>
      <c r="AQ118" s="138">
        <v>41306.0</v>
      </c>
      <c r="AR118" s="138">
        <v>41334.0</v>
      </c>
      <c r="AS118" s="138">
        <v>41365.0</v>
      </c>
      <c r="AT118" s="138">
        <v>41395.0</v>
      </c>
      <c r="AU118" s="138">
        <v>41426.0</v>
      </c>
      <c r="AV118" s="138">
        <v>41456.0</v>
      </c>
      <c r="AW118" s="138">
        <v>41487.0</v>
      </c>
      <c r="AX118" s="138">
        <v>41518.0</v>
      </c>
      <c r="AY118" s="138">
        <v>41548.0</v>
      </c>
      <c r="AZ118" s="138">
        <v>41579.0</v>
      </c>
      <c r="BA118" s="138">
        <v>41609.0</v>
      </c>
      <c r="BB118" s="138">
        <v>41640.0</v>
      </c>
      <c r="BC118" s="138">
        <v>41671.0</v>
      </c>
      <c r="BD118" s="138">
        <v>41699.0</v>
      </c>
      <c r="BE118" s="138">
        <v>41730.0</v>
      </c>
      <c r="BF118" s="138">
        <v>41760.0</v>
      </c>
      <c r="BG118" s="138">
        <v>41791.0</v>
      </c>
      <c r="BH118" s="138">
        <v>41821.0</v>
      </c>
      <c r="BI118" s="138">
        <v>41852.0</v>
      </c>
      <c r="BJ118" s="138">
        <v>41883.0</v>
      </c>
      <c r="BK118" s="138">
        <v>41913.0</v>
      </c>
      <c r="BL118" s="138">
        <v>41944.0</v>
      </c>
      <c r="BM118" s="138">
        <v>41974.0</v>
      </c>
      <c r="BN118" s="138">
        <v>42005.0</v>
      </c>
      <c r="BO118" s="138">
        <v>42036.0</v>
      </c>
      <c r="BP118" s="138">
        <v>42064.0</v>
      </c>
      <c r="BQ118" s="138">
        <v>42095.0</v>
      </c>
      <c r="BR118" s="138">
        <v>42125.0</v>
      </c>
      <c r="BS118" s="138">
        <v>42156.0</v>
      </c>
      <c r="BT118" s="138">
        <v>42186.0</v>
      </c>
      <c r="BU118" s="138">
        <v>42217.0</v>
      </c>
      <c r="BV118" s="138">
        <v>42248.0</v>
      </c>
      <c r="BW118" s="138">
        <v>42278.0</v>
      </c>
      <c r="BX118" s="138">
        <v>42309.0</v>
      </c>
      <c r="BY118" s="138">
        <v>42339.0</v>
      </c>
      <c r="BZ118" s="138">
        <v>42370.0</v>
      </c>
      <c r="CA118" s="138">
        <v>42401.0</v>
      </c>
      <c r="CB118" s="138">
        <v>42430.0</v>
      </c>
      <c r="CC118" s="138">
        <v>42461.0</v>
      </c>
      <c r="CD118" s="138">
        <v>42491.0</v>
      </c>
      <c r="CE118" s="138">
        <v>42522.0</v>
      </c>
      <c r="CF118" s="138">
        <v>42552.0</v>
      </c>
      <c r="CG118" s="138">
        <v>42583.0</v>
      </c>
      <c r="CH118" s="138">
        <v>42614.0</v>
      </c>
      <c r="CI118" s="138">
        <v>42644.0</v>
      </c>
      <c r="CJ118" s="138">
        <v>42675.0</v>
      </c>
      <c r="CK118" s="138">
        <v>42705.0</v>
      </c>
      <c r="CL118" s="138">
        <v>42736.0</v>
      </c>
      <c r="CM118" s="138">
        <v>42767.0</v>
      </c>
      <c r="CN118" s="138">
        <v>42795.0</v>
      </c>
      <c r="CO118" s="138">
        <v>42826.0</v>
      </c>
      <c r="CP118" s="138">
        <v>42856.0</v>
      </c>
      <c r="CQ118" s="138">
        <v>42887.0</v>
      </c>
      <c r="CR118" s="138">
        <v>42917.0</v>
      </c>
      <c r="CS118" s="138">
        <v>42948.0</v>
      </c>
      <c r="CT118" s="138">
        <v>42979.0</v>
      </c>
      <c r="CU118" s="138">
        <v>43009.0</v>
      </c>
      <c r="CV118" s="138">
        <v>43040.0</v>
      </c>
      <c r="CW118" s="138">
        <v>43070.0</v>
      </c>
      <c r="CX118" s="138">
        <v>43101.0</v>
      </c>
      <c r="CY118" s="138">
        <v>43132.0</v>
      </c>
      <c r="CZ118" s="138">
        <v>43160.0</v>
      </c>
      <c r="DA118" s="138">
        <v>43191.0</v>
      </c>
      <c r="DB118" s="138">
        <v>43221.0</v>
      </c>
      <c r="DC118" s="138">
        <v>43252.0</v>
      </c>
      <c r="DD118" s="138">
        <v>43282.0</v>
      </c>
      <c r="DE118" s="138">
        <v>43313.0</v>
      </c>
      <c r="DF118" s="138">
        <v>43344.0</v>
      </c>
      <c r="DG118" s="138">
        <v>43374.0</v>
      </c>
      <c r="DH118" s="138">
        <v>43405.0</v>
      </c>
      <c r="DI118" s="138">
        <v>43435.0</v>
      </c>
      <c r="DJ118" s="138">
        <v>43466.0</v>
      </c>
      <c r="DK118" s="138">
        <v>43497.0</v>
      </c>
      <c r="DL118" s="138">
        <v>43525.0</v>
      </c>
      <c r="DM118" s="138">
        <v>43556.0</v>
      </c>
      <c r="DN118" s="138">
        <v>43586.0</v>
      </c>
      <c r="DO118" s="138">
        <v>43617.0</v>
      </c>
      <c r="DP118" s="138">
        <v>43647.0</v>
      </c>
      <c r="DQ118" s="138">
        <v>43678.0</v>
      </c>
      <c r="DR118" s="138">
        <v>43709.0</v>
      </c>
      <c r="DS118" s="138">
        <v>43739.0</v>
      </c>
      <c r="DT118" s="138">
        <v>43770.0</v>
      </c>
      <c r="DU118" s="138">
        <v>43800.0</v>
      </c>
      <c r="DV118" s="138">
        <v>43831.0</v>
      </c>
      <c r="DW118" s="138">
        <v>43862.0</v>
      </c>
      <c r="DX118" s="138">
        <v>43891.0</v>
      </c>
      <c r="DY118" s="138">
        <v>43922.0</v>
      </c>
      <c r="DZ118" s="138">
        <v>43952.0</v>
      </c>
      <c r="EA118" s="138">
        <v>43983.0</v>
      </c>
      <c r="EB118" s="138">
        <v>44013.0</v>
      </c>
      <c r="EC118" s="138">
        <v>44044.0</v>
      </c>
      <c r="ED118" s="138">
        <v>44075.0</v>
      </c>
      <c r="EE118" s="138">
        <v>44105.0</v>
      </c>
      <c r="EF118" s="138">
        <v>44136.0</v>
      </c>
      <c r="EG118" s="138">
        <v>44166.0</v>
      </c>
      <c r="EH118" s="138">
        <v>44197.0</v>
      </c>
      <c r="EI118" s="138">
        <v>44228.0</v>
      </c>
      <c r="EJ118" s="138">
        <v>44256.0</v>
      </c>
      <c r="EK118" s="138">
        <v>44287.0</v>
      </c>
      <c r="EL118" s="138">
        <v>44317.0</v>
      </c>
      <c r="EM118" s="138">
        <v>44348.0</v>
      </c>
      <c r="EN118" s="138">
        <v>44378.0</v>
      </c>
      <c r="EO118" s="138">
        <v>44409.0</v>
      </c>
      <c r="EP118" s="138">
        <v>44440.0</v>
      </c>
      <c r="EQ118" s="138">
        <v>44470.0</v>
      </c>
      <c r="ER118" s="138">
        <v>44501.0</v>
      </c>
      <c r="ES118" s="138">
        <v>44531.0</v>
      </c>
      <c r="ET118" s="138">
        <v>44562.0</v>
      </c>
      <c r="EU118" s="138">
        <v>44593.0</v>
      </c>
      <c r="EV118" s="138">
        <v>44621.0</v>
      </c>
      <c r="EW118" s="138">
        <v>44652.0</v>
      </c>
      <c r="EX118" s="138">
        <v>44682.0</v>
      </c>
      <c r="EY118" s="138">
        <v>44713.0</v>
      </c>
      <c r="EZ118" s="138">
        <v>44743.0</v>
      </c>
      <c r="FA118" s="138">
        <v>44774.0</v>
      </c>
      <c r="FB118" s="138">
        <v>44805.0</v>
      </c>
      <c r="FC118" s="138">
        <v>44835.0</v>
      </c>
      <c r="FD118" s="138">
        <v>44866.0</v>
      </c>
      <c r="FE118" s="138">
        <v>44896.0</v>
      </c>
      <c r="FF118" s="138">
        <v>44927.0</v>
      </c>
      <c r="FG118" s="138">
        <v>44958.0</v>
      </c>
      <c r="FH118" s="138">
        <v>44986.0</v>
      </c>
      <c r="FI118" s="138">
        <v>45017.0</v>
      </c>
      <c r="FJ118" s="138">
        <v>45047.0</v>
      </c>
      <c r="FK118" s="138">
        <v>45078.0</v>
      </c>
      <c r="FL118" s="138">
        <v>45108.0</v>
      </c>
      <c r="FM118" s="138">
        <v>45139.0</v>
      </c>
      <c r="FN118" s="139">
        <v>45170.0</v>
      </c>
      <c r="FO118" s="139">
        <v>45200.0</v>
      </c>
      <c r="FP118" s="139">
        <v>45231.0</v>
      </c>
      <c r="FQ118" s="139">
        <v>45261.0</v>
      </c>
      <c r="FR118" s="139">
        <v>45292.0</v>
      </c>
      <c r="FS118" s="139">
        <v>45323.0</v>
      </c>
      <c r="FT118" s="139">
        <v>45352.0</v>
      </c>
      <c r="FU118" s="139">
        <v>45383.0</v>
      </c>
      <c r="FV118" s="139">
        <v>45413.0</v>
      </c>
      <c r="FW118" s="139">
        <v>45444.0</v>
      </c>
      <c r="FX118" s="139">
        <v>45474.0</v>
      </c>
      <c r="FY118" s="139">
        <v>45505.0</v>
      </c>
      <c r="FZ118" s="139">
        <v>45536.0</v>
      </c>
      <c r="GA118" s="139">
        <v>45566.0</v>
      </c>
      <c r="GB118" s="139">
        <v>45597.0</v>
      </c>
      <c r="GC118" s="139">
        <v>45627.0</v>
      </c>
      <c r="GD118" s="139">
        <v>45658.0</v>
      </c>
      <c r="GE118" s="139">
        <v>45689.0</v>
      </c>
      <c r="GF118" s="139">
        <v>45717.0</v>
      </c>
      <c r="GG118" s="139">
        <v>45748.0</v>
      </c>
      <c r="GH118" s="139">
        <v>45778.0</v>
      </c>
      <c r="GI118" s="139">
        <v>45809.0</v>
      </c>
      <c r="GJ118" s="139">
        <v>45839.0</v>
      </c>
    </row>
    <row r="119">
      <c r="A119" s="133" t="s">
        <v>1813</v>
      </c>
      <c r="B119" s="134">
        <v>45210.633738425924</v>
      </c>
      <c r="C119" s="135" t="str">
        <f t="shared" si="1"/>
        <v>2023/10/11</v>
      </c>
      <c r="D119" s="136" t="s">
        <v>34310</v>
      </c>
      <c r="E119" s="151">
        <v>0.12</v>
      </c>
      <c r="F119" s="138">
        <v>40179.0</v>
      </c>
      <c r="G119" s="138">
        <v>40210.0</v>
      </c>
      <c r="H119" s="138">
        <v>40238.0</v>
      </c>
      <c r="I119" s="138">
        <v>40269.0</v>
      </c>
      <c r="J119" s="138">
        <v>40299.0</v>
      </c>
      <c r="K119" s="138">
        <v>40330.0</v>
      </c>
      <c r="L119" s="138">
        <v>40360.0</v>
      </c>
      <c r="M119" s="138">
        <v>40391.0</v>
      </c>
      <c r="N119" s="138">
        <v>40422.0</v>
      </c>
      <c r="O119" s="138">
        <v>40452.0</v>
      </c>
      <c r="P119" s="138">
        <v>40483.0</v>
      </c>
      <c r="Q119" s="138">
        <v>40513.0</v>
      </c>
      <c r="R119" s="138">
        <v>40544.0</v>
      </c>
      <c r="S119" s="138">
        <v>40575.0</v>
      </c>
      <c r="T119" s="138">
        <v>40603.0</v>
      </c>
      <c r="U119" s="138">
        <v>40634.0</v>
      </c>
      <c r="V119" s="138">
        <v>40664.0</v>
      </c>
      <c r="W119" s="138">
        <v>40695.0</v>
      </c>
      <c r="X119" s="138">
        <v>40725.0</v>
      </c>
      <c r="Y119" s="138">
        <v>40756.0</v>
      </c>
      <c r="Z119" s="138">
        <v>40787.0</v>
      </c>
      <c r="AA119" s="138">
        <v>40817.0</v>
      </c>
      <c r="AB119" s="138">
        <v>40848.0</v>
      </c>
      <c r="AC119" s="138">
        <v>40878.0</v>
      </c>
      <c r="AD119" s="138">
        <v>40909.0</v>
      </c>
      <c r="AE119" s="138">
        <v>40940.0</v>
      </c>
      <c r="AF119" s="138">
        <v>40969.0</v>
      </c>
      <c r="AG119" s="138">
        <v>41000.0</v>
      </c>
      <c r="AH119" s="138">
        <v>41030.0</v>
      </c>
      <c r="AI119" s="138">
        <v>41061.0</v>
      </c>
      <c r="AJ119" s="138">
        <v>41091.0</v>
      </c>
      <c r="AK119" s="138">
        <v>41122.0</v>
      </c>
      <c r="AL119" s="138">
        <v>41153.0</v>
      </c>
      <c r="AM119" s="138">
        <v>41183.0</v>
      </c>
      <c r="AN119" s="138">
        <v>41214.0</v>
      </c>
      <c r="AO119" s="138">
        <v>41244.0</v>
      </c>
      <c r="AP119" s="138">
        <v>41275.0</v>
      </c>
      <c r="AQ119" s="138">
        <v>41306.0</v>
      </c>
      <c r="AR119" s="138">
        <v>41334.0</v>
      </c>
      <c r="AS119" s="138">
        <v>41365.0</v>
      </c>
      <c r="AT119" s="138">
        <v>41395.0</v>
      </c>
      <c r="AU119" s="138">
        <v>41426.0</v>
      </c>
      <c r="AV119" s="138">
        <v>41456.0</v>
      </c>
      <c r="AW119" s="138">
        <v>41487.0</v>
      </c>
      <c r="AX119" s="138">
        <v>41518.0</v>
      </c>
      <c r="AY119" s="138">
        <v>41548.0</v>
      </c>
      <c r="AZ119" s="138">
        <v>41579.0</v>
      </c>
      <c r="BA119" s="138">
        <v>41609.0</v>
      </c>
      <c r="BB119" s="138">
        <v>41640.0</v>
      </c>
      <c r="BC119" s="138">
        <v>41671.0</v>
      </c>
      <c r="BD119" s="138">
        <v>41699.0</v>
      </c>
      <c r="BE119" s="138">
        <v>41730.0</v>
      </c>
      <c r="BF119" s="138">
        <v>41760.0</v>
      </c>
      <c r="BG119" s="138">
        <v>41791.0</v>
      </c>
      <c r="BH119" s="138">
        <v>41821.0</v>
      </c>
      <c r="BI119" s="138">
        <v>41852.0</v>
      </c>
      <c r="BJ119" s="138">
        <v>41883.0</v>
      </c>
      <c r="BK119" s="138">
        <v>41913.0</v>
      </c>
      <c r="BL119" s="138">
        <v>41944.0</v>
      </c>
      <c r="BM119" s="138">
        <v>41974.0</v>
      </c>
      <c r="BN119" s="138">
        <v>42005.0</v>
      </c>
      <c r="BO119" s="138">
        <v>42036.0</v>
      </c>
      <c r="BP119" s="138">
        <v>42064.0</v>
      </c>
      <c r="BQ119" s="138">
        <v>42095.0</v>
      </c>
      <c r="BR119" s="138">
        <v>42125.0</v>
      </c>
      <c r="BS119" s="138">
        <v>42156.0</v>
      </c>
      <c r="BT119" s="138">
        <v>42186.0</v>
      </c>
      <c r="BU119" s="138">
        <v>42217.0</v>
      </c>
      <c r="BV119" s="138">
        <v>42248.0</v>
      </c>
      <c r="BW119" s="138">
        <v>42278.0</v>
      </c>
      <c r="BX119" s="138">
        <v>42309.0</v>
      </c>
      <c r="BY119" s="138">
        <v>42339.0</v>
      </c>
      <c r="BZ119" s="138">
        <v>42370.0</v>
      </c>
      <c r="CA119" s="138">
        <v>42401.0</v>
      </c>
      <c r="CB119" s="138">
        <v>42430.0</v>
      </c>
      <c r="CC119" s="138">
        <v>42461.0</v>
      </c>
      <c r="CD119" s="138">
        <v>42491.0</v>
      </c>
      <c r="CE119" s="138">
        <v>42522.0</v>
      </c>
      <c r="CF119" s="138">
        <v>42552.0</v>
      </c>
      <c r="CG119" s="138">
        <v>42583.0</v>
      </c>
      <c r="CH119" s="138">
        <v>42614.0</v>
      </c>
      <c r="CI119" s="138">
        <v>42644.0</v>
      </c>
      <c r="CJ119" s="138">
        <v>42675.0</v>
      </c>
      <c r="CK119" s="138">
        <v>42705.0</v>
      </c>
      <c r="CL119" s="138">
        <v>42736.0</v>
      </c>
      <c r="CM119" s="138">
        <v>42767.0</v>
      </c>
      <c r="CN119" s="138">
        <v>42795.0</v>
      </c>
      <c r="CO119" s="138">
        <v>42826.0</v>
      </c>
      <c r="CP119" s="138">
        <v>42856.0</v>
      </c>
      <c r="CQ119" s="138">
        <v>42887.0</v>
      </c>
      <c r="CR119" s="138">
        <v>42917.0</v>
      </c>
      <c r="CS119" s="138">
        <v>42948.0</v>
      </c>
      <c r="CT119" s="138">
        <v>42979.0</v>
      </c>
      <c r="CU119" s="138">
        <v>43009.0</v>
      </c>
      <c r="CV119" s="138">
        <v>43040.0</v>
      </c>
      <c r="CW119" s="138">
        <v>43070.0</v>
      </c>
      <c r="CX119" s="138">
        <v>43101.0</v>
      </c>
      <c r="CY119" s="138">
        <v>43132.0</v>
      </c>
      <c r="CZ119" s="138">
        <v>43160.0</v>
      </c>
      <c r="DA119" s="138">
        <v>43191.0</v>
      </c>
      <c r="DB119" s="138">
        <v>43221.0</v>
      </c>
      <c r="DC119" s="138">
        <v>43252.0</v>
      </c>
      <c r="DD119" s="138">
        <v>43282.0</v>
      </c>
      <c r="DE119" s="138">
        <v>43313.0</v>
      </c>
      <c r="DF119" s="138">
        <v>43344.0</v>
      </c>
      <c r="DG119" s="138">
        <v>43374.0</v>
      </c>
      <c r="DH119" s="138">
        <v>43405.0</v>
      </c>
      <c r="DI119" s="138">
        <v>43435.0</v>
      </c>
      <c r="DJ119" s="138">
        <v>43466.0</v>
      </c>
      <c r="DK119" s="138">
        <v>43497.0</v>
      </c>
      <c r="DL119" s="138">
        <v>43525.0</v>
      </c>
      <c r="DM119" s="138">
        <v>43556.0</v>
      </c>
      <c r="DN119" s="138">
        <v>43586.0</v>
      </c>
      <c r="DO119" s="138">
        <v>43617.0</v>
      </c>
      <c r="DP119" s="138">
        <v>43647.0</v>
      </c>
      <c r="DQ119" s="138">
        <v>43678.0</v>
      </c>
      <c r="DR119" s="138">
        <v>43709.0</v>
      </c>
      <c r="DS119" s="138">
        <v>43739.0</v>
      </c>
      <c r="DT119" s="138">
        <v>43770.0</v>
      </c>
      <c r="DU119" s="138">
        <v>43800.0</v>
      </c>
      <c r="DV119" s="138">
        <v>43831.0</v>
      </c>
      <c r="DW119" s="138">
        <v>43862.0</v>
      </c>
      <c r="DX119" s="138">
        <v>43891.0</v>
      </c>
      <c r="DY119" s="138">
        <v>43922.0</v>
      </c>
      <c r="DZ119" s="138">
        <v>43952.0</v>
      </c>
      <c r="EA119" s="138">
        <v>43983.0</v>
      </c>
      <c r="EB119" s="138">
        <v>44013.0</v>
      </c>
      <c r="EC119" s="138">
        <v>44044.0</v>
      </c>
      <c r="ED119" s="138">
        <v>44075.0</v>
      </c>
      <c r="EE119" s="138">
        <v>44105.0</v>
      </c>
      <c r="EF119" s="138">
        <v>44136.0</v>
      </c>
      <c r="EG119" s="138">
        <v>44166.0</v>
      </c>
      <c r="EH119" s="138">
        <v>44197.0</v>
      </c>
      <c r="EI119" s="138">
        <v>44228.0</v>
      </c>
      <c r="EJ119" s="138">
        <v>44256.0</v>
      </c>
      <c r="EK119" s="138">
        <v>44287.0</v>
      </c>
      <c r="EL119" s="138">
        <v>44317.0</v>
      </c>
      <c r="EM119" s="138">
        <v>44348.0</v>
      </c>
      <c r="EN119" s="138">
        <v>44378.0</v>
      </c>
      <c r="EO119" s="138">
        <v>44409.0</v>
      </c>
      <c r="EP119" s="138">
        <v>44440.0</v>
      </c>
      <c r="EQ119" s="138">
        <v>44470.0</v>
      </c>
      <c r="ER119" s="138">
        <v>44501.0</v>
      </c>
      <c r="ES119" s="138">
        <v>44531.0</v>
      </c>
      <c r="ET119" s="138">
        <v>44562.0</v>
      </c>
      <c r="EU119" s="138">
        <v>44593.0</v>
      </c>
      <c r="EV119" s="138">
        <v>44621.0</v>
      </c>
      <c r="EW119" s="138">
        <v>44652.0</v>
      </c>
      <c r="EX119" s="138">
        <v>44682.0</v>
      </c>
      <c r="EY119" s="138">
        <v>44713.0</v>
      </c>
      <c r="EZ119" s="138">
        <v>44743.0</v>
      </c>
      <c r="FA119" s="138">
        <v>44774.0</v>
      </c>
      <c r="FB119" s="138">
        <v>44805.0</v>
      </c>
      <c r="FC119" s="138">
        <v>44835.0</v>
      </c>
      <c r="FD119" s="138">
        <v>44866.0</v>
      </c>
      <c r="FE119" s="138">
        <v>44896.0</v>
      </c>
      <c r="FF119" s="138">
        <v>44927.0</v>
      </c>
      <c r="FG119" s="138">
        <v>44958.0</v>
      </c>
      <c r="FH119" s="138">
        <v>44986.0</v>
      </c>
      <c r="FI119" s="138">
        <v>45017.0</v>
      </c>
      <c r="FJ119" s="138">
        <v>45047.0</v>
      </c>
      <c r="FK119" s="138">
        <v>45078.0</v>
      </c>
      <c r="FL119" s="138">
        <v>45108.0</v>
      </c>
      <c r="FM119" s="138">
        <v>45139.0</v>
      </c>
      <c r="FN119" s="138">
        <v>45170.0</v>
      </c>
      <c r="FO119" s="138">
        <v>45200.0</v>
      </c>
      <c r="FP119" s="139">
        <v>45231.0</v>
      </c>
      <c r="FQ119" s="139">
        <v>45261.0</v>
      </c>
      <c r="FR119" s="139">
        <v>45292.0</v>
      </c>
      <c r="FS119" s="139">
        <v>45323.0</v>
      </c>
      <c r="FT119" s="139">
        <v>45352.0</v>
      </c>
      <c r="FU119" s="139">
        <v>45383.0</v>
      </c>
      <c r="FV119" s="139">
        <v>45413.0</v>
      </c>
      <c r="FW119" s="139">
        <v>45444.0</v>
      </c>
      <c r="FX119" s="139">
        <v>45474.0</v>
      </c>
      <c r="FY119" s="139">
        <v>45505.0</v>
      </c>
      <c r="FZ119" s="139">
        <v>45536.0</v>
      </c>
      <c r="GA119" s="139">
        <v>45566.0</v>
      </c>
      <c r="GB119" s="139">
        <v>45597.0</v>
      </c>
      <c r="GC119" s="139">
        <v>45627.0</v>
      </c>
      <c r="GD119" s="139">
        <v>45658.0</v>
      </c>
      <c r="GE119" s="139">
        <v>45689.0</v>
      </c>
      <c r="GF119" s="139">
        <v>45717.0</v>
      </c>
      <c r="GG119" s="139">
        <v>45748.0</v>
      </c>
      <c r="GH119" s="139">
        <v>45778.0</v>
      </c>
      <c r="GI119" s="139">
        <v>45809.0</v>
      </c>
      <c r="GJ119" s="139">
        <v>45839.0</v>
      </c>
    </row>
    <row r="120">
      <c r="A120" s="133" t="s">
        <v>1617</v>
      </c>
      <c r="B120" s="134">
        <v>45250.5131712963</v>
      </c>
      <c r="C120" s="135" t="str">
        <f t="shared" si="1"/>
        <v>2023/11/20</v>
      </c>
      <c r="D120" s="136" t="s">
        <v>34311</v>
      </c>
      <c r="E120" s="151">
        <v>0.01</v>
      </c>
      <c r="F120" s="138">
        <v>40179.0</v>
      </c>
      <c r="G120" s="138">
        <v>40210.0</v>
      </c>
      <c r="H120" s="138">
        <v>40238.0</v>
      </c>
      <c r="I120" s="138">
        <v>40269.0</v>
      </c>
      <c r="J120" s="138">
        <v>40299.0</v>
      </c>
      <c r="K120" s="138">
        <v>40330.0</v>
      </c>
      <c r="L120" s="138">
        <v>40360.0</v>
      </c>
      <c r="M120" s="138">
        <v>40391.0</v>
      </c>
      <c r="N120" s="138">
        <v>40422.0</v>
      </c>
      <c r="O120" s="138">
        <v>40452.0</v>
      </c>
      <c r="P120" s="138">
        <v>40483.0</v>
      </c>
      <c r="Q120" s="138">
        <v>40513.0</v>
      </c>
      <c r="R120" s="138">
        <v>40544.0</v>
      </c>
      <c r="S120" s="138">
        <v>40575.0</v>
      </c>
      <c r="T120" s="138">
        <v>40603.0</v>
      </c>
      <c r="U120" s="138">
        <v>40634.0</v>
      </c>
      <c r="V120" s="138">
        <v>40664.0</v>
      </c>
      <c r="W120" s="138">
        <v>40695.0</v>
      </c>
      <c r="X120" s="138">
        <v>40725.0</v>
      </c>
      <c r="Y120" s="138">
        <v>40756.0</v>
      </c>
      <c r="Z120" s="138">
        <v>40787.0</v>
      </c>
      <c r="AA120" s="138">
        <v>40817.0</v>
      </c>
      <c r="AB120" s="138">
        <v>40848.0</v>
      </c>
      <c r="AC120" s="138">
        <v>40878.0</v>
      </c>
      <c r="AD120" s="138">
        <v>40909.0</v>
      </c>
      <c r="AE120" s="138">
        <v>40940.0</v>
      </c>
      <c r="AF120" s="138">
        <v>40969.0</v>
      </c>
      <c r="AG120" s="138">
        <v>41000.0</v>
      </c>
      <c r="AH120" s="138">
        <v>41030.0</v>
      </c>
      <c r="AI120" s="138">
        <v>41061.0</v>
      </c>
      <c r="AJ120" s="138">
        <v>41091.0</v>
      </c>
      <c r="AK120" s="138">
        <v>41122.0</v>
      </c>
      <c r="AL120" s="138">
        <v>41153.0</v>
      </c>
      <c r="AM120" s="138">
        <v>41183.0</v>
      </c>
      <c r="AN120" s="138">
        <v>41214.0</v>
      </c>
      <c r="AO120" s="138">
        <v>41244.0</v>
      </c>
      <c r="AP120" s="138">
        <v>41275.0</v>
      </c>
      <c r="AQ120" s="138">
        <v>41306.0</v>
      </c>
      <c r="AR120" s="138">
        <v>41334.0</v>
      </c>
      <c r="AS120" s="138">
        <v>41365.0</v>
      </c>
      <c r="AT120" s="138">
        <v>41395.0</v>
      </c>
      <c r="AU120" s="138">
        <v>41426.0</v>
      </c>
      <c r="AV120" s="138">
        <v>41456.0</v>
      </c>
      <c r="AW120" s="138">
        <v>41487.0</v>
      </c>
      <c r="AX120" s="138">
        <v>41518.0</v>
      </c>
      <c r="AY120" s="138">
        <v>41548.0</v>
      </c>
      <c r="AZ120" s="138">
        <v>41579.0</v>
      </c>
      <c r="BA120" s="138">
        <v>41609.0</v>
      </c>
      <c r="BB120" s="138">
        <v>41640.0</v>
      </c>
      <c r="BC120" s="138">
        <v>41671.0</v>
      </c>
      <c r="BD120" s="138">
        <v>41699.0</v>
      </c>
      <c r="BE120" s="138">
        <v>41730.0</v>
      </c>
      <c r="BF120" s="138">
        <v>41760.0</v>
      </c>
      <c r="BG120" s="138">
        <v>41791.0</v>
      </c>
      <c r="BH120" s="138">
        <v>41821.0</v>
      </c>
      <c r="BI120" s="138">
        <v>41852.0</v>
      </c>
      <c r="BJ120" s="138">
        <v>41883.0</v>
      </c>
      <c r="BK120" s="138">
        <v>41913.0</v>
      </c>
      <c r="BL120" s="138">
        <v>41944.0</v>
      </c>
      <c r="BM120" s="138">
        <v>41974.0</v>
      </c>
      <c r="BN120" s="138">
        <v>42005.0</v>
      </c>
      <c r="BO120" s="138">
        <v>42036.0</v>
      </c>
      <c r="BP120" s="138">
        <v>42064.0</v>
      </c>
      <c r="BQ120" s="138">
        <v>42095.0</v>
      </c>
      <c r="BR120" s="138">
        <v>42125.0</v>
      </c>
      <c r="BS120" s="138">
        <v>42156.0</v>
      </c>
      <c r="BT120" s="138">
        <v>42186.0</v>
      </c>
      <c r="BU120" s="138">
        <v>42217.0</v>
      </c>
      <c r="BV120" s="138">
        <v>42248.0</v>
      </c>
      <c r="BW120" s="138">
        <v>42278.0</v>
      </c>
      <c r="BX120" s="138">
        <v>42309.0</v>
      </c>
      <c r="BY120" s="138">
        <v>42339.0</v>
      </c>
      <c r="BZ120" s="138">
        <v>42370.0</v>
      </c>
      <c r="CA120" s="138">
        <v>42401.0</v>
      </c>
      <c r="CB120" s="138">
        <v>42430.0</v>
      </c>
      <c r="CC120" s="138">
        <v>42461.0</v>
      </c>
      <c r="CD120" s="138">
        <v>42491.0</v>
      </c>
      <c r="CE120" s="138">
        <v>42522.0</v>
      </c>
      <c r="CF120" s="138">
        <v>42552.0</v>
      </c>
      <c r="CG120" s="138">
        <v>42583.0</v>
      </c>
      <c r="CH120" s="138">
        <v>42614.0</v>
      </c>
      <c r="CI120" s="138">
        <v>42644.0</v>
      </c>
      <c r="CJ120" s="138">
        <v>42675.0</v>
      </c>
      <c r="CK120" s="138">
        <v>42705.0</v>
      </c>
      <c r="CL120" s="138">
        <v>42736.0</v>
      </c>
      <c r="CM120" s="138">
        <v>42767.0</v>
      </c>
      <c r="CN120" s="138">
        <v>42795.0</v>
      </c>
      <c r="CO120" s="138">
        <v>42826.0</v>
      </c>
      <c r="CP120" s="138">
        <v>42856.0</v>
      </c>
      <c r="CQ120" s="138">
        <v>42887.0</v>
      </c>
      <c r="CR120" s="138">
        <v>42917.0</v>
      </c>
      <c r="CS120" s="138">
        <v>42948.0</v>
      </c>
      <c r="CT120" s="138">
        <v>42979.0</v>
      </c>
      <c r="CU120" s="138">
        <v>43009.0</v>
      </c>
      <c r="CV120" s="138">
        <v>43040.0</v>
      </c>
      <c r="CW120" s="138">
        <v>43070.0</v>
      </c>
      <c r="CX120" s="138">
        <v>43101.0</v>
      </c>
      <c r="CY120" s="138">
        <v>43132.0</v>
      </c>
      <c r="CZ120" s="138">
        <v>43160.0</v>
      </c>
      <c r="DA120" s="138">
        <v>43191.0</v>
      </c>
      <c r="DB120" s="138">
        <v>43221.0</v>
      </c>
      <c r="DC120" s="138">
        <v>43252.0</v>
      </c>
      <c r="DD120" s="138">
        <v>43282.0</v>
      </c>
      <c r="DE120" s="138">
        <v>43313.0</v>
      </c>
      <c r="DF120" s="138">
        <v>43344.0</v>
      </c>
      <c r="DG120" s="138">
        <v>43374.0</v>
      </c>
      <c r="DH120" s="138">
        <v>43405.0</v>
      </c>
      <c r="DI120" s="138">
        <v>43435.0</v>
      </c>
      <c r="DJ120" s="138">
        <v>43466.0</v>
      </c>
      <c r="DK120" s="138">
        <v>43497.0</v>
      </c>
      <c r="DL120" s="138">
        <v>43525.0</v>
      </c>
      <c r="DM120" s="138">
        <v>43556.0</v>
      </c>
      <c r="DN120" s="138">
        <v>43586.0</v>
      </c>
      <c r="DO120" s="138">
        <v>43617.0</v>
      </c>
      <c r="DP120" s="138">
        <v>43647.0</v>
      </c>
      <c r="DQ120" s="138">
        <v>43678.0</v>
      </c>
      <c r="DR120" s="138">
        <v>43709.0</v>
      </c>
      <c r="DS120" s="138">
        <v>43739.0</v>
      </c>
      <c r="DT120" s="138">
        <v>43770.0</v>
      </c>
      <c r="DU120" s="138">
        <v>43800.0</v>
      </c>
      <c r="DV120" s="138">
        <v>43831.0</v>
      </c>
      <c r="DW120" s="138">
        <v>43862.0</v>
      </c>
      <c r="DX120" s="138">
        <v>43891.0</v>
      </c>
      <c r="DY120" s="138">
        <v>43922.0</v>
      </c>
      <c r="DZ120" s="138">
        <v>43952.0</v>
      </c>
      <c r="EA120" s="138">
        <v>43983.0</v>
      </c>
      <c r="EB120" s="138">
        <v>44013.0</v>
      </c>
      <c r="EC120" s="138">
        <v>44044.0</v>
      </c>
      <c r="ED120" s="138">
        <v>44075.0</v>
      </c>
      <c r="EE120" s="138">
        <v>44105.0</v>
      </c>
      <c r="EF120" s="138">
        <v>44136.0</v>
      </c>
      <c r="EG120" s="138">
        <v>44166.0</v>
      </c>
      <c r="EH120" s="138">
        <v>44197.0</v>
      </c>
      <c r="EI120" s="138">
        <v>44228.0</v>
      </c>
      <c r="EJ120" s="138">
        <v>44256.0</v>
      </c>
      <c r="EK120" s="138">
        <v>44287.0</v>
      </c>
      <c r="EL120" s="138">
        <v>44317.0</v>
      </c>
      <c r="EM120" s="138">
        <v>44348.0</v>
      </c>
      <c r="EN120" s="138">
        <v>44378.0</v>
      </c>
      <c r="EO120" s="138">
        <v>44409.0</v>
      </c>
      <c r="EP120" s="138">
        <v>44440.0</v>
      </c>
      <c r="EQ120" s="138">
        <v>44470.0</v>
      </c>
      <c r="ER120" s="138">
        <v>44501.0</v>
      </c>
      <c r="ES120" s="138">
        <v>44531.0</v>
      </c>
      <c r="ET120" s="138">
        <v>44562.0</v>
      </c>
      <c r="EU120" s="138">
        <v>44593.0</v>
      </c>
      <c r="EV120" s="138">
        <v>44621.0</v>
      </c>
      <c r="EW120" s="138">
        <v>44652.0</v>
      </c>
      <c r="EX120" s="138">
        <v>44682.0</v>
      </c>
      <c r="EY120" s="138">
        <v>44713.0</v>
      </c>
      <c r="EZ120" s="138">
        <v>44743.0</v>
      </c>
      <c r="FA120" s="138">
        <v>44774.0</v>
      </c>
      <c r="FB120" s="138">
        <v>44805.0</v>
      </c>
      <c r="FC120" s="138">
        <v>44835.0</v>
      </c>
      <c r="FD120" s="138">
        <v>44866.0</v>
      </c>
      <c r="FE120" s="138">
        <v>44896.0</v>
      </c>
      <c r="FF120" s="138">
        <v>44927.0</v>
      </c>
      <c r="FG120" s="138">
        <v>44958.0</v>
      </c>
      <c r="FH120" s="138">
        <v>44986.0</v>
      </c>
      <c r="FI120" s="138">
        <v>45017.0</v>
      </c>
      <c r="FJ120" s="138">
        <v>45047.0</v>
      </c>
      <c r="FK120" s="138">
        <v>45078.0</v>
      </c>
      <c r="FL120" s="138">
        <v>45108.0</v>
      </c>
      <c r="FM120" s="138">
        <v>45139.0</v>
      </c>
      <c r="FN120" s="138">
        <v>45170.0</v>
      </c>
      <c r="FO120" s="138">
        <v>45200.0</v>
      </c>
      <c r="FP120" s="138">
        <v>45231.0</v>
      </c>
      <c r="FQ120" s="139">
        <v>45261.0</v>
      </c>
      <c r="FR120" s="139">
        <v>45292.0</v>
      </c>
      <c r="FS120" s="139">
        <v>45323.0</v>
      </c>
      <c r="FT120" s="139">
        <v>45352.0</v>
      </c>
      <c r="FU120" s="139">
        <v>45383.0</v>
      </c>
      <c r="FV120" s="139">
        <v>45413.0</v>
      </c>
      <c r="FW120" s="139">
        <v>45444.0</v>
      </c>
      <c r="FX120" s="139">
        <v>45474.0</v>
      </c>
      <c r="FY120" s="139">
        <v>45505.0</v>
      </c>
      <c r="FZ120" s="139">
        <v>45536.0</v>
      </c>
      <c r="GA120" s="139">
        <v>45566.0</v>
      </c>
      <c r="GB120" s="139">
        <v>45597.0</v>
      </c>
      <c r="GC120" s="139">
        <v>45627.0</v>
      </c>
      <c r="GD120" s="139">
        <v>45658.0</v>
      </c>
      <c r="GE120" s="139">
        <v>45689.0</v>
      </c>
      <c r="GF120" s="139">
        <v>45717.0</v>
      </c>
      <c r="GG120" s="139">
        <v>45748.0</v>
      </c>
      <c r="GH120" s="139">
        <v>45778.0</v>
      </c>
      <c r="GI120" s="139">
        <v>45809.0</v>
      </c>
      <c r="GJ120" s="139">
        <v>45839.0</v>
      </c>
    </row>
    <row r="121">
      <c r="A121" s="133" t="s">
        <v>1567</v>
      </c>
      <c r="B121" s="134">
        <v>45338.62143518519</v>
      </c>
      <c r="C121" s="135" t="str">
        <f t="shared" si="1"/>
        <v>2024/02/16</v>
      </c>
      <c r="D121" s="136" t="s">
        <v>34312</v>
      </c>
      <c r="E121" s="151">
        <v>0.0</v>
      </c>
      <c r="F121" s="138">
        <v>40179.0</v>
      </c>
      <c r="G121" s="138">
        <v>40210.0</v>
      </c>
      <c r="H121" s="138">
        <v>40238.0</v>
      </c>
      <c r="I121" s="138">
        <v>40269.0</v>
      </c>
      <c r="J121" s="138">
        <v>40299.0</v>
      </c>
      <c r="K121" s="138">
        <v>40330.0</v>
      </c>
      <c r="L121" s="138">
        <v>40360.0</v>
      </c>
      <c r="M121" s="138">
        <v>40391.0</v>
      </c>
      <c r="N121" s="138">
        <v>40422.0</v>
      </c>
      <c r="O121" s="138">
        <v>40452.0</v>
      </c>
      <c r="P121" s="138">
        <v>40483.0</v>
      </c>
      <c r="Q121" s="138">
        <v>40513.0</v>
      </c>
      <c r="R121" s="138">
        <v>40544.0</v>
      </c>
      <c r="S121" s="138">
        <v>40575.0</v>
      </c>
      <c r="T121" s="138">
        <v>40603.0</v>
      </c>
      <c r="U121" s="138">
        <v>40634.0</v>
      </c>
      <c r="V121" s="138">
        <v>40664.0</v>
      </c>
      <c r="W121" s="138">
        <v>40695.0</v>
      </c>
      <c r="X121" s="138">
        <v>40725.0</v>
      </c>
      <c r="Y121" s="138">
        <v>40756.0</v>
      </c>
      <c r="Z121" s="138">
        <v>40787.0</v>
      </c>
      <c r="AA121" s="138">
        <v>40817.0</v>
      </c>
      <c r="AB121" s="138">
        <v>40848.0</v>
      </c>
      <c r="AC121" s="138">
        <v>40878.0</v>
      </c>
      <c r="AD121" s="138">
        <v>40909.0</v>
      </c>
      <c r="AE121" s="138">
        <v>40940.0</v>
      </c>
      <c r="AF121" s="138">
        <v>40969.0</v>
      </c>
      <c r="AG121" s="138">
        <v>41000.0</v>
      </c>
      <c r="AH121" s="138">
        <v>41030.0</v>
      </c>
      <c r="AI121" s="138">
        <v>41061.0</v>
      </c>
      <c r="AJ121" s="138">
        <v>41091.0</v>
      </c>
      <c r="AK121" s="138">
        <v>41122.0</v>
      </c>
      <c r="AL121" s="138">
        <v>41153.0</v>
      </c>
      <c r="AM121" s="138">
        <v>41183.0</v>
      </c>
      <c r="AN121" s="138">
        <v>41214.0</v>
      </c>
      <c r="AO121" s="138">
        <v>41244.0</v>
      </c>
      <c r="AP121" s="138">
        <v>41275.0</v>
      </c>
      <c r="AQ121" s="138">
        <v>41306.0</v>
      </c>
      <c r="AR121" s="138">
        <v>41334.0</v>
      </c>
      <c r="AS121" s="138">
        <v>41365.0</v>
      </c>
      <c r="AT121" s="138">
        <v>41395.0</v>
      </c>
      <c r="AU121" s="138">
        <v>41426.0</v>
      </c>
      <c r="AV121" s="138">
        <v>41456.0</v>
      </c>
      <c r="AW121" s="138">
        <v>41487.0</v>
      </c>
      <c r="AX121" s="138">
        <v>41518.0</v>
      </c>
      <c r="AY121" s="138">
        <v>41548.0</v>
      </c>
      <c r="AZ121" s="138">
        <v>41579.0</v>
      </c>
      <c r="BA121" s="138">
        <v>41609.0</v>
      </c>
      <c r="BB121" s="138">
        <v>41640.0</v>
      </c>
      <c r="BC121" s="138">
        <v>41671.0</v>
      </c>
      <c r="BD121" s="138">
        <v>41699.0</v>
      </c>
      <c r="BE121" s="138">
        <v>41730.0</v>
      </c>
      <c r="BF121" s="138">
        <v>41760.0</v>
      </c>
      <c r="BG121" s="138">
        <v>41791.0</v>
      </c>
      <c r="BH121" s="138">
        <v>41821.0</v>
      </c>
      <c r="BI121" s="138">
        <v>41852.0</v>
      </c>
      <c r="BJ121" s="138">
        <v>41883.0</v>
      </c>
      <c r="BK121" s="138">
        <v>41913.0</v>
      </c>
      <c r="BL121" s="138">
        <v>41944.0</v>
      </c>
      <c r="BM121" s="138">
        <v>41974.0</v>
      </c>
      <c r="BN121" s="138">
        <v>42005.0</v>
      </c>
      <c r="BO121" s="138">
        <v>42036.0</v>
      </c>
      <c r="BP121" s="138">
        <v>42064.0</v>
      </c>
      <c r="BQ121" s="138">
        <v>42095.0</v>
      </c>
      <c r="BR121" s="138">
        <v>42125.0</v>
      </c>
      <c r="BS121" s="138">
        <v>42156.0</v>
      </c>
      <c r="BT121" s="138">
        <v>42186.0</v>
      </c>
      <c r="BU121" s="138">
        <v>42217.0</v>
      </c>
      <c r="BV121" s="138">
        <v>42248.0</v>
      </c>
      <c r="BW121" s="138">
        <v>42278.0</v>
      </c>
      <c r="BX121" s="138">
        <v>42309.0</v>
      </c>
      <c r="BY121" s="138">
        <v>42339.0</v>
      </c>
      <c r="BZ121" s="138">
        <v>42370.0</v>
      </c>
      <c r="CA121" s="138">
        <v>42401.0</v>
      </c>
      <c r="CB121" s="138">
        <v>42430.0</v>
      </c>
      <c r="CC121" s="138">
        <v>42461.0</v>
      </c>
      <c r="CD121" s="138">
        <v>42491.0</v>
      </c>
      <c r="CE121" s="138">
        <v>42522.0</v>
      </c>
      <c r="CF121" s="138">
        <v>42552.0</v>
      </c>
      <c r="CG121" s="138">
        <v>42583.0</v>
      </c>
      <c r="CH121" s="138">
        <v>42614.0</v>
      </c>
      <c r="CI121" s="138">
        <v>42644.0</v>
      </c>
      <c r="CJ121" s="138">
        <v>42675.0</v>
      </c>
      <c r="CK121" s="138">
        <v>42705.0</v>
      </c>
      <c r="CL121" s="138">
        <v>42736.0</v>
      </c>
      <c r="CM121" s="138">
        <v>42767.0</v>
      </c>
      <c r="CN121" s="138">
        <v>42795.0</v>
      </c>
      <c r="CO121" s="138">
        <v>42826.0</v>
      </c>
      <c r="CP121" s="138">
        <v>42856.0</v>
      </c>
      <c r="CQ121" s="138">
        <v>42887.0</v>
      </c>
      <c r="CR121" s="138">
        <v>42917.0</v>
      </c>
      <c r="CS121" s="138">
        <v>42948.0</v>
      </c>
      <c r="CT121" s="138">
        <v>42979.0</v>
      </c>
      <c r="CU121" s="138">
        <v>43009.0</v>
      </c>
      <c r="CV121" s="138">
        <v>43040.0</v>
      </c>
      <c r="CW121" s="138">
        <v>43070.0</v>
      </c>
      <c r="CX121" s="138">
        <v>43101.0</v>
      </c>
      <c r="CY121" s="138">
        <v>43132.0</v>
      </c>
      <c r="CZ121" s="138">
        <v>43160.0</v>
      </c>
      <c r="DA121" s="138">
        <v>43191.0</v>
      </c>
      <c r="DB121" s="138">
        <v>43221.0</v>
      </c>
      <c r="DC121" s="138">
        <v>43252.0</v>
      </c>
      <c r="DD121" s="138">
        <v>43282.0</v>
      </c>
      <c r="DE121" s="138">
        <v>43313.0</v>
      </c>
      <c r="DF121" s="138">
        <v>43344.0</v>
      </c>
      <c r="DG121" s="138">
        <v>43374.0</v>
      </c>
      <c r="DH121" s="138">
        <v>43405.0</v>
      </c>
      <c r="DI121" s="138">
        <v>43435.0</v>
      </c>
      <c r="DJ121" s="138">
        <v>43466.0</v>
      </c>
      <c r="DK121" s="138">
        <v>43497.0</v>
      </c>
      <c r="DL121" s="138">
        <v>43525.0</v>
      </c>
      <c r="DM121" s="138">
        <v>43556.0</v>
      </c>
      <c r="DN121" s="138">
        <v>43586.0</v>
      </c>
      <c r="DO121" s="138">
        <v>43617.0</v>
      </c>
      <c r="DP121" s="138">
        <v>43647.0</v>
      </c>
      <c r="DQ121" s="138">
        <v>43678.0</v>
      </c>
      <c r="DR121" s="138">
        <v>43709.0</v>
      </c>
      <c r="DS121" s="138">
        <v>43739.0</v>
      </c>
      <c r="DT121" s="138">
        <v>43770.0</v>
      </c>
      <c r="DU121" s="138">
        <v>43800.0</v>
      </c>
      <c r="DV121" s="138">
        <v>43831.0</v>
      </c>
      <c r="DW121" s="138">
        <v>43862.0</v>
      </c>
      <c r="DX121" s="138">
        <v>43891.0</v>
      </c>
      <c r="DY121" s="138">
        <v>43922.0</v>
      </c>
      <c r="DZ121" s="138">
        <v>43952.0</v>
      </c>
      <c r="EA121" s="138">
        <v>43983.0</v>
      </c>
      <c r="EB121" s="138">
        <v>44013.0</v>
      </c>
      <c r="EC121" s="138">
        <v>44044.0</v>
      </c>
      <c r="ED121" s="138">
        <v>44075.0</v>
      </c>
      <c r="EE121" s="138">
        <v>44105.0</v>
      </c>
      <c r="EF121" s="138">
        <v>44136.0</v>
      </c>
      <c r="EG121" s="138">
        <v>44166.0</v>
      </c>
      <c r="EH121" s="138">
        <v>44197.0</v>
      </c>
      <c r="EI121" s="138">
        <v>44228.0</v>
      </c>
      <c r="EJ121" s="138">
        <v>44256.0</v>
      </c>
      <c r="EK121" s="138">
        <v>44287.0</v>
      </c>
      <c r="EL121" s="138">
        <v>44317.0</v>
      </c>
      <c r="EM121" s="138">
        <v>44348.0</v>
      </c>
      <c r="EN121" s="138">
        <v>44378.0</v>
      </c>
      <c r="EO121" s="138">
        <v>44409.0</v>
      </c>
      <c r="EP121" s="138">
        <v>44440.0</v>
      </c>
      <c r="EQ121" s="138">
        <v>44470.0</v>
      </c>
      <c r="ER121" s="138">
        <v>44501.0</v>
      </c>
      <c r="ES121" s="138">
        <v>44531.0</v>
      </c>
      <c r="ET121" s="138">
        <v>44562.0</v>
      </c>
      <c r="EU121" s="138">
        <v>44593.0</v>
      </c>
      <c r="EV121" s="138">
        <v>44621.0</v>
      </c>
      <c r="EW121" s="138">
        <v>44652.0</v>
      </c>
      <c r="EX121" s="138">
        <v>44682.0</v>
      </c>
      <c r="EY121" s="138">
        <v>44713.0</v>
      </c>
      <c r="EZ121" s="138">
        <v>44743.0</v>
      </c>
      <c r="FA121" s="138">
        <v>44774.0</v>
      </c>
      <c r="FB121" s="138">
        <v>44805.0</v>
      </c>
      <c r="FC121" s="138">
        <v>44835.0</v>
      </c>
      <c r="FD121" s="138">
        <v>44866.0</v>
      </c>
      <c r="FE121" s="138">
        <v>44896.0</v>
      </c>
      <c r="FF121" s="138">
        <v>44927.0</v>
      </c>
      <c r="FG121" s="138">
        <v>44958.0</v>
      </c>
      <c r="FH121" s="138">
        <v>44986.0</v>
      </c>
      <c r="FI121" s="138">
        <v>45017.0</v>
      </c>
      <c r="FJ121" s="138">
        <v>45047.0</v>
      </c>
      <c r="FK121" s="138">
        <v>45078.0</v>
      </c>
      <c r="FL121" s="138">
        <v>45108.0</v>
      </c>
      <c r="FM121" s="138">
        <v>45139.0</v>
      </c>
      <c r="FN121" s="138">
        <v>45170.0</v>
      </c>
      <c r="FO121" s="138">
        <v>45200.0</v>
      </c>
      <c r="FP121" s="138">
        <v>45231.0</v>
      </c>
      <c r="FQ121" s="138">
        <v>45261.0</v>
      </c>
      <c r="FR121" s="138">
        <v>45292.0</v>
      </c>
      <c r="FS121" s="138">
        <v>45323.0</v>
      </c>
      <c r="FT121" s="139">
        <v>45352.0</v>
      </c>
      <c r="FU121" s="139">
        <v>45383.0</v>
      </c>
      <c r="FV121" s="139">
        <v>45413.0</v>
      </c>
      <c r="FW121" s="139">
        <v>45444.0</v>
      </c>
      <c r="FX121" s="139">
        <v>45474.0</v>
      </c>
      <c r="FY121" s="139">
        <v>45505.0</v>
      </c>
      <c r="FZ121" s="139">
        <v>45536.0</v>
      </c>
      <c r="GA121" s="139">
        <v>45566.0</v>
      </c>
      <c r="GB121" s="139">
        <v>45597.0</v>
      </c>
      <c r="GC121" s="139">
        <v>45627.0</v>
      </c>
      <c r="GD121" s="139">
        <v>45658.0</v>
      </c>
      <c r="GE121" s="139">
        <v>45689.0</v>
      </c>
      <c r="GF121" s="139">
        <v>45717.0</v>
      </c>
      <c r="GG121" s="139">
        <v>45748.0</v>
      </c>
      <c r="GH121" s="139">
        <v>45778.0</v>
      </c>
      <c r="GI121" s="139">
        <v>45809.0</v>
      </c>
      <c r="GJ121" s="139">
        <v>45839.0</v>
      </c>
    </row>
    <row r="122">
      <c r="A122" s="133" t="s">
        <v>1755</v>
      </c>
      <c r="B122" s="134">
        <v>45363.9178125</v>
      </c>
      <c r="C122" s="135" t="str">
        <f t="shared" si="1"/>
        <v>2024/03/12</v>
      </c>
      <c r="D122" s="136" t="s">
        <v>34313</v>
      </c>
      <c r="E122" s="151">
        <v>0.0</v>
      </c>
      <c r="F122" s="138">
        <v>40179.0</v>
      </c>
      <c r="G122" s="138">
        <v>40210.0</v>
      </c>
      <c r="H122" s="138">
        <v>40238.0</v>
      </c>
      <c r="I122" s="138">
        <v>40269.0</v>
      </c>
      <c r="J122" s="138">
        <v>40299.0</v>
      </c>
      <c r="K122" s="138">
        <v>40330.0</v>
      </c>
      <c r="L122" s="138">
        <v>40360.0</v>
      </c>
      <c r="M122" s="138">
        <v>40391.0</v>
      </c>
      <c r="N122" s="138">
        <v>40422.0</v>
      </c>
      <c r="O122" s="138">
        <v>40452.0</v>
      </c>
      <c r="P122" s="138">
        <v>40483.0</v>
      </c>
      <c r="Q122" s="138">
        <v>40513.0</v>
      </c>
      <c r="R122" s="138">
        <v>40544.0</v>
      </c>
      <c r="S122" s="138">
        <v>40575.0</v>
      </c>
      <c r="T122" s="138">
        <v>40603.0</v>
      </c>
      <c r="U122" s="138">
        <v>40634.0</v>
      </c>
      <c r="V122" s="138">
        <v>40664.0</v>
      </c>
      <c r="W122" s="138">
        <v>40695.0</v>
      </c>
      <c r="X122" s="138">
        <v>40725.0</v>
      </c>
      <c r="Y122" s="138">
        <v>40756.0</v>
      </c>
      <c r="Z122" s="138">
        <v>40787.0</v>
      </c>
      <c r="AA122" s="138">
        <v>40817.0</v>
      </c>
      <c r="AB122" s="138">
        <v>40848.0</v>
      </c>
      <c r="AC122" s="138">
        <v>40878.0</v>
      </c>
      <c r="AD122" s="138">
        <v>40909.0</v>
      </c>
      <c r="AE122" s="138">
        <v>40940.0</v>
      </c>
      <c r="AF122" s="138">
        <v>40969.0</v>
      </c>
      <c r="AG122" s="138">
        <v>41000.0</v>
      </c>
      <c r="AH122" s="138">
        <v>41030.0</v>
      </c>
      <c r="AI122" s="138">
        <v>41061.0</v>
      </c>
      <c r="AJ122" s="138">
        <v>41091.0</v>
      </c>
      <c r="AK122" s="138">
        <v>41122.0</v>
      </c>
      <c r="AL122" s="138">
        <v>41153.0</v>
      </c>
      <c r="AM122" s="138">
        <v>41183.0</v>
      </c>
      <c r="AN122" s="138">
        <v>41214.0</v>
      </c>
      <c r="AO122" s="138">
        <v>41244.0</v>
      </c>
      <c r="AP122" s="138">
        <v>41275.0</v>
      </c>
      <c r="AQ122" s="138">
        <v>41306.0</v>
      </c>
      <c r="AR122" s="138">
        <v>41334.0</v>
      </c>
      <c r="AS122" s="138">
        <v>41365.0</v>
      </c>
      <c r="AT122" s="138">
        <v>41395.0</v>
      </c>
      <c r="AU122" s="138">
        <v>41426.0</v>
      </c>
      <c r="AV122" s="138">
        <v>41456.0</v>
      </c>
      <c r="AW122" s="138">
        <v>41487.0</v>
      </c>
      <c r="AX122" s="138">
        <v>41518.0</v>
      </c>
      <c r="AY122" s="138">
        <v>41548.0</v>
      </c>
      <c r="AZ122" s="138">
        <v>41579.0</v>
      </c>
      <c r="BA122" s="138">
        <v>41609.0</v>
      </c>
      <c r="BB122" s="138">
        <v>41640.0</v>
      </c>
      <c r="BC122" s="138">
        <v>41671.0</v>
      </c>
      <c r="BD122" s="138">
        <v>41699.0</v>
      </c>
      <c r="BE122" s="138">
        <v>41730.0</v>
      </c>
      <c r="BF122" s="138">
        <v>41760.0</v>
      </c>
      <c r="BG122" s="138">
        <v>41791.0</v>
      </c>
      <c r="BH122" s="138">
        <v>41821.0</v>
      </c>
      <c r="BI122" s="138">
        <v>41852.0</v>
      </c>
      <c r="BJ122" s="138">
        <v>41883.0</v>
      </c>
      <c r="BK122" s="138">
        <v>41913.0</v>
      </c>
      <c r="BL122" s="138">
        <v>41944.0</v>
      </c>
      <c r="BM122" s="138">
        <v>41974.0</v>
      </c>
      <c r="BN122" s="138">
        <v>42005.0</v>
      </c>
      <c r="BO122" s="138">
        <v>42036.0</v>
      </c>
      <c r="BP122" s="138">
        <v>42064.0</v>
      </c>
      <c r="BQ122" s="138">
        <v>42095.0</v>
      </c>
      <c r="BR122" s="138">
        <v>42125.0</v>
      </c>
      <c r="BS122" s="138">
        <v>42156.0</v>
      </c>
      <c r="BT122" s="138">
        <v>42186.0</v>
      </c>
      <c r="BU122" s="138">
        <v>42217.0</v>
      </c>
      <c r="BV122" s="138">
        <v>42248.0</v>
      </c>
      <c r="BW122" s="138">
        <v>42278.0</v>
      </c>
      <c r="BX122" s="138">
        <v>42309.0</v>
      </c>
      <c r="BY122" s="138">
        <v>42339.0</v>
      </c>
      <c r="BZ122" s="138">
        <v>42370.0</v>
      </c>
      <c r="CA122" s="138">
        <v>42401.0</v>
      </c>
      <c r="CB122" s="138">
        <v>42430.0</v>
      </c>
      <c r="CC122" s="138">
        <v>42461.0</v>
      </c>
      <c r="CD122" s="138">
        <v>42491.0</v>
      </c>
      <c r="CE122" s="138">
        <v>42522.0</v>
      </c>
      <c r="CF122" s="138">
        <v>42552.0</v>
      </c>
      <c r="CG122" s="138">
        <v>42583.0</v>
      </c>
      <c r="CH122" s="138">
        <v>42614.0</v>
      </c>
      <c r="CI122" s="138">
        <v>42644.0</v>
      </c>
      <c r="CJ122" s="138">
        <v>42675.0</v>
      </c>
      <c r="CK122" s="138">
        <v>42705.0</v>
      </c>
      <c r="CL122" s="138">
        <v>42736.0</v>
      </c>
      <c r="CM122" s="138">
        <v>42767.0</v>
      </c>
      <c r="CN122" s="138">
        <v>42795.0</v>
      </c>
      <c r="CO122" s="138">
        <v>42826.0</v>
      </c>
      <c r="CP122" s="138">
        <v>42856.0</v>
      </c>
      <c r="CQ122" s="138">
        <v>42887.0</v>
      </c>
      <c r="CR122" s="138">
        <v>42917.0</v>
      </c>
      <c r="CS122" s="138">
        <v>42948.0</v>
      </c>
      <c r="CT122" s="138">
        <v>42979.0</v>
      </c>
      <c r="CU122" s="138">
        <v>43009.0</v>
      </c>
      <c r="CV122" s="138">
        <v>43040.0</v>
      </c>
      <c r="CW122" s="138">
        <v>43070.0</v>
      </c>
      <c r="CX122" s="138">
        <v>43101.0</v>
      </c>
      <c r="CY122" s="138">
        <v>43132.0</v>
      </c>
      <c r="CZ122" s="138">
        <v>43160.0</v>
      </c>
      <c r="DA122" s="138">
        <v>43191.0</v>
      </c>
      <c r="DB122" s="138">
        <v>43221.0</v>
      </c>
      <c r="DC122" s="138">
        <v>43252.0</v>
      </c>
      <c r="DD122" s="138">
        <v>43282.0</v>
      </c>
      <c r="DE122" s="138">
        <v>43313.0</v>
      </c>
      <c r="DF122" s="138">
        <v>43344.0</v>
      </c>
      <c r="DG122" s="138">
        <v>43374.0</v>
      </c>
      <c r="DH122" s="138">
        <v>43405.0</v>
      </c>
      <c r="DI122" s="138">
        <v>43435.0</v>
      </c>
      <c r="DJ122" s="138">
        <v>43466.0</v>
      </c>
      <c r="DK122" s="138">
        <v>43497.0</v>
      </c>
      <c r="DL122" s="138">
        <v>43525.0</v>
      </c>
      <c r="DM122" s="138">
        <v>43556.0</v>
      </c>
      <c r="DN122" s="138">
        <v>43586.0</v>
      </c>
      <c r="DO122" s="138">
        <v>43617.0</v>
      </c>
      <c r="DP122" s="138">
        <v>43647.0</v>
      </c>
      <c r="DQ122" s="138">
        <v>43678.0</v>
      </c>
      <c r="DR122" s="138">
        <v>43709.0</v>
      </c>
      <c r="DS122" s="138">
        <v>43739.0</v>
      </c>
      <c r="DT122" s="138">
        <v>43770.0</v>
      </c>
      <c r="DU122" s="138">
        <v>43800.0</v>
      </c>
      <c r="DV122" s="138">
        <v>43831.0</v>
      </c>
      <c r="DW122" s="138">
        <v>43862.0</v>
      </c>
      <c r="DX122" s="138">
        <v>43891.0</v>
      </c>
      <c r="DY122" s="138">
        <v>43922.0</v>
      </c>
      <c r="DZ122" s="138">
        <v>43952.0</v>
      </c>
      <c r="EA122" s="138">
        <v>43983.0</v>
      </c>
      <c r="EB122" s="138">
        <v>44013.0</v>
      </c>
      <c r="EC122" s="138">
        <v>44044.0</v>
      </c>
      <c r="ED122" s="138">
        <v>44075.0</v>
      </c>
      <c r="EE122" s="138">
        <v>44105.0</v>
      </c>
      <c r="EF122" s="138">
        <v>44136.0</v>
      </c>
      <c r="EG122" s="138">
        <v>44166.0</v>
      </c>
      <c r="EH122" s="138">
        <v>44197.0</v>
      </c>
      <c r="EI122" s="138">
        <v>44228.0</v>
      </c>
      <c r="EJ122" s="138">
        <v>44256.0</v>
      </c>
      <c r="EK122" s="138">
        <v>44287.0</v>
      </c>
      <c r="EL122" s="138">
        <v>44317.0</v>
      </c>
      <c r="EM122" s="138">
        <v>44348.0</v>
      </c>
      <c r="EN122" s="138">
        <v>44378.0</v>
      </c>
      <c r="EO122" s="138">
        <v>44409.0</v>
      </c>
      <c r="EP122" s="138">
        <v>44440.0</v>
      </c>
      <c r="EQ122" s="138">
        <v>44470.0</v>
      </c>
      <c r="ER122" s="138">
        <v>44501.0</v>
      </c>
      <c r="ES122" s="138">
        <v>44531.0</v>
      </c>
      <c r="ET122" s="138">
        <v>44562.0</v>
      </c>
      <c r="EU122" s="138">
        <v>44593.0</v>
      </c>
      <c r="EV122" s="138">
        <v>44621.0</v>
      </c>
      <c r="EW122" s="138">
        <v>44652.0</v>
      </c>
      <c r="EX122" s="138">
        <v>44682.0</v>
      </c>
      <c r="EY122" s="138">
        <v>44713.0</v>
      </c>
      <c r="EZ122" s="138">
        <v>44743.0</v>
      </c>
      <c r="FA122" s="138">
        <v>44774.0</v>
      </c>
      <c r="FB122" s="138">
        <v>44805.0</v>
      </c>
      <c r="FC122" s="138">
        <v>44835.0</v>
      </c>
      <c r="FD122" s="138">
        <v>44866.0</v>
      </c>
      <c r="FE122" s="138">
        <v>44896.0</v>
      </c>
      <c r="FF122" s="138">
        <v>44927.0</v>
      </c>
      <c r="FG122" s="138">
        <v>44958.0</v>
      </c>
      <c r="FH122" s="138">
        <v>44986.0</v>
      </c>
      <c r="FI122" s="138">
        <v>45017.0</v>
      </c>
      <c r="FJ122" s="138">
        <v>45047.0</v>
      </c>
      <c r="FK122" s="138">
        <v>45078.0</v>
      </c>
      <c r="FL122" s="138">
        <v>45108.0</v>
      </c>
      <c r="FM122" s="138">
        <v>45139.0</v>
      </c>
      <c r="FN122" s="138">
        <v>45170.0</v>
      </c>
      <c r="FO122" s="138">
        <v>45200.0</v>
      </c>
      <c r="FP122" s="138">
        <v>45231.0</v>
      </c>
      <c r="FQ122" s="138">
        <v>45261.0</v>
      </c>
      <c r="FR122" s="138">
        <v>45292.0</v>
      </c>
      <c r="FS122" s="138">
        <v>45323.0</v>
      </c>
      <c r="FT122" s="138">
        <v>45352.0</v>
      </c>
      <c r="FU122" s="139">
        <v>45383.0</v>
      </c>
      <c r="FV122" s="139">
        <v>45413.0</v>
      </c>
      <c r="FW122" s="139">
        <v>45444.0</v>
      </c>
      <c r="FX122" s="139">
        <v>45474.0</v>
      </c>
      <c r="FY122" s="139">
        <v>45505.0</v>
      </c>
      <c r="FZ122" s="139">
        <v>45536.0</v>
      </c>
      <c r="GA122" s="139">
        <v>45566.0</v>
      </c>
      <c r="GB122" s="139">
        <v>45597.0</v>
      </c>
      <c r="GC122" s="139">
        <v>45627.0</v>
      </c>
      <c r="GD122" s="139">
        <v>45658.0</v>
      </c>
      <c r="GE122" s="139">
        <v>45689.0</v>
      </c>
      <c r="GF122" s="139">
        <v>45717.0</v>
      </c>
      <c r="GG122" s="139">
        <v>45748.0</v>
      </c>
      <c r="GH122" s="139">
        <v>45778.0</v>
      </c>
      <c r="GI122" s="139">
        <v>45809.0</v>
      </c>
      <c r="GJ122" s="139">
        <v>45839.0</v>
      </c>
    </row>
    <row r="123">
      <c r="A123" s="133" t="s">
        <v>1740</v>
      </c>
      <c r="B123" s="134">
        <v>45391.610763888886</v>
      </c>
      <c r="C123" s="135" t="str">
        <f t="shared" si="1"/>
        <v>2024/04/09</v>
      </c>
      <c r="D123" s="136" t="s">
        <v>34314</v>
      </c>
      <c r="E123" s="151">
        <v>0.0</v>
      </c>
      <c r="F123" s="138">
        <v>40179.0</v>
      </c>
      <c r="G123" s="138">
        <v>40210.0</v>
      </c>
      <c r="H123" s="138">
        <v>40238.0</v>
      </c>
      <c r="I123" s="138">
        <v>40269.0</v>
      </c>
      <c r="J123" s="138">
        <v>40299.0</v>
      </c>
      <c r="K123" s="138">
        <v>40330.0</v>
      </c>
      <c r="L123" s="138">
        <v>40360.0</v>
      </c>
      <c r="M123" s="138">
        <v>40391.0</v>
      </c>
      <c r="N123" s="138">
        <v>40422.0</v>
      </c>
      <c r="O123" s="138">
        <v>40452.0</v>
      </c>
      <c r="P123" s="138">
        <v>40483.0</v>
      </c>
      <c r="Q123" s="138">
        <v>40513.0</v>
      </c>
      <c r="R123" s="138">
        <v>40544.0</v>
      </c>
      <c r="S123" s="138">
        <v>40575.0</v>
      </c>
      <c r="T123" s="138">
        <v>40603.0</v>
      </c>
      <c r="U123" s="138">
        <v>40634.0</v>
      </c>
      <c r="V123" s="138">
        <v>40664.0</v>
      </c>
      <c r="W123" s="138">
        <v>40695.0</v>
      </c>
      <c r="X123" s="138">
        <v>40725.0</v>
      </c>
      <c r="Y123" s="138">
        <v>40756.0</v>
      </c>
      <c r="Z123" s="138">
        <v>40787.0</v>
      </c>
      <c r="AA123" s="138">
        <v>40817.0</v>
      </c>
      <c r="AB123" s="138">
        <v>40848.0</v>
      </c>
      <c r="AC123" s="138">
        <v>40878.0</v>
      </c>
      <c r="AD123" s="138">
        <v>40909.0</v>
      </c>
      <c r="AE123" s="138">
        <v>40940.0</v>
      </c>
      <c r="AF123" s="138">
        <v>40969.0</v>
      </c>
      <c r="AG123" s="138">
        <v>41000.0</v>
      </c>
      <c r="AH123" s="138">
        <v>41030.0</v>
      </c>
      <c r="AI123" s="138">
        <v>41061.0</v>
      </c>
      <c r="AJ123" s="138">
        <v>41091.0</v>
      </c>
      <c r="AK123" s="138">
        <v>41122.0</v>
      </c>
      <c r="AL123" s="138">
        <v>41153.0</v>
      </c>
      <c r="AM123" s="138">
        <v>41183.0</v>
      </c>
      <c r="AN123" s="138">
        <v>41214.0</v>
      </c>
      <c r="AO123" s="138">
        <v>41244.0</v>
      </c>
      <c r="AP123" s="138">
        <v>41275.0</v>
      </c>
      <c r="AQ123" s="138">
        <v>41306.0</v>
      </c>
      <c r="AR123" s="138">
        <v>41334.0</v>
      </c>
      <c r="AS123" s="138">
        <v>41365.0</v>
      </c>
      <c r="AT123" s="138">
        <v>41395.0</v>
      </c>
      <c r="AU123" s="138">
        <v>41426.0</v>
      </c>
      <c r="AV123" s="138">
        <v>41456.0</v>
      </c>
      <c r="AW123" s="138">
        <v>41487.0</v>
      </c>
      <c r="AX123" s="138">
        <v>41518.0</v>
      </c>
      <c r="AY123" s="138">
        <v>41548.0</v>
      </c>
      <c r="AZ123" s="138">
        <v>41579.0</v>
      </c>
      <c r="BA123" s="138">
        <v>41609.0</v>
      </c>
      <c r="BB123" s="138">
        <v>41640.0</v>
      </c>
      <c r="BC123" s="138">
        <v>41671.0</v>
      </c>
      <c r="BD123" s="138">
        <v>41699.0</v>
      </c>
      <c r="BE123" s="138">
        <v>41730.0</v>
      </c>
      <c r="BF123" s="138">
        <v>41760.0</v>
      </c>
      <c r="BG123" s="138">
        <v>41791.0</v>
      </c>
      <c r="BH123" s="138">
        <v>41821.0</v>
      </c>
      <c r="BI123" s="138">
        <v>41852.0</v>
      </c>
      <c r="BJ123" s="138">
        <v>41883.0</v>
      </c>
      <c r="BK123" s="138">
        <v>41913.0</v>
      </c>
      <c r="BL123" s="138">
        <v>41944.0</v>
      </c>
      <c r="BM123" s="138">
        <v>41974.0</v>
      </c>
      <c r="BN123" s="138">
        <v>42005.0</v>
      </c>
      <c r="BO123" s="138">
        <v>42036.0</v>
      </c>
      <c r="BP123" s="138">
        <v>42064.0</v>
      </c>
      <c r="BQ123" s="138">
        <v>42095.0</v>
      </c>
      <c r="BR123" s="138">
        <v>42125.0</v>
      </c>
      <c r="BS123" s="138">
        <v>42156.0</v>
      </c>
      <c r="BT123" s="138">
        <v>42186.0</v>
      </c>
      <c r="BU123" s="138">
        <v>42217.0</v>
      </c>
      <c r="BV123" s="138">
        <v>42248.0</v>
      </c>
      <c r="BW123" s="138">
        <v>42278.0</v>
      </c>
      <c r="BX123" s="138">
        <v>42309.0</v>
      </c>
      <c r="BY123" s="138">
        <v>42339.0</v>
      </c>
      <c r="BZ123" s="138">
        <v>42370.0</v>
      </c>
      <c r="CA123" s="138">
        <v>42401.0</v>
      </c>
      <c r="CB123" s="138">
        <v>42430.0</v>
      </c>
      <c r="CC123" s="138">
        <v>42461.0</v>
      </c>
      <c r="CD123" s="138">
        <v>42491.0</v>
      </c>
      <c r="CE123" s="138">
        <v>42522.0</v>
      </c>
      <c r="CF123" s="138">
        <v>42552.0</v>
      </c>
      <c r="CG123" s="138">
        <v>42583.0</v>
      </c>
      <c r="CH123" s="138">
        <v>42614.0</v>
      </c>
      <c r="CI123" s="138">
        <v>42644.0</v>
      </c>
      <c r="CJ123" s="138">
        <v>42675.0</v>
      </c>
      <c r="CK123" s="138">
        <v>42705.0</v>
      </c>
      <c r="CL123" s="138">
        <v>42736.0</v>
      </c>
      <c r="CM123" s="138">
        <v>42767.0</v>
      </c>
      <c r="CN123" s="138">
        <v>42795.0</v>
      </c>
      <c r="CO123" s="138">
        <v>42826.0</v>
      </c>
      <c r="CP123" s="138">
        <v>42856.0</v>
      </c>
      <c r="CQ123" s="138">
        <v>42887.0</v>
      </c>
      <c r="CR123" s="138">
        <v>42917.0</v>
      </c>
      <c r="CS123" s="138">
        <v>42948.0</v>
      </c>
      <c r="CT123" s="138">
        <v>42979.0</v>
      </c>
      <c r="CU123" s="138">
        <v>43009.0</v>
      </c>
      <c r="CV123" s="138">
        <v>43040.0</v>
      </c>
      <c r="CW123" s="138">
        <v>43070.0</v>
      </c>
      <c r="CX123" s="138">
        <v>43101.0</v>
      </c>
      <c r="CY123" s="138">
        <v>43132.0</v>
      </c>
      <c r="CZ123" s="138">
        <v>43160.0</v>
      </c>
      <c r="DA123" s="138">
        <v>43191.0</v>
      </c>
      <c r="DB123" s="138">
        <v>43221.0</v>
      </c>
      <c r="DC123" s="138">
        <v>43252.0</v>
      </c>
      <c r="DD123" s="138">
        <v>43282.0</v>
      </c>
      <c r="DE123" s="138">
        <v>43313.0</v>
      </c>
      <c r="DF123" s="138">
        <v>43344.0</v>
      </c>
      <c r="DG123" s="138">
        <v>43374.0</v>
      </c>
      <c r="DH123" s="138">
        <v>43405.0</v>
      </c>
      <c r="DI123" s="138">
        <v>43435.0</v>
      </c>
      <c r="DJ123" s="138">
        <v>43466.0</v>
      </c>
      <c r="DK123" s="138">
        <v>43497.0</v>
      </c>
      <c r="DL123" s="138">
        <v>43525.0</v>
      </c>
      <c r="DM123" s="138">
        <v>43556.0</v>
      </c>
      <c r="DN123" s="138">
        <v>43586.0</v>
      </c>
      <c r="DO123" s="138">
        <v>43617.0</v>
      </c>
      <c r="DP123" s="138">
        <v>43647.0</v>
      </c>
      <c r="DQ123" s="138">
        <v>43678.0</v>
      </c>
      <c r="DR123" s="138">
        <v>43709.0</v>
      </c>
      <c r="DS123" s="138">
        <v>43739.0</v>
      </c>
      <c r="DT123" s="138">
        <v>43770.0</v>
      </c>
      <c r="DU123" s="138">
        <v>43800.0</v>
      </c>
      <c r="DV123" s="138">
        <v>43831.0</v>
      </c>
      <c r="DW123" s="138">
        <v>43862.0</v>
      </c>
      <c r="DX123" s="138">
        <v>43891.0</v>
      </c>
      <c r="DY123" s="138">
        <v>43922.0</v>
      </c>
      <c r="DZ123" s="138">
        <v>43952.0</v>
      </c>
      <c r="EA123" s="138">
        <v>43983.0</v>
      </c>
      <c r="EB123" s="138">
        <v>44013.0</v>
      </c>
      <c r="EC123" s="138">
        <v>44044.0</v>
      </c>
      <c r="ED123" s="138">
        <v>44075.0</v>
      </c>
      <c r="EE123" s="138">
        <v>44105.0</v>
      </c>
      <c r="EF123" s="138">
        <v>44136.0</v>
      </c>
      <c r="EG123" s="138">
        <v>44166.0</v>
      </c>
      <c r="EH123" s="138">
        <v>44197.0</v>
      </c>
      <c r="EI123" s="138">
        <v>44228.0</v>
      </c>
      <c r="EJ123" s="138">
        <v>44256.0</v>
      </c>
      <c r="EK123" s="138">
        <v>44287.0</v>
      </c>
      <c r="EL123" s="138">
        <v>44317.0</v>
      </c>
      <c r="EM123" s="138">
        <v>44348.0</v>
      </c>
      <c r="EN123" s="138">
        <v>44378.0</v>
      </c>
      <c r="EO123" s="138">
        <v>44409.0</v>
      </c>
      <c r="EP123" s="138">
        <v>44440.0</v>
      </c>
      <c r="EQ123" s="138">
        <v>44470.0</v>
      </c>
      <c r="ER123" s="138">
        <v>44501.0</v>
      </c>
      <c r="ES123" s="138">
        <v>44531.0</v>
      </c>
      <c r="ET123" s="138">
        <v>44562.0</v>
      </c>
      <c r="EU123" s="138">
        <v>44593.0</v>
      </c>
      <c r="EV123" s="138">
        <v>44621.0</v>
      </c>
      <c r="EW123" s="138">
        <v>44652.0</v>
      </c>
      <c r="EX123" s="138">
        <v>44682.0</v>
      </c>
      <c r="EY123" s="138">
        <v>44713.0</v>
      </c>
      <c r="EZ123" s="138">
        <v>44743.0</v>
      </c>
      <c r="FA123" s="138">
        <v>44774.0</v>
      </c>
      <c r="FB123" s="138">
        <v>44805.0</v>
      </c>
      <c r="FC123" s="138">
        <v>44835.0</v>
      </c>
      <c r="FD123" s="138">
        <v>44866.0</v>
      </c>
      <c r="FE123" s="138">
        <v>44896.0</v>
      </c>
      <c r="FF123" s="138">
        <v>44927.0</v>
      </c>
      <c r="FG123" s="138">
        <v>44958.0</v>
      </c>
      <c r="FH123" s="138">
        <v>44986.0</v>
      </c>
      <c r="FI123" s="138">
        <v>45017.0</v>
      </c>
      <c r="FJ123" s="138">
        <v>45047.0</v>
      </c>
      <c r="FK123" s="138">
        <v>45078.0</v>
      </c>
      <c r="FL123" s="138">
        <v>45108.0</v>
      </c>
      <c r="FM123" s="138">
        <v>45139.0</v>
      </c>
      <c r="FN123" s="138">
        <v>45170.0</v>
      </c>
      <c r="FO123" s="138">
        <v>45200.0</v>
      </c>
      <c r="FP123" s="138">
        <v>45231.0</v>
      </c>
      <c r="FQ123" s="138">
        <v>45261.0</v>
      </c>
      <c r="FR123" s="138">
        <v>45292.0</v>
      </c>
      <c r="FS123" s="138">
        <v>45323.0</v>
      </c>
      <c r="FT123" s="138">
        <v>45352.0</v>
      </c>
      <c r="FU123" s="138">
        <v>45383.0</v>
      </c>
      <c r="FV123" s="139">
        <v>45413.0</v>
      </c>
      <c r="FW123" s="139">
        <v>45444.0</v>
      </c>
      <c r="FX123" s="139">
        <v>45474.0</v>
      </c>
      <c r="FY123" s="139">
        <v>45505.0</v>
      </c>
      <c r="FZ123" s="139">
        <v>45536.0</v>
      </c>
      <c r="GA123" s="139">
        <v>45566.0</v>
      </c>
      <c r="GB123" s="139">
        <v>45597.0</v>
      </c>
      <c r="GC123" s="139">
        <v>45627.0</v>
      </c>
      <c r="GD123" s="139">
        <v>45658.0</v>
      </c>
      <c r="GE123" s="139">
        <v>45689.0</v>
      </c>
      <c r="GF123" s="139">
        <v>45717.0</v>
      </c>
      <c r="GG123" s="139">
        <v>45748.0</v>
      </c>
      <c r="GH123" s="139">
        <v>45778.0</v>
      </c>
      <c r="GI123" s="139">
        <v>45809.0</v>
      </c>
      <c r="GJ123" s="139">
        <v>45839.0</v>
      </c>
    </row>
    <row r="124">
      <c r="A124" s="133" t="s">
        <v>1732</v>
      </c>
      <c r="B124" s="134">
        <v>45393.61699074074</v>
      </c>
      <c r="C124" s="135" t="str">
        <f t="shared" si="1"/>
        <v>2024/04/11</v>
      </c>
      <c r="D124" s="136" t="s">
        <v>34315</v>
      </c>
      <c r="E124" s="151">
        <v>0.0</v>
      </c>
      <c r="F124" s="138">
        <v>40179.0</v>
      </c>
      <c r="G124" s="138">
        <v>40210.0</v>
      </c>
      <c r="H124" s="138">
        <v>40238.0</v>
      </c>
      <c r="I124" s="138">
        <v>40269.0</v>
      </c>
      <c r="J124" s="138">
        <v>40299.0</v>
      </c>
      <c r="K124" s="138">
        <v>40330.0</v>
      </c>
      <c r="L124" s="138">
        <v>40360.0</v>
      </c>
      <c r="M124" s="138">
        <v>40391.0</v>
      </c>
      <c r="N124" s="138">
        <v>40422.0</v>
      </c>
      <c r="O124" s="138">
        <v>40452.0</v>
      </c>
      <c r="P124" s="138">
        <v>40483.0</v>
      </c>
      <c r="Q124" s="138">
        <v>40513.0</v>
      </c>
      <c r="R124" s="138">
        <v>40544.0</v>
      </c>
      <c r="S124" s="138">
        <v>40575.0</v>
      </c>
      <c r="T124" s="138">
        <v>40603.0</v>
      </c>
      <c r="U124" s="138">
        <v>40634.0</v>
      </c>
      <c r="V124" s="138">
        <v>40664.0</v>
      </c>
      <c r="W124" s="138">
        <v>40695.0</v>
      </c>
      <c r="X124" s="138">
        <v>40725.0</v>
      </c>
      <c r="Y124" s="138">
        <v>40756.0</v>
      </c>
      <c r="Z124" s="138">
        <v>40787.0</v>
      </c>
      <c r="AA124" s="138">
        <v>40817.0</v>
      </c>
      <c r="AB124" s="138">
        <v>40848.0</v>
      </c>
      <c r="AC124" s="138">
        <v>40878.0</v>
      </c>
      <c r="AD124" s="138">
        <v>40909.0</v>
      </c>
      <c r="AE124" s="138">
        <v>40940.0</v>
      </c>
      <c r="AF124" s="138">
        <v>40969.0</v>
      </c>
      <c r="AG124" s="138">
        <v>41000.0</v>
      </c>
      <c r="AH124" s="138">
        <v>41030.0</v>
      </c>
      <c r="AI124" s="138">
        <v>41061.0</v>
      </c>
      <c r="AJ124" s="138">
        <v>41091.0</v>
      </c>
      <c r="AK124" s="138">
        <v>41122.0</v>
      </c>
      <c r="AL124" s="138">
        <v>41153.0</v>
      </c>
      <c r="AM124" s="138">
        <v>41183.0</v>
      </c>
      <c r="AN124" s="138">
        <v>41214.0</v>
      </c>
      <c r="AO124" s="138">
        <v>41244.0</v>
      </c>
      <c r="AP124" s="138">
        <v>41275.0</v>
      </c>
      <c r="AQ124" s="138">
        <v>41306.0</v>
      </c>
      <c r="AR124" s="138">
        <v>41334.0</v>
      </c>
      <c r="AS124" s="138">
        <v>41365.0</v>
      </c>
      <c r="AT124" s="138">
        <v>41395.0</v>
      </c>
      <c r="AU124" s="138">
        <v>41426.0</v>
      </c>
      <c r="AV124" s="138">
        <v>41456.0</v>
      </c>
      <c r="AW124" s="138">
        <v>41487.0</v>
      </c>
      <c r="AX124" s="138">
        <v>41518.0</v>
      </c>
      <c r="AY124" s="138">
        <v>41548.0</v>
      </c>
      <c r="AZ124" s="138">
        <v>41579.0</v>
      </c>
      <c r="BA124" s="138">
        <v>41609.0</v>
      </c>
      <c r="BB124" s="138">
        <v>41640.0</v>
      </c>
      <c r="BC124" s="138">
        <v>41671.0</v>
      </c>
      <c r="BD124" s="138">
        <v>41699.0</v>
      </c>
      <c r="BE124" s="138">
        <v>41730.0</v>
      </c>
      <c r="BF124" s="138">
        <v>41760.0</v>
      </c>
      <c r="BG124" s="138">
        <v>41791.0</v>
      </c>
      <c r="BH124" s="138">
        <v>41821.0</v>
      </c>
      <c r="BI124" s="138">
        <v>41852.0</v>
      </c>
      <c r="BJ124" s="138">
        <v>41883.0</v>
      </c>
      <c r="BK124" s="138">
        <v>41913.0</v>
      </c>
      <c r="BL124" s="138">
        <v>41944.0</v>
      </c>
      <c r="BM124" s="138">
        <v>41974.0</v>
      </c>
      <c r="BN124" s="138">
        <v>42005.0</v>
      </c>
      <c r="BO124" s="138">
        <v>42036.0</v>
      </c>
      <c r="BP124" s="138">
        <v>42064.0</v>
      </c>
      <c r="BQ124" s="138">
        <v>42095.0</v>
      </c>
      <c r="BR124" s="138">
        <v>42125.0</v>
      </c>
      <c r="BS124" s="138">
        <v>42156.0</v>
      </c>
      <c r="BT124" s="138">
        <v>42186.0</v>
      </c>
      <c r="BU124" s="138">
        <v>42217.0</v>
      </c>
      <c r="BV124" s="138">
        <v>42248.0</v>
      </c>
      <c r="BW124" s="138">
        <v>42278.0</v>
      </c>
      <c r="BX124" s="138">
        <v>42309.0</v>
      </c>
      <c r="BY124" s="138">
        <v>42339.0</v>
      </c>
      <c r="BZ124" s="138">
        <v>42370.0</v>
      </c>
      <c r="CA124" s="138">
        <v>42401.0</v>
      </c>
      <c r="CB124" s="138">
        <v>42430.0</v>
      </c>
      <c r="CC124" s="138">
        <v>42461.0</v>
      </c>
      <c r="CD124" s="138">
        <v>42491.0</v>
      </c>
      <c r="CE124" s="138">
        <v>42522.0</v>
      </c>
      <c r="CF124" s="138">
        <v>42552.0</v>
      </c>
      <c r="CG124" s="138">
        <v>42583.0</v>
      </c>
      <c r="CH124" s="138">
        <v>42614.0</v>
      </c>
      <c r="CI124" s="138">
        <v>42644.0</v>
      </c>
      <c r="CJ124" s="138">
        <v>42675.0</v>
      </c>
      <c r="CK124" s="138">
        <v>42705.0</v>
      </c>
      <c r="CL124" s="138">
        <v>42736.0</v>
      </c>
      <c r="CM124" s="138">
        <v>42767.0</v>
      </c>
      <c r="CN124" s="138">
        <v>42795.0</v>
      </c>
      <c r="CO124" s="138">
        <v>42826.0</v>
      </c>
      <c r="CP124" s="138">
        <v>42856.0</v>
      </c>
      <c r="CQ124" s="138">
        <v>42887.0</v>
      </c>
      <c r="CR124" s="138">
        <v>42917.0</v>
      </c>
      <c r="CS124" s="138">
        <v>42948.0</v>
      </c>
      <c r="CT124" s="138">
        <v>42979.0</v>
      </c>
      <c r="CU124" s="138">
        <v>43009.0</v>
      </c>
      <c r="CV124" s="138">
        <v>43040.0</v>
      </c>
      <c r="CW124" s="138">
        <v>43070.0</v>
      </c>
      <c r="CX124" s="138">
        <v>43101.0</v>
      </c>
      <c r="CY124" s="138">
        <v>43132.0</v>
      </c>
      <c r="CZ124" s="138">
        <v>43160.0</v>
      </c>
      <c r="DA124" s="138">
        <v>43191.0</v>
      </c>
      <c r="DB124" s="138">
        <v>43221.0</v>
      </c>
      <c r="DC124" s="138">
        <v>43252.0</v>
      </c>
      <c r="DD124" s="138">
        <v>43282.0</v>
      </c>
      <c r="DE124" s="138">
        <v>43313.0</v>
      </c>
      <c r="DF124" s="138">
        <v>43344.0</v>
      </c>
      <c r="DG124" s="138">
        <v>43374.0</v>
      </c>
      <c r="DH124" s="138">
        <v>43405.0</v>
      </c>
      <c r="DI124" s="138">
        <v>43435.0</v>
      </c>
      <c r="DJ124" s="138">
        <v>43466.0</v>
      </c>
      <c r="DK124" s="138">
        <v>43497.0</v>
      </c>
      <c r="DL124" s="138">
        <v>43525.0</v>
      </c>
      <c r="DM124" s="138">
        <v>43556.0</v>
      </c>
      <c r="DN124" s="138">
        <v>43586.0</v>
      </c>
      <c r="DO124" s="138">
        <v>43617.0</v>
      </c>
      <c r="DP124" s="138">
        <v>43647.0</v>
      </c>
      <c r="DQ124" s="138">
        <v>43678.0</v>
      </c>
      <c r="DR124" s="138">
        <v>43709.0</v>
      </c>
      <c r="DS124" s="138">
        <v>43739.0</v>
      </c>
      <c r="DT124" s="138">
        <v>43770.0</v>
      </c>
      <c r="DU124" s="138">
        <v>43800.0</v>
      </c>
      <c r="DV124" s="138">
        <v>43831.0</v>
      </c>
      <c r="DW124" s="138">
        <v>43862.0</v>
      </c>
      <c r="DX124" s="138">
        <v>43891.0</v>
      </c>
      <c r="DY124" s="138">
        <v>43922.0</v>
      </c>
      <c r="DZ124" s="138">
        <v>43952.0</v>
      </c>
      <c r="EA124" s="138">
        <v>43983.0</v>
      </c>
      <c r="EB124" s="138">
        <v>44013.0</v>
      </c>
      <c r="EC124" s="138">
        <v>44044.0</v>
      </c>
      <c r="ED124" s="138">
        <v>44075.0</v>
      </c>
      <c r="EE124" s="138">
        <v>44105.0</v>
      </c>
      <c r="EF124" s="138">
        <v>44136.0</v>
      </c>
      <c r="EG124" s="138">
        <v>44166.0</v>
      </c>
      <c r="EH124" s="138">
        <v>44197.0</v>
      </c>
      <c r="EI124" s="138">
        <v>44228.0</v>
      </c>
      <c r="EJ124" s="138">
        <v>44256.0</v>
      </c>
      <c r="EK124" s="138">
        <v>44287.0</v>
      </c>
      <c r="EL124" s="138">
        <v>44317.0</v>
      </c>
      <c r="EM124" s="138">
        <v>44348.0</v>
      </c>
      <c r="EN124" s="138">
        <v>44378.0</v>
      </c>
      <c r="EO124" s="138">
        <v>44409.0</v>
      </c>
      <c r="EP124" s="138">
        <v>44440.0</v>
      </c>
      <c r="EQ124" s="138">
        <v>44470.0</v>
      </c>
      <c r="ER124" s="138">
        <v>44501.0</v>
      </c>
      <c r="ES124" s="138">
        <v>44531.0</v>
      </c>
      <c r="ET124" s="138">
        <v>44562.0</v>
      </c>
      <c r="EU124" s="138">
        <v>44593.0</v>
      </c>
      <c r="EV124" s="138">
        <v>44621.0</v>
      </c>
      <c r="EW124" s="138">
        <v>44652.0</v>
      </c>
      <c r="EX124" s="138">
        <v>44682.0</v>
      </c>
      <c r="EY124" s="138">
        <v>44713.0</v>
      </c>
      <c r="EZ124" s="138">
        <v>44743.0</v>
      </c>
      <c r="FA124" s="138">
        <v>44774.0</v>
      </c>
      <c r="FB124" s="138">
        <v>44805.0</v>
      </c>
      <c r="FC124" s="138">
        <v>44835.0</v>
      </c>
      <c r="FD124" s="138">
        <v>44866.0</v>
      </c>
      <c r="FE124" s="138">
        <v>44896.0</v>
      </c>
      <c r="FF124" s="138">
        <v>44927.0</v>
      </c>
      <c r="FG124" s="138">
        <v>44958.0</v>
      </c>
      <c r="FH124" s="138">
        <v>44986.0</v>
      </c>
      <c r="FI124" s="138">
        <v>45017.0</v>
      </c>
      <c r="FJ124" s="138">
        <v>45047.0</v>
      </c>
      <c r="FK124" s="138">
        <v>45078.0</v>
      </c>
      <c r="FL124" s="138">
        <v>45108.0</v>
      </c>
      <c r="FM124" s="138">
        <v>45139.0</v>
      </c>
      <c r="FN124" s="138">
        <v>45170.0</v>
      </c>
      <c r="FO124" s="138">
        <v>45200.0</v>
      </c>
      <c r="FP124" s="138">
        <v>45231.0</v>
      </c>
      <c r="FQ124" s="138">
        <v>45261.0</v>
      </c>
      <c r="FR124" s="138">
        <v>45292.0</v>
      </c>
      <c r="FS124" s="138">
        <v>45323.0</v>
      </c>
      <c r="FT124" s="138">
        <v>45352.0</v>
      </c>
      <c r="FU124" s="138">
        <v>45383.0</v>
      </c>
      <c r="FV124" s="139">
        <v>45413.0</v>
      </c>
      <c r="FW124" s="139">
        <v>45444.0</v>
      </c>
      <c r="FX124" s="139">
        <v>45474.0</v>
      </c>
      <c r="FY124" s="139">
        <v>45505.0</v>
      </c>
      <c r="FZ124" s="139">
        <v>45536.0</v>
      </c>
      <c r="GA124" s="139">
        <v>45566.0</v>
      </c>
      <c r="GB124" s="139">
        <v>45597.0</v>
      </c>
      <c r="GC124" s="139">
        <v>45627.0</v>
      </c>
      <c r="GD124" s="139">
        <v>45658.0</v>
      </c>
      <c r="GE124" s="139">
        <v>45689.0</v>
      </c>
      <c r="GF124" s="139">
        <v>45717.0</v>
      </c>
      <c r="GG124" s="139">
        <v>45748.0</v>
      </c>
      <c r="GH124" s="139">
        <v>45778.0</v>
      </c>
      <c r="GI124" s="139">
        <v>45809.0</v>
      </c>
      <c r="GJ124" s="139">
        <v>45839.0</v>
      </c>
    </row>
    <row r="125">
      <c r="A125" s="133" t="s">
        <v>1441</v>
      </c>
      <c r="B125" s="134">
        <v>45394.52240740741</v>
      </c>
      <c r="C125" s="135" t="str">
        <f t="shared" si="1"/>
        <v>2024/04/12</v>
      </c>
      <c r="D125" s="136" t="s">
        <v>34316</v>
      </c>
      <c r="E125" s="151">
        <v>0.0</v>
      </c>
      <c r="F125" s="138">
        <v>40179.0</v>
      </c>
      <c r="G125" s="138">
        <v>40210.0</v>
      </c>
      <c r="H125" s="138">
        <v>40238.0</v>
      </c>
      <c r="I125" s="138">
        <v>40269.0</v>
      </c>
      <c r="J125" s="138">
        <v>40299.0</v>
      </c>
      <c r="K125" s="138">
        <v>40330.0</v>
      </c>
      <c r="L125" s="138">
        <v>40360.0</v>
      </c>
      <c r="M125" s="138">
        <v>40391.0</v>
      </c>
      <c r="N125" s="138">
        <v>40422.0</v>
      </c>
      <c r="O125" s="138">
        <v>40452.0</v>
      </c>
      <c r="P125" s="138">
        <v>40483.0</v>
      </c>
      <c r="Q125" s="138">
        <v>40513.0</v>
      </c>
      <c r="R125" s="138">
        <v>40544.0</v>
      </c>
      <c r="S125" s="138">
        <v>40575.0</v>
      </c>
      <c r="T125" s="138">
        <v>40603.0</v>
      </c>
      <c r="U125" s="138">
        <v>40634.0</v>
      </c>
      <c r="V125" s="138">
        <v>40664.0</v>
      </c>
      <c r="W125" s="138">
        <v>40695.0</v>
      </c>
      <c r="X125" s="138">
        <v>40725.0</v>
      </c>
      <c r="Y125" s="138">
        <v>40756.0</v>
      </c>
      <c r="Z125" s="138">
        <v>40787.0</v>
      </c>
      <c r="AA125" s="138">
        <v>40817.0</v>
      </c>
      <c r="AB125" s="138">
        <v>40848.0</v>
      </c>
      <c r="AC125" s="138">
        <v>40878.0</v>
      </c>
      <c r="AD125" s="138">
        <v>40909.0</v>
      </c>
      <c r="AE125" s="138">
        <v>40940.0</v>
      </c>
      <c r="AF125" s="138">
        <v>40969.0</v>
      </c>
      <c r="AG125" s="138">
        <v>41000.0</v>
      </c>
      <c r="AH125" s="138">
        <v>41030.0</v>
      </c>
      <c r="AI125" s="138">
        <v>41061.0</v>
      </c>
      <c r="AJ125" s="138">
        <v>41091.0</v>
      </c>
      <c r="AK125" s="138">
        <v>41122.0</v>
      </c>
      <c r="AL125" s="138">
        <v>41153.0</v>
      </c>
      <c r="AM125" s="138">
        <v>41183.0</v>
      </c>
      <c r="AN125" s="138">
        <v>41214.0</v>
      </c>
      <c r="AO125" s="138">
        <v>41244.0</v>
      </c>
      <c r="AP125" s="138">
        <v>41275.0</v>
      </c>
      <c r="AQ125" s="138">
        <v>41306.0</v>
      </c>
      <c r="AR125" s="138">
        <v>41334.0</v>
      </c>
      <c r="AS125" s="138">
        <v>41365.0</v>
      </c>
      <c r="AT125" s="138">
        <v>41395.0</v>
      </c>
      <c r="AU125" s="138">
        <v>41426.0</v>
      </c>
      <c r="AV125" s="138">
        <v>41456.0</v>
      </c>
      <c r="AW125" s="138">
        <v>41487.0</v>
      </c>
      <c r="AX125" s="138">
        <v>41518.0</v>
      </c>
      <c r="AY125" s="138">
        <v>41548.0</v>
      </c>
      <c r="AZ125" s="138">
        <v>41579.0</v>
      </c>
      <c r="BA125" s="138">
        <v>41609.0</v>
      </c>
      <c r="BB125" s="138">
        <v>41640.0</v>
      </c>
      <c r="BC125" s="138">
        <v>41671.0</v>
      </c>
      <c r="BD125" s="138">
        <v>41699.0</v>
      </c>
      <c r="BE125" s="138">
        <v>41730.0</v>
      </c>
      <c r="BF125" s="138">
        <v>41760.0</v>
      </c>
      <c r="BG125" s="138">
        <v>41791.0</v>
      </c>
      <c r="BH125" s="138">
        <v>41821.0</v>
      </c>
      <c r="BI125" s="138">
        <v>41852.0</v>
      </c>
      <c r="BJ125" s="138">
        <v>41883.0</v>
      </c>
      <c r="BK125" s="138">
        <v>41913.0</v>
      </c>
      <c r="BL125" s="138">
        <v>41944.0</v>
      </c>
      <c r="BM125" s="138">
        <v>41974.0</v>
      </c>
      <c r="BN125" s="138">
        <v>42005.0</v>
      </c>
      <c r="BO125" s="138">
        <v>42036.0</v>
      </c>
      <c r="BP125" s="138">
        <v>42064.0</v>
      </c>
      <c r="BQ125" s="138">
        <v>42095.0</v>
      </c>
      <c r="BR125" s="138">
        <v>42125.0</v>
      </c>
      <c r="BS125" s="138">
        <v>42156.0</v>
      </c>
      <c r="BT125" s="138">
        <v>42186.0</v>
      </c>
      <c r="BU125" s="138">
        <v>42217.0</v>
      </c>
      <c r="BV125" s="138">
        <v>42248.0</v>
      </c>
      <c r="BW125" s="138">
        <v>42278.0</v>
      </c>
      <c r="BX125" s="138">
        <v>42309.0</v>
      </c>
      <c r="BY125" s="138">
        <v>42339.0</v>
      </c>
      <c r="BZ125" s="138">
        <v>42370.0</v>
      </c>
      <c r="CA125" s="138">
        <v>42401.0</v>
      </c>
      <c r="CB125" s="138">
        <v>42430.0</v>
      </c>
      <c r="CC125" s="138">
        <v>42461.0</v>
      </c>
      <c r="CD125" s="138">
        <v>42491.0</v>
      </c>
      <c r="CE125" s="138">
        <v>42522.0</v>
      </c>
      <c r="CF125" s="138">
        <v>42552.0</v>
      </c>
      <c r="CG125" s="138">
        <v>42583.0</v>
      </c>
      <c r="CH125" s="138">
        <v>42614.0</v>
      </c>
      <c r="CI125" s="138">
        <v>42644.0</v>
      </c>
      <c r="CJ125" s="138">
        <v>42675.0</v>
      </c>
      <c r="CK125" s="138">
        <v>42705.0</v>
      </c>
      <c r="CL125" s="138">
        <v>42736.0</v>
      </c>
      <c r="CM125" s="138">
        <v>42767.0</v>
      </c>
      <c r="CN125" s="138">
        <v>42795.0</v>
      </c>
      <c r="CO125" s="138">
        <v>42826.0</v>
      </c>
      <c r="CP125" s="138">
        <v>42856.0</v>
      </c>
      <c r="CQ125" s="138">
        <v>42887.0</v>
      </c>
      <c r="CR125" s="138">
        <v>42917.0</v>
      </c>
      <c r="CS125" s="138">
        <v>42948.0</v>
      </c>
      <c r="CT125" s="138">
        <v>42979.0</v>
      </c>
      <c r="CU125" s="138">
        <v>43009.0</v>
      </c>
      <c r="CV125" s="138">
        <v>43040.0</v>
      </c>
      <c r="CW125" s="138">
        <v>43070.0</v>
      </c>
      <c r="CX125" s="138">
        <v>43101.0</v>
      </c>
      <c r="CY125" s="138">
        <v>43132.0</v>
      </c>
      <c r="CZ125" s="138">
        <v>43160.0</v>
      </c>
      <c r="DA125" s="138">
        <v>43191.0</v>
      </c>
      <c r="DB125" s="138">
        <v>43221.0</v>
      </c>
      <c r="DC125" s="138">
        <v>43252.0</v>
      </c>
      <c r="DD125" s="138">
        <v>43282.0</v>
      </c>
      <c r="DE125" s="138">
        <v>43313.0</v>
      </c>
      <c r="DF125" s="138">
        <v>43344.0</v>
      </c>
      <c r="DG125" s="138">
        <v>43374.0</v>
      </c>
      <c r="DH125" s="138">
        <v>43405.0</v>
      </c>
      <c r="DI125" s="138">
        <v>43435.0</v>
      </c>
      <c r="DJ125" s="138">
        <v>43466.0</v>
      </c>
      <c r="DK125" s="138">
        <v>43497.0</v>
      </c>
      <c r="DL125" s="138">
        <v>43525.0</v>
      </c>
      <c r="DM125" s="138">
        <v>43556.0</v>
      </c>
      <c r="DN125" s="138">
        <v>43586.0</v>
      </c>
      <c r="DO125" s="138">
        <v>43617.0</v>
      </c>
      <c r="DP125" s="138">
        <v>43647.0</v>
      </c>
      <c r="DQ125" s="138">
        <v>43678.0</v>
      </c>
      <c r="DR125" s="138">
        <v>43709.0</v>
      </c>
      <c r="DS125" s="138">
        <v>43739.0</v>
      </c>
      <c r="DT125" s="138">
        <v>43770.0</v>
      </c>
      <c r="DU125" s="138">
        <v>43800.0</v>
      </c>
      <c r="DV125" s="138">
        <v>43831.0</v>
      </c>
      <c r="DW125" s="138">
        <v>43862.0</v>
      </c>
      <c r="DX125" s="138">
        <v>43891.0</v>
      </c>
      <c r="DY125" s="138">
        <v>43922.0</v>
      </c>
      <c r="DZ125" s="138">
        <v>43952.0</v>
      </c>
      <c r="EA125" s="138">
        <v>43983.0</v>
      </c>
      <c r="EB125" s="138">
        <v>44013.0</v>
      </c>
      <c r="EC125" s="138">
        <v>44044.0</v>
      </c>
      <c r="ED125" s="138">
        <v>44075.0</v>
      </c>
      <c r="EE125" s="138">
        <v>44105.0</v>
      </c>
      <c r="EF125" s="138">
        <v>44136.0</v>
      </c>
      <c r="EG125" s="138">
        <v>44166.0</v>
      </c>
      <c r="EH125" s="138">
        <v>44197.0</v>
      </c>
      <c r="EI125" s="138">
        <v>44228.0</v>
      </c>
      <c r="EJ125" s="138">
        <v>44256.0</v>
      </c>
      <c r="EK125" s="138">
        <v>44287.0</v>
      </c>
      <c r="EL125" s="138">
        <v>44317.0</v>
      </c>
      <c r="EM125" s="138">
        <v>44348.0</v>
      </c>
      <c r="EN125" s="138">
        <v>44378.0</v>
      </c>
      <c r="EO125" s="138">
        <v>44409.0</v>
      </c>
      <c r="EP125" s="138">
        <v>44440.0</v>
      </c>
      <c r="EQ125" s="138">
        <v>44470.0</v>
      </c>
      <c r="ER125" s="138">
        <v>44501.0</v>
      </c>
      <c r="ES125" s="138">
        <v>44531.0</v>
      </c>
      <c r="ET125" s="138">
        <v>44562.0</v>
      </c>
      <c r="EU125" s="138">
        <v>44593.0</v>
      </c>
      <c r="EV125" s="138">
        <v>44621.0</v>
      </c>
      <c r="EW125" s="138">
        <v>44652.0</v>
      </c>
      <c r="EX125" s="138">
        <v>44682.0</v>
      </c>
      <c r="EY125" s="138">
        <v>44713.0</v>
      </c>
      <c r="EZ125" s="138">
        <v>44743.0</v>
      </c>
      <c r="FA125" s="138">
        <v>44774.0</v>
      </c>
      <c r="FB125" s="138">
        <v>44805.0</v>
      </c>
      <c r="FC125" s="138">
        <v>44835.0</v>
      </c>
      <c r="FD125" s="138">
        <v>44866.0</v>
      </c>
      <c r="FE125" s="138">
        <v>44896.0</v>
      </c>
      <c r="FF125" s="138">
        <v>44927.0</v>
      </c>
      <c r="FG125" s="138">
        <v>44958.0</v>
      </c>
      <c r="FH125" s="138">
        <v>44986.0</v>
      </c>
      <c r="FI125" s="138">
        <v>45017.0</v>
      </c>
      <c r="FJ125" s="138">
        <v>45047.0</v>
      </c>
      <c r="FK125" s="138">
        <v>45078.0</v>
      </c>
      <c r="FL125" s="138">
        <v>45108.0</v>
      </c>
      <c r="FM125" s="138">
        <v>45139.0</v>
      </c>
      <c r="FN125" s="138">
        <v>45170.0</v>
      </c>
      <c r="FO125" s="138">
        <v>45200.0</v>
      </c>
      <c r="FP125" s="138">
        <v>45231.0</v>
      </c>
      <c r="FQ125" s="138">
        <v>45261.0</v>
      </c>
      <c r="FR125" s="138">
        <v>45292.0</v>
      </c>
      <c r="FS125" s="138">
        <v>45323.0</v>
      </c>
      <c r="FT125" s="138">
        <v>45352.0</v>
      </c>
      <c r="FU125" s="138">
        <v>45383.0</v>
      </c>
      <c r="FV125" s="139">
        <v>45413.0</v>
      </c>
      <c r="FW125" s="139">
        <v>45444.0</v>
      </c>
      <c r="FX125" s="139">
        <v>45474.0</v>
      </c>
      <c r="FY125" s="139">
        <v>45505.0</v>
      </c>
      <c r="FZ125" s="139">
        <v>45536.0</v>
      </c>
      <c r="GA125" s="139">
        <v>45566.0</v>
      </c>
      <c r="GB125" s="139">
        <v>45597.0</v>
      </c>
      <c r="GC125" s="139">
        <v>45627.0</v>
      </c>
      <c r="GD125" s="139">
        <v>45658.0</v>
      </c>
      <c r="GE125" s="139">
        <v>45689.0</v>
      </c>
      <c r="GF125" s="139">
        <v>45717.0</v>
      </c>
      <c r="GG125" s="139">
        <v>45748.0</v>
      </c>
      <c r="GH125" s="139">
        <v>45778.0</v>
      </c>
      <c r="GI125" s="139">
        <v>45809.0</v>
      </c>
      <c r="GJ125" s="139">
        <v>45839.0</v>
      </c>
    </row>
    <row r="126">
      <c r="A126" s="133" t="s">
        <v>1815</v>
      </c>
      <c r="B126" s="134">
        <v>45461.5315162037</v>
      </c>
      <c r="C126" s="135" t="str">
        <f t="shared" si="1"/>
        <v>2024/06/18</v>
      </c>
      <c r="D126" s="136" t="s">
        <v>34317</v>
      </c>
      <c r="E126" s="151">
        <v>0.0</v>
      </c>
      <c r="F126" s="138">
        <v>40179.0</v>
      </c>
      <c r="G126" s="138">
        <v>40210.0</v>
      </c>
      <c r="H126" s="138">
        <v>40238.0</v>
      </c>
      <c r="I126" s="138">
        <v>40269.0</v>
      </c>
      <c r="J126" s="138">
        <v>40299.0</v>
      </c>
      <c r="K126" s="138">
        <v>40330.0</v>
      </c>
      <c r="L126" s="138">
        <v>40360.0</v>
      </c>
      <c r="M126" s="138">
        <v>40391.0</v>
      </c>
      <c r="N126" s="138">
        <v>40422.0</v>
      </c>
      <c r="O126" s="138">
        <v>40452.0</v>
      </c>
      <c r="P126" s="138">
        <v>40483.0</v>
      </c>
      <c r="Q126" s="138">
        <v>40513.0</v>
      </c>
      <c r="R126" s="138">
        <v>40544.0</v>
      </c>
      <c r="S126" s="138">
        <v>40575.0</v>
      </c>
      <c r="T126" s="138">
        <v>40603.0</v>
      </c>
      <c r="U126" s="138">
        <v>40634.0</v>
      </c>
      <c r="V126" s="138">
        <v>40664.0</v>
      </c>
      <c r="W126" s="138">
        <v>40695.0</v>
      </c>
      <c r="X126" s="138">
        <v>40725.0</v>
      </c>
      <c r="Y126" s="138">
        <v>40756.0</v>
      </c>
      <c r="Z126" s="138">
        <v>40787.0</v>
      </c>
      <c r="AA126" s="138">
        <v>40817.0</v>
      </c>
      <c r="AB126" s="138">
        <v>40848.0</v>
      </c>
      <c r="AC126" s="138">
        <v>40878.0</v>
      </c>
      <c r="AD126" s="138">
        <v>40909.0</v>
      </c>
      <c r="AE126" s="138">
        <v>40940.0</v>
      </c>
      <c r="AF126" s="138">
        <v>40969.0</v>
      </c>
      <c r="AG126" s="138">
        <v>41000.0</v>
      </c>
      <c r="AH126" s="138">
        <v>41030.0</v>
      </c>
      <c r="AI126" s="138">
        <v>41061.0</v>
      </c>
      <c r="AJ126" s="138">
        <v>41091.0</v>
      </c>
      <c r="AK126" s="138">
        <v>41122.0</v>
      </c>
      <c r="AL126" s="138">
        <v>41153.0</v>
      </c>
      <c r="AM126" s="138">
        <v>41183.0</v>
      </c>
      <c r="AN126" s="138">
        <v>41214.0</v>
      </c>
      <c r="AO126" s="138">
        <v>41244.0</v>
      </c>
      <c r="AP126" s="138">
        <v>41275.0</v>
      </c>
      <c r="AQ126" s="138">
        <v>41306.0</v>
      </c>
      <c r="AR126" s="138">
        <v>41334.0</v>
      </c>
      <c r="AS126" s="138">
        <v>41365.0</v>
      </c>
      <c r="AT126" s="138">
        <v>41395.0</v>
      </c>
      <c r="AU126" s="138">
        <v>41426.0</v>
      </c>
      <c r="AV126" s="138">
        <v>41456.0</v>
      </c>
      <c r="AW126" s="138">
        <v>41487.0</v>
      </c>
      <c r="AX126" s="138">
        <v>41518.0</v>
      </c>
      <c r="AY126" s="138">
        <v>41548.0</v>
      </c>
      <c r="AZ126" s="138">
        <v>41579.0</v>
      </c>
      <c r="BA126" s="138">
        <v>41609.0</v>
      </c>
      <c r="BB126" s="138">
        <v>41640.0</v>
      </c>
      <c r="BC126" s="138">
        <v>41671.0</v>
      </c>
      <c r="BD126" s="138">
        <v>41699.0</v>
      </c>
      <c r="BE126" s="138">
        <v>41730.0</v>
      </c>
      <c r="BF126" s="138">
        <v>41760.0</v>
      </c>
      <c r="BG126" s="138">
        <v>41791.0</v>
      </c>
      <c r="BH126" s="138">
        <v>41821.0</v>
      </c>
      <c r="BI126" s="138">
        <v>41852.0</v>
      </c>
      <c r="BJ126" s="138">
        <v>41883.0</v>
      </c>
      <c r="BK126" s="138">
        <v>41913.0</v>
      </c>
      <c r="BL126" s="138">
        <v>41944.0</v>
      </c>
      <c r="BM126" s="138">
        <v>41974.0</v>
      </c>
      <c r="BN126" s="138">
        <v>42005.0</v>
      </c>
      <c r="BO126" s="138">
        <v>42036.0</v>
      </c>
      <c r="BP126" s="138">
        <v>42064.0</v>
      </c>
      <c r="BQ126" s="138">
        <v>42095.0</v>
      </c>
      <c r="BR126" s="138">
        <v>42125.0</v>
      </c>
      <c r="BS126" s="138">
        <v>42156.0</v>
      </c>
      <c r="BT126" s="138">
        <v>42186.0</v>
      </c>
      <c r="BU126" s="138">
        <v>42217.0</v>
      </c>
      <c r="BV126" s="138">
        <v>42248.0</v>
      </c>
      <c r="BW126" s="138">
        <v>42278.0</v>
      </c>
      <c r="BX126" s="138">
        <v>42309.0</v>
      </c>
      <c r="BY126" s="138">
        <v>42339.0</v>
      </c>
      <c r="BZ126" s="138">
        <v>42370.0</v>
      </c>
      <c r="CA126" s="138">
        <v>42401.0</v>
      </c>
      <c r="CB126" s="138">
        <v>42430.0</v>
      </c>
      <c r="CC126" s="138">
        <v>42461.0</v>
      </c>
      <c r="CD126" s="138">
        <v>42491.0</v>
      </c>
      <c r="CE126" s="138">
        <v>42522.0</v>
      </c>
      <c r="CF126" s="138">
        <v>42552.0</v>
      </c>
      <c r="CG126" s="138">
        <v>42583.0</v>
      </c>
      <c r="CH126" s="138">
        <v>42614.0</v>
      </c>
      <c r="CI126" s="138">
        <v>42644.0</v>
      </c>
      <c r="CJ126" s="138">
        <v>42675.0</v>
      </c>
      <c r="CK126" s="138">
        <v>42705.0</v>
      </c>
      <c r="CL126" s="138">
        <v>42736.0</v>
      </c>
      <c r="CM126" s="138">
        <v>42767.0</v>
      </c>
      <c r="CN126" s="138">
        <v>42795.0</v>
      </c>
      <c r="CO126" s="138">
        <v>42826.0</v>
      </c>
      <c r="CP126" s="138">
        <v>42856.0</v>
      </c>
      <c r="CQ126" s="138">
        <v>42887.0</v>
      </c>
      <c r="CR126" s="138">
        <v>42917.0</v>
      </c>
      <c r="CS126" s="138">
        <v>42948.0</v>
      </c>
      <c r="CT126" s="138">
        <v>42979.0</v>
      </c>
      <c r="CU126" s="138">
        <v>43009.0</v>
      </c>
      <c r="CV126" s="138">
        <v>43040.0</v>
      </c>
      <c r="CW126" s="138">
        <v>43070.0</v>
      </c>
      <c r="CX126" s="138">
        <v>43101.0</v>
      </c>
      <c r="CY126" s="138">
        <v>43132.0</v>
      </c>
      <c r="CZ126" s="138">
        <v>43160.0</v>
      </c>
      <c r="DA126" s="138">
        <v>43191.0</v>
      </c>
      <c r="DB126" s="138">
        <v>43221.0</v>
      </c>
      <c r="DC126" s="138">
        <v>43252.0</v>
      </c>
      <c r="DD126" s="138">
        <v>43282.0</v>
      </c>
      <c r="DE126" s="138">
        <v>43313.0</v>
      </c>
      <c r="DF126" s="138">
        <v>43344.0</v>
      </c>
      <c r="DG126" s="138">
        <v>43374.0</v>
      </c>
      <c r="DH126" s="138">
        <v>43405.0</v>
      </c>
      <c r="DI126" s="138">
        <v>43435.0</v>
      </c>
      <c r="DJ126" s="138">
        <v>43466.0</v>
      </c>
      <c r="DK126" s="138">
        <v>43497.0</v>
      </c>
      <c r="DL126" s="138">
        <v>43525.0</v>
      </c>
      <c r="DM126" s="138">
        <v>43556.0</v>
      </c>
      <c r="DN126" s="138">
        <v>43586.0</v>
      </c>
      <c r="DO126" s="138">
        <v>43617.0</v>
      </c>
      <c r="DP126" s="138">
        <v>43647.0</v>
      </c>
      <c r="DQ126" s="138">
        <v>43678.0</v>
      </c>
      <c r="DR126" s="138">
        <v>43709.0</v>
      </c>
      <c r="DS126" s="138">
        <v>43739.0</v>
      </c>
      <c r="DT126" s="138">
        <v>43770.0</v>
      </c>
      <c r="DU126" s="138">
        <v>43800.0</v>
      </c>
      <c r="DV126" s="138">
        <v>43831.0</v>
      </c>
      <c r="DW126" s="138">
        <v>43862.0</v>
      </c>
      <c r="DX126" s="138">
        <v>43891.0</v>
      </c>
      <c r="DY126" s="138">
        <v>43922.0</v>
      </c>
      <c r="DZ126" s="138">
        <v>43952.0</v>
      </c>
      <c r="EA126" s="138">
        <v>43983.0</v>
      </c>
      <c r="EB126" s="138">
        <v>44013.0</v>
      </c>
      <c r="EC126" s="138">
        <v>44044.0</v>
      </c>
      <c r="ED126" s="138">
        <v>44075.0</v>
      </c>
      <c r="EE126" s="138">
        <v>44105.0</v>
      </c>
      <c r="EF126" s="138">
        <v>44136.0</v>
      </c>
      <c r="EG126" s="138">
        <v>44166.0</v>
      </c>
      <c r="EH126" s="138">
        <v>44197.0</v>
      </c>
      <c r="EI126" s="138">
        <v>44228.0</v>
      </c>
      <c r="EJ126" s="138">
        <v>44256.0</v>
      </c>
      <c r="EK126" s="138">
        <v>44287.0</v>
      </c>
      <c r="EL126" s="138">
        <v>44317.0</v>
      </c>
      <c r="EM126" s="138">
        <v>44348.0</v>
      </c>
      <c r="EN126" s="138">
        <v>44378.0</v>
      </c>
      <c r="EO126" s="138">
        <v>44409.0</v>
      </c>
      <c r="EP126" s="138">
        <v>44440.0</v>
      </c>
      <c r="EQ126" s="138">
        <v>44470.0</v>
      </c>
      <c r="ER126" s="138">
        <v>44501.0</v>
      </c>
      <c r="ES126" s="138">
        <v>44531.0</v>
      </c>
      <c r="ET126" s="138">
        <v>44562.0</v>
      </c>
      <c r="EU126" s="138">
        <v>44593.0</v>
      </c>
      <c r="EV126" s="138">
        <v>44621.0</v>
      </c>
      <c r="EW126" s="138">
        <v>44652.0</v>
      </c>
      <c r="EX126" s="138">
        <v>44682.0</v>
      </c>
      <c r="EY126" s="138">
        <v>44713.0</v>
      </c>
      <c r="EZ126" s="138">
        <v>44743.0</v>
      </c>
      <c r="FA126" s="138">
        <v>44774.0</v>
      </c>
      <c r="FB126" s="138">
        <v>44805.0</v>
      </c>
      <c r="FC126" s="138">
        <v>44835.0</v>
      </c>
      <c r="FD126" s="138">
        <v>44866.0</v>
      </c>
      <c r="FE126" s="138">
        <v>44896.0</v>
      </c>
      <c r="FF126" s="138">
        <v>44927.0</v>
      </c>
      <c r="FG126" s="138">
        <v>44958.0</v>
      </c>
      <c r="FH126" s="138">
        <v>44986.0</v>
      </c>
      <c r="FI126" s="138">
        <v>45017.0</v>
      </c>
      <c r="FJ126" s="138">
        <v>45047.0</v>
      </c>
      <c r="FK126" s="138">
        <v>45078.0</v>
      </c>
      <c r="FL126" s="138">
        <v>45108.0</v>
      </c>
      <c r="FM126" s="138">
        <v>45139.0</v>
      </c>
      <c r="FN126" s="138">
        <v>45170.0</v>
      </c>
      <c r="FO126" s="138">
        <v>45200.0</v>
      </c>
      <c r="FP126" s="138">
        <v>45231.0</v>
      </c>
      <c r="FQ126" s="138">
        <v>45261.0</v>
      </c>
      <c r="FR126" s="138">
        <v>45292.0</v>
      </c>
      <c r="FS126" s="138">
        <v>45323.0</v>
      </c>
      <c r="FT126" s="138">
        <v>45352.0</v>
      </c>
      <c r="FU126" s="138">
        <v>45383.0</v>
      </c>
      <c r="FV126" s="138">
        <v>45413.0</v>
      </c>
      <c r="FW126" s="138">
        <v>45444.0</v>
      </c>
      <c r="FX126" s="139">
        <v>45474.0</v>
      </c>
      <c r="FY126" s="139">
        <v>45505.0</v>
      </c>
      <c r="FZ126" s="139">
        <v>45536.0</v>
      </c>
      <c r="GA126" s="139">
        <v>45566.0</v>
      </c>
      <c r="GB126" s="139">
        <v>45597.0</v>
      </c>
      <c r="GC126" s="139">
        <v>45627.0</v>
      </c>
      <c r="GD126" s="139">
        <v>45658.0</v>
      </c>
      <c r="GE126" s="139">
        <v>45689.0</v>
      </c>
      <c r="GF126" s="139">
        <v>45717.0</v>
      </c>
      <c r="GG126" s="139">
        <v>45748.0</v>
      </c>
      <c r="GH126" s="139">
        <v>45778.0</v>
      </c>
      <c r="GI126" s="139">
        <v>45809.0</v>
      </c>
      <c r="GJ126" s="139">
        <v>45839.0</v>
      </c>
    </row>
    <row r="127">
      <c r="A127" s="133" t="s">
        <v>1558</v>
      </c>
      <c r="B127" s="134">
        <v>45687.73186342593</v>
      </c>
      <c r="C127" s="135" t="str">
        <f t="shared" si="1"/>
        <v>2025/01/30</v>
      </c>
      <c r="D127" s="136" t="s">
        <v>34318</v>
      </c>
      <c r="E127" s="151">
        <v>0.0</v>
      </c>
      <c r="F127" s="138">
        <v>40179.0</v>
      </c>
      <c r="G127" s="138">
        <v>40210.0</v>
      </c>
      <c r="H127" s="138">
        <v>40238.0</v>
      </c>
      <c r="I127" s="138">
        <v>40269.0</v>
      </c>
      <c r="J127" s="138">
        <v>40299.0</v>
      </c>
      <c r="K127" s="138">
        <v>40330.0</v>
      </c>
      <c r="L127" s="138">
        <v>40360.0</v>
      </c>
      <c r="M127" s="138">
        <v>40391.0</v>
      </c>
      <c r="N127" s="138">
        <v>40422.0</v>
      </c>
      <c r="O127" s="138">
        <v>40452.0</v>
      </c>
      <c r="P127" s="138">
        <v>40483.0</v>
      </c>
      <c r="Q127" s="138">
        <v>40513.0</v>
      </c>
      <c r="R127" s="138">
        <v>40544.0</v>
      </c>
      <c r="S127" s="138">
        <v>40575.0</v>
      </c>
      <c r="T127" s="138">
        <v>40603.0</v>
      </c>
      <c r="U127" s="138">
        <v>40634.0</v>
      </c>
      <c r="V127" s="138">
        <v>40664.0</v>
      </c>
      <c r="W127" s="138">
        <v>40695.0</v>
      </c>
      <c r="X127" s="138">
        <v>40725.0</v>
      </c>
      <c r="Y127" s="138">
        <v>40756.0</v>
      </c>
      <c r="Z127" s="138">
        <v>40787.0</v>
      </c>
      <c r="AA127" s="138">
        <v>40817.0</v>
      </c>
      <c r="AB127" s="138">
        <v>40848.0</v>
      </c>
      <c r="AC127" s="138">
        <v>40878.0</v>
      </c>
      <c r="AD127" s="138">
        <v>40909.0</v>
      </c>
      <c r="AE127" s="138">
        <v>40940.0</v>
      </c>
      <c r="AF127" s="138">
        <v>40969.0</v>
      </c>
      <c r="AG127" s="138">
        <v>41000.0</v>
      </c>
      <c r="AH127" s="138">
        <v>41030.0</v>
      </c>
      <c r="AI127" s="138">
        <v>41061.0</v>
      </c>
      <c r="AJ127" s="138">
        <v>41091.0</v>
      </c>
      <c r="AK127" s="138">
        <v>41122.0</v>
      </c>
      <c r="AL127" s="138">
        <v>41153.0</v>
      </c>
      <c r="AM127" s="138">
        <v>41183.0</v>
      </c>
      <c r="AN127" s="138">
        <v>41214.0</v>
      </c>
      <c r="AO127" s="138">
        <v>41244.0</v>
      </c>
      <c r="AP127" s="138">
        <v>41275.0</v>
      </c>
      <c r="AQ127" s="138">
        <v>41306.0</v>
      </c>
      <c r="AR127" s="138">
        <v>41334.0</v>
      </c>
      <c r="AS127" s="138">
        <v>41365.0</v>
      </c>
      <c r="AT127" s="138">
        <v>41395.0</v>
      </c>
      <c r="AU127" s="138">
        <v>41426.0</v>
      </c>
      <c r="AV127" s="138">
        <v>41456.0</v>
      </c>
      <c r="AW127" s="138">
        <v>41487.0</v>
      </c>
      <c r="AX127" s="138">
        <v>41518.0</v>
      </c>
      <c r="AY127" s="138">
        <v>41548.0</v>
      </c>
      <c r="AZ127" s="138">
        <v>41579.0</v>
      </c>
      <c r="BA127" s="138">
        <v>41609.0</v>
      </c>
      <c r="BB127" s="138">
        <v>41640.0</v>
      </c>
      <c r="BC127" s="138">
        <v>41671.0</v>
      </c>
      <c r="BD127" s="138">
        <v>41699.0</v>
      </c>
      <c r="BE127" s="138">
        <v>41730.0</v>
      </c>
      <c r="BF127" s="138">
        <v>41760.0</v>
      </c>
      <c r="BG127" s="138">
        <v>41791.0</v>
      </c>
      <c r="BH127" s="138">
        <v>41821.0</v>
      </c>
      <c r="BI127" s="138">
        <v>41852.0</v>
      </c>
      <c r="BJ127" s="138">
        <v>41883.0</v>
      </c>
      <c r="BK127" s="138">
        <v>41913.0</v>
      </c>
      <c r="BL127" s="138">
        <v>41944.0</v>
      </c>
      <c r="BM127" s="138">
        <v>41974.0</v>
      </c>
      <c r="BN127" s="138">
        <v>42005.0</v>
      </c>
      <c r="BO127" s="138">
        <v>42036.0</v>
      </c>
      <c r="BP127" s="138">
        <v>42064.0</v>
      </c>
      <c r="BQ127" s="138">
        <v>42095.0</v>
      </c>
      <c r="BR127" s="138">
        <v>42125.0</v>
      </c>
      <c r="BS127" s="138">
        <v>42156.0</v>
      </c>
      <c r="BT127" s="138">
        <v>42186.0</v>
      </c>
      <c r="BU127" s="138">
        <v>42217.0</v>
      </c>
      <c r="BV127" s="138">
        <v>42248.0</v>
      </c>
      <c r="BW127" s="138">
        <v>42278.0</v>
      </c>
      <c r="BX127" s="138">
        <v>42309.0</v>
      </c>
      <c r="BY127" s="138">
        <v>42339.0</v>
      </c>
      <c r="BZ127" s="138">
        <v>42370.0</v>
      </c>
      <c r="CA127" s="138">
        <v>42401.0</v>
      </c>
      <c r="CB127" s="138">
        <v>42430.0</v>
      </c>
      <c r="CC127" s="138">
        <v>42461.0</v>
      </c>
      <c r="CD127" s="138">
        <v>42491.0</v>
      </c>
      <c r="CE127" s="138">
        <v>42522.0</v>
      </c>
      <c r="CF127" s="138">
        <v>42552.0</v>
      </c>
      <c r="CG127" s="138">
        <v>42583.0</v>
      </c>
      <c r="CH127" s="138">
        <v>42614.0</v>
      </c>
      <c r="CI127" s="138">
        <v>42644.0</v>
      </c>
      <c r="CJ127" s="138">
        <v>42675.0</v>
      </c>
      <c r="CK127" s="138">
        <v>42705.0</v>
      </c>
      <c r="CL127" s="138">
        <v>42736.0</v>
      </c>
      <c r="CM127" s="138">
        <v>42767.0</v>
      </c>
      <c r="CN127" s="138">
        <v>42795.0</v>
      </c>
      <c r="CO127" s="138">
        <v>42826.0</v>
      </c>
      <c r="CP127" s="138">
        <v>42856.0</v>
      </c>
      <c r="CQ127" s="138">
        <v>42887.0</v>
      </c>
      <c r="CR127" s="138">
        <v>42917.0</v>
      </c>
      <c r="CS127" s="138">
        <v>42948.0</v>
      </c>
      <c r="CT127" s="138">
        <v>42979.0</v>
      </c>
      <c r="CU127" s="138">
        <v>43009.0</v>
      </c>
      <c r="CV127" s="138">
        <v>43040.0</v>
      </c>
      <c r="CW127" s="138">
        <v>43070.0</v>
      </c>
      <c r="CX127" s="138">
        <v>43101.0</v>
      </c>
      <c r="CY127" s="138">
        <v>43132.0</v>
      </c>
      <c r="CZ127" s="138">
        <v>43160.0</v>
      </c>
      <c r="DA127" s="138">
        <v>43191.0</v>
      </c>
      <c r="DB127" s="138">
        <v>43221.0</v>
      </c>
      <c r="DC127" s="138">
        <v>43252.0</v>
      </c>
      <c r="DD127" s="138">
        <v>43282.0</v>
      </c>
      <c r="DE127" s="138">
        <v>43313.0</v>
      </c>
      <c r="DF127" s="138">
        <v>43344.0</v>
      </c>
      <c r="DG127" s="138">
        <v>43374.0</v>
      </c>
      <c r="DH127" s="138">
        <v>43405.0</v>
      </c>
      <c r="DI127" s="138">
        <v>43435.0</v>
      </c>
      <c r="DJ127" s="138">
        <v>43466.0</v>
      </c>
      <c r="DK127" s="138">
        <v>43497.0</v>
      </c>
      <c r="DL127" s="138">
        <v>43525.0</v>
      </c>
      <c r="DM127" s="138">
        <v>43556.0</v>
      </c>
      <c r="DN127" s="138">
        <v>43586.0</v>
      </c>
      <c r="DO127" s="138">
        <v>43617.0</v>
      </c>
      <c r="DP127" s="138">
        <v>43647.0</v>
      </c>
      <c r="DQ127" s="138">
        <v>43678.0</v>
      </c>
      <c r="DR127" s="138">
        <v>43709.0</v>
      </c>
      <c r="DS127" s="138">
        <v>43739.0</v>
      </c>
      <c r="DT127" s="138">
        <v>43770.0</v>
      </c>
      <c r="DU127" s="138">
        <v>43800.0</v>
      </c>
      <c r="DV127" s="138">
        <v>43831.0</v>
      </c>
      <c r="DW127" s="138">
        <v>43862.0</v>
      </c>
      <c r="DX127" s="138">
        <v>43891.0</v>
      </c>
      <c r="DY127" s="138">
        <v>43922.0</v>
      </c>
      <c r="DZ127" s="138">
        <v>43952.0</v>
      </c>
      <c r="EA127" s="138">
        <v>43983.0</v>
      </c>
      <c r="EB127" s="138">
        <v>44013.0</v>
      </c>
      <c r="EC127" s="138">
        <v>44044.0</v>
      </c>
      <c r="ED127" s="138">
        <v>44075.0</v>
      </c>
      <c r="EE127" s="138">
        <v>44105.0</v>
      </c>
      <c r="EF127" s="138">
        <v>44136.0</v>
      </c>
      <c r="EG127" s="138">
        <v>44166.0</v>
      </c>
      <c r="EH127" s="138">
        <v>44197.0</v>
      </c>
      <c r="EI127" s="138">
        <v>44228.0</v>
      </c>
      <c r="EJ127" s="138">
        <v>44256.0</v>
      </c>
      <c r="EK127" s="138">
        <v>44287.0</v>
      </c>
      <c r="EL127" s="138">
        <v>44317.0</v>
      </c>
      <c r="EM127" s="138">
        <v>44348.0</v>
      </c>
      <c r="EN127" s="138">
        <v>44378.0</v>
      </c>
      <c r="EO127" s="138">
        <v>44409.0</v>
      </c>
      <c r="EP127" s="138">
        <v>44440.0</v>
      </c>
      <c r="EQ127" s="138">
        <v>44470.0</v>
      </c>
      <c r="ER127" s="138">
        <v>44501.0</v>
      </c>
      <c r="ES127" s="138">
        <v>44531.0</v>
      </c>
      <c r="ET127" s="138">
        <v>44562.0</v>
      </c>
      <c r="EU127" s="138">
        <v>44593.0</v>
      </c>
      <c r="EV127" s="138">
        <v>44621.0</v>
      </c>
      <c r="EW127" s="138">
        <v>44652.0</v>
      </c>
      <c r="EX127" s="138">
        <v>44682.0</v>
      </c>
      <c r="EY127" s="138">
        <v>44713.0</v>
      </c>
      <c r="EZ127" s="138">
        <v>44743.0</v>
      </c>
      <c r="FA127" s="138">
        <v>44774.0</v>
      </c>
      <c r="FB127" s="138">
        <v>44805.0</v>
      </c>
      <c r="FC127" s="138">
        <v>44835.0</v>
      </c>
      <c r="FD127" s="138">
        <v>44866.0</v>
      </c>
      <c r="FE127" s="138">
        <v>44896.0</v>
      </c>
      <c r="FF127" s="138">
        <v>44927.0</v>
      </c>
      <c r="FG127" s="138">
        <v>44958.0</v>
      </c>
      <c r="FH127" s="138">
        <v>44986.0</v>
      </c>
      <c r="FI127" s="138">
        <v>45017.0</v>
      </c>
      <c r="FJ127" s="138">
        <v>45047.0</v>
      </c>
      <c r="FK127" s="138">
        <v>45078.0</v>
      </c>
      <c r="FL127" s="138">
        <v>45108.0</v>
      </c>
      <c r="FM127" s="138">
        <v>45139.0</v>
      </c>
      <c r="FN127" s="138">
        <v>45170.0</v>
      </c>
      <c r="FO127" s="138">
        <v>45200.0</v>
      </c>
      <c r="FP127" s="138">
        <v>45231.0</v>
      </c>
      <c r="FQ127" s="138">
        <v>45261.0</v>
      </c>
      <c r="FR127" s="138">
        <v>45292.0</v>
      </c>
      <c r="FS127" s="138">
        <v>45323.0</v>
      </c>
      <c r="FT127" s="138">
        <v>45352.0</v>
      </c>
      <c r="FU127" s="138">
        <v>45383.0</v>
      </c>
      <c r="FV127" s="138">
        <v>45413.0</v>
      </c>
      <c r="FW127" s="138">
        <v>45444.0</v>
      </c>
      <c r="FX127" s="138">
        <v>45474.0</v>
      </c>
      <c r="FY127" s="138">
        <v>45505.0</v>
      </c>
      <c r="FZ127" s="138">
        <v>45536.0</v>
      </c>
      <c r="GA127" s="138">
        <v>45566.0</v>
      </c>
      <c r="GB127" s="138">
        <v>45597.0</v>
      </c>
      <c r="GC127" s="138">
        <v>45627.0</v>
      </c>
      <c r="GD127" s="138">
        <v>45658.0</v>
      </c>
      <c r="GE127" s="139">
        <v>45689.0</v>
      </c>
      <c r="GF127" s="139">
        <v>45717.0</v>
      </c>
      <c r="GG127" s="139">
        <v>45748.0</v>
      </c>
      <c r="GH127" s="139">
        <v>45778.0</v>
      </c>
      <c r="GI127" s="139">
        <v>45809.0</v>
      </c>
      <c r="GJ127" s="139">
        <v>45839.0</v>
      </c>
    </row>
    <row r="128">
      <c r="A128" s="133" t="s">
        <v>1647</v>
      </c>
      <c r="B128" s="134">
        <v>45722.683796296296</v>
      </c>
      <c r="C128" s="135" t="str">
        <f t="shared" si="1"/>
        <v>2025/03/06</v>
      </c>
      <c r="D128" s="136" t="s">
        <v>34319</v>
      </c>
      <c r="E128" s="151">
        <v>0.0</v>
      </c>
      <c r="F128" s="138">
        <v>40179.0</v>
      </c>
      <c r="G128" s="138">
        <v>40210.0</v>
      </c>
      <c r="H128" s="138">
        <v>40238.0</v>
      </c>
      <c r="I128" s="138">
        <v>40269.0</v>
      </c>
      <c r="J128" s="138">
        <v>40299.0</v>
      </c>
      <c r="K128" s="138">
        <v>40330.0</v>
      </c>
      <c r="L128" s="138">
        <v>40360.0</v>
      </c>
      <c r="M128" s="138">
        <v>40391.0</v>
      </c>
      <c r="N128" s="138">
        <v>40422.0</v>
      </c>
      <c r="O128" s="138">
        <v>40452.0</v>
      </c>
      <c r="P128" s="138">
        <v>40483.0</v>
      </c>
      <c r="Q128" s="138">
        <v>40513.0</v>
      </c>
      <c r="R128" s="138">
        <v>40544.0</v>
      </c>
      <c r="S128" s="138">
        <v>40575.0</v>
      </c>
      <c r="T128" s="138">
        <v>40603.0</v>
      </c>
      <c r="U128" s="138">
        <v>40634.0</v>
      </c>
      <c r="V128" s="138">
        <v>40664.0</v>
      </c>
      <c r="W128" s="138">
        <v>40695.0</v>
      </c>
      <c r="X128" s="138">
        <v>40725.0</v>
      </c>
      <c r="Y128" s="138">
        <v>40756.0</v>
      </c>
      <c r="Z128" s="138">
        <v>40787.0</v>
      </c>
      <c r="AA128" s="138">
        <v>40817.0</v>
      </c>
      <c r="AB128" s="138">
        <v>40848.0</v>
      </c>
      <c r="AC128" s="138">
        <v>40878.0</v>
      </c>
      <c r="AD128" s="138">
        <v>40909.0</v>
      </c>
      <c r="AE128" s="138">
        <v>40940.0</v>
      </c>
      <c r="AF128" s="138">
        <v>40969.0</v>
      </c>
      <c r="AG128" s="138">
        <v>41000.0</v>
      </c>
      <c r="AH128" s="138">
        <v>41030.0</v>
      </c>
      <c r="AI128" s="138">
        <v>41061.0</v>
      </c>
      <c r="AJ128" s="138">
        <v>41091.0</v>
      </c>
      <c r="AK128" s="138">
        <v>41122.0</v>
      </c>
      <c r="AL128" s="138">
        <v>41153.0</v>
      </c>
      <c r="AM128" s="138">
        <v>41183.0</v>
      </c>
      <c r="AN128" s="138">
        <v>41214.0</v>
      </c>
      <c r="AO128" s="138">
        <v>41244.0</v>
      </c>
      <c r="AP128" s="138">
        <v>41275.0</v>
      </c>
      <c r="AQ128" s="138">
        <v>41306.0</v>
      </c>
      <c r="AR128" s="138">
        <v>41334.0</v>
      </c>
      <c r="AS128" s="138">
        <v>41365.0</v>
      </c>
      <c r="AT128" s="138">
        <v>41395.0</v>
      </c>
      <c r="AU128" s="138">
        <v>41426.0</v>
      </c>
      <c r="AV128" s="138">
        <v>41456.0</v>
      </c>
      <c r="AW128" s="138">
        <v>41487.0</v>
      </c>
      <c r="AX128" s="138">
        <v>41518.0</v>
      </c>
      <c r="AY128" s="138">
        <v>41548.0</v>
      </c>
      <c r="AZ128" s="138">
        <v>41579.0</v>
      </c>
      <c r="BA128" s="138">
        <v>41609.0</v>
      </c>
      <c r="BB128" s="138">
        <v>41640.0</v>
      </c>
      <c r="BC128" s="138">
        <v>41671.0</v>
      </c>
      <c r="BD128" s="138">
        <v>41699.0</v>
      </c>
      <c r="BE128" s="138">
        <v>41730.0</v>
      </c>
      <c r="BF128" s="138">
        <v>41760.0</v>
      </c>
      <c r="BG128" s="138">
        <v>41791.0</v>
      </c>
      <c r="BH128" s="138">
        <v>41821.0</v>
      </c>
      <c r="BI128" s="138">
        <v>41852.0</v>
      </c>
      <c r="BJ128" s="138">
        <v>41883.0</v>
      </c>
      <c r="BK128" s="138">
        <v>41913.0</v>
      </c>
      <c r="BL128" s="138">
        <v>41944.0</v>
      </c>
      <c r="BM128" s="138">
        <v>41974.0</v>
      </c>
      <c r="BN128" s="138">
        <v>42005.0</v>
      </c>
      <c r="BO128" s="138">
        <v>42036.0</v>
      </c>
      <c r="BP128" s="138">
        <v>42064.0</v>
      </c>
      <c r="BQ128" s="138">
        <v>42095.0</v>
      </c>
      <c r="BR128" s="138">
        <v>42125.0</v>
      </c>
      <c r="BS128" s="138">
        <v>42156.0</v>
      </c>
      <c r="BT128" s="138">
        <v>42186.0</v>
      </c>
      <c r="BU128" s="138">
        <v>42217.0</v>
      </c>
      <c r="BV128" s="138">
        <v>42248.0</v>
      </c>
      <c r="BW128" s="138">
        <v>42278.0</v>
      </c>
      <c r="BX128" s="138">
        <v>42309.0</v>
      </c>
      <c r="BY128" s="138">
        <v>42339.0</v>
      </c>
      <c r="BZ128" s="138">
        <v>42370.0</v>
      </c>
      <c r="CA128" s="138">
        <v>42401.0</v>
      </c>
      <c r="CB128" s="138">
        <v>42430.0</v>
      </c>
      <c r="CC128" s="138">
        <v>42461.0</v>
      </c>
      <c r="CD128" s="138">
        <v>42491.0</v>
      </c>
      <c r="CE128" s="138">
        <v>42522.0</v>
      </c>
      <c r="CF128" s="138">
        <v>42552.0</v>
      </c>
      <c r="CG128" s="138">
        <v>42583.0</v>
      </c>
      <c r="CH128" s="138">
        <v>42614.0</v>
      </c>
      <c r="CI128" s="138">
        <v>42644.0</v>
      </c>
      <c r="CJ128" s="138">
        <v>42675.0</v>
      </c>
      <c r="CK128" s="138">
        <v>42705.0</v>
      </c>
      <c r="CL128" s="138">
        <v>42736.0</v>
      </c>
      <c r="CM128" s="138">
        <v>42767.0</v>
      </c>
      <c r="CN128" s="138">
        <v>42795.0</v>
      </c>
      <c r="CO128" s="138">
        <v>42826.0</v>
      </c>
      <c r="CP128" s="138">
        <v>42856.0</v>
      </c>
      <c r="CQ128" s="138">
        <v>42887.0</v>
      </c>
      <c r="CR128" s="138">
        <v>42917.0</v>
      </c>
      <c r="CS128" s="138">
        <v>42948.0</v>
      </c>
      <c r="CT128" s="138">
        <v>42979.0</v>
      </c>
      <c r="CU128" s="138">
        <v>43009.0</v>
      </c>
      <c r="CV128" s="138">
        <v>43040.0</v>
      </c>
      <c r="CW128" s="138">
        <v>43070.0</v>
      </c>
      <c r="CX128" s="138">
        <v>43101.0</v>
      </c>
      <c r="CY128" s="138">
        <v>43132.0</v>
      </c>
      <c r="CZ128" s="138">
        <v>43160.0</v>
      </c>
      <c r="DA128" s="138">
        <v>43191.0</v>
      </c>
      <c r="DB128" s="138">
        <v>43221.0</v>
      </c>
      <c r="DC128" s="138">
        <v>43252.0</v>
      </c>
      <c r="DD128" s="138">
        <v>43282.0</v>
      </c>
      <c r="DE128" s="138">
        <v>43313.0</v>
      </c>
      <c r="DF128" s="138">
        <v>43344.0</v>
      </c>
      <c r="DG128" s="138">
        <v>43374.0</v>
      </c>
      <c r="DH128" s="138">
        <v>43405.0</v>
      </c>
      <c r="DI128" s="138">
        <v>43435.0</v>
      </c>
      <c r="DJ128" s="138">
        <v>43466.0</v>
      </c>
      <c r="DK128" s="138">
        <v>43497.0</v>
      </c>
      <c r="DL128" s="138">
        <v>43525.0</v>
      </c>
      <c r="DM128" s="138">
        <v>43556.0</v>
      </c>
      <c r="DN128" s="138">
        <v>43586.0</v>
      </c>
      <c r="DO128" s="138">
        <v>43617.0</v>
      </c>
      <c r="DP128" s="138">
        <v>43647.0</v>
      </c>
      <c r="DQ128" s="138">
        <v>43678.0</v>
      </c>
      <c r="DR128" s="138">
        <v>43709.0</v>
      </c>
      <c r="DS128" s="138">
        <v>43739.0</v>
      </c>
      <c r="DT128" s="138">
        <v>43770.0</v>
      </c>
      <c r="DU128" s="138">
        <v>43800.0</v>
      </c>
      <c r="DV128" s="138">
        <v>43831.0</v>
      </c>
      <c r="DW128" s="138">
        <v>43862.0</v>
      </c>
      <c r="DX128" s="138">
        <v>43891.0</v>
      </c>
      <c r="DY128" s="138">
        <v>43922.0</v>
      </c>
      <c r="DZ128" s="138">
        <v>43952.0</v>
      </c>
      <c r="EA128" s="138">
        <v>43983.0</v>
      </c>
      <c r="EB128" s="138">
        <v>44013.0</v>
      </c>
      <c r="EC128" s="138">
        <v>44044.0</v>
      </c>
      <c r="ED128" s="138">
        <v>44075.0</v>
      </c>
      <c r="EE128" s="138">
        <v>44105.0</v>
      </c>
      <c r="EF128" s="138">
        <v>44136.0</v>
      </c>
      <c r="EG128" s="138">
        <v>44166.0</v>
      </c>
      <c r="EH128" s="138">
        <v>44197.0</v>
      </c>
      <c r="EI128" s="138">
        <v>44228.0</v>
      </c>
      <c r="EJ128" s="138">
        <v>44256.0</v>
      </c>
      <c r="EK128" s="138">
        <v>44287.0</v>
      </c>
      <c r="EL128" s="138">
        <v>44317.0</v>
      </c>
      <c r="EM128" s="138">
        <v>44348.0</v>
      </c>
      <c r="EN128" s="138">
        <v>44378.0</v>
      </c>
      <c r="EO128" s="138">
        <v>44409.0</v>
      </c>
      <c r="EP128" s="138">
        <v>44440.0</v>
      </c>
      <c r="EQ128" s="138">
        <v>44470.0</v>
      </c>
      <c r="ER128" s="138">
        <v>44501.0</v>
      </c>
      <c r="ES128" s="138">
        <v>44531.0</v>
      </c>
      <c r="ET128" s="138">
        <v>44562.0</v>
      </c>
      <c r="EU128" s="138">
        <v>44593.0</v>
      </c>
      <c r="EV128" s="138">
        <v>44621.0</v>
      </c>
      <c r="EW128" s="138">
        <v>44652.0</v>
      </c>
      <c r="EX128" s="138">
        <v>44682.0</v>
      </c>
      <c r="EY128" s="138">
        <v>44713.0</v>
      </c>
      <c r="EZ128" s="138">
        <v>44743.0</v>
      </c>
      <c r="FA128" s="138">
        <v>44774.0</v>
      </c>
      <c r="FB128" s="138">
        <v>44805.0</v>
      </c>
      <c r="FC128" s="138">
        <v>44835.0</v>
      </c>
      <c r="FD128" s="138">
        <v>44866.0</v>
      </c>
      <c r="FE128" s="138">
        <v>44896.0</v>
      </c>
      <c r="FF128" s="138">
        <v>44927.0</v>
      </c>
      <c r="FG128" s="138">
        <v>44958.0</v>
      </c>
      <c r="FH128" s="138">
        <v>44986.0</v>
      </c>
      <c r="FI128" s="138">
        <v>45017.0</v>
      </c>
      <c r="FJ128" s="138">
        <v>45047.0</v>
      </c>
      <c r="FK128" s="138">
        <v>45078.0</v>
      </c>
      <c r="FL128" s="138">
        <v>45108.0</v>
      </c>
      <c r="FM128" s="138">
        <v>45139.0</v>
      </c>
      <c r="FN128" s="138">
        <v>45170.0</v>
      </c>
      <c r="FO128" s="138">
        <v>45200.0</v>
      </c>
      <c r="FP128" s="138">
        <v>45231.0</v>
      </c>
      <c r="FQ128" s="138">
        <v>45261.0</v>
      </c>
      <c r="FR128" s="138">
        <v>45292.0</v>
      </c>
      <c r="FS128" s="138">
        <v>45323.0</v>
      </c>
      <c r="FT128" s="138">
        <v>45352.0</v>
      </c>
      <c r="FU128" s="138">
        <v>45383.0</v>
      </c>
      <c r="FV128" s="138">
        <v>45413.0</v>
      </c>
      <c r="FW128" s="138">
        <v>45444.0</v>
      </c>
      <c r="FX128" s="138">
        <v>45474.0</v>
      </c>
      <c r="FY128" s="138">
        <v>45505.0</v>
      </c>
      <c r="FZ128" s="138">
        <v>45536.0</v>
      </c>
      <c r="GA128" s="138">
        <v>45566.0</v>
      </c>
      <c r="GB128" s="138">
        <v>45597.0</v>
      </c>
      <c r="GC128" s="138">
        <v>45627.0</v>
      </c>
      <c r="GD128" s="138">
        <v>45658.0</v>
      </c>
      <c r="GE128" s="138">
        <v>45689.0</v>
      </c>
      <c r="GF128" s="138">
        <v>45717.0</v>
      </c>
      <c r="GG128" s="139">
        <v>45748.0</v>
      </c>
      <c r="GH128" s="139">
        <v>45778.0</v>
      </c>
      <c r="GI128" s="139">
        <v>45809.0</v>
      </c>
      <c r="GJ128" s="139">
        <v>45839.0</v>
      </c>
    </row>
    <row r="129">
      <c r="A129" s="133" t="s">
        <v>1596</v>
      </c>
      <c r="B129" s="134">
        <v>45737.57670138889</v>
      </c>
      <c r="C129" s="135" t="str">
        <f t="shared" si="1"/>
        <v>2025/03/21</v>
      </c>
      <c r="D129" s="136" t="s">
        <v>34320</v>
      </c>
      <c r="E129" s="151">
        <v>0.0</v>
      </c>
      <c r="F129" s="138">
        <v>40179.0</v>
      </c>
      <c r="G129" s="138">
        <v>40210.0</v>
      </c>
      <c r="H129" s="138">
        <v>40238.0</v>
      </c>
      <c r="I129" s="138">
        <v>40269.0</v>
      </c>
      <c r="J129" s="138">
        <v>40299.0</v>
      </c>
      <c r="K129" s="138">
        <v>40330.0</v>
      </c>
      <c r="L129" s="138">
        <v>40360.0</v>
      </c>
      <c r="M129" s="138">
        <v>40391.0</v>
      </c>
      <c r="N129" s="138">
        <v>40422.0</v>
      </c>
      <c r="O129" s="138">
        <v>40452.0</v>
      </c>
      <c r="P129" s="138">
        <v>40483.0</v>
      </c>
      <c r="Q129" s="138">
        <v>40513.0</v>
      </c>
      <c r="R129" s="138">
        <v>40544.0</v>
      </c>
      <c r="S129" s="138">
        <v>40575.0</v>
      </c>
      <c r="T129" s="138">
        <v>40603.0</v>
      </c>
      <c r="U129" s="138">
        <v>40634.0</v>
      </c>
      <c r="V129" s="138">
        <v>40664.0</v>
      </c>
      <c r="W129" s="138">
        <v>40695.0</v>
      </c>
      <c r="X129" s="138">
        <v>40725.0</v>
      </c>
      <c r="Y129" s="138">
        <v>40756.0</v>
      </c>
      <c r="Z129" s="138">
        <v>40787.0</v>
      </c>
      <c r="AA129" s="138">
        <v>40817.0</v>
      </c>
      <c r="AB129" s="138">
        <v>40848.0</v>
      </c>
      <c r="AC129" s="138">
        <v>40878.0</v>
      </c>
      <c r="AD129" s="138">
        <v>40909.0</v>
      </c>
      <c r="AE129" s="138">
        <v>40940.0</v>
      </c>
      <c r="AF129" s="138">
        <v>40969.0</v>
      </c>
      <c r="AG129" s="138">
        <v>41000.0</v>
      </c>
      <c r="AH129" s="138">
        <v>41030.0</v>
      </c>
      <c r="AI129" s="138">
        <v>41061.0</v>
      </c>
      <c r="AJ129" s="138">
        <v>41091.0</v>
      </c>
      <c r="AK129" s="138">
        <v>41122.0</v>
      </c>
      <c r="AL129" s="138">
        <v>41153.0</v>
      </c>
      <c r="AM129" s="138">
        <v>41183.0</v>
      </c>
      <c r="AN129" s="138">
        <v>41214.0</v>
      </c>
      <c r="AO129" s="138">
        <v>41244.0</v>
      </c>
      <c r="AP129" s="138">
        <v>41275.0</v>
      </c>
      <c r="AQ129" s="138">
        <v>41306.0</v>
      </c>
      <c r="AR129" s="138">
        <v>41334.0</v>
      </c>
      <c r="AS129" s="138">
        <v>41365.0</v>
      </c>
      <c r="AT129" s="138">
        <v>41395.0</v>
      </c>
      <c r="AU129" s="138">
        <v>41426.0</v>
      </c>
      <c r="AV129" s="138">
        <v>41456.0</v>
      </c>
      <c r="AW129" s="138">
        <v>41487.0</v>
      </c>
      <c r="AX129" s="138">
        <v>41518.0</v>
      </c>
      <c r="AY129" s="138">
        <v>41548.0</v>
      </c>
      <c r="AZ129" s="138">
        <v>41579.0</v>
      </c>
      <c r="BA129" s="138">
        <v>41609.0</v>
      </c>
      <c r="BB129" s="138">
        <v>41640.0</v>
      </c>
      <c r="BC129" s="138">
        <v>41671.0</v>
      </c>
      <c r="BD129" s="138">
        <v>41699.0</v>
      </c>
      <c r="BE129" s="138">
        <v>41730.0</v>
      </c>
      <c r="BF129" s="138">
        <v>41760.0</v>
      </c>
      <c r="BG129" s="138">
        <v>41791.0</v>
      </c>
      <c r="BH129" s="138">
        <v>41821.0</v>
      </c>
      <c r="BI129" s="138">
        <v>41852.0</v>
      </c>
      <c r="BJ129" s="138">
        <v>41883.0</v>
      </c>
      <c r="BK129" s="138">
        <v>41913.0</v>
      </c>
      <c r="BL129" s="138">
        <v>41944.0</v>
      </c>
      <c r="BM129" s="138">
        <v>41974.0</v>
      </c>
      <c r="BN129" s="138">
        <v>42005.0</v>
      </c>
      <c r="BO129" s="138">
        <v>42036.0</v>
      </c>
      <c r="BP129" s="138">
        <v>42064.0</v>
      </c>
      <c r="BQ129" s="138">
        <v>42095.0</v>
      </c>
      <c r="BR129" s="138">
        <v>42125.0</v>
      </c>
      <c r="BS129" s="138">
        <v>42156.0</v>
      </c>
      <c r="BT129" s="138">
        <v>42186.0</v>
      </c>
      <c r="BU129" s="138">
        <v>42217.0</v>
      </c>
      <c r="BV129" s="138">
        <v>42248.0</v>
      </c>
      <c r="BW129" s="138">
        <v>42278.0</v>
      </c>
      <c r="BX129" s="138">
        <v>42309.0</v>
      </c>
      <c r="BY129" s="138">
        <v>42339.0</v>
      </c>
      <c r="BZ129" s="138">
        <v>42370.0</v>
      </c>
      <c r="CA129" s="138">
        <v>42401.0</v>
      </c>
      <c r="CB129" s="138">
        <v>42430.0</v>
      </c>
      <c r="CC129" s="138">
        <v>42461.0</v>
      </c>
      <c r="CD129" s="138">
        <v>42491.0</v>
      </c>
      <c r="CE129" s="138">
        <v>42522.0</v>
      </c>
      <c r="CF129" s="138">
        <v>42552.0</v>
      </c>
      <c r="CG129" s="138">
        <v>42583.0</v>
      </c>
      <c r="CH129" s="138">
        <v>42614.0</v>
      </c>
      <c r="CI129" s="138">
        <v>42644.0</v>
      </c>
      <c r="CJ129" s="138">
        <v>42675.0</v>
      </c>
      <c r="CK129" s="138">
        <v>42705.0</v>
      </c>
      <c r="CL129" s="138">
        <v>42736.0</v>
      </c>
      <c r="CM129" s="138">
        <v>42767.0</v>
      </c>
      <c r="CN129" s="138">
        <v>42795.0</v>
      </c>
      <c r="CO129" s="138">
        <v>42826.0</v>
      </c>
      <c r="CP129" s="138">
        <v>42856.0</v>
      </c>
      <c r="CQ129" s="138">
        <v>42887.0</v>
      </c>
      <c r="CR129" s="138">
        <v>42917.0</v>
      </c>
      <c r="CS129" s="138">
        <v>42948.0</v>
      </c>
      <c r="CT129" s="138">
        <v>42979.0</v>
      </c>
      <c r="CU129" s="138">
        <v>43009.0</v>
      </c>
      <c r="CV129" s="138">
        <v>43040.0</v>
      </c>
      <c r="CW129" s="138">
        <v>43070.0</v>
      </c>
      <c r="CX129" s="138">
        <v>43101.0</v>
      </c>
      <c r="CY129" s="138">
        <v>43132.0</v>
      </c>
      <c r="CZ129" s="138">
        <v>43160.0</v>
      </c>
      <c r="DA129" s="138">
        <v>43191.0</v>
      </c>
      <c r="DB129" s="138">
        <v>43221.0</v>
      </c>
      <c r="DC129" s="138">
        <v>43252.0</v>
      </c>
      <c r="DD129" s="138">
        <v>43282.0</v>
      </c>
      <c r="DE129" s="138">
        <v>43313.0</v>
      </c>
      <c r="DF129" s="138">
        <v>43344.0</v>
      </c>
      <c r="DG129" s="138">
        <v>43374.0</v>
      </c>
      <c r="DH129" s="138">
        <v>43405.0</v>
      </c>
      <c r="DI129" s="138">
        <v>43435.0</v>
      </c>
      <c r="DJ129" s="138">
        <v>43466.0</v>
      </c>
      <c r="DK129" s="138">
        <v>43497.0</v>
      </c>
      <c r="DL129" s="138">
        <v>43525.0</v>
      </c>
      <c r="DM129" s="138">
        <v>43556.0</v>
      </c>
      <c r="DN129" s="138">
        <v>43586.0</v>
      </c>
      <c r="DO129" s="138">
        <v>43617.0</v>
      </c>
      <c r="DP129" s="138">
        <v>43647.0</v>
      </c>
      <c r="DQ129" s="138">
        <v>43678.0</v>
      </c>
      <c r="DR129" s="138">
        <v>43709.0</v>
      </c>
      <c r="DS129" s="138">
        <v>43739.0</v>
      </c>
      <c r="DT129" s="138">
        <v>43770.0</v>
      </c>
      <c r="DU129" s="138">
        <v>43800.0</v>
      </c>
      <c r="DV129" s="138">
        <v>43831.0</v>
      </c>
      <c r="DW129" s="138">
        <v>43862.0</v>
      </c>
      <c r="DX129" s="138">
        <v>43891.0</v>
      </c>
      <c r="DY129" s="138">
        <v>43922.0</v>
      </c>
      <c r="DZ129" s="138">
        <v>43952.0</v>
      </c>
      <c r="EA129" s="138">
        <v>43983.0</v>
      </c>
      <c r="EB129" s="138">
        <v>44013.0</v>
      </c>
      <c r="EC129" s="138">
        <v>44044.0</v>
      </c>
      <c r="ED129" s="138">
        <v>44075.0</v>
      </c>
      <c r="EE129" s="138">
        <v>44105.0</v>
      </c>
      <c r="EF129" s="138">
        <v>44136.0</v>
      </c>
      <c r="EG129" s="138">
        <v>44166.0</v>
      </c>
      <c r="EH129" s="138">
        <v>44197.0</v>
      </c>
      <c r="EI129" s="138">
        <v>44228.0</v>
      </c>
      <c r="EJ129" s="138">
        <v>44256.0</v>
      </c>
      <c r="EK129" s="138">
        <v>44287.0</v>
      </c>
      <c r="EL129" s="138">
        <v>44317.0</v>
      </c>
      <c r="EM129" s="138">
        <v>44348.0</v>
      </c>
      <c r="EN129" s="138">
        <v>44378.0</v>
      </c>
      <c r="EO129" s="138">
        <v>44409.0</v>
      </c>
      <c r="EP129" s="138">
        <v>44440.0</v>
      </c>
      <c r="EQ129" s="138">
        <v>44470.0</v>
      </c>
      <c r="ER129" s="138">
        <v>44501.0</v>
      </c>
      <c r="ES129" s="138">
        <v>44531.0</v>
      </c>
      <c r="ET129" s="138">
        <v>44562.0</v>
      </c>
      <c r="EU129" s="138">
        <v>44593.0</v>
      </c>
      <c r="EV129" s="138">
        <v>44621.0</v>
      </c>
      <c r="EW129" s="138">
        <v>44652.0</v>
      </c>
      <c r="EX129" s="138">
        <v>44682.0</v>
      </c>
      <c r="EY129" s="138">
        <v>44713.0</v>
      </c>
      <c r="EZ129" s="138">
        <v>44743.0</v>
      </c>
      <c r="FA129" s="138">
        <v>44774.0</v>
      </c>
      <c r="FB129" s="138">
        <v>44805.0</v>
      </c>
      <c r="FC129" s="138">
        <v>44835.0</v>
      </c>
      <c r="FD129" s="138">
        <v>44866.0</v>
      </c>
      <c r="FE129" s="138">
        <v>44896.0</v>
      </c>
      <c r="FF129" s="138">
        <v>44927.0</v>
      </c>
      <c r="FG129" s="138">
        <v>44958.0</v>
      </c>
      <c r="FH129" s="138">
        <v>44986.0</v>
      </c>
      <c r="FI129" s="138">
        <v>45017.0</v>
      </c>
      <c r="FJ129" s="138">
        <v>45047.0</v>
      </c>
      <c r="FK129" s="138">
        <v>45078.0</v>
      </c>
      <c r="FL129" s="138">
        <v>45108.0</v>
      </c>
      <c r="FM129" s="138">
        <v>45139.0</v>
      </c>
      <c r="FN129" s="138">
        <v>45170.0</v>
      </c>
      <c r="FO129" s="138">
        <v>45200.0</v>
      </c>
      <c r="FP129" s="138">
        <v>45231.0</v>
      </c>
      <c r="FQ129" s="138">
        <v>45261.0</v>
      </c>
      <c r="FR129" s="138">
        <v>45292.0</v>
      </c>
      <c r="FS129" s="138">
        <v>45323.0</v>
      </c>
      <c r="FT129" s="138">
        <v>45352.0</v>
      </c>
      <c r="FU129" s="138">
        <v>45383.0</v>
      </c>
      <c r="FV129" s="138">
        <v>45413.0</v>
      </c>
      <c r="FW129" s="138">
        <v>45444.0</v>
      </c>
      <c r="FX129" s="138">
        <v>45474.0</v>
      </c>
      <c r="FY129" s="138">
        <v>45505.0</v>
      </c>
      <c r="FZ129" s="138">
        <v>45536.0</v>
      </c>
      <c r="GA129" s="138">
        <v>45566.0</v>
      </c>
      <c r="GB129" s="138">
        <v>45597.0</v>
      </c>
      <c r="GC129" s="138">
        <v>45627.0</v>
      </c>
      <c r="GD129" s="138">
        <v>45658.0</v>
      </c>
      <c r="GE129" s="138">
        <v>45689.0</v>
      </c>
      <c r="GF129" s="138">
        <v>45717.0</v>
      </c>
      <c r="GG129" s="139">
        <v>45748.0</v>
      </c>
      <c r="GH129" s="139">
        <v>45778.0</v>
      </c>
      <c r="GI129" s="139">
        <v>45809.0</v>
      </c>
      <c r="GJ129" s="139">
        <v>45839.0</v>
      </c>
    </row>
    <row r="130">
      <c r="A130" s="133" t="s">
        <v>1436</v>
      </c>
      <c r="B130" s="134">
        <v>45741.79550925926</v>
      </c>
      <c r="C130" s="135" t="str">
        <f t="shared" si="1"/>
        <v>2025/03/25</v>
      </c>
      <c r="D130" s="136" t="s">
        <v>34109</v>
      </c>
      <c r="E130" s="151">
        <v>0.0</v>
      </c>
      <c r="F130" s="138">
        <v>40179.0</v>
      </c>
      <c r="G130" s="138">
        <v>40210.0</v>
      </c>
      <c r="H130" s="138">
        <v>40238.0</v>
      </c>
      <c r="I130" s="138">
        <v>40269.0</v>
      </c>
      <c r="J130" s="138">
        <v>40299.0</v>
      </c>
      <c r="K130" s="138">
        <v>40330.0</v>
      </c>
      <c r="L130" s="138">
        <v>40360.0</v>
      </c>
      <c r="M130" s="138">
        <v>40391.0</v>
      </c>
      <c r="N130" s="138">
        <v>40422.0</v>
      </c>
      <c r="O130" s="138">
        <v>40452.0</v>
      </c>
      <c r="P130" s="138">
        <v>40483.0</v>
      </c>
      <c r="Q130" s="138">
        <v>40513.0</v>
      </c>
      <c r="R130" s="138">
        <v>40544.0</v>
      </c>
      <c r="S130" s="138">
        <v>40575.0</v>
      </c>
      <c r="T130" s="138">
        <v>40603.0</v>
      </c>
      <c r="U130" s="138">
        <v>40634.0</v>
      </c>
      <c r="V130" s="138">
        <v>40664.0</v>
      </c>
      <c r="W130" s="138">
        <v>40695.0</v>
      </c>
      <c r="X130" s="138">
        <v>40725.0</v>
      </c>
      <c r="Y130" s="138">
        <v>40756.0</v>
      </c>
      <c r="Z130" s="138">
        <v>40787.0</v>
      </c>
      <c r="AA130" s="138">
        <v>40817.0</v>
      </c>
      <c r="AB130" s="138">
        <v>40848.0</v>
      </c>
      <c r="AC130" s="138">
        <v>40878.0</v>
      </c>
      <c r="AD130" s="138">
        <v>40909.0</v>
      </c>
      <c r="AE130" s="138">
        <v>40940.0</v>
      </c>
      <c r="AF130" s="138">
        <v>40969.0</v>
      </c>
      <c r="AG130" s="138">
        <v>41000.0</v>
      </c>
      <c r="AH130" s="138">
        <v>41030.0</v>
      </c>
      <c r="AI130" s="138">
        <v>41061.0</v>
      </c>
      <c r="AJ130" s="138">
        <v>41091.0</v>
      </c>
      <c r="AK130" s="138">
        <v>41122.0</v>
      </c>
      <c r="AL130" s="138">
        <v>41153.0</v>
      </c>
      <c r="AM130" s="138">
        <v>41183.0</v>
      </c>
      <c r="AN130" s="138">
        <v>41214.0</v>
      </c>
      <c r="AO130" s="138">
        <v>41244.0</v>
      </c>
      <c r="AP130" s="138">
        <v>41275.0</v>
      </c>
      <c r="AQ130" s="138">
        <v>41306.0</v>
      </c>
      <c r="AR130" s="138">
        <v>41334.0</v>
      </c>
      <c r="AS130" s="138">
        <v>41365.0</v>
      </c>
      <c r="AT130" s="138">
        <v>41395.0</v>
      </c>
      <c r="AU130" s="138">
        <v>41426.0</v>
      </c>
      <c r="AV130" s="138">
        <v>41456.0</v>
      </c>
      <c r="AW130" s="138">
        <v>41487.0</v>
      </c>
      <c r="AX130" s="138">
        <v>41518.0</v>
      </c>
      <c r="AY130" s="138">
        <v>41548.0</v>
      </c>
      <c r="AZ130" s="138">
        <v>41579.0</v>
      </c>
      <c r="BA130" s="138">
        <v>41609.0</v>
      </c>
      <c r="BB130" s="138">
        <v>41640.0</v>
      </c>
      <c r="BC130" s="138">
        <v>41671.0</v>
      </c>
      <c r="BD130" s="138">
        <v>41699.0</v>
      </c>
      <c r="BE130" s="138">
        <v>41730.0</v>
      </c>
      <c r="BF130" s="138">
        <v>41760.0</v>
      </c>
      <c r="BG130" s="138">
        <v>41791.0</v>
      </c>
      <c r="BH130" s="138">
        <v>41821.0</v>
      </c>
      <c r="BI130" s="138">
        <v>41852.0</v>
      </c>
      <c r="BJ130" s="138">
        <v>41883.0</v>
      </c>
      <c r="BK130" s="138">
        <v>41913.0</v>
      </c>
      <c r="BL130" s="138">
        <v>41944.0</v>
      </c>
      <c r="BM130" s="138">
        <v>41974.0</v>
      </c>
      <c r="BN130" s="138">
        <v>42005.0</v>
      </c>
      <c r="BO130" s="138">
        <v>42036.0</v>
      </c>
      <c r="BP130" s="138">
        <v>42064.0</v>
      </c>
      <c r="BQ130" s="138">
        <v>42095.0</v>
      </c>
      <c r="BR130" s="138">
        <v>42125.0</v>
      </c>
      <c r="BS130" s="138">
        <v>42156.0</v>
      </c>
      <c r="BT130" s="138">
        <v>42186.0</v>
      </c>
      <c r="BU130" s="138">
        <v>42217.0</v>
      </c>
      <c r="BV130" s="138">
        <v>42248.0</v>
      </c>
      <c r="BW130" s="138">
        <v>42278.0</v>
      </c>
      <c r="BX130" s="138">
        <v>42309.0</v>
      </c>
      <c r="BY130" s="138">
        <v>42339.0</v>
      </c>
      <c r="BZ130" s="138">
        <v>42370.0</v>
      </c>
      <c r="CA130" s="138">
        <v>42401.0</v>
      </c>
      <c r="CB130" s="138">
        <v>42430.0</v>
      </c>
      <c r="CC130" s="138">
        <v>42461.0</v>
      </c>
      <c r="CD130" s="138">
        <v>42491.0</v>
      </c>
      <c r="CE130" s="138">
        <v>42522.0</v>
      </c>
      <c r="CF130" s="138">
        <v>42552.0</v>
      </c>
      <c r="CG130" s="138">
        <v>42583.0</v>
      </c>
      <c r="CH130" s="138">
        <v>42614.0</v>
      </c>
      <c r="CI130" s="138">
        <v>42644.0</v>
      </c>
      <c r="CJ130" s="138">
        <v>42675.0</v>
      </c>
      <c r="CK130" s="138">
        <v>42705.0</v>
      </c>
      <c r="CL130" s="138">
        <v>42736.0</v>
      </c>
      <c r="CM130" s="138">
        <v>42767.0</v>
      </c>
      <c r="CN130" s="138">
        <v>42795.0</v>
      </c>
      <c r="CO130" s="138">
        <v>42826.0</v>
      </c>
      <c r="CP130" s="138">
        <v>42856.0</v>
      </c>
      <c r="CQ130" s="138">
        <v>42887.0</v>
      </c>
      <c r="CR130" s="138">
        <v>42917.0</v>
      </c>
      <c r="CS130" s="138">
        <v>42948.0</v>
      </c>
      <c r="CT130" s="138">
        <v>42979.0</v>
      </c>
      <c r="CU130" s="138">
        <v>43009.0</v>
      </c>
      <c r="CV130" s="138">
        <v>43040.0</v>
      </c>
      <c r="CW130" s="138">
        <v>43070.0</v>
      </c>
      <c r="CX130" s="138">
        <v>43101.0</v>
      </c>
      <c r="CY130" s="138">
        <v>43132.0</v>
      </c>
      <c r="CZ130" s="138">
        <v>43160.0</v>
      </c>
      <c r="DA130" s="138">
        <v>43191.0</v>
      </c>
      <c r="DB130" s="138">
        <v>43221.0</v>
      </c>
      <c r="DC130" s="138">
        <v>43252.0</v>
      </c>
      <c r="DD130" s="138">
        <v>43282.0</v>
      </c>
      <c r="DE130" s="138">
        <v>43313.0</v>
      </c>
      <c r="DF130" s="138">
        <v>43344.0</v>
      </c>
      <c r="DG130" s="138">
        <v>43374.0</v>
      </c>
      <c r="DH130" s="138">
        <v>43405.0</v>
      </c>
      <c r="DI130" s="138">
        <v>43435.0</v>
      </c>
      <c r="DJ130" s="138">
        <v>43466.0</v>
      </c>
      <c r="DK130" s="138">
        <v>43497.0</v>
      </c>
      <c r="DL130" s="138">
        <v>43525.0</v>
      </c>
      <c r="DM130" s="138">
        <v>43556.0</v>
      </c>
      <c r="DN130" s="138">
        <v>43586.0</v>
      </c>
      <c r="DO130" s="138">
        <v>43617.0</v>
      </c>
      <c r="DP130" s="138">
        <v>43647.0</v>
      </c>
      <c r="DQ130" s="138">
        <v>43678.0</v>
      </c>
      <c r="DR130" s="138">
        <v>43709.0</v>
      </c>
      <c r="DS130" s="138">
        <v>43739.0</v>
      </c>
      <c r="DT130" s="138">
        <v>43770.0</v>
      </c>
      <c r="DU130" s="138">
        <v>43800.0</v>
      </c>
      <c r="DV130" s="138">
        <v>43831.0</v>
      </c>
      <c r="DW130" s="138">
        <v>43862.0</v>
      </c>
      <c r="DX130" s="138">
        <v>43891.0</v>
      </c>
      <c r="DY130" s="138">
        <v>43922.0</v>
      </c>
      <c r="DZ130" s="138">
        <v>43952.0</v>
      </c>
      <c r="EA130" s="138">
        <v>43983.0</v>
      </c>
      <c r="EB130" s="138">
        <v>44013.0</v>
      </c>
      <c r="EC130" s="138">
        <v>44044.0</v>
      </c>
      <c r="ED130" s="138">
        <v>44075.0</v>
      </c>
      <c r="EE130" s="138">
        <v>44105.0</v>
      </c>
      <c r="EF130" s="138">
        <v>44136.0</v>
      </c>
      <c r="EG130" s="138">
        <v>44166.0</v>
      </c>
      <c r="EH130" s="138">
        <v>44197.0</v>
      </c>
      <c r="EI130" s="138">
        <v>44228.0</v>
      </c>
      <c r="EJ130" s="138">
        <v>44256.0</v>
      </c>
      <c r="EK130" s="138">
        <v>44287.0</v>
      </c>
      <c r="EL130" s="138">
        <v>44317.0</v>
      </c>
      <c r="EM130" s="138">
        <v>44348.0</v>
      </c>
      <c r="EN130" s="138">
        <v>44378.0</v>
      </c>
      <c r="EO130" s="138">
        <v>44409.0</v>
      </c>
      <c r="EP130" s="138">
        <v>44440.0</v>
      </c>
      <c r="EQ130" s="138">
        <v>44470.0</v>
      </c>
      <c r="ER130" s="138">
        <v>44501.0</v>
      </c>
      <c r="ES130" s="138">
        <v>44531.0</v>
      </c>
      <c r="ET130" s="138">
        <v>44562.0</v>
      </c>
      <c r="EU130" s="138">
        <v>44593.0</v>
      </c>
      <c r="EV130" s="138">
        <v>44621.0</v>
      </c>
      <c r="EW130" s="138">
        <v>44652.0</v>
      </c>
      <c r="EX130" s="138">
        <v>44682.0</v>
      </c>
      <c r="EY130" s="138">
        <v>44713.0</v>
      </c>
      <c r="EZ130" s="138">
        <v>44743.0</v>
      </c>
      <c r="FA130" s="138">
        <v>44774.0</v>
      </c>
      <c r="FB130" s="138">
        <v>44805.0</v>
      </c>
      <c r="FC130" s="138">
        <v>44835.0</v>
      </c>
      <c r="FD130" s="138">
        <v>44866.0</v>
      </c>
      <c r="FE130" s="138">
        <v>44896.0</v>
      </c>
      <c r="FF130" s="138">
        <v>44927.0</v>
      </c>
      <c r="FG130" s="138">
        <v>44958.0</v>
      </c>
      <c r="FH130" s="138">
        <v>44986.0</v>
      </c>
      <c r="FI130" s="138">
        <v>45017.0</v>
      </c>
      <c r="FJ130" s="138">
        <v>45047.0</v>
      </c>
      <c r="FK130" s="138">
        <v>45078.0</v>
      </c>
      <c r="FL130" s="138">
        <v>45108.0</v>
      </c>
      <c r="FM130" s="138">
        <v>45139.0</v>
      </c>
      <c r="FN130" s="138">
        <v>45170.0</v>
      </c>
      <c r="FO130" s="138">
        <v>45200.0</v>
      </c>
      <c r="FP130" s="138">
        <v>45231.0</v>
      </c>
      <c r="FQ130" s="138">
        <v>45261.0</v>
      </c>
      <c r="FR130" s="138">
        <v>45292.0</v>
      </c>
      <c r="FS130" s="138">
        <v>45323.0</v>
      </c>
      <c r="FT130" s="138">
        <v>45352.0</v>
      </c>
      <c r="FU130" s="138">
        <v>45383.0</v>
      </c>
      <c r="FV130" s="138">
        <v>45413.0</v>
      </c>
      <c r="FW130" s="138">
        <v>45444.0</v>
      </c>
      <c r="FX130" s="138">
        <v>45474.0</v>
      </c>
      <c r="FY130" s="138">
        <v>45505.0</v>
      </c>
      <c r="FZ130" s="138">
        <v>45536.0</v>
      </c>
      <c r="GA130" s="138">
        <v>45566.0</v>
      </c>
      <c r="GB130" s="138">
        <v>45597.0</v>
      </c>
      <c r="GC130" s="138">
        <v>45627.0</v>
      </c>
      <c r="GD130" s="138">
        <v>45658.0</v>
      </c>
      <c r="GE130" s="138">
        <v>45689.0</v>
      </c>
      <c r="GF130" s="138">
        <v>45717.0</v>
      </c>
      <c r="GG130" s="139">
        <v>45748.0</v>
      </c>
      <c r="GH130" s="139">
        <v>45778.0</v>
      </c>
      <c r="GI130" s="139">
        <v>45809.0</v>
      </c>
      <c r="GJ130" s="139">
        <v>45839.0</v>
      </c>
    </row>
    <row r="131">
      <c r="A131" s="133" t="s">
        <v>1554</v>
      </c>
      <c r="B131" s="134">
        <v>45743.60734953704</v>
      </c>
      <c r="C131" s="135" t="str">
        <f t="shared" si="1"/>
        <v>2025/03/27</v>
      </c>
      <c r="D131" s="136" t="s">
        <v>34321</v>
      </c>
      <c r="E131" s="151">
        <v>0.06</v>
      </c>
      <c r="F131" s="138">
        <v>40179.0</v>
      </c>
      <c r="G131" s="138">
        <v>40210.0</v>
      </c>
      <c r="H131" s="138">
        <v>40238.0</v>
      </c>
      <c r="I131" s="138">
        <v>40269.0</v>
      </c>
      <c r="J131" s="138">
        <v>40299.0</v>
      </c>
      <c r="K131" s="138">
        <v>40330.0</v>
      </c>
      <c r="L131" s="138">
        <v>40360.0</v>
      </c>
      <c r="M131" s="138">
        <v>40391.0</v>
      </c>
      <c r="N131" s="138">
        <v>40422.0</v>
      </c>
      <c r="O131" s="138">
        <v>40452.0</v>
      </c>
      <c r="P131" s="138">
        <v>40483.0</v>
      </c>
      <c r="Q131" s="138">
        <v>40513.0</v>
      </c>
      <c r="R131" s="138">
        <v>40544.0</v>
      </c>
      <c r="S131" s="138">
        <v>40575.0</v>
      </c>
      <c r="T131" s="138">
        <v>40603.0</v>
      </c>
      <c r="U131" s="138">
        <v>40634.0</v>
      </c>
      <c r="V131" s="138">
        <v>40664.0</v>
      </c>
      <c r="W131" s="138">
        <v>40695.0</v>
      </c>
      <c r="X131" s="138">
        <v>40725.0</v>
      </c>
      <c r="Y131" s="138">
        <v>40756.0</v>
      </c>
      <c r="Z131" s="138">
        <v>40787.0</v>
      </c>
      <c r="AA131" s="138">
        <v>40817.0</v>
      </c>
      <c r="AB131" s="138">
        <v>40848.0</v>
      </c>
      <c r="AC131" s="138">
        <v>40878.0</v>
      </c>
      <c r="AD131" s="138">
        <v>40909.0</v>
      </c>
      <c r="AE131" s="138">
        <v>40940.0</v>
      </c>
      <c r="AF131" s="138">
        <v>40969.0</v>
      </c>
      <c r="AG131" s="138">
        <v>41000.0</v>
      </c>
      <c r="AH131" s="138">
        <v>41030.0</v>
      </c>
      <c r="AI131" s="138">
        <v>41061.0</v>
      </c>
      <c r="AJ131" s="138">
        <v>41091.0</v>
      </c>
      <c r="AK131" s="138">
        <v>41122.0</v>
      </c>
      <c r="AL131" s="138">
        <v>41153.0</v>
      </c>
      <c r="AM131" s="138">
        <v>41183.0</v>
      </c>
      <c r="AN131" s="138">
        <v>41214.0</v>
      </c>
      <c r="AO131" s="138">
        <v>41244.0</v>
      </c>
      <c r="AP131" s="138">
        <v>41275.0</v>
      </c>
      <c r="AQ131" s="138">
        <v>41306.0</v>
      </c>
      <c r="AR131" s="138">
        <v>41334.0</v>
      </c>
      <c r="AS131" s="138">
        <v>41365.0</v>
      </c>
      <c r="AT131" s="138">
        <v>41395.0</v>
      </c>
      <c r="AU131" s="138">
        <v>41426.0</v>
      </c>
      <c r="AV131" s="138">
        <v>41456.0</v>
      </c>
      <c r="AW131" s="138">
        <v>41487.0</v>
      </c>
      <c r="AX131" s="138">
        <v>41518.0</v>
      </c>
      <c r="AY131" s="138">
        <v>41548.0</v>
      </c>
      <c r="AZ131" s="138">
        <v>41579.0</v>
      </c>
      <c r="BA131" s="138">
        <v>41609.0</v>
      </c>
      <c r="BB131" s="138">
        <v>41640.0</v>
      </c>
      <c r="BC131" s="138">
        <v>41671.0</v>
      </c>
      <c r="BD131" s="138">
        <v>41699.0</v>
      </c>
      <c r="BE131" s="138">
        <v>41730.0</v>
      </c>
      <c r="BF131" s="138">
        <v>41760.0</v>
      </c>
      <c r="BG131" s="138">
        <v>41791.0</v>
      </c>
      <c r="BH131" s="138">
        <v>41821.0</v>
      </c>
      <c r="BI131" s="138">
        <v>41852.0</v>
      </c>
      <c r="BJ131" s="138">
        <v>41883.0</v>
      </c>
      <c r="BK131" s="138">
        <v>41913.0</v>
      </c>
      <c r="BL131" s="138">
        <v>41944.0</v>
      </c>
      <c r="BM131" s="138">
        <v>41974.0</v>
      </c>
      <c r="BN131" s="138">
        <v>42005.0</v>
      </c>
      <c r="BO131" s="138">
        <v>42036.0</v>
      </c>
      <c r="BP131" s="138">
        <v>42064.0</v>
      </c>
      <c r="BQ131" s="138">
        <v>42095.0</v>
      </c>
      <c r="BR131" s="138">
        <v>42125.0</v>
      </c>
      <c r="BS131" s="138">
        <v>42156.0</v>
      </c>
      <c r="BT131" s="138">
        <v>42186.0</v>
      </c>
      <c r="BU131" s="138">
        <v>42217.0</v>
      </c>
      <c r="BV131" s="138">
        <v>42248.0</v>
      </c>
      <c r="BW131" s="138">
        <v>42278.0</v>
      </c>
      <c r="BX131" s="138">
        <v>42309.0</v>
      </c>
      <c r="BY131" s="138">
        <v>42339.0</v>
      </c>
      <c r="BZ131" s="138">
        <v>42370.0</v>
      </c>
      <c r="CA131" s="138">
        <v>42401.0</v>
      </c>
      <c r="CB131" s="138">
        <v>42430.0</v>
      </c>
      <c r="CC131" s="138">
        <v>42461.0</v>
      </c>
      <c r="CD131" s="138">
        <v>42491.0</v>
      </c>
      <c r="CE131" s="138">
        <v>42522.0</v>
      </c>
      <c r="CF131" s="138">
        <v>42552.0</v>
      </c>
      <c r="CG131" s="138">
        <v>42583.0</v>
      </c>
      <c r="CH131" s="138">
        <v>42614.0</v>
      </c>
      <c r="CI131" s="138">
        <v>42644.0</v>
      </c>
      <c r="CJ131" s="138">
        <v>42675.0</v>
      </c>
      <c r="CK131" s="138">
        <v>42705.0</v>
      </c>
      <c r="CL131" s="138">
        <v>42736.0</v>
      </c>
      <c r="CM131" s="138">
        <v>42767.0</v>
      </c>
      <c r="CN131" s="138">
        <v>42795.0</v>
      </c>
      <c r="CO131" s="138">
        <v>42826.0</v>
      </c>
      <c r="CP131" s="138">
        <v>42856.0</v>
      </c>
      <c r="CQ131" s="138">
        <v>42887.0</v>
      </c>
      <c r="CR131" s="138">
        <v>42917.0</v>
      </c>
      <c r="CS131" s="138">
        <v>42948.0</v>
      </c>
      <c r="CT131" s="138">
        <v>42979.0</v>
      </c>
      <c r="CU131" s="138">
        <v>43009.0</v>
      </c>
      <c r="CV131" s="138">
        <v>43040.0</v>
      </c>
      <c r="CW131" s="138">
        <v>43070.0</v>
      </c>
      <c r="CX131" s="138">
        <v>43101.0</v>
      </c>
      <c r="CY131" s="138">
        <v>43132.0</v>
      </c>
      <c r="CZ131" s="138">
        <v>43160.0</v>
      </c>
      <c r="DA131" s="138">
        <v>43191.0</v>
      </c>
      <c r="DB131" s="138">
        <v>43221.0</v>
      </c>
      <c r="DC131" s="138">
        <v>43252.0</v>
      </c>
      <c r="DD131" s="138">
        <v>43282.0</v>
      </c>
      <c r="DE131" s="138">
        <v>43313.0</v>
      </c>
      <c r="DF131" s="138">
        <v>43344.0</v>
      </c>
      <c r="DG131" s="138">
        <v>43374.0</v>
      </c>
      <c r="DH131" s="138">
        <v>43405.0</v>
      </c>
      <c r="DI131" s="138">
        <v>43435.0</v>
      </c>
      <c r="DJ131" s="138">
        <v>43466.0</v>
      </c>
      <c r="DK131" s="138">
        <v>43497.0</v>
      </c>
      <c r="DL131" s="138">
        <v>43525.0</v>
      </c>
      <c r="DM131" s="138">
        <v>43556.0</v>
      </c>
      <c r="DN131" s="138">
        <v>43586.0</v>
      </c>
      <c r="DO131" s="138">
        <v>43617.0</v>
      </c>
      <c r="DP131" s="138">
        <v>43647.0</v>
      </c>
      <c r="DQ131" s="138">
        <v>43678.0</v>
      </c>
      <c r="DR131" s="138">
        <v>43709.0</v>
      </c>
      <c r="DS131" s="138">
        <v>43739.0</v>
      </c>
      <c r="DT131" s="138">
        <v>43770.0</v>
      </c>
      <c r="DU131" s="138">
        <v>43800.0</v>
      </c>
      <c r="DV131" s="138">
        <v>43831.0</v>
      </c>
      <c r="DW131" s="138">
        <v>43862.0</v>
      </c>
      <c r="DX131" s="138">
        <v>43891.0</v>
      </c>
      <c r="DY131" s="138">
        <v>43922.0</v>
      </c>
      <c r="DZ131" s="138">
        <v>43952.0</v>
      </c>
      <c r="EA131" s="138">
        <v>43983.0</v>
      </c>
      <c r="EB131" s="138">
        <v>44013.0</v>
      </c>
      <c r="EC131" s="138">
        <v>44044.0</v>
      </c>
      <c r="ED131" s="138">
        <v>44075.0</v>
      </c>
      <c r="EE131" s="138">
        <v>44105.0</v>
      </c>
      <c r="EF131" s="138">
        <v>44136.0</v>
      </c>
      <c r="EG131" s="138">
        <v>44166.0</v>
      </c>
      <c r="EH131" s="138">
        <v>44197.0</v>
      </c>
      <c r="EI131" s="138">
        <v>44228.0</v>
      </c>
      <c r="EJ131" s="138">
        <v>44256.0</v>
      </c>
      <c r="EK131" s="138">
        <v>44287.0</v>
      </c>
      <c r="EL131" s="138">
        <v>44317.0</v>
      </c>
      <c r="EM131" s="138">
        <v>44348.0</v>
      </c>
      <c r="EN131" s="138">
        <v>44378.0</v>
      </c>
      <c r="EO131" s="138">
        <v>44409.0</v>
      </c>
      <c r="EP131" s="138">
        <v>44440.0</v>
      </c>
      <c r="EQ131" s="138">
        <v>44470.0</v>
      </c>
      <c r="ER131" s="138">
        <v>44501.0</v>
      </c>
      <c r="ES131" s="138">
        <v>44531.0</v>
      </c>
      <c r="ET131" s="138">
        <v>44562.0</v>
      </c>
      <c r="EU131" s="138">
        <v>44593.0</v>
      </c>
      <c r="EV131" s="138">
        <v>44621.0</v>
      </c>
      <c r="EW131" s="138">
        <v>44652.0</v>
      </c>
      <c r="EX131" s="138">
        <v>44682.0</v>
      </c>
      <c r="EY131" s="138">
        <v>44713.0</v>
      </c>
      <c r="EZ131" s="138">
        <v>44743.0</v>
      </c>
      <c r="FA131" s="138">
        <v>44774.0</v>
      </c>
      <c r="FB131" s="138">
        <v>44805.0</v>
      </c>
      <c r="FC131" s="138">
        <v>44835.0</v>
      </c>
      <c r="FD131" s="138">
        <v>44866.0</v>
      </c>
      <c r="FE131" s="138">
        <v>44896.0</v>
      </c>
      <c r="FF131" s="138">
        <v>44927.0</v>
      </c>
      <c r="FG131" s="138">
        <v>44958.0</v>
      </c>
      <c r="FH131" s="138">
        <v>44986.0</v>
      </c>
      <c r="FI131" s="138">
        <v>45017.0</v>
      </c>
      <c r="FJ131" s="138">
        <v>45047.0</v>
      </c>
      <c r="FK131" s="138">
        <v>45078.0</v>
      </c>
      <c r="FL131" s="138">
        <v>45108.0</v>
      </c>
      <c r="FM131" s="138">
        <v>45139.0</v>
      </c>
      <c r="FN131" s="138">
        <v>45170.0</v>
      </c>
      <c r="FO131" s="138">
        <v>45200.0</v>
      </c>
      <c r="FP131" s="138">
        <v>45231.0</v>
      </c>
      <c r="FQ131" s="138">
        <v>45261.0</v>
      </c>
      <c r="FR131" s="138">
        <v>45292.0</v>
      </c>
      <c r="FS131" s="138">
        <v>45323.0</v>
      </c>
      <c r="FT131" s="138">
        <v>45352.0</v>
      </c>
      <c r="FU131" s="138">
        <v>45383.0</v>
      </c>
      <c r="FV131" s="138">
        <v>45413.0</v>
      </c>
      <c r="FW131" s="138">
        <v>45444.0</v>
      </c>
      <c r="FX131" s="138">
        <v>45474.0</v>
      </c>
      <c r="FY131" s="138">
        <v>45505.0</v>
      </c>
      <c r="FZ131" s="138">
        <v>45536.0</v>
      </c>
      <c r="GA131" s="138">
        <v>45566.0</v>
      </c>
      <c r="GB131" s="138">
        <v>45597.0</v>
      </c>
      <c r="GC131" s="138">
        <v>45627.0</v>
      </c>
      <c r="GD131" s="138">
        <v>45658.0</v>
      </c>
      <c r="GE131" s="138">
        <v>45689.0</v>
      </c>
      <c r="GF131" s="138">
        <v>45717.0</v>
      </c>
      <c r="GG131" s="139">
        <v>45748.0</v>
      </c>
      <c r="GH131" s="139">
        <v>45778.0</v>
      </c>
      <c r="GI131" s="139">
        <v>45809.0</v>
      </c>
      <c r="GJ131" s="139">
        <v>45839.0</v>
      </c>
    </row>
    <row r="132">
      <c r="A132" s="133" t="s">
        <v>1800</v>
      </c>
      <c r="B132" s="134">
        <v>45754.61770833333</v>
      </c>
      <c r="C132" s="135" t="str">
        <f t="shared" si="1"/>
        <v>2025/04/07</v>
      </c>
      <c r="D132" s="136" t="s">
        <v>34292</v>
      </c>
      <c r="E132" s="151">
        <v>0.0</v>
      </c>
      <c r="F132" s="138">
        <v>40179.0</v>
      </c>
      <c r="G132" s="138">
        <v>40210.0</v>
      </c>
      <c r="H132" s="138">
        <v>40238.0</v>
      </c>
      <c r="I132" s="138">
        <v>40269.0</v>
      </c>
      <c r="J132" s="138">
        <v>40299.0</v>
      </c>
      <c r="K132" s="138">
        <v>40330.0</v>
      </c>
      <c r="L132" s="138">
        <v>40360.0</v>
      </c>
      <c r="M132" s="138">
        <v>40391.0</v>
      </c>
      <c r="N132" s="138">
        <v>40422.0</v>
      </c>
      <c r="O132" s="138">
        <v>40452.0</v>
      </c>
      <c r="P132" s="138">
        <v>40483.0</v>
      </c>
      <c r="Q132" s="138">
        <v>40513.0</v>
      </c>
      <c r="R132" s="138">
        <v>40544.0</v>
      </c>
      <c r="S132" s="138">
        <v>40575.0</v>
      </c>
      <c r="T132" s="138">
        <v>40603.0</v>
      </c>
      <c r="U132" s="138">
        <v>40634.0</v>
      </c>
      <c r="V132" s="138">
        <v>40664.0</v>
      </c>
      <c r="W132" s="138">
        <v>40695.0</v>
      </c>
      <c r="X132" s="138">
        <v>40725.0</v>
      </c>
      <c r="Y132" s="138">
        <v>40756.0</v>
      </c>
      <c r="Z132" s="138">
        <v>40787.0</v>
      </c>
      <c r="AA132" s="138">
        <v>40817.0</v>
      </c>
      <c r="AB132" s="138">
        <v>40848.0</v>
      </c>
      <c r="AC132" s="138">
        <v>40878.0</v>
      </c>
      <c r="AD132" s="138">
        <v>40909.0</v>
      </c>
      <c r="AE132" s="138">
        <v>40940.0</v>
      </c>
      <c r="AF132" s="138">
        <v>40969.0</v>
      </c>
      <c r="AG132" s="138">
        <v>41000.0</v>
      </c>
      <c r="AH132" s="138">
        <v>41030.0</v>
      </c>
      <c r="AI132" s="138">
        <v>41061.0</v>
      </c>
      <c r="AJ132" s="138">
        <v>41091.0</v>
      </c>
      <c r="AK132" s="138">
        <v>41122.0</v>
      </c>
      <c r="AL132" s="138">
        <v>41153.0</v>
      </c>
      <c r="AM132" s="138">
        <v>41183.0</v>
      </c>
      <c r="AN132" s="138">
        <v>41214.0</v>
      </c>
      <c r="AO132" s="138">
        <v>41244.0</v>
      </c>
      <c r="AP132" s="138">
        <v>41275.0</v>
      </c>
      <c r="AQ132" s="138">
        <v>41306.0</v>
      </c>
      <c r="AR132" s="138">
        <v>41334.0</v>
      </c>
      <c r="AS132" s="138">
        <v>41365.0</v>
      </c>
      <c r="AT132" s="138">
        <v>41395.0</v>
      </c>
      <c r="AU132" s="138">
        <v>41426.0</v>
      </c>
      <c r="AV132" s="138">
        <v>41456.0</v>
      </c>
      <c r="AW132" s="138">
        <v>41487.0</v>
      </c>
      <c r="AX132" s="138">
        <v>41518.0</v>
      </c>
      <c r="AY132" s="138">
        <v>41548.0</v>
      </c>
      <c r="AZ132" s="138">
        <v>41579.0</v>
      </c>
      <c r="BA132" s="138">
        <v>41609.0</v>
      </c>
      <c r="BB132" s="138">
        <v>41640.0</v>
      </c>
      <c r="BC132" s="138">
        <v>41671.0</v>
      </c>
      <c r="BD132" s="138">
        <v>41699.0</v>
      </c>
      <c r="BE132" s="138">
        <v>41730.0</v>
      </c>
      <c r="BF132" s="138">
        <v>41760.0</v>
      </c>
      <c r="BG132" s="138">
        <v>41791.0</v>
      </c>
      <c r="BH132" s="138">
        <v>41821.0</v>
      </c>
      <c r="BI132" s="138">
        <v>41852.0</v>
      </c>
      <c r="BJ132" s="138">
        <v>41883.0</v>
      </c>
      <c r="BK132" s="138">
        <v>41913.0</v>
      </c>
      <c r="BL132" s="138">
        <v>41944.0</v>
      </c>
      <c r="BM132" s="138">
        <v>41974.0</v>
      </c>
      <c r="BN132" s="138">
        <v>42005.0</v>
      </c>
      <c r="BO132" s="138">
        <v>42036.0</v>
      </c>
      <c r="BP132" s="138">
        <v>42064.0</v>
      </c>
      <c r="BQ132" s="138">
        <v>42095.0</v>
      </c>
      <c r="BR132" s="138">
        <v>42125.0</v>
      </c>
      <c r="BS132" s="138">
        <v>42156.0</v>
      </c>
      <c r="BT132" s="138">
        <v>42186.0</v>
      </c>
      <c r="BU132" s="138">
        <v>42217.0</v>
      </c>
      <c r="BV132" s="138">
        <v>42248.0</v>
      </c>
      <c r="BW132" s="138">
        <v>42278.0</v>
      </c>
      <c r="BX132" s="138">
        <v>42309.0</v>
      </c>
      <c r="BY132" s="138">
        <v>42339.0</v>
      </c>
      <c r="BZ132" s="138">
        <v>42370.0</v>
      </c>
      <c r="CA132" s="138">
        <v>42401.0</v>
      </c>
      <c r="CB132" s="138">
        <v>42430.0</v>
      </c>
      <c r="CC132" s="138">
        <v>42461.0</v>
      </c>
      <c r="CD132" s="138">
        <v>42491.0</v>
      </c>
      <c r="CE132" s="138">
        <v>42522.0</v>
      </c>
      <c r="CF132" s="138">
        <v>42552.0</v>
      </c>
      <c r="CG132" s="138">
        <v>42583.0</v>
      </c>
      <c r="CH132" s="138">
        <v>42614.0</v>
      </c>
      <c r="CI132" s="138">
        <v>42644.0</v>
      </c>
      <c r="CJ132" s="138">
        <v>42675.0</v>
      </c>
      <c r="CK132" s="138">
        <v>42705.0</v>
      </c>
      <c r="CL132" s="138">
        <v>42736.0</v>
      </c>
      <c r="CM132" s="138">
        <v>42767.0</v>
      </c>
      <c r="CN132" s="138">
        <v>42795.0</v>
      </c>
      <c r="CO132" s="138">
        <v>42826.0</v>
      </c>
      <c r="CP132" s="138">
        <v>42856.0</v>
      </c>
      <c r="CQ132" s="138">
        <v>42887.0</v>
      </c>
      <c r="CR132" s="138">
        <v>42917.0</v>
      </c>
      <c r="CS132" s="138">
        <v>42948.0</v>
      </c>
      <c r="CT132" s="138">
        <v>42979.0</v>
      </c>
      <c r="CU132" s="138">
        <v>43009.0</v>
      </c>
      <c r="CV132" s="138">
        <v>43040.0</v>
      </c>
      <c r="CW132" s="138">
        <v>43070.0</v>
      </c>
      <c r="CX132" s="138">
        <v>43101.0</v>
      </c>
      <c r="CY132" s="138">
        <v>43132.0</v>
      </c>
      <c r="CZ132" s="138">
        <v>43160.0</v>
      </c>
      <c r="DA132" s="138">
        <v>43191.0</v>
      </c>
      <c r="DB132" s="138">
        <v>43221.0</v>
      </c>
      <c r="DC132" s="138">
        <v>43252.0</v>
      </c>
      <c r="DD132" s="138">
        <v>43282.0</v>
      </c>
      <c r="DE132" s="138">
        <v>43313.0</v>
      </c>
      <c r="DF132" s="138">
        <v>43344.0</v>
      </c>
      <c r="DG132" s="138">
        <v>43374.0</v>
      </c>
      <c r="DH132" s="138">
        <v>43405.0</v>
      </c>
      <c r="DI132" s="138">
        <v>43435.0</v>
      </c>
      <c r="DJ132" s="138">
        <v>43466.0</v>
      </c>
      <c r="DK132" s="138">
        <v>43497.0</v>
      </c>
      <c r="DL132" s="138">
        <v>43525.0</v>
      </c>
      <c r="DM132" s="138">
        <v>43556.0</v>
      </c>
      <c r="DN132" s="138">
        <v>43586.0</v>
      </c>
      <c r="DO132" s="138">
        <v>43617.0</v>
      </c>
      <c r="DP132" s="138">
        <v>43647.0</v>
      </c>
      <c r="DQ132" s="138">
        <v>43678.0</v>
      </c>
      <c r="DR132" s="138">
        <v>43709.0</v>
      </c>
      <c r="DS132" s="138">
        <v>43739.0</v>
      </c>
      <c r="DT132" s="138">
        <v>43770.0</v>
      </c>
      <c r="DU132" s="138">
        <v>43800.0</v>
      </c>
      <c r="DV132" s="138">
        <v>43831.0</v>
      </c>
      <c r="DW132" s="138">
        <v>43862.0</v>
      </c>
      <c r="DX132" s="138">
        <v>43891.0</v>
      </c>
      <c r="DY132" s="138">
        <v>43922.0</v>
      </c>
      <c r="DZ132" s="138">
        <v>43952.0</v>
      </c>
      <c r="EA132" s="138">
        <v>43983.0</v>
      </c>
      <c r="EB132" s="138">
        <v>44013.0</v>
      </c>
      <c r="EC132" s="138">
        <v>44044.0</v>
      </c>
      <c r="ED132" s="138">
        <v>44075.0</v>
      </c>
      <c r="EE132" s="138">
        <v>44105.0</v>
      </c>
      <c r="EF132" s="138">
        <v>44136.0</v>
      </c>
      <c r="EG132" s="138">
        <v>44166.0</v>
      </c>
      <c r="EH132" s="138">
        <v>44197.0</v>
      </c>
      <c r="EI132" s="138">
        <v>44228.0</v>
      </c>
      <c r="EJ132" s="138">
        <v>44256.0</v>
      </c>
      <c r="EK132" s="138">
        <v>44287.0</v>
      </c>
      <c r="EL132" s="138">
        <v>44317.0</v>
      </c>
      <c r="EM132" s="138">
        <v>44348.0</v>
      </c>
      <c r="EN132" s="138">
        <v>44378.0</v>
      </c>
      <c r="EO132" s="138">
        <v>44409.0</v>
      </c>
      <c r="EP132" s="138">
        <v>44440.0</v>
      </c>
      <c r="EQ132" s="138">
        <v>44470.0</v>
      </c>
      <c r="ER132" s="138">
        <v>44501.0</v>
      </c>
      <c r="ES132" s="138">
        <v>44531.0</v>
      </c>
      <c r="ET132" s="138">
        <v>44562.0</v>
      </c>
      <c r="EU132" s="138">
        <v>44593.0</v>
      </c>
      <c r="EV132" s="138">
        <v>44621.0</v>
      </c>
      <c r="EW132" s="138">
        <v>44652.0</v>
      </c>
      <c r="EX132" s="138">
        <v>44682.0</v>
      </c>
      <c r="EY132" s="138">
        <v>44713.0</v>
      </c>
      <c r="EZ132" s="138">
        <v>44743.0</v>
      </c>
      <c r="FA132" s="138">
        <v>44774.0</v>
      </c>
      <c r="FB132" s="138">
        <v>44805.0</v>
      </c>
      <c r="FC132" s="138">
        <v>44835.0</v>
      </c>
      <c r="FD132" s="138">
        <v>44866.0</v>
      </c>
      <c r="FE132" s="138">
        <v>44896.0</v>
      </c>
      <c r="FF132" s="138">
        <v>44927.0</v>
      </c>
      <c r="FG132" s="138">
        <v>44958.0</v>
      </c>
      <c r="FH132" s="138">
        <v>44986.0</v>
      </c>
      <c r="FI132" s="138">
        <v>45017.0</v>
      </c>
      <c r="FJ132" s="138">
        <v>45047.0</v>
      </c>
      <c r="FK132" s="138">
        <v>45078.0</v>
      </c>
      <c r="FL132" s="138">
        <v>45108.0</v>
      </c>
      <c r="FM132" s="138">
        <v>45139.0</v>
      </c>
      <c r="FN132" s="138">
        <v>45170.0</v>
      </c>
      <c r="FO132" s="138">
        <v>45200.0</v>
      </c>
      <c r="FP132" s="138">
        <v>45231.0</v>
      </c>
      <c r="FQ132" s="138">
        <v>45261.0</v>
      </c>
      <c r="FR132" s="138">
        <v>45292.0</v>
      </c>
      <c r="FS132" s="138">
        <v>45323.0</v>
      </c>
      <c r="FT132" s="138">
        <v>45352.0</v>
      </c>
      <c r="FU132" s="138">
        <v>45383.0</v>
      </c>
      <c r="FV132" s="138">
        <v>45413.0</v>
      </c>
      <c r="FW132" s="138">
        <v>45444.0</v>
      </c>
      <c r="FX132" s="138">
        <v>45474.0</v>
      </c>
      <c r="FY132" s="138">
        <v>45505.0</v>
      </c>
      <c r="FZ132" s="138">
        <v>45536.0</v>
      </c>
      <c r="GA132" s="138">
        <v>45566.0</v>
      </c>
      <c r="GB132" s="138">
        <v>45597.0</v>
      </c>
      <c r="GC132" s="138">
        <v>45627.0</v>
      </c>
      <c r="GD132" s="138">
        <v>45658.0</v>
      </c>
      <c r="GE132" s="138">
        <v>45689.0</v>
      </c>
      <c r="GF132" s="138">
        <v>45717.0</v>
      </c>
      <c r="GG132" s="138">
        <v>45748.0</v>
      </c>
      <c r="GH132" s="139">
        <v>45778.0</v>
      </c>
      <c r="GI132" s="139">
        <v>45809.0</v>
      </c>
      <c r="GJ132" s="139">
        <v>45839.0</v>
      </c>
    </row>
    <row r="133">
      <c r="A133" s="133" t="s">
        <v>1666</v>
      </c>
      <c r="B133" s="134">
        <v>45757.62034722222</v>
      </c>
      <c r="C133" s="135" t="str">
        <f t="shared" si="1"/>
        <v>2025/04/10</v>
      </c>
      <c r="D133" s="136" t="s">
        <v>34292</v>
      </c>
      <c r="E133" s="151">
        <v>0.0</v>
      </c>
      <c r="F133" s="138">
        <v>40179.0</v>
      </c>
      <c r="G133" s="138">
        <v>40210.0</v>
      </c>
      <c r="H133" s="138">
        <v>40238.0</v>
      </c>
      <c r="I133" s="138">
        <v>40269.0</v>
      </c>
      <c r="J133" s="138">
        <v>40299.0</v>
      </c>
      <c r="K133" s="138">
        <v>40330.0</v>
      </c>
      <c r="L133" s="138">
        <v>40360.0</v>
      </c>
      <c r="M133" s="138">
        <v>40391.0</v>
      </c>
      <c r="N133" s="138">
        <v>40422.0</v>
      </c>
      <c r="O133" s="138">
        <v>40452.0</v>
      </c>
      <c r="P133" s="138">
        <v>40483.0</v>
      </c>
      <c r="Q133" s="138">
        <v>40513.0</v>
      </c>
      <c r="R133" s="138">
        <v>40544.0</v>
      </c>
      <c r="S133" s="138">
        <v>40575.0</v>
      </c>
      <c r="T133" s="138">
        <v>40603.0</v>
      </c>
      <c r="U133" s="138">
        <v>40634.0</v>
      </c>
      <c r="V133" s="138">
        <v>40664.0</v>
      </c>
      <c r="W133" s="138">
        <v>40695.0</v>
      </c>
      <c r="X133" s="138">
        <v>40725.0</v>
      </c>
      <c r="Y133" s="138">
        <v>40756.0</v>
      </c>
      <c r="Z133" s="138">
        <v>40787.0</v>
      </c>
      <c r="AA133" s="138">
        <v>40817.0</v>
      </c>
      <c r="AB133" s="138">
        <v>40848.0</v>
      </c>
      <c r="AC133" s="138">
        <v>40878.0</v>
      </c>
      <c r="AD133" s="138">
        <v>40909.0</v>
      </c>
      <c r="AE133" s="138">
        <v>40940.0</v>
      </c>
      <c r="AF133" s="138">
        <v>40969.0</v>
      </c>
      <c r="AG133" s="138">
        <v>41000.0</v>
      </c>
      <c r="AH133" s="138">
        <v>41030.0</v>
      </c>
      <c r="AI133" s="138">
        <v>41061.0</v>
      </c>
      <c r="AJ133" s="138">
        <v>41091.0</v>
      </c>
      <c r="AK133" s="138">
        <v>41122.0</v>
      </c>
      <c r="AL133" s="138">
        <v>41153.0</v>
      </c>
      <c r="AM133" s="138">
        <v>41183.0</v>
      </c>
      <c r="AN133" s="138">
        <v>41214.0</v>
      </c>
      <c r="AO133" s="138">
        <v>41244.0</v>
      </c>
      <c r="AP133" s="138">
        <v>41275.0</v>
      </c>
      <c r="AQ133" s="138">
        <v>41306.0</v>
      </c>
      <c r="AR133" s="138">
        <v>41334.0</v>
      </c>
      <c r="AS133" s="138">
        <v>41365.0</v>
      </c>
      <c r="AT133" s="138">
        <v>41395.0</v>
      </c>
      <c r="AU133" s="138">
        <v>41426.0</v>
      </c>
      <c r="AV133" s="138">
        <v>41456.0</v>
      </c>
      <c r="AW133" s="138">
        <v>41487.0</v>
      </c>
      <c r="AX133" s="138">
        <v>41518.0</v>
      </c>
      <c r="AY133" s="138">
        <v>41548.0</v>
      </c>
      <c r="AZ133" s="138">
        <v>41579.0</v>
      </c>
      <c r="BA133" s="138">
        <v>41609.0</v>
      </c>
      <c r="BB133" s="138">
        <v>41640.0</v>
      </c>
      <c r="BC133" s="138">
        <v>41671.0</v>
      </c>
      <c r="BD133" s="138">
        <v>41699.0</v>
      </c>
      <c r="BE133" s="138">
        <v>41730.0</v>
      </c>
      <c r="BF133" s="138">
        <v>41760.0</v>
      </c>
      <c r="BG133" s="138">
        <v>41791.0</v>
      </c>
      <c r="BH133" s="138">
        <v>41821.0</v>
      </c>
      <c r="BI133" s="138">
        <v>41852.0</v>
      </c>
      <c r="BJ133" s="138">
        <v>41883.0</v>
      </c>
      <c r="BK133" s="138">
        <v>41913.0</v>
      </c>
      <c r="BL133" s="138">
        <v>41944.0</v>
      </c>
      <c r="BM133" s="138">
        <v>41974.0</v>
      </c>
      <c r="BN133" s="138">
        <v>42005.0</v>
      </c>
      <c r="BO133" s="138">
        <v>42036.0</v>
      </c>
      <c r="BP133" s="138">
        <v>42064.0</v>
      </c>
      <c r="BQ133" s="138">
        <v>42095.0</v>
      </c>
      <c r="BR133" s="138">
        <v>42125.0</v>
      </c>
      <c r="BS133" s="138">
        <v>42156.0</v>
      </c>
      <c r="BT133" s="138">
        <v>42186.0</v>
      </c>
      <c r="BU133" s="138">
        <v>42217.0</v>
      </c>
      <c r="BV133" s="138">
        <v>42248.0</v>
      </c>
      <c r="BW133" s="138">
        <v>42278.0</v>
      </c>
      <c r="BX133" s="138">
        <v>42309.0</v>
      </c>
      <c r="BY133" s="138">
        <v>42339.0</v>
      </c>
      <c r="BZ133" s="138">
        <v>42370.0</v>
      </c>
      <c r="CA133" s="138">
        <v>42401.0</v>
      </c>
      <c r="CB133" s="138">
        <v>42430.0</v>
      </c>
      <c r="CC133" s="138">
        <v>42461.0</v>
      </c>
      <c r="CD133" s="138">
        <v>42491.0</v>
      </c>
      <c r="CE133" s="138">
        <v>42522.0</v>
      </c>
      <c r="CF133" s="138">
        <v>42552.0</v>
      </c>
      <c r="CG133" s="138">
        <v>42583.0</v>
      </c>
      <c r="CH133" s="138">
        <v>42614.0</v>
      </c>
      <c r="CI133" s="138">
        <v>42644.0</v>
      </c>
      <c r="CJ133" s="138">
        <v>42675.0</v>
      </c>
      <c r="CK133" s="138">
        <v>42705.0</v>
      </c>
      <c r="CL133" s="138">
        <v>42736.0</v>
      </c>
      <c r="CM133" s="138">
        <v>42767.0</v>
      </c>
      <c r="CN133" s="138">
        <v>42795.0</v>
      </c>
      <c r="CO133" s="138">
        <v>42826.0</v>
      </c>
      <c r="CP133" s="138">
        <v>42856.0</v>
      </c>
      <c r="CQ133" s="138">
        <v>42887.0</v>
      </c>
      <c r="CR133" s="138">
        <v>42917.0</v>
      </c>
      <c r="CS133" s="138">
        <v>42948.0</v>
      </c>
      <c r="CT133" s="138">
        <v>42979.0</v>
      </c>
      <c r="CU133" s="138">
        <v>43009.0</v>
      </c>
      <c r="CV133" s="138">
        <v>43040.0</v>
      </c>
      <c r="CW133" s="138">
        <v>43070.0</v>
      </c>
      <c r="CX133" s="138">
        <v>43101.0</v>
      </c>
      <c r="CY133" s="138">
        <v>43132.0</v>
      </c>
      <c r="CZ133" s="138">
        <v>43160.0</v>
      </c>
      <c r="DA133" s="138">
        <v>43191.0</v>
      </c>
      <c r="DB133" s="138">
        <v>43221.0</v>
      </c>
      <c r="DC133" s="138">
        <v>43252.0</v>
      </c>
      <c r="DD133" s="138">
        <v>43282.0</v>
      </c>
      <c r="DE133" s="138">
        <v>43313.0</v>
      </c>
      <c r="DF133" s="138">
        <v>43344.0</v>
      </c>
      <c r="DG133" s="138">
        <v>43374.0</v>
      </c>
      <c r="DH133" s="138">
        <v>43405.0</v>
      </c>
      <c r="DI133" s="138">
        <v>43435.0</v>
      </c>
      <c r="DJ133" s="138">
        <v>43466.0</v>
      </c>
      <c r="DK133" s="138">
        <v>43497.0</v>
      </c>
      <c r="DL133" s="138">
        <v>43525.0</v>
      </c>
      <c r="DM133" s="138">
        <v>43556.0</v>
      </c>
      <c r="DN133" s="138">
        <v>43586.0</v>
      </c>
      <c r="DO133" s="138">
        <v>43617.0</v>
      </c>
      <c r="DP133" s="138">
        <v>43647.0</v>
      </c>
      <c r="DQ133" s="138">
        <v>43678.0</v>
      </c>
      <c r="DR133" s="138">
        <v>43709.0</v>
      </c>
      <c r="DS133" s="138">
        <v>43739.0</v>
      </c>
      <c r="DT133" s="138">
        <v>43770.0</v>
      </c>
      <c r="DU133" s="138">
        <v>43800.0</v>
      </c>
      <c r="DV133" s="138">
        <v>43831.0</v>
      </c>
      <c r="DW133" s="138">
        <v>43862.0</v>
      </c>
      <c r="DX133" s="138">
        <v>43891.0</v>
      </c>
      <c r="DY133" s="138">
        <v>43922.0</v>
      </c>
      <c r="DZ133" s="138">
        <v>43952.0</v>
      </c>
      <c r="EA133" s="138">
        <v>43983.0</v>
      </c>
      <c r="EB133" s="138">
        <v>44013.0</v>
      </c>
      <c r="EC133" s="138">
        <v>44044.0</v>
      </c>
      <c r="ED133" s="138">
        <v>44075.0</v>
      </c>
      <c r="EE133" s="138">
        <v>44105.0</v>
      </c>
      <c r="EF133" s="138">
        <v>44136.0</v>
      </c>
      <c r="EG133" s="138">
        <v>44166.0</v>
      </c>
      <c r="EH133" s="138">
        <v>44197.0</v>
      </c>
      <c r="EI133" s="138">
        <v>44228.0</v>
      </c>
      <c r="EJ133" s="138">
        <v>44256.0</v>
      </c>
      <c r="EK133" s="138">
        <v>44287.0</v>
      </c>
      <c r="EL133" s="138">
        <v>44317.0</v>
      </c>
      <c r="EM133" s="138">
        <v>44348.0</v>
      </c>
      <c r="EN133" s="138">
        <v>44378.0</v>
      </c>
      <c r="EO133" s="138">
        <v>44409.0</v>
      </c>
      <c r="EP133" s="138">
        <v>44440.0</v>
      </c>
      <c r="EQ133" s="138">
        <v>44470.0</v>
      </c>
      <c r="ER133" s="138">
        <v>44501.0</v>
      </c>
      <c r="ES133" s="138">
        <v>44531.0</v>
      </c>
      <c r="ET133" s="138">
        <v>44562.0</v>
      </c>
      <c r="EU133" s="138">
        <v>44593.0</v>
      </c>
      <c r="EV133" s="138">
        <v>44621.0</v>
      </c>
      <c r="EW133" s="138">
        <v>44652.0</v>
      </c>
      <c r="EX133" s="138">
        <v>44682.0</v>
      </c>
      <c r="EY133" s="138">
        <v>44713.0</v>
      </c>
      <c r="EZ133" s="138">
        <v>44743.0</v>
      </c>
      <c r="FA133" s="138">
        <v>44774.0</v>
      </c>
      <c r="FB133" s="138">
        <v>44805.0</v>
      </c>
      <c r="FC133" s="138">
        <v>44835.0</v>
      </c>
      <c r="FD133" s="138">
        <v>44866.0</v>
      </c>
      <c r="FE133" s="138">
        <v>44896.0</v>
      </c>
      <c r="FF133" s="138">
        <v>44927.0</v>
      </c>
      <c r="FG133" s="138">
        <v>44958.0</v>
      </c>
      <c r="FH133" s="138">
        <v>44986.0</v>
      </c>
      <c r="FI133" s="138">
        <v>45017.0</v>
      </c>
      <c r="FJ133" s="138">
        <v>45047.0</v>
      </c>
      <c r="FK133" s="138">
        <v>45078.0</v>
      </c>
      <c r="FL133" s="138">
        <v>45108.0</v>
      </c>
      <c r="FM133" s="138">
        <v>45139.0</v>
      </c>
      <c r="FN133" s="138">
        <v>45170.0</v>
      </c>
      <c r="FO133" s="138">
        <v>45200.0</v>
      </c>
      <c r="FP133" s="138">
        <v>45231.0</v>
      </c>
      <c r="FQ133" s="138">
        <v>45261.0</v>
      </c>
      <c r="FR133" s="138">
        <v>45292.0</v>
      </c>
      <c r="FS133" s="138">
        <v>45323.0</v>
      </c>
      <c r="FT133" s="138">
        <v>45352.0</v>
      </c>
      <c r="FU133" s="138">
        <v>45383.0</v>
      </c>
      <c r="FV133" s="138">
        <v>45413.0</v>
      </c>
      <c r="FW133" s="138">
        <v>45444.0</v>
      </c>
      <c r="FX133" s="138">
        <v>45474.0</v>
      </c>
      <c r="FY133" s="138">
        <v>45505.0</v>
      </c>
      <c r="FZ133" s="138">
        <v>45536.0</v>
      </c>
      <c r="GA133" s="138">
        <v>45566.0</v>
      </c>
      <c r="GB133" s="138">
        <v>45597.0</v>
      </c>
      <c r="GC133" s="138">
        <v>45627.0</v>
      </c>
      <c r="GD133" s="138">
        <v>45658.0</v>
      </c>
      <c r="GE133" s="138">
        <v>45689.0</v>
      </c>
      <c r="GF133" s="138">
        <v>45717.0</v>
      </c>
      <c r="GG133" s="138">
        <v>45748.0</v>
      </c>
      <c r="GH133" s="139">
        <v>45778.0</v>
      </c>
      <c r="GI133" s="139">
        <v>45809.0</v>
      </c>
      <c r="GJ133" s="139">
        <v>45839.0</v>
      </c>
    </row>
    <row r="134">
      <c r="A134" s="133" t="s">
        <v>1751</v>
      </c>
      <c r="B134" s="134">
        <v>45784.511921296296</v>
      </c>
      <c r="C134" s="135" t="str">
        <f t="shared" si="1"/>
        <v>2025/05/07</v>
      </c>
      <c r="D134" s="136" t="s">
        <v>34322</v>
      </c>
      <c r="E134" s="151">
        <v>0.17</v>
      </c>
      <c r="F134" s="138">
        <v>40179.0</v>
      </c>
      <c r="G134" s="138">
        <v>40210.0</v>
      </c>
      <c r="H134" s="138">
        <v>40238.0</v>
      </c>
      <c r="I134" s="138">
        <v>40269.0</v>
      </c>
      <c r="J134" s="138">
        <v>40299.0</v>
      </c>
      <c r="K134" s="138">
        <v>40330.0</v>
      </c>
      <c r="L134" s="138">
        <v>40360.0</v>
      </c>
      <c r="M134" s="138">
        <v>40391.0</v>
      </c>
      <c r="N134" s="138">
        <v>40422.0</v>
      </c>
      <c r="O134" s="138">
        <v>40452.0</v>
      </c>
      <c r="P134" s="138">
        <v>40483.0</v>
      </c>
      <c r="Q134" s="138">
        <v>40513.0</v>
      </c>
      <c r="R134" s="138">
        <v>40544.0</v>
      </c>
      <c r="S134" s="138">
        <v>40575.0</v>
      </c>
      <c r="T134" s="138">
        <v>40603.0</v>
      </c>
      <c r="U134" s="138">
        <v>40634.0</v>
      </c>
      <c r="V134" s="138">
        <v>40664.0</v>
      </c>
      <c r="W134" s="138">
        <v>40695.0</v>
      </c>
      <c r="X134" s="138">
        <v>40725.0</v>
      </c>
      <c r="Y134" s="138">
        <v>40756.0</v>
      </c>
      <c r="Z134" s="138">
        <v>40787.0</v>
      </c>
      <c r="AA134" s="138">
        <v>40817.0</v>
      </c>
      <c r="AB134" s="138">
        <v>40848.0</v>
      </c>
      <c r="AC134" s="138">
        <v>40878.0</v>
      </c>
      <c r="AD134" s="138">
        <v>40909.0</v>
      </c>
      <c r="AE134" s="138">
        <v>40940.0</v>
      </c>
      <c r="AF134" s="138">
        <v>40969.0</v>
      </c>
      <c r="AG134" s="138">
        <v>41000.0</v>
      </c>
      <c r="AH134" s="138">
        <v>41030.0</v>
      </c>
      <c r="AI134" s="138">
        <v>41061.0</v>
      </c>
      <c r="AJ134" s="138">
        <v>41091.0</v>
      </c>
      <c r="AK134" s="138">
        <v>41122.0</v>
      </c>
      <c r="AL134" s="138">
        <v>41153.0</v>
      </c>
      <c r="AM134" s="138">
        <v>41183.0</v>
      </c>
      <c r="AN134" s="138">
        <v>41214.0</v>
      </c>
      <c r="AO134" s="138">
        <v>41244.0</v>
      </c>
      <c r="AP134" s="138">
        <v>41275.0</v>
      </c>
      <c r="AQ134" s="138">
        <v>41306.0</v>
      </c>
      <c r="AR134" s="138">
        <v>41334.0</v>
      </c>
      <c r="AS134" s="138">
        <v>41365.0</v>
      </c>
      <c r="AT134" s="138">
        <v>41395.0</v>
      </c>
      <c r="AU134" s="138">
        <v>41426.0</v>
      </c>
      <c r="AV134" s="138">
        <v>41456.0</v>
      </c>
      <c r="AW134" s="138">
        <v>41487.0</v>
      </c>
      <c r="AX134" s="138">
        <v>41518.0</v>
      </c>
      <c r="AY134" s="138">
        <v>41548.0</v>
      </c>
      <c r="AZ134" s="138">
        <v>41579.0</v>
      </c>
      <c r="BA134" s="138">
        <v>41609.0</v>
      </c>
      <c r="BB134" s="138">
        <v>41640.0</v>
      </c>
      <c r="BC134" s="138">
        <v>41671.0</v>
      </c>
      <c r="BD134" s="138">
        <v>41699.0</v>
      </c>
      <c r="BE134" s="138">
        <v>41730.0</v>
      </c>
      <c r="BF134" s="138">
        <v>41760.0</v>
      </c>
      <c r="BG134" s="138">
        <v>41791.0</v>
      </c>
      <c r="BH134" s="138">
        <v>41821.0</v>
      </c>
      <c r="BI134" s="138">
        <v>41852.0</v>
      </c>
      <c r="BJ134" s="138">
        <v>41883.0</v>
      </c>
      <c r="BK134" s="138">
        <v>41913.0</v>
      </c>
      <c r="BL134" s="138">
        <v>41944.0</v>
      </c>
      <c r="BM134" s="138">
        <v>41974.0</v>
      </c>
      <c r="BN134" s="138">
        <v>42005.0</v>
      </c>
      <c r="BO134" s="138">
        <v>42036.0</v>
      </c>
      <c r="BP134" s="138">
        <v>42064.0</v>
      </c>
      <c r="BQ134" s="138">
        <v>42095.0</v>
      </c>
      <c r="BR134" s="138">
        <v>42125.0</v>
      </c>
      <c r="BS134" s="138">
        <v>42156.0</v>
      </c>
      <c r="BT134" s="138">
        <v>42186.0</v>
      </c>
      <c r="BU134" s="138">
        <v>42217.0</v>
      </c>
      <c r="BV134" s="138">
        <v>42248.0</v>
      </c>
      <c r="BW134" s="138">
        <v>42278.0</v>
      </c>
      <c r="BX134" s="138">
        <v>42309.0</v>
      </c>
      <c r="BY134" s="138">
        <v>42339.0</v>
      </c>
      <c r="BZ134" s="138">
        <v>42370.0</v>
      </c>
      <c r="CA134" s="138">
        <v>42401.0</v>
      </c>
      <c r="CB134" s="138">
        <v>42430.0</v>
      </c>
      <c r="CC134" s="138">
        <v>42461.0</v>
      </c>
      <c r="CD134" s="138">
        <v>42491.0</v>
      </c>
      <c r="CE134" s="138">
        <v>42522.0</v>
      </c>
      <c r="CF134" s="138">
        <v>42552.0</v>
      </c>
      <c r="CG134" s="138">
        <v>42583.0</v>
      </c>
      <c r="CH134" s="138">
        <v>42614.0</v>
      </c>
      <c r="CI134" s="138">
        <v>42644.0</v>
      </c>
      <c r="CJ134" s="138">
        <v>42675.0</v>
      </c>
      <c r="CK134" s="138">
        <v>42705.0</v>
      </c>
      <c r="CL134" s="138">
        <v>42736.0</v>
      </c>
      <c r="CM134" s="138">
        <v>42767.0</v>
      </c>
      <c r="CN134" s="138">
        <v>42795.0</v>
      </c>
      <c r="CO134" s="138">
        <v>42826.0</v>
      </c>
      <c r="CP134" s="138">
        <v>42856.0</v>
      </c>
      <c r="CQ134" s="138">
        <v>42887.0</v>
      </c>
      <c r="CR134" s="138">
        <v>42917.0</v>
      </c>
      <c r="CS134" s="138">
        <v>42948.0</v>
      </c>
      <c r="CT134" s="138">
        <v>42979.0</v>
      </c>
      <c r="CU134" s="138">
        <v>43009.0</v>
      </c>
      <c r="CV134" s="138">
        <v>43040.0</v>
      </c>
      <c r="CW134" s="138">
        <v>43070.0</v>
      </c>
      <c r="CX134" s="138">
        <v>43101.0</v>
      </c>
      <c r="CY134" s="138">
        <v>43132.0</v>
      </c>
      <c r="CZ134" s="138">
        <v>43160.0</v>
      </c>
      <c r="DA134" s="138">
        <v>43191.0</v>
      </c>
      <c r="DB134" s="138">
        <v>43221.0</v>
      </c>
      <c r="DC134" s="138">
        <v>43252.0</v>
      </c>
      <c r="DD134" s="138">
        <v>43282.0</v>
      </c>
      <c r="DE134" s="138">
        <v>43313.0</v>
      </c>
      <c r="DF134" s="138">
        <v>43344.0</v>
      </c>
      <c r="DG134" s="138">
        <v>43374.0</v>
      </c>
      <c r="DH134" s="138">
        <v>43405.0</v>
      </c>
      <c r="DI134" s="138">
        <v>43435.0</v>
      </c>
      <c r="DJ134" s="138">
        <v>43466.0</v>
      </c>
      <c r="DK134" s="138">
        <v>43497.0</v>
      </c>
      <c r="DL134" s="138">
        <v>43525.0</v>
      </c>
      <c r="DM134" s="138">
        <v>43556.0</v>
      </c>
      <c r="DN134" s="138">
        <v>43586.0</v>
      </c>
      <c r="DO134" s="138">
        <v>43617.0</v>
      </c>
      <c r="DP134" s="138">
        <v>43647.0</v>
      </c>
      <c r="DQ134" s="138">
        <v>43678.0</v>
      </c>
      <c r="DR134" s="138">
        <v>43709.0</v>
      </c>
      <c r="DS134" s="138">
        <v>43739.0</v>
      </c>
      <c r="DT134" s="138">
        <v>43770.0</v>
      </c>
      <c r="DU134" s="138">
        <v>43800.0</v>
      </c>
      <c r="DV134" s="138">
        <v>43831.0</v>
      </c>
      <c r="DW134" s="138">
        <v>43862.0</v>
      </c>
      <c r="DX134" s="138">
        <v>43891.0</v>
      </c>
      <c r="DY134" s="138">
        <v>43922.0</v>
      </c>
      <c r="DZ134" s="138">
        <v>43952.0</v>
      </c>
      <c r="EA134" s="138">
        <v>43983.0</v>
      </c>
      <c r="EB134" s="138">
        <v>44013.0</v>
      </c>
      <c r="EC134" s="138">
        <v>44044.0</v>
      </c>
      <c r="ED134" s="138">
        <v>44075.0</v>
      </c>
      <c r="EE134" s="138">
        <v>44105.0</v>
      </c>
      <c r="EF134" s="138">
        <v>44136.0</v>
      </c>
      <c r="EG134" s="138">
        <v>44166.0</v>
      </c>
      <c r="EH134" s="138">
        <v>44197.0</v>
      </c>
      <c r="EI134" s="138">
        <v>44228.0</v>
      </c>
      <c r="EJ134" s="138">
        <v>44256.0</v>
      </c>
      <c r="EK134" s="138">
        <v>44287.0</v>
      </c>
      <c r="EL134" s="138">
        <v>44317.0</v>
      </c>
      <c r="EM134" s="138">
        <v>44348.0</v>
      </c>
      <c r="EN134" s="138">
        <v>44378.0</v>
      </c>
      <c r="EO134" s="138">
        <v>44409.0</v>
      </c>
      <c r="EP134" s="138">
        <v>44440.0</v>
      </c>
      <c r="EQ134" s="138">
        <v>44470.0</v>
      </c>
      <c r="ER134" s="138">
        <v>44501.0</v>
      </c>
      <c r="ES134" s="138">
        <v>44531.0</v>
      </c>
      <c r="ET134" s="138">
        <v>44562.0</v>
      </c>
      <c r="EU134" s="138">
        <v>44593.0</v>
      </c>
      <c r="EV134" s="138">
        <v>44621.0</v>
      </c>
      <c r="EW134" s="138">
        <v>44652.0</v>
      </c>
      <c r="EX134" s="138">
        <v>44682.0</v>
      </c>
      <c r="EY134" s="138">
        <v>44713.0</v>
      </c>
      <c r="EZ134" s="138">
        <v>44743.0</v>
      </c>
      <c r="FA134" s="138">
        <v>44774.0</v>
      </c>
      <c r="FB134" s="138">
        <v>44805.0</v>
      </c>
      <c r="FC134" s="138">
        <v>44835.0</v>
      </c>
      <c r="FD134" s="138">
        <v>44866.0</v>
      </c>
      <c r="FE134" s="138">
        <v>44896.0</v>
      </c>
      <c r="FF134" s="138">
        <v>44927.0</v>
      </c>
      <c r="FG134" s="138">
        <v>44958.0</v>
      </c>
      <c r="FH134" s="138">
        <v>44986.0</v>
      </c>
      <c r="FI134" s="138">
        <v>45017.0</v>
      </c>
      <c r="FJ134" s="138">
        <v>45047.0</v>
      </c>
      <c r="FK134" s="138">
        <v>45078.0</v>
      </c>
      <c r="FL134" s="138">
        <v>45108.0</v>
      </c>
      <c r="FM134" s="138">
        <v>45139.0</v>
      </c>
      <c r="FN134" s="138">
        <v>45170.0</v>
      </c>
      <c r="FO134" s="138">
        <v>45200.0</v>
      </c>
      <c r="FP134" s="138">
        <v>45231.0</v>
      </c>
      <c r="FQ134" s="138">
        <v>45261.0</v>
      </c>
      <c r="FR134" s="138">
        <v>45292.0</v>
      </c>
      <c r="FS134" s="138">
        <v>45323.0</v>
      </c>
      <c r="FT134" s="138">
        <v>45352.0</v>
      </c>
      <c r="FU134" s="138">
        <v>45383.0</v>
      </c>
      <c r="FV134" s="138">
        <v>45413.0</v>
      </c>
      <c r="FW134" s="138">
        <v>45444.0</v>
      </c>
      <c r="FX134" s="138">
        <v>45474.0</v>
      </c>
      <c r="FY134" s="138">
        <v>45505.0</v>
      </c>
      <c r="FZ134" s="138">
        <v>45536.0</v>
      </c>
      <c r="GA134" s="138">
        <v>45566.0</v>
      </c>
      <c r="GB134" s="138">
        <v>45597.0</v>
      </c>
      <c r="GC134" s="138">
        <v>45627.0</v>
      </c>
      <c r="GD134" s="138">
        <v>45658.0</v>
      </c>
      <c r="GE134" s="138">
        <v>45689.0</v>
      </c>
      <c r="GF134" s="138">
        <v>45717.0</v>
      </c>
      <c r="GG134" s="138">
        <v>45748.0</v>
      </c>
      <c r="GH134" s="138">
        <v>45778.0</v>
      </c>
      <c r="GI134" s="139">
        <v>45809.0</v>
      </c>
      <c r="GJ134" s="139">
        <v>45839.0</v>
      </c>
    </row>
    <row r="135">
      <c r="A135" s="133" t="s">
        <v>1534</v>
      </c>
      <c r="B135" s="134">
        <v>45804.70326388889</v>
      </c>
      <c r="C135" s="135" t="str">
        <f t="shared" si="1"/>
        <v>2025/05/27</v>
      </c>
      <c r="D135" s="136" t="s">
        <v>34323</v>
      </c>
      <c r="E135" s="151">
        <v>0.0</v>
      </c>
      <c r="F135" s="138">
        <v>40179.0</v>
      </c>
      <c r="G135" s="138">
        <v>40210.0</v>
      </c>
      <c r="H135" s="138">
        <v>40238.0</v>
      </c>
      <c r="I135" s="138">
        <v>40269.0</v>
      </c>
      <c r="J135" s="138">
        <v>40299.0</v>
      </c>
      <c r="K135" s="138">
        <v>40330.0</v>
      </c>
      <c r="L135" s="138">
        <v>40360.0</v>
      </c>
      <c r="M135" s="138">
        <v>40391.0</v>
      </c>
      <c r="N135" s="138">
        <v>40422.0</v>
      </c>
      <c r="O135" s="138">
        <v>40452.0</v>
      </c>
      <c r="P135" s="138">
        <v>40483.0</v>
      </c>
      <c r="Q135" s="138">
        <v>40513.0</v>
      </c>
      <c r="R135" s="138">
        <v>40544.0</v>
      </c>
      <c r="S135" s="138">
        <v>40575.0</v>
      </c>
      <c r="T135" s="138">
        <v>40603.0</v>
      </c>
      <c r="U135" s="138">
        <v>40634.0</v>
      </c>
      <c r="V135" s="138">
        <v>40664.0</v>
      </c>
      <c r="W135" s="138">
        <v>40695.0</v>
      </c>
      <c r="X135" s="138">
        <v>40725.0</v>
      </c>
      <c r="Y135" s="138">
        <v>40756.0</v>
      </c>
      <c r="Z135" s="138">
        <v>40787.0</v>
      </c>
      <c r="AA135" s="138">
        <v>40817.0</v>
      </c>
      <c r="AB135" s="138">
        <v>40848.0</v>
      </c>
      <c r="AC135" s="138">
        <v>40878.0</v>
      </c>
      <c r="AD135" s="138">
        <v>40909.0</v>
      </c>
      <c r="AE135" s="138">
        <v>40940.0</v>
      </c>
      <c r="AF135" s="138">
        <v>40969.0</v>
      </c>
      <c r="AG135" s="138">
        <v>41000.0</v>
      </c>
      <c r="AH135" s="138">
        <v>41030.0</v>
      </c>
      <c r="AI135" s="138">
        <v>41061.0</v>
      </c>
      <c r="AJ135" s="138">
        <v>41091.0</v>
      </c>
      <c r="AK135" s="138">
        <v>41122.0</v>
      </c>
      <c r="AL135" s="138">
        <v>41153.0</v>
      </c>
      <c r="AM135" s="138">
        <v>41183.0</v>
      </c>
      <c r="AN135" s="138">
        <v>41214.0</v>
      </c>
      <c r="AO135" s="138">
        <v>41244.0</v>
      </c>
      <c r="AP135" s="138">
        <v>41275.0</v>
      </c>
      <c r="AQ135" s="138">
        <v>41306.0</v>
      </c>
      <c r="AR135" s="138">
        <v>41334.0</v>
      </c>
      <c r="AS135" s="138">
        <v>41365.0</v>
      </c>
      <c r="AT135" s="138">
        <v>41395.0</v>
      </c>
      <c r="AU135" s="138">
        <v>41426.0</v>
      </c>
      <c r="AV135" s="138">
        <v>41456.0</v>
      </c>
      <c r="AW135" s="138">
        <v>41487.0</v>
      </c>
      <c r="AX135" s="138">
        <v>41518.0</v>
      </c>
      <c r="AY135" s="138">
        <v>41548.0</v>
      </c>
      <c r="AZ135" s="138">
        <v>41579.0</v>
      </c>
      <c r="BA135" s="138">
        <v>41609.0</v>
      </c>
      <c r="BB135" s="138">
        <v>41640.0</v>
      </c>
      <c r="BC135" s="138">
        <v>41671.0</v>
      </c>
      <c r="BD135" s="138">
        <v>41699.0</v>
      </c>
      <c r="BE135" s="138">
        <v>41730.0</v>
      </c>
      <c r="BF135" s="138">
        <v>41760.0</v>
      </c>
      <c r="BG135" s="138">
        <v>41791.0</v>
      </c>
      <c r="BH135" s="138">
        <v>41821.0</v>
      </c>
      <c r="BI135" s="138">
        <v>41852.0</v>
      </c>
      <c r="BJ135" s="138">
        <v>41883.0</v>
      </c>
      <c r="BK135" s="138">
        <v>41913.0</v>
      </c>
      <c r="BL135" s="138">
        <v>41944.0</v>
      </c>
      <c r="BM135" s="138">
        <v>41974.0</v>
      </c>
      <c r="BN135" s="138">
        <v>42005.0</v>
      </c>
      <c r="BO135" s="138">
        <v>42036.0</v>
      </c>
      <c r="BP135" s="138">
        <v>42064.0</v>
      </c>
      <c r="BQ135" s="138">
        <v>42095.0</v>
      </c>
      <c r="BR135" s="138">
        <v>42125.0</v>
      </c>
      <c r="BS135" s="138">
        <v>42156.0</v>
      </c>
      <c r="BT135" s="138">
        <v>42186.0</v>
      </c>
      <c r="BU135" s="138">
        <v>42217.0</v>
      </c>
      <c r="BV135" s="138">
        <v>42248.0</v>
      </c>
      <c r="BW135" s="138">
        <v>42278.0</v>
      </c>
      <c r="BX135" s="138">
        <v>42309.0</v>
      </c>
      <c r="BY135" s="138">
        <v>42339.0</v>
      </c>
      <c r="BZ135" s="138">
        <v>42370.0</v>
      </c>
      <c r="CA135" s="138">
        <v>42401.0</v>
      </c>
      <c r="CB135" s="138">
        <v>42430.0</v>
      </c>
      <c r="CC135" s="138">
        <v>42461.0</v>
      </c>
      <c r="CD135" s="138">
        <v>42491.0</v>
      </c>
      <c r="CE135" s="138">
        <v>42522.0</v>
      </c>
      <c r="CF135" s="138">
        <v>42552.0</v>
      </c>
      <c r="CG135" s="138">
        <v>42583.0</v>
      </c>
      <c r="CH135" s="138">
        <v>42614.0</v>
      </c>
      <c r="CI135" s="138">
        <v>42644.0</v>
      </c>
      <c r="CJ135" s="138">
        <v>42675.0</v>
      </c>
      <c r="CK135" s="138">
        <v>42705.0</v>
      </c>
      <c r="CL135" s="138">
        <v>42736.0</v>
      </c>
      <c r="CM135" s="138">
        <v>42767.0</v>
      </c>
      <c r="CN135" s="138">
        <v>42795.0</v>
      </c>
      <c r="CO135" s="138">
        <v>42826.0</v>
      </c>
      <c r="CP135" s="138">
        <v>42856.0</v>
      </c>
      <c r="CQ135" s="138">
        <v>42887.0</v>
      </c>
      <c r="CR135" s="138">
        <v>42917.0</v>
      </c>
      <c r="CS135" s="138">
        <v>42948.0</v>
      </c>
      <c r="CT135" s="138">
        <v>42979.0</v>
      </c>
      <c r="CU135" s="138">
        <v>43009.0</v>
      </c>
      <c r="CV135" s="138">
        <v>43040.0</v>
      </c>
      <c r="CW135" s="138">
        <v>43070.0</v>
      </c>
      <c r="CX135" s="138">
        <v>43101.0</v>
      </c>
      <c r="CY135" s="138">
        <v>43132.0</v>
      </c>
      <c r="CZ135" s="138">
        <v>43160.0</v>
      </c>
      <c r="DA135" s="138">
        <v>43191.0</v>
      </c>
      <c r="DB135" s="138">
        <v>43221.0</v>
      </c>
      <c r="DC135" s="138">
        <v>43252.0</v>
      </c>
      <c r="DD135" s="138">
        <v>43282.0</v>
      </c>
      <c r="DE135" s="138">
        <v>43313.0</v>
      </c>
      <c r="DF135" s="138">
        <v>43344.0</v>
      </c>
      <c r="DG135" s="138">
        <v>43374.0</v>
      </c>
      <c r="DH135" s="138">
        <v>43405.0</v>
      </c>
      <c r="DI135" s="138">
        <v>43435.0</v>
      </c>
      <c r="DJ135" s="138">
        <v>43466.0</v>
      </c>
      <c r="DK135" s="138">
        <v>43497.0</v>
      </c>
      <c r="DL135" s="138">
        <v>43525.0</v>
      </c>
      <c r="DM135" s="138">
        <v>43556.0</v>
      </c>
      <c r="DN135" s="138">
        <v>43586.0</v>
      </c>
      <c r="DO135" s="138">
        <v>43617.0</v>
      </c>
      <c r="DP135" s="138">
        <v>43647.0</v>
      </c>
      <c r="DQ135" s="138">
        <v>43678.0</v>
      </c>
      <c r="DR135" s="138">
        <v>43709.0</v>
      </c>
      <c r="DS135" s="138">
        <v>43739.0</v>
      </c>
      <c r="DT135" s="138">
        <v>43770.0</v>
      </c>
      <c r="DU135" s="138">
        <v>43800.0</v>
      </c>
      <c r="DV135" s="138">
        <v>43831.0</v>
      </c>
      <c r="DW135" s="138">
        <v>43862.0</v>
      </c>
      <c r="DX135" s="138">
        <v>43891.0</v>
      </c>
      <c r="DY135" s="138">
        <v>43922.0</v>
      </c>
      <c r="DZ135" s="138">
        <v>43952.0</v>
      </c>
      <c r="EA135" s="138">
        <v>43983.0</v>
      </c>
      <c r="EB135" s="138">
        <v>44013.0</v>
      </c>
      <c r="EC135" s="138">
        <v>44044.0</v>
      </c>
      <c r="ED135" s="138">
        <v>44075.0</v>
      </c>
      <c r="EE135" s="138">
        <v>44105.0</v>
      </c>
      <c r="EF135" s="138">
        <v>44136.0</v>
      </c>
      <c r="EG135" s="138">
        <v>44166.0</v>
      </c>
      <c r="EH135" s="138">
        <v>44197.0</v>
      </c>
      <c r="EI135" s="138">
        <v>44228.0</v>
      </c>
      <c r="EJ135" s="138">
        <v>44256.0</v>
      </c>
      <c r="EK135" s="138">
        <v>44287.0</v>
      </c>
      <c r="EL135" s="138">
        <v>44317.0</v>
      </c>
      <c r="EM135" s="138">
        <v>44348.0</v>
      </c>
      <c r="EN135" s="138">
        <v>44378.0</v>
      </c>
      <c r="EO135" s="138">
        <v>44409.0</v>
      </c>
      <c r="EP135" s="138">
        <v>44440.0</v>
      </c>
      <c r="EQ135" s="138">
        <v>44470.0</v>
      </c>
      <c r="ER135" s="138">
        <v>44501.0</v>
      </c>
      <c r="ES135" s="138">
        <v>44531.0</v>
      </c>
      <c r="ET135" s="138">
        <v>44562.0</v>
      </c>
      <c r="EU135" s="138">
        <v>44593.0</v>
      </c>
      <c r="EV135" s="138">
        <v>44621.0</v>
      </c>
      <c r="EW135" s="138">
        <v>44652.0</v>
      </c>
      <c r="EX135" s="138">
        <v>44682.0</v>
      </c>
      <c r="EY135" s="138">
        <v>44713.0</v>
      </c>
      <c r="EZ135" s="138">
        <v>44743.0</v>
      </c>
      <c r="FA135" s="138">
        <v>44774.0</v>
      </c>
      <c r="FB135" s="138">
        <v>44805.0</v>
      </c>
      <c r="FC135" s="138">
        <v>44835.0</v>
      </c>
      <c r="FD135" s="138">
        <v>44866.0</v>
      </c>
      <c r="FE135" s="138">
        <v>44896.0</v>
      </c>
      <c r="FF135" s="138">
        <v>44927.0</v>
      </c>
      <c r="FG135" s="138">
        <v>44958.0</v>
      </c>
      <c r="FH135" s="138">
        <v>44986.0</v>
      </c>
      <c r="FI135" s="138">
        <v>45017.0</v>
      </c>
      <c r="FJ135" s="138">
        <v>45047.0</v>
      </c>
      <c r="FK135" s="138">
        <v>45078.0</v>
      </c>
      <c r="FL135" s="138">
        <v>45108.0</v>
      </c>
      <c r="FM135" s="138">
        <v>45139.0</v>
      </c>
      <c r="FN135" s="138">
        <v>45170.0</v>
      </c>
      <c r="FO135" s="138">
        <v>45200.0</v>
      </c>
      <c r="FP135" s="138">
        <v>45231.0</v>
      </c>
      <c r="FQ135" s="138">
        <v>45261.0</v>
      </c>
      <c r="FR135" s="138">
        <v>45292.0</v>
      </c>
      <c r="FS135" s="138">
        <v>45323.0</v>
      </c>
      <c r="FT135" s="138">
        <v>45352.0</v>
      </c>
      <c r="FU135" s="138">
        <v>45383.0</v>
      </c>
      <c r="FV135" s="138">
        <v>45413.0</v>
      </c>
      <c r="FW135" s="138">
        <v>45444.0</v>
      </c>
      <c r="FX135" s="138">
        <v>45474.0</v>
      </c>
      <c r="FY135" s="138">
        <v>45505.0</v>
      </c>
      <c r="FZ135" s="138">
        <v>45536.0</v>
      </c>
      <c r="GA135" s="138">
        <v>45566.0</v>
      </c>
      <c r="GB135" s="138">
        <v>45597.0</v>
      </c>
      <c r="GC135" s="138">
        <v>45627.0</v>
      </c>
      <c r="GD135" s="138">
        <v>45658.0</v>
      </c>
      <c r="GE135" s="138">
        <v>45689.0</v>
      </c>
      <c r="GF135" s="138">
        <v>45717.0</v>
      </c>
      <c r="GG135" s="138">
        <v>45748.0</v>
      </c>
      <c r="GH135" s="138">
        <v>45778.0</v>
      </c>
      <c r="GI135" s="139">
        <v>45809.0</v>
      </c>
      <c r="GJ135" s="139">
        <v>45839.0</v>
      </c>
    </row>
    <row r="136">
      <c r="A136" s="133" t="s">
        <v>1713</v>
      </c>
      <c r="B136" s="134">
        <v>45807.8950462963</v>
      </c>
      <c r="C136" s="135" t="str">
        <f t="shared" si="1"/>
        <v>2025/05/30</v>
      </c>
      <c r="D136" s="136" t="s">
        <v>34324</v>
      </c>
      <c r="E136" s="151">
        <v>0.0</v>
      </c>
      <c r="F136" s="138">
        <v>40179.0</v>
      </c>
      <c r="G136" s="138">
        <v>40210.0</v>
      </c>
      <c r="H136" s="138">
        <v>40238.0</v>
      </c>
      <c r="I136" s="138">
        <v>40269.0</v>
      </c>
      <c r="J136" s="138">
        <v>40299.0</v>
      </c>
      <c r="K136" s="138">
        <v>40330.0</v>
      </c>
      <c r="L136" s="138">
        <v>40360.0</v>
      </c>
      <c r="M136" s="138">
        <v>40391.0</v>
      </c>
      <c r="N136" s="138">
        <v>40422.0</v>
      </c>
      <c r="O136" s="138">
        <v>40452.0</v>
      </c>
      <c r="P136" s="138">
        <v>40483.0</v>
      </c>
      <c r="Q136" s="138">
        <v>40513.0</v>
      </c>
      <c r="R136" s="138">
        <v>40544.0</v>
      </c>
      <c r="S136" s="138">
        <v>40575.0</v>
      </c>
      <c r="T136" s="138">
        <v>40603.0</v>
      </c>
      <c r="U136" s="138">
        <v>40634.0</v>
      </c>
      <c r="V136" s="138">
        <v>40664.0</v>
      </c>
      <c r="W136" s="138">
        <v>40695.0</v>
      </c>
      <c r="X136" s="138">
        <v>40725.0</v>
      </c>
      <c r="Y136" s="138">
        <v>40756.0</v>
      </c>
      <c r="Z136" s="138">
        <v>40787.0</v>
      </c>
      <c r="AA136" s="138">
        <v>40817.0</v>
      </c>
      <c r="AB136" s="138">
        <v>40848.0</v>
      </c>
      <c r="AC136" s="138">
        <v>40878.0</v>
      </c>
      <c r="AD136" s="138">
        <v>40909.0</v>
      </c>
      <c r="AE136" s="138">
        <v>40940.0</v>
      </c>
      <c r="AF136" s="138">
        <v>40969.0</v>
      </c>
      <c r="AG136" s="138">
        <v>41000.0</v>
      </c>
      <c r="AH136" s="138">
        <v>41030.0</v>
      </c>
      <c r="AI136" s="138">
        <v>41061.0</v>
      </c>
      <c r="AJ136" s="138">
        <v>41091.0</v>
      </c>
      <c r="AK136" s="138">
        <v>41122.0</v>
      </c>
      <c r="AL136" s="138">
        <v>41153.0</v>
      </c>
      <c r="AM136" s="138">
        <v>41183.0</v>
      </c>
      <c r="AN136" s="138">
        <v>41214.0</v>
      </c>
      <c r="AO136" s="138">
        <v>41244.0</v>
      </c>
      <c r="AP136" s="138">
        <v>41275.0</v>
      </c>
      <c r="AQ136" s="138">
        <v>41306.0</v>
      </c>
      <c r="AR136" s="138">
        <v>41334.0</v>
      </c>
      <c r="AS136" s="138">
        <v>41365.0</v>
      </c>
      <c r="AT136" s="138">
        <v>41395.0</v>
      </c>
      <c r="AU136" s="138">
        <v>41426.0</v>
      </c>
      <c r="AV136" s="138">
        <v>41456.0</v>
      </c>
      <c r="AW136" s="138">
        <v>41487.0</v>
      </c>
      <c r="AX136" s="138">
        <v>41518.0</v>
      </c>
      <c r="AY136" s="138">
        <v>41548.0</v>
      </c>
      <c r="AZ136" s="138">
        <v>41579.0</v>
      </c>
      <c r="BA136" s="138">
        <v>41609.0</v>
      </c>
      <c r="BB136" s="138">
        <v>41640.0</v>
      </c>
      <c r="BC136" s="138">
        <v>41671.0</v>
      </c>
      <c r="BD136" s="138">
        <v>41699.0</v>
      </c>
      <c r="BE136" s="138">
        <v>41730.0</v>
      </c>
      <c r="BF136" s="138">
        <v>41760.0</v>
      </c>
      <c r="BG136" s="138">
        <v>41791.0</v>
      </c>
      <c r="BH136" s="138">
        <v>41821.0</v>
      </c>
      <c r="BI136" s="138">
        <v>41852.0</v>
      </c>
      <c r="BJ136" s="138">
        <v>41883.0</v>
      </c>
      <c r="BK136" s="138">
        <v>41913.0</v>
      </c>
      <c r="BL136" s="138">
        <v>41944.0</v>
      </c>
      <c r="BM136" s="138">
        <v>41974.0</v>
      </c>
      <c r="BN136" s="138">
        <v>42005.0</v>
      </c>
      <c r="BO136" s="138">
        <v>42036.0</v>
      </c>
      <c r="BP136" s="138">
        <v>42064.0</v>
      </c>
      <c r="BQ136" s="138">
        <v>42095.0</v>
      </c>
      <c r="BR136" s="138">
        <v>42125.0</v>
      </c>
      <c r="BS136" s="138">
        <v>42156.0</v>
      </c>
      <c r="BT136" s="138">
        <v>42186.0</v>
      </c>
      <c r="BU136" s="138">
        <v>42217.0</v>
      </c>
      <c r="BV136" s="138">
        <v>42248.0</v>
      </c>
      <c r="BW136" s="138">
        <v>42278.0</v>
      </c>
      <c r="BX136" s="138">
        <v>42309.0</v>
      </c>
      <c r="BY136" s="138">
        <v>42339.0</v>
      </c>
      <c r="BZ136" s="138">
        <v>42370.0</v>
      </c>
      <c r="CA136" s="138">
        <v>42401.0</v>
      </c>
      <c r="CB136" s="138">
        <v>42430.0</v>
      </c>
      <c r="CC136" s="138">
        <v>42461.0</v>
      </c>
      <c r="CD136" s="138">
        <v>42491.0</v>
      </c>
      <c r="CE136" s="138">
        <v>42522.0</v>
      </c>
      <c r="CF136" s="138">
        <v>42552.0</v>
      </c>
      <c r="CG136" s="138">
        <v>42583.0</v>
      </c>
      <c r="CH136" s="138">
        <v>42614.0</v>
      </c>
      <c r="CI136" s="138">
        <v>42644.0</v>
      </c>
      <c r="CJ136" s="138">
        <v>42675.0</v>
      </c>
      <c r="CK136" s="138">
        <v>42705.0</v>
      </c>
      <c r="CL136" s="138">
        <v>42736.0</v>
      </c>
      <c r="CM136" s="138">
        <v>42767.0</v>
      </c>
      <c r="CN136" s="138">
        <v>42795.0</v>
      </c>
      <c r="CO136" s="138">
        <v>42826.0</v>
      </c>
      <c r="CP136" s="138">
        <v>42856.0</v>
      </c>
      <c r="CQ136" s="138">
        <v>42887.0</v>
      </c>
      <c r="CR136" s="138">
        <v>42917.0</v>
      </c>
      <c r="CS136" s="138">
        <v>42948.0</v>
      </c>
      <c r="CT136" s="138">
        <v>42979.0</v>
      </c>
      <c r="CU136" s="138">
        <v>43009.0</v>
      </c>
      <c r="CV136" s="138">
        <v>43040.0</v>
      </c>
      <c r="CW136" s="138">
        <v>43070.0</v>
      </c>
      <c r="CX136" s="138">
        <v>43101.0</v>
      </c>
      <c r="CY136" s="138">
        <v>43132.0</v>
      </c>
      <c r="CZ136" s="138">
        <v>43160.0</v>
      </c>
      <c r="DA136" s="138">
        <v>43191.0</v>
      </c>
      <c r="DB136" s="138">
        <v>43221.0</v>
      </c>
      <c r="DC136" s="138">
        <v>43252.0</v>
      </c>
      <c r="DD136" s="138">
        <v>43282.0</v>
      </c>
      <c r="DE136" s="138">
        <v>43313.0</v>
      </c>
      <c r="DF136" s="138">
        <v>43344.0</v>
      </c>
      <c r="DG136" s="138">
        <v>43374.0</v>
      </c>
      <c r="DH136" s="138">
        <v>43405.0</v>
      </c>
      <c r="DI136" s="138">
        <v>43435.0</v>
      </c>
      <c r="DJ136" s="138">
        <v>43466.0</v>
      </c>
      <c r="DK136" s="138">
        <v>43497.0</v>
      </c>
      <c r="DL136" s="138">
        <v>43525.0</v>
      </c>
      <c r="DM136" s="138">
        <v>43556.0</v>
      </c>
      <c r="DN136" s="138">
        <v>43586.0</v>
      </c>
      <c r="DO136" s="138">
        <v>43617.0</v>
      </c>
      <c r="DP136" s="138">
        <v>43647.0</v>
      </c>
      <c r="DQ136" s="138">
        <v>43678.0</v>
      </c>
      <c r="DR136" s="138">
        <v>43709.0</v>
      </c>
      <c r="DS136" s="138">
        <v>43739.0</v>
      </c>
      <c r="DT136" s="138">
        <v>43770.0</v>
      </c>
      <c r="DU136" s="138">
        <v>43800.0</v>
      </c>
      <c r="DV136" s="138">
        <v>43831.0</v>
      </c>
      <c r="DW136" s="138">
        <v>43862.0</v>
      </c>
      <c r="DX136" s="138">
        <v>43891.0</v>
      </c>
      <c r="DY136" s="138">
        <v>43922.0</v>
      </c>
      <c r="DZ136" s="138">
        <v>43952.0</v>
      </c>
      <c r="EA136" s="138">
        <v>43983.0</v>
      </c>
      <c r="EB136" s="138">
        <v>44013.0</v>
      </c>
      <c r="EC136" s="138">
        <v>44044.0</v>
      </c>
      <c r="ED136" s="138">
        <v>44075.0</v>
      </c>
      <c r="EE136" s="138">
        <v>44105.0</v>
      </c>
      <c r="EF136" s="138">
        <v>44136.0</v>
      </c>
      <c r="EG136" s="138">
        <v>44166.0</v>
      </c>
      <c r="EH136" s="138">
        <v>44197.0</v>
      </c>
      <c r="EI136" s="138">
        <v>44228.0</v>
      </c>
      <c r="EJ136" s="138">
        <v>44256.0</v>
      </c>
      <c r="EK136" s="138">
        <v>44287.0</v>
      </c>
      <c r="EL136" s="138">
        <v>44317.0</v>
      </c>
      <c r="EM136" s="138">
        <v>44348.0</v>
      </c>
      <c r="EN136" s="138">
        <v>44378.0</v>
      </c>
      <c r="EO136" s="138">
        <v>44409.0</v>
      </c>
      <c r="EP136" s="138">
        <v>44440.0</v>
      </c>
      <c r="EQ136" s="138">
        <v>44470.0</v>
      </c>
      <c r="ER136" s="138">
        <v>44501.0</v>
      </c>
      <c r="ES136" s="138">
        <v>44531.0</v>
      </c>
      <c r="ET136" s="138">
        <v>44562.0</v>
      </c>
      <c r="EU136" s="138">
        <v>44593.0</v>
      </c>
      <c r="EV136" s="138">
        <v>44621.0</v>
      </c>
      <c r="EW136" s="138">
        <v>44652.0</v>
      </c>
      <c r="EX136" s="138">
        <v>44682.0</v>
      </c>
      <c r="EY136" s="138">
        <v>44713.0</v>
      </c>
      <c r="EZ136" s="138">
        <v>44743.0</v>
      </c>
      <c r="FA136" s="138">
        <v>44774.0</v>
      </c>
      <c r="FB136" s="138">
        <v>44805.0</v>
      </c>
      <c r="FC136" s="138">
        <v>44835.0</v>
      </c>
      <c r="FD136" s="138">
        <v>44866.0</v>
      </c>
      <c r="FE136" s="138">
        <v>44896.0</v>
      </c>
      <c r="FF136" s="138">
        <v>44927.0</v>
      </c>
      <c r="FG136" s="138">
        <v>44958.0</v>
      </c>
      <c r="FH136" s="138">
        <v>44986.0</v>
      </c>
      <c r="FI136" s="138">
        <v>45017.0</v>
      </c>
      <c r="FJ136" s="138">
        <v>45047.0</v>
      </c>
      <c r="FK136" s="138">
        <v>45078.0</v>
      </c>
      <c r="FL136" s="138">
        <v>45108.0</v>
      </c>
      <c r="FM136" s="138">
        <v>45139.0</v>
      </c>
      <c r="FN136" s="138">
        <v>45170.0</v>
      </c>
      <c r="FO136" s="138">
        <v>45200.0</v>
      </c>
      <c r="FP136" s="138">
        <v>45231.0</v>
      </c>
      <c r="FQ136" s="138">
        <v>45261.0</v>
      </c>
      <c r="FR136" s="138">
        <v>45292.0</v>
      </c>
      <c r="FS136" s="138">
        <v>45323.0</v>
      </c>
      <c r="FT136" s="138">
        <v>45352.0</v>
      </c>
      <c r="FU136" s="138">
        <v>45383.0</v>
      </c>
      <c r="FV136" s="138">
        <v>45413.0</v>
      </c>
      <c r="FW136" s="138">
        <v>45444.0</v>
      </c>
      <c r="FX136" s="138">
        <v>45474.0</v>
      </c>
      <c r="FY136" s="138">
        <v>45505.0</v>
      </c>
      <c r="FZ136" s="138">
        <v>45536.0</v>
      </c>
      <c r="GA136" s="138">
        <v>45566.0</v>
      </c>
      <c r="GB136" s="138">
        <v>45597.0</v>
      </c>
      <c r="GC136" s="138">
        <v>45627.0</v>
      </c>
      <c r="GD136" s="138">
        <v>45658.0</v>
      </c>
      <c r="GE136" s="138">
        <v>45689.0</v>
      </c>
      <c r="GF136" s="138">
        <v>45717.0</v>
      </c>
      <c r="GG136" s="138">
        <v>45748.0</v>
      </c>
      <c r="GH136" s="138">
        <v>45778.0</v>
      </c>
      <c r="GI136" s="139">
        <v>45809.0</v>
      </c>
      <c r="GJ136" s="139">
        <v>45839.0</v>
      </c>
    </row>
    <row r="137">
      <c r="A137" s="133" t="s">
        <v>1806</v>
      </c>
      <c r="B137" s="134">
        <v>45810.74528935185</v>
      </c>
      <c r="C137" s="135" t="str">
        <f t="shared" si="1"/>
        <v>2025/06/02</v>
      </c>
      <c r="D137" s="136" t="s">
        <v>34325</v>
      </c>
      <c r="E137" s="151">
        <v>0.0</v>
      </c>
      <c r="F137" s="138">
        <v>40179.0</v>
      </c>
      <c r="G137" s="138">
        <v>40210.0</v>
      </c>
      <c r="H137" s="138">
        <v>40238.0</v>
      </c>
      <c r="I137" s="138">
        <v>40269.0</v>
      </c>
      <c r="J137" s="138">
        <v>40299.0</v>
      </c>
      <c r="K137" s="138">
        <v>40330.0</v>
      </c>
      <c r="L137" s="138">
        <v>40360.0</v>
      </c>
      <c r="M137" s="138">
        <v>40391.0</v>
      </c>
      <c r="N137" s="138">
        <v>40422.0</v>
      </c>
      <c r="O137" s="138">
        <v>40452.0</v>
      </c>
      <c r="P137" s="138">
        <v>40483.0</v>
      </c>
      <c r="Q137" s="138">
        <v>40513.0</v>
      </c>
      <c r="R137" s="138">
        <v>40544.0</v>
      </c>
      <c r="S137" s="138">
        <v>40575.0</v>
      </c>
      <c r="T137" s="138">
        <v>40603.0</v>
      </c>
      <c r="U137" s="138">
        <v>40634.0</v>
      </c>
      <c r="V137" s="138">
        <v>40664.0</v>
      </c>
      <c r="W137" s="138">
        <v>40695.0</v>
      </c>
      <c r="X137" s="138">
        <v>40725.0</v>
      </c>
      <c r="Y137" s="138">
        <v>40756.0</v>
      </c>
      <c r="Z137" s="138">
        <v>40787.0</v>
      </c>
      <c r="AA137" s="138">
        <v>40817.0</v>
      </c>
      <c r="AB137" s="138">
        <v>40848.0</v>
      </c>
      <c r="AC137" s="138">
        <v>40878.0</v>
      </c>
      <c r="AD137" s="138">
        <v>40909.0</v>
      </c>
      <c r="AE137" s="138">
        <v>40940.0</v>
      </c>
      <c r="AF137" s="138">
        <v>40969.0</v>
      </c>
      <c r="AG137" s="138">
        <v>41000.0</v>
      </c>
      <c r="AH137" s="138">
        <v>41030.0</v>
      </c>
      <c r="AI137" s="138">
        <v>41061.0</v>
      </c>
      <c r="AJ137" s="138">
        <v>41091.0</v>
      </c>
      <c r="AK137" s="138">
        <v>41122.0</v>
      </c>
      <c r="AL137" s="138">
        <v>41153.0</v>
      </c>
      <c r="AM137" s="138">
        <v>41183.0</v>
      </c>
      <c r="AN137" s="138">
        <v>41214.0</v>
      </c>
      <c r="AO137" s="138">
        <v>41244.0</v>
      </c>
      <c r="AP137" s="138">
        <v>41275.0</v>
      </c>
      <c r="AQ137" s="138">
        <v>41306.0</v>
      </c>
      <c r="AR137" s="138">
        <v>41334.0</v>
      </c>
      <c r="AS137" s="138">
        <v>41365.0</v>
      </c>
      <c r="AT137" s="138">
        <v>41395.0</v>
      </c>
      <c r="AU137" s="138">
        <v>41426.0</v>
      </c>
      <c r="AV137" s="138">
        <v>41456.0</v>
      </c>
      <c r="AW137" s="138">
        <v>41487.0</v>
      </c>
      <c r="AX137" s="138">
        <v>41518.0</v>
      </c>
      <c r="AY137" s="138">
        <v>41548.0</v>
      </c>
      <c r="AZ137" s="138">
        <v>41579.0</v>
      </c>
      <c r="BA137" s="138">
        <v>41609.0</v>
      </c>
      <c r="BB137" s="138">
        <v>41640.0</v>
      </c>
      <c r="BC137" s="138">
        <v>41671.0</v>
      </c>
      <c r="BD137" s="138">
        <v>41699.0</v>
      </c>
      <c r="BE137" s="138">
        <v>41730.0</v>
      </c>
      <c r="BF137" s="138">
        <v>41760.0</v>
      </c>
      <c r="BG137" s="138">
        <v>41791.0</v>
      </c>
      <c r="BH137" s="138">
        <v>41821.0</v>
      </c>
      <c r="BI137" s="138">
        <v>41852.0</v>
      </c>
      <c r="BJ137" s="138">
        <v>41883.0</v>
      </c>
      <c r="BK137" s="138">
        <v>41913.0</v>
      </c>
      <c r="BL137" s="138">
        <v>41944.0</v>
      </c>
      <c r="BM137" s="138">
        <v>41974.0</v>
      </c>
      <c r="BN137" s="138">
        <v>42005.0</v>
      </c>
      <c r="BO137" s="138">
        <v>42036.0</v>
      </c>
      <c r="BP137" s="138">
        <v>42064.0</v>
      </c>
      <c r="BQ137" s="138">
        <v>42095.0</v>
      </c>
      <c r="BR137" s="138">
        <v>42125.0</v>
      </c>
      <c r="BS137" s="138">
        <v>42156.0</v>
      </c>
      <c r="BT137" s="138">
        <v>42186.0</v>
      </c>
      <c r="BU137" s="138">
        <v>42217.0</v>
      </c>
      <c r="BV137" s="138">
        <v>42248.0</v>
      </c>
      <c r="BW137" s="138">
        <v>42278.0</v>
      </c>
      <c r="BX137" s="138">
        <v>42309.0</v>
      </c>
      <c r="BY137" s="138">
        <v>42339.0</v>
      </c>
      <c r="BZ137" s="138">
        <v>42370.0</v>
      </c>
      <c r="CA137" s="138">
        <v>42401.0</v>
      </c>
      <c r="CB137" s="138">
        <v>42430.0</v>
      </c>
      <c r="CC137" s="138">
        <v>42461.0</v>
      </c>
      <c r="CD137" s="138">
        <v>42491.0</v>
      </c>
      <c r="CE137" s="138">
        <v>42522.0</v>
      </c>
      <c r="CF137" s="138">
        <v>42552.0</v>
      </c>
      <c r="CG137" s="138">
        <v>42583.0</v>
      </c>
      <c r="CH137" s="138">
        <v>42614.0</v>
      </c>
      <c r="CI137" s="138">
        <v>42644.0</v>
      </c>
      <c r="CJ137" s="138">
        <v>42675.0</v>
      </c>
      <c r="CK137" s="138">
        <v>42705.0</v>
      </c>
      <c r="CL137" s="138">
        <v>42736.0</v>
      </c>
      <c r="CM137" s="138">
        <v>42767.0</v>
      </c>
      <c r="CN137" s="138">
        <v>42795.0</v>
      </c>
      <c r="CO137" s="138">
        <v>42826.0</v>
      </c>
      <c r="CP137" s="138">
        <v>42856.0</v>
      </c>
      <c r="CQ137" s="138">
        <v>42887.0</v>
      </c>
      <c r="CR137" s="138">
        <v>42917.0</v>
      </c>
      <c r="CS137" s="138">
        <v>42948.0</v>
      </c>
      <c r="CT137" s="138">
        <v>42979.0</v>
      </c>
      <c r="CU137" s="138">
        <v>43009.0</v>
      </c>
      <c r="CV137" s="138">
        <v>43040.0</v>
      </c>
      <c r="CW137" s="138">
        <v>43070.0</v>
      </c>
      <c r="CX137" s="138">
        <v>43101.0</v>
      </c>
      <c r="CY137" s="138">
        <v>43132.0</v>
      </c>
      <c r="CZ137" s="138">
        <v>43160.0</v>
      </c>
      <c r="DA137" s="138">
        <v>43191.0</v>
      </c>
      <c r="DB137" s="138">
        <v>43221.0</v>
      </c>
      <c r="DC137" s="138">
        <v>43252.0</v>
      </c>
      <c r="DD137" s="138">
        <v>43282.0</v>
      </c>
      <c r="DE137" s="138">
        <v>43313.0</v>
      </c>
      <c r="DF137" s="138">
        <v>43344.0</v>
      </c>
      <c r="DG137" s="138">
        <v>43374.0</v>
      </c>
      <c r="DH137" s="138">
        <v>43405.0</v>
      </c>
      <c r="DI137" s="138">
        <v>43435.0</v>
      </c>
      <c r="DJ137" s="138">
        <v>43466.0</v>
      </c>
      <c r="DK137" s="138">
        <v>43497.0</v>
      </c>
      <c r="DL137" s="138">
        <v>43525.0</v>
      </c>
      <c r="DM137" s="138">
        <v>43556.0</v>
      </c>
      <c r="DN137" s="138">
        <v>43586.0</v>
      </c>
      <c r="DO137" s="138">
        <v>43617.0</v>
      </c>
      <c r="DP137" s="138">
        <v>43647.0</v>
      </c>
      <c r="DQ137" s="138">
        <v>43678.0</v>
      </c>
      <c r="DR137" s="138">
        <v>43709.0</v>
      </c>
      <c r="DS137" s="138">
        <v>43739.0</v>
      </c>
      <c r="DT137" s="138">
        <v>43770.0</v>
      </c>
      <c r="DU137" s="138">
        <v>43800.0</v>
      </c>
      <c r="DV137" s="138">
        <v>43831.0</v>
      </c>
      <c r="DW137" s="138">
        <v>43862.0</v>
      </c>
      <c r="DX137" s="138">
        <v>43891.0</v>
      </c>
      <c r="DY137" s="138">
        <v>43922.0</v>
      </c>
      <c r="DZ137" s="138">
        <v>43952.0</v>
      </c>
      <c r="EA137" s="138">
        <v>43983.0</v>
      </c>
      <c r="EB137" s="138">
        <v>44013.0</v>
      </c>
      <c r="EC137" s="138">
        <v>44044.0</v>
      </c>
      <c r="ED137" s="138">
        <v>44075.0</v>
      </c>
      <c r="EE137" s="138">
        <v>44105.0</v>
      </c>
      <c r="EF137" s="138">
        <v>44136.0</v>
      </c>
      <c r="EG137" s="138">
        <v>44166.0</v>
      </c>
      <c r="EH137" s="138">
        <v>44197.0</v>
      </c>
      <c r="EI137" s="138">
        <v>44228.0</v>
      </c>
      <c r="EJ137" s="138">
        <v>44256.0</v>
      </c>
      <c r="EK137" s="138">
        <v>44287.0</v>
      </c>
      <c r="EL137" s="138">
        <v>44317.0</v>
      </c>
      <c r="EM137" s="138">
        <v>44348.0</v>
      </c>
      <c r="EN137" s="138">
        <v>44378.0</v>
      </c>
      <c r="EO137" s="138">
        <v>44409.0</v>
      </c>
      <c r="EP137" s="138">
        <v>44440.0</v>
      </c>
      <c r="EQ137" s="138">
        <v>44470.0</v>
      </c>
      <c r="ER137" s="138">
        <v>44501.0</v>
      </c>
      <c r="ES137" s="138">
        <v>44531.0</v>
      </c>
      <c r="ET137" s="138">
        <v>44562.0</v>
      </c>
      <c r="EU137" s="138">
        <v>44593.0</v>
      </c>
      <c r="EV137" s="138">
        <v>44621.0</v>
      </c>
      <c r="EW137" s="138">
        <v>44652.0</v>
      </c>
      <c r="EX137" s="138">
        <v>44682.0</v>
      </c>
      <c r="EY137" s="138">
        <v>44713.0</v>
      </c>
      <c r="EZ137" s="138">
        <v>44743.0</v>
      </c>
      <c r="FA137" s="138">
        <v>44774.0</v>
      </c>
      <c r="FB137" s="138">
        <v>44805.0</v>
      </c>
      <c r="FC137" s="138">
        <v>44835.0</v>
      </c>
      <c r="FD137" s="138">
        <v>44866.0</v>
      </c>
      <c r="FE137" s="138">
        <v>44896.0</v>
      </c>
      <c r="FF137" s="138">
        <v>44927.0</v>
      </c>
      <c r="FG137" s="138">
        <v>44958.0</v>
      </c>
      <c r="FH137" s="138">
        <v>44986.0</v>
      </c>
      <c r="FI137" s="138">
        <v>45017.0</v>
      </c>
      <c r="FJ137" s="138">
        <v>45047.0</v>
      </c>
      <c r="FK137" s="138">
        <v>45078.0</v>
      </c>
      <c r="FL137" s="138">
        <v>45108.0</v>
      </c>
      <c r="FM137" s="138">
        <v>45139.0</v>
      </c>
      <c r="FN137" s="138">
        <v>45170.0</v>
      </c>
      <c r="FO137" s="138">
        <v>45200.0</v>
      </c>
      <c r="FP137" s="138">
        <v>45231.0</v>
      </c>
      <c r="FQ137" s="138">
        <v>45261.0</v>
      </c>
      <c r="FR137" s="138">
        <v>45292.0</v>
      </c>
      <c r="FS137" s="138">
        <v>45323.0</v>
      </c>
      <c r="FT137" s="138">
        <v>45352.0</v>
      </c>
      <c r="FU137" s="138">
        <v>45383.0</v>
      </c>
      <c r="FV137" s="138">
        <v>45413.0</v>
      </c>
      <c r="FW137" s="138">
        <v>45444.0</v>
      </c>
      <c r="FX137" s="138">
        <v>45474.0</v>
      </c>
      <c r="FY137" s="138">
        <v>45505.0</v>
      </c>
      <c r="FZ137" s="138">
        <v>45536.0</v>
      </c>
      <c r="GA137" s="138">
        <v>45566.0</v>
      </c>
      <c r="GB137" s="138">
        <v>45597.0</v>
      </c>
      <c r="GC137" s="138">
        <v>45627.0</v>
      </c>
      <c r="GD137" s="138">
        <v>45658.0</v>
      </c>
      <c r="GE137" s="138">
        <v>45689.0</v>
      </c>
      <c r="GF137" s="138">
        <v>45717.0</v>
      </c>
      <c r="GG137" s="138">
        <v>45748.0</v>
      </c>
      <c r="GH137" s="138">
        <v>45778.0</v>
      </c>
      <c r="GI137" s="138">
        <v>45809.0</v>
      </c>
      <c r="GJ137" s="139">
        <v>45839.0</v>
      </c>
    </row>
    <row r="138">
      <c r="A138" s="133" t="s">
        <v>1698</v>
      </c>
      <c r="B138" s="134">
        <v>45821.564363425925</v>
      </c>
      <c r="C138" s="135" t="str">
        <f t="shared" si="1"/>
        <v>2025/06/13</v>
      </c>
      <c r="D138" s="136" t="s">
        <v>34326</v>
      </c>
      <c r="E138" s="151">
        <v>0.04</v>
      </c>
      <c r="F138" s="138">
        <v>40179.0</v>
      </c>
      <c r="G138" s="138">
        <v>40210.0</v>
      </c>
      <c r="H138" s="138">
        <v>40238.0</v>
      </c>
      <c r="I138" s="138">
        <v>40269.0</v>
      </c>
      <c r="J138" s="138">
        <v>40299.0</v>
      </c>
      <c r="K138" s="138">
        <v>40330.0</v>
      </c>
      <c r="L138" s="138">
        <v>40360.0</v>
      </c>
      <c r="M138" s="138">
        <v>40391.0</v>
      </c>
      <c r="N138" s="138">
        <v>40422.0</v>
      </c>
      <c r="O138" s="138">
        <v>40452.0</v>
      </c>
      <c r="P138" s="138">
        <v>40483.0</v>
      </c>
      <c r="Q138" s="138">
        <v>40513.0</v>
      </c>
      <c r="R138" s="138">
        <v>40544.0</v>
      </c>
      <c r="S138" s="138">
        <v>40575.0</v>
      </c>
      <c r="T138" s="138">
        <v>40603.0</v>
      </c>
      <c r="U138" s="138">
        <v>40634.0</v>
      </c>
      <c r="V138" s="138">
        <v>40664.0</v>
      </c>
      <c r="W138" s="138">
        <v>40695.0</v>
      </c>
      <c r="X138" s="138">
        <v>40725.0</v>
      </c>
      <c r="Y138" s="138">
        <v>40756.0</v>
      </c>
      <c r="Z138" s="138">
        <v>40787.0</v>
      </c>
      <c r="AA138" s="138">
        <v>40817.0</v>
      </c>
      <c r="AB138" s="138">
        <v>40848.0</v>
      </c>
      <c r="AC138" s="138">
        <v>40878.0</v>
      </c>
      <c r="AD138" s="138">
        <v>40909.0</v>
      </c>
      <c r="AE138" s="138">
        <v>40940.0</v>
      </c>
      <c r="AF138" s="138">
        <v>40969.0</v>
      </c>
      <c r="AG138" s="138">
        <v>41000.0</v>
      </c>
      <c r="AH138" s="138">
        <v>41030.0</v>
      </c>
      <c r="AI138" s="138">
        <v>41061.0</v>
      </c>
      <c r="AJ138" s="138">
        <v>41091.0</v>
      </c>
      <c r="AK138" s="138">
        <v>41122.0</v>
      </c>
      <c r="AL138" s="138">
        <v>41153.0</v>
      </c>
      <c r="AM138" s="138">
        <v>41183.0</v>
      </c>
      <c r="AN138" s="138">
        <v>41214.0</v>
      </c>
      <c r="AO138" s="138">
        <v>41244.0</v>
      </c>
      <c r="AP138" s="138">
        <v>41275.0</v>
      </c>
      <c r="AQ138" s="138">
        <v>41306.0</v>
      </c>
      <c r="AR138" s="138">
        <v>41334.0</v>
      </c>
      <c r="AS138" s="138">
        <v>41365.0</v>
      </c>
      <c r="AT138" s="138">
        <v>41395.0</v>
      </c>
      <c r="AU138" s="138">
        <v>41426.0</v>
      </c>
      <c r="AV138" s="138">
        <v>41456.0</v>
      </c>
      <c r="AW138" s="138">
        <v>41487.0</v>
      </c>
      <c r="AX138" s="138">
        <v>41518.0</v>
      </c>
      <c r="AY138" s="138">
        <v>41548.0</v>
      </c>
      <c r="AZ138" s="138">
        <v>41579.0</v>
      </c>
      <c r="BA138" s="138">
        <v>41609.0</v>
      </c>
      <c r="BB138" s="138">
        <v>41640.0</v>
      </c>
      <c r="BC138" s="138">
        <v>41671.0</v>
      </c>
      <c r="BD138" s="138">
        <v>41699.0</v>
      </c>
      <c r="BE138" s="138">
        <v>41730.0</v>
      </c>
      <c r="BF138" s="138">
        <v>41760.0</v>
      </c>
      <c r="BG138" s="138">
        <v>41791.0</v>
      </c>
      <c r="BH138" s="138">
        <v>41821.0</v>
      </c>
      <c r="BI138" s="138">
        <v>41852.0</v>
      </c>
      <c r="BJ138" s="138">
        <v>41883.0</v>
      </c>
      <c r="BK138" s="138">
        <v>41913.0</v>
      </c>
      <c r="BL138" s="138">
        <v>41944.0</v>
      </c>
      <c r="BM138" s="138">
        <v>41974.0</v>
      </c>
      <c r="BN138" s="138">
        <v>42005.0</v>
      </c>
      <c r="BO138" s="138">
        <v>42036.0</v>
      </c>
      <c r="BP138" s="138">
        <v>42064.0</v>
      </c>
      <c r="BQ138" s="138">
        <v>42095.0</v>
      </c>
      <c r="BR138" s="138">
        <v>42125.0</v>
      </c>
      <c r="BS138" s="138">
        <v>42156.0</v>
      </c>
      <c r="BT138" s="138">
        <v>42186.0</v>
      </c>
      <c r="BU138" s="138">
        <v>42217.0</v>
      </c>
      <c r="BV138" s="138">
        <v>42248.0</v>
      </c>
      <c r="BW138" s="138">
        <v>42278.0</v>
      </c>
      <c r="BX138" s="138">
        <v>42309.0</v>
      </c>
      <c r="BY138" s="138">
        <v>42339.0</v>
      </c>
      <c r="BZ138" s="138">
        <v>42370.0</v>
      </c>
      <c r="CA138" s="138">
        <v>42401.0</v>
      </c>
      <c r="CB138" s="138">
        <v>42430.0</v>
      </c>
      <c r="CC138" s="138">
        <v>42461.0</v>
      </c>
      <c r="CD138" s="138">
        <v>42491.0</v>
      </c>
      <c r="CE138" s="138">
        <v>42522.0</v>
      </c>
      <c r="CF138" s="138">
        <v>42552.0</v>
      </c>
      <c r="CG138" s="138">
        <v>42583.0</v>
      </c>
      <c r="CH138" s="138">
        <v>42614.0</v>
      </c>
      <c r="CI138" s="138">
        <v>42644.0</v>
      </c>
      <c r="CJ138" s="138">
        <v>42675.0</v>
      </c>
      <c r="CK138" s="138">
        <v>42705.0</v>
      </c>
      <c r="CL138" s="138">
        <v>42736.0</v>
      </c>
      <c r="CM138" s="138">
        <v>42767.0</v>
      </c>
      <c r="CN138" s="138">
        <v>42795.0</v>
      </c>
      <c r="CO138" s="138">
        <v>42826.0</v>
      </c>
      <c r="CP138" s="138">
        <v>42856.0</v>
      </c>
      <c r="CQ138" s="138">
        <v>42887.0</v>
      </c>
      <c r="CR138" s="138">
        <v>42917.0</v>
      </c>
      <c r="CS138" s="138">
        <v>42948.0</v>
      </c>
      <c r="CT138" s="138">
        <v>42979.0</v>
      </c>
      <c r="CU138" s="138">
        <v>43009.0</v>
      </c>
      <c r="CV138" s="138">
        <v>43040.0</v>
      </c>
      <c r="CW138" s="138">
        <v>43070.0</v>
      </c>
      <c r="CX138" s="138">
        <v>43101.0</v>
      </c>
      <c r="CY138" s="138">
        <v>43132.0</v>
      </c>
      <c r="CZ138" s="138">
        <v>43160.0</v>
      </c>
      <c r="DA138" s="138">
        <v>43191.0</v>
      </c>
      <c r="DB138" s="138">
        <v>43221.0</v>
      </c>
      <c r="DC138" s="138">
        <v>43252.0</v>
      </c>
      <c r="DD138" s="138">
        <v>43282.0</v>
      </c>
      <c r="DE138" s="138">
        <v>43313.0</v>
      </c>
      <c r="DF138" s="138">
        <v>43344.0</v>
      </c>
      <c r="DG138" s="138">
        <v>43374.0</v>
      </c>
      <c r="DH138" s="138">
        <v>43405.0</v>
      </c>
      <c r="DI138" s="138">
        <v>43435.0</v>
      </c>
      <c r="DJ138" s="138">
        <v>43466.0</v>
      </c>
      <c r="DK138" s="138">
        <v>43497.0</v>
      </c>
      <c r="DL138" s="138">
        <v>43525.0</v>
      </c>
      <c r="DM138" s="138">
        <v>43556.0</v>
      </c>
      <c r="DN138" s="138">
        <v>43586.0</v>
      </c>
      <c r="DO138" s="138">
        <v>43617.0</v>
      </c>
      <c r="DP138" s="138">
        <v>43647.0</v>
      </c>
      <c r="DQ138" s="138">
        <v>43678.0</v>
      </c>
      <c r="DR138" s="138">
        <v>43709.0</v>
      </c>
      <c r="DS138" s="138">
        <v>43739.0</v>
      </c>
      <c r="DT138" s="138">
        <v>43770.0</v>
      </c>
      <c r="DU138" s="138">
        <v>43800.0</v>
      </c>
      <c r="DV138" s="138">
        <v>43831.0</v>
      </c>
      <c r="DW138" s="138">
        <v>43862.0</v>
      </c>
      <c r="DX138" s="138">
        <v>43891.0</v>
      </c>
      <c r="DY138" s="138">
        <v>43922.0</v>
      </c>
      <c r="DZ138" s="138">
        <v>43952.0</v>
      </c>
      <c r="EA138" s="138">
        <v>43983.0</v>
      </c>
      <c r="EB138" s="138">
        <v>44013.0</v>
      </c>
      <c r="EC138" s="138">
        <v>44044.0</v>
      </c>
      <c r="ED138" s="138">
        <v>44075.0</v>
      </c>
      <c r="EE138" s="138">
        <v>44105.0</v>
      </c>
      <c r="EF138" s="138">
        <v>44136.0</v>
      </c>
      <c r="EG138" s="138">
        <v>44166.0</v>
      </c>
      <c r="EH138" s="138">
        <v>44197.0</v>
      </c>
      <c r="EI138" s="138">
        <v>44228.0</v>
      </c>
      <c r="EJ138" s="138">
        <v>44256.0</v>
      </c>
      <c r="EK138" s="138">
        <v>44287.0</v>
      </c>
      <c r="EL138" s="138">
        <v>44317.0</v>
      </c>
      <c r="EM138" s="138">
        <v>44348.0</v>
      </c>
      <c r="EN138" s="138">
        <v>44378.0</v>
      </c>
      <c r="EO138" s="138">
        <v>44409.0</v>
      </c>
      <c r="EP138" s="138">
        <v>44440.0</v>
      </c>
      <c r="EQ138" s="138">
        <v>44470.0</v>
      </c>
      <c r="ER138" s="138">
        <v>44501.0</v>
      </c>
      <c r="ES138" s="138">
        <v>44531.0</v>
      </c>
      <c r="ET138" s="138">
        <v>44562.0</v>
      </c>
      <c r="EU138" s="138">
        <v>44593.0</v>
      </c>
      <c r="EV138" s="138">
        <v>44621.0</v>
      </c>
      <c r="EW138" s="138">
        <v>44652.0</v>
      </c>
      <c r="EX138" s="138">
        <v>44682.0</v>
      </c>
      <c r="EY138" s="138">
        <v>44713.0</v>
      </c>
      <c r="EZ138" s="138">
        <v>44743.0</v>
      </c>
      <c r="FA138" s="138">
        <v>44774.0</v>
      </c>
      <c r="FB138" s="138">
        <v>44805.0</v>
      </c>
      <c r="FC138" s="138">
        <v>44835.0</v>
      </c>
      <c r="FD138" s="138">
        <v>44866.0</v>
      </c>
      <c r="FE138" s="138">
        <v>44896.0</v>
      </c>
      <c r="FF138" s="138">
        <v>44927.0</v>
      </c>
      <c r="FG138" s="138">
        <v>44958.0</v>
      </c>
      <c r="FH138" s="138">
        <v>44986.0</v>
      </c>
      <c r="FI138" s="138">
        <v>45017.0</v>
      </c>
      <c r="FJ138" s="138">
        <v>45047.0</v>
      </c>
      <c r="FK138" s="138">
        <v>45078.0</v>
      </c>
      <c r="FL138" s="138">
        <v>45108.0</v>
      </c>
      <c r="FM138" s="138">
        <v>45139.0</v>
      </c>
      <c r="FN138" s="138">
        <v>45170.0</v>
      </c>
      <c r="FO138" s="138">
        <v>45200.0</v>
      </c>
      <c r="FP138" s="138">
        <v>45231.0</v>
      </c>
      <c r="FQ138" s="138">
        <v>45261.0</v>
      </c>
      <c r="FR138" s="138">
        <v>45292.0</v>
      </c>
      <c r="FS138" s="138">
        <v>45323.0</v>
      </c>
      <c r="FT138" s="138">
        <v>45352.0</v>
      </c>
      <c r="FU138" s="138">
        <v>45383.0</v>
      </c>
      <c r="FV138" s="138">
        <v>45413.0</v>
      </c>
      <c r="FW138" s="138">
        <v>45444.0</v>
      </c>
      <c r="FX138" s="138">
        <v>45474.0</v>
      </c>
      <c r="FY138" s="138">
        <v>45505.0</v>
      </c>
      <c r="FZ138" s="138">
        <v>45536.0</v>
      </c>
      <c r="GA138" s="138">
        <v>45566.0</v>
      </c>
      <c r="GB138" s="138">
        <v>45597.0</v>
      </c>
      <c r="GC138" s="138">
        <v>45627.0</v>
      </c>
      <c r="GD138" s="138">
        <v>45658.0</v>
      </c>
      <c r="GE138" s="138">
        <v>45689.0</v>
      </c>
      <c r="GF138" s="138">
        <v>45717.0</v>
      </c>
      <c r="GG138" s="138">
        <v>45748.0</v>
      </c>
      <c r="GH138" s="138">
        <v>45778.0</v>
      </c>
      <c r="GI138" s="138">
        <v>45809.0</v>
      </c>
      <c r="GJ138" s="139">
        <v>45839.0</v>
      </c>
    </row>
    <row r="139">
      <c r="A139" s="133" t="s">
        <v>1462</v>
      </c>
      <c r="B139" s="134">
        <v>45831.66842592593</v>
      </c>
      <c r="C139" s="135" t="str">
        <f t="shared" si="1"/>
        <v>2025/06/23</v>
      </c>
      <c r="D139" s="136" t="s">
        <v>34327</v>
      </c>
      <c r="E139" s="151">
        <v>0.05</v>
      </c>
      <c r="F139" s="138">
        <v>40179.0</v>
      </c>
      <c r="G139" s="138">
        <v>40210.0</v>
      </c>
      <c r="H139" s="138">
        <v>40238.0</v>
      </c>
      <c r="I139" s="138">
        <v>40269.0</v>
      </c>
      <c r="J139" s="138">
        <v>40299.0</v>
      </c>
      <c r="K139" s="138">
        <v>40330.0</v>
      </c>
      <c r="L139" s="138">
        <v>40360.0</v>
      </c>
      <c r="M139" s="138">
        <v>40391.0</v>
      </c>
      <c r="N139" s="138">
        <v>40422.0</v>
      </c>
      <c r="O139" s="138">
        <v>40452.0</v>
      </c>
      <c r="P139" s="138">
        <v>40483.0</v>
      </c>
      <c r="Q139" s="138">
        <v>40513.0</v>
      </c>
      <c r="R139" s="138">
        <v>40544.0</v>
      </c>
      <c r="S139" s="138">
        <v>40575.0</v>
      </c>
      <c r="T139" s="138">
        <v>40603.0</v>
      </c>
      <c r="U139" s="138">
        <v>40634.0</v>
      </c>
      <c r="V139" s="138">
        <v>40664.0</v>
      </c>
      <c r="W139" s="138">
        <v>40695.0</v>
      </c>
      <c r="X139" s="138">
        <v>40725.0</v>
      </c>
      <c r="Y139" s="138">
        <v>40756.0</v>
      </c>
      <c r="Z139" s="138">
        <v>40787.0</v>
      </c>
      <c r="AA139" s="138">
        <v>40817.0</v>
      </c>
      <c r="AB139" s="138">
        <v>40848.0</v>
      </c>
      <c r="AC139" s="138">
        <v>40878.0</v>
      </c>
      <c r="AD139" s="138">
        <v>40909.0</v>
      </c>
      <c r="AE139" s="138">
        <v>40940.0</v>
      </c>
      <c r="AF139" s="138">
        <v>40969.0</v>
      </c>
      <c r="AG139" s="138">
        <v>41000.0</v>
      </c>
      <c r="AH139" s="138">
        <v>41030.0</v>
      </c>
      <c r="AI139" s="138">
        <v>41061.0</v>
      </c>
      <c r="AJ139" s="138">
        <v>41091.0</v>
      </c>
      <c r="AK139" s="138">
        <v>41122.0</v>
      </c>
      <c r="AL139" s="138">
        <v>41153.0</v>
      </c>
      <c r="AM139" s="138">
        <v>41183.0</v>
      </c>
      <c r="AN139" s="138">
        <v>41214.0</v>
      </c>
      <c r="AO139" s="138">
        <v>41244.0</v>
      </c>
      <c r="AP139" s="138">
        <v>41275.0</v>
      </c>
      <c r="AQ139" s="138">
        <v>41306.0</v>
      </c>
      <c r="AR139" s="138">
        <v>41334.0</v>
      </c>
      <c r="AS139" s="138">
        <v>41365.0</v>
      </c>
      <c r="AT139" s="138">
        <v>41395.0</v>
      </c>
      <c r="AU139" s="138">
        <v>41426.0</v>
      </c>
      <c r="AV139" s="138">
        <v>41456.0</v>
      </c>
      <c r="AW139" s="138">
        <v>41487.0</v>
      </c>
      <c r="AX139" s="138">
        <v>41518.0</v>
      </c>
      <c r="AY139" s="138">
        <v>41548.0</v>
      </c>
      <c r="AZ139" s="138">
        <v>41579.0</v>
      </c>
      <c r="BA139" s="138">
        <v>41609.0</v>
      </c>
      <c r="BB139" s="138">
        <v>41640.0</v>
      </c>
      <c r="BC139" s="138">
        <v>41671.0</v>
      </c>
      <c r="BD139" s="138">
        <v>41699.0</v>
      </c>
      <c r="BE139" s="138">
        <v>41730.0</v>
      </c>
      <c r="BF139" s="138">
        <v>41760.0</v>
      </c>
      <c r="BG139" s="138">
        <v>41791.0</v>
      </c>
      <c r="BH139" s="138">
        <v>41821.0</v>
      </c>
      <c r="BI139" s="138">
        <v>41852.0</v>
      </c>
      <c r="BJ139" s="138">
        <v>41883.0</v>
      </c>
      <c r="BK139" s="138">
        <v>41913.0</v>
      </c>
      <c r="BL139" s="138">
        <v>41944.0</v>
      </c>
      <c r="BM139" s="138">
        <v>41974.0</v>
      </c>
      <c r="BN139" s="138">
        <v>42005.0</v>
      </c>
      <c r="BO139" s="138">
        <v>42036.0</v>
      </c>
      <c r="BP139" s="138">
        <v>42064.0</v>
      </c>
      <c r="BQ139" s="138">
        <v>42095.0</v>
      </c>
      <c r="BR139" s="138">
        <v>42125.0</v>
      </c>
      <c r="BS139" s="138">
        <v>42156.0</v>
      </c>
      <c r="BT139" s="138">
        <v>42186.0</v>
      </c>
      <c r="BU139" s="138">
        <v>42217.0</v>
      </c>
      <c r="BV139" s="138">
        <v>42248.0</v>
      </c>
      <c r="BW139" s="138">
        <v>42278.0</v>
      </c>
      <c r="BX139" s="138">
        <v>42309.0</v>
      </c>
      <c r="BY139" s="138">
        <v>42339.0</v>
      </c>
      <c r="BZ139" s="138">
        <v>42370.0</v>
      </c>
      <c r="CA139" s="138">
        <v>42401.0</v>
      </c>
      <c r="CB139" s="138">
        <v>42430.0</v>
      </c>
      <c r="CC139" s="138">
        <v>42461.0</v>
      </c>
      <c r="CD139" s="138">
        <v>42491.0</v>
      </c>
      <c r="CE139" s="138">
        <v>42522.0</v>
      </c>
      <c r="CF139" s="138">
        <v>42552.0</v>
      </c>
      <c r="CG139" s="138">
        <v>42583.0</v>
      </c>
      <c r="CH139" s="138">
        <v>42614.0</v>
      </c>
      <c r="CI139" s="138">
        <v>42644.0</v>
      </c>
      <c r="CJ139" s="138">
        <v>42675.0</v>
      </c>
      <c r="CK139" s="138">
        <v>42705.0</v>
      </c>
      <c r="CL139" s="138">
        <v>42736.0</v>
      </c>
      <c r="CM139" s="138">
        <v>42767.0</v>
      </c>
      <c r="CN139" s="138">
        <v>42795.0</v>
      </c>
      <c r="CO139" s="138">
        <v>42826.0</v>
      </c>
      <c r="CP139" s="138">
        <v>42856.0</v>
      </c>
      <c r="CQ139" s="138">
        <v>42887.0</v>
      </c>
      <c r="CR139" s="138">
        <v>42917.0</v>
      </c>
      <c r="CS139" s="138">
        <v>42948.0</v>
      </c>
      <c r="CT139" s="138">
        <v>42979.0</v>
      </c>
      <c r="CU139" s="138">
        <v>43009.0</v>
      </c>
      <c r="CV139" s="138">
        <v>43040.0</v>
      </c>
      <c r="CW139" s="138">
        <v>43070.0</v>
      </c>
      <c r="CX139" s="138">
        <v>43101.0</v>
      </c>
      <c r="CY139" s="138">
        <v>43132.0</v>
      </c>
      <c r="CZ139" s="138">
        <v>43160.0</v>
      </c>
      <c r="DA139" s="138">
        <v>43191.0</v>
      </c>
      <c r="DB139" s="138">
        <v>43221.0</v>
      </c>
      <c r="DC139" s="138">
        <v>43252.0</v>
      </c>
      <c r="DD139" s="138">
        <v>43282.0</v>
      </c>
      <c r="DE139" s="138">
        <v>43313.0</v>
      </c>
      <c r="DF139" s="138">
        <v>43344.0</v>
      </c>
      <c r="DG139" s="138">
        <v>43374.0</v>
      </c>
      <c r="DH139" s="138">
        <v>43405.0</v>
      </c>
      <c r="DI139" s="138">
        <v>43435.0</v>
      </c>
      <c r="DJ139" s="138">
        <v>43466.0</v>
      </c>
      <c r="DK139" s="138">
        <v>43497.0</v>
      </c>
      <c r="DL139" s="138">
        <v>43525.0</v>
      </c>
      <c r="DM139" s="138">
        <v>43556.0</v>
      </c>
      <c r="DN139" s="138">
        <v>43586.0</v>
      </c>
      <c r="DO139" s="138">
        <v>43617.0</v>
      </c>
      <c r="DP139" s="138">
        <v>43647.0</v>
      </c>
      <c r="DQ139" s="138">
        <v>43678.0</v>
      </c>
      <c r="DR139" s="138">
        <v>43709.0</v>
      </c>
      <c r="DS139" s="138">
        <v>43739.0</v>
      </c>
      <c r="DT139" s="138">
        <v>43770.0</v>
      </c>
      <c r="DU139" s="138">
        <v>43800.0</v>
      </c>
      <c r="DV139" s="138">
        <v>43831.0</v>
      </c>
      <c r="DW139" s="138">
        <v>43862.0</v>
      </c>
      <c r="DX139" s="138">
        <v>43891.0</v>
      </c>
      <c r="DY139" s="138">
        <v>43922.0</v>
      </c>
      <c r="DZ139" s="138">
        <v>43952.0</v>
      </c>
      <c r="EA139" s="138">
        <v>43983.0</v>
      </c>
      <c r="EB139" s="138">
        <v>44013.0</v>
      </c>
      <c r="EC139" s="138">
        <v>44044.0</v>
      </c>
      <c r="ED139" s="138">
        <v>44075.0</v>
      </c>
      <c r="EE139" s="138">
        <v>44105.0</v>
      </c>
      <c r="EF139" s="138">
        <v>44136.0</v>
      </c>
      <c r="EG139" s="138">
        <v>44166.0</v>
      </c>
      <c r="EH139" s="138">
        <v>44197.0</v>
      </c>
      <c r="EI139" s="138">
        <v>44228.0</v>
      </c>
      <c r="EJ139" s="138">
        <v>44256.0</v>
      </c>
      <c r="EK139" s="138">
        <v>44287.0</v>
      </c>
      <c r="EL139" s="138">
        <v>44317.0</v>
      </c>
      <c r="EM139" s="138">
        <v>44348.0</v>
      </c>
      <c r="EN139" s="138">
        <v>44378.0</v>
      </c>
      <c r="EO139" s="138">
        <v>44409.0</v>
      </c>
      <c r="EP139" s="138">
        <v>44440.0</v>
      </c>
      <c r="EQ139" s="138">
        <v>44470.0</v>
      </c>
      <c r="ER139" s="138">
        <v>44501.0</v>
      </c>
      <c r="ES139" s="138">
        <v>44531.0</v>
      </c>
      <c r="ET139" s="138">
        <v>44562.0</v>
      </c>
      <c r="EU139" s="138">
        <v>44593.0</v>
      </c>
      <c r="EV139" s="138">
        <v>44621.0</v>
      </c>
      <c r="EW139" s="138">
        <v>44652.0</v>
      </c>
      <c r="EX139" s="138">
        <v>44682.0</v>
      </c>
      <c r="EY139" s="138">
        <v>44713.0</v>
      </c>
      <c r="EZ139" s="138">
        <v>44743.0</v>
      </c>
      <c r="FA139" s="138">
        <v>44774.0</v>
      </c>
      <c r="FB139" s="138">
        <v>44805.0</v>
      </c>
      <c r="FC139" s="138">
        <v>44835.0</v>
      </c>
      <c r="FD139" s="138">
        <v>44866.0</v>
      </c>
      <c r="FE139" s="138">
        <v>44896.0</v>
      </c>
      <c r="FF139" s="138">
        <v>44927.0</v>
      </c>
      <c r="FG139" s="138">
        <v>44958.0</v>
      </c>
      <c r="FH139" s="138">
        <v>44986.0</v>
      </c>
      <c r="FI139" s="138">
        <v>45017.0</v>
      </c>
      <c r="FJ139" s="138">
        <v>45047.0</v>
      </c>
      <c r="FK139" s="138">
        <v>45078.0</v>
      </c>
      <c r="FL139" s="138">
        <v>45108.0</v>
      </c>
      <c r="FM139" s="138">
        <v>45139.0</v>
      </c>
      <c r="FN139" s="138">
        <v>45170.0</v>
      </c>
      <c r="FO139" s="138">
        <v>45200.0</v>
      </c>
      <c r="FP139" s="138">
        <v>45231.0</v>
      </c>
      <c r="FQ139" s="138">
        <v>45261.0</v>
      </c>
      <c r="FR139" s="138">
        <v>45292.0</v>
      </c>
      <c r="FS139" s="138">
        <v>45323.0</v>
      </c>
      <c r="FT139" s="138">
        <v>45352.0</v>
      </c>
      <c r="FU139" s="138">
        <v>45383.0</v>
      </c>
      <c r="FV139" s="138">
        <v>45413.0</v>
      </c>
      <c r="FW139" s="138">
        <v>45444.0</v>
      </c>
      <c r="FX139" s="138">
        <v>45474.0</v>
      </c>
      <c r="FY139" s="138">
        <v>45505.0</v>
      </c>
      <c r="FZ139" s="138">
        <v>45536.0</v>
      </c>
      <c r="GA139" s="138">
        <v>45566.0</v>
      </c>
      <c r="GB139" s="138">
        <v>45597.0</v>
      </c>
      <c r="GC139" s="138">
        <v>45627.0</v>
      </c>
      <c r="GD139" s="138">
        <v>45658.0</v>
      </c>
      <c r="GE139" s="138">
        <v>45689.0</v>
      </c>
      <c r="GF139" s="138">
        <v>45717.0</v>
      </c>
      <c r="GG139" s="138">
        <v>45748.0</v>
      </c>
      <c r="GH139" s="138">
        <v>45778.0</v>
      </c>
      <c r="GI139" s="138">
        <v>45809.0</v>
      </c>
      <c r="GJ139" s="139">
        <v>45839.0</v>
      </c>
    </row>
    <row r="140">
      <c r="A140" s="133" t="s">
        <v>1607</v>
      </c>
      <c r="B140" s="134">
        <v>45832.74689814815</v>
      </c>
      <c r="C140" s="135" t="str">
        <f t="shared" si="1"/>
        <v>2025/06/24</v>
      </c>
      <c r="D140" s="136" t="s">
        <v>34328</v>
      </c>
      <c r="E140" s="151">
        <v>0.0</v>
      </c>
      <c r="F140" s="138">
        <v>40179.0</v>
      </c>
      <c r="G140" s="138">
        <v>40210.0</v>
      </c>
      <c r="H140" s="138">
        <v>40238.0</v>
      </c>
      <c r="I140" s="138">
        <v>40269.0</v>
      </c>
      <c r="J140" s="138">
        <v>40299.0</v>
      </c>
      <c r="K140" s="138">
        <v>40330.0</v>
      </c>
      <c r="L140" s="138">
        <v>40360.0</v>
      </c>
      <c r="M140" s="138">
        <v>40391.0</v>
      </c>
      <c r="N140" s="138">
        <v>40422.0</v>
      </c>
      <c r="O140" s="138">
        <v>40452.0</v>
      </c>
      <c r="P140" s="138">
        <v>40483.0</v>
      </c>
      <c r="Q140" s="138">
        <v>40513.0</v>
      </c>
      <c r="R140" s="138">
        <v>40544.0</v>
      </c>
      <c r="S140" s="138">
        <v>40575.0</v>
      </c>
      <c r="T140" s="138">
        <v>40603.0</v>
      </c>
      <c r="U140" s="138">
        <v>40634.0</v>
      </c>
      <c r="V140" s="138">
        <v>40664.0</v>
      </c>
      <c r="W140" s="138">
        <v>40695.0</v>
      </c>
      <c r="X140" s="138">
        <v>40725.0</v>
      </c>
      <c r="Y140" s="138">
        <v>40756.0</v>
      </c>
      <c r="Z140" s="138">
        <v>40787.0</v>
      </c>
      <c r="AA140" s="138">
        <v>40817.0</v>
      </c>
      <c r="AB140" s="138">
        <v>40848.0</v>
      </c>
      <c r="AC140" s="138">
        <v>40878.0</v>
      </c>
      <c r="AD140" s="138">
        <v>40909.0</v>
      </c>
      <c r="AE140" s="138">
        <v>40940.0</v>
      </c>
      <c r="AF140" s="138">
        <v>40969.0</v>
      </c>
      <c r="AG140" s="138">
        <v>41000.0</v>
      </c>
      <c r="AH140" s="138">
        <v>41030.0</v>
      </c>
      <c r="AI140" s="138">
        <v>41061.0</v>
      </c>
      <c r="AJ140" s="138">
        <v>41091.0</v>
      </c>
      <c r="AK140" s="138">
        <v>41122.0</v>
      </c>
      <c r="AL140" s="138">
        <v>41153.0</v>
      </c>
      <c r="AM140" s="138">
        <v>41183.0</v>
      </c>
      <c r="AN140" s="138">
        <v>41214.0</v>
      </c>
      <c r="AO140" s="138">
        <v>41244.0</v>
      </c>
      <c r="AP140" s="138">
        <v>41275.0</v>
      </c>
      <c r="AQ140" s="138">
        <v>41306.0</v>
      </c>
      <c r="AR140" s="138">
        <v>41334.0</v>
      </c>
      <c r="AS140" s="138">
        <v>41365.0</v>
      </c>
      <c r="AT140" s="138">
        <v>41395.0</v>
      </c>
      <c r="AU140" s="138">
        <v>41426.0</v>
      </c>
      <c r="AV140" s="138">
        <v>41456.0</v>
      </c>
      <c r="AW140" s="138">
        <v>41487.0</v>
      </c>
      <c r="AX140" s="138">
        <v>41518.0</v>
      </c>
      <c r="AY140" s="138">
        <v>41548.0</v>
      </c>
      <c r="AZ140" s="138">
        <v>41579.0</v>
      </c>
      <c r="BA140" s="138">
        <v>41609.0</v>
      </c>
      <c r="BB140" s="138">
        <v>41640.0</v>
      </c>
      <c r="BC140" s="138">
        <v>41671.0</v>
      </c>
      <c r="BD140" s="138">
        <v>41699.0</v>
      </c>
      <c r="BE140" s="138">
        <v>41730.0</v>
      </c>
      <c r="BF140" s="138">
        <v>41760.0</v>
      </c>
      <c r="BG140" s="138">
        <v>41791.0</v>
      </c>
      <c r="BH140" s="138">
        <v>41821.0</v>
      </c>
      <c r="BI140" s="138">
        <v>41852.0</v>
      </c>
      <c r="BJ140" s="138">
        <v>41883.0</v>
      </c>
      <c r="BK140" s="138">
        <v>41913.0</v>
      </c>
      <c r="BL140" s="138">
        <v>41944.0</v>
      </c>
      <c r="BM140" s="138">
        <v>41974.0</v>
      </c>
      <c r="BN140" s="138">
        <v>42005.0</v>
      </c>
      <c r="BO140" s="138">
        <v>42036.0</v>
      </c>
      <c r="BP140" s="138">
        <v>42064.0</v>
      </c>
      <c r="BQ140" s="138">
        <v>42095.0</v>
      </c>
      <c r="BR140" s="138">
        <v>42125.0</v>
      </c>
      <c r="BS140" s="138">
        <v>42156.0</v>
      </c>
      <c r="BT140" s="138">
        <v>42186.0</v>
      </c>
      <c r="BU140" s="138">
        <v>42217.0</v>
      </c>
      <c r="BV140" s="138">
        <v>42248.0</v>
      </c>
      <c r="BW140" s="138">
        <v>42278.0</v>
      </c>
      <c r="BX140" s="138">
        <v>42309.0</v>
      </c>
      <c r="BY140" s="138">
        <v>42339.0</v>
      </c>
      <c r="BZ140" s="138">
        <v>42370.0</v>
      </c>
      <c r="CA140" s="138">
        <v>42401.0</v>
      </c>
      <c r="CB140" s="138">
        <v>42430.0</v>
      </c>
      <c r="CC140" s="138">
        <v>42461.0</v>
      </c>
      <c r="CD140" s="138">
        <v>42491.0</v>
      </c>
      <c r="CE140" s="138">
        <v>42522.0</v>
      </c>
      <c r="CF140" s="138">
        <v>42552.0</v>
      </c>
      <c r="CG140" s="138">
        <v>42583.0</v>
      </c>
      <c r="CH140" s="138">
        <v>42614.0</v>
      </c>
      <c r="CI140" s="138">
        <v>42644.0</v>
      </c>
      <c r="CJ140" s="138">
        <v>42675.0</v>
      </c>
      <c r="CK140" s="138">
        <v>42705.0</v>
      </c>
      <c r="CL140" s="138">
        <v>42736.0</v>
      </c>
      <c r="CM140" s="138">
        <v>42767.0</v>
      </c>
      <c r="CN140" s="138">
        <v>42795.0</v>
      </c>
      <c r="CO140" s="138">
        <v>42826.0</v>
      </c>
      <c r="CP140" s="138">
        <v>42856.0</v>
      </c>
      <c r="CQ140" s="138">
        <v>42887.0</v>
      </c>
      <c r="CR140" s="138">
        <v>42917.0</v>
      </c>
      <c r="CS140" s="138">
        <v>42948.0</v>
      </c>
      <c r="CT140" s="138">
        <v>42979.0</v>
      </c>
      <c r="CU140" s="138">
        <v>43009.0</v>
      </c>
      <c r="CV140" s="138">
        <v>43040.0</v>
      </c>
      <c r="CW140" s="138">
        <v>43070.0</v>
      </c>
      <c r="CX140" s="138">
        <v>43101.0</v>
      </c>
      <c r="CY140" s="138">
        <v>43132.0</v>
      </c>
      <c r="CZ140" s="138">
        <v>43160.0</v>
      </c>
      <c r="DA140" s="138">
        <v>43191.0</v>
      </c>
      <c r="DB140" s="138">
        <v>43221.0</v>
      </c>
      <c r="DC140" s="138">
        <v>43252.0</v>
      </c>
      <c r="DD140" s="138">
        <v>43282.0</v>
      </c>
      <c r="DE140" s="138">
        <v>43313.0</v>
      </c>
      <c r="DF140" s="138">
        <v>43344.0</v>
      </c>
      <c r="DG140" s="138">
        <v>43374.0</v>
      </c>
      <c r="DH140" s="138">
        <v>43405.0</v>
      </c>
      <c r="DI140" s="138">
        <v>43435.0</v>
      </c>
      <c r="DJ140" s="138">
        <v>43466.0</v>
      </c>
      <c r="DK140" s="138">
        <v>43497.0</v>
      </c>
      <c r="DL140" s="138">
        <v>43525.0</v>
      </c>
      <c r="DM140" s="138">
        <v>43556.0</v>
      </c>
      <c r="DN140" s="138">
        <v>43586.0</v>
      </c>
      <c r="DO140" s="138">
        <v>43617.0</v>
      </c>
      <c r="DP140" s="138">
        <v>43647.0</v>
      </c>
      <c r="DQ140" s="138">
        <v>43678.0</v>
      </c>
      <c r="DR140" s="138">
        <v>43709.0</v>
      </c>
      <c r="DS140" s="138">
        <v>43739.0</v>
      </c>
      <c r="DT140" s="138">
        <v>43770.0</v>
      </c>
      <c r="DU140" s="138">
        <v>43800.0</v>
      </c>
      <c r="DV140" s="138">
        <v>43831.0</v>
      </c>
      <c r="DW140" s="138">
        <v>43862.0</v>
      </c>
      <c r="DX140" s="138">
        <v>43891.0</v>
      </c>
      <c r="DY140" s="138">
        <v>43922.0</v>
      </c>
      <c r="DZ140" s="138">
        <v>43952.0</v>
      </c>
      <c r="EA140" s="138">
        <v>43983.0</v>
      </c>
      <c r="EB140" s="138">
        <v>44013.0</v>
      </c>
      <c r="EC140" s="138">
        <v>44044.0</v>
      </c>
      <c r="ED140" s="138">
        <v>44075.0</v>
      </c>
      <c r="EE140" s="138">
        <v>44105.0</v>
      </c>
      <c r="EF140" s="138">
        <v>44136.0</v>
      </c>
      <c r="EG140" s="138">
        <v>44166.0</v>
      </c>
      <c r="EH140" s="138">
        <v>44197.0</v>
      </c>
      <c r="EI140" s="138">
        <v>44228.0</v>
      </c>
      <c r="EJ140" s="138">
        <v>44256.0</v>
      </c>
      <c r="EK140" s="138">
        <v>44287.0</v>
      </c>
      <c r="EL140" s="138">
        <v>44317.0</v>
      </c>
      <c r="EM140" s="138">
        <v>44348.0</v>
      </c>
      <c r="EN140" s="138">
        <v>44378.0</v>
      </c>
      <c r="EO140" s="138">
        <v>44409.0</v>
      </c>
      <c r="EP140" s="138">
        <v>44440.0</v>
      </c>
      <c r="EQ140" s="138">
        <v>44470.0</v>
      </c>
      <c r="ER140" s="138">
        <v>44501.0</v>
      </c>
      <c r="ES140" s="138">
        <v>44531.0</v>
      </c>
      <c r="ET140" s="138">
        <v>44562.0</v>
      </c>
      <c r="EU140" s="138">
        <v>44593.0</v>
      </c>
      <c r="EV140" s="138">
        <v>44621.0</v>
      </c>
      <c r="EW140" s="138">
        <v>44652.0</v>
      </c>
      <c r="EX140" s="138">
        <v>44682.0</v>
      </c>
      <c r="EY140" s="138">
        <v>44713.0</v>
      </c>
      <c r="EZ140" s="138">
        <v>44743.0</v>
      </c>
      <c r="FA140" s="138">
        <v>44774.0</v>
      </c>
      <c r="FB140" s="138">
        <v>44805.0</v>
      </c>
      <c r="FC140" s="138">
        <v>44835.0</v>
      </c>
      <c r="FD140" s="138">
        <v>44866.0</v>
      </c>
      <c r="FE140" s="138">
        <v>44896.0</v>
      </c>
      <c r="FF140" s="138">
        <v>44927.0</v>
      </c>
      <c r="FG140" s="138">
        <v>44958.0</v>
      </c>
      <c r="FH140" s="138">
        <v>44986.0</v>
      </c>
      <c r="FI140" s="138">
        <v>45017.0</v>
      </c>
      <c r="FJ140" s="138">
        <v>45047.0</v>
      </c>
      <c r="FK140" s="138">
        <v>45078.0</v>
      </c>
      <c r="FL140" s="138">
        <v>45108.0</v>
      </c>
      <c r="FM140" s="138">
        <v>45139.0</v>
      </c>
      <c r="FN140" s="138">
        <v>45170.0</v>
      </c>
      <c r="FO140" s="138">
        <v>45200.0</v>
      </c>
      <c r="FP140" s="138">
        <v>45231.0</v>
      </c>
      <c r="FQ140" s="138">
        <v>45261.0</v>
      </c>
      <c r="FR140" s="138">
        <v>45292.0</v>
      </c>
      <c r="FS140" s="138">
        <v>45323.0</v>
      </c>
      <c r="FT140" s="138">
        <v>45352.0</v>
      </c>
      <c r="FU140" s="138">
        <v>45383.0</v>
      </c>
      <c r="FV140" s="138">
        <v>45413.0</v>
      </c>
      <c r="FW140" s="138">
        <v>45444.0</v>
      </c>
      <c r="FX140" s="138">
        <v>45474.0</v>
      </c>
      <c r="FY140" s="138">
        <v>45505.0</v>
      </c>
      <c r="FZ140" s="138">
        <v>45536.0</v>
      </c>
      <c r="GA140" s="138">
        <v>45566.0</v>
      </c>
      <c r="GB140" s="138">
        <v>45597.0</v>
      </c>
      <c r="GC140" s="138">
        <v>45627.0</v>
      </c>
      <c r="GD140" s="138">
        <v>45658.0</v>
      </c>
      <c r="GE140" s="138">
        <v>45689.0</v>
      </c>
      <c r="GF140" s="138">
        <v>45717.0</v>
      </c>
      <c r="GG140" s="138">
        <v>45748.0</v>
      </c>
      <c r="GH140" s="138">
        <v>45778.0</v>
      </c>
      <c r="GI140" s="138">
        <v>45809.0</v>
      </c>
      <c r="GJ140" s="139">
        <v>45839.0</v>
      </c>
    </row>
    <row r="141">
      <c r="A141" s="133" t="s">
        <v>1774</v>
      </c>
      <c r="B141" s="134">
        <v>45833.81748842593</v>
      </c>
      <c r="C141" s="135" t="str">
        <f t="shared" si="1"/>
        <v>2025/06/25</v>
      </c>
      <c r="D141" s="136" t="s">
        <v>34329</v>
      </c>
      <c r="E141" s="151">
        <v>0.0</v>
      </c>
      <c r="F141" s="138">
        <v>40179.0</v>
      </c>
      <c r="G141" s="138">
        <v>40210.0</v>
      </c>
      <c r="H141" s="138">
        <v>40238.0</v>
      </c>
      <c r="I141" s="138">
        <v>40269.0</v>
      </c>
      <c r="J141" s="138">
        <v>40299.0</v>
      </c>
      <c r="K141" s="138">
        <v>40330.0</v>
      </c>
      <c r="L141" s="138">
        <v>40360.0</v>
      </c>
      <c r="M141" s="138">
        <v>40391.0</v>
      </c>
      <c r="N141" s="138">
        <v>40422.0</v>
      </c>
      <c r="O141" s="138">
        <v>40452.0</v>
      </c>
      <c r="P141" s="138">
        <v>40483.0</v>
      </c>
      <c r="Q141" s="138">
        <v>40513.0</v>
      </c>
      <c r="R141" s="138">
        <v>40544.0</v>
      </c>
      <c r="S141" s="138">
        <v>40575.0</v>
      </c>
      <c r="T141" s="138">
        <v>40603.0</v>
      </c>
      <c r="U141" s="138">
        <v>40634.0</v>
      </c>
      <c r="V141" s="138">
        <v>40664.0</v>
      </c>
      <c r="W141" s="138">
        <v>40695.0</v>
      </c>
      <c r="X141" s="138">
        <v>40725.0</v>
      </c>
      <c r="Y141" s="138">
        <v>40756.0</v>
      </c>
      <c r="Z141" s="138">
        <v>40787.0</v>
      </c>
      <c r="AA141" s="138">
        <v>40817.0</v>
      </c>
      <c r="AB141" s="138">
        <v>40848.0</v>
      </c>
      <c r="AC141" s="138">
        <v>40878.0</v>
      </c>
      <c r="AD141" s="138">
        <v>40909.0</v>
      </c>
      <c r="AE141" s="138">
        <v>40940.0</v>
      </c>
      <c r="AF141" s="138">
        <v>40969.0</v>
      </c>
      <c r="AG141" s="138">
        <v>41000.0</v>
      </c>
      <c r="AH141" s="138">
        <v>41030.0</v>
      </c>
      <c r="AI141" s="138">
        <v>41061.0</v>
      </c>
      <c r="AJ141" s="138">
        <v>41091.0</v>
      </c>
      <c r="AK141" s="138">
        <v>41122.0</v>
      </c>
      <c r="AL141" s="138">
        <v>41153.0</v>
      </c>
      <c r="AM141" s="138">
        <v>41183.0</v>
      </c>
      <c r="AN141" s="138">
        <v>41214.0</v>
      </c>
      <c r="AO141" s="138">
        <v>41244.0</v>
      </c>
      <c r="AP141" s="138">
        <v>41275.0</v>
      </c>
      <c r="AQ141" s="138">
        <v>41306.0</v>
      </c>
      <c r="AR141" s="138">
        <v>41334.0</v>
      </c>
      <c r="AS141" s="138">
        <v>41365.0</v>
      </c>
      <c r="AT141" s="138">
        <v>41395.0</v>
      </c>
      <c r="AU141" s="138">
        <v>41426.0</v>
      </c>
      <c r="AV141" s="138">
        <v>41456.0</v>
      </c>
      <c r="AW141" s="138">
        <v>41487.0</v>
      </c>
      <c r="AX141" s="138">
        <v>41518.0</v>
      </c>
      <c r="AY141" s="138">
        <v>41548.0</v>
      </c>
      <c r="AZ141" s="138">
        <v>41579.0</v>
      </c>
      <c r="BA141" s="138">
        <v>41609.0</v>
      </c>
      <c r="BB141" s="138">
        <v>41640.0</v>
      </c>
      <c r="BC141" s="138">
        <v>41671.0</v>
      </c>
      <c r="BD141" s="138">
        <v>41699.0</v>
      </c>
      <c r="BE141" s="138">
        <v>41730.0</v>
      </c>
      <c r="BF141" s="138">
        <v>41760.0</v>
      </c>
      <c r="BG141" s="138">
        <v>41791.0</v>
      </c>
      <c r="BH141" s="138">
        <v>41821.0</v>
      </c>
      <c r="BI141" s="138">
        <v>41852.0</v>
      </c>
      <c r="BJ141" s="138">
        <v>41883.0</v>
      </c>
      <c r="BK141" s="138">
        <v>41913.0</v>
      </c>
      <c r="BL141" s="138">
        <v>41944.0</v>
      </c>
      <c r="BM141" s="138">
        <v>41974.0</v>
      </c>
      <c r="BN141" s="138">
        <v>42005.0</v>
      </c>
      <c r="BO141" s="138">
        <v>42036.0</v>
      </c>
      <c r="BP141" s="138">
        <v>42064.0</v>
      </c>
      <c r="BQ141" s="138">
        <v>42095.0</v>
      </c>
      <c r="BR141" s="138">
        <v>42125.0</v>
      </c>
      <c r="BS141" s="138">
        <v>42156.0</v>
      </c>
      <c r="BT141" s="138">
        <v>42186.0</v>
      </c>
      <c r="BU141" s="138">
        <v>42217.0</v>
      </c>
      <c r="BV141" s="138">
        <v>42248.0</v>
      </c>
      <c r="BW141" s="138">
        <v>42278.0</v>
      </c>
      <c r="BX141" s="138">
        <v>42309.0</v>
      </c>
      <c r="BY141" s="138">
        <v>42339.0</v>
      </c>
      <c r="BZ141" s="138">
        <v>42370.0</v>
      </c>
      <c r="CA141" s="138">
        <v>42401.0</v>
      </c>
      <c r="CB141" s="138">
        <v>42430.0</v>
      </c>
      <c r="CC141" s="138">
        <v>42461.0</v>
      </c>
      <c r="CD141" s="138">
        <v>42491.0</v>
      </c>
      <c r="CE141" s="138">
        <v>42522.0</v>
      </c>
      <c r="CF141" s="138">
        <v>42552.0</v>
      </c>
      <c r="CG141" s="138">
        <v>42583.0</v>
      </c>
      <c r="CH141" s="138">
        <v>42614.0</v>
      </c>
      <c r="CI141" s="138">
        <v>42644.0</v>
      </c>
      <c r="CJ141" s="138">
        <v>42675.0</v>
      </c>
      <c r="CK141" s="138">
        <v>42705.0</v>
      </c>
      <c r="CL141" s="138">
        <v>42736.0</v>
      </c>
      <c r="CM141" s="138">
        <v>42767.0</v>
      </c>
      <c r="CN141" s="138">
        <v>42795.0</v>
      </c>
      <c r="CO141" s="138">
        <v>42826.0</v>
      </c>
      <c r="CP141" s="138">
        <v>42856.0</v>
      </c>
      <c r="CQ141" s="138">
        <v>42887.0</v>
      </c>
      <c r="CR141" s="138">
        <v>42917.0</v>
      </c>
      <c r="CS141" s="138">
        <v>42948.0</v>
      </c>
      <c r="CT141" s="138">
        <v>42979.0</v>
      </c>
      <c r="CU141" s="138">
        <v>43009.0</v>
      </c>
      <c r="CV141" s="138">
        <v>43040.0</v>
      </c>
      <c r="CW141" s="138">
        <v>43070.0</v>
      </c>
      <c r="CX141" s="138">
        <v>43101.0</v>
      </c>
      <c r="CY141" s="138">
        <v>43132.0</v>
      </c>
      <c r="CZ141" s="138">
        <v>43160.0</v>
      </c>
      <c r="DA141" s="138">
        <v>43191.0</v>
      </c>
      <c r="DB141" s="138">
        <v>43221.0</v>
      </c>
      <c r="DC141" s="138">
        <v>43252.0</v>
      </c>
      <c r="DD141" s="138">
        <v>43282.0</v>
      </c>
      <c r="DE141" s="138">
        <v>43313.0</v>
      </c>
      <c r="DF141" s="138">
        <v>43344.0</v>
      </c>
      <c r="DG141" s="138">
        <v>43374.0</v>
      </c>
      <c r="DH141" s="138">
        <v>43405.0</v>
      </c>
      <c r="DI141" s="138">
        <v>43435.0</v>
      </c>
      <c r="DJ141" s="138">
        <v>43466.0</v>
      </c>
      <c r="DK141" s="138">
        <v>43497.0</v>
      </c>
      <c r="DL141" s="138">
        <v>43525.0</v>
      </c>
      <c r="DM141" s="138">
        <v>43556.0</v>
      </c>
      <c r="DN141" s="138">
        <v>43586.0</v>
      </c>
      <c r="DO141" s="138">
        <v>43617.0</v>
      </c>
      <c r="DP141" s="138">
        <v>43647.0</v>
      </c>
      <c r="DQ141" s="138">
        <v>43678.0</v>
      </c>
      <c r="DR141" s="138">
        <v>43709.0</v>
      </c>
      <c r="DS141" s="138">
        <v>43739.0</v>
      </c>
      <c r="DT141" s="138">
        <v>43770.0</v>
      </c>
      <c r="DU141" s="138">
        <v>43800.0</v>
      </c>
      <c r="DV141" s="138">
        <v>43831.0</v>
      </c>
      <c r="DW141" s="138">
        <v>43862.0</v>
      </c>
      <c r="DX141" s="138">
        <v>43891.0</v>
      </c>
      <c r="DY141" s="138">
        <v>43922.0</v>
      </c>
      <c r="DZ141" s="138">
        <v>43952.0</v>
      </c>
      <c r="EA141" s="138">
        <v>43983.0</v>
      </c>
      <c r="EB141" s="138">
        <v>44013.0</v>
      </c>
      <c r="EC141" s="138">
        <v>44044.0</v>
      </c>
      <c r="ED141" s="138">
        <v>44075.0</v>
      </c>
      <c r="EE141" s="138">
        <v>44105.0</v>
      </c>
      <c r="EF141" s="138">
        <v>44136.0</v>
      </c>
      <c r="EG141" s="138">
        <v>44166.0</v>
      </c>
      <c r="EH141" s="138">
        <v>44197.0</v>
      </c>
      <c r="EI141" s="138">
        <v>44228.0</v>
      </c>
      <c r="EJ141" s="138">
        <v>44256.0</v>
      </c>
      <c r="EK141" s="138">
        <v>44287.0</v>
      </c>
      <c r="EL141" s="138">
        <v>44317.0</v>
      </c>
      <c r="EM141" s="138">
        <v>44348.0</v>
      </c>
      <c r="EN141" s="138">
        <v>44378.0</v>
      </c>
      <c r="EO141" s="138">
        <v>44409.0</v>
      </c>
      <c r="EP141" s="138">
        <v>44440.0</v>
      </c>
      <c r="EQ141" s="138">
        <v>44470.0</v>
      </c>
      <c r="ER141" s="138">
        <v>44501.0</v>
      </c>
      <c r="ES141" s="138">
        <v>44531.0</v>
      </c>
      <c r="ET141" s="138">
        <v>44562.0</v>
      </c>
      <c r="EU141" s="138">
        <v>44593.0</v>
      </c>
      <c r="EV141" s="138">
        <v>44621.0</v>
      </c>
      <c r="EW141" s="138">
        <v>44652.0</v>
      </c>
      <c r="EX141" s="138">
        <v>44682.0</v>
      </c>
      <c r="EY141" s="138">
        <v>44713.0</v>
      </c>
      <c r="EZ141" s="138">
        <v>44743.0</v>
      </c>
      <c r="FA141" s="138">
        <v>44774.0</v>
      </c>
      <c r="FB141" s="138">
        <v>44805.0</v>
      </c>
      <c r="FC141" s="138">
        <v>44835.0</v>
      </c>
      <c r="FD141" s="138">
        <v>44866.0</v>
      </c>
      <c r="FE141" s="138">
        <v>44896.0</v>
      </c>
      <c r="FF141" s="138">
        <v>44927.0</v>
      </c>
      <c r="FG141" s="138">
        <v>44958.0</v>
      </c>
      <c r="FH141" s="138">
        <v>44986.0</v>
      </c>
      <c r="FI141" s="138">
        <v>45017.0</v>
      </c>
      <c r="FJ141" s="138">
        <v>45047.0</v>
      </c>
      <c r="FK141" s="138">
        <v>45078.0</v>
      </c>
      <c r="FL141" s="138">
        <v>45108.0</v>
      </c>
      <c r="FM141" s="138">
        <v>45139.0</v>
      </c>
      <c r="FN141" s="138">
        <v>45170.0</v>
      </c>
      <c r="FO141" s="138">
        <v>45200.0</v>
      </c>
      <c r="FP141" s="138">
        <v>45231.0</v>
      </c>
      <c r="FQ141" s="138">
        <v>45261.0</v>
      </c>
      <c r="FR141" s="138">
        <v>45292.0</v>
      </c>
      <c r="FS141" s="138">
        <v>45323.0</v>
      </c>
      <c r="FT141" s="138">
        <v>45352.0</v>
      </c>
      <c r="FU141" s="138">
        <v>45383.0</v>
      </c>
      <c r="FV141" s="138">
        <v>45413.0</v>
      </c>
      <c r="FW141" s="138">
        <v>45444.0</v>
      </c>
      <c r="FX141" s="138">
        <v>45474.0</v>
      </c>
      <c r="FY141" s="138">
        <v>45505.0</v>
      </c>
      <c r="FZ141" s="138">
        <v>45536.0</v>
      </c>
      <c r="GA141" s="138">
        <v>45566.0</v>
      </c>
      <c r="GB141" s="138">
        <v>45597.0</v>
      </c>
      <c r="GC141" s="138">
        <v>45627.0</v>
      </c>
      <c r="GD141" s="138">
        <v>45658.0</v>
      </c>
      <c r="GE141" s="138">
        <v>45689.0</v>
      </c>
      <c r="GF141" s="138">
        <v>45717.0</v>
      </c>
      <c r="GG141" s="138">
        <v>45748.0</v>
      </c>
      <c r="GH141" s="138">
        <v>45778.0</v>
      </c>
      <c r="GI141" s="138">
        <v>45809.0</v>
      </c>
      <c r="GJ141" s="139">
        <v>45839.0</v>
      </c>
    </row>
    <row r="142">
      <c r="A142" s="133" t="s">
        <v>1811</v>
      </c>
      <c r="B142" s="134">
        <v>45835.4853125</v>
      </c>
      <c r="C142" s="135" t="str">
        <f t="shared" si="1"/>
        <v>2025/06/27</v>
      </c>
      <c r="D142" s="136" t="s">
        <v>34330</v>
      </c>
      <c r="E142" s="151">
        <v>0.0</v>
      </c>
      <c r="F142" s="138">
        <v>40179.0</v>
      </c>
      <c r="G142" s="138">
        <v>40210.0</v>
      </c>
      <c r="H142" s="138">
        <v>40238.0</v>
      </c>
      <c r="I142" s="138">
        <v>40269.0</v>
      </c>
      <c r="J142" s="138">
        <v>40299.0</v>
      </c>
      <c r="K142" s="138">
        <v>40330.0</v>
      </c>
      <c r="L142" s="138">
        <v>40360.0</v>
      </c>
      <c r="M142" s="138">
        <v>40391.0</v>
      </c>
      <c r="N142" s="138">
        <v>40422.0</v>
      </c>
      <c r="O142" s="138">
        <v>40452.0</v>
      </c>
      <c r="P142" s="138">
        <v>40483.0</v>
      </c>
      <c r="Q142" s="138">
        <v>40513.0</v>
      </c>
      <c r="R142" s="138">
        <v>40544.0</v>
      </c>
      <c r="S142" s="138">
        <v>40575.0</v>
      </c>
      <c r="T142" s="138">
        <v>40603.0</v>
      </c>
      <c r="U142" s="138">
        <v>40634.0</v>
      </c>
      <c r="V142" s="138">
        <v>40664.0</v>
      </c>
      <c r="W142" s="138">
        <v>40695.0</v>
      </c>
      <c r="X142" s="138">
        <v>40725.0</v>
      </c>
      <c r="Y142" s="138">
        <v>40756.0</v>
      </c>
      <c r="Z142" s="138">
        <v>40787.0</v>
      </c>
      <c r="AA142" s="138">
        <v>40817.0</v>
      </c>
      <c r="AB142" s="138">
        <v>40848.0</v>
      </c>
      <c r="AC142" s="138">
        <v>40878.0</v>
      </c>
      <c r="AD142" s="138">
        <v>40909.0</v>
      </c>
      <c r="AE142" s="138">
        <v>40940.0</v>
      </c>
      <c r="AF142" s="138">
        <v>40969.0</v>
      </c>
      <c r="AG142" s="138">
        <v>41000.0</v>
      </c>
      <c r="AH142" s="138">
        <v>41030.0</v>
      </c>
      <c r="AI142" s="138">
        <v>41061.0</v>
      </c>
      <c r="AJ142" s="138">
        <v>41091.0</v>
      </c>
      <c r="AK142" s="138">
        <v>41122.0</v>
      </c>
      <c r="AL142" s="138">
        <v>41153.0</v>
      </c>
      <c r="AM142" s="138">
        <v>41183.0</v>
      </c>
      <c r="AN142" s="138">
        <v>41214.0</v>
      </c>
      <c r="AO142" s="138">
        <v>41244.0</v>
      </c>
      <c r="AP142" s="138">
        <v>41275.0</v>
      </c>
      <c r="AQ142" s="138">
        <v>41306.0</v>
      </c>
      <c r="AR142" s="138">
        <v>41334.0</v>
      </c>
      <c r="AS142" s="138">
        <v>41365.0</v>
      </c>
      <c r="AT142" s="138">
        <v>41395.0</v>
      </c>
      <c r="AU142" s="138">
        <v>41426.0</v>
      </c>
      <c r="AV142" s="138">
        <v>41456.0</v>
      </c>
      <c r="AW142" s="138">
        <v>41487.0</v>
      </c>
      <c r="AX142" s="138">
        <v>41518.0</v>
      </c>
      <c r="AY142" s="138">
        <v>41548.0</v>
      </c>
      <c r="AZ142" s="138">
        <v>41579.0</v>
      </c>
      <c r="BA142" s="138">
        <v>41609.0</v>
      </c>
      <c r="BB142" s="138">
        <v>41640.0</v>
      </c>
      <c r="BC142" s="138">
        <v>41671.0</v>
      </c>
      <c r="BD142" s="138">
        <v>41699.0</v>
      </c>
      <c r="BE142" s="138">
        <v>41730.0</v>
      </c>
      <c r="BF142" s="138">
        <v>41760.0</v>
      </c>
      <c r="BG142" s="138">
        <v>41791.0</v>
      </c>
      <c r="BH142" s="138">
        <v>41821.0</v>
      </c>
      <c r="BI142" s="138">
        <v>41852.0</v>
      </c>
      <c r="BJ142" s="138">
        <v>41883.0</v>
      </c>
      <c r="BK142" s="138">
        <v>41913.0</v>
      </c>
      <c r="BL142" s="138">
        <v>41944.0</v>
      </c>
      <c r="BM142" s="138">
        <v>41974.0</v>
      </c>
      <c r="BN142" s="138">
        <v>42005.0</v>
      </c>
      <c r="BO142" s="138">
        <v>42036.0</v>
      </c>
      <c r="BP142" s="138">
        <v>42064.0</v>
      </c>
      <c r="BQ142" s="138">
        <v>42095.0</v>
      </c>
      <c r="BR142" s="138">
        <v>42125.0</v>
      </c>
      <c r="BS142" s="138">
        <v>42156.0</v>
      </c>
      <c r="BT142" s="138">
        <v>42186.0</v>
      </c>
      <c r="BU142" s="138">
        <v>42217.0</v>
      </c>
      <c r="BV142" s="138">
        <v>42248.0</v>
      </c>
      <c r="BW142" s="138">
        <v>42278.0</v>
      </c>
      <c r="BX142" s="138">
        <v>42309.0</v>
      </c>
      <c r="BY142" s="138">
        <v>42339.0</v>
      </c>
      <c r="BZ142" s="138">
        <v>42370.0</v>
      </c>
      <c r="CA142" s="138">
        <v>42401.0</v>
      </c>
      <c r="CB142" s="138">
        <v>42430.0</v>
      </c>
      <c r="CC142" s="138">
        <v>42461.0</v>
      </c>
      <c r="CD142" s="138">
        <v>42491.0</v>
      </c>
      <c r="CE142" s="138">
        <v>42522.0</v>
      </c>
      <c r="CF142" s="138">
        <v>42552.0</v>
      </c>
      <c r="CG142" s="138">
        <v>42583.0</v>
      </c>
      <c r="CH142" s="138">
        <v>42614.0</v>
      </c>
      <c r="CI142" s="138">
        <v>42644.0</v>
      </c>
      <c r="CJ142" s="138">
        <v>42675.0</v>
      </c>
      <c r="CK142" s="138">
        <v>42705.0</v>
      </c>
      <c r="CL142" s="138">
        <v>42736.0</v>
      </c>
      <c r="CM142" s="138">
        <v>42767.0</v>
      </c>
      <c r="CN142" s="138">
        <v>42795.0</v>
      </c>
      <c r="CO142" s="138">
        <v>42826.0</v>
      </c>
      <c r="CP142" s="138">
        <v>42856.0</v>
      </c>
      <c r="CQ142" s="138">
        <v>42887.0</v>
      </c>
      <c r="CR142" s="138">
        <v>42917.0</v>
      </c>
      <c r="CS142" s="138">
        <v>42948.0</v>
      </c>
      <c r="CT142" s="138">
        <v>42979.0</v>
      </c>
      <c r="CU142" s="138">
        <v>43009.0</v>
      </c>
      <c r="CV142" s="138">
        <v>43040.0</v>
      </c>
      <c r="CW142" s="138">
        <v>43070.0</v>
      </c>
      <c r="CX142" s="138">
        <v>43101.0</v>
      </c>
      <c r="CY142" s="138">
        <v>43132.0</v>
      </c>
      <c r="CZ142" s="138">
        <v>43160.0</v>
      </c>
      <c r="DA142" s="138">
        <v>43191.0</v>
      </c>
      <c r="DB142" s="138">
        <v>43221.0</v>
      </c>
      <c r="DC142" s="138">
        <v>43252.0</v>
      </c>
      <c r="DD142" s="138">
        <v>43282.0</v>
      </c>
      <c r="DE142" s="138">
        <v>43313.0</v>
      </c>
      <c r="DF142" s="138">
        <v>43344.0</v>
      </c>
      <c r="DG142" s="138">
        <v>43374.0</v>
      </c>
      <c r="DH142" s="138">
        <v>43405.0</v>
      </c>
      <c r="DI142" s="138">
        <v>43435.0</v>
      </c>
      <c r="DJ142" s="138">
        <v>43466.0</v>
      </c>
      <c r="DK142" s="138">
        <v>43497.0</v>
      </c>
      <c r="DL142" s="138">
        <v>43525.0</v>
      </c>
      <c r="DM142" s="138">
        <v>43556.0</v>
      </c>
      <c r="DN142" s="138">
        <v>43586.0</v>
      </c>
      <c r="DO142" s="138">
        <v>43617.0</v>
      </c>
      <c r="DP142" s="138">
        <v>43647.0</v>
      </c>
      <c r="DQ142" s="138">
        <v>43678.0</v>
      </c>
      <c r="DR142" s="138">
        <v>43709.0</v>
      </c>
      <c r="DS142" s="138">
        <v>43739.0</v>
      </c>
      <c r="DT142" s="138">
        <v>43770.0</v>
      </c>
      <c r="DU142" s="138">
        <v>43800.0</v>
      </c>
      <c r="DV142" s="138">
        <v>43831.0</v>
      </c>
      <c r="DW142" s="138">
        <v>43862.0</v>
      </c>
      <c r="DX142" s="138">
        <v>43891.0</v>
      </c>
      <c r="DY142" s="138">
        <v>43922.0</v>
      </c>
      <c r="DZ142" s="138">
        <v>43952.0</v>
      </c>
      <c r="EA142" s="138">
        <v>43983.0</v>
      </c>
      <c r="EB142" s="138">
        <v>44013.0</v>
      </c>
      <c r="EC142" s="138">
        <v>44044.0</v>
      </c>
      <c r="ED142" s="138">
        <v>44075.0</v>
      </c>
      <c r="EE142" s="138">
        <v>44105.0</v>
      </c>
      <c r="EF142" s="138">
        <v>44136.0</v>
      </c>
      <c r="EG142" s="138">
        <v>44166.0</v>
      </c>
      <c r="EH142" s="138">
        <v>44197.0</v>
      </c>
      <c r="EI142" s="138">
        <v>44228.0</v>
      </c>
      <c r="EJ142" s="138">
        <v>44256.0</v>
      </c>
      <c r="EK142" s="138">
        <v>44287.0</v>
      </c>
      <c r="EL142" s="138">
        <v>44317.0</v>
      </c>
      <c r="EM142" s="138">
        <v>44348.0</v>
      </c>
      <c r="EN142" s="138">
        <v>44378.0</v>
      </c>
      <c r="EO142" s="138">
        <v>44409.0</v>
      </c>
      <c r="EP142" s="138">
        <v>44440.0</v>
      </c>
      <c r="EQ142" s="138">
        <v>44470.0</v>
      </c>
      <c r="ER142" s="138">
        <v>44501.0</v>
      </c>
      <c r="ES142" s="138">
        <v>44531.0</v>
      </c>
      <c r="ET142" s="138">
        <v>44562.0</v>
      </c>
      <c r="EU142" s="138">
        <v>44593.0</v>
      </c>
      <c r="EV142" s="138">
        <v>44621.0</v>
      </c>
      <c r="EW142" s="138">
        <v>44652.0</v>
      </c>
      <c r="EX142" s="138">
        <v>44682.0</v>
      </c>
      <c r="EY142" s="138">
        <v>44713.0</v>
      </c>
      <c r="EZ142" s="138">
        <v>44743.0</v>
      </c>
      <c r="FA142" s="138">
        <v>44774.0</v>
      </c>
      <c r="FB142" s="138">
        <v>44805.0</v>
      </c>
      <c r="FC142" s="138">
        <v>44835.0</v>
      </c>
      <c r="FD142" s="138">
        <v>44866.0</v>
      </c>
      <c r="FE142" s="138">
        <v>44896.0</v>
      </c>
      <c r="FF142" s="138">
        <v>44927.0</v>
      </c>
      <c r="FG142" s="138">
        <v>44958.0</v>
      </c>
      <c r="FH142" s="138">
        <v>44986.0</v>
      </c>
      <c r="FI142" s="138">
        <v>45017.0</v>
      </c>
      <c r="FJ142" s="138">
        <v>45047.0</v>
      </c>
      <c r="FK142" s="138">
        <v>45078.0</v>
      </c>
      <c r="FL142" s="138">
        <v>45108.0</v>
      </c>
      <c r="FM142" s="138">
        <v>45139.0</v>
      </c>
      <c r="FN142" s="138">
        <v>45170.0</v>
      </c>
      <c r="FO142" s="138">
        <v>45200.0</v>
      </c>
      <c r="FP142" s="138">
        <v>45231.0</v>
      </c>
      <c r="FQ142" s="138">
        <v>45261.0</v>
      </c>
      <c r="FR142" s="138">
        <v>45292.0</v>
      </c>
      <c r="FS142" s="138">
        <v>45323.0</v>
      </c>
      <c r="FT142" s="138">
        <v>45352.0</v>
      </c>
      <c r="FU142" s="138">
        <v>45383.0</v>
      </c>
      <c r="FV142" s="138">
        <v>45413.0</v>
      </c>
      <c r="FW142" s="138">
        <v>45444.0</v>
      </c>
      <c r="FX142" s="138">
        <v>45474.0</v>
      </c>
      <c r="FY142" s="138">
        <v>45505.0</v>
      </c>
      <c r="FZ142" s="138">
        <v>45536.0</v>
      </c>
      <c r="GA142" s="138">
        <v>45566.0</v>
      </c>
      <c r="GB142" s="138">
        <v>45597.0</v>
      </c>
      <c r="GC142" s="138">
        <v>45627.0</v>
      </c>
      <c r="GD142" s="138">
        <v>45658.0</v>
      </c>
      <c r="GE142" s="138">
        <v>45689.0</v>
      </c>
      <c r="GF142" s="138">
        <v>45717.0</v>
      </c>
      <c r="GG142" s="138">
        <v>45748.0</v>
      </c>
      <c r="GH142" s="138">
        <v>45778.0</v>
      </c>
      <c r="GI142" s="138">
        <v>45809.0</v>
      </c>
      <c r="GJ142" s="139">
        <v>45839.0</v>
      </c>
    </row>
    <row r="143">
      <c r="A143" s="133" t="s">
        <v>1417</v>
      </c>
      <c r="B143" s="134">
        <v>45835.54423611111</v>
      </c>
      <c r="C143" s="135" t="str">
        <f t="shared" si="1"/>
        <v>2025/06/27</v>
      </c>
      <c r="D143" s="136" t="s">
        <v>33914</v>
      </c>
      <c r="E143" s="151">
        <v>0.0</v>
      </c>
      <c r="F143" s="138">
        <v>40179.0</v>
      </c>
      <c r="G143" s="138">
        <v>40210.0</v>
      </c>
      <c r="H143" s="138">
        <v>40238.0</v>
      </c>
      <c r="I143" s="138">
        <v>40269.0</v>
      </c>
      <c r="J143" s="138">
        <v>40299.0</v>
      </c>
      <c r="K143" s="138">
        <v>40330.0</v>
      </c>
      <c r="L143" s="138">
        <v>40360.0</v>
      </c>
      <c r="M143" s="138">
        <v>40391.0</v>
      </c>
      <c r="N143" s="138">
        <v>40422.0</v>
      </c>
      <c r="O143" s="138">
        <v>40452.0</v>
      </c>
      <c r="P143" s="138">
        <v>40483.0</v>
      </c>
      <c r="Q143" s="138">
        <v>40513.0</v>
      </c>
      <c r="R143" s="138">
        <v>40544.0</v>
      </c>
      <c r="S143" s="138">
        <v>40575.0</v>
      </c>
      <c r="T143" s="138">
        <v>40603.0</v>
      </c>
      <c r="U143" s="138">
        <v>40634.0</v>
      </c>
      <c r="V143" s="138">
        <v>40664.0</v>
      </c>
      <c r="W143" s="138">
        <v>40695.0</v>
      </c>
      <c r="X143" s="138">
        <v>40725.0</v>
      </c>
      <c r="Y143" s="138">
        <v>40756.0</v>
      </c>
      <c r="Z143" s="138">
        <v>40787.0</v>
      </c>
      <c r="AA143" s="138">
        <v>40817.0</v>
      </c>
      <c r="AB143" s="138">
        <v>40848.0</v>
      </c>
      <c r="AC143" s="138">
        <v>40878.0</v>
      </c>
      <c r="AD143" s="138">
        <v>40909.0</v>
      </c>
      <c r="AE143" s="138">
        <v>40940.0</v>
      </c>
      <c r="AF143" s="138">
        <v>40969.0</v>
      </c>
      <c r="AG143" s="138">
        <v>41000.0</v>
      </c>
      <c r="AH143" s="138">
        <v>41030.0</v>
      </c>
      <c r="AI143" s="138">
        <v>41061.0</v>
      </c>
      <c r="AJ143" s="138">
        <v>41091.0</v>
      </c>
      <c r="AK143" s="138">
        <v>41122.0</v>
      </c>
      <c r="AL143" s="138">
        <v>41153.0</v>
      </c>
      <c r="AM143" s="138">
        <v>41183.0</v>
      </c>
      <c r="AN143" s="138">
        <v>41214.0</v>
      </c>
      <c r="AO143" s="138">
        <v>41244.0</v>
      </c>
      <c r="AP143" s="138">
        <v>41275.0</v>
      </c>
      <c r="AQ143" s="138">
        <v>41306.0</v>
      </c>
      <c r="AR143" s="138">
        <v>41334.0</v>
      </c>
      <c r="AS143" s="138">
        <v>41365.0</v>
      </c>
      <c r="AT143" s="138">
        <v>41395.0</v>
      </c>
      <c r="AU143" s="138">
        <v>41426.0</v>
      </c>
      <c r="AV143" s="138">
        <v>41456.0</v>
      </c>
      <c r="AW143" s="138">
        <v>41487.0</v>
      </c>
      <c r="AX143" s="138">
        <v>41518.0</v>
      </c>
      <c r="AY143" s="138">
        <v>41548.0</v>
      </c>
      <c r="AZ143" s="138">
        <v>41579.0</v>
      </c>
      <c r="BA143" s="138">
        <v>41609.0</v>
      </c>
      <c r="BB143" s="138">
        <v>41640.0</v>
      </c>
      <c r="BC143" s="138">
        <v>41671.0</v>
      </c>
      <c r="BD143" s="138">
        <v>41699.0</v>
      </c>
      <c r="BE143" s="138">
        <v>41730.0</v>
      </c>
      <c r="BF143" s="138">
        <v>41760.0</v>
      </c>
      <c r="BG143" s="138">
        <v>41791.0</v>
      </c>
      <c r="BH143" s="138">
        <v>41821.0</v>
      </c>
      <c r="BI143" s="138">
        <v>41852.0</v>
      </c>
      <c r="BJ143" s="138">
        <v>41883.0</v>
      </c>
      <c r="BK143" s="138">
        <v>41913.0</v>
      </c>
      <c r="BL143" s="138">
        <v>41944.0</v>
      </c>
      <c r="BM143" s="138">
        <v>41974.0</v>
      </c>
      <c r="BN143" s="138">
        <v>42005.0</v>
      </c>
      <c r="BO143" s="138">
        <v>42036.0</v>
      </c>
      <c r="BP143" s="138">
        <v>42064.0</v>
      </c>
      <c r="BQ143" s="138">
        <v>42095.0</v>
      </c>
      <c r="BR143" s="138">
        <v>42125.0</v>
      </c>
      <c r="BS143" s="138">
        <v>42156.0</v>
      </c>
      <c r="BT143" s="138">
        <v>42186.0</v>
      </c>
      <c r="BU143" s="138">
        <v>42217.0</v>
      </c>
      <c r="BV143" s="138">
        <v>42248.0</v>
      </c>
      <c r="BW143" s="138">
        <v>42278.0</v>
      </c>
      <c r="BX143" s="138">
        <v>42309.0</v>
      </c>
      <c r="BY143" s="138">
        <v>42339.0</v>
      </c>
      <c r="BZ143" s="138">
        <v>42370.0</v>
      </c>
      <c r="CA143" s="138">
        <v>42401.0</v>
      </c>
      <c r="CB143" s="138">
        <v>42430.0</v>
      </c>
      <c r="CC143" s="138">
        <v>42461.0</v>
      </c>
      <c r="CD143" s="138">
        <v>42491.0</v>
      </c>
      <c r="CE143" s="138">
        <v>42522.0</v>
      </c>
      <c r="CF143" s="138">
        <v>42552.0</v>
      </c>
      <c r="CG143" s="138">
        <v>42583.0</v>
      </c>
      <c r="CH143" s="138">
        <v>42614.0</v>
      </c>
      <c r="CI143" s="138">
        <v>42644.0</v>
      </c>
      <c r="CJ143" s="138">
        <v>42675.0</v>
      </c>
      <c r="CK143" s="138">
        <v>42705.0</v>
      </c>
      <c r="CL143" s="138">
        <v>42736.0</v>
      </c>
      <c r="CM143" s="138">
        <v>42767.0</v>
      </c>
      <c r="CN143" s="138">
        <v>42795.0</v>
      </c>
      <c r="CO143" s="138">
        <v>42826.0</v>
      </c>
      <c r="CP143" s="138">
        <v>42856.0</v>
      </c>
      <c r="CQ143" s="138">
        <v>42887.0</v>
      </c>
      <c r="CR143" s="138">
        <v>42917.0</v>
      </c>
      <c r="CS143" s="138">
        <v>42948.0</v>
      </c>
      <c r="CT143" s="138">
        <v>42979.0</v>
      </c>
      <c r="CU143" s="138">
        <v>43009.0</v>
      </c>
      <c r="CV143" s="138">
        <v>43040.0</v>
      </c>
      <c r="CW143" s="138">
        <v>43070.0</v>
      </c>
      <c r="CX143" s="138">
        <v>43101.0</v>
      </c>
      <c r="CY143" s="138">
        <v>43132.0</v>
      </c>
      <c r="CZ143" s="138">
        <v>43160.0</v>
      </c>
      <c r="DA143" s="138">
        <v>43191.0</v>
      </c>
      <c r="DB143" s="138">
        <v>43221.0</v>
      </c>
      <c r="DC143" s="138">
        <v>43252.0</v>
      </c>
      <c r="DD143" s="138">
        <v>43282.0</v>
      </c>
      <c r="DE143" s="138">
        <v>43313.0</v>
      </c>
      <c r="DF143" s="138">
        <v>43344.0</v>
      </c>
      <c r="DG143" s="138">
        <v>43374.0</v>
      </c>
      <c r="DH143" s="138">
        <v>43405.0</v>
      </c>
      <c r="DI143" s="138">
        <v>43435.0</v>
      </c>
      <c r="DJ143" s="138">
        <v>43466.0</v>
      </c>
      <c r="DK143" s="138">
        <v>43497.0</v>
      </c>
      <c r="DL143" s="138">
        <v>43525.0</v>
      </c>
      <c r="DM143" s="138">
        <v>43556.0</v>
      </c>
      <c r="DN143" s="138">
        <v>43586.0</v>
      </c>
      <c r="DO143" s="138">
        <v>43617.0</v>
      </c>
      <c r="DP143" s="138">
        <v>43647.0</v>
      </c>
      <c r="DQ143" s="138">
        <v>43678.0</v>
      </c>
      <c r="DR143" s="138">
        <v>43709.0</v>
      </c>
      <c r="DS143" s="138">
        <v>43739.0</v>
      </c>
      <c r="DT143" s="138">
        <v>43770.0</v>
      </c>
      <c r="DU143" s="138">
        <v>43800.0</v>
      </c>
      <c r="DV143" s="138">
        <v>43831.0</v>
      </c>
      <c r="DW143" s="138">
        <v>43862.0</v>
      </c>
      <c r="DX143" s="138">
        <v>43891.0</v>
      </c>
      <c r="DY143" s="138">
        <v>43922.0</v>
      </c>
      <c r="DZ143" s="138">
        <v>43952.0</v>
      </c>
      <c r="EA143" s="138">
        <v>43983.0</v>
      </c>
      <c r="EB143" s="138">
        <v>44013.0</v>
      </c>
      <c r="EC143" s="138">
        <v>44044.0</v>
      </c>
      <c r="ED143" s="138">
        <v>44075.0</v>
      </c>
      <c r="EE143" s="138">
        <v>44105.0</v>
      </c>
      <c r="EF143" s="138">
        <v>44136.0</v>
      </c>
      <c r="EG143" s="138">
        <v>44166.0</v>
      </c>
      <c r="EH143" s="138">
        <v>44197.0</v>
      </c>
      <c r="EI143" s="138">
        <v>44228.0</v>
      </c>
      <c r="EJ143" s="138">
        <v>44256.0</v>
      </c>
      <c r="EK143" s="138">
        <v>44287.0</v>
      </c>
      <c r="EL143" s="138">
        <v>44317.0</v>
      </c>
      <c r="EM143" s="138">
        <v>44348.0</v>
      </c>
      <c r="EN143" s="138">
        <v>44378.0</v>
      </c>
      <c r="EO143" s="138">
        <v>44409.0</v>
      </c>
      <c r="EP143" s="138">
        <v>44440.0</v>
      </c>
      <c r="EQ143" s="138">
        <v>44470.0</v>
      </c>
      <c r="ER143" s="138">
        <v>44501.0</v>
      </c>
      <c r="ES143" s="138">
        <v>44531.0</v>
      </c>
      <c r="ET143" s="138">
        <v>44562.0</v>
      </c>
      <c r="EU143" s="138">
        <v>44593.0</v>
      </c>
      <c r="EV143" s="138">
        <v>44621.0</v>
      </c>
      <c r="EW143" s="138">
        <v>44652.0</v>
      </c>
      <c r="EX143" s="138">
        <v>44682.0</v>
      </c>
      <c r="EY143" s="138">
        <v>44713.0</v>
      </c>
      <c r="EZ143" s="138">
        <v>44743.0</v>
      </c>
      <c r="FA143" s="138">
        <v>44774.0</v>
      </c>
      <c r="FB143" s="138">
        <v>44805.0</v>
      </c>
      <c r="FC143" s="138">
        <v>44835.0</v>
      </c>
      <c r="FD143" s="138">
        <v>44866.0</v>
      </c>
      <c r="FE143" s="138">
        <v>44896.0</v>
      </c>
      <c r="FF143" s="138">
        <v>44927.0</v>
      </c>
      <c r="FG143" s="138">
        <v>44958.0</v>
      </c>
      <c r="FH143" s="138">
        <v>44986.0</v>
      </c>
      <c r="FI143" s="138">
        <v>45017.0</v>
      </c>
      <c r="FJ143" s="138">
        <v>45047.0</v>
      </c>
      <c r="FK143" s="138">
        <v>45078.0</v>
      </c>
      <c r="FL143" s="138">
        <v>45108.0</v>
      </c>
      <c r="FM143" s="138">
        <v>45139.0</v>
      </c>
      <c r="FN143" s="138">
        <v>45170.0</v>
      </c>
      <c r="FO143" s="138">
        <v>45200.0</v>
      </c>
      <c r="FP143" s="138">
        <v>45231.0</v>
      </c>
      <c r="FQ143" s="138">
        <v>45261.0</v>
      </c>
      <c r="FR143" s="138">
        <v>45292.0</v>
      </c>
      <c r="FS143" s="138">
        <v>45323.0</v>
      </c>
      <c r="FT143" s="138">
        <v>45352.0</v>
      </c>
      <c r="FU143" s="138">
        <v>45383.0</v>
      </c>
      <c r="FV143" s="138">
        <v>45413.0</v>
      </c>
      <c r="FW143" s="138">
        <v>45444.0</v>
      </c>
      <c r="FX143" s="138">
        <v>45474.0</v>
      </c>
      <c r="FY143" s="138">
        <v>45505.0</v>
      </c>
      <c r="FZ143" s="138">
        <v>45536.0</v>
      </c>
      <c r="GA143" s="138">
        <v>45566.0</v>
      </c>
      <c r="GB143" s="138">
        <v>45597.0</v>
      </c>
      <c r="GC143" s="138">
        <v>45627.0</v>
      </c>
      <c r="GD143" s="138">
        <v>45658.0</v>
      </c>
      <c r="GE143" s="138">
        <v>45689.0</v>
      </c>
      <c r="GF143" s="138">
        <v>45717.0</v>
      </c>
      <c r="GG143" s="138">
        <v>45748.0</v>
      </c>
      <c r="GH143" s="138">
        <v>45778.0</v>
      </c>
      <c r="GI143" s="138">
        <v>45809.0</v>
      </c>
      <c r="GJ143" s="139">
        <v>45839.0</v>
      </c>
    </row>
    <row r="144">
      <c r="A144" s="133" t="s">
        <v>1785</v>
      </c>
      <c r="B144" s="134">
        <v>45840.768958333334</v>
      </c>
      <c r="C144" s="135" t="str">
        <f t="shared" si="1"/>
        <v>2025/07/02</v>
      </c>
      <c r="D144" s="136" t="s">
        <v>33912</v>
      </c>
      <c r="E144" s="151">
        <v>0.0</v>
      </c>
      <c r="F144" s="138">
        <v>40179.0</v>
      </c>
      <c r="G144" s="138">
        <v>40210.0</v>
      </c>
      <c r="H144" s="138">
        <v>40238.0</v>
      </c>
      <c r="I144" s="138">
        <v>40269.0</v>
      </c>
      <c r="J144" s="138">
        <v>40299.0</v>
      </c>
      <c r="K144" s="138">
        <v>40330.0</v>
      </c>
      <c r="L144" s="138">
        <v>40360.0</v>
      </c>
      <c r="M144" s="138">
        <v>40391.0</v>
      </c>
      <c r="N144" s="138">
        <v>40422.0</v>
      </c>
      <c r="O144" s="138">
        <v>40452.0</v>
      </c>
      <c r="P144" s="138">
        <v>40483.0</v>
      </c>
      <c r="Q144" s="138">
        <v>40513.0</v>
      </c>
      <c r="R144" s="138">
        <v>40544.0</v>
      </c>
      <c r="S144" s="138">
        <v>40575.0</v>
      </c>
      <c r="T144" s="138">
        <v>40603.0</v>
      </c>
      <c r="U144" s="138">
        <v>40634.0</v>
      </c>
      <c r="V144" s="138">
        <v>40664.0</v>
      </c>
      <c r="W144" s="138">
        <v>40695.0</v>
      </c>
      <c r="X144" s="138">
        <v>40725.0</v>
      </c>
      <c r="Y144" s="138">
        <v>40756.0</v>
      </c>
      <c r="Z144" s="138">
        <v>40787.0</v>
      </c>
      <c r="AA144" s="138">
        <v>40817.0</v>
      </c>
      <c r="AB144" s="138">
        <v>40848.0</v>
      </c>
      <c r="AC144" s="138">
        <v>40878.0</v>
      </c>
      <c r="AD144" s="138">
        <v>40909.0</v>
      </c>
      <c r="AE144" s="138">
        <v>40940.0</v>
      </c>
      <c r="AF144" s="138">
        <v>40969.0</v>
      </c>
      <c r="AG144" s="138">
        <v>41000.0</v>
      </c>
      <c r="AH144" s="138">
        <v>41030.0</v>
      </c>
      <c r="AI144" s="138">
        <v>41061.0</v>
      </c>
      <c r="AJ144" s="138">
        <v>41091.0</v>
      </c>
      <c r="AK144" s="138">
        <v>41122.0</v>
      </c>
      <c r="AL144" s="138">
        <v>41153.0</v>
      </c>
      <c r="AM144" s="138">
        <v>41183.0</v>
      </c>
      <c r="AN144" s="138">
        <v>41214.0</v>
      </c>
      <c r="AO144" s="138">
        <v>41244.0</v>
      </c>
      <c r="AP144" s="138">
        <v>41275.0</v>
      </c>
      <c r="AQ144" s="138">
        <v>41306.0</v>
      </c>
      <c r="AR144" s="138">
        <v>41334.0</v>
      </c>
      <c r="AS144" s="138">
        <v>41365.0</v>
      </c>
      <c r="AT144" s="138">
        <v>41395.0</v>
      </c>
      <c r="AU144" s="138">
        <v>41426.0</v>
      </c>
      <c r="AV144" s="138">
        <v>41456.0</v>
      </c>
      <c r="AW144" s="138">
        <v>41487.0</v>
      </c>
      <c r="AX144" s="138">
        <v>41518.0</v>
      </c>
      <c r="AY144" s="138">
        <v>41548.0</v>
      </c>
      <c r="AZ144" s="138">
        <v>41579.0</v>
      </c>
      <c r="BA144" s="138">
        <v>41609.0</v>
      </c>
      <c r="BB144" s="138">
        <v>41640.0</v>
      </c>
      <c r="BC144" s="138">
        <v>41671.0</v>
      </c>
      <c r="BD144" s="138">
        <v>41699.0</v>
      </c>
      <c r="BE144" s="138">
        <v>41730.0</v>
      </c>
      <c r="BF144" s="138">
        <v>41760.0</v>
      </c>
      <c r="BG144" s="138">
        <v>41791.0</v>
      </c>
      <c r="BH144" s="138">
        <v>41821.0</v>
      </c>
      <c r="BI144" s="138">
        <v>41852.0</v>
      </c>
      <c r="BJ144" s="138">
        <v>41883.0</v>
      </c>
      <c r="BK144" s="138">
        <v>41913.0</v>
      </c>
      <c r="BL144" s="138">
        <v>41944.0</v>
      </c>
      <c r="BM144" s="138">
        <v>41974.0</v>
      </c>
      <c r="BN144" s="138">
        <v>42005.0</v>
      </c>
      <c r="BO144" s="138">
        <v>42036.0</v>
      </c>
      <c r="BP144" s="138">
        <v>42064.0</v>
      </c>
      <c r="BQ144" s="138">
        <v>42095.0</v>
      </c>
      <c r="BR144" s="138">
        <v>42125.0</v>
      </c>
      <c r="BS144" s="138">
        <v>42156.0</v>
      </c>
      <c r="BT144" s="138">
        <v>42186.0</v>
      </c>
      <c r="BU144" s="138">
        <v>42217.0</v>
      </c>
      <c r="BV144" s="138">
        <v>42248.0</v>
      </c>
      <c r="BW144" s="138">
        <v>42278.0</v>
      </c>
      <c r="BX144" s="138">
        <v>42309.0</v>
      </c>
      <c r="BY144" s="138">
        <v>42339.0</v>
      </c>
      <c r="BZ144" s="138">
        <v>42370.0</v>
      </c>
      <c r="CA144" s="138">
        <v>42401.0</v>
      </c>
      <c r="CB144" s="138">
        <v>42430.0</v>
      </c>
      <c r="CC144" s="138">
        <v>42461.0</v>
      </c>
      <c r="CD144" s="138">
        <v>42491.0</v>
      </c>
      <c r="CE144" s="138">
        <v>42522.0</v>
      </c>
      <c r="CF144" s="138">
        <v>42552.0</v>
      </c>
      <c r="CG144" s="138">
        <v>42583.0</v>
      </c>
      <c r="CH144" s="138">
        <v>42614.0</v>
      </c>
      <c r="CI144" s="138">
        <v>42644.0</v>
      </c>
      <c r="CJ144" s="138">
        <v>42675.0</v>
      </c>
      <c r="CK144" s="138">
        <v>42705.0</v>
      </c>
      <c r="CL144" s="138">
        <v>42736.0</v>
      </c>
      <c r="CM144" s="138">
        <v>42767.0</v>
      </c>
      <c r="CN144" s="138">
        <v>42795.0</v>
      </c>
      <c r="CO144" s="138">
        <v>42826.0</v>
      </c>
      <c r="CP144" s="138">
        <v>42856.0</v>
      </c>
      <c r="CQ144" s="138">
        <v>42887.0</v>
      </c>
      <c r="CR144" s="138">
        <v>42917.0</v>
      </c>
      <c r="CS144" s="138">
        <v>42948.0</v>
      </c>
      <c r="CT144" s="138">
        <v>42979.0</v>
      </c>
      <c r="CU144" s="138">
        <v>43009.0</v>
      </c>
      <c r="CV144" s="138">
        <v>43040.0</v>
      </c>
      <c r="CW144" s="138">
        <v>43070.0</v>
      </c>
      <c r="CX144" s="138">
        <v>43101.0</v>
      </c>
      <c r="CY144" s="138">
        <v>43132.0</v>
      </c>
      <c r="CZ144" s="138">
        <v>43160.0</v>
      </c>
      <c r="DA144" s="138">
        <v>43191.0</v>
      </c>
      <c r="DB144" s="138">
        <v>43221.0</v>
      </c>
      <c r="DC144" s="138">
        <v>43252.0</v>
      </c>
      <c r="DD144" s="138">
        <v>43282.0</v>
      </c>
      <c r="DE144" s="138">
        <v>43313.0</v>
      </c>
      <c r="DF144" s="138">
        <v>43344.0</v>
      </c>
      <c r="DG144" s="138">
        <v>43374.0</v>
      </c>
      <c r="DH144" s="138">
        <v>43405.0</v>
      </c>
      <c r="DI144" s="138">
        <v>43435.0</v>
      </c>
      <c r="DJ144" s="138">
        <v>43466.0</v>
      </c>
      <c r="DK144" s="138">
        <v>43497.0</v>
      </c>
      <c r="DL144" s="138">
        <v>43525.0</v>
      </c>
      <c r="DM144" s="138">
        <v>43556.0</v>
      </c>
      <c r="DN144" s="138">
        <v>43586.0</v>
      </c>
      <c r="DO144" s="138">
        <v>43617.0</v>
      </c>
      <c r="DP144" s="138">
        <v>43647.0</v>
      </c>
      <c r="DQ144" s="138">
        <v>43678.0</v>
      </c>
      <c r="DR144" s="138">
        <v>43709.0</v>
      </c>
      <c r="DS144" s="138">
        <v>43739.0</v>
      </c>
      <c r="DT144" s="138">
        <v>43770.0</v>
      </c>
      <c r="DU144" s="138">
        <v>43800.0</v>
      </c>
      <c r="DV144" s="138">
        <v>43831.0</v>
      </c>
      <c r="DW144" s="138">
        <v>43862.0</v>
      </c>
      <c r="DX144" s="138">
        <v>43891.0</v>
      </c>
      <c r="DY144" s="138">
        <v>43922.0</v>
      </c>
      <c r="DZ144" s="138">
        <v>43952.0</v>
      </c>
      <c r="EA144" s="138">
        <v>43983.0</v>
      </c>
      <c r="EB144" s="138">
        <v>44013.0</v>
      </c>
      <c r="EC144" s="138">
        <v>44044.0</v>
      </c>
      <c r="ED144" s="138">
        <v>44075.0</v>
      </c>
      <c r="EE144" s="138">
        <v>44105.0</v>
      </c>
      <c r="EF144" s="138">
        <v>44136.0</v>
      </c>
      <c r="EG144" s="138">
        <v>44166.0</v>
      </c>
      <c r="EH144" s="138">
        <v>44197.0</v>
      </c>
      <c r="EI144" s="138">
        <v>44228.0</v>
      </c>
      <c r="EJ144" s="138">
        <v>44256.0</v>
      </c>
      <c r="EK144" s="138">
        <v>44287.0</v>
      </c>
      <c r="EL144" s="138">
        <v>44317.0</v>
      </c>
      <c r="EM144" s="138">
        <v>44348.0</v>
      </c>
      <c r="EN144" s="138">
        <v>44378.0</v>
      </c>
      <c r="EO144" s="138">
        <v>44409.0</v>
      </c>
      <c r="EP144" s="138">
        <v>44440.0</v>
      </c>
      <c r="EQ144" s="138">
        <v>44470.0</v>
      </c>
      <c r="ER144" s="138">
        <v>44501.0</v>
      </c>
      <c r="ES144" s="138">
        <v>44531.0</v>
      </c>
      <c r="ET144" s="138">
        <v>44562.0</v>
      </c>
      <c r="EU144" s="138">
        <v>44593.0</v>
      </c>
      <c r="EV144" s="138">
        <v>44621.0</v>
      </c>
      <c r="EW144" s="138">
        <v>44652.0</v>
      </c>
      <c r="EX144" s="138">
        <v>44682.0</v>
      </c>
      <c r="EY144" s="138">
        <v>44713.0</v>
      </c>
      <c r="EZ144" s="138">
        <v>44743.0</v>
      </c>
      <c r="FA144" s="138">
        <v>44774.0</v>
      </c>
      <c r="FB144" s="138">
        <v>44805.0</v>
      </c>
      <c r="FC144" s="138">
        <v>44835.0</v>
      </c>
      <c r="FD144" s="138">
        <v>44866.0</v>
      </c>
      <c r="FE144" s="138">
        <v>44896.0</v>
      </c>
      <c r="FF144" s="138">
        <v>44927.0</v>
      </c>
      <c r="FG144" s="138">
        <v>44958.0</v>
      </c>
      <c r="FH144" s="138">
        <v>44986.0</v>
      </c>
      <c r="FI144" s="138">
        <v>45017.0</v>
      </c>
      <c r="FJ144" s="138">
        <v>45047.0</v>
      </c>
      <c r="FK144" s="138">
        <v>45078.0</v>
      </c>
      <c r="FL144" s="138">
        <v>45108.0</v>
      </c>
      <c r="FM144" s="138">
        <v>45139.0</v>
      </c>
      <c r="FN144" s="138">
        <v>45170.0</v>
      </c>
      <c r="FO144" s="138">
        <v>45200.0</v>
      </c>
      <c r="FP144" s="138">
        <v>45231.0</v>
      </c>
      <c r="FQ144" s="138">
        <v>45261.0</v>
      </c>
      <c r="FR144" s="138">
        <v>45292.0</v>
      </c>
      <c r="FS144" s="138">
        <v>45323.0</v>
      </c>
      <c r="FT144" s="138">
        <v>45352.0</v>
      </c>
      <c r="FU144" s="138">
        <v>45383.0</v>
      </c>
      <c r="FV144" s="138">
        <v>45413.0</v>
      </c>
      <c r="FW144" s="138">
        <v>45444.0</v>
      </c>
      <c r="FX144" s="138">
        <v>45474.0</v>
      </c>
      <c r="FY144" s="138">
        <v>45505.0</v>
      </c>
      <c r="FZ144" s="138">
        <v>45536.0</v>
      </c>
      <c r="GA144" s="138">
        <v>45566.0</v>
      </c>
      <c r="GB144" s="138">
        <v>45597.0</v>
      </c>
      <c r="GC144" s="138">
        <v>45627.0</v>
      </c>
      <c r="GD144" s="138">
        <v>45658.0</v>
      </c>
      <c r="GE144" s="138">
        <v>45689.0</v>
      </c>
      <c r="GF144" s="138">
        <v>45717.0</v>
      </c>
      <c r="GG144" s="138">
        <v>45748.0</v>
      </c>
      <c r="GH144" s="138">
        <v>45778.0</v>
      </c>
      <c r="GI144" s="138">
        <v>45809.0</v>
      </c>
      <c r="GJ144" s="138">
        <v>45839.0</v>
      </c>
    </row>
    <row r="145">
      <c r="A145" s="133" t="s">
        <v>1722</v>
      </c>
      <c r="B145" s="134">
        <v>45842.50667824074</v>
      </c>
      <c r="C145" s="135" t="str">
        <f t="shared" si="1"/>
        <v>2025/07/04</v>
      </c>
      <c r="D145" s="136" t="s">
        <v>34331</v>
      </c>
      <c r="E145" s="151">
        <v>0.0</v>
      </c>
      <c r="F145" s="138">
        <v>40179.0</v>
      </c>
      <c r="G145" s="138">
        <v>40210.0</v>
      </c>
      <c r="H145" s="138">
        <v>40238.0</v>
      </c>
      <c r="I145" s="138">
        <v>40269.0</v>
      </c>
      <c r="J145" s="138">
        <v>40299.0</v>
      </c>
      <c r="K145" s="138">
        <v>40330.0</v>
      </c>
      <c r="L145" s="138">
        <v>40360.0</v>
      </c>
      <c r="M145" s="138">
        <v>40391.0</v>
      </c>
      <c r="N145" s="138">
        <v>40422.0</v>
      </c>
      <c r="O145" s="138">
        <v>40452.0</v>
      </c>
      <c r="P145" s="138">
        <v>40483.0</v>
      </c>
      <c r="Q145" s="138">
        <v>40513.0</v>
      </c>
      <c r="R145" s="138">
        <v>40544.0</v>
      </c>
      <c r="S145" s="138">
        <v>40575.0</v>
      </c>
      <c r="T145" s="138">
        <v>40603.0</v>
      </c>
      <c r="U145" s="138">
        <v>40634.0</v>
      </c>
      <c r="V145" s="138">
        <v>40664.0</v>
      </c>
      <c r="W145" s="138">
        <v>40695.0</v>
      </c>
      <c r="X145" s="138">
        <v>40725.0</v>
      </c>
      <c r="Y145" s="138">
        <v>40756.0</v>
      </c>
      <c r="Z145" s="138">
        <v>40787.0</v>
      </c>
      <c r="AA145" s="138">
        <v>40817.0</v>
      </c>
      <c r="AB145" s="138">
        <v>40848.0</v>
      </c>
      <c r="AC145" s="138">
        <v>40878.0</v>
      </c>
      <c r="AD145" s="138">
        <v>40909.0</v>
      </c>
      <c r="AE145" s="138">
        <v>40940.0</v>
      </c>
      <c r="AF145" s="138">
        <v>40969.0</v>
      </c>
      <c r="AG145" s="138">
        <v>41000.0</v>
      </c>
      <c r="AH145" s="138">
        <v>41030.0</v>
      </c>
      <c r="AI145" s="138">
        <v>41061.0</v>
      </c>
      <c r="AJ145" s="138">
        <v>41091.0</v>
      </c>
      <c r="AK145" s="138">
        <v>41122.0</v>
      </c>
      <c r="AL145" s="138">
        <v>41153.0</v>
      </c>
      <c r="AM145" s="138">
        <v>41183.0</v>
      </c>
      <c r="AN145" s="138">
        <v>41214.0</v>
      </c>
      <c r="AO145" s="138">
        <v>41244.0</v>
      </c>
      <c r="AP145" s="138">
        <v>41275.0</v>
      </c>
      <c r="AQ145" s="138">
        <v>41306.0</v>
      </c>
      <c r="AR145" s="138">
        <v>41334.0</v>
      </c>
      <c r="AS145" s="138">
        <v>41365.0</v>
      </c>
      <c r="AT145" s="138">
        <v>41395.0</v>
      </c>
      <c r="AU145" s="138">
        <v>41426.0</v>
      </c>
      <c r="AV145" s="138">
        <v>41456.0</v>
      </c>
      <c r="AW145" s="138">
        <v>41487.0</v>
      </c>
      <c r="AX145" s="138">
        <v>41518.0</v>
      </c>
      <c r="AY145" s="138">
        <v>41548.0</v>
      </c>
      <c r="AZ145" s="138">
        <v>41579.0</v>
      </c>
      <c r="BA145" s="138">
        <v>41609.0</v>
      </c>
      <c r="BB145" s="138">
        <v>41640.0</v>
      </c>
      <c r="BC145" s="138">
        <v>41671.0</v>
      </c>
      <c r="BD145" s="138">
        <v>41699.0</v>
      </c>
      <c r="BE145" s="138">
        <v>41730.0</v>
      </c>
      <c r="BF145" s="138">
        <v>41760.0</v>
      </c>
      <c r="BG145" s="138">
        <v>41791.0</v>
      </c>
      <c r="BH145" s="138">
        <v>41821.0</v>
      </c>
      <c r="BI145" s="138">
        <v>41852.0</v>
      </c>
      <c r="BJ145" s="138">
        <v>41883.0</v>
      </c>
      <c r="BK145" s="138">
        <v>41913.0</v>
      </c>
      <c r="BL145" s="138">
        <v>41944.0</v>
      </c>
      <c r="BM145" s="138">
        <v>41974.0</v>
      </c>
      <c r="BN145" s="138">
        <v>42005.0</v>
      </c>
      <c r="BO145" s="138">
        <v>42036.0</v>
      </c>
      <c r="BP145" s="138">
        <v>42064.0</v>
      </c>
      <c r="BQ145" s="138">
        <v>42095.0</v>
      </c>
      <c r="BR145" s="138">
        <v>42125.0</v>
      </c>
      <c r="BS145" s="138">
        <v>42156.0</v>
      </c>
      <c r="BT145" s="138">
        <v>42186.0</v>
      </c>
      <c r="BU145" s="138">
        <v>42217.0</v>
      </c>
      <c r="BV145" s="138">
        <v>42248.0</v>
      </c>
      <c r="BW145" s="138">
        <v>42278.0</v>
      </c>
      <c r="BX145" s="138">
        <v>42309.0</v>
      </c>
      <c r="BY145" s="138">
        <v>42339.0</v>
      </c>
      <c r="BZ145" s="138">
        <v>42370.0</v>
      </c>
      <c r="CA145" s="138">
        <v>42401.0</v>
      </c>
      <c r="CB145" s="138">
        <v>42430.0</v>
      </c>
      <c r="CC145" s="138">
        <v>42461.0</v>
      </c>
      <c r="CD145" s="138">
        <v>42491.0</v>
      </c>
      <c r="CE145" s="138">
        <v>42522.0</v>
      </c>
      <c r="CF145" s="138">
        <v>42552.0</v>
      </c>
      <c r="CG145" s="138">
        <v>42583.0</v>
      </c>
      <c r="CH145" s="138">
        <v>42614.0</v>
      </c>
      <c r="CI145" s="138">
        <v>42644.0</v>
      </c>
      <c r="CJ145" s="138">
        <v>42675.0</v>
      </c>
      <c r="CK145" s="138">
        <v>42705.0</v>
      </c>
      <c r="CL145" s="138">
        <v>42736.0</v>
      </c>
      <c r="CM145" s="138">
        <v>42767.0</v>
      </c>
      <c r="CN145" s="138">
        <v>42795.0</v>
      </c>
      <c r="CO145" s="138">
        <v>42826.0</v>
      </c>
      <c r="CP145" s="138">
        <v>42856.0</v>
      </c>
      <c r="CQ145" s="138">
        <v>42887.0</v>
      </c>
      <c r="CR145" s="138">
        <v>42917.0</v>
      </c>
      <c r="CS145" s="138">
        <v>42948.0</v>
      </c>
      <c r="CT145" s="138">
        <v>42979.0</v>
      </c>
      <c r="CU145" s="138">
        <v>43009.0</v>
      </c>
      <c r="CV145" s="138">
        <v>43040.0</v>
      </c>
      <c r="CW145" s="138">
        <v>43070.0</v>
      </c>
      <c r="CX145" s="138">
        <v>43101.0</v>
      </c>
      <c r="CY145" s="138">
        <v>43132.0</v>
      </c>
      <c r="CZ145" s="138">
        <v>43160.0</v>
      </c>
      <c r="DA145" s="138">
        <v>43191.0</v>
      </c>
      <c r="DB145" s="138">
        <v>43221.0</v>
      </c>
      <c r="DC145" s="138">
        <v>43252.0</v>
      </c>
      <c r="DD145" s="138">
        <v>43282.0</v>
      </c>
      <c r="DE145" s="138">
        <v>43313.0</v>
      </c>
      <c r="DF145" s="138">
        <v>43344.0</v>
      </c>
      <c r="DG145" s="138">
        <v>43374.0</v>
      </c>
      <c r="DH145" s="138">
        <v>43405.0</v>
      </c>
      <c r="DI145" s="138">
        <v>43435.0</v>
      </c>
      <c r="DJ145" s="138">
        <v>43466.0</v>
      </c>
      <c r="DK145" s="138">
        <v>43497.0</v>
      </c>
      <c r="DL145" s="138">
        <v>43525.0</v>
      </c>
      <c r="DM145" s="138">
        <v>43556.0</v>
      </c>
      <c r="DN145" s="138">
        <v>43586.0</v>
      </c>
      <c r="DO145" s="138">
        <v>43617.0</v>
      </c>
      <c r="DP145" s="138">
        <v>43647.0</v>
      </c>
      <c r="DQ145" s="138">
        <v>43678.0</v>
      </c>
      <c r="DR145" s="138">
        <v>43709.0</v>
      </c>
      <c r="DS145" s="138">
        <v>43739.0</v>
      </c>
      <c r="DT145" s="138">
        <v>43770.0</v>
      </c>
      <c r="DU145" s="138">
        <v>43800.0</v>
      </c>
      <c r="DV145" s="138">
        <v>43831.0</v>
      </c>
      <c r="DW145" s="138">
        <v>43862.0</v>
      </c>
      <c r="DX145" s="138">
        <v>43891.0</v>
      </c>
      <c r="DY145" s="138">
        <v>43922.0</v>
      </c>
      <c r="DZ145" s="138">
        <v>43952.0</v>
      </c>
      <c r="EA145" s="138">
        <v>43983.0</v>
      </c>
      <c r="EB145" s="138">
        <v>44013.0</v>
      </c>
      <c r="EC145" s="138">
        <v>44044.0</v>
      </c>
      <c r="ED145" s="138">
        <v>44075.0</v>
      </c>
      <c r="EE145" s="138">
        <v>44105.0</v>
      </c>
      <c r="EF145" s="138">
        <v>44136.0</v>
      </c>
      <c r="EG145" s="138">
        <v>44166.0</v>
      </c>
      <c r="EH145" s="138">
        <v>44197.0</v>
      </c>
      <c r="EI145" s="138">
        <v>44228.0</v>
      </c>
      <c r="EJ145" s="138">
        <v>44256.0</v>
      </c>
      <c r="EK145" s="138">
        <v>44287.0</v>
      </c>
      <c r="EL145" s="138">
        <v>44317.0</v>
      </c>
      <c r="EM145" s="138">
        <v>44348.0</v>
      </c>
      <c r="EN145" s="138">
        <v>44378.0</v>
      </c>
      <c r="EO145" s="138">
        <v>44409.0</v>
      </c>
      <c r="EP145" s="138">
        <v>44440.0</v>
      </c>
      <c r="EQ145" s="138">
        <v>44470.0</v>
      </c>
      <c r="ER145" s="138">
        <v>44501.0</v>
      </c>
      <c r="ES145" s="138">
        <v>44531.0</v>
      </c>
      <c r="ET145" s="138">
        <v>44562.0</v>
      </c>
      <c r="EU145" s="138">
        <v>44593.0</v>
      </c>
      <c r="EV145" s="138">
        <v>44621.0</v>
      </c>
      <c r="EW145" s="138">
        <v>44652.0</v>
      </c>
      <c r="EX145" s="138">
        <v>44682.0</v>
      </c>
      <c r="EY145" s="138">
        <v>44713.0</v>
      </c>
      <c r="EZ145" s="138">
        <v>44743.0</v>
      </c>
      <c r="FA145" s="138">
        <v>44774.0</v>
      </c>
      <c r="FB145" s="138">
        <v>44805.0</v>
      </c>
      <c r="FC145" s="138">
        <v>44835.0</v>
      </c>
      <c r="FD145" s="138">
        <v>44866.0</v>
      </c>
      <c r="FE145" s="138">
        <v>44896.0</v>
      </c>
      <c r="FF145" s="138">
        <v>44927.0</v>
      </c>
      <c r="FG145" s="138">
        <v>44958.0</v>
      </c>
      <c r="FH145" s="138">
        <v>44986.0</v>
      </c>
      <c r="FI145" s="138">
        <v>45017.0</v>
      </c>
      <c r="FJ145" s="138">
        <v>45047.0</v>
      </c>
      <c r="FK145" s="138">
        <v>45078.0</v>
      </c>
      <c r="FL145" s="138">
        <v>45108.0</v>
      </c>
      <c r="FM145" s="138">
        <v>45139.0</v>
      </c>
      <c r="FN145" s="138">
        <v>45170.0</v>
      </c>
      <c r="FO145" s="138">
        <v>45200.0</v>
      </c>
      <c r="FP145" s="138">
        <v>45231.0</v>
      </c>
      <c r="FQ145" s="138">
        <v>45261.0</v>
      </c>
      <c r="FR145" s="138">
        <v>45292.0</v>
      </c>
      <c r="FS145" s="138">
        <v>45323.0</v>
      </c>
      <c r="FT145" s="138">
        <v>45352.0</v>
      </c>
      <c r="FU145" s="138">
        <v>45383.0</v>
      </c>
      <c r="FV145" s="138">
        <v>45413.0</v>
      </c>
      <c r="FW145" s="138">
        <v>45444.0</v>
      </c>
      <c r="FX145" s="138">
        <v>45474.0</v>
      </c>
      <c r="FY145" s="138">
        <v>45505.0</v>
      </c>
      <c r="FZ145" s="138">
        <v>45536.0</v>
      </c>
      <c r="GA145" s="138">
        <v>45566.0</v>
      </c>
      <c r="GB145" s="138">
        <v>45597.0</v>
      </c>
      <c r="GC145" s="138">
        <v>45627.0</v>
      </c>
      <c r="GD145" s="138">
        <v>45658.0</v>
      </c>
      <c r="GE145" s="138">
        <v>45689.0</v>
      </c>
      <c r="GF145" s="138">
        <v>45717.0</v>
      </c>
      <c r="GG145" s="138">
        <v>45748.0</v>
      </c>
      <c r="GH145" s="138">
        <v>45778.0</v>
      </c>
      <c r="GI145" s="138">
        <v>45809.0</v>
      </c>
      <c r="GJ145" s="138">
        <v>45839.0</v>
      </c>
    </row>
    <row r="146">
      <c r="A146" s="133" t="s">
        <v>1667</v>
      </c>
      <c r="B146" s="134">
        <v>45845.697800925926</v>
      </c>
      <c r="C146" s="135" t="str">
        <f t="shared" si="1"/>
        <v>2025/07/07</v>
      </c>
      <c r="D146" s="136" t="s">
        <v>34332</v>
      </c>
      <c r="E146" s="151">
        <v>0.0</v>
      </c>
      <c r="F146" s="138">
        <v>40179.0</v>
      </c>
      <c r="G146" s="138">
        <v>40210.0</v>
      </c>
      <c r="H146" s="138">
        <v>40238.0</v>
      </c>
      <c r="I146" s="138">
        <v>40269.0</v>
      </c>
      <c r="J146" s="138">
        <v>40299.0</v>
      </c>
      <c r="K146" s="138">
        <v>40330.0</v>
      </c>
      <c r="L146" s="138">
        <v>40360.0</v>
      </c>
      <c r="M146" s="138">
        <v>40391.0</v>
      </c>
      <c r="N146" s="138">
        <v>40422.0</v>
      </c>
      <c r="O146" s="138">
        <v>40452.0</v>
      </c>
      <c r="P146" s="138">
        <v>40483.0</v>
      </c>
      <c r="Q146" s="138">
        <v>40513.0</v>
      </c>
      <c r="R146" s="138">
        <v>40544.0</v>
      </c>
      <c r="S146" s="138">
        <v>40575.0</v>
      </c>
      <c r="T146" s="138">
        <v>40603.0</v>
      </c>
      <c r="U146" s="138">
        <v>40634.0</v>
      </c>
      <c r="V146" s="138">
        <v>40664.0</v>
      </c>
      <c r="W146" s="138">
        <v>40695.0</v>
      </c>
      <c r="X146" s="138">
        <v>40725.0</v>
      </c>
      <c r="Y146" s="138">
        <v>40756.0</v>
      </c>
      <c r="Z146" s="138">
        <v>40787.0</v>
      </c>
      <c r="AA146" s="138">
        <v>40817.0</v>
      </c>
      <c r="AB146" s="138">
        <v>40848.0</v>
      </c>
      <c r="AC146" s="138">
        <v>40878.0</v>
      </c>
      <c r="AD146" s="138">
        <v>40909.0</v>
      </c>
      <c r="AE146" s="138">
        <v>40940.0</v>
      </c>
      <c r="AF146" s="138">
        <v>40969.0</v>
      </c>
      <c r="AG146" s="138">
        <v>41000.0</v>
      </c>
      <c r="AH146" s="138">
        <v>41030.0</v>
      </c>
      <c r="AI146" s="138">
        <v>41061.0</v>
      </c>
      <c r="AJ146" s="138">
        <v>41091.0</v>
      </c>
      <c r="AK146" s="138">
        <v>41122.0</v>
      </c>
      <c r="AL146" s="138">
        <v>41153.0</v>
      </c>
      <c r="AM146" s="138">
        <v>41183.0</v>
      </c>
      <c r="AN146" s="138">
        <v>41214.0</v>
      </c>
      <c r="AO146" s="138">
        <v>41244.0</v>
      </c>
      <c r="AP146" s="138">
        <v>41275.0</v>
      </c>
      <c r="AQ146" s="138">
        <v>41306.0</v>
      </c>
      <c r="AR146" s="138">
        <v>41334.0</v>
      </c>
      <c r="AS146" s="138">
        <v>41365.0</v>
      </c>
      <c r="AT146" s="138">
        <v>41395.0</v>
      </c>
      <c r="AU146" s="138">
        <v>41426.0</v>
      </c>
      <c r="AV146" s="138">
        <v>41456.0</v>
      </c>
      <c r="AW146" s="138">
        <v>41487.0</v>
      </c>
      <c r="AX146" s="138">
        <v>41518.0</v>
      </c>
      <c r="AY146" s="138">
        <v>41548.0</v>
      </c>
      <c r="AZ146" s="138">
        <v>41579.0</v>
      </c>
      <c r="BA146" s="138">
        <v>41609.0</v>
      </c>
      <c r="BB146" s="138">
        <v>41640.0</v>
      </c>
      <c r="BC146" s="138">
        <v>41671.0</v>
      </c>
      <c r="BD146" s="138">
        <v>41699.0</v>
      </c>
      <c r="BE146" s="138">
        <v>41730.0</v>
      </c>
      <c r="BF146" s="138">
        <v>41760.0</v>
      </c>
      <c r="BG146" s="138">
        <v>41791.0</v>
      </c>
      <c r="BH146" s="138">
        <v>41821.0</v>
      </c>
      <c r="BI146" s="138">
        <v>41852.0</v>
      </c>
      <c r="BJ146" s="138">
        <v>41883.0</v>
      </c>
      <c r="BK146" s="138">
        <v>41913.0</v>
      </c>
      <c r="BL146" s="138">
        <v>41944.0</v>
      </c>
      <c r="BM146" s="138">
        <v>41974.0</v>
      </c>
      <c r="BN146" s="138">
        <v>42005.0</v>
      </c>
      <c r="BO146" s="138">
        <v>42036.0</v>
      </c>
      <c r="BP146" s="138">
        <v>42064.0</v>
      </c>
      <c r="BQ146" s="138">
        <v>42095.0</v>
      </c>
      <c r="BR146" s="138">
        <v>42125.0</v>
      </c>
      <c r="BS146" s="138">
        <v>42156.0</v>
      </c>
      <c r="BT146" s="138">
        <v>42186.0</v>
      </c>
      <c r="BU146" s="138">
        <v>42217.0</v>
      </c>
      <c r="BV146" s="138">
        <v>42248.0</v>
      </c>
      <c r="BW146" s="138">
        <v>42278.0</v>
      </c>
      <c r="BX146" s="138">
        <v>42309.0</v>
      </c>
      <c r="BY146" s="138">
        <v>42339.0</v>
      </c>
      <c r="BZ146" s="138">
        <v>42370.0</v>
      </c>
      <c r="CA146" s="138">
        <v>42401.0</v>
      </c>
      <c r="CB146" s="138">
        <v>42430.0</v>
      </c>
      <c r="CC146" s="138">
        <v>42461.0</v>
      </c>
      <c r="CD146" s="138">
        <v>42491.0</v>
      </c>
      <c r="CE146" s="138">
        <v>42522.0</v>
      </c>
      <c r="CF146" s="138">
        <v>42552.0</v>
      </c>
      <c r="CG146" s="138">
        <v>42583.0</v>
      </c>
      <c r="CH146" s="138">
        <v>42614.0</v>
      </c>
      <c r="CI146" s="138">
        <v>42644.0</v>
      </c>
      <c r="CJ146" s="138">
        <v>42675.0</v>
      </c>
      <c r="CK146" s="138">
        <v>42705.0</v>
      </c>
      <c r="CL146" s="138">
        <v>42736.0</v>
      </c>
      <c r="CM146" s="138">
        <v>42767.0</v>
      </c>
      <c r="CN146" s="138">
        <v>42795.0</v>
      </c>
      <c r="CO146" s="138">
        <v>42826.0</v>
      </c>
      <c r="CP146" s="138">
        <v>42856.0</v>
      </c>
      <c r="CQ146" s="138">
        <v>42887.0</v>
      </c>
      <c r="CR146" s="138">
        <v>42917.0</v>
      </c>
      <c r="CS146" s="138">
        <v>42948.0</v>
      </c>
      <c r="CT146" s="138">
        <v>42979.0</v>
      </c>
      <c r="CU146" s="138">
        <v>43009.0</v>
      </c>
      <c r="CV146" s="138">
        <v>43040.0</v>
      </c>
      <c r="CW146" s="138">
        <v>43070.0</v>
      </c>
      <c r="CX146" s="138">
        <v>43101.0</v>
      </c>
      <c r="CY146" s="138">
        <v>43132.0</v>
      </c>
      <c r="CZ146" s="138">
        <v>43160.0</v>
      </c>
      <c r="DA146" s="138">
        <v>43191.0</v>
      </c>
      <c r="DB146" s="138">
        <v>43221.0</v>
      </c>
      <c r="DC146" s="138">
        <v>43252.0</v>
      </c>
      <c r="DD146" s="138">
        <v>43282.0</v>
      </c>
      <c r="DE146" s="138">
        <v>43313.0</v>
      </c>
      <c r="DF146" s="138">
        <v>43344.0</v>
      </c>
      <c r="DG146" s="138">
        <v>43374.0</v>
      </c>
      <c r="DH146" s="138">
        <v>43405.0</v>
      </c>
      <c r="DI146" s="138">
        <v>43435.0</v>
      </c>
      <c r="DJ146" s="138">
        <v>43466.0</v>
      </c>
      <c r="DK146" s="138">
        <v>43497.0</v>
      </c>
      <c r="DL146" s="138">
        <v>43525.0</v>
      </c>
      <c r="DM146" s="138">
        <v>43556.0</v>
      </c>
      <c r="DN146" s="138">
        <v>43586.0</v>
      </c>
      <c r="DO146" s="138">
        <v>43617.0</v>
      </c>
      <c r="DP146" s="138">
        <v>43647.0</v>
      </c>
      <c r="DQ146" s="138">
        <v>43678.0</v>
      </c>
      <c r="DR146" s="138">
        <v>43709.0</v>
      </c>
      <c r="DS146" s="138">
        <v>43739.0</v>
      </c>
      <c r="DT146" s="138">
        <v>43770.0</v>
      </c>
      <c r="DU146" s="138">
        <v>43800.0</v>
      </c>
      <c r="DV146" s="138">
        <v>43831.0</v>
      </c>
      <c r="DW146" s="138">
        <v>43862.0</v>
      </c>
      <c r="DX146" s="138">
        <v>43891.0</v>
      </c>
      <c r="DY146" s="138">
        <v>43922.0</v>
      </c>
      <c r="DZ146" s="138">
        <v>43952.0</v>
      </c>
      <c r="EA146" s="138">
        <v>43983.0</v>
      </c>
      <c r="EB146" s="138">
        <v>44013.0</v>
      </c>
      <c r="EC146" s="138">
        <v>44044.0</v>
      </c>
      <c r="ED146" s="138">
        <v>44075.0</v>
      </c>
      <c r="EE146" s="138">
        <v>44105.0</v>
      </c>
      <c r="EF146" s="138">
        <v>44136.0</v>
      </c>
      <c r="EG146" s="138">
        <v>44166.0</v>
      </c>
      <c r="EH146" s="138">
        <v>44197.0</v>
      </c>
      <c r="EI146" s="138">
        <v>44228.0</v>
      </c>
      <c r="EJ146" s="138">
        <v>44256.0</v>
      </c>
      <c r="EK146" s="138">
        <v>44287.0</v>
      </c>
      <c r="EL146" s="138">
        <v>44317.0</v>
      </c>
      <c r="EM146" s="138">
        <v>44348.0</v>
      </c>
      <c r="EN146" s="138">
        <v>44378.0</v>
      </c>
      <c r="EO146" s="138">
        <v>44409.0</v>
      </c>
      <c r="EP146" s="138">
        <v>44440.0</v>
      </c>
      <c r="EQ146" s="138">
        <v>44470.0</v>
      </c>
      <c r="ER146" s="138">
        <v>44501.0</v>
      </c>
      <c r="ES146" s="138">
        <v>44531.0</v>
      </c>
      <c r="ET146" s="138">
        <v>44562.0</v>
      </c>
      <c r="EU146" s="138">
        <v>44593.0</v>
      </c>
      <c r="EV146" s="138">
        <v>44621.0</v>
      </c>
      <c r="EW146" s="138">
        <v>44652.0</v>
      </c>
      <c r="EX146" s="138">
        <v>44682.0</v>
      </c>
      <c r="EY146" s="138">
        <v>44713.0</v>
      </c>
      <c r="EZ146" s="138">
        <v>44743.0</v>
      </c>
      <c r="FA146" s="138">
        <v>44774.0</v>
      </c>
      <c r="FB146" s="138">
        <v>44805.0</v>
      </c>
      <c r="FC146" s="138">
        <v>44835.0</v>
      </c>
      <c r="FD146" s="138">
        <v>44866.0</v>
      </c>
      <c r="FE146" s="138">
        <v>44896.0</v>
      </c>
      <c r="FF146" s="138">
        <v>44927.0</v>
      </c>
      <c r="FG146" s="138">
        <v>44958.0</v>
      </c>
      <c r="FH146" s="138">
        <v>44986.0</v>
      </c>
      <c r="FI146" s="138">
        <v>45017.0</v>
      </c>
      <c r="FJ146" s="138">
        <v>45047.0</v>
      </c>
      <c r="FK146" s="138">
        <v>45078.0</v>
      </c>
      <c r="FL146" s="138">
        <v>45108.0</v>
      </c>
      <c r="FM146" s="138">
        <v>45139.0</v>
      </c>
      <c r="FN146" s="138">
        <v>45170.0</v>
      </c>
      <c r="FO146" s="138">
        <v>45200.0</v>
      </c>
      <c r="FP146" s="138">
        <v>45231.0</v>
      </c>
      <c r="FQ146" s="138">
        <v>45261.0</v>
      </c>
      <c r="FR146" s="138">
        <v>45292.0</v>
      </c>
      <c r="FS146" s="138">
        <v>45323.0</v>
      </c>
      <c r="FT146" s="138">
        <v>45352.0</v>
      </c>
      <c r="FU146" s="138">
        <v>45383.0</v>
      </c>
      <c r="FV146" s="138">
        <v>45413.0</v>
      </c>
      <c r="FW146" s="138">
        <v>45444.0</v>
      </c>
      <c r="FX146" s="138">
        <v>45474.0</v>
      </c>
      <c r="FY146" s="138">
        <v>45505.0</v>
      </c>
      <c r="FZ146" s="138">
        <v>45536.0</v>
      </c>
      <c r="GA146" s="138">
        <v>45566.0</v>
      </c>
      <c r="GB146" s="138">
        <v>45597.0</v>
      </c>
      <c r="GC146" s="138">
        <v>45627.0</v>
      </c>
      <c r="GD146" s="138">
        <v>45658.0</v>
      </c>
      <c r="GE146" s="138">
        <v>45689.0</v>
      </c>
      <c r="GF146" s="138">
        <v>45717.0</v>
      </c>
      <c r="GG146" s="138">
        <v>45748.0</v>
      </c>
      <c r="GH146" s="138">
        <v>45778.0</v>
      </c>
      <c r="GI146" s="138">
        <v>45809.0</v>
      </c>
      <c r="GJ146" s="138">
        <v>45839.0</v>
      </c>
    </row>
    <row r="147">
      <c r="A147" s="133" t="s">
        <v>1730</v>
      </c>
      <c r="B147" s="134">
        <v>45845.774305555555</v>
      </c>
      <c r="C147" s="135" t="str">
        <f t="shared" si="1"/>
        <v>2025/07/07</v>
      </c>
      <c r="D147" s="136" t="s">
        <v>34333</v>
      </c>
      <c r="E147" s="151">
        <v>0.0</v>
      </c>
      <c r="F147" s="138">
        <v>40179.0</v>
      </c>
      <c r="G147" s="138">
        <v>40210.0</v>
      </c>
      <c r="H147" s="138">
        <v>40238.0</v>
      </c>
      <c r="I147" s="138">
        <v>40269.0</v>
      </c>
      <c r="J147" s="138">
        <v>40299.0</v>
      </c>
      <c r="K147" s="138">
        <v>40330.0</v>
      </c>
      <c r="L147" s="138">
        <v>40360.0</v>
      </c>
      <c r="M147" s="138">
        <v>40391.0</v>
      </c>
      <c r="N147" s="138">
        <v>40422.0</v>
      </c>
      <c r="O147" s="138">
        <v>40452.0</v>
      </c>
      <c r="P147" s="138">
        <v>40483.0</v>
      </c>
      <c r="Q147" s="138">
        <v>40513.0</v>
      </c>
      <c r="R147" s="138">
        <v>40544.0</v>
      </c>
      <c r="S147" s="138">
        <v>40575.0</v>
      </c>
      <c r="T147" s="138">
        <v>40603.0</v>
      </c>
      <c r="U147" s="138">
        <v>40634.0</v>
      </c>
      <c r="V147" s="138">
        <v>40664.0</v>
      </c>
      <c r="W147" s="138">
        <v>40695.0</v>
      </c>
      <c r="X147" s="138">
        <v>40725.0</v>
      </c>
      <c r="Y147" s="138">
        <v>40756.0</v>
      </c>
      <c r="Z147" s="138">
        <v>40787.0</v>
      </c>
      <c r="AA147" s="138">
        <v>40817.0</v>
      </c>
      <c r="AB147" s="138">
        <v>40848.0</v>
      </c>
      <c r="AC147" s="138">
        <v>40878.0</v>
      </c>
      <c r="AD147" s="138">
        <v>40909.0</v>
      </c>
      <c r="AE147" s="138">
        <v>40940.0</v>
      </c>
      <c r="AF147" s="138">
        <v>40969.0</v>
      </c>
      <c r="AG147" s="138">
        <v>41000.0</v>
      </c>
      <c r="AH147" s="138">
        <v>41030.0</v>
      </c>
      <c r="AI147" s="138">
        <v>41061.0</v>
      </c>
      <c r="AJ147" s="138">
        <v>41091.0</v>
      </c>
      <c r="AK147" s="138">
        <v>41122.0</v>
      </c>
      <c r="AL147" s="138">
        <v>41153.0</v>
      </c>
      <c r="AM147" s="138">
        <v>41183.0</v>
      </c>
      <c r="AN147" s="138">
        <v>41214.0</v>
      </c>
      <c r="AO147" s="138">
        <v>41244.0</v>
      </c>
      <c r="AP147" s="138">
        <v>41275.0</v>
      </c>
      <c r="AQ147" s="138">
        <v>41306.0</v>
      </c>
      <c r="AR147" s="138">
        <v>41334.0</v>
      </c>
      <c r="AS147" s="138">
        <v>41365.0</v>
      </c>
      <c r="AT147" s="138">
        <v>41395.0</v>
      </c>
      <c r="AU147" s="138">
        <v>41426.0</v>
      </c>
      <c r="AV147" s="138">
        <v>41456.0</v>
      </c>
      <c r="AW147" s="138">
        <v>41487.0</v>
      </c>
      <c r="AX147" s="138">
        <v>41518.0</v>
      </c>
      <c r="AY147" s="138">
        <v>41548.0</v>
      </c>
      <c r="AZ147" s="138">
        <v>41579.0</v>
      </c>
      <c r="BA147" s="138">
        <v>41609.0</v>
      </c>
      <c r="BB147" s="138">
        <v>41640.0</v>
      </c>
      <c r="BC147" s="138">
        <v>41671.0</v>
      </c>
      <c r="BD147" s="138">
        <v>41699.0</v>
      </c>
      <c r="BE147" s="138">
        <v>41730.0</v>
      </c>
      <c r="BF147" s="138">
        <v>41760.0</v>
      </c>
      <c r="BG147" s="138">
        <v>41791.0</v>
      </c>
      <c r="BH147" s="138">
        <v>41821.0</v>
      </c>
      <c r="BI147" s="138">
        <v>41852.0</v>
      </c>
      <c r="BJ147" s="138">
        <v>41883.0</v>
      </c>
      <c r="BK147" s="138">
        <v>41913.0</v>
      </c>
      <c r="BL147" s="138">
        <v>41944.0</v>
      </c>
      <c r="BM147" s="138">
        <v>41974.0</v>
      </c>
      <c r="BN147" s="138">
        <v>42005.0</v>
      </c>
      <c r="BO147" s="138">
        <v>42036.0</v>
      </c>
      <c r="BP147" s="138">
        <v>42064.0</v>
      </c>
      <c r="BQ147" s="138">
        <v>42095.0</v>
      </c>
      <c r="BR147" s="138">
        <v>42125.0</v>
      </c>
      <c r="BS147" s="138">
        <v>42156.0</v>
      </c>
      <c r="BT147" s="138">
        <v>42186.0</v>
      </c>
      <c r="BU147" s="138">
        <v>42217.0</v>
      </c>
      <c r="BV147" s="138">
        <v>42248.0</v>
      </c>
      <c r="BW147" s="138">
        <v>42278.0</v>
      </c>
      <c r="BX147" s="138">
        <v>42309.0</v>
      </c>
      <c r="BY147" s="138">
        <v>42339.0</v>
      </c>
      <c r="BZ147" s="138">
        <v>42370.0</v>
      </c>
      <c r="CA147" s="138">
        <v>42401.0</v>
      </c>
      <c r="CB147" s="138">
        <v>42430.0</v>
      </c>
      <c r="CC147" s="138">
        <v>42461.0</v>
      </c>
      <c r="CD147" s="138">
        <v>42491.0</v>
      </c>
      <c r="CE147" s="138">
        <v>42522.0</v>
      </c>
      <c r="CF147" s="138">
        <v>42552.0</v>
      </c>
      <c r="CG147" s="138">
        <v>42583.0</v>
      </c>
      <c r="CH147" s="138">
        <v>42614.0</v>
      </c>
      <c r="CI147" s="138">
        <v>42644.0</v>
      </c>
      <c r="CJ147" s="138">
        <v>42675.0</v>
      </c>
      <c r="CK147" s="138">
        <v>42705.0</v>
      </c>
      <c r="CL147" s="138">
        <v>42736.0</v>
      </c>
      <c r="CM147" s="138">
        <v>42767.0</v>
      </c>
      <c r="CN147" s="138">
        <v>42795.0</v>
      </c>
      <c r="CO147" s="138">
        <v>42826.0</v>
      </c>
      <c r="CP147" s="138">
        <v>42856.0</v>
      </c>
      <c r="CQ147" s="138">
        <v>42887.0</v>
      </c>
      <c r="CR147" s="138">
        <v>42917.0</v>
      </c>
      <c r="CS147" s="138">
        <v>42948.0</v>
      </c>
      <c r="CT147" s="138">
        <v>42979.0</v>
      </c>
      <c r="CU147" s="138">
        <v>43009.0</v>
      </c>
      <c r="CV147" s="138">
        <v>43040.0</v>
      </c>
      <c r="CW147" s="138">
        <v>43070.0</v>
      </c>
      <c r="CX147" s="138">
        <v>43101.0</v>
      </c>
      <c r="CY147" s="138">
        <v>43132.0</v>
      </c>
      <c r="CZ147" s="138">
        <v>43160.0</v>
      </c>
      <c r="DA147" s="138">
        <v>43191.0</v>
      </c>
      <c r="DB147" s="138">
        <v>43221.0</v>
      </c>
      <c r="DC147" s="138">
        <v>43252.0</v>
      </c>
      <c r="DD147" s="138">
        <v>43282.0</v>
      </c>
      <c r="DE147" s="138">
        <v>43313.0</v>
      </c>
      <c r="DF147" s="138">
        <v>43344.0</v>
      </c>
      <c r="DG147" s="138">
        <v>43374.0</v>
      </c>
      <c r="DH147" s="138">
        <v>43405.0</v>
      </c>
      <c r="DI147" s="138">
        <v>43435.0</v>
      </c>
      <c r="DJ147" s="138">
        <v>43466.0</v>
      </c>
      <c r="DK147" s="138">
        <v>43497.0</v>
      </c>
      <c r="DL147" s="138">
        <v>43525.0</v>
      </c>
      <c r="DM147" s="138">
        <v>43556.0</v>
      </c>
      <c r="DN147" s="138">
        <v>43586.0</v>
      </c>
      <c r="DO147" s="138">
        <v>43617.0</v>
      </c>
      <c r="DP147" s="138">
        <v>43647.0</v>
      </c>
      <c r="DQ147" s="138">
        <v>43678.0</v>
      </c>
      <c r="DR147" s="138">
        <v>43709.0</v>
      </c>
      <c r="DS147" s="138">
        <v>43739.0</v>
      </c>
      <c r="DT147" s="138">
        <v>43770.0</v>
      </c>
      <c r="DU147" s="138">
        <v>43800.0</v>
      </c>
      <c r="DV147" s="138">
        <v>43831.0</v>
      </c>
      <c r="DW147" s="138">
        <v>43862.0</v>
      </c>
      <c r="DX147" s="138">
        <v>43891.0</v>
      </c>
      <c r="DY147" s="138">
        <v>43922.0</v>
      </c>
      <c r="DZ147" s="138">
        <v>43952.0</v>
      </c>
      <c r="EA147" s="138">
        <v>43983.0</v>
      </c>
      <c r="EB147" s="138">
        <v>44013.0</v>
      </c>
      <c r="EC147" s="138">
        <v>44044.0</v>
      </c>
      <c r="ED147" s="138">
        <v>44075.0</v>
      </c>
      <c r="EE147" s="138">
        <v>44105.0</v>
      </c>
      <c r="EF147" s="138">
        <v>44136.0</v>
      </c>
      <c r="EG147" s="138">
        <v>44166.0</v>
      </c>
      <c r="EH147" s="138">
        <v>44197.0</v>
      </c>
      <c r="EI147" s="138">
        <v>44228.0</v>
      </c>
      <c r="EJ147" s="138">
        <v>44256.0</v>
      </c>
      <c r="EK147" s="138">
        <v>44287.0</v>
      </c>
      <c r="EL147" s="138">
        <v>44317.0</v>
      </c>
      <c r="EM147" s="138">
        <v>44348.0</v>
      </c>
      <c r="EN147" s="138">
        <v>44378.0</v>
      </c>
      <c r="EO147" s="138">
        <v>44409.0</v>
      </c>
      <c r="EP147" s="138">
        <v>44440.0</v>
      </c>
      <c r="EQ147" s="138">
        <v>44470.0</v>
      </c>
      <c r="ER147" s="138">
        <v>44501.0</v>
      </c>
      <c r="ES147" s="138">
        <v>44531.0</v>
      </c>
      <c r="ET147" s="138">
        <v>44562.0</v>
      </c>
      <c r="EU147" s="138">
        <v>44593.0</v>
      </c>
      <c r="EV147" s="138">
        <v>44621.0</v>
      </c>
      <c r="EW147" s="138">
        <v>44652.0</v>
      </c>
      <c r="EX147" s="138">
        <v>44682.0</v>
      </c>
      <c r="EY147" s="138">
        <v>44713.0</v>
      </c>
      <c r="EZ147" s="138">
        <v>44743.0</v>
      </c>
      <c r="FA147" s="138">
        <v>44774.0</v>
      </c>
      <c r="FB147" s="138">
        <v>44805.0</v>
      </c>
      <c r="FC147" s="138">
        <v>44835.0</v>
      </c>
      <c r="FD147" s="138">
        <v>44866.0</v>
      </c>
      <c r="FE147" s="138">
        <v>44896.0</v>
      </c>
      <c r="FF147" s="138">
        <v>44927.0</v>
      </c>
      <c r="FG147" s="138">
        <v>44958.0</v>
      </c>
      <c r="FH147" s="138">
        <v>44986.0</v>
      </c>
      <c r="FI147" s="138">
        <v>45017.0</v>
      </c>
      <c r="FJ147" s="138">
        <v>45047.0</v>
      </c>
      <c r="FK147" s="138">
        <v>45078.0</v>
      </c>
      <c r="FL147" s="138">
        <v>45108.0</v>
      </c>
      <c r="FM147" s="138">
        <v>45139.0</v>
      </c>
      <c r="FN147" s="138">
        <v>45170.0</v>
      </c>
      <c r="FO147" s="138">
        <v>45200.0</v>
      </c>
      <c r="FP147" s="138">
        <v>45231.0</v>
      </c>
      <c r="FQ147" s="138">
        <v>45261.0</v>
      </c>
      <c r="FR147" s="138">
        <v>45292.0</v>
      </c>
      <c r="FS147" s="138">
        <v>45323.0</v>
      </c>
      <c r="FT147" s="138">
        <v>45352.0</v>
      </c>
      <c r="FU147" s="138">
        <v>45383.0</v>
      </c>
      <c r="FV147" s="138">
        <v>45413.0</v>
      </c>
      <c r="FW147" s="138">
        <v>45444.0</v>
      </c>
      <c r="FX147" s="138">
        <v>45474.0</v>
      </c>
      <c r="FY147" s="138">
        <v>45505.0</v>
      </c>
      <c r="FZ147" s="138">
        <v>45536.0</v>
      </c>
      <c r="GA147" s="138">
        <v>45566.0</v>
      </c>
      <c r="GB147" s="138">
        <v>45597.0</v>
      </c>
      <c r="GC147" s="138">
        <v>45627.0</v>
      </c>
      <c r="GD147" s="138">
        <v>45658.0</v>
      </c>
      <c r="GE147" s="138">
        <v>45689.0</v>
      </c>
      <c r="GF147" s="138">
        <v>45717.0</v>
      </c>
      <c r="GG147" s="138">
        <v>45748.0</v>
      </c>
      <c r="GH147" s="138">
        <v>45778.0</v>
      </c>
      <c r="GI147" s="138">
        <v>45809.0</v>
      </c>
      <c r="GJ147" s="138">
        <v>45839.0</v>
      </c>
    </row>
    <row r="148">
      <c r="A148" s="133" t="s">
        <v>1714</v>
      </c>
      <c r="B148" s="134">
        <v>45845.81471064815</v>
      </c>
      <c r="C148" s="135" t="str">
        <f t="shared" si="1"/>
        <v>2025/07/07</v>
      </c>
      <c r="D148" s="136" t="s">
        <v>34334</v>
      </c>
      <c r="E148" s="151">
        <v>0.0</v>
      </c>
      <c r="F148" s="138">
        <v>40179.0</v>
      </c>
      <c r="G148" s="138">
        <v>40210.0</v>
      </c>
      <c r="H148" s="138">
        <v>40238.0</v>
      </c>
      <c r="I148" s="138">
        <v>40269.0</v>
      </c>
      <c r="J148" s="138">
        <v>40299.0</v>
      </c>
      <c r="K148" s="138">
        <v>40330.0</v>
      </c>
      <c r="L148" s="138">
        <v>40360.0</v>
      </c>
      <c r="M148" s="138">
        <v>40391.0</v>
      </c>
      <c r="N148" s="138">
        <v>40422.0</v>
      </c>
      <c r="O148" s="138">
        <v>40452.0</v>
      </c>
      <c r="P148" s="138">
        <v>40483.0</v>
      </c>
      <c r="Q148" s="138">
        <v>40513.0</v>
      </c>
      <c r="R148" s="138">
        <v>40544.0</v>
      </c>
      <c r="S148" s="138">
        <v>40575.0</v>
      </c>
      <c r="T148" s="138">
        <v>40603.0</v>
      </c>
      <c r="U148" s="138">
        <v>40634.0</v>
      </c>
      <c r="V148" s="138">
        <v>40664.0</v>
      </c>
      <c r="W148" s="138">
        <v>40695.0</v>
      </c>
      <c r="X148" s="138">
        <v>40725.0</v>
      </c>
      <c r="Y148" s="138">
        <v>40756.0</v>
      </c>
      <c r="Z148" s="138">
        <v>40787.0</v>
      </c>
      <c r="AA148" s="138">
        <v>40817.0</v>
      </c>
      <c r="AB148" s="138">
        <v>40848.0</v>
      </c>
      <c r="AC148" s="138">
        <v>40878.0</v>
      </c>
      <c r="AD148" s="138">
        <v>40909.0</v>
      </c>
      <c r="AE148" s="138">
        <v>40940.0</v>
      </c>
      <c r="AF148" s="138">
        <v>40969.0</v>
      </c>
      <c r="AG148" s="138">
        <v>41000.0</v>
      </c>
      <c r="AH148" s="138">
        <v>41030.0</v>
      </c>
      <c r="AI148" s="138">
        <v>41061.0</v>
      </c>
      <c r="AJ148" s="138">
        <v>41091.0</v>
      </c>
      <c r="AK148" s="138">
        <v>41122.0</v>
      </c>
      <c r="AL148" s="138">
        <v>41153.0</v>
      </c>
      <c r="AM148" s="138">
        <v>41183.0</v>
      </c>
      <c r="AN148" s="138">
        <v>41214.0</v>
      </c>
      <c r="AO148" s="138">
        <v>41244.0</v>
      </c>
      <c r="AP148" s="138">
        <v>41275.0</v>
      </c>
      <c r="AQ148" s="138">
        <v>41306.0</v>
      </c>
      <c r="AR148" s="138">
        <v>41334.0</v>
      </c>
      <c r="AS148" s="138">
        <v>41365.0</v>
      </c>
      <c r="AT148" s="138">
        <v>41395.0</v>
      </c>
      <c r="AU148" s="138">
        <v>41426.0</v>
      </c>
      <c r="AV148" s="138">
        <v>41456.0</v>
      </c>
      <c r="AW148" s="138">
        <v>41487.0</v>
      </c>
      <c r="AX148" s="138">
        <v>41518.0</v>
      </c>
      <c r="AY148" s="138">
        <v>41548.0</v>
      </c>
      <c r="AZ148" s="138">
        <v>41579.0</v>
      </c>
      <c r="BA148" s="138">
        <v>41609.0</v>
      </c>
      <c r="BB148" s="138">
        <v>41640.0</v>
      </c>
      <c r="BC148" s="138">
        <v>41671.0</v>
      </c>
      <c r="BD148" s="138">
        <v>41699.0</v>
      </c>
      <c r="BE148" s="138">
        <v>41730.0</v>
      </c>
      <c r="BF148" s="138">
        <v>41760.0</v>
      </c>
      <c r="BG148" s="138">
        <v>41791.0</v>
      </c>
      <c r="BH148" s="138">
        <v>41821.0</v>
      </c>
      <c r="BI148" s="138">
        <v>41852.0</v>
      </c>
      <c r="BJ148" s="138">
        <v>41883.0</v>
      </c>
      <c r="BK148" s="138">
        <v>41913.0</v>
      </c>
      <c r="BL148" s="138">
        <v>41944.0</v>
      </c>
      <c r="BM148" s="138">
        <v>41974.0</v>
      </c>
      <c r="BN148" s="138">
        <v>42005.0</v>
      </c>
      <c r="BO148" s="138">
        <v>42036.0</v>
      </c>
      <c r="BP148" s="138">
        <v>42064.0</v>
      </c>
      <c r="BQ148" s="138">
        <v>42095.0</v>
      </c>
      <c r="BR148" s="138">
        <v>42125.0</v>
      </c>
      <c r="BS148" s="138">
        <v>42156.0</v>
      </c>
      <c r="BT148" s="138">
        <v>42186.0</v>
      </c>
      <c r="BU148" s="138">
        <v>42217.0</v>
      </c>
      <c r="BV148" s="138">
        <v>42248.0</v>
      </c>
      <c r="BW148" s="138">
        <v>42278.0</v>
      </c>
      <c r="BX148" s="138">
        <v>42309.0</v>
      </c>
      <c r="BY148" s="138">
        <v>42339.0</v>
      </c>
      <c r="BZ148" s="138">
        <v>42370.0</v>
      </c>
      <c r="CA148" s="138">
        <v>42401.0</v>
      </c>
      <c r="CB148" s="138">
        <v>42430.0</v>
      </c>
      <c r="CC148" s="138">
        <v>42461.0</v>
      </c>
      <c r="CD148" s="138">
        <v>42491.0</v>
      </c>
      <c r="CE148" s="138">
        <v>42522.0</v>
      </c>
      <c r="CF148" s="138">
        <v>42552.0</v>
      </c>
      <c r="CG148" s="138">
        <v>42583.0</v>
      </c>
      <c r="CH148" s="138">
        <v>42614.0</v>
      </c>
      <c r="CI148" s="138">
        <v>42644.0</v>
      </c>
      <c r="CJ148" s="138">
        <v>42675.0</v>
      </c>
      <c r="CK148" s="138">
        <v>42705.0</v>
      </c>
      <c r="CL148" s="138">
        <v>42736.0</v>
      </c>
      <c r="CM148" s="138">
        <v>42767.0</v>
      </c>
      <c r="CN148" s="138">
        <v>42795.0</v>
      </c>
      <c r="CO148" s="138">
        <v>42826.0</v>
      </c>
      <c r="CP148" s="138">
        <v>42856.0</v>
      </c>
      <c r="CQ148" s="138">
        <v>42887.0</v>
      </c>
      <c r="CR148" s="138">
        <v>42917.0</v>
      </c>
      <c r="CS148" s="138">
        <v>42948.0</v>
      </c>
      <c r="CT148" s="138">
        <v>42979.0</v>
      </c>
      <c r="CU148" s="138">
        <v>43009.0</v>
      </c>
      <c r="CV148" s="138">
        <v>43040.0</v>
      </c>
      <c r="CW148" s="138">
        <v>43070.0</v>
      </c>
      <c r="CX148" s="138">
        <v>43101.0</v>
      </c>
      <c r="CY148" s="138">
        <v>43132.0</v>
      </c>
      <c r="CZ148" s="138">
        <v>43160.0</v>
      </c>
      <c r="DA148" s="138">
        <v>43191.0</v>
      </c>
      <c r="DB148" s="138">
        <v>43221.0</v>
      </c>
      <c r="DC148" s="138">
        <v>43252.0</v>
      </c>
      <c r="DD148" s="138">
        <v>43282.0</v>
      </c>
      <c r="DE148" s="138">
        <v>43313.0</v>
      </c>
      <c r="DF148" s="138">
        <v>43344.0</v>
      </c>
      <c r="DG148" s="138">
        <v>43374.0</v>
      </c>
      <c r="DH148" s="138">
        <v>43405.0</v>
      </c>
      <c r="DI148" s="138">
        <v>43435.0</v>
      </c>
      <c r="DJ148" s="138">
        <v>43466.0</v>
      </c>
      <c r="DK148" s="138">
        <v>43497.0</v>
      </c>
      <c r="DL148" s="138">
        <v>43525.0</v>
      </c>
      <c r="DM148" s="138">
        <v>43556.0</v>
      </c>
      <c r="DN148" s="138">
        <v>43586.0</v>
      </c>
      <c r="DO148" s="138">
        <v>43617.0</v>
      </c>
      <c r="DP148" s="138">
        <v>43647.0</v>
      </c>
      <c r="DQ148" s="138">
        <v>43678.0</v>
      </c>
      <c r="DR148" s="138">
        <v>43709.0</v>
      </c>
      <c r="DS148" s="138">
        <v>43739.0</v>
      </c>
      <c r="DT148" s="138">
        <v>43770.0</v>
      </c>
      <c r="DU148" s="138">
        <v>43800.0</v>
      </c>
      <c r="DV148" s="138">
        <v>43831.0</v>
      </c>
      <c r="DW148" s="138">
        <v>43862.0</v>
      </c>
      <c r="DX148" s="138">
        <v>43891.0</v>
      </c>
      <c r="DY148" s="138">
        <v>43922.0</v>
      </c>
      <c r="DZ148" s="138">
        <v>43952.0</v>
      </c>
      <c r="EA148" s="138">
        <v>43983.0</v>
      </c>
      <c r="EB148" s="138">
        <v>44013.0</v>
      </c>
      <c r="EC148" s="138">
        <v>44044.0</v>
      </c>
      <c r="ED148" s="138">
        <v>44075.0</v>
      </c>
      <c r="EE148" s="138">
        <v>44105.0</v>
      </c>
      <c r="EF148" s="138">
        <v>44136.0</v>
      </c>
      <c r="EG148" s="138">
        <v>44166.0</v>
      </c>
      <c r="EH148" s="138">
        <v>44197.0</v>
      </c>
      <c r="EI148" s="138">
        <v>44228.0</v>
      </c>
      <c r="EJ148" s="138">
        <v>44256.0</v>
      </c>
      <c r="EK148" s="138">
        <v>44287.0</v>
      </c>
      <c r="EL148" s="138">
        <v>44317.0</v>
      </c>
      <c r="EM148" s="138">
        <v>44348.0</v>
      </c>
      <c r="EN148" s="138">
        <v>44378.0</v>
      </c>
      <c r="EO148" s="138">
        <v>44409.0</v>
      </c>
      <c r="EP148" s="138">
        <v>44440.0</v>
      </c>
      <c r="EQ148" s="138">
        <v>44470.0</v>
      </c>
      <c r="ER148" s="138">
        <v>44501.0</v>
      </c>
      <c r="ES148" s="138">
        <v>44531.0</v>
      </c>
      <c r="ET148" s="138">
        <v>44562.0</v>
      </c>
      <c r="EU148" s="138">
        <v>44593.0</v>
      </c>
      <c r="EV148" s="138">
        <v>44621.0</v>
      </c>
      <c r="EW148" s="138">
        <v>44652.0</v>
      </c>
      <c r="EX148" s="138">
        <v>44682.0</v>
      </c>
      <c r="EY148" s="138">
        <v>44713.0</v>
      </c>
      <c r="EZ148" s="138">
        <v>44743.0</v>
      </c>
      <c r="FA148" s="138">
        <v>44774.0</v>
      </c>
      <c r="FB148" s="138">
        <v>44805.0</v>
      </c>
      <c r="FC148" s="138">
        <v>44835.0</v>
      </c>
      <c r="FD148" s="138">
        <v>44866.0</v>
      </c>
      <c r="FE148" s="138">
        <v>44896.0</v>
      </c>
      <c r="FF148" s="138">
        <v>44927.0</v>
      </c>
      <c r="FG148" s="138">
        <v>44958.0</v>
      </c>
      <c r="FH148" s="138">
        <v>44986.0</v>
      </c>
      <c r="FI148" s="138">
        <v>45017.0</v>
      </c>
      <c r="FJ148" s="138">
        <v>45047.0</v>
      </c>
      <c r="FK148" s="138">
        <v>45078.0</v>
      </c>
      <c r="FL148" s="138">
        <v>45108.0</v>
      </c>
      <c r="FM148" s="138">
        <v>45139.0</v>
      </c>
      <c r="FN148" s="138">
        <v>45170.0</v>
      </c>
      <c r="FO148" s="138">
        <v>45200.0</v>
      </c>
      <c r="FP148" s="138">
        <v>45231.0</v>
      </c>
      <c r="FQ148" s="138">
        <v>45261.0</v>
      </c>
      <c r="FR148" s="138">
        <v>45292.0</v>
      </c>
      <c r="FS148" s="138">
        <v>45323.0</v>
      </c>
      <c r="FT148" s="138">
        <v>45352.0</v>
      </c>
      <c r="FU148" s="138">
        <v>45383.0</v>
      </c>
      <c r="FV148" s="138">
        <v>45413.0</v>
      </c>
      <c r="FW148" s="138">
        <v>45444.0</v>
      </c>
      <c r="FX148" s="138">
        <v>45474.0</v>
      </c>
      <c r="FY148" s="138">
        <v>45505.0</v>
      </c>
      <c r="FZ148" s="138">
        <v>45536.0</v>
      </c>
      <c r="GA148" s="138">
        <v>45566.0</v>
      </c>
      <c r="GB148" s="138">
        <v>45597.0</v>
      </c>
      <c r="GC148" s="138">
        <v>45627.0</v>
      </c>
      <c r="GD148" s="138">
        <v>45658.0</v>
      </c>
      <c r="GE148" s="138">
        <v>45689.0</v>
      </c>
      <c r="GF148" s="138">
        <v>45717.0</v>
      </c>
      <c r="GG148" s="138">
        <v>45748.0</v>
      </c>
      <c r="GH148" s="138">
        <v>45778.0</v>
      </c>
      <c r="GI148" s="138">
        <v>45809.0</v>
      </c>
      <c r="GJ148" s="138">
        <v>45839.0</v>
      </c>
    </row>
    <row r="149">
      <c r="A149" s="133" t="s">
        <v>1455</v>
      </c>
      <c r="B149" s="134">
        <v>45846.43494212963</v>
      </c>
      <c r="C149" s="135" t="str">
        <f t="shared" si="1"/>
        <v>2025/07/08</v>
      </c>
      <c r="D149" s="136" t="s">
        <v>34335</v>
      </c>
      <c r="E149" s="151">
        <v>0.0</v>
      </c>
      <c r="F149" s="138">
        <v>40179.0</v>
      </c>
      <c r="G149" s="138">
        <v>40210.0</v>
      </c>
      <c r="H149" s="138">
        <v>40238.0</v>
      </c>
      <c r="I149" s="138">
        <v>40269.0</v>
      </c>
      <c r="J149" s="138">
        <v>40299.0</v>
      </c>
      <c r="K149" s="138">
        <v>40330.0</v>
      </c>
      <c r="L149" s="138">
        <v>40360.0</v>
      </c>
      <c r="M149" s="138">
        <v>40391.0</v>
      </c>
      <c r="N149" s="138">
        <v>40422.0</v>
      </c>
      <c r="O149" s="138">
        <v>40452.0</v>
      </c>
      <c r="P149" s="138">
        <v>40483.0</v>
      </c>
      <c r="Q149" s="138">
        <v>40513.0</v>
      </c>
      <c r="R149" s="138">
        <v>40544.0</v>
      </c>
      <c r="S149" s="138">
        <v>40575.0</v>
      </c>
      <c r="T149" s="138">
        <v>40603.0</v>
      </c>
      <c r="U149" s="138">
        <v>40634.0</v>
      </c>
      <c r="V149" s="138">
        <v>40664.0</v>
      </c>
      <c r="W149" s="138">
        <v>40695.0</v>
      </c>
      <c r="X149" s="138">
        <v>40725.0</v>
      </c>
      <c r="Y149" s="138">
        <v>40756.0</v>
      </c>
      <c r="Z149" s="138">
        <v>40787.0</v>
      </c>
      <c r="AA149" s="138">
        <v>40817.0</v>
      </c>
      <c r="AB149" s="138">
        <v>40848.0</v>
      </c>
      <c r="AC149" s="138">
        <v>40878.0</v>
      </c>
      <c r="AD149" s="138">
        <v>40909.0</v>
      </c>
      <c r="AE149" s="138">
        <v>40940.0</v>
      </c>
      <c r="AF149" s="138">
        <v>40969.0</v>
      </c>
      <c r="AG149" s="138">
        <v>41000.0</v>
      </c>
      <c r="AH149" s="138">
        <v>41030.0</v>
      </c>
      <c r="AI149" s="138">
        <v>41061.0</v>
      </c>
      <c r="AJ149" s="138">
        <v>41091.0</v>
      </c>
      <c r="AK149" s="138">
        <v>41122.0</v>
      </c>
      <c r="AL149" s="138">
        <v>41153.0</v>
      </c>
      <c r="AM149" s="138">
        <v>41183.0</v>
      </c>
      <c r="AN149" s="138">
        <v>41214.0</v>
      </c>
      <c r="AO149" s="138">
        <v>41244.0</v>
      </c>
      <c r="AP149" s="138">
        <v>41275.0</v>
      </c>
      <c r="AQ149" s="138">
        <v>41306.0</v>
      </c>
      <c r="AR149" s="138">
        <v>41334.0</v>
      </c>
      <c r="AS149" s="138">
        <v>41365.0</v>
      </c>
      <c r="AT149" s="138">
        <v>41395.0</v>
      </c>
      <c r="AU149" s="138">
        <v>41426.0</v>
      </c>
      <c r="AV149" s="138">
        <v>41456.0</v>
      </c>
      <c r="AW149" s="138">
        <v>41487.0</v>
      </c>
      <c r="AX149" s="138">
        <v>41518.0</v>
      </c>
      <c r="AY149" s="138">
        <v>41548.0</v>
      </c>
      <c r="AZ149" s="138">
        <v>41579.0</v>
      </c>
      <c r="BA149" s="138">
        <v>41609.0</v>
      </c>
      <c r="BB149" s="138">
        <v>41640.0</v>
      </c>
      <c r="BC149" s="138">
        <v>41671.0</v>
      </c>
      <c r="BD149" s="138">
        <v>41699.0</v>
      </c>
      <c r="BE149" s="138">
        <v>41730.0</v>
      </c>
      <c r="BF149" s="138">
        <v>41760.0</v>
      </c>
      <c r="BG149" s="138">
        <v>41791.0</v>
      </c>
      <c r="BH149" s="138">
        <v>41821.0</v>
      </c>
      <c r="BI149" s="138">
        <v>41852.0</v>
      </c>
      <c r="BJ149" s="138">
        <v>41883.0</v>
      </c>
      <c r="BK149" s="138">
        <v>41913.0</v>
      </c>
      <c r="BL149" s="138">
        <v>41944.0</v>
      </c>
      <c r="BM149" s="138">
        <v>41974.0</v>
      </c>
      <c r="BN149" s="138">
        <v>42005.0</v>
      </c>
      <c r="BO149" s="138">
        <v>42036.0</v>
      </c>
      <c r="BP149" s="138">
        <v>42064.0</v>
      </c>
      <c r="BQ149" s="138">
        <v>42095.0</v>
      </c>
      <c r="BR149" s="138">
        <v>42125.0</v>
      </c>
      <c r="BS149" s="138">
        <v>42156.0</v>
      </c>
      <c r="BT149" s="138">
        <v>42186.0</v>
      </c>
      <c r="BU149" s="138">
        <v>42217.0</v>
      </c>
      <c r="BV149" s="138">
        <v>42248.0</v>
      </c>
      <c r="BW149" s="138">
        <v>42278.0</v>
      </c>
      <c r="BX149" s="138">
        <v>42309.0</v>
      </c>
      <c r="BY149" s="138">
        <v>42339.0</v>
      </c>
      <c r="BZ149" s="138">
        <v>42370.0</v>
      </c>
      <c r="CA149" s="138">
        <v>42401.0</v>
      </c>
      <c r="CB149" s="138">
        <v>42430.0</v>
      </c>
      <c r="CC149" s="138">
        <v>42461.0</v>
      </c>
      <c r="CD149" s="138">
        <v>42491.0</v>
      </c>
      <c r="CE149" s="138">
        <v>42522.0</v>
      </c>
      <c r="CF149" s="138">
        <v>42552.0</v>
      </c>
      <c r="CG149" s="138">
        <v>42583.0</v>
      </c>
      <c r="CH149" s="138">
        <v>42614.0</v>
      </c>
      <c r="CI149" s="138">
        <v>42644.0</v>
      </c>
      <c r="CJ149" s="138">
        <v>42675.0</v>
      </c>
      <c r="CK149" s="138">
        <v>42705.0</v>
      </c>
      <c r="CL149" s="138">
        <v>42736.0</v>
      </c>
      <c r="CM149" s="138">
        <v>42767.0</v>
      </c>
      <c r="CN149" s="138">
        <v>42795.0</v>
      </c>
      <c r="CO149" s="138">
        <v>42826.0</v>
      </c>
      <c r="CP149" s="138">
        <v>42856.0</v>
      </c>
      <c r="CQ149" s="138">
        <v>42887.0</v>
      </c>
      <c r="CR149" s="138">
        <v>42917.0</v>
      </c>
      <c r="CS149" s="138">
        <v>42948.0</v>
      </c>
      <c r="CT149" s="138">
        <v>42979.0</v>
      </c>
      <c r="CU149" s="138">
        <v>43009.0</v>
      </c>
      <c r="CV149" s="138">
        <v>43040.0</v>
      </c>
      <c r="CW149" s="138">
        <v>43070.0</v>
      </c>
      <c r="CX149" s="138">
        <v>43101.0</v>
      </c>
      <c r="CY149" s="138">
        <v>43132.0</v>
      </c>
      <c r="CZ149" s="138">
        <v>43160.0</v>
      </c>
      <c r="DA149" s="138">
        <v>43191.0</v>
      </c>
      <c r="DB149" s="138">
        <v>43221.0</v>
      </c>
      <c r="DC149" s="138">
        <v>43252.0</v>
      </c>
      <c r="DD149" s="138">
        <v>43282.0</v>
      </c>
      <c r="DE149" s="138">
        <v>43313.0</v>
      </c>
      <c r="DF149" s="138">
        <v>43344.0</v>
      </c>
      <c r="DG149" s="138">
        <v>43374.0</v>
      </c>
      <c r="DH149" s="138">
        <v>43405.0</v>
      </c>
      <c r="DI149" s="138">
        <v>43435.0</v>
      </c>
      <c r="DJ149" s="138">
        <v>43466.0</v>
      </c>
      <c r="DK149" s="138">
        <v>43497.0</v>
      </c>
      <c r="DL149" s="138">
        <v>43525.0</v>
      </c>
      <c r="DM149" s="138">
        <v>43556.0</v>
      </c>
      <c r="DN149" s="138">
        <v>43586.0</v>
      </c>
      <c r="DO149" s="138">
        <v>43617.0</v>
      </c>
      <c r="DP149" s="138">
        <v>43647.0</v>
      </c>
      <c r="DQ149" s="138">
        <v>43678.0</v>
      </c>
      <c r="DR149" s="138">
        <v>43709.0</v>
      </c>
      <c r="DS149" s="138">
        <v>43739.0</v>
      </c>
      <c r="DT149" s="138">
        <v>43770.0</v>
      </c>
      <c r="DU149" s="138">
        <v>43800.0</v>
      </c>
      <c r="DV149" s="138">
        <v>43831.0</v>
      </c>
      <c r="DW149" s="138">
        <v>43862.0</v>
      </c>
      <c r="DX149" s="138">
        <v>43891.0</v>
      </c>
      <c r="DY149" s="138">
        <v>43922.0</v>
      </c>
      <c r="DZ149" s="138">
        <v>43952.0</v>
      </c>
      <c r="EA149" s="138">
        <v>43983.0</v>
      </c>
      <c r="EB149" s="138">
        <v>44013.0</v>
      </c>
      <c r="EC149" s="138">
        <v>44044.0</v>
      </c>
      <c r="ED149" s="138">
        <v>44075.0</v>
      </c>
      <c r="EE149" s="138">
        <v>44105.0</v>
      </c>
      <c r="EF149" s="138">
        <v>44136.0</v>
      </c>
      <c r="EG149" s="138">
        <v>44166.0</v>
      </c>
      <c r="EH149" s="138">
        <v>44197.0</v>
      </c>
      <c r="EI149" s="138">
        <v>44228.0</v>
      </c>
      <c r="EJ149" s="138">
        <v>44256.0</v>
      </c>
      <c r="EK149" s="138">
        <v>44287.0</v>
      </c>
      <c r="EL149" s="138">
        <v>44317.0</v>
      </c>
      <c r="EM149" s="138">
        <v>44348.0</v>
      </c>
      <c r="EN149" s="138">
        <v>44378.0</v>
      </c>
      <c r="EO149" s="138">
        <v>44409.0</v>
      </c>
      <c r="EP149" s="138">
        <v>44440.0</v>
      </c>
      <c r="EQ149" s="138">
        <v>44470.0</v>
      </c>
      <c r="ER149" s="138">
        <v>44501.0</v>
      </c>
      <c r="ES149" s="138">
        <v>44531.0</v>
      </c>
      <c r="ET149" s="138">
        <v>44562.0</v>
      </c>
      <c r="EU149" s="138">
        <v>44593.0</v>
      </c>
      <c r="EV149" s="138">
        <v>44621.0</v>
      </c>
      <c r="EW149" s="138">
        <v>44652.0</v>
      </c>
      <c r="EX149" s="138">
        <v>44682.0</v>
      </c>
      <c r="EY149" s="138">
        <v>44713.0</v>
      </c>
      <c r="EZ149" s="138">
        <v>44743.0</v>
      </c>
      <c r="FA149" s="138">
        <v>44774.0</v>
      </c>
      <c r="FB149" s="138">
        <v>44805.0</v>
      </c>
      <c r="FC149" s="138">
        <v>44835.0</v>
      </c>
      <c r="FD149" s="138">
        <v>44866.0</v>
      </c>
      <c r="FE149" s="138">
        <v>44896.0</v>
      </c>
      <c r="FF149" s="138">
        <v>44927.0</v>
      </c>
      <c r="FG149" s="138">
        <v>44958.0</v>
      </c>
      <c r="FH149" s="138">
        <v>44986.0</v>
      </c>
      <c r="FI149" s="138">
        <v>45017.0</v>
      </c>
      <c r="FJ149" s="138">
        <v>45047.0</v>
      </c>
      <c r="FK149" s="138">
        <v>45078.0</v>
      </c>
      <c r="FL149" s="138">
        <v>45108.0</v>
      </c>
      <c r="FM149" s="138">
        <v>45139.0</v>
      </c>
      <c r="FN149" s="138">
        <v>45170.0</v>
      </c>
      <c r="FO149" s="138">
        <v>45200.0</v>
      </c>
      <c r="FP149" s="138">
        <v>45231.0</v>
      </c>
      <c r="FQ149" s="138">
        <v>45261.0</v>
      </c>
      <c r="FR149" s="138">
        <v>45292.0</v>
      </c>
      <c r="FS149" s="138">
        <v>45323.0</v>
      </c>
      <c r="FT149" s="138">
        <v>45352.0</v>
      </c>
      <c r="FU149" s="138">
        <v>45383.0</v>
      </c>
      <c r="FV149" s="138">
        <v>45413.0</v>
      </c>
      <c r="FW149" s="138">
        <v>45444.0</v>
      </c>
      <c r="FX149" s="138">
        <v>45474.0</v>
      </c>
      <c r="FY149" s="138">
        <v>45505.0</v>
      </c>
      <c r="FZ149" s="138">
        <v>45536.0</v>
      </c>
      <c r="GA149" s="138">
        <v>45566.0</v>
      </c>
      <c r="GB149" s="138">
        <v>45597.0</v>
      </c>
      <c r="GC149" s="138">
        <v>45627.0</v>
      </c>
      <c r="GD149" s="138">
        <v>45658.0</v>
      </c>
      <c r="GE149" s="138">
        <v>45689.0</v>
      </c>
      <c r="GF149" s="138">
        <v>45717.0</v>
      </c>
      <c r="GG149" s="138">
        <v>45748.0</v>
      </c>
      <c r="GH149" s="138">
        <v>45778.0</v>
      </c>
      <c r="GI149" s="138">
        <v>45809.0</v>
      </c>
      <c r="GJ149" s="138">
        <v>45839.0</v>
      </c>
    </row>
    <row r="150">
      <c r="A150" s="133" t="s">
        <v>1662</v>
      </c>
      <c r="B150" s="134">
        <v>45846.435578703706</v>
      </c>
      <c r="C150" s="135" t="str">
        <f t="shared" si="1"/>
        <v>2025/07/08</v>
      </c>
      <c r="D150" s="136" t="s">
        <v>34336</v>
      </c>
      <c r="E150" s="151">
        <v>0.0</v>
      </c>
      <c r="F150" s="138">
        <v>40179.0</v>
      </c>
      <c r="G150" s="138">
        <v>40210.0</v>
      </c>
      <c r="H150" s="138">
        <v>40238.0</v>
      </c>
      <c r="I150" s="138">
        <v>40269.0</v>
      </c>
      <c r="J150" s="138">
        <v>40299.0</v>
      </c>
      <c r="K150" s="138">
        <v>40330.0</v>
      </c>
      <c r="L150" s="138">
        <v>40360.0</v>
      </c>
      <c r="M150" s="138">
        <v>40391.0</v>
      </c>
      <c r="N150" s="138">
        <v>40422.0</v>
      </c>
      <c r="O150" s="138">
        <v>40452.0</v>
      </c>
      <c r="P150" s="138">
        <v>40483.0</v>
      </c>
      <c r="Q150" s="138">
        <v>40513.0</v>
      </c>
      <c r="R150" s="138">
        <v>40544.0</v>
      </c>
      <c r="S150" s="138">
        <v>40575.0</v>
      </c>
      <c r="T150" s="138">
        <v>40603.0</v>
      </c>
      <c r="U150" s="138">
        <v>40634.0</v>
      </c>
      <c r="V150" s="138">
        <v>40664.0</v>
      </c>
      <c r="W150" s="138">
        <v>40695.0</v>
      </c>
      <c r="X150" s="138">
        <v>40725.0</v>
      </c>
      <c r="Y150" s="138">
        <v>40756.0</v>
      </c>
      <c r="Z150" s="138">
        <v>40787.0</v>
      </c>
      <c r="AA150" s="138">
        <v>40817.0</v>
      </c>
      <c r="AB150" s="138">
        <v>40848.0</v>
      </c>
      <c r="AC150" s="138">
        <v>40878.0</v>
      </c>
      <c r="AD150" s="138">
        <v>40909.0</v>
      </c>
      <c r="AE150" s="138">
        <v>40940.0</v>
      </c>
      <c r="AF150" s="138">
        <v>40969.0</v>
      </c>
      <c r="AG150" s="138">
        <v>41000.0</v>
      </c>
      <c r="AH150" s="138">
        <v>41030.0</v>
      </c>
      <c r="AI150" s="138">
        <v>41061.0</v>
      </c>
      <c r="AJ150" s="138">
        <v>41091.0</v>
      </c>
      <c r="AK150" s="138">
        <v>41122.0</v>
      </c>
      <c r="AL150" s="138">
        <v>41153.0</v>
      </c>
      <c r="AM150" s="138">
        <v>41183.0</v>
      </c>
      <c r="AN150" s="138">
        <v>41214.0</v>
      </c>
      <c r="AO150" s="138">
        <v>41244.0</v>
      </c>
      <c r="AP150" s="138">
        <v>41275.0</v>
      </c>
      <c r="AQ150" s="138">
        <v>41306.0</v>
      </c>
      <c r="AR150" s="138">
        <v>41334.0</v>
      </c>
      <c r="AS150" s="138">
        <v>41365.0</v>
      </c>
      <c r="AT150" s="138">
        <v>41395.0</v>
      </c>
      <c r="AU150" s="138">
        <v>41426.0</v>
      </c>
      <c r="AV150" s="138">
        <v>41456.0</v>
      </c>
      <c r="AW150" s="138">
        <v>41487.0</v>
      </c>
      <c r="AX150" s="138">
        <v>41518.0</v>
      </c>
      <c r="AY150" s="138">
        <v>41548.0</v>
      </c>
      <c r="AZ150" s="138">
        <v>41579.0</v>
      </c>
      <c r="BA150" s="138">
        <v>41609.0</v>
      </c>
      <c r="BB150" s="138">
        <v>41640.0</v>
      </c>
      <c r="BC150" s="138">
        <v>41671.0</v>
      </c>
      <c r="BD150" s="138">
        <v>41699.0</v>
      </c>
      <c r="BE150" s="138">
        <v>41730.0</v>
      </c>
      <c r="BF150" s="138">
        <v>41760.0</v>
      </c>
      <c r="BG150" s="138">
        <v>41791.0</v>
      </c>
      <c r="BH150" s="138">
        <v>41821.0</v>
      </c>
      <c r="BI150" s="138">
        <v>41852.0</v>
      </c>
      <c r="BJ150" s="138">
        <v>41883.0</v>
      </c>
      <c r="BK150" s="138">
        <v>41913.0</v>
      </c>
      <c r="BL150" s="138">
        <v>41944.0</v>
      </c>
      <c r="BM150" s="138">
        <v>41974.0</v>
      </c>
      <c r="BN150" s="138">
        <v>42005.0</v>
      </c>
      <c r="BO150" s="138">
        <v>42036.0</v>
      </c>
      <c r="BP150" s="138">
        <v>42064.0</v>
      </c>
      <c r="BQ150" s="138">
        <v>42095.0</v>
      </c>
      <c r="BR150" s="138">
        <v>42125.0</v>
      </c>
      <c r="BS150" s="138">
        <v>42156.0</v>
      </c>
      <c r="BT150" s="138">
        <v>42186.0</v>
      </c>
      <c r="BU150" s="138">
        <v>42217.0</v>
      </c>
      <c r="BV150" s="138">
        <v>42248.0</v>
      </c>
      <c r="BW150" s="138">
        <v>42278.0</v>
      </c>
      <c r="BX150" s="138">
        <v>42309.0</v>
      </c>
      <c r="BY150" s="138">
        <v>42339.0</v>
      </c>
      <c r="BZ150" s="138">
        <v>42370.0</v>
      </c>
      <c r="CA150" s="138">
        <v>42401.0</v>
      </c>
      <c r="CB150" s="138">
        <v>42430.0</v>
      </c>
      <c r="CC150" s="138">
        <v>42461.0</v>
      </c>
      <c r="CD150" s="138">
        <v>42491.0</v>
      </c>
      <c r="CE150" s="138">
        <v>42522.0</v>
      </c>
      <c r="CF150" s="138">
        <v>42552.0</v>
      </c>
      <c r="CG150" s="138">
        <v>42583.0</v>
      </c>
      <c r="CH150" s="138">
        <v>42614.0</v>
      </c>
      <c r="CI150" s="138">
        <v>42644.0</v>
      </c>
      <c r="CJ150" s="138">
        <v>42675.0</v>
      </c>
      <c r="CK150" s="138">
        <v>42705.0</v>
      </c>
      <c r="CL150" s="138">
        <v>42736.0</v>
      </c>
      <c r="CM150" s="138">
        <v>42767.0</v>
      </c>
      <c r="CN150" s="138">
        <v>42795.0</v>
      </c>
      <c r="CO150" s="138">
        <v>42826.0</v>
      </c>
      <c r="CP150" s="138">
        <v>42856.0</v>
      </c>
      <c r="CQ150" s="138">
        <v>42887.0</v>
      </c>
      <c r="CR150" s="138">
        <v>42917.0</v>
      </c>
      <c r="CS150" s="138">
        <v>42948.0</v>
      </c>
      <c r="CT150" s="138">
        <v>42979.0</v>
      </c>
      <c r="CU150" s="138">
        <v>43009.0</v>
      </c>
      <c r="CV150" s="138">
        <v>43040.0</v>
      </c>
      <c r="CW150" s="138">
        <v>43070.0</v>
      </c>
      <c r="CX150" s="138">
        <v>43101.0</v>
      </c>
      <c r="CY150" s="138">
        <v>43132.0</v>
      </c>
      <c r="CZ150" s="138">
        <v>43160.0</v>
      </c>
      <c r="DA150" s="138">
        <v>43191.0</v>
      </c>
      <c r="DB150" s="138">
        <v>43221.0</v>
      </c>
      <c r="DC150" s="138">
        <v>43252.0</v>
      </c>
      <c r="DD150" s="138">
        <v>43282.0</v>
      </c>
      <c r="DE150" s="138">
        <v>43313.0</v>
      </c>
      <c r="DF150" s="138">
        <v>43344.0</v>
      </c>
      <c r="DG150" s="138">
        <v>43374.0</v>
      </c>
      <c r="DH150" s="138">
        <v>43405.0</v>
      </c>
      <c r="DI150" s="138">
        <v>43435.0</v>
      </c>
      <c r="DJ150" s="138">
        <v>43466.0</v>
      </c>
      <c r="DK150" s="138">
        <v>43497.0</v>
      </c>
      <c r="DL150" s="138">
        <v>43525.0</v>
      </c>
      <c r="DM150" s="138">
        <v>43556.0</v>
      </c>
      <c r="DN150" s="138">
        <v>43586.0</v>
      </c>
      <c r="DO150" s="138">
        <v>43617.0</v>
      </c>
      <c r="DP150" s="138">
        <v>43647.0</v>
      </c>
      <c r="DQ150" s="138">
        <v>43678.0</v>
      </c>
      <c r="DR150" s="138">
        <v>43709.0</v>
      </c>
      <c r="DS150" s="138">
        <v>43739.0</v>
      </c>
      <c r="DT150" s="138">
        <v>43770.0</v>
      </c>
      <c r="DU150" s="138">
        <v>43800.0</v>
      </c>
      <c r="DV150" s="138">
        <v>43831.0</v>
      </c>
      <c r="DW150" s="138">
        <v>43862.0</v>
      </c>
      <c r="DX150" s="138">
        <v>43891.0</v>
      </c>
      <c r="DY150" s="138">
        <v>43922.0</v>
      </c>
      <c r="DZ150" s="138">
        <v>43952.0</v>
      </c>
      <c r="EA150" s="138">
        <v>43983.0</v>
      </c>
      <c r="EB150" s="138">
        <v>44013.0</v>
      </c>
      <c r="EC150" s="138">
        <v>44044.0</v>
      </c>
      <c r="ED150" s="138">
        <v>44075.0</v>
      </c>
      <c r="EE150" s="138">
        <v>44105.0</v>
      </c>
      <c r="EF150" s="138">
        <v>44136.0</v>
      </c>
      <c r="EG150" s="138">
        <v>44166.0</v>
      </c>
      <c r="EH150" s="138">
        <v>44197.0</v>
      </c>
      <c r="EI150" s="138">
        <v>44228.0</v>
      </c>
      <c r="EJ150" s="138">
        <v>44256.0</v>
      </c>
      <c r="EK150" s="138">
        <v>44287.0</v>
      </c>
      <c r="EL150" s="138">
        <v>44317.0</v>
      </c>
      <c r="EM150" s="138">
        <v>44348.0</v>
      </c>
      <c r="EN150" s="138">
        <v>44378.0</v>
      </c>
      <c r="EO150" s="138">
        <v>44409.0</v>
      </c>
      <c r="EP150" s="138">
        <v>44440.0</v>
      </c>
      <c r="EQ150" s="138">
        <v>44470.0</v>
      </c>
      <c r="ER150" s="138">
        <v>44501.0</v>
      </c>
      <c r="ES150" s="138">
        <v>44531.0</v>
      </c>
      <c r="ET150" s="138">
        <v>44562.0</v>
      </c>
      <c r="EU150" s="138">
        <v>44593.0</v>
      </c>
      <c r="EV150" s="138">
        <v>44621.0</v>
      </c>
      <c r="EW150" s="138">
        <v>44652.0</v>
      </c>
      <c r="EX150" s="138">
        <v>44682.0</v>
      </c>
      <c r="EY150" s="138">
        <v>44713.0</v>
      </c>
      <c r="EZ150" s="138">
        <v>44743.0</v>
      </c>
      <c r="FA150" s="138">
        <v>44774.0</v>
      </c>
      <c r="FB150" s="138">
        <v>44805.0</v>
      </c>
      <c r="FC150" s="138">
        <v>44835.0</v>
      </c>
      <c r="FD150" s="138">
        <v>44866.0</v>
      </c>
      <c r="FE150" s="138">
        <v>44896.0</v>
      </c>
      <c r="FF150" s="138">
        <v>44927.0</v>
      </c>
      <c r="FG150" s="138">
        <v>44958.0</v>
      </c>
      <c r="FH150" s="138">
        <v>44986.0</v>
      </c>
      <c r="FI150" s="138">
        <v>45017.0</v>
      </c>
      <c r="FJ150" s="138">
        <v>45047.0</v>
      </c>
      <c r="FK150" s="138">
        <v>45078.0</v>
      </c>
      <c r="FL150" s="138">
        <v>45108.0</v>
      </c>
      <c r="FM150" s="138">
        <v>45139.0</v>
      </c>
      <c r="FN150" s="138">
        <v>45170.0</v>
      </c>
      <c r="FO150" s="138">
        <v>45200.0</v>
      </c>
      <c r="FP150" s="138">
        <v>45231.0</v>
      </c>
      <c r="FQ150" s="138">
        <v>45261.0</v>
      </c>
      <c r="FR150" s="138">
        <v>45292.0</v>
      </c>
      <c r="FS150" s="138">
        <v>45323.0</v>
      </c>
      <c r="FT150" s="138">
        <v>45352.0</v>
      </c>
      <c r="FU150" s="138">
        <v>45383.0</v>
      </c>
      <c r="FV150" s="138">
        <v>45413.0</v>
      </c>
      <c r="FW150" s="138">
        <v>45444.0</v>
      </c>
      <c r="FX150" s="138">
        <v>45474.0</v>
      </c>
      <c r="FY150" s="138">
        <v>45505.0</v>
      </c>
      <c r="FZ150" s="138">
        <v>45536.0</v>
      </c>
      <c r="GA150" s="138">
        <v>45566.0</v>
      </c>
      <c r="GB150" s="138">
        <v>45597.0</v>
      </c>
      <c r="GC150" s="138">
        <v>45627.0</v>
      </c>
      <c r="GD150" s="138">
        <v>45658.0</v>
      </c>
      <c r="GE150" s="138">
        <v>45689.0</v>
      </c>
      <c r="GF150" s="138">
        <v>45717.0</v>
      </c>
      <c r="GG150" s="138">
        <v>45748.0</v>
      </c>
      <c r="GH150" s="138">
        <v>45778.0</v>
      </c>
      <c r="GI150" s="138">
        <v>45809.0</v>
      </c>
      <c r="GJ150" s="138">
        <v>45839.0</v>
      </c>
    </row>
    <row r="151">
      <c r="A151" s="133" t="s">
        <v>1648</v>
      </c>
      <c r="B151" s="134">
        <v>45846.453252314815</v>
      </c>
      <c r="C151" s="135" t="str">
        <f t="shared" si="1"/>
        <v>2025/07/08</v>
      </c>
      <c r="D151" s="136" t="s">
        <v>34337</v>
      </c>
      <c r="E151" s="151">
        <v>0.0</v>
      </c>
      <c r="F151" s="138">
        <v>40179.0</v>
      </c>
      <c r="G151" s="138">
        <v>40210.0</v>
      </c>
      <c r="H151" s="138">
        <v>40238.0</v>
      </c>
      <c r="I151" s="138">
        <v>40269.0</v>
      </c>
      <c r="J151" s="138">
        <v>40299.0</v>
      </c>
      <c r="K151" s="138">
        <v>40330.0</v>
      </c>
      <c r="L151" s="138">
        <v>40360.0</v>
      </c>
      <c r="M151" s="138">
        <v>40391.0</v>
      </c>
      <c r="N151" s="138">
        <v>40422.0</v>
      </c>
      <c r="O151" s="138">
        <v>40452.0</v>
      </c>
      <c r="P151" s="138">
        <v>40483.0</v>
      </c>
      <c r="Q151" s="138">
        <v>40513.0</v>
      </c>
      <c r="R151" s="138">
        <v>40544.0</v>
      </c>
      <c r="S151" s="138">
        <v>40575.0</v>
      </c>
      <c r="T151" s="138">
        <v>40603.0</v>
      </c>
      <c r="U151" s="138">
        <v>40634.0</v>
      </c>
      <c r="V151" s="138">
        <v>40664.0</v>
      </c>
      <c r="W151" s="138">
        <v>40695.0</v>
      </c>
      <c r="X151" s="138">
        <v>40725.0</v>
      </c>
      <c r="Y151" s="138">
        <v>40756.0</v>
      </c>
      <c r="Z151" s="138">
        <v>40787.0</v>
      </c>
      <c r="AA151" s="138">
        <v>40817.0</v>
      </c>
      <c r="AB151" s="138">
        <v>40848.0</v>
      </c>
      <c r="AC151" s="138">
        <v>40878.0</v>
      </c>
      <c r="AD151" s="138">
        <v>40909.0</v>
      </c>
      <c r="AE151" s="138">
        <v>40940.0</v>
      </c>
      <c r="AF151" s="138">
        <v>40969.0</v>
      </c>
      <c r="AG151" s="138">
        <v>41000.0</v>
      </c>
      <c r="AH151" s="138">
        <v>41030.0</v>
      </c>
      <c r="AI151" s="138">
        <v>41061.0</v>
      </c>
      <c r="AJ151" s="138">
        <v>41091.0</v>
      </c>
      <c r="AK151" s="138">
        <v>41122.0</v>
      </c>
      <c r="AL151" s="138">
        <v>41153.0</v>
      </c>
      <c r="AM151" s="138">
        <v>41183.0</v>
      </c>
      <c r="AN151" s="138">
        <v>41214.0</v>
      </c>
      <c r="AO151" s="138">
        <v>41244.0</v>
      </c>
      <c r="AP151" s="138">
        <v>41275.0</v>
      </c>
      <c r="AQ151" s="138">
        <v>41306.0</v>
      </c>
      <c r="AR151" s="138">
        <v>41334.0</v>
      </c>
      <c r="AS151" s="138">
        <v>41365.0</v>
      </c>
      <c r="AT151" s="138">
        <v>41395.0</v>
      </c>
      <c r="AU151" s="138">
        <v>41426.0</v>
      </c>
      <c r="AV151" s="138">
        <v>41456.0</v>
      </c>
      <c r="AW151" s="138">
        <v>41487.0</v>
      </c>
      <c r="AX151" s="138">
        <v>41518.0</v>
      </c>
      <c r="AY151" s="138">
        <v>41548.0</v>
      </c>
      <c r="AZ151" s="138">
        <v>41579.0</v>
      </c>
      <c r="BA151" s="138">
        <v>41609.0</v>
      </c>
      <c r="BB151" s="138">
        <v>41640.0</v>
      </c>
      <c r="BC151" s="138">
        <v>41671.0</v>
      </c>
      <c r="BD151" s="138">
        <v>41699.0</v>
      </c>
      <c r="BE151" s="138">
        <v>41730.0</v>
      </c>
      <c r="BF151" s="138">
        <v>41760.0</v>
      </c>
      <c r="BG151" s="138">
        <v>41791.0</v>
      </c>
      <c r="BH151" s="138">
        <v>41821.0</v>
      </c>
      <c r="BI151" s="138">
        <v>41852.0</v>
      </c>
      <c r="BJ151" s="138">
        <v>41883.0</v>
      </c>
      <c r="BK151" s="138">
        <v>41913.0</v>
      </c>
      <c r="BL151" s="138">
        <v>41944.0</v>
      </c>
      <c r="BM151" s="138">
        <v>41974.0</v>
      </c>
      <c r="BN151" s="138">
        <v>42005.0</v>
      </c>
      <c r="BO151" s="138">
        <v>42036.0</v>
      </c>
      <c r="BP151" s="138">
        <v>42064.0</v>
      </c>
      <c r="BQ151" s="138">
        <v>42095.0</v>
      </c>
      <c r="BR151" s="138">
        <v>42125.0</v>
      </c>
      <c r="BS151" s="138">
        <v>42156.0</v>
      </c>
      <c r="BT151" s="138">
        <v>42186.0</v>
      </c>
      <c r="BU151" s="138">
        <v>42217.0</v>
      </c>
      <c r="BV151" s="138">
        <v>42248.0</v>
      </c>
      <c r="BW151" s="138">
        <v>42278.0</v>
      </c>
      <c r="BX151" s="138">
        <v>42309.0</v>
      </c>
      <c r="BY151" s="138">
        <v>42339.0</v>
      </c>
      <c r="BZ151" s="138">
        <v>42370.0</v>
      </c>
      <c r="CA151" s="138">
        <v>42401.0</v>
      </c>
      <c r="CB151" s="138">
        <v>42430.0</v>
      </c>
      <c r="CC151" s="138">
        <v>42461.0</v>
      </c>
      <c r="CD151" s="138">
        <v>42491.0</v>
      </c>
      <c r="CE151" s="138">
        <v>42522.0</v>
      </c>
      <c r="CF151" s="138">
        <v>42552.0</v>
      </c>
      <c r="CG151" s="138">
        <v>42583.0</v>
      </c>
      <c r="CH151" s="138">
        <v>42614.0</v>
      </c>
      <c r="CI151" s="138">
        <v>42644.0</v>
      </c>
      <c r="CJ151" s="138">
        <v>42675.0</v>
      </c>
      <c r="CK151" s="138">
        <v>42705.0</v>
      </c>
      <c r="CL151" s="138">
        <v>42736.0</v>
      </c>
      <c r="CM151" s="138">
        <v>42767.0</v>
      </c>
      <c r="CN151" s="138">
        <v>42795.0</v>
      </c>
      <c r="CO151" s="138">
        <v>42826.0</v>
      </c>
      <c r="CP151" s="138">
        <v>42856.0</v>
      </c>
      <c r="CQ151" s="138">
        <v>42887.0</v>
      </c>
      <c r="CR151" s="138">
        <v>42917.0</v>
      </c>
      <c r="CS151" s="138">
        <v>42948.0</v>
      </c>
      <c r="CT151" s="138">
        <v>42979.0</v>
      </c>
      <c r="CU151" s="138">
        <v>43009.0</v>
      </c>
      <c r="CV151" s="138">
        <v>43040.0</v>
      </c>
      <c r="CW151" s="138">
        <v>43070.0</v>
      </c>
      <c r="CX151" s="138">
        <v>43101.0</v>
      </c>
      <c r="CY151" s="138">
        <v>43132.0</v>
      </c>
      <c r="CZ151" s="138">
        <v>43160.0</v>
      </c>
      <c r="DA151" s="138">
        <v>43191.0</v>
      </c>
      <c r="DB151" s="138">
        <v>43221.0</v>
      </c>
      <c r="DC151" s="138">
        <v>43252.0</v>
      </c>
      <c r="DD151" s="138">
        <v>43282.0</v>
      </c>
      <c r="DE151" s="138">
        <v>43313.0</v>
      </c>
      <c r="DF151" s="138">
        <v>43344.0</v>
      </c>
      <c r="DG151" s="138">
        <v>43374.0</v>
      </c>
      <c r="DH151" s="138">
        <v>43405.0</v>
      </c>
      <c r="DI151" s="138">
        <v>43435.0</v>
      </c>
      <c r="DJ151" s="138">
        <v>43466.0</v>
      </c>
      <c r="DK151" s="138">
        <v>43497.0</v>
      </c>
      <c r="DL151" s="138">
        <v>43525.0</v>
      </c>
      <c r="DM151" s="138">
        <v>43556.0</v>
      </c>
      <c r="DN151" s="138">
        <v>43586.0</v>
      </c>
      <c r="DO151" s="138">
        <v>43617.0</v>
      </c>
      <c r="DP151" s="138">
        <v>43647.0</v>
      </c>
      <c r="DQ151" s="138">
        <v>43678.0</v>
      </c>
      <c r="DR151" s="138">
        <v>43709.0</v>
      </c>
      <c r="DS151" s="138">
        <v>43739.0</v>
      </c>
      <c r="DT151" s="138">
        <v>43770.0</v>
      </c>
      <c r="DU151" s="138">
        <v>43800.0</v>
      </c>
      <c r="DV151" s="138">
        <v>43831.0</v>
      </c>
      <c r="DW151" s="138">
        <v>43862.0</v>
      </c>
      <c r="DX151" s="138">
        <v>43891.0</v>
      </c>
      <c r="DY151" s="138">
        <v>43922.0</v>
      </c>
      <c r="DZ151" s="138">
        <v>43952.0</v>
      </c>
      <c r="EA151" s="138">
        <v>43983.0</v>
      </c>
      <c r="EB151" s="138">
        <v>44013.0</v>
      </c>
      <c r="EC151" s="138">
        <v>44044.0</v>
      </c>
      <c r="ED151" s="138">
        <v>44075.0</v>
      </c>
      <c r="EE151" s="138">
        <v>44105.0</v>
      </c>
      <c r="EF151" s="138">
        <v>44136.0</v>
      </c>
      <c r="EG151" s="138">
        <v>44166.0</v>
      </c>
      <c r="EH151" s="138">
        <v>44197.0</v>
      </c>
      <c r="EI151" s="138">
        <v>44228.0</v>
      </c>
      <c r="EJ151" s="138">
        <v>44256.0</v>
      </c>
      <c r="EK151" s="138">
        <v>44287.0</v>
      </c>
      <c r="EL151" s="138">
        <v>44317.0</v>
      </c>
      <c r="EM151" s="138">
        <v>44348.0</v>
      </c>
      <c r="EN151" s="138">
        <v>44378.0</v>
      </c>
      <c r="EO151" s="138">
        <v>44409.0</v>
      </c>
      <c r="EP151" s="138">
        <v>44440.0</v>
      </c>
      <c r="EQ151" s="138">
        <v>44470.0</v>
      </c>
      <c r="ER151" s="138">
        <v>44501.0</v>
      </c>
      <c r="ES151" s="138">
        <v>44531.0</v>
      </c>
      <c r="ET151" s="138">
        <v>44562.0</v>
      </c>
      <c r="EU151" s="138">
        <v>44593.0</v>
      </c>
      <c r="EV151" s="138">
        <v>44621.0</v>
      </c>
      <c r="EW151" s="138">
        <v>44652.0</v>
      </c>
      <c r="EX151" s="138">
        <v>44682.0</v>
      </c>
      <c r="EY151" s="138">
        <v>44713.0</v>
      </c>
      <c r="EZ151" s="138">
        <v>44743.0</v>
      </c>
      <c r="FA151" s="138">
        <v>44774.0</v>
      </c>
      <c r="FB151" s="138">
        <v>44805.0</v>
      </c>
      <c r="FC151" s="138">
        <v>44835.0</v>
      </c>
      <c r="FD151" s="138">
        <v>44866.0</v>
      </c>
      <c r="FE151" s="138">
        <v>44896.0</v>
      </c>
      <c r="FF151" s="138">
        <v>44927.0</v>
      </c>
      <c r="FG151" s="138">
        <v>44958.0</v>
      </c>
      <c r="FH151" s="138">
        <v>44986.0</v>
      </c>
      <c r="FI151" s="138">
        <v>45017.0</v>
      </c>
      <c r="FJ151" s="138">
        <v>45047.0</v>
      </c>
      <c r="FK151" s="138">
        <v>45078.0</v>
      </c>
      <c r="FL151" s="138">
        <v>45108.0</v>
      </c>
      <c r="FM151" s="138">
        <v>45139.0</v>
      </c>
      <c r="FN151" s="138">
        <v>45170.0</v>
      </c>
      <c r="FO151" s="138">
        <v>45200.0</v>
      </c>
      <c r="FP151" s="138">
        <v>45231.0</v>
      </c>
      <c r="FQ151" s="138">
        <v>45261.0</v>
      </c>
      <c r="FR151" s="138">
        <v>45292.0</v>
      </c>
      <c r="FS151" s="138">
        <v>45323.0</v>
      </c>
      <c r="FT151" s="138">
        <v>45352.0</v>
      </c>
      <c r="FU151" s="138">
        <v>45383.0</v>
      </c>
      <c r="FV151" s="138">
        <v>45413.0</v>
      </c>
      <c r="FW151" s="138">
        <v>45444.0</v>
      </c>
      <c r="FX151" s="138">
        <v>45474.0</v>
      </c>
      <c r="FY151" s="138">
        <v>45505.0</v>
      </c>
      <c r="FZ151" s="138">
        <v>45536.0</v>
      </c>
      <c r="GA151" s="138">
        <v>45566.0</v>
      </c>
      <c r="GB151" s="138">
        <v>45597.0</v>
      </c>
      <c r="GC151" s="138">
        <v>45627.0</v>
      </c>
      <c r="GD151" s="138">
        <v>45658.0</v>
      </c>
      <c r="GE151" s="138">
        <v>45689.0</v>
      </c>
      <c r="GF151" s="138">
        <v>45717.0</v>
      </c>
      <c r="GG151" s="138">
        <v>45748.0</v>
      </c>
      <c r="GH151" s="138">
        <v>45778.0</v>
      </c>
      <c r="GI151" s="138">
        <v>45809.0</v>
      </c>
      <c r="GJ151" s="138">
        <v>45839.0</v>
      </c>
    </row>
    <row r="152">
      <c r="A152" s="133" t="s">
        <v>1420</v>
      </c>
      <c r="B152" s="134">
        <v>45846.58398148148</v>
      </c>
      <c r="C152" s="135" t="str">
        <f t="shared" si="1"/>
        <v>2025/07/08</v>
      </c>
      <c r="D152" s="136" t="s">
        <v>34338</v>
      </c>
      <c r="E152" s="151">
        <v>0.0</v>
      </c>
      <c r="F152" s="138">
        <v>40179.0</v>
      </c>
      <c r="G152" s="138">
        <v>40210.0</v>
      </c>
      <c r="H152" s="138">
        <v>40238.0</v>
      </c>
      <c r="I152" s="138">
        <v>40269.0</v>
      </c>
      <c r="J152" s="138">
        <v>40299.0</v>
      </c>
      <c r="K152" s="138">
        <v>40330.0</v>
      </c>
      <c r="L152" s="138">
        <v>40360.0</v>
      </c>
      <c r="M152" s="138">
        <v>40391.0</v>
      </c>
      <c r="N152" s="138">
        <v>40422.0</v>
      </c>
      <c r="O152" s="138">
        <v>40452.0</v>
      </c>
      <c r="P152" s="138">
        <v>40483.0</v>
      </c>
      <c r="Q152" s="138">
        <v>40513.0</v>
      </c>
      <c r="R152" s="138">
        <v>40544.0</v>
      </c>
      <c r="S152" s="138">
        <v>40575.0</v>
      </c>
      <c r="T152" s="138">
        <v>40603.0</v>
      </c>
      <c r="U152" s="138">
        <v>40634.0</v>
      </c>
      <c r="V152" s="138">
        <v>40664.0</v>
      </c>
      <c r="W152" s="138">
        <v>40695.0</v>
      </c>
      <c r="X152" s="138">
        <v>40725.0</v>
      </c>
      <c r="Y152" s="138">
        <v>40756.0</v>
      </c>
      <c r="Z152" s="138">
        <v>40787.0</v>
      </c>
      <c r="AA152" s="138">
        <v>40817.0</v>
      </c>
      <c r="AB152" s="138">
        <v>40848.0</v>
      </c>
      <c r="AC152" s="138">
        <v>40878.0</v>
      </c>
      <c r="AD152" s="138">
        <v>40909.0</v>
      </c>
      <c r="AE152" s="138">
        <v>40940.0</v>
      </c>
      <c r="AF152" s="138">
        <v>40969.0</v>
      </c>
      <c r="AG152" s="138">
        <v>41000.0</v>
      </c>
      <c r="AH152" s="138">
        <v>41030.0</v>
      </c>
      <c r="AI152" s="138">
        <v>41061.0</v>
      </c>
      <c r="AJ152" s="138">
        <v>41091.0</v>
      </c>
      <c r="AK152" s="138">
        <v>41122.0</v>
      </c>
      <c r="AL152" s="138">
        <v>41153.0</v>
      </c>
      <c r="AM152" s="138">
        <v>41183.0</v>
      </c>
      <c r="AN152" s="138">
        <v>41214.0</v>
      </c>
      <c r="AO152" s="138">
        <v>41244.0</v>
      </c>
      <c r="AP152" s="138">
        <v>41275.0</v>
      </c>
      <c r="AQ152" s="138">
        <v>41306.0</v>
      </c>
      <c r="AR152" s="138">
        <v>41334.0</v>
      </c>
      <c r="AS152" s="138">
        <v>41365.0</v>
      </c>
      <c r="AT152" s="138">
        <v>41395.0</v>
      </c>
      <c r="AU152" s="138">
        <v>41426.0</v>
      </c>
      <c r="AV152" s="138">
        <v>41456.0</v>
      </c>
      <c r="AW152" s="138">
        <v>41487.0</v>
      </c>
      <c r="AX152" s="138">
        <v>41518.0</v>
      </c>
      <c r="AY152" s="138">
        <v>41548.0</v>
      </c>
      <c r="AZ152" s="138">
        <v>41579.0</v>
      </c>
      <c r="BA152" s="138">
        <v>41609.0</v>
      </c>
      <c r="BB152" s="138">
        <v>41640.0</v>
      </c>
      <c r="BC152" s="138">
        <v>41671.0</v>
      </c>
      <c r="BD152" s="138">
        <v>41699.0</v>
      </c>
      <c r="BE152" s="138">
        <v>41730.0</v>
      </c>
      <c r="BF152" s="138">
        <v>41760.0</v>
      </c>
      <c r="BG152" s="138">
        <v>41791.0</v>
      </c>
      <c r="BH152" s="138">
        <v>41821.0</v>
      </c>
      <c r="BI152" s="138">
        <v>41852.0</v>
      </c>
      <c r="BJ152" s="138">
        <v>41883.0</v>
      </c>
      <c r="BK152" s="138">
        <v>41913.0</v>
      </c>
      <c r="BL152" s="138">
        <v>41944.0</v>
      </c>
      <c r="BM152" s="138">
        <v>41974.0</v>
      </c>
      <c r="BN152" s="138">
        <v>42005.0</v>
      </c>
      <c r="BO152" s="138">
        <v>42036.0</v>
      </c>
      <c r="BP152" s="138">
        <v>42064.0</v>
      </c>
      <c r="BQ152" s="138">
        <v>42095.0</v>
      </c>
      <c r="BR152" s="138">
        <v>42125.0</v>
      </c>
      <c r="BS152" s="138">
        <v>42156.0</v>
      </c>
      <c r="BT152" s="138">
        <v>42186.0</v>
      </c>
      <c r="BU152" s="138">
        <v>42217.0</v>
      </c>
      <c r="BV152" s="138">
        <v>42248.0</v>
      </c>
      <c r="BW152" s="138">
        <v>42278.0</v>
      </c>
      <c r="BX152" s="138">
        <v>42309.0</v>
      </c>
      <c r="BY152" s="138">
        <v>42339.0</v>
      </c>
      <c r="BZ152" s="138">
        <v>42370.0</v>
      </c>
      <c r="CA152" s="138">
        <v>42401.0</v>
      </c>
      <c r="CB152" s="138">
        <v>42430.0</v>
      </c>
      <c r="CC152" s="138">
        <v>42461.0</v>
      </c>
      <c r="CD152" s="138">
        <v>42491.0</v>
      </c>
      <c r="CE152" s="138">
        <v>42522.0</v>
      </c>
      <c r="CF152" s="138">
        <v>42552.0</v>
      </c>
      <c r="CG152" s="138">
        <v>42583.0</v>
      </c>
      <c r="CH152" s="138">
        <v>42614.0</v>
      </c>
      <c r="CI152" s="138">
        <v>42644.0</v>
      </c>
      <c r="CJ152" s="138">
        <v>42675.0</v>
      </c>
      <c r="CK152" s="138">
        <v>42705.0</v>
      </c>
      <c r="CL152" s="138">
        <v>42736.0</v>
      </c>
      <c r="CM152" s="138">
        <v>42767.0</v>
      </c>
      <c r="CN152" s="138">
        <v>42795.0</v>
      </c>
      <c r="CO152" s="138">
        <v>42826.0</v>
      </c>
      <c r="CP152" s="138">
        <v>42856.0</v>
      </c>
      <c r="CQ152" s="138">
        <v>42887.0</v>
      </c>
      <c r="CR152" s="138">
        <v>42917.0</v>
      </c>
      <c r="CS152" s="138">
        <v>42948.0</v>
      </c>
      <c r="CT152" s="138">
        <v>42979.0</v>
      </c>
      <c r="CU152" s="138">
        <v>43009.0</v>
      </c>
      <c r="CV152" s="138">
        <v>43040.0</v>
      </c>
      <c r="CW152" s="138">
        <v>43070.0</v>
      </c>
      <c r="CX152" s="138">
        <v>43101.0</v>
      </c>
      <c r="CY152" s="138">
        <v>43132.0</v>
      </c>
      <c r="CZ152" s="138">
        <v>43160.0</v>
      </c>
      <c r="DA152" s="138">
        <v>43191.0</v>
      </c>
      <c r="DB152" s="138">
        <v>43221.0</v>
      </c>
      <c r="DC152" s="138">
        <v>43252.0</v>
      </c>
      <c r="DD152" s="138">
        <v>43282.0</v>
      </c>
      <c r="DE152" s="138">
        <v>43313.0</v>
      </c>
      <c r="DF152" s="138">
        <v>43344.0</v>
      </c>
      <c r="DG152" s="138">
        <v>43374.0</v>
      </c>
      <c r="DH152" s="138">
        <v>43405.0</v>
      </c>
      <c r="DI152" s="138">
        <v>43435.0</v>
      </c>
      <c r="DJ152" s="138">
        <v>43466.0</v>
      </c>
      <c r="DK152" s="138">
        <v>43497.0</v>
      </c>
      <c r="DL152" s="138">
        <v>43525.0</v>
      </c>
      <c r="DM152" s="138">
        <v>43556.0</v>
      </c>
      <c r="DN152" s="138">
        <v>43586.0</v>
      </c>
      <c r="DO152" s="138">
        <v>43617.0</v>
      </c>
      <c r="DP152" s="138">
        <v>43647.0</v>
      </c>
      <c r="DQ152" s="138">
        <v>43678.0</v>
      </c>
      <c r="DR152" s="138">
        <v>43709.0</v>
      </c>
      <c r="DS152" s="138">
        <v>43739.0</v>
      </c>
      <c r="DT152" s="138">
        <v>43770.0</v>
      </c>
      <c r="DU152" s="138">
        <v>43800.0</v>
      </c>
      <c r="DV152" s="138">
        <v>43831.0</v>
      </c>
      <c r="DW152" s="138">
        <v>43862.0</v>
      </c>
      <c r="DX152" s="138">
        <v>43891.0</v>
      </c>
      <c r="DY152" s="138">
        <v>43922.0</v>
      </c>
      <c r="DZ152" s="138">
        <v>43952.0</v>
      </c>
      <c r="EA152" s="138">
        <v>43983.0</v>
      </c>
      <c r="EB152" s="138">
        <v>44013.0</v>
      </c>
      <c r="EC152" s="138">
        <v>44044.0</v>
      </c>
      <c r="ED152" s="138">
        <v>44075.0</v>
      </c>
      <c r="EE152" s="138">
        <v>44105.0</v>
      </c>
      <c r="EF152" s="138">
        <v>44136.0</v>
      </c>
      <c r="EG152" s="138">
        <v>44166.0</v>
      </c>
      <c r="EH152" s="138">
        <v>44197.0</v>
      </c>
      <c r="EI152" s="138">
        <v>44228.0</v>
      </c>
      <c r="EJ152" s="138">
        <v>44256.0</v>
      </c>
      <c r="EK152" s="138">
        <v>44287.0</v>
      </c>
      <c r="EL152" s="138">
        <v>44317.0</v>
      </c>
      <c r="EM152" s="138">
        <v>44348.0</v>
      </c>
      <c r="EN152" s="138">
        <v>44378.0</v>
      </c>
      <c r="EO152" s="138">
        <v>44409.0</v>
      </c>
      <c r="EP152" s="138">
        <v>44440.0</v>
      </c>
      <c r="EQ152" s="138">
        <v>44470.0</v>
      </c>
      <c r="ER152" s="138">
        <v>44501.0</v>
      </c>
      <c r="ES152" s="138">
        <v>44531.0</v>
      </c>
      <c r="ET152" s="138">
        <v>44562.0</v>
      </c>
      <c r="EU152" s="138">
        <v>44593.0</v>
      </c>
      <c r="EV152" s="138">
        <v>44621.0</v>
      </c>
      <c r="EW152" s="138">
        <v>44652.0</v>
      </c>
      <c r="EX152" s="138">
        <v>44682.0</v>
      </c>
      <c r="EY152" s="138">
        <v>44713.0</v>
      </c>
      <c r="EZ152" s="138">
        <v>44743.0</v>
      </c>
      <c r="FA152" s="138">
        <v>44774.0</v>
      </c>
      <c r="FB152" s="138">
        <v>44805.0</v>
      </c>
      <c r="FC152" s="138">
        <v>44835.0</v>
      </c>
      <c r="FD152" s="138">
        <v>44866.0</v>
      </c>
      <c r="FE152" s="138">
        <v>44896.0</v>
      </c>
      <c r="FF152" s="138">
        <v>44927.0</v>
      </c>
      <c r="FG152" s="138">
        <v>44958.0</v>
      </c>
      <c r="FH152" s="138">
        <v>44986.0</v>
      </c>
      <c r="FI152" s="138">
        <v>45017.0</v>
      </c>
      <c r="FJ152" s="138">
        <v>45047.0</v>
      </c>
      <c r="FK152" s="138">
        <v>45078.0</v>
      </c>
      <c r="FL152" s="138">
        <v>45108.0</v>
      </c>
      <c r="FM152" s="138">
        <v>45139.0</v>
      </c>
      <c r="FN152" s="138">
        <v>45170.0</v>
      </c>
      <c r="FO152" s="138">
        <v>45200.0</v>
      </c>
      <c r="FP152" s="138">
        <v>45231.0</v>
      </c>
      <c r="FQ152" s="138">
        <v>45261.0</v>
      </c>
      <c r="FR152" s="138">
        <v>45292.0</v>
      </c>
      <c r="FS152" s="138">
        <v>45323.0</v>
      </c>
      <c r="FT152" s="138">
        <v>45352.0</v>
      </c>
      <c r="FU152" s="138">
        <v>45383.0</v>
      </c>
      <c r="FV152" s="138">
        <v>45413.0</v>
      </c>
      <c r="FW152" s="138">
        <v>45444.0</v>
      </c>
      <c r="FX152" s="138">
        <v>45474.0</v>
      </c>
      <c r="FY152" s="138">
        <v>45505.0</v>
      </c>
      <c r="FZ152" s="138">
        <v>45536.0</v>
      </c>
      <c r="GA152" s="138">
        <v>45566.0</v>
      </c>
      <c r="GB152" s="138">
        <v>45597.0</v>
      </c>
      <c r="GC152" s="138">
        <v>45627.0</v>
      </c>
      <c r="GD152" s="138">
        <v>45658.0</v>
      </c>
      <c r="GE152" s="138">
        <v>45689.0</v>
      </c>
      <c r="GF152" s="138">
        <v>45717.0</v>
      </c>
      <c r="GG152" s="138">
        <v>45748.0</v>
      </c>
      <c r="GH152" s="138">
        <v>45778.0</v>
      </c>
      <c r="GI152" s="138">
        <v>45809.0</v>
      </c>
      <c r="GJ152" s="138">
        <v>45839.0</v>
      </c>
    </row>
    <row r="153">
      <c r="A153" s="133" t="s">
        <v>1637</v>
      </c>
      <c r="B153" s="134">
        <v>45846.675</v>
      </c>
      <c r="C153" s="135" t="str">
        <f t="shared" si="1"/>
        <v>2025/07/08</v>
      </c>
      <c r="D153" s="136" t="s">
        <v>34339</v>
      </c>
      <c r="E153" s="151">
        <v>0.0</v>
      </c>
      <c r="F153" s="138">
        <v>40179.0</v>
      </c>
      <c r="G153" s="138">
        <v>40210.0</v>
      </c>
      <c r="H153" s="138">
        <v>40238.0</v>
      </c>
      <c r="I153" s="138">
        <v>40269.0</v>
      </c>
      <c r="J153" s="138">
        <v>40299.0</v>
      </c>
      <c r="K153" s="138">
        <v>40330.0</v>
      </c>
      <c r="L153" s="138">
        <v>40360.0</v>
      </c>
      <c r="M153" s="138">
        <v>40391.0</v>
      </c>
      <c r="N153" s="138">
        <v>40422.0</v>
      </c>
      <c r="O153" s="138">
        <v>40452.0</v>
      </c>
      <c r="P153" s="138">
        <v>40483.0</v>
      </c>
      <c r="Q153" s="138">
        <v>40513.0</v>
      </c>
      <c r="R153" s="138">
        <v>40544.0</v>
      </c>
      <c r="S153" s="138">
        <v>40575.0</v>
      </c>
      <c r="T153" s="138">
        <v>40603.0</v>
      </c>
      <c r="U153" s="138">
        <v>40634.0</v>
      </c>
      <c r="V153" s="138">
        <v>40664.0</v>
      </c>
      <c r="W153" s="138">
        <v>40695.0</v>
      </c>
      <c r="X153" s="138">
        <v>40725.0</v>
      </c>
      <c r="Y153" s="138">
        <v>40756.0</v>
      </c>
      <c r="Z153" s="138">
        <v>40787.0</v>
      </c>
      <c r="AA153" s="138">
        <v>40817.0</v>
      </c>
      <c r="AB153" s="138">
        <v>40848.0</v>
      </c>
      <c r="AC153" s="138">
        <v>40878.0</v>
      </c>
      <c r="AD153" s="138">
        <v>40909.0</v>
      </c>
      <c r="AE153" s="138">
        <v>40940.0</v>
      </c>
      <c r="AF153" s="138">
        <v>40969.0</v>
      </c>
      <c r="AG153" s="138">
        <v>41000.0</v>
      </c>
      <c r="AH153" s="138">
        <v>41030.0</v>
      </c>
      <c r="AI153" s="138">
        <v>41061.0</v>
      </c>
      <c r="AJ153" s="138">
        <v>41091.0</v>
      </c>
      <c r="AK153" s="138">
        <v>41122.0</v>
      </c>
      <c r="AL153" s="138">
        <v>41153.0</v>
      </c>
      <c r="AM153" s="138">
        <v>41183.0</v>
      </c>
      <c r="AN153" s="138">
        <v>41214.0</v>
      </c>
      <c r="AO153" s="138">
        <v>41244.0</v>
      </c>
      <c r="AP153" s="138">
        <v>41275.0</v>
      </c>
      <c r="AQ153" s="138">
        <v>41306.0</v>
      </c>
      <c r="AR153" s="138">
        <v>41334.0</v>
      </c>
      <c r="AS153" s="138">
        <v>41365.0</v>
      </c>
      <c r="AT153" s="138">
        <v>41395.0</v>
      </c>
      <c r="AU153" s="138">
        <v>41426.0</v>
      </c>
      <c r="AV153" s="138">
        <v>41456.0</v>
      </c>
      <c r="AW153" s="138">
        <v>41487.0</v>
      </c>
      <c r="AX153" s="138">
        <v>41518.0</v>
      </c>
      <c r="AY153" s="138">
        <v>41548.0</v>
      </c>
      <c r="AZ153" s="138">
        <v>41579.0</v>
      </c>
      <c r="BA153" s="138">
        <v>41609.0</v>
      </c>
      <c r="BB153" s="138">
        <v>41640.0</v>
      </c>
      <c r="BC153" s="138">
        <v>41671.0</v>
      </c>
      <c r="BD153" s="138">
        <v>41699.0</v>
      </c>
      <c r="BE153" s="138">
        <v>41730.0</v>
      </c>
      <c r="BF153" s="138">
        <v>41760.0</v>
      </c>
      <c r="BG153" s="138">
        <v>41791.0</v>
      </c>
      <c r="BH153" s="138">
        <v>41821.0</v>
      </c>
      <c r="BI153" s="138">
        <v>41852.0</v>
      </c>
      <c r="BJ153" s="138">
        <v>41883.0</v>
      </c>
      <c r="BK153" s="138">
        <v>41913.0</v>
      </c>
      <c r="BL153" s="138">
        <v>41944.0</v>
      </c>
      <c r="BM153" s="138">
        <v>41974.0</v>
      </c>
      <c r="BN153" s="138">
        <v>42005.0</v>
      </c>
      <c r="BO153" s="138">
        <v>42036.0</v>
      </c>
      <c r="BP153" s="138">
        <v>42064.0</v>
      </c>
      <c r="BQ153" s="138">
        <v>42095.0</v>
      </c>
      <c r="BR153" s="138">
        <v>42125.0</v>
      </c>
      <c r="BS153" s="138">
        <v>42156.0</v>
      </c>
      <c r="BT153" s="138">
        <v>42186.0</v>
      </c>
      <c r="BU153" s="138">
        <v>42217.0</v>
      </c>
      <c r="BV153" s="138">
        <v>42248.0</v>
      </c>
      <c r="BW153" s="138">
        <v>42278.0</v>
      </c>
      <c r="BX153" s="138">
        <v>42309.0</v>
      </c>
      <c r="BY153" s="138">
        <v>42339.0</v>
      </c>
      <c r="BZ153" s="138">
        <v>42370.0</v>
      </c>
      <c r="CA153" s="138">
        <v>42401.0</v>
      </c>
      <c r="CB153" s="138">
        <v>42430.0</v>
      </c>
      <c r="CC153" s="138">
        <v>42461.0</v>
      </c>
      <c r="CD153" s="138">
        <v>42491.0</v>
      </c>
      <c r="CE153" s="138">
        <v>42522.0</v>
      </c>
      <c r="CF153" s="138">
        <v>42552.0</v>
      </c>
      <c r="CG153" s="138">
        <v>42583.0</v>
      </c>
      <c r="CH153" s="138">
        <v>42614.0</v>
      </c>
      <c r="CI153" s="138">
        <v>42644.0</v>
      </c>
      <c r="CJ153" s="138">
        <v>42675.0</v>
      </c>
      <c r="CK153" s="138">
        <v>42705.0</v>
      </c>
      <c r="CL153" s="138">
        <v>42736.0</v>
      </c>
      <c r="CM153" s="138">
        <v>42767.0</v>
      </c>
      <c r="CN153" s="138">
        <v>42795.0</v>
      </c>
      <c r="CO153" s="138">
        <v>42826.0</v>
      </c>
      <c r="CP153" s="138">
        <v>42856.0</v>
      </c>
      <c r="CQ153" s="138">
        <v>42887.0</v>
      </c>
      <c r="CR153" s="138">
        <v>42917.0</v>
      </c>
      <c r="CS153" s="138">
        <v>42948.0</v>
      </c>
      <c r="CT153" s="138">
        <v>42979.0</v>
      </c>
      <c r="CU153" s="138">
        <v>43009.0</v>
      </c>
      <c r="CV153" s="138">
        <v>43040.0</v>
      </c>
      <c r="CW153" s="138">
        <v>43070.0</v>
      </c>
      <c r="CX153" s="138">
        <v>43101.0</v>
      </c>
      <c r="CY153" s="138">
        <v>43132.0</v>
      </c>
      <c r="CZ153" s="138">
        <v>43160.0</v>
      </c>
      <c r="DA153" s="138">
        <v>43191.0</v>
      </c>
      <c r="DB153" s="138">
        <v>43221.0</v>
      </c>
      <c r="DC153" s="138">
        <v>43252.0</v>
      </c>
      <c r="DD153" s="138">
        <v>43282.0</v>
      </c>
      <c r="DE153" s="138">
        <v>43313.0</v>
      </c>
      <c r="DF153" s="138">
        <v>43344.0</v>
      </c>
      <c r="DG153" s="138">
        <v>43374.0</v>
      </c>
      <c r="DH153" s="138">
        <v>43405.0</v>
      </c>
      <c r="DI153" s="138">
        <v>43435.0</v>
      </c>
      <c r="DJ153" s="138">
        <v>43466.0</v>
      </c>
      <c r="DK153" s="138">
        <v>43497.0</v>
      </c>
      <c r="DL153" s="138">
        <v>43525.0</v>
      </c>
      <c r="DM153" s="138">
        <v>43556.0</v>
      </c>
      <c r="DN153" s="138">
        <v>43586.0</v>
      </c>
      <c r="DO153" s="138">
        <v>43617.0</v>
      </c>
      <c r="DP153" s="138">
        <v>43647.0</v>
      </c>
      <c r="DQ153" s="138">
        <v>43678.0</v>
      </c>
      <c r="DR153" s="138">
        <v>43709.0</v>
      </c>
      <c r="DS153" s="138">
        <v>43739.0</v>
      </c>
      <c r="DT153" s="138">
        <v>43770.0</v>
      </c>
      <c r="DU153" s="138">
        <v>43800.0</v>
      </c>
      <c r="DV153" s="138">
        <v>43831.0</v>
      </c>
      <c r="DW153" s="138">
        <v>43862.0</v>
      </c>
      <c r="DX153" s="138">
        <v>43891.0</v>
      </c>
      <c r="DY153" s="138">
        <v>43922.0</v>
      </c>
      <c r="DZ153" s="138">
        <v>43952.0</v>
      </c>
      <c r="EA153" s="138">
        <v>43983.0</v>
      </c>
      <c r="EB153" s="138">
        <v>44013.0</v>
      </c>
      <c r="EC153" s="138">
        <v>44044.0</v>
      </c>
      <c r="ED153" s="138">
        <v>44075.0</v>
      </c>
      <c r="EE153" s="138">
        <v>44105.0</v>
      </c>
      <c r="EF153" s="138">
        <v>44136.0</v>
      </c>
      <c r="EG153" s="138">
        <v>44166.0</v>
      </c>
      <c r="EH153" s="138">
        <v>44197.0</v>
      </c>
      <c r="EI153" s="138">
        <v>44228.0</v>
      </c>
      <c r="EJ153" s="138">
        <v>44256.0</v>
      </c>
      <c r="EK153" s="138">
        <v>44287.0</v>
      </c>
      <c r="EL153" s="138">
        <v>44317.0</v>
      </c>
      <c r="EM153" s="138">
        <v>44348.0</v>
      </c>
      <c r="EN153" s="138">
        <v>44378.0</v>
      </c>
      <c r="EO153" s="138">
        <v>44409.0</v>
      </c>
      <c r="EP153" s="138">
        <v>44440.0</v>
      </c>
      <c r="EQ153" s="138">
        <v>44470.0</v>
      </c>
      <c r="ER153" s="138">
        <v>44501.0</v>
      </c>
      <c r="ES153" s="138">
        <v>44531.0</v>
      </c>
      <c r="ET153" s="138">
        <v>44562.0</v>
      </c>
      <c r="EU153" s="138">
        <v>44593.0</v>
      </c>
      <c r="EV153" s="138">
        <v>44621.0</v>
      </c>
      <c r="EW153" s="138">
        <v>44652.0</v>
      </c>
      <c r="EX153" s="138">
        <v>44682.0</v>
      </c>
      <c r="EY153" s="138">
        <v>44713.0</v>
      </c>
      <c r="EZ153" s="138">
        <v>44743.0</v>
      </c>
      <c r="FA153" s="138">
        <v>44774.0</v>
      </c>
      <c r="FB153" s="138">
        <v>44805.0</v>
      </c>
      <c r="FC153" s="138">
        <v>44835.0</v>
      </c>
      <c r="FD153" s="138">
        <v>44866.0</v>
      </c>
      <c r="FE153" s="138">
        <v>44896.0</v>
      </c>
      <c r="FF153" s="138">
        <v>44927.0</v>
      </c>
      <c r="FG153" s="138">
        <v>44958.0</v>
      </c>
      <c r="FH153" s="138">
        <v>44986.0</v>
      </c>
      <c r="FI153" s="138">
        <v>45017.0</v>
      </c>
      <c r="FJ153" s="138">
        <v>45047.0</v>
      </c>
      <c r="FK153" s="138">
        <v>45078.0</v>
      </c>
      <c r="FL153" s="138">
        <v>45108.0</v>
      </c>
      <c r="FM153" s="138">
        <v>45139.0</v>
      </c>
      <c r="FN153" s="138">
        <v>45170.0</v>
      </c>
      <c r="FO153" s="138">
        <v>45200.0</v>
      </c>
      <c r="FP153" s="138">
        <v>45231.0</v>
      </c>
      <c r="FQ153" s="138">
        <v>45261.0</v>
      </c>
      <c r="FR153" s="138">
        <v>45292.0</v>
      </c>
      <c r="FS153" s="138">
        <v>45323.0</v>
      </c>
      <c r="FT153" s="138">
        <v>45352.0</v>
      </c>
      <c r="FU153" s="138">
        <v>45383.0</v>
      </c>
      <c r="FV153" s="138">
        <v>45413.0</v>
      </c>
      <c r="FW153" s="138">
        <v>45444.0</v>
      </c>
      <c r="FX153" s="138">
        <v>45474.0</v>
      </c>
      <c r="FY153" s="138">
        <v>45505.0</v>
      </c>
      <c r="FZ153" s="138">
        <v>45536.0</v>
      </c>
      <c r="GA153" s="138">
        <v>45566.0</v>
      </c>
      <c r="GB153" s="138">
        <v>45597.0</v>
      </c>
      <c r="GC153" s="138">
        <v>45627.0</v>
      </c>
      <c r="GD153" s="138">
        <v>45658.0</v>
      </c>
      <c r="GE153" s="138">
        <v>45689.0</v>
      </c>
      <c r="GF153" s="138">
        <v>45717.0</v>
      </c>
      <c r="GG153" s="138">
        <v>45748.0</v>
      </c>
      <c r="GH153" s="138">
        <v>45778.0</v>
      </c>
      <c r="GI153" s="138">
        <v>45809.0</v>
      </c>
      <c r="GJ153" s="138">
        <v>45839.0</v>
      </c>
    </row>
    <row r="154">
      <c r="A154" s="133" t="s">
        <v>1489</v>
      </c>
      <c r="B154" s="134">
        <v>45846.68206018519</v>
      </c>
      <c r="C154" s="135" t="str">
        <f t="shared" si="1"/>
        <v>2025/07/08</v>
      </c>
      <c r="D154" s="136" t="s">
        <v>34340</v>
      </c>
      <c r="E154" s="151">
        <v>0.0</v>
      </c>
      <c r="F154" s="138">
        <v>40179.0</v>
      </c>
      <c r="G154" s="138">
        <v>40210.0</v>
      </c>
      <c r="H154" s="138">
        <v>40238.0</v>
      </c>
      <c r="I154" s="138">
        <v>40269.0</v>
      </c>
      <c r="J154" s="138">
        <v>40299.0</v>
      </c>
      <c r="K154" s="138">
        <v>40330.0</v>
      </c>
      <c r="L154" s="138">
        <v>40360.0</v>
      </c>
      <c r="M154" s="138">
        <v>40391.0</v>
      </c>
      <c r="N154" s="138">
        <v>40422.0</v>
      </c>
      <c r="O154" s="138">
        <v>40452.0</v>
      </c>
      <c r="P154" s="138">
        <v>40483.0</v>
      </c>
      <c r="Q154" s="138">
        <v>40513.0</v>
      </c>
      <c r="R154" s="138">
        <v>40544.0</v>
      </c>
      <c r="S154" s="138">
        <v>40575.0</v>
      </c>
      <c r="T154" s="138">
        <v>40603.0</v>
      </c>
      <c r="U154" s="138">
        <v>40634.0</v>
      </c>
      <c r="V154" s="138">
        <v>40664.0</v>
      </c>
      <c r="W154" s="138">
        <v>40695.0</v>
      </c>
      <c r="X154" s="138">
        <v>40725.0</v>
      </c>
      <c r="Y154" s="138">
        <v>40756.0</v>
      </c>
      <c r="Z154" s="138">
        <v>40787.0</v>
      </c>
      <c r="AA154" s="138">
        <v>40817.0</v>
      </c>
      <c r="AB154" s="138">
        <v>40848.0</v>
      </c>
      <c r="AC154" s="138">
        <v>40878.0</v>
      </c>
      <c r="AD154" s="138">
        <v>40909.0</v>
      </c>
      <c r="AE154" s="138">
        <v>40940.0</v>
      </c>
      <c r="AF154" s="138">
        <v>40969.0</v>
      </c>
      <c r="AG154" s="138">
        <v>41000.0</v>
      </c>
      <c r="AH154" s="138">
        <v>41030.0</v>
      </c>
      <c r="AI154" s="138">
        <v>41061.0</v>
      </c>
      <c r="AJ154" s="138">
        <v>41091.0</v>
      </c>
      <c r="AK154" s="138">
        <v>41122.0</v>
      </c>
      <c r="AL154" s="138">
        <v>41153.0</v>
      </c>
      <c r="AM154" s="138">
        <v>41183.0</v>
      </c>
      <c r="AN154" s="138">
        <v>41214.0</v>
      </c>
      <c r="AO154" s="138">
        <v>41244.0</v>
      </c>
      <c r="AP154" s="138">
        <v>41275.0</v>
      </c>
      <c r="AQ154" s="138">
        <v>41306.0</v>
      </c>
      <c r="AR154" s="138">
        <v>41334.0</v>
      </c>
      <c r="AS154" s="138">
        <v>41365.0</v>
      </c>
      <c r="AT154" s="138">
        <v>41395.0</v>
      </c>
      <c r="AU154" s="138">
        <v>41426.0</v>
      </c>
      <c r="AV154" s="138">
        <v>41456.0</v>
      </c>
      <c r="AW154" s="138">
        <v>41487.0</v>
      </c>
      <c r="AX154" s="138">
        <v>41518.0</v>
      </c>
      <c r="AY154" s="138">
        <v>41548.0</v>
      </c>
      <c r="AZ154" s="138">
        <v>41579.0</v>
      </c>
      <c r="BA154" s="138">
        <v>41609.0</v>
      </c>
      <c r="BB154" s="138">
        <v>41640.0</v>
      </c>
      <c r="BC154" s="138">
        <v>41671.0</v>
      </c>
      <c r="BD154" s="138">
        <v>41699.0</v>
      </c>
      <c r="BE154" s="138">
        <v>41730.0</v>
      </c>
      <c r="BF154" s="138">
        <v>41760.0</v>
      </c>
      <c r="BG154" s="138">
        <v>41791.0</v>
      </c>
      <c r="BH154" s="138">
        <v>41821.0</v>
      </c>
      <c r="BI154" s="138">
        <v>41852.0</v>
      </c>
      <c r="BJ154" s="138">
        <v>41883.0</v>
      </c>
      <c r="BK154" s="138">
        <v>41913.0</v>
      </c>
      <c r="BL154" s="138">
        <v>41944.0</v>
      </c>
      <c r="BM154" s="138">
        <v>41974.0</v>
      </c>
      <c r="BN154" s="138">
        <v>42005.0</v>
      </c>
      <c r="BO154" s="138">
        <v>42036.0</v>
      </c>
      <c r="BP154" s="138">
        <v>42064.0</v>
      </c>
      <c r="BQ154" s="138">
        <v>42095.0</v>
      </c>
      <c r="BR154" s="138">
        <v>42125.0</v>
      </c>
      <c r="BS154" s="138">
        <v>42156.0</v>
      </c>
      <c r="BT154" s="138">
        <v>42186.0</v>
      </c>
      <c r="BU154" s="138">
        <v>42217.0</v>
      </c>
      <c r="BV154" s="138">
        <v>42248.0</v>
      </c>
      <c r="BW154" s="138">
        <v>42278.0</v>
      </c>
      <c r="BX154" s="138">
        <v>42309.0</v>
      </c>
      <c r="BY154" s="138">
        <v>42339.0</v>
      </c>
      <c r="BZ154" s="138">
        <v>42370.0</v>
      </c>
      <c r="CA154" s="138">
        <v>42401.0</v>
      </c>
      <c r="CB154" s="138">
        <v>42430.0</v>
      </c>
      <c r="CC154" s="138">
        <v>42461.0</v>
      </c>
      <c r="CD154" s="138">
        <v>42491.0</v>
      </c>
      <c r="CE154" s="138">
        <v>42522.0</v>
      </c>
      <c r="CF154" s="138">
        <v>42552.0</v>
      </c>
      <c r="CG154" s="138">
        <v>42583.0</v>
      </c>
      <c r="CH154" s="138">
        <v>42614.0</v>
      </c>
      <c r="CI154" s="138">
        <v>42644.0</v>
      </c>
      <c r="CJ154" s="138">
        <v>42675.0</v>
      </c>
      <c r="CK154" s="138">
        <v>42705.0</v>
      </c>
      <c r="CL154" s="138">
        <v>42736.0</v>
      </c>
      <c r="CM154" s="138">
        <v>42767.0</v>
      </c>
      <c r="CN154" s="138">
        <v>42795.0</v>
      </c>
      <c r="CO154" s="138">
        <v>42826.0</v>
      </c>
      <c r="CP154" s="138">
        <v>42856.0</v>
      </c>
      <c r="CQ154" s="138">
        <v>42887.0</v>
      </c>
      <c r="CR154" s="138">
        <v>42917.0</v>
      </c>
      <c r="CS154" s="138">
        <v>42948.0</v>
      </c>
      <c r="CT154" s="138">
        <v>42979.0</v>
      </c>
      <c r="CU154" s="138">
        <v>43009.0</v>
      </c>
      <c r="CV154" s="138">
        <v>43040.0</v>
      </c>
      <c r="CW154" s="138">
        <v>43070.0</v>
      </c>
      <c r="CX154" s="138">
        <v>43101.0</v>
      </c>
      <c r="CY154" s="138">
        <v>43132.0</v>
      </c>
      <c r="CZ154" s="138">
        <v>43160.0</v>
      </c>
      <c r="DA154" s="138">
        <v>43191.0</v>
      </c>
      <c r="DB154" s="138">
        <v>43221.0</v>
      </c>
      <c r="DC154" s="138">
        <v>43252.0</v>
      </c>
      <c r="DD154" s="138">
        <v>43282.0</v>
      </c>
      <c r="DE154" s="138">
        <v>43313.0</v>
      </c>
      <c r="DF154" s="138">
        <v>43344.0</v>
      </c>
      <c r="DG154" s="138">
        <v>43374.0</v>
      </c>
      <c r="DH154" s="138">
        <v>43405.0</v>
      </c>
      <c r="DI154" s="138">
        <v>43435.0</v>
      </c>
      <c r="DJ154" s="138">
        <v>43466.0</v>
      </c>
      <c r="DK154" s="138">
        <v>43497.0</v>
      </c>
      <c r="DL154" s="138">
        <v>43525.0</v>
      </c>
      <c r="DM154" s="138">
        <v>43556.0</v>
      </c>
      <c r="DN154" s="138">
        <v>43586.0</v>
      </c>
      <c r="DO154" s="138">
        <v>43617.0</v>
      </c>
      <c r="DP154" s="138">
        <v>43647.0</v>
      </c>
      <c r="DQ154" s="138">
        <v>43678.0</v>
      </c>
      <c r="DR154" s="138">
        <v>43709.0</v>
      </c>
      <c r="DS154" s="138">
        <v>43739.0</v>
      </c>
      <c r="DT154" s="138">
        <v>43770.0</v>
      </c>
      <c r="DU154" s="138">
        <v>43800.0</v>
      </c>
      <c r="DV154" s="138">
        <v>43831.0</v>
      </c>
      <c r="DW154" s="138">
        <v>43862.0</v>
      </c>
      <c r="DX154" s="138">
        <v>43891.0</v>
      </c>
      <c r="DY154" s="138">
        <v>43922.0</v>
      </c>
      <c r="DZ154" s="138">
        <v>43952.0</v>
      </c>
      <c r="EA154" s="138">
        <v>43983.0</v>
      </c>
      <c r="EB154" s="138">
        <v>44013.0</v>
      </c>
      <c r="EC154" s="138">
        <v>44044.0</v>
      </c>
      <c r="ED154" s="138">
        <v>44075.0</v>
      </c>
      <c r="EE154" s="138">
        <v>44105.0</v>
      </c>
      <c r="EF154" s="138">
        <v>44136.0</v>
      </c>
      <c r="EG154" s="138">
        <v>44166.0</v>
      </c>
      <c r="EH154" s="138">
        <v>44197.0</v>
      </c>
      <c r="EI154" s="138">
        <v>44228.0</v>
      </c>
      <c r="EJ154" s="138">
        <v>44256.0</v>
      </c>
      <c r="EK154" s="138">
        <v>44287.0</v>
      </c>
      <c r="EL154" s="138">
        <v>44317.0</v>
      </c>
      <c r="EM154" s="138">
        <v>44348.0</v>
      </c>
      <c r="EN154" s="138">
        <v>44378.0</v>
      </c>
      <c r="EO154" s="138">
        <v>44409.0</v>
      </c>
      <c r="EP154" s="138">
        <v>44440.0</v>
      </c>
      <c r="EQ154" s="138">
        <v>44470.0</v>
      </c>
      <c r="ER154" s="138">
        <v>44501.0</v>
      </c>
      <c r="ES154" s="138">
        <v>44531.0</v>
      </c>
      <c r="ET154" s="138">
        <v>44562.0</v>
      </c>
      <c r="EU154" s="138">
        <v>44593.0</v>
      </c>
      <c r="EV154" s="138">
        <v>44621.0</v>
      </c>
      <c r="EW154" s="138">
        <v>44652.0</v>
      </c>
      <c r="EX154" s="138">
        <v>44682.0</v>
      </c>
      <c r="EY154" s="138">
        <v>44713.0</v>
      </c>
      <c r="EZ154" s="138">
        <v>44743.0</v>
      </c>
      <c r="FA154" s="138">
        <v>44774.0</v>
      </c>
      <c r="FB154" s="138">
        <v>44805.0</v>
      </c>
      <c r="FC154" s="138">
        <v>44835.0</v>
      </c>
      <c r="FD154" s="138">
        <v>44866.0</v>
      </c>
      <c r="FE154" s="138">
        <v>44896.0</v>
      </c>
      <c r="FF154" s="138">
        <v>44927.0</v>
      </c>
      <c r="FG154" s="138">
        <v>44958.0</v>
      </c>
      <c r="FH154" s="138">
        <v>44986.0</v>
      </c>
      <c r="FI154" s="138">
        <v>45017.0</v>
      </c>
      <c r="FJ154" s="138">
        <v>45047.0</v>
      </c>
      <c r="FK154" s="138">
        <v>45078.0</v>
      </c>
      <c r="FL154" s="138">
        <v>45108.0</v>
      </c>
      <c r="FM154" s="138">
        <v>45139.0</v>
      </c>
      <c r="FN154" s="138">
        <v>45170.0</v>
      </c>
      <c r="FO154" s="138">
        <v>45200.0</v>
      </c>
      <c r="FP154" s="138">
        <v>45231.0</v>
      </c>
      <c r="FQ154" s="138">
        <v>45261.0</v>
      </c>
      <c r="FR154" s="138">
        <v>45292.0</v>
      </c>
      <c r="FS154" s="138">
        <v>45323.0</v>
      </c>
      <c r="FT154" s="138">
        <v>45352.0</v>
      </c>
      <c r="FU154" s="138">
        <v>45383.0</v>
      </c>
      <c r="FV154" s="138">
        <v>45413.0</v>
      </c>
      <c r="FW154" s="138">
        <v>45444.0</v>
      </c>
      <c r="FX154" s="138">
        <v>45474.0</v>
      </c>
      <c r="FY154" s="138">
        <v>45505.0</v>
      </c>
      <c r="FZ154" s="138">
        <v>45536.0</v>
      </c>
      <c r="GA154" s="138">
        <v>45566.0</v>
      </c>
      <c r="GB154" s="138">
        <v>45597.0</v>
      </c>
      <c r="GC154" s="138">
        <v>45627.0</v>
      </c>
      <c r="GD154" s="138">
        <v>45658.0</v>
      </c>
      <c r="GE154" s="138">
        <v>45689.0</v>
      </c>
      <c r="GF154" s="138">
        <v>45717.0</v>
      </c>
      <c r="GG154" s="138">
        <v>45748.0</v>
      </c>
      <c r="GH154" s="138">
        <v>45778.0</v>
      </c>
      <c r="GI154" s="138">
        <v>45809.0</v>
      </c>
      <c r="GJ154" s="138">
        <v>45839.0</v>
      </c>
    </row>
    <row r="155">
      <c r="A155" s="133" t="s">
        <v>1748</v>
      </c>
      <c r="B155" s="134">
        <v>45846.694861111115</v>
      </c>
      <c r="C155" s="135" t="str">
        <f t="shared" si="1"/>
        <v>2025/07/08</v>
      </c>
      <c r="D155" s="136" t="s">
        <v>34341</v>
      </c>
      <c r="E155" s="151">
        <v>0.0</v>
      </c>
      <c r="F155" s="138">
        <v>40179.0</v>
      </c>
      <c r="G155" s="138">
        <v>40210.0</v>
      </c>
      <c r="H155" s="138">
        <v>40238.0</v>
      </c>
      <c r="I155" s="138">
        <v>40269.0</v>
      </c>
      <c r="J155" s="138">
        <v>40299.0</v>
      </c>
      <c r="K155" s="138">
        <v>40330.0</v>
      </c>
      <c r="L155" s="138">
        <v>40360.0</v>
      </c>
      <c r="M155" s="138">
        <v>40391.0</v>
      </c>
      <c r="N155" s="138">
        <v>40422.0</v>
      </c>
      <c r="O155" s="138">
        <v>40452.0</v>
      </c>
      <c r="P155" s="138">
        <v>40483.0</v>
      </c>
      <c r="Q155" s="138">
        <v>40513.0</v>
      </c>
      <c r="R155" s="138">
        <v>40544.0</v>
      </c>
      <c r="S155" s="138">
        <v>40575.0</v>
      </c>
      <c r="T155" s="138">
        <v>40603.0</v>
      </c>
      <c r="U155" s="138">
        <v>40634.0</v>
      </c>
      <c r="V155" s="138">
        <v>40664.0</v>
      </c>
      <c r="W155" s="138">
        <v>40695.0</v>
      </c>
      <c r="X155" s="138">
        <v>40725.0</v>
      </c>
      <c r="Y155" s="138">
        <v>40756.0</v>
      </c>
      <c r="Z155" s="138">
        <v>40787.0</v>
      </c>
      <c r="AA155" s="138">
        <v>40817.0</v>
      </c>
      <c r="AB155" s="138">
        <v>40848.0</v>
      </c>
      <c r="AC155" s="138">
        <v>40878.0</v>
      </c>
      <c r="AD155" s="138">
        <v>40909.0</v>
      </c>
      <c r="AE155" s="138">
        <v>40940.0</v>
      </c>
      <c r="AF155" s="138">
        <v>40969.0</v>
      </c>
      <c r="AG155" s="138">
        <v>41000.0</v>
      </c>
      <c r="AH155" s="138">
        <v>41030.0</v>
      </c>
      <c r="AI155" s="138">
        <v>41061.0</v>
      </c>
      <c r="AJ155" s="138">
        <v>41091.0</v>
      </c>
      <c r="AK155" s="138">
        <v>41122.0</v>
      </c>
      <c r="AL155" s="138">
        <v>41153.0</v>
      </c>
      <c r="AM155" s="138">
        <v>41183.0</v>
      </c>
      <c r="AN155" s="138">
        <v>41214.0</v>
      </c>
      <c r="AO155" s="138">
        <v>41244.0</v>
      </c>
      <c r="AP155" s="138">
        <v>41275.0</v>
      </c>
      <c r="AQ155" s="138">
        <v>41306.0</v>
      </c>
      <c r="AR155" s="138">
        <v>41334.0</v>
      </c>
      <c r="AS155" s="138">
        <v>41365.0</v>
      </c>
      <c r="AT155" s="138">
        <v>41395.0</v>
      </c>
      <c r="AU155" s="138">
        <v>41426.0</v>
      </c>
      <c r="AV155" s="138">
        <v>41456.0</v>
      </c>
      <c r="AW155" s="138">
        <v>41487.0</v>
      </c>
      <c r="AX155" s="138">
        <v>41518.0</v>
      </c>
      <c r="AY155" s="138">
        <v>41548.0</v>
      </c>
      <c r="AZ155" s="138">
        <v>41579.0</v>
      </c>
      <c r="BA155" s="138">
        <v>41609.0</v>
      </c>
      <c r="BB155" s="138">
        <v>41640.0</v>
      </c>
      <c r="BC155" s="138">
        <v>41671.0</v>
      </c>
      <c r="BD155" s="138">
        <v>41699.0</v>
      </c>
      <c r="BE155" s="138">
        <v>41730.0</v>
      </c>
      <c r="BF155" s="138">
        <v>41760.0</v>
      </c>
      <c r="BG155" s="138">
        <v>41791.0</v>
      </c>
      <c r="BH155" s="138">
        <v>41821.0</v>
      </c>
      <c r="BI155" s="138">
        <v>41852.0</v>
      </c>
      <c r="BJ155" s="138">
        <v>41883.0</v>
      </c>
      <c r="BK155" s="138">
        <v>41913.0</v>
      </c>
      <c r="BL155" s="138">
        <v>41944.0</v>
      </c>
      <c r="BM155" s="138">
        <v>41974.0</v>
      </c>
      <c r="BN155" s="138">
        <v>42005.0</v>
      </c>
      <c r="BO155" s="138">
        <v>42036.0</v>
      </c>
      <c r="BP155" s="138">
        <v>42064.0</v>
      </c>
      <c r="BQ155" s="138">
        <v>42095.0</v>
      </c>
      <c r="BR155" s="138">
        <v>42125.0</v>
      </c>
      <c r="BS155" s="138">
        <v>42156.0</v>
      </c>
      <c r="BT155" s="138">
        <v>42186.0</v>
      </c>
      <c r="BU155" s="138">
        <v>42217.0</v>
      </c>
      <c r="BV155" s="138">
        <v>42248.0</v>
      </c>
      <c r="BW155" s="138">
        <v>42278.0</v>
      </c>
      <c r="BX155" s="138">
        <v>42309.0</v>
      </c>
      <c r="BY155" s="138">
        <v>42339.0</v>
      </c>
      <c r="BZ155" s="138">
        <v>42370.0</v>
      </c>
      <c r="CA155" s="138">
        <v>42401.0</v>
      </c>
      <c r="CB155" s="138">
        <v>42430.0</v>
      </c>
      <c r="CC155" s="138">
        <v>42461.0</v>
      </c>
      <c r="CD155" s="138">
        <v>42491.0</v>
      </c>
      <c r="CE155" s="138">
        <v>42522.0</v>
      </c>
      <c r="CF155" s="138">
        <v>42552.0</v>
      </c>
      <c r="CG155" s="138">
        <v>42583.0</v>
      </c>
      <c r="CH155" s="138">
        <v>42614.0</v>
      </c>
      <c r="CI155" s="138">
        <v>42644.0</v>
      </c>
      <c r="CJ155" s="138">
        <v>42675.0</v>
      </c>
      <c r="CK155" s="138">
        <v>42705.0</v>
      </c>
      <c r="CL155" s="138">
        <v>42736.0</v>
      </c>
      <c r="CM155" s="138">
        <v>42767.0</v>
      </c>
      <c r="CN155" s="138">
        <v>42795.0</v>
      </c>
      <c r="CO155" s="138">
        <v>42826.0</v>
      </c>
      <c r="CP155" s="138">
        <v>42856.0</v>
      </c>
      <c r="CQ155" s="138">
        <v>42887.0</v>
      </c>
      <c r="CR155" s="138">
        <v>42917.0</v>
      </c>
      <c r="CS155" s="138">
        <v>42948.0</v>
      </c>
      <c r="CT155" s="138">
        <v>42979.0</v>
      </c>
      <c r="CU155" s="138">
        <v>43009.0</v>
      </c>
      <c r="CV155" s="138">
        <v>43040.0</v>
      </c>
      <c r="CW155" s="138">
        <v>43070.0</v>
      </c>
      <c r="CX155" s="138">
        <v>43101.0</v>
      </c>
      <c r="CY155" s="138">
        <v>43132.0</v>
      </c>
      <c r="CZ155" s="138">
        <v>43160.0</v>
      </c>
      <c r="DA155" s="138">
        <v>43191.0</v>
      </c>
      <c r="DB155" s="138">
        <v>43221.0</v>
      </c>
      <c r="DC155" s="138">
        <v>43252.0</v>
      </c>
      <c r="DD155" s="138">
        <v>43282.0</v>
      </c>
      <c r="DE155" s="138">
        <v>43313.0</v>
      </c>
      <c r="DF155" s="138">
        <v>43344.0</v>
      </c>
      <c r="DG155" s="138">
        <v>43374.0</v>
      </c>
      <c r="DH155" s="138">
        <v>43405.0</v>
      </c>
      <c r="DI155" s="138">
        <v>43435.0</v>
      </c>
      <c r="DJ155" s="138">
        <v>43466.0</v>
      </c>
      <c r="DK155" s="138">
        <v>43497.0</v>
      </c>
      <c r="DL155" s="138">
        <v>43525.0</v>
      </c>
      <c r="DM155" s="138">
        <v>43556.0</v>
      </c>
      <c r="DN155" s="138">
        <v>43586.0</v>
      </c>
      <c r="DO155" s="138">
        <v>43617.0</v>
      </c>
      <c r="DP155" s="138">
        <v>43647.0</v>
      </c>
      <c r="DQ155" s="138">
        <v>43678.0</v>
      </c>
      <c r="DR155" s="138">
        <v>43709.0</v>
      </c>
      <c r="DS155" s="138">
        <v>43739.0</v>
      </c>
      <c r="DT155" s="138">
        <v>43770.0</v>
      </c>
      <c r="DU155" s="138">
        <v>43800.0</v>
      </c>
      <c r="DV155" s="138">
        <v>43831.0</v>
      </c>
      <c r="DW155" s="138">
        <v>43862.0</v>
      </c>
      <c r="DX155" s="138">
        <v>43891.0</v>
      </c>
      <c r="DY155" s="138">
        <v>43922.0</v>
      </c>
      <c r="DZ155" s="138">
        <v>43952.0</v>
      </c>
      <c r="EA155" s="138">
        <v>43983.0</v>
      </c>
      <c r="EB155" s="138">
        <v>44013.0</v>
      </c>
      <c r="EC155" s="138">
        <v>44044.0</v>
      </c>
      <c r="ED155" s="138">
        <v>44075.0</v>
      </c>
      <c r="EE155" s="138">
        <v>44105.0</v>
      </c>
      <c r="EF155" s="138">
        <v>44136.0</v>
      </c>
      <c r="EG155" s="138">
        <v>44166.0</v>
      </c>
      <c r="EH155" s="138">
        <v>44197.0</v>
      </c>
      <c r="EI155" s="138">
        <v>44228.0</v>
      </c>
      <c r="EJ155" s="138">
        <v>44256.0</v>
      </c>
      <c r="EK155" s="138">
        <v>44287.0</v>
      </c>
      <c r="EL155" s="138">
        <v>44317.0</v>
      </c>
      <c r="EM155" s="138">
        <v>44348.0</v>
      </c>
      <c r="EN155" s="138">
        <v>44378.0</v>
      </c>
      <c r="EO155" s="138">
        <v>44409.0</v>
      </c>
      <c r="EP155" s="138">
        <v>44440.0</v>
      </c>
      <c r="EQ155" s="138">
        <v>44470.0</v>
      </c>
      <c r="ER155" s="138">
        <v>44501.0</v>
      </c>
      <c r="ES155" s="138">
        <v>44531.0</v>
      </c>
      <c r="ET155" s="138">
        <v>44562.0</v>
      </c>
      <c r="EU155" s="138">
        <v>44593.0</v>
      </c>
      <c r="EV155" s="138">
        <v>44621.0</v>
      </c>
      <c r="EW155" s="138">
        <v>44652.0</v>
      </c>
      <c r="EX155" s="138">
        <v>44682.0</v>
      </c>
      <c r="EY155" s="138">
        <v>44713.0</v>
      </c>
      <c r="EZ155" s="138">
        <v>44743.0</v>
      </c>
      <c r="FA155" s="138">
        <v>44774.0</v>
      </c>
      <c r="FB155" s="138">
        <v>44805.0</v>
      </c>
      <c r="FC155" s="138">
        <v>44835.0</v>
      </c>
      <c r="FD155" s="138">
        <v>44866.0</v>
      </c>
      <c r="FE155" s="138">
        <v>44896.0</v>
      </c>
      <c r="FF155" s="138">
        <v>44927.0</v>
      </c>
      <c r="FG155" s="138">
        <v>44958.0</v>
      </c>
      <c r="FH155" s="138">
        <v>44986.0</v>
      </c>
      <c r="FI155" s="138">
        <v>45017.0</v>
      </c>
      <c r="FJ155" s="138">
        <v>45047.0</v>
      </c>
      <c r="FK155" s="138">
        <v>45078.0</v>
      </c>
      <c r="FL155" s="138">
        <v>45108.0</v>
      </c>
      <c r="FM155" s="138">
        <v>45139.0</v>
      </c>
      <c r="FN155" s="138">
        <v>45170.0</v>
      </c>
      <c r="FO155" s="138">
        <v>45200.0</v>
      </c>
      <c r="FP155" s="138">
        <v>45231.0</v>
      </c>
      <c r="FQ155" s="138">
        <v>45261.0</v>
      </c>
      <c r="FR155" s="138">
        <v>45292.0</v>
      </c>
      <c r="FS155" s="138">
        <v>45323.0</v>
      </c>
      <c r="FT155" s="138">
        <v>45352.0</v>
      </c>
      <c r="FU155" s="138">
        <v>45383.0</v>
      </c>
      <c r="FV155" s="138">
        <v>45413.0</v>
      </c>
      <c r="FW155" s="138">
        <v>45444.0</v>
      </c>
      <c r="FX155" s="138">
        <v>45474.0</v>
      </c>
      <c r="FY155" s="138">
        <v>45505.0</v>
      </c>
      <c r="FZ155" s="138">
        <v>45536.0</v>
      </c>
      <c r="GA155" s="138">
        <v>45566.0</v>
      </c>
      <c r="GB155" s="138">
        <v>45597.0</v>
      </c>
      <c r="GC155" s="138">
        <v>45627.0</v>
      </c>
      <c r="GD155" s="138">
        <v>45658.0</v>
      </c>
      <c r="GE155" s="138">
        <v>45689.0</v>
      </c>
      <c r="GF155" s="138">
        <v>45717.0</v>
      </c>
      <c r="GG155" s="138">
        <v>45748.0</v>
      </c>
      <c r="GH155" s="138">
        <v>45778.0</v>
      </c>
      <c r="GI155" s="138">
        <v>45809.0</v>
      </c>
      <c r="GJ155" s="138">
        <v>45839.0</v>
      </c>
    </row>
    <row r="156">
      <c r="A156" s="133" t="s">
        <v>1580</v>
      </c>
      <c r="B156" s="134">
        <v>45846.70431712963</v>
      </c>
      <c r="C156" s="135" t="str">
        <f t="shared" si="1"/>
        <v>2025/07/08</v>
      </c>
      <c r="D156" s="136" t="s">
        <v>34342</v>
      </c>
      <c r="E156" s="151">
        <v>0.0</v>
      </c>
      <c r="F156" s="138">
        <v>40179.0</v>
      </c>
      <c r="G156" s="138">
        <v>40210.0</v>
      </c>
      <c r="H156" s="138">
        <v>40238.0</v>
      </c>
      <c r="I156" s="138">
        <v>40269.0</v>
      </c>
      <c r="J156" s="138">
        <v>40299.0</v>
      </c>
      <c r="K156" s="138">
        <v>40330.0</v>
      </c>
      <c r="L156" s="138">
        <v>40360.0</v>
      </c>
      <c r="M156" s="138">
        <v>40391.0</v>
      </c>
      <c r="N156" s="138">
        <v>40422.0</v>
      </c>
      <c r="O156" s="138">
        <v>40452.0</v>
      </c>
      <c r="P156" s="138">
        <v>40483.0</v>
      </c>
      <c r="Q156" s="138">
        <v>40513.0</v>
      </c>
      <c r="R156" s="138">
        <v>40544.0</v>
      </c>
      <c r="S156" s="138">
        <v>40575.0</v>
      </c>
      <c r="T156" s="138">
        <v>40603.0</v>
      </c>
      <c r="U156" s="138">
        <v>40634.0</v>
      </c>
      <c r="V156" s="138">
        <v>40664.0</v>
      </c>
      <c r="W156" s="138">
        <v>40695.0</v>
      </c>
      <c r="X156" s="138">
        <v>40725.0</v>
      </c>
      <c r="Y156" s="138">
        <v>40756.0</v>
      </c>
      <c r="Z156" s="138">
        <v>40787.0</v>
      </c>
      <c r="AA156" s="138">
        <v>40817.0</v>
      </c>
      <c r="AB156" s="138">
        <v>40848.0</v>
      </c>
      <c r="AC156" s="138">
        <v>40878.0</v>
      </c>
      <c r="AD156" s="138">
        <v>40909.0</v>
      </c>
      <c r="AE156" s="138">
        <v>40940.0</v>
      </c>
      <c r="AF156" s="138">
        <v>40969.0</v>
      </c>
      <c r="AG156" s="138">
        <v>41000.0</v>
      </c>
      <c r="AH156" s="138">
        <v>41030.0</v>
      </c>
      <c r="AI156" s="138">
        <v>41061.0</v>
      </c>
      <c r="AJ156" s="138">
        <v>41091.0</v>
      </c>
      <c r="AK156" s="138">
        <v>41122.0</v>
      </c>
      <c r="AL156" s="138">
        <v>41153.0</v>
      </c>
      <c r="AM156" s="138">
        <v>41183.0</v>
      </c>
      <c r="AN156" s="138">
        <v>41214.0</v>
      </c>
      <c r="AO156" s="138">
        <v>41244.0</v>
      </c>
      <c r="AP156" s="138">
        <v>41275.0</v>
      </c>
      <c r="AQ156" s="138">
        <v>41306.0</v>
      </c>
      <c r="AR156" s="138">
        <v>41334.0</v>
      </c>
      <c r="AS156" s="138">
        <v>41365.0</v>
      </c>
      <c r="AT156" s="138">
        <v>41395.0</v>
      </c>
      <c r="AU156" s="138">
        <v>41426.0</v>
      </c>
      <c r="AV156" s="138">
        <v>41456.0</v>
      </c>
      <c r="AW156" s="138">
        <v>41487.0</v>
      </c>
      <c r="AX156" s="138">
        <v>41518.0</v>
      </c>
      <c r="AY156" s="138">
        <v>41548.0</v>
      </c>
      <c r="AZ156" s="138">
        <v>41579.0</v>
      </c>
      <c r="BA156" s="138">
        <v>41609.0</v>
      </c>
      <c r="BB156" s="138">
        <v>41640.0</v>
      </c>
      <c r="BC156" s="138">
        <v>41671.0</v>
      </c>
      <c r="BD156" s="138">
        <v>41699.0</v>
      </c>
      <c r="BE156" s="138">
        <v>41730.0</v>
      </c>
      <c r="BF156" s="138">
        <v>41760.0</v>
      </c>
      <c r="BG156" s="138">
        <v>41791.0</v>
      </c>
      <c r="BH156" s="138">
        <v>41821.0</v>
      </c>
      <c r="BI156" s="138">
        <v>41852.0</v>
      </c>
      <c r="BJ156" s="138">
        <v>41883.0</v>
      </c>
      <c r="BK156" s="138">
        <v>41913.0</v>
      </c>
      <c r="BL156" s="138">
        <v>41944.0</v>
      </c>
      <c r="BM156" s="138">
        <v>41974.0</v>
      </c>
      <c r="BN156" s="138">
        <v>42005.0</v>
      </c>
      <c r="BO156" s="138">
        <v>42036.0</v>
      </c>
      <c r="BP156" s="138">
        <v>42064.0</v>
      </c>
      <c r="BQ156" s="138">
        <v>42095.0</v>
      </c>
      <c r="BR156" s="138">
        <v>42125.0</v>
      </c>
      <c r="BS156" s="138">
        <v>42156.0</v>
      </c>
      <c r="BT156" s="138">
        <v>42186.0</v>
      </c>
      <c r="BU156" s="138">
        <v>42217.0</v>
      </c>
      <c r="BV156" s="138">
        <v>42248.0</v>
      </c>
      <c r="BW156" s="138">
        <v>42278.0</v>
      </c>
      <c r="BX156" s="138">
        <v>42309.0</v>
      </c>
      <c r="BY156" s="138">
        <v>42339.0</v>
      </c>
      <c r="BZ156" s="138">
        <v>42370.0</v>
      </c>
      <c r="CA156" s="138">
        <v>42401.0</v>
      </c>
      <c r="CB156" s="138">
        <v>42430.0</v>
      </c>
      <c r="CC156" s="138">
        <v>42461.0</v>
      </c>
      <c r="CD156" s="138">
        <v>42491.0</v>
      </c>
      <c r="CE156" s="138">
        <v>42522.0</v>
      </c>
      <c r="CF156" s="138">
        <v>42552.0</v>
      </c>
      <c r="CG156" s="138">
        <v>42583.0</v>
      </c>
      <c r="CH156" s="138">
        <v>42614.0</v>
      </c>
      <c r="CI156" s="138">
        <v>42644.0</v>
      </c>
      <c r="CJ156" s="138">
        <v>42675.0</v>
      </c>
      <c r="CK156" s="138">
        <v>42705.0</v>
      </c>
      <c r="CL156" s="138">
        <v>42736.0</v>
      </c>
      <c r="CM156" s="138">
        <v>42767.0</v>
      </c>
      <c r="CN156" s="138">
        <v>42795.0</v>
      </c>
      <c r="CO156" s="138">
        <v>42826.0</v>
      </c>
      <c r="CP156" s="138">
        <v>42856.0</v>
      </c>
      <c r="CQ156" s="138">
        <v>42887.0</v>
      </c>
      <c r="CR156" s="138">
        <v>42917.0</v>
      </c>
      <c r="CS156" s="138">
        <v>42948.0</v>
      </c>
      <c r="CT156" s="138">
        <v>42979.0</v>
      </c>
      <c r="CU156" s="138">
        <v>43009.0</v>
      </c>
      <c r="CV156" s="138">
        <v>43040.0</v>
      </c>
      <c r="CW156" s="138">
        <v>43070.0</v>
      </c>
      <c r="CX156" s="138">
        <v>43101.0</v>
      </c>
      <c r="CY156" s="138">
        <v>43132.0</v>
      </c>
      <c r="CZ156" s="138">
        <v>43160.0</v>
      </c>
      <c r="DA156" s="138">
        <v>43191.0</v>
      </c>
      <c r="DB156" s="138">
        <v>43221.0</v>
      </c>
      <c r="DC156" s="138">
        <v>43252.0</v>
      </c>
      <c r="DD156" s="138">
        <v>43282.0</v>
      </c>
      <c r="DE156" s="138">
        <v>43313.0</v>
      </c>
      <c r="DF156" s="138">
        <v>43344.0</v>
      </c>
      <c r="DG156" s="138">
        <v>43374.0</v>
      </c>
      <c r="DH156" s="138">
        <v>43405.0</v>
      </c>
      <c r="DI156" s="138">
        <v>43435.0</v>
      </c>
      <c r="DJ156" s="138">
        <v>43466.0</v>
      </c>
      <c r="DK156" s="138">
        <v>43497.0</v>
      </c>
      <c r="DL156" s="138">
        <v>43525.0</v>
      </c>
      <c r="DM156" s="138">
        <v>43556.0</v>
      </c>
      <c r="DN156" s="138">
        <v>43586.0</v>
      </c>
      <c r="DO156" s="138">
        <v>43617.0</v>
      </c>
      <c r="DP156" s="138">
        <v>43647.0</v>
      </c>
      <c r="DQ156" s="138">
        <v>43678.0</v>
      </c>
      <c r="DR156" s="138">
        <v>43709.0</v>
      </c>
      <c r="DS156" s="138">
        <v>43739.0</v>
      </c>
      <c r="DT156" s="138">
        <v>43770.0</v>
      </c>
      <c r="DU156" s="138">
        <v>43800.0</v>
      </c>
      <c r="DV156" s="138">
        <v>43831.0</v>
      </c>
      <c r="DW156" s="138">
        <v>43862.0</v>
      </c>
      <c r="DX156" s="138">
        <v>43891.0</v>
      </c>
      <c r="DY156" s="138">
        <v>43922.0</v>
      </c>
      <c r="DZ156" s="138">
        <v>43952.0</v>
      </c>
      <c r="EA156" s="138">
        <v>43983.0</v>
      </c>
      <c r="EB156" s="138">
        <v>44013.0</v>
      </c>
      <c r="EC156" s="138">
        <v>44044.0</v>
      </c>
      <c r="ED156" s="138">
        <v>44075.0</v>
      </c>
      <c r="EE156" s="138">
        <v>44105.0</v>
      </c>
      <c r="EF156" s="138">
        <v>44136.0</v>
      </c>
      <c r="EG156" s="138">
        <v>44166.0</v>
      </c>
      <c r="EH156" s="138">
        <v>44197.0</v>
      </c>
      <c r="EI156" s="138">
        <v>44228.0</v>
      </c>
      <c r="EJ156" s="138">
        <v>44256.0</v>
      </c>
      <c r="EK156" s="138">
        <v>44287.0</v>
      </c>
      <c r="EL156" s="138">
        <v>44317.0</v>
      </c>
      <c r="EM156" s="138">
        <v>44348.0</v>
      </c>
      <c r="EN156" s="138">
        <v>44378.0</v>
      </c>
      <c r="EO156" s="138">
        <v>44409.0</v>
      </c>
      <c r="EP156" s="138">
        <v>44440.0</v>
      </c>
      <c r="EQ156" s="138">
        <v>44470.0</v>
      </c>
      <c r="ER156" s="138">
        <v>44501.0</v>
      </c>
      <c r="ES156" s="138">
        <v>44531.0</v>
      </c>
      <c r="ET156" s="138">
        <v>44562.0</v>
      </c>
      <c r="EU156" s="138">
        <v>44593.0</v>
      </c>
      <c r="EV156" s="138">
        <v>44621.0</v>
      </c>
      <c r="EW156" s="138">
        <v>44652.0</v>
      </c>
      <c r="EX156" s="138">
        <v>44682.0</v>
      </c>
      <c r="EY156" s="138">
        <v>44713.0</v>
      </c>
      <c r="EZ156" s="138">
        <v>44743.0</v>
      </c>
      <c r="FA156" s="138">
        <v>44774.0</v>
      </c>
      <c r="FB156" s="138">
        <v>44805.0</v>
      </c>
      <c r="FC156" s="138">
        <v>44835.0</v>
      </c>
      <c r="FD156" s="138">
        <v>44866.0</v>
      </c>
      <c r="FE156" s="138">
        <v>44896.0</v>
      </c>
      <c r="FF156" s="138">
        <v>44927.0</v>
      </c>
      <c r="FG156" s="138">
        <v>44958.0</v>
      </c>
      <c r="FH156" s="138">
        <v>44986.0</v>
      </c>
      <c r="FI156" s="138">
        <v>45017.0</v>
      </c>
      <c r="FJ156" s="138">
        <v>45047.0</v>
      </c>
      <c r="FK156" s="138">
        <v>45078.0</v>
      </c>
      <c r="FL156" s="138">
        <v>45108.0</v>
      </c>
      <c r="FM156" s="138">
        <v>45139.0</v>
      </c>
      <c r="FN156" s="138">
        <v>45170.0</v>
      </c>
      <c r="FO156" s="138">
        <v>45200.0</v>
      </c>
      <c r="FP156" s="138">
        <v>45231.0</v>
      </c>
      <c r="FQ156" s="138">
        <v>45261.0</v>
      </c>
      <c r="FR156" s="138">
        <v>45292.0</v>
      </c>
      <c r="FS156" s="138">
        <v>45323.0</v>
      </c>
      <c r="FT156" s="138">
        <v>45352.0</v>
      </c>
      <c r="FU156" s="138">
        <v>45383.0</v>
      </c>
      <c r="FV156" s="138">
        <v>45413.0</v>
      </c>
      <c r="FW156" s="138">
        <v>45444.0</v>
      </c>
      <c r="FX156" s="138">
        <v>45474.0</v>
      </c>
      <c r="FY156" s="138">
        <v>45505.0</v>
      </c>
      <c r="FZ156" s="138">
        <v>45536.0</v>
      </c>
      <c r="GA156" s="138">
        <v>45566.0</v>
      </c>
      <c r="GB156" s="138">
        <v>45597.0</v>
      </c>
      <c r="GC156" s="138">
        <v>45627.0</v>
      </c>
      <c r="GD156" s="138">
        <v>45658.0</v>
      </c>
      <c r="GE156" s="138">
        <v>45689.0</v>
      </c>
      <c r="GF156" s="138">
        <v>45717.0</v>
      </c>
      <c r="GG156" s="138">
        <v>45748.0</v>
      </c>
      <c r="GH156" s="138">
        <v>45778.0</v>
      </c>
      <c r="GI156" s="138">
        <v>45809.0</v>
      </c>
      <c r="GJ156" s="138">
        <v>45839.0</v>
      </c>
    </row>
    <row r="157">
      <c r="A157" s="133" t="s">
        <v>1529</v>
      </c>
      <c r="B157" s="134">
        <v>45846.72583333333</v>
      </c>
      <c r="C157" s="135" t="str">
        <f t="shared" si="1"/>
        <v>2025/07/08</v>
      </c>
      <c r="D157" s="136" t="s">
        <v>34343</v>
      </c>
      <c r="E157" s="151">
        <v>0.02</v>
      </c>
      <c r="F157" s="138">
        <v>40179.0</v>
      </c>
      <c r="G157" s="138">
        <v>40210.0</v>
      </c>
      <c r="H157" s="138">
        <v>40238.0</v>
      </c>
      <c r="I157" s="138">
        <v>40269.0</v>
      </c>
      <c r="J157" s="138">
        <v>40299.0</v>
      </c>
      <c r="K157" s="138">
        <v>40330.0</v>
      </c>
      <c r="L157" s="138">
        <v>40360.0</v>
      </c>
      <c r="M157" s="138">
        <v>40391.0</v>
      </c>
      <c r="N157" s="138">
        <v>40422.0</v>
      </c>
      <c r="O157" s="138">
        <v>40452.0</v>
      </c>
      <c r="P157" s="138">
        <v>40483.0</v>
      </c>
      <c r="Q157" s="138">
        <v>40513.0</v>
      </c>
      <c r="R157" s="138">
        <v>40544.0</v>
      </c>
      <c r="S157" s="138">
        <v>40575.0</v>
      </c>
      <c r="T157" s="138">
        <v>40603.0</v>
      </c>
      <c r="U157" s="138">
        <v>40634.0</v>
      </c>
      <c r="V157" s="138">
        <v>40664.0</v>
      </c>
      <c r="W157" s="138">
        <v>40695.0</v>
      </c>
      <c r="X157" s="138">
        <v>40725.0</v>
      </c>
      <c r="Y157" s="138">
        <v>40756.0</v>
      </c>
      <c r="Z157" s="138">
        <v>40787.0</v>
      </c>
      <c r="AA157" s="138">
        <v>40817.0</v>
      </c>
      <c r="AB157" s="138">
        <v>40848.0</v>
      </c>
      <c r="AC157" s="138">
        <v>40878.0</v>
      </c>
      <c r="AD157" s="138">
        <v>40909.0</v>
      </c>
      <c r="AE157" s="138">
        <v>40940.0</v>
      </c>
      <c r="AF157" s="138">
        <v>40969.0</v>
      </c>
      <c r="AG157" s="138">
        <v>41000.0</v>
      </c>
      <c r="AH157" s="138">
        <v>41030.0</v>
      </c>
      <c r="AI157" s="138">
        <v>41061.0</v>
      </c>
      <c r="AJ157" s="138">
        <v>41091.0</v>
      </c>
      <c r="AK157" s="138">
        <v>41122.0</v>
      </c>
      <c r="AL157" s="138">
        <v>41153.0</v>
      </c>
      <c r="AM157" s="138">
        <v>41183.0</v>
      </c>
      <c r="AN157" s="138">
        <v>41214.0</v>
      </c>
      <c r="AO157" s="138">
        <v>41244.0</v>
      </c>
      <c r="AP157" s="138">
        <v>41275.0</v>
      </c>
      <c r="AQ157" s="138">
        <v>41306.0</v>
      </c>
      <c r="AR157" s="138">
        <v>41334.0</v>
      </c>
      <c r="AS157" s="138">
        <v>41365.0</v>
      </c>
      <c r="AT157" s="138">
        <v>41395.0</v>
      </c>
      <c r="AU157" s="138">
        <v>41426.0</v>
      </c>
      <c r="AV157" s="138">
        <v>41456.0</v>
      </c>
      <c r="AW157" s="138">
        <v>41487.0</v>
      </c>
      <c r="AX157" s="138">
        <v>41518.0</v>
      </c>
      <c r="AY157" s="138">
        <v>41548.0</v>
      </c>
      <c r="AZ157" s="138">
        <v>41579.0</v>
      </c>
      <c r="BA157" s="138">
        <v>41609.0</v>
      </c>
      <c r="BB157" s="138">
        <v>41640.0</v>
      </c>
      <c r="BC157" s="138">
        <v>41671.0</v>
      </c>
      <c r="BD157" s="138">
        <v>41699.0</v>
      </c>
      <c r="BE157" s="138">
        <v>41730.0</v>
      </c>
      <c r="BF157" s="138">
        <v>41760.0</v>
      </c>
      <c r="BG157" s="138">
        <v>41791.0</v>
      </c>
      <c r="BH157" s="138">
        <v>41821.0</v>
      </c>
      <c r="BI157" s="138">
        <v>41852.0</v>
      </c>
      <c r="BJ157" s="138">
        <v>41883.0</v>
      </c>
      <c r="BK157" s="138">
        <v>41913.0</v>
      </c>
      <c r="BL157" s="138">
        <v>41944.0</v>
      </c>
      <c r="BM157" s="138">
        <v>41974.0</v>
      </c>
      <c r="BN157" s="138">
        <v>42005.0</v>
      </c>
      <c r="BO157" s="138">
        <v>42036.0</v>
      </c>
      <c r="BP157" s="138">
        <v>42064.0</v>
      </c>
      <c r="BQ157" s="138">
        <v>42095.0</v>
      </c>
      <c r="BR157" s="138">
        <v>42125.0</v>
      </c>
      <c r="BS157" s="138">
        <v>42156.0</v>
      </c>
      <c r="BT157" s="138">
        <v>42186.0</v>
      </c>
      <c r="BU157" s="138">
        <v>42217.0</v>
      </c>
      <c r="BV157" s="138">
        <v>42248.0</v>
      </c>
      <c r="BW157" s="138">
        <v>42278.0</v>
      </c>
      <c r="BX157" s="138">
        <v>42309.0</v>
      </c>
      <c r="BY157" s="138">
        <v>42339.0</v>
      </c>
      <c r="BZ157" s="138">
        <v>42370.0</v>
      </c>
      <c r="CA157" s="138">
        <v>42401.0</v>
      </c>
      <c r="CB157" s="138">
        <v>42430.0</v>
      </c>
      <c r="CC157" s="138">
        <v>42461.0</v>
      </c>
      <c r="CD157" s="138">
        <v>42491.0</v>
      </c>
      <c r="CE157" s="138">
        <v>42522.0</v>
      </c>
      <c r="CF157" s="138">
        <v>42552.0</v>
      </c>
      <c r="CG157" s="138">
        <v>42583.0</v>
      </c>
      <c r="CH157" s="138">
        <v>42614.0</v>
      </c>
      <c r="CI157" s="138">
        <v>42644.0</v>
      </c>
      <c r="CJ157" s="138">
        <v>42675.0</v>
      </c>
      <c r="CK157" s="138">
        <v>42705.0</v>
      </c>
      <c r="CL157" s="138">
        <v>42736.0</v>
      </c>
      <c r="CM157" s="138">
        <v>42767.0</v>
      </c>
      <c r="CN157" s="138">
        <v>42795.0</v>
      </c>
      <c r="CO157" s="138">
        <v>42826.0</v>
      </c>
      <c r="CP157" s="138">
        <v>42856.0</v>
      </c>
      <c r="CQ157" s="138">
        <v>42887.0</v>
      </c>
      <c r="CR157" s="138">
        <v>42917.0</v>
      </c>
      <c r="CS157" s="138">
        <v>42948.0</v>
      </c>
      <c r="CT157" s="138">
        <v>42979.0</v>
      </c>
      <c r="CU157" s="138">
        <v>43009.0</v>
      </c>
      <c r="CV157" s="138">
        <v>43040.0</v>
      </c>
      <c r="CW157" s="138">
        <v>43070.0</v>
      </c>
      <c r="CX157" s="138">
        <v>43101.0</v>
      </c>
      <c r="CY157" s="138">
        <v>43132.0</v>
      </c>
      <c r="CZ157" s="138">
        <v>43160.0</v>
      </c>
      <c r="DA157" s="138">
        <v>43191.0</v>
      </c>
      <c r="DB157" s="138">
        <v>43221.0</v>
      </c>
      <c r="DC157" s="138">
        <v>43252.0</v>
      </c>
      <c r="DD157" s="138">
        <v>43282.0</v>
      </c>
      <c r="DE157" s="138">
        <v>43313.0</v>
      </c>
      <c r="DF157" s="138">
        <v>43344.0</v>
      </c>
      <c r="DG157" s="138">
        <v>43374.0</v>
      </c>
      <c r="DH157" s="138">
        <v>43405.0</v>
      </c>
      <c r="DI157" s="138">
        <v>43435.0</v>
      </c>
      <c r="DJ157" s="138">
        <v>43466.0</v>
      </c>
      <c r="DK157" s="138">
        <v>43497.0</v>
      </c>
      <c r="DL157" s="138">
        <v>43525.0</v>
      </c>
      <c r="DM157" s="138">
        <v>43556.0</v>
      </c>
      <c r="DN157" s="138">
        <v>43586.0</v>
      </c>
      <c r="DO157" s="138">
        <v>43617.0</v>
      </c>
      <c r="DP157" s="138">
        <v>43647.0</v>
      </c>
      <c r="DQ157" s="138">
        <v>43678.0</v>
      </c>
      <c r="DR157" s="138">
        <v>43709.0</v>
      </c>
      <c r="DS157" s="138">
        <v>43739.0</v>
      </c>
      <c r="DT157" s="138">
        <v>43770.0</v>
      </c>
      <c r="DU157" s="138">
        <v>43800.0</v>
      </c>
      <c r="DV157" s="138">
        <v>43831.0</v>
      </c>
      <c r="DW157" s="138">
        <v>43862.0</v>
      </c>
      <c r="DX157" s="138">
        <v>43891.0</v>
      </c>
      <c r="DY157" s="138">
        <v>43922.0</v>
      </c>
      <c r="DZ157" s="138">
        <v>43952.0</v>
      </c>
      <c r="EA157" s="138">
        <v>43983.0</v>
      </c>
      <c r="EB157" s="138">
        <v>44013.0</v>
      </c>
      <c r="EC157" s="138">
        <v>44044.0</v>
      </c>
      <c r="ED157" s="138">
        <v>44075.0</v>
      </c>
      <c r="EE157" s="138">
        <v>44105.0</v>
      </c>
      <c r="EF157" s="138">
        <v>44136.0</v>
      </c>
      <c r="EG157" s="138">
        <v>44166.0</v>
      </c>
      <c r="EH157" s="138">
        <v>44197.0</v>
      </c>
      <c r="EI157" s="138">
        <v>44228.0</v>
      </c>
      <c r="EJ157" s="138">
        <v>44256.0</v>
      </c>
      <c r="EK157" s="138">
        <v>44287.0</v>
      </c>
      <c r="EL157" s="138">
        <v>44317.0</v>
      </c>
      <c r="EM157" s="138">
        <v>44348.0</v>
      </c>
      <c r="EN157" s="138">
        <v>44378.0</v>
      </c>
      <c r="EO157" s="138">
        <v>44409.0</v>
      </c>
      <c r="EP157" s="138">
        <v>44440.0</v>
      </c>
      <c r="EQ157" s="138">
        <v>44470.0</v>
      </c>
      <c r="ER157" s="138">
        <v>44501.0</v>
      </c>
      <c r="ES157" s="138">
        <v>44531.0</v>
      </c>
      <c r="ET157" s="138">
        <v>44562.0</v>
      </c>
      <c r="EU157" s="138">
        <v>44593.0</v>
      </c>
      <c r="EV157" s="138">
        <v>44621.0</v>
      </c>
      <c r="EW157" s="138">
        <v>44652.0</v>
      </c>
      <c r="EX157" s="138">
        <v>44682.0</v>
      </c>
      <c r="EY157" s="138">
        <v>44713.0</v>
      </c>
      <c r="EZ157" s="138">
        <v>44743.0</v>
      </c>
      <c r="FA157" s="138">
        <v>44774.0</v>
      </c>
      <c r="FB157" s="138">
        <v>44805.0</v>
      </c>
      <c r="FC157" s="138">
        <v>44835.0</v>
      </c>
      <c r="FD157" s="138">
        <v>44866.0</v>
      </c>
      <c r="FE157" s="138">
        <v>44896.0</v>
      </c>
      <c r="FF157" s="138">
        <v>44927.0</v>
      </c>
      <c r="FG157" s="138">
        <v>44958.0</v>
      </c>
      <c r="FH157" s="138">
        <v>44986.0</v>
      </c>
      <c r="FI157" s="138">
        <v>45017.0</v>
      </c>
      <c r="FJ157" s="138">
        <v>45047.0</v>
      </c>
      <c r="FK157" s="138">
        <v>45078.0</v>
      </c>
      <c r="FL157" s="138">
        <v>45108.0</v>
      </c>
      <c r="FM157" s="138">
        <v>45139.0</v>
      </c>
      <c r="FN157" s="138">
        <v>45170.0</v>
      </c>
      <c r="FO157" s="138">
        <v>45200.0</v>
      </c>
      <c r="FP157" s="138">
        <v>45231.0</v>
      </c>
      <c r="FQ157" s="138">
        <v>45261.0</v>
      </c>
      <c r="FR157" s="138">
        <v>45292.0</v>
      </c>
      <c r="FS157" s="138">
        <v>45323.0</v>
      </c>
      <c r="FT157" s="138">
        <v>45352.0</v>
      </c>
      <c r="FU157" s="138">
        <v>45383.0</v>
      </c>
      <c r="FV157" s="138">
        <v>45413.0</v>
      </c>
      <c r="FW157" s="138">
        <v>45444.0</v>
      </c>
      <c r="FX157" s="138">
        <v>45474.0</v>
      </c>
      <c r="FY157" s="138">
        <v>45505.0</v>
      </c>
      <c r="FZ157" s="138">
        <v>45536.0</v>
      </c>
      <c r="GA157" s="138">
        <v>45566.0</v>
      </c>
      <c r="GB157" s="138">
        <v>45597.0</v>
      </c>
      <c r="GC157" s="138">
        <v>45627.0</v>
      </c>
      <c r="GD157" s="138">
        <v>45658.0</v>
      </c>
      <c r="GE157" s="138">
        <v>45689.0</v>
      </c>
      <c r="GF157" s="138">
        <v>45717.0</v>
      </c>
      <c r="GG157" s="138">
        <v>45748.0</v>
      </c>
      <c r="GH157" s="138">
        <v>45778.0</v>
      </c>
      <c r="GI157" s="138">
        <v>45809.0</v>
      </c>
      <c r="GJ157" s="138">
        <v>45839.0</v>
      </c>
    </row>
    <row r="158">
      <c r="A158" s="133" t="s">
        <v>1576</v>
      </c>
      <c r="B158" s="134">
        <v>45846.76091435185</v>
      </c>
      <c r="C158" s="135" t="str">
        <f t="shared" si="1"/>
        <v>2025/07/08</v>
      </c>
      <c r="D158" s="136" t="s">
        <v>34344</v>
      </c>
      <c r="E158" s="151">
        <v>0.0</v>
      </c>
      <c r="F158" s="138">
        <v>40179.0</v>
      </c>
      <c r="G158" s="138">
        <v>40210.0</v>
      </c>
      <c r="H158" s="138">
        <v>40238.0</v>
      </c>
      <c r="I158" s="138">
        <v>40269.0</v>
      </c>
      <c r="J158" s="138">
        <v>40299.0</v>
      </c>
      <c r="K158" s="138">
        <v>40330.0</v>
      </c>
      <c r="L158" s="138">
        <v>40360.0</v>
      </c>
      <c r="M158" s="138">
        <v>40391.0</v>
      </c>
      <c r="N158" s="138">
        <v>40422.0</v>
      </c>
      <c r="O158" s="138">
        <v>40452.0</v>
      </c>
      <c r="P158" s="138">
        <v>40483.0</v>
      </c>
      <c r="Q158" s="138">
        <v>40513.0</v>
      </c>
      <c r="R158" s="138">
        <v>40544.0</v>
      </c>
      <c r="S158" s="138">
        <v>40575.0</v>
      </c>
      <c r="T158" s="138">
        <v>40603.0</v>
      </c>
      <c r="U158" s="138">
        <v>40634.0</v>
      </c>
      <c r="V158" s="138">
        <v>40664.0</v>
      </c>
      <c r="W158" s="138">
        <v>40695.0</v>
      </c>
      <c r="X158" s="138">
        <v>40725.0</v>
      </c>
      <c r="Y158" s="138">
        <v>40756.0</v>
      </c>
      <c r="Z158" s="138">
        <v>40787.0</v>
      </c>
      <c r="AA158" s="138">
        <v>40817.0</v>
      </c>
      <c r="AB158" s="138">
        <v>40848.0</v>
      </c>
      <c r="AC158" s="138">
        <v>40878.0</v>
      </c>
      <c r="AD158" s="138">
        <v>40909.0</v>
      </c>
      <c r="AE158" s="138">
        <v>40940.0</v>
      </c>
      <c r="AF158" s="138">
        <v>40969.0</v>
      </c>
      <c r="AG158" s="138">
        <v>41000.0</v>
      </c>
      <c r="AH158" s="138">
        <v>41030.0</v>
      </c>
      <c r="AI158" s="138">
        <v>41061.0</v>
      </c>
      <c r="AJ158" s="138">
        <v>41091.0</v>
      </c>
      <c r="AK158" s="138">
        <v>41122.0</v>
      </c>
      <c r="AL158" s="138">
        <v>41153.0</v>
      </c>
      <c r="AM158" s="138">
        <v>41183.0</v>
      </c>
      <c r="AN158" s="138">
        <v>41214.0</v>
      </c>
      <c r="AO158" s="138">
        <v>41244.0</v>
      </c>
      <c r="AP158" s="138">
        <v>41275.0</v>
      </c>
      <c r="AQ158" s="138">
        <v>41306.0</v>
      </c>
      <c r="AR158" s="138">
        <v>41334.0</v>
      </c>
      <c r="AS158" s="138">
        <v>41365.0</v>
      </c>
      <c r="AT158" s="138">
        <v>41395.0</v>
      </c>
      <c r="AU158" s="138">
        <v>41426.0</v>
      </c>
      <c r="AV158" s="138">
        <v>41456.0</v>
      </c>
      <c r="AW158" s="138">
        <v>41487.0</v>
      </c>
      <c r="AX158" s="138">
        <v>41518.0</v>
      </c>
      <c r="AY158" s="138">
        <v>41548.0</v>
      </c>
      <c r="AZ158" s="138">
        <v>41579.0</v>
      </c>
      <c r="BA158" s="138">
        <v>41609.0</v>
      </c>
      <c r="BB158" s="138">
        <v>41640.0</v>
      </c>
      <c r="BC158" s="138">
        <v>41671.0</v>
      </c>
      <c r="BD158" s="138">
        <v>41699.0</v>
      </c>
      <c r="BE158" s="138">
        <v>41730.0</v>
      </c>
      <c r="BF158" s="138">
        <v>41760.0</v>
      </c>
      <c r="BG158" s="138">
        <v>41791.0</v>
      </c>
      <c r="BH158" s="138">
        <v>41821.0</v>
      </c>
      <c r="BI158" s="138">
        <v>41852.0</v>
      </c>
      <c r="BJ158" s="138">
        <v>41883.0</v>
      </c>
      <c r="BK158" s="138">
        <v>41913.0</v>
      </c>
      <c r="BL158" s="138">
        <v>41944.0</v>
      </c>
      <c r="BM158" s="138">
        <v>41974.0</v>
      </c>
      <c r="BN158" s="138">
        <v>42005.0</v>
      </c>
      <c r="BO158" s="138">
        <v>42036.0</v>
      </c>
      <c r="BP158" s="138">
        <v>42064.0</v>
      </c>
      <c r="BQ158" s="138">
        <v>42095.0</v>
      </c>
      <c r="BR158" s="138">
        <v>42125.0</v>
      </c>
      <c r="BS158" s="138">
        <v>42156.0</v>
      </c>
      <c r="BT158" s="138">
        <v>42186.0</v>
      </c>
      <c r="BU158" s="138">
        <v>42217.0</v>
      </c>
      <c r="BV158" s="138">
        <v>42248.0</v>
      </c>
      <c r="BW158" s="138">
        <v>42278.0</v>
      </c>
      <c r="BX158" s="138">
        <v>42309.0</v>
      </c>
      <c r="BY158" s="138">
        <v>42339.0</v>
      </c>
      <c r="BZ158" s="138">
        <v>42370.0</v>
      </c>
      <c r="CA158" s="138">
        <v>42401.0</v>
      </c>
      <c r="CB158" s="138">
        <v>42430.0</v>
      </c>
      <c r="CC158" s="138">
        <v>42461.0</v>
      </c>
      <c r="CD158" s="138">
        <v>42491.0</v>
      </c>
      <c r="CE158" s="138">
        <v>42522.0</v>
      </c>
      <c r="CF158" s="138">
        <v>42552.0</v>
      </c>
      <c r="CG158" s="138">
        <v>42583.0</v>
      </c>
      <c r="CH158" s="138">
        <v>42614.0</v>
      </c>
      <c r="CI158" s="138">
        <v>42644.0</v>
      </c>
      <c r="CJ158" s="138">
        <v>42675.0</v>
      </c>
      <c r="CK158" s="138">
        <v>42705.0</v>
      </c>
      <c r="CL158" s="138">
        <v>42736.0</v>
      </c>
      <c r="CM158" s="138">
        <v>42767.0</v>
      </c>
      <c r="CN158" s="138">
        <v>42795.0</v>
      </c>
      <c r="CO158" s="138">
        <v>42826.0</v>
      </c>
      <c r="CP158" s="138">
        <v>42856.0</v>
      </c>
      <c r="CQ158" s="138">
        <v>42887.0</v>
      </c>
      <c r="CR158" s="138">
        <v>42917.0</v>
      </c>
      <c r="CS158" s="138">
        <v>42948.0</v>
      </c>
      <c r="CT158" s="138">
        <v>42979.0</v>
      </c>
      <c r="CU158" s="138">
        <v>43009.0</v>
      </c>
      <c r="CV158" s="138">
        <v>43040.0</v>
      </c>
      <c r="CW158" s="138">
        <v>43070.0</v>
      </c>
      <c r="CX158" s="138">
        <v>43101.0</v>
      </c>
      <c r="CY158" s="138">
        <v>43132.0</v>
      </c>
      <c r="CZ158" s="138">
        <v>43160.0</v>
      </c>
      <c r="DA158" s="138">
        <v>43191.0</v>
      </c>
      <c r="DB158" s="138">
        <v>43221.0</v>
      </c>
      <c r="DC158" s="138">
        <v>43252.0</v>
      </c>
      <c r="DD158" s="138">
        <v>43282.0</v>
      </c>
      <c r="DE158" s="138">
        <v>43313.0</v>
      </c>
      <c r="DF158" s="138">
        <v>43344.0</v>
      </c>
      <c r="DG158" s="138">
        <v>43374.0</v>
      </c>
      <c r="DH158" s="138">
        <v>43405.0</v>
      </c>
      <c r="DI158" s="138">
        <v>43435.0</v>
      </c>
      <c r="DJ158" s="138">
        <v>43466.0</v>
      </c>
      <c r="DK158" s="138">
        <v>43497.0</v>
      </c>
      <c r="DL158" s="138">
        <v>43525.0</v>
      </c>
      <c r="DM158" s="138">
        <v>43556.0</v>
      </c>
      <c r="DN158" s="138">
        <v>43586.0</v>
      </c>
      <c r="DO158" s="138">
        <v>43617.0</v>
      </c>
      <c r="DP158" s="138">
        <v>43647.0</v>
      </c>
      <c r="DQ158" s="138">
        <v>43678.0</v>
      </c>
      <c r="DR158" s="138">
        <v>43709.0</v>
      </c>
      <c r="DS158" s="138">
        <v>43739.0</v>
      </c>
      <c r="DT158" s="138">
        <v>43770.0</v>
      </c>
      <c r="DU158" s="138">
        <v>43800.0</v>
      </c>
      <c r="DV158" s="138">
        <v>43831.0</v>
      </c>
      <c r="DW158" s="138">
        <v>43862.0</v>
      </c>
      <c r="DX158" s="138">
        <v>43891.0</v>
      </c>
      <c r="DY158" s="138">
        <v>43922.0</v>
      </c>
      <c r="DZ158" s="138">
        <v>43952.0</v>
      </c>
      <c r="EA158" s="138">
        <v>43983.0</v>
      </c>
      <c r="EB158" s="138">
        <v>44013.0</v>
      </c>
      <c r="EC158" s="138">
        <v>44044.0</v>
      </c>
      <c r="ED158" s="138">
        <v>44075.0</v>
      </c>
      <c r="EE158" s="138">
        <v>44105.0</v>
      </c>
      <c r="EF158" s="138">
        <v>44136.0</v>
      </c>
      <c r="EG158" s="138">
        <v>44166.0</v>
      </c>
      <c r="EH158" s="138">
        <v>44197.0</v>
      </c>
      <c r="EI158" s="138">
        <v>44228.0</v>
      </c>
      <c r="EJ158" s="138">
        <v>44256.0</v>
      </c>
      <c r="EK158" s="138">
        <v>44287.0</v>
      </c>
      <c r="EL158" s="138">
        <v>44317.0</v>
      </c>
      <c r="EM158" s="138">
        <v>44348.0</v>
      </c>
      <c r="EN158" s="138">
        <v>44378.0</v>
      </c>
      <c r="EO158" s="138">
        <v>44409.0</v>
      </c>
      <c r="EP158" s="138">
        <v>44440.0</v>
      </c>
      <c r="EQ158" s="138">
        <v>44470.0</v>
      </c>
      <c r="ER158" s="138">
        <v>44501.0</v>
      </c>
      <c r="ES158" s="138">
        <v>44531.0</v>
      </c>
      <c r="ET158" s="138">
        <v>44562.0</v>
      </c>
      <c r="EU158" s="138">
        <v>44593.0</v>
      </c>
      <c r="EV158" s="138">
        <v>44621.0</v>
      </c>
      <c r="EW158" s="138">
        <v>44652.0</v>
      </c>
      <c r="EX158" s="138">
        <v>44682.0</v>
      </c>
      <c r="EY158" s="138">
        <v>44713.0</v>
      </c>
      <c r="EZ158" s="138">
        <v>44743.0</v>
      </c>
      <c r="FA158" s="138">
        <v>44774.0</v>
      </c>
      <c r="FB158" s="138">
        <v>44805.0</v>
      </c>
      <c r="FC158" s="138">
        <v>44835.0</v>
      </c>
      <c r="FD158" s="138">
        <v>44866.0</v>
      </c>
      <c r="FE158" s="138">
        <v>44896.0</v>
      </c>
      <c r="FF158" s="138">
        <v>44927.0</v>
      </c>
      <c r="FG158" s="138">
        <v>44958.0</v>
      </c>
      <c r="FH158" s="138">
        <v>44986.0</v>
      </c>
      <c r="FI158" s="138">
        <v>45017.0</v>
      </c>
      <c r="FJ158" s="138">
        <v>45047.0</v>
      </c>
      <c r="FK158" s="138">
        <v>45078.0</v>
      </c>
      <c r="FL158" s="138">
        <v>45108.0</v>
      </c>
      <c r="FM158" s="138">
        <v>45139.0</v>
      </c>
      <c r="FN158" s="138">
        <v>45170.0</v>
      </c>
      <c r="FO158" s="138">
        <v>45200.0</v>
      </c>
      <c r="FP158" s="138">
        <v>45231.0</v>
      </c>
      <c r="FQ158" s="138">
        <v>45261.0</v>
      </c>
      <c r="FR158" s="138">
        <v>45292.0</v>
      </c>
      <c r="FS158" s="138">
        <v>45323.0</v>
      </c>
      <c r="FT158" s="138">
        <v>45352.0</v>
      </c>
      <c r="FU158" s="138">
        <v>45383.0</v>
      </c>
      <c r="FV158" s="138">
        <v>45413.0</v>
      </c>
      <c r="FW158" s="138">
        <v>45444.0</v>
      </c>
      <c r="FX158" s="138">
        <v>45474.0</v>
      </c>
      <c r="FY158" s="138">
        <v>45505.0</v>
      </c>
      <c r="FZ158" s="138">
        <v>45536.0</v>
      </c>
      <c r="GA158" s="138">
        <v>45566.0</v>
      </c>
      <c r="GB158" s="138">
        <v>45597.0</v>
      </c>
      <c r="GC158" s="138">
        <v>45627.0</v>
      </c>
      <c r="GD158" s="138">
        <v>45658.0</v>
      </c>
      <c r="GE158" s="138">
        <v>45689.0</v>
      </c>
      <c r="GF158" s="138">
        <v>45717.0</v>
      </c>
      <c r="GG158" s="138">
        <v>45748.0</v>
      </c>
      <c r="GH158" s="138">
        <v>45778.0</v>
      </c>
      <c r="GI158" s="138">
        <v>45809.0</v>
      </c>
      <c r="GJ158" s="138">
        <v>45839.0</v>
      </c>
    </row>
    <row r="159">
      <c r="A159" s="133" t="s">
        <v>1533</v>
      </c>
      <c r="B159" s="134">
        <v>45846.78265046296</v>
      </c>
      <c r="C159" s="135" t="str">
        <f t="shared" si="1"/>
        <v>2025/07/08</v>
      </c>
      <c r="D159" s="136" t="s">
        <v>34345</v>
      </c>
      <c r="E159" s="151">
        <v>0.0</v>
      </c>
      <c r="F159" s="138">
        <v>40179.0</v>
      </c>
      <c r="G159" s="138">
        <v>40210.0</v>
      </c>
      <c r="H159" s="138">
        <v>40238.0</v>
      </c>
      <c r="I159" s="138">
        <v>40269.0</v>
      </c>
      <c r="J159" s="138">
        <v>40299.0</v>
      </c>
      <c r="K159" s="138">
        <v>40330.0</v>
      </c>
      <c r="L159" s="138">
        <v>40360.0</v>
      </c>
      <c r="M159" s="138">
        <v>40391.0</v>
      </c>
      <c r="N159" s="138">
        <v>40422.0</v>
      </c>
      <c r="O159" s="138">
        <v>40452.0</v>
      </c>
      <c r="P159" s="138">
        <v>40483.0</v>
      </c>
      <c r="Q159" s="138">
        <v>40513.0</v>
      </c>
      <c r="R159" s="138">
        <v>40544.0</v>
      </c>
      <c r="S159" s="138">
        <v>40575.0</v>
      </c>
      <c r="T159" s="138">
        <v>40603.0</v>
      </c>
      <c r="U159" s="138">
        <v>40634.0</v>
      </c>
      <c r="V159" s="138">
        <v>40664.0</v>
      </c>
      <c r="W159" s="138">
        <v>40695.0</v>
      </c>
      <c r="X159" s="138">
        <v>40725.0</v>
      </c>
      <c r="Y159" s="138">
        <v>40756.0</v>
      </c>
      <c r="Z159" s="138">
        <v>40787.0</v>
      </c>
      <c r="AA159" s="138">
        <v>40817.0</v>
      </c>
      <c r="AB159" s="138">
        <v>40848.0</v>
      </c>
      <c r="AC159" s="138">
        <v>40878.0</v>
      </c>
      <c r="AD159" s="138">
        <v>40909.0</v>
      </c>
      <c r="AE159" s="138">
        <v>40940.0</v>
      </c>
      <c r="AF159" s="138">
        <v>40969.0</v>
      </c>
      <c r="AG159" s="138">
        <v>41000.0</v>
      </c>
      <c r="AH159" s="138">
        <v>41030.0</v>
      </c>
      <c r="AI159" s="138">
        <v>41061.0</v>
      </c>
      <c r="AJ159" s="138">
        <v>41091.0</v>
      </c>
      <c r="AK159" s="138">
        <v>41122.0</v>
      </c>
      <c r="AL159" s="138">
        <v>41153.0</v>
      </c>
      <c r="AM159" s="138">
        <v>41183.0</v>
      </c>
      <c r="AN159" s="138">
        <v>41214.0</v>
      </c>
      <c r="AO159" s="138">
        <v>41244.0</v>
      </c>
      <c r="AP159" s="138">
        <v>41275.0</v>
      </c>
      <c r="AQ159" s="138">
        <v>41306.0</v>
      </c>
      <c r="AR159" s="138">
        <v>41334.0</v>
      </c>
      <c r="AS159" s="138">
        <v>41365.0</v>
      </c>
      <c r="AT159" s="138">
        <v>41395.0</v>
      </c>
      <c r="AU159" s="138">
        <v>41426.0</v>
      </c>
      <c r="AV159" s="138">
        <v>41456.0</v>
      </c>
      <c r="AW159" s="138">
        <v>41487.0</v>
      </c>
      <c r="AX159" s="138">
        <v>41518.0</v>
      </c>
      <c r="AY159" s="138">
        <v>41548.0</v>
      </c>
      <c r="AZ159" s="138">
        <v>41579.0</v>
      </c>
      <c r="BA159" s="138">
        <v>41609.0</v>
      </c>
      <c r="BB159" s="138">
        <v>41640.0</v>
      </c>
      <c r="BC159" s="138">
        <v>41671.0</v>
      </c>
      <c r="BD159" s="138">
        <v>41699.0</v>
      </c>
      <c r="BE159" s="138">
        <v>41730.0</v>
      </c>
      <c r="BF159" s="138">
        <v>41760.0</v>
      </c>
      <c r="BG159" s="138">
        <v>41791.0</v>
      </c>
      <c r="BH159" s="138">
        <v>41821.0</v>
      </c>
      <c r="BI159" s="138">
        <v>41852.0</v>
      </c>
      <c r="BJ159" s="138">
        <v>41883.0</v>
      </c>
      <c r="BK159" s="138">
        <v>41913.0</v>
      </c>
      <c r="BL159" s="138">
        <v>41944.0</v>
      </c>
      <c r="BM159" s="138">
        <v>41974.0</v>
      </c>
      <c r="BN159" s="138">
        <v>42005.0</v>
      </c>
      <c r="BO159" s="138">
        <v>42036.0</v>
      </c>
      <c r="BP159" s="138">
        <v>42064.0</v>
      </c>
      <c r="BQ159" s="138">
        <v>42095.0</v>
      </c>
      <c r="BR159" s="138">
        <v>42125.0</v>
      </c>
      <c r="BS159" s="138">
        <v>42156.0</v>
      </c>
      <c r="BT159" s="138">
        <v>42186.0</v>
      </c>
      <c r="BU159" s="138">
        <v>42217.0</v>
      </c>
      <c r="BV159" s="138">
        <v>42248.0</v>
      </c>
      <c r="BW159" s="138">
        <v>42278.0</v>
      </c>
      <c r="BX159" s="138">
        <v>42309.0</v>
      </c>
      <c r="BY159" s="138">
        <v>42339.0</v>
      </c>
      <c r="BZ159" s="138">
        <v>42370.0</v>
      </c>
      <c r="CA159" s="138">
        <v>42401.0</v>
      </c>
      <c r="CB159" s="138">
        <v>42430.0</v>
      </c>
      <c r="CC159" s="138">
        <v>42461.0</v>
      </c>
      <c r="CD159" s="138">
        <v>42491.0</v>
      </c>
      <c r="CE159" s="138">
        <v>42522.0</v>
      </c>
      <c r="CF159" s="138">
        <v>42552.0</v>
      </c>
      <c r="CG159" s="138">
        <v>42583.0</v>
      </c>
      <c r="CH159" s="138">
        <v>42614.0</v>
      </c>
      <c r="CI159" s="138">
        <v>42644.0</v>
      </c>
      <c r="CJ159" s="138">
        <v>42675.0</v>
      </c>
      <c r="CK159" s="138">
        <v>42705.0</v>
      </c>
      <c r="CL159" s="138">
        <v>42736.0</v>
      </c>
      <c r="CM159" s="138">
        <v>42767.0</v>
      </c>
      <c r="CN159" s="138">
        <v>42795.0</v>
      </c>
      <c r="CO159" s="138">
        <v>42826.0</v>
      </c>
      <c r="CP159" s="138">
        <v>42856.0</v>
      </c>
      <c r="CQ159" s="138">
        <v>42887.0</v>
      </c>
      <c r="CR159" s="138">
        <v>42917.0</v>
      </c>
      <c r="CS159" s="138">
        <v>42948.0</v>
      </c>
      <c r="CT159" s="138">
        <v>42979.0</v>
      </c>
      <c r="CU159" s="138">
        <v>43009.0</v>
      </c>
      <c r="CV159" s="138">
        <v>43040.0</v>
      </c>
      <c r="CW159" s="138">
        <v>43070.0</v>
      </c>
      <c r="CX159" s="138">
        <v>43101.0</v>
      </c>
      <c r="CY159" s="138">
        <v>43132.0</v>
      </c>
      <c r="CZ159" s="138">
        <v>43160.0</v>
      </c>
      <c r="DA159" s="138">
        <v>43191.0</v>
      </c>
      <c r="DB159" s="138">
        <v>43221.0</v>
      </c>
      <c r="DC159" s="138">
        <v>43252.0</v>
      </c>
      <c r="DD159" s="138">
        <v>43282.0</v>
      </c>
      <c r="DE159" s="138">
        <v>43313.0</v>
      </c>
      <c r="DF159" s="138">
        <v>43344.0</v>
      </c>
      <c r="DG159" s="138">
        <v>43374.0</v>
      </c>
      <c r="DH159" s="138">
        <v>43405.0</v>
      </c>
      <c r="DI159" s="138">
        <v>43435.0</v>
      </c>
      <c r="DJ159" s="138">
        <v>43466.0</v>
      </c>
      <c r="DK159" s="138">
        <v>43497.0</v>
      </c>
      <c r="DL159" s="138">
        <v>43525.0</v>
      </c>
      <c r="DM159" s="138">
        <v>43556.0</v>
      </c>
      <c r="DN159" s="138">
        <v>43586.0</v>
      </c>
      <c r="DO159" s="138">
        <v>43617.0</v>
      </c>
      <c r="DP159" s="138">
        <v>43647.0</v>
      </c>
      <c r="DQ159" s="138">
        <v>43678.0</v>
      </c>
      <c r="DR159" s="138">
        <v>43709.0</v>
      </c>
      <c r="DS159" s="138">
        <v>43739.0</v>
      </c>
      <c r="DT159" s="138">
        <v>43770.0</v>
      </c>
      <c r="DU159" s="138">
        <v>43800.0</v>
      </c>
      <c r="DV159" s="138">
        <v>43831.0</v>
      </c>
      <c r="DW159" s="138">
        <v>43862.0</v>
      </c>
      <c r="DX159" s="138">
        <v>43891.0</v>
      </c>
      <c r="DY159" s="138">
        <v>43922.0</v>
      </c>
      <c r="DZ159" s="138">
        <v>43952.0</v>
      </c>
      <c r="EA159" s="138">
        <v>43983.0</v>
      </c>
      <c r="EB159" s="138">
        <v>44013.0</v>
      </c>
      <c r="EC159" s="138">
        <v>44044.0</v>
      </c>
      <c r="ED159" s="138">
        <v>44075.0</v>
      </c>
      <c r="EE159" s="138">
        <v>44105.0</v>
      </c>
      <c r="EF159" s="138">
        <v>44136.0</v>
      </c>
      <c r="EG159" s="138">
        <v>44166.0</v>
      </c>
      <c r="EH159" s="138">
        <v>44197.0</v>
      </c>
      <c r="EI159" s="138">
        <v>44228.0</v>
      </c>
      <c r="EJ159" s="138">
        <v>44256.0</v>
      </c>
      <c r="EK159" s="138">
        <v>44287.0</v>
      </c>
      <c r="EL159" s="138">
        <v>44317.0</v>
      </c>
      <c r="EM159" s="138">
        <v>44348.0</v>
      </c>
      <c r="EN159" s="138">
        <v>44378.0</v>
      </c>
      <c r="EO159" s="138">
        <v>44409.0</v>
      </c>
      <c r="EP159" s="138">
        <v>44440.0</v>
      </c>
      <c r="EQ159" s="138">
        <v>44470.0</v>
      </c>
      <c r="ER159" s="138">
        <v>44501.0</v>
      </c>
      <c r="ES159" s="138">
        <v>44531.0</v>
      </c>
      <c r="ET159" s="138">
        <v>44562.0</v>
      </c>
      <c r="EU159" s="138">
        <v>44593.0</v>
      </c>
      <c r="EV159" s="138">
        <v>44621.0</v>
      </c>
      <c r="EW159" s="138">
        <v>44652.0</v>
      </c>
      <c r="EX159" s="138">
        <v>44682.0</v>
      </c>
      <c r="EY159" s="138">
        <v>44713.0</v>
      </c>
      <c r="EZ159" s="138">
        <v>44743.0</v>
      </c>
      <c r="FA159" s="138">
        <v>44774.0</v>
      </c>
      <c r="FB159" s="138">
        <v>44805.0</v>
      </c>
      <c r="FC159" s="138">
        <v>44835.0</v>
      </c>
      <c r="FD159" s="138">
        <v>44866.0</v>
      </c>
      <c r="FE159" s="138">
        <v>44896.0</v>
      </c>
      <c r="FF159" s="138">
        <v>44927.0</v>
      </c>
      <c r="FG159" s="138">
        <v>44958.0</v>
      </c>
      <c r="FH159" s="138">
        <v>44986.0</v>
      </c>
      <c r="FI159" s="138">
        <v>45017.0</v>
      </c>
      <c r="FJ159" s="138">
        <v>45047.0</v>
      </c>
      <c r="FK159" s="138">
        <v>45078.0</v>
      </c>
      <c r="FL159" s="138">
        <v>45108.0</v>
      </c>
      <c r="FM159" s="138">
        <v>45139.0</v>
      </c>
      <c r="FN159" s="138">
        <v>45170.0</v>
      </c>
      <c r="FO159" s="138">
        <v>45200.0</v>
      </c>
      <c r="FP159" s="138">
        <v>45231.0</v>
      </c>
      <c r="FQ159" s="138">
        <v>45261.0</v>
      </c>
      <c r="FR159" s="138">
        <v>45292.0</v>
      </c>
      <c r="FS159" s="138">
        <v>45323.0</v>
      </c>
      <c r="FT159" s="138">
        <v>45352.0</v>
      </c>
      <c r="FU159" s="138">
        <v>45383.0</v>
      </c>
      <c r="FV159" s="138">
        <v>45413.0</v>
      </c>
      <c r="FW159" s="138">
        <v>45444.0</v>
      </c>
      <c r="FX159" s="138">
        <v>45474.0</v>
      </c>
      <c r="FY159" s="138">
        <v>45505.0</v>
      </c>
      <c r="FZ159" s="138">
        <v>45536.0</v>
      </c>
      <c r="GA159" s="138">
        <v>45566.0</v>
      </c>
      <c r="GB159" s="138">
        <v>45597.0</v>
      </c>
      <c r="GC159" s="138">
        <v>45627.0</v>
      </c>
      <c r="GD159" s="138">
        <v>45658.0</v>
      </c>
      <c r="GE159" s="138">
        <v>45689.0</v>
      </c>
      <c r="GF159" s="138">
        <v>45717.0</v>
      </c>
      <c r="GG159" s="138">
        <v>45748.0</v>
      </c>
      <c r="GH159" s="138">
        <v>45778.0</v>
      </c>
      <c r="GI159" s="138">
        <v>45809.0</v>
      </c>
      <c r="GJ159" s="138">
        <v>45839.0</v>
      </c>
    </row>
    <row r="160">
      <c r="A160" s="133" t="s">
        <v>1608</v>
      </c>
      <c r="B160" s="134">
        <v>45846.81626157407</v>
      </c>
      <c r="C160" s="135" t="str">
        <f t="shared" si="1"/>
        <v>2025/07/08</v>
      </c>
      <c r="D160" s="136" t="s">
        <v>34346</v>
      </c>
      <c r="E160" s="151">
        <v>0.0</v>
      </c>
      <c r="F160" s="138">
        <v>40179.0</v>
      </c>
      <c r="G160" s="138">
        <v>40210.0</v>
      </c>
      <c r="H160" s="138">
        <v>40238.0</v>
      </c>
      <c r="I160" s="138">
        <v>40269.0</v>
      </c>
      <c r="J160" s="138">
        <v>40299.0</v>
      </c>
      <c r="K160" s="138">
        <v>40330.0</v>
      </c>
      <c r="L160" s="138">
        <v>40360.0</v>
      </c>
      <c r="M160" s="138">
        <v>40391.0</v>
      </c>
      <c r="N160" s="138">
        <v>40422.0</v>
      </c>
      <c r="O160" s="138">
        <v>40452.0</v>
      </c>
      <c r="P160" s="138">
        <v>40483.0</v>
      </c>
      <c r="Q160" s="138">
        <v>40513.0</v>
      </c>
      <c r="R160" s="138">
        <v>40544.0</v>
      </c>
      <c r="S160" s="138">
        <v>40575.0</v>
      </c>
      <c r="T160" s="138">
        <v>40603.0</v>
      </c>
      <c r="U160" s="138">
        <v>40634.0</v>
      </c>
      <c r="V160" s="138">
        <v>40664.0</v>
      </c>
      <c r="W160" s="138">
        <v>40695.0</v>
      </c>
      <c r="X160" s="138">
        <v>40725.0</v>
      </c>
      <c r="Y160" s="138">
        <v>40756.0</v>
      </c>
      <c r="Z160" s="138">
        <v>40787.0</v>
      </c>
      <c r="AA160" s="138">
        <v>40817.0</v>
      </c>
      <c r="AB160" s="138">
        <v>40848.0</v>
      </c>
      <c r="AC160" s="138">
        <v>40878.0</v>
      </c>
      <c r="AD160" s="138">
        <v>40909.0</v>
      </c>
      <c r="AE160" s="138">
        <v>40940.0</v>
      </c>
      <c r="AF160" s="138">
        <v>40969.0</v>
      </c>
      <c r="AG160" s="138">
        <v>41000.0</v>
      </c>
      <c r="AH160" s="138">
        <v>41030.0</v>
      </c>
      <c r="AI160" s="138">
        <v>41061.0</v>
      </c>
      <c r="AJ160" s="138">
        <v>41091.0</v>
      </c>
      <c r="AK160" s="138">
        <v>41122.0</v>
      </c>
      <c r="AL160" s="138">
        <v>41153.0</v>
      </c>
      <c r="AM160" s="138">
        <v>41183.0</v>
      </c>
      <c r="AN160" s="138">
        <v>41214.0</v>
      </c>
      <c r="AO160" s="138">
        <v>41244.0</v>
      </c>
      <c r="AP160" s="138">
        <v>41275.0</v>
      </c>
      <c r="AQ160" s="138">
        <v>41306.0</v>
      </c>
      <c r="AR160" s="138">
        <v>41334.0</v>
      </c>
      <c r="AS160" s="138">
        <v>41365.0</v>
      </c>
      <c r="AT160" s="138">
        <v>41395.0</v>
      </c>
      <c r="AU160" s="138">
        <v>41426.0</v>
      </c>
      <c r="AV160" s="138">
        <v>41456.0</v>
      </c>
      <c r="AW160" s="138">
        <v>41487.0</v>
      </c>
      <c r="AX160" s="138">
        <v>41518.0</v>
      </c>
      <c r="AY160" s="138">
        <v>41548.0</v>
      </c>
      <c r="AZ160" s="138">
        <v>41579.0</v>
      </c>
      <c r="BA160" s="138">
        <v>41609.0</v>
      </c>
      <c r="BB160" s="138">
        <v>41640.0</v>
      </c>
      <c r="BC160" s="138">
        <v>41671.0</v>
      </c>
      <c r="BD160" s="138">
        <v>41699.0</v>
      </c>
      <c r="BE160" s="138">
        <v>41730.0</v>
      </c>
      <c r="BF160" s="138">
        <v>41760.0</v>
      </c>
      <c r="BG160" s="138">
        <v>41791.0</v>
      </c>
      <c r="BH160" s="138">
        <v>41821.0</v>
      </c>
      <c r="BI160" s="138">
        <v>41852.0</v>
      </c>
      <c r="BJ160" s="138">
        <v>41883.0</v>
      </c>
      <c r="BK160" s="138">
        <v>41913.0</v>
      </c>
      <c r="BL160" s="138">
        <v>41944.0</v>
      </c>
      <c r="BM160" s="138">
        <v>41974.0</v>
      </c>
      <c r="BN160" s="138">
        <v>42005.0</v>
      </c>
      <c r="BO160" s="138">
        <v>42036.0</v>
      </c>
      <c r="BP160" s="138">
        <v>42064.0</v>
      </c>
      <c r="BQ160" s="138">
        <v>42095.0</v>
      </c>
      <c r="BR160" s="138">
        <v>42125.0</v>
      </c>
      <c r="BS160" s="138">
        <v>42156.0</v>
      </c>
      <c r="BT160" s="138">
        <v>42186.0</v>
      </c>
      <c r="BU160" s="138">
        <v>42217.0</v>
      </c>
      <c r="BV160" s="138">
        <v>42248.0</v>
      </c>
      <c r="BW160" s="138">
        <v>42278.0</v>
      </c>
      <c r="BX160" s="138">
        <v>42309.0</v>
      </c>
      <c r="BY160" s="138">
        <v>42339.0</v>
      </c>
      <c r="BZ160" s="138">
        <v>42370.0</v>
      </c>
      <c r="CA160" s="138">
        <v>42401.0</v>
      </c>
      <c r="CB160" s="138">
        <v>42430.0</v>
      </c>
      <c r="CC160" s="138">
        <v>42461.0</v>
      </c>
      <c r="CD160" s="138">
        <v>42491.0</v>
      </c>
      <c r="CE160" s="138">
        <v>42522.0</v>
      </c>
      <c r="CF160" s="138">
        <v>42552.0</v>
      </c>
      <c r="CG160" s="138">
        <v>42583.0</v>
      </c>
      <c r="CH160" s="138">
        <v>42614.0</v>
      </c>
      <c r="CI160" s="138">
        <v>42644.0</v>
      </c>
      <c r="CJ160" s="138">
        <v>42675.0</v>
      </c>
      <c r="CK160" s="138">
        <v>42705.0</v>
      </c>
      <c r="CL160" s="138">
        <v>42736.0</v>
      </c>
      <c r="CM160" s="138">
        <v>42767.0</v>
      </c>
      <c r="CN160" s="138">
        <v>42795.0</v>
      </c>
      <c r="CO160" s="138">
        <v>42826.0</v>
      </c>
      <c r="CP160" s="138">
        <v>42856.0</v>
      </c>
      <c r="CQ160" s="138">
        <v>42887.0</v>
      </c>
      <c r="CR160" s="138">
        <v>42917.0</v>
      </c>
      <c r="CS160" s="138">
        <v>42948.0</v>
      </c>
      <c r="CT160" s="138">
        <v>42979.0</v>
      </c>
      <c r="CU160" s="138">
        <v>43009.0</v>
      </c>
      <c r="CV160" s="138">
        <v>43040.0</v>
      </c>
      <c r="CW160" s="138">
        <v>43070.0</v>
      </c>
      <c r="CX160" s="138">
        <v>43101.0</v>
      </c>
      <c r="CY160" s="138">
        <v>43132.0</v>
      </c>
      <c r="CZ160" s="138">
        <v>43160.0</v>
      </c>
      <c r="DA160" s="138">
        <v>43191.0</v>
      </c>
      <c r="DB160" s="138">
        <v>43221.0</v>
      </c>
      <c r="DC160" s="138">
        <v>43252.0</v>
      </c>
      <c r="DD160" s="138">
        <v>43282.0</v>
      </c>
      <c r="DE160" s="138">
        <v>43313.0</v>
      </c>
      <c r="DF160" s="138">
        <v>43344.0</v>
      </c>
      <c r="DG160" s="138">
        <v>43374.0</v>
      </c>
      <c r="DH160" s="138">
        <v>43405.0</v>
      </c>
      <c r="DI160" s="138">
        <v>43435.0</v>
      </c>
      <c r="DJ160" s="138">
        <v>43466.0</v>
      </c>
      <c r="DK160" s="138">
        <v>43497.0</v>
      </c>
      <c r="DL160" s="138">
        <v>43525.0</v>
      </c>
      <c r="DM160" s="138">
        <v>43556.0</v>
      </c>
      <c r="DN160" s="138">
        <v>43586.0</v>
      </c>
      <c r="DO160" s="138">
        <v>43617.0</v>
      </c>
      <c r="DP160" s="138">
        <v>43647.0</v>
      </c>
      <c r="DQ160" s="138">
        <v>43678.0</v>
      </c>
      <c r="DR160" s="138">
        <v>43709.0</v>
      </c>
      <c r="DS160" s="138">
        <v>43739.0</v>
      </c>
      <c r="DT160" s="138">
        <v>43770.0</v>
      </c>
      <c r="DU160" s="138">
        <v>43800.0</v>
      </c>
      <c r="DV160" s="138">
        <v>43831.0</v>
      </c>
      <c r="DW160" s="138">
        <v>43862.0</v>
      </c>
      <c r="DX160" s="138">
        <v>43891.0</v>
      </c>
      <c r="DY160" s="138">
        <v>43922.0</v>
      </c>
      <c r="DZ160" s="138">
        <v>43952.0</v>
      </c>
      <c r="EA160" s="138">
        <v>43983.0</v>
      </c>
      <c r="EB160" s="138">
        <v>44013.0</v>
      </c>
      <c r="EC160" s="138">
        <v>44044.0</v>
      </c>
      <c r="ED160" s="138">
        <v>44075.0</v>
      </c>
      <c r="EE160" s="138">
        <v>44105.0</v>
      </c>
      <c r="EF160" s="138">
        <v>44136.0</v>
      </c>
      <c r="EG160" s="138">
        <v>44166.0</v>
      </c>
      <c r="EH160" s="138">
        <v>44197.0</v>
      </c>
      <c r="EI160" s="138">
        <v>44228.0</v>
      </c>
      <c r="EJ160" s="138">
        <v>44256.0</v>
      </c>
      <c r="EK160" s="138">
        <v>44287.0</v>
      </c>
      <c r="EL160" s="138">
        <v>44317.0</v>
      </c>
      <c r="EM160" s="138">
        <v>44348.0</v>
      </c>
      <c r="EN160" s="138">
        <v>44378.0</v>
      </c>
      <c r="EO160" s="138">
        <v>44409.0</v>
      </c>
      <c r="EP160" s="138">
        <v>44440.0</v>
      </c>
      <c r="EQ160" s="138">
        <v>44470.0</v>
      </c>
      <c r="ER160" s="138">
        <v>44501.0</v>
      </c>
      <c r="ES160" s="138">
        <v>44531.0</v>
      </c>
      <c r="ET160" s="138">
        <v>44562.0</v>
      </c>
      <c r="EU160" s="138">
        <v>44593.0</v>
      </c>
      <c r="EV160" s="138">
        <v>44621.0</v>
      </c>
      <c r="EW160" s="138">
        <v>44652.0</v>
      </c>
      <c r="EX160" s="138">
        <v>44682.0</v>
      </c>
      <c r="EY160" s="138">
        <v>44713.0</v>
      </c>
      <c r="EZ160" s="138">
        <v>44743.0</v>
      </c>
      <c r="FA160" s="138">
        <v>44774.0</v>
      </c>
      <c r="FB160" s="138">
        <v>44805.0</v>
      </c>
      <c r="FC160" s="138">
        <v>44835.0</v>
      </c>
      <c r="FD160" s="138">
        <v>44866.0</v>
      </c>
      <c r="FE160" s="138">
        <v>44896.0</v>
      </c>
      <c r="FF160" s="138">
        <v>44927.0</v>
      </c>
      <c r="FG160" s="138">
        <v>44958.0</v>
      </c>
      <c r="FH160" s="138">
        <v>44986.0</v>
      </c>
      <c r="FI160" s="138">
        <v>45017.0</v>
      </c>
      <c r="FJ160" s="138">
        <v>45047.0</v>
      </c>
      <c r="FK160" s="138">
        <v>45078.0</v>
      </c>
      <c r="FL160" s="138">
        <v>45108.0</v>
      </c>
      <c r="FM160" s="138">
        <v>45139.0</v>
      </c>
      <c r="FN160" s="138">
        <v>45170.0</v>
      </c>
      <c r="FO160" s="138">
        <v>45200.0</v>
      </c>
      <c r="FP160" s="138">
        <v>45231.0</v>
      </c>
      <c r="FQ160" s="138">
        <v>45261.0</v>
      </c>
      <c r="FR160" s="138">
        <v>45292.0</v>
      </c>
      <c r="FS160" s="138">
        <v>45323.0</v>
      </c>
      <c r="FT160" s="138">
        <v>45352.0</v>
      </c>
      <c r="FU160" s="138">
        <v>45383.0</v>
      </c>
      <c r="FV160" s="138">
        <v>45413.0</v>
      </c>
      <c r="FW160" s="138">
        <v>45444.0</v>
      </c>
      <c r="FX160" s="138">
        <v>45474.0</v>
      </c>
      <c r="FY160" s="138">
        <v>45505.0</v>
      </c>
      <c r="FZ160" s="138">
        <v>45536.0</v>
      </c>
      <c r="GA160" s="138">
        <v>45566.0</v>
      </c>
      <c r="GB160" s="138">
        <v>45597.0</v>
      </c>
      <c r="GC160" s="138">
        <v>45627.0</v>
      </c>
      <c r="GD160" s="138">
        <v>45658.0</v>
      </c>
      <c r="GE160" s="138">
        <v>45689.0</v>
      </c>
      <c r="GF160" s="138">
        <v>45717.0</v>
      </c>
      <c r="GG160" s="138">
        <v>45748.0</v>
      </c>
      <c r="GH160" s="138">
        <v>45778.0</v>
      </c>
      <c r="GI160" s="138">
        <v>45809.0</v>
      </c>
      <c r="GJ160" s="138">
        <v>45839.0</v>
      </c>
    </row>
    <row r="161">
      <c r="A161" s="133" t="s">
        <v>1318</v>
      </c>
      <c r="B161" s="134">
        <v>45846.864340277774</v>
      </c>
      <c r="C161" s="135" t="str">
        <f t="shared" si="1"/>
        <v>2025/07/08</v>
      </c>
      <c r="D161" s="136" t="s">
        <v>34347</v>
      </c>
      <c r="E161" s="151">
        <v>0.0</v>
      </c>
      <c r="F161" s="138">
        <v>40179.0</v>
      </c>
      <c r="G161" s="138">
        <v>40210.0</v>
      </c>
      <c r="H161" s="138">
        <v>40238.0</v>
      </c>
      <c r="I161" s="138">
        <v>40269.0</v>
      </c>
      <c r="J161" s="138">
        <v>40299.0</v>
      </c>
      <c r="K161" s="138">
        <v>40330.0</v>
      </c>
      <c r="L161" s="138">
        <v>40360.0</v>
      </c>
      <c r="M161" s="138">
        <v>40391.0</v>
      </c>
      <c r="N161" s="138">
        <v>40422.0</v>
      </c>
      <c r="O161" s="138">
        <v>40452.0</v>
      </c>
      <c r="P161" s="138">
        <v>40483.0</v>
      </c>
      <c r="Q161" s="138">
        <v>40513.0</v>
      </c>
      <c r="R161" s="138">
        <v>40544.0</v>
      </c>
      <c r="S161" s="138">
        <v>40575.0</v>
      </c>
      <c r="T161" s="138">
        <v>40603.0</v>
      </c>
      <c r="U161" s="138">
        <v>40634.0</v>
      </c>
      <c r="V161" s="138">
        <v>40664.0</v>
      </c>
      <c r="W161" s="138">
        <v>40695.0</v>
      </c>
      <c r="X161" s="138">
        <v>40725.0</v>
      </c>
      <c r="Y161" s="138">
        <v>40756.0</v>
      </c>
      <c r="Z161" s="138">
        <v>40787.0</v>
      </c>
      <c r="AA161" s="138">
        <v>40817.0</v>
      </c>
      <c r="AB161" s="138">
        <v>40848.0</v>
      </c>
      <c r="AC161" s="138">
        <v>40878.0</v>
      </c>
      <c r="AD161" s="138">
        <v>40909.0</v>
      </c>
      <c r="AE161" s="138">
        <v>40940.0</v>
      </c>
      <c r="AF161" s="138">
        <v>40969.0</v>
      </c>
      <c r="AG161" s="138">
        <v>41000.0</v>
      </c>
      <c r="AH161" s="138">
        <v>41030.0</v>
      </c>
      <c r="AI161" s="138">
        <v>41061.0</v>
      </c>
      <c r="AJ161" s="138">
        <v>41091.0</v>
      </c>
      <c r="AK161" s="138">
        <v>41122.0</v>
      </c>
      <c r="AL161" s="138">
        <v>41153.0</v>
      </c>
      <c r="AM161" s="138">
        <v>41183.0</v>
      </c>
      <c r="AN161" s="138">
        <v>41214.0</v>
      </c>
      <c r="AO161" s="138">
        <v>41244.0</v>
      </c>
      <c r="AP161" s="138">
        <v>41275.0</v>
      </c>
      <c r="AQ161" s="138">
        <v>41306.0</v>
      </c>
      <c r="AR161" s="138">
        <v>41334.0</v>
      </c>
      <c r="AS161" s="138">
        <v>41365.0</v>
      </c>
      <c r="AT161" s="138">
        <v>41395.0</v>
      </c>
      <c r="AU161" s="138">
        <v>41426.0</v>
      </c>
      <c r="AV161" s="138">
        <v>41456.0</v>
      </c>
      <c r="AW161" s="138">
        <v>41487.0</v>
      </c>
      <c r="AX161" s="138">
        <v>41518.0</v>
      </c>
      <c r="AY161" s="138">
        <v>41548.0</v>
      </c>
      <c r="AZ161" s="138">
        <v>41579.0</v>
      </c>
      <c r="BA161" s="138">
        <v>41609.0</v>
      </c>
      <c r="BB161" s="138">
        <v>41640.0</v>
      </c>
      <c r="BC161" s="138">
        <v>41671.0</v>
      </c>
      <c r="BD161" s="138">
        <v>41699.0</v>
      </c>
      <c r="BE161" s="138">
        <v>41730.0</v>
      </c>
      <c r="BF161" s="138">
        <v>41760.0</v>
      </c>
      <c r="BG161" s="138">
        <v>41791.0</v>
      </c>
      <c r="BH161" s="138">
        <v>41821.0</v>
      </c>
      <c r="BI161" s="138">
        <v>41852.0</v>
      </c>
      <c r="BJ161" s="138">
        <v>41883.0</v>
      </c>
      <c r="BK161" s="138">
        <v>41913.0</v>
      </c>
      <c r="BL161" s="138">
        <v>41944.0</v>
      </c>
      <c r="BM161" s="138">
        <v>41974.0</v>
      </c>
      <c r="BN161" s="138">
        <v>42005.0</v>
      </c>
      <c r="BO161" s="138">
        <v>42036.0</v>
      </c>
      <c r="BP161" s="138">
        <v>42064.0</v>
      </c>
      <c r="BQ161" s="138">
        <v>42095.0</v>
      </c>
      <c r="BR161" s="138">
        <v>42125.0</v>
      </c>
      <c r="BS161" s="138">
        <v>42156.0</v>
      </c>
      <c r="BT161" s="138">
        <v>42186.0</v>
      </c>
      <c r="BU161" s="138">
        <v>42217.0</v>
      </c>
      <c r="BV161" s="138">
        <v>42248.0</v>
      </c>
      <c r="BW161" s="138">
        <v>42278.0</v>
      </c>
      <c r="BX161" s="138">
        <v>42309.0</v>
      </c>
      <c r="BY161" s="138">
        <v>42339.0</v>
      </c>
      <c r="BZ161" s="138">
        <v>42370.0</v>
      </c>
      <c r="CA161" s="138">
        <v>42401.0</v>
      </c>
      <c r="CB161" s="138">
        <v>42430.0</v>
      </c>
      <c r="CC161" s="138">
        <v>42461.0</v>
      </c>
      <c r="CD161" s="138">
        <v>42491.0</v>
      </c>
      <c r="CE161" s="138">
        <v>42522.0</v>
      </c>
      <c r="CF161" s="138">
        <v>42552.0</v>
      </c>
      <c r="CG161" s="138">
        <v>42583.0</v>
      </c>
      <c r="CH161" s="138">
        <v>42614.0</v>
      </c>
      <c r="CI161" s="138">
        <v>42644.0</v>
      </c>
      <c r="CJ161" s="138">
        <v>42675.0</v>
      </c>
      <c r="CK161" s="138">
        <v>42705.0</v>
      </c>
      <c r="CL161" s="138">
        <v>42736.0</v>
      </c>
      <c r="CM161" s="138">
        <v>42767.0</v>
      </c>
      <c r="CN161" s="138">
        <v>42795.0</v>
      </c>
      <c r="CO161" s="138">
        <v>42826.0</v>
      </c>
      <c r="CP161" s="138">
        <v>42856.0</v>
      </c>
      <c r="CQ161" s="138">
        <v>42887.0</v>
      </c>
      <c r="CR161" s="138">
        <v>42917.0</v>
      </c>
      <c r="CS161" s="138">
        <v>42948.0</v>
      </c>
      <c r="CT161" s="138">
        <v>42979.0</v>
      </c>
      <c r="CU161" s="138">
        <v>43009.0</v>
      </c>
      <c r="CV161" s="138">
        <v>43040.0</v>
      </c>
      <c r="CW161" s="138">
        <v>43070.0</v>
      </c>
      <c r="CX161" s="138">
        <v>43101.0</v>
      </c>
      <c r="CY161" s="138">
        <v>43132.0</v>
      </c>
      <c r="CZ161" s="138">
        <v>43160.0</v>
      </c>
      <c r="DA161" s="138">
        <v>43191.0</v>
      </c>
      <c r="DB161" s="138">
        <v>43221.0</v>
      </c>
      <c r="DC161" s="138">
        <v>43252.0</v>
      </c>
      <c r="DD161" s="138">
        <v>43282.0</v>
      </c>
      <c r="DE161" s="138">
        <v>43313.0</v>
      </c>
      <c r="DF161" s="138">
        <v>43344.0</v>
      </c>
      <c r="DG161" s="138">
        <v>43374.0</v>
      </c>
      <c r="DH161" s="138">
        <v>43405.0</v>
      </c>
      <c r="DI161" s="138">
        <v>43435.0</v>
      </c>
      <c r="DJ161" s="138">
        <v>43466.0</v>
      </c>
      <c r="DK161" s="138">
        <v>43497.0</v>
      </c>
      <c r="DL161" s="138">
        <v>43525.0</v>
      </c>
      <c r="DM161" s="138">
        <v>43556.0</v>
      </c>
      <c r="DN161" s="138">
        <v>43586.0</v>
      </c>
      <c r="DO161" s="138">
        <v>43617.0</v>
      </c>
      <c r="DP161" s="138">
        <v>43647.0</v>
      </c>
      <c r="DQ161" s="138">
        <v>43678.0</v>
      </c>
      <c r="DR161" s="138">
        <v>43709.0</v>
      </c>
      <c r="DS161" s="138">
        <v>43739.0</v>
      </c>
      <c r="DT161" s="138">
        <v>43770.0</v>
      </c>
      <c r="DU161" s="138">
        <v>43800.0</v>
      </c>
      <c r="DV161" s="138">
        <v>43831.0</v>
      </c>
      <c r="DW161" s="138">
        <v>43862.0</v>
      </c>
      <c r="DX161" s="138">
        <v>43891.0</v>
      </c>
      <c r="DY161" s="138">
        <v>43922.0</v>
      </c>
      <c r="DZ161" s="138">
        <v>43952.0</v>
      </c>
      <c r="EA161" s="138">
        <v>43983.0</v>
      </c>
      <c r="EB161" s="138">
        <v>44013.0</v>
      </c>
      <c r="EC161" s="138">
        <v>44044.0</v>
      </c>
      <c r="ED161" s="138">
        <v>44075.0</v>
      </c>
      <c r="EE161" s="138">
        <v>44105.0</v>
      </c>
      <c r="EF161" s="138">
        <v>44136.0</v>
      </c>
      <c r="EG161" s="138">
        <v>44166.0</v>
      </c>
      <c r="EH161" s="138">
        <v>44197.0</v>
      </c>
      <c r="EI161" s="138">
        <v>44228.0</v>
      </c>
      <c r="EJ161" s="138">
        <v>44256.0</v>
      </c>
      <c r="EK161" s="138">
        <v>44287.0</v>
      </c>
      <c r="EL161" s="138">
        <v>44317.0</v>
      </c>
      <c r="EM161" s="138">
        <v>44348.0</v>
      </c>
      <c r="EN161" s="138">
        <v>44378.0</v>
      </c>
      <c r="EO161" s="138">
        <v>44409.0</v>
      </c>
      <c r="EP161" s="138">
        <v>44440.0</v>
      </c>
      <c r="EQ161" s="138">
        <v>44470.0</v>
      </c>
      <c r="ER161" s="138">
        <v>44501.0</v>
      </c>
      <c r="ES161" s="138">
        <v>44531.0</v>
      </c>
      <c r="ET161" s="138">
        <v>44562.0</v>
      </c>
      <c r="EU161" s="138">
        <v>44593.0</v>
      </c>
      <c r="EV161" s="138">
        <v>44621.0</v>
      </c>
      <c r="EW161" s="138">
        <v>44652.0</v>
      </c>
      <c r="EX161" s="138">
        <v>44682.0</v>
      </c>
      <c r="EY161" s="138">
        <v>44713.0</v>
      </c>
      <c r="EZ161" s="138">
        <v>44743.0</v>
      </c>
      <c r="FA161" s="138">
        <v>44774.0</v>
      </c>
      <c r="FB161" s="138">
        <v>44805.0</v>
      </c>
      <c r="FC161" s="138">
        <v>44835.0</v>
      </c>
      <c r="FD161" s="138">
        <v>44866.0</v>
      </c>
      <c r="FE161" s="138">
        <v>44896.0</v>
      </c>
      <c r="FF161" s="138">
        <v>44927.0</v>
      </c>
      <c r="FG161" s="138">
        <v>44958.0</v>
      </c>
      <c r="FH161" s="138">
        <v>44986.0</v>
      </c>
      <c r="FI161" s="138">
        <v>45017.0</v>
      </c>
      <c r="FJ161" s="138">
        <v>45047.0</v>
      </c>
      <c r="FK161" s="138">
        <v>45078.0</v>
      </c>
      <c r="FL161" s="138">
        <v>45108.0</v>
      </c>
      <c r="FM161" s="138">
        <v>45139.0</v>
      </c>
      <c r="FN161" s="138">
        <v>45170.0</v>
      </c>
      <c r="FO161" s="138">
        <v>45200.0</v>
      </c>
      <c r="FP161" s="138">
        <v>45231.0</v>
      </c>
      <c r="FQ161" s="138">
        <v>45261.0</v>
      </c>
      <c r="FR161" s="138">
        <v>45292.0</v>
      </c>
      <c r="FS161" s="138">
        <v>45323.0</v>
      </c>
      <c r="FT161" s="138">
        <v>45352.0</v>
      </c>
      <c r="FU161" s="138">
        <v>45383.0</v>
      </c>
      <c r="FV161" s="138">
        <v>45413.0</v>
      </c>
      <c r="FW161" s="138">
        <v>45444.0</v>
      </c>
      <c r="FX161" s="138">
        <v>45474.0</v>
      </c>
      <c r="FY161" s="138">
        <v>45505.0</v>
      </c>
      <c r="FZ161" s="138">
        <v>45536.0</v>
      </c>
      <c r="GA161" s="138">
        <v>45566.0</v>
      </c>
      <c r="GB161" s="138">
        <v>45597.0</v>
      </c>
      <c r="GC161" s="138">
        <v>45627.0</v>
      </c>
      <c r="GD161" s="138">
        <v>45658.0</v>
      </c>
      <c r="GE161" s="138">
        <v>45689.0</v>
      </c>
      <c r="GF161" s="138">
        <v>45717.0</v>
      </c>
      <c r="GG161" s="138">
        <v>45748.0</v>
      </c>
      <c r="GH161" s="138">
        <v>45778.0</v>
      </c>
      <c r="GI161" s="138">
        <v>45809.0</v>
      </c>
      <c r="GJ161" s="138">
        <v>45839.0</v>
      </c>
    </row>
    <row r="162">
      <c r="A162" s="133" t="s">
        <v>1478</v>
      </c>
      <c r="B162" s="134">
        <v>45846.96108796296</v>
      </c>
      <c r="C162" s="135" t="str">
        <f t="shared" si="1"/>
        <v>2025/07/08</v>
      </c>
      <c r="D162" s="136" t="s">
        <v>34348</v>
      </c>
      <c r="E162" s="151">
        <v>0.0</v>
      </c>
      <c r="F162" s="138">
        <v>40179.0</v>
      </c>
      <c r="G162" s="138">
        <v>40210.0</v>
      </c>
      <c r="H162" s="138">
        <v>40238.0</v>
      </c>
      <c r="I162" s="138">
        <v>40269.0</v>
      </c>
      <c r="J162" s="138">
        <v>40299.0</v>
      </c>
      <c r="K162" s="138">
        <v>40330.0</v>
      </c>
      <c r="L162" s="138">
        <v>40360.0</v>
      </c>
      <c r="M162" s="138">
        <v>40391.0</v>
      </c>
      <c r="N162" s="138">
        <v>40422.0</v>
      </c>
      <c r="O162" s="138">
        <v>40452.0</v>
      </c>
      <c r="P162" s="138">
        <v>40483.0</v>
      </c>
      <c r="Q162" s="138">
        <v>40513.0</v>
      </c>
      <c r="R162" s="138">
        <v>40544.0</v>
      </c>
      <c r="S162" s="138">
        <v>40575.0</v>
      </c>
      <c r="T162" s="138">
        <v>40603.0</v>
      </c>
      <c r="U162" s="138">
        <v>40634.0</v>
      </c>
      <c r="V162" s="138">
        <v>40664.0</v>
      </c>
      <c r="W162" s="138">
        <v>40695.0</v>
      </c>
      <c r="X162" s="138">
        <v>40725.0</v>
      </c>
      <c r="Y162" s="138">
        <v>40756.0</v>
      </c>
      <c r="Z162" s="138">
        <v>40787.0</v>
      </c>
      <c r="AA162" s="138">
        <v>40817.0</v>
      </c>
      <c r="AB162" s="138">
        <v>40848.0</v>
      </c>
      <c r="AC162" s="138">
        <v>40878.0</v>
      </c>
      <c r="AD162" s="138">
        <v>40909.0</v>
      </c>
      <c r="AE162" s="138">
        <v>40940.0</v>
      </c>
      <c r="AF162" s="138">
        <v>40969.0</v>
      </c>
      <c r="AG162" s="138">
        <v>41000.0</v>
      </c>
      <c r="AH162" s="138">
        <v>41030.0</v>
      </c>
      <c r="AI162" s="138">
        <v>41061.0</v>
      </c>
      <c r="AJ162" s="138">
        <v>41091.0</v>
      </c>
      <c r="AK162" s="138">
        <v>41122.0</v>
      </c>
      <c r="AL162" s="138">
        <v>41153.0</v>
      </c>
      <c r="AM162" s="138">
        <v>41183.0</v>
      </c>
      <c r="AN162" s="138">
        <v>41214.0</v>
      </c>
      <c r="AO162" s="138">
        <v>41244.0</v>
      </c>
      <c r="AP162" s="138">
        <v>41275.0</v>
      </c>
      <c r="AQ162" s="138">
        <v>41306.0</v>
      </c>
      <c r="AR162" s="138">
        <v>41334.0</v>
      </c>
      <c r="AS162" s="138">
        <v>41365.0</v>
      </c>
      <c r="AT162" s="138">
        <v>41395.0</v>
      </c>
      <c r="AU162" s="138">
        <v>41426.0</v>
      </c>
      <c r="AV162" s="138">
        <v>41456.0</v>
      </c>
      <c r="AW162" s="138">
        <v>41487.0</v>
      </c>
      <c r="AX162" s="138">
        <v>41518.0</v>
      </c>
      <c r="AY162" s="138">
        <v>41548.0</v>
      </c>
      <c r="AZ162" s="138">
        <v>41579.0</v>
      </c>
      <c r="BA162" s="138">
        <v>41609.0</v>
      </c>
      <c r="BB162" s="138">
        <v>41640.0</v>
      </c>
      <c r="BC162" s="138">
        <v>41671.0</v>
      </c>
      <c r="BD162" s="138">
        <v>41699.0</v>
      </c>
      <c r="BE162" s="138">
        <v>41730.0</v>
      </c>
      <c r="BF162" s="138">
        <v>41760.0</v>
      </c>
      <c r="BG162" s="138">
        <v>41791.0</v>
      </c>
      <c r="BH162" s="138">
        <v>41821.0</v>
      </c>
      <c r="BI162" s="138">
        <v>41852.0</v>
      </c>
      <c r="BJ162" s="138">
        <v>41883.0</v>
      </c>
      <c r="BK162" s="138">
        <v>41913.0</v>
      </c>
      <c r="BL162" s="138">
        <v>41944.0</v>
      </c>
      <c r="BM162" s="138">
        <v>41974.0</v>
      </c>
      <c r="BN162" s="138">
        <v>42005.0</v>
      </c>
      <c r="BO162" s="138">
        <v>42036.0</v>
      </c>
      <c r="BP162" s="138">
        <v>42064.0</v>
      </c>
      <c r="BQ162" s="138">
        <v>42095.0</v>
      </c>
      <c r="BR162" s="138">
        <v>42125.0</v>
      </c>
      <c r="BS162" s="138">
        <v>42156.0</v>
      </c>
      <c r="BT162" s="138">
        <v>42186.0</v>
      </c>
      <c r="BU162" s="138">
        <v>42217.0</v>
      </c>
      <c r="BV162" s="138">
        <v>42248.0</v>
      </c>
      <c r="BW162" s="138">
        <v>42278.0</v>
      </c>
      <c r="BX162" s="138">
        <v>42309.0</v>
      </c>
      <c r="BY162" s="138">
        <v>42339.0</v>
      </c>
      <c r="BZ162" s="138">
        <v>42370.0</v>
      </c>
      <c r="CA162" s="138">
        <v>42401.0</v>
      </c>
      <c r="CB162" s="138">
        <v>42430.0</v>
      </c>
      <c r="CC162" s="138">
        <v>42461.0</v>
      </c>
      <c r="CD162" s="138">
        <v>42491.0</v>
      </c>
      <c r="CE162" s="138">
        <v>42522.0</v>
      </c>
      <c r="CF162" s="138">
        <v>42552.0</v>
      </c>
      <c r="CG162" s="138">
        <v>42583.0</v>
      </c>
      <c r="CH162" s="138">
        <v>42614.0</v>
      </c>
      <c r="CI162" s="138">
        <v>42644.0</v>
      </c>
      <c r="CJ162" s="138">
        <v>42675.0</v>
      </c>
      <c r="CK162" s="138">
        <v>42705.0</v>
      </c>
      <c r="CL162" s="138">
        <v>42736.0</v>
      </c>
      <c r="CM162" s="138">
        <v>42767.0</v>
      </c>
      <c r="CN162" s="138">
        <v>42795.0</v>
      </c>
      <c r="CO162" s="138">
        <v>42826.0</v>
      </c>
      <c r="CP162" s="138">
        <v>42856.0</v>
      </c>
      <c r="CQ162" s="138">
        <v>42887.0</v>
      </c>
      <c r="CR162" s="138">
        <v>42917.0</v>
      </c>
      <c r="CS162" s="138">
        <v>42948.0</v>
      </c>
      <c r="CT162" s="138">
        <v>42979.0</v>
      </c>
      <c r="CU162" s="138">
        <v>43009.0</v>
      </c>
      <c r="CV162" s="138">
        <v>43040.0</v>
      </c>
      <c r="CW162" s="138">
        <v>43070.0</v>
      </c>
      <c r="CX162" s="138">
        <v>43101.0</v>
      </c>
      <c r="CY162" s="138">
        <v>43132.0</v>
      </c>
      <c r="CZ162" s="138">
        <v>43160.0</v>
      </c>
      <c r="DA162" s="138">
        <v>43191.0</v>
      </c>
      <c r="DB162" s="138">
        <v>43221.0</v>
      </c>
      <c r="DC162" s="138">
        <v>43252.0</v>
      </c>
      <c r="DD162" s="138">
        <v>43282.0</v>
      </c>
      <c r="DE162" s="138">
        <v>43313.0</v>
      </c>
      <c r="DF162" s="138">
        <v>43344.0</v>
      </c>
      <c r="DG162" s="138">
        <v>43374.0</v>
      </c>
      <c r="DH162" s="138">
        <v>43405.0</v>
      </c>
      <c r="DI162" s="138">
        <v>43435.0</v>
      </c>
      <c r="DJ162" s="138">
        <v>43466.0</v>
      </c>
      <c r="DK162" s="138">
        <v>43497.0</v>
      </c>
      <c r="DL162" s="138">
        <v>43525.0</v>
      </c>
      <c r="DM162" s="138">
        <v>43556.0</v>
      </c>
      <c r="DN162" s="138">
        <v>43586.0</v>
      </c>
      <c r="DO162" s="138">
        <v>43617.0</v>
      </c>
      <c r="DP162" s="138">
        <v>43647.0</v>
      </c>
      <c r="DQ162" s="138">
        <v>43678.0</v>
      </c>
      <c r="DR162" s="138">
        <v>43709.0</v>
      </c>
      <c r="DS162" s="138">
        <v>43739.0</v>
      </c>
      <c r="DT162" s="138">
        <v>43770.0</v>
      </c>
      <c r="DU162" s="138">
        <v>43800.0</v>
      </c>
      <c r="DV162" s="138">
        <v>43831.0</v>
      </c>
      <c r="DW162" s="138">
        <v>43862.0</v>
      </c>
      <c r="DX162" s="138">
        <v>43891.0</v>
      </c>
      <c r="DY162" s="138">
        <v>43922.0</v>
      </c>
      <c r="DZ162" s="138">
        <v>43952.0</v>
      </c>
      <c r="EA162" s="138">
        <v>43983.0</v>
      </c>
      <c r="EB162" s="138">
        <v>44013.0</v>
      </c>
      <c r="EC162" s="138">
        <v>44044.0</v>
      </c>
      <c r="ED162" s="138">
        <v>44075.0</v>
      </c>
      <c r="EE162" s="138">
        <v>44105.0</v>
      </c>
      <c r="EF162" s="138">
        <v>44136.0</v>
      </c>
      <c r="EG162" s="138">
        <v>44166.0</v>
      </c>
      <c r="EH162" s="138">
        <v>44197.0</v>
      </c>
      <c r="EI162" s="138">
        <v>44228.0</v>
      </c>
      <c r="EJ162" s="138">
        <v>44256.0</v>
      </c>
      <c r="EK162" s="138">
        <v>44287.0</v>
      </c>
      <c r="EL162" s="138">
        <v>44317.0</v>
      </c>
      <c r="EM162" s="138">
        <v>44348.0</v>
      </c>
      <c r="EN162" s="138">
        <v>44378.0</v>
      </c>
      <c r="EO162" s="138">
        <v>44409.0</v>
      </c>
      <c r="EP162" s="138">
        <v>44440.0</v>
      </c>
      <c r="EQ162" s="138">
        <v>44470.0</v>
      </c>
      <c r="ER162" s="138">
        <v>44501.0</v>
      </c>
      <c r="ES162" s="138">
        <v>44531.0</v>
      </c>
      <c r="ET162" s="138">
        <v>44562.0</v>
      </c>
      <c r="EU162" s="138">
        <v>44593.0</v>
      </c>
      <c r="EV162" s="138">
        <v>44621.0</v>
      </c>
      <c r="EW162" s="138">
        <v>44652.0</v>
      </c>
      <c r="EX162" s="138">
        <v>44682.0</v>
      </c>
      <c r="EY162" s="138">
        <v>44713.0</v>
      </c>
      <c r="EZ162" s="138">
        <v>44743.0</v>
      </c>
      <c r="FA162" s="138">
        <v>44774.0</v>
      </c>
      <c r="FB162" s="138">
        <v>44805.0</v>
      </c>
      <c r="FC162" s="138">
        <v>44835.0</v>
      </c>
      <c r="FD162" s="138">
        <v>44866.0</v>
      </c>
      <c r="FE162" s="138">
        <v>44896.0</v>
      </c>
      <c r="FF162" s="138">
        <v>44927.0</v>
      </c>
      <c r="FG162" s="138">
        <v>44958.0</v>
      </c>
      <c r="FH162" s="138">
        <v>44986.0</v>
      </c>
      <c r="FI162" s="138">
        <v>45017.0</v>
      </c>
      <c r="FJ162" s="138">
        <v>45047.0</v>
      </c>
      <c r="FK162" s="138">
        <v>45078.0</v>
      </c>
      <c r="FL162" s="138">
        <v>45108.0</v>
      </c>
      <c r="FM162" s="138">
        <v>45139.0</v>
      </c>
      <c r="FN162" s="138">
        <v>45170.0</v>
      </c>
      <c r="FO162" s="138">
        <v>45200.0</v>
      </c>
      <c r="FP162" s="138">
        <v>45231.0</v>
      </c>
      <c r="FQ162" s="138">
        <v>45261.0</v>
      </c>
      <c r="FR162" s="138">
        <v>45292.0</v>
      </c>
      <c r="FS162" s="138">
        <v>45323.0</v>
      </c>
      <c r="FT162" s="138">
        <v>45352.0</v>
      </c>
      <c r="FU162" s="138">
        <v>45383.0</v>
      </c>
      <c r="FV162" s="138">
        <v>45413.0</v>
      </c>
      <c r="FW162" s="138">
        <v>45444.0</v>
      </c>
      <c r="FX162" s="138">
        <v>45474.0</v>
      </c>
      <c r="FY162" s="138">
        <v>45505.0</v>
      </c>
      <c r="FZ162" s="138">
        <v>45536.0</v>
      </c>
      <c r="GA162" s="138">
        <v>45566.0</v>
      </c>
      <c r="GB162" s="138">
        <v>45597.0</v>
      </c>
      <c r="GC162" s="138">
        <v>45627.0</v>
      </c>
      <c r="GD162" s="138">
        <v>45658.0</v>
      </c>
      <c r="GE162" s="138">
        <v>45689.0</v>
      </c>
      <c r="GF162" s="138">
        <v>45717.0</v>
      </c>
      <c r="GG162" s="138">
        <v>45748.0</v>
      </c>
      <c r="GH162" s="138">
        <v>45778.0</v>
      </c>
      <c r="GI162" s="138">
        <v>45809.0</v>
      </c>
      <c r="GJ162" s="138">
        <v>45839.0</v>
      </c>
    </row>
    <row r="163">
      <c r="A163" s="133" t="s">
        <v>1482</v>
      </c>
      <c r="B163" s="134">
        <v>45846.98769675926</v>
      </c>
      <c r="C163" s="135" t="str">
        <f t="shared" si="1"/>
        <v>2025/07/08</v>
      </c>
      <c r="D163" s="136" t="s">
        <v>34349</v>
      </c>
      <c r="E163" s="151">
        <v>0.0</v>
      </c>
      <c r="F163" s="138">
        <v>40179.0</v>
      </c>
      <c r="G163" s="138">
        <v>40210.0</v>
      </c>
      <c r="H163" s="138">
        <v>40238.0</v>
      </c>
      <c r="I163" s="138">
        <v>40269.0</v>
      </c>
      <c r="J163" s="138">
        <v>40299.0</v>
      </c>
      <c r="K163" s="138">
        <v>40330.0</v>
      </c>
      <c r="L163" s="138">
        <v>40360.0</v>
      </c>
      <c r="M163" s="138">
        <v>40391.0</v>
      </c>
      <c r="N163" s="138">
        <v>40422.0</v>
      </c>
      <c r="O163" s="138">
        <v>40452.0</v>
      </c>
      <c r="P163" s="138">
        <v>40483.0</v>
      </c>
      <c r="Q163" s="138">
        <v>40513.0</v>
      </c>
      <c r="R163" s="138">
        <v>40544.0</v>
      </c>
      <c r="S163" s="138">
        <v>40575.0</v>
      </c>
      <c r="T163" s="138">
        <v>40603.0</v>
      </c>
      <c r="U163" s="138">
        <v>40634.0</v>
      </c>
      <c r="V163" s="138">
        <v>40664.0</v>
      </c>
      <c r="W163" s="138">
        <v>40695.0</v>
      </c>
      <c r="X163" s="138">
        <v>40725.0</v>
      </c>
      <c r="Y163" s="138">
        <v>40756.0</v>
      </c>
      <c r="Z163" s="138">
        <v>40787.0</v>
      </c>
      <c r="AA163" s="138">
        <v>40817.0</v>
      </c>
      <c r="AB163" s="138">
        <v>40848.0</v>
      </c>
      <c r="AC163" s="138">
        <v>40878.0</v>
      </c>
      <c r="AD163" s="138">
        <v>40909.0</v>
      </c>
      <c r="AE163" s="138">
        <v>40940.0</v>
      </c>
      <c r="AF163" s="138">
        <v>40969.0</v>
      </c>
      <c r="AG163" s="138">
        <v>41000.0</v>
      </c>
      <c r="AH163" s="138">
        <v>41030.0</v>
      </c>
      <c r="AI163" s="138">
        <v>41061.0</v>
      </c>
      <c r="AJ163" s="138">
        <v>41091.0</v>
      </c>
      <c r="AK163" s="138">
        <v>41122.0</v>
      </c>
      <c r="AL163" s="138">
        <v>41153.0</v>
      </c>
      <c r="AM163" s="138">
        <v>41183.0</v>
      </c>
      <c r="AN163" s="138">
        <v>41214.0</v>
      </c>
      <c r="AO163" s="138">
        <v>41244.0</v>
      </c>
      <c r="AP163" s="138">
        <v>41275.0</v>
      </c>
      <c r="AQ163" s="138">
        <v>41306.0</v>
      </c>
      <c r="AR163" s="138">
        <v>41334.0</v>
      </c>
      <c r="AS163" s="138">
        <v>41365.0</v>
      </c>
      <c r="AT163" s="138">
        <v>41395.0</v>
      </c>
      <c r="AU163" s="138">
        <v>41426.0</v>
      </c>
      <c r="AV163" s="138">
        <v>41456.0</v>
      </c>
      <c r="AW163" s="138">
        <v>41487.0</v>
      </c>
      <c r="AX163" s="138">
        <v>41518.0</v>
      </c>
      <c r="AY163" s="138">
        <v>41548.0</v>
      </c>
      <c r="AZ163" s="138">
        <v>41579.0</v>
      </c>
      <c r="BA163" s="138">
        <v>41609.0</v>
      </c>
      <c r="BB163" s="138">
        <v>41640.0</v>
      </c>
      <c r="BC163" s="138">
        <v>41671.0</v>
      </c>
      <c r="BD163" s="138">
        <v>41699.0</v>
      </c>
      <c r="BE163" s="138">
        <v>41730.0</v>
      </c>
      <c r="BF163" s="138">
        <v>41760.0</v>
      </c>
      <c r="BG163" s="138">
        <v>41791.0</v>
      </c>
      <c r="BH163" s="138">
        <v>41821.0</v>
      </c>
      <c r="BI163" s="138">
        <v>41852.0</v>
      </c>
      <c r="BJ163" s="138">
        <v>41883.0</v>
      </c>
      <c r="BK163" s="138">
        <v>41913.0</v>
      </c>
      <c r="BL163" s="138">
        <v>41944.0</v>
      </c>
      <c r="BM163" s="138">
        <v>41974.0</v>
      </c>
      <c r="BN163" s="138">
        <v>42005.0</v>
      </c>
      <c r="BO163" s="138">
        <v>42036.0</v>
      </c>
      <c r="BP163" s="138">
        <v>42064.0</v>
      </c>
      <c r="BQ163" s="138">
        <v>42095.0</v>
      </c>
      <c r="BR163" s="138">
        <v>42125.0</v>
      </c>
      <c r="BS163" s="138">
        <v>42156.0</v>
      </c>
      <c r="BT163" s="138">
        <v>42186.0</v>
      </c>
      <c r="BU163" s="138">
        <v>42217.0</v>
      </c>
      <c r="BV163" s="138">
        <v>42248.0</v>
      </c>
      <c r="BW163" s="138">
        <v>42278.0</v>
      </c>
      <c r="BX163" s="138">
        <v>42309.0</v>
      </c>
      <c r="BY163" s="138">
        <v>42339.0</v>
      </c>
      <c r="BZ163" s="138">
        <v>42370.0</v>
      </c>
      <c r="CA163" s="138">
        <v>42401.0</v>
      </c>
      <c r="CB163" s="138">
        <v>42430.0</v>
      </c>
      <c r="CC163" s="138">
        <v>42461.0</v>
      </c>
      <c r="CD163" s="138">
        <v>42491.0</v>
      </c>
      <c r="CE163" s="138">
        <v>42522.0</v>
      </c>
      <c r="CF163" s="138">
        <v>42552.0</v>
      </c>
      <c r="CG163" s="138">
        <v>42583.0</v>
      </c>
      <c r="CH163" s="138">
        <v>42614.0</v>
      </c>
      <c r="CI163" s="138">
        <v>42644.0</v>
      </c>
      <c r="CJ163" s="138">
        <v>42675.0</v>
      </c>
      <c r="CK163" s="138">
        <v>42705.0</v>
      </c>
      <c r="CL163" s="138">
        <v>42736.0</v>
      </c>
      <c r="CM163" s="138">
        <v>42767.0</v>
      </c>
      <c r="CN163" s="138">
        <v>42795.0</v>
      </c>
      <c r="CO163" s="138">
        <v>42826.0</v>
      </c>
      <c r="CP163" s="138">
        <v>42856.0</v>
      </c>
      <c r="CQ163" s="138">
        <v>42887.0</v>
      </c>
      <c r="CR163" s="138">
        <v>42917.0</v>
      </c>
      <c r="CS163" s="138">
        <v>42948.0</v>
      </c>
      <c r="CT163" s="138">
        <v>42979.0</v>
      </c>
      <c r="CU163" s="138">
        <v>43009.0</v>
      </c>
      <c r="CV163" s="138">
        <v>43040.0</v>
      </c>
      <c r="CW163" s="138">
        <v>43070.0</v>
      </c>
      <c r="CX163" s="138">
        <v>43101.0</v>
      </c>
      <c r="CY163" s="138">
        <v>43132.0</v>
      </c>
      <c r="CZ163" s="138">
        <v>43160.0</v>
      </c>
      <c r="DA163" s="138">
        <v>43191.0</v>
      </c>
      <c r="DB163" s="138">
        <v>43221.0</v>
      </c>
      <c r="DC163" s="138">
        <v>43252.0</v>
      </c>
      <c r="DD163" s="138">
        <v>43282.0</v>
      </c>
      <c r="DE163" s="138">
        <v>43313.0</v>
      </c>
      <c r="DF163" s="138">
        <v>43344.0</v>
      </c>
      <c r="DG163" s="138">
        <v>43374.0</v>
      </c>
      <c r="DH163" s="138">
        <v>43405.0</v>
      </c>
      <c r="DI163" s="138">
        <v>43435.0</v>
      </c>
      <c r="DJ163" s="138">
        <v>43466.0</v>
      </c>
      <c r="DK163" s="138">
        <v>43497.0</v>
      </c>
      <c r="DL163" s="138">
        <v>43525.0</v>
      </c>
      <c r="DM163" s="138">
        <v>43556.0</v>
      </c>
      <c r="DN163" s="138">
        <v>43586.0</v>
      </c>
      <c r="DO163" s="138">
        <v>43617.0</v>
      </c>
      <c r="DP163" s="138">
        <v>43647.0</v>
      </c>
      <c r="DQ163" s="138">
        <v>43678.0</v>
      </c>
      <c r="DR163" s="138">
        <v>43709.0</v>
      </c>
      <c r="DS163" s="138">
        <v>43739.0</v>
      </c>
      <c r="DT163" s="138">
        <v>43770.0</v>
      </c>
      <c r="DU163" s="138">
        <v>43800.0</v>
      </c>
      <c r="DV163" s="138">
        <v>43831.0</v>
      </c>
      <c r="DW163" s="138">
        <v>43862.0</v>
      </c>
      <c r="DX163" s="138">
        <v>43891.0</v>
      </c>
      <c r="DY163" s="138">
        <v>43922.0</v>
      </c>
      <c r="DZ163" s="138">
        <v>43952.0</v>
      </c>
      <c r="EA163" s="138">
        <v>43983.0</v>
      </c>
      <c r="EB163" s="138">
        <v>44013.0</v>
      </c>
      <c r="EC163" s="138">
        <v>44044.0</v>
      </c>
      <c r="ED163" s="138">
        <v>44075.0</v>
      </c>
      <c r="EE163" s="138">
        <v>44105.0</v>
      </c>
      <c r="EF163" s="138">
        <v>44136.0</v>
      </c>
      <c r="EG163" s="138">
        <v>44166.0</v>
      </c>
      <c r="EH163" s="138">
        <v>44197.0</v>
      </c>
      <c r="EI163" s="138">
        <v>44228.0</v>
      </c>
      <c r="EJ163" s="138">
        <v>44256.0</v>
      </c>
      <c r="EK163" s="138">
        <v>44287.0</v>
      </c>
      <c r="EL163" s="138">
        <v>44317.0</v>
      </c>
      <c r="EM163" s="138">
        <v>44348.0</v>
      </c>
      <c r="EN163" s="138">
        <v>44378.0</v>
      </c>
      <c r="EO163" s="138">
        <v>44409.0</v>
      </c>
      <c r="EP163" s="138">
        <v>44440.0</v>
      </c>
      <c r="EQ163" s="138">
        <v>44470.0</v>
      </c>
      <c r="ER163" s="138">
        <v>44501.0</v>
      </c>
      <c r="ES163" s="138">
        <v>44531.0</v>
      </c>
      <c r="ET163" s="138">
        <v>44562.0</v>
      </c>
      <c r="EU163" s="138">
        <v>44593.0</v>
      </c>
      <c r="EV163" s="138">
        <v>44621.0</v>
      </c>
      <c r="EW163" s="138">
        <v>44652.0</v>
      </c>
      <c r="EX163" s="138">
        <v>44682.0</v>
      </c>
      <c r="EY163" s="138">
        <v>44713.0</v>
      </c>
      <c r="EZ163" s="138">
        <v>44743.0</v>
      </c>
      <c r="FA163" s="138">
        <v>44774.0</v>
      </c>
      <c r="FB163" s="138">
        <v>44805.0</v>
      </c>
      <c r="FC163" s="138">
        <v>44835.0</v>
      </c>
      <c r="FD163" s="138">
        <v>44866.0</v>
      </c>
      <c r="FE163" s="138">
        <v>44896.0</v>
      </c>
      <c r="FF163" s="138">
        <v>44927.0</v>
      </c>
      <c r="FG163" s="138">
        <v>44958.0</v>
      </c>
      <c r="FH163" s="138">
        <v>44986.0</v>
      </c>
      <c r="FI163" s="138">
        <v>45017.0</v>
      </c>
      <c r="FJ163" s="138">
        <v>45047.0</v>
      </c>
      <c r="FK163" s="138">
        <v>45078.0</v>
      </c>
      <c r="FL163" s="138">
        <v>45108.0</v>
      </c>
      <c r="FM163" s="138">
        <v>45139.0</v>
      </c>
      <c r="FN163" s="138">
        <v>45170.0</v>
      </c>
      <c r="FO163" s="138">
        <v>45200.0</v>
      </c>
      <c r="FP163" s="138">
        <v>45231.0</v>
      </c>
      <c r="FQ163" s="138">
        <v>45261.0</v>
      </c>
      <c r="FR163" s="138">
        <v>45292.0</v>
      </c>
      <c r="FS163" s="138">
        <v>45323.0</v>
      </c>
      <c r="FT163" s="138">
        <v>45352.0</v>
      </c>
      <c r="FU163" s="138">
        <v>45383.0</v>
      </c>
      <c r="FV163" s="138">
        <v>45413.0</v>
      </c>
      <c r="FW163" s="138">
        <v>45444.0</v>
      </c>
      <c r="FX163" s="138">
        <v>45474.0</v>
      </c>
      <c r="FY163" s="138">
        <v>45505.0</v>
      </c>
      <c r="FZ163" s="138">
        <v>45536.0</v>
      </c>
      <c r="GA163" s="138">
        <v>45566.0</v>
      </c>
      <c r="GB163" s="138">
        <v>45597.0</v>
      </c>
      <c r="GC163" s="138">
        <v>45627.0</v>
      </c>
      <c r="GD163" s="138">
        <v>45658.0</v>
      </c>
      <c r="GE163" s="138">
        <v>45689.0</v>
      </c>
      <c r="GF163" s="138">
        <v>45717.0</v>
      </c>
      <c r="GG163" s="138">
        <v>45748.0</v>
      </c>
      <c r="GH163" s="138">
        <v>45778.0</v>
      </c>
      <c r="GI163" s="138">
        <v>45809.0</v>
      </c>
      <c r="GJ163" s="138">
        <v>45839.0</v>
      </c>
    </row>
    <row r="164">
      <c r="A164" s="133" t="s">
        <v>1855</v>
      </c>
      <c r="B164" s="134">
        <v>45847.6147337963</v>
      </c>
      <c r="C164" s="135" t="str">
        <f t="shared" si="1"/>
        <v>2025/07/09</v>
      </c>
      <c r="D164" s="136" t="s">
        <v>34350</v>
      </c>
      <c r="E164" s="151">
        <v>0.05</v>
      </c>
      <c r="F164" s="138">
        <v>40179.0</v>
      </c>
      <c r="G164" s="138">
        <v>40210.0</v>
      </c>
      <c r="H164" s="138">
        <v>40238.0</v>
      </c>
      <c r="I164" s="138">
        <v>40269.0</v>
      </c>
      <c r="J164" s="138">
        <v>40299.0</v>
      </c>
      <c r="K164" s="138">
        <v>40330.0</v>
      </c>
      <c r="L164" s="138">
        <v>40360.0</v>
      </c>
      <c r="M164" s="138">
        <v>40391.0</v>
      </c>
      <c r="N164" s="138">
        <v>40422.0</v>
      </c>
      <c r="O164" s="138">
        <v>40452.0</v>
      </c>
      <c r="P164" s="138">
        <v>40483.0</v>
      </c>
      <c r="Q164" s="138">
        <v>40513.0</v>
      </c>
      <c r="R164" s="138">
        <v>40544.0</v>
      </c>
      <c r="S164" s="138">
        <v>40575.0</v>
      </c>
      <c r="T164" s="138">
        <v>40603.0</v>
      </c>
      <c r="U164" s="138">
        <v>40634.0</v>
      </c>
      <c r="V164" s="138">
        <v>40664.0</v>
      </c>
      <c r="W164" s="138">
        <v>40695.0</v>
      </c>
      <c r="X164" s="138">
        <v>40725.0</v>
      </c>
      <c r="Y164" s="138">
        <v>40756.0</v>
      </c>
      <c r="Z164" s="138">
        <v>40787.0</v>
      </c>
      <c r="AA164" s="138">
        <v>40817.0</v>
      </c>
      <c r="AB164" s="138">
        <v>40848.0</v>
      </c>
      <c r="AC164" s="138">
        <v>40878.0</v>
      </c>
      <c r="AD164" s="138">
        <v>40909.0</v>
      </c>
      <c r="AE164" s="138">
        <v>40940.0</v>
      </c>
      <c r="AF164" s="138">
        <v>40969.0</v>
      </c>
      <c r="AG164" s="138">
        <v>41000.0</v>
      </c>
      <c r="AH164" s="138">
        <v>41030.0</v>
      </c>
      <c r="AI164" s="138">
        <v>41061.0</v>
      </c>
      <c r="AJ164" s="138">
        <v>41091.0</v>
      </c>
      <c r="AK164" s="138">
        <v>41122.0</v>
      </c>
      <c r="AL164" s="138">
        <v>41153.0</v>
      </c>
      <c r="AM164" s="138">
        <v>41183.0</v>
      </c>
      <c r="AN164" s="138">
        <v>41214.0</v>
      </c>
      <c r="AO164" s="138">
        <v>41244.0</v>
      </c>
      <c r="AP164" s="138">
        <v>41275.0</v>
      </c>
      <c r="AQ164" s="138">
        <v>41306.0</v>
      </c>
      <c r="AR164" s="138">
        <v>41334.0</v>
      </c>
      <c r="AS164" s="138">
        <v>41365.0</v>
      </c>
      <c r="AT164" s="138">
        <v>41395.0</v>
      </c>
      <c r="AU164" s="138">
        <v>41426.0</v>
      </c>
      <c r="AV164" s="138">
        <v>41456.0</v>
      </c>
      <c r="AW164" s="138">
        <v>41487.0</v>
      </c>
      <c r="AX164" s="138">
        <v>41518.0</v>
      </c>
      <c r="AY164" s="138">
        <v>41548.0</v>
      </c>
      <c r="AZ164" s="138">
        <v>41579.0</v>
      </c>
      <c r="BA164" s="138">
        <v>41609.0</v>
      </c>
      <c r="BB164" s="138">
        <v>41640.0</v>
      </c>
      <c r="BC164" s="138">
        <v>41671.0</v>
      </c>
      <c r="BD164" s="138">
        <v>41699.0</v>
      </c>
      <c r="BE164" s="138">
        <v>41730.0</v>
      </c>
      <c r="BF164" s="138">
        <v>41760.0</v>
      </c>
      <c r="BG164" s="138">
        <v>41791.0</v>
      </c>
      <c r="BH164" s="138">
        <v>41821.0</v>
      </c>
      <c r="BI164" s="138">
        <v>41852.0</v>
      </c>
      <c r="BJ164" s="138">
        <v>41883.0</v>
      </c>
      <c r="BK164" s="138">
        <v>41913.0</v>
      </c>
      <c r="BL164" s="138">
        <v>41944.0</v>
      </c>
      <c r="BM164" s="138">
        <v>41974.0</v>
      </c>
      <c r="BN164" s="138">
        <v>42005.0</v>
      </c>
      <c r="BO164" s="138">
        <v>42036.0</v>
      </c>
      <c r="BP164" s="138">
        <v>42064.0</v>
      </c>
      <c r="BQ164" s="138">
        <v>42095.0</v>
      </c>
      <c r="BR164" s="138">
        <v>42125.0</v>
      </c>
      <c r="BS164" s="138">
        <v>42156.0</v>
      </c>
      <c r="BT164" s="138">
        <v>42186.0</v>
      </c>
      <c r="BU164" s="138">
        <v>42217.0</v>
      </c>
      <c r="BV164" s="138">
        <v>42248.0</v>
      </c>
      <c r="BW164" s="138">
        <v>42278.0</v>
      </c>
      <c r="BX164" s="138">
        <v>42309.0</v>
      </c>
      <c r="BY164" s="138">
        <v>42339.0</v>
      </c>
      <c r="BZ164" s="138">
        <v>42370.0</v>
      </c>
      <c r="CA164" s="138">
        <v>42401.0</v>
      </c>
      <c r="CB164" s="138">
        <v>42430.0</v>
      </c>
      <c r="CC164" s="138">
        <v>42461.0</v>
      </c>
      <c r="CD164" s="138">
        <v>42491.0</v>
      </c>
      <c r="CE164" s="138">
        <v>42522.0</v>
      </c>
      <c r="CF164" s="138">
        <v>42552.0</v>
      </c>
      <c r="CG164" s="138">
        <v>42583.0</v>
      </c>
      <c r="CH164" s="138">
        <v>42614.0</v>
      </c>
      <c r="CI164" s="138">
        <v>42644.0</v>
      </c>
      <c r="CJ164" s="138">
        <v>42675.0</v>
      </c>
      <c r="CK164" s="138">
        <v>42705.0</v>
      </c>
      <c r="CL164" s="138">
        <v>42736.0</v>
      </c>
      <c r="CM164" s="138">
        <v>42767.0</v>
      </c>
      <c r="CN164" s="138">
        <v>42795.0</v>
      </c>
      <c r="CO164" s="138">
        <v>42826.0</v>
      </c>
      <c r="CP164" s="138">
        <v>42856.0</v>
      </c>
      <c r="CQ164" s="138">
        <v>42887.0</v>
      </c>
      <c r="CR164" s="138">
        <v>42917.0</v>
      </c>
      <c r="CS164" s="138">
        <v>42948.0</v>
      </c>
      <c r="CT164" s="138">
        <v>42979.0</v>
      </c>
      <c r="CU164" s="138">
        <v>43009.0</v>
      </c>
      <c r="CV164" s="138">
        <v>43040.0</v>
      </c>
      <c r="CW164" s="138">
        <v>43070.0</v>
      </c>
      <c r="CX164" s="138">
        <v>43101.0</v>
      </c>
      <c r="CY164" s="138">
        <v>43132.0</v>
      </c>
      <c r="CZ164" s="138">
        <v>43160.0</v>
      </c>
      <c r="DA164" s="138">
        <v>43191.0</v>
      </c>
      <c r="DB164" s="138">
        <v>43221.0</v>
      </c>
      <c r="DC164" s="138">
        <v>43252.0</v>
      </c>
      <c r="DD164" s="138">
        <v>43282.0</v>
      </c>
      <c r="DE164" s="138">
        <v>43313.0</v>
      </c>
      <c r="DF164" s="138">
        <v>43344.0</v>
      </c>
      <c r="DG164" s="138">
        <v>43374.0</v>
      </c>
      <c r="DH164" s="138">
        <v>43405.0</v>
      </c>
      <c r="DI164" s="138">
        <v>43435.0</v>
      </c>
      <c r="DJ164" s="138">
        <v>43466.0</v>
      </c>
      <c r="DK164" s="138">
        <v>43497.0</v>
      </c>
      <c r="DL164" s="138">
        <v>43525.0</v>
      </c>
      <c r="DM164" s="138">
        <v>43556.0</v>
      </c>
      <c r="DN164" s="138">
        <v>43586.0</v>
      </c>
      <c r="DO164" s="138">
        <v>43617.0</v>
      </c>
      <c r="DP164" s="138">
        <v>43647.0</v>
      </c>
      <c r="DQ164" s="138">
        <v>43678.0</v>
      </c>
      <c r="DR164" s="138">
        <v>43709.0</v>
      </c>
      <c r="DS164" s="138">
        <v>43739.0</v>
      </c>
      <c r="DT164" s="138">
        <v>43770.0</v>
      </c>
      <c r="DU164" s="138">
        <v>43800.0</v>
      </c>
      <c r="DV164" s="138">
        <v>43831.0</v>
      </c>
      <c r="DW164" s="138">
        <v>43862.0</v>
      </c>
      <c r="DX164" s="138">
        <v>43891.0</v>
      </c>
      <c r="DY164" s="138">
        <v>43922.0</v>
      </c>
      <c r="DZ164" s="138">
        <v>43952.0</v>
      </c>
      <c r="EA164" s="138">
        <v>43983.0</v>
      </c>
      <c r="EB164" s="138">
        <v>44013.0</v>
      </c>
      <c r="EC164" s="138">
        <v>44044.0</v>
      </c>
      <c r="ED164" s="138">
        <v>44075.0</v>
      </c>
      <c r="EE164" s="138">
        <v>44105.0</v>
      </c>
      <c r="EF164" s="138">
        <v>44136.0</v>
      </c>
      <c r="EG164" s="138">
        <v>44166.0</v>
      </c>
      <c r="EH164" s="138">
        <v>44197.0</v>
      </c>
      <c r="EI164" s="138">
        <v>44228.0</v>
      </c>
      <c r="EJ164" s="138">
        <v>44256.0</v>
      </c>
      <c r="EK164" s="138">
        <v>44287.0</v>
      </c>
      <c r="EL164" s="138">
        <v>44317.0</v>
      </c>
      <c r="EM164" s="138">
        <v>44348.0</v>
      </c>
      <c r="EN164" s="138">
        <v>44378.0</v>
      </c>
      <c r="EO164" s="138">
        <v>44409.0</v>
      </c>
      <c r="EP164" s="138">
        <v>44440.0</v>
      </c>
      <c r="EQ164" s="138">
        <v>44470.0</v>
      </c>
      <c r="ER164" s="138">
        <v>44501.0</v>
      </c>
      <c r="ES164" s="138">
        <v>44531.0</v>
      </c>
      <c r="ET164" s="138">
        <v>44562.0</v>
      </c>
      <c r="EU164" s="138">
        <v>44593.0</v>
      </c>
      <c r="EV164" s="138">
        <v>44621.0</v>
      </c>
      <c r="EW164" s="138">
        <v>44652.0</v>
      </c>
      <c r="EX164" s="138">
        <v>44682.0</v>
      </c>
      <c r="EY164" s="138">
        <v>44713.0</v>
      </c>
      <c r="EZ164" s="138">
        <v>44743.0</v>
      </c>
      <c r="FA164" s="138">
        <v>44774.0</v>
      </c>
      <c r="FB164" s="138">
        <v>44805.0</v>
      </c>
      <c r="FC164" s="138">
        <v>44835.0</v>
      </c>
      <c r="FD164" s="138">
        <v>44866.0</v>
      </c>
      <c r="FE164" s="138">
        <v>44896.0</v>
      </c>
      <c r="FF164" s="138">
        <v>44927.0</v>
      </c>
      <c r="FG164" s="138">
        <v>44958.0</v>
      </c>
      <c r="FH164" s="138">
        <v>44986.0</v>
      </c>
      <c r="FI164" s="138">
        <v>45017.0</v>
      </c>
      <c r="FJ164" s="138">
        <v>45047.0</v>
      </c>
      <c r="FK164" s="138">
        <v>45078.0</v>
      </c>
      <c r="FL164" s="138">
        <v>45108.0</v>
      </c>
      <c r="FM164" s="138">
        <v>45139.0</v>
      </c>
      <c r="FN164" s="138">
        <v>45170.0</v>
      </c>
      <c r="FO164" s="138">
        <v>45200.0</v>
      </c>
      <c r="FP164" s="138">
        <v>45231.0</v>
      </c>
      <c r="FQ164" s="138">
        <v>45261.0</v>
      </c>
      <c r="FR164" s="138">
        <v>45292.0</v>
      </c>
      <c r="FS164" s="138">
        <v>45323.0</v>
      </c>
      <c r="FT164" s="138">
        <v>45352.0</v>
      </c>
      <c r="FU164" s="138">
        <v>45383.0</v>
      </c>
      <c r="FV164" s="138">
        <v>45413.0</v>
      </c>
      <c r="FW164" s="138">
        <v>45444.0</v>
      </c>
      <c r="FX164" s="138">
        <v>45474.0</v>
      </c>
      <c r="FY164" s="138">
        <v>45505.0</v>
      </c>
      <c r="FZ164" s="138">
        <v>45536.0</v>
      </c>
      <c r="GA164" s="138">
        <v>45566.0</v>
      </c>
      <c r="GB164" s="138">
        <v>45597.0</v>
      </c>
      <c r="GC164" s="138">
        <v>45627.0</v>
      </c>
      <c r="GD164" s="138">
        <v>45658.0</v>
      </c>
      <c r="GE164" s="138">
        <v>45689.0</v>
      </c>
      <c r="GF164" s="138">
        <v>45717.0</v>
      </c>
      <c r="GG164" s="138">
        <v>45748.0</v>
      </c>
      <c r="GH164" s="138">
        <v>45778.0</v>
      </c>
      <c r="GI164" s="138">
        <v>45809.0</v>
      </c>
      <c r="GJ164" s="138">
        <v>45839.0</v>
      </c>
    </row>
    <row r="165">
      <c r="A165" s="133" t="s">
        <v>1807</v>
      </c>
      <c r="B165" s="134">
        <v>45847.62965277778</v>
      </c>
      <c r="C165" s="135" t="str">
        <f t="shared" si="1"/>
        <v>2025/07/09</v>
      </c>
      <c r="D165" s="136" t="s">
        <v>34351</v>
      </c>
      <c r="E165" s="151">
        <v>0.12</v>
      </c>
      <c r="F165" s="138">
        <v>40179.0</v>
      </c>
      <c r="G165" s="138">
        <v>40210.0</v>
      </c>
      <c r="H165" s="138">
        <v>40238.0</v>
      </c>
      <c r="I165" s="138">
        <v>40269.0</v>
      </c>
      <c r="J165" s="138">
        <v>40299.0</v>
      </c>
      <c r="K165" s="138">
        <v>40330.0</v>
      </c>
      <c r="L165" s="138">
        <v>40360.0</v>
      </c>
      <c r="M165" s="138">
        <v>40391.0</v>
      </c>
      <c r="N165" s="138">
        <v>40422.0</v>
      </c>
      <c r="O165" s="138">
        <v>40452.0</v>
      </c>
      <c r="P165" s="138">
        <v>40483.0</v>
      </c>
      <c r="Q165" s="138">
        <v>40513.0</v>
      </c>
      <c r="R165" s="138">
        <v>40544.0</v>
      </c>
      <c r="S165" s="138">
        <v>40575.0</v>
      </c>
      <c r="T165" s="138">
        <v>40603.0</v>
      </c>
      <c r="U165" s="138">
        <v>40634.0</v>
      </c>
      <c r="V165" s="138">
        <v>40664.0</v>
      </c>
      <c r="W165" s="138">
        <v>40695.0</v>
      </c>
      <c r="X165" s="138">
        <v>40725.0</v>
      </c>
      <c r="Y165" s="138">
        <v>40756.0</v>
      </c>
      <c r="Z165" s="138">
        <v>40787.0</v>
      </c>
      <c r="AA165" s="138">
        <v>40817.0</v>
      </c>
      <c r="AB165" s="138">
        <v>40848.0</v>
      </c>
      <c r="AC165" s="138">
        <v>40878.0</v>
      </c>
      <c r="AD165" s="138">
        <v>40909.0</v>
      </c>
      <c r="AE165" s="138">
        <v>40940.0</v>
      </c>
      <c r="AF165" s="138">
        <v>40969.0</v>
      </c>
      <c r="AG165" s="138">
        <v>41000.0</v>
      </c>
      <c r="AH165" s="138">
        <v>41030.0</v>
      </c>
      <c r="AI165" s="138">
        <v>41061.0</v>
      </c>
      <c r="AJ165" s="138">
        <v>41091.0</v>
      </c>
      <c r="AK165" s="138">
        <v>41122.0</v>
      </c>
      <c r="AL165" s="138">
        <v>41153.0</v>
      </c>
      <c r="AM165" s="138">
        <v>41183.0</v>
      </c>
      <c r="AN165" s="138">
        <v>41214.0</v>
      </c>
      <c r="AO165" s="138">
        <v>41244.0</v>
      </c>
      <c r="AP165" s="138">
        <v>41275.0</v>
      </c>
      <c r="AQ165" s="138">
        <v>41306.0</v>
      </c>
      <c r="AR165" s="138">
        <v>41334.0</v>
      </c>
      <c r="AS165" s="138">
        <v>41365.0</v>
      </c>
      <c r="AT165" s="138">
        <v>41395.0</v>
      </c>
      <c r="AU165" s="138">
        <v>41426.0</v>
      </c>
      <c r="AV165" s="138">
        <v>41456.0</v>
      </c>
      <c r="AW165" s="138">
        <v>41487.0</v>
      </c>
      <c r="AX165" s="138">
        <v>41518.0</v>
      </c>
      <c r="AY165" s="138">
        <v>41548.0</v>
      </c>
      <c r="AZ165" s="138">
        <v>41579.0</v>
      </c>
      <c r="BA165" s="138">
        <v>41609.0</v>
      </c>
      <c r="BB165" s="138">
        <v>41640.0</v>
      </c>
      <c r="BC165" s="138">
        <v>41671.0</v>
      </c>
      <c r="BD165" s="138">
        <v>41699.0</v>
      </c>
      <c r="BE165" s="138">
        <v>41730.0</v>
      </c>
      <c r="BF165" s="138">
        <v>41760.0</v>
      </c>
      <c r="BG165" s="138">
        <v>41791.0</v>
      </c>
      <c r="BH165" s="138">
        <v>41821.0</v>
      </c>
      <c r="BI165" s="138">
        <v>41852.0</v>
      </c>
      <c r="BJ165" s="138">
        <v>41883.0</v>
      </c>
      <c r="BK165" s="138">
        <v>41913.0</v>
      </c>
      <c r="BL165" s="138">
        <v>41944.0</v>
      </c>
      <c r="BM165" s="138">
        <v>41974.0</v>
      </c>
      <c r="BN165" s="138">
        <v>42005.0</v>
      </c>
      <c r="BO165" s="138">
        <v>42036.0</v>
      </c>
      <c r="BP165" s="138">
        <v>42064.0</v>
      </c>
      <c r="BQ165" s="138">
        <v>42095.0</v>
      </c>
      <c r="BR165" s="138">
        <v>42125.0</v>
      </c>
      <c r="BS165" s="138">
        <v>42156.0</v>
      </c>
      <c r="BT165" s="138">
        <v>42186.0</v>
      </c>
      <c r="BU165" s="138">
        <v>42217.0</v>
      </c>
      <c r="BV165" s="138">
        <v>42248.0</v>
      </c>
      <c r="BW165" s="138">
        <v>42278.0</v>
      </c>
      <c r="BX165" s="138">
        <v>42309.0</v>
      </c>
      <c r="BY165" s="138">
        <v>42339.0</v>
      </c>
      <c r="BZ165" s="138">
        <v>42370.0</v>
      </c>
      <c r="CA165" s="138">
        <v>42401.0</v>
      </c>
      <c r="CB165" s="138">
        <v>42430.0</v>
      </c>
      <c r="CC165" s="138">
        <v>42461.0</v>
      </c>
      <c r="CD165" s="138">
        <v>42491.0</v>
      </c>
      <c r="CE165" s="138">
        <v>42522.0</v>
      </c>
      <c r="CF165" s="138">
        <v>42552.0</v>
      </c>
      <c r="CG165" s="138">
        <v>42583.0</v>
      </c>
      <c r="CH165" s="138">
        <v>42614.0</v>
      </c>
      <c r="CI165" s="138">
        <v>42644.0</v>
      </c>
      <c r="CJ165" s="138">
        <v>42675.0</v>
      </c>
      <c r="CK165" s="138">
        <v>42705.0</v>
      </c>
      <c r="CL165" s="138">
        <v>42736.0</v>
      </c>
      <c r="CM165" s="138">
        <v>42767.0</v>
      </c>
      <c r="CN165" s="138">
        <v>42795.0</v>
      </c>
      <c r="CO165" s="138">
        <v>42826.0</v>
      </c>
      <c r="CP165" s="138">
        <v>42856.0</v>
      </c>
      <c r="CQ165" s="138">
        <v>42887.0</v>
      </c>
      <c r="CR165" s="138">
        <v>42917.0</v>
      </c>
      <c r="CS165" s="138">
        <v>42948.0</v>
      </c>
      <c r="CT165" s="138">
        <v>42979.0</v>
      </c>
      <c r="CU165" s="138">
        <v>43009.0</v>
      </c>
      <c r="CV165" s="138">
        <v>43040.0</v>
      </c>
      <c r="CW165" s="138">
        <v>43070.0</v>
      </c>
      <c r="CX165" s="138">
        <v>43101.0</v>
      </c>
      <c r="CY165" s="138">
        <v>43132.0</v>
      </c>
      <c r="CZ165" s="138">
        <v>43160.0</v>
      </c>
      <c r="DA165" s="138">
        <v>43191.0</v>
      </c>
      <c r="DB165" s="138">
        <v>43221.0</v>
      </c>
      <c r="DC165" s="138">
        <v>43252.0</v>
      </c>
      <c r="DD165" s="138">
        <v>43282.0</v>
      </c>
      <c r="DE165" s="138">
        <v>43313.0</v>
      </c>
      <c r="DF165" s="138">
        <v>43344.0</v>
      </c>
      <c r="DG165" s="138">
        <v>43374.0</v>
      </c>
      <c r="DH165" s="138">
        <v>43405.0</v>
      </c>
      <c r="DI165" s="138">
        <v>43435.0</v>
      </c>
      <c r="DJ165" s="138">
        <v>43466.0</v>
      </c>
      <c r="DK165" s="138">
        <v>43497.0</v>
      </c>
      <c r="DL165" s="138">
        <v>43525.0</v>
      </c>
      <c r="DM165" s="138">
        <v>43556.0</v>
      </c>
      <c r="DN165" s="138">
        <v>43586.0</v>
      </c>
      <c r="DO165" s="138">
        <v>43617.0</v>
      </c>
      <c r="DP165" s="138">
        <v>43647.0</v>
      </c>
      <c r="DQ165" s="138">
        <v>43678.0</v>
      </c>
      <c r="DR165" s="138">
        <v>43709.0</v>
      </c>
      <c r="DS165" s="138">
        <v>43739.0</v>
      </c>
      <c r="DT165" s="138">
        <v>43770.0</v>
      </c>
      <c r="DU165" s="138">
        <v>43800.0</v>
      </c>
      <c r="DV165" s="138">
        <v>43831.0</v>
      </c>
      <c r="DW165" s="138">
        <v>43862.0</v>
      </c>
      <c r="DX165" s="138">
        <v>43891.0</v>
      </c>
      <c r="DY165" s="138">
        <v>43922.0</v>
      </c>
      <c r="DZ165" s="138">
        <v>43952.0</v>
      </c>
      <c r="EA165" s="138">
        <v>43983.0</v>
      </c>
      <c r="EB165" s="138">
        <v>44013.0</v>
      </c>
      <c r="EC165" s="138">
        <v>44044.0</v>
      </c>
      <c r="ED165" s="138">
        <v>44075.0</v>
      </c>
      <c r="EE165" s="138">
        <v>44105.0</v>
      </c>
      <c r="EF165" s="138">
        <v>44136.0</v>
      </c>
      <c r="EG165" s="138">
        <v>44166.0</v>
      </c>
      <c r="EH165" s="138">
        <v>44197.0</v>
      </c>
      <c r="EI165" s="138">
        <v>44228.0</v>
      </c>
      <c r="EJ165" s="138">
        <v>44256.0</v>
      </c>
      <c r="EK165" s="138">
        <v>44287.0</v>
      </c>
      <c r="EL165" s="138">
        <v>44317.0</v>
      </c>
      <c r="EM165" s="138">
        <v>44348.0</v>
      </c>
      <c r="EN165" s="138">
        <v>44378.0</v>
      </c>
      <c r="EO165" s="138">
        <v>44409.0</v>
      </c>
      <c r="EP165" s="138">
        <v>44440.0</v>
      </c>
      <c r="EQ165" s="138">
        <v>44470.0</v>
      </c>
      <c r="ER165" s="138">
        <v>44501.0</v>
      </c>
      <c r="ES165" s="138">
        <v>44531.0</v>
      </c>
      <c r="ET165" s="138">
        <v>44562.0</v>
      </c>
      <c r="EU165" s="138">
        <v>44593.0</v>
      </c>
      <c r="EV165" s="138">
        <v>44621.0</v>
      </c>
      <c r="EW165" s="138">
        <v>44652.0</v>
      </c>
      <c r="EX165" s="138">
        <v>44682.0</v>
      </c>
      <c r="EY165" s="138">
        <v>44713.0</v>
      </c>
      <c r="EZ165" s="138">
        <v>44743.0</v>
      </c>
      <c r="FA165" s="138">
        <v>44774.0</v>
      </c>
      <c r="FB165" s="138">
        <v>44805.0</v>
      </c>
      <c r="FC165" s="138">
        <v>44835.0</v>
      </c>
      <c r="FD165" s="138">
        <v>44866.0</v>
      </c>
      <c r="FE165" s="138">
        <v>44896.0</v>
      </c>
      <c r="FF165" s="138">
        <v>44927.0</v>
      </c>
      <c r="FG165" s="138">
        <v>44958.0</v>
      </c>
      <c r="FH165" s="138">
        <v>44986.0</v>
      </c>
      <c r="FI165" s="138">
        <v>45017.0</v>
      </c>
      <c r="FJ165" s="138">
        <v>45047.0</v>
      </c>
      <c r="FK165" s="138">
        <v>45078.0</v>
      </c>
      <c r="FL165" s="138">
        <v>45108.0</v>
      </c>
      <c r="FM165" s="138">
        <v>45139.0</v>
      </c>
      <c r="FN165" s="138">
        <v>45170.0</v>
      </c>
      <c r="FO165" s="138">
        <v>45200.0</v>
      </c>
      <c r="FP165" s="138">
        <v>45231.0</v>
      </c>
      <c r="FQ165" s="138">
        <v>45261.0</v>
      </c>
      <c r="FR165" s="138">
        <v>45292.0</v>
      </c>
      <c r="FS165" s="138">
        <v>45323.0</v>
      </c>
      <c r="FT165" s="138">
        <v>45352.0</v>
      </c>
      <c r="FU165" s="138">
        <v>45383.0</v>
      </c>
      <c r="FV165" s="138">
        <v>45413.0</v>
      </c>
      <c r="FW165" s="138">
        <v>45444.0</v>
      </c>
      <c r="FX165" s="138">
        <v>45474.0</v>
      </c>
      <c r="FY165" s="138">
        <v>45505.0</v>
      </c>
      <c r="FZ165" s="138">
        <v>45536.0</v>
      </c>
      <c r="GA165" s="138">
        <v>45566.0</v>
      </c>
      <c r="GB165" s="138">
        <v>45597.0</v>
      </c>
      <c r="GC165" s="138">
        <v>45627.0</v>
      </c>
      <c r="GD165" s="138">
        <v>45658.0</v>
      </c>
      <c r="GE165" s="138">
        <v>45689.0</v>
      </c>
      <c r="GF165" s="138">
        <v>45717.0</v>
      </c>
      <c r="GG165" s="138">
        <v>45748.0</v>
      </c>
      <c r="GH165" s="138">
        <v>45778.0</v>
      </c>
      <c r="GI165" s="138">
        <v>45809.0</v>
      </c>
      <c r="GJ165" s="138">
        <v>45839.0</v>
      </c>
    </row>
    <row r="166">
      <c r="A166" s="133" t="s">
        <v>1789</v>
      </c>
      <c r="B166" s="134">
        <v>45847.7084375</v>
      </c>
      <c r="C166" s="135" t="str">
        <f t="shared" si="1"/>
        <v>2025/07/09</v>
      </c>
      <c r="D166" s="136" t="s">
        <v>34352</v>
      </c>
      <c r="E166" s="151">
        <v>0.0</v>
      </c>
      <c r="F166" s="138">
        <v>40179.0</v>
      </c>
      <c r="G166" s="138">
        <v>40210.0</v>
      </c>
      <c r="H166" s="138">
        <v>40238.0</v>
      </c>
      <c r="I166" s="138">
        <v>40269.0</v>
      </c>
      <c r="J166" s="138">
        <v>40299.0</v>
      </c>
      <c r="K166" s="138">
        <v>40330.0</v>
      </c>
      <c r="L166" s="138">
        <v>40360.0</v>
      </c>
      <c r="M166" s="138">
        <v>40391.0</v>
      </c>
      <c r="N166" s="138">
        <v>40422.0</v>
      </c>
      <c r="O166" s="138">
        <v>40452.0</v>
      </c>
      <c r="P166" s="138">
        <v>40483.0</v>
      </c>
      <c r="Q166" s="138">
        <v>40513.0</v>
      </c>
      <c r="R166" s="138">
        <v>40544.0</v>
      </c>
      <c r="S166" s="138">
        <v>40575.0</v>
      </c>
      <c r="T166" s="138">
        <v>40603.0</v>
      </c>
      <c r="U166" s="138">
        <v>40634.0</v>
      </c>
      <c r="V166" s="138">
        <v>40664.0</v>
      </c>
      <c r="W166" s="138">
        <v>40695.0</v>
      </c>
      <c r="X166" s="138">
        <v>40725.0</v>
      </c>
      <c r="Y166" s="138">
        <v>40756.0</v>
      </c>
      <c r="Z166" s="138">
        <v>40787.0</v>
      </c>
      <c r="AA166" s="138">
        <v>40817.0</v>
      </c>
      <c r="AB166" s="138">
        <v>40848.0</v>
      </c>
      <c r="AC166" s="138">
        <v>40878.0</v>
      </c>
      <c r="AD166" s="138">
        <v>40909.0</v>
      </c>
      <c r="AE166" s="138">
        <v>40940.0</v>
      </c>
      <c r="AF166" s="138">
        <v>40969.0</v>
      </c>
      <c r="AG166" s="138">
        <v>41000.0</v>
      </c>
      <c r="AH166" s="138">
        <v>41030.0</v>
      </c>
      <c r="AI166" s="138">
        <v>41061.0</v>
      </c>
      <c r="AJ166" s="138">
        <v>41091.0</v>
      </c>
      <c r="AK166" s="138">
        <v>41122.0</v>
      </c>
      <c r="AL166" s="138">
        <v>41153.0</v>
      </c>
      <c r="AM166" s="138">
        <v>41183.0</v>
      </c>
      <c r="AN166" s="138">
        <v>41214.0</v>
      </c>
      <c r="AO166" s="138">
        <v>41244.0</v>
      </c>
      <c r="AP166" s="138">
        <v>41275.0</v>
      </c>
      <c r="AQ166" s="138">
        <v>41306.0</v>
      </c>
      <c r="AR166" s="138">
        <v>41334.0</v>
      </c>
      <c r="AS166" s="138">
        <v>41365.0</v>
      </c>
      <c r="AT166" s="138">
        <v>41395.0</v>
      </c>
      <c r="AU166" s="138">
        <v>41426.0</v>
      </c>
      <c r="AV166" s="138">
        <v>41456.0</v>
      </c>
      <c r="AW166" s="138">
        <v>41487.0</v>
      </c>
      <c r="AX166" s="138">
        <v>41518.0</v>
      </c>
      <c r="AY166" s="138">
        <v>41548.0</v>
      </c>
      <c r="AZ166" s="138">
        <v>41579.0</v>
      </c>
      <c r="BA166" s="138">
        <v>41609.0</v>
      </c>
      <c r="BB166" s="138">
        <v>41640.0</v>
      </c>
      <c r="BC166" s="138">
        <v>41671.0</v>
      </c>
      <c r="BD166" s="138">
        <v>41699.0</v>
      </c>
      <c r="BE166" s="138">
        <v>41730.0</v>
      </c>
      <c r="BF166" s="138">
        <v>41760.0</v>
      </c>
      <c r="BG166" s="138">
        <v>41791.0</v>
      </c>
      <c r="BH166" s="138">
        <v>41821.0</v>
      </c>
      <c r="BI166" s="138">
        <v>41852.0</v>
      </c>
      <c r="BJ166" s="138">
        <v>41883.0</v>
      </c>
      <c r="BK166" s="138">
        <v>41913.0</v>
      </c>
      <c r="BL166" s="138">
        <v>41944.0</v>
      </c>
      <c r="BM166" s="138">
        <v>41974.0</v>
      </c>
      <c r="BN166" s="138">
        <v>42005.0</v>
      </c>
      <c r="BO166" s="138">
        <v>42036.0</v>
      </c>
      <c r="BP166" s="138">
        <v>42064.0</v>
      </c>
      <c r="BQ166" s="138">
        <v>42095.0</v>
      </c>
      <c r="BR166" s="138">
        <v>42125.0</v>
      </c>
      <c r="BS166" s="138">
        <v>42156.0</v>
      </c>
      <c r="BT166" s="138">
        <v>42186.0</v>
      </c>
      <c r="BU166" s="138">
        <v>42217.0</v>
      </c>
      <c r="BV166" s="138">
        <v>42248.0</v>
      </c>
      <c r="BW166" s="138">
        <v>42278.0</v>
      </c>
      <c r="BX166" s="138">
        <v>42309.0</v>
      </c>
      <c r="BY166" s="138">
        <v>42339.0</v>
      </c>
      <c r="BZ166" s="138">
        <v>42370.0</v>
      </c>
      <c r="CA166" s="138">
        <v>42401.0</v>
      </c>
      <c r="CB166" s="138">
        <v>42430.0</v>
      </c>
      <c r="CC166" s="138">
        <v>42461.0</v>
      </c>
      <c r="CD166" s="138">
        <v>42491.0</v>
      </c>
      <c r="CE166" s="138">
        <v>42522.0</v>
      </c>
      <c r="CF166" s="138">
        <v>42552.0</v>
      </c>
      <c r="CG166" s="138">
        <v>42583.0</v>
      </c>
      <c r="CH166" s="138">
        <v>42614.0</v>
      </c>
      <c r="CI166" s="138">
        <v>42644.0</v>
      </c>
      <c r="CJ166" s="138">
        <v>42675.0</v>
      </c>
      <c r="CK166" s="138">
        <v>42705.0</v>
      </c>
      <c r="CL166" s="138">
        <v>42736.0</v>
      </c>
      <c r="CM166" s="138">
        <v>42767.0</v>
      </c>
      <c r="CN166" s="138">
        <v>42795.0</v>
      </c>
      <c r="CO166" s="138">
        <v>42826.0</v>
      </c>
      <c r="CP166" s="138">
        <v>42856.0</v>
      </c>
      <c r="CQ166" s="138">
        <v>42887.0</v>
      </c>
      <c r="CR166" s="138">
        <v>42917.0</v>
      </c>
      <c r="CS166" s="138">
        <v>42948.0</v>
      </c>
      <c r="CT166" s="138">
        <v>42979.0</v>
      </c>
      <c r="CU166" s="138">
        <v>43009.0</v>
      </c>
      <c r="CV166" s="138">
        <v>43040.0</v>
      </c>
      <c r="CW166" s="138">
        <v>43070.0</v>
      </c>
      <c r="CX166" s="138">
        <v>43101.0</v>
      </c>
      <c r="CY166" s="138">
        <v>43132.0</v>
      </c>
      <c r="CZ166" s="138">
        <v>43160.0</v>
      </c>
      <c r="DA166" s="138">
        <v>43191.0</v>
      </c>
      <c r="DB166" s="138">
        <v>43221.0</v>
      </c>
      <c r="DC166" s="138">
        <v>43252.0</v>
      </c>
      <c r="DD166" s="138">
        <v>43282.0</v>
      </c>
      <c r="DE166" s="138">
        <v>43313.0</v>
      </c>
      <c r="DF166" s="138">
        <v>43344.0</v>
      </c>
      <c r="DG166" s="138">
        <v>43374.0</v>
      </c>
      <c r="DH166" s="138">
        <v>43405.0</v>
      </c>
      <c r="DI166" s="138">
        <v>43435.0</v>
      </c>
      <c r="DJ166" s="138">
        <v>43466.0</v>
      </c>
      <c r="DK166" s="138">
        <v>43497.0</v>
      </c>
      <c r="DL166" s="138">
        <v>43525.0</v>
      </c>
      <c r="DM166" s="138">
        <v>43556.0</v>
      </c>
      <c r="DN166" s="138">
        <v>43586.0</v>
      </c>
      <c r="DO166" s="138">
        <v>43617.0</v>
      </c>
      <c r="DP166" s="138">
        <v>43647.0</v>
      </c>
      <c r="DQ166" s="138">
        <v>43678.0</v>
      </c>
      <c r="DR166" s="138">
        <v>43709.0</v>
      </c>
      <c r="DS166" s="138">
        <v>43739.0</v>
      </c>
      <c r="DT166" s="138">
        <v>43770.0</v>
      </c>
      <c r="DU166" s="138">
        <v>43800.0</v>
      </c>
      <c r="DV166" s="138">
        <v>43831.0</v>
      </c>
      <c r="DW166" s="138">
        <v>43862.0</v>
      </c>
      <c r="DX166" s="138">
        <v>43891.0</v>
      </c>
      <c r="DY166" s="138">
        <v>43922.0</v>
      </c>
      <c r="DZ166" s="138">
        <v>43952.0</v>
      </c>
      <c r="EA166" s="138">
        <v>43983.0</v>
      </c>
      <c r="EB166" s="138">
        <v>44013.0</v>
      </c>
      <c r="EC166" s="138">
        <v>44044.0</v>
      </c>
      <c r="ED166" s="138">
        <v>44075.0</v>
      </c>
      <c r="EE166" s="138">
        <v>44105.0</v>
      </c>
      <c r="EF166" s="138">
        <v>44136.0</v>
      </c>
      <c r="EG166" s="138">
        <v>44166.0</v>
      </c>
      <c r="EH166" s="138">
        <v>44197.0</v>
      </c>
      <c r="EI166" s="138">
        <v>44228.0</v>
      </c>
      <c r="EJ166" s="138">
        <v>44256.0</v>
      </c>
      <c r="EK166" s="138">
        <v>44287.0</v>
      </c>
      <c r="EL166" s="138">
        <v>44317.0</v>
      </c>
      <c r="EM166" s="138">
        <v>44348.0</v>
      </c>
      <c r="EN166" s="138">
        <v>44378.0</v>
      </c>
      <c r="EO166" s="138">
        <v>44409.0</v>
      </c>
      <c r="EP166" s="138">
        <v>44440.0</v>
      </c>
      <c r="EQ166" s="138">
        <v>44470.0</v>
      </c>
      <c r="ER166" s="138">
        <v>44501.0</v>
      </c>
      <c r="ES166" s="138">
        <v>44531.0</v>
      </c>
      <c r="ET166" s="138">
        <v>44562.0</v>
      </c>
      <c r="EU166" s="138">
        <v>44593.0</v>
      </c>
      <c r="EV166" s="138">
        <v>44621.0</v>
      </c>
      <c r="EW166" s="138">
        <v>44652.0</v>
      </c>
      <c r="EX166" s="138">
        <v>44682.0</v>
      </c>
      <c r="EY166" s="138">
        <v>44713.0</v>
      </c>
      <c r="EZ166" s="138">
        <v>44743.0</v>
      </c>
      <c r="FA166" s="138">
        <v>44774.0</v>
      </c>
      <c r="FB166" s="138">
        <v>44805.0</v>
      </c>
      <c r="FC166" s="138">
        <v>44835.0</v>
      </c>
      <c r="FD166" s="138">
        <v>44866.0</v>
      </c>
      <c r="FE166" s="138">
        <v>44896.0</v>
      </c>
      <c r="FF166" s="138">
        <v>44927.0</v>
      </c>
      <c r="FG166" s="138">
        <v>44958.0</v>
      </c>
      <c r="FH166" s="138">
        <v>44986.0</v>
      </c>
      <c r="FI166" s="138">
        <v>45017.0</v>
      </c>
      <c r="FJ166" s="138">
        <v>45047.0</v>
      </c>
      <c r="FK166" s="138">
        <v>45078.0</v>
      </c>
      <c r="FL166" s="138">
        <v>45108.0</v>
      </c>
      <c r="FM166" s="138">
        <v>45139.0</v>
      </c>
      <c r="FN166" s="138">
        <v>45170.0</v>
      </c>
      <c r="FO166" s="138">
        <v>45200.0</v>
      </c>
      <c r="FP166" s="138">
        <v>45231.0</v>
      </c>
      <c r="FQ166" s="138">
        <v>45261.0</v>
      </c>
      <c r="FR166" s="138">
        <v>45292.0</v>
      </c>
      <c r="FS166" s="138">
        <v>45323.0</v>
      </c>
      <c r="FT166" s="138">
        <v>45352.0</v>
      </c>
      <c r="FU166" s="138">
        <v>45383.0</v>
      </c>
      <c r="FV166" s="138">
        <v>45413.0</v>
      </c>
      <c r="FW166" s="138">
        <v>45444.0</v>
      </c>
      <c r="FX166" s="138">
        <v>45474.0</v>
      </c>
      <c r="FY166" s="138">
        <v>45505.0</v>
      </c>
      <c r="FZ166" s="138">
        <v>45536.0</v>
      </c>
      <c r="GA166" s="138">
        <v>45566.0</v>
      </c>
      <c r="GB166" s="138">
        <v>45597.0</v>
      </c>
      <c r="GC166" s="138">
        <v>45627.0</v>
      </c>
      <c r="GD166" s="138">
        <v>45658.0</v>
      </c>
      <c r="GE166" s="138">
        <v>45689.0</v>
      </c>
      <c r="GF166" s="138">
        <v>45717.0</v>
      </c>
      <c r="GG166" s="138">
        <v>45748.0</v>
      </c>
      <c r="GH166" s="138">
        <v>45778.0</v>
      </c>
      <c r="GI166" s="138">
        <v>45809.0</v>
      </c>
      <c r="GJ166" s="138">
        <v>45839.0</v>
      </c>
    </row>
    <row r="167">
      <c r="A167" s="133" t="s">
        <v>1829</v>
      </c>
      <c r="B167" s="134">
        <v>45847.81138888889</v>
      </c>
      <c r="C167" s="135" t="str">
        <f t="shared" si="1"/>
        <v>2025/07/09</v>
      </c>
      <c r="D167" s="136" t="s">
        <v>34353</v>
      </c>
      <c r="E167" s="151">
        <v>0.01</v>
      </c>
      <c r="F167" s="138">
        <v>40179.0</v>
      </c>
      <c r="G167" s="138">
        <v>40210.0</v>
      </c>
      <c r="H167" s="138">
        <v>40238.0</v>
      </c>
      <c r="I167" s="138">
        <v>40269.0</v>
      </c>
      <c r="J167" s="138">
        <v>40299.0</v>
      </c>
      <c r="K167" s="138">
        <v>40330.0</v>
      </c>
      <c r="L167" s="138">
        <v>40360.0</v>
      </c>
      <c r="M167" s="138">
        <v>40391.0</v>
      </c>
      <c r="N167" s="138">
        <v>40422.0</v>
      </c>
      <c r="O167" s="138">
        <v>40452.0</v>
      </c>
      <c r="P167" s="138">
        <v>40483.0</v>
      </c>
      <c r="Q167" s="138">
        <v>40513.0</v>
      </c>
      <c r="R167" s="138">
        <v>40544.0</v>
      </c>
      <c r="S167" s="138">
        <v>40575.0</v>
      </c>
      <c r="T167" s="138">
        <v>40603.0</v>
      </c>
      <c r="U167" s="138">
        <v>40634.0</v>
      </c>
      <c r="V167" s="138">
        <v>40664.0</v>
      </c>
      <c r="W167" s="138">
        <v>40695.0</v>
      </c>
      <c r="X167" s="138">
        <v>40725.0</v>
      </c>
      <c r="Y167" s="138">
        <v>40756.0</v>
      </c>
      <c r="Z167" s="138">
        <v>40787.0</v>
      </c>
      <c r="AA167" s="138">
        <v>40817.0</v>
      </c>
      <c r="AB167" s="138">
        <v>40848.0</v>
      </c>
      <c r="AC167" s="138">
        <v>40878.0</v>
      </c>
      <c r="AD167" s="138">
        <v>40909.0</v>
      </c>
      <c r="AE167" s="138">
        <v>40940.0</v>
      </c>
      <c r="AF167" s="138">
        <v>40969.0</v>
      </c>
      <c r="AG167" s="138">
        <v>41000.0</v>
      </c>
      <c r="AH167" s="138">
        <v>41030.0</v>
      </c>
      <c r="AI167" s="138">
        <v>41061.0</v>
      </c>
      <c r="AJ167" s="138">
        <v>41091.0</v>
      </c>
      <c r="AK167" s="138">
        <v>41122.0</v>
      </c>
      <c r="AL167" s="138">
        <v>41153.0</v>
      </c>
      <c r="AM167" s="138">
        <v>41183.0</v>
      </c>
      <c r="AN167" s="138">
        <v>41214.0</v>
      </c>
      <c r="AO167" s="138">
        <v>41244.0</v>
      </c>
      <c r="AP167" s="138">
        <v>41275.0</v>
      </c>
      <c r="AQ167" s="138">
        <v>41306.0</v>
      </c>
      <c r="AR167" s="138">
        <v>41334.0</v>
      </c>
      <c r="AS167" s="138">
        <v>41365.0</v>
      </c>
      <c r="AT167" s="138">
        <v>41395.0</v>
      </c>
      <c r="AU167" s="138">
        <v>41426.0</v>
      </c>
      <c r="AV167" s="138">
        <v>41456.0</v>
      </c>
      <c r="AW167" s="138">
        <v>41487.0</v>
      </c>
      <c r="AX167" s="138">
        <v>41518.0</v>
      </c>
      <c r="AY167" s="138">
        <v>41548.0</v>
      </c>
      <c r="AZ167" s="138">
        <v>41579.0</v>
      </c>
      <c r="BA167" s="138">
        <v>41609.0</v>
      </c>
      <c r="BB167" s="138">
        <v>41640.0</v>
      </c>
      <c r="BC167" s="138">
        <v>41671.0</v>
      </c>
      <c r="BD167" s="138">
        <v>41699.0</v>
      </c>
      <c r="BE167" s="138">
        <v>41730.0</v>
      </c>
      <c r="BF167" s="138">
        <v>41760.0</v>
      </c>
      <c r="BG167" s="138">
        <v>41791.0</v>
      </c>
      <c r="BH167" s="138">
        <v>41821.0</v>
      </c>
      <c r="BI167" s="138">
        <v>41852.0</v>
      </c>
      <c r="BJ167" s="138">
        <v>41883.0</v>
      </c>
      <c r="BK167" s="138">
        <v>41913.0</v>
      </c>
      <c r="BL167" s="138">
        <v>41944.0</v>
      </c>
      <c r="BM167" s="138">
        <v>41974.0</v>
      </c>
      <c r="BN167" s="138">
        <v>42005.0</v>
      </c>
      <c r="BO167" s="138">
        <v>42036.0</v>
      </c>
      <c r="BP167" s="138">
        <v>42064.0</v>
      </c>
      <c r="BQ167" s="138">
        <v>42095.0</v>
      </c>
      <c r="BR167" s="138">
        <v>42125.0</v>
      </c>
      <c r="BS167" s="138">
        <v>42156.0</v>
      </c>
      <c r="BT167" s="138">
        <v>42186.0</v>
      </c>
      <c r="BU167" s="138">
        <v>42217.0</v>
      </c>
      <c r="BV167" s="138">
        <v>42248.0</v>
      </c>
      <c r="BW167" s="138">
        <v>42278.0</v>
      </c>
      <c r="BX167" s="138">
        <v>42309.0</v>
      </c>
      <c r="BY167" s="138">
        <v>42339.0</v>
      </c>
      <c r="BZ167" s="138">
        <v>42370.0</v>
      </c>
      <c r="CA167" s="138">
        <v>42401.0</v>
      </c>
      <c r="CB167" s="138">
        <v>42430.0</v>
      </c>
      <c r="CC167" s="138">
        <v>42461.0</v>
      </c>
      <c r="CD167" s="138">
        <v>42491.0</v>
      </c>
      <c r="CE167" s="138">
        <v>42522.0</v>
      </c>
      <c r="CF167" s="138">
        <v>42552.0</v>
      </c>
      <c r="CG167" s="138">
        <v>42583.0</v>
      </c>
      <c r="CH167" s="138">
        <v>42614.0</v>
      </c>
      <c r="CI167" s="138">
        <v>42644.0</v>
      </c>
      <c r="CJ167" s="138">
        <v>42675.0</v>
      </c>
      <c r="CK167" s="138">
        <v>42705.0</v>
      </c>
      <c r="CL167" s="138">
        <v>42736.0</v>
      </c>
      <c r="CM167" s="138">
        <v>42767.0</v>
      </c>
      <c r="CN167" s="138">
        <v>42795.0</v>
      </c>
      <c r="CO167" s="138">
        <v>42826.0</v>
      </c>
      <c r="CP167" s="138">
        <v>42856.0</v>
      </c>
      <c r="CQ167" s="138">
        <v>42887.0</v>
      </c>
      <c r="CR167" s="138">
        <v>42917.0</v>
      </c>
      <c r="CS167" s="138">
        <v>42948.0</v>
      </c>
      <c r="CT167" s="138">
        <v>42979.0</v>
      </c>
      <c r="CU167" s="138">
        <v>43009.0</v>
      </c>
      <c r="CV167" s="138">
        <v>43040.0</v>
      </c>
      <c r="CW167" s="138">
        <v>43070.0</v>
      </c>
      <c r="CX167" s="138">
        <v>43101.0</v>
      </c>
      <c r="CY167" s="138">
        <v>43132.0</v>
      </c>
      <c r="CZ167" s="138">
        <v>43160.0</v>
      </c>
      <c r="DA167" s="138">
        <v>43191.0</v>
      </c>
      <c r="DB167" s="138">
        <v>43221.0</v>
      </c>
      <c r="DC167" s="138">
        <v>43252.0</v>
      </c>
      <c r="DD167" s="138">
        <v>43282.0</v>
      </c>
      <c r="DE167" s="138">
        <v>43313.0</v>
      </c>
      <c r="DF167" s="138">
        <v>43344.0</v>
      </c>
      <c r="DG167" s="138">
        <v>43374.0</v>
      </c>
      <c r="DH167" s="138">
        <v>43405.0</v>
      </c>
      <c r="DI167" s="138">
        <v>43435.0</v>
      </c>
      <c r="DJ167" s="138">
        <v>43466.0</v>
      </c>
      <c r="DK167" s="138">
        <v>43497.0</v>
      </c>
      <c r="DL167" s="138">
        <v>43525.0</v>
      </c>
      <c r="DM167" s="138">
        <v>43556.0</v>
      </c>
      <c r="DN167" s="138">
        <v>43586.0</v>
      </c>
      <c r="DO167" s="138">
        <v>43617.0</v>
      </c>
      <c r="DP167" s="138">
        <v>43647.0</v>
      </c>
      <c r="DQ167" s="138">
        <v>43678.0</v>
      </c>
      <c r="DR167" s="138">
        <v>43709.0</v>
      </c>
      <c r="DS167" s="138">
        <v>43739.0</v>
      </c>
      <c r="DT167" s="138">
        <v>43770.0</v>
      </c>
      <c r="DU167" s="138">
        <v>43800.0</v>
      </c>
      <c r="DV167" s="138">
        <v>43831.0</v>
      </c>
      <c r="DW167" s="138">
        <v>43862.0</v>
      </c>
      <c r="DX167" s="138">
        <v>43891.0</v>
      </c>
      <c r="DY167" s="138">
        <v>43922.0</v>
      </c>
      <c r="DZ167" s="138">
        <v>43952.0</v>
      </c>
      <c r="EA167" s="138">
        <v>43983.0</v>
      </c>
      <c r="EB167" s="138">
        <v>44013.0</v>
      </c>
      <c r="EC167" s="138">
        <v>44044.0</v>
      </c>
      <c r="ED167" s="138">
        <v>44075.0</v>
      </c>
      <c r="EE167" s="138">
        <v>44105.0</v>
      </c>
      <c r="EF167" s="138">
        <v>44136.0</v>
      </c>
      <c r="EG167" s="138">
        <v>44166.0</v>
      </c>
      <c r="EH167" s="138">
        <v>44197.0</v>
      </c>
      <c r="EI167" s="138">
        <v>44228.0</v>
      </c>
      <c r="EJ167" s="138">
        <v>44256.0</v>
      </c>
      <c r="EK167" s="138">
        <v>44287.0</v>
      </c>
      <c r="EL167" s="138">
        <v>44317.0</v>
      </c>
      <c r="EM167" s="138">
        <v>44348.0</v>
      </c>
      <c r="EN167" s="138">
        <v>44378.0</v>
      </c>
      <c r="EO167" s="138">
        <v>44409.0</v>
      </c>
      <c r="EP167" s="138">
        <v>44440.0</v>
      </c>
      <c r="EQ167" s="138">
        <v>44470.0</v>
      </c>
      <c r="ER167" s="138">
        <v>44501.0</v>
      </c>
      <c r="ES167" s="138">
        <v>44531.0</v>
      </c>
      <c r="ET167" s="138">
        <v>44562.0</v>
      </c>
      <c r="EU167" s="138">
        <v>44593.0</v>
      </c>
      <c r="EV167" s="138">
        <v>44621.0</v>
      </c>
      <c r="EW167" s="138">
        <v>44652.0</v>
      </c>
      <c r="EX167" s="138">
        <v>44682.0</v>
      </c>
      <c r="EY167" s="138">
        <v>44713.0</v>
      </c>
      <c r="EZ167" s="138">
        <v>44743.0</v>
      </c>
      <c r="FA167" s="138">
        <v>44774.0</v>
      </c>
      <c r="FB167" s="138">
        <v>44805.0</v>
      </c>
      <c r="FC167" s="138">
        <v>44835.0</v>
      </c>
      <c r="FD167" s="138">
        <v>44866.0</v>
      </c>
      <c r="FE167" s="138">
        <v>44896.0</v>
      </c>
      <c r="FF167" s="138">
        <v>44927.0</v>
      </c>
      <c r="FG167" s="138">
        <v>44958.0</v>
      </c>
      <c r="FH167" s="138">
        <v>44986.0</v>
      </c>
      <c r="FI167" s="138">
        <v>45017.0</v>
      </c>
      <c r="FJ167" s="138">
        <v>45047.0</v>
      </c>
      <c r="FK167" s="138">
        <v>45078.0</v>
      </c>
      <c r="FL167" s="138">
        <v>45108.0</v>
      </c>
      <c r="FM167" s="138">
        <v>45139.0</v>
      </c>
      <c r="FN167" s="138">
        <v>45170.0</v>
      </c>
      <c r="FO167" s="138">
        <v>45200.0</v>
      </c>
      <c r="FP167" s="138">
        <v>45231.0</v>
      </c>
      <c r="FQ167" s="138">
        <v>45261.0</v>
      </c>
      <c r="FR167" s="138">
        <v>45292.0</v>
      </c>
      <c r="FS167" s="138">
        <v>45323.0</v>
      </c>
      <c r="FT167" s="138">
        <v>45352.0</v>
      </c>
      <c r="FU167" s="138">
        <v>45383.0</v>
      </c>
      <c r="FV167" s="138">
        <v>45413.0</v>
      </c>
      <c r="FW167" s="138">
        <v>45444.0</v>
      </c>
      <c r="FX167" s="138">
        <v>45474.0</v>
      </c>
      <c r="FY167" s="138">
        <v>45505.0</v>
      </c>
      <c r="FZ167" s="138">
        <v>45536.0</v>
      </c>
      <c r="GA167" s="138">
        <v>45566.0</v>
      </c>
      <c r="GB167" s="138">
        <v>45597.0</v>
      </c>
      <c r="GC167" s="138">
        <v>45627.0</v>
      </c>
      <c r="GD167" s="138">
        <v>45658.0</v>
      </c>
      <c r="GE167" s="138">
        <v>45689.0</v>
      </c>
      <c r="GF167" s="138">
        <v>45717.0</v>
      </c>
      <c r="GG167" s="138">
        <v>45748.0</v>
      </c>
      <c r="GH167" s="138">
        <v>45778.0</v>
      </c>
      <c r="GI167" s="138">
        <v>45809.0</v>
      </c>
      <c r="GJ167" s="138">
        <v>45839.0</v>
      </c>
    </row>
    <row r="168">
      <c r="A168" s="133" t="s">
        <v>1819</v>
      </c>
      <c r="B168" s="134">
        <v>45847.82776620371</v>
      </c>
      <c r="C168" s="135" t="str">
        <f t="shared" si="1"/>
        <v>2025/07/09</v>
      </c>
      <c r="D168" s="136" t="s">
        <v>34354</v>
      </c>
      <c r="E168" s="151">
        <v>0.0</v>
      </c>
      <c r="F168" s="138">
        <v>40179.0</v>
      </c>
      <c r="G168" s="138">
        <v>40210.0</v>
      </c>
      <c r="H168" s="138">
        <v>40238.0</v>
      </c>
      <c r="I168" s="138">
        <v>40269.0</v>
      </c>
      <c r="J168" s="138">
        <v>40299.0</v>
      </c>
      <c r="K168" s="138">
        <v>40330.0</v>
      </c>
      <c r="L168" s="138">
        <v>40360.0</v>
      </c>
      <c r="M168" s="138">
        <v>40391.0</v>
      </c>
      <c r="N168" s="138">
        <v>40422.0</v>
      </c>
      <c r="O168" s="138">
        <v>40452.0</v>
      </c>
      <c r="P168" s="138">
        <v>40483.0</v>
      </c>
      <c r="Q168" s="138">
        <v>40513.0</v>
      </c>
      <c r="R168" s="138">
        <v>40544.0</v>
      </c>
      <c r="S168" s="138">
        <v>40575.0</v>
      </c>
      <c r="T168" s="138">
        <v>40603.0</v>
      </c>
      <c r="U168" s="138">
        <v>40634.0</v>
      </c>
      <c r="V168" s="138">
        <v>40664.0</v>
      </c>
      <c r="W168" s="138">
        <v>40695.0</v>
      </c>
      <c r="X168" s="138">
        <v>40725.0</v>
      </c>
      <c r="Y168" s="138">
        <v>40756.0</v>
      </c>
      <c r="Z168" s="138">
        <v>40787.0</v>
      </c>
      <c r="AA168" s="138">
        <v>40817.0</v>
      </c>
      <c r="AB168" s="138">
        <v>40848.0</v>
      </c>
      <c r="AC168" s="138">
        <v>40878.0</v>
      </c>
      <c r="AD168" s="138">
        <v>40909.0</v>
      </c>
      <c r="AE168" s="138">
        <v>40940.0</v>
      </c>
      <c r="AF168" s="138">
        <v>40969.0</v>
      </c>
      <c r="AG168" s="138">
        <v>41000.0</v>
      </c>
      <c r="AH168" s="138">
        <v>41030.0</v>
      </c>
      <c r="AI168" s="138">
        <v>41061.0</v>
      </c>
      <c r="AJ168" s="138">
        <v>41091.0</v>
      </c>
      <c r="AK168" s="138">
        <v>41122.0</v>
      </c>
      <c r="AL168" s="138">
        <v>41153.0</v>
      </c>
      <c r="AM168" s="138">
        <v>41183.0</v>
      </c>
      <c r="AN168" s="138">
        <v>41214.0</v>
      </c>
      <c r="AO168" s="138">
        <v>41244.0</v>
      </c>
      <c r="AP168" s="138">
        <v>41275.0</v>
      </c>
      <c r="AQ168" s="138">
        <v>41306.0</v>
      </c>
      <c r="AR168" s="138">
        <v>41334.0</v>
      </c>
      <c r="AS168" s="138">
        <v>41365.0</v>
      </c>
      <c r="AT168" s="138">
        <v>41395.0</v>
      </c>
      <c r="AU168" s="138">
        <v>41426.0</v>
      </c>
      <c r="AV168" s="138">
        <v>41456.0</v>
      </c>
      <c r="AW168" s="138">
        <v>41487.0</v>
      </c>
      <c r="AX168" s="138">
        <v>41518.0</v>
      </c>
      <c r="AY168" s="138">
        <v>41548.0</v>
      </c>
      <c r="AZ168" s="138">
        <v>41579.0</v>
      </c>
      <c r="BA168" s="138">
        <v>41609.0</v>
      </c>
      <c r="BB168" s="138">
        <v>41640.0</v>
      </c>
      <c r="BC168" s="138">
        <v>41671.0</v>
      </c>
      <c r="BD168" s="138">
        <v>41699.0</v>
      </c>
      <c r="BE168" s="138">
        <v>41730.0</v>
      </c>
      <c r="BF168" s="138">
        <v>41760.0</v>
      </c>
      <c r="BG168" s="138">
        <v>41791.0</v>
      </c>
      <c r="BH168" s="138">
        <v>41821.0</v>
      </c>
      <c r="BI168" s="138">
        <v>41852.0</v>
      </c>
      <c r="BJ168" s="138">
        <v>41883.0</v>
      </c>
      <c r="BK168" s="138">
        <v>41913.0</v>
      </c>
      <c r="BL168" s="138">
        <v>41944.0</v>
      </c>
      <c r="BM168" s="138">
        <v>41974.0</v>
      </c>
      <c r="BN168" s="138">
        <v>42005.0</v>
      </c>
      <c r="BO168" s="138">
        <v>42036.0</v>
      </c>
      <c r="BP168" s="138">
        <v>42064.0</v>
      </c>
      <c r="BQ168" s="138">
        <v>42095.0</v>
      </c>
      <c r="BR168" s="138">
        <v>42125.0</v>
      </c>
      <c r="BS168" s="138">
        <v>42156.0</v>
      </c>
      <c r="BT168" s="138">
        <v>42186.0</v>
      </c>
      <c r="BU168" s="138">
        <v>42217.0</v>
      </c>
      <c r="BV168" s="138">
        <v>42248.0</v>
      </c>
      <c r="BW168" s="138">
        <v>42278.0</v>
      </c>
      <c r="BX168" s="138">
        <v>42309.0</v>
      </c>
      <c r="BY168" s="138">
        <v>42339.0</v>
      </c>
      <c r="BZ168" s="138">
        <v>42370.0</v>
      </c>
      <c r="CA168" s="138">
        <v>42401.0</v>
      </c>
      <c r="CB168" s="138">
        <v>42430.0</v>
      </c>
      <c r="CC168" s="138">
        <v>42461.0</v>
      </c>
      <c r="CD168" s="138">
        <v>42491.0</v>
      </c>
      <c r="CE168" s="138">
        <v>42522.0</v>
      </c>
      <c r="CF168" s="138">
        <v>42552.0</v>
      </c>
      <c r="CG168" s="138">
        <v>42583.0</v>
      </c>
      <c r="CH168" s="138">
        <v>42614.0</v>
      </c>
      <c r="CI168" s="138">
        <v>42644.0</v>
      </c>
      <c r="CJ168" s="138">
        <v>42675.0</v>
      </c>
      <c r="CK168" s="138">
        <v>42705.0</v>
      </c>
      <c r="CL168" s="138">
        <v>42736.0</v>
      </c>
      <c r="CM168" s="138">
        <v>42767.0</v>
      </c>
      <c r="CN168" s="138">
        <v>42795.0</v>
      </c>
      <c r="CO168" s="138">
        <v>42826.0</v>
      </c>
      <c r="CP168" s="138">
        <v>42856.0</v>
      </c>
      <c r="CQ168" s="138">
        <v>42887.0</v>
      </c>
      <c r="CR168" s="138">
        <v>42917.0</v>
      </c>
      <c r="CS168" s="138">
        <v>42948.0</v>
      </c>
      <c r="CT168" s="138">
        <v>42979.0</v>
      </c>
      <c r="CU168" s="138">
        <v>43009.0</v>
      </c>
      <c r="CV168" s="138">
        <v>43040.0</v>
      </c>
      <c r="CW168" s="138">
        <v>43070.0</v>
      </c>
      <c r="CX168" s="138">
        <v>43101.0</v>
      </c>
      <c r="CY168" s="138">
        <v>43132.0</v>
      </c>
      <c r="CZ168" s="138">
        <v>43160.0</v>
      </c>
      <c r="DA168" s="138">
        <v>43191.0</v>
      </c>
      <c r="DB168" s="138">
        <v>43221.0</v>
      </c>
      <c r="DC168" s="138">
        <v>43252.0</v>
      </c>
      <c r="DD168" s="138">
        <v>43282.0</v>
      </c>
      <c r="DE168" s="138">
        <v>43313.0</v>
      </c>
      <c r="DF168" s="138">
        <v>43344.0</v>
      </c>
      <c r="DG168" s="138">
        <v>43374.0</v>
      </c>
      <c r="DH168" s="138">
        <v>43405.0</v>
      </c>
      <c r="DI168" s="138">
        <v>43435.0</v>
      </c>
      <c r="DJ168" s="138">
        <v>43466.0</v>
      </c>
      <c r="DK168" s="138">
        <v>43497.0</v>
      </c>
      <c r="DL168" s="138">
        <v>43525.0</v>
      </c>
      <c r="DM168" s="138">
        <v>43556.0</v>
      </c>
      <c r="DN168" s="138">
        <v>43586.0</v>
      </c>
      <c r="DO168" s="138">
        <v>43617.0</v>
      </c>
      <c r="DP168" s="138">
        <v>43647.0</v>
      </c>
      <c r="DQ168" s="138">
        <v>43678.0</v>
      </c>
      <c r="DR168" s="138">
        <v>43709.0</v>
      </c>
      <c r="DS168" s="138">
        <v>43739.0</v>
      </c>
      <c r="DT168" s="138">
        <v>43770.0</v>
      </c>
      <c r="DU168" s="138">
        <v>43800.0</v>
      </c>
      <c r="DV168" s="138">
        <v>43831.0</v>
      </c>
      <c r="DW168" s="138">
        <v>43862.0</v>
      </c>
      <c r="DX168" s="138">
        <v>43891.0</v>
      </c>
      <c r="DY168" s="138">
        <v>43922.0</v>
      </c>
      <c r="DZ168" s="138">
        <v>43952.0</v>
      </c>
      <c r="EA168" s="138">
        <v>43983.0</v>
      </c>
      <c r="EB168" s="138">
        <v>44013.0</v>
      </c>
      <c r="EC168" s="138">
        <v>44044.0</v>
      </c>
      <c r="ED168" s="138">
        <v>44075.0</v>
      </c>
      <c r="EE168" s="138">
        <v>44105.0</v>
      </c>
      <c r="EF168" s="138">
        <v>44136.0</v>
      </c>
      <c r="EG168" s="138">
        <v>44166.0</v>
      </c>
      <c r="EH168" s="138">
        <v>44197.0</v>
      </c>
      <c r="EI168" s="138">
        <v>44228.0</v>
      </c>
      <c r="EJ168" s="138">
        <v>44256.0</v>
      </c>
      <c r="EK168" s="138">
        <v>44287.0</v>
      </c>
      <c r="EL168" s="138">
        <v>44317.0</v>
      </c>
      <c r="EM168" s="138">
        <v>44348.0</v>
      </c>
      <c r="EN168" s="138">
        <v>44378.0</v>
      </c>
      <c r="EO168" s="138">
        <v>44409.0</v>
      </c>
      <c r="EP168" s="138">
        <v>44440.0</v>
      </c>
      <c r="EQ168" s="138">
        <v>44470.0</v>
      </c>
      <c r="ER168" s="138">
        <v>44501.0</v>
      </c>
      <c r="ES168" s="138">
        <v>44531.0</v>
      </c>
      <c r="ET168" s="138">
        <v>44562.0</v>
      </c>
      <c r="EU168" s="138">
        <v>44593.0</v>
      </c>
      <c r="EV168" s="138">
        <v>44621.0</v>
      </c>
      <c r="EW168" s="138">
        <v>44652.0</v>
      </c>
      <c r="EX168" s="138">
        <v>44682.0</v>
      </c>
      <c r="EY168" s="138">
        <v>44713.0</v>
      </c>
      <c r="EZ168" s="138">
        <v>44743.0</v>
      </c>
      <c r="FA168" s="138">
        <v>44774.0</v>
      </c>
      <c r="FB168" s="138">
        <v>44805.0</v>
      </c>
      <c r="FC168" s="138">
        <v>44835.0</v>
      </c>
      <c r="FD168" s="138">
        <v>44866.0</v>
      </c>
      <c r="FE168" s="138">
        <v>44896.0</v>
      </c>
      <c r="FF168" s="138">
        <v>44927.0</v>
      </c>
      <c r="FG168" s="138">
        <v>44958.0</v>
      </c>
      <c r="FH168" s="138">
        <v>44986.0</v>
      </c>
      <c r="FI168" s="138">
        <v>45017.0</v>
      </c>
      <c r="FJ168" s="138">
        <v>45047.0</v>
      </c>
      <c r="FK168" s="138">
        <v>45078.0</v>
      </c>
      <c r="FL168" s="138">
        <v>45108.0</v>
      </c>
      <c r="FM168" s="138">
        <v>45139.0</v>
      </c>
      <c r="FN168" s="138">
        <v>45170.0</v>
      </c>
      <c r="FO168" s="138">
        <v>45200.0</v>
      </c>
      <c r="FP168" s="138">
        <v>45231.0</v>
      </c>
      <c r="FQ168" s="138">
        <v>45261.0</v>
      </c>
      <c r="FR168" s="138">
        <v>45292.0</v>
      </c>
      <c r="FS168" s="138">
        <v>45323.0</v>
      </c>
      <c r="FT168" s="138">
        <v>45352.0</v>
      </c>
      <c r="FU168" s="138">
        <v>45383.0</v>
      </c>
      <c r="FV168" s="138">
        <v>45413.0</v>
      </c>
      <c r="FW168" s="138">
        <v>45444.0</v>
      </c>
      <c r="FX168" s="138">
        <v>45474.0</v>
      </c>
      <c r="FY168" s="138">
        <v>45505.0</v>
      </c>
      <c r="FZ168" s="138">
        <v>45536.0</v>
      </c>
      <c r="GA168" s="138">
        <v>45566.0</v>
      </c>
      <c r="GB168" s="138">
        <v>45597.0</v>
      </c>
      <c r="GC168" s="138">
        <v>45627.0</v>
      </c>
      <c r="GD168" s="138">
        <v>45658.0</v>
      </c>
      <c r="GE168" s="138">
        <v>45689.0</v>
      </c>
      <c r="GF168" s="138">
        <v>45717.0</v>
      </c>
      <c r="GG168" s="138">
        <v>45748.0</v>
      </c>
      <c r="GH168" s="138">
        <v>45778.0</v>
      </c>
      <c r="GI168" s="138">
        <v>45809.0</v>
      </c>
      <c r="GJ168" s="138">
        <v>45839.0</v>
      </c>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c r="AP169" s="143"/>
      <c r="AQ169" s="143"/>
      <c r="AR169" s="143"/>
      <c r="AS169" s="143"/>
      <c r="AT169" s="143"/>
      <c r="AU169" s="143"/>
      <c r="AV169" s="143"/>
      <c r="AW169" s="143"/>
      <c r="AX169" s="143"/>
      <c r="AY169" s="143"/>
      <c r="AZ169" s="143"/>
      <c r="BA169" s="143"/>
      <c r="BB169" s="143"/>
      <c r="BC169" s="143"/>
      <c r="BD169" s="143"/>
      <c r="BE169" s="143"/>
      <c r="BF169" s="143"/>
      <c r="BG169" s="143"/>
      <c r="BH169" s="143"/>
      <c r="BI169" s="143"/>
      <c r="BJ169" s="143"/>
      <c r="BK169" s="143"/>
      <c r="BL169" s="143"/>
      <c r="BM169" s="143"/>
      <c r="BN169" s="143"/>
      <c r="BO169" s="143"/>
      <c r="BP169" s="143"/>
      <c r="BQ169" s="143"/>
      <c r="BR169" s="143"/>
      <c r="BS169" s="143"/>
      <c r="BT169" s="143"/>
      <c r="BU169" s="143"/>
      <c r="BV169" s="143"/>
      <c r="BW169" s="143"/>
      <c r="BX169" s="143"/>
      <c r="BY169" s="143"/>
      <c r="BZ169" s="143"/>
      <c r="CA169" s="143"/>
      <c r="CB169" s="143"/>
      <c r="CC169" s="143"/>
      <c r="CD169" s="143"/>
      <c r="CE169" s="143"/>
      <c r="CF169" s="143"/>
      <c r="CG169" s="143"/>
      <c r="CH169" s="143"/>
      <c r="CI169" s="143"/>
      <c r="CJ169" s="143"/>
      <c r="CK169" s="143"/>
      <c r="CL169" s="143"/>
      <c r="CM169" s="143"/>
      <c r="CN169" s="143"/>
      <c r="CO169" s="143"/>
      <c r="CP169" s="143"/>
      <c r="CQ169" s="143"/>
      <c r="CR169" s="143"/>
      <c r="CS169" s="143"/>
      <c r="CT169" s="143"/>
      <c r="CU169" s="143"/>
      <c r="CV169" s="143"/>
      <c r="CW169" s="143"/>
      <c r="CX169" s="143"/>
      <c r="CY169" s="143"/>
      <c r="CZ169" s="143"/>
      <c r="DA169" s="143"/>
      <c r="DB169" s="143"/>
      <c r="DC169" s="143"/>
      <c r="DD169" s="143"/>
      <c r="DE169" s="143"/>
      <c r="DF169" s="143"/>
      <c r="DG169" s="143"/>
      <c r="DH169" s="143"/>
      <c r="DI169" s="143"/>
      <c r="DJ169" s="143"/>
      <c r="DK169" s="143"/>
      <c r="DL169" s="143"/>
      <c r="DM169" s="143"/>
      <c r="DN169" s="143"/>
      <c r="DO169" s="143"/>
      <c r="DP169" s="143"/>
      <c r="DQ169" s="143"/>
      <c r="DR169" s="143"/>
      <c r="DS169" s="143"/>
      <c r="DT169" s="143"/>
      <c r="DU169" s="143"/>
      <c r="DV169" s="143"/>
      <c r="DW169" s="143"/>
      <c r="DX169" s="143"/>
      <c r="DY169" s="143"/>
      <c r="DZ169" s="143"/>
      <c r="EA169" s="143"/>
      <c r="EB169" s="143"/>
      <c r="EC169" s="143"/>
      <c r="ED169" s="143"/>
      <c r="EE169" s="143"/>
      <c r="EF169" s="143"/>
      <c r="EG169" s="143"/>
      <c r="EH169" s="143"/>
      <c r="EI169" s="143"/>
      <c r="EJ169" s="143"/>
      <c r="EK169" s="143"/>
      <c r="EL169" s="143"/>
      <c r="EM169" s="143"/>
      <c r="EN169" s="143"/>
      <c r="EO169" s="143"/>
      <c r="EP169" s="143"/>
      <c r="EQ169" s="143"/>
      <c r="ER169" s="143"/>
      <c r="ES169" s="143"/>
      <c r="ET169" s="143"/>
      <c r="EU169" s="143"/>
      <c r="EV169" s="143"/>
      <c r="EW169" s="143"/>
      <c r="EX169" s="143"/>
      <c r="EY169" s="143"/>
      <c r="EZ169" s="143"/>
      <c r="FA169" s="143"/>
      <c r="FB169" s="143"/>
      <c r="FC169" s="143"/>
      <c r="FD169" s="143"/>
      <c r="FE169" s="143"/>
      <c r="FF169" s="143"/>
      <c r="FG169" s="143"/>
      <c r="FH169" s="143"/>
      <c r="FI169" s="143"/>
      <c r="FJ169" s="143"/>
      <c r="FK169" s="143"/>
      <c r="FL169" s="143"/>
      <c r="FM169" s="143"/>
      <c r="FN169" s="143"/>
      <c r="FO169" s="143"/>
      <c r="FP169" s="143"/>
      <c r="FQ169" s="143"/>
      <c r="FR169" s="143"/>
      <c r="FS169" s="143"/>
      <c r="FT169" s="143"/>
      <c r="FU169" s="143"/>
      <c r="FV169" s="143"/>
      <c r="FW169" s="143"/>
      <c r="FX169" s="143"/>
      <c r="FY169" s="143"/>
      <c r="FZ169" s="143"/>
      <c r="GA169" s="143"/>
      <c r="GB169" s="143"/>
      <c r="GC169" s="143"/>
      <c r="GD169" s="143"/>
      <c r="GE169" s="143"/>
      <c r="GF169" s="143"/>
      <c r="GG169" s="143"/>
      <c r="GH169" s="143"/>
      <c r="GI169" s="143"/>
      <c r="GJ169" s="143"/>
    </row>
    <row r="170">
      <c r="A170" s="143"/>
      <c r="B170" s="143"/>
      <c r="C170" s="148"/>
      <c r="D170" s="148">
        <f>SUM(D3:D168)</f>
        <v>0</v>
      </c>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43"/>
      <c r="AX170" s="143"/>
      <c r="AY170" s="143"/>
      <c r="AZ170" s="143"/>
      <c r="BA170" s="143"/>
      <c r="BB170" s="143"/>
      <c r="BC170" s="143"/>
      <c r="BD170" s="143"/>
      <c r="BE170" s="143"/>
      <c r="BF170" s="143"/>
      <c r="BG170" s="143"/>
      <c r="BH170" s="143"/>
      <c r="BI170" s="143"/>
      <c r="BJ170" s="143"/>
      <c r="BK170" s="143"/>
      <c r="BL170" s="143"/>
      <c r="BM170" s="143"/>
      <c r="BN170" s="143"/>
      <c r="BO170" s="143"/>
      <c r="BP170" s="143"/>
      <c r="BQ170" s="143"/>
      <c r="BR170" s="143"/>
      <c r="BS170" s="143"/>
      <c r="BT170" s="143"/>
      <c r="BU170" s="143"/>
      <c r="BV170" s="143"/>
      <c r="BW170" s="143"/>
      <c r="BX170" s="143"/>
      <c r="BY170" s="143"/>
      <c r="BZ170" s="143"/>
      <c r="CA170" s="143"/>
      <c r="CB170" s="143"/>
      <c r="CC170" s="143"/>
      <c r="CD170" s="143"/>
      <c r="CE170" s="143"/>
      <c r="CF170" s="143"/>
      <c r="CG170" s="143"/>
      <c r="CH170" s="143"/>
      <c r="CI170" s="143"/>
      <c r="CJ170" s="143"/>
      <c r="CK170" s="143"/>
      <c r="CL170" s="143"/>
      <c r="CM170" s="143"/>
      <c r="CN170" s="143"/>
      <c r="CO170" s="143"/>
      <c r="CP170" s="143"/>
      <c r="CQ170" s="143"/>
      <c r="CR170" s="143"/>
      <c r="CS170" s="143"/>
      <c r="CT170" s="143"/>
      <c r="CU170" s="143"/>
      <c r="CV170" s="143"/>
      <c r="CW170" s="143"/>
      <c r="CX170" s="143"/>
      <c r="CY170" s="143"/>
      <c r="CZ170" s="143"/>
      <c r="DA170" s="143"/>
      <c r="DB170" s="143"/>
      <c r="DC170" s="143"/>
      <c r="DD170" s="143"/>
      <c r="DE170" s="143"/>
      <c r="DF170" s="143"/>
      <c r="DG170" s="143"/>
      <c r="DH170" s="143"/>
      <c r="DI170" s="143"/>
      <c r="DJ170" s="143"/>
      <c r="DK170" s="143"/>
      <c r="DL170" s="143"/>
      <c r="DM170" s="143"/>
      <c r="DN170" s="143"/>
      <c r="DO170" s="143"/>
      <c r="DP170" s="143"/>
      <c r="DQ170" s="143"/>
      <c r="DR170" s="143"/>
      <c r="DS170" s="143"/>
      <c r="DT170" s="143"/>
      <c r="DU170" s="143"/>
      <c r="DV170" s="143"/>
      <c r="DW170" s="143"/>
      <c r="DX170" s="143"/>
      <c r="DY170" s="143"/>
      <c r="DZ170" s="143"/>
      <c r="EA170" s="143"/>
      <c r="EB170" s="143"/>
      <c r="EC170" s="143"/>
      <c r="ED170" s="143"/>
      <c r="EE170" s="143"/>
      <c r="EF170" s="143"/>
      <c r="EG170" s="143"/>
      <c r="EH170" s="143"/>
      <c r="EI170" s="143"/>
      <c r="EJ170" s="143"/>
      <c r="EK170" s="143"/>
      <c r="EL170" s="143"/>
      <c r="EM170" s="143"/>
      <c r="EN170" s="143"/>
      <c r="EO170" s="143"/>
      <c r="EP170" s="143"/>
      <c r="EQ170" s="143"/>
      <c r="ER170" s="143"/>
      <c r="ES170" s="143"/>
      <c r="ET170" s="143"/>
      <c r="EU170" s="143"/>
      <c r="EV170" s="143"/>
      <c r="EW170" s="143"/>
      <c r="EX170" s="143"/>
      <c r="EY170" s="143"/>
      <c r="EZ170" s="143"/>
      <c r="FA170" s="143"/>
      <c r="FB170" s="143"/>
      <c r="FC170" s="143"/>
      <c r="FD170" s="143"/>
      <c r="FE170" s="143"/>
      <c r="FF170" s="143"/>
      <c r="FG170" s="143"/>
      <c r="FH170" s="143"/>
      <c r="FI170" s="143"/>
      <c r="FJ170" s="143"/>
      <c r="FK170" s="143"/>
      <c r="FL170" s="143"/>
      <c r="FM170" s="143"/>
      <c r="FN170" s="143"/>
      <c r="FO170" s="143"/>
      <c r="FP170" s="143"/>
      <c r="FQ170" s="143"/>
      <c r="FR170" s="143"/>
      <c r="FS170" s="143"/>
      <c r="FT170" s="143"/>
      <c r="FU170" s="143"/>
      <c r="FV170" s="143"/>
      <c r="FW170" s="143"/>
      <c r="FX170" s="143"/>
      <c r="FY170" s="143"/>
      <c r="FZ170" s="143"/>
      <c r="GA170" s="143"/>
      <c r="GB170" s="143"/>
      <c r="GC170" s="143"/>
      <c r="GD170" s="143"/>
      <c r="GE170" s="143"/>
      <c r="GF170" s="143"/>
      <c r="GG170" s="143"/>
      <c r="GH170" s="143"/>
      <c r="GI170" s="143"/>
      <c r="GJ170" s="143"/>
    </row>
  </sheetData>
  <mergeCells count="16">
    <mergeCell ref="F1:Q1"/>
    <mergeCell ref="R1:AC1"/>
    <mergeCell ref="AD1:AO1"/>
    <mergeCell ref="AP1:BA1"/>
    <mergeCell ref="BB1:BM1"/>
    <mergeCell ref="BN1:BY1"/>
    <mergeCell ref="BZ1:CK1"/>
    <mergeCell ref="FR1:GC1"/>
    <mergeCell ref="GD1:GJ1"/>
    <mergeCell ref="CL1:CW1"/>
    <mergeCell ref="CX1:DI1"/>
    <mergeCell ref="DJ1:DU1"/>
    <mergeCell ref="DV1:EG1"/>
    <mergeCell ref="EH1:ES1"/>
    <mergeCell ref="ET1:FE1"/>
    <mergeCell ref="FF1:FQ1"/>
  </mergeCells>
  <hyperlinks>
    <hyperlink r:id="rId1" location="gid=687478976" ref="B1"/>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63"/>
    <col customWidth="1" min="2" max="2" width="12.63"/>
    <col customWidth="1" min="3" max="3" width="13.0"/>
    <col customWidth="1" min="4" max="4" width="7.25"/>
    <col customWidth="1" min="5" max="5" width="14.75"/>
    <col customWidth="1" min="6" max="6" width="17.88"/>
    <col customWidth="1" min="7" max="7" width="19.25"/>
    <col customWidth="1" min="8" max="8" width="19.75"/>
    <col customWidth="1" min="9" max="9" width="20.38"/>
    <col customWidth="1" min="10" max="192" width="12.88"/>
  </cols>
  <sheetData>
    <row r="1">
      <c r="A1" s="101" t="s">
        <v>34355</v>
      </c>
      <c r="B1" s="76"/>
      <c r="C1" s="76"/>
      <c r="D1" s="76"/>
      <c r="E1" s="76"/>
      <c r="F1" s="76"/>
      <c r="G1" s="76"/>
      <c r="H1" s="120"/>
      <c r="I1" s="120"/>
    </row>
    <row r="2">
      <c r="A2" s="152" t="s">
        <v>34356</v>
      </c>
      <c r="B2" s="105" t="s">
        <v>2863</v>
      </c>
      <c r="C2" s="105" t="s">
        <v>2864</v>
      </c>
      <c r="D2" s="105" t="s">
        <v>2865</v>
      </c>
      <c r="E2" s="105" t="s">
        <v>2866</v>
      </c>
      <c r="F2" s="105" t="s">
        <v>2867</v>
      </c>
      <c r="G2" s="105" t="s">
        <v>2868</v>
      </c>
      <c r="H2" s="153" t="s">
        <v>2871</v>
      </c>
      <c r="I2" s="153" t="s">
        <v>2872</v>
      </c>
    </row>
    <row r="3">
      <c r="A3" s="154" t="s">
        <v>34143</v>
      </c>
      <c r="B3" s="108">
        <v>1224.0</v>
      </c>
      <c r="C3" s="108">
        <v>15605.0</v>
      </c>
      <c r="D3" s="108">
        <v>0.0</v>
      </c>
      <c r="E3" s="108">
        <v>0.0</v>
      </c>
      <c r="F3" s="108">
        <v>4.93477344E9</v>
      </c>
      <c r="G3" s="108">
        <v>7.888183296E9</v>
      </c>
      <c r="H3" s="155">
        <v>0.0</v>
      </c>
      <c r="I3" s="156"/>
    </row>
    <row r="4">
      <c r="A4" s="154" t="s">
        <v>34357</v>
      </c>
      <c r="B4" s="108">
        <v>2.0</v>
      </c>
      <c r="C4" s="108">
        <v>0.0</v>
      </c>
      <c r="D4" s="108">
        <v>0.0</v>
      </c>
      <c r="E4" s="108">
        <v>0.0</v>
      </c>
      <c r="F4" s="108">
        <v>36.0</v>
      </c>
      <c r="G4" s="108">
        <v>65536.0</v>
      </c>
      <c r="H4" s="155">
        <v>0.0</v>
      </c>
      <c r="I4" s="156"/>
    </row>
    <row r="5">
      <c r="A5" s="154" t="s">
        <v>33944</v>
      </c>
      <c r="B5" s="108">
        <v>53.0</v>
      </c>
      <c r="C5" s="108">
        <v>1172.0</v>
      </c>
      <c r="D5" s="108">
        <v>0.0</v>
      </c>
      <c r="E5" s="108">
        <v>0.0</v>
      </c>
      <c r="F5" s="108">
        <v>1.43836772E8</v>
      </c>
      <c r="G5" s="108">
        <v>2.24231424E8</v>
      </c>
      <c r="H5" s="155">
        <v>0.0</v>
      </c>
      <c r="I5" s="156"/>
    </row>
    <row r="6">
      <c r="A6" s="154" t="s">
        <v>34046</v>
      </c>
      <c r="B6" s="108">
        <v>627.0</v>
      </c>
      <c r="C6" s="108">
        <v>12993.0</v>
      </c>
      <c r="D6" s="108">
        <v>0.0</v>
      </c>
      <c r="E6" s="108">
        <v>0.0</v>
      </c>
      <c r="F6" s="108">
        <v>3.042573828E9</v>
      </c>
      <c r="G6" s="108">
        <v>4.35130368E9</v>
      </c>
      <c r="H6" s="155">
        <v>0.0</v>
      </c>
      <c r="I6" s="156"/>
    </row>
    <row r="7">
      <c r="A7" s="154" t="s">
        <v>34147</v>
      </c>
      <c r="B7" s="108">
        <v>6403.0</v>
      </c>
      <c r="C7" s="108">
        <v>42443.0</v>
      </c>
      <c r="D7" s="108">
        <v>0.0</v>
      </c>
      <c r="E7" s="108">
        <v>0.0</v>
      </c>
      <c r="F7" s="108">
        <v>7.0262668267E10</v>
      </c>
      <c r="G7" s="108">
        <v>8.9255993344E10</v>
      </c>
      <c r="H7" s="155">
        <v>0.0</v>
      </c>
      <c r="I7" s="156"/>
    </row>
    <row r="8">
      <c r="A8" s="154" t="s">
        <v>34198</v>
      </c>
      <c r="B8" s="108">
        <v>33.0</v>
      </c>
      <c r="C8" s="108">
        <v>75.0</v>
      </c>
      <c r="D8" s="108">
        <v>0.0</v>
      </c>
      <c r="E8" s="108">
        <v>0.0</v>
      </c>
      <c r="F8" s="108">
        <v>9.2466329E7</v>
      </c>
      <c r="G8" s="108">
        <v>1.18595584E8</v>
      </c>
      <c r="H8" s="155">
        <v>0.0</v>
      </c>
      <c r="I8" s="156"/>
    </row>
    <row r="9">
      <c r="A9" s="154" t="s">
        <v>34216</v>
      </c>
      <c r="B9" s="108">
        <v>80.0</v>
      </c>
      <c r="C9" s="108">
        <v>252.0</v>
      </c>
      <c r="D9" s="108">
        <v>0.0</v>
      </c>
      <c r="E9" s="108">
        <v>0.0</v>
      </c>
      <c r="F9" s="108">
        <v>2.3108042E8</v>
      </c>
      <c r="G9" s="108">
        <v>3.12426496E8</v>
      </c>
      <c r="H9" s="155">
        <v>0.0</v>
      </c>
      <c r="I9" s="156"/>
    </row>
    <row r="10">
      <c r="A10" s="154" t="s">
        <v>34358</v>
      </c>
      <c r="B10" s="108">
        <v>8.0</v>
      </c>
      <c r="C10" s="108">
        <v>0.0</v>
      </c>
      <c r="D10" s="108">
        <v>0.0</v>
      </c>
      <c r="E10" s="108">
        <v>0.0</v>
      </c>
      <c r="F10" s="108">
        <v>217.0</v>
      </c>
      <c r="G10" s="108">
        <v>262144.0</v>
      </c>
      <c r="H10" s="155">
        <v>0.0</v>
      </c>
      <c r="I10" s="156"/>
    </row>
    <row r="11">
      <c r="A11" s="154" t="s">
        <v>34219</v>
      </c>
      <c r="B11" s="108">
        <v>1035.0</v>
      </c>
      <c r="C11" s="108">
        <v>3969.0</v>
      </c>
      <c r="D11" s="108">
        <v>0.0</v>
      </c>
      <c r="E11" s="108">
        <v>0.0</v>
      </c>
      <c r="F11" s="108">
        <v>1.318614495E9</v>
      </c>
      <c r="G11" s="108">
        <v>2.334416896E9</v>
      </c>
      <c r="H11" s="155">
        <v>0.0</v>
      </c>
      <c r="I11" s="156"/>
    </row>
    <row r="12">
      <c r="A12" s="154" t="s">
        <v>34359</v>
      </c>
      <c r="B12" s="108">
        <v>4.0</v>
      </c>
      <c r="C12" s="108">
        <v>0.0</v>
      </c>
      <c r="D12" s="108">
        <v>0.0</v>
      </c>
      <c r="E12" s="108">
        <v>0.0</v>
      </c>
      <c r="F12" s="108">
        <v>88.0</v>
      </c>
      <c r="G12" s="108">
        <v>131072.0</v>
      </c>
      <c r="H12" s="155">
        <v>0.0</v>
      </c>
      <c r="I12" s="156"/>
    </row>
    <row r="13">
      <c r="A13" s="154" t="s">
        <v>34360</v>
      </c>
      <c r="B13" s="108">
        <v>4.0</v>
      </c>
      <c r="C13" s="108">
        <v>0.0</v>
      </c>
      <c r="D13" s="108">
        <v>0.0</v>
      </c>
      <c r="E13" s="108">
        <v>0.0</v>
      </c>
      <c r="F13" s="108">
        <v>86.0</v>
      </c>
      <c r="G13" s="108">
        <v>131072.0</v>
      </c>
      <c r="H13" s="155">
        <v>0.0</v>
      </c>
      <c r="I13" s="156"/>
    </row>
    <row r="14">
      <c r="A14" s="154" t="s">
        <v>34361</v>
      </c>
      <c r="B14" s="108">
        <v>4.0</v>
      </c>
      <c r="C14" s="108">
        <v>0.0</v>
      </c>
      <c r="D14" s="108">
        <v>0.0</v>
      </c>
      <c r="E14" s="108">
        <v>0.0</v>
      </c>
      <c r="F14" s="108">
        <v>90.0</v>
      </c>
      <c r="G14" s="108">
        <v>131072.0</v>
      </c>
      <c r="H14" s="155">
        <v>0.0</v>
      </c>
      <c r="I14" s="156"/>
    </row>
    <row r="15">
      <c r="A15" s="154" t="s">
        <v>34362</v>
      </c>
      <c r="B15" s="108">
        <v>7.0</v>
      </c>
      <c r="C15" s="108">
        <v>0.0</v>
      </c>
      <c r="D15" s="108">
        <v>0.0</v>
      </c>
      <c r="E15" s="108">
        <v>0.0</v>
      </c>
      <c r="F15" s="108">
        <v>213.0</v>
      </c>
      <c r="G15" s="108">
        <v>229376.0</v>
      </c>
      <c r="H15" s="155">
        <v>0.0</v>
      </c>
      <c r="I15" s="156"/>
    </row>
    <row r="16">
      <c r="A16" s="154" t="s">
        <v>34363</v>
      </c>
      <c r="B16" s="108">
        <v>4.0</v>
      </c>
      <c r="C16" s="108">
        <v>0.0</v>
      </c>
      <c r="D16" s="108">
        <v>0.0</v>
      </c>
      <c r="E16" s="108">
        <v>0.0</v>
      </c>
      <c r="F16" s="108">
        <v>106.0</v>
      </c>
      <c r="G16" s="108">
        <v>131072.0</v>
      </c>
      <c r="H16" s="155">
        <v>0.0</v>
      </c>
      <c r="I16" s="156"/>
    </row>
    <row r="17">
      <c r="A17" s="154" t="s">
        <v>34364</v>
      </c>
      <c r="B17" s="108">
        <v>2.0</v>
      </c>
      <c r="C17" s="108">
        <v>0.0</v>
      </c>
      <c r="D17" s="108">
        <v>0.0</v>
      </c>
      <c r="E17" s="108">
        <v>0.0</v>
      </c>
      <c r="F17" s="108">
        <v>27.0</v>
      </c>
      <c r="G17" s="108">
        <v>65536.0</v>
      </c>
      <c r="H17" s="155">
        <v>0.0</v>
      </c>
      <c r="I17" s="156"/>
    </row>
    <row r="18">
      <c r="A18" s="154" t="s">
        <v>34365</v>
      </c>
      <c r="B18" s="108">
        <v>2.0</v>
      </c>
      <c r="C18" s="108">
        <v>0.0</v>
      </c>
      <c r="D18" s="108">
        <v>0.0</v>
      </c>
      <c r="E18" s="108">
        <v>0.0</v>
      </c>
      <c r="F18" s="108">
        <v>27.0</v>
      </c>
      <c r="G18" s="108">
        <v>65536.0</v>
      </c>
      <c r="H18" s="155">
        <v>0.0</v>
      </c>
      <c r="I18" s="156"/>
    </row>
    <row r="19">
      <c r="A19" s="154" t="s">
        <v>34366</v>
      </c>
      <c r="B19" s="108">
        <v>10.0</v>
      </c>
      <c r="C19" s="108">
        <v>0.0</v>
      </c>
      <c r="D19" s="108">
        <v>0.0</v>
      </c>
      <c r="E19" s="108">
        <v>0.0</v>
      </c>
      <c r="F19" s="108">
        <v>288.0</v>
      </c>
      <c r="G19" s="108">
        <v>327680.0</v>
      </c>
      <c r="H19" s="155">
        <v>0.0</v>
      </c>
      <c r="I19" s="156"/>
    </row>
    <row r="20">
      <c r="A20" s="154" t="s">
        <v>34367</v>
      </c>
      <c r="B20" s="108">
        <v>9.0</v>
      </c>
      <c r="C20" s="108">
        <v>0.0</v>
      </c>
      <c r="D20" s="108">
        <v>0.0</v>
      </c>
      <c r="E20" s="108">
        <v>0.0</v>
      </c>
      <c r="F20" s="108">
        <v>276.0</v>
      </c>
      <c r="G20" s="108">
        <v>294912.0</v>
      </c>
      <c r="H20" s="155">
        <v>0.0</v>
      </c>
      <c r="I20" s="156"/>
    </row>
    <row r="21">
      <c r="A21" s="154" t="s">
        <v>34368</v>
      </c>
      <c r="B21" s="108">
        <v>6.0</v>
      </c>
      <c r="C21" s="108">
        <v>0.0</v>
      </c>
      <c r="D21" s="108">
        <v>0.0</v>
      </c>
      <c r="E21" s="108">
        <v>0.0</v>
      </c>
      <c r="F21" s="108">
        <v>151.0</v>
      </c>
      <c r="G21" s="108">
        <v>196608.0</v>
      </c>
      <c r="H21" s="155">
        <v>0.0</v>
      </c>
      <c r="I21" s="156"/>
    </row>
    <row r="22">
      <c r="A22" s="154" t="s">
        <v>34369</v>
      </c>
      <c r="B22" s="108">
        <v>2.0</v>
      </c>
      <c r="C22" s="108">
        <v>0.0</v>
      </c>
      <c r="D22" s="108">
        <v>0.0</v>
      </c>
      <c r="E22" s="108">
        <v>0.0</v>
      </c>
      <c r="F22" s="108">
        <v>27.0</v>
      </c>
      <c r="G22" s="108">
        <v>65536.0</v>
      </c>
      <c r="H22" s="155">
        <v>0.0</v>
      </c>
      <c r="I22" s="156"/>
    </row>
    <row r="23">
      <c r="A23" s="154" t="s">
        <v>34056</v>
      </c>
      <c r="B23" s="108">
        <v>4342.0</v>
      </c>
      <c r="C23" s="108">
        <v>26544.0</v>
      </c>
      <c r="D23" s="108">
        <v>0.0</v>
      </c>
      <c r="E23" s="108">
        <v>0.0</v>
      </c>
      <c r="F23" s="108">
        <v>2.5876260947E10</v>
      </c>
      <c r="G23" s="108">
        <v>3.4672173056E10</v>
      </c>
      <c r="H23" s="155">
        <v>0.0</v>
      </c>
      <c r="I23" s="156"/>
    </row>
    <row r="24">
      <c r="A24" s="154" t="s">
        <v>34370</v>
      </c>
      <c r="B24" s="108">
        <v>13.0</v>
      </c>
      <c r="C24" s="108">
        <v>0.0</v>
      </c>
      <c r="D24" s="108">
        <v>0.0</v>
      </c>
      <c r="E24" s="108">
        <v>0.0</v>
      </c>
      <c r="F24" s="108">
        <v>372.0</v>
      </c>
      <c r="G24" s="108">
        <v>425984.0</v>
      </c>
      <c r="H24" s="155">
        <v>0.0</v>
      </c>
      <c r="I24" s="156"/>
    </row>
    <row r="25">
      <c r="A25" s="154" t="s">
        <v>34371</v>
      </c>
      <c r="B25" s="108">
        <v>2.0</v>
      </c>
      <c r="C25" s="108">
        <v>0.0</v>
      </c>
      <c r="D25" s="108">
        <v>0.0</v>
      </c>
      <c r="E25" s="108">
        <v>0.0</v>
      </c>
      <c r="F25" s="108">
        <v>27.0</v>
      </c>
      <c r="G25" s="108">
        <v>65536.0</v>
      </c>
      <c r="H25" s="155">
        <v>0.0</v>
      </c>
      <c r="I25" s="156"/>
    </row>
    <row r="26">
      <c r="A26" s="154" t="s">
        <v>34372</v>
      </c>
      <c r="B26" s="108">
        <v>6.0</v>
      </c>
      <c r="C26" s="108">
        <v>0.0</v>
      </c>
      <c r="D26" s="108">
        <v>0.0</v>
      </c>
      <c r="E26" s="108">
        <v>0.0</v>
      </c>
      <c r="F26" s="108">
        <v>148.0</v>
      </c>
      <c r="G26" s="108">
        <v>196608.0</v>
      </c>
      <c r="H26" s="155">
        <v>0.0</v>
      </c>
      <c r="I26" s="156"/>
    </row>
    <row r="27">
      <c r="A27" s="154" t="s">
        <v>34373</v>
      </c>
      <c r="B27" s="108">
        <v>1.0</v>
      </c>
      <c r="C27" s="108">
        <v>1.0</v>
      </c>
      <c r="D27" s="108">
        <v>0.0</v>
      </c>
      <c r="E27" s="108">
        <v>0.0</v>
      </c>
      <c r="F27" s="108">
        <v>6175.0</v>
      </c>
      <c r="G27" s="108">
        <v>57344.0</v>
      </c>
      <c r="H27" s="155">
        <v>0.0</v>
      </c>
      <c r="I27" s="156"/>
    </row>
    <row r="28">
      <c r="A28" s="154" t="s">
        <v>33995</v>
      </c>
      <c r="B28" s="108">
        <v>27456.0</v>
      </c>
      <c r="C28" s="108">
        <v>273316.0</v>
      </c>
      <c r="D28" s="108">
        <v>0.0</v>
      </c>
      <c r="E28" s="108">
        <v>0.0</v>
      </c>
      <c r="F28" s="108">
        <v>8.9120031287E10</v>
      </c>
      <c r="G28" s="108">
        <v>1.31343663104E11</v>
      </c>
      <c r="H28" s="155">
        <v>0.0</v>
      </c>
      <c r="I28" s="156"/>
    </row>
    <row r="29">
      <c r="A29" s="154" t="s">
        <v>33991</v>
      </c>
      <c r="B29" s="108">
        <v>9690.0</v>
      </c>
      <c r="C29" s="108">
        <v>72649.0</v>
      </c>
      <c r="D29" s="108">
        <v>0.0</v>
      </c>
      <c r="E29" s="108">
        <v>0.0</v>
      </c>
      <c r="F29" s="108">
        <v>8.7118064642E10</v>
      </c>
      <c r="G29" s="108">
        <v>1.11750561792E11</v>
      </c>
      <c r="H29" s="155">
        <v>0.0</v>
      </c>
      <c r="I29" s="156"/>
    </row>
    <row r="30">
      <c r="A30" s="154" t="s">
        <v>33969</v>
      </c>
      <c r="B30" s="108">
        <v>4.0</v>
      </c>
      <c r="C30" s="108">
        <v>28.0</v>
      </c>
      <c r="D30" s="108">
        <v>0.0</v>
      </c>
      <c r="E30" s="108">
        <v>0.0</v>
      </c>
      <c r="F30" s="108">
        <v>4.1306186E7</v>
      </c>
      <c r="G30" s="108">
        <v>5.1929088E7</v>
      </c>
      <c r="H30" s="155">
        <v>0.0</v>
      </c>
      <c r="I30" s="156"/>
    </row>
    <row r="31">
      <c r="A31" s="154" t="s">
        <v>33971</v>
      </c>
      <c r="B31" s="108">
        <v>654.0</v>
      </c>
      <c r="C31" s="108">
        <v>11265.0</v>
      </c>
      <c r="D31" s="108">
        <v>0.0</v>
      </c>
      <c r="E31" s="108">
        <v>0.0</v>
      </c>
      <c r="F31" s="108">
        <v>1.537017163E9</v>
      </c>
      <c r="G31" s="108">
        <v>2.503426048E9</v>
      </c>
      <c r="H31" s="155">
        <v>0.0</v>
      </c>
      <c r="I31" s="156"/>
    </row>
    <row r="32">
      <c r="A32" s="154" t="s">
        <v>34168</v>
      </c>
      <c r="B32" s="108">
        <v>1974.0</v>
      </c>
      <c r="C32" s="108">
        <v>9989.0</v>
      </c>
      <c r="D32" s="108">
        <v>0.0</v>
      </c>
      <c r="E32" s="108">
        <v>0.0</v>
      </c>
      <c r="F32" s="108">
        <v>1.2993414855E10</v>
      </c>
      <c r="G32" s="108">
        <v>1.7167204352E10</v>
      </c>
      <c r="H32" s="155">
        <v>0.0</v>
      </c>
      <c r="I32" s="156"/>
    </row>
    <row r="33">
      <c r="A33" s="154" t="s">
        <v>34374</v>
      </c>
      <c r="B33" s="108">
        <v>6.0</v>
      </c>
      <c r="C33" s="108">
        <v>0.0</v>
      </c>
      <c r="D33" s="108">
        <v>0.0</v>
      </c>
      <c r="E33" s="108">
        <v>0.0</v>
      </c>
      <c r="F33" s="108">
        <v>164.0</v>
      </c>
      <c r="G33" s="108">
        <v>196608.0</v>
      </c>
      <c r="H33" s="155">
        <v>0.0</v>
      </c>
      <c r="I33" s="156"/>
    </row>
    <row r="34">
      <c r="A34" s="154" t="s">
        <v>34375</v>
      </c>
      <c r="B34" s="108">
        <v>81.0</v>
      </c>
      <c r="C34" s="108">
        <v>0.0</v>
      </c>
      <c r="D34" s="108">
        <v>0.0</v>
      </c>
      <c r="E34" s="108">
        <v>0.0</v>
      </c>
      <c r="F34" s="108">
        <v>2799.0</v>
      </c>
      <c r="G34" s="108">
        <v>2654208.0</v>
      </c>
      <c r="H34" s="155">
        <v>0.0</v>
      </c>
      <c r="I34" s="156"/>
    </row>
    <row r="35">
      <c r="A35" s="154" t="s">
        <v>1422</v>
      </c>
      <c r="B35" s="108">
        <v>21644.0</v>
      </c>
      <c r="C35" s="108">
        <v>99138.0</v>
      </c>
      <c r="D35" s="108">
        <v>0.0</v>
      </c>
      <c r="E35" s="108">
        <v>0.0</v>
      </c>
      <c r="F35" s="108">
        <v>1.75468628075E11</v>
      </c>
      <c r="G35" s="108">
        <v>2.24691019776E11</v>
      </c>
      <c r="H35" s="155">
        <v>0.0</v>
      </c>
      <c r="I35" s="156"/>
    </row>
    <row r="36">
      <c r="A36" s="154" t="s">
        <v>34376</v>
      </c>
      <c r="B36" s="108">
        <v>19.0</v>
      </c>
      <c r="C36" s="108">
        <v>0.0</v>
      </c>
      <c r="D36" s="108">
        <v>0.0</v>
      </c>
      <c r="E36" s="108">
        <v>0.0</v>
      </c>
      <c r="F36" s="108">
        <v>584.0</v>
      </c>
      <c r="G36" s="108">
        <v>622592.0</v>
      </c>
      <c r="H36" s="155">
        <v>0.0</v>
      </c>
      <c r="I36" s="156"/>
    </row>
    <row r="37">
      <c r="A37" s="154" t="s">
        <v>34034</v>
      </c>
      <c r="B37" s="108">
        <v>10.0</v>
      </c>
      <c r="C37" s="108">
        <v>1.0</v>
      </c>
      <c r="D37" s="108">
        <v>0.0</v>
      </c>
      <c r="E37" s="108">
        <v>0.0</v>
      </c>
      <c r="F37" s="108">
        <v>343640.0</v>
      </c>
      <c r="G37" s="108">
        <v>958464.0</v>
      </c>
      <c r="H37" s="155">
        <v>0.0</v>
      </c>
      <c r="I37" s="156"/>
    </row>
    <row r="38">
      <c r="A38" s="154" t="s">
        <v>34377</v>
      </c>
      <c r="B38" s="108">
        <v>3.0</v>
      </c>
      <c r="C38" s="108">
        <v>0.0</v>
      </c>
      <c r="D38" s="108">
        <v>0.0</v>
      </c>
      <c r="E38" s="108">
        <v>0.0</v>
      </c>
      <c r="F38" s="108">
        <v>77.0</v>
      </c>
      <c r="G38" s="108">
        <v>98304.0</v>
      </c>
      <c r="H38" s="155">
        <v>0.0</v>
      </c>
      <c r="I38" s="156"/>
    </row>
    <row r="39">
      <c r="A39" s="154" t="s">
        <v>34378</v>
      </c>
      <c r="B39" s="108">
        <v>31.0</v>
      </c>
      <c r="C39" s="108">
        <v>1.0</v>
      </c>
      <c r="D39" s="108">
        <v>0.0</v>
      </c>
      <c r="E39" s="108">
        <v>0.0</v>
      </c>
      <c r="F39" s="108">
        <v>7227.0</v>
      </c>
      <c r="G39" s="108">
        <v>1040384.0</v>
      </c>
      <c r="H39" s="155">
        <v>0.0</v>
      </c>
      <c r="I39" s="156"/>
    </row>
    <row r="40">
      <c r="A40" s="154" t="s">
        <v>34379</v>
      </c>
      <c r="B40" s="108">
        <v>8.0</v>
      </c>
      <c r="C40" s="108">
        <v>0.0</v>
      </c>
      <c r="D40" s="108">
        <v>0.0</v>
      </c>
      <c r="E40" s="108">
        <v>0.0</v>
      </c>
      <c r="F40" s="108">
        <v>216.0</v>
      </c>
      <c r="G40" s="108">
        <v>262144.0</v>
      </c>
      <c r="H40" s="155">
        <v>0.0</v>
      </c>
      <c r="I40" s="156"/>
    </row>
    <row r="41">
      <c r="A41" s="154" t="s">
        <v>34380</v>
      </c>
      <c r="B41" s="108">
        <v>49.0</v>
      </c>
      <c r="C41" s="108">
        <v>0.0</v>
      </c>
      <c r="D41" s="108">
        <v>0.0</v>
      </c>
      <c r="E41" s="108">
        <v>0.0</v>
      </c>
      <c r="F41" s="108">
        <v>1670.0</v>
      </c>
      <c r="G41" s="108">
        <v>1605632.0</v>
      </c>
      <c r="H41" s="155">
        <v>0.0</v>
      </c>
      <c r="I41" s="156"/>
    </row>
    <row r="42">
      <c r="A42" s="154" t="s">
        <v>34381</v>
      </c>
      <c r="B42" s="108">
        <v>8.0</v>
      </c>
      <c r="C42" s="108">
        <v>0.0</v>
      </c>
      <c r="D42" s="108">
        <v>0.0</v>
      </c>
      <c r="E42" s="108">
        <v>0.0</v>
      </c>
      <c r="F42" s="108">
        <v>310.0</v>
      </c>
      <c r="G42" s="108">
        <v>262144.0</v>
      </c>
      <c r="H42" s="155">
        <v>0.0</v>
      </c>
      <c r="I42" s="156"/>
    </row>
    <row r="43">
      <c r="A43" s="154" t="s">
        <v>34382</v>
      </c>
      <c r="B43" s="108">
        <v>16.0</v>
      </c>
      <c r="C43" s="108">
        <v>0.0</v>
      </c>
      <c r="D43" s="108">
        <v>0.0</v>
      </c>
      <c r="E43" s="108">
        <v>0.0</v>
      </c>
      <c r="F43" s="108">
        <v>475.0</v>
      </c>
      <c r="G43" s="108">
        <v>524288.0</v>
      </c>
      <c r="H43" s="155">
        <v>0.0</v>
      </c>
      <c r="I43" s="156"/>
    </row>
    <row r="44">
      <c r="A44" s="154" t="s">
        <v>34069</v>
      </c>
      <c r="B44" s="108">
        <v>32.0</v>
      </c>
      <c r="C44" s="108">
        <v>4.0</v>
      </c>
      <c r="D44" s="108">
        <v>0.0</v>
      </c>
      <c r="E44" s="108">
        <v>0.0</v>
      </c>
      <c r="F44" s="108">
        <v>33636.0</v>
      </c>
      <c r="G44" s="108">
        <v>1220608.0</v>
      </c>
      <c r="H44" s="155">
        <v>0.0</v>
      </c>
      <c r="I44" s="156"/>
    </row>
    <row r="45">
      <c r="A45" s="154" t="s">
        <v>1468</v>
      </c>
      <c r="B45" s="108">
        <v>36.0</v>
      </c>
      <c r="C45" s="108">
        <v>1.0</v>
      </c>
      <c r="D45" s="108">
        <v>0.0</v>
      </c>
      <c r="E45" s="108">
        <v>0.0</v>
      </c>
      <c r="F45" s="108">
        <v>9361.0</v>
      </c>
      <c r="G45" s="108">
        <v>1253376.0</v>
      </c>
      <c r="H45" s="155">
        <v>0.0</v>
      </c>
      <c r="I45" s="156"/>
    </row>
    <row r="46">
      <c r="A46" s="154" t="s">
        <v>34088</v>
      </c>
      <c r="B46" s="108">
        <v>1976.0</v>
      </c>
      <c r="C46" s="108">
        <v>33543.0</v>
      </c>
      <c r="D46" s="108">
        <v>0.0</v>
      </c>
      <c r="E46" s="108">
        <v>0.0</v>
      </c>
      <c r="F46" s="108">
        <v>6.4848252791E10</v>
      </c>
      <c r="G46" s="108">
        <v>8.1736982528E10</v>
      </c>
      <c r="H46" s="155">
        <v>0.0</v>
      </c>
      <c r="I46" s="156"/>
    </row>
    <row r="47">
      <c r="A47" s="154" t="s">
        <v>34383</v>
      </c>
      <c r="B47" s="108">
        <v>1.0</v>
      </c>
      <c r="C47" s="108">
        <v>0.0</v>
      </c>
      <c r="D47" s="108">
        <v>0.0</v>
      </c>
      <c r="E47" s="108">
        <v>0.0</v>
      </c>
      <c r="F47" s="108">
        <v>0.0</v>
      </c>
      <c r="G47" s="108">
        <v>32768.0</v>
      </c>
      <c r="H47" s="155">
        <v>0.0</v>
      </c>
      <c r="I47" s="156"/>
    </row>
    <row r="48">
      <c r="A48" s="154" t="s">
        <v>34053</v>
      </c>
      <c r="B48" s="108">
        <v>1839.0</v>
      </c>
      <c r="C48" s="108">
        <v>115323.0</v>
      </c>
      <c r="D48" s="108">
        <v>0.0</v>
      </c>
      <c r="E48" s="108">
        <v>0.0</v>
      </c>
      <c r="F48" s="108">
        <v>3.82568284991E11</v>
      </c>
      <c r="G48" s="108">
        <v>4.65398775808E11</v>
      </c>
      <c r="H48" s="155">
        <v>0.0</v>
      </c>
      <c r="I48" s="156"/>
    </row>
    <row r="49">
      <c r="A49" s="154" t="s">
        <v>34384</v>
      </c>
      <c r="B49" s="108">
        <v>12.0</v>
      </c>
      <c r="C49" s="108">
        <v>0.0</v>
      </c>
      <c r="D49" s="108">
        <v>0.0</v>
      </c>
      <c r="E49" s="108">
        <v>0.0</v>
      </c>
      <c r="F49" s="108">
        <v>432.0</v>
      </c>
      <c r="G49" s="108">
        <v>393216.0</v>
      </c>
      <c r="H49" s="155">
        <v>0.0</v>
      </c>
      <c r="I49" s="156"/>
    </row>
    <row r="50">
      <c r="A50" s="154" t="s">
        <v>34385</v>
      </c>
      <c r="B50" s="108">
        <v>1.0</v>
      </c>
      <c r="C50" s="108">
        <v>0.0</v>
      </c>
      <c r="D50" s="108">
        <v>0.0</v>
      </c>
      <c r="E50" s="108">
        <v>0.0</v>
      </c>
      <c r="F50" s="108">
        <v>0.0</v>
      </c>
      <c r="G50" s="108">
        <v>32768.0</v>
      </c>
      <c r="H50" s="155">
        <v>0.0</v>
      </c>
      <c r="I50" s="156"/>
    </row>
    <row r="51">
      <c r="A51" s="154" t="s">
        <v>34386</v>
      </c>
      <c r="B51" s="108">
        <v>3.0</v>
      </c>
      <c r="C51" s="108">
        <v>1.0</v>
      </c>
      <c r="D51" s="108">
        <v>0.0</v>
      </c>
      <c r="E51" s="108">
        <v>0.0</v>
      </c>
      <c r="F51" s="108">
        <v>6238.0</v>
      </c>
      <c r="G51" s="108">
        <v>122880.0</v>
      </c>
      <c r="H51" s="155">
        <v>0.0</v>
      </c>
      <c r="I51" s="156"/>
    </row>
    <row r="52">
      <c r="A52" s="154" t="s">
        <v>34159</v>
      </c>
      <c r="B52" s="108">
        <v>431.0</v>
      </c>
      <c r="C52" s="108">
        <v>9738.0</v>
      </c>
      <c r="D52" s="108">
        <v>0.0</v>
      </c>
      <c r="E52" s="108">
        <v>0.0</v>
      </c>
      <c r="F52" s="108">
        <v>2.3434026922E10</v>
      </c>
      <c r="G52" s="108">
        <v>2.9835010048E10</v>
      </c>
      <c r="H52" s="155">
        <v>0.0</v>
      </c>
      <c r="I52" s="156"/>
    </row>
    <row r="53">
      <c r="A53" s="154" t="s">
        <v>34033</v>
      </c>
      <c r="B53" s="108">
        <v>50.0</v>
      </c>
      <c r="C53" s="108">
        <v>44.0</v>
      </c>
      <c r="D53" s="108">
        <v>0.0</v>
      </c>
      <c r="E53" s="108">
        <v>0.0</v>
      </c>
      <c r="F53" s="108">
        <v>9443393.0</v>
      </c>
      <c r="G53" s="108">
        <v>1.8317312E7</v>
      </c>
      <c r="H53" s="155">
        <v>0.0</v>
      </c>
      <c r="I53" s="156"/>
    </row>
    <row r="54">
      <c r="A54" s="154" t="s">
        <v>34387</v>
      </c>
      <c r="B54" s="108">
        <v>1.0</v>
      </c>
      <c r="C54" s="108">
        <v>0.0</v>
      </c>
      <c r="D54" s="108">
        <v>0.0</v>
      </c>
      <c r="E54" s="108">
        <v>0.0</v>
      </c>
      <c r="F54" s="108">
        <v>0.0</v>
      </c>
      <c r="G54" s="108">
        <v>32768.0</v>
      </c>
      <c r="H54" s="155">
        <v>0.0</v>
      </c>
      <c r="I54" s="156"/>
    </row>
    <row r="55">
      <c r="A55" s="154" t="s">
        <v>34388</v>
      </c>
      <c r="B55" s="108">
        <v>19.0</v>
      </c>
      <c r="C55" s="108">
        <v>0.0</v>
      </c>
      <c r="D55" s="108">
        <v>0.0</v>
      </c>
      <c r="E55" s="108">
        <v>0.0</v>
      </c>
      <c r="F55" s="108">
        <v>632.0</v>
      </c>
      <c r="G55" s="108">
        <v>622592.0</v>
      </c>
      <c r="H55" s="155">
        <v>0.0</v>
      </c>
      <c r="I55" s="156"/>
    </row>
    <row r="56">
      <c r="A56" s="154" t="s">
        <v>34389</v>
      </c>
      <c r="B56" s="108">
        <v>1.0</v>
      </c>
      <c r="C56" s="108">
        <v>0.0</v>
      </c>
      <c r="D56" s="108">
        <v>0.0</v>
      </c>
      <c r="E56" s="108">
        <v>0.0</v>
      </c>
      <c r="F56" s="108">
        <v>0.0</v>
      </c>
      <c r="G56" s="108">
        <v>32768.0</v>
      </c>
      <c r="H56" s="155">
        <v>0.0</v>
      </c>
      <c r="I56" s="156"/>
    </row>
    <row r="57">
      <c r="A57" s="154" t="s">
        <v>34110</v>
      </c>
      <c r="B57" s="108">
        <v>5782.0</v>
      </c>
      <c r="C57" s="108">
        <v>97346.0</v>
      </c>
      <c r="D57" s="108">
        <v>0.0</v>
      </c>
      <c r="E57" s="108">
        <v>0.0</v>
      </c>
      <c r="F57" s="108">
        <v>3.58687650658E11</v>
      </c>
      <c r="G57" s="108">
        <v>4.43556724736E11</v>
      </c>
      <c r="H57" s="155">
        <v>0.0</v>
      </c>
      <c r="I57" s="156"/>
    </row>
    <row r="58">
      <c r="A58" s="154" t="s">
        <v>34035</v>
      </c>
      <c r="B58" s="108">
        <v>2331.0</v>
      </c>
      <c r="C58" s="108">
        <v>11946.0</v>
      </c>
      <c r="D58" s="108">
        <v>0.0</v>
      </c>
      <c r="E58" s="108">
        <v>0.0</v>
      </c>
      <c r="F58" s="108">
        <v>2.9590011509E11</v>
      </c>
      <c r="G58" s="108">
        <v>3.57312684032E11</v>
      </c>
      <c r="H58" s="155">
        <v>0.0</v>
      </c>
      <c r="I58" s="156"/>
    </row>
    <row r="59">
      <c r="A59" s="154" t="s">
        <v>34390</v>
      </c>
      <c r="B59" s="108">
        <v>22.0</v>
      </c>
      <c r="C59" s="108">
        <v>0.0</v>
      </c>
      <c r="D59" s="108">
        <v>0.0</v>
      </c>
      <c r="E59" s="108">
        <v>0.0</v>
      </c>
      <c r="F59" s="108">
        <v>761.0</v>
      </c>
      <c r="G59" s="108">
        <v>720896.0</v>
      </c>
      <c r="H59" s="155">
        <v>0.0</v>
      </c>
      <c r="I59" s="156"/>
    </row>
    <row r="60">
      <c r="A60" s="154" t="s">
        <v>34132</v>
      </c>
      <c r="B60" s="108">
        <v>111.0</v>
      </c>
      <c r="C60" s="108">
        <v>6.0</v>
      </c>
      <c r="D60" s="108">
        <v>0.0</v>
      </c>
      <c r="E60" s="108">
        <v>0.0</v>
      </c>
      <c r="F60" s="108">
        <v>146760.0</v>
      </c>
      <c r="G60" s="108">
        <v>4276224.0</v>
      </c>
      <c r="H60" s="155">
        <v>0.0</v>
      </c>
      <c r="I60" s="156"/>
    </row>
    <row r="61">
      <c r="A61" s="154" t="s">
        <v>34044</v>
      </c>
      <c r="B61" s="108">
        <v>428.0</v>
      </c>
      <c r="C61" s="108">
        <v>1449.0</v>
      </c>
      <c r="D61" s="108">
        <v>0.0</v>
      </c>
      <c r="E61" s="108">
        <v>0.0</v>
      </c>
      <c r="F61" s="108">
        <v>8.361460113E9</v>
      </c>
      <c r="G61" s="108">
        <v>1.0214793216E10</v>
      </c>
      <c r="H61" s="155">
        <v>0.0</v>
      </c>
      <c r="I61" s="156"/>
    </row>
    <row r="62">
      <c r="A62" s="154" t="s">
        <v>34391</v>
      </c>
      <c r="B62" s="108">
        <v>13.0</v>
      </c>
      <c r="C62" s="108">
        <v>0.0</v>
      </c>
      <c r="D62" s="108">
        <v>0.0</v>
      </c>
      <c r="E62" s="108">
        <v>0.0</v>
      </c>
      <c r="F62" s="108">
        <v>433.0</v>
      </c>
      <c r="G62" s="108">
        <v>425984.0</v>
      </c>
      <c r="H62" s="155">
        <v>0.0</v>
      </c>
      <c r="I62" s="156"/>
    </row>
    <row r="63">
      <c r="A63" s="154" t="s">
        <v>34392</v>
      </c>
      <c r="B63" s="108">
        <v>16.0</v>
      </c>
      <c r="C63" s="108">
        <v>0.0</v>
      </c>
      <c r="D63" s="108">
        <v>0.0</v>
      </c>
      <c r="E63" s="108">
        <v>0.0</v>
      </c>
      <c r="F63" s="108">
        <v>484.0</v>
      </c>
      <c r="G63" s="108">
        <v>524288.0</v>
      </c>
      <c r="H63" s="155">
        <v>0.0</v>
      </c>
      <c r="I63" s="156"/>
    </row>
    <row r="64">
      <c r="A64" s="154" t="s">
        <v>34006</v>
      </c>
      <c r="B64" s="108">
        <v>61.0</v>
      </c>
      <c r="C64" s="108">
        <v>514.0</v>
      </c>
      <c r="D64" s="108">
        <v>0.0</v>
      </c>
      <c r="E64" s="108">
        <v>0.0</v>
      </c>
      <c r="F64" s="108">
        <v>2.8357576443E10</v>
      </c>
      <c r="G64" s="108">
        <v>3.4155675648E10</v>
      </c>
      <c r="H64" s="155">
        <v>0.0</v>
      </c>
      <c r="I64" s="156"/>
    </row>
    <row r="65">
      <c r="A65" s="154" t="s">
        <v>34393</v>
      </c>
      <c r="B65" s="108">
        <v>34.0</v>
      </c>
      <c r="C65" s="108">
        <v>3.0</v>
      </c>
      <c r="D65" s="108">
        <v>0.0</v>
      </c>
      <c r="E65" s="108">
        <v>0.0</v>
      </c>
      <c r="F65" s="108">
        <v>19595.0</v>
      </c>
      <c r="G65" s="108">
        <v>1187840.0</v>
      </c>
      <c r="H65" s="155">
        <v>0.0</v>
      </c>
      <c r="I65" s="156"/>
    </row>
    <row r="66">
      <c r="A66" s="154" t="s">
        <v>34394</v>
      </c>
      <c r="B66" s="108">
        <v>4.0</v>
      </c>
      <c r="C66" s="108">
        <v>0.0</v>
      </c>
      <c r="D66" s="108">
        <v>0.0</v>
      </c>
      <c r="E66" s="108">
        <v>0.0</v>
      </c>
      <c r="F66" s="108">
        <v>100.0</v>
      </c>
      <c r="G66" s="108">
        <v>131072.0</v>
      </c>
      <c r="H66" s="155">
        <v>0.0</v>
      </c>
      <c r="I66" s="156"/>
    </row>
    <row r="67">
      <c r="A67" s="154" t="s">
        <v>34395</v>
      </c>
      <c r="B67" s="108">
        <v>6.0</v>
      </c>
      <c r="C67" s="108">
        <v>0.0</v>
      </c>
      <c r="D67" s="108">
        <v>0.0</v>
      </c>
      <c r="E67" s="108">
        <v>0.0</v>
      </c>
      <c r="F67" s="108">
        <v>178.0</v>
      </c>
      <c r="G67" s="108">
        <v>196608.0</v>
      </c>
      <c r="H67" s="155">
        <v>0.0</v>
      </c>
      <c r="I67" s="156"/>
    </row>
    <row r="68">
      <c r="A68" s="154" t="s">
        <v>34396</v>
      </c>
      <c r="B68" s="108">
        <v>47.0</v>
      </c>
      <c r="C68" s="108">
        <v>3.0</v>
      </c>
      <c r="D68" s="108">
        <v>0.0</v>
      </c>
      <c r="E68" s="108">
        <v>0.0</v>
      </c>
      <c r="F68" s="108">
        <v>24392.0</v>
      </c>
      <c r="G68" s="108">
        <v>1662976.0</v>
      </c>
      <c r="H68" s="155">
        <v>0.0</v>
      </c>
      <c r="I68" s="156"/>
    </row>
    <row r="69">
      <c r="A69" s="154" t="s">
        <v>34397</v>
      </c>
      <c r="B69" s="108">
        <v>5.0</v>
      </c>
      <c r="C69" s="108">
        <v>0.0</v>
      </c>
      <c r="D69" s="108">
        <v>0.0</v>
      </c>
      <c r="E69" s="108">
        <v>0.0</v>
      </c>
      <c r="F69" s="108">
        <v>125.0</v>
      </c>
      <c r="G69" s="108">
        <v>163840.0</v>
      </c>
      <c r="H69" s="155">
        <v>0.0</v>
      </c>
      <c r="I69" s="156"/>
    </row>
    <row r="70">
      <c r="A70" s="154" t="s">
        <v>34398</v>
      </c>
      <c r="B70" s="108">
        <v>1.0</v>
      </c>
      <c r="C70" s="108">
        <v>0.0</v>
      </c>
      <c r="D70" s="108">
        <v>0.0</v>
      </c>
      <c r="E70" s="108">
        <v>0.0</v>
      </c>
      <c r="F70" s="108">
        <v>0.0</v>
      </c>
      <c r="G70" s="108">
        <v>32768.0</v>
      </c>
      <c r="H70" s="155">
        <v>0.0</v>
      </c>
      <c r="I70" s="156"/>
    </row>
    <row r="71">
      <c r="A71" s="154" t="s">
        <v>34399</v>
      </c>
      <c r="B71" s="108">
        <v>4.0</v>
      </c>
      <c r="C71" s="108">
        <v>0.0</v>
      </c>
      <c r="D71" s="108">
        <v>0.0</v>
      </c>
      <c r="E71" s="108">
        <v>0.0</v>
      </c>
      <c r="F71" s="108">
        <v>86.0</v>
      </c>
      <c r="G71" s="108">
        <v>131072.0</v>
      </c>
      <c r="H71" s="155">
        <v>0.0</v>
      </c>
      <c r="I71" s="156"/>
    </row>
    <row r="72">
      <c r="A72" s="154" t="s">
        <v>34400</v>
      </c>
      <c r="B72" s="108">
        <v>3.0</v>
      </c>
      <c r="C72" s="108">
        <v>0.0</v>
      </c>
      <c r="D72" s="108">
        <v>0.0</v>
      </c>
      <c r="E72" s="108">
        <v>0.0</v>
      </c>
      <c r="F72" s="108">
        <v>61.0</v>
      </c>
      <c r="G72" s="108">
        <v>98304.0</v>
      </c>
      <c r="H72" s="155">
        <v>0.0</v>
      </c>
      <c r="I72" s="156"/>
    </row>
    <row r="73">
      <c r="A73" s="154" t="s">
        <v>34401</v>
      </c>
      <c r="B73" s="108">
        <v>3.0</v>
      </c>
      <c r="C73" s="108">
        <v>0.0</v>
      </c>
      <c r="D73" s="108">
        <v>0.0</v>
      </c>
      <c r="E73" s="108">
        <v>0.0</v>
      </c>
      <c r="F73" s="108">
        <v>61.0</v>
      </c>
      <c r="G73" s="108">
        <v>98304.0</v>
      </c>
      <c r="H73" s="155">
        <v>0.0</v>
      </c>
      <c r="I73" s="156"/>
    </row>
    <row r="74">
      <c r="A74" s="154" t="s">
        <v>34402</v>
      </c>
      <c r="B74" s="108">
        <v>2.0</v>
      </c>
      <c r="C74" s="108">
        <v>0.0</v>
      </c>
      <c r="D74" s="108">
        <v>0.0</v>
      </c>
      <c r="E74" s="108">
        <v>0.0</v>
      </c>
      <c r="F74" s="108">
        <v>39.0</v>
      </c>
      <c r="G74" s="108">
        <v>65536.0</v>
      </c>
      <c r="H74" s="155">
        <v>0.0</v>
      </c>
      <c r="I74" s="156"/>
    </row>
    <row r="75">
      <c r="A75" s="154" t="s">
        <v>34403</v>
      </c>
      <c r="B75" s="108">
        <v>4.0</v>
      </c>
      <c r="C75" s="108">
        <v>0.0</v>
      </c>
      <c r="D75" s="108">
        <v>0.0</v>
      </c>
      <c r="E75" s="108">
        <v>0.0</v>
      </c>
      <c r="F75" s="108">
        <v>94.0</v>
      </c>
      <c r="G75" s="108">
        <v>131072.0</v>
      </c>
      <c r="H75" s="155">
        <v>0.0</v>
      </c>
      <c r="I75" s="156"/>
    </row>
    <row r="76">
      <c r="A76" s="154" t="s">
        <v>34404</v>
      </c>
      <c r="B76" s="108">
        <v>13.0</v>
      </c>
      <c r="C76" s="108">
        <v>0.0</v>
      </c>
      <c r="D76" s="108">
        <v>0.0</v>
      </c>
      <c r="E76" s="108">
        <v>0.0</v>
      </c>
      <c r="F76" s="108">
        <v>396.0</v>
      </c>
      <c r="G76" s="108">
        <v>425984.0</v>
      </c>
      <c r="H76" s="155">
        <v>0.0</v>
      </c>
      <c r="I76" s="156"/>
    </row>
    <row r="77">
      <c r="A77" s="154" t="s">
        <v>34405</v>
      </c>
      <c r="B77" s="108">
        <v>11.0</v>
      </c>
      <c r="C77" s="108">
        <v>0.0</v>
      </c>
      <c r="D77" s="108">
        <v>0.0</v>
      </c>
      <c r="E77" s="108">
        <v>0.0</v>
      </c>
      <c r="F77" s="108">
        <v>285.0</v>
      </c>
      <c r="G77" s="108">
        <v>360448.0</v>
      </c>
      <c r="H77" s="155">
        <v>0.0</v>
      </c>
      <c r="I77" s="156"/>
    </row>
    <row r="78">
      <c r="A78" s="154" t="s">
        <v>34406</v>
      </c>
      <c r="B78" s="108">
        <v>6.0</v>
      </c>
      <c r="C78" s="108">
        <v>0.0</v>
      </c>
      <c r="D78" s="108">
        <v>0.0</v>
      </c>
      <c r="E78" s="108">
        <v>0.0</v>
      </c>
      <c r="F78" s="108">
        <v>173.0</v>
      </c>
      <c r="G78" s="108">
        <v>196608.0</v>
      </c>
      <c r="H78" s="155">
        <v>0.0</v>
      </c>
      <c r="I78" s="156"/>
    </row>
    <row r="79">
      <c r="A79" s="154" t="s">
        <v>34407</v>
      </c>
      <c r="B79" s="108">
        <v>4.0</v>
      </c>
      <c r="C79" s="108">
        <v>0.0</v>
      </c>
      <c r="D79" s="108">
        <v>0.0</v>
      </c>
      <c r="E79" s="108">
        <v>0.0</v>
      </c>
      <c r="F79" s="108">
        <v>109.0</v>
      </c>
      <c r="G79" s="108">
        <v>131072.0</v>
      </c>
      <c r="H79" s="155">
        <v>0.0</v>
      </c>
      <c r="I79" s="156"/>
    </row>
    <row r="80">
      <c r="A80" s="154" t="s">
        <v>34408</v>
      </c>
      <c r="B80" s="108">
        <v>4.0</v>
      </c>
      <c r="C80" s="108">
        <v>0.0</v>
      </c>
      <c r="D80" s="108">
        <v>0.0</v>
      </c>
      <c r="E80" s="108">
        <v>0.0</v>
      </c>
      <c r="F80" s="108">
        <v>100.0</v>
      </c>
      <c r="G80" s="108">
        <v>131072.0</v>
      </c>
      <c r="H80" s="155">
        <v>0.0</v>
      </c>
      <c r="I80" s="156"/>
    </row>
    <row r="81">
      <c r="A81" s="154" t="s">
        <v>34409</v>
      </c>
      <c r="B81" s="108">
        <v>4.0</v>
      </c>
      <c r="C81" s="108">
        <v>0.0</v>
      </c>
      <c r="D81" s="108">
        <v>0.0</v>
      </c>
      <c r="E81" s="108">
        <v>0.0</v>
      </c>
      <c r="F81" s="108">
        <v>100.0</v>
      </c>
      <c r="G81" s="108">
        <v>131072.0</v>
      </c>
      <c r="H81" s="155">
        <v>0.0</v>
      </c>
      <c r="I81" s="156"/>
    </row>
    <row r="82">
      <c r="A82" s="154" t="s">
        <v>34410</v>
      </c>
      <c r="B82" s="108">
        <v>9.0</v>
      </c>
      <c r="C82" s="108">
        <v>0.0</v>
      </c>
      <c r="D82" s="108">
        <v>0.0</v>
      </c>
      <c r="E82" s="108">
        <v>0.0</v>
      </c>
      <c r="F82" s="108">
        <v>286.0</v>
      </c>
      <c r="G82" s="108">
        <v>294912.0</v>
      </c>
      <c r="H82" s="155">
        <v>0.0</v>
      </c>
      <c r="I82" s="156"/>
    </row>
    <row r="83">
      <c r="A83" s="154" t="s">
        <v>34411</v>
      </c>
      <c r="B83" s="108">
        <v>1.0</v>
      </c>
      <c r="C83" s="108">
        <v>0.0</v>
      </c>
      <c r="D83" s="108">
        <v>0.0</v>
      </c>
      <c r="E83" s="108">
        <v>0.0</v>
      </c>
      <c r="F83" s="108">
        <v>0.0</v>
      </c>
      <c r="G83" s="108">
        <v>32768.0</v>
      </c>
      <c r="H83" s="155">
        <v>0.0</v>
      </c>
      <c r="I83" s="156"/>
    </row>
    <row r="84">
      <c r="A84" s="154" t="s">
        <v>34412</v>
      </c>
      <c r="B84" s="108">
        <v>2.0</v>
      </c>
      <c r="C84" s="108">
        <v>0.0</v>
      </c>
      <c r="D84" s="108">
        <v>0.0</v>
      </c>
      <c r="E84" s="108">
        <v>0.0</v>
      </c>
      <c r="F84" s="108">
        <v>36.0</v>
      </c>
      <c r="G84" s="108">
        <v>65536.0</v>
      </c>
      <c r="H84" s="155">
        <v>0.0</v>
      </c>
      <c r="I84" s="156"/>
    </row>
    <row r="85">
      <c r="A85" s="154" t="s">
        <v>34413</v>
      </c>
      <c r="B85" s="108">
        <v>2.0</v>
      </c>
      <c r="C85" s="108">
        <v>0.0</v>
      </c>
      <c r="D85" s="108">
        <v>0.0</v>
      </c>
      <c r="E85" s="108">
        <v>0.0</v>
      </c>
      <c r="F85" s="108">
        <v>36.0</v>
      </c>
      <c r="G85" s="108">
        <v>65536.0</v>
      </c>
      <c r="H85" s="155">
        <v>0.0</v>
      </c>
      <c r="I85" s="156"/>
    </row>
    <row r="86">
      <c r="A86" s="154" t="s">
        <v>34414</v>
      </c>
      <c r="B86" s="108">
        <v>3.0</v>
      </c>
      <c r="C86" s="108">
        <v>0.0</v>
      </c>
      <c r="D86" s="108">
        <v>0.0</v>
      </c>
      <c r="E86" s="108">
        <v>0.0</v>
      </c>
      <c r="F86" s="108">
        <v>70.0</v>
      </c>
      <c r="G86" s="108">
        <v>98304.0</v>
      </c>
      <c r="H86" s="155">
        <v>0.0</v>
      </c>
      <c r="I86" s="156"/>
    </row>
    <row r="87">
      <c r="A87" s="154" t="s">
        <v>34415</v>
      </c>
      <c r="B87" s="108">
        <v>3.0</v>
      </c>
      <c r="C87" s="108">
        <v>0.0</v>
      </c>
      <c r="D87" s="108">
        <v>0.0</v>
      </c>
      <c r="E87" s="108">
        <v>0.0</v>
      </c>
      <c r="F87" s="108">
        <v>71.0</v>
      </c>
      <c r="G87" s="108">
        <v>98304.0</v>
      </c>
      <c r="H87" s="155">
        <v>0.0</v>
      </c>
      <c r="I87" s="156"/>
    </row>
    <row r="88">
      <c r="A88" s="154" t="s">
        <v>33921</v>
      </c>
      <c r="B88" s="108">
        <v>179.0</v>
      </c>
      <c r="C88" s="108">
        <v>1079.0</v>
      </c>
      <c r="D88" s="108">
        <v>0.0</v>
      </c>
      <c r="E88" s="108">
        <v>0.0</v>
      </c>
      <c r="F88" s="108">
        <v>2.787031931E9</v>
      </c>
      <c r="G88" s="108">
        <v>3.516268544E9</v>
      </c>
      <c r="H88" s="155">
        <v>0.0</v>
      </c>
      <c r="I88" s="156"/>
    </row>
    <row r="89">
      <c r="A89" s="154" t="s">
        <v>34416</v>
      </c>
      <c r="B89" s="108">
        <v>2.0</v>
      </c>
      <c r="C89" s="108">
        <v>0.0</v>
      </c>
      <c r="D89" s="108">
        <v>0.0</v>
      </c>
      <c r="E89" s="108">
        <v>0.0</v>
      </c>
      <c r="F89" s="108">
        <v>36.0</v>
      </c>
      <c r="G89" s="108">
        <v>65536.0</v>
      </c>
      <c r="H89" s="155">
        <v>0.0</v>
      </c>
      <c r="I89" s="156"/>
    </row>
    <row r="90">
      <c r="A90" s="154" t="s">
        <v>33913</v>
      </c>
      <c r="B90" s="108">
        <v>2.0</v>
      </c>
      <c r="C90" s="108">
        <v>37.0</v>
      </c>
      <c r="D90" s="108">
        <v>0.0</v>
      </c>
      <c r="E90" s="108">
        <v>0.0</v>
      </c>
      <c r="F90" s="108">
        <v>1.17993382E8</v>
      </c>
      <c r="G90" s="108">
        <v>1.47079168E8</v>
      </c>
      <c r="H90" s="155">
        <v>0.0</v>
      </c>
      <c r="I90" s="156"/>
    </row>
    <row r="91">
      <c r="A91" s="154" t="s">
        <v>34417</v>
      </c>
      <c r="B91" s="108">
        <v>6.0</v>
      </c>
      <c r="C91" s="108">
        <v>0.0</v>
      </c>
      <c r="D91" s="108">
        <v>0.0</v>
      </c>
      <c r="E91" s="108">
        <v>0.0</v>
      </c>
      <c r="F91" s="108">
        <v>167.0</v>
      </c>
      <c r="G91" s="108">
        <v>196608.0</v>
      </c>
      <c r="H91" s="155">
        <v>0.0</v>
      </c>
      <c r="I91" s="156"/>
    </row>
    <row r="92">
      <c r="A92" s="154" t="s">
        <v>34027</v>
      </c>
      <c r="B92" s="108">
        <v>9.0</v>
      </c>
      <c r="C92" s="108">
        <v>2.0</v>
      </c>
      <c r="D92" s="108">
        <v>0.0</v>
      </c>
      <c r="E92" s="108">
        <v>0.0</v>
      </c>
      <c r="F92" s="108">
        <v>5.64719749E8</v>
      </c>
      <c r="G92" s="108">
        <v>6.79370752E8</v>
      </c>
      <c r="H92" s="155">
        <v>0.0</v>
      </c>
      <c r="I92" s="156"/>
    </row>
    <row r="93">
      <c r="A93" s="154" t="s">
        <v>34051</v>
      </c>
      <c r="B93" s="108">
        <v>139.0</v>
      </c>
      <c r="C93" s="108">
        <v>1590.0</v>
      </c>
      <c r="D93" s="108">
        <v>0.0</v>
      </c>
      <c r="E93" s="108">
        <v>0.0</v>
      </c>
      <c r="F93" s="108">
        <v>2.298278037E9</v>
      </c>
      <c r="G93" s="108">
        <v>2.85626368E9</v>
      </c>
      <c r="H93" s="155">
        <v>0.0</v>
      </c>
      <c r="I93" s="156"/>
    </row>
    <row r="94">
      <c r="A94" s="154" t="s">
        <v>34418</v>
      </c>
      <c r="B94" s="108">
        <v>10.0</v>
      </c>
      <c r="C94" s="108">
        <v>0.0</v>
      </c>
      <c r="D94" s="108">
        <v>0.0</v>
      </c>
      <c r="E94" s="108">
        <v>0.0</v>
      </c>
      <c r="F94" s="108">
        <v>299.0</v>
      </c>
      <c r="G94" s="108">
        <v>327680.0</v>
      </c>
      <c r="H94" s="155">
        <v>0.0</v>
      </c>
      <c r="I94" s="156"/>
    </row>
    <row r="95">
      <c r="A95" s="154" t="s">
        <v>34031</v>
      </c>
      <c r="B95" s="108">
        <v>5233.0</v>
      </c>
      <c r="C95" s="108">
        <v>53949.0</v>
      </c>
      <c r="D95" s="108">
        <v>0.0</v>
      </c>
      <c r="E95" s="108">
        <v>0.0</v>
      </c>
      <c r="F95" s="108">
        <v>4.8060261119E10</v>
      </c>
      <c r="G95" s="108">
        <v>6.3173132288E10</v>
      </c>
      <c r="H95" s="155">
        <v>0.0</v>
      </c>
      <c r="I95" s="156"/>
    </row>
    <row r="96">
      <c r="A96" s="154" t="s">
        <v>34183</v>
      </c>
      <c r="B96" s="108">
        <v>23925.0</v>
      </c>
      <c r="C96" s="108">
        <v>165351.0</v>
      </c>
      <c r="D96" s="108">
        <v>0.0</v>
      </c>
      <c r="E96" s="108">
        <v>0.0</v>
      </c>
      <c r="F96" s="108">
        <v>2.40874934863E11</v>
      </c>
      <c r="G96" s="108">
        <v>3.05665998848E11</v>
      </c>
      <c r="H96" s="155">
        <v>0.0</v>
      </c>
      <c r="I96" s="156"/>
    </row>
    <row r="97">
      <c r="A97" s="154" t="s">
        <v>34419</v>
      </c>
      <c r="B97" s="108">
        <v>10.0</v>
      </c>
      <c r="C97" s="108">
        <v>0.0</v>
      </c>
      <c r="D97" s="108">
        <v>0.0</v>
      </c>
      <c r="E97" s="108">
        <v>0.0</v>
      </c>
      <c r="F97" s="108">
        <v>299.0</v>
      </c>
      <c r="G97" s="108">
        <v>327680.0</v>
      </c>
      <c r="H97" s="155">
        <v>0.0</v>
      </c>
      <c r="I97" s="156"/>
    </row>
    <row r="98">
      <c r="A98" s="154" t="s">
        <v>34208</v>
      </c>
      <c r="B98" s="108">
        <v>4031.0</v>
      </c>
      <c r="C98" s="108">
        <v>24465.0</v>
      </c>
      <c r="D98" s="108">
        <v>0.0</v>
      </c>
      <c r="E98" s="108">
        <v>0.0</v>
      </c>
      <c r="F98" s="108">
        <v>5.1695594593E10</v>
      </c>
      <c r="G98" s="108">
        <v>6.5538179072E10</v>
      </c>
      <c r="H98" s="155">
        <v>0.0</v>
      </c>
      <c r="I98" s="156"/>
    </row>
    <row r="99">
      <c r="A99" s="154" t="s">
        <v>34025</v>
      </c>
      <c r="B99" s="108">
        <v>94.0</v>
      </c>
      <c r="C99" s="108">
        <v>387.0</v>
      </c>
      <c r="D99" s="108">
        <v>0.0</v>
      </c>
      <c r="E99" s="108">
        <v>0.0</v>
      </c>
      <c r="F99" s="108">
        <v>3.50552862E8</v>
      </c>
      <c r="G99" s="108">
        <v>4.87972864E8</v>
      </c>
      <c r="H99" s="155">
        <v>0.0</v>
      </c>
      <c r="I99" s="156"/>
    </row>
    <row r="100">
      <c r="A100" s="154" t="s">
        <v>34055</v>
      </c>
      <c r="B100" s="108">
        <v>11.0</v>
      </c>
      <c r="C100" s="108">
        <v>12.0</v>
      </c>
      <c r="D100" s="108">
        <v>0.0</v>
      </c>
      <c r="E100" s="108">
        <v>0.0</v>
      </c>
      <c r="F100" s="108">
        <v>122781.0</v>
      </c>
      <c r="G100" s="108">
        <v>950272.0</v>
      </c>
      <c r="H100" s="155">
        <v>0.0</v>
      </c>
      <c r="I100" s="156"/>
    </row>
    <row r="101">
      <c r="A101" s="154" t="s">
        <v>34011</v>
      </c>
      <c r="B101" s="108">
        <v>21.0</v>
      </c>
      <c r="C101" s="108">
        <v>30.0</v>
      </c>
      <c r="D101" s="108">
        <v>0.0</v>
      </c>
      <c r="E101" s="108">
        <v>0.0</v>
      </c>
      <c r="F101" s="108">
        <v>3.9381081594E10</v>
      </c>
      <c r="G101" s="108">
        <v>4.7349030912E10</v>
      </c>
      <c r="H101" s="155">
        <v>0.0</v>
      </c>
      <c r="I101" s="156"/>
    </row>
    <row r="102">
      <c r="A102" s="154" t="s">
        <v>34017</v>
      </c>
      <c r="B102" s="108">
        <v>62.0</v>
      </c>
      <c r="C102" s="108">
        <v>197.0</v>
      </c>
      <c r="D102" s="108">
        <v>0.0</v>
      </c>
      <c r="E102" s="108">
        <v>0.0</v>
      </c>
      <c r="F102" s="108">
        <v>2.63993892E8</v>
      </c>
      <c r="G102" s="108">
        <v>3.39501056E8</v>
      </c>
      <c r="H102" s="155">
        <v>0.0</v>
      </c>
      <c r="I102" s="156"/>
    </row>
    <row r="103">
      <c r="A103" s="154" t="s">
        <v>34100</v>
      </c>
      <c r="B103" s="108">
        <v>1055.0</v>
      </c>
      <c r="C103" s="108">
        <v>4443.0</v>
      </c>
      <c r="D103" s="108">
        <v>0.0</v>
      </c>
      <c r="E103" s="108">
        <v>0.0</v>
      </c>
      <c r="F103" s="108">
        <v>1.3582843286E10</v>
      </c>
      <c r="G103" s="108">
        <v>1.6674299904E10</v>
      </c>
      <c r="H103" s="155">
        <v>0.0</v>
      </c>
      <c r="I103" s="156"/>
    </row>
    <row r="104">
      <c r="A104" s="154" t="s">
        <v>33982</v>
      </c>
      <c r="B104" s="108">
        <v>11.0</v>
      </c>
      <c r="C104" s="108">
        <v>29.0</v>
      </c>
      <c r="D104" s="108">
        <v>0.0</v>
      </c>
      <c r="E104" s="108">
        <v>0.0</v>
      </c>
      <c r="F104" s="108">
        <v>5.0776102E7</v>
      </c>
      <c r="G104" s="108">
        <v>6.5241088E7</v>
      </c>
      <c r="H104" s="155">
        <v>0.0</v>
      </c>
      <c r="I104" s="156"/>
    </row>
    <row r="105">
      <c r="A105" s="154" t="s">
        <v>34420</v>
      </c>
      <c r="B105" s="108">
        <v>1.0</v>
      </c>
      <c r="C105" s="108">
        <v>0.0</v>
      </c>
      <c r="D105" s="108">
        <v>0.0</v>
      </c>
      <c r="E105" s="108">
        <v>0.0</v>
      </c>
      <c r="F105" s="108">
        <v>0.0</v>
      </c>
      <c r="G105" s="108">
        <v>32768.0</v>
      </c>
      <c r="H105" s="155">
        <v>0.0</v>
      </c>
      <c r="I105" s="156"/>
    </row>
    <row r="106">
      <c r="A106" s="154" t="s">
        <v>34112</v>
      </c>
      <c r="B106" s="108">
        <v>8997.0</v>
      </c>
      <c r="C106" s="108">
        <v>106583.0</v>
      </c>
      <c r="D106" s="108">
        <v>0.0</v>
      </c>
      <c r="E106" s="108">
        <v>0.0</v>
      </c>
      <c r="F106" s="108">
        <v>2.70699234339E11</v>
      </c>
      <c r="G106" s="108">
        <v>3.40563771392E11</v>
      </c>
      <c r="H106" s="155">
        <v>0.0</v>
      </c>
      <c r="I106" s="156"/>
    </row>
    <row r="107">
      <c r="A107" s="154" t="s">
        <v>34125</v>
      </c>
      <c r="B107" s="108">
        <v>16577.0</v>
      </c>
      <c r="C107" s="108">
        <v>215180.0</v>
      </c>
      <c r="D107" s="108">
        <v>0.0</v>
      </c>
      <c r="E107" s="108">
        <v>0.0</v>
      </c>
      <c r="F107" s="108">
        <v>1.510519102243E12</v>
      </c>
      <c r="G107" s="108">
        <v>1.846330351616E12</v>
      </c>
      <c r="H107" s="155">
        <v>0.0</v>
      </c>
      <c r="I107" s="156"/>
    </row>
    <row r="108">
      <c r="A108" s="154" t="s">
        <v>34153</v>
      </c>
      <c r="B108" s="108">
        <v>73077.0</v>
      </c>
      <c r="C108" s="108">
        <v>374524.0</v>
      </c>
      <c r="D108" s="108">
        <v>0.0</v>
      </c>
      <c r="E108" s="108">
        <v>0.0</v>
      </c>
      <c r="F108" s="108">
        <v>7.66694042876E11</v>
      </c>
      <c r="G108" s="108">
        <v>9.62918064128E11</v>
      </c>
      <c r="H108" s="155">
        <v>0.0</v>
      </c>
      <c r="I108" s="156"/>
    </row>
    <row r="109">
      <c r="A109" s="154" t="s">
        <v>34138</v>
      </c>
      <c r="B109" s="108">
        <v>44.0</v>
      </c>
      <c r="C109" s="108">
        <v>12.0</v>
      </c>
      <c r="D109" s="108">
        <v>0.0</v>
      </c>
      <c r="E109" s="108">
        <v>0.0</v>
      </c>
      <c r="F109" s="108">
        <v>2.8630039E7</v>
      </c>
      <c r="G109" s="108">
        <v>3.7494784E7</v>
      </c>
      <c r="H109" s="155">
        <v>0.0</v>
      </c>
      <c r="I109" s="156"/>
    </row>
    <row r="110">
      <c r="A110" s="154" t="s">
        <v>34189</v>
      </c>
      <c r="B110" s="108">
        <v>251.0</v>
      </c>
      <c r="C110" s="108">
        <v>1428.0</v>
      </c>
      <c r="D110" s="108">
        <v>0.0</v>
      </c>
      <c r="E110" s="108">
        <v>0.0</v>
      </c>
      <c r="F110" s="108">
        <v>6.72080671E8</v>
      </c>
      <c r="G110" s="108">
        <v>1.107156992E9</v>
      </c>
      <c r="H110" s="155">
        <v>0.0</v>
      </c>
      <c r="I110" s="156"/>
    </row>
    <row r="111">
      <c r="A111" s="154" t="s">
        <v>33980</v>
      </c>
      <c r="B111" s="108">
        <v>13.0</v>
      </c>
      <c r="C111" s="108">
        <v>4.0</v>
      </c>
      <c r="D111" s="108">
        <v>0.0</v>
      </c>
      <c r="E111" s="108">
        <v>0.0</v>
      </c>
      <c r="F111" s="108">
        <v>1.869197983E9</v>
      </c>
      <c r="G111" s="108">
        <v>2.248097792E9</v>
      </c>
      <c r="H111" s="155">
        <v>0.0</v>
      </c>
      <c r="I111" s="156"/>
    </row>
    <row r="112">
      <c r="A112" s="154" t="s">
        <v>34421</v>
      </c>
      <c r="B112" s="108">
        <v>1.0</v>
      </c>
      <c r="C112" s="108">
        <v>0.0</v>
      </c>
      <c r="D112" s="108">
        <v>0.0</v>
      </c>
      <c r="E112" s="108">
        <v>0.0</v>
      </c>
      <c r="F112" s="108">
        <v>0.0</v>
      </c>
      <c r="G112" s="108">
        <v>32768.0</v>
      </c>
      <c r="H112" s="155">
        <v>0.0</v>
      </c>
      <c r="I112" s="156"/>
    </row>
    <row r="113">
      <c r="A113" s="154" t="s">
        <v>34422</v>
      </c>
      <c r="B113" s="108">
        <v>22.0</v>
      </c>
      <c r="C113" s="108">
        <v>0.0</v>
      </c>
      <c r="D113" s="108">
        <v>0.0</v>
      </c>
      <c r="E113" s="108">
        <v>0.0</v>
      </c>
      <c r="F113" s="108">
        <v>748.0</v>
      </c>
      <c r="G113" s="108">
        <v>720896.0</v>
      </c>
      <c r="H113" s="155">
        <v>0.0</v>
      </c>
      <c r="I113" s="156"/>
    </row>
    <row r="114">
      <c r="A114" s="154" t="s">
        <v>33988</v>
      </c>
      <c r="B114" s="108">
        <v>27.0</v>
      </c>
      <c r="C114" s="108">
        <v>20.0</v>
      </c>
      <c r="D114" s="108">
        <v>0.0</v>
      </c>
      <c r="E114" s="108">
        <v>0.0</v>
      </c>
      <c r="F114" s="108">
        <v>22079.0</v>
      </c>
      <c r="G114" s="108">
        <v>1376256.0</v>
      </c>
      <c r="H114" s="155">
        <v>0.0</v>
      </c>
      <c r="I114" s="156"/>
    </row>
    <row r="115">
      <c r="A115" s="154" t="s">
        <v>34022</v>
      </c>
      <c r="B115" s="108">
        <v>3134.0</v>
      </c>
      <c r="C115" s="108">
        <v>10851.0</v>
      </c>
      <c r="D115" s="108">
        <v>0.0</v>
      </c>
      <c r="E115" s="108">
        <v>0.0</v>
      </c>
      <c r="F115" s="108">
        <v>7.463479913E9</v>
      </c>
      <c r="G115" s="108">
        <v>1.0572365824E10</v>
      </c>
      <c r="H115" s="155">
        <v>0.0</v>
      </c>
      <c r="I115" s="156"/>
    </row>
    <row r="116">
      <c r="A116" s="154" t="s">
        <v>34423</v>
      </c>
      <c r="B116" s="108">
        <v>13.0</v>
      </c>
      <c r="C116" s="108">
        <v>0.0</v>
      </c>
      <c r="D116" s="108">
        <v>0.0</v>
      </c>
      <c r="E116" s="108">
        <v>0.0</v>
      </c>
      <c r="F116" s="108">
        <v>436.0</v>
      </c>
      <c r="G116" s="108">
        <v>425984.0</v>
      </c>
      <c r="H116" s="155">
        <v>0.0</v>
      </c>
      <c r="I116" s="156"/>
    </row>
    <row r="117">
      <c r="A117" s="154" t="s">
        <v>34155</v>
      </c>
      <c r="B117" s="108">
        <v>8222.0</v>
      </c>
      <c r="C117" s="108">
        <v>73682.0</v>
      </c>
      <c r="D117" s="108">
        <v>0.0</v>
      </c>
      <c r="E117" s="108">
        <v>0.0</v>
      </c>
      <c r="F117" s="108">
        <v>6.69404446746E11</v>
      </c>
      <c r="G117" s="108">
        <v>8.16377102336E11</v>
      </c>
      <c r="H117" s="155">
        <v>0.0</v>
      </c>
      <c r="I117" s="156"/>
    </row>
    <row r="118">
      <c r="A118" s="154" t="s">
        <v>34008</v>
      </c>
      <c r="B118" s="108">
        <v>2498.0</v>
      </c>
      <c r="C118" s="108">
        <v>19384.0</v>
      </c>
      <c r="D118" s="108">
        <v>0.0</v>
      </c>
      <c r="E118" s="108">
        <v>0.0</v>
      </c>
      <c r="F118" s="108">
        <v>7.95929272004E11</v>
      </c>
      <c r="G118" s="108">
        <v>9.59632515072E11</v>
      </c>
      <c r="H118" s="155">
        <v>0.0</v>
      </c>
      <c r="I118" s="156"/>
    </row>
    <row r="119">
      <c r="A119" s="154" t="s">
        <v>34018</v>
      </c>
      <c r="B119" s="108">
        <v>43.0</v>
      </c>
      <c r="C119" s="108">
        <v>2.0</v>
      </c>
      <c r="D119" s="108">
        <v>0.0</v>
      </c>
      <c r="E119" s="108">
        <v>0.0</v>
      </c>
      <c r="F119" s="108">
        <v>5.107657618E9</v>
      </c>
      <c r="G119" s="108">
        <v>6.141599744E9</v>
      </c>
      <c r="H119" s="155">
        <v>0.0</v>
      </c>
      <c r="I119" s="156"/>
    </row>
    <row r="120">
      <c r="A120" s="154" t="s">
        <v>34098</v>
      </c>
      <c r="B120" s="108">
        <v>4363.0</v>
      </c>
      <c r="C120" s="108">
        <v>29376.0</v>
      </c>
      <c r="D120" s="108">
        <v>0.0</v>
      </c>
      <c r="E120" s="108">
        <v>0.0</v>
      </c>
      <c r="F120" s="108">
        <v>6.4697620188E10</v>
      </c>
      <c r="G120" s="108">
        <v>8.153075712E10</v>
      </c>
      <c r="H120" s="155">
        <v>0.0</v>
      </c>
      <c r="I120" s="156"/>
    </row>
    <row r="121">
      <c r="A121" s="154" t="s">
        <v>34212</v>
      </c>
      <c r="B121" s="108">
        <v>73864.0</v>
      </c>
      <c r="C121" s="108">
        <v>464823.0</v>
      </c>
      <c r="D121" s="108">
        <v>0.0</v>
      </c>
      <c r="E121" s="108">
        <v>0.0</v>
      </c>
      <c r="F121" s="108">
        <v>7.35428471556E11</v>
      </c>
      <c r="G121" s="108">
        <v>9.099472896E11</v>
      </c>
      <c r="H121" s="155">
        <v>0.0</v>
      </c>
      <c r="I121" s="156"/>
    </row>
    <row r="122">
      <c r="A122" s="154" t="s">
        <v>34020</v>
      </c>
      <c r="B122" s="108">
        <v>655.0</v>
      </c>
      <c r="C122" s="108">
        <v>2379.0</v>
      </c>
      <c r="D122" s="108">
        <v>0.0</v>
      </c>
      <c r="E122" s="108">
        <v>0.0</v>
      </c>
      <c r="F122" s="108">
        <v>3.25316041E8</v>
      </c>
      <c r="G122" s="108">
        <v>7.72947968E8</v>
      </c>
      <c r="H122" s="155">
        <v>0.0</v>
      </c>
      <c r="I122" s="156"/>
    </row>
    <row r="123">
      <c r="A123" s="154" t="s">
        <v>34424</v>
      </c>
      <c r="B123" s="108">
        <v>5.0</v>
      </c>
      <c r="C123" s="108">
        <v>0.0</v>
      </c>
      <c r="D123" s="108">
        <v>0.0</v>
      </c>
      <c r="E123" s="108">
        <v>0.0</v>
      </c>
      <c r="F123" s="108">
        <v>125.0</v>
      </c>
      <c r="G123" s="108">
        <v>163840.0</v>
      </c>
      <c r="H123" s="155">
        <v>0.0</v>
      </c>
      <c r="I123" s="156"/>
    </row>
    <row r="124">
      <c r="A124" s="154" t="s">
        <v>34039</v>
      </c>
      <c r="B124" s="108">
        <v>1320.0</v>
      </c>
      <c r="C124" s="108">
        <v>6901.0</v>
      </c>
      <c r="D124" s="108">
        <v>0.0</v>
      </c>
      <c r="E124" s="108">
        <v>0.0</v>
      </c>
      <c r="F124" s="108">
        <v>1.1200137872E10</v>
      </c>
      <c r="G124" s="108">
        <v>1.1760443392E10</v>
      </c>
      <c r="H124" s="155">
        <v>0.0</v>
      </c>
      <c r="I124" s="156"/>
    </row>
    <row r="125">
      <c r="A125" s="154" t="s">
        <v>34151</v>
      </c>
      <c r="B125" s="108">
        <v>46864.0</v>
      </c>
      <c r="C125" s="108">
        <v>315041.0</v>
      </c>
      <c r="D125" s="108">
        <v>0.0</v>
      </c>
      <c r="E125" s="108">
        <v>0.0</v>
      </c>
      <c r="F125" s="108">
        <v>5.679506587655E12</v>
      </c>
      <c r="G125" s="108">
        <v>6.869788033024E12</v>
      </c>
      <c r="H125" s="155">
        <v>0.0</v>
      </c>
      <c r="I125" s="156"/>
    </row>
    <row r="126">
      <c r="A126" s="154" t="s">
        <v>34425</v>
      </c>
      <c r="B126" s="108">
        <v>1.0</v>
      </c>
      <c r="C126" s="108">
        <v>0.0</v>
      </c>
      <c r="D126" s="108">
        <v>0.0</v>
      </c>
      <c r="E126" s="108">
        <v>0.0</v>
      </c>
      <c r="F126" s="108">
        <v>0.0</v>
      </c>
      <c r="G126" s="108">
        <v>32768.0</v>
      </c>
      <c r="H126" s="155">
        <v>0.0</v>
      </c>
      <c r="I126" s="156"/>
    </row>
    <row r="127">
      <c r="A127" s="154" t="s">
        <v>34037</v>
      </c>
      <c r="B127" s="108">
        <v>777.0</v>
      </c>
      <c r="C127" s="108">
        <v>8837.0</v>
      </c>
      <c r="D127" s="108">
        <v>0.0</v>
      </c>
      <c r="E127" s="108">
        <v>0.0</v>
      </c>
      <c r="F127" s="108">
        <v>5.566347756E9</v>
      </c>
      <c r="G127" s="108">
        <v>7.309344768E9</v>
      </c>
      <c r="H127" s="155">
        <v>0.0</v>
      </c>
      <c r="I127" s="156"/>
    </row>
    <row r="128">
      <c r="A128" s="154" t="s">
        <v>34426</v>
      </c>
      <c r="B128" s="108">
        <v>11.0</v>
      </c>
      <c r="C128" s="108">
        <v>0.0</v>
      </c>
      <c r="D128" s="108">
        <v>0.0</v>
      </c>
      <c r="E128" s="108">
        <v>0.0</v>
      </c>
      <c r="F128" s="108">
        <v>324.0</v>
      </c>
      <c r="G128" s="108">
        <v>360448.0</v>
      </c>
      <c r="H128" s="155">
        <v>0.0</v>
      </c>
      <c r="I128" s="156"/>
    </row>
    <row r="129">
      <c r="A129" s="154" t="s">
        <v>33986</v>
      </c>
      <c r="B129" s="108">
        <v>7462.0</v>
      </c>
      <c r="C129" s="108">
        <v>25065.0</v>
      </c>
      <c r="D129" s="108">
        <v>0.0</v>
      </c>
      <c r="E129" s="108">
        <v>0.0</v>
      </c>
      <c r="F129" s="108">
        <v>2.6504693184E10</v>
      </c>
      <c r="G129" s="108">
        <v>3.5702956032E10</v>
      </c>
      <c r="H129" s="155">
        <v>0.0</v>
      </c>
      <c r="I129" s="156"/>
    </row>
    <row r="130">
      <c r="A130" s="154" t="s">
        <v>33984</v>
      </c>
      <c r="B130" s="108">
        <v>6.0</v>
      </c>
      <c r="C130" s="108">
        <v>8.0</v>
      </c>
      <c r="D130" s="108">
        <v>0.0</v>
      </c>
      <c r="E130" s="108">
        <v>0.0</v>
      </c>
      <c r="F130" s="108">
        <v>7.5925081E7</v>
      </c>
      <c r="G130" s="108">
        <v>9.2790784E7</v>
      </c>
      <c r="H130" s="155">
        <v>0.0</v>
      </c>
      <c r="I130" s="156"/>
    </row>
    <row r="131">
      <c r="A131" s="154" t="s">
        <v>34427</v>
      </c>
      <c r="B131" s="108">
        <v>1.0</v>
      </c>
      <c r="C131" s="108">
        <v>0.0</v>
      </c>
      <c r="D131" s="108">
        <v>0.0</v>
      </c>
      <c r="E131" s="108">
        <v>0.0</v>
      </c>
      <c r="F131" s="108">
        <v>0.0</v>
      </c>
      <c r="G131" s="108">
        <v>32768.0</v>
      </c>
      <c r="H131" s="155">
        <v>0.0</v>
      </c>
      <c r="I131" s="156"/>
    </row>
    <row r="132">
      <c r="A132" s="154" t="s">
        <v>34145</v>
      </c>
      <c r="B132" s="108">
        <v>624.0</v>
      </c>
      <c r="C132" s="108">
        <v>11969.0</v>
      </c>
      <c r="D132" s="108">
        <v>0.0</v>
      </c>
      <c r="E132" s="108">
        <v>0.0</v>
      </c>
      <c r="F132" s="108">
        <v>7.40550339E8</v>
      </c>
      <c r="G132" s="108">
        <v>1.548959744E9</v>
      </c>
      <c r="H132" s="155">
        <v>0.0</v>
      </c>
      <c r="I132" s="156"/>
    </row>
    <row r="133">
      <c r="A133" s="154" t="s">
        <v>33932</v>
      </c>
      <c r="B133" s="108">
        <v>20.0</v>
      </c>
      <c r="C133" s="108">
        <v>10.0</v>
      </c>
      <c r="D133" s="108">
        <v>0.0</v>
      </c>
      <c r="E133" s="108">
        <v>0.0</v>
      </c>
      <c r="F133" s="108">
        <v>1.2538801907E10</v>
      </c>
      <c r="G133" s="108">
        <v>1.5078055936E10</v>
      </c>
      <c r="H133" s="155">
        <v>0.0</v>
      </c>
      <c r="I133" s="156"/>
    </row>
    <row r="134">
      <c r="A134" s="154" t="s">
        <v>33950</v>
      </c>
      <c r="B134" s="108">
        <v>1421.0</v>
      </c>
      <c r="C134" s="108">
        <v>8581.0</v>
      </c>
      <c r="D134" s="108">
        <v>0.0</v>
      </c>
      <c r="E134" s="108">
        <v>0.0</v>
      </c>
      <c r="F134" s="108">
        <v>1.754659953E9</v>
      </c>
      <c r="G134" s="108">
        <v>3.173408768E9</v>
      </c>
      <c r="H134" s="155">
        <v>0.0</v>
      </c>
      <c r="I134" s="156"/>
    </row>
    <row r="135">
      <c r="A135" s="154" t="s">
        <v>34428</v>
      </c>
      <c r="B135" s="108">
        <v>1.0</v>
      </c>
      <c r="C135" s="108">
        <v>0.0</v>
      </c>
      <c r="D135" s="108">
        <v>0.0</v>
      </c>
      <c r="E135" s="108">
        <v>0.0</v>
      </c>
      <c r="F135" s="108">
        <v>0.0</v>
      </c>
      <c r="G135" s="108">
        <v>32768.0</v>
      </c>
      <c r="H135" s="155">
        <v>0.0</v>
      </c>
      <c r="I135" s="156"/>
    </row>
    <row r="136">
      <c r="A136" s="154" t="s">
        <v>33930</v>
      </c>
      <c r="B136" s="108">
        <v>996.0</v>
      </c>
      <c r="C136" s="108">
        <v>10517.0</v>
      </c>
      <c r="D136" s="108">
        <v>0.0</v>
      </c>
      <c r="E136" s="108">
        <v>0.0</v>
      </c>
      <c r="F136" s="108">
        <v>9.156267736E9</v>
      </c>
      <c r="G136" s="108">
        <v>1.2224077824E10</v>
      </c>
      <c r="H136" s="155">
        <v>0.0</v>
      </c>
      <c r="I136" s="156"/>
    </row>
    <row r="137">
      <c r="A137" s="154" t="s">
        <v>34429</v>
      </c>
      <c r="B137" s="108">
        <v>1.0</v>
      </c>
      <c r="C137" s="108">
        <v>0.0</v>
      </c>
      <c r="D137" s="108">
        <v>0.0</v>
      </c>
      <c r="E137" s="108">
        <v>0.0</v>
      </c>
      <c r="F137" s="108">
        <v>0.0</v>
      </c>
      <c r="G137" s="108">
        <v>32768.0</v>
      </c>
      <c r="H137" s="155">
        <v>0.0</v>
      </c>
      <c r="I137" s="156"/>
    </row>
    <row r="138">
      <c r="A138" s="154" t="s">
        <v>34173</v>
      </c>
      <c r="B138" s="108">
        <v>12907.0</v>
      </c>
      <c r="C138" s="108">
        <v>67943.0</v>
      </c>
      <c r="D138" s="108">
        <v>0.0</v>
      </c>
      <c r="E138" s="108">
        <v>0.0</v>
      </c>
      <c r="F138" s="108">
        <v>3.24244116447E11</v>
      </c>
      <c r="G138" s="108">
        <v>3.98256914432E11</v>
      </c>
      <c r="H138" s="155">
        <v>0.0</v>
      </c>
      <c r="I138" s="156"/>
    </row>
    <row r="139">
      <c r="A139" s="154" t="s">
        <v>34135</v>
      </c>
      <c r="B139" s="108">
        <v>1204.0</v>
      </c>
      <c r="C139" s="108">
        <v>11784.0</v>
      </c>
      <c r="D139" s="108">
        <v>0.0</v>
      </c>
      <c r="E139" s="108">
        <v>0.0</v>
      </c>
      <c r="F139" s="108">
        <v>5.4403705859E10</v>
      </c>
      <c r="G139" s="108">
        <v>6.753763328E10</v>
      </c>
      <c r="H139" s="155">
        <v>0.0</v>
      </c>
      <c r="I139" s="156"/>
    </row>
    <row r="140">
      <c r="A140" s="154" t="s">
        <v>34430</v>
      </c>
      <c r="B140" s="108">
        <v>1.0</v>
      </c>
      <c r="C140" s="108">
        <v>0.0</v>
      </c>
      <c r="D140" s="108">
        <v>0.0</v>
      </c>
      <c r="E140" s="108">
        <v>0.0</v>
      </c>
      <c r="F140" s="108">
        <v>0.0</v>
      </c>
      <c r="G140" s="108">
        <v>32768.0</v>
      </c>
      <c r="H140" s="155">
        <v>0.0</v>
      </c>
      <c r="I140" s="156"/>
    </row>
    <row r="141">
      <c r="A141" s="154" t="s">
        <v>34431</v>
      </c>
      <c r="B141" s="108">
        <v>2.0</v>
      </c>
      <c r="C141" s="108">
        <v>0.0</v>
      </c>
      <c r="D141" s="108">
        <v>0.0</v>
      </c>
      <c r="E141" s="108">
        <v>0.0</v>
      </c>
      <c r="F141" s="108">
        <v>27.0</v>
      </c>
      <c r="G141" s="108">
        <v>65536.0</v>
      </c>
      <c r="H141" s="155">
        <v>0.0</v>
      </c>
      <c r="I141" s="156"/>
    </row>
    <row r="142">
      <c r="A142" s="154" t="s">
        <v>34432</v>
      </c>
      <c r="B142" s="108">
        <v>8.0</v>
      </c>
      <c r="C142" s="108">
        <v>0.0</v>
      </c>
      <c r="D142" s="108">
        <v>0.0</v>
      </c>
      <c r="E142" s="108">
        <v>0.0</v>
      </c>
      <c r="F142" s="108">
        <v>224.0</v>
      </c>
      <c r="G142" s="108">
        <v>262144.0</v>
      </c>
      <c r="H142" s="155">
        <v>0.0</v>
      </c>
      <c r="I142" s="156"/>
    </row>
    <row r="143">
      <c r="A143" s="154" t="s">
        <v>34433</v>
      </c>
      <c r="B143" s="108">
        <v>9.0</v>
      </c>
      <c r="C143" s="108">
        <v>0.0</v>
      </c>
      <c r="D143" s="108">
        <v>0.0</v>
      </c>
      <c r="E143" s="108">
        <v>0.0</v>
      </c>
      <c r="F143" s="108">
        <v>274.0</v>
      </c>
      <c r="G143" s="108">
        <v>294912.0</v>
      </c>
      <c r="H143" s="155">
        <v>0.0</v>
      </c>
      <c r="I143" s="156"/>
    </row>
    <row r="144">
      <c r="A144" s="154" t="s">
        <v>34434</v>
      </c>
      <c r="B144" s="108">
        <v>30.0</v>
      </c>
      <c r="C144" s="108">
        <v>0.0</v>
      </c>
      <c r="D144" s="108">
        <v>0.0</v>
      </c>
      <c r="E144" s="108">
        <v>0.0</v>
      </c>
      <c r="F144" s="108">
        <v>1011.0</v>
      </c>
      <c r="G144" s="108">
        <v>983040.0</v>
      </c>
      <c r="H144" s="155">
        <v>0.0</v>
      </c>
      <c r="I144" s="156"/>
    </row>
    <row r="145">
      <c r="A145" s="154" t="s">
        <v>34435</v>
      </c>
      <c r="B145" s="108">
        <v>1.0</v>
      </c>
      <c r="C145" s="108">
        <v>0.0</v>
      </c>
      <c r="D145" s="108">
        <v>0.0</v>
      </c>
      <c r="E145" s="108">
        <v>0.0</v>
      </c>
      <c r="F145" s="108">
        <v>0.0</v>
      </c>
      <c r="G145" s="108">
        <v>32768.0</v>
      </c>
      <c r="H145" s="155">
        <v>0.0</v>
      </c>
      <c r="I145" s="156"/>
    </row>
    <row r="146">
      <c r="A146" s="154" t="s">
        <v>1480</v>
      </c>
      <c r="B146" s="108">
        <v>11.0</v>
      </c>
      <c r="C146" s="108">
        <v>0.0</v>
      </c>
      <c r="D146" s="108">
        <v>0.0</v>
      </c>
      <c r="E146" s="108">
        <v>0.0</v>
      </c>
      <c r="F146" s="108">
        <v>323.0</v>
      </c>
      <c r="G146" s="108">
        <v>360448.0</v>
      </c>
      <c r="H146" s="155">
        <v>0.0</v>
      </c>
      <c r="I146" s="156"/>
    </row>
    <row r="147">
      <c r="A147" s="154" t="s">
        <v>34436</v>
      </c>
      <c r="B147" s="108">
        <v>14.0</v>
      </c>
      <c r="C147" s="108">
        <v>24.0</v>
      </c>
      <c r="D147" s="108">
        <v>0.0</v>
      </c>
      <c r="E147" s="108">
        <v>0.0</v>
      </c>
      <c r="F147" s="108">
        <v>5006540.0</v>
      </c>
      <c r="G147" s="108">
        <v>8863744.0</v>
      </c>
      <c r="H147" s="155">
        <v>0.0</v>
      </c>
      <c r="I147" s="156"/>
    </row>
    <row r="148">
      <c r="A148" s="154" t="s">
        <v>34437</v>
      </c>
      <c r="B148" s="108">
        <v>1.0</v>
      </c>
      <c r="C148" s="108">
        <v>0.0</v>
      </c>
      <c r="D148" s="108">
        <v>0.0</v>
      </c>
      <c r="E148" s="108">
        <v>0.0</v>
      </c>
      <c r="F148" s="108">
        <v>0.0</v>
      </c>
      <c r="G148" s="108">
        <v>32768.0</v>
      </c>
      <c r="H148" s="155">
        <v>0.0</v>
      </c>
      <c r="I148" s="156"/>
    </row>
    <row r="149">
      <c r="A149" s="154" t="s">
        <v>34235</v>
      </c>
      <c r="B149" s="108">
        <v>7030.0</v>
      </c>
      <c r="C149" s="108">
        <v>76429.0</v>
      </c>
      <c r="D149" s="108">
        <v>0.0</v>
      </c>
      <c r="E149" s="108">
        <v>0.0</v>
      </c>
      <c r="F149" s="108">
        <v>1.334079245E10</v>
      </c>
      <c r="G149" s="108">
        <v>2.1927288832E10</v>
      </c>
      <c r="H149" s="155">
        <v>0.0</v>
      </c>
      <c r="I149" s="156"/>
    </row>
    <row r="150">
      <c r="A150" s="154" t="s">
        <v>2028</v>
      </c>
      <c r="B150" s="108">
        <v>176.0</v>
      </c>
      <c r="C150" s="108">
        <v>374.0</v>
      </c>
      <c r="D150" s="108">
        <v>0.0</v>
      </c>
      <c r="E150" s="108">
        <v>0.0</v>
      </c>
      <c r="F150" s="108">
        <v>1.548159507E9</v>
      </c>
      <c r="G150" s="108">
        <v>1.913798656E9</v>
      </c>
      <c r="H150" s="155">
        <v>0.0</v>
      </c>
      <c r="I150" s="156"/>
    </row>
    <row r="151">
      <c r="A151" s="154" t="s">
        <v>34237</v>
      </c>
      <c r="B151" s="108">
        <v>28344.0</v>
      </c>
      <c r="C151" s="108">
        <v>162482.0</v>
      </c>
      <c r="D151" s="108">
        <v>0.0</v>
      </c>
      <c r="E151" s="108">
        <v>0.0</v>
      </c>
      <c r="F151" s="108">
        <v>8.2178770952E10</v>
      </c>
      <c r="G151" s="108">
        <v>1.1963408384E11</v>
      </c>
      <c r="H151" s="155">
        <v>0.0</v>
      </c>
      <c r="I151" s="156"/>
    </row>
    <row r="152">
      <c r="A152" s="154" t="s">
        <v>33989</v>
      </c>
      <c r="B152" s="108">
        <v>8258.0</v>
      </c>
      <c r="C152" s="108">
        <v>60196.0</v>
      </c>
      <c r="D152" s="108">
        <v>0.0</v>
      </c>
      <c r="E152" s="108">
        <v>0.0</v>
      </c>
      <c r="F152" s="108">
        <v>2.0269130767E10</v>
      </c>
      <c r="G152" s="108">
        <v>3.0121426944E10</v>
      </c>
      <c r="H152" s="155">
        <v>0.0</v>
      </c>
      <c r="I152" s="156"/>
    </row>
    <row r="153">
      <c r="A153" s="154" t="s">
        <v>34015</v>
      </c>
      <c r="B153" s="108">
        <v>3118.0</v>
      </c>
      <c r="C153" s="108">
        <v>34642.0</v>
      </c>
      <c r="D153" s="108">
        <v>0.0</v>
      </c>
      <c r="E153" s="108">
        <v>0.0</v>
      </c>
      <c r="F153" s="108">
        <v>3.4750634191E10</v>
      </c>
      <c r="G153" s="108">
        <v>4.4851412992E10</v>
      </c>
      <c r="H153" s="155">
        <v>0.0</v>
      </c>
      <c r="I153" s="156"/>
    </row>
    <row r="154">
      <c r="A154" s="154" t="s">
        <v>33923</v>
      </c>
      <c r="B154" s="108">
        <v>20265.0</v>
      </c>
      <c r="C154" s="108">
        <v>132289.0</v>
      </c>
      <c r="D154" s="108">
        <v>0.0</v>
      </c>
      <c r="E154" s="108">
        <v>0.0</v>
      </c>
      <c r="F154" s="108">
        <v>1.50065149197E11</v>
      </c>
      <c r="G154" s="108">
        <v>1.9828555776E11</v>
      </c>
      <c r="H154" s="155">
        <v>0.0</v>
      </c>
      <c r="I154" s="156"/>
    </row>
    <row r="155">
      <c r="A155" s="154" t="s">
        <v>33928</v>
      </c>
      <c r="B155" s="108">
        <v>341.0</v>
      </c>
      <c r="C155" s="108">
        <v>1146.0</v>
      </c>
      <c r="D155" s="108">
        <v>0.0</v>
      </c>
      <c r="E155" s="108">
        <v>0.0</v>
      </c>
      <c r="F155" s="108">
        <v>1.9885849E8</v>
      </c>
      <c r="G155" s="108">
        <v>4.00769024E8</v>
      </c>
      <c r="H155" s="155">
        <v>0.0</v>
      </c>
      <c r="I155" s="156"/>
    </row>
    <row r="156">
      <c r="A156" s="154" t="s">
        <v>34438</v>
      </c>
      <c r="B156" s="108">
        <v>40.0</v>
      </c>
      <c r="C156" s="108">
        <v>0.0</v>
      </c>
      <c r="D156" s="108">
        <v>0.0</v>
      </c>
      <c r="E156" s="108">
        <v>0.0</v>
      </c>
      <c r="F156" s="108">
        <v>1245.0</v>
      </c>
      <c r="G156" s="108">
        <v>1310720.0</v>
      </c>
      <c r="H156" s="155">
        <v>0.0</v>
      </c>
      <c r="I156" s="156"/>
    </row>
    <row r="157">
      <c r="A157" s="154" t="s">
        <v>34439</v>
      </c>
      <c r="B157" s="108">
        <v>6.0</v>
      </c>
      <c r="C157" s="108">
        <v>0.0</v>
      </c>
      <c r="D157" s="108">
        <v>0.0</v>
      </c>
      <c r="E157" s="108">
        <v>0.0</v>
      </c>
      <c r="F157" s="108">
        <v>145.0</v>
      </c>
      <c r="G157" s="108">
        <v>196608.0</v>
      </c>
      <c r="H157" s="155">
        <v>0.0</v>
      </c>
      <c r="I157" s="156"/>
    </row>
    <row r="158">
      <c r="A158" s="154" t="s">
        <v>34440</v>
      </c>
      <c r="B158" s="108">
        <v>6.0</v>
      </c>
      <c r="C158" s="108">
        <v>0.0</v>
      </c>
      <c r="D158" s="108">
        <v>0.0</v>
      </c>
      <c r="E158" s="108">
        <v>0.0</v>
      </c>
      <c r="F158" s="108">
        <v>179.0</v>
      </c>
      <c r="G158" s="108">
        <v>196608.0</v>
      </c>
      <c r="H158" s="155">
        <v>0.0</v>
      </c>
      <c r="I158" s="156"/>
    </row>
    <row r="159">
      <c r="A159" s="154" t="s">
        <v>34441</v>
      </c>
      <c r="B159" s="108">
        <v>6.0</v>
      </c>
      <c r="C159" s="108">
        <v>0.0</v>
      </c>
      <c r="D159" s="108">
        <v>0.0</v>
      </c>
      <c r="E159" s="108">
        <v>0.0</v>
      </c>
      <c r="F159" s="108">
        <v>168.0</v>
      </c>
      <c r="G159" s="108">
        <v>196608.0</v>
      </c>
      <c r="H159" s="155">
        <v>0.0</v>
      </c>
      <c r="I159" s="156"/>
    </row>
    <row r="160">
      <c r="A160" s="154" t="s">
        <v>34442</v>
      </c>
      <c r="B160" s="108">
        <v>7.0</v>
      </c>
      <c r="C160" s="108">
        <v>0.0</v>
      </c>
      <c r="D160" s="108">
        <v>0.0</v>
      </c>
      <c r="E160" s="108">
        <v>0.0</v>
      </c>
      <c r="F160" s="108">
        <v>183.0</v>
      </c>
      <c r="G160" s="108">
        <v>229376.0</v>
      </c>
      <c r="H160" s="155">
        <v>0.0</v>
      </c>
      <c r="I160" s="156"/>
    </row>
    <row r="161">
      <c r="A161" s="154" t="s">
        <v>34443</v>
      </c>
      <c r="B161" s="108">
        <v>1.0</v>
      </c>
      <c r="C161" s="108">
        <v>0.0</v>
      </c>
      <c r="D161" s="108">
        <v>0.0</v>
      </c>
      <c r="E161" s="108">
        <v>0.0</v>
      </c>
      <c r="F161" s="108">
        <v>0.0</v>
      </c>
      <c r="G161" s="108">
        <v>32768.0</v>
      </c>
      <c r="H161" s="155">
        <v>0.0</v>
      </c>
      <c r="I161" s="156"/>
    </row>
    <row r="162">
      <c r="A162" s="154" t="s">
        <v>34444</v>
      </c>
      <c r="B162" s="108">
        <v>26.0</v>
      </c>
      <c r="C162" s="108">
        <v>0.0</v>
      </c>
      <c r="D162" s="108">
        <v>0.0</v>
      </c>
      <c r="E162" s="108">
        <v>0.0</v>
      </c>
      <c r="F162" s="108">
        <v>887.0</v>
      </c>
      <c r="G162" s="108">
        <v>851968.0</v>
      </c>
      <c r="H162" s="155">
        <v>0.0</v>
      </c>
      <c r="I162" s="156"/>
    </row>
    <row r="163">
      <c r="A163" s="154" t="s">
        <v>34445</v>
      </c>
      <c r="B163" s="108">
        <v>12.0</v>
      </c>
      <c r="C163" s="108">
        <v>0.0</v>
      </c>
      <c r="D163" s="108">
        <v>0.0</v>
      </c>
      <c r="E163" s="108">
        <v>0.0</v>
      </c>
      <c r="F163" s="108">
        <v>406.0</v>
      </c>
      <c r="G163" s="108">
        <v>393216.0</v>
      </c>
      <c r="H163" s="155">
        <v>0.0</v>
      </c>
      <c r="I163" s="156"/>
    </row>
    <row r="164">
      <c r="A164" s="154" t="s">
        <v>34446</v>
      </c>
      <c r="B164" s="108">
        <v>8.0</v>
      </c>
      <c r="C164" s="108">
        <v>0.0</v>
      </c>
      <c r="D164" s="108">
        <v>0.0</v>
      </c>
      <c r="E164" s="108">
        <v>0.0</v>
      </c>
      <c r="F164" s="108">
        <v>235.0</v>
      </c>
      <c r="G164" s="108">
        <v>262144.0</v>
      </c>
      <c r="H164" s="155">
        <v>0.0</v>
      </c>
      <c r="I164" s="156"/>
    </row>
    <row r="165">
      <c r="A165" s="154" t="s">
        <v>34447</v>
      </c>
      <c r="B165" s="108">
        <v>6.0</v>
      </c>
      <c r="C165" s="108">
        <v>0.0</v>
      </c>
      <c r="D165" s="108">
        <v>0.0</v>
      </c>
      <c r="E165" s="108">
        <v>0.0</v>
      </c>
      <c r="F165" s="108">
        <v>185.0</v>
      </c>
      <c r="G165" s="108">
        <v>196608.0</v>
      </c>
      <c r="H165" s="155">
        <v>0.0</v>
      </c>
      <c r="I165" s="156"/>
    </row>
    <row r="166">
      <c r="A166" s="154" t="s">
        <v>34448</v>
      </c>
      <c r="B166" s="108">
        <v>4.0</v>
      </c>
      <c r="C166" s="108">
        <v>0.0</v>
      </c>
      <c r="D166" s="108">
        <v>0.0</v>
      </c>
      <c r="E166" s="108">
        <v>0.0</v>
      </c>
      <c r="F166" s="108">
        <v>100.0</v>
      </c>
      <c r="G166" s="108">
        <v>131072.0</v>
      </c>
      <c r="H166" s="155">
        <v>0.0</v>
      </c>
      <c r="I166" s="156"/>
    </row>
    <row r="167">
      <c r="A167" s="154" t="s">
        <v>34105</v>
      </c>
      <c r="B167" s="108">
        <v>299.0</v>
      </c>
      <c r="C167" s="108">
        <v>15808.0</v>
      </c>
      <c r="D167" s="108">
        <v>0.0</v>
      </c>
      <c r="E167" s="108">
        <v>0.0</v>
      </c>
      <c r="F167" s="108">
        <v>5.9016505141E10</v>
      </c>
      <c r="G167" s="108">
        <v>7.3253052416E10</v>
      </c>
      <c r="H167" s="155">
        <v>0.0</v>
      </c>
      <c r="I167" s="156"/>
    </row>
    <row r="168">
      <c r="A168" s="154" t="s">
        <v>34449</v>
      </c>
      <c r="B168" s="108">
        <v>1.0</v>
      </c>
      <c r="C168" s="108">
        <v>0.0</v>
      </c>
      <c r="D168" s="108">
        <v>0.0</v>
      </c>
      <c r="E168" s="108">
        <v>0.0</v>
      </c>
      <c r="F168" s="108">
        <v>0.0</v>
      </c>
      <c r="G168" s="108">
        <v>32768.0</v>
      </c>
      <c r="H168" s="155">
        <v>0.0</v>
      </c>
      <c r="I168" s="156"/>
    </row>
    <row r="169">
      <c r="A169" s="154" t="s">
        <v>34082</v>
      </c>
      <c r="B169" s="108">
        <v>1416.0</v>
      </c>
      <c r="C169" s="108">
        <v>5563.0</v>
      </c>
      <c r="D169" s="108">
        <v>0.0</v>
      </c>
      <c r="E169" s="108">
        <v>0.0</v>
      </c>
      <c r="F169" s="108">
        <v>1.06694950552E11</v>
      </c>
      <c r="G169" s="108">
        <v>1.28854499328E11</v>
      </c>
      <c r="H169" s="155">
        <v>0.0</v>
      </c>
      <c r="I169" s="156"/>
    </row>
    <row r="170">
      <c r="A170" s="154" t="s">
        <v>34450</v>
      </c>
      <c r="B170" s="108">
        <v>2.0</v>
      </c>
      <c r="C170" s="108">
        <v>0.0</v>
      </c>
      <c r="D170" s="108">
        <v>0.0</v>
      </c>
      <c r="E170" s="108">
        <v>0.0</v>
      </c>
      <c r="F170" s="108">
        <v>36.0</v>
      </c>
      <c r="G170" s="108">
        <v>65536.0</v>
      </c>
      <c r="H170" s="155">
        <v>0.0</v>
      </c>
      <c r="I170" s="156"/>
    </row>
    <row r="171">
      <c r="A171" s="154" t="s">
        <v>34451</v>
      </c>
      <c r="B171" s="108">
        <v>2.0</v>
      </c>
      <c r="C171" s="108">
        <v>0.0</v>
      </c>
      <c r="D171" s="108">
        <v>0.0</v>
      </c>
      <c r="E171" s="108">
        <v>0.0</v>
      </c>
      <c r="F171" s="108">
        <v>36.0</v>
      </c>
      <c r="G171" s="108">
        <v>65536.0</v>
      </c>
      <c r="H171" s="155">
        <v>0.0</v>
      </c>
      <c r="I171" s="156"/>
    </row>
    <row r="172">
      <c r="A172" s="154" t="s">
        <v>34452</v>
      </c>
      <c r="B172" s="108">
        <v>2.0</v>
      </c>
      <c r="C172" s="108">
        <v>0.0</v>
      </c>
      <c r="D172" s="108">
        <v>0.0</v>
      </c>
      <c r="E172" s="108">
        <v>0.0</v>
      </c>
      <c r="F172" s="108">
        <v>36.0</v>
      </c>
      <c r="G172" s="108">
        <v>65536.0</v>
      </c>
      <c r="H172" s="155">
        <v>0.0</v>
      </c>
      <c r="I172" s="156"/>
    </row>
    <row r="173">
      <c r="A173" s="154" t="s">
        <v>34453</v>
      </c>
      <c r="B173" s="108">
        <v>2.0</v>
      </c>
      <c r="C173" s="108">
        <v>0.0</v>
      </c>
      <c r="D173" s="108">
        <v>0.0</v>
      </c>
      <c r="E173" s="108">
        <v>0.0</v>
      </c>
      <c r="F173" s="108">
        <v>36.0</v>
      </c>
      <c r="G173" s="108">
        <v>65536.0</v>
      </c>
      <c r="H173" s="155">
        <v>0.0</v>
      </c>
      <c r="I173" s="156"/>
    </row>
    <row r="174">
      <c r="A174" s="154" t="s">
        <v>34454</v>
      </c>
      <c r="B174" s="108">
        <v>2.0</v>
      </c>
      <c r="C174" s="108">
        <v>0.0</v>
      </c>
      <c r="D174" s="108">
        <v>0.0</v>
      </c>
      <c r="E174" s="108">
        <v>0.0</v>
      </c>
      <c r="F174" s="108">
        <v>36.0</v>
      </c>
      <c r="G174" s="108">
        <v>65536.0</v>
      </c>
      <c r="H174" s="155">
        <v>0.0</v>
      </c>
      <c r="I174" s="156"/>
    </row>
    <row r="175">
      <c r="A175" s="154" t="s">
        <v>34455</v>
      </c>
      <c r="B175" s="108">
        <v>3.0</v>
      </c>
      <c r="C175" s="108">
        <v>1.0</v>
      </c>
      <c r="D175" s="108">
        <v>0.0</v>
      </c>
      <c r="E175" s="108">
        <v>0.0</v>
      </c>
      <c r="F175" s="108">
        <v>6236.0</v>
      </c>
      <c r="G175" s="108">
        <v>122880.0</v>
      </c>
      <c r="H175" s="155">
        <v>0.0</v>
      </c>
      <c r="I175" s="156"/>
    </row>
    <row r="176">
      <c r="A176" s="154" t="s">
        <v>34456</v>
      </c>
      <c r="B176" s="108">
        <v>4.0</v>
      </c>
      <c r="C176" s="108">
        <v>0.0</v>
      </c>
      <c r="D176" s="108">
        <v>0.0</v>
      </c>
      <c r="E176" s="108">
        <v>0.0</v>
      </c>
      <c r="F176" s="108">
        <v>113.0</v>
      </c>
      <c r="G176" s="108">
        <v>131072.0</v>
      </c>
      <c r="H176" s="155">
        <v>0.0</v>
      </c>
      <c r="I176" s="156"/>
    </row>
    <row r="177">
      <c r="A177" s="154" t="s">
        <v>34457</v>
      </c>
      <c r="B177" s="108">
        <v>4.0</v>
      </c>
      <c r="C177" s="108">
        <v>0.0</v>
      </c>
      <c r="D177" s="108">
        <v>0.0</v>
      </c>
      <c r="E177" s="108">
        <v>0.0</v>
      </c>
      <c r="F177" s="108">
        <v>98.0</v>
      </c>
      <c r="G177" s="108">
        <v>131072.0</v>
      </c>
      <c r="H177" s="155">
        <v>0.0</v>
      </c>
      <c r="I177" s="156"/>
    </row>
    <row r="178">
      <c r="A178" s="154" t="s">
        <v>34458</v>
      </c>
      <c r="B178" s="108">
        <v>2.0</v>
      </c>
      <c r="C178" s="108">
        <v>0.0</v>
      </c>
      <c r="D178" s="108">
        <v>0.0</v>
      </c>
      <c r="E178" s="108">
        <v>0.0</v>
      </c>
      <c r="F178" s="108">
        <v>36.0</v>
      </c>
      <c r="G178" s="108">
        <v>65536.0</v>
      </c>
      <c r="H178" s="155">
        <v>0.0</v>
      </c>
      <c r="I178" s="156"/>
    </row>
    <row r="179">
      <c r="A179" s="154" t="s">
        <v>34459</v>
      </c>
      <c r="B179" s="108">
        <v>2.0</v>
      </c>
      <c r="C179" s="108">
        <v>0.0</v>
      </c>
      <c r="D179" s="108">
        <v>0.0</v>
      </c>
      <c r="E179" s="108">
        <v>0.0</v>
      </c>
      <c r="F179" s="108">
        <v>33.0</v>
      </c>
      <c r="G179" s="108">
        <v>65536.0</v>
      </c>
      <c r="H179" s="155">
        <v>0.0</v>
      </c>
      <c r="I179" s="156"/>
    </row>
    <row r="180">
      <c r="A180" s="154" t="s">
        <v>34460</v>
      </c>
      <c r="B180" s="108">
        <v>2.0</v>
      </c>
      <c r="C180" s="108">
        <v>0.0</v>
      </c>
      <c r="D180" s="108">
        <v>0.0</v>
      </c>
      <c r="E180" s="108">
        <v>0.0</v>
      </c>
      <c r="F180" s="108">
        <v>36.0</v>
      </c>
      <c r="G180" s="108">
        <v>65536.0</v>
      </c>
      <c r="H180" s="155">
        <v>0.0</v>
      </c>
      <c r="I180" s="156"/>
    </row>
    <row r="181">
      <c r="A181" s="154" t="s">
        <v>34461</v>
      </c>
      <c r="B181" s="108">
        <v>2.0</v>
      </c>
      <c r="C181" s="108">
        <v>0.0</v>
      </c>
      <c r="D181" s="108">
        <v>0.0</v>
      </c>
      <c r="E181" s="108">
        <v>0.0</v>
      </c>
      <c r="F181" s="108">
        <v>36.0</v>
      </c>
      <c r="G181" s="108">
        <v>65536.0</v>
      </c>
      <c r="H181" s="155">
        <v>0.0</v>
      </c>
      <c r="I181" s="156"/>
    </row>
    <row r="182">
      <c r="A182" s="154" t="s">
        <v>34462</v>
      </c>
      <c r="B182" s="108">
        <v>2.0</v>
      </c>
      <c r="C182" s="108">
        <v>0.0</v>
      </c>
      <c r="D182" s="108">
        <v>0.0</v>
      </c>
      <c r="E182" s="108">
        <v>0.0</v>
      </c>
      <c r="F182" s="108">
        <v>36.0</v>
      </c>
      <c r="G182" s="108">
        <v>65536.0</v>
      </c>
      <c r="H182" s="155">
        <v>0.0</v>
      </c>
      <c r="I182" s="156"/>
    </row>
    <row r="183">
      <c r="A183" s="154" t="s">
        <v>34463</v>
      </c>
      <c r="B183" s="108">
        <v>1.0</v>
      </c>
      <c r="C183" s="108">
        <v>0.0</v>
      </c>
      <c r="D183" s="108">
        <v>0.0</v>
      </c>
      <c r="E183" s="108">
        <v>0.0</v>
      </c>
      <c r="F183" s="108">
        <v>0.0</v>
      </c>
      <c r="G183" s="108">
        <v>32768.0</v>
      </c>
      <c r="H183" s="155">
        <v>0.0</v>
      </c>
      <c r="I183" s="156"/>
    </row>
    <row r="184">
      <c r="A184" s="154" t="s">
        <v>34464</v>
      </c>
      <c r="B184" s="108">
        <v>53.0</v>
      </c>
      <c r="C184" s="108">
        <v>0.0</v>
      </c>
      <c r="D184" s="108">
        <v>0.0</v>
      </c>
      <c r="E184" s="108">
        <v>0.0</v>
      </c>
      <c r="F184" s="108">
        <v>1852.0</v>
      </c>
      <c r="G184" s="108">
        <v>1736704.0</v>
      </c>
      <c r="H184" s="155">
        <v>0.0</v>
      </c>
      <c r="I184" s="156"/>
    </row>
    <row r="185">
      <c r="A185" s="154" t="s">
        <v>34465</v>
      </c>
      <c r="B185" s="108">
        <v>11.0</v>
      </c>
      <c r="C185" s="108">
        <v>0.0</v>
      </c>
      <c r="D185" s="108">
        <v>0.0</v>
      </c>
      <c r="E185" s="108">
        <v>0.0</v>
      </c>
      <c r="F185" s="108">
        <v>313.0</v>
      </c>
      <c r="G185" s="108">
        <v>360448.0</v>
      </c>
      <c r="H185" s="155">
        <v>0.0</v>
      </c>
      <c r="I185" s="156"/>
    </row>
    <row r="186">
      <c r="A186" s="154" t="s">
        <v>34466</v>
      </c>
      <c r="B186" s="108">
        <v>6.0</v>
      </c>
      <c r="C186" s="108">
        <v>0.0</v>
      </c>
      <c r="D186" s="108">
        <v>0.0</v>
      </c>
      <c r="E186" s="108">
        <v>0.0</v>
      </c>
      <c r="F186" s="108">
        <v>158.0</v>
      </c>
      <c r="G186" s="108">
        <v>196608.0</v>
      </c>
      <c r="H186" s="155">
        <v>0.0</v>
      </c>
      <c r="I186" s="156"/>
    </row>
    <row r="187">
      <c r="A187" s="154" t="s">
        <v>34467</v>
      </c>
      <c r="B187" s="108">
        <v>11.0</v>
      </c>
      <c r="C187" s="108">
        <v>0.0</v>
      </c>
      <c r="D187" s="108">
        <v>0.0</v>
      </c>
      <c r="E187" s="108">
        <v>0.0</v>
      </c>
      <c r="F187" s="108">
        <v>353.0</v>
      </c>
      <c r="G187" s="108">
        <v>360448.0</v>
      </c>
      <c r="H187" s="155">
        <v>0.0</v>
      </c>
      <c r="I187" s="156"/>
    </row>
    <row r="188">
      <c r="A188" s="154" t="s">
        <v>34468</v>
      </c>
      <c r="B188" s="108">
        <v>54.0</v>
      </c>
      <c r="C188" s="108">
        <v>0.0</v>
      </c>
      <c r="D188" s="108">
        <v>0.0</v>
      </c>
      <c r="E188" s="108">
        <v>0.0</v>
      </c>
      <c r="F188" s="108">
        <v>1730.0</v>
      </c>
      <c r="G188" s="108">
        <v>1769472.0</v>
      </c>
      <c r="H188" s="155">
        <v>0.0</v>
      </c>
      <c r="I188" s="156"/>
    </row>
    <row r="189">
      <c r="A189" s="154" t="s">
        <v>34469</v>
      </c>
      <c r="B189" s="108">
        <v>23.0</v>
      </c>
      <c r="C189" s="108">
        <v>0.0</v>
      </c>
      <c r="D189" s="108">
        <v>0.0</v>
      </c>
      <c r="E189" s="108">
        <v>0.0</v>
      </c>
      <c r="F189" s="108">
        <v>684.0</v>
      </c>
      <c r="G189" s="108">
        <v>753664.0</v>
      </c>
      <c r="H189" s="155">
        <v>0.0</v>
      </c>
      <c r="I189" s="156"/>
    </row>
    <row r="190">
      <c r="A190" s="154" t="s">
        <v>34470</v>
      </c>
      <c r="B190" s="108">
        <v>4.0</v>
      </c>
      <c r="C190" s="108">
        <v>0.0</v>
      </c>
      <c r="D190" s="108">
        <v>0.0</v>
      </c>
      <c r="E190" s="108">
        <v>0.0</v>
      </c>
      <c r="F190" s="108">
        <v>94.0</v>
      </c>
      <c r="G190" s="108">
        <v>131072.0</v>
      </c>
      <c r="H190" s="155">
        <v>0.0</v>
      </c>
      <c r="I190" s="156"/>
    </row>
    <row r="191">
      <c r="A191" s="154" t="s">
        <v>34471</v>
      </c>
      <c r="B191" s="108">
        <v>2.0</v>
      </c>
      <c r="C191" s="108">
        <v>0.0</v>
      </c>
      <c r="D191" s="108">
        <v>0.0</v>
      </c>
      <c r="E191" s="108">
        <v>0.0</v>
      </c>
      <c r="F191" s="108">
        <v>27.0</v>
      </c>
      <c r="G191" s="108">
        <v>65536.0</v>
      </c>
      <c r="H191" s="155">
        <v>0.0</v>
      </c>
      <c r="I191" s="156"/>
    </row>
    <row r="192">
      <c r="A192" s="154" t="s">
        <v>34472</v>
      </c>
      <c r="B192" s="108">
        <v>8.0</v>
      </c>
      <c r="C192" s="108">
        <v>0.0</v>
      </c>
      <c r="D192" s="108">
        <v>0.0</v>
      </c>
      <c r="E192" s="108">
        <v>0.0</v>
      </c>
      <c r="F192" s="108">
        <v>222.0</v>
      </c>
      <c r="G192" s="108">
        <v>262144.0</v>
      </c>
      <c r="H192" s="155">
        <v>0.0</v>
      </c>
      <c r="I192" s="156"/>
    </row>
    <row r="193">
      <c r="A193" s="154" t="s">
        <v>34473</v>
      </c>
      <c r="B193" s="108">
        <v>1.0</v>
      </c>
      <c r="C193" s="108">
        <v>0.0</v>
      </c>
      <c r="D193" s="108">
        <v>0.0</v>
      </c>
      <c r="E193" s="108">
        <v>0.0</v>
      </c>
      <c r="F193" s="108">
        <v>0.0</v>
      </c>
      <c r="G193" s="108">
        <v>32768.0</v>
      </c>
      <c r="H193" s="155">
        <v>0.0</v>
      </c>
      <c r="I193" s="156"/>
    </row>
    <row r="194">
      <c r="A194" s="154" t="s">
        <v>34474</v>
      </c>
      <c r="B194" s="108">
        <v>2.0</v>
      </c>
      <c r="C194" s="108">
        <v>0.0</v>
      </c>
      <c r="D194" s="108">
        <v>0.0</v>
      </c>
      <c r="E194" s="108">
        <v>0.0</v>
      </c>
      <c r="F194" s="108">
        <v>36.0</v>
      </c>
      <c r="G194" s="108">
        <v>65536.0</v>
      </c>
      <c r="H194" s="155">
        <v>0.0</v>
      </c>
      <c r="I194" s="156"/>
    </row>
    <row r="195">
      <c r="A195" s="154" t="s">
        <v>34475</v>
      </c>
      <c r="B195" s="108">
        <v>3.0</v>
      </c>
      <c r="C195" s="108">
        <v>0.0</v>
      </c>
      <c r="D195" s="108">
        <v>0.0</v>
      </c>
      <c r="E195" s="108">
        <v>0.0</v>
      </c>
      <c r="F195" s="108">
        <v>82.0</v>
      </c>
      <c r="G195" s="108">
        <v>98304.0</v>
      </c>
      <c r="H195" s="155">
        <v>0.0</v>
      </c>
      <c r="I195" s="156"/>
    </row>
    <row r="196">
      <c r="A196" s="154" t="s">
        <v>34476</v>
      </c>
      <c r="B196" s="108">
        <v>3.0</v>
      </c>
      <c r="C196" s="108">
        <v>0.0</v>
      </c>
      <c r="D196" s="108">
        <v>0.0</v>
      </c>
      <c r="E196" s="108">
        <v>0.0</v>
      </c>
      <c r="F196" s="108">
        <v>79.0</v>
      </c>
      <c r="G196" s="108">
        <v>98304.0</v>
      </c>
      <c r="H196" s="155">
        <v>0.0</v>
      </c>
      <c r="I196" s="156"/>
    </row>
    <row r="197">
      <c r="A197" s="154" t="s">
        <v>34477</v>
      </c>
      <c r="B197" s="108">
        <v>2.0</v>
      </c>
      <c r="C197" s="108">
        <v>0.0</v>
      </c>
      <c r="D197" s="108">
        <v>0.0</v>
      </c>
      <c r="E197" s="108">
        <v>0.0</v>
      </c>
      <c r="F197" s="108">
        <v>36.0</v>
      </c>
      <c r="G197" s="108">
        <v>65536.0</v>
      </c>
      <c r="H197" s="155">
        <v>0.0</v>
      </c>
      <c r="I197" s="156"/>
    </row>
    <row r="198">
      <c r="A198" s="154" t="s">
        <v>34478</v>
      </c>
      <c r="B198" s="108">
        <v>2.0</v>
      </c>
      <c r="C198" s="108">
        <v>0.0</v>
      </c>
      <c r="D198" s="108">
        <v>0.0</v>
      </c>
      <c r="E198" s="108">
        <v>0.0</v>
      </c>
      <c r="F198" s="108">
        <v>36.0</v>
      </c>
      <c r="G198" s="108">
        <v>65536.0</v>
      </c>
      <c r="H198" s="155">
        <v>0.0</v>
      </c>
      <c r="I198" s="156"/>
    </row>
    <row r="199">
      <c r="A199" s="154" t="s">
        <v>34479</v>
      </c>
      <c r="B199" s="108">
        <v>2.0</v>
      </c>
      <c r="C199" s="108">
        <v>0.0</v>
      </c>
      <c r="D199" s="108">
        <v>0.0</v>
      </c>
      <c r="E199" s="108">
        <v>0.0</v>
      </c>
      <c r="F199" s="108">
        <v>36.0</v>
      </c>
      <c r="G199" s="108">
        <v>65536.0</v>
      </c>
      <c r="H199" s="155">
        <v>0.0</v>
      </c>
      <c r="I199" s="156"/>
    </row>
    <row r="200">
      <c r="A200" s="154" t="s">
        <v>34480</v>
      </c>
      <c r="B200" s="108">
        <v>2.0</v>
      </c>
      <c r="C200" s="108">
        <v>0.0</v>
      </c>
      <c r="D200" s="108">
        <v>0.0</v>
      </c>
      <c r="E200" s="108">
        <v>0.0</v>
      </c>
      <c r="F200" s="108">
        <v>36.0</v>
      </c>
      <c r="G200" s="108">
        <v>65536.0</v>
      </c>
      <c r="H200" s="155">
        <v>0.0</v>
      </c>
      <c r="I200" s="156"/>
    </row>
    <row r="201">
      <c r="A201" s="154" t="s">
        <v>34481</v>
      </c>
      <c r="B201" s="108">
        <v>2.0</v>
      </c>
      <c r="C201" s="108">
        <v>0.0</v>
      </c>
      <c r="D201" s="108">
        <v>0.0</v>
      </c>
      <c r="E201" s="108">
        <v>0.0</v>
      </c>
      <c r="F201" s="108">
        <v>36.0</v>
      </c>
      <c r="G201" s="108">
        <v>65536.0</v>
      </c>
      <c r="H201" s="155">
        <v>0.0</v>
      </c>
      <c r="I201" s="156"/>
    </row>
    <row r="202">
      <c r="A202" s="154" t="s">
        <v>34482</v>
      </c>
      <c r="B202" s="108">
        <v>1.0</v>
      </c>
      <c r="C202" s="108">
        <v>0.0</v>
      </c>
      <c r="D202" s="108">
        <v>0.0</v>
      </c>
      <c r="E202" s="108">
        <v>0.0</v>
      </c>
      <c r="F202" s="108">
        <v>0.0</v>
      </c>
      <c r="G202" s="108">
        <v>32768.0</v>
      </c>
      <c r="H202" s="155">
        <v>0.0</v>
      </c>
      <c r="I202" s="156"/>
    </row>
    <row r="203">
      <c r="A203" s="154" t="s">
        <v>34121</v>
      </c>
      <c r="B203" s="108">
        <v>366.0</v>
      </c>
      <c r="C203" s="108">
        <v>624.0</v>
      </c>
      <c r="D203" s="108">
        <v>0.0</v>
      </c>
      <c r="E203" s="108">
        <v>0.0</v>
      </c>
      <c r="F203" s="108">
        <v>6.1600086E7</v>
      </c>
      <c r="G203" s="108">
        <v>1.43958016E8</v>
      </c>
      <c r="H203" s="155">
        <v>0.0</v>
      </c>
      <c r="I203" s="156"/>
    </row>
    <row r="204">
      <c r="A204" s="154" t="s">
        <v>34048</v>
      </c>
      <c r="B204" s="108">
        <v>46.0</v>
      </c>
      <c r="C204" s="108">
        <v>7.0</v>
      </c>
      <c r="D204" s="108">
        <v>0.0</v>
      </c>
      <c r="E204" s="108">
        <v>0.0</v>
      </c>
      <c r="F204" s="108">
        <v>1.00298335E8</v>
      </c>
      <c r="G204" s="108">
        <v>1.22650624E8</v>
      </c>
      <c r="H204" s="155">
        <v>0.0</v>
      </c>
      <c r="I204" s="156"/>
    </row>
    <row r="205">
      <c r="A205" s="154" t="s">
        <v>34181</v>
      </c>
      <c r="B205" s="108">
        <v>43.0</v>
      </c>
      <c r="C205" s="108">
        <v>45.0</v>
      </c>
      <c r="D205" s="108">
        <v>0.0</v>
      </c>
      <c r="E205" s="108">
        <v>0.0</v>
      </c>
      <c r="F205" s="108">
        <v>7831486.0</v>
      </c>
      <c r="G205" s="108">
        <v>2.0176896E7</v>
      </c>
      <c r="H205" s="155">
        <v>0.0</v>
      </c>
      <c r="I205" s="156"/>
    </row>
    <row r="206">
      <c r="A206" s="154" t="s">
        <v>1560</v>
      </c>
      <c r="B206" s="108">
        <v>919.0</v>
      </c>
      <c r="C206" s="108">
        <v>10232.0</v>
      </c>
      <c r="D206" s="108">
        <v>0.0</v>
      </c>
      <c r="E206" s="108">
        <v>0.0</v>
      </c>
      <c r="F206" s="108">
        <v>1.7525002339E11</v>
      </c>
      <c r="G206" s="108">
        <v>2.1168545792E11</v>
      </c>
      <c r="H206" s="155">
        <v>0.0</v>
      </c>
      <c r="I206" s="156"/>
    </row>
    <row r="207">
      <c r="A207" s="154" t="s">
        <v>34483</v>
      </c>
      <c r="B207" s="108">
        <v>8.0</v>
      </c>
      <c r="C207" s="108">
        <v>0.0</v>
      </c>
      <c r="D207" s="108">
        <v>0.0</v>
      </c>
      <c r="E207" s="108">
        <v>0.0</v>
      </c>
      <c r="F207" s="108">
        <v>321.0</v>
      </c>
      <c r="G207" s="108">
        <v>262144.0</v>
      </c>
      <c r="H207" s="155">
        <v>0.0</v>
      </c>
      <c r="I207" s="156"/>
    </row>
    <row r="208">
      <c r="A208" s="154" t="s">
        <v>34175</v>
      </c>
      <c r="B208" s="108">
        <v>137.0</v>
      </c>
      <c r="C208" s="108">
        <v>1031.0</v>
      </c>
      <c r="D208" s="108">
        <v>0.0</v>
      </c>
      <c r="E208" s="108">
        <v>0.0</v>
      </c>
      <c r="F208" s="108">
        <v>1.711188174E9</v>
      </c>
      <c r="G208" s="108">
        <v>2.212683776E9</v>
      </c>
      <c r="H208" s="155">
        <v>0.0</v>
      </c>
      <c r="I208" s="156"/>
    </row>
    <row r="209">
      <c r="A209" s="154" t="s">
        <v>1675</v>
      </c>
      <c r="B209" s="108">
        <v>29.0</v>
      </c>
      <c r="C209" s="108">
        <v>8.0</v>
      </c>
      <c r="D209" s="108">
        <v>0.0</v>
      </c>
      <c r="E209" s="108">
        <v>0.0</v>
      </c>
      <c r="F209" s="108">
        <v>3066092.0</v>
      </c>
      <c r="G209" s="108">
        <v>5734400.0</v>
      </c>
      <c r="H209" s="155">
        <v>0.0</v>
      </c>
      <c r="I209" s="156"/>
    </row>
    <row r="210">
      <c r="A210" s="154" t="s">
        <v>34484</v>
      </c>
      <c r="B210" s="108">
        <v>43.0</v>
      </c>
      <c r="C210" s="108">
        <v>2.0</v>
      </c>
      <c r="D210" s="108">
        <v>0.0</v>
      </c>
      <c r="E210" s="108">
        <v>0.0</v>
      </c>
      <c r="F210" s="108">
        <v>14057.0</v>
      </c>
      <c r="G210" s="108">
        <v>1458176.0</v>
      </c>
      <c r="H210" s="155">
        <v>0.0</v>
      </c>
      <c r="I210" s="156"/>
    </row>
    <row r="211">
      <c r="A211" s="154" t="s">
        <v>34485</v>
      </c>
      <c r="B211" s="108">
        <v>10.0</v>
      </c>
      <c r="C211" s="108">
        <v>0.0</v>
      </c>
      <c r="D211" s="108">
        <v>0.0</v>
      </c>
      <c r="E211" s="108">
        <v>0.0</v>
      </c>
      <c r="F211" s="108">
        <v>363.0</v>
      </c>
      <c r="G211" s="108">
        <v>327680.0</v>
      </c>
      <c r="H211" s="155">
        <v>0.0</v>
      </c>
      <c r="I211" s="156"/>
    </row>
    <row r="212">
      <c r="A212" s="154" t="s">
        <v>34060</v>
      </c>
      <c r="B212" s="108">
        <v>1044.0</v>
      </c>
      <c r="C212" s="108">
        <v>245586.0</v>
      </c>
      <c r="D212" s="108">
        <v>0.0</v>
      </c>
      <c r="E212" s="108">
        <v>0.0</v>
      </c>
      <c r="F212" s="108">
        <v>1.664273273449E12</v>
      </c>
      <c r="G212" s="108">
        <v>2.041210437632E12</v>
      </c>
      <c r="H212" s="155">
        <v>0.0</v>
      </c>
      <c r="I212" s="156"/>
    </row>
    <row r="213">
      <c r="A213" s="154" t="s">
        <v>1464</v>
      </c>
      <c r="B213" s="108">
        <v>52.0</v>
      </c>
      <c r="C213" s="108">
        <v>0.0</v>
      </c>
      <c r="D213" s="108">
        <v>0.0</v>
      </c>
      <c r="E213" s="108">
        <v>0.0</v>
      </c>
      <c r="F213" s="108">
        <v>2016.0</v>
      </c>
      <c r="G213" s="108">
        <v>1703936.0</v>
      </c>
      <c r="H213" s="155">
        <v>0.0</v>
      </c>
      <c r="I213" s="156"/>
    </row>
    <row r="214">
      <c r="A214" s="154" t="s">
        <v>34170</v>
      </c>
      <c r="B214" s="108">
        <v>23.0</v>
      </c>
      <c r="C214" s="108">
        <v>244.0</v>
      </c>
      <c r="D214" s="108">
        <v>0.0</v>
      </c>
      <c r="E214" s="108">
        <v>0.0</v>
      </c>
      <c r="F214" s="108">
        <v>3.4671635317E10</v>
      </c>
      <c r="G214" s="108">
        <v>4.1716015104E10</v>
      </c>
      <c r="H214" s="155">
        <v>0.0</v>
      </c>
      <c r="I214" s="156"/>
    </row>
    <row r="215">
      <c r="A215" s="154" t="s">
        <v>1858</v>
      </c>
      <c r="B215" s="108">
        <v>34.0</v>
      </c>
      <c r="C215" s="108">
        <v>0.0</v>
      </c>
      <c r="D215" s="108">
        <v>0.0</v>
      </c>
      <c r="E215" s="108">
        <v>0.0</v>
      </c>
      <c r="F215" s="108">
        <v>1262.0</v>
      </c>
      <c r="G215" s="108">
        <v>1114112.0</v>
      </c>
      <c r="H215" s="155">
        <v>0.0</v>
      </c>
      <c r="I215" s="156"/>
    </row>
    <row r="216">
      <c r="A216" s="154" t="s">
        <v>34486</v>
      </c>
      <c r="B216" s="108">
        <v>70.0</v>
      </c>
      <c r="C216" s="108">
        <v>0.0</v>
      </c>
      <c r="D216" s="108">
        <v>0.0</v>
      </c>
      <c r="E216" s="108">
        <v>0.0</v>
      </c>
      <c r="F216" s="108">
        <v>2492.0</v>
      </c>
      <c r="G216" s="108">
        <v>2293760.0</v>
      </c>
      <c r="H216" s="155">
        <v>0.0</v>
      </c>
      <c r="I216" s="156"/>
    </row>
    <row r="217">
      <c r="A217" s="154" t="s">
        <v>1615</v>
      </c>
      <c r="B217" s="108">
        <v>24.0</v>
      </c>
      <c r="C217" s="108">
        <v>0.0</v>
      </c>
      <c r="D217" s="108">
        <v>0.0</v>
      </c>
      <c r="E217" s="108">
        <v>0.0</v>
      </c>
      <c r="F217" s="108">
        <v>791.0</v>
      </c>
      <c r="G217" s="108">
        <v>786432.0</v>
      </c>
      <c r="H217" s="155">
        <v>0.0</v>
      </c>
      <c r="I217" s="156"/>
    </row>
    <row r="218">
      <c r="A218" s="154" t="s">
        <v>34487</v>
      </c>
      <c r="B218" s="108">
        <v>29.0</v>
      </c>
      <c r="C218" s="108">
        <v>0.0</v>
      </c>
      <c r="D218" s="108">
        <v>0.0</v>
      </c>
      <c r="E218" s="108">
        <v>0.0</v>
      </c>
      <c r="F218" s="108">
        <v>999.0</v>
      </c>
      <c r="G218" s="108">
        <v>950272.0</v>
      </c>
      <c r="H218" s="155">
        <v>0.0</v>
      </c>
      <c r="I218" s="156"/>
    </row>
    <row r="219">
      <c r="A219" s="154" t="s">
        <v>1809</v>
      </c>
      <c r="B219" s="108">
        <v>43.0</v>
      </c>
      <c r="C219" s="108">
        <v>0.0</v>
      </c>
      <c r="D219" s="108">
        <v>0.0</v>
      </c>
      <c r="E219" s="108">
        <v>0.0</v>
      </c>
      <c r="F219" s="108">
        <v>1397.0</v>
      </c>
      <c r="G219" s="108">
        <v>1409024.0</v>
      </c>
      <c r="H219" s="155">
        <v>0.0</v>
      </c>
      <c r="I219" s="156"/>
    </row>
    <row r="220">
      <c r="A220" s="154" t="s">
        <v>1457</v>
      </c>
      <c r="B220" s="108">
        <v>44.0</v>
      </c>
      <c r="C220" s="108">
        <v>0.0</v>
      </c>
      <c r="D220" s="108">
        <v>0.0</v>
      </c>
      <c r="E220" s="108">
        <v>0.0</v>
      </c>
      <c r="F220" s="108">
        <v>1374.0</v>
      </c>
      <c r="G220" s="108">
        <v>1441792.0</v>
      </c>
      <c r="H220" s="155">
        <v>0.0</v>
      </c>
      <c r="I220" s="156"/>
    </row>
    <row r="221">
      <c r="A221" s="154" t="s">
        <v>34488</v>
      </c>
      <c r="B221" s="108">
        <v>41.0</v>
      </c>
      <c r="C221" s="108">
        <v>0.0</v>
      </c>
      <c r="D221" s="108">
        <v>0.0</v>
      </c>
      <c r="E221" s="108">
        <v>0.0</v>
      </c>
      <c r="F221" s="108">
        <v>1363.0</v>
      </c>
      <c r="G221" s="108">
        <v>1343488.0</v>
      </c>
      <c r="H221" s="155">
        <v>0.0</v>
      </c>
      <c r="I221" s="156"/>
    </row>
    <row r="222">
      <c r="A222" s="154" t="s">
        <v>34489</v>
      </c>
      <c r="B222" s="108">
        <v>29.0</v>
      </c>
      <c r="C222" s="108">
        <v>0.0</v>
      </c>
      <c r="D222" s="108">
        <v>0.0</v>
      </c>
      <c r="E222" s="108">
        <v>0.0</v>
      </c>
      <c r="F222" s="108">
        <v>901.0</v>
      </c>
      <c r="G222" s="108">
        <v>950272.0</v>
      </c>
      <c r="H222" s="155">
        <v>0.0</v>
      </c>
      <c r="I222" s="156"/>
    </row>
    <row r="223">
      <c r="A223" s="154" t="s">
        <v>34490</v>
      </c>
      <c r="B223" s="108">
        <v>28.0</v>
      </c>
      <c r="C223" s="108">
        <v>0.0</v>
      </c>
      <c r="D223" s="108">
        <v>0.0</v>
      </c>
      <c r="E223" s="108">
        <v>0.0</v>
      </c>
      <c r="F223" s="108">
        <v>977.0</v>
      </c>
      <c r="G223" s="108">
        <v>917504.0</v>
      </c>
      <c r="H223" s="155">
        <v>0.0</v>
      </c>
      <c r="I223" s="156"/>
    </row>
    <row r="224">
      <c r="A224" s="154" t="s">
        <v>34491</v>
      </c>
      <c r="B224" s="108">
        <v>1.0</v>
      </c>
      <c r="C224" s="108">
        <v>0.0</v>
      </c>
      <c r="D224" s="108">
        <v>0.0</v>
      </c>
      <c r="E224" s="108">
        <v>0.0</v>
      </c>
      <c r="F224" s="108">
        <v>0.0</v>
      </c>
      <c r="G224" s="108">
        <v>32768.0</v>
      </c>
      <c r="H224" s="155">
        <v>0.0</v>
      </c>
      <c r="I224" s="156"/>
    </row>
    <row r="225">
      <c r="A225" s="154" t="s">
        <v>34492</v>
      </c>
      <c r="B225" s="108">
        <v>28.0</v>
      </c>
      <c r="C225" s="108">
        <v>0.0</v>
      </c>
      <c r="D225" s="108">
        <v>0.0</v>
      </c>
      <c r="E225" s="108">
        <v>0.0</v>
      </c>
      <c r="F225" s="108">
        <v>999.0</v>
      </c>
      <c r="G225" s="108">
        <v>917504.0</v>
      </c>
      <c r="H225" s="155">
        <v>0.0</v>
      </c>
      <c r="I225" s="156"/>
    </row>
    <row r="226">
      <c r="A226" s="154" t="s">
        <v>34493</v>
      </c>
      <c r="B226" s="108">
        <v>4.0</v>
      </c>
      <c r="C226" s="108">
        <v>0.0</v>
      </c>
      <c r="D226" s="108">
        <v>0.0</v>
      </c>
      <c r="E226" s="108">
        <v>0.0</v>
      </c>
      <c r="F226" s="108">
        <v>94.0</v>
      </c>
      <c r="G226" s="108">
        <v>131072.0</v>
      </c>
      <c r="H226" s="155">
        <v>0.0</v>
      </c>
      <c r="I226" s="156"/>
    </row>
    <row r="227">
      <c r="A227" s="154" t="s">
        <v>34494</v>
      </c>
      <c r="B227" s="108">
        <v>20.0</v>
      </c>
      <c r="C227" s="108">
        <v>0.0</v>
      </c>
      <c r="D227" s="108">
        <v>0.0</v>
      </c>
      <c r="E227" s="108">
        <v>0.0</v>
      </c>
      <c r="F227" s="108">
        <v>586.0</v>
      </c>
      <c r="G227" s="108">
        <v>655360.0</v>
      </c>
      <c r="H227" s="155">
        <v>0.0</v>
      </c>
      <c r="I227" s="156"/>
    </row>
    <row r="228">
      <c r="A228" s="154" t="s">
        <v>34495</v>
      </c>
      <c r="B228" s="108">
        <v>1.0</v>
      </c>
      <c r="C228" s="108">
        <v>0.0</v>
      </c>
      <c r="D228" s="108">
        <v>0.0</v>
      </c>
      <c r="E228" s="108">
        <v>0.0</v>
      </c>
      <c r="F228" s="108">
        <v>0.0</v>
      </c>
      <c r="G228" s="108">
        <v>32768.0</v>
      </c>
      <c r="H228" s="155">
        <v>0.0</v>
      </c>
      <c r="I228" s="156"/>
    </row>
    <row r="229">
      <c r="A229" s="154" t="s">
        <v>34496</v>
      </c>
      <c r="B229" s="108">
        <v>14.0</v>
      </c>
      <c r="C229" s="108">
        <v>0.0</v>
      </c>
      <c r="D229" s="108">
        <v>0.0</v>
      </c>
      <c r="E229" s="108">
        <v>0.0</v>
      </c>
      <c r="F229" s="108">
        <v>435.0</v>
      </c>
      <c r="G229" s="108">
        <v>458752.0</v>
      </c>
      <c r="H229" s="155">
        <v>0.0</v>
      </c>
      <c r="I229" s="156"/>
    </row>
    <row r="230">
      <c r="A230" s="154" t="s">
        <v>34497</v>
      </c>
      <c r="B230" s="108">
        <v>2.0</v>
      </c>
      <c r="C230" s="108">
        <v>0.0</v>
      </c>
      <c r="D230" s="108">
        <v>0.0</v>
      </c>
      <c r="E230" s="108">
        <v>0.0</v>
      </c>
      <c r="F230" s="108">
        <v>27.0</v>
      </c>
      <c r="G230" s="108">
        <v>65536.0</v>
      </c>
      <c r="H230" s="155">
        <v>0.0</v>
      </c>
      <c r="I230" s="156"/>
    </row>
    <row r="231">
      <c r="A231" s="154" t="s">
        <v>34084</v>
      </c>
      <c r="B231" s="108">
        <v>246.0</v>
      </c>
      <c r="C231" s="108">
        <v>1896.0</v>
      </c>
      <c r="D231" s="108">
        <v>0.0</v>
      </c>
      <c r="E231" s="108">
        <v>0.0</v>
      </c>
      <c r="F231" s="108">
        <v>7.433837931E9</v>
      </c>
      <c r="G231" s="108">
        <v>9.219751936E9</v>
      </c>
      <c r="H231" s="155">
        <v>0.0</v>
      </c>
      <c r="I231" s="156"/>
    </row>
    <row r="232">
      <c r="A232" s="154" t="s">
        <v>34498</v>
      </c>
      <c r="B232" s="108">
        <v>11.0</v>
      </c>
      <c r="C232" s="108">
        <v>0.0</v>
      </c>
      <c r="D232" s="108">
        <v>0.0</v>
      </c>
      <c r="E232" s="108">
        <v>0.0</v>
      </c>
      <c r="F232" s="108">
        <v>359.0</v>
      </c>
      <c r="G232" s="108">
        <v>360448.0</v>
      </c>
      <c r="H232" s="155">
        <v>0.0</v>
      </c>
      <c r="I232" s="156"/>
    </row>
    <row r="233">
      <c r="A233" s="154" t="s">
        <v>34078</v>
      </c>
      <c r="B233" s="108">
        <v>42.0</v>
      </c>
      <c r="C233" s="108">
        <v>73.0</v>
      </c>
      <c r="D233" s="108">
        <v>0.0</v>
      </c>
      <c r="E233" s="108">
        <v>0.0</v>
      </c>
      <c r="F233" s="108">
        <v>4556309.0</v>
      </c>
      <c r="G233" s="108">
        <v>1.6146432E7</v>
      </c>
      <c r="H233" s="155">
        <v>0.0</v>
      </c>
      <c r="I233" s="156"/>
    </row>
    <row r="234">
      <c r="A234" s="154" t="s">
        <v>34092</v>
      </c>
      <c r="B234" s="108">
        <v>9963.0</v>
      </c>
      <c r="C234" s="108">
        <v>30679.0</v>
      </c>
      <c r="D234" s="108">
        <v>0.0</v>
      </c>
      <c r="E234" s="108">
        <v>0.0</v>
      </c>
      <c r="F234" s="108">
        <v>4.19686090494E11</v>
      </c>
      <c r="G234" s="108">
        <v>5.09126950912E11</v>
      </c>
      <c r="H234" s="155">
        <v>0.0</v>
      </c>
      <c r="I234" s="156"/>
    </row>
    <row r="235">
      <c r="A235" s="154" t="s">
        <v>34075</v>
      </c>
      <c r="B235" s="108">
        <v>98.0</v>
      </c>
      <c r="C235" s="108">
        <v>7.0</v>
      </c>
      <c r="D235" s="108">
        <v>0.0</v>
      </c>
      <c r="E235" s="108">
        <v>0.0</v>
      </c>
      <c r="F235" s="108">
        <v>517262.0</v>
      </c>
      <c r="G235" s="108">
        <v>4964352.0</v>
      </c>
      <c r="H235" s="155">
        <v>0.0</v>
      </c>
      <c r="I235" s="156"/>
    </row>
    <row r="236">
      <c r="A236" s="154" t="s">
        <v>34499</v>
      </c>
      <c r="B236" s="108">
        <v>53.0</v>
      </c>
      <c r="C236" s="108">
        <v>0.0</v>
      </c>
      <c r="D236" s="108">
        <v>0.0</v>
      </c>
      <c r="E236" s="108">
        <v>0.0</v>
      </c>
      <c r="F236" s="108">
        <v>1653.0</v>
      </c>
      <c r="G236" s="108">
        <v>1736704.0</v>
      </c>
      <c r="H236" s="155">
        <v>0.0</v>
      </c>
      <c r="I236" s="156"/>
    </row>
    <row r="237">
      <c r="A237" s="154" t="s">
        <v>34194</v>
      </c>
      <c r="B237" s="108">
        <v>137343.0</v>
      </c>
      <c r="C237" s="108">
        <v>532575.0</v>
      </c>
      <c r="D237" s="108">
        <v>0.0</v>
      </c>
      <c r="E237" s="108">
        <v>0.0</v>
      </c>
      <c r="F237" s="108">
        <v>2.89885939417E11</v>
      </c>
      <c r="G237" s="108">
        <v>3.89485207552E11</v>
      </c>
      <c r="H237" s="155">
        <v>0.0</v>
      </c>
      <c r="I237" s="156"/>
    </row>
    <row r="238">
      <c r="A238" s="154" t="s">
        <v>34500</v>
      </c>
      <c r="B238" s="108">
        <v>37.0</v>
      </c>
      <c r="C238" s="108">
        <v>0.0</v>
      </c>
      <c r="D238" s="108">
        <v>0.0</v>
      </c>
      <c r="E238" s="108">
        <v>0.0</v>
      </c>
      <c r="F238" s="108">
        <v>1255.0</v>
      </c>
      <c r="G238" s="108">
        <v>1212416.0</v>
      </c>
      <c r="H238" s="155">
        <v>0.0</v>
      </c>
      <c r="I238" s="156"/>
    </row>
    <row r="239">
      <c r="A239" s="154" t="s">
        <v>34501</v>
      </c>
      <c r="B239" s="108">
        <v>10.0</v>
      </c>
      <c r="C239" s="108">
        <v>0.0</v>
      </c>
      <c r="D239" s="108">
        <v>0.0</v>
      </c>
      <c r="E239" s="108">
        <v>0.0</v>
      </c>
      <c r="F239" s="108">
        <v>290.0</v>
      </c>
      <c r="G239" s="108">
        <v>327680.0</v>
      </c>
      <c r="H239" s="155">
        <v>0.0</v>
      </c>
      <c r="I239" s="156"/>
    </row>
    <row r="240">
      <c r="A240" s="154" t="s">
        <v>34502</v>
      </c>
      <c r="B240" s="108">
        <v>4.0</v>
      </c>
      <c r="C240" s="108">
        <v>0.0</v>
      </c>
      <c r="D240" s="108">
        <v>0.0</v>
      </c>
      <c r="E240" s="108">
        <v>0.0</v>
      </c>
      <c r="F240" s="108">
        <v>100.0</v>
      </c>
      <c r="G240" s="108">
        <v>131072.0</v>
      </c>
      <c r="H240" s="155">
        <v>0.0</v>
      </c>
      <c r="I240" s="156"/>
    </row>
    <row r="241">
      <c r="A241" s="154" t="s">
        <v>34503</v>
      </c>
      <c r="B241" s="108">
        <v>46.0</v>
      </c>
      <c r="C241" s="108">
        <v>0.0</v>
      </c>
      <c r="D241" s="108">
        <v>0.0</v>
      </c>
      <c r="E241" s="108">
        <v>0.0</v>
      </c>
      <c r="F241" s="108">
        <v>1413.0</v>
      </c>
      <c r="G241" s="108">
        <v>1507328.0</v>
      </c>
      <c r="H241" s="155">
        <v>0.0</v>
      </c>
      <c r="I241" s="156"/>
    </row>
    <row r="242">
      <c r="A242" s="154" t="s">
        <v>34504</v>
      </c>
      <c r="B242" s="108">
        <v>16.0</v>
      </c>
      <c r="C242" s="108">
        <v>0.0</v>
      </c>
      <c r="D242" s="108">
        <v>0.0</v>
      </c>
      <c r="E242" s="108">
        <v>0.0</v>
      </c>
      <c r="F242" s="108">
        <v>658.0</v>
      </c>
      <c r="G242" s="108">
        <v>524288.0</v>
      </c>
      <c r="H242" s="155">
        <v>0.0</v>
      </c>
      <c r="I242" s="156"/>
    </row>
    <row r="243">
      <c r="A243" s="154" t="s">
        <v>34505</v>
      </c>
      <c r="B243" s="108">
        <v>10.0</v>
      </c>
      <c r="C243" s="108">
        <v>0.0</v>
      </c>
      <c r="D243" s="108">
        <v>0.0</v>
      </c>
      <c r="E243" s="108">
        <v>0.0</v>
      </c>
      <c r="F243" s="108">
        <v>279.0</v>
      </c>
      <c r="G243" s="108">
        <v>327680.0</v>
      </c>
      <c r="H243" s="155">
        <v>0.0</v>
      </c>
      <c r="I243" s="156"/>
    </row>
    <row r="244">
      <c r="A244" s="154" t="s">
        <v>34506</v>
      </c>
      <c r="B244" s="108">
        <v>34.0</v>
      </c>
      <c r="C244" s="108">
        <v>0.0</v>
      </c>
      <c r="D244" s="108">
        <v>0.0</v>
      </c>
      <c r="E244" s="108">
        <v>0.0</v>
      </c>
      <c r="F244" s="108">
        <v>1164.0</v>
      </c>
      <c r="G244" s="108">
        <v>1114112.0</v>
      </c>
      <c r="H244" s="155">
        <v>0.0</v>
      </c>
      <c r="I244" s="156"/>
    </row>
    <row r="245">
      <c r="A245" s="154" t="s">
        <v>34507</v>
      </c>
      <c r="B245" s="108">
        <v>54.0</v>
      </c>
      <c r="C245" s="108">
        <v>0.0</v>
      </c>
      <c r="D245" s="108">
        <v>0.0</v>
      </c>
      <c r="E245" s="108">
        <v>0.0</v>
      </c>
      <c r="F245" s="108">
        <v>1743.0</v>
      </c>
      <c r="G245" s="108">
        <v>1769472.0</v>
      </c>
      <c r="H245" s="155">
        <v>0.0</v>
      </c>
      <c r="I245" s="156"/>
    </row>
    <row r="246">
      <c r="A246" s="154" t="s">
        <v>34508</v>
      </c>
      <c r="B246" s="108">
        <v>53.0</v>
      </c>
      <c r="C246" s="108">
        <v>0.0</v>
      </c>
      <c r="D246" s="108">
        <v>0.0</v>
      </c>
      <c r="E246" s="108">
        <v>0.0</v>
      </c>
      <c r="F246" s="108">
        <v>1582.0</v>
      </c>
      <c r="G246" s="108">
        <v>1736704.0</v>
      </c>
      <c r="H246" s="155">
        <v>0.0</v>
      </c>
      <c r="I246" s="156"/>
    </row>
    <row r="247">
      <c r="A247" s="154" t="s">
        <v>34509</v>
      </c>
      <c r="B247" s="108">
        <v>30.0</v>
      </c>
      <c r="C247" s="108">
        <v>0.0</v>
      </c>
      <c r="D247" s="108">
        <v>0.0</v>
      </c>
      <c r="E247" s="108">
        <v>0.0</v>
      </c>
      <c r="F247" s="108">
        <v>1081.0</v>
      </c>
      <c r="G247" s="108">
        <v>983040.0</v>
      </c>
      <c r="H247" s="155">
        <v>0.0</v>
      </c>
      <c r="I247" s="156"/>
    </row>
    <row r="248">
      <c r="A248" s="154" t="s">
        <v>34510</v>
      </c>
      <c r="B248" s="108">
        <v>21.0</v>
      </c>
      <c r="C248" s="108">
        <v>0.0</v>
      </c>
      <c r="D248" s="108">
        <v>0.0</v>
      </c>
      <c r="E248" s="108">
        <v>0.0</v>
      </c>
      <c r="F248" s="108">
        <v>606.0</v>
      </c>
      <c r="G248" s="108">
        <v>688128.0</v>
      </c>
      <c r="H248" s="155">
        <v>0.0</v>
      </c>
      <c r="I248" s="156"/>
    </row>
    <row r="249">
      <c r="A249" s="154" t="s">
        <v>34511</v>
      </c>
      <c r="B249" s="108">
        <v>11.0</v>
      </c>
      <c r="C249" s="108">
        <v>0.0</v>
      </c>
      <c r="D249" s="108">
        <v>0.0</v>
      </c>
      <c r="E249" s="108">
        <v>0.0</v>
      </c>
      <c r="F249" s="108">
        <v>304.0</v>
      </c>
      <c r="G249" s="108">
        <v>360448.0</v>
      </c>
      <c r="H249" s="155">
        <v>0.0</v>
      </c>
      <c r="I249" s="156"/>
    </row>
    <row r="250">
      <c r="A250" s="154" t="s">
        <v>34076</v>
      </c>
      <c r="B250" s="108">
        <v>38.0</v>
      </c>
      <c r="C250" s="108">
        <v>558.0</v>
      </c>
      <c r="D250" s="108">
        <v>0.0</v>
      </c>
      <c r="E250" s="108">
        <v>0.0</v>
      </c>
      <c r="F250" s="108">
        <v>1.4660086525E10</v>
      </c>
      <c r="G250" s="108">
        <v>1.7710006272E10</v>
      </c>
      <c r="H250" s="155">
        <v>0.0</v>
      </c>
      <c r="I250" s="156"/>
    </row>
    <row r="251">
      <c r="A251" s="154" t="s">
        <v>34512</v>
      </c>
      <c r="B251" s="108">
        <v>4.0</v>
      </c>
      <c r="C251" s="108">
        <v>0.0</v>
      </c>
      <c r="D251" s="108">
        <v>0.0</v>
      </c>
      <c r="E251" s="108">
        <v>0.0</v>
      </c>
      <c r="F251" s="108">
        <v>94.0</v>
      </c>
      <c r="G251" s="108">
        <v>131072.0</v>
      </c>
      <c r="H251" s="155">
        <v>0.0</v>
      </c>
      <c r="I251" s="156"/>
    </row>
    <row r="252">
      <c r="A252" s="154" t="s">
        <v>34102</v>
      </c>
      <c r="B252" s="108">
        <v>241.0</v>
      </c>
      <c r="C252" s="108">
        <v>670.0</v>
      </c>
      <c r="D252" s="108">
        <v>0.0</v>
      </c>
      <c r="E252" s="108">
        <v>0.0</v>
      </c>
      <c r="F252" s="108">
        <v>9.3060467E7</v>
      </c>
      <c r="G252" s="108">
        <v>2.01097216E8</v>
      </c>
      <c r="H252" s="155">
        <v>0.0</v>
      </c>
      <c r="I252" s="156"/>
    </row>
    <row r="253">
      <c r="A253" s="154" t="s">
        <v>34513</v>
      </c>
      <c r="B253" s="108">
        <v>30.0</v>
      </c>
      <c r="C253" s="108">
        <v>0.0</v>
      </c>
      <c r="D253" s="108">
        <v>0.0</v>
      </c>
      <c r="E253" s="108">
        <v>0.0</v>
      </c>
      <c r="F253" s="108">
        <v>983.0</v>
      </c>
      <c r="G253" s="108">
        <v>983040.0</v>
      </c>
      <c r="H253" s="155">
        <v>0.0</v>
      </c>
      <c r="I253" s="156"/>
    </row>
    <row r="254">
      <c r="A254" s="154" t="s">
        <v>34514</v>
      </c>
      <c r="B254" s="108">
        <v>2.0</v>
      </c>
      <c r="C254" s="108">
        <v>0.0</v>
      </c>
      <c r="D254" s="108">
        <v>0.0</v>
      </c>
      <c r="E254" s="108">
        <v>0.0</v>
      </c>
      <c r="F254" s="108">
        <v>27.0</v>
      </c>
      <c r="G254" s="108">
        <v>65536.0</v>
      </c>
      <c r="H254" s="155">
        <v>0.0</v>
      </c>
      <c r="I254" s="156"/>
    </row>
    <row r="255">
      <c r="A255" s="154" t="s">
        <v>34103</v>
      </c>
      <c r="B255" s="108">
        <v>379.0</v>
      </c>
      <c r="C255" s="108">
        <v>405.0</v>
      </c>
      <c r="D255" s="108">
        <v>0.0</v>
      </c>
      <c r="E255" s="108">
        <v>0.0</v>
      </c>
      <c r="F255" s="108">
        <v>3.403034893E9</v>
      </c>
      <c r="G255" s="108">
        <v>4.150730752E9</v>
      </c>
      <c r="H255" s="155">
        <v>0.0</v>
      </c>
      <c r="I255" s="156"/>
    </row>
    <row r="256">
      <c r="A256" s="154" t="s">
        <v>34062</v>
      </c>
      <c r="B256" s="108">
        <v>16182.0</v>
      </c>
      <c r="C256" s="108">
        <v>185216.0</v>
      </c>
      <c r="D256" s="108">
        <v>0.0</v>
      </c>
      <c r="E256" s="108">
        <v>0.0</v>
      </c>
      <c r="F256" s="108">
        <v>7.89906948602E11</v>
      </c>
      <c r="G256" s="108">
        <v>9.76903053312E11</v>
      </c>
      <c r="H256" s="155">
        <v>0.0</v>
      </c>
      <c r="I256" s="156"/>
    </row>
    <row r="257">
      <c r="A257" s="154" t="s">
        <v>34515</v>
      </c>
      <c r="B257" s="108">
        <v>20.0</v>
      </c>
      <c r="C257" s="108">
        <v>55046.0</v>
      </c>
      <c r="D257" s="108">
        <v>0.0</v>
      </c>
      <c r="E257" s="108">
        <v>0.0</v>
      </c>
      <c r="F257" s="108">
        <v>3.441009843323E12</v>
      </c>
      <c r="G257" s="108">
        <v>3.665475526656E12</v>
      </c>
      <c r="H257" s="155">
        <v>0.0</v>
      </c>
      <c r="I257" s="156"/>
    </row>
    <row r="258">
      <c r="A258" s="154" t="s">
        <v>1582</v>
      </c>
      <c r="B258" s="108">
        <v>17.0</v>
      </c>
      <c r="C258" s="108">
        <v>2.0</v>
      </c>
      <c r="D258" s="108">
        <v>0.0</v>
      </c>
      <c r="E258" s="108">
        <v>0.0</v>
      </c>
      <c r="F258" s="108">
        <v>1.018626113E9</v>
      </c>
      <c r="G258" s="108">
        <v>1.225367552E9</v>
      </c>
      <c r="H258" s="155">
        <v>0.0</v>
      </c>
      <c r="I258" s="156"/>
    </row>
    <row r="259">
      <c r="A259" s="154" t="s">
        <v>1791</v>
      </c>
      <c r="B259" s="108">
        <v>13.0</v>
      </c>
      <c r="C259" s="108">
        <v>2.0</v>
      </c>
      <c r="D259" s="108">
        <v>0.0</v>
      </c>
      <c r="E259" s="108">
        <v>0.0</v>
      </c>
      <c r="F259" s="108">
        <v>28144.0</v>
      </c>
      <c r="G259" s="108">
        <v>548864.0</v>
      </c>
      <c r="H259" s="155">
        <v>0.0</v>
      </c>
      <c r="I259" s="156"/>
    </row>
    <row r="260">
      <c r="A260" s="154" t="s">
        <v>34214</v>
      </c>
      <c r="B260" s="108">
        <v>877.0</v>
      </c>
      <c r="C260" s="108">
        <v>10440.0</v>
      </c>
      <c r="D260" s="108">
        <v>0.0</v>
      </c>
      <c r="E260" s="108">
        <v>0.0</v>
      </c>
      <c r="F260" s="108">
        <v>4.8735939446E10</v>
      </c>
      <c r="G260" s="108">
        <v>6.0552388608E10</v>
      </c>
      <c r="H260" s="155">
        <v>0.0</v>
      </c>
      <c r="I260" s="156"/>
    </row>
    <row r="261">
      <c r="A261" s="154" t="s">
        <v>34161</v>
      </c>
      <c r="B261" s="108">
        <v>32.0</v>
      </c>
      <c r="C261" s="108">
        <v>18.0</v>
      </c>
      <c r="D261" s="108">
        <v>0.0</v>
      </c>
      <c r="E261" s="108">
        <v>0.0</v>
      </c>
      <c r="F261" s="108">
        <v>2501413.0</v>
      </c>
      <c r="G261" s="108">
        <v>5218304.0</v>
      </c>
      <c r="H261" s="155">
        <v>0.0</v>
      </c>
      <c r="I261" s="156"/>
    </row>
    <row r="262">
      <c r="A262" s="154" t="s">
        <v>34233</v>
      </c>
      <c r="B262" s="108">
        <v>40275.0</v>
      </c>
      <c r="C262" s="108">
        <v>347392.0</v>
      </c>
      <c r="D262" s="108">
        <v>0.0</v>
      </c>
      <c r="E262" s="108">
        <v>0.0</v>
      </c>
      <c r="F262" s="108">
        <v>4.43457132408E11</v>
      </c>
      <c r="G262" s="108">
        <v>5.8934075392E11</v>
      </c>
      <c r="H262" s="155">
        <v>0.0</v>
      </c>
      <c r="I262" s="156"/>
    </row>
    <row r="263">
      <c r="A263" s="154" t="s">
        <v>34516</v>
      </c>
      <c r="B263" s="108">
        <v>5.0</v>
      </c>
      <c r="C263" s="108">
        <v>0.0</v>
      </c>
      <c r="D263" s="108">
        <v>0.0</v>
      </c>
      <c r="E263" s="108">
        <v>0.0</v>
      </c>
      <c r="F263" s="108">
        <v>111.0</v>
      </c>
      <c r="G263" s="108">
        <v>163840.0</v>
      </c>
      <c r="H263" s="155">
        <v>0.0</v>
      </c>
      <c r="I263" s="156"/>
    </row>
    <row r="264">
      <c r="A264" s="154" t="s">
        <v>34517</v>
      </c>
      <c r="B264" s="108">
        <v>14.0</v>
      </c>
      <c r="C264" s="108">
        <v>0.0</v>
      </c>
      <c r="D264" s="108">
        <v>0.0</v>
      </c>
      <c r="E264" s="108">
        <v>0.0</v>
      </c>
      <c r="F264" s="108">
        <v>509.0</v>
      </c>
      <c r="G264" s="108">
        <v>458752.0</v>
      </c>
      <c r="H264" s="155">
        <v>0.0</v>
      </c>
      <c r="I264" s="156"/>
    </row>
    <row r="265">
      <c r="A265" s="154" t="s">
        <v>34518</v>
      </c>
      <c r="B265" s="108">
        <v>6.0</v>
      </c>
      <c r="C265" s="108">
        <v>0.0</v>
      </c>
      <c r="D265" s="108">
        <v>0.0</v>
      </c>
      <c r="E265" s="108">
        <v>0.0</v>
      </c>
      <c r="F265" s="108">
        <v>185.0</v>
      </c>
      <c r="G265" s="108">
        <v>196608.0</v>
      </c>
      <c r="H265" s="155">
        <v>0.0</v>
      </c>
      <c r="I265" s="156"/>
    </row>
    <row r="266">
      <c r="A266" s="154" t="s">
        <v>34519</v>
      </c>
      <c r="B266" s="108">
        <v>16.0</v>
      </c>
      <c r="C266" s="108">
        <v>0.0</v>
      </c>
      <c r="D266" s="108">
        <v>0.0</v>
      </c>
      <c r="E266" s="108">
        <v>0.0</v>
      </c>
      <c r="F266" s="108">
        <v>673.0</v>
      </c>
      <c r="G266" s="108">
        <v>524288.0</v>
      </c>
      <c r="H266" s="155">
        <v>0.0</v>
      </c>
      <c r="I266" s="156"/>
    </row>
    <row r="267">
      <c r="A267" s="154" t="s">
        <v>34058</v>
      </c>
      <c r="B267" s="108">
        <v>2792.0</v>
      </c>
      <c r="C267" s="108">
        <v>13760.0</v>
      </c>
      <c r="D267" s="108">
        <v>0.0</v>
      </c>
      <c r="E267" s="108">
        <v>0.0</v>
      </c>
      <c r="F267" s="108">
        <v>7.5978213898E10</v>
      </c>
      <c r="G267" s="108">
        <v>9.3401726976E10</v>
      </c>
      <c r="H267" s="155">
        <v>0.0</v>
      </c>
      <c r="I267" s="156"/>
    </row>
    <row r="268">
      <c r="A268" s="154" t="s">
        <v>34520</v>
      </c>
      <c r="B268" s="108">
        <v>1.0</v>
      </c>
      <c r="C268" s="108">
        <v>0.0</v>
      </c>
      <c r="D268" s="108">
        <v>0.0</v>
      </c>
      <c r="E268" s="108">
        <v>0.0</v>
      </c>
      <c r="F268" s="108">
        <v>0.0</v>
      </c>
      <c r="G268" s="108">
        <v>32768.0</v>
      </c>
      <c r="H268" s="155">
        <v>0.0</v>
      </c>
      <c r="I268" s="156"/>
    </row>
    <row r="269">
      <c r="A269" s="154" t="s">
        <v>34178</v>
      </c>
      <c r="B269" s="108">
        <v>33922.0</v>
      </c>
      <c r="C269" s="108">
        <v>150423.0</v>
      </c>
      <c r="D269" s="108">
        <v>0.0</v>
      </c>
      <c r="E269" s="108">
        <v>0.0</v>
      </c>
      <c r="F269" s="108">
        <v>1.00225655076E11</v>
      </c>
      <c r="G269" s="108">
        <v>1.30784919552E11</v>
      </c>
      <c r="H269" s="155">
        <v>0.0</v>
      </c>
      <c r="I269" s="156"/>
    </row>
    <row r="270">
      <c r="A270" s="154" t="s">
        <v>34003</v>
      </c>
      <c r="B270" s="108">
        <v>343.0</v>
      </c>
      <c r="C270" s="108">
        <v>1725.0</v>
      </c>
      <c r="D270" s="108">
        <v>0.0</v>
      </c>
      <c r="E270" s="108">
        <v>0.0</v>
      </c>
      <c r="F270" s="108">
        <v>6.75677232E8</v>
      </c>
      <c r="G270" s="108">
        <v>1.08326912E9</v>
      </c>
      <c r="H270" s="155">
        <v>0.0</v>
      </c>
      <c r="I270" s="156"/>
    </row>
    <row r="271">
      <c r="A271" s="154" t="s">
        <v>34521</v>
      </c>
      <c r="B271" s="108">
        <v>2.0</v>
      </c>
      <c r="C271" s="108">
        <v>1.0</v>
      </c>
      <c r="D271" s="108">
        <v>0.0</v>
      </c>
      <c r="E271" s="108">
        <v>0.0</v>
      </c>
      <c r="F271" s="108">
        <v>6202.0</v>
      </c>
      <c r="G271" s="108">
        <v>90112.0</v>
      </c>
      <c r="H271" s="155">
        <v>0.0</v>
      </c>
      <c r="I271" s="156"/>
    </row>
    <row r="272">
      <c r="A272" s="154" t="s">
        <v>34185</v>
      </c>
      <c r="B272" s="108">
        <v>43735.0</v>
      </c>
      <c r="C272" s="108">
        <v>414981.0</v>
      </c>
      <c r="D272" s="108">
        <v>0.0</v>
      </c>
      <c r="E272" s="108">
        <v>0.0</v>
      </c>
      <c r="F272" s="108">
        <v>3.07376255069E11</v>
      </c>
      <c r="G272" s="108">
        <v>4.09160638464E11</v>
      </c>
      <c r="H272" s="155">
        <v>0.0</v>
      </c>
      <c r="I272" s="156"/>
    </row>
    <row r="273">
      <c r="A273" s="154" t="s">
        <v>34522</v>
      </c>
      <c r="B273" s="108">
        <v>3.0</v>
      </c>
      <c r="C273" s="108">
        <v>0.0</v>
      </c>
      <c r="D273" s="108">
        <v>0.0</v>
      </c>
      <c r="E273" s="108">
        <v>0.0</v>
      </c>
      <c r="F273" s="108">
        <v>50.0</v>
      </c>
      <c r="G273" s="108">
        <v>98304.0</v>
      </c>
      <c r="H273" s="155">
        <v>0.0</v>
      </c>
      <c r="I273" s="156"/>
    </row>
    <row r="274">
      <c r="A274" s="154" t="s">
        <v>34523</v>
      </c>
      <c r="B274" s="108">
        <v>8.0</v>
      </c>
      <c r="C274" s="108">
        <v>0.0</v>
      </c>
      <c r="D274" s="108">
        <v>0.0</v>
      </c>
      <c r="E274" s="108">
        <v>0.0</v>
      </c>
      <c r="F274" s="108">
        <v>216.0</v>
      </c>
      <c r="G274" s="108">
        <v>262144.0</v>
      </c>
      <c r="H274" s="155">
        <v>0.0</v>
      </c>
      <c r="I274" s="156"/>
    </row>
    <row r="275">
      <c r="A275" s="154" t="s">
        <v>34524</v>
      </c>
      <c r="B275" s="108">
        <v>28.0</v>
      </c>
      <c r="C275" s="108">
        <v>0.0</v>
      </c>
      <c r="D275" s="108">
        <v>0.0</v>
      </c>
      <c r="E275" s="108">
        <v>0.0</v>
      </c>
      <c r="F275" s="108">
        <v>997.0</v>
      </c>
      <c r="G275" s="108">
        <v>917504.0</v>
      </c>
      <c r="H275" s="155">
        <v>0.0</v>
      </c>
      <c r="I275" s="156"/>
    </row>
    <row r="276">
      <c r="A276" s="154" t="s">
        <v>34525</v>
      </c>
      <c r="B276" s="108">
        <v>9.0</v>
      </c>
      <c r="C276" s="108">
        <v>0.0</v>
      </c>
      <c r="D276" s="108">
        <v>0.0</v>
      </c>
      <c r="E276" s="108">
        <v>0.0</v>
      </c>
      <c r="F276" s="108">
        <v>368.0</v>
      </c>
      <c r="G276" s="108">
        <v>294912.0</v>
      </c>
      <c r="H276" s="155">
        <v>0.0</v>
      </c>
      <c r="I276" s="156"/>
    </row>
    <row r="277">
      <c r="A277" s="154" t="s">
        <v>34526</v>
      </c>
      <c r="B277" s="108">
        <v>20.0</v>
      </c>
      <c r="C277" s="108">
        <v>0.0</v>
      </c>
      <c r="D277" s="108">
        <v>0.0</v>
      </c>
      <c r="E277" s="108">
        <v>0.0</v>
      </c>
      <c r="F277" s="108">
        <v>640.0</v>
      </c>
      <c r="G277" s="108">
        <v>655360.0</v>
      </c>
      <c r="H277" s="155">
        <v>0.0</v>
      </c>
      <c r="I277" s="156"/>
    </row>
    <row r="278">
      <c r="A278" s="154" t="s">
        <v>34527</v>
      </c>
      <c r="B278" s="108">
        <v>1.0</v>
      </c>
      <c r="C278" s="108">
        <v>0.0</v>
      </c>
      <c r="D278" s="108">
        <v>0.0</v>
      </c>
      <c r="E278" s="108">
        <v>0.0</v>
      </c>
      <c r="F278" s="108">
        <v>0.0</v>
      </c>
      <c r="G278" s="108">
        <v>32768.0</v>
      </c>
      <c r="H278" s="155">
        <v>0.0</v>
      </c>
      <c r="I278" s="156"/>
    </row>
    <row r="279">
      <c r="A279" s="154" t="s">
        <v>33999</v>
      </c>
      <c r="B279" s="108">
        <v>27769.0</v>
      </c>
      <c r="C279" s="108">
        <v>112263.0</v>
      </c>
      <c r="D279" s="108">
        <v>0.0</v>
      </c>
      <c r="E279" s="108">
        <v>0.0</v>
      </c>
      <c r="F279" s="108">
        <v>1.27547774289E11</v>
      </c>
      <c r="G279" s="108">
        <v>1.69070600192E11</v>
      </c>
      <c r="H279" s="155">
        <v>0.0</v>
      </c>
      <c r="I279" s="156"/>
    </row>
    <row r="280">
      <c r="A280" s="154" t="s">
        <v>33978</v>
      </c>
      <c r="B280" s="108">
        <v>475.0</v>
      </c>
      <c r="C280" s="108">
        <v>2781.0</v>
      </c>
      <c r="D280" s="108">
        <v>0.0</v>
      </c>
      <c r="E280" s="108">
        <v>0.0</v>
      </c>
      <c r="F280" s="108">
        <v>2.05004656E9</v>
      </c>
      <c r="G280" s="108">
        <v>2.750808064E9</v>
      </c>
      <c r="H280" s="155">
        <v>0.0</v>
      </c>
      <c r="I280" s="156"/>
    </row>
    <row r="281">
      <c r="A281" s="154" t="s">
        <v>33934</v>
      </c>
      <c r="B281" s="108">
        <v>515.0</v>
      </c>
      <c r="C281" s="108">
        <v>23340.0</v>
      </c>
      <c r="D281" s="108">
        <v>0.0</v>
      </c>
      <c r="E281" s="108">
        <v>0.0</v>
      </c>
      <c r="F281" s="108">
        <v>2.281165448E9</v>
      </c>
      <c r="G281" s="108">
        <v>6.49416704E9</v>
      </c>
      <c r="H281" s="155">
        <v>0.0</v>
      </c>
      <c r="I281" s="156"/>
    </row>
    <row r="282">
      <c r="A282" s="154" t="s">
        <v>33962</v>
      </c>
      <c r="B282" s="108">
        <v>24.0</v>
      </c>
      <c r="C282" s="108">
        <v>129.0</v>
      </c>
      <c r="D282" s="108">
        <v>0.0</v>
      </c>
      <c r="E282" s="108">
        <v>0.0</v>
      </c>
      <c r="F282" s="108">
        <v>2.52504219E8</v>
      </c>
      <c r="G282" s="108">
        <v>3.25763072E8</v>
      </c>
      <c r="H282" s="155">
        <v>0.0</v>
      </c>
      <c r="I282" s="156"/>
    </row>
    <row r="283">
      <c r="A283" s="154" t="s">
        <v>33956</v>
      </c>
      <c r="B283" s="108">
        <v>87.0</v>
      </c>
      <c r="C283" s="108">
        <v>416.0</v>
      </c>
      <c r="D283" s="108">
        <v>0.0</v>
      </c>
      <c r="E283" s="108">
        <v>0.0</v>
      </c>
      <c r="F283" s="108">
        <v>4.67199669E8</v>
      </c>
      <c r="G283" s="108">
        <v>6.23239168E8</v>
      </c>
      <c r="H283" s="155">
        <v>0.0</v>
      </c>
      <c r="I283" s="156"/>
    </row>
    <row r="284">
      <c r="A284" s="154" t="s">
        <v>34128</v>
      </c>
      <c r="B284" s="108">
        <v>19360.0</v>
      </c>
      <c r="C284" s="108">
        <v>201896.0</v>
      </c>
      <c r="D284" s="108">
        <v>0.0</v>
      </c>
      <c r="E284" s="108">
        <v>0.0</v>
      </c>
      <c r="F284" s="108">
        <v>9.02787947414E11</v>
      </c>
      <c r="G284" s="108">
        <v>1.113652805632E12</v>
      </c>
      <c r="H284" s="155">
        <v>0.0</v>
      </c>
      <c r="I284" s="156"/>
    </row>
    <row r="285">
      <c r="A285" s="154" t="s">
        <v>34528</v>
      </c>
      <c r="B285" s="108">
        <v>11.0</v>
      </c>
      <c r="C285" s="108">
        <v>2.0</v>
      </c>
      <c r="D285" s="108">
        <v>0.0</v>
      </c>
      <c r="E285" s="108">
        <v>0.0</v>
      </c>
      <c r="F285" s="108">
        <v>12688.0</v>
      </c>
      <c r="G285" s="108">
        <v>409600.0</v>
      </c>
      <c r="H285" s="155">
        <v>0.0</v>
      </c>
      <c r="I285" s="156"/>
    </row>
    <row r="286">
      <c r="A286" s="154" t="s">
        <v>33958</v>
      </c>
      <c r="B286" s="108">
        <v>339.0</v>
      </c>
      <c r="C286" s="108">
        <v>1079.0</v>
      </c>
      <c r="D286" s="108">
        <v>0.0</v>
      </c>
      <c r="E286" s="108">
        <v>0.0</v>
      </c>
      <c r="F286" s="108">
        <v>2.22667223E8</v>
      </c>
      <c r="G286" s="108">
        <v>4.06503424E8</v>
      </c>
      <c r="H286" s="155">
        <v>0.0</v>
      </c>
      <c r="I286" s="156"/>
    </row>
    <row r="287">
      <c r="A287" s="154" t="s">
        <v>33975</v>
      </c>
      <c r="B287" s="108">
        <v>32.0</v>
      </c>
      <c r="C287" s="108">
        <v>17.0</v>
      </c>
      <c r="D287" s="108">
        <v>0.0</v>
      </c>
      <c r="E287" s="108">
        <v>0.0</v>
      </c>
      <c r="F287" s="108">
        <v>2.0187862E7</v>
      </c>
      <c r="G287" s="108">
        <v>2.6624E7</v>
      </c>
      <c r="H287" s="155">
        <v>0.0</v>
      </c>
      <c r="I287" s="156"/>
    </row>
    <row r="288">
      <c r="A288" s="154" t="s">
        <v>34529</v>
      </c>
      <c r="B288" s="108">
        <v>29.0</v>
      </c>
      <c r="C288" s="108">
        <v>0.0</v>
      </c>
      <c r="D288" s="108">
        <v>0.0</v>
      </c>
      <c r="E288" s="108">
        <v>0.0</v>
      </c>
      <c r="F288" s="108">
        <v>868.0</v>
      </c>
      <c r="G288" s="108">
        <v>950272.0</v>
      </c>
      <c r="H288" s="155">
        <v>0.0</v>
      </c>
      <c r="I288" s="156"/>
    </row>
    <row r="289">
      <c r="A289" s="154" t="s">
        <v>33973</v>
      </c>
      <c r="B289" s="108">
        <v>55.0</v>
      </c>
      <c r="C289" s="108">
        <v>53.0</v>
      </c>
      <c r="D289" s="108">
        <v>0.0</v>
      </c>
      <c r="E289" s="108">
        <v>0.0</v>
      </c>
      <c r="F289" s="108">
        <v>9031823.0</v>
      </c>
      <c r="G289" s="108">
        <v>1.675264E7</v>
      </c>
      <c r="H289" s="155">
        <v>0.0</v>
      </c>
      <c r="I289" s="156"/>
    </row>
    <row r="290">
      <c r="A290" s="154" t="s">
        <v>33976</v>
      </c>
      <c r="B290" s="108">
        <v>19.0</v>
      </c>
      <c r="C290" s="108">
        <v>19.0</v>
      </c>
      <c r="D290" s="108">
        <v>0.0</v>
      </c>
      <c r="E290" s="108">
        <v>0.0</v>
      </c>
      <c r="F290" s="108">
        <v>3.0713972E7</v>
      </c>
      <c r="G290" s="108">
        <v>4.0075264E7</v>
      </c>
      <c r="H290" s="155">
        <v>0.0</v>
      </c>
      <c r="I290" s="156"/>
    </row>
    <row r="291">
      <c r="A291" s="154" t="s">
        <v>34141</v>
      </c>
      <c r="B291" s="108">
        <v>1345.0</v>
      </c>
      <c r="C291" s="108">
        <v>9883.0</v>
      </c>
      <c r="D291" s="108">
        <v>0.0</v>
      </c>
      <c r="E291" s="108">
        <v>0.0</v>
      </c>
      <c r="F291" s="108">
        <v>8.292247025E9</v>
      </c>
      <c r="G291" s="108">
        <v>1.1239440384E10</v>
      </c>
      <c r="H291" s="155">
        <v>0.0</v>
      </c>
      <c r="I291" s="156"/>
    </row>
    <row r="292">
      <c r="A292" s="154" t="s">
        <v>34001</v>
      </c>
      <c r="B292" s="108">
        <v>447.0</v>
      </c>
      <c r="C292" s="108">
        <v>4523.0</v>
      </c>
      <c r="D292" s="108">
        <v>0.0</v>
      </c>
      <c r="E292" s="108">
        <v>0.0</v>
      </c>
      <c r="F292" s="108">
        <v>4.24496354E8</v>
      </c>
      <c r="G292" s="108">
        <v>7.41228544E8</v>
      </c>
      <c r="H292" s="155">
        <v>0.0</v>
      </c>
      <c r="I292" s="156"/>
    </row>
    <row r="293">
      <c r="A293" s="154" t="s">
        <v>33940</v>
      </c>
      <c r="B293" s="108">
        <v>275.0</v>
      </c>
      <c r="C293" s="108">
        <v>909.0</v>
      </c>
      <c r="D293" s="108">
        <v>0.0</v>
      </c>
      <c r="E293" s="108">
        <v>0.0</v>
      </c>
      <c r="F293" s="108">
        <v>2.2388063517E10</v>
      </c>
      <c r="G293" s="108">
        <v>2.7048902656E10</v>
      </c>
      <c r="H293" s="155">
        <v>0.0</v>
      </c>
      <c r="I293" s="156"/>
    </row>
    <row r="294">
      <c r="A294" s="154" t="s">
        <v>34157</v>
      </c>
      <c r="B294" s="108">
        <v>59696.0</v>
      </c>
      <c r="C294" s="108">
        <v>263909.0</v>
      </c>
      <c r="D294" s="108">
        <v>0.0</v>
      </c>
      <c r="E294" s="108">
        <v>0.0</v>
      </c>
      <c r="F294" s="108">
        <v>1.588790581917E12</v>
      </c>
      <c r="G294" s="108">
        <v>1.938447343616E12</v>
      </c>
      <c r="H294" s="155">
        <v>0.0</v>
      </c>
      <c r="I294" s="156"/>
    </row>
    <row r="295">
      <c r="A295" s="154" t="s">
        <v>33967</v>
      </c>
      <c r="B295" s="108">
        <v>1626.0</v>
      </c>
      <c r="C295" s="108">
        <v>10752.0</v>
      </c>
      <c r="D295" s="108">
        <v>0.0</v>
      </c>
      <c r="E295" s="108">
        <v>0.0</v>
      </c>
      <c r="F295" s="108">
        <v>1.26807511325E11</v>
      </c>
      <c r="G295" s="108">
        <v>1.54154139648E11</v>
      </c>
      <c r="H295" s="155">
        <v>0.0</v>
      </c>
      <c r="I295" s="156"/>
    </row>
    <row r="296">
      <c r="A296" s="154" t="s">
        <v>34223</v>
      </c>
      <c r="B296" s="108">
        <v>3844.0</v>
      </c>
      <c r="C296" s="108">
        <v>91526.0</v>
      </c>
      <c r="D296" s="108">
        <v>0.0</v>
      </c>
      <c r="E296" s="108">
        <v>0.0</v>
      </c>
      <c r="F296" s="108">
        <v>3.84466757543E11</v>
      </c>
      <c r="G296" s="108">
        <v>4.728225792E11</v>
      </c>
      <c r="H296" s="155">
        <v>0.0</v>
      </c>
      <c r="I296" s="156"/>
    </row>
    <row r="297">
      <c r="A297" s="154" t="s">
        <v>34530</v>
      </c>
      <c r="B297" s="108">
        <v>6.0</v>
      </c>
      <c r="C297" s="108">
        <v>0.0</v>
      </c>
      <c r="D297" s="108">
        <v>0.0</v>
      </c>
      <c r="E297" s="108">
        <v>0.0</v>
      </c>
      <c r="F297" s="108">
        <v>170.0</v>
      </c>
      <c r="G297" s="108">
        <v>196608.0</v>
      </c>
      <c r="H297" s="155">
        <v>0.0</v>
      </c>
      <c r="I297" s="156"/>
    </row>
    <row r="298">
      <c r="A298" s="154" t="s">
        <v>33964</v>
      </c>
      <c r="B298" s="108">
        <v>58.0</v>
      </c>
      <c r="C298" s="108">
        <v>103.0</v>
      </c>
      <c r="D298" s="108">
        <v>0.0</v>
      </c>
      <c r="E298" s="108">
        <v>0.0</v>
      </c>
      <c r="F298" s="108">
        <v>9.6324248E7</v>
      </c>
      <c r="G298" s="108">
        <v>1.3201408E8</v>
      </c>
      <c r="H298" s="155">
        <v>0.0</v>
      </c>
      <c r="I298" s="156"/>
    </row>
    <row r="299">
      <c r="A299" s="154" t="s">
        <v>34029</v>
      </c>
      <c r="B299" s="108">
        <v>3062.0</v>
      </c>
      <c r="C299" s="108">
        <v>143503.0</v>
      </c>
      <c r="D299" s="108">
        <v>0.0</v>
      </c>
      <c r="E299" s="108">
        <v>0.0</v>
      </c>
      <c r="F299" s="108">
        <v>5.36016589842E11</v>
      </c>
      <c r="G299" s="108">
        <v>6.65458671616E11</v>
      </c>
      <c r="H299" s="155">
        <v>0.0</v>
      </c>
      <c r="I299" s="156"/>
    </row>
    <row r="300">
      <c r="A300" s="154" t="s">
        <v>34531</v>
      </c>
      <c r="B300" s="108">
        <v>4.0</v>
      </c>
      <c r="C300" s="108">
        <v>0.0</v>
      </c>
      <c r="D300" s="108">
        <v>0.0</v>
      </c>
      <c r="E300" s="108">
        <v>0.0</v>
      </c>
      <c r="F300" s="108">
        <v>106.0</v>
      </c>
      <c r="G300" s="108">
        <v>131072.0</v>
      </c>
      <c r="H300" s="155">
        <v>0.0</v>
      </c>
      <c r="I300" s="156"/>
    </row>
    <row r="301">
      <c r="A301" s="154" t="s">
        <v>34123</v>
      </c>
      <c r="B301" s="108">
        <v>5825.0</v>
      </c>
      <c r="C301" s="108">
        <v>89729.0</v>
      </c>
      <c r="D301" s="108">
        <v>0.0</v>
      </c>
      <c r="E301" s="108">
        <v>0.0</v>
      </c>
      <c r="F301" s="108">
        <v>5.4918465645E10</v>
      </c>
      <c r="G301" s="108">
        <v>7.4405388288E10</v>
      </c>
      <c r="H301" s="155">
        <v>0.0</v>
      </c>
      <c r="I301" s="156"/>
    </row>
    <row r="302">
      <c r="A302" s="154" t="s">
        <v>34118</v>
      </c>
      <c r="B302" s="108">
        <v>2378.0</v>
      </c>
      <c r="C302" s="108">
        <v>12680.0</v>
      </c>
      <c r="D302" s="108">
        <v>0.0</v>
      </c>
      <c r="E302" s="108">
        <v>0.0</v>
      </c>
      <c r="F302" s="108">
        <v>6.8123086579E10</v>
      </c>
      <c r="G302" s="108">
        <v>8.3413499904E10</v>
      </c>
      <c r="H302" s="155">
        <v>0.0</v>
      </c>
      <c r="I302" s="156"/>
    </row>
    <row r="303">
      <c r="A303" s="154" t="s">
        <v>34532</v>
      </c>
      <c r="B303" s="108">
        <v>41.0</v>
      </c>
      <c r="C303" s="108">
        <v>0.0</v>
      </c>
      <c r="D303" s="108">
        <v>0.0</v>
      </c>
      <c r="E303" s="108">
        <v>0.0</v>
      </c>
      <c r="F303" s="108">
        <v>1394.0</v>
      </c>
      <c r="G303" s="108">
        <v>1343488.0</v>
      </c>
      <c r="H303" s="155">
        <v>0.0</v>
      </c>
      <c r="I303" s="156"/>
    </row>
    <row r="304">
      <c r="A304" s="154" t="s">
        <v>34533</v>
      </c>
      <c r="B304" s="108">
        <v>7.0</v>
      </c>
      <c r="C304" s="108">
        <v>0.0</v>
      </c>
      <c r="D304" s="108">
        <v>0.0</v>
      </c>
      <c r="E304" s="108">
        <v>0.0</v>
      </c>
      <c r="F304" s="108">
        <v>207.0</v>
      </c>
      <c r="G304" s="108">
        <v>229376.0</v>
      </c>
      <c r="H304" s="155">
        <v>0.0</v>
      </c>
      <c r="I304" s="156"/>
    </row>
    <row r="305">
      <c r="A305" s="154" t="s">
        <v>34086</v>
      </c>
      <c r="B305" s="108">
        <v>4245.0</v>
      </c>
      <c r="C305" s="108">
        <v>169814.0</v>
      </c>
      <c r="D305" s="108">
        <v>0.0</v>
      </c>
      <c r="E305" s="108">
        <v>0.0</v>
      </c>
      <c r="F305" s="108">
        <v>1.267723125291E12</v>
      </c>
      <c r="G305" s="108">
        <v>1.5527880704E12</v>
      </c>
      <c r="H305" s="155">
        <v>0.0</v>
      </c>
      <c r="I305" s="156"/>
    </row>
    <row r="306">
      <c r="A306" s="154" t="s">
        <v>34072</v>
      </c>
      <c r="B306" s="108">
        <v>23.0</v>
      </c>
      <c r="C306" s="108">
        <v>5.0</v>
      </c>
      <c r="D306" s="108">
        <v>0.0</v>
      </c>
      <c r="E306" s="108">
        <v>0.0</v>
      </c>
      <c r="F306" s="108">
        <v>731323.0</v>
      </c>
      <c r="G306" s="108">
        <v>2121728.0</v>
      </c>
      <c r="H306" s="155">
        <v>0.0</v>
      </c>
      <c r="I306" s="156"/>
    </row>
    <row r="307">
      <c r="A307" s="154" t="s">
        <v>34534</v>
      </c>
      <c r="B307" s="108">
        <v>46.0</v>
      </c>
      <c r="C307" s="108">
        <v>2.0</v>
      </c>
      <c r="D307" s="108">
        <v>0.0</v>
      </c>
      <c r="E307" s="108">
        <v>0.0</v>
      </c>
      <c r="F307" s="108">
        <v>14102.0</v>
      </c>
      <c r="G307" s="108">
        <v>1556480.0</v>
      </c>
      <c r="H307" s="155">
        <v>0.0</v>
      </c>
      <c r="I307" s="156"/>
    </row>
    <row r="308">
      <c r="A308" s="154" t="s">
        <v>34080</v>
      </c>
      <c r="B308" s="108">
        <v>6092.0</v>
      </c>
      <c r="C308" s="108">
        <v>90641.0</v>
      </c>
      <c r="D308" s="108">
        <v>0.0</v>
      </c>
      <c r="E308" s="108">
        <v>0.0</v>
      </c>
      <c r="F308" s="108">
        <v>5.55725967172E11</v>
      </c>
      <c r="G308" s="108">
        <v>6.82392887296E11</v>
      </c>
      <c r="H308" s="155">
        <v>0.0</v>
      </c>
      <c r="I308" s="156"/>
    </row>
    <row r="309">
      <c r="A309" s="154" t="s">
        <v>34535</v>
      </c>
      <c r="B309" s="108">
        <v>34.0</v>
      </c>
      <c r="C309" s="108">
        <v>0.0</v>
      </c>
      <c r="D309" s="108">
        <v>0.0</v>
      </c>
      <c r="E309" s="108">
        <v>0.0</v>
      </c>
      <c r="F309" s="108">
        <v>1209.0</v>
      </c>
      <c r="G309" s="108">
        <v>1114112.0</v>
      </c>
      <c r="H309" s="155">
        <v>0.0</v>
      </c>
      <c r="I309" s="156"/>
    </row>
    <row r="310">
      <c r="A310" s="154" t="s">
        <v>34536</v>
      </c>
      <c r="B310" s="108">
        <v>18.0</v>
      </c>
      <c r="C310" s="108">
        <v>0.0</v>
      </c>
      <c r="D310" s="108">
        <v>0.0</v>
      </c>
      <c r="E310" s="108">
        <v>0.0</v>
      </c>
      <c r="F310" s="108">
        <v>603.0</v>
      </c>
      <c r="G310" s="108">
        <v>589824.0</v>
      </c>
      <c r="H310" s="155">
        <v>0.0</v>
      </c>
      <c r="I310" s="156"/>
    </row>
    <row r="311">
      <c r="A311" s="154" t="s">
        <v>34120</v>
      </c>
      <c r="B311" s="108">
        <v>33.0</v>
      </c>
      <c r="C311" s="108">
        <v>2.0</v>
      </c>
      <c r="D311" s="108">
        <v>0.0</v>
      </c>
      <c r="E311" s="108">
        <v>0.0</v>
      </c>
      <c r="F311" s="108">
        <v>14708.0</v>
      </c>
      <c r="G311" s="108">
        <v>1130496.0</v>
      </c>
      <c r="H311" s="155">
        <v>0.0</v>
      </c>
      <c r="I311" s="156"/>
    </row>
    <row r="312">
      <c r="A312" s="154" t="s">
        <v>34190</v>
      </c>
      <c r="B312" s="108">
        <v>536.0</v>
      </c>
      <c r="C312" s="108">
        <v>2627.0</v>
      </c>
      <c r="D312" s="108">
        <v>0.0</v>
      </c>
      <c r="E312" s="108">
        <v>0.0</v>
      </c>
      <c r="F312" s="108">
        <v>1.654645783E9</v>
      </c>
      <c r="G312" s="108">
        <v>2.434023424E9</v>
      </c>
      <c r="H312" s="155">
        <v>0.0</v>
      </c>
      <c r="I312" s="156"/>
    </row>
    <row r="313">
      <c r="A313" s="154" t="s">
        <v>34537</v>
      </c>
      <c r="B313" s="108">
        <v>9.0</v>
      </c>
      <c r="C313" s="108">
        <v>0.0</v>
      </c>
      <c r="D313" s="108">
        <v>0.0</v>
      </c>
      <c r="E313" s="108">
        <v>0.0</v>
      </c>
      <c r="F313" s="108">
        <v>248.0</v>
      </c>
      <c r="G313" s="108">
        <v>294912.0</v>
      </c>
      <c r="H313" s="155">
        <v>0.0</v>
      </c>
      <c r="I313" s="156"/>
    </row>
    <row r="314">
      <c r="A314" s="154" t="s">
        <v>34538</v>
      </c>
      <c r="B314" s="108">
        <v>35.0</v>
      </c>
      <c r="C314" s="108">
        <v>0.0</v>
      </c>
      <c r="D314" s="108">
        <v>0.0</v>
      </c>
      <c r="E314" s="108">
        <v>0.0</v>
      </c>
      <c r="F314" s="108">
        <v>1159.0</v>
      </c>
      <c r="G314" s="108">
        <v>1146880.0</v>
      </c>
      <c r="H314" s="155">
        <v>0.0</v>
      </c>
      <c r="I314" s="156"/>
    </row>
    <row r="315">
      <c r="A315" s="154" t="s">
        <v>34539</v>
      </c>
      <c r="B315" s="108">
        <v>55.0</v>
      </c>
      <c r="C315" s="108">
        <v>0.0</v>
      </c>
      <c r="D315" s="108">
        <v>0.0</v>
      </c>
      <c r="E315" s="108">
        <v>0.0</v>
      </c>
      <c r="F315" s="108">
        <v>1625.0</v>
      </c>
      <c r="G315" s="108">
        <v>1802240.0</v>
      </c>
      <c r="H315" s="155">
        <v>0.0</v>
      </c>
      <c r="I315" s="156"/>
    </row>
    <row r="316">
      <c r="A316" s="154" t="s">
        <v>34108</v>
      </c>
      <c r="B316" s="108">
        <v>17.0</v>
      </c>
      <c r="C316" s="108">
        <v>8.0</v>
      </c>
      <c r="D316" s="108">
        <v>0.0</v>
      </c>
      <c r="E316" s="108">
        <v>0.0</v>
      </c>
      <c r="F316" s="108">
        <v>6.1470118E7</v>
      </c>
      <c r="G316" s="108">
        <v>7.5112448E7</v>
      </c>
      <c r="H316" s="155">
        <v>0.0</v>
      </c>
      <c r="I316" s="156"/>
    </row>
    <row r="317">
      <c r="A317" s="154" t="s">
        <v>33909</v>
      </c>
      <c r="B317" s="108">
        <v>145.0</v>
      </c>
      <c r="C317" s="108">
        <v>686.0</v>
      </c>
      <c r="D317" s="108">
        <v>0.0</v>
      </c>
      <c r="E317" s="108">
        <v>0.0</v>
      </c>
      <c r="F317" s="108">
        <v>2.72998727E8</v>
      </c>
      <c r="G317" s="108">
        <v>4.2131456E8</v>
      </c>
      <c r="H317" s="155">
        <v>0.0</v>
      </c>
      <c r="I317" s="156"/>
    </row>
    <row r="318">
      <c r="A318" s="154" t="s">
        <v>33919</v>
      </c>
      <c r="B318" s="108">
        <v>31.0</v>
      </c>
      <c r="C318" s="108">
        <v>44.0</v>
      </c>
      <c r="D318" s="108">
        <v>0.0</v>
      </c>
      <c r="E318" s="108">
        <v>0.0</v>
      </c>
      <c r="F318" s="108">
        <v>2.5259433E7</v>
      </c>
      <c r="G318" s="108">
        <v>3.6184064E7</v>
      </c>
      <c r="H318" s="155">
        <v>0.0</v>
      </c>
      <c r="I318" s="156"/>
    </row>
    <row r="319">
      <c r="A319" s="154" t="s">
        <v>33954</v>
      </c>
      <c r="B319" s="108">
        <v>17180.0</v>
      </c>
      <c r="C319" s="108">
        <v>90849.0</v>
      </c>
      <c r="D319" s="108">
        <v>0.0</v>
      </c>
      <c r="E319" s="108">
        <v>0.0</v>
      </c>
      <c r="F319" s="108">
        <v>3.9510095072E10</v>
      </c>
      <c r="G319" s="108">
        <v>5.4061907968E10</v>
      </c>
      <c r="H319" s="155">
        <v>0.0</v>
      </c>
      <c r="I319" s="156"/>
    </row>
    <row r="320">
      <c r="A320" s="154" t="s">
        <v>33915</v>
      </c>
      <c r="B320" s="108">
        <v>13.0</v>
      </c>
      <c r="C320" s="108">
        <v>115.0</v>
      </c>
      <c r="D320" s="108">
        <v>0.0</v>
      </c>
      <c r="E320" s="108">
        <v>0.0</v>
      </c>
      <c r="F320" s="108">
        <v>2.87174223E8</v>
      </c>
      <c r="G320" s="108">
        <v>3.61046016E8</v>
      </c>
      <c r="H320" s="155">
        <v>0.0</v>
      </c>
      <c r="I320" s="156"/>
    </row>
    <row r="321">
      <c r="A321" s="154" t="s">
        <v>34043</v>
      </c>
      <c r="B321" s="108">
        <v>34.0</v>
      </c>
      <c r="C321" s="108">
        <v>30.0</v>
      </c>
      <c r="D321" s="108">
        <v>0.0</v>
      </c>
      <c r="E321" s="108">
        <v>0.0</v>
      </c>
      <c r="F321" s="108">
        <v>8.6797729E7</v>
      </c>
      <c r="G321" s="108">
        <v>1.08888064E8</v>
      </c>
      <c r="H321" s="155">
        <v>0.0</v>
      </c>
      <c r="I321" s="156"/>
    </row>
    <row r="322">
      <c r="A322" s="154" t="s">
        <v>34540</v>
      </c>
      <c r="B322" s="108">
        <v>28.0</v>
      </c>
      <c r="C322" s="108">
        <v>0.0</v>
      </c>
      <c r="D322" s="108">
        <v>0.0</v>
      </c>
      <c r="E322" s="108">
        <v>0.0</v>
      </c>
      <c r="F322" s="108">
        <v>899.0</v>
      </c>
      <c r="G322" s="108">
        <v>917504.0</v>
      </c>
      <c r="H322" s="155">
        <v>0.0</v>
      </c>
      <c r="I322" s="156"/>
    </row>
    <row r="323">
      <c r="A323" s="154" t="s">
        <v>34541</v>
      </c>
      <c r="B323" s="108">
        <v>26.0</v>
      </c>
      <c r="C323" s="108">
        <v>0.0</v>
      </c>
      <c r="D323" s="108">
        <v>0.0</v>
      </c>
      <c r="E323" s="108">
        <v>0.0</v>
      </c>
      <c r="F323" s="108">
        <v>941.0</v>
      </c>
      <c r="G323" s="108">
        <v>851968.0</v>
      </c>
      <c r="H323" s="155">
        <v>0.0</v>
      </c>
      <c r="I323" s="156"/>
    </row>
    <row r="324">
      <c r="A324" s="154" t="s">
        <v>34542</v>
      </c>
      <c r="B324" s="108">
        <v>27.0</v>
      </c>
      <c r="C324" s="108">
        <v>0.0</v>
      </c>
      <c r="D324" s="108">
        <v>0.0</v>
      </c>
      <c r="E324" s="108">
        <v>0.0</v>
      </c>
      <c r="F324" s="108">
        <v>904.0</v>
      </c>
      <c r="G324" s="108">
        <v>884736.0</v>
      </c>
      <c r="H324" s="155">
        <v>0.0</v>
      </c>
      <c r="I324" s="156"/>
    </row>
    <row r="325">
      <c r="A325" s="154" t="s">
        <v>34543</v>
      </c>
      <c r="B325" s="108">
        <v>10.0</v>
      </c>
      <c r="C325" s="108">
        <v>0.0</v>
      </c>
      <c r="D325" s="108">
        <v>0.0</v>
      </c>
      <c r="E325" s="108">
        <v>0.0</v>
      </c>
      <c r="F325" s="108">
        <v>254.0</v>
      </c>
      <c r="G325" s="108">
        <v>327680.0</v>
      </c>
      <c r="H325" s="155">
        <v>0.0</v>
      </c>
      <c r="I325" s="156"/>
    </row>
    <row r="326">
      <c r="A326" s="154" t="s">
        <v>34544</v>
      </c>
      <c r="B326" s="108">
        <v>7.0</v>
      </c>
      <c r="C326" s="108">
        <v>0.0</v>
      </c>
      <c r="D326" s="108">
        <v>0.0</v>
      </c>
      <c r="E326" s="108">
        <v>0.0</v>
      </c>
      <c r="F326" s="108">
        <v>201.0</v>
      </c>
      <c r="G326" s="108">
        <v>229376.0</v>
      </c>
      <c r="H326" s="155">
        <v>0.0</v>
      </c>
      <c r="I326" s="156"/>
    </row>
    <row r="327">
      <c r="A327" s="154" t="s">
        <v>34545</v>
      </c>
      <c r="B327" s="108">
        <v>14.0</v>
      </c>
      <c r="C327" s="108">
        <v>0.0</v>
      </c>
      <c r="D327" s="108">
        <v>0.0</v>
      </c>
      <c r="E327" s="108">
        <v>0.0</v>
      </c>
      <c r="F327" s="108">
        <v>469.0</v>
      </c>
      <c r="G327" s="108">
        <v>458752.0</v>
      </c>
      <c r="H327" s="155">
        <v>0.0</v>
      </c>
      <c r="I327" s="156"/>
    </row>
    <row r="328">
      <c r="A328" s="154" t="s">
        <v>34546</v>
      </c>
      <c r="B328" s="108">
        <v>8.0</v>
      </c>
      <c r="C328" s="108">
        <v>0.0</v>
      </c>
      <c r="D328" s="108">
        <v>0.0</v>
      </c>
      <c r="E328" s="108">
        <v>0.0</v>
      </c>
      <c r="F328" s="108">
        <v>231.0</v>
      </c>
      <c r="G328" s="108">
        <v>262144.0</v>
      </c>
      <c r="H328" s="155">
        <v>0.0</v>
      </c>
      <c r="I328" s="156"/>
    </row>
    <row r="329">
      <c r="A329" s="154" t="s">
        <v>34547</v>
      </c>
      <c r="B329" s="108">
        <v>18.0</v>
      </c>
      <c r="C329" s="108">
        <v>0.0</v>
      </c>
      <c r="D329" s="108">
        <v>0.0</v>
      </c>
      <c r="E329" s="108">
        <v>0.0</v>
      </c>
      <c r="F329" s="108">
        <v>680.0</v>
      </c>
      <c r="G329" s="108">
        <v>589824.0</v>
      </c>
      <c r="H329" s="155">
        <v>0.0</v>
      </c>
      <c r="I329" s="156"/>
    </row>
    <row r="330">
      <c r="A330" s="154" t="s">
        <v>34548</v>
      </c>
      <c r="B330" s="108">
        <v>19.0</v>
      </c>
      <c r="C330" s="108">
        <v>0.0</v>
      </c>
      <c r="D330" s="108">
        <v>0.0</v>
      </c>
      <c r="E330" s="108">
        <v>0.0</v>
      </c>
      <c r="F330" s="108">
        <v>588.0</v>
      </c>
      <c r="G330" s="108">
        <v>622592.0</v>
      </c>
      <c r="H330" s="155">
        <v>0.0</v>
      </c>
      <c r="I330" s="156"/>
    </row>
    <row r="331">
      <c r="A331" s="154" t="s">
        <v>34549</v>
      </c>
      <c r="B331" s="108">
        <v>18.0</v>
      </c>
      <c r="C331" s="108">
        <v>0.0</v>
      </c>
      <c r="D331" s="108">
        <v>0.0</v>
      </c>
      <c r="E331" s="108">
        <v>0.0</v>
      </c>
      <c r="F331" s="108">
        <v>627.0</v>
      </c>
      <c r="G331" s="108">
        <v>589824.0</v>
      </c>
      <c r="H331" s="155">
        <v>0.0</v>
      </c>
      <c r="I331" s="156"/>
    </row>
    <row r="332">
      <c r="A332" s="154" t="s">
        <v>34090</v>
      </c>
      <c r="B332" s="108">
        <v>2307.0</v>
      </c>
      <c r="C332" s="108">
        <v>14044.0</v>
      </c>
      <c r="D332" s="108">
        <v>0.0</v>
      </c>
      <c r="E332" s="108">
        <v>0.0</v>
      </c>
      <c r="F332" s="108">
        <v>6.0149120748E10</v>
      </c>
      <c r="G332" s="108">
        <v>7.4525433856E10</v>
      </c>
      <c r="H332" s="155">
        <v>0.0</v>
      </c>
      <c r="I332" s="156"/>
    </row>
    <row r="333">
      <c r="A333" s="154" t="s">
        <v>34550</v>
      </c>
      <c r="B333" s="108">
        <v>7.0</v>
      </c>
      <c r="C333" s="108">
        <v>0.0</v>
      </c>
      <c r="D333" s="108">
        <v>0.0</v>
      </c>
      <c r="E333" s="108">
        <v>0.0</v>
      </c>
      <c r="F333" s="108">
        <v>214.0</v>
      </c>
      <c r="G333" s="108">
        <v>229376.0</v>
      </c>
      <c r="H333" s="155">
        <v>0.0</v>
      </c>
      <c r="I333" s="156"/>
    </row>
    <row r="334">
      <c r="A334" s="154" t="s">
        <v>34079</v>
      </c>
      <c r="B334" s="108">
        <v>40.0</v>
      </c>
      <c r="C334" s="108">
        <v>8.0</v>
      </c>
      <c r="D334" s="108">
        <v>0.0</v>
      </c>
      <c r="E334" s="108">
        <v>0.0</v>
      </c>
      <c r="F334" s="108">
        <v>94256.0</v>
      </c>
      <c r="G334" s="108">
        <v>1802240.0</v>
      </c>
      <c r="H334" s="155">
        <v>0.0</v>
      </c>
      <c r="I334" s="156"/>
    </row>
    <row r="335">
      <c r="A335" s="154" t="s">
        <v>34551</v>
      </c>
      <c r="B335" s="108">
        <v>44.0</v>
      </c>
      <c r="C335" s="108">
        <v>0.0</v>
      </c>
      <c r="D335" s="108">
        <v>0.0</v>
      </c>
      <c r="E335" s="108">
        <v>0.0</v>
      </c>
      <c r="F335" s="108">
        <v>1587.0</v>
      </c>
      <c r="G335" s="108">
        <v>1441792.0</v>
      </c>
      <c r="H335" s="155">
        <v>0.0</v>
      </c>
      <c r="I335" s="156"/>
    </row>
    <row r="336">
      <c r="A336" s="154" t="s">
        <v>34552</v>
      </c>
      <c r="B336" s="108">
        <v>14.0</v>
      </c>
      <c r="C336" s="108">
        <v>0.0</v>
      </c>
      <c r="D336" s="108">
        <v>0.0</v>
      </c>
      <c r="E336" s="108">
        <v>0.0</v>
      </c>
      <c r="F336" s="108">
        <v>461.0</v>
      </c>
      <c r="G336" s="108">
        <v>458752.0</v>
      </c>
      <c r="H336" s="155">
        <v>0.0</v>
      </c>
      <c r="I336" s="156"/>
    </row>
    <row r="337">
      <c r="A337" s="154" t="s">
        <v>34553</v>
      </c>
      <c r="B337" s="108">
        <v>31.0</v>
      </c>
      <c r="C337" s="108">
        <v>0.0</v>
      </c>
      <c r="D337" s="108">
        <v>0.0</v>
      </c>
      <c r="E337" s="108">
        <v>0.0</v>
      </c>
      <c r="F337" s="108">
        <v>1026.0</v>
      </c>
      <c r="G337" s="108">
        <v>1015808.0</v>
      </c>
      <c r="H337" s="155">
        <v>0.0</v>
      </c>
      <c r="I337" s="156"/>
    </row>
    <row r="338">
      <c r="A338" s="154" t="s">
        <v>34554</v>
      </c>
      <c r="B338" s="108">
        <v>35.0</v>
      </c>
      <c r="C338" s="108">
        <v>5.0</v>
      </c>
      <c r="D338" s="108">
        <v>0.0</v>
      </c>
      <c r="E338" s="108">
        <v>0.0</v>
      </c>
      <c r="F338" s="108">
        <v>50645.0</v>
      </c>
      <c r="G338" s="108">
        <v>1441792.0</v>
      </c>
      <c r="H338" s="155">
        <v>0.0</v>
      </c>
      <c r="I338" s="156"/>
    </row>
    <row r="339">
      <c r="A339" s="154" t="s">
        <v>34067</v>
      </c>
      <c r="B339" s="108">
        <v>5.0</v>
      </c>
      <c r="C339" s="108">
        <v>1.0</v>
      </c>
      <c r="D339" s="108">
        <v>0.0</v>
      </c>
      <c r="E339" s="108">
        <v>0.0</v>
      </c>
      <c r="F339" s="108">
        <v>3.8535435877E10</v>
      </c>
      <c r="G339" s="108">
        <v>4.6327414784E10</v>
      </c>
      <c r="H339" s="155">
        <v>0.0</v>
      </c>
      <c r="I339" s="156"/>
    </row>
    <row r="340">
      <c r="A340" s="154" t="s">
        <v>34555</v>
      </c>
      <c r="B340" s="108">
        <v>2.0</v>
      </c>
      <c r="C340" s="108">
        <v>0.0</v>
      </c>
      <c r="D340" s="108">
        <v>0.0</v>
      </c>
      <c r="E340" s="108">
        <v>0.0</v>
      </c>
      <c r="F340" s="108">
        <v>36.0</v>
      </c>
      <c r="G340" s="108">
        <v>65536.0</v>
      </c>
      <c r="H340" s="155">
        <v>0.0</v>
      </c>
      <c r="I340" s="156"/>
    </row>
    <row r="341">
      <c r="A341" s="154" t="s">
        <v>33948</v>
      </c>
      <c r="B341" s="108">
        <v>4.0</v>
      </c>
      <c r="C341" s="108">
        <v>48.0</v>
      </c>
      <c r="D341" s="108">
        <v>0.0</v>
      </c>
      <c r="E341" s="108">
        <v>0.0</v>
      </c>
      <c r="F341" s="108">
        <v>9.3426302E7</v>
      </c>
      <c r="G341" s="108">
        <v>1.19595008E8</v>
      </c>
      <c r="H341" s="155">
        <v>0.0</v>
      </c>
      <c r="I341" s="156"/>
    </row>
    <row r="342">
      <c r="A342" s="154" t="s">
        <v>34556</v>
      </c>
      <c r="B342" s="108">
        <v>4.0</v>
      </c>
      <c r="C342" s="108">
        <v>0.0</v>
      </c>
      <c r="D342" s="108">
        <v>0.0</v>
      </c>
      <c r="E342" s="108">
        <v>0.0</v>
      </c>
      <c r="F342" s="108">
        <v>116.0</v>
      </c>
      <c r="G342" s="108">
        <v>131072.0</v>
      </c>
      <c r="H342" s="155">
        <v>0.0</v>
      </c>
      <c r="I342" s="156"/>
    </row>
    <row r="343">
      <c r="A343" s="154" t="s">
        <v>34024</v>
      </c>
      <c r="B343" s="108">
        <v>13.0</v>
      </c>
      <c r="C343" s="108">
        <v>54.0</v>
      </c>
      <c r="D343" s="108">
        <v>0.0</v>
      </c>
      <c r="E343" s="108">
        <v>0.0</v>
      </c>
      <c r="F343" s="108">
        <v>4.1019853E7</v>
      </c>
      <c r="G343" s="108">
        <v>5.7966592E7</v>
      </c>
      <c r="H343" s="155">
        <v>0.0</v>
      </c>
      <c r="I343" s="156"/>
    </row>
    <row r="344">
      <c r="A344" s="154" t="s">
        <v>34557</v>
      </c>
      <c r="B344" s="108">
        <v>1.0</v>
      </c>
      <c r="C344" s="108">
        <v>0.0</v>
      </c>
      <c r="D344" s="108">
        <v>0.0</v>
      </c>
      <c r="E344" s="108">
        <v>0.0</v>
      </c>
      <c r="F344" s="108">
        <v>0.0</v>
      </c>
      <c r="G344" s="108">
        <v>32768.0</v>
      </c>
      <c r="H344" s="155">
        <v>0.0</v>
      </c>
      <c r="I344" s="156"/>
    </row>
    <row r="345">
      <c r="A345" s="154" t="s">
        <v>34558</v>
      </c>
      <c r="B345" s="108">
        <v>44.0</v>
      </c>
      <c r="C345" s="108">
        <v>2.0</v>
      </c>
      <c r="D345" s="108">
        <v>0.0</v>
      </c>
      <c r="E345" s="108">
        <v>0.0</v>
      </c>
      <c r="F345" s="108">
        <v>13729.0</v>
      </c>
      <c r="G345" s="108">
        <v>1490944.0</v>
      </c>
      <c r="H345" s="155">
        <v>0.0</v>
      </c>
      <c r="I345" s="156"/>
    </row>
    <row r="346">
      <c r="A346" s="154" t="s">
        <v>34559</v>
      </c>
      <c r="B346" s="108">
        <v>28.0</v>
      </c>
      <c r="C346" s="108">
        <v>0.0</v>
      </c>
      <c r="D346" s="108">
        <v>0.0</v>
      </c>
      <c r="E346" s="108">
        <v>0.0</v>
      </c>
      <c r="F346" s="108">
        <v>835.0</v>
      </c>
      <c r="G346" s="108">
        <v>917504.0</v>
      </c>
      <c r="H346" s="155">
        <v>0.0</v>
      </c>
      <c r="I346" s="156"/>
    </row>
    <row r="347">
      <c r="A347" s="154" t="s">
        <v>34560</v>
      </c>
      <c r="B347" s="108">
        <v>10.0</v>
      </c>
      <c r="C347" s="108">
        <v>0.0</v>
      </c>
      <c r="D347" s="108">
        <v>0.0</v>
      </c>
      <c r="E347" s="108">
        <v>0.0</v>
      </c>
      <c r="F347" s="108">
        <v>304.0</v>
      </c>
      <c r="G347" s="108">
        <v>327680.0</v>
      </c>
      <c r="H347" s="155">
        <v>0.0</v>
      </c>
      <c r="I347" s="156"/>
    </row>
    <row r="348">
      <c r="A348" s="154" t="s">
        <v>1660</v>
      </c>
      <c r="B348" s="108">
        <v>8.0</v>
      </c>
      <c r="C348" s="108">
        <v>0.0</v>
      </c>
      <c r="D348" s="108">
        <v>0.0</v>
      </c>
      <c r="E348" s="108">
        <v>0.0</v>
      </c>
      <c r="F348" s="108">
        <v>240.0</v>
      </c>
      <c r="G348" s="108">
        <v>262144.0</v>
      </c>
      <c r="H348" s="155">
        <v>0.0</v>
      </c>
      <c r="I348" s="156"/>
    </row>
    <row r="349">
      <c r="A349" s="154" t="s">
        <v>34561</v>
      </c>
      <c r="B349" s="108">
        <v>2.0</v>
      </c>
      <c r="C349" s="108">
        <v>0.0</v>
      </c>
      <c r="D349" s="108">
        <v>0.0</v>
      </c>
      <c r="E349" s="108">
        <v>0.0</v>
      </c>
      <c r="F349" s="108">
        <v>27.0</v>
      </c>
      <c r="G349" s="108">
        <v>65536.0</v>
      </c>
      <c r="H349" s="155">
        <v>0.0</v>
      </c>
      <c r="I349" s="156"/>
    </row>
    <row r="350">
      <c r="A350" s="154" t="s">
        <v>34562</v>
      </c>
      <c r="B350" s="108">
        <v>32.0</v>
      </c>
      <c r="C350" s="108">
        <v>0.0</v>
      </c>
      <c r="D350" s="108">
        <v>0.0</v>
      </c>
      <c r="E350" s="108">
        <v>0.0</v>
      </c>
      <c r="F350" s="108">
        <v>996.0</v>
      </c>
      <c r="G350" s="108">
        <v>1048576.0</v>
      </c>
      <c r="H350" s="155">
        <v>0.0</v>
      </c>
      <c r="I350" s="156"/>
    </row>
    <row r="351">
      <c r="A351" s="154" t="s">
        <v>34563</v>
      </c>
      <c r="B351" s="108">
        <v>1.0</v>
      </c>
      <c r="C351" s="108">
        <v>0.0</v>
      </c>
      <c r="D351" s="108">
        <v>0.0</v>
      </c>
      <c r="E351" s="108">
        <v>0.0</v>
      </c>
      <c r="F351" s="108">
        <v>0.0</v>
      </c>
      <c r="G351" s="108">
        <v>32768.0</v>
      </c>
      <c r="H351" s="155">
        <v>0.0</v>
      </c>
      <c r="I351" s="156"/>
    </row>
    <row r="352">
      <c r="A352" s="154" t="s">
        <v>34192</v>
      </c>
      <c r="B352" s="108">
        <v>55.0</v>
      </c>
      <c r="C352" s="108">
        <v>196.0</v>
      </c>
      <c r="D352" s="108">
        <v>0.0</v>
      </c>
      <c r="E352" s="108">
        <v>0.0</v>
      </c>
      <c r="F352" s="108">
        <v>9.10112436E8</v>
      </c>
      <c r="G352" s="108">
        <v>1.118486528E9</v>
      </c>
      <c r="H352" s="155">
        <v>0.0</v>
      </c>
      <c r="I352" s="156"/>
    </row>
    <row r="353">
      <c r="A353" s="154" t="s">
        <v>33917</v>
      </c>
      <c r="B353" s="108">
        <v>228.0</v>
      </c>
      <c r="C353" s="108">
        <v>1811.0</v>
      </c>
      <c r="D353" s="108">
        <v>0.0</v>
      </c>
      <c r="E353" s="108">
        <v>0.0</v>
      </c>
      <c r="F353" s="108">
        <v>1.547967293E9</v>
      </c>
      <c r="G353" s="108">
        <v>2.13590016E9</v>
      </c>
      <c r="H353" s="155">
        <v>0.0</v>
      </c>
      <c r="I353" s="156"/>
    </row>
    <row r="354">
      <c r="A354" s="154" t="s">
        <v>34564</v>
      </c>
      <c r="B354" s="108">
        <v>4.0</v>
      </c>
      <c r="C354" s="108">
        <v>0.0</v>
      </c>
      <c r="D354" s="108">
        <v>0.0</v>
      </c>
      <c r="E354" s="108">
        <v>0.0</v>
      </c>
      <c r="F354" s="108">
        <v>84.0</v>
      </c>
      <c r="G354" s="108">
        <v>131072.0</v>
      </c>
      <c r="H354" s="155">
        <v>0.0</v>
      </c>
      <c r="I354" s="156"/>
    </row>
    <row r="355">
      <c r="A355" s="154" t="s">
        <v>34565</v>
      </c>
      <c r="B355" s="108">
        <v>12.0</v>
      </c>
      <c r="C355" s="108">
        <v>0.0</v>
      </c>
      <c r="D355" s="108">
        <v>0.0</v>
      </c>
      <c r="E355" s="108">
        <v>0.0</v>
      </c>
      <c r="F355" s="108">
        <v>385.0</v>
      </c>
      <c r="G355" s="108">
        <v>393216.0</v>
      </c>
      <c r="H355" s="155">
        <v>0.0</v>
      </c>
      <c r="I355" s="156"/>
    </row>
    <row r="356">
      <c r="A356" s="154" t="s">
        <v>34566</v>
      </c>
      <c r="B356" s="108">
        <v>10.0</v>
      </c>
      <c r="C356" s="108">
        <v>0.0</v>
      </c>
      <c r="D356" s="108">
        <v>0.0</v>
      </c>
      <c r="E356" s="108">
        <v>0.0</v>
      </c>
      <c r="F356" s="108">
        <v>290.0</v>
      </c>
      <c r="G356" s="108">
        <v>327680.0</v>
      </c>
      <c r="H356" s="155">
        <v>0.0</v>
      </c>
      <c r="I356" s="156"/>
    </row>
    <row r="357">
      <c r="A357" s="154" t="s">
        <v>34567</v>
      </c>
      <c r="B357" s="108">
        <v>4.0</v>
      </c>
      <c r="C357" s="108">
        <v>0.0</v>
      </c>
      <c r="D357" s="108">
        <v>0.0</v>
      </c>
      <c r="E357" s="108">
        <v>0.0</v>
      </c>
      <c r="F357" s="108">
        <v>97.0</v>
      </c>
      <c r="G357" s="108">
        <v>131072.0</v>
      </c>
      <c r="H357" s="155">
        <v>0.0</v>
      </c>
      <c r="I357" s="156"/>
    </row>
    <row r="358">
      <c r="A358" s="154" t="s">
        <v>34568</v>
      </c>
      <c r="B358" s="108">
        <v>6.0</v>
      </c>
      <c r="C358" s="108">
        <v>0.0</v>
      </c>
      <c r="D358" s="108">
        <v>0.0</v>
      </c>
      <c r="E358" s="108">
        <v>0.0</v>
      </c>
      <c r="F358" s="108">
        <v>151.0</v>
      </c>
      <c r="G358" s="108">
        <v>196608.0</v>
      </c>
      <c r="H358" s="155">
        <v>0.0</v>
      </c>
      <c r="I358" s="156"/>
    </row>
    <row r="359">
      <c r="A359" s="154" t="s">
        <v>34569</v>
      </c>
      <c r="B359" s="108">
        <v>10.0</v>
      </c>
      <c r="C359" s="108">
        <v>1.0</v>
      </c>
      <c r="D359" s="108">
        <v>0.0</v>
      </c>
      <c r="E359" s="108">
        <v>0.0</v>
      </c>
      <c r="F359" s="108">
        <v>87378.0</v>
      </c>
      <c r="G359" s="108">
        <v>622592.0</v>
      </c>
      <c r="H359" s="155">
        <v>0.0</v>
      </c>
      <c r="I359" s="156"/>
    </row>
    <row r="360">
      <c r="A360" s="154" t="s">
        <v>34133</v>
      </c>
      <c r="B360" s="108">
        <v>610.0</v>
      </c>
      <c r="C360" s="108">
        <v>2554.0</v>
      </c>
      <c r="D360" s="108">
        <v>0.0</v>
      </c>
      <c r="E360" s="108">
        <v>0.0</v>
      </c>
      <c r="F360" s="108">
        <v>2.702376517E9</v>
      </c>
      <c r="G360" s="108">
        <v>3.629785088E9</v>
      </c>
      <c r="H360" s="155">
        <v>0.0</v>
      </c>
      <c r="I360" s="156"/>
    </row>
    <row r="361">
      <c r="A361" s="154" t="s">
        <v>34570</v>
      </c>
      <c r="B361" s="108">
        <v>10.0</v>
      </c>
      <c r="C361" s="108">
        <v>0.0</v>
      </c>
      <c r="D361" s="108">
        <v>0.0</v>
      </c>
      <c r="E361" s="108">
        <v>0.0</v>
      </c>
      <c r="F361" s="108">
        <v>264.0</v>
      </c>
      <c r="G361" s="108">
        <v>327680.0</v>
      </c>
      <c r="H361" s="155">
        <v>0.0</v>
      </c>
      <c r="I361" s="156"/>
    </row>
    <row r="362">
      <c r="A362" s="154" t="s">
        <v>33960</v>
      </c>
      <c r="B362" s="108">
        <v>420.0</v>
      </c>
      <c r="C362" s="108">
        <v>2222.0</v>
      </c>
      <c r="D362" s="108">
        <v>0.0</v>
      </c>
      <c r="E362" s="108">
        <v>0.0</v>
      </c>
      <c r="F362" s="108">
        <v>2.89576845E9</v>
      </c>
      <c r="G362" s="108">
        <v>3.803799552E9</v>
      </c>
      <c r="H362" s="155">
        <v>0.0</v>
      </c>
      <c r="I362" s="156"/>
    </row>
    <row r="363">
      <c r="A363" s="154" t="s">
        <v>34571</v>
      </c>
      <c r="B363" s="108">
        <v>11.0</v>
      </c>
      <c r="C363" s="108">
        <v>0.0</v>
      </c>
      <c r="D363" s="108">
        <v>0.0</v>
      </c>
      <c r="E363" s="108">
        <v>0.0</v>
      </c>
      <c r="F363" s="108">
        <v>307.0</v>
      </c>
      <c r="G363" s="108">
        <v>360448.0</v>
      </c>
      <c r="H363" s="155">
        <v>0.0</v>
      </c>
      <c r="I363" s="156"/>
    </row>
    <row r="364">
      <c r="A364" s="154" t="s">
        <v>33965</v>
      </c>
      <c r="B364" s="108">
        <v>3.0</v>
      </c>
      <c r="C364" s="108">
        <v>2.0</v>
      </c>
      <c r="D364" s="108">
        <v>0.0</v>
      </c>
      <c r="E364" s="108">
        <v>0.0</v>
      </c>
      <c r="F364" s="108">
        <v>1.9377003E7</v>
      </c>
      <c r="G364" s="108">
        <v>2.3502848E7</v>
      </c>
      <c r="H364" s="155">
        <v>0.0</v>
      </c>
      <c r="I364" s="156"/>
    </row>
    <row r="365">
      <c r="A365" s="154" t="s">
        <v>33952</v>
      </c>
      <c r="B365" s="108">
        <v>1623.0</v>
      </c>
      <c r="C365" s="108">
        <v>24865.0</v>
      </c>
      <c r="D365" s="108">
        <v>0.0</v>
      </c>
      <c r="E365" s="108">
        <v>0.0</v>
      </c>
      <c r="F365" s="108">
        <v>5.808642726E9</v>
      </c>
      <c r="G365" s="108">
        <v>8.61130752E9</v>
      </c>
      <c r="H365" s="155">
        <v>0.0</v>
      </c>
      <c r="I365" s="156"/>
    </row>
    <row r="366">
      <c r="A366" s="154" t="s">
        <v>33946</v>
      </c>
      <c r="B366" s="108">
        <v>1439.0</v>
      </c>
      <c r="C366" s="108">
        <v>16150.0</v>
      </c>
      <c r="D366" s="108">
        <v>0.0</v>
      </c>
      <c r="E366" s="108">
        <v>0.0</v>
      </c>
      <c r="F366" s="108">
        <v>8.98566681E9</v>
      </c>
      <c r="G366" s="108">
        <v>1.2168617984E10</v>
      </c>
      <c r="H366" s="155">
        <v>0.0</v>
      </c>
      <c r="I366" s="156"/>
    </row>
    <row r="367">
      <c r="A367" s="154" t="s">
        <v>34572</v>
      </c>
      <c r="B367" s="108">
        <v>9.0</v>
      </c>
      <c r="C367" s="108">
        <v>0.0</v>
      </c>
      <c r="D367" s="108">
        <v>0.0</v>
      </c>
      <c r="E367" s="108">
        <v>0.0</v>
      </c>
      <c r="F367" s="108">
        <v>325.0</v>
      </c>
      <c r="G367" s="108">
        <v>294912.0</v>
      </c>
      <c r="H367" s="155">
        <v>0.0</v>
      </c>
      <c r="I367" s="156"/>
    </row>
    <row r="368">
      <c r="A368" s="154" t="s">
        <v>34573</v>
      </c>
      <c r="B368" s="108">
        <v>12.0</v>
      </c>
      <c r="C368" s="108">
        <v>0.0</v>
      </c>
      <c r="D368" s="108">
        <v>0.0</v>
      </c>
      <c r="E368" s="108">
        <v>0.0</v>
      </c>
      <c r="F368" s="108">
        <v>326.0</v>
      </c>
      <c r="G368" s="108">
        <v>393216.0</v>
      </c>
      <c r="H368" s="155">
        <v>0.0</v>
      </c>
      <c r="I368" s="156"/>
    </row>
    <row r="369">
      <c r="A369" s="154" t="s">
        <v>1651</v>
      </c>
      <c r="B369" s="108">
        <v>11.0</v>
      </c>
      <c r="C369" s="108">
        <v>0.0</v>
      </c>
      <c r="D369" s="108">
        <v>0.0</v>
      </c>
      <c r="E369" s="108">
        <v>0.0</v>
      </c>
      <c r="F369" s="108">
        <v>334.0</v>
      </c>
      <c r="G369" s="108">
        <v>360448.0</v>
      </c>
      <c r="H369" s="155">
        <v>0.0</v>
      </c>
      <c r="I369" s="156"/>
    </row>
    <row r="370">
      <c r="A370" s="154" t="s">
        <v>34574</v>
      </c>
      <c r="B370" s="108">
        <v>14.0</v>
      </c>
      <c r="C370" s="108">
        <v>0.0</v>
      </c>
      <c r="D370" s="108">
        <v>0.0</v>
      </c>
      <c r="E370" s="108">
        <v>0.0</v>
      </c>
      <c r="F370" s="108">
        <v>423.0</v>
      </c>
      <c r="G370" s="108">
        <v>458752.0</v>
      </c>
      <c r="H370" s="155">
        <v>0.0</v>
      </c>
      <c r="I370" s="156"/>
    </row>
    <row r="371">
      <c r="A371" s="154" t="s">
        <v>34010</v>
      </c>
      <c r="B371" s="108">
        <v>12.0</v>
      </c>
      <c r="C371" s="108">
        <v>3.0</v>
      </c>
      <c r="D371" s="108">
        <v>0.0</v>
      </c>
      <c r="E371" s="108">
        <v>0.0</v>
      </c>
      <c r="F371" s="108">
        <v>206827.0</v>
      </c>
      <c r="G371" s="108">
        <v>925696.0</v>
      </c>
      <c r="H371" s="155">
        <v>0.0</v>
      </c>
      <c r="I371" s="156"/>
    </row>
    <row r="372">
      <c r="A372" s="154" t="s">
        <v>34066</v>
      </c>
      <c r="B372" s="108">
        <v>16.0</v>
      </c>
      <c r="C372" s="108">
        <v>12.0</v>
      </c>
      <c r="D372" s="108">
        <v>0.0</v>
      </c>
      <c r="E372" s="108">
        <v>0.0</v>
      </c>
      <c r="F372" s="108">
        <v>1.081022E7</v>
      </c>
      <c r="G372" s="108">
        <v>1.4352384E7</v>
      </c>
      <c r="H372" s="155">
        <v>0.0</v>
      </c>
      <c r="I372" s="156"/>
    </row>
    <row r="373">
      <c r="A373" s="154" t="s">
        <v>34575</v>
      </c>
      <c r="B373" s="108">
        <v>11.0</v>
      </c>
      <c r="C373" s="108">
        <v>0.0</v>
      </c>
      <c r="D373" s="108">
        <v>0.0</v>
      </c>
      <c r="E373" s="108">
        <v>0.0</v>
      </c>
      <c r="F373" s="108">
        <v>341.0</v>
      </c>
      <c r="G373" s="108">
        <v>360448.0</v>
      </c>
      <c r="H373" s="155">
        <v>0.0</v>
      </c>
      <c r="I373" s="156"/>
    </row>
    <row r="374">
      <c r="A374" s="154" t="s">
        <v>34139</v>
      </c>
      <c r="B374" s="108">
        <v>151.0</v>
      </c>
      <c r="C374" s="108">
        <v>1323.0</v>
      </c>
      <c r="D374" s="108">
        <v>0.0</v>
      </c>
      <c r="E374" s="108">
        <v>0.0</v>
      </c>
      <c r="F374" s="108">
        <v>9.40951334E8</v>
      </c>
      <c r="G374" s="108">
        <v>1.340628992E9</v>
      </c>
      <c r="H374" s="155">
        <v>0.0</v>
      </c>
      <c r="I374" s="156"/>
    </row>
    <row r="375">
      <c r="A375" s="154" t="s">
        <v>34576</v>
      </c>
      <c r="B375" s="108">
        <v>10.0</v>
      </c>
      <c r="C375" s="108">
        <v>0.0</v>
      </c>
      <c r="D375" s="108">
        <v>0.0</v>
      </c>
      <c r="E375" s="108">
        <v>0.0</v>
      </c>
      <c r="F375" s="108">
        <v>274.0</v>
      </c>
      <c r="G375" s="108">
        <v>327680.0</v>
      </c>
      <c r="H375" s="155">
        <v>0.0</v>
      </c>
      <c r="I375" s="156"/>
    </row>
    <row r="376">
      <c r="A376" s="154" t="s">
        <v>34073</v>
      </c>
      <c r="B376" s="108">
        <v>8007.0</v>
      </c>
      <c r="C376" s="108">
        <v>38713.0</v>
      </c>
      <c r="D376" s="108">
        <v>0.0</v>
      </c>
      <c r="E376" s="108">
        <v>0.0</v>
      </c>
      <c r="F376" s="108">
        <v>4.4770723772E10</v>
      </c>
      <c r="G376" s="108">
        <v>5.9779997696E10</v>
      </c>
      <c r="H376" s="155">
        <v>0.0</v>
      </c>
      <c r="I376" s="156"/>
    </row>
    <row r="377">
      <c r="A377" s="154" t="s">
        <v>34221</v>
      </c>
      <c r="B377" s="108">
        <v>20191.0</v>
      </c>
      <c r="C377" s="108">
        <v>145455.0</v>
      </c>
      <c r="D377" s="108">
        <v>0.0</v>
      </c>
      <c r="E377" s="108">
        <v>0.0</v>
      </c>
      <c r="F377" s="108">
        <v>5.79509514849E11</v>
      </c>
      <c r="G377" s="108">
        <v>7.17993951232E11</v>
      </c>
      <c r="H377" s="155">
        <v>0.0</v>
      </c>
      <c r="I377" s="156"/>
    </row>
    <row r="378">
      <c r="A378" s="154" t="s">
        <v>33966</v>
      </c>
      <c r="B378" s="108">
        <v>39.0</v>
      </c>
      <c r="C378" s="108">
        <v>20.0</v>
      </c>
      <c r="D378" s="108">
        <v>0.0</v>
      </c>
      <c r="E378" s="108">
        <v>0.0</v>
      </c>
      <c r="F378" s="108">
        <v>2.1434211E7</v>
      </c>
      <c r="G378" s="108">
        <v>3.0736384E7</v>
      </c>
      <c r="H378" s="155">
        <v>0.0</v>
      </c>
      <c r="I378" s="156"/>
    </row>
    <row r="379">
      <c r="A379" s="154" t="s">
        <v>34013</v>
      </c>
      <c r="B379" s="108">
        <v>546.0</v>
      </c>
      <c r="C379" s="108">
        <v>3554.0</v>
      </c>
      <c r="D379" s="108">
        <v>0.0</v>
      </c>
      <c r="E379" s="108">
        <v>0.0</v>
      </c>
      <c r="F379" s="108">
        <v>1.302802312E9</v>
      </c>
      <c r="G379" s="108">
        <v>2.210971648E9</v>
      </c>
      <c r="H379" s="155">
        <v>0.0</v>
      </c>
      <c r="I379" s="156"/>
    </row>
    <row r="380">
      <c r="A380" s="154" t="s">
        <v>34577</v>
      </c>
      <c r="B380" s="108">
        <v>21.0</v>
      </c>
      <c r="C380" s="108">
        <v>0.0</v>
      </c>
      <c r="D380" s="108">
        <v>0.0</v>
      </c>
      <c r="E380" s="108">
        <v>0.0</v>
      </c>
      <c r="F380" s="108">
        <v>648.0</v>
      </c>
      <c r="G380" s="108">
        <v>688128.0</v>
      </c>
      <c r="H380" s="155">
        <v>0.0</v>
      </c>
      <c r="I380" s="156"/>
    </row>
    <row r="381">
      <c r="A381" s="154" t="s">
        <v>33938</v>
      </c>
      <c r="B381" s="108">
        <v>5402.0</v>
      </c>
      <c r="C381" s="108">
        <v>39155.0</v>
      </c>
      <c r="D381" s="108">
        <v>0.0</v>
      </c>
      <c r="E381" s="108">
        <v>0.0</v>
      </c>
      <c r="F381" s="108">
        <v>1.20703528625E11</v>
      </c>
      <c r="G381" s="108">
        <v>1.50787178496E11</v>
      </c>
      <c r="H381" s="155">
        <v>0.0</v>
      </c>
      <c r="I381" s="156"/>
    </row>
    <row r="382">
      <c r="A382" s="154" t="s">
        <v>1400</v>
      </c>
      <c r="B382" s="108">
        <v>18935.0</v>
      </c>
      <c r="C382" s="108">
        <v>140386.0</v>
      </c>
      <c r="D382" s="108">
        <v>0.0</v>
      </c>
      <c r="E382" s="108">
        <v>0.0</v>
      </c>
      <c r="F382" s="108">
        <v>5.72038027621E11</v>
      </c>
      <c r="G382" s="108">
        <v>7.08266336256E11</v>
      </c>
      <c r="H382" s="155">
        <v>0.0</v>
      </c>
      <c r="I382" s="156"/>
    </row>
    <row r="383">
      <c r="A383" s="154" t="s">
        <v>34231</v>
      </c>
      <c r="B383" s="108">
        <v>51.0</v>
      </c>
      <c r="C383" s="108">
        <v>128.0</v>
      </c>
      <c r="D383" s="108">
        <v>0.0</v>
      </c>
      <c r="E383" s="108">
        <v>0.0</v>
      </c>
      <c r="F383" s="108">
        <v>3.2681787E7</v>
      </c>
      <c r="G383" s="108">
        <v>5.2666368E7</v>
      </c>
      <c r="H383" s="155">
        <v>0.0</v>
      </c>
      <c r="I383" s="156"/>
    </row>
    <row r="384">
      <c r="A384" s="154" t="s">
        <v>34172</v>
      </c>
      <c r="B384" s="108">
        <v>12.0</v>
      </c>
      <c r="C384" s="108">
        <v>6.0</v>
      </c>
      <c r="D384" s="108">
        <v>0.0</v>
      </c>
      <c r="E384" s="108">
        <v>0.0</v>
      </c>
      <c r="F384" s="108">
        <v>1.3270088E7</v>
      </c>
      <c r="G384" s="108">
        <v>1.7465344E7</v>
      </c>
      <c r="H384" s="155">
        <v>0.0</v>
      </c>
      <c r="I384" s="156"/>
    </row>
    <row r="385">
      <c r="A385" s="154" t="s">
        <v>34229</v>
      </c>
      <c r="B385" s="108">
        <v>4871.0</v>
      </c>
      <c r="C385" s="108">
        <v>31362.0</v>
      </c>
      <c r="D385" s="108">
        <v>0.0</v>
      </c>
      <c r="E385" s="108">
        <v>0.0</v>
      </c>
      <c r="F385" s="108">
        <v>1.73520660788E11</v>
      </c>
      <c r="G385" s="108">
        <v>2.12653809664E11</v>
      </c>
      <c r="H385" s="155">
        <v>0.0</v>
      </c>
      <c r="I385" s="156"/>
    </row>
    <row r="386">
      <c r="A386" s="154" t="s">
        <v>33942</v>
      </c>
      <c r="B386" s="108">
        <v>19018.0</v>
      </c>
      <c r="C386" s="108">
        <v>149219.0</v>
      </c>
      <c r="D386" s="108">
        <v>0.0</v>
      </c>
      <c r="E386" s="108">
        <v>0.0</v>
      </c>
      <c r="F386" s="108">
        <v>4.15104973928E11</v>
      </c>
      <c r="G386" s="108">
        <v>5.19040704512E11</v>
      </c>
      <c r="H386" s="155">
        <v>0.0</v>
      </c>
      <c r="I386" s="156"/>
    </row>
    <row r="387">
      <c r="A387" s="154" t="s">
        <v>34578</v>
      </c>
      <c r="B387" s="108">
        <v>1.0</v>
      </c>
      <c r="C387" s="108">
        <v>0.0</v>
      </c>
      <c r="D387" s="108">
        <v>0.0</v>
      </c>
      <c r="E387" s="108">
        <v>0.0</v>
      </c>
      <c r="F387" s="108">
        <v>0.0</v>
      </c>
      <c r="G387" s="108">
        <v>32768.0</v>
      </c>
      <c r="H387" s="155">
        <v>0.0</v>
      </c>
      <c r="I387" s="156"/>
    </row>
    <row r="388">
      <c r="A388" s="154" t="s">
        <v>33997</v>
      </c>
      <c r="B388" s="108">
        <v>12765.0</v>
      </c>
      <c r="C388" s="108">
        <v>54670.0</v>
      </c>
      <c r="D388" s="108">
        <v>0.0</v>
      </c>
      <c r="E388" s="108">
        <v>0.0</v>
      </c>
      <c r="F388" s="108">
        <v>2.4638661453E10</v>
      </c>
      <c r="G388" s="108">
        <v>3.8548078592E10</v>
      </c>
      <c r="H388" s="155">
        <v>0.0</v>
      </c>
      <c r="I388" s="156"/>
    </row>
    <row r="389">
      <c r="A389" s="154" t="s">
        <v>34579</v>
      </c>
      <c r="B389" s="108">
        <v>13.0</v>
      </c>
      <c r="C389" s="108">
        <v>0.0</v>
      </c>
      <c r="D389" s="108">
        <v>0.0</v>
      </c>
      <c r="E389" s="108">
        <v>0.0</v>
      </c>
      <c r="F389" s="108">
        <v>372.0</v>
      </c>
      <c r="G389" s="108">
        <v>425984.0</v>
      </c>
      <c r="H389" s="155">
        <v>0.0</v>
      </c>
      <c r="I389" s="156"/>
    </row>
    <row r="390">
      <c r="A390" s="154" t="s">
        <v>34580</v>
      </c>
      <c r="B390" s="108">
        <v>2.0</v>
      </c>
      <c r="C390" s="108">
        <v>0.0</v>
      </c>
      <c r="D390" s="108">
        <v>0.0</v>
      </c>
      <c r="E390" s="108">
        <v>0.0</v>
      </c>
      <c r="F390" s="108">
        <v>27.0</v>
      </c>
      <c r="G390" s="108">
        <v>65536.0</v>
      </c>
      <c r="H390" s="155">
        <v>0.0</v>
      </c>
      <c r="I390" s="156"/>
    </row>
    <row r="391">
      <c r="A391" s="154" t="s">
        <v>34049</v>
      </c>
      <c r="B391" s="108">
        <v>1115.0</v>
      </c>
      <c r="C391" s="108">
        <v>6611.0</v>
      </c>
      <c r="D391" s="108">
        <v>0.0</v>
      </c>
      <c r="E391" s="108">
        <v>0.0</v>
      </c>
      <c r="F391" s="108">
        <v>1.6160164391E10</v>
      </c>
      <c r="G391" s="108">
        <v>2.0409991168E10</v>
      </c>
      <c r="H391" s="155">
        <v>0.0</v>
      </c>
      <c r="I391" s="156"/>
    </row>
    <row r="392">
      <c r="A392" s="154" t="s">
        <v>33911</v>
      </c>
      <c r="B392" s="108">
        <v>31.0</v>
      </c>
      <c r="C392" s="108">
        <v>5.0</v>
      </c>
      <c r="D392" s="108">
        <v>0.0</v>
      </c>
      <c r="E392" s="108">
        <v>0.0</v>
      </c>
      <c r="F392" s="108">
        <v>336719.0</v>
      </c>
      <c r="G392" s="108">
        <v>2179072.0</v>
      </c>
      <c r="H392" s="155">
        <v>0.0</v>
      </c>
      <c r="I392" s="156"/>
    </row>
    <row r="393">
      <c r="A393" s="154" t="s">
        <v>33926</v>
      </c>
      <c r="B393" s="108">
        <v>516.0</v>
      </c>
      <c r="C393" s="108">
        <v>2450.0</v>
      </c>
      <c r="D393" s="108">
        <v>0.0</v>
      </c>
      <c r="E393" s="108">
        <v>0.0</v>
      </c>
      <c r="F393" s="108">
        <v>5.619088808E9</v>
      </c>
      <c r="G393" s="108">
        <v>7.0854656E9</v>
      </c>
      <c r="H393" s="155">
        <v>0.0</v>
      </c>
      <c r="I393" s="156"/>
    </row>
    <row r="394">
      <c r="A394" s="154" t="s">
        <v>34581</v>
      </c>
      <c r="B394" s="108">
        <v>1.0</v>
      </c>
      <c r="C394" s="108">
        <v>0.0</v>
      </c>
      <c r="D394" s="108">
        <v>0.0</v>
      </c>
      <c r="E394" s="108">
        <v>0.0</v>
      </c>
      <c r="F394" s="108">
        <v>0.0</v>
      </c>
      <c r="G394" s="108">
        <v>32768.0</v>
      </c>
      <c r="H394" s="155">
        <v>0.0</v>
      </c>
      <c r="I394" s="156"/>
    </row>
    <row r="395">
      <c r="A395" s="154" t="s">
        <v>34582</v>
      </c>
      <c r="B395" s="108">
        <v>5.0</v>
      </c>
      <c r="C395" s="108">
        <v>0.0</v>
      </c>
      <c r="D395" s="108">
        <v>0.0</v>
      </c>
      <c r="E395" s="108">
        <v>0.0</v>
      </c>
      <c r="F395" s="108">
        <v>129.0</v>
      </c>
      <c r="G395" s="108">
        <v>163840.0</v>
      </c>
      <c r="H395" s="155">
        <v>0.0</v>
      </c>
      <c r="I395" s="156"/>
    </row>
    <row r="396">
      <c r="A396" s="154" t="s">
        <v>34583</v>
      </c>
      <c r="B396" s="108">
        <v>12.0</v>
      </c>
      <c r="C396" s="108">
        <v>0.0</v>
      </c>
      <c r="D396" s="108">
        <v>0.0</v>
      </c>
      <c r="E396" s="108">
        <v>0.0</v>
      </c>
      <c r="F396" s="108">
        <v>377.0</v>
      </c>
      <c r="G396" s="108">
        <v>393216.0</v>
      </c>
      <c r="H396" s="155">
        <v>0.0</v>
      </c>
      <c r="I396" s="156"/>
    </row>
    <row r="397">
      <c r="A397" s="154" t="s">
        <v>34584</v>
      </c>
      <c r="B397" s="108">
        <v>1.0</v>
      </c>
      <c r="C397" s="108">
        <v>0.0</v>
      </c>
      <c r="D397" s="108">
        <v>0.0</v>
      </c>
      <c r="E397" s="108">
        <v>0.0</v>
      </c>
      <c r="F397" s="108">
        <v>0.0</v>
      </c>
      <c r="G397" s="108">
        <v>32768.0</v>
      </c>
      <c r="H397" s="155">
        <v>0.0</v>
      </c>
      <c r="I397" s="156"/>
    </row>
    <row r="398">
      <c r="A398" s="154" t="s">
        <v>34585</v>
      </c>
      <c r="B398" s="108">
        <v>10.0</v>
      </c>
      <c r="C398" s="108">
        <v>0.0</v>
      </c>
      <c r="D398" s="108">
        <v>0.0</v>
      </c>
      <c r="E398" s="108">
        <v>0.0</v>
      </c>
      <c r="F398" s="108">
        <v>288.0</v>
      </c>
      <c r="G398" s="108">
        <v>327680.0</v>
      </c>
      <c r="H398" s="155">
        <v>0.0</v>
      </c>
      <c r="I398" s="156"/>
    </row>
    <row r="399">
      <c r="A399" s="154" t="s">
        <v>34586</v>
      </c>
      <c r="B399" s="108">
        <v>19.0</v>
      </c>
      <c r="C399" s="108">
        <v>0.0</v>
      </c>
      <c r="D399" s="108">
        <v>0.0</v>
      </c>
      <c r="E399" s="108">
        <v>0.0</v>
      </c>
      <c r="F399" s="108">
        <v>704.0</v>
      </c>
      <c r="G399" s="108">
        <v>622592.0</v>
      </c>
      <c r="H399" s="155">
        <v>0.0</v>
      </c>
      <c r="I399" s="156"/>
    </row>
    <row r="400">
      <c r="A400" s="154" t="s">
        <v>34587</v>
      </c>
      <c r="B400" s="108">
        <v>26.0</v>
      </c>
      <c r="C400" s="108">
        <v>0.0</v>
      </c>
      <c r="D400" s="108">
        <v>0.0</v>
      </c>
      <c r="E400" s="108">
        <v>0.0</v>
      </c>
      <c r="F400" s="108">
        <v>813.0</v>
      </c>
      <c r="G400" s="108">
        <v>851968.0</v>
      </c>
      <c r="H400" s="155">
        <v>0.0</v>
      </c>
      <c r="I400" s="156"/>
    </row>
    <row r="401">
      <c r="A401" s="154" t="s">
        <v>34588</v>
      </c>
      <c r="B401" s="108">
        <v>15.0</v>
      </c>
      <c r="C401" s="108">
        <v>0.0</v>
      </c>
      <c r="D401" s="108">
        <v>0.0</v>
      </c>
      <c r="E401" s="108">
        <v>0.0</v>
      </c>
      <c r="F401" s="108">
        <v>444.0</v>
      </c>
      <c r="G401" s="108">
        <v>491520.0</v>
      </c>
      <c r="H401" s="155">
        <v>0.0</v>
      </c>
      <c r="I401" s="156"/>
    </row>
    <row r="402">
      <c r="A402" s="154" t="s">
        <v>34589</v>
      </c>
      <c r="B402" s="108">
        <v>9.0</v>
      </c>
      <c r="C402" s="108">
        <v>0.0</v>
      </c>
      <c r="D402" s="108">
        <v>0.0</v>
      </c>
      <c r="E402" s="108">
        <v>0.0</v>
      </c>
      <c r="F402" s="108">
        <v>289.0</v>
      </c>
      <c r="G402" s="108">
        <v>294912.0</v>
      </c>
      <c r="H402" s="155">
        <v>0.0</v>
      </c>
      <c r="I402" s="156"/>
    </row>
    <row r="403">
      <c r="A403" s="154" t="s">
        <v>34590</v>
      </c>
      <c r="B403" s="108">
        <v>32.0</v>
      </c>
      <c r="C403" s="108">
        <v>0.0</v>
      </c>
      <c r="D403" s="108">
        <v>0.0</v>
      </c>
      <c r="E403" s="108">
        <v>0.0</v>
      </c>
      <c r="F403" s="108">
        <v>1125.0</v>
      </c>
      <c r="G403" s="108">
        <v>1048576.0</v>
      </c>
      <c r="H403" s="155">
        <v>0.0</v>
      </c>
      <c r="I403" s="156"/>
    </row>
    <row r="404">
      <c r="A404" s="154" t="s">
        <v>34591</v>
      </c>
      <c r="B404" s="108">
        <v>19.0</v>
      </c>
      <c r="C404" s="108">
        <v>0.0</v>
      </c>
      <c r="D404" s="108">
        <v>0.0</v>
      </c>
      <c r="E404" s="108">
        <v>0.0</v>
      </c>
      <c r="F404" s="108">
        <v>513.0</v>
      </c>
      <c r="G404" s="108">
        <v>622592.0</v>
      </c>
      <c r="H404" s="155">
        <v>0.0</v>
      </c>
      <c r="I404" s="156"/>
    </row>
    <row r="405">
      <c r="A405" s="154" t="s">
        <v>34592</v>
      </c>
      <c r="B405" s="108">
        <v>5.0</v>
      </c>
      <c r="C405" s="108">
        <v>0.0</v>
      </c>
      <c r="D405" s="108">
        <v>0.0</v>
      </c>
      <c r="E405" s="108">
        <v>0.0</v>
      </c>
      <c r="F405" s="108">
        <v>137.0</v>
      </c>
      <c r="G405" s="108">
        <v>163840.0</v>
      </c>
      <c r="H405" s="155">
        <v>0.0</v>
      </c>
      <c r="I405" s="156"/>
    </row>
    <row r="406">
      <c r="A406" s="154" t="s">
        <v>34593</v>
      </c>
      <c r="B406" s="108">
        <v>22.0</v>
      </c>
      <c r="C406" s="108">
        <v>0.0</v>
      </c>
      <c r="D406" s="108">
        <v>0.0</v>
      </c>
      <c r="E406" s="108">
        <v>0.0</v>
      </c>
      <c r="F406" s="108">
        <v>830.0</v>
      </c>
      <c r="G406" s="108">
        <v>720896.0</v>
      </c>
      <c r="H406" s="155">
        <v>0.0</v>
      </c>
      <c r="I406" s="156"/>
    </row>
    <row r="407">
      <c r="A407" s="154" t="s">
        <v>34594</v>
      </c>
      <c r="B407" s="108">
        <v>28.0</v>
      </c>
      <c r="C407" s="108">
        <v>0.0</v>
      </c>
      <c r="D407" s="108">
        <v>0.0</v>
      </c>
      <c r="E407" s="108">
        <v>0.0</v>
      </c>
      <c r="F407" s="108">
        <v>1078.0</v>
      </c>
      <c r="G407" s="108">
        <v>917504.0</v>
      </c>
      <c r="H407" s="155">
        <v>0.0</v>
      </c>
      <c r="I407" s="156"/>
    </row>
    <row r="408">
      <c r="A408" s="154" t="s">
        <v>34595</v>
      </c>
      <c r="B408" s="108">
        <v>4.0</v>
      </c>
      <c r="C408" s="108">
        <v>0.0</v>
      </c>
      <c r="D408" s="108">
        <v>0.0</v>
      </c>
      <c r="E408" s="108">
        <v>0.0</v>
      </c>
      <c r="F408" s="108">
        <v>103.0</v>
      </c>
      <c r="G408" s="108">
        <v>131072.0</v>
      </c>
      <c r="H408" s="155">
        <v>0.0</v>
      </c>
      <c r="I408" s="156"/>
    </row>
    <row r="409">
      <c r="A409" s="154" t="s">
        <v>34149</v>
      </c>
      <c r="B409" s="108">
        <v>64.0</v>
      </c>
      <c r="C409" s="108">
        <v>124.0</v>
      </c>
      <c r="D409" s="108">
        <v>0.0</v>
      </c>
      <c r="E409" s="108">
        <v>0.0</v>
      </c>
      <c r="F409" s="108">
        <v>2.04187114778E11</v>
      </c>
      <c r="G409" s="108">
        <v>2.45478834176E11</v>
      </c>
      <c r="H409" s="155">
        <v>0.0</v>
      </c>
      <c r="I409" s="156"/>
    </row>
    <row r="410">
      <c r="A410" s="154" t="s">
        <v>34596</v>
      </c>
      <c r="B410" s="108">
        <v>24.0</v>
      </c>
      <c r="C410" s="108">
        <v>0.0</v>
      </c>
      <c r="D410" s="108">
        <v>0.0</v>
      </c>
      <c r="E410" s="108">
        <v>0.0</v>
      </c>
      <c r="F410" s="108">
        <v>765.0</v>
      </c>
      <c r="G410" s="108">
        <v>786432.0</v>
      </c>
      <c r="H410" s="155">
        <v>0.0</v>
      </c>
      <c r="I410" s="156"/>
    </row>
    <row r="411">
      <c r="A411" s="154" t="s">
        <v>34182</v>
      </c>
      <c r="B411" s="108">
        <v>46.0</v>
      </c>
      <c r="C411" s="108">
        <v>20.0</v>
      </c>
      <c r="D411" s="108">
        <v>0.0</v>
      </c>
      <c r="E411" s="108">
        <v>0.0</v>
      </c>
      <c r="F411" s="108">
        <v>1784674.0</v>
      </c>
      <c r="G411" s="108">
        <v>6135808.0</v>
      </c>
      <c r="H411" s="155">
        <v>0.0</v>
      </c>
      <c r="I411" s="156"/>
    </row>
    <row r="412">
      <c r="A412" s="154" t="s">
        <v>34597</v>
      </c>
      <c r="B412" s="108">
        <v>9.0</v>
      </c>
      <c r="C412" s="108">
        <v>0.0</v>
      </c>
      <c r="D412" s="108">
        <v>0.0</v>
      </c>
      <c r="E412" s="108">
        <v>0.0</v>
      </c>
      <c r="F412" s="108">
        <v>259.0</v>
      </c>
      <c r="G412" s="108">
        <v>294912.0</v>
      </c>
      <c r="H412" s="155">
        <v>0.0</v>
      </c>
      <c r="I412" s="156"/>
    </row>
    <row r="413">
      <c r="A413" s="154" t="s">
        <v>34598</v>
      </c>
      <c r="B413" s="108">
        <v>4.0</v>
      </c>
      <c r="C413" s="108">
        <v>0.0</v>
      </c>
      <c r="D413" s="108">
        <v>0.0</v>
      </c>
      <c r="E413" s="108">
        <v>0.0</v>
      </c>
      <c r="F413" s="108">
        <v>88.0</v>
      </c>
      <c r="G413" s="108">
        <v>131072.0</v>
      </c>
      <c r="H413" s="155">
        <v>0.0</v>
      </c>
      <c r="I413" s="156"/>
    </row>
    <row r="414">
      <c r="A414" s="154" t="s">
        <v>34114</v>
      </c>
      <c r="B414" s="108">
        <v>123.0</v>
      </c>
      <c r="C414" s="108">
        <v>702.0</v>
      </c>
      <c r="D414" s="108">
        <v>0.0</v>
      </c>
      <c r="E414" s="108">
        <v>0.0</v>
      </c>
      <c r="F414" s="108">
        <v>1.511877704E9</v>
      </c>
      <c r="G414" s="108">
        <v>1.90603264E9</v>
      </c>
      <c r="H414" s="155">
        <v>0.0</v>
      </c>
      <c r="I414" s="156"/>
    </row>
    <row r="415">
      <c r="A415" s="154" t="s">
        <v>34599</v>
      </c>
      <c r="B415" s="108">
        <v>6.0</v>
      </c>
      <c r="C415" s="108">
        <v>0.0</v>
      </c>
      <c r="D415" s="108">
        <v>0.0</v>
      </c>
      <c r="E415" s="108">
        <v>0.0</v>
      </c>
      <c r="F415" s="108">
        <v>149.0</v>
      </c>
      <c r="G415" s="108">
        <v>196608.0</v>
      </c>
      <c r="H415" s="155">
        <v>0.0</v>
      </c>
      <c r="I415" s="156"/>
    </row>
    <row r="416">
      <c r="A416" s="154" t="s">
        <v>34600</v>
      </c>
      <c r="B416" s="108">
        <v>11.0</v>
      </c>
      <c r="C416" s="108">
        <v>0.0</v>
      </c>
      <c r="D416" s="108">
        <v>0.0</v>
      </c>
      <c r="E416" s="108">
        <v>0.0</v>
      </c>
      <c r="F416" s="108">
        <v>339.0</v>
      </c>
      <c r="G416" s="108">
        <v>360448.0</v>
      </c>
      <c r="H416" s="155">
        <v>0.0</v>
      </c>
      <c r="I416" s="156"/>
    </row>
    <row r="417">
      <c r="A417" s="154" t="s">
        <v>34601</v>
      </c>
      <c r="B417" s="108">
        <v>1.0</v>
      </c>
      <c r="C417" s="108">
        <v>0.0</v>
      </c>
      <c r="D417" s="108">
        <v>0.0</v>
      </c>
      <c r="E417" s="108">
        <v>0.0</v>
      </c>
      <c r="F417" s="108">
        <v>0.0</v>
      </c>
      <c r="G417" s="108">
        <v>32768.0</v>
      </c>
      <c r="H417" s="155">
        <v>0.0</v>
      </c>
      <c r="I417" s="156"/>
    </row>
    <row r="418">
      <c r="A418" s="154" t="s">
        <v>34602</v>
      </c>
      <c r="B418" s="108">
        <v>6.0</v>
      </c>
      <c r="C418" s="108">
        <v>0.0</v>
      </c>
      <c r="D418" s="108">
        <v>0.0</v>
      </c>
      <c r="E418" s="108">
        <v>0.0</v>
      </c>
      <c r="F418" s="108">
        <v>164.0</v>
      </c>
      <c r="G418" s="108">
        <v>196608.0</v>
      </c>
      <c r="H418" s="155">
        <v>0.0</v>
      </c>
      <c r="I418" s="156"/>
    </row>
    <row r="419">
      <c r="A419" s="154" t="s">
        <v>34603</v>
      </c>
      <c r="B419" s="108">
        <v>9.0</v>
      </c>
      <c r="C419" s="108">
        <v>0.0</v>
      </c>
      <c r="D419" s="108">
        <v>0.0</v>
      </c>
      <c r="E419" s="108">
        <v>0.0</v>
      </c>
      <c r="F419" s="108">
        <v>247.0</v>
      </c>
      <c r="G419" s="108">
        <v>294912.0</v>
      </c>
      <c r="H419" s="155">
        <v>0.0</v>
      </c>
      <c r="I419" s="156"/>
    </row>
    <row r="420">
      <c r="A420" s="154" t="s">
        <v>34604</v>
      </c>
      <c r="B420" s="108">
        <v>2.0</v>
      </c>
      <c r="C420" s="108">
        <v>0.0</v>
      </c>
      <c r="D420" s="108">
        <v>0.0</v>
      </c>
      <c r="E420" s="108">
        <v>0.0</v>
      </c>
      <c r="F420" s="108">
        <v>27.0</v>
      </c>
      <c r="G420" s="108">
        <v>65536.0</v>
      </c>
      <c r="H420" s="155">
        <v>0.0</v>
      </c>
      <c r="I420" s="156"/>
    </row>
    <row r="421">
      <c r="A421" s="154" t="s">
        <v>34094</v>
      </c>
      <c r="B421" s="108">
        <v>149.0</v>
      </c>
      <c r="C421" s="108">
        <v>868.0</v>
      </c>
      <c r="D421" s="108">
        <v>0.0</v>
      </c>
      <c r="E421" s="108">
        <v>0.0</v>
      </c>
      <c r="F421" s="108">
        <v>1.384305855E9</v>
      </c>
      <c r="G421" s="108">
        <v>1.8200576E9</v>
      </c>
      <c r="H421" s="155">
        <v>0.0</v>
      </c>
      <c r="I421" s="156"/>
    </row>
    <row r="422">
      <c r="A422" s="154" t="s">
        <v>34070</v>
      </c>
      <c r="B422" s="108">
        <v>583.0</v>
      </c>
      <c r="C422" s="108">
        <v>10814.0</v>
      </c>
      <c r="D422" s="108">
        <v>0.0</v>
      </c>
      <c r="E422" s="108">
        <v>0.0</v>
      </c>
      <c r="F422" s="108">
        <v>4.091242405974E12</v>
      </c>
      <c r="G422" s="108">
        <v>4.919555661824E12</v>
      </c>
      <c r="H422" s="155">
        <v>0.0</v>
      </c>
      <c r="I422" s="156"/>
    </row>
    <row r="423">
      <c r="A423" s="154" t="s">
        <v>34107</v>
      </c>
      <c r="B423" s="108">
        <v>307.0</v>
      </c>
      <c r="C423" s="108">
        <v>15810.0</v>
      </c>
      <c r="D423" s="108">
        <v>0.0</v>
      </c>
      <c r="E423" s="108">
        <v>0.0</v>
      </c>
      <c r="F423" s="108">
        <v>5.9017445228E10</v>
      </c>
      <c r="G423" s="108">
        <v>7.3254592512E10</v>
      </c>
      <c r="H423" s="155">
        <v>0.0</v>
      </c>
      <c r="I423" s="156"/>
    </row>
    <row r="424">
      <c r="A424" s="154" t="s">
        <v>34605</v>
      </c>
      <c r="B424" s="108">
        <v>26.0</v>
      </c>
      <c r="C424" s="108">
        <v>0.0</v>
      </c>
      <c r="D424" s="108">
        <v>0.0</v>
      </c>
      <c r="E424" s="108">
        <v>0.0</v>
      </c>
      <c r="F424" s="108">
        <v>880.0</v>
      </c>
      <c r="G424" s="108">
        <v>851968.0</v>
      </c>
      <c r="H424" s="155">
        <v>0.0</v>
      </c>
      <c r="I424" s="156"/>
    </row>
    <row r="425">
      <c r="A425" s="154" t="s">
        <v>34606</v>
      </c>
      <c r="B425" s="108">
        <v>11.0</v>
      </c>
      <c r="C425" s="108">
        <v>0.0</v>
      </c>
      <c r="D425" s="108">
        <v>0.0</v>
      </c>
      <c r="E425" s="108">
        <v>0.0</v>
      </c>
      <c r="F425" s="108">
        <v>356.0</v>
      </c>
      <c r="G425" s="108">
        <v>360448.0</v>
      </c>
      <c r="H425" s="155">
        <v>0.0</v>
      </c>
      <c r="I425" s="156"/>
    </row>
    <row r="426">
      <c r="A426" s="154" t="s">
        <v>34607</v>
      </c>
      <c r="B426" s="108">
        <v>10.0</v>
      </c>
      <c r="C426" s="108">
        <v>0.0</v>
      </c>
      <c r="D426" s="108">
        <v>0.0</v>
      </c>
      <c r="E426" s="108">
        <v>0.0</v>
      </c>
      <c r="F426" s="108">
        <v>296.0</v>
      </c>
      <c r="G426" s="108">
        <v>327680.0</v>
      </c>
      <c r="H426" s="155">
        <v>0.0</v>
      </c>
      <c r="I426" s="156"/>
    </row>
    <row r="427">
      <c r="A427" s="154" t="s">
        <v>34608</v>
      </c>
      <c r="B427" s="108">
        <v>5.0</v>
      </c>
      <c r="C427" s="108">
        <v>0.0</v>
      </c>
      <c r="D427" s="108">
        <v>0.0</v>
      </c>
      <c r="E427" s="108">
        <v>0.0</v>
      </c>
      <c r="F427" s="108">
        <v>137.0</v>
      </c>
      <c r="G427" s="108">
        <v>163840.0</v>
      </c>
      <c r="H427" s="155">
        <v>0.0</v>
      </c>
      <c r="I427" s="156"/>
    </row>
    <row r="428">
      <c r="A428" s="154" t="s">
        <v>34609</v>
      </c>
      <c r="B428" s="108">
        <v>4.0</v>
      </c>
      <c r="C428" s="108">
        <v>0.0</v>
      </c>
      <c r="D428" s="108">
        <v>0.0</v>
      </c>
      <c r="E428" s="108">
        <v>0.0</v>
      </c>
      <c r="F428" s="108">
        <v>100.0</v>
      </c>
      <c r="G428" s="108">
        <v>131072.0</v>
      </c>
      <c r="H428" s="155">
        <v>0.0</v>
      </c>
      <c r="I428" s="156"/>
    </row>
    <row r="429">
      <c r="A429" s="154" t="s">
        <v>34610</v>
      </c>
      <c r="B429" s="108">
        <v>18.0</v>
      </c>
      <c r="C429" s="108">
        <v>0.0</v>
      </c>
      <c r="D429" s="108">
        <v>0.0</v>
      </c>
      <c r="E429" s="108">
        <v>0.0</v>
      </c>
      <c r="F429" s="108">
        <v>606.0</v>
      </c>
      <c r="G429" s="108">
        <v>589824.0</v>
      </c>
      <c r="H429" s="155">
        <v>0.0</v>
      </c>
      <c r="I429" s="156"/>
    </row>
    <row r="430">
      <c r="A430" s="154" t="s">
        <v>34611</v>
      </c>
      <c r="B430" s="108">
        <v>19.0</v>
      </c>
      <c r="C430" s="108">
        <v>0.0</v>
      </c>
      <c r="D430" s="108">
        <v>0.0</v>
      </c>
      <c r="E430" s="108">
        <v>0.0</v>
      </c>
      <c r="F430" s="108">
        <v>625.0</v>
      </c>
      <c r="G430" s="108">
        <v>622592.0</v>
      </c>
      <c r="H430" s="155">
        <v>0.0</v>
      </c>
      <c r="I430" s="156"/>
    </row>
    <row r="431">
      <c r="A431" s="154" t="s">
        <v>34612</v>
      </c>
      <c r="B431" s="108">
        <v>2.0</v>
      </c>
      <c r="C431" s="108">
        <v>0.0</v>
      </c>
      <c r="D431" s="108">
        <v>0.0</v>
      </c>
      <c r="E431" s="108">
        <v>0.0</v>
      </c>
      <c r="F431" s="108">
        <v>27.0</v>
      </c>
      <c r="G431" s="108">
        <v>65536.0</v>
      </c>
      <c r="H431" s="155">
        <v>0.0</v>
      </c>
      <c r="I431" s="156"/>
    </row>
    <row r="432">
      <c r="A432" s="154" t="s">
        <v>34613</v>
      </c>
      <c r="B432" s="108">
        <v>19.0</v>
      </c>
      <c r="C432" s="108">
        <v>0.0</v>
      </c>
      <c r="D432" s="108">
        <v>0.0</v>
      </c>
      <c r="E432" s="108">
        <v>0.0</v>
      </c>
      <c r="F432" s="108">
        <v>632.0</v>
      </c>
      <c r="G432" s="108">
        <v>622592.0</v>
      </c>
      <c r="H432" s="155">
        <v>0.0</v>
      </c>
      <c r="I432" s="156"/>
    </row>
    <row r="433">
      <c r="A433" s="154" t="s">
        <v>34614</v>
      </c>
      <c r="B433" s="108">
        <v>1.0</v>
      </c>
      <c r="C433" s="108">
        <v>0.0</v>
      </c>
      <c r="D433" s="108">
        <v>0.0</v>
      </c>
      <c r="E433" s="108">
        <v>0.0</v>
      </c>
      <c r="F433" s="108">
        <v>0.0</v>
      </c>
      <c r="G433" s="108">
        <v>32768.0</v>
      </c>
      <c r="H433" s="155">
        <v>0.0</v>
      </c>
      <c r="I433" s="156"/>
    </row>
    <row r="434">
      <c r="A434" s="154" t="s">
        <v>34615</v>
      </c>
      <c r="B434" s="108">
        <v>2.0</v>
      </c>
      <c r="C434" s="108">
        <v>0.0</v>
      </c>
      <c r="D434" s="108">
        <v>0.0</v>
      </c>
      <c r="E434" s="108">
        <v>0.0</v>
      </c>
      <c r="F434" s="108">
        <v>36.0</v>
      </c>
      <c r="G434" s="108">
        <v>65536.0</v>
      </c>
      <c r="H434" s="155">
        <v>0.0</v>
      </c>
      <c r="I434" s="156"/>
    </row>
    <row r="435">
      <c r="A435" s="154" t="s">
        <v>34616</v>
      </c>
      <c r="B435" s="108">
        <v>2.0</v>
      </c>
      <c r="C435" s="108">
        <v>0.0</v>
      </c>
      <c r="D435" s="108">
        <v>0.0</v>
      </c>
      <c r="E435" s="108">
        <v>0.0</v>
      </c>
      <c r="F435" s="108">
        <v>36.0</v>
      </c>
      <c r="G435" s="108">
        <v>65536.0</v>
      </c>
      <c r="H435" s="155">
        <v>0.0</v>
      </c>
      <c r="I435" s="156"/>
    </row>
    <row r="436">
      <c r="A436" s="154" t="s">
        <v>34617</v>
      </c>
      <c r="B436" s="108">
        <v>1.0</v>
      </c>
      <c r="C436" s="108">
        <v>0.0</v>
      </c>
      <c r="D436" s="108">
        <v>0.0</v>
      </c>
      <c r="E436" s="108">
        <v>0.0</v>
      </c>
      <c r="F436" s="108">
        <v>0.0</v>
      </c>
      <c r="G436" s="108">
        <v>32768.0</v>
      </c>
      <c r="H436" s="155">
        <v>0.0</v>
      </c>
      <c r="I436" s="156"/>
    </row>
    <row r="437">
      <c r="A437" s="154" t="s">
        <v>34005</v>
      </c>
      <c r="B437" s="108">
        <v>12.0</v>
      </c>
      <c r="C437" s="108">
        <v>7.0</v>
      </c>
      <c r="D437" s="108">
        <v>0.0</v>
      </c>
      <c r="E437" s="108">
        <v>0.0</v>
      </c>
      <c r="F437" s="108">
        <v>429216.0</v>
      </c>
      <c r="G437" s="108">
        <v>1376256.0</v>
      </c>
      <c r="H437" s="155">
        <v>0.0</v>
      </c>
      <c r="I437" s="156"/>
    </row>
    <row r="438">
      <c r="A438" s="154" t="s">
        <v>34618</v>
      </c>
      <c r="B438" s="108">
        <v>6.0</v>
      </c>
      <c r="C438" s="108">
        <v>0.0</v>
      </c>
      <c r="D438" s="108">
        <v>0.0</v>
      </c>
      <c r="E438" s="108">
        <v>0.0</v>
      </c>
      <c r="F438" s="108">
        <v>168.0</v>
      </c>
      <c r="G438" s="108">
        <v>196608.0</v>
      </c>
      <c r="H438" s="155">
        <v>0.0</v>
      </c>
      <c r="I438" s="156"/>
    </row>
    <row r="439">
      <c r="A439" s="154" t="s">
        <v>34064</v>
      </c>
      <c r="B439" s="108">
        <v>4936.0</v>
      </c>
      <c r="C439" s="108">
        <v>27063.0</v>
      </c>
      <c r="D439" s="108">
        <v>0.0</v>
      </c>
      <c r="E439" s="108">
        <v>0.0</v>
      </c>
      <c r="F439" s="108">
        <v>3.0533495092E10</v>
      </c>
      <c r="G439" s="108">
        <v>4.0344264704E10</v>
      </c>
      <c r="H439" s="155">
        <v>0.0</v>
      </c>
      <c r="I439" s="156"/>
    </row>
    <row r="440">
      <c r="A440" s="154" t="s">
        <v>34164</v>
      </c>
      <c r="B440" s="108">
        <v>6021.0</v>
      </c>
      <c r="C440" s="108">
        <v>45116.0</v>
      </c>
      <c r="D440" s="108">
        <v>0.0</v>
      </c>
      <c r="E440" s="108">
        <v>0.0</v>
      </c>
      <c r="F440" s="108">
        <v>6.1319601356E10</v>
      </c>
      <c r="G440" s="108">
        <v>7.979270144E10</v>
      </c>
      <c r="H440" s="155">
        <v>0.0</v>
      </c>
      <c r="I440" s="156"/>
    </row>
    <row r="441">
      <c r="A441" s="154" t="s">
        <v>33936</v>
      </c>
      <c r="B441" s="108">
        <v>9066.0</v>
      </c>
      <c r="C441" s="108">
        <v>67691.0</v>
      </c>
      <c r="D441" s="108">
        <v>0.0</v>
      </c>
      <c r="E441" s="108">
        <v>0.0</v>
      </c>
      <c r="F441" s="108">
        <v>8.062205768E10</v>
      </c>
      <c r="G441" s="108">
        <v>1.05901449216E11</v>
      </c>
      <c r="H441" s="155">
        <v>0.0</v>
      </c>
      <c r="I441" s="156"/>
    </row>
    <row r="442">
      <c r="A442" s="154" t="s">
        <v>34619</v>
      </c>
      <c r="B442" s="108">
        <v>3.0</v>
      </c>
      <c r="C442" s="108">
        <v>1.0</v>
      </c>
      <c r="D442" s="108">
        <v>0.0</v>
      </c>
      <c r="E442" s="108">
        <v>0.0</v>
      </c>
      <c r="F442" s="108">
        <v>10338.0</v>
      </c>
      <c r="G442" s="108">
        <v>172032.0</v>
      </c>
      <c r="H442" s="155">
        <v>0.0</v>
      </c>
      <c r="I442" s="156"/>
    </row>
    <row r="443">
      <c r="A443" s="154" t="s">
        <v>34177</v>
      </c>
      <c r="B443" s="108">
        <v>53.0</v>
      </c>
      <c r="C443" s="108">
        <v>29.0</v>
      </c>
      <c r="D443" s="108">
        <v>0.0</v>
      </c>
      <c r="E443" s="108">
        <v>0.0</v>
      </c>
      <c r="F443" s="108">
        <v>2838340.0</v>
      </c>
      <c r="G443" s="108">
        <v>8708096.0</v>
      </c>
      <c r="H443" s="155">
        <v>0.0</v>
      </c>
      <c r="I443" s="156"/>
    </row>
    <row r="444">
      <c r="A444" s="154" t="s">
        <v>34162</v>
      </c>
      <c r="B444" s="108">
        <v>4979.0</v>
      </c>
      <c r="C444" s="108">
        <v>52650.0</v>
      </c>
      <c r="D444" s="108">
        <v>0.0</v>
      </c>
      <c r="E444" s="108">
        <v>0.0</v>
      </c>
      <c r="F444" s="108">
        <v>3.11778680739E11</v>
      </c>
      <c r="G444" s="108">
        <v>3.8211149824E11</v>
      </c>
      <c r="H444" s="155">
        <v>0.0</v>
      </c>
      <c r="I444" s="156"/>
    </row>
    <row r="445">
      <c r="A445" s="154" t="s">
        <v>33993</v>
      </c>
      <c r="B445" s="108">
        <v>679.0</v>
      </c>
      <c r="C445" s="108">
        <v>6839.0</v>
      </c>
      <c r="D445" s="108">
        <v>0.0</v>
      </c>
      <c r="E445" s="108">
        <v>0.0</v>
      </c>
      <c r="F445" s="108">
        <v>9.933554788E9</v>
      </c>
      <c r="G445" s="108">
        <v>1.274658816E10</v>
      </c>
      <c r="H445" s="155">
        <v>0.0</v>
      </c>
      <c r="I445" s="156"/>
    </row>
    <row r="446">
      <c r="A446" s="154" t="s">
        <v>34620</v>
      </c>
      <c r="B446" s="108">
        <v>1.0</v>
      </c>
      <c r="C446" s="108">
        <v>0.0</v>
      </c>
      <c r="D446" s="108">
        <v>0.0</v>
      </c>
      <c r="E446" s="108">
        <v>0.0</v>
      </c>
      <c r="F446" s="108">
        <v>0.0</v>
      </c>
      <c r="G446" s="108">
        <v>32768.0</v>
      </c>
      <c r="H446" s="155">
        <v>0.0</v>
      </c>
      <c r="I446" s="156"/>
    </row>
    <row r="447">
      <c r="A447" s="154" t="s">
        <v>1524</v>
      </c>
      <c r="B447" s="108">
        <v>4.0</v>
      </c>
      <c r="C447" s="108">
        <v>0.0</v>
      </c>
      <c r="D447" s="108">
        <v>0.0</v>
      </c>
      <c r="E447" s="108">
        <v>0.0</v>
      </c>
      <c r="F447" s="108">
        <v>91.0</v>
      </c>
      <c r="G447" s="108">
        <v>131072.0</v>
      </c>
      <c r="H447" s="155">
        <v>0.0</v>
      </c>
      <c r="I447" s="156"/>
    </row>
    <row r="448">
      <c r="A448" s="154" t="s">
        <v>34621</v>
      </c>
      <c r="B448" s="108">
        <v>11.0</v>
      </c>
      <c r="C448" s="108">
        <v>0.0</v>
      </c>
      <c r="D448" s="108">
        <v>0.0</v>
      </c>
      <c r="E448" s="108">
        <v>0.0</v>
      </c>
      <c r="F448" s="108">
        <v>338.0</v>
      </c>
      <c r="G448" s="108">
        <v>360448.0</v>
      </c>
      <c r="H448" s="155">
        <v>0.0</v>
      </c>
      <c r="I448" s="156"/>
    </row>
    <row r="449">
      <c r="A449" s="154" t="s">
        <v>1491</v>
      </c>
      <c r="B449" s="108">
        <v>7.0</v>
      </c>
      <c r="C449" s="108">
        <v>0.0</v>
      </c>
      <c r="D449" s="108">
        <v>0.0</v>
      </c>
      <c r="E449" s="108">
        <v>0.0</v>
      </c>
      <c r="F449" s="108">
        <v>201.0</v>
      </c>
      <c r="G449" s="108">
        <v>229376.0</v>
      </c>
      <c r="H449" s="155">
        <v>0.0</v>
      </c>
      <c r="I449" s="156"/>
    </row>
    <row r="450">
      <c r="A450" s="154" t="s">
        <v>34225</v>
      </c>
      <c r="B450" s="108">
        <v>894.0</v>
      </c>
      <c r="C450" s="108">
        <v>5215.0</v>
      </c>
      <c r="D450" s="108">
        <v>0.0</v>
      </c>
      <c r="E450" s="108">
        <v>0.0</v>
      </c>
      <c r="F450" s="108">
        <v>7.707206199E9</v>
      </c>
      <c r="G450" s="108">
        <v>1.0204995584E10</v>
      </c>
      <c r="H450" s="155">
        <v>0.0</v>
      </c>
      <c r="I450" s="156"/>
    </row>
    <row r="451">
      <c r="A451" s="154" t="s">
        <v>34622</v>
      </c>
      <c r="B451" s="108">
        <v>2.0</v>
      </c>
      <c r="C451" s="108">
        <v>0.0</v>
      </c>
      <c r="D451" s="108">
        <v>0.0</v>
      </c>
      <c r="E451" s="108">
        <v>0.0</v>
      </c>
      <c r="F451" s="108">
        <v>27.0</v>
      </c>
      <c r="G451" s="108">
        <v>65536.0</v>
      </c>
      <c r="H451" s="155">
        <v>0.0</v>
      </c>
      <c r="I451" s="156"/>
    </row>
    <row r="452">
      <c r="A452" s="154" t="s">
        <v>34167</v>
      </c>
      <c r="B452" s="108">
        <v>26.0</v>
      </c>
      <c r="C452" s="108">
        <v>30.0</v>
      </c>
      <c r="D452" s="108">
        <v>0.0</v>
      </c>
      <c r="E452" s="108">
        <v>0.0</v>
      </c>
      <c r="F452" s="108">
        <v>5224912.0</v>
      </c>
      <c r="G452" s="108">
        <v>1.3246464E7</v>
      </c>
      <c r="H452" s="155">
        <v>0.0</v>
      </c>
      <c r="I452" s="156"/>
    </row>
    <row r="453">
      <c r="A453" s="154" t="s">
        <v>34623</v>
      </c>
      <c r="B453" s="108">
        <v>2.0</v>
      </c>
      <c r="C453" s="108">
        <v>0.0</v>
      </c>
      <c r="D453" s="108">
        <v>0.0</v>
      </c>
      <c r="E453" s="108">
        <v>0.0</v>
      </c>
      <c r="F453" s="108">
        <v>27.0</v>
      </c>
      <c r="G453" s="108">
        <v>65536.0</v>
      </c>
      <c r="H453" s="155">
        <v>0.0</v>
      </c>
      <c r="I453" s="156"/>
    </row>
    <row r="454">
      <c r="A454" s="154" t="s">
        <v>34127</v>
      </c>
      <c r="B454" s="108">
        <v>19.0</v>
      </c>
      <c r="C454" s="108">
        <v>26.0</v>
      </c>
      <c r="D454" s="108">
        <v>0.0</v>
      </c>
      <c r="E454" s="108">
        <v>0.0</v>
      </c>
      <c r="F454" s="108">
        <v>2489393.0</v>
      </c>
      <c r="G454" s="108">
        <v>9027584.0</v>
      </c>
      <c r="H454" s="155">
        <v>0.0</v>
      </c>
      <c r="I454" s="156"/>
    </row>
    <row r="455">
      <c r="A455" s="154" t="s">
        <v>34624</v>
      </c>
      <c r="B455" s="108">
        <v>2.0</v>
      </c>
      <c r="C455" s="108">
        <v>0.0</v>
      </c>
      <c r="D455" s="108">
        <v>0.0</v>
      </c>
      <c r="E455" s="108">
        <v>0.0</v>
      </c>
      <c r="F455" s="108">
        <v>27.0</v>
      </c>
      <c r="G455" s="108">
        <v>65536.0</v>
      </c>
      <c r="H455" s="155">
        <v>0.0</v>
      </c>
      <c r="I455" s="156"/>
    </row>
    <row r="456">
      <c r="A456" s="154" t="s">
        <v>34625</v>
      </c>
      <c r="B456" s="108">
        <v>6.0</v>
      </c>
      <c r="C456" s="108">
        <v>0.0</v>
      </c>
      <c r="D456" s="108">
        <v>0.0</v>
      </c>
      <c r="E456" s="108">
        <v>0.0</v>
      </c>
      <c r="F456" s="108">
        <v>153.0</v>
      </c>
      <c r="G456" s="108">
        <v>196608.0</v>
      </c>
      <c r="H456" s="155">
        <v>0.0</v>
      </c>
      <c r="I456" s="156"/>
    </row>
    <row r="457">
      <c r="A457" s="154" t="s">
        <v>34210</v>
      </c>
      <c r="B457" s="108">
        <v>3705.0</v>
      </c>
      <c r="C457" s="108">
        <v>6381.0</v>
      </c>
      <c r="D457" s="108">
        <v>0.0</v>
      </c>
      <c r="E457" s="108">
        <v>0.0</v>
      </c>
      <c r="F457" s="108">
        <v>1.3788549986E10</v>
      </c>
      <c r="G457" s="108">
        <v>1.7738653696E10</v>
      </c>
      <c r="H457" s="155">
        <v>0.0</v>
      </c>
      <c r="I457" s="156"/>
    </row>
    <row r="458">
      <c r="A458" s="154" t="s">
        <v>34626</v>
      </c>
      <c r="B458" s="108">
        <v>2.0</v>
      </c>
      <c r="C458" s="108">
        <v>0.0</v>
      </c>
      <c r="D458" s="108">
        <v>0.0</v>
      </c>
      <c r="E458" s="108">
        <v>0.0</v>
      </c>
      <c r="F458" s="108">
        <v>27.0</v>
      </c>
      <c r="G458" s="108">
        <v>65536.0</v>
      </c>
      <c r="H458" s="155">
        <v>0.0</v>
      </c>
      <c r="I458" s="156"/>
    </row>
    <row r="459">
      <c r="A459" s="154" t="s">
        <v>34096</v>
      </c>
      <c r="B459" s="108">
        <v>2477.0</v>
      </c>
      <c r="C459" s="108">
        <v>15890.0</v>
      </c>
      <c r="D459" s="108">
        <v>0.0</v>
      </c>
      <c r="E459" s="108">
        <v>0.0</v>
      </c>
      <c r="F459" s="108">
        <v>2.1550002676E10</v>
      </c>
      <c r="G459" s="108">
        <v>2.7825340416E10</v>
      </c>
      <c r="H459" s="155">
        <v>0.0</v>
      </c>
      <c r="I459" s="156"/>
    </row>
    <row r="460">
      <c r="A460" s="154" t="s">
        <v>34627</v>
      </c>
      <c r="B460" s="108">
        <v>2.0</v>
      </c>
      <c r="C460" s="108">
        <v>0.0</v>
      </c>
      <c r="D460" s="108">
        <v>0.0</v>
      </c>
      <c r="E460" s="108">
        <v>0.0</v>
      </c>
      <c r="F460" s="108">
        <v>27.0</v>
      </c>
      <c r="G460" s="108">
        <v>65536.0</v>
      </c>
      <c r="H460" s="155">
        <v>0.0</v>
      </c>
      <c r="I460" s="156"/>
    </row>
    <row r="461">
      <c r="A461" s="154" t="s">
        <v>1522</v>
      </c>
      <c r="B461" s="108">
        <v>3512.0</v>
      </c>
      <c r="C461" s="108">
        <v>10523.0</v>
      </c>
      <c r="D461" s="108">
        <v>0.0</v>
      </c>
      <c r="E461" s="108">
        <v>0.0</v>
      </c>
      <c r="F461" s="108">
        <v>1.786720781E9</v>
      </c>
      <c r="G461" s="108">
        <v>4.391657472E9</v>
      </c>
      <c r="H461" s="155">
        <v>0.0</v>
      </c>
      <c r="I461" s="156"/>
    </row>
    <row r="462">
      <c r="A462" s="154" t="s">
        <v>34218</v>
      </c>
      <c r="B462" s="108">
        <v>220.0</v>
      </c>
      <c r="C462" s="108">
        <v>1083.0</v>
      </c>
      <c r="D462" s="108">
        <v>0.0</v>
      </c>
      <c r="E462" s="108">
        <v>0.0</v>
      </c>
      <c r="F462" s="108">
        <v>5.02629172E8</v>
      </c>
      <c r="G462" s="108">
        <v>7.93935872E8</v>
      </c>
      <c r="H462" s="155">
        <v>0.0</v>
      </c>
      <c r="I462" s="156"/>
    </row>
    <row r="463">
      <c r="A463" s="154" t="s">
        <v>1656</v>
      </c>
      <c r="B463" s="108">
        <v>47.0</v>
      </c>
      <c r="C463" s="108">
        <v>1.0</v>
      </c>
      <c r="D463" s="108">
        <v>0.0</v>
      </c>
      <c r="E463" s="108">
        <v>0.0</v>
      </c>
      <c r="F463" s="108">
        <v>7719.0</v>
      </c>
      <c r="G463" s="108">
        <v>1564672.0</v>
      </c>
      <c r="H463" s="155">
        <v>0.0</v>
      </c>
      <c r="I463" s="156"/>
    </row>
    <row r="464">
      <c r="A464" s="154" t="s">
        <v>34628</v>
      </c>
      <c r="B464" s="108">
        <v>2.0</v>
      </c>
      <c r="C464" s="108">
        <v>0.0</v>
      </c>
      <c r="D464" s="108">
        <v>0.0</v>
      </c>
      <c r="E464" s="108">
        <v>0.0</v>
      </c>
      <c r="F464" s="108">
        <v>27.0</v>
      </c>
      <c r="G464" s="108">
        <v>65536.0</v>
      </c>
      <c r="H464" s="155">
        <v>0.0</v>
      </c>
      <c r="I464" s="156"/>
    </row>
    <row r="465">
      <c r="A465" s="154" t="s">
        <v>34629</v>
      </c>
      <c r="B465" s="108">
        <v>21.0</v>
      </c>
      <c r="C465" s="108">
        <v>0.0</v>
      </c>
      <c r="D465" s="108">
        <v>0.0</v>
      </c>
      <c r="E465" s="108">
        <v>0.0</v>
      </c>
      <c r="F465" s="108">
        <v>669.0</v>
      </c>
      <c r="G465" s="108">
        <v>688128.0</v>
      </c>
      <c r="H465" s="155">
        <v>0.0</v>
      </c>
      <c r="I465" s="156"/>
    </row>
    <row r="466">
      <c r="A466" s="154" t="s">
        <v>34630</v>
      </c>
      <c r="B466" s="108">
        <v>28.0</v>
      </c>
      <c r="C466" s="108">
        <v>0.0</v>
      </c>
      <c r="D466" s="108">
        <v>0.0</v>
      </c>
      <c r="E466" s="108">
        <v>0.0</v>
      </c>
      <c r="F466" s="108">
        <v>942.0</v>
      </c>
      <c r="G466" s="108">
        <v>917504.0</v>
      </c>
      <c r="H466" s="155">
        <v>0.0</v>
      </c>
      <c r="I466" s="156"/>
    </row>
    <row r="467">
      <c r="A467" s="154" t="s">
        <v>34631</v>
      </c>
      <c r="B467" s="108">
        <v>67.0</v>
      </c>
      <c r="C467" s="108">
        <v>0.0</v>
      </c>
      <c r="D467" s="108">
        <v>0.0</v>
      </c>
      <c r="E467" s="108">
        <v>0.0</v>
      </c>
      <c r="F467" s="108">
        <v>2327.0</v>
      </c>
      <c r="G467" s="108">
        <v>2195456.0</v>
      </c>
      <c r="H467" s="155">
        <v>0.0</v>
      </c>
      <c r="I467" s="156"/>
    </row>
    <row r="468">
      <c r="A468" s="154" t="s">
        <v>34632</v>
      </c>
      <c r="B468" s="108">
        <v>24.0</v>
      </c>
      <c r="C468" s="108">
        <v>0.0</v>
      </c>
      <c r="D468" s="108">
        <v>0.0</v>
      </c>
      <c r="E468" s="108">
        <v>0.0</v>
      </c>
      <c r="F468" s="108">
        <v>704.0</v>
      </c>
      <c r="G468" s="108">
        <v>786432.0</v>
      </c>
      <c r="H468" s="155">
        <v>0.0</v>
      </c>
      <c r="I468" s="156"/>
    </row>
    <row r="469">
      <c r="A469" s="154" t="s">
        <v>34633</v>
      </c>
      <c r="B469" s="108">
        <v>52.0</v>
      </c>
      <c r="C469" s="108">
        <v>0.0</v>
      </c>
      <c r="D469" s="108">
        <v>0.0</v>
      </c>
      <c r="E469" s="108">
        <v>0.0</v>
      </c>
      <c r="F469" s="108">
        <v>1628.0</v>
      </c>
      <c r="G469" s="108">
        <v>1703936.0</v>
      </c>
      <c r="H469" s="155">
        <v>0.0</v>
      </c>
      <c r="I469" s="156"/>
    </row>
    <row r="470">
      <c r="A470" s="154" t="s">
        <v>34634</v>
      </c>
      <c r="B470" s="108">
        <v>1.0</v>
      </c>
      <c r="C470" s="108">
        <v>0.0</v>
      </c>
      <c r="D470" s="108">
        <v>0.0</v>
      </c>
      <c r="E470" s="108">
        <v>0.0</v>
      </c>
      <c r="F470" s="108">
        <v>0.0</v>
      </c>
      <c r="G470" s="108">
        <v>32768.0</v>
      </c>
      <c r="H470" s="155">
        <v>0.0</v>
      </c>
      <c r="I470" s="156"/>
    </row>
    <row r="471">
      <c r="A471" s="154" t="s">
        <v>34187</v>
      </c>
      <c r="B471" s="108">
        <v>907.0</v>
      </c>
      <c r="C471" s="108">
        <v>4213.0</v>
      </c>
      <c r="D471" s="108">
        <v>0.0</v>
      </c>
      <c r="E471" s="108">
        <v>0.0</v>
      </c>
      <c r="F471" s="108">
        <v>3.222852216E9</v>
      </c>
      <c r="G471" s="108">
        <v>4.547018752E9</v>
      </c>
      <c r="H471" s="155">
        <v>0.0</v>
      </c>
      <c r="I471" s="156"/>
    </row>
    <row r="472">
      <c r="A472" s="154" t="s">
        <v>34635</v>
      </c>
      <c r="B472" s="108">
        <v>10.0</v>
      </c>
      <c r="C472" s="108">
        <v>0.0</v>
      </c>
      <c r="D472" s="108">
        <v>0.0</v>
      </c>
      <c r="E472" s="108">
        <v>0.0</v>
      </c>
      <c r="F472" s="108">
        <v>322.0</v>
      </c>
      <c r="G472" s="108">
        <v>327680.0</v>
      </c>
      <c r="H472" s="155">
        <v>0.0</v>
      </c>
      <c r="I472" s="156"/>
    </row>
    <row r="473">
      <c r="A473" s="154" t="s">
        <v>34636</v>
      </c>
      <c r="B473" s="108">
        <v>10.0</v>
      </c>
      <c r="C473" s="108">
        <v>0.0</v>
      </c>
      <c r="D473" s="108">
        <v>0.0</v>
      </c>
      <c r="E473" s="108">
        <v>0.0</v>
      </c>
      <c r="F473" s="108">
        <v>295.0</v>
      </c>
      <c r="G473" s="108">
        <v>327680.0</v>
      </c>
      <c r="H473" s="155">
        <v>0.0</v>
      </c>
      <c r="I473" s="156"/>
    </row>
    <row r="474">
      <c r="A474" s="154" t="s">
        <v>34041</v>
      </c>
      <c r="B474" s="108">
        <v>3315.0</v>
      </c>
      <c r="C474" s="108">
        <v>23560.0</v>
      </c>
      <c r="D474" s="108">
        <v>0.0</v>
      </c>
      <c r="E474" s="108">
        <v>0.0</v>
      </c>
      <c r="F474" s="108">
        <v>1.31748933342E11</v>
      </c>
      <c r="G474" s="108">
        <v>1.6199000064E11</v>
      </c>
      <c r="H474" s="155">
        <v>0.0</v>
      </c>
      <c r="I474" s="156"/>
    </row>
    <row r="475">
      <c r="A475" s="154" t="s">
        <v>34130</v>
      </c>
      <c r="B475" s="108">
        <v>15096.0</v>
      </c>
      <c r="C475" s="108">
        <v>51869.0</v>
      </c>
      <c r="D475" s="108">
        <v>0.0</v>
      </c>
      <c r="E475" s="108">
        <v>0.0</v>
      </c>
      <c r="F475" s="108">
        <v>2.5108487764E10</v>
      </c>
      <c r="G475" s="108">
        <v>3.84923648E10</v>
      </c>
      <c r="H475" s="155">
        <v>0.0</v>
      </c>
      <c r="I475" s="156"/>
    </row>
    <row r="476">
      <c r="A476" s="154" t="s">
        <v>34637</v>
      </c>
      <c r="B476" s="108">
        <v>1.0</v>
      </c>
      <c r="C476" s="108">
        <v>0.0</v>
      </c>
      <c r="D476" s="108">
        <v>0.0</v>
      </c>
      <c r="E476" s="108">
        <v>0.0</v>
      </c>
      <c r="F476" s="108">
        <v>0.0</v>
      </c>
      <c r="G476" s="108">
        <v>32768.0</v>
      </c>
      <c r="H476" s="155">
        <v>0.0</v>
      </c>
      <c r="I476" s="156"/>
    </row>
    <row r="477">
      <c r="A477" s="154" t="s">
        <v>34206</v>
      </c>
      <c r="B477" s="108">
        <v>194.0</v>
      </c>
      <c r="C477" s="108">
        <v>1019.0</v>
      </c>
      <c r="D477" s="108">
        <v>0.0</v>
      </c>
      <c r="E477" s="108">
        <v>0.0</v>
      </c>
      <c r="F477" s="108">
        <v>1.12529821E10</v>
      </c>
      <c r="G477" s="108">
        <v>1.3667098624E10</v>
      </c>
      <c r="H477" s="155">
        <v>0.0</v>
      </c>
      <c r="I477" s="156"/>
    </row>
    <row r="478">
      <c r="A478" s="154" t="s">
        <v>34196</v>
      </c>
      <c r="B478" s="108">
        <v>4064.0</v>
      </c>
      <c r="C478" s="108">
        <v>13606.0</v>
      </c>
      <c r="D478" s="108">
        <v>0.0</v>
      </c>
      <c r="E478" s="108">
        <v>0.0</v>
      </c>
      <c r="F478" s="108">
        <v>2.5170036821E10</v>
      </c>
      <c r="G478" s="108">
        <v>3.2441483264E10</v>
      </c>
      <c r="H478" s="155">
        <v>0.0</v>
      </c>
      <c r="I478" s="156"/>
    </row>
    <row r="479">
      <c r="A479" s="154" t="s">
        <v>34204</v>
      </c>
      <c r="B479" s="108">
        <v>1964.0</v>
      </c>
      <c r="C479" s="108">
        <v>7273.0</v>
      </c>
      <c r="D479" s="108">
        <v>0.0</v>
      </c>
      <c r="E479" s="108">
        <v>0.0</v>
      </c>
      <c r="F479" s="108">
        <v>5.257773243E9</v>
      </c>
      <c r="G479" s="108">
        <v>7.596515328E9</v>
      </c>
      <c r="H479" s="155">
        <v>0.0</v>
      </c>
      <c r="I479" s="156"/>
    </row>
    <row r="480">
      <c r="A480" s="154" t="s">
        <v>34202</v>
      </c>
      <c r="B480" s="108">
        <v>1591.0</v>
      </c>
      <c r="C480" s="108">
        <v>4218.0</v>
      </c>
      <c r="D480" s="108">
        <v>0.0</v>
      </c>
      <c r="E480" s="108">
        <v>0.0</v>
      </c>
      <c r="F480" s="108">
        <v>5.653971868E9</v>
      </c>
      <c r="G480" s="108">
        <v>7.568375808E9</v>
      </c>
      <c r="H480" s="155">
        <v>0.0</v>
      </c>
      <c r="I480" s="156"/>
    </row>
    <row r="481">
      <c r="A481" s="154" t="s">
        <v>34137</v>
      </c>
      <c r="B481" s="108">
        <v>1.0</v>
      </c>
      <c r="C481" s="108">
        <v>2.0</v>
      </c>
      <c r="D481" s="108">
        <v>0.0</v>
      </c>
      <c r="E481" s="108">
        <v>0.0</v>
      </c>
      <c r="F481" s="108">
        <v>831358.0</v>
      </c>
      <c r="G481" s="108">
        <v>1236992.0</v>
      </c>
      <c r="H481" s="155">
        <v>0.0</v>
      </c>
      <c r="I481" s="156"/>
    </row>
    <row r="482">
      <c r="A482" s="154" t="s">
        <v>34200</v>
      </c>
      <c r="B482" s="108">
        <v>109.0</v>
      </c>
      <c r="C482" s="108">
        <v>790.0</v>
      </c>
      <c r="D482" s="108">
        <v>0.0</v>
      </c>
      <c r="E482" s="108">
        <v>0.0</v>
      </c>
      <c r="F482" s="108">
        <v>4.59326467E8</v>
      </c>
      <c r="G482" s="108">
        <v>6.63986176E8</v>
      </c>
      <c r="H482" s="155">
        <v>0.0</v>
      </c>
      <c r="I482" s="156"/>
    </row>
    <row r="483">
      <c r="A483" s="154" t="s">
        <v>33907</v>
      </c>
      <c r="B483" s="108">
        <v>44.0</v>
      </c>
      <c r="C483" s="108">
        <v>706.0</v>
      </c>
      <c r="D483" s="108">
        <v>0.0</v>
      </c>
      <c r="E483" s="108">
        <v>0.0</v>
      </c>
      <c r="F483" s="108">
        <v>9.1879483E7</v>
      </c>
      <c r="G483" s="108">
        <v>1.82534144E8</v>
      </c>
      <c r="H483" s="155">
        <v>0.0</v>
      </c>
      <c r="I483" s="156"/>
    </row>
    <row r="484">
      <c r="A484" s="154" t="s">
        <v>34116</v>
      </c>
      <c r="B484" s="108">
        <v>172.0</v>
      </c>
      <c r="C484" s="108">
        <v>1022.0</v>
      </c>
      <c r="D484" s="108">
        <v>0.0</v>
      </c>
      <c r="E484" s="108">
        <v>0.0</v>
      </c>
      <c r="F484" s="108">
        <v>1.7087476E8</v>
      </c>
      <c r="G484" s="108">
        <v>3.29039872E8</v>
      </c>
      <c r="H484" s="155">
        <v>0.0</v>
      </c>
      <c r="I484" s="156"/>
    </row>
    <row r="485">
      <c r="A485" s="154" t="s">
        <v>34638</v>
      </c>
      <c r="B485" s="108">
        <v>2.0</v>
      </c>
      <c r="C485" s="108">
        <v>0.0</v>
      </c>
      <c r="D485" s="108">
        <v>0.0</v>
      </c>
      <c r="E485" s="108">
        <v>0.0</v>
      </c>
      <c r="F485" s="108">
        <v>36.0</v>
      </c>
      <c r="G485" s="108">
        <v>65536.0</v>
      </c>
      <c r="H485" s="155">
        <v>0.0</v>
      </c>
      <c r="I485" s="156"/>
    </row>
    <row r="486">
      <c r="A486" s="154" t="s">
        <v>34639</v>
      </c>
      <c r="B486" s="108">
        <v>2.0</v>
      </c>
      <c r="C486" s="108">
        <v>0.0</v>
      </c>
      <c r="D486" s="108">
        <v>0.0</v>
      </c>
      <c r="E486" s="108">
        <v>0.0</v>
      </c>
      <c r="F486" s="108">
        <v>36.0</v>
      </c>
      <c r="G486" s="108">
        <v>65536.0</v>
      </c>
      <c r="H486" s="155">
        <v>0.0</v>
      </c>
      <c r="I486" s="156"/>
    </row>
    <row r="487">
      <c r="A487" s="154" t="s">
        <v>34166</v>
      </c>
      <c r="B487" s="108">
        <v>6.0</v>
      </c>
      <c r="C487" s="108">
        <v>3.0</v>
      </c>
      <c r="D487" s="108">
        <v>0.0</v>
      </c>
      <c r="E487" s="108">
        <v>0.0</v>
      </c>
      <c r="F487" s="108">
        <v>260393.0</v>
      </c>
      <c r="G487" s="108">
        <v>1007616.0</v>
      </c>
      <c r="H487" s="155">
        <v>0.0</v>
      </c>
      <c r="I487" s="156"/>
    </row>
    <row r="488">
      <c r="A488" s="154" t="s">
        <v>34122</v>
      </c>
      <c r="B488" s="108">
        <v>10.0</v>
      </c>
      <c r="C488" s="108">
        <v>173.0</v>
      </c>
      <c r="D488" s="108">
        <v>0.0</v>
      </c>
      <c r="E488" s="108">
        <v>0.0</v>
      </c>
      <c r="F488" s="108">
        <v>6.7942588E7</v>
      </c>
      <c r="G488" s="108">
        <v>9.3077504E7</v>
      </c>
      <c r="H488" s="155">
        <v>0.0</v>
      </c>
      <c r="I488" s="156"/>
    </row>
    <row r="489">
      <c r="A489" s="154" t="s">
        <v>34640</v>
      </c>
      <c r="B489" s="108">
        <v>3.0</v>
      </c>
      <c r="C489" s="108">
        <v>0.0</v>
      </c>
      <c r="D489" s="108">
        <v>0.0</v>
      </c>
      <c r="E489" s="108">
        <v>0.0</v>
      </c>
      <c r="F489" s="108">
        <v>67.0</v>
      </c>
      <c r="G489" s="108">
        <v>98304.0</v>
      </c>
      <c r="H489" s="155">
        <v>0.0</v>
      </c>
      <c r="I489" s="156"/>
    </row>
  </sheetData>
  <hyperlinks>
    <hyperlink r:id="rId1" location="gid=385666246" ref="A1"/>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 customWidth="1" min="2" max="2" width="214.88"/>
  </cols>
  <sheetData>
    <row r="1">
      <c r="A1" s="143" t="s">
        <v>34641</v>
      </c>
      <c r="B1" s="143" t="s">
        <v>34642</v>
      </c>
      <c r="C1" s="143" t="s">
        <v>34240</v>
      </c>
    </row>
    <row r="2">
      <c r="A2" s="143" t="s">
        <v>34643</v>
      </c>
      <c r="B2" s="143" t="s">
        <v>34644</v>
      </c>
      <c r="C2" s="157">
        <v>44669.99637731481</v>
      </c>
    </row>
    <row r="3">
      <c r="A3" s="143" t="s">
        <v>34645</v>
      </c>
      <c r="B3" s="143" t="s">
        <v>34646</v>
      </c>
      <c r="C3" s="157">
        <v>42004.69789351852</v>
      </c>
    </row>
    <row r="4">
      <c r="A4" s="143" t="s">
        <v>34647</v>
      </c>
      <c r="B4" s="143" t="s">
        <v>34648</v>
      </c>
      <c r="C4" s="157">
        <v>43451.47305555556</v>
      </c>
    </row>
    <row r="5">
      <c r="A5" s="143" t="s">
        <v>34649</v>
      </c>
      <c r="B5" s="143" t="s">
        <v>34650</v>
      </c>
      <c r="C5" s="157">
        <v>44670.47740740741</v>
      </c>
    </row>
    <row r="6">
      <c r="A6" s="143" t="s">
        <v>34651</v>
      </c>
      <c r="B6" s="143" t="s">
        <v>34652</v>
      </c>
      <c r="C6" s="157">
        <v>45735.46775462963</v>
      </c>
    </row>
    <row r="7">
      <c r="A7" s="143" t="s">
        <v>34653</v>
      </c>
      <c r="B7" s="143" t="s">
        <v>34654</v>
      </c>
      <c r="C7" s="157">
        <v>45734.64130787037</v>
      </c>
    </row>
    <row r="8">
      <c r="A8" s="143" t="s">
        <v>34655</v>
      </c>
      <c r="B8" s="143" t="s">
        <v>34656</v>
      </c>
      <c r="C8" s="157">
        <v>45733.41069444444</v>
      </c>
    </row>
    <row r="9">
      <c r="A9" s="143" t="s">
        <v>34657</v>
      </c>
      <c r="B9" s="143" t="s">
        <v>34658</v>
      </c>
      <c r="C9" s="157">
        <v>43536.64784722222</v>
      </c>
    </row>
    <row r="10">
      <c r="A10" s="143" t="s">
        <v>34659</v>
      </c>
      <c r="B10" s="143" t="s">
        <v>34660</v>
      </c>
      <c r="C10" s="157">
        <v>42755.70398148148</v>
      </c>
    </row>
    <row r="11">
      <c r="A11" s="143" t="s">
        <v>34661</v>
      </c>
      <c r="B11" s="143" t="s">
        <v>34662</v>
      </c>
      <c r="C11" s="157">
        <v>42705.59333333333</v>
      </c>
    </row>
    <row r="12">
      <c r="A12" s="143" t="s">
        <v>34663</v>
      </c>
      <c r="B12" s="143" t="s">
        <v>34664</v>
      </c>
      <c r="C12" s="157">
        <v>42394.67358796296</v>
      </c>
    </row>
    <row r="13">
      <c r="A13" s="143" t="s">
        <v>34665</v>
      </c>
      <c r="B13" s="143" t="s">
        <v>34666</v>
      </c>
      <c r="C13" s="157">
        <v>42410.8571875</v>
      </c>
    </row>
    <row r="14">
      <c r="A14" s="143" t="s">
        <v>34667</v>
      </c>
      <c r="B14" s="143" t="s">
        <v>34668</v>
      </c>
      <c r="C14" s="157">
        <v>44883.700625</v>
      </c>
    </row>
    <row r="15">
      <c r="A15" s="143" t="s">
        <v>34669</v>
      </c>
      <c r="B15" s="143" t="s">
        <v>34670</v>
      </c>
      <c r="C15" s="157">
        <v>45735.779502314814</v>
      </c>
    </row>
    <row r="16">
      <c r="A16" s="143" t="s">
        <v>34671</v>
      </c>
      <c r="B16" s="143" t="s">
        <v>34672</v>
      </c>
      <c r="C16" s="157">
        <v>43264.50288194444</v>
      </c>
    </row>
    <row r="17">
      <c r="A17" s="143" t="s">
        <v>34673</v>
      </c>
      <c r="B17" s="143" t="s">
        <v>34674</v>
      </c>
      <c r="C17" s="157">
        <v>43573.452835648146</v>
      </c>
    </row>
    <row r="18">
      <c r="A18" s="143" t="s">
        <v>34675</v>
      </c>
      <c r="B18" s="143" t="s">
        <v>34676</v>
      </c>
      <c r="C18" s="157">
        <v>43860.69681712963</v>
      </c>
    </row>
    <row r="19">
      <c r="A19" s="143" t="s">
        <v>34677</v>
      </c>
      <c r="B19" s="143" t="s">
        <v>34678</v>
      </c>
      <c r="C19" s="157">
        <v>43494.21760416667</v>
      </c>
    </row>
    <row r="20">
      <c r="A20" s="143" t="s">
        <v>34679</v>
      </c>
      <c r="B20" s="143" t="s">
        <v>34680</v>
      </c>
      <c r="C20" s="157">
        <v>44726.74592592593</v>
      </c>
    </row>
    <row r="21">
      <c r="A21" s="143" t="s">
        <v>34681</v>
      </c>
      <c r="B21" s="143" t="s">
        <v>34682</v>
      </c>
      <c r="C21" s="157">
        <v>43244.63990740741</v>
      </c>
    </row>
    <row r="22">
      <c r="A22" s="143" t="s">
        <v>34683</v>
      </c>
      <c r="B22" s="143" t="s">
        <v>34684</v>
      </c>
      <c r="C22" s="157">
        <v>44060.75059027778</v>
      </c>
    </row>
    <row r="23">
      <c r="A23" s="143" t="s">
        <v>34685</v>
      </c>
      <c r="B23" s="143" t="s">
        <v>34686</v>
      </c>
      <c r="C23" s="157">
        <v>43312.45872685185</v>
      </c>
    </row>
    <row r="24">
      <c r="A24" s="143" t="s">
        <v>34687</v>
      </c>
      <c r="B24" s="143" t="s">
        <v>34688</v>
      </c>
      <c r="C24" s="157">
        <v>44434.67649305556</v>
      </c>
    </row>
    <row r="25">
      <c r="A25" s="143" t="s">
        <v>34689</v>
      </c>
      <c r="B25" s="143" t="s">
        <v>34690</v>
      </c>
      <c r="C25" s="157">
        <v>43446.86871527778</v>
      </c>
    </row>
    <row r="26">
      <c r="A26" s="143" t="s">
        <v>34691</v>
      </c>
      <c r="B26" s="143" t="s">
        <v>34692</v>
      </c>
      <c r="C26" s="157">
        <v>42902.731527777774</v>
      </c>
    </row>
    <row r="27">
      <c r="A27" s="143" t="s">
        <v>34693</v>
      </c>
      <c r="B27" s="143" t="s">
        <v>34694</v>
      </c>
      <c r="C27" s="157">
        <v>41610.42597222222</v>
      </c>
    </row>
    <row r="28">
      <c r="A28" s="143" t="s">
        <v>34695</v>
      </c>
      <c r="B28" s="143" t="s">
        <v>34696</v>
      </c>
      <c r="C28" s="157">
        <v>41479.45506944445</v>
      </c>
    </row>
    <row r="29">
      <c r="A29" s="158" t="s">
        <v>34697</v>
      </c>
      <c r="B29" s="143" t="s">
        <v>34698</v>
      </c>
      <c r="C29" s="157">
        <v>43189.63196759259</v>
      </c>
    </row>
    <row r="30">
      <c r="A30" s="143" t="s">
        <v>34699</v>
      </c>
      <c r="B30" s="143" t="s">
        <v>34700</v>
      </c>
      <c r="C30" s="157">
        <v>43460.61546296296</v>
      </c>
    </row>
    <row r="31">
      <c r="A31" s="143" t="s">
        <v>34701</v>
      </c>
      <c r="B31" s="143" t="s">
        <v>34702</v>
      </c>
      <c r="C31" s="157">
        <v>43236.56190972222</v>
      </c>
    </row>
    <row r="32">
      <c r="A32" s="143" t="s">
        <v>34703</v>
      </c>
      <c r="B32" s="143" t="s">
        <v>34704</v>
      </c>
      <c r="C32" s="157">
        <v>45328.67797453704</v>
      </c>
    </row>
    <row r="33">
      <c r="A33" s="143" t="s">
        <v>34705</v>
      </c>
      <c r="B33" s="143" t="s">
        <v>34706</v>
      </c>
      <c r="C33" s="157">
        <v>44879.515810185185</v>
      </c>
    </row>
    <row r="34">
      <c r="A34" s="143" t="s">
        <v>34707</v>
      </c>
      <c r="B34" s="143" t="s">
        <v>34708</v>
      </c>
      <c r="C34" s="157">
        <v>43139.75572916667</v>
      </c>
    </row>
    <row r="35">
      <c r="A35" s="143" t="s">
        <v>34709</v>
      </c>
      <c r="B35" s="143" t="s">
        <v>34710</v>
      </c>
      <c r="C35" s="157">
        <v>43505.63454861111</v>
      </c>
    </row>
    <row r="36">
      <c r="A36" s="143" t="s">
        <v>34711</v>
      </c>
      <c r="B36" s="143" t="s">
        <v>34712</v>
      </c>
      <c r="C36" s="157">
        <v>42962.79016203704</v>
      </c>
    </row>
    <row r="37">
      <c r="A37" s="143" t="s">
        <v>34713</v>
      </c>
      <c r="B37" s="143" t="s">
        <v>34714</v>
      </c>
      <c r="C37" s="157">
        <v>43014.47917824074</v>
      </c>
    </row>
    <row r="38">
      <c r="A38" s="143" t="s">
        <v>34715</v>
      </c>
      <c r="B38" s="143" t="s">
        <v>34716</v>
      </c>
      <c r="C38" s="157">
        <v>43935.93273148148</v>
      </c>
    </row>
    <row r="39">
      <c r="A39" s="143" t="s">
        <v>34717</v>
      </c>
      <c r="B39" s="143" t="s">
        <v>34718</v>
      </c>
      <c r="C39" s="157">
        <v>42620.7815162037</v>
      </c>
    </row>
    <row r="40">
      <c r="A40" s="143" t="s">
        <v>34719</v>
      </c>
      <c r="B40" s="143" t="s">
        <v>34720</v>
      </c>
      <c r="C40" s="157">
        <v>44106.82429398148</v>
      </c>
    </row>
    <row r="41">
      <c r="A41" s="143" t="s">
        <v>34721</v>
      </c>
      <c r="B41" s="143" t="s">
        <v>34722</v>
      </c>
      <c r="C41" s="157">
        <v>44328.72503472222</v>
      </c>
    </row>
    <row r="42">
      <c r="A42" s="143" t="s">
        <v>34723</v>
      </c>
      <c r="B42" s="143" t="s">
        <v>34724</v>
      </c>
      <c r="C42" s="157">
        <v>44715.601168981484</v>
      </c>
    </row>
    <row r="43">
      <c r="A43" s="143" t="s">
        <v>34725</v>
      </c>
      <c r="B43" s="143" t="s">
        <v>34726</v>
      </c>
      <c r="C43" s="157">
        <v>44635.63128472222</v>
      </c>
    </row>
    <row r="44">
      <c r="A44" s="143" t="s">
        <v>34727</v>
      </c>
      <c r="B44" s="143" t="s">
        <v>34728</v>
      </c>
      <c r="C44" s="157">
        <v>45567.697696759256</v>
      </c>
    </row>
    <row r="45">
      <c r="A45" s="143" t="s">
        <v>34729</v>
      </c>
      <c r="B45" s="143" t="s">
        <v>34730</v>
      </c>
      <c r="C45" s="157">
        <v>42556.61482638889</v>
      </c>
    </row>
    <row r="46">
      <c r="A46" s="143" t="s">
        <v>34731</v>
      </c>
      <c r="B46" s="143" t="s">
        <v>34732</v>
      </c>
      <c r="C46" s="157">
        <v>42636.789305555554</v>
      </c>
    </row>
    <row r="47">
      <c r="A47" s="143" t="s">
        <v>34733</v>
      </c>
      <c r="B47" s="143" t="s">
        <v>34734</v>
      </c>
      <c r="C47" s="157">
        <v>43074.791180555556</v>
      </c>
    </row>
    <row r="48">
      <c r="A48" s="143" t="s">
        <v>34735</v>
      </c>
      <c r="B48" s="143" t="s">
        <v>34736</v>
      </c>
      <c r="C48" s="157">
        <v>44715.60724537037</v>
      </c>
    </row>
    <row r="49">
      <c r="A49" s="143" t="s">
        <v>34737</v>
      </c>
      <c r="B49" s="143" t="s">
        <v>34738</v>
      </c>
      <c r="C49" s="157">
        <v>42922.79274305556</v>
      </c>
    </row>
    <row r="50">
      <c r="A50" s="143" t="s">
        <v>34739</v>
      </c>
      <c r="B50" s="143" t="s">
        <v>34740</v>
      </c>
      <c r="C50" s="157">
        <v>43032.47864583333</v>
      </c>
    </row>
    <row r="51">
      <c r="A51" s="143" t="s">
        <v>34741</v>
      </c>
      <c r="B51" s="143" t="s">
        <v>34742</v>
      </c>
      <c r="C51" s="157">
        <v>43923.94856481482</v>
      </c>
    </row>
    <row r="52">
      <c r="A52" s="143" t="s">
        <v>34743</v>
      </c>
      <c r="B52" s="143" t="s">
        <v>34744</v>
      </c>
      <c r="C52" s="157">
        <v>45728.75349537037</v>
      </c>
    </row>
    <row r="53">
      <c r="A53" s="143" t="s">
        <v>34745</v>
      </c>
      <c r="B53" s="143" t="s">
        <v>34746</v>
      </c>
      <c r="C53" s="157">
        <v>43069.56925925926</v>
      </c>
    </row>
    <row r="54">
      <c r="A54" s="143" t="s">
        <v>34747</v>
      </c>
      <c r="B54" s="143" t="s">
        <v>34748</v>
      </c>
      <c r="C54" s="157">
        <v>43398.482395833336</v>
      </c>
    </row>
    <row r="55">
      <c r="A55" s="143" t="s">
        <v>34749</v>
      </c>
      <c r="B55" s="143" t="s">
        <v>34750</v>
      </c>
      <c r="C55" s="157">
        <v>44715.58412037037</v>
      </c>
    </row>
    <row r="56">
      <c r="A56" s="143" t="s">
        <v>34751</v>
      </c>
      <c r="B56" s="143" t="s">
        <v>34752</v>
      </c>
      <c r="C56" s="157">
        <v>43384.78296296296</v>
      </c>
    </row>
    <row r="57">
      <c r="A57" s="143" t="s">
        <v>34753</v>
      </c>
      <c r="B57" s="143" t="s">
        <v>34754</v>
      </c>
      <c r="C57" s="157">
        <v>42636.453194444446</v>
      </c>
    </row>
    <row r="58">
      <c r="A58" s="143" t="s">
        <v>34755</v>
      </c>
      <c r="B58" s="143" t="s">
        <v>34756</v>
      </c>
      <c r="C58" s="157">
        <v>42629.42422453704</v>
      </c>
    </row>
    <row r="59">
      <c r="A59" s="143" t="s">
        <v>34757</v>
      </c>
      <c r="B59" s="143" t="s">
        <v>34758</v>
      </c>
      <c r="C59" s="157">
        <v>44670.005162037036</v>
      </c>
    </row>
    <row r="60">
      <c r="A60" s="143" t="s">
        <v>34759</v>
      </c>
      <c r="B60" s="143" t="s">
        <v>34760</v>
      </c>
      <c r="C60" s="157">
        <v>41800.810648148145</v>
      </c>
    </row>
    <row r="61">
      <c r="A61" s="143" t="s">
        <v>34761</v>
      </c>
      <c r="B61" s="143" t="s">
        <v>34762</v>
      </c>
      <c r="C61" s="157">
        <v>42095.54782407408</v>
      </c>
    </row>
    <row r="62">
      <c r="A62" s="143" t="s">
        <v>34763</v>
      </c>
      <c r="B62" s="143" t="s">
        <v>34764</v>
      </c>
      <c r="C62" s="157">
        <v>41789.79565972222</v>
      </c>
    </row>
    <row r="63">
      <c r="A63" s="143" t="s">
        <v>34765</v>
      </c>
      <c r="B63" s="143" t="s">
        <v>34766</v>
      </c>
      <c r="C63" s="157">
        <v>45064.45773148148</v>
      </c>
    </row>
    <row r="64">
      <c r="A64" s="143" t="s">
        <v>34767</v>
      </c>
      <c r="B64" s="143" t="s">
        <v>34768</v>
      </c>
      <c r="C64" s="157">
        <v>44482.65474537037</v>
      </c>
    </row>
    <row r="65">
      <c r="A65" s="143" t="s">
        <v>34769</v>
      </c>
      <c r="B65" s="143" t="s">
        <v>34770</v>
      </c>
      <c r="C65" s="157">
        <v>45734.744675925926</v>
      </c>
    </row>
    <row r="66">
      <c r="A66" s="143" t="s">
        <v>34771</v>
      </c>
      <c r="B66" s="143" t="s">
        <v>34772</v>
      </c>
      <c r="C66" s="157">
        <v>44719.777719907404</v>
      </c>
    </row>
    <row r="67">
      <c r="A67" s="143" t="s">
        <v>34773</v>
      </c>
      <c r="B67" s="143" t="s">
        <v>34774</v>
      </c>
      <c r="C67" s="157">
        <v>45735.8346875</v>
      </c>
    </row>
    <row r="68">
      <c r="A68" s="143" t="s">
        <v>34775</v>
      </c>
      <c r="B68" s="143" t="s">
        <v>34776</v>
      </c>
      <c r="C68" s="157">
        <v>42655.78662037037</v>
      </c>
    </row>
    <row r="69">
      <c r="A69" s="143" t="s">
        <v>34777</v>
      </c>
      <c r="B69" s="143" t="s">
        <v>34778</v>
      </c>
      <c r="C69" s="157">
        <v>42989.43096064815</v>
      </c>
    </row>
    <row r="70">
      <c r="A70" s="143" t="s">
        <v>34779</v>
      </c>
      <c r="B70" s="143" t="s">
        <v>34780</v>
      </c>
      <c r="C70" s="157">
        <v>41620.8596875</v>
      </c>
    </row>
    <row r="71">
      <c r="A71" s="143" t="s">
        <v>34781</v>
      </c>
      <c r="B71" s="143" t="s">
        <v>34782</v>
      </c>
      <c r="C71" s="157">
        <v>41785.66626157407</v>
      </c>
    </row>
    <row r="72">
      <c r="A72" s="143" t="s">
        <v>34783</v>
      </c>
      <c r="B72" s="143" t="s">
        <v>34784</v>
      </c>
      <c r="C72" s="157">
        <v>44028.486180555556</v>
      </c>
    </row>
    <row r="73">
      <c r="A73" s="143" t="s">
        <v>34785</v>
      </c>
      <c r="B73" s="143" t="s">
        <v>34786</v>
      </c>
      <c r="C73" s="157">
        <v>43852.60927083333</v>
      </c>
    </row>
    <row r="74">
      <c r="A74" s="143" t="s">
        <v>34787</v>
      </c>
      <c r="B74" s="143" t="s">
        <v>34788</v>
      </c>
      <c r="C74" s="157">
        <v>44202.77434027778</v>
      </c>
    </row>
    <row r="75">
      <c r="A75" s="143" t="s">
        <v>34789</v>
      </c>
      <c r="B75" s="143" t="s">
        <v>34790</v>
      </c>
      <c r="C75" s="157">
        <v>43454.53443287037</v>
      </c>
    </row>
    <row r="76">
      <c r="A76" s="143" t="s">
        <v>34791</v>
      </c>
      <c r="B76" s="143" t="s">
        <v>34792</v>
      </c>
      <c r="C76" s="157">
        <v>45237.67886574074</v>
      </c>
    </row>
    <row r="77">
      <c r="A77" s="143" t="s">
        <v>34793</v>
      </c>
      <c r="B77" s="143" t="s">
        <v>34794</v>
      </c>
      <c r="C77" s="157">
        <v>45077.64158564815</v>
      </c>
    </row>
    <row r="78">
      <c r="A78" s="143" t="s">
        <v>34795</v>
      </c>
      <c r="B78" s="143" t="s">
        <v>34796</v>
      </c>
      <c r="C78" s="157">
        <v>45448.48501157408</v>
      </c>
    </row>
    <row r="79">
      <c r="A79" s="143" t="s">
        <v>34797</v>
      </c>
      <c r="B79" s="143" t="s">
        <v>34798</v>
      </c>
      <c r="C79" s="157">
        <v>43543.54460648148</v>
      </c>
    </row>
    <row r="80">
      <c r="A80" s="143" t="s">
        <v>34799</v>
      </c>
      <c r="B80" s="143" t="s">
        <v>34800</v>
      </c>
      <c r="C80" s="157">
        <v>44957.55075231481</v>
      </c>
    </row>
    <row r="81">
      <c r="A81" s="143" t="s">
        <v>34801</v>
      </c>
      <c r="B81" s="143" t="s">
        <v>34802</v>
      </c>
      <c r="C81" s="157">
        <v>43853.558587962965</v>
      </c>
    </row>
    <row r="82">
      <c r="A82" s="143" t="s">
        <v>34803</v>
      </c>
      <c r="B82" s="143" t="s">
        <v>34804</v>
      </c>
      <c r="C82" s="157">
        <v>43811.45883101852</v>
      </c>
    </row>
    <row r="83">
      <c r="A83" s="143" t="s">
        <v>34805</v>
      </c>
      <c r="B83" s="143" t="s">
        <v>34806</v>
      </c>
      <c r="C83" s="157">
        <v>43881.71673611111</v>
      </c>
    </row>
    <row r="84">
      <c r="A84" s="143" t="s">
        <v>34807</v>
      </c>
      <c r="B84" s="143" t="s">
        <v>34808</v>
      </c>
      <c r="C84" s="157">
        <v>43732.763969907406</v>
      </c>
    </row>
    <row r="85">
      <c r="A85" s="143" t="s">
        <v>34809</v>
      </c>
      <c r="B85" s="143" t="s">
        <v>34810</v>
      </c>
      <c r="C85" s="157">
        <v>50424.50980324074</v>
      </c>
    </row>
    <row r="86">
      <c r="A86" s="143" t="s">
        <v>34811</v>
      </c>
      <c r="B86" s="143" t="s">
        <v>34812</v>
      </c>
      <c r="C86" s="157">
        <v>43804.6575</v>
      </c>
    </row>
    <row r="87">
      <c r="A87" s="143" t="s">
        <v>34813</v>
      </c>
      <c r="B87" s="143" t="s">
        <v>34814</v>
      </c>
      <c r="C87" s="157">
        <v>43943.85497685185</v>
      </c>
    </row>
    <row r="88">
      <c r="A88" s="143" t="s">
        <v>34815</v>
      </c>
      <c r="B88" s="143" t="s">
        <v>34816</v>
      </c>
      <c r="C88" s="157">
        <v>44014.47986111111</v>
      </c>
    </row>
    <row r="89">
      <c r="A89" s="143" t="s">
        <v>34817</v>
      </c>
      <c r="B89" s="143" t="s">
        <v>34818</v>
      </c>
      <c r="C89" s="157">
        <v>43553.70039351852</v>
      </c>
    </row>
    <row r="90">
      <c r="A90" s="143" t="s">
        <v>34819</v>
      </c>
      <c r="B90" s="143" t="s">
        <v>34820</v>
      </c>
      <c r="C90" s="157">
        <v>45280.77442129629</v>
      </c>
    </row>
    <row r="91">
      <c r="A91" s="143" t="s">
        <v>34821</v>
      </c>
      <c r="B91" s="143" t="s">
        <v>34822</v>
      </c>
      <c r="C91" s="157">
        <v>45721.4606712963</v>
      </c>
    </row>
    <row r="92">
      <c r="A92" s="143" t="s">
        <v>34823</v>
      </c>
      <c r="B92" s="143" t="s">
        <v>34824</v>
      </c>
      <c r="C92" s="157">
        <v>44764.697280092594</v>
      </c>
    </row>
    <row r="93">
      <c r="A93" s="143" t="s">
        <v>34825</v>
      </c>
      <c r="B93" s="143" t="s">
        <v>34826</v>
      </c>
      <c r="C93" s="157">
        <v>45735.759108796294</v>
      </c>
    </row>
    <row r="94">
      <c r="A94" s="143" t="s">
        <v>34827</v>
      </c>
      <c r="B94" s="143" t="s">
        <v>34828</v>
      </c>
      <c r="C94" s="157">
        <v>43538.69230324074</v>
      </c>
    </row>
    <row r="95">
      <c r="A95" s="143" t="s">
        <v>34829</v>
      </c>
      <c r="B95" s="143" t="s">
        <v>34830</v>
      </c>
      <c r="C95" s="157">
        <v>45105.48554398148</v>
      </c>
    </row>
    <row r="96">
      <c r="A96" s="143" t="s">
        <v>34831</v>
      </c>
      <c r="B96" s="143" t="s">
        <v>34832</v>
      </c>
      <c r="C96" s="157">
        <v>42837.488344907404</v>
      </c>
    </row>
    <row r="97">
      <c r="A97" s="143" t="s">
        <v>34833</v>
      </c>
      <c r="B97" s="143" t="s">
        <v>34834</v>
      </c>
      <c r="C97" s="157">
        <v>45364.657800925925</v>
      </c>
    </row>
    <row r="98">
      <c r="A98" s="143" t="s">
        <v>34835</v>
      </c>
      <c r="B98" s="143" t="s">
        <v>34836</v>
      </c>
      <c r="C98" s="157">
        <v>42809.5209837963</v>
      </c>
    </row>
    <row r="99">
      <c r="A99" s="143" t="s">
        <v>34837</v>
      </c>
      <c r="B99" s="143" t="s">
        <v>34838</v>
      </c>
      <c r="C99" s="157">
        <v>42538.59520833333</v>
      </c>
    </row>
    <row r="100">
      <c r="A100" s="143" t="s">
        <v>34839</v>
      </c>
      <c r="B100" s="143" t="s">
        <v>34840</v>
      </c>
      <c r="C100" s="157">
        <v>41844.751076388886</v>
      </c>
    </row>
    <row r="101">
      <c r="A101" s="143" t="s">
        <v>34841</v>
      </c>
      <c r="B101" s="143" t="s">
        <v>34842</v>
      </c>
      <c r="C101" s="157">
        <v>42249.72518518518</v>
      </c>
    </row>
    <row r="102">
      <c r="A102" s="143" t="s">
        <v>34843</v>
      </c>
      <c r="B102" s="143" t="s">
        <v>34844</v>
      </c>
      <c r="C102" s="157">
        <v>42124.53864583333</v>
      </c>
    </row>
    <row r="103">
      <c r="A103" s="143" t="s">
        <v>34845</v>
      </c>
      <c r="B103" s="143" t="s">
        <v>34846</v>
      </c>
      <c r="C103" s="157">
        <v>44384.547106481485</v>
      </c>
    </row>
    <row r="104">
      <c r="A104" s="143" t="s">
        <v>34847</v>
      </c>
      <c r="B104" s="143" t="s">
        <v>34848</v>
      </c>
      <c r="C104" s="157">
        <v>42170.52429398148</v>
      </c>
    </row>
    <row r="105">
      <c r="A105" s="143" t="s">
        <v>34849</v>
      </c>
      <c r="B105" s="143" t="s">
        <v>34850</v>
      </c>
      <c r="C105" s="157">
        <v>42480.84452546296</v>
      </c>
    </row>
    <row r="106">
      <c r="A106" s="143" t="s">
        <v>34851</v>
      </c>
      <c r="B106" s="143" t="s">
        <v>34852</v>
      </c>
      <c r="C106" s="157">
        <v>42433.75344907407</v>
      </c>
    </row>
    <row r="107">
      <c r="A107" s="143" t="s">
        <v>34853</v>
      </c>
      <c r="B107" s="143" t="s">
        <v>34854</v>
      </c>
      <c r="C107" s="157">
        <v>42509.74034722222</v>
      </c>
    </row>
    <row r="108">
      <c r="A108" s="143" t="s">
        <v>34855</v>
      </c>
      <c r="B108" s="143" t="s">
        <v>34856</v>
      </c>
      <c r="C108" s="157">
        <v>44667.71125</v>
      </c>
    </row>
    <row r="109">
      <c r="A109" s="143" t="s">
        <v>34857</v>
      </c>
      <c r="B109" s="143" t="s">
        <v>34858</v>
      </c>
      <c r="C109" s="157">
        <v>42836.61420138889</v>
      </c>
    </row>
    <row r="110">
      <c r="A110" s="143" t="s">
        <v>34859</v>
      </c>
      <c r="B110" s="143" t="s">
        <v>34860</v>
      </c>
      <c r="C110" s="157">
        <v>41989.706041666665</v>
      </c>
    </row>
    <row r="111">
      <c r="A111" s="143" t="s">
        <v>34861</v>
      </c>
      <c r="B111" s="143" t="s">
        <v>34862</v>
      </c>
      <c r="C111" s="157">
        <v>44715.65353009259</v>
      </c>
    </row>
    <row r="112">
      <c r="A112" s="143" t="s">
        <v>34863</v>
      </c>
      <c r="B112" s="143" t="s">
        <v>34864</v>
      </c>
      <c r="C112" s="157">
        <v>42389.62268518518</v>
      </c>
    </row>
    <row r="113">
      <c r="A113" s="143" t="s">
        <v>34865</v>
      </c>
      <c r="B113" s="143" t="s">
        <v>34866</v>
      </c>
      <c r="C113" s="157">
        <v>45705.50434027778</v>
      </c>
    </row>
    <row r="114">
      <c r="A114" s="143" t="s">
        <v>34867</v>
      </c>
      <c r="B114" s="143" t="s">
        <v>34868</v>
      </c>
      <c r="C114" s="157">
        <v>42339.59574074074</v>
      </c>
    </row>
    <row r="115">
      <c r="A115" s="143" t="s">
        <v>34869</v>
      </c>
      <c r="B115" s="143" t="s">
        <v>34870</v>
      </c>
      <c r="C115" s="157">
        <v>43205.13439814815</v>
      </c>
    </row>
    <row r="116">
      <c r="A116" s="143" t="s">
        <v>34871</v>
      </c>
      <c r="B116" s="143" t="s">
        <v>34872</v>
      </c>
      <c r="C116" s="157">
        <v>44322.545694444445</v>
      </c>
    </row>
    <row r="117">
      <c r="A117" s="143" t="s">
        <v>34873</v>
      </c>
      <c r="B117" s="143" t="s">
        <v>34874</v>
      </c>
      <c r="C117" s="157">
        <v>44162.794328703705</v>
      </c>
    </row>
    <row r="118">
      <c r="A118" s="143" t="s">
        <v>34875</v>
      </c>
      <c r="B118" s="143" t="s">
        <v>34876</v>
      </c>
      <c r="C118" s="157">
        <v>43857.45454861111</v>
      </c>
    </row>
    <row r="119">
      <c r="A119" s="143" t="s">
        <v>34877</v>
      </c>
      <c r="B119" s="143" t="s">
        <v>34878</v>
      </c>
      <c r="C119" s="157">
        <v>43663.44515046296</v>
      </c>
    </row>
    <row r="120">
      <c r="A120" s="143" t="s">
        <v>34879</v>
      </c>
      <c r="B120" s="143" t="s">
        <v>34880</v>
      </c>
      <c r="C120" s="157">
        <v>43844.833819444444</v>
      </c>
    </row>
    <row r="121">
      <c r="A121" s="143" t="s">
        <v>34881</v>
      </c>
      <c r="B121" s="143" t="s">
        <v>34882</v>
      </c>
      <c r="C121" s="157">
        <v>44187.454733796294</v>
      </c>
    </row>
    <row r="122">
      <c r="A122" s="143" t="s">
        <v>34883</v>
      </c>
      <c r="B122" s="143" t="s">
        <v>34884</v>
      </c>
      <c r="C122" s="157">
        <v>45587.63553240741</v>
      </c>
    </row>
    <row r="123">
      <c r="A123" s="143" t="s">
        <v>34885</v>
      </c>
      <c r="B123" s="143" t="s">
        <v>34886</v>
      </c>
      <c r="C123" s="157">
        <v>44049.822858796295</v>
      </c>
    </row>
    <row r="124">
      <c r="A124" s="143" t="s">
        <v>34887</v>
      </c>
      <c r="B124" s="143" t="s">
        <v>34888</v>
      </c>
      <c r="C124" s="157">
        <v>41127.43318287037</v>
      </c>
    </row>
    <row r="125">
      <c r="A125" s="143" t="s">
        <v>34889</v>
      </c>
      <c r="B125" s="143" t="s">
        <v>34890</v>
      </c>
      <c r="C125" s="157">
        <v>41557.48575231482</v>
      </c>
    </row>
    <row r="126">
      <c r="A126" s="143" t="s">
        <v>34891</v>
      </c>
      <c r="B126" s="143" t="s">
        <v>34892</v>
      </c>
      <c r="C126" s="157">
        <v>42124.5369212963</v>
      </c>
    </row>
    <row r="127">
      <c r="A127" s="143" t="s">
        <v>34893</v>
      </c>
      <c r="B127" s="143" t="s">
        <v>34894</v>
      </c>
      <c r="C127" s="157">
        <v>41521.446226851855</v>
      </c>
    </row>
    <row r="128">
      <c r="A128" s="143" t="s">
        <v>34895</v>
      </c>
      <c r="B128" s="143" t="s">
        <v>34896</v>
      </c>
      <c r="C128" s="157">
        <v>43409.78759259259</v>
      </c>
    </row>
    <row r="129">
      <c r="A129" s="143" t="s">
        <v>34897</v>
      </c>
      <c r="B129" s="143" t="s">
        <v>34898</v>
      </c>
      <c r="C129" s="157">
        <v>43866.86707175926</v>
      </c>
    </row>
    <row r="130">
      <c r="A130" s="143" t="s">
        <v>34899</v>
      </c>
      <c r="B130" s="143" t="s">
        <v>34900</v>
      </c>
      <c r="C130" s="157">
        <v>43844.775196759256</v>
      </c>
    </row>
    <row r="131">
      <c r="A131" s="143" t="s">
        <v>34901</v>
      </c>
      <c r="B131" s="143" t="s">
        <v>34902</v>
      </c>
      <c r="C131" s="157">
        <v>43570.58273148148</v>
      </c>
    </row>
    <row r="132">
      <c r="A132" s="143" t="s">
        <v>34903</v>
      </c>
      <c r="B132" s="143" t="s">
        <v>34904</v>
      </c>
      <c r="C132" s="157">
        <v>42044.79641203704</v>
      </c>
    </row>
    <row r="133">
      <c r="A133" s="143" t="s">
        <v>34905</v>
      </c>
      <c r="B133" s="143" t="s">
        <v>34906</v>
      </c>
      <c r="C133" s="157">
        <v>43109.66663194444</v>
      </c>
    </row>
    <row r="134">
      <c r="A134" s="143" t="s">
        <v>34907</v>
      </c>
      <c r="B134" s="143" t="s">
        <v>34908</v>
      </c>
      <c r="C134" s="157">
        <v>45666.64701388889</v>
      </c>
    </row>
    <row r="135">
      <c r="A135" s="143" t="s">
        <v>34909</v>
      </c>
      <c r="B135" s="143" t="s">
        <v>34910</v>
      </c>
      <c r="C135" s="157">
        <v>41529.71179398148</v>
      </c>
    </row>
    <row r="136">
      <c r="A136" s="143" t="s">
        <v>34911</v>
      </c>
      <c r="B136" s="143" t="s">
        <v>34912</v>
      </c>
      <c r="C136" s="157">
        <v>44445.986967592595</v>
      </c>
    </row>
    <row r="137">
      <c r="A137" s="143" t="s">
        <v>34913</v>
      </c>
      <c r="B137" s="143" t="s">
        <v>34914</v>
      </c>
      <c r="C137" s="157">
        <v>42235.61346064815</v>
      </c>
    </row>
    <row r="138">
      <c r="A138" s="143" t="s">
        <v>34915</v>
      </c>
      <c r="B138" s="143" t="s">
        <v>34916</v>
      </c>
      <c r="C138" s="157">
        <v>42355.44393518518</v>
      </c>
    </row>
    <row r="139">
      <c r="A139" s="143" t="s">
        <v>34917</v>
      </c>
      <c r="B139" s="143" t="s">
        <v>34918</v>
      </c>
      <c r="C139" s="157">
        <v>42100.78655092593</v>
      </c>
    </row>
    <row r="140">
      <c r="A140" s="143" t="s">
        <v>34919</v>
      </c>
      <c r="B140" s="143" t="s">
        <v>34920</v>
      </c>
      <c r="C140" s="157">
        <v>42038.62300925926</v>
      </c>
    </row>
    <row r="141">
      <c r="A141" s="143" t="s">
        <v>34921</v>
      </c>
      <c r="B141" s="143" t="s">
        <v>34922</v>
      </c>
      <c r="C141" s="157">
        <v>42937.42082175926</v>
      </c>
    </row>
    <row r="142">
      <c r="A142" s="143" t="s">
        <v>34923</v>
      </c>
      <c r="B142" s="143" t="s">
        <v>34924</v>
      </c>
      <c r="C142" s="157">
        <v>43563.085497685184</v>
      </c>
    </row>
    <row r="143">
      <c r="A143" s="143" t="s">
        <v>34925</v>
      </c>
      <c r="B143" s="143" t="s">
        <v>34926</v>
      </c>
      <c r="C143" s="157">
        <v>44657.72561342592</v>
      </c>
    </row>
    <row r="144">
      <c r="A144" s="143" t="s">
        <v>34927</v>
      </c>
      <c r="B144" s="143" t="s">
        <v>34928</v>
      </c>
      <c r="C144" s="157">
        <v>43711.45045138889</v>
      </c>
    </row>
    <row r="145">
      <c r="A145" s="143" t="s">
        <v>34929</v>
      </c>
      <c r="B145" s="143" t="s">
        <v>34930</v>
      </c>
      <c r="C145" s="157">
        <v>45727.370092592595</v>
      </c>
    </row>
    <row r="146">
      <c r="A146" s="143" t="s">
        <v>34931</v>
      </c>
      <c r="B146" s="143" t="s">
        <v>34932</v>
      </c>
      <c r="C146" s="157">
        <v>42388.73939814815</v>
      </c>
    </row>
    <row r="147">
      <c r="A147" s="143" t="s">
        <v>34933</v>
      </c>
      <c r="B147" s="143" t="s">
        <v>34934</v>
      </c>
      <c r="C147" s="157">
        <v>42978.599594907406</v>
      </c>
    </row>
    <row r="148">
      <c r="A148" s="143" t="s">
        <v>34935</v>
      </c>
      <c r="B148" s="143" t="s">
        <v>34936</v>
      </c>
      <c r="C148" s="157">
        <v>41934.68493055556</v>
      </c>
    </row>
    <row r="149">
      <c r="A149" s="143" t="s">
        <v>34937</v>
      </c>
      <c r="B149" s="143" t="s">
        <v>34938</v>
      </c>
      <c r="C149" s="157">
        <v>45156.5612962963</v>
      </c>
    </row>
    <row r="150">
      <c r="A150" s="143" t="s">
        <v>34939</v>
      </c>
      <c r="B150" s="143" t="s">
        <v>34940</v>
      </c>
      <c r="C150" s="157">
        <v>45715.66127314815</v>
      </c>
    </row>
    <row r="151">
      <c r="A151" s="143" t="s">
        <v>34941</v>
      </c>
      <c r="B151" s="143" t="s">
        <v>34942</v>
      </c>
      <c r="C151" s="157">
        <v>44985.6921875</v>
      </c>
    </row>
    <row r="152">
      <c r="A152" s="143" t="s">
        <v>34943</v>
      </c>
      <c r="B152" s="143" t="s">
        <v>34944</v>
      </c>
      <c r="C152" s="157">
        <v>45726.48008101852</v>
      </c>
    </row>
    <row r="153">
      <c r="A153" s="143" t="s">
        <v>34945</v>
      </c>
      <c r="B153" s="143" t="s">
        <v>34946</v>
      </c>
      <c r="C153" s="157">
        <v>41998.45072916667</v>
      </c>
    </row>
    <row r="154">
      <c r="A154" s="143" t="s">
        <v>34947</v>
      </c>
      <c r="B154" s="143" t="s">
        <v>34948</v>
      </c>
      <c r="C154" s="157">
        <v>42758.48758101852</v>
      </c>
    </row>
    <row r="155">
      <c r="A155" s="143" t="s">
        <v>34949</v>
      </c>
      <c r="B155" s="143" t="s">
        <v>34950</v>
      </c>
      <c r="C155" s="157">
        <v>43454.707708333335</v>
      </c>
    </row>
    <row r="156">
      <c r="A156" s="143" t="s">
        <v>34951</v>
      </c>
      <c r="B156" s="143" t="s">
        <v>34952</v>
      </c>
      <c r="C156" s="157">
        <v>41431.78159722222</v>
      </c>
    </row>
    <row r="157">
      <c r="A157" s="143" t="s">
        <v>34953</v>
      </c>
      <c r="B157" s="143" t="s">
        <v>34954</v>
      </c>
      <c r="C157" s="157">
        <v>41698.82494212963</v>
      </c>
    </row>
    <row r="158">
      <c r="A158" s="143" t="s">
        <v>34955</v>
      </c>
      <c r="B158" s="143" t="s">
        <v>34956</v>
      </c>
      <c r="C158" s="157">
        <v>44679.67870370371</v>
      </c>
    </row>
    <row r="159">
      <c r="A159" s="143" t="s">
        <v>34957</v>
      </c>
      <c r="B159" s="143" t="s">
        <v>34958</v>
      </c>
      <c r="C159" s="157">
        <v>45320.73401620371</v>
      </c>
    </row>
    <row r="160">
      <c r="A160" s="143" t="s">
        <v>34959</v>
      </c>
      <c r="B160" s="143" t="s">
        <v>34960</v>
      </c>
      <c r="C160" s="157">
        <v>44124.54523148148</v>
      </c>
    </row>
    <row r="161">
      <c r="A161" s="143" t="s">
        <v>34961</v>
      </c>
      <c r="B161" s="143" t="s">
        <v>34962</v>
      </c>
      <c r="C161" s="157">
        <v>41682.71994212963</v>
      </c>
    </row>
    <row r="162">
      <c r="A162" s="143" t="s">
        <v>34963</v>
      </c>
      <c r="B162" s="143" t="s">
        <v>34964</v>
      </c>
      <c r="C162" s="157">
        <v>43886.70576388889</v>
      </c>
    </row>
    <row r="163">
      <c r="A163" s="143" t="s">
        <v>34965</v>
      </c>
      <c r="B163" s="143" t="s">
        <v>34966</v>
      </c>
      <c r="C163" s="157">
        <v>43657.74726851852</v>
      </c>
    </row>
    <row r="164">
      <c r="A164" s="143" t="s">
        <v>34967</v>
      </c>
      <c r="B164" s="143" t="s">
        <v>34968</v>
      </c>
      <c r="C164" s="157">
        <v>44041.727002314816</v>
      </c>
    </row>
    <row r="165">
      <c r="A165" s="143" t="s">
        <v>34969</v>
      </c>
      <c r="B165" s="143" t="s">
        <v>34970</v>
      </c>
      <c r="C165" s="157">
        <v>42897.62944444444</v>
      </c>
    </row>
    <row r="166">
      <c r="A166" s="143" t="s">
        <v>34971</v>
      </c>
      <c r="B166" s="143" t="s">
        <v>34972</v>
      </c>
      <c r="C166" s="157">
        <v>43558.79549768518</v>
      </c>
    </row>
    <row r="167">
      <c r="A167" s="143" t="s">
        <v>34973</v>
      </c>
      <c r="B167" s="143" t="s">
        <v>34974</v>
      </c>
      <c r="C167" s="157">
        <v>44799.846863425926</v>
      </c>
    </row>
    <row r="168">
      <c r="A168" s="143" t="s">
        <v>34975</v>
      </c>
      <c r="B168" s="143" t="s">
        <v>34976</v>
      </c>
      <c r="C168" s="157">
        <v>41926.73627314815</v>
      </c>
    </row>
    <row r="169">
      <c r="A169" s="143" t="s">
        <v>34977</v>
      </c>
      <c r="B169" s="143" t="s">
        <v>34978</v>
      </c>
      <c r="C169" s="157">
        <v>45099.80380787037</v>
      </c>
    </row>
    <row r="170">
      <c r="A170" s="143" t="s">
        <v>34979</v>
      </c>
      <c r="B170" s="143" t="s">
        <v>34980</v>
      </c>
      <c r="C170" s="157">
        <v>44799.82908564815</v>
      </c>
    </row>
    <row r="171">
      <c r="A171" s="143" t="s">
        <v>34981</v>
      </c>
      <c r="B171" s="143" t="s">
        <v>34982</v>
      </c>
      <c r="C171" s="157">
        <v>42751.79622685185</v>
      </c>
    </row>
    <row r="172">
      <c r="A172" s="143" t="s">
        <v>34983</v>
      </c>
      <c r="B172" s="143" t="s">
        <v>34984</v>
      </c>
      <c r="C172" s="157">
        <v>45734.79278935185</v>
      </c>
    </row>
    <row r="173">
      <c r="A173" s="143" t="s">
        <v>34985</v>
      </c>
      <c r="B173" s="143" t="s">
        <v>34986</v>
      </c>
      <c r="C173" s="157">
        <v>44329.71460648148</v>
      </c>
    </row>
    <row r="174">
      <c r="A174" s="143" t="s">
        <v>34987</v>
      </c>
      <c r="B174" s="143" t="s">
        <v>34988</v>
      </c>
      <c r="C174" s="157">
        <v>45735.74896990741</v>
      </c>
    </row>
    <row r="175">
      <c r="A175" s="143" t="s">
        <v>34989</v>
      </c>
      <c r="B175" s="143" t="s">
        <v>34990</v>
      </c>
      <c r="C175" s="157">
        <v>43901.52347222222</v>
      </c>
    </row>
    <row r="176">
      <c r="A176" s="143" t="s">
        <v>34991</v>
      </c>
      <c r="B176" s="143" t="s">
        <v>34992</v>
      </c>
      <c r="C176" s="157">
        <v>45734.57622685185</v>
      </c>
    </row>
    <row r="177">
      <c r="A177" s="143" t="s">
        <v>34993</v>
      </c>
      <c r="B177" s="143" t="s">
        <v>34994</v>
      </c>
      <c r="C177" s="157">
        <v>45524.78702546296</v>
      </c>
    </row>
    <row r="178">
      <c r="A178" s="143" t="s">
        <v>34995</v>
      </c>
      <c r="B178" s="143" t="s">
        <v>34996</v>
      </c>
      <c r="C178" s="157">
        <v>43404.40484953704</v>
      </c>
    </row>
    <row r="179">
      <c r="A179" s="143" t="s">
        <v>34997</v>
      </c>
      <c r="B179" s="143" t="s">
        <v>34998</v>
      </c>
      <c r="C179" s="157">
        <v>44418.68587962963</v>
      </c>
    </row>
    <row r="180">
      <c r="A180" s="143" t="s">
        <v>34999</v>
      </c>
      <c r="B180" s="143" t="s">
        <v>35000</v>
      </c>
      <c r="C180" s="157">
        <v>45474.72111111111</v>
      </c>
    </row>
    <row r="181">
      <c r="A181" s="143" t="s">
        <v>35001</v>
      </c>
      <c r="B181" s="143" t="s">
        <v>35002</v>
      </c>
      <c r="C181" s="157">
        <v>45707.49799768518</v>
      </c>
    </row>
    <row r="182">
      <c r="A182" s="143" t="s">
        <v>35003</v>
      </c>
      <c r="B182" s="143" t="s">
        <v>35004</v>
      </c>
      <c r="C182" s="157">
        <v>45400.685</v>
      </c>
    </row>
    <row r="183">
      <c r="A183" s="143" t="s">
        <v>35005</v>
      </c>
      <c r="B183" s="143" t="s">
        <v>35006</v>
      </c>
      <c r="C183" s="157">
        <v>45632.55494212963</v>
      </c>
    </row>
    <row r="184">
      <c r="A184" s="143" t="s">
        <v>35007</v>
      </c>
      <c r="B184" s="143" t="s">
        <v>35008</v>
      </c>
      <c r="C184" s="157">
        <v>44595.49755787037</v>
      </c>
    </row>
    <row r="185">
      <c r="A185" s="143" t="s">
        <v>35009</v>
      </c>
      <c r="B185" s="143" t="s">
        <v>35010</v>
      </c>
      <c r="C185" s="157">
        <v>41554.75513888889</v>
      </c>
    </row>
    <row r="186">
      <c r="A186" s="143" t="s">
        <v>35011</v>
      </c>
      <c r="B186" s="143" t="s">
        <v>35012</v>
      </c>
      <c r="C186" s="157">
        <v>40241.43515046296</v>
      </c>
    </row>
    <row r="187">
      <c r="A187" s="143" t="s">
        <v>35013</v>
      </c>
      <c r="B187" s="143" t="s">
        <v>35014</v>
      </c>
      <c r="C187" s="157">
        <v>44140.54792824074</v>
      </c>
    </row>
    <row r="188">
      <c r="A188" s="143" t="s">
        <v>35015</v>
      </c>
      <c r="B188" s="143" t="s">
        <v>35016</v>
      </c>
      <c r="C188" s="157">
        <v>44816.63449074074</v>
      </c>
    </row>
    <row r="189">
      <c r="A189" s="143" t="s">
        <v>35017</v>
      </c>
      <c r="B189" s="143" t="s">
        <v>35018</v>
      </c>
      <c r="C189" s="157">
        <v>44257.42428240741</v>
      </c>
    </row>
    <row r="190">
      <c r="A190" s="143"/>
      <c r="B190" s="143"/>
      <c r="C190" s="143"/>
    </row>
    <row r="191">
      <c r="A191" s="143"/>
      <c r="B191" s="143"/>
      <c r="C191" s="143"/>
    </row>
    <row r="192">
      <c r="A192" s="143"/>
      <c r="B192" s="143"/>
      <c r="C192" s="143"/>
    </row>
    <row r="193">
      <c r="A193" s="143"/>
      <c r="B193" s="143"/>
      <c r="C193" s="143"/>
    </row>
    <row r="194">
      <c r="A194" s="143"/>
      <c r="B194" s="143"/>
      <c r="C194" s="143"/>
    </row>
    <row r="195">
      <c r="A195" s="143"/>
      <c r="B195" s="143"/>
      <c r="C195" s="143"/>
    </row>
    <row r="196">
      <c r="A196" s="143"/>
      <c r="B196" s="143"/>
      <c r="C196" s="143"/>
    </row>
    <row r="197">
      <c r="A197" s="143"/>
      <c r="B197" s="143"/>
      <c r="C197" s="143"/>
    </row>
    <row r="198">
      <c r="A198" s="143"/>
      <c r="B198" s="143"/>
      <c r="C198" s="143"/>
    </row>
    <row r="199">
      <c r="A199" s="143"/>
      <c r="B199" s="143"/>
      <c r="C199" s="143"/>
    </row>
    <row r="200">
      <c r="A200" s="143"/>
      <c r="B200" s="143"/>
      <c r="C200" s="143"/>
    </row>
    <row r="201">
      <c r="A201" s="143"/>
      <c r="B201" s="143"/>
      <c r="C201" s="143"/>
    </row>
    <row r="202">
      <c r="A202" s="143"/>
      <c r="B202" s="143"/>
      <c r="C202" s="143"/>
    </row>
    <row r="203">
      <c r="A203" s="143"/>
      <c r="B203" s="143"/>
      <c r="C203" s="143"/>
    </row>
    <row r="204">
      <c r="A204" s="143"/>
      <c r="B204" s="143"/>
      <c r="C204" s="143"/>
    </row>
    <row r="205">
      <c r="A205" s="143"/>
      <c r="B205" s="143"/>
      <c r="C205" s="143"/>
    </row>
    <row r="206">
      <c r="A206" s="143"/>
      <c r="B206" s="143"/>
      <c r="C206" s="143"/>
    </row>
    <row r="207">
      <c r="A207" s="143"/>
      <c r="B207" s="143"/>
      <c r="C207" s="143"/>
    </row>
    <row r="208">
      <c r="A208" s="143"/>
      <c r="B208" s="143"/>
      <c r="C208" s="143"/>
    </row>
    <row r="209">
      <c r="A209" s="143"/>
      <c r="B209" s="143"/>
      <c r="C209" s="143"/>
    </row>
    <row r="210">
      <c r="A210" s="143"/>
      <c r="B210" s="143"/>
      <c r="C210" s="143"/>
    </row>
    <row r="211">
      <c r="A211" s="143"/>
      <c r="B211" s="143"/>
      <c r="C211" s="143"/>
    </row>
    <row r="212">
      <c r="A212" s="143"/>
      <c r="B212" s="143"/>
      <c r="C212" s="143"/>
    </row>
    <row r="213">
      <c r="A213" s="143"/>
      <c r="B213" s="143"/>
      <c r="C213" s="143"/>
    </row>
    <row r="214">
      <c r="A214" s="143"/>
      <c r="B214" s="143"/>
      <c r="C214" s="143"/>
    </row>
    <row r="215">
      <c r="A215" s="143"/>
      <c r="B215" s="143"/>
      <c r="C215" s="143"/>
    </row>
    <row r="216">
      <c r="A216" s="143"/>
      <c r="B216" s="143"/>
      <c r="C216" s="143"/>
    </row>
    <row r="217">
      <c r="A217" s="143"/>
      <c r="B217" s="143"/>
      <c r="C217" s="143"/>
    </row>
    <row r="218">
      <c r="A218" s="143"/>
      <c r="B218" s="143"/>
      <c r="C218" s="143"/>
    </row>
    <row r="219">
      <c r="A219" s="143"/>
      <c r="B219" s="143"/>
      <c r="C219" s="143"/>
    </row>
    <row r="220">
      <c r="A220" s="143"/>
      <c r="B220" s="143"/>
      <c r="C220" s="143"/>
    </row>
    <row r="221">
      <c r="A221" s="143"/>
      <c r="B221" s="143"/>
      <c r="C221" s="143"/>
    </row>
    <row r="222">
      <c r="A222" s="143"/>
      <c r="B222" s="143"/>
      <c r="C222" s="143"/>
    </row>
    <row r="223">
      <c r="A223" s="143"/>
      <c r="B223" s="143"/>
      <c r="C223" s="143"/>
    </row>
    <row r="224">
      <c r="A224" s="143"/>
      <c r="B224" s="143"/>
      <c r="C224" s="143"/>
    </row>
    <row r="225">
      <c r="A225" s="143"/>
      <c r="B225" s="143"/>
      <c r="C225" s="143"/>
    </row>
    <row r="226">
      <c r="A226" s="143"/>
      <c r="B226" s="143"/>
      <c r="C226" s="143"/>
    </row>
    <row r="227">
      <c r="A227" s="143"/>
      <c r="B227" s="143"/>
      <c r="C227" s="143"/>
    </row>
    <row r="228">
      <c r="A228" s="143"/>
      <c r="B228" s="143"/>
      <c r="C228" s="143"/>
    </row>
    <row r="229">
      <c r="A229" s="143"/>
      <c r="B229" s="143"/>
      <c r="C229" s="143"/>
    </row>
    <row r="230">
      <c r="A230" s="143"/>
      <c r="B230" s="143"/>
      <c r="C230" s="143"/>
    </row>
    <row r="231">
      <c r="A231" s="143"/>
      <c r="B231" s="143"/>
      <c r="C231" s="143"/>
    </row>
    <row r="232">
      <c r="A232" s="143"/>
      <c r="B232" s="143"/>
      <c r="C232" s="143"/>
    </row>
    <row r="233">
      <c r="A233" s="143"/>
      <c r="B233" s="143"/>
      <c r="C233" s="143"/>
    </row>
    <row r="234">
      <c r="A234" s="143"/>
      <c r="B234" s="143"/>
      <c r="C234" s="143"/>
    </row>
    <row r="235">
      <c r="A235" s="143"/>
      <c r="B235" s="143"/>
      <c r="C235" s="143"/>
    </row>
    <row r="236">
      <c r="A236" s="143"/>
      <c r="B236" s="143"/>
      <c r="C236" s="143"/>
    </row>
    <row r="237">
      <c r="A237" s="143"/>
      <c r="B237" s="143"/>
      <c r="C237" s="143"/>
    </row>
    <row r="238">
      <c r="A238" s="143"/>
      <c r="B238" s="143"/>
      <c r="C238" s="143"/>
    </row>
    <row r="239">
      <c r="A239" s="143"/>
      <c r="B239" s="143"/>
      <c r="C239" s="143"/>
    </row>
    <row r="240">
      <c r="A240" s="143"/>
      <c r="B240" s="143"/>
      <c r="C240" s="143"/>
    </row>
    <row r="241">
      <c r="A241" s="143"/>
      <c r="B241" s="143"/>
      <c r="C241" s="143"/>
    </row>
    <row r="242">
      <c r="A242" s="143"/>
      <c r="B242" s="143"/>
      <c r="C242" s="143"/>
    </row>
    <row r="243">
      <c r="A243" s="143"/>
      <c r="B243" s="143"/>
      <c r="C243" s="143"/>
    </row>
    <row r="244">
      <c r="A244" s="143"/>
      <c r="B244" s="143"/>
      <c r="C244" s="143"/>
    </row>
    <row r="245">
      <c r="A245" s="143"/>
      <c r="B245" s="143"/>
      <c r="C245" s="143"/>
    </row>
    <row r="246">
      <c r="A246" s="143"/>
      <c r="B246" s="143"/>
      <c r="C246" s="143"/>
    </row>
    <row r="247">
      <c r="A247" s="143"/>
      <c r="B247" s="143"/>
      <c r="C247" s="143"/>
    </row>
    <row r="248">
      <c r="A248" s="143"/>
      <c r="B248" s="143"/>
      <c r="C248" s="143"/>
    </row>
    <row r="249">
      <c r="A249" s="143"/>
      <c r="B249" s="143"/>
      <c r="C249" s="143"/>
    </row>
    <row r="250">
      <c r="A250" s="143"/>
      <c r="B250" s="143"/>
      <c r="C250" s="143"/>
    </row>
    <row r="251">
      <c r="A251" s="143"/>
      <c r="B251" s="143"/>
      <c r="C251" s="143"/>
    </row>
    <row r="252">
      <c r="A252" s="143"/>
      <c r="B252" s="143"/>
      <c r="C252" s="143"/>
    </row>
    <row r="253">
      <c r="A253" s="143"/>
      <c r="B253" s="143"/>
      <c r="C253" s="143"/>
    </row>
    <row r="254">
      <c r="A254" s="143"/>
      <c r="B254" s="143"/>
      <c r="C254" s="143"/>
    </row>
    <row r="255">
      <c r="A255" s="143"/>
      <c r="B255" s="143"/>
      <c r="C255" s="143"/>
    </row>
    <row r="256">
      <c r="A256" s="143"/>
      <c r="B256" s="143"/>
      <c r="C256" s="143"/>
    </row>
    <row r="257">
      <c r="A257" s="143"/>
      <c r="B257" s="143"/>
      <c r="C257" s="143"/>
    </row>
    <row r="258">
      <c r="A258" s="143"/>
      <c r="B258" s="143"/>
      <c r="C258" s="143"/>
    </row>
    <row r="259">
      <c r="A259" s="143"/>
      <c r="B259" s="143"/>
      <c r="C259" s="143"/>
    </row>
    <row r="260">
      <c r="A260" s="143"/>
      <c r="B260" s="143"/>
      <c r="C260" s="143"/>
    </row>
    <row r="261">
      <c r="A261" s="143"/>
      <c r="B261" s="143"/>
      <c r="C261" s="143"/>
    </row>
    <row r="262">
      <c r="A262" s="143"/>
      <c r="B262" s="143"/>
      <c r="C262" s="143"/>
    </row>
    <row r="263">
      <c r="A263" s="143"/>
      <c r="B263" s="143"/>
      <c r="C263" s="143"/>
    </row>
    <row r="264">
      <c r="A264" s="143"/>
      <c r="B264" s="143"/>
      <c r="C264" s="143"/>
    </row>
    <row r="265">
      <c r="A265" s="143"/>
      <c r="B265" s="143"/>
      <c r="C265" s="143"/>
    </row>
    <row r="266">
      <c r="A266" s="143"/>
      <c r="B266" s="143"/>
      <c r="C266" s="143"/>
    </row>
    <row r="267">
      <c r="A267" s="143"/>
      <c r="B267" s="143"/>
      <c r="C267" s="143"/>
    </row>
    <row r="268">
      <c r="A268" s="143"/>
      <c r="B268" s="143"/>
      <c r="C268" s="143"/>
    </row>
    <row r="269">
      <c r="A269" s="143"/>
      <c r="B269" s="143"/>
      <c r="C269" s="143"/>
    </row>
    <row r="270">
      <c r="A270" s="143"/>
      <c r="B270" s="143"/>
      <c r="C270" s="143"/>
    </row>
    <row r="271">
      <c r="A271" s="143"/>
      <c r="B271" s="143"/>
      <c r="C271" s="143"/>
    </row>
    <row r="272">
      <c r="A272" s="143"/>
      <c r="B272" s="143"/>
      <c r="C272" s="143"/>
    </row>
    <row r="273">
      <c r="A273" s="143"/>
      <c r="B273" s="143"/>
      <c r="C273" s="143"/>
    </row>
    <row r="274">
      <c r="A274" s="143"/>
      <c r="B274" s="143"/>
      <c r="C274" s="143"/>
    </row>
    <row r="275">
      <c r="A275" s="143"/>
      <c r="B275" s="143"/>
      <c r="C275" s="143"/>
    </row>
    <row r="276">
      <c r="A276" s="143"/>
      <c r="B276" s="143"/>
      <c r="C276" s="143"/>
    </row>
    <row r="277">
      <c r="A277" s="143"/>
      <c r="B277" s="143"/>
      <c r="C277" s="143"/>
    </row>
    <row r="278">
      <c r="A278" s="143"/>
      <c r="B278" s="143"/>
      <c r="C278" s="143"/>
    </row>
    <row r="279">
      <c r="A279" s="143"/>
      <c r="B279" s="143"/>
      <c r="C279" s="143"/>
    </row>
    <row r="280">
      <c r="A280" s="143"/>
      <c r="B280" s="143"/>
      <c r="C280" s="143"/>
    </row>
    <row r="281">
      <c r="A281" s="143"/>
      <c r="B281" s="143"/>
      <c r="C281" s="143"/>
    </row>
    <row r="282">
      <c r="A282" s="143"/>
      <c r="B282" s="143"/>
      <c r="C282" s="143"/>
    </row>
    <row r="283">
      <c r="A283" s="143"/>
      <c r="B283" s="143"/>
      <c r="C283" s="143"/>
    </row>
    <row r="284">
      <c r="A284" s="143"/>
      <c r="B284" s="143"/>
      <c r="C284" s="143"/>
    </row>
    <row r="285">
      <c r="A285" s="143"/>
      <c r="B285" s="143"/>
      <c r="C285" s="143"/>
    </row>
    <row r="286">
      <c r="A286" s="143"/>
      <c r="B286" s="143"/>
      <c r="C286" s="143"/>
    </row>
    <row r="287">
      <c r="A287" s="143"/>
      <c r="B287" s="143"/>
      <c r="C287" s="143"/>
    </row>
    <row r="288">
      <c r="A288" s="143"/>
      <c r="B288" s="143"/>
      <c r="C288" s="143"/>
    </row>
    <row r="289">
      <c r="A289" s="143"/>
      <c r="B289" s="143"/>
      <c r="C289" s="143"/>
    </row>
    <row r="290">
      <c r="A290" s="143"/>
      <c r="B290" s="143"/>
      <c r="C290" s="143"/>
    </row>
    <row r="291">
      <c r="A291" s="143"/>
      <c r="B291" s="143"/>
      <c r="C291" s="143"/>
    </row>
    <row r="292">
      <c r="A292" s="143"/>
      <c r="B292" s="143"/>
      <c r="C292" s="143"/>
    </row>
    <row r="293">
      <c r="A293" s="143"/>
      <c r="B293" s="143"/>
      <c r="C293" s="143"/>
    </row>
    <row r="294">
      <c r="A294" s="143"/>
      <c r="B294" s="143"/>
      <c r="C294" s="143"/>
    </row>
    <row r="295">
      <c r="A295" s="143"/>
      <c r="B295" s="143"/>
      <c r="C295" s="143"/>
    </row>
    <row r="296">
      <c r="A296" s="143"/>
      <c r="B296" s="143"/>
      <c r="C296" s="143"/>
    </row>
    <row r="297">
      <c r="A297" s="143"/>
      <c r="B297" s="143"/>
      <c r="C297" s="143"/>
    </row>
    <row r="298">
      <c r="A298" s="143"/>
      <c r="B298" s="143"/>
      <c r="C298" s="143"/>
    </row>
    <row r="299">
      <c r="A299" s="143"/>
      <c r="B299" s="143"/>
      <c r="C299" s="143"/>
    </row>
    <row r="300">
      <c r="A300" s="143"/>
      <c r="B300" s="143"/>
      <c r="C300" s="143"/>
    </row>
    <row r="301">
      <c r="A301" s="143"/>
      <c r="B301" s="143"/>
      <c r="C301" s="143"/>
    </row>
    <row r="302">
      <c r="A302" s="143"/>
      <c r="B302" s="143"/>
      <c r="C302" s="143"/>
    </row>
    <row r="303">
      <c r="A303" s="143"/>
      <c r="B303" s="143"/>
      <c r="C303" s="143"/>
    </row>
    <row r="304">
      <c r="A304" s="143"/>
      <c r="B304" s="143"/>
      <c r="C304" s="143"/>
    </row>
    <row r="305">
      <c r="A305" s="143"/>
      <c r="B305" s="143"/>
      <c r="C305" s="143"/>
    </row>
    <row r="306">
      <c r="A306" s="143"/>
      <c r="B306" s="143"/>
      <c r="C306" s="143"/>
    </row>
    <row r="307">
      <c r="A307" s="143"/>
      <c r="B307" s="143"/>
      <c r="C307" s="143"/>
    </row>
    <row r="308">
      <c r="A308" s="143"/>
      <c r="B308" s="143"/>
      <c r="C308" s="143"/>
    </row>
    <row r="309">
      <c r="A309" s="143"/>
      <c r="B309" s="143"/>
      <c r="C309" s="143"/>
    </row>
    <row r="310">
      <c r="A310" s="143"/>
      <c r="B310" s="143"/>
      <c r="C310" s="143"/>
    </row>
    <row r="311">
      <c r="A311" s="143"/>
      <c r="B311" s="143"/>
      <c r="C311" s="143"/>
    </row>
    <row r="312">
      <c r="A312" s="143"/>
      <c r="B312" s="143"/>
      <c r="C312" s="143"/>
    </row>
    <row r="313">
      <c r="A313" s="143"/>
      <c r="B313" s="143"/>
      <c r="C313" s="143"/>
    </row>
    <row r="314">
      <c r="A314" s="143"/>
      <c r="B314" s="143"/>
      <c r="C314" s="143"/>
    </row>
    <row r="315">
      <c r="A315" s="143"/>
      <c r="B315" s="143"/>
      <c r="C315" s="143"/>
    </row>
    <row r="316">
      <c r="A316" s="143"/>
      <c r="B316" s="143"/>
      <c r="C316" s="143"/>
    </row>
    <row r="317">
      <c r="A317" s="143"/>
      <c r="B317" s="143"/>
      <c r="C317" s="143"/>
    </row>
    <row r="318">
      <c r="A318" s="143"/>
      <c r="B318" s="143"/>
      <c r="C318" s="143"/>
    </row>
    <row r="319">
      <c r="A319" s="143"/>
      <c r="B319" s="143"/>
      <c r="C319" s="143"/>
    </row>
    <row r="320">
      <c r="A320" s="143"/>
      <c r="B320" s="143"/>
      <c r="C320" s="143"/>
    </row>
    <row r="321">
      <c r="A321" s="143"/>
      <c r="B321" s="143"/>
      <c r="C321" s="143"/>
    </row>
    <row r="322">
      <c r="A322" s="143"/>
      <c r="B322" s="143"/>
      <c r="C322" s="143"/>
    </row>
    <row r="323">
      <c r="A323" s="143"/>
      <c r="B323" s="143"/>
      <c r="C323" s="143"/>
    </row>
    <row r="324">
      <c r="A324" s="143"/>
      <c r="B324" s="143"/>
      <c r="C324" s="143"/>
    </row>
    <row r="325">
      <c r="A325" s="143"/>
      <c r="B325" s="143"/>
      <c r="C325" s="143"/>
    </row>
    <row r="326">
      <c r="A326" s="143"/>
      <c r="B326" s="143"/>
      <c r="C326" s="143"/>
    </row>
    <row r="327">
      <c r="A327" s="143"/>
      <c r="B327" s="143"/>
      <c r="C327" s="143"/>
    </row>
    <row r="328">
      <c r="A328" s="143"/>
      <c r="B328" s="143"/>
      <c r="C328" s="143"/>
    </row>
    <row r="329">
      <c r="A329" s="143"/>
      <c r="B329" s="143"/>
      <c r="C329" s="143"/>
    </row>
    <row r="330">
      <c r="A330" s="143"/>
      <c r="B330" s="143"/>
      <c r="C330" s="143"/>
    </row>
    <row r="331">
      <c r="A331" s="143"/>
      <c r="B331" s="143"/>
      <c r="C331" s="143"/>
    </row>
    <row r="332">
      <c r="A332" s="143"/>
      <c r="B332" s="143"/>
      <c r="C332" s="143"/>
    </row>
    <row r="333">
      <c r="A333" s="143"/>
      <c r="B333" s="143"/>
      <c r="C333" s="143"/>
    </row>
    <row r="334">
      <c r="A334" s="143"/>
      <c r="B334" s="143"/>
      <c r="C334" s="143"/>
    </row>
    <row r="335">
      <c r="A335" s="143"/>
      <c r="B335" s="143"/>
      <c r="C335" s="143"/>
    </row>
    <row r="336">
      <c r="A336" s="143"/>
      <c r="B336" s="143"/>
      <c r="C336" s="143"/>
    </row>
    <row r="337">
      <c r="A337" s="143"/>
      <c r="B337" s="143"/>
      <c r="C337" s="143"/>
    </row>
    <row r="338">
      <c r="A338" s="143"/>
      <c r="B338" s="143"/>
      <c r="C338" s="143"/>
    </row>
    <row r="339">
      <c r="A339" s="143"/>
      <c r="B339" s="143"/>
      <c r="C339" s="143"/>
    </row>
    <row r="340">
      <c r="A340" s="143"/>
      <c r="B340" s="143"/>
      <c r="C340" s="143"/>
    </row>
    <row r="341">
      <c r="A341" s="143"/>
      <c r="B341" s="143"/>
      <c r="C341" s="143"/>
    </row>
    <row r="342">
      <c r="A342" s="143"/>
      <c r="B342" s="143"/>
      <c r="C342" s="143"/>
    </row>
    <row r="343">
      <c r="A343" s="143"/>
      <c r="B343" s="143"/>
      <c r="C343" s="143"/>
    </row>
    <row r="344">
      <c r="A344" s="143"/>
      <c r="B344" s="143"/>
      <c r="C344" s="143"/>
    </row>
    <row r="345">
      <c r="A345" s="143"/>
      <c r="B345" s="143"/>
      <c r="C345" s="143"/>
    </row>
    <row r="346">
      <c r="A346" s="143"/>
      <c r="B346" s="143"/>
      <c r="C346" s="143"/>
    </row>
    <row r="347">
      <c r="A347" s="143"/>
      <c r="B347" s="143"/>
      <c r="C347" s="143"/>
    </row>
    <row r="348">
      <c r="A348" s="143"/>
      <c r="B348" s="143"/>
      <c r="C348" s="143"/>
    </row>
    <row r="349">
      <c r="A349" s="143"/>
      <c r="B349" s="143"/>
      <c r="C349" s="143"/>
    </row>
    <row r="350">
      <c r="A350" s="143"/>
      <c r="B350" s="143"/>
      <c r="C350" s="143"/>
    </row>
    <row r="351">
      <c r="A351" s="143"/>
      <c r="B351" s="143"/>
      <c r="C351" s="143"/>
    </row>
    <row r="352">
      <c r="A352" s="143"/>
      <c r="B352" s="143"/>
      <c r="C352" s="143"/>
    </row>
    <row r="353">
      <c r="A353" s="143"/>
      <c r="B353" s="143"/>
      <c r="C353" s="143"/>
    </row>
    <row r="354">
      <c r="A354" s="143"/>
      <c r="B354" s="143"/>
      <c r="C354" s="143"/>
    </row>
    <row r="355">
      <c r="A355" s="143"/>
      <c r="B355" s="143"/>
      <c r="C355" s="143"/>
    </row>
    <row r="356">
      <c r="A356" s="143"/>
      <c r="B356" s="143"/>
      <c r="C356" s="143"/>
    </row>
    <row r="357">
      <c r="A357" s="143"/>
      <c r="B357" s="143"/>
      <c r="C357" s="143"/>
    </row>
    <row r="358">
      <c r="A358" s="143"/>
      <c r="B358" s="143"/>
      <c r="C358" s="143"/>
    </row>
    <row r="359">
      <c r="A359" s="143"/>
      <c r="B359" s="143"/>
      <c r="C359" s="143"/>
    </row>
    <row r="360">
      <c r="A360" s="143"/>
      <c r="B360" s="143"/>
      <c r="C360" s="143"/>
    </row>
    <row r="361">
      <c r="A361" s="143"/>
      <c r="B361" s="143"/>
      <c r="C361" s="143"/>
    </row>
    <row r="362">
      <c r="A362" s="143"/>
      <c r="B362" s="143"/>
      <c r="C362" s="143"/>
    </row>
    <row r="363">
      <c r="A363" s="143"/>
      <c r="B363" s="143"/>
      <c r="C363" s="143"/>
    </row>
    <row r="364">
      <c r="A364" s="143"/>
      <c r="B364" s="143"/>
      <c r="C364" s="143"/>
    </row>
    <row r="365">
      <c r="A365" s="143"/>
      <c r="B365" s="143"/>
      <c r="C365" s="143"/>
    </row>
    <row r="366">
      <c r="A366" s="143"/>
      <c r="B366" s="143"/>
      <c r="C366" s="143"/>
    </row>
    <row r="367">
      <c r="A367" s="143"/>
      <c r="B367" s="143"/>
      <c r="C367" s="143"/>
    </row>
    <row r="368">
      <c r="A368" s="143"/>
      <c r="B368" s="143"/>
      <c r="C368" s="143"/>
    </row>
    <row r="369">
      <c r="A369" s="143"/>
      <c r="B369" s="143"/>
      <c r="C369" s="143"/>
    </row>
    <row r="370">
      <c r="A370" s="143"/>
      <c r="B370" s="143"/>
      <c r="C370" s="143"/>
    </row>
    <row r="371">
      <c r="A371" s="143"/>
      <c r="B371" s="143"/>
      <c r="C371" s="143"/>
    </row>
    <row r="372">
      <c r="A372" s="143"/>
      <c r="B372" s="143"/>
      <c r="C372" s="143"/>
    </row>
    <row r="373">
      <c r="A373" s="143"/>
      <c r="B373" s="143"/>
      <c r="C373" s="143"/>
    </row>
    <row r="374">
      <c r="A374" s="143"/>
      <c r="B374" s="143"/>
      <c r="C374" s="143"/>
    </row>
    <row r="375">
      <c r="A375" s="143"/>
      <c r="B375" s="143"/>
      <c r="C375" s="143"/>
    </row>
    <row r="376">
      <c r="A376" s="143"/>
      <c r="B376" s="143"/>
      <c r="C376" s="143"/>
    </row>
    <row r="377">
      <c r="A377" s="143"/>
      <c r="B377" s="143"/>
      <c r="C377" s="143"/>
    </row>
    <row r="378">
      <c r="A378" s="143"/>
      <c r="B378" s="143"/>
      <c r="C378" s="143"/>
    </row>
    <row r="379">
      <c r="A379" s="143"/>
      <c r="B379" s="143"/>
      <c r="C379" s="143"/>
    </row>
    <row r="380">
      <c r="A380" s="143"/>
      <c r="B380" s="143"/>
      <c r="C380" s="143"/>
    </row>
    <row r="381">
      <c r="A381" s="143"/>
      <c r="B381" s="143"/>
      <c r="C381" s="143"/>
    </row>
    <row r="382">
      <c r="A382" s="143"/>
      <c r="B382" s="143"/>
      <c r="C382" s="143"/>
    </row>
    <row r="383">
      <c r="A383" s="143"/>
      <c r="B383" s="143"/>
      <c r="C383" s="143"/>
    </row>
    <row r="384">
      <c r="A384" s="143"/>
      <c r="B384" s="143"/>
      <c r="C384" s="143"/>
    </row>
    <row r="385">
      <c r="A385" s="143"/>
      <c r="B385" s="143"/>
      <c r="C385" s="143"/>
    </row>
    <row r="386">
      <c r="A386" s="143"/>
      <c r="B386" s="143"/>
      <c r="C386" s="143"/>
    </row>
    <row r="387">
      <c r="A387" s="143"/>
      <c r="B387" s="143"/>
      <c r="C387" s="143"/>
    </row>
    <row r="388">
      <c r="A388" s="143"/>
      <c r="B388" s="143"/>
      <c r="C388" s="143"/>
    </row>
    <row r="389">
      <c r="A389" s="143"/>
      <c r="B389" s="143"/>
      <c r="C389" s="143"/>
    </row>
    <row r="390">
      <c r="A390" s="143"/>
      <c r="B390" s="143"/>
      <c r="C390" s="143"/>
    </row>
    <row r="391">
      <c r="A391" s="143"/>
      <c r="B391" s="143"/>
      <c r="C391" s="143"/>
    </row>
    <row r="392">
      <c r="A392" s="143"/>
      <c r="B392" s="143"/>
      <c r="C392" s="143"/>
    </row>
    <row r="393">
      <c r="A393" s="143"/>
      <c r="B393" s="143"/>
      <c r="C393" s="143"/>
    </row>
    <row r="394">
      <c r="A394" s="143"/>
      <c r="B394" s="143"/>
      <c r="C394" s="143"/>
    </row>
    <row r="395">
      <c r="A395" s="143"/>
      <c r="B395" s="143"/>
      <c r="C395" s="143"/>
    </row>
    <row r="396">
      <c r="A396" s="143"/>
      <c r="B396" s="143"/>
      <c r="C396" s="143"/>
    </row>
    <row r="397">
      <c r="A397" s="143"/>
      <c r="B397" s="143"/>
      <c r="C397" s="143"/>
    </row>
    <row r="398">
      <c r="A398" s="143"/>
      <c r="B398" s="143"/>
      <c r="C398" s="143"/>
    </row>
    <row r="399">
      <c r="A399" s="143"/>
      <c r="B399" s="143"/>
      <c r="C399" s="143"/>
    </row>
    <row r="400">
      <c r="A400" s="143"/>
      <c r="B400" s="143"/>
      <c r="C400" s="143"/>
    </row>
    <row r="401">
      <c r="A401" s="143"/>
      <c r="B401" s="143"/>
      <c r="C401" s="143"/>
    </row>
    <row r="402">
      <c r="A402" s="143"/>
      <c r="B402" s="143"/>
      <c r="C402" s="143"/>
    </row>
    <row r="403">
      <c r="A403" s="143"/>
      <c r="B403" s="143"/>
      <c r="C403" s="143"/>
    </row>
    <row r="404">
      <c r="A404" s="143"/>
      <c r="B404" s="143"/>
      <c r="C404" s="143"/>
    </row>
    <row r="405">
      <c r="A405" s="143"/>
      <c r="B405" s="143"/>
      <c r="C405" s="143"/>
    </row>
    <row r="406">
      <c r="A406" s="143"/>
      <c r="B406" s="143"/>
      <c r="C406" s="143"/>
    </row>
    <row r="407">
      <c r="A407" s="143"/>
      <c r="B407" s="143"/>
      <c r="C407" s="143"/>
    </row>
    <row r="408">
      <c r="A408" s="143"/>
      <c r="B408" s="143"/>
      <c r="C408" s="143"/>
    </row>
    <row r="409">
      <c r="A409" s="143"/>
      <c r="B409" s="143"/>
      <c r="C409" s="143"/>
    </row>
    <row r="410">
      <c r="A410" s="143"/>
      <c r="B410" s="143"/>
      <c r="C410" s="143"/>
    </row>
    <row r="411">
      <c r="A411" s="143"/>
      <c r="B411" s="143"/>
      <c r="C411" s="143"/>
    </row>
    <row r="412">
      <c r="A412" s="143"/>
      <c r="B412" s="143"/>
      <c r="C412" s="143"/>
    </row>
    <row r="413">
      <c r="A413" s="143"/>
      <c r="B413" s="143"/>
      <c r="C413" s="143"/>
    </row>
    <row r="414">
      <c r="A414" s="143"/>
      <c r="B414" s="143"/>
      <c r="C414" s="143"/>
    </row>
    <row r="415">
      <c r="A415" s="143"/>
      <c r="B415" s="143"/>
      <c r="C415" s="143"/>
    </row>
    <row r="416">
      <c r="A416" s="143"/>
      <c r="B416" s="143"/>
      <c r="C416" s="143"/>
    </row>
    <row r="417">
      <c r="A417" s="143"/>
      <c r="B417" s="143"/>
      <c r="C417" s="143"/>
    </row>
    <row r="418">
      <c r="A418" s="143"/>
      <c r="B418" s="143"/>
      <c r="C418" s="143"/>
    </row>
    <row r="419">
      <c r="A419" s="143"/>
      <c r="B419" s="143"/>
      <c r="C419" s="143"/>
    </row>
    <row r="420">
      <c r="A420" s="143"/>
      <c r="B420" s="143"/>
      <c r="C420" s="143"/>
    </row>
    <row r="421">
      <c r="A421" s="143"/>
      <c r="B421" s="143"/>
      <c r="C421" s="143"/>
    </row>
    <row r="422">
      <c r="A422" s="143"/>
      <c r="B422" s="143"/>
      <c r="C422" s="143"/>
    </row>
    <row r="423">
      <c r="A423" s="143"/>
      <c r="B423" s="143"/>
      <c r="C423" s="143"/>
    </row>
    <row r="424">
      <c r="A424" s="143"/>
      <c r="B424" s="143"/>
      <c r="C424" s="143"/>
    </row>
    <row r="425">
      <c r="A425" s="143"/>
      <c r="B425" s="143"/>
      <c r="C425" s="143"/>
    </row>
    <row r="426">
      <c r="A426" s="143"/>
      <c r="B426" s="143"/>
      <c r="C426" s="143"/>
    </row>
    <row r="427">
      <c r="A427" s="143"/>
      <c r="B427" s="143"/>
      <c r="C427" s="143"/>
    </row>
    <row r="428">
      <c r="A428" s="143"/>
      <c r="B428" s="143"/>
      <c r="C428" s="143"/>
    </row>
    <row r="429">
      <c r="A429" s="143"/>
      <c r="B429" s="143"/>
      <c r="C429" s="143"/>
    </row>
    <row r="430">
      <c r="A430" s="143"/>
      <c r="B430" s="143"/>
      <c r="C430" s="143"/>
    </row>
    <row r="431">
      <c r="A431" s="143"/>
      <c r="B431" s="143"/>
      <c r="C431" s="143"/>
    </row>
    <row r="432">
      <c r="A432" s="143"/>
      <c r="B432" s="143"/>
      <c r="C432" s="143"/>
    </row>
    <row r="433">
      <c r="A433" s="143"/>
      <c r="B433" s="143"/>
      <c r="C433" s="143"/>
    </row>
    <row r="434">
      <c r="A434" s="143"/>
      <c r="B434" s="143"/>
      <c r="C434" s="143"/>
    </row>
    <row r="435">
      <c r="A435" s="143"/>
      <c r="B435" s="143"/>
      <c r="C435" s="143"/>
    </row>
    <row r="436">
      <c r="A436" s="143"/>
      <c r="B436" s="143"/>
      <c r="C436" s="143"/>
    </row>
    <row r="437">
      <c r="A437" s="143"/>
      <c r="B437" s="143"/>
      <c r="C437" s="143"/>
    </row>
    <row r="438">
      <c r="A438" s="143"/>
      <c r="B438" s="143"/>
      <c r="C438" s="143"/>
    </row>
    <row r="439">
      <c r="A439" s="143"/>
      <c r="B439" s="143"/>
      <c r="C439" s="143"/>
    </row>
    <row r="440">
      <c r="A440" s="143"/>
      <c r="B440" s="143"/>
      <c r="C440" s="143"/>
    </row>
    <row r="441">
      <c r="A441" s="143"/>
      <c r="B441" s="143"/>
      <c r="C441" s="143"/>
    </row>
    <row r="442">
      <c r="A442" s="143"/>
      <c r="B442" s="143"/>
      <c r="C442" s="143"/>
    </row>
    <row r="443">
      <c r="A443" s="143"/>
      <c r="B443" s="143"/>
      <c r="C443" s="143"/>
    </row>
    <row r="444">
      <c r="A444" s="143"/>
      <c r="B444" s="143"/>
      <c r="C444" s="143"/>
    </row>
    <row r="445">
      <c r="A445" s="143"/>
      <c r="B445" s="143"/>
      <c r="C445" s="143"/>
    </row>
    <row r="446">
      <c r="A446" s="143"/>
      <c r="B446" s="143"/>
      <c r="C446" s="143"/>
    </row>
    <row r="447">
      <c r="A447" s="143"/>
      <c r="B447" s="143"/>
      <c r="C447" s="143"/>
    </row>
    <row r="448">
      <c r="A448" s="143"/>
      <c r="B448" s="143"/>
      <c r="C448" s="143"/>
    </row>
    <row r="449">
      <c r="A449" s="143"/>
      <c r="B449" s="143"/>
      <c r="C449" s="143"/>
    </row>
    <row r="450">
      <c r="A450" s="143"/>
      <c r="B450" s="143"/>
      <c r="C450" s="143"/>
    </row>
    <row r="451">
      <c r="A451" s="143"/>
      <c r="B451" s="143"/>
      <c r="C451" s="143"/>
    </row>
    <row r="452">
      <c r="A452" s="143"/>
      <c r="B452" s="143"/>
      <c r="C452" s="143"/>
    </row>
    <row r="453">
      <c r="A453" s="143"/>
      <c r="B453" s="143"/>
      <c r="C453" s="143"/>
    </row>
    <row r="454">
      <c r="A454" s="143"/>
      <c r="B454" s="143"/>
      <c r="C454" s="143"/>
    </row>
    <row r="455">
      <c r="A455" s="143"/>
      <c r="B455" s="143"/>
      <c r="C455" s="143"/>
    </row>
    <row r="456">
      <c r="A456" s="143"/>
      <c r="B456" s="143"/>
      <c r="C456" s="143"/>
    </row>
    <row r="457">
      <c r="A457" s="143"/>
      <c r="B457" s="143"/>
      <c r="C457" s="143"/>
    </row>
    <row r="458">
      <c r="A458" s="143"/>
      <c r="B458" s="143"/>
      <c r="C458" s="143"/>
    </row>
    <row r="459">
      <c r="A459" s="143"/>
      <c r="B459" s="143"/>
      <c r="C459" s="143"/>
    </row>
    <row r="460">
      <c r="A460" s="143"/>
      <c r="B460" s="143"/>
      <c r="C460" s="143"/>
    </row>
    <row r="461">
      <c r="A461" s="143"/>
      <c r="B461" s="143"/>
      <c r="C461" s="143"/>
    </row>
    <row r="462">
      <c r="A462" s="143"/>
      <c r="B462" s="143"/>
      <c r="C462" s="143"/>
    </row>
    <row r="463">
      <c r="A463" s="143"/>
      <c r="B463" s="143"/>
      <c r="C463" s="143"/>
    </row>
    <row r="464">
      <c r="A464" s="143"/>
      <c r="B464" s="143"/>
      <c r="C464" s="143"/>
    </row>
    <row r="465">
      <c r="A465" s="143"/>
      <c r="B465" s="143"/>
      <c r="C465" s="143"/>
    </row>
    <row r="466">
      <c r="A466" s="143"/>
      <c r="B466" s="143"/>
      <c r="C466" s="143"/>
    </row>
    <row r="467">
      <c r="A467" s="143"/>
      <c r="B467" s="143"/>
      <c r="C467" s="143"/>
    </row>
    <row r="468">
      <c r="A468" s="143"/>
      <c r="B468" s="143"/>
      <c r="C468" s="143"/>
    </row>
    <row r="469">
      <c r="A469" s="143"/>
      <c r="B469" s="143"/>
      <c r="C469" s="143"/>
    </row>
    <row r="470">
      <c r="A470" s="143"/>
      <c r="B470" s="143"/>
      <c r="C470" s="143"/>
    </row>
    <row r="471">
      <c r="A471" s="143"/>
      <c r="B471" s="143"/>
      <c r="C471" s="143"/>
    </row>
    <row r="472">
      <c r="A472" s="143"/>
      <c r="B472" s="143"/>
      <c r="C472" s="143"/>
    </row>
    <row r="473">
      <c r="A473" s="143"/>
      <c r="B473" s="143"/>
      <c r="C473" s="143"/>
    </row>
    <row r="474">
      <c r="A474" s="143"/>
      <c r="B474" s="143"/>
      <c r="C474" s="143"/>
    </row>
    <row r="475">
      <c r="A475" s="143"/>
      <c r="B475" s="143"/>
      <c r="C475" s="143"/>
    </row>
    <row r="476">
      <c r="A476" s="143"/>
      <c r="B476" s="143"/>
      <c r="C476" s="143"/>
    </row>
    <row r="477">
      <c r="A477" s="143"/>
      <c r="B477" s="143"/>
      <c r="C477" s="143"/>
    </row>
    <row r="478">
      <c r="A478" s="143"/>
      <c r="B478" s="143"/>
      <c r="C478" s="143"/>
    </row>
    <row r="479">
      <c r="A479" s="143"/>
      <c r="B479" s="143"/>
      <c r="C479" s="143"/>
    </row>
    <row r="480">
      <c r="A480" s="143"/>
      <c r="B480" s="143"/>
      <c r="C480" s="143"/>
    </row>
    <row r="481">
      <c r="A481" s="143"/>
      <c r="B481" s="143"/>
      <c r="C481" s="143"/>
    </row>
    <row r="482">
      <c r="A482" s="143"/>
      <c r="B482" s="143"/>
      <c r="C482" s="143"/>
    </row>
    <row r="483">
      <c r="A483" s="143"/>
      <c r="B483" s="143"/>
      <c r="C483" s="143"/>
    </row>
    <row r="484">
      <c r="A484" s="143"/>
      <c r="B484" s="143"/>
      <c r="C484" s="143"/>
    </row>
    <row r="485">
      <c r="A485" s="143"/>
      <c r="B485" s="143"/>
      <c r="C485" s="143"/>
    </row>
    <row r="486">
      <c r="A486" s="143"/>
      <c r="B486" s="143"/>
      <c r="C486" s="143"/>
    </row>
    <row r="487">
      <c r="A487" s="143"/>
      <c r="B487" s="143"/>
      <c r="C487" s="143"/>
    </row>
    <row r="488">
      <c r="A488" s="143"/>
      <c r="B488" s="143"/>
      <c r="C488" s="143"/>
    </row>
    <row r="489">
      <c r="A489" s="143"/>
      <c r="B489" s="143"/>
      <c r="C489" s="143"/>
    </row>
    <row r="490">
      <c r="A490" s="143"/>
      <c r="B490" s="143"/>
      <c r="C490" s="143"/>
    </row>
    <row r="491">
      <c r="A491" s="143"/>
      <c r="B491" s="143"/>
      <c r="C491" s="143"/>
    </row>
    <row r="492">
      <c r="A492" s="143"/>
      <c r="B492" s="143"/>
      <c r="C492" s="143"/>
    </row>
    <row r="493">
      <c r="A493" s="143"/>
      <c r="B493" s="143"/>
      <c r="C493" s="143"/>
    </row>
    <row r="494">
      <c r="A494" s="143"/>
      <c r="B494" s="143"/>
      <c r="C494" s="143"/>
    </row>
    <row r="495">
      <c r="A495" s="143"/>
      <c r="B495" s="143"/>
      <c r="C495" s="143"/>
    </row>
    <row r="496">
      <c r="A496" s="143"/>
      <c r="B496" s="143"/>
      <c r="C496" s="143"/>
    </row>
    <row r="497">
      <c r="A497" s="143"/>
      <c r="B497" s="143"/>
      <c r="C497" s="143"/>
    </row>
    <row r="498">
      <c r="A498" s="143"/>
      <c r="B498" s="143"/>
      <c r="C498" s="143"/>
    </row>
    <row r="499">
      <c r="A499" s="143"/>
      <c r="B499" s="143"/>
      <c r="C499" s="143"/>
    </row>
    <row r="500">
      <c r="A500" s="143"/>
      <c r="B500" s="143"/>
      <c r="C500" s="143"/>
    </row>
    <row r="501">
      <c r="A501" s="143"/>
      <c r="B501" s="143"/>
      <c r="C501" s="143"/>
    </row>
    <row r="502">
      <c r="A502" s="143"/>
      <c r="B502" s="143"/>
      <c r="C502" s="143"/>
    </row>
    <row r="503">
      <c r="A503" s="143"/>
      <c r="B503" s="143"/>
      <c r="C503" s="143"/>
    </row>
    <row r="504">
      <c r="A504" s="143"/>
      <c r="B504" s="143"/>
      <c r="C504" s="143"/>
    </row>
    <row r="505">
      <c r="A505" s="143"/>
      <c r="B505" s="143"/>
      <c r="C505" s="143"/>
    </row>
    <row r="506">
      <c r="A506" s="143"/>
      <c r="B506" s="143"/>
      <c r="C506" s="143"/>
    </row>
    <row r="507">
      <c r="A507" s="143"/>
      <c r="B507" s="143"/>
      <c r="C507" s="143"/>
    </row>
    <row r="508">
      <c r="A508" s="143"/>
      <c r="B508" s="143"/>
      <c r="C508" s="143"/>
    </row>
    <row r="509">
      <c r="A509" s="143"/>
      <c r="B509" s="143"/>
      <c r="C509" s="143"/>
    </row>
    <row r="510">
      <c r="A510" s="143"/>
      <c r="B510" s="143"/>
      <c r="C510" s="143"/>
    </row>
    <row r="511">
      <c r="A511" s="143"/>
      <c r="B511" s="143"/>
      <c r="C511" s="143"/>
    </row>
    <row r="512">
      <c r="A512" s="143"/>
      <c r="B512" s="143"/>
      <c r="C512" s="143"/>
    </row>
    <row r="513">
      <c r="A513" s="143"/>
      <c r="B513" s="143"/>
      <c r="C513" s="143"/>
    </row>
    <row r="514">
      <c r="A514" s="143"/>
      <c r="B514" s="143"/>
      <c r="C514" s="143"/>
    </row>
    <row r="515">
      <c r="A515" s="143"/>
      <c r="B515" s="143"/>
      <c r="C515" s="143"/>
    </row>
    <row r="516">
      <c r="A516" s="143"/>
      <c r="B516" s="143"/>
      <c r="C516" s="143"/>
    </row>
    <row r="517">
      <c r="A517" s="143"/>
      <c r="B517" s="143"/>
      <c r="C517" s="143"/>
    </row>
    <row r="518">
      <c r="A518" s="143"/>
      <c r="B518" s="143"/>
      <c r="C518" s="143"/>
    </row>
    <row r="519">
      <c r="A519" s="143"/>
      <c r="B519" s="143"/>
      <c r="C519" s="143"/>
    </row>
    <row r="520">
      <c r="A520" s="143"/>
      <c r="B520" s="143"/>
      <c r="C520" s="143"/>
    </row>
    <row r="521">
      <c r="A521" s="143"/>
      <c r="B521" s="143"/>
      <c r="C521" s="143"/>
    </row>
    <row r="522">
      <c r="A522" s="143"/>
      <c r="B522" s="143"/>
      <c r="C522" s="143"/>
    </row>
    <row r="523">
      <c r="A523" s="143"/>
      <c r="B523" s="143"/>
      <c r="C523" s="143"/>
    </row>
    <row r="524">
      <c r="A524" s="143"/>
      <c r="B524" s="143"/>
      <c r="C524" s="143"/>
    </row>
    <row r="525">
      <c r="A525" s="143"/>
      <c r="B525" s="143"/>
      <c r="C525" s="143"/>
    </row>
    <row r="526">
      <c r="A526" s="143"/>
      <c r="B526" s="143"/>
      <c r="C526" s="143"/>
    </row>
    <row r="527">
      <c r="A527" s="143"/>
      <c r="B527" s="143"/>
      <c r="C527" s="143"/>
    </row>
    <row r="528">
      <c r="A528" s="143"/>
      <c r="B528" s="143"/>
      <c r="C528" s="143"/>
    </row>
    <row r="529">
      <c r="A529" s="143"/>
      <c r="B529" s="143"/>
      <c r="C529" s="143"/>
    </row>
    <row r="530">
      <c r="A530" s="143"/>
      <c r="B530" s="143"/>
      <c r="C530" s="143"/>
    </row>
    <row r="531">
      <c r="A531" s="143"/>
      <c r="B531" s="143"/>
      <c r="C531" s="143"/>
    </row>
    <row r="532">
      <c r="A532" s="143"/>
      <c r="B532" s="143"/>
      <c r="C532" s="143"/>
    </row>
    <row r="533">
      <c r="A533" s="143"/>
      <c r="B533" s="143"/>
      <c r="C533" s="143"/>
    </row>
    <row r="534">
      <c r="A534" s="143"/>
      <c r="B534" s="143"/>
      <c r="C534" s="143"/>
    </row>
    <row r="535">
      <c r="A535" s="143"/>
      <c r="B535" s="143"/>
      <c r="C535" s="143"/>
    </row>
    <row r="536">
      <c r="A536" s="143"/>
      <c r="B536" s="143"/>
      <c r="C536" s="143"/>
    </row>
    <row r="537">
      <c r="A537" s="143"/>
      <c r="B537" s="143"/>
      <c r="C537" s="143"/>
    </row>
    <row r="538">
      <c r="A538" s="143"/>
      <c r="B538" s="143"/>
      <c r="C538" s="143"/>
    </row>
    <row r="539">
      <c r="A539" s="143"/>
      <c r="B539" s="143"/>
      <c r="C539" s="143"/>
    </row>
    <row r="540">
      <c r="A540" s="143"/>
      <c r="B540" s="143"/>
      <c r="C540" s="143"/>
    </row>
    <row r="541">
      <c r="A541" s="143"/>
      <c r="B541" s="143"/>
      <c r="C541" s="143"/>
    </row>
    <row r="542">
      <c r="A542" s="143"/>
      <c r="B542" s="143"/>
      <c r="C542" s="143"/>
    </row>
    <row r="543">
      <c r="A543" s="143"/>
      <c r="B543" s="143"/>
      <c r="C543" s="143"/>
    </row>
    <row r="544">
      <c r="A544" s="143"/>
      <c r="B544" s="143"/>
      <c r="C544" s="143"/>
    </row>
    <row r="545">
      <c r="A545" s="143"/>
      <c r="B545" s="143"/>
      <c r="C545" s="143"/>
    </row>
    <row r="546">
      <c r="A546" s="143"/>
      <c r="B546" s="143"/>
      <c r="C546" s="143"/>
    </row>
    <row r="547">
      <c r="A547" s="143"/>
      <c r="B547" s="143"/>
      <c r="C547" s="143"/>
    </row>
    <row r="548">
      <c r="A548" s="143"/>
      <c r="B548" s="143"/>
      <c r="C548" s="143"/>
    </row>
    <row r="549">
      <c r="A549" s="143"/>
      <c r="B549" s="143"/>
      <c r="C549" s="143"/>
    </row>
    <row r="550">
      <c r="A550" s="143"/>
      <c r="B550" s="143"/>
      <c r="C550" s="143"/>
    </row>
    <row r="551">
      <c r="A551" s="143"/>
      <c r="B551" s="143"/>
      <c r="C551" s="143"/>
    </row>
    <row r="552">
      <c r="A552" s="143"/>
      <c r="B552" s="143"/>
      <c r="C552" s="143"/>
    </row>
    <row r="553">
      <c r="A553" s="143"/>
      <c r="B553" s="143"/>
      <c r="C553" s="143"/>
    </row>
    <row r="554">
      <c r="A554" s="143"/>
      <c r="B554" s="143"/>
      <c r="C554" s="143"/>
    </row>
    <row r="555">
      <c r="A555" s="143"/>
      <c r="B555" s="143"/>
      <c r="C555" s="143"/>
    </row>
    <row r="556">
      <c r="A556" s="143"/>
      <c r="B556" s="143"/>
      <c r="C556" s="143"/>
    </row>
    <row r="557">
      <c r="A557" s="143"/>
      <c r="B557" s="143"/>
      <c r="C557" s="143"/>
    </row>
    <row r="558">
      <c r="A558" s="143"/>
      <c r="B558" s="143"/>
      <c r="C558" s="143"/>
    </row>
    <row r="559">
      <c r="A559" s="143"/>
      <c r="B559" s="143"/>
      <c r="C559" s="143"/>
    </row>
    <row r="560">
      <c r="A560" s="143"/>
      <c r="B560" s="143"/>
      <c r="C560" s="143"/>
    </row>
    <row r="561">
      <c r="A561" s="143"/>
      <c r="B561" s="143"/>
      <c r="C561" s="143"/>
    </row>
    <row r="562">
      <c r="A562" s="143"/>
      <c r="B562" s="143"/>
      <c r="C562" s="143"/>
    </row>
    <row r="563">
      <c r="A563" s="143"/>
      <c r="B563" s="143"/>
      <c r="C563" s="143"/>
    </row>
    <row r="564">
      <c r="A564" s="143"/>
      <c r="B564" s="143"/>
      <c r="C564" s="143"/>
    </row>
    <row r="565">
      <c r="A565" s="143"/>
      <c r="B565" s="143"/>
      <c r="C565" s="143"/>
    </row>
    <row r="566">
      <c r="A566" s="143"/>
      <c r="B566" s="143"/>
      <c r="C566" s="143"/>
    </row>
    <row r="567">
      <c r="A567" s="143"/>
      <c r="B567" s="143"/>
      <c r="C567" s="143"/>
    </row>
    <row r="568">
      <c r="A568" s="143"/>
      <c r="B568" s="143"/>
      <c r="C568" s="143"/>
    </row>
    <row r="569">
      <c r="A569" s="143"/>
      <c r="B569" s="143"/>
      <c r="C569" s="143"/>
    </row>
    <row r="570">
      <c r="A570" s="143"/>
      <c r="B570" s="143"/>
      <c r="C570" s="143"/>
    </row>
    <row r="571">
      <c r="A571" s="143"/>
      <c r="B571" s="143"/>
      <c r="C571" s="143"/>
    </row>
    <row r="572">
      <c r="A572" s="143"/>
      <c r="B572" s="143"/>
      <c r="C572" s="143"/>
    </row>
    <row r="573">
      <c r="A573" s="143"/>
      <c r="B573" s="143"/>
      <c r="C573" s="143"/>
    </row>
    <row r="574">
      <c r="A574" s="143"/>
      <c r="B574" s="143"/>
      <c r="C574" s="143"/>
    </row>
    <row r="575">
      <c r="A575" s="143"/>
      <c r="B575" s="143"/>
      <c r="C575" s="143"/>
    </row>
    <row r="576">
      <c r="A576" s="143"/>
      <c r="B576" s="143"/>
      <c r="C576" s="143"/>
    </row>
    <row r="577">
      <c r="A577" s="143"/>
      <c r="B577" s="143"/>
      <c r="C577" s="143"/>
    </row>
    <row r="578">
      <c r="A578" s="143"/>
      <c r="B578" s="143"/>
      <c r="C578" s="143"/>
    </row>
    <row r="579">
      <c r="A579" s="143"/>
      <c r="B579" s="143"/>
      <c r="C579" s="143"/>
    </row>
    <row r="580">
      <c r="A580" s="143"/>
      <c r="B580" s="143"/>
      <c r="C580" s="143"/>
    </row>
    <row r="581">
      <c r="A581" s="143"/>
      <c r="B581" s="143"/>
      <c r="C581" s="143"/>
    </row>
    <row r="582">
      <c r="A582" s="143"/>
      <c r="B582" s="143"/>
      <c r="C582" s="143"/>
    </row>
    <row r="583">
      <c r="A583" s="143"/>
      <c r="B583" s="143"/>
      <c r="C583" s="143"/>
    </row>
    <row r="584">
      <c r="A584" s="143"/>
      <c r="B584" s="143"/>
      <c r="C584" s="143"/>
    </row>
    <row r="585">
      <c r="A585" s="143"/>
      <c r="B585" s="143"/>
      <c r="C585" s="143"/>
    </row>
    <row r="586">
      <c r="A586" s="143"/>
      <c r="B586" s="143"/>
      <c r="C586" s="143"/>
    </row>
    <row r="587">
      <c r="A587" s="143"/>
      <c r="B587" s="143"/>
      <c r="C587" s="143"/>
    </row>
    <row r="588">
      <c r="A588" s="143"/>
      <c r="B588" s="143"/>
      <c r="C588" s="143"/>
    </row>
    <row r="589">
      <c r="A589" s="143"/>
      <c r="B589" s="143"/>
      <c r="C589" s="143"/>
    </row>
    <row r="590">
      <c r="A590" s="143"/>
      <c r="B590" s="143"/>
      <c r="C590" s="143"/>
    </row>
    <row r="591">
      <c r="A591" s="143"/>
      <c r="B591" s="143"/>
      <c r="C591" s="143"/>
    </row>
    <row r="592">
      <c r="A592" s="143"/>
      <c r="B592" s="143"/>
      <c r="C592" s="143"/>
    </row>
    <row r="593">
      <c r="A593" s="143"/>
      <c r="B593" s="143"/>
      <c r="C593" s="143"/>
    </row>
    <row r="594">
      <c r="A594" s="143"/>
      <c r="B594" s="143"/>
      <c r="C594" s="143"/>
    </row>
    <row r="595">
      <c r="A595" s="143"/>
      <c r="B595" s="143"/>
      <c r="C595" s="143"/>
    </row>
    <row r="596">
      <c r="A596" s="143"/>
      <c r="B596" s="143"/>
      <c r="C596" s="143"/>
    </row>
    <row r="597">
      <c r="A597" s="143"/>
      <c r="B597" s="143"/>
      <c r="C597" s="143"/>
    </row>
    <row r="598">
      <c r="A598" s="143"/>
      <c r="B598" s="143"/>
      <c r="C598" s="143"/>
    </row>
    <row r="599">
      <c r="A599" s="143"/>
      <c r="B599" s="143"/>
      <c r="C599" s="143"/>
    </row>
    <row r="600">
      <c r="A600" s="143"/>
      <c r="B600" s="143"/>
      <c r="C600" s="143"/>
    </row>
    <row r="601">
      <c r="A601" s="143"/>
      <c r="B601" s="143"/>
      <c r="C601" s="143"/>
    </row>
    <row r="602">
      <c r="A602" s="143"/>
      <c r="B602" s="143"/>
      <c r="C602" s="143"/>
    </row>
    <row r="603">
      <c r="A603" s="143"/>
      <c r="B603" s="143"/>
      <c r="C603" s="143"/>
    </row>
    <row r="604">
      <c r="A604" s="143"/>
      <c r="B604" s="143"/>
      <c r="C604" s="143"/>
    </row>
    <row r="605">
      <c r="A605" s="143"/>
      <c r="B605" s="143"/>
      <c r="C605" s="143"/>
    </row>
    <row r="606">
      <c r="A606" s="143"/>
      <c r="B606" s="143"/>
      <c r="C606" s="143"/>
    </row>
    <row r="607">
      <c r="A607" s="143"/>
      <c r="B607" s="143"/>
      <c r="C607" s="143"/>
    </row>
    <row r="608">
      <c r="A608" s="143"/>
      <c r="B608" s="143"/>
      <c r="C608" s="143"/>
    </row>
    <row r="609">
      <c r="A609" s="143"/>
      <c r="B609" s="143"/>
      <c r="C609" s="143"/>
    </row>
    <row r="610">
      <c r="A610" s="143"/>
      <c r="B610" s="143"/>
      <c r="C610" s="143"/>
    </row>
    <row r="611">
      <c r="A611" s="143"/>
      <c r="B611" s="143"/>
      <c r="C611" s="143"/>
    </row>
    <row r="612">
      <c r="A612" s="143"/>
      <c r="B612" s="143"/>
      <c r="C612" s="143"/>
    </row>
    <row r="613">
      <c r="A613" s="143"/>
      <c r="B613" s="143"/>
      <c r="C613" s="143"/>
    </row>
    <row r="614">
      <c r="A614" s="143"/>
      <c r="B614" s="143"/>
      <c r="C614" s="143"/>
    </row>
    <row r="615">
      <c r="A615" s="143"/>
      <c r="B615" s="143"/>
      <c r="C615" s="143"/>
    </row>
    <row r="616">
      <c r="A616" s="143"/>
      <c r="B616" s="143"/>
      <c r="C616" s="143"/>
    </row>
    <row r="617">
      <c r="A617" s="143"/>
      <c r="B617" s="143"/>
      <c r="C617" s="143"/>
    </row>
    <row r="618">
      <c r="A618" s="143"/>
      <c r="B618" s="143"/>
      <c r="C618" s="143"/>
    </row>
    <row r="619">
      <c r="A619" s="143"/>
      <c r="B619" s="143"/>
      <c r="C619" s="143"/>
    </row>
    <row r="620">
      <c r="A620" s="143"/>
      <c r="B620" s="143"/>
      <c r="C620" s="143"/>
    </row>
    <row r="621">
      <c r="A621" s="143"/>
      <c r="B621" s="143"/>
      <c r="C621" s="143"/>
    </row>
    <row r="622">
      <c r="A622" s="143"/>
      <c r="B622" s="143"/>
      <c r="C622" s="143"/>
    </row>
    <row r="623">
      <c r="A623" s="143"/>
      <c r="B623" s="143"/>
      <c r="C623" s="143"/>
    </row>
    <row r="624">
      <c r="A624" s="143"/>
      <c r="B624" s="143"/>
      <c r="C624" s="143"/>
    </row>
    <row r="625">
      <c r="A625" s="143"/>
      <c r="B625" s="143"/>
      <c r="C625" s="143"/>
    </row>
    <row r="626">
      <c r="A626" s="143"/>
      <c r="B626" s="143"/>
      <c r="C626" s="143"/>
    </row>
    <row r="627">
      <c r="A627" s="143"/>
      <c r="B627" s="143"/>
      <c r="C627" s="143"/>
    </row>
    <row r="628">
      <c r="A628" s="143"/>
      <c r="B628" s="143"/>
      <c r="C628" s="143"/>
    </row>
    <row r="629">
      <c r="A629" s="143"/>
      <c r="B629" s="143"/>
      <c r="C629" s="143"/>
    </row>
    <row r="630">
      <c r="A630" s="143"/>
      <c r="B630" s="143"/>
      <c r="C630" s="143"/>
    </row>
    <row r="631">
      <c r="A631" s="143"/>
      <c r="B631" s="143"/>
      <c r="C631" s="143"/>
    </row>
    <row r="632">
      <c r="A632" s="143"/>
      <c r="B632" s="143"/>
      <c r="C632" s="143"/>
    </row>
    <row r="633">
      <c r="A633" s="143"/>
      <c r="B633" s="143"/>
      <c r="C633" s="143"/>
    </row>
    <row r="634">
      <c r="A634" s="143"/>
      <c r="B634" s="143"/>
      <c r="C634" s="143"/>
    </row>
    <row r="635">
      <c r="A635" s="143"/>
      <c r="B635" s="143"/>
      <c r="C635" s="143"/>
    </row>
    <row r="636">
      <c r="A636" s="143"/>
      <c r="B636" s="143"/>
      <c r="C636" s="143"/>
    </row>
    <row r="637">
      <c r="A637" s="143"/>
      <c r="B637" s="143"/>
      <c r="C637" s="143"/>
    </row>
    <row r="638">
      <c r="A638" s="143"/>
      <c r="B638" s="143"/>
      <c r="C638" s="143"/>
    </row>
    <row r="639">
      <c r="A639" s="143"/>
      <c r="B639" s="143"/>
      <c r="C639" s="143"/>
    </row>
    <row r="640">
      <c r="A640" s="143"/>
      <c r="B640" s="143"/>
      <c r="C640" s="143"/>
    </row>
    <row r="641">
      <c r="A641" s="143"/>
      <c r="B641" s="143"/>
      <c r="C641" s="143"/>
    </row>
    <row r="642">
      <c r="A642" s="143"/>
      <c r="B642" s="143"/>
      <c r="C642" s="143"/>
    </row>
    <row r="643">
      <c r="A643" s="143"/>
      <c r="B643" s="143"/>
      <c r="C643" s="143"/>
    </row>
    <row r="644">
      <c r="A644" s="143"/>
      <c r="B644" s="143"/>
      <c r="C644" s="143"/>
    </row>
    <row r="645">
      <c r="A645" s="143"/>
      <c r="B645" s="143"/>
      <c r="C645" s="143"/>
    </row>
    <row r="646">
      <c r="A646" s="143"/>
      <c r="B646" s="143"/>
      <c r="C646" s="143"/>
    </row>
    <row r="647">
      <c r="A647" s="143"/>
      <c r="B647" s="143"/>
      <c r="C647" s="143"/>
    </row>
    <row r="648">
      <c r="A648" s="143"/>
      <c r="B648" s="143"/>
      <c r="C648" s="143"/>
    </row>
    <row r="649">
      <c r="A649" s="143"/>
      <c r="B649" s="143"/>
      <c r="C649" s="143"/>
    </row>
    <row r="650">
      <c r="A650" s="143"/>
      <c r="B650" s="143"/>
      <c r="C650" s="143"/>
    </row>
    <row r="651">
      <c r="A651" s="143"/>
      <c r="B651" s="143"/>
      <c r="C651" s="143"/>
    </row>
    <row r="652">
      <c r="A652" s="143"/>
      <c r="B652" s="143"/>
      <c r="C652" s="143"/>
    </row>
    <row r="653">
      <c r="A653" s="143"/>
      <c r="B653" s="143"/>
      <c r="C653" s="143"/>
    </row>
    <row r="654">
      <c r="A654" s="143"/>
      <c r="B654" s="143"/>
      <c r="C654" s="143"/>
    </row>
    <row r="655">
      <c r="A655" s="143"/>
      <c r="B655" s="143"/>
      <c r="C655" s="143"/>
    </row>
    <row r="656">
      <c r="A656" s="143"/>
      <c r="B656" s="143"/>
      <c r="C656" s="143"/>
    </row>
    <row r="657">
      <c r="A657" s="143"/>
      <c r="B657" s="143"/>
      <c r="C657" s="143"/>
    </row>
    <row r="658">
      <c r="A658" s="143"/>
      <c r="B658" s="143"/>
      <c r="C658" s="143"/>
    </row>
    <row r="659">
      <c r="A659" s="143"/>
      <c r="B659" s="143"/>
      <c r="C659" s="143"/>
    </row>
    <row r="660">
      <c r="A660" s="143"/>
      <c r="B660" s="143"/>
      <c r="C660" s="143"/>
    </row>
    <row r="661">
      <c r="A661" s="143"/>
      <c r="B661" s="143"/>
      <c r="C661" s="143"/>
    </row>
    <row r="662">
      <c r="A662" s="143"/>
      <c r="B662" s="143"/>
      <c r="C662" s="143"/>
    </row>
    <row r="663">
      <c r="A663" s="143"/>
      <c r="B663" s="143"/>
      <c r="C663" s="143"/>
    </row>
    <row r="664">
      <c r="A664" s="143"/>
      <c r="B664" s="143"/>
      <c r="C664" s="143"/>
    </row>
    <row r="665">
      <c r="A665" s="143"/>
      <c r="B665" s="143"/>
      <c r="C665" s="143"/>
    </row>
    <row r="666">
      <c r="A666" s="143"/>
      <c r="B666" s="143"/>
      <c r="C666" s="143"/>
    </row>
    <row r="667">
      <c r="A667" s="143"/>
      <c r="B667" s="143"/>
      <c r="C667" s="143"/>
    </row>
    <row r="668">
      <c r="A668" s="143"/>
      <c r="B668" s="143"/>
      <c r="C668" s="143"/>
    </row>
    <row r="669">
      <c r="A669" s="143"/>
      <c r="B669" s="143"/>
      <c r="C669" s="143"/>
    </row>
    <row r="670">
      <c r="A670" s="143"/>
      <c r="B670" s="143"/>
      <c r="C670" s="143"/>
    </row>
    <row r="671">
      <c r="A671" s="143"/>
      <c r="B671" s="143"/>
      <c r="C671" s="143"/>
    </row>
    <row r="672">
      <c r="A672" s="143"/>
      <c r="B672" s="143"/>
      <c r="C672" s="143"/>
    </row>
    <row r="673">
      <c r="A673" s="143"/>
      <c r="B673" s="143"/>
      <c r="C673" s="143"/>
    </row>
    <row r="674">
      <c r="A674" s="143"/>
      <c r="B674" s="143"/>
      <c r="C674" s="143"/>
    </row>
    <row r="675">
      <c r="A675" s="143"/>
      <c r="B675" s="143"/>
      <c r="C675" s="143"/>
    </row>
    <row r="676">
      <c r="A676" s="143"/>
      <c r="B676" s="143"/>
      <c r="C676" s="143"/>
    </row>
    <row r="677">
      <c r="A677" s="143"/>
      <c r="B677" s="143"/>
      <c r="C677" s="143"/>
    </row>
    <row r="678">
      <c r="A678" s="143"/>
      <c r="B678" s="143"/>
      <c r="C678" s="143"/>
    </row>
    <row r="679">
      <c r="A679" s="143"/>
      <c r="B679" s="143"/>
      <c r="C679" s="143"/>
    </row>
    <row r="680">
      <c r="A680" s="143"/>
      <c r="B680" s="143"/>
      <c r="C680" s="143"/>
    </row>
    <row r="681">
      <c r="A681" s="143"/>
      <c r="B681" s="143"/>
      <c r="C681" s="143"/>
    </row>
    <row r="682">
      <c r="A682" s="143"/>
      <c r="B682" s="143"/>
      <c r="C682" s="143"/>
    </row>
    <row r="683">
      <c r="A683" s="143"/>
      <c r="B683" s="143"/>
      <c r="C683" s="143"/>
    </row>
    <row r="684">
      <c r="A684" s="143"/>
      <c r="B684" s="143"/>
      <c r="C684" s="143"/>
    </row>
    <row r="685">
      <c r="A685" s="143"/>
      <c r="B685" s="143"/>
      <c r="C685" s="143"/>
    </row>
    <row r="686">
      <c r="A686" s="143"/>
      <c r="B686" s="143"/>
      <c r="C686" s="143"/>
    </row>
    <row r="687">
      <c r="A687" s="143"/>
      <c r="B687" s="143"/>
      <c r="C687" s="143"/>
    </row>
    <row r="688">
      <c r="A688" s="143"/>
      <c r="B688" s="143"/>
      <c r="C688" s="143"/>
    </row>
    <row r="689">
      <c r="A689" s="143"/>
      <c r="B689" s="143"/>
      <c r="C689" s="143"/>
    </row>
    <row r="690">
      <c r="A690" s="143"/>
      <c r="B690" s="143"/>
      <c r="C690" s="143"/>
    </row>
    <row r="691">
      <c r="A691" s="143"/>
      <c r="B691" s="143"/>
      <c r="C691" s="143"/>
    </row>
    <row r="692">
      <c r="A692" s="143"/>
      <c r="B692" s="143"/>
      <c r="C692" s="143"/>
    </row>
    <row r="693">
      <c r="A693" s="143"/>
      <c r="B693" s="143"/>
      <c r="C693" s="143"/>
    </row>
    <row r="694">
      <c r="A694" s="143"/>
      <c r="B694" s="143"/>
      <c r="C694" s="143"/>
    </row>
    <row r="695">
      <c r="A695" s="143"/>
      <c r="B695" s="143"/>
      <c r="C695" s="143"/>
    </row>
    <row r="696">
      <c r="A696" s="143"/>
      <c r="B696" s="143"/>
      <c r="C696" s="143"/>
    </row>
    <row r="697">
      <c r="A697" s="143"/>
      <c r="B697" s="143"/>
      <c r="C697" s="143"/>
    </row>
    <row r="698">
      <c r="A698" s="143"/>
      <c r="B698" s="143"/>
      <c r="C698" s="143"/>
    </row>
    <row r="699">
      <c r="A699" s="143"/>
      <c r="B699" s="143"/>
      <c r="C699" s="143"/>
    </row>
    <row r="700">
      <c r="A700" s="143"/>
      <c r="B700" s="143"/>
      <c r="C700" s="143"/>
    </row>
    <row r="701">
      <c r="A701" s="143"/>
      <c r="B701" s="143"/>
      <c r="C701" s="143"/>
    </row>
    <row r="702">
      <c r="A702" s="143"/>
      <c r="B702" s="143"/>
      <c r="C702" s="143"/>
    </row>
    <row r="703">
      <c r="A703" s="143"/>
      <c r="B703" s="143"/>
      <c r="C703" s="143"/>
    </row>
    <row r="704">
      <c r="A704" s="143"/>
      <c r="B704" s="143"/>
      <c r="C704" s="143"/>
    </row>
    <row r="705">
      <c r="A705" s="143"/>
      <c r="B705" s="143"/>
      <c r="C705" s="143"/>
    </row>
    <row r="706">
      <c r="A706" s="143"/>
      <c r="B706" s="143"/>
      <c r="C706" s="143"/>
    </row>
    <row r="707">
      <c r="A707" s="143"/>
      <c r="B707" s="143"/>
      <c r="C707" s="143"/>
    </row>
    <row r="708">
      <c r="A708" s="143"/>
      <c r="B708" s="143"/>
      <c r="C708" s="143"/>
    </row>
    <row r="709">
      <c r="A709" s="143"/>
      <c r="B709" s="143"/>
      <c r="C709" s="143"/>
    </row>
    <row r="710">
      <c r="A710" s="143"/>
      <c r="B710" s="143"/>
      <c r="C710" s="143"/>
    </row>
    <row r="711">
      <c r="A711" s="143"/>
      <c r="B711" s="143"/>
      <c r="C711" s="143"/>
    </row>
    <row r="712">
      <c r="A712" s="143"/>
      <c r="B712" s="143"/>
      <c r="C712" s="143"/>
    </row>
    <row r="713">
      <c r="A713" s="143"/>
      <c r="B713" s="143"/>
      <c r="C713" s="143"/>
    </row>
    <row r="714">
      <c r="A714" s="143"/>
      <c r="B714" s="143"/>
      <c r="C714" s="143"/>
    </row>
    <row r="715">
      <c r="A715" s="143"/>
      <c r="B715" s="143"/>
      <c r="C715" s="143"/>
    </row>
    <row r="716">
      <c r="A716" s="143"/>
      <c r="B716" s="143"/>
      <c r="C716" s="143"/>
    </row>
    <row r="717">
      <c r="A717" s="143"/>
      <c r="B717" s="143"/>
      <c r="C717" s="143"/>
    </row>
    <row r="718">
      <c r="A718" s="143"/>
      <c r="B718" s="143"/>
      <c r="C718" s="143"/>
    </row>
    <row r="719">
      <c r="A719" s="143"/>
      <c r="B719" s="143"/>
      <c r="C719" s="143"/>
    </row>
    <row r="720">
      <c r="A720" s="143"/>
      <c r="B720" s="143"/>
      <c r="C720" s="143"/>
    </row>
    <row r="721">
      <c r="A721" s="143"/>
      <c r="B721" s="143"/>
      <c r="C721" s="143"/>
    </row>
    <row r="722">
      <c r="A722" s="143"/>
      <c r="B722" s="143"/>
      <c r="C722" s="143"/>
    </row>
    <row r="723">
      <c r="A723" s="143"/>
      <c r="B723" s="143"/>
      <c r="C723" s="143"/>
    </row>
    <row r="724">
      <c r="A724" s="143"/>
      <c r="B724" s="143"/>
      <c r="C724" s="143"/>
    </row>
    <row r="725">
      <c r="A725" s="143"/>
      <c r="B725" s="143"/>
      <c r="C725" s="143"/>
    </row>
    <row r="726">
      <c r="A726" s="143"/>
      <c r="B726" s="143"/>
      <c r="C726" s="143"/>
    </row>
    <row r="727">
      <c r="A727" s="143"/>
      <c r="B727" s="143"/>
      <c r="C727" s="143"/>
    </row>
    <row r="728">
      <c r="A728" s="143"/>
      <c r="B728" s="143"/>
      <c r="C728" s="143"/>
    </row>
    <row r="729">
      <c r="A729" s="143"/>
      <c r="B729" s="143"/>
      <c r="C729" s="143"/>
    </row>
    <row r="730">
      <c r="A730" s="143"/>
      <c r="B730" s="143"/>
      <c r="C730" s="143"/>
    </row>
    <row r="731">
      <c r="A731" s="143"/>
      <c r="B731" s="143"/>
      <c r="C731" s="143"/>
    </row>
    <row r="732">
      <c r="A732" s="143"/>
      <c r="B732" s="143"/>
      <c r="C732" s="143"/>
    </row>
    <row r="733">
      <c r="A733" s="143"/>
      <c r="B733" s="143"/>
      <c r="C733" s="143"/>
    </row>
    <row r="734">
      <c r="A734" s="143"/>
      <c r="B734" s="143"/>
      <c r="C734" s="143"/>
    </row>
    <row r="735">
      <c r="A735" s="143"/>
      <c r="B735" s="143"/>
      <c r="C735" s="143"/>
    </row>
    <row r="736">
      <c r="A736" s="143"/>
      <c r="B736" s="143"/>
      <c r="C736" s="143"/>
    </row>
    <row r="737">
      <c r="A737" s="143"/>
      <c r="B737" s="143"/>
      <c r="C737" s="143"/>
    </row>
    <row r="738">
      <c r="A738" s="143"/>
      <c r="B738" s="143"/>
      <c r="C738" s="143"/>
    </row>
    <row r="739">
      <c r="A739" s="143"/>
      <c r="B739" s="143"/>
      <c r="C739" s="143"/>
    </row>
    <row r="740">
      <c r="A740" s="143"/>
      <c r="B740" s="143"/>
      <c r="C740" s="143"/>
    </row>
    <row r="741">
      <c r="A741" s="143"/>
      <c r="B741" s="143"/>
      <c r="C741" s="143"/>
    </row>
    <row r="742">
      <c r="A742" s="143"/>
      <c r="B742" s="143"/>
      <c r="C742" s="143"/>
    </row>
    <row r="743">
      <c r="A743" s="143"/>
      <c r="B743" s="143"/>
      <c r="C743" s="143"/>
    </row>
    <row r="744">
      <c r="A744" s="143"/>
      <c r="B744" s="143"/>
      <c r="C744" s="143"/>
    </row>
    <row r="745">
      <c r="A745" s="143"/>
      <c r="B745" s="143"/>
      <c r="C745" s="143"/>
    </row>
    <row r="746">
      <c r="A746" s="143"/>
      <c r="B746" s="143"/>
      <c r="C746" s="143"/>
    </row>
    <row r="747">
      <c r="A747" s="143"/>
      <c r="B747" s="143"/>
      <c r="C747" s="143"/>
    </row>
    <row r="748">
      <c r="A748" s="143"/>
      <c r="B748" s="143"/>
      <c r="C748" s="143"/>
    </row>
    <row r="749">
      <c r="A749" s="143"/>
      <c r="B749" s="143"/>
      <c r="C749" s="143"/>
    </row>
    <row r="750">
      <c r="A750" s="143"/>
      <c r="B750" s="143"/>
      <c r="C750" s="143"/>
    </row>
    <row r="751">
      <c r="A751" s="143"/>
      <c r="B751" s="143"/>
      <c r="C751" s="143"/>
    </row>
    <row r="752">
      <c r="A752" s="143"/>
      <c r="B752" s="143"/>
      <c r="C752" s="143"/>
    </row>
    <row r="753">
      <c r="A753" s="143"/>
      <c r="B753" s="143"/>
      <c r="C753" s="143"/>
    </row>
    <row r="754">
      <c r="A754" s="143"/>
      <c r="B754" s="143"/>
      <c r="C754" s="143"/>
    </row>
    <row r="755">
      <c r="A755" s="143"/>
      <c r="B755" s="143"/>
      <c r="C755" s="143"/>
    </row>
    <row r="756">
      <c r="A756" s="143"/>
      <c r="B756" s="143"/>
      <c r="C756" s="143"/>
    </row>
    <row r="757">
      <c r="A757" s="143"/>
      <c r="B757" s="143"/>
      <c r="C757" s="143"/>
    </row>
    <row r="758">
      <c r="A758" s="143"/>
      <c r="B758" s="143"/>
      <c r="C758" s="143"/>
    </row>
    <row r="759">
      <c r="A759" s="143"/>
      <c r="B759" s="143"/>
      <c r="C759" s="143"/>
    </row>
    <row r="760">
      <c r="A760" s="143"/>
      <c r="B760" s="143"/>
      <c r="C760" s="143"/>
    </row>
    <row r="761">
      <c r="A761" s="143"/>
      <c r="B761" s="143"/>
      <c r="C761" s="143"/>
    </row>
    <row r="762">
      <c r="A762" s="143"/>
      <c r="B762" s="143"/>
      <c r="C762" s="143"/>
    </row>
    <row r="763">
      <c r="A763" s="143"/>
      <c r="B763" s="143"/>
      <c r="C763" s="143"/>
    </row>
    <row r="764">
      <c r="A764" s="143"/>
      <c r="B764" s="143"/>
      <c r="C764" s="143"/>
    </row>
    <row r="765">
      <c r="A765" s="143"/>
      <c r="B765" s="143"/>
      <c r="C765" s="143"/>
    </row>
    <row r="766">
      <c r="A766" s="143"/>
      <c r="B766" s="143"/>
      <c r="C766" s="143"/>
    </row>
    <row r="767">
      <c r="A767" s="143"/>
      <c r="B767" s="143"/>
      <c r="C767" s="143"/>
    </row>
    <row r="768">
      <c r="A768" s="143"/>
      <c r="B768" s="143"/>
      <c r="C768" s="143"/>
    </row>
    <row r="769">
      <c r="A769" s="143"/>
      <c r="B769" s="143"/>
      <c r="C769" s="143"/>
    </row>
    <row r="770">
      <c r="A770" s="143"/>
      <c r="B770" s="143"/>
      <c r="C770" s="143"/>
    </row>
    <row r="771">
      <c r="A771" s="143"/>
      <c r="B771" s="143"/>
      <c r="C771" s="143"/>
    </row>
    <row r="772">
      <c r="A772" s="143"/>
      <c r="B772" s="143"/>
      <c r="C772" s="143"/>
    </row>
    <row r="773">
      <c r="A773" s="143"/>
      <c r="B773" s="143"/>
      <c r="C773" s="143"/>
    </row>
    <row r="774">
      <c r="A774" s="143"/>
      <c r="B774" s="143"/>
      <c r="C774" s="143"/>
    </row>
    <row r="775">
      <c r="A775" s="143"/>
      <c r="B775" s="143"/>
      <c r="C775" s="143"/>
    </row>
    <row r="776">
      <c r="A776" s="143"/>
      <c r="B776" s="143"/>
      <c r="C776" s="143"/>
    </row>
    <row r="777">
      <c r="A777" s="143"/>
      <c r="B777" s="143"/>
      <c r="C777" s="143"/>
    </row>
    <row r="778">
      <c r="A778" s="143"/>
      <c r="B778" s="143"/>
      <c r="C778" s="143"/>
    </row>
    <row r="779">
      <c r="A779" s="143"/>
      <c r="B779" s="143"/>
      <c r="C779" s="143"/>
    </row>
    <row r="780">
      <c r="A780" s="143"/>
      <c r="B780" s="143"/>
      <c r="C780" s="143"/>
    </row>
    <row r="781">
      <c r="A781" s="143"/>
      <c r="B781" s="143"/>
      <c r="C781" s="143"/>
    </row>
    <row r="782">
      <c r="A782" s="143"/>
      <c r="B782" s="143"/>
      <c r="C782" s="143"/>
    </row>
    <row r="783">
      <c r="A783" s="143"/>
      <c r="B783" s="143"/>
      <c r="C783" s="143"/>
    </row>
    <row r="784">
      <c r="A784" s="143"/>
      <c r="B784" s="143"/>
      <c r="C784" s="143"/>
    </row>
    <row r="785">
      <c r="A785" s="143"/>
      <c r="B785" s="143"/>
      <c r="C785" s="143"/>
    </row>
    <row r="786">
      <c r="A786" s="143"/>
      <c r="B786" s="143"/>
      <c r="C786" s="143"/>
    </row>
    <row r="787">
      <c r="A787" s="143"/>
      <c r="B787" s="143"/>
      <c r="C787" s="143"/>
    </row>
    <row r="788">
      <c r="A788" s="143"/>
      <c r="B788" s="143"/>
      <c r="C788" s="143"/>
    </row>
    <row r="789">
      <c r="A789" s="143"/>
      <c r="B789" s="143"/>
      <c r="C789" s="143"/>
    </row>
    <row r="790">
      <c r="A790" s="143"/>
      <c r="B790" s="143"/>
      <c r="C790" s="143"/>
    </row>
    <row r="791">
      <c r="A791" s="143"/>
      <c r="B791" s="143"/>
      <c r="C791" s="143"/>
    </row>
    <row r="792">
      <c r="A792" s="143"/>
      <c r="B792" s="143"/>
      <c r="C792" s="143"/>
    </row>
    <row r="793">
      <c r="A793" s="143"/>
      <c r="B793" s="143"/>
      <c r="C793" s="143"/>
    </row>
    <row r="794">
      <c r="A794" s="143"/>
      <c r="B794" s="143"/>
      <c r="C794" s="143"/>
    </row>
    <row r="795">
      <c r="A795" s="143"/>
      <c r="B795" s="143"/>
      <c r="C795" s="143"/>
    </row>
    <row r="796">
      <c r="A796" s="143"/>
      <c r="B796" s="143"/>
      <c r="C796" s="143"/>
    </row>
    <row r="797">
      <c r="A797" s="143"/>
      <c r="B797" s="143"/>
      <c r="C797" s="143"/>
    </row>
    <row r="798">
      <c r="A798" s="143"/>
      <c r="B798" s="143"/>
      <c r="C798" s="143"/>
    </row>
    <row r="799">
      <c r="A799" s="143"/>
      <c r="B799" s="143"/>
      <c r="C799" s="143"/>
    </row>
    <row r="800">
      <c r="A800" s="143"/>
      <c r="B800" s="143"/>
      <c r="C800" s="143"/>
    </row>
    <row r="801">
      <c r="A801" s="143"/>
      <c r="B801" s="143"/>
      <c r="C801" s="143"/>
    </row>
    <row r="802">
      <c r="A802" s="143"/>
      <c r="B802" s="143"/>
      <c r="C802" s="143"/>
    </row>
    <row r="803">
      <c r="A803" s="143"/>
      <c r="B803" s="143"/>
      <c r="C803" s="143"/>
    </row>
    <row r="804">
      <c r="A804" s="143"/>
      <c r="B804" s="143"/>
      <c r="C804" s="143"/>
    </row>
    <row r="805">
      <c r="A805" s="143"/>
      <c r="B805" s="143"/>
      <c r="C805" s="143"/>
    </row>
    <row r="806">
      <c r="A806" s="143"/>
      <c r="B806" s="143"/>
      <c r="C806" s="143"/>
    </row>
    <row r="807">
      <c r="A807" s="143"/>
      <c r="B807" s="143"/>
      <c r="C807" s="143"/>
    </row>
    <row r="808">
      <c r="A808" s="143"/>
      <c r="B808" s="143"/>
      <c r="C808" s="143"/>
    </row>
    <row r="809">
      <c r="A809" s="143"/>
      <c r="B809" s="143"/>
      <c r="C809" s="143"/>
    </row>
    <row r="810">
      <c r="A810" s="143"/>
      <c r="B810" s="143"/>
      <c r="C810" s="143"/>
    </row>
    <row r="811">
      <c r="A811" s="143"/>
      <c r="B811" s="143"/>
      <c r="C811" s="143"/>
    </row>
    <row r="812">
      <c r="A812" s="143"/>
      <c r="B812" s="143"/>
      <c r="C812" s="143"/>
    </row>
    <row r="813">
      <c r="A813" s="143"/>
      <c r="B813" s="143"/>
      <c r="C813" s="143"/>
    </row>
    <row r="814">
      <c r="A814" s="143"/>
      <c r="B814" s="143"/>
      <c r="C814" s="143"/>
    </row>
    <row r="815">
      <c r="A815" s="143"/>
      <c r="B815" s="143"/>
      <c r="C815" s="143"/>
    </row>
    <row r="816">
      <c r="A816" s="143"/>
      <c r="B816" s="143"/>
      <c r="C816" s="143"/>
    </row>
    <row r="817">
      <c r="A817" s="143"/>
      <c r="B817" s="143"/>
      <c r="C817" s="143"/>
    </row>
    <row r="818">
      <c r="A818" s="143"/>
      <c r="B818" s="143"/>
      <c r="C818" s="143"/>
    </row>
    <row r="819">
      <c r="A819" s="143"/>
      <c r="B819" s="143"/>
      <c r="C819" s="143"/>
    </row>
    <row r="820">
      <c r="A820" s="143"/>
      <c r="B820" s="143"/>
      <c r="C820" s="143"/>
    </row>
    <row r="821">
      <c r="A821" s="143"/>
      <c r="B821" s="143"/>
      <c r="C821" s="143"/>
    </row>
    <row r="822">
      <c r="A822" s="143"/>
      <c r="B822" s="143"/>
      <c r="C822" s="143"/>
    </row>
    <row r="823">
      <c r="A823" s="143"/>
      <c r="B823" s="143"/>
      <c r="C823" s="143"/>
    </row>
    <row r="824">
      <c r="A824" s="143"/>
      <c r="B824" s="143"/>
      <c r="C824" s="143"/>
    </row>
    <row r="825">
      <c r="A825" s="143"/>
      <c r="B825" s="143"/>
      <c r="C825" s="143"/>
    </row>
    <row r="826">
      <c r="A826" s="143"/>
      <c r="B826" s="143"/>
      <c r="C826" s="143"/>
    </row>
    <row r="827">
      <c r="A827" s="143"/>
      <c r="B827" s="143"/>
      <c r="C827" s="143"/>
    </row>
    <row r="828">
      <c r="A828" s="143"/>
      <c r="B828" s="143"/>
      <c r="C828" s="143"/>
    </row>
    <row r="829">
      <c r="A829" s="143"/>
      <c r="B829" s="143"/>
      <c r="C829" s="143"/>
    </row>
    <row r="830">
      <c r="A830" s="143"/>
      <c r="B830" s="143"/>
      <c r="C830" s="143"/>
    </row>
    <row r="831">
      <c r="A831" s="143"/>
      <c r="B831" s="143"/>
      <c r="C831" s="143"/>
    </row>
    <row r="832">
      <c r="A832" s="143"/>
      <c r="B832" s="143"/>
      <c r="C832" s="143"/>
    </row>
    <row r="833">
      <c r="A833" s="143"/>
      <c r="B833" s="143"/>
      <c r="C833" s="143"/>
    </row>
    <row r="834">
      <c r="A834" s="143"/>
      <c r="B834" s="143"/>
      <c r="C834" s="143"/>
    </row>
    <row r="835">
      <c r="A835" s="143"/>
      <c r="B835" s="143"/>
      <c r="C835" s="143"/>
    </row>
    <row r="836">
      <c r="A836" s="143"/>
      <c r="B836" s="143"/>
      <c r="C836" s="143"/>
    </row>
    <row r="837">
      <c r="A837" s="143"/>
      <c r="B837" s="143"/>
      <c r="C837" s="143"/>
    </row>
    <row r="838">
      <c r="A838" s="143"/>
      <c r="B838" s="143"/>
      <c r="C838" s="143"/>
    </row>
    <row r="839">
      <c r="A839" s="143"/>
      <c r="B839" s="143"/>
      <c r="C839" s="143"/>
    </row>
    <row r="840">
      <c r="A840" s="143"/>
      <c r="B840" s="143"/>
      <c r="C840" s="143"/>
    </row>
    <row r="841">
      <c r="A841" s="143"/>
      <c r="B841" s="143"/>
      <c r="C841" s="143"/>
    </row>
    <row r="842">
      <c r="A842" s="143"/>
      <c r="B842" s="143"/>
      <c r="C842" s="143"/>
    </row>
    <row r="843">
      <c r="A843" s="143"/>
      <c r="B843" s="143"/>
      <c r="C843" s="143"/>
    </row>
    <row r="844">
      <c r="A844" s="143"/>
      <c r="B844" s="143"/>
      <c r="C844" s="143"/>
    </row>
    <row r="845">
      <c r="A845" s="143"/>
      <c r="B845" s="143"/>
      <c r="C845" s="143"/>
    </row>
    <row r="846">
      <c r="A846" s="143"/>
      <c r="B846" s="143"/>
      <c r="C846" s="143"/>
    </row>
    <row r="847">
      <c r="A847" s="143"/>
      <c r="B847" s="143"/>
      <c r="C847" s="143"/>
    </row>
    <row r="848">
      <c r="A848" s="143"/>
      <c r="B848" s="143"/>
      <c r="C848" s="143"/>
    </row>
    <row r="849">
      <c r="A849" s="143"/>
      <c r="B849" s="143"/>
      <c r="C849" s="143"/>
    </row>
    <row r="850">
      <c r="A850" s="143"/>
      <c r="B850" s="143"/>
      <c r="C850" s="143"/>
    </row>
    <row r="851">
      <c r="A851" s="143"/>
      <c r="B851" s="143"/>
      <c r="C851" s="143"/>
    </row>
    <row r="852">
      <c r="A852" s="143"/>
      <c r="B852" s="143"/>
      <c r="C852" s="143"/>
    </row>
    <row r="853">
      <c r="A853" s="143"/>
      <c r="B853" s="143"/>
      <c r="C853" s="143"/>
    </row>
    <row r="854">
      <c r="A854" s="143"/>
      <c r="B854" s="143"/>
      <c r="C854" s="143"/>
    </row>
    <row r="855">
      <c r="A855" s="143"/>
      <c r="B855" s="143"/>
      <c r="C855" s="143"/>
    </row>
    <row r="856">
      <c r="A856" s="143"/>
      <c r="B856" s="143"/>
      <c r="C856" s="143"/>
    </row>
    <row r="857">
      <c r="A857" s="143"/>
      <c r="B857" s="143"/>
      <c r="C857" s="143"/>
    </row>
    <row r="858">
      <c r="A858" s="143"/>
      <c r="B858" s="143"/>
      <c r="C858" s="143"/>
    </row>
    <row r="859">
      <c r="A859" s="143"/>
      <c r="B859" s="143"/>
      <c r="C859" s="143"/>
    </row>
    <row r="860">
      <c r="A860" s="143"/>
      <c r="B860" s="143"/>
      <c r="C860" s="143"/>
    </row>
    <row r="861">
      <c r="A861" s="143"/>
      <c r="B861" s="143"/>
      <c r="C861" s="143"/>
    </row>
    <row r="862">
      <c r="A862" s="143"/>
      <c r="B862" s="143"/>
      <c r="C862" s="143"/>
    </row>
    <row r="863">
      <c r="A863" s="143"/>
      <c r="B863" s="143"/>
      <c r="C863" s="143"/>
    </row>
    <row r="864">
      <c r="A864" s="143"/>
      <c r="B864" s="143"/>
      <c r="C864" s="143"/>
    </row>
    <row r="865">
      <c r="A865" s="143"/>
      <c r="B865" s="143"/>
      <c r="C865" s="143"/>
    </row>
    <row r="866">
      <c r="A866" s="143"/>
      <c r="B866" s="143"/>
      <c r="C866" s="143"/>
    </row>
    <row r="867">
      <c r="A867" s="143"/>
      <c r="B867" s="143"/>
      <c r="C867" s="143"/>
    </row>
    <row r="868">
      <c r="A868" s="143"/>
      <c r="B868" s="143"/>
      <c r="C868" s="143"/>
    </row>
    <row r="869">
      <c r="A869" s="143"/>
      <c r="B869" s="143"/>
      <c r="C869" s="143"/>
    </row>
    <row r="870">
      <c r="A870" s="143"/>
      <c r="B870" s="143"/>
      <c r="C870" s="143"/>
    </row>
    <row r="871">
      <c r="A871" s="143"/>
      <c r="B871" s="143"/>
      <c r="C871" s="143"/>
    </row>
    <row r="872">
      <c r="A872" s="143"/>
      <c r="B872" s="143"/>
      <c r="C872" s="143"/>
    </row>
    <row r="873">
      <c r="A873" s="143"/>
      <c r="B873" s="143"/>
      <c r="C873" s="143"/>
    </row>
    <row r="874">
      <c r="A874" s="143"/>
      <c r="B874" s="143"/>
      <c r="C874" s="143"/>
    </row>
    <row r="875">
      <c r="A875" s="143"/>
      <c r="B875" s="143"/>
      <c r="C875" s="143"/>
    </row>
    <row r="876">
      <c r="A876" s="143"/>
      <c r="B876" s="143"/>
      <c r="C876" s="143"/>
    </row>
    <row r="877">
      <c r="A877" s="143"/>
      <c r="B877" s="143"/>
      <c r="C877" s="143"/>
    </row>
    <row r="878">
      <c r="A878" s="143"/>
      <c r="B878" s="143"/>
      <c r="C878" s="143"/>
    </row>
    <row r="879">
      <c r="A879" s="143"/>
      <c r="B879" s="143"/>
      <c r="C879" s="143"/>
    </row>
    <row r="880">
      <c r="A880" s="143"/>
      <c r="B880" s="143"/>
      <c r="C880" s="143"/>
    </row>
    <row r="881">
      <c r="A881" s="143"/>
      <c r="B881" s="143"/>
      <c r="C881" s="143"/>
    </row>
    <row r="882">
      <c r="A882" s="143"/>
      <c r="B882" s="143"/>
      <c r="C882" s="143"/>
    </row>
    <row r="883">
      <c r="A883" s="143"/>
      <c r="B883" s="143"/>
      <c r="C883" s="143"/>
    </row>
    <row r="884">
      <c r="A884" s="143"/>
      <c r="B884" s="143"/>
      <c r="C884" s="143"/>
    </row>
    <row r="885">
      <c r="A885" s="143"/>
      <c r="B885" s="143"/>
      <c r="C885" s="143"/>
    </row>
    <row r="886">
      <c r="A886" s="143"/>
      <c r="B886" s="143"/>
      <c r="C886" s="143"/>
    </row>
    <row r="887">
      <c r="A887" s="143"/>
      <c r="B887" s="143"/>
      <c r="C887" s="143"/>
    </row>
    <row r="888">
      <c r="A888" s="143"/>
      <c r="B888" s="143"/>
      <c r="C888" s="143"/>
    </row>
    <row r="889">
      <c r="A889" s="143"/>
      <c r="B889" s="143"/>
      <c r="C889" s="143"/>
    </row>
    <row r="890">
      <c r="A890" s="143"/>
      <c r="B890" s="143"/>
      <c r="C890" s="143"/>
    </row>
    <row r="891">
      <c r="A891" s="143"/>
      <c r="B891" s="143"/>
      <c r="C891" s="143"/>
    </row>
    <row r="892">
      <c r="A892" s="143"/>
      <c r="B892" s="143"/>
      <c r="C892" s="143"/>
    </row>
    <row r="893">
      <c r="A893" s="143"/>
      <c r="B893" s="143"/>
      <c r="C893" s="143"/>
    </row>
    <row r="894">
      <c r="A894" s="143"/>
      <c r="B894" s="143"/>
      <c r="C894" s="143"/>
    </row>
    <row r="895">
      <c r="A895" s="143"/>
      <c r="B895" s="143"/>
      <c r="C895" s="143"/>
    </row>
    <row r="896">
      <c r="A896" s="143"/>
      <c r="B896" s="143"/>
      <c r="C896" s="143"/>
    </row>
    <row r="897">
      <c r="A897" s="143"/>
      <c r="B897" s="143"/>
      <c r="C897" s="143"/>
    </row>
    <row r="898">
      <c r="A898" s="143"/>
      <c r="B898" s="143"/>
      <c r="C898" s="143"/>
    </row>
    <row r="899">
      <c r="A899" s="143"/>
      <c r="B899" s="143"/>
      <c r="C899" s="143"/>
    </row>
    <row r="900">
      <c r="A900" s="143"/>
      <c r="B900" s="143"/>
      <c r="C900" s="143"/>
    </row>
    <row r="901">
      <c r="A901" s="143"/>
      <c r="B901" s="143"/>
      <c r="C901" s="143"/>
    </row>
    <row r="902">
      <c r="A902" s="143"/>
      <c r="B902" s="143"/>
      <c r="C902" s="143"/>
    </row>
    <row r="903">
      <c r="A903" s="143"/>
      <c r="B903" s="143"/>
      <c r="C903" s="143"/>
    </row>
    <row r="904">
      <c r="A904" s="143"/>
      <c r="B904" s="143"/>
      <c r="C904" s="143"/>
    </row>
    <row r="905">
      <c r="A905" s="143"/>
      <c r="B905" s="143"/>
      <c r="C905" s="143"/>
    </row>
    <row r="906">
      <c r="A906" s="143"/>
      <c r="B906" s="143"/>
      <c r="C906" s="143"/>
    </row>
    <row r="907">
      <c r="A907" s="143"/>
      <c r="B907" s="143"/>
      <c r="C907" s="143"/>
    </row>
    <row r="908">
      <c r="A908" s="143"/>
      <c r="B908" s="143"/>
      <c r="C908" s="143"/>
    </row>
    <row r="909">
      <c r="A909" s="143"/>
      <c r="B909" s="143"/>
      <c r="C909" s="143"/>
    </row>
    <row r="910">
      <c r="A910" s="143"/>
      <c r="B910" s="143"/>
      <c r="C910" s="143"/>
    </row>
    <row r="911">
      <c r="A911" s="143"/>
      <c r="B911" s="143"/>
      <c r="C911" s="143"/>
    </row>
    <row r="912">
      <c r="A912" s="143"/>
      <c r="B912" s="143"/>
      <c r="C912" s="143"/>
    </row>
    <row r="913">
      <c r="A913" s="143"/>
      <c r="B913" s="143"/>
      <c r="C913" s="143"/>
    </row>
    <row r="914">
      <c r="A914" s="143"/>
      <c r="B914" s="143"/>
      <c r="C914" s="143"/>
    </row>
    <row r="915">
      <c r="A915" s="143"/>
      <c r="B915" s="143"/>
      <c r="C915" s="143"/>
    </row>
    <row r="916">
      <c r="A916" s="143"/>
      <c r="B916" s="143"/>
      <c r="C916" s="143"/>
    </row>
    <row r="917">
      <c r="A917" s="143"/>
      <c r="B917" s="143"/>
      <c r="C917" s="143"/>
    </row>
    <row r="918">
      <c r="A918" s="143"/>
      <c r="B918" s="143"/>
      <c r="C918" s="143"/>
    </row>
    <row r="919">
      <c r="A919" s="143"/>
      <c r="B919" s="143"/>
      <c r="C919" s="143"/>
    </row>
    <row r="920">
      <c r="A920" s="143"/>
      <c r="B920" s="143"/>
      <c r="C920" s="143"/>
    </row>
    <row r="921">
      <c r="A921" s="143"/>
      <c r="B921" s="143"/>
      <c r="C921" s="143"/>
    </row>
    <row r="922">
      <c r="A922" s="143"/>
      <c r="B922" s="143"/>
      <c r="C922" s="143"/>
    </row>
    <row r="923">
      <c r="A923" s="143"/>
      <c r="B923" s="143"/>
      <c r="C923" s="143"/>
    </row>
    <row r="924">
      <c r="A924" s="143"/>
      <c r="B924" s="143"/>
      <c r="C924" s="143"/>
    </row>
    <row r="925">
      <c r="A925" s="143"/>
      <c r="B925" s="143"/>
      <c r="C925" s="143"/>
    </row>
    <row r="926">
      <c r="A926" s="143"/>
      <c r="B926" s="143"/>
      <c r="C926" s="143"/>
    </row>
    <row r="927">
      <c r="A927" s="143"/>
      <c r="B927" s="143"/>
      <c r="C927" s="143"/>
    </row>
    <row r="928">
      <c r="A928" s="143"/>
      <c r="B928" s="143"/>
      <c r="C928" s="143"/>
    </row>
    <row r="929">
      <c r="A929" s="143"/>
      <c r="B929" s="143"/>
      <c r="C929" s="143"/>
    </row>
    <row r="930">
      <c r="A930" s="143"/>
      <c r="B930" s="143"/>
      <c r="C930" s="143"/>
    </row>
    <row r="931">
      <c r="A931" s="143"/>
      <c r="B931" s="143"/>
      <c r="C931" s="143"/>
    </row>
    <row r="932">
      <c r="A932" s="143"/>
      <c r="B932" s="143"/>
      <c r="C932" s="143"/>
    </row>
    <row r="933">
      <c r="A933" s="143"/>
      <c r="B933" s="143"/>
      <c r="C933" s="143"/>
    </row>
    <row r="934">
      <c r="A934" s="143"/>
      <c r="B934" s="143"/>
      <c r="C934" s="143"/>
    </row>
    <row r="935">
      <c r="A935" s="143"/>
      <c r="B935" s="143"/>
      <c r="C935" s="143"/>
    </row>
    <row r="936">
      <c r="A936" s="143"/>
      <c r="B936" s="143"/>
      <c r="C936" s="143"/>
    </row>
    <row r="937">
      <c r="A937" s="143"/>
      <c r="B937" s="143"/>
      <c r="C937" s="143"/>
    </row>
    <row r="938">
      <c r="A938" s="143"/>
      <c r="B938" s="143"/>
      <c r="C938" s="143"/>
    </row>
    <row r="939">
      <c r="A939" s="143"/>
      <c r="B939" s="143"/>
      <c r="C939" s="143"/>
    </row>
    <row r="940">
      <c r="A940" s="143"/>
      <c r="B940" s="143"/>
      <c r="C940" s="143"/>
    </row>
    <row r="941">
      <c r="A941" s="143"/>
      <c r="B941" s="143"/>
      <c r="C941" s="143"/>
    </row>
    <row r="942">
      <c r="A942" s="143"/>
      <c r="B942" s="143"/>
      <c r="C942" s="143"/>
    </row>
    <row r="943">
      <c r="A943" s="143"/>
      <c r="B943" s="143"/>
      <c r="C943" s="143"/>
    </row>
    <row r="944">
      <c r="A944" s="143"/>
      <c r="B944" s="143"/>
      <c r="C944" s="143"/>
    </row>
    <row r="945">
      <c r="A945" s="143"/>
      <c r="B945" s="143"/>
      <c r="C945" s="143"/>
    </row>
    <row r="946">
      <c r="A946" s="143"/>
      <c r="B946" s="143"/>
      <c r="C946" s="143"/>
    </row>
    <row r="947">
      <c r="A947" s="143"/>
      <c r="B947" s="143"/>
      <c r="C947" s="143"/>
    </row>
    <row r="948">
      <c r="A948" s="143"/>
      <c r="B948" s="143"/>
      <c r="C948" s="143"/>
    </row>
    <row r="949">
      <c r="A949" s="143"/>
      <c r="B949" s="143"/>
      <c r="C949" s="143"/>
    </row>
    <row r="950">
      <c r="A950" s="143"/>
      <c r="B950" s="143"/>
      <c r="C950" s="143"/>
    </row>
    <row r="951">
      <c r="A951" s="143"/>
      <c r="B951" s="143"/>
      <c r="C951" s="143"/>
    </row>
    <row r="952">
      <c r="A952" s="143"/>
      <c r="B952" s="143"/>
      <c r="C952" s="143"/>
    </row>
    <row r="953">
      <c r="A953" s="143"/>
      <c r="B953" s="143"/>
      <c r="C953" s="143"/>
    </row>
    <row r="954">
      <c r="A954" s="143"/>
      <c r="B954" s="143"/>
      <c r="C954" s="143"/>
    </row>
    <row r="955">
      <c r="A955" s="143"/>
      <c r="B955" s="143"/>
      <c r="C955" s="143"/>
    </row>
    <row r="956">
      <c r="A956" s="143"/>
      <c r="B956" s="143"/>
      <c r="C956" s="143"/>
    </row>
    <row r="957">
      <c r="A957" s="143"/>
      <c r="B957" s="143"/>
      <c r="C957" s="143"/>
    </row>
    <row r="958">
      <c r="A958" s="143"/>
      <c r="B958" s="143"/>
      <c r="C958" s="143"/>
    </row>
    <row r="959">
      <c r="A959" s="143"/>
      <c r="B959" s="143"/>
      <c r="C959" s="143"/>
    </row>
    <row r="960">
      <c r="A960" s="143"/>
      <c r="B960" s="143"/>
      <c r="C960" s="143"/>
    </row>
    <row r="961">
      <c r="A961" s="143"/>
      <c r="B961" s="143"/>
      <c r="C961" s="143"/>
    </row>
    <row r="962">
      <c r="A962" s="143"/>
      <c r="B962" s="143"/>
      <c r="C962" s="143"/>
    </row>
    <row r="963">
      <c r="A963" s="143"/>
      <c r="B963" s="143"/>
      <c r="C963" s="143"/>
    </row>
    <row r="964">
      <c r="A964" s="143"/>
      <c r="B964" s="143"/>
      <c r="C964" s="143"/>
    </row>
    <row r="965">
      <c r="A965" s="143"/>
      <c r="B965" s="143"/>
      <c r="C965" s="143"/>
    </row>
    <row r="966">
      <c r="A966" s="143"/>
      <c r="B966" s="143"/>
      <c r="C966" s="143"/>
    </row>
    <row r="967">
      <c r="A967" s="143"/>
      <c r="B967" s="143"/>
      <c r="C967" s="143"/>
    </row>
    <row r="968">
      <c r="A968" s="143"/>
      <c r="B968" s="143"/>
      <c r="C968" s="143"/>
    </row>
    <row r="969">
      <c r="A969" s="143"/>
      <c r="B969" s="143"/>
      <c r="C969" s="143"/>
    </row>
    <row r="970">
      <c r="A970" s="143"/>
      <c r="B970" s="143"/>
      <c r="C970" s="143"/>
    </row>
    <row r="971">
      <c r="A971" s="143"/>
      <c r="B971" s="143"/>
      <c r="C971" s="143"/>
    </row>
    <row r="972">
      <c r="A972" s="143"/>
      <c r="B972" s="143"/>
      <c r="C972" s="143"/>
    </row>
    <row r="973">
      <c r="A973" s="143"/>
      <c r="B973" s="143"/>
      <c r="C973" s="143"/>
    </row>
    <row r="974">
      <c r="A974" s="143"/>
      <c r="B974" s="143"/>
      <c r="C974" s="143"/>
    </row>
    <row r="975">
      <c r="A975" s="143"/>
      <c r="B975" s="143"/>
      <c r="C975" s="143"/>
    </row>
    <row r="976">
      <c r="A976" s="143"/>
      <c r="B976" s="143"/>
      <c r="C976" s="143"/>
    </row>
    <row r="977">
      <c r="A977" s="143"/>
      <c r="B977" s="143"/>
      <c r="C977" s="143"/>
    </row>
    <row r="978">
      <c r="A978" s="143"/>
      <c r="B978" s="143"/>
      <c r="C978" s="143"/>
    </row>
    <row r="979">
      <c r="A979" s="143"/>
      <c r="B979" s="143"/>
      <c r="C979" s="143"/>
    </row>
    <row r="980">
      <c r="A980" s="143"/>
      <c r="B980" s="143"/>
      <c r="C980" s="143"/>
    </row>
    <row r="981">
      <c r="A981" s="143"/>
      <c r="B981" s="143"/>
      <c r="C981" s="143"/>
    </row>
    <row r="982">
      <c r="A982" s="143"/>
      <c r="B982" s="143"/>
      <c r="C982" s="143"/>
    </row>
    <row r="983">
      <c r="A983" s="143"/>
      <c r="B983" s="143"/>
      <c r="C983" s="143"/>
    </row>
    <row r="984">
      <c r="A984" s="143"/>
      <c r="B984" s="143"/>
      <c r="C984" s="143"/>
    </row>
    <row r="985">
      <c r="A985" s="143"/>
      <c r="B985" s="143"/>
      <c r="C985" s="143"/>
    </row>
    <row r="986">
      <c r="A986" s="143"/>
      <c r="B986" s="143"/>
      <c r="C986" s="143"/>
    </row>
    <row r="987">
      <c r="A987" s="143"/>
      <c r="B987" s="143"/>
      <c r="C987" s="143"/>
    </row>
    <row r="988">
      <c r="A988" s="143"/>
      <c r="B988" s="143"/>
      <c r="C988" s="143"/>
    </row>
    <row r="989">
      <c r="A989" s="143"/>
      <c r="B989" s="143"/>
      <c r="C989" s="143"/>
    </row>
    <row r="990">
      <c r="A990" s="143"/>
      <c r="B990" s="143"/>
      <c r="C990" s="143"/>
    </row>
    <row r="991">
      <c r="A991" s="143"/>
      <c r="B991" s="143"/>
      <c r="C991" s="143"/>
    </row>
    <row r="992">
      <c r="A992" s="143"/>
      <c r="B992" s="143"/>
      <c r="C992" s="143"/>
    </row>
    <row r="993">
      <c r="A993" s="143"/>
      <c r="B993" s="143"/>
      <c r="C993" s="143"/>
    </row>
    <row r="994">
      <c r="A994" s="143"/>
      <c r="B994" s="143"/>
      <c r="C994" s="143"/>
    </row>
    <row r="995">
      <c r="A995" s="143"/>
      <c r="B995" s="143"/>
      <c r="C995" s="143"/>
    </row>
    <row r="996">
      <c r="A996" s="143"/>
      <c r="B996" s="143"/>
      <c r="C996" s="143"/>
    </row>
    <row r="997">
      <c r="A997" s="143"/>
      <c r="B997" s="143"/>
      <c r="C997" s="143"/>
    </row>
    <row r="998">
      <c r="A998" s="143"/>
      <c r="B998" s="143"/>
      <c r="C998" s="143"/>
    </row>
    <row r="999">
      <c r="A999" s="143"/>
      <c r="B999" s="143"/>
      <c r="C999" s="143"/>
    </row>
    <row r="1000">
      <c r="A1000" s="143"/>
      <c r="B1000" s="143"/>
      <c r="C1000" s="143"/>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 customWidth="1" min="2" max="2" width="120.38"/>
    <col customWidth="1" min="3" max="3" width="13.25"/>
  </cols>
  <sheetData>
    <row r="1">
      <c r="A1" s="159" t="s">
        <v>35019</v>
      </c>
      <c r="B1" s="143"/>
      <c r="C1" s="143"/>
    </row>
    <row r="2">
      <c r="A2" s="143" t="s">
        <v>34641</v>
      </c>
      <c r="B2" s="143" t="s">
        <v>34642</v>
      </c>
      <c r="C2" s="143" t="s">
        <v>34240</v>
      </c>
      <c r="D2" s="7" t="s">
        <v>33904</v>
      </c>
    </row>
    <row r="3">
      <c r="A3" s="143" t="s">
        <v>1573</v>
      </c>
      <c r="B3" s="143" t="s">
        <v>35020</v>
      </c>
      <c r="C3" s="157">
        <v>44295.63055555556</v>
      </c>
      <c r="D3" s="37" t="str">
        <f t="shared" ref="D3:D241" si="1">TEXT($C3,"yyyy/mm/dd")</f>
        <v>2021/04/09</v>
      </c>
    </row>
    <row r="4">
      <c r="A4" s="143" t="s">
        <v>1961</v>
      </c>
      <c r="B4" s="143" t="s">
        <v>35021</v>
      </c>
      <c r="C4" s="157">
        <v>41890.70646990741</v>
      </c>
      <c r="D4" s="37" t="str">
        <f t="shared" si="1"/>
        <v>2014/09/08</v>
      </c>
    </row>
    <row r="5">
      <c r="A5" s="143" t="s">
        <v>1922</v>
      </c>
      <c r="B5" s="143" t="s">
        <v>35022</v>
      </c>
      <c r="C5" s="157">
        <v>42647.910995370374</v>
      </c>
      <c r="D5" s="37" t="str">
        <f t="shared" si="1"/>
        <v>2016/10/04</v>
      </c>
    </row>
    <row r="6">
      <c r="A6" s="143" t="s">
        <v>1971</v>
      </c>
      <c r="B6" s="143" t="s">
        <v>35023</v>
      </c>
      <c r="C6" s="157">
        <v>45728.80813657407</v>
      </c>
      <c r="D6" s="37" t="str">
        <f t="shared" si="1"/>
        <v>2025/03/12</v>
      </c>
    </row>
    <row r="7">
      <c r="A7" s="143" t="s">
        <v>1948</v>
      </c>
      <c r="B7" s="143" t="s">
        <v>35024</v>
      </c>
      <c r="C7" s="157">
        <v>45709.54119212963</v>
      </c>
      <c r="D7" s="37" t="str">
        <f t="shared" si="1"/>
        <v>2025/02/21</v>
      </c>
    </row>
    <row r="8">
      <c r="A8" s="143" t="s">
        <v>1969</v>
      </c>
      <c r="B8" s="143" t="s">
        <v>35025</v>
      </c>
      <c r="C8" s="157">
        <v>45231.7671875</v>
      </c>
      <c r="D8" s="37" t="str">
        <f t="shared" si="1"/>
        <v>2023/11/01</v>
      </c>
    </row>
    <row r="9">
      <c r="A9" s="143" t="s">
        <v>1946</v>
      </c>
      <c r="B9" s="143" t="s">
        <v>35026</v>
      </c>
      <c r="C9" s="157">
        <v>43976.61858796296</v>
      </c>
      <c r="D9" s="37" t="str">
        <f t="shared" si="1"/>
        <v>2020/05/25</v>
      </c>
    </row>
    <row r="10">
      <c r="A10" s="143" t="s">
        <v>1908</v>
      </c>
      <c r="B10" s="143" t="s">
        <v>35027</v>
      </c>
      <c r="C10" s="157">
        <v>45611.60693287037</v>
      </c>
      <c r="D10" s="37" t="str">
        <f t="shared" si="1"/>
        <v>2024/11/15</v>
      </c>
    </row>
    <row r="11">
      <c r="A11" s="143" t="s">
        <v>1730</v>
      </c>
      <c r="B11" s="143" t="s">
        <v>35028</v>
      </c>
      <c r="C11" s="157">
        <v>45735.862442129626</v>
      </c>
      <c r="D11" s="37" t="str">
        <f t="shared" si="1"/>
        <v>2025/03/19</v>
      </c>
    </row>
    <row r="12">
      <c r="A12" s="143" t="s">
        <v>1436</v>
      </c>
      <c r="B12" s="143" t="s">
        <v>35029</v>
      </c>
      <c r="C12" s="157">
        <v>45636.46795138889</v>
      </c>
      <c r="D12" s="37" t="str">
        <f t="shared" si="1"/>
        <v>2024/12/10</v>
      </c>
    </row>
    <row r="13">
      <c r="A13" s="143" t="s">
        <v>1596</v>
      </c>
      <c r="B13" s="143" t="s">
        <v>35030</v>
      </c>
      <c r="C13" s="157">
        <v>45685.64466435185</v>
      </c>
      <c r="D13" s="37" t="str">
        <f t="shared" si="1"/>
        <v>2025/01/28</v>
      </c>
    </row>
    <row r="14">
      <c r="A14" s="143" t="s">
        <v>1725</v>
      </c>
      <c r="B14" s="143" t="s">
        <v>35031</v>
      </c>
      <c r="C14" s="157">
        <v>44663.49355324074</v>
      </c>
      <c r="D14" s="37" t="str">
        <f t="shared" si="1"/>
        <v>2022/04/12</v>
      </c>
    </row>
    <row r="15">
      <c r="A15" s="143" t="s">
        <v>1785</v>
      </c>
      <c r="B15" s="143" t="s">
        <v>35032</v>
      </c>
      <c r="C15" s="157">
        <v>45734.74159722222</v>
      </c>
      <c r="D15" s="37" t="str">
        <f t="shared" si="1"/>
        <v>2025/03/18</v>
      </c>
    </row>
    <row r="16">
      <c r="A16" s="143" t="s">
        <v>1989</v>
      </c>
      <c r="B16" s="143" t="s">
        <v>35033</v>
      </c>
      <c r="C16" s="157">
        <v>42228.42327546296</v>
      </c>
      <c r="D16" s="37" t="str">
        <f t="shared" si="1"/>
        <v>2015/08/12</v>
      </c>
    </row>
    <row r="17">
      <c r="A17" s="143" t="s">
        <v>2019</v>
      </c>
      <c r="B17" s="143" t="s">
        <v>35034</v>
      </c>
      <c r="C17" s="157">
        <v>41717.725266203706</v>
      </c>
      <c r="D17" s="37" t="str">
        <f t="shared" si="1"/>
        <v>2014/03/19</v>
      </c>
    </row>
    <row r="18">
      <c r="A18" s="143" t="s">
        <v>1644</v>
      </c>
      <c r="B18" s="143" t="s">
        <v>35035</v>
      </c>
      <c r="C18" s="157">
        <v>42766.653229166666</v>
      </c>
      <c r="D18" s="37" t="str">
        <f t="shared" si="1"/>
        <v>2017/01/31</v>
      </c>
    </row>
    <row r="19">
      <c r="A19" s="143" t="s">
        <v>1774</v>
      </c>
      <c r="B19" s="143" t="s">
        <v>35036</v>
      </c>
      <c r="C19" s="157">
        <v>45721.64040509259</v>
      </c>
      <c r="D19" s="37" t="str">
        <f t="shared" si="1"/>
        <v>2025/03/05</v>
      </c>
    </row>
    <row r="20">
      <c r="A20" s="143" t="s">
        <v>1921</v>
      </c>
      <c r="B20" s="143" t="s">
        <v>35037</v>
      </c>
      <c r="C20" s="157">
        <v>41324.714166666665</v>
      </c>
      <c r="D20" s="37" t="str">
        <f t="shared" si="1"/>
        <v>2013/02/19</v>
      </c>
    </row>
    <row r="21">
      <c r="A21" s="143" t="s">
        <v>1441</v>
      </c>
      <c r="B21" s="143" t="s">
        <v>35038</v>
      </c>
      <c r="C21" s="157">
        <v>45394.52240740741</v>
      </c>
      <c r="D21" s="37" t="str">
        <f t="shared" si="1"/>
        <v>2024/04/12</v>
      </c>
    </row>
    <row r="22">
      <c r="A22" s="143" t="s">
        <v>1649</v>
      </c>
      <c r="B22" s="143" t="s">
        <v>35039</v>
      </c>
      <c r="C22" s="157">
        <v>44285.47341435185</v>
      </c>
      <c r="D22" s="37" t="str">
        <f t="shared" si="1"/>
        <v>2021/03/30</v>
      </c>
    </row>
    <row r="23">
      <c r="A23" s="143" t="s">
        <v>1746</v>
      </c>
      <c r="B23" s="143" t="s">
        <v>35040</v>
      </c>
      <c r="C23" s="157">
        <v>42125.58583333333</v>
      </c>
      <c r="D23" s="37" t="str">
        <f t="shared" si="1"/>
        <v>2015/05/01</v>
      </c>
    </row>
    <row r="24">
      <c r="A24" s="143" t="s">
        <v>1765</v>
      </c>
      <c r="B24" s="143" t="s">
        <v>35041</v>
      </c>
      <c r="C24" s="157">
        <v>41718.6847337963</v>
      </c>
      <c r="D24" s="37" t="str">
        <f t="shared" si="1"/>
        <v>2014/03/20</v>
      </c>
    </row>
    <row r="25">
      <c r="A25" s="143" t="s">
        <v>2043</v>
      </c>
      <c r="B25" s="143" t="s">
        <v>35042</v>
      </c>
      <c r="C25" s="157">
        <v>40322.68953703704</v>
      </c>
      <c r="D25" s="37" t="str">
        <f t="shared" si="1"/>
        <v>2010/05/24</v>
      </c>
    </row>
    <row r="26">
      <c r="A26" s="143" t="s">
        <v>1629</v>
      </c>
      <c r="B26" s="143" t="s">
        <v>35043</v>
      </c>
      <c r="C26" s="157">
        <v>43675.7237962963</v>
      </c>
      <c r="D26" s="37" t="str">
        <f t="shared" si="1"/>
        <v>2019/07/29</v>
      </c>
    </row>
    <row r="27">
      <c r="A27" s="143" t="s">
        <v>1878</v>
      </c>
      <c r="B27" s="143" t="s">
        <v>35044</v>
      </c>
      <c r="C27" s="157">
        <v>45306.80608796296</v>
      </c>
      <c r="D27" s="37" t="str">
        <f t="shared" si="1"/>
        <v>2024/01/15</v>
      </c>
    </row>
    <row r="28">
      <c r="A28" s="143" t="s">
        <v>1384</v>
      </c>
      <c r="B28" s="143" t="s">
        <v>35045</v>
      </c>
      <c r="C28" s="157">
        <v>41739.53885416667</v>
      </c>
      <c r="D28" s="37" t="str">
        <f t="shared" si="1"/>
        <v>2014/04/10</v>
      </c>
    </row>
    <row r="29">
      <c r="A29" s="143" t="s">
        <v>1786</v>
      </c>
      <c r="B29" s="143" t="s">
        <v>35046</v>
      </c>
      <c r="C29" s="157">
        <v>50424.50980324074</v>
      </c>
      <c r="D29" s="37" t="str">
        <f t="shared" si="1"/>
        <v>2038/01/19</v>
      </c>
    </row>
    <row r="30">
      <c r="A30" s="143" t="s">
        <v>1877</v>
      </c>
      <c r="B30" s="143" t="s">
        <v>35047</v>
      </c>
      <c r="C30" s="157">
        <v>43384.909108796295</v>
      </c>
      <c r="D30" s="37" t="str">
        <f t="shared" si="1"/>
        <v>2018/10/11</v>
      </c>
    </row>
    <row r="31">
      <c r="A31" s="143" t="s">
        <v>1447</v>
      </c>
      <c r="B31" s="143" t="s">
        <v>35048</v>
      </c>
      <c r="C31" s="157">
        <v>42111.726018518515</v>
      </c>
      <c r="D31" s="37" t="str">
        <f t="shared" si="1"/>
        <v>2015/04/17</v>
      </c>
    </row>
    <row r="32">
      <c r="A32" s="143" t="s">
        <v>2011</v>
      </c>
      <c r="B32" s="143" t="s">
        <v>35049</v>
      </c>
      <c r="C32" s="157">
        <v>42048.62048611111</v>
      </c>
      <c r="D32" s="37" t="str">
        <f t="shared" si="1"/>
        <v>2015/02/13</v>
      </c>
    </row>
    <row r="33">
      <c r="A33" s="143" t="s">
        <v>1779</v>
      </c>
      <c r="B33" s="143" t="s">
        <v>35050</v>
      </c>
      <c r="C33" s="157">
        <v>41578.83630787037</v>
      </c>
      <c r="D33" s="37" t="str">
        <f t="shared" si="1"/>
        <v>2013/10/31</v>
      </c>
    </row>
    <row r="34">
      <c r="A34" s="143" t="s">
        <v>1937</v>
      </c>
      <c r="B34" s="143" t="s">
        <v>35051</v>
      </c>
      <c r="C34" s="157">
        <v>42277.757569444446</v>
      </c>
      <c r="D34" s="37" t="str">
        <f t="shared" si="1"/>
        <v>2015/09/30</v>
      </c>
    </row>
    <row r="35">
      <c r="A35" s="143" t="s">
        <v>1658</v>
      </c>
      <c r="B35" s="143" t="s">
        <v>35052</v>
      </c>
      <c r="C35" s="157">
        <v>40920.461122685185</v>
      </c>
      <c r="D35" s="37" t="str">
        <f t="shared" si="1"/>
        <v>2012/01/12</v>
      </c>
    </row>
    <row r="36">
      <c r="A36" s="143" t="s">
        <v>1380</v>
      </c>
      <c r="B36" s="143" t="s">
        <v>35053</v>
      </c>
      <c r="C36" s="157">
        <v>42200.49383101852</v>
      </c>
      <c r="D36" s="37" t="str">
        <f t="shared" si="1"/>
        <v>2015/07/15</v>
      </c>
    </row>
    <row r="37">
      <c r="A37" s="143" t="s">
        <v>1539</v>
      </c>
      <c r="B37" s="143" t="s">
        <v>35054</v>
      </c>
      <c r="C37" s="157">
        <v>42425.46460648148</v>
      </c>
      <c r="D37" s="37" t="str">
        <f t="shared" si="1"/>
        <v>2016/02/25</v>
      </c>
    </row>
    <row r="38">
      <c r="A38" s="143" t="s">
        <v>1941</v>
      </c>
      <c r="B38" s="143" t="s">
        <v>35055</v>
      </c>
      <c r="C38" s="157">
        <v>41969.71597222222</v>
      </c>
      <c r="D38" s="37" t="str">
        <f t="shared" si="1"/>
        <v>2014/11/26</v>
      </c>
    </row>
    <row r="39">
      <c r="A39" s="143" t="s">
        <v>1736</v>
      </c>
      <c r="B39" s="143" t="s">
        <v>35056</v>
      </c>
      <c r="C39" s="157">
        <v>44028.68168981482</v>
      </c>
      <c r="D39" s="37" t="str">
        <f t="shared" si="1"/>
        <v>2020/07/16</v>
      </c>
    </row>
    <row r="40">
      <c r="A40" s="143" t="s">
        <v>2007</v>
      </c>
      <c r="B40" s="143" t="s">
        <v>35057</v>
      </c>
      <c r="C40" s="157">
        <v>42989.720497685186</v>
      </c>
      <c r="D40" s="37" t="str">
        <f t="shared" si="1"/>
        <v>2017/09/11</v>
      </c>
    </row>
    <row r="41">
      <c r="A41" s="143" t="s">
        <v>1667</v>
      </c>
      <c r="B41" s="143" t="s">
        <v>35058</v>
      </c>
      <c r="C41" s="157">
        <v>45727.73391203704</v>
      </c>
      <c r="D41" s="37" t="str">
        <f t="shared" si="1"/>
        <v>2025/03/11</v>
      </c>
    </row>
    <row r="42">
      <c r="A42" s="143" t="s">
        <v>1713</v>
      </c>
      <c r="B42" s="143" t="s">
        <v>35059</v>
      </c>
      <c r="C42" s="157">
        <v>45733.46729166667</v>
      </c>
      <c r="D42" s="37" t="str">
        <f t="shared" si="1"/>
        <v>2025/03/17</v>
      </c>
    </row>
    <row r="43">
      <c r="A43" s="143" t="s">
        <v>1567</v>
      </c>
      <c r="B43" s="143" t="s">
        <v>35060</v>
      </c>
      <c r="C43" s="157">
        <v>45338.62143518519</v>
      </c>
      <c r="D43" s="37" t="str">
        <f t="shared" si="1"/>
        <v>2024/02/16</v>
      </c>
    </row>
    <row r="44">
      <c r="A44" s="143" t="s">
        <v>1477</v>
      </c>
      <c r="B44" s="143" t="s">
        <v>35061</v>
      </c>
      <c r="C44" s="157">
        <v>42131.49717592593</v>
      </c>
      <c r="D44" s="37" t="str">
        <f t="shared" si="1"/>
        <v>2015/05/07</v>
      </c>
    </row>
    <row r="45">
      <c r="A45" s="143" t="s">
        <v>1925</v>
      </c>
      <c r="B45" s="143" t="s">
        <v>35062</v>
      </c>
      <c r="C45" s="157">
        <v>43579.59519675926</v>
      </c>
      <c r="D45" s="37" t="str">
        <f t="shared" si="1"/>
        <v>2019/04/24</v>
      </c>
    </row>
    <row r="46">
      <c r="A46" s="143" t="s">
        <v>1711</v>
      </c>
      <c r="B46" s="143" t="s">
        <v>35063</v>
      </c>
      <c r="C46" s="157">
        <v>43410.54006944445</v>
      </c>
      <c r="D46" s="37" t="str">
        <f t="shared" si="1"/>
        <v>2018/11/06</v>
      </c>
    </row>
    <row r="47">
      <c r="A47" s="143" t="s">
        <v>1485</v>
      </c>
      <c r="B47" s="143" t="s">
        <v>35064</v>
      </c>
      <c r="C47" s="157">
        <v>42201.48303240741</v>
      </c>
      <c r="D47" s="37" t="str">
        <f t="shared" si="1"/>
        <v>2015/07/16</v>
      </c>
    </row>
    <row r="48">
      <c r="A48" s="143" t="s">
        <v>1825</v>
      </c>
      <c r="B48" s="143" t="s">
        <v>35065</v>
      </c>
      <c r="C48" s="157">
        <v>42012.65337962963</v>
      </c>
      <c r="D48" s="37" t="str">
        <f t="shared" si="1"/>
        <v>2015/01/08</v>
      </c>
    </row>
    <row r="49">
      <c r="A49" s="143" t="s">
        <v>1497</v>
      </c>
      <c r="B49" s="143" t="s">
        <v>35066</v>
      </c>
      <c r="C49" s="157">
        <v>42184.51832175926</v>
      </c>
      <c r="D49" s="37" t="str">
        <f t="shared" si="1"/>
        <v>2015/06/29</v>
      </c>
    </row>
    <row r="50">
      <c r="A50" s="143" t="s">
        <v>2031</v>
      </c>
      <c r="B50" s="143" t="s">
        <v>35067</v>
      </c>
      <c r="C50" s="157">
        <v>45700.46908564815</v>
      </c>
      <c r="D50" s="37" t="str">
        <f t="shared" si="1"/>
        <v>2025/02/12</v>
      </c>
    </row>
    <row r="51">
      <c r="A51" s="143" t="s">
        <v>1987</v>
      </c>
      <c r="B51" s="143" t="s">
        <v>35068</v>
      </c>
      <c r="C51" s="157">
        <v>45713.62068287037</v>
      </c>
      <c r="D51" s="37" t="str">
        <f t="shared" si="1"/>
        <v>2025/02/25</v>
      </c>
    </row>
    <row r="52">
      <c r="A52" s="143" t="s">
        <v>1959</v>
      </c>
      <c r="B52" s="143" t="s">
        <v>35069</v>
      </c>
      <c r="C52" s="157">
        <v>40172.613645833335</v>
      </c>
      <c r="D52" s="37" t="str">
        <f t="shared" si="1"/>
        <v>2009/12/25</v>
      </c>
    </row>
    <row r="53">
      <c r="A53" s="143" t="s">
        <v>1599</v>
      </c>
      <c r="B53" s="143" t="s">
        <v>35070</v>
      </c>
      <c r="C53" s="157">
        <v>39864.81008101852</v>
      </c>
      <c r="D53" s="37" t="str">
        <f t="shared" si="1"/>
        <v>2009/02/20</v>
      </c>
    </row>
    <row r="54">
      <c r="A54" s="143" t="s">
        <v>1940</v>
      </c>
      <c r="B54" s="143" t="s">
        <v>35071</v>
      </c>
      <c r="C54" s="157">
        <v>41576.883784722224</v>
      </c>
      <c r="D54" s="37" t="str">
        <f t="shared" si="1"/>
        <v>2013/10/29</v>
      </c>
    </row>
    <row r="55">
      <c r="A55" s="143" t="s">
        <v>1694</v>
      </c>
      <c r="B55" s="143" t="s">
        <v>35072</v>
      </c>
      <c r="C55" s="157">
        <v>45456.39135416667</v>
      </c>
      <c r="D55" s="37" t="str">
        <f t="shared" si="1"/>
        <v>2024/06/13</v>
      </c>
    </row>
    <row r="56">
      <c r="A56" s="143" t="s">
        <v>2046</v>
      </c>
      <c r="B56" s="143" t="s">
        <v>35073</v>
      </c>
      <c r="C56" s="157">
        <v>45735.4393287037</v>
      </c>
      <c r="D56" s="37" t="str">
        <f t="shared" si="1"/>
        <v>2025/03/19</v>
      </c>
    </row>
    <row r="57">
      <c r="A57" s="143" t="s">
        <v>1749</v>
      </c>
      <c r="B57" s="143" t="s">
        <v>35074</v>
      </c>
      <c r="C57" s="157">
        <v>41002.565613425926</v>
      </c>
      <c r="D57" s="37" t="str">
        <f t="shared" si="1"/>
        <v>2012/04/03</v>
      </c>
    </row>
    <row r="58">
      <c r="A58" s="143" t="s">
        <v>1640</v>
      </c>
      <c r="B58" s="143" t="s">
        <v>35075</v>
      </c>
      <c r="C58" s="157">
        <v>41578.66359953704</v>
      </c>
      <c r="D58" s="37" t="str">
        <f t="shared" si="1"/>
        <v>2013/10/31</v>
      </c>
    </row>
    <row r="59">
      <c r="A59" s="143" t="s">
        <v>1864</v>
      </c>
      <c r="B59" s="143" t="s">
        <v>35076</v>
      </c>
      <c r="C59" s="157">
        <v>43250.55641203704</v>
      </c>
      <c r="D59" s="37" t="str">
        <f t="shared" si="1"/>
        <v>2018/05/30</v>
      </c>
    </row>
    <row r="60">
      <c r="A60" s="143" t="s">
        <v>1448</v>
      </c>
      <c r="B60" s="143" t="s">
        <v>35077</v>
      </c>
      <c r="C60" s="157">
        <v>41761.43546296296</v>
      </c>
      <c r="D60" s="37" t="str">
        <f t="shared" si="1"/>
        <v>2014/05/02</v>
      </c>
    </row>
    <row r="61">
      <c r="A61" s="143" t="s">
        <v>1562</v>
      </c>
      <c r="B61" s="143" t="s">
        <v>35078</v>
      </c>
      <c r="C61" s="157">
        <v>43151.701261574075</v>
      </c>
      <c r="D61" s="37" t="str">
        <f t="shared" si="1"/>
        <v>2018/02/20</v>
      </c>
    </row>
    <row r="62">
      <c r="A62" s="143" t="s">
        <v>1700</v>
      </c>
      <c r="B62" s="143" t="s">
        <v>35079</v>
      </c>
      <c r="C62" s="157">
        <v>41466.6150462963</v>
      </c>
      <c r="D62" s="37" t="str">
        <f t="shared" si="1"/>
        <v>2013/07/11</v>
      </c>
    </row>
    <row r="63">
      <c r="A63" s="143" t="s">
        <v>2032</v>
      </c>
      <c r="B63" s="143" t="s">
        <v>35080</v>
      </c>
      <c r="C63" s="157">
        <v>45723.65826388889</v>
      </c>
      <c r="D63" s="37" t="str">
        <f t="shared" si="1"/>
        <v>2025/03/07</v>
      </c>
    </row>
    <row r="64">
      <c r="A64" s="143" t="s">
        <v>1764</v>
      </c>
      <c r="B64" s="143" t="s">
        <v>35081</v>
      </c>
      <c r="C64" s="157">
        <v>50420.843125</v>
      </c>
      <c r="D64" s="37" t="str">
        <f t="shared" si="1"/>
        <v>2038/01/15</v>
      </c>
    </row>
    <row r="65">
      <c r="A65" s="143" t="s">
        <v>1440</v>
      </c>
      <c r="B65" s="143" t="s">
        <v>35082</v>
      </c>
      <c r="C65" s="157">
        <v>42479.77725694444</v>
      </c>
      <c r="D65" s="37" t="str">
        <f t="shared" si="1"/>
        <v>2016/04/19</v>
      </c>
    </row>
    <row r="66">
      <c r="A66" s="143" t="s">
        <v>1729</v>
      </c>
      <c r="B66" s="143" t="s">
        <v>35083</v>
      </c>
      <c r="C66" s="157">
        <v>39856.727118055554</v>
      </c>
      <c r="D66" s="37" t="str">
        <f t="shared" si="1"/>
        <v>2009/02/12</v>
      </c>
    </row>
    <row r="67">
      <c r="A67" s="143" t="s">
        <v>1666</v>
      </c>
      <c r="B67" s="143" t="s">
        <v>35084</v>
      </c>
      <c r="C67" s="157">
        <v>40028.528136574074</v>
      </c>
      <c r="D67" s="37" t="str">
        <f t="shared" si="1"/>
        <v>2009/08/03</v>
      </c>
    </row>
    <row r="68">
      <c r="A68" s="143" t="s">
        <v>2030</v>
      </c>
      <c r="B68" s="143" t="s">
        <v>35085</v>
      </c>
      <c r="C68" s="157">
        <v>41351.51180555556</v>
      </c>
      <c r="D68" s="37" t="str">
        <f t="shared" si="1"/>
        <v>2013/03/18</v>
      </c>
    </row>
    <row r="69">
      <c r="A69" s="143" t="s">
        <v>1784</v>
      </c>
      <c r="B69" s="143" t="s">
        <v>35086</v>
      </c>
      <c r="C69" s="157">
        <v>41718.46111111111</v>
      </c>
      <c r="D69" s="37" t="str">
        <f t="shared" si="1"/>
        <v>2014/03/20</v>
      </c>
    </row>
    <row r="70">
      <c r="A70" s="143" t="s">
        <v>1734</v>
      </c>
      <c r="B70" s="143" t="s">
        <v>35087</v>
      </c>
      <c r="C70" s="157">
        <v>41801.523460648146</v>
      </c>
      <c r="D70" s="37" t="str">
        <f t="shared" si="1"/>
        <v>2014/06/11</v>
      </c>
    </row>
    <row r="71">
      <c r="A71" s="143" t="s">
        <v>1851</v>
      </c>
      <c r="B71" s="143" t="s">
        <v>35088</v>
      </c>
      <c r="C71" s="157">
        <v>42298.520902777775</v>
      </c>
      <c r="D71" s="37" t="str">
        <f t="shared" si="1"/>
        <v>2015/10/21</v>
      </c>
    </row>
    <row r="72">
      <c r="A72" s="143" t="s">
        <v>1759</v>
      </c>
      <c r="B72" s="143" t="s">
        <v>35089</v>
      </c>
      <c r="C72" s="157">
        <v>41957.74778935185</v>
      </c>
      <c r="D72" s="37" t="str">
        <f t="shared" si="1"/>
        <v>2014/11/14</v>
      </c>
    </row>
    <row r="73">
      <c r="A73" s="143" t="s">
        <v>1373</v>
      </c>
      <c r="B73" s="143" t="s">
        <v>35090</v>
      </c>
      <c r="C73" s="157">
        <v>43053.66206018518</v>
      </c>
      <c r="D73" s="37" t="str">
        <f t="shared" si="1"/>
        <v>2017/11/14</v>
      </c>
    </row>
    <row r="74">
      <c r="A74" s="143" t="s">
        <v>1902</v>
      </c>
      <c r="B74" s="143" t="s">
        <v>35091</v>
      </c>
      <c r="C74" s="157">
        <v>43053.66206018518</v>
      </c>
      <c r="D74" s="37" t="str">
        <f t="shared" si="1"/>
        <v>2017/11/14</v>
      </c>
    </row>
    <row r="75">
      <c r="A75" s="143" t="s">
        <v>1846</v>
      </c>
      <c r="B75" s="143" t="s">
        <v>35092</v>
      </c>
      <c r="C75" s="157">
        <v>41703.500497685185</v>
      </c>
      <c r="D75" s="37" t="str">
        <f t="shared" si="1"/>
        <v>2014/03/05</v>
      </c>
    </row>
    <row r="76">
      <c r="A76" s="143" t="s">
        <v>1931</v>
      </c>
      <c r="B76" s="143" t="s">
        <v>35093</v>
      </c>
      <c r="C76" s="157">
        <v>42013.66913194444</v>
      </c>
      <c r="D76" s="37" t="str">
        <f t="shared" si="1"/>
        <v>2015/01/09</v>
      </c>
    </row>
    <row r="77">
      <c r="A77" s="143" t="s">
        <v>2012</v>
      </c>
      <c r="B77" s="143" t="s">
        <v>35094</v>
      </c>
      <c r="C77" s="157">
        <v>42285.76658564815</v>
      </c>
      <c r="D77" s="37" t="str">
        <f t="shared" si="1"/>
        <v>2015/10/08</v>
      </c>
    </row>
    <row r="78">
      <c r="A78" s="143" t="s">
        <v>1957</v>
      </c>
      <c r="B78" s="143" t="s">
        <v>35095</v>
      </c>
      <c r="C78" s="157">
        <v>42401.668032407404</v>
      </c>
      <c r="D78" s="37" t="str">
        <f t="shared" si="1"/>
        <v>2016/02/01</v>
      </c>
    </row>
    <row r="79">
      <c r="A79" s="143" t="s">
        <v>1832</v>
      </c>
      <c r="B79" s="143" t="s">
        <v>35096</v>
      </c>
      <c r="C79" s="157">
        <v>44944.61150462963</v>
      </c>
      <c r="D79" s="37" t="str">
        <f t="shared" si="1"/>
        <v>2023/01/18</v>
      </c>
    </row>
    <row r="80">
      <c r="A80" s="143" t="s">
        <v>1776</v>
      </c>
      <c r="B80" s="143" t="s">
        <v>35097</v>
      </c>
      <c r="C80" s="157">
        <v>43077.715092592596</v>
      </c>
      <c r="D80" s="37" t="str">
        <f t="shared" si="1"/>
        <v>2017/12/08</v>
      </c>
    </row>
    <row r="81">
      <c r="A81" s="143" t="s">
        <v>1855</v>
      </c>
      <c r="B81" s="143" t="s">
        <v>35098</v>
      </c>
      <c r="C81" s="157">
        <v>45735.88880787037</v>
      </c>
      <c r="D81" s="37" t="str">
        <f t="shared" si="1"/>
        <v>2025/03/19</v>
      </c>
    </row>
    <row r="82">
      <c r="A82" s="143" t="s">
        <v>1860</v>
      </c>
      <c r="B82" s="143" t="s">
        <v>35099</v>
      </c>
      <c r="C82" s="157">
        <v>44321.91981481481</v>
      </c>
      <c r="D82" s="37" t="str">
        <f t="shared" si="1"/>
        <v>2021/05/05</v>
      </c>
    </row>
    <row r="83">
      <c r="A83" s="143" t="s">
        <v>1996</v>
      </c>
      <c r="B83" s="143" t="s">
        <v>35100</v>
      </c>
      <c r="C83" s="157">
        <v>45383.56008101852</v>
      </c>
      <c r="D83" s="37" t="str">
        <f t="shared" si="1"/>
        <v>2024/04/01</v>
      </c>
    </row>
    <row r="84">
      <c r="A84" s="143" t="s">
        <v>1563</v>
      </c>
      <c r="B84" s="143" t="s">
        <v>35101</v>
      </c>
      <c r="C84" s="157">
        <v>50424.50980324074</v>
      </c>
      <c r="D84" s="37" t="str">
        <f t="shared" si="1"/>
        <v>2038/01/19</v>
      </c>
    </row>
    <row r="85">
      <c r="A85" s="143" t="s">
        <v>1603</v>
      </c>
      <c r="B85" s="143" t="s">
        <v>35102</v>
      </c>
      <c r="C85" s="157">
        <v>41018.73775462963</v>
      </c>
      <c r="D85" s="37" t="str">
        <f t="shared" si="1"/>
        <v>2012/04/19</v>
      </c>
    </row>
    <row r="86">
      <c r="A86" s="143" t="s">
        <v>1718</v>
      </c>
      <c r="B86" s="143" t="s">
        <v>35103</v>
      </c>
      <c r="C86" s="157">
        <v>41577.72006944445</v>
      </c>
      <c r="D86" s="37" t="str">
        <f t="shared" si="1"/>
        <v>2013/10/30</v>
      </c>
    </row>
    <row r="87">
      <c r="A87" s="143" t="s">
        <v>2013</v>
      </c>
      <c r="B87" s="143" t="s">
        <v>35104</v>
      </c>
      <c r="C87" s="157">
        <v>42570.344618055555</v>
      </c>
      <c r="D87" s="37" t="str">
        <f t="shared" si="1"/>
        <v>2016/07/19</v>
      </c>
    </row>
    <row r="88">
      <c r="A88" s="143" t="s">
        <v>1493</v>
      </c>
      <c r="B88" s="143" t="s">
        <v>35105</v>
      </c>
      <c r="C88" s="157">
        <v>44706.774247685185</v>
      </c>
      <c r="D88" s="37" t="str">
        <f t="shared" si="1"/>
        <v>2022/05/25</v>
      </c>
    </row>
    <row r="89">
      <c r="A89" s="143" t="s">
        <v>1720</v>
      </c>
      <c r="B89" s="143" t="s">
        <v>35106</v>
      </c>
      <c r="C89" s="157">
        <v>41453.70247685185</v>
      </c>
      <c r="D89" s="37" t="str">
        <f t="shared" si="1"/>
        <v>2013/06/28</v>
      </c>
    </row>
    <row r="90">
      <c r="A90" s="143" t="s">
        <v>1412</v>
      </c>
      <c r="B90" s="143" t="s">
        <v>35107</v>
      </c>
      <c r="C90" s="157">
        <v>42923.46973379629</v>
      </c>
      <c r="D90" s="37" t="str">
        <f t="shared" si="1"/>
        <v>2017/07/07</v>
      </c>
    </row>
    <row r="91">
      <c r="A91" s="143" t="s">
        <v>1594</v>
      </c>
      <c r="B91" s="143" t="s">
        <v>35108</v>
      </c>
      <c r="C91" s="157">
        <v>41999.48396990741</v>
      </c>
      <c r="D91" s="37" t="str">
        <f t="shared" si="1"/>
        <v>2014/12/26</v>
      </c>
    </row>
    <row r="92">
      <c r="A92" s="143" t="s">
        <v>1913</v>
      </c>
      <c r="B92" s="143" t="s">
        <v>35109</v>
      </c>
      <c r="C92" s="157">
        <v>44635.42070601852</v>
      </c>
      <c r="D92" s="37" t="str">
        <f t="shared" si="1"/>
        <v>2022/03/15</v>
      </c>
    </row>
    <row r="93">
      <c r="A93" s="143" t="s">
        <v>1641</v>
      </c>
      <c r="B93" s="143" t="s">
        <v>35110</v>
      </c>
      <c r="C93" s="157">
        <v>42613.633310185185</v>
      </c>
      <c r="D93" s="37" t="str">
        <f t="shared" si="1"/>
        <v>2016/08/31</v>
      </c>
    </row>
    <row r="94">
      <c r="A94" s="143" t="s">
        <v>1797</v>
      </c>
      <c r="B94" s="143" t="s">
        <v>35111</v>
      </c>
      <c r="C94" s="157">
        <v>44456.49118055555</v>
      </c>
      <c r="D94" s="37" t="str">
        <f t="shared" si="1"/>
        <v>2021/09/17</v>
      </c>
    </row>
    <row r="95">
      <c r="A95" s="143" t="s">
        <v>2010</v>
      </c>
      <c r="B95" s="143" t="s">
        <v>35112</v>
      </c>
      <c r="C95" s="157">
        <v>44189.43436342593</v>
      </c>
      <c r="D95" s="37" t="str">
        <f t="shared" si="1"/>
        <v>2020/12/24</v>
      </c>
    </row>
    <row r="96">
      <c r="A96" s="143" t="s">
        <v>1392</v>
      </c>
      <c r="B96" s="143" t="s">
        <v>35113</v>
      </c>
      <c r="C96" s="157">
        <v>41012.518217592595</v>
      </c>
      <c r="D96" s="37" t="str">
        <f t="shared" si="1"/>
        <v>2012/04/13</v>
      </c>
    </row>
    <row r="97">
      <c r="A97" s="143" t="s">
        <v>1719</v>
      </c>
      <c r="B97" s="143" t="s">
        <v>35114</v>
      </c>
      <c r="C97" s="157">
        <v>42284.78952546296</v>
      </c>
      <c r="D97" s="37" t="str">
        <f t="shared" si="1"/>
        <v>2015/10/07</v>
      </c>
    </row>
    <row r="98">
      <c r="A98" s="143" t="s">
        <v>2020</v>
      </c>
      <c r="B98" s="143" t="s">
        <v>35115</v>
      </c>
      <c r="C98" s="157">
        <v>42671.78267361111</v>
      </c>
      <c r="D98" s="37" t="str">
        <f t="shared" si="1"/>
        <v>2016/10/28</v>
      </c>
    </row>
    <row r="99">
      <c r="A99" s="143" t="s">
        <v>2004</v>
      </c>
      <c r="B99" s="143" t="s">
        <v>35116</v>
      </c>
      <c r="C99" s="157">
        <v>43125.60118055555</v>
      </c>
      <c r="D99" s="37" t="str">
        <f t="shared" si="1"/>
        <v>2018/01/25</v>
      </c>
    </row>
    <row r="100">
      <c r="A100" s="143" t="s">
        <v>1455</v>
      </c>
      <c r="B100" s="143" t="s">
        <v>35117</v>
      </c>
      <c r="C100" s="157">
        <v>45734.43033564815</v>
      </c>
      <c r="D100" s="37" t="str">
        <f t="shared" si="1"/>
        <v>2025/03/18</v>
      </c>
    </row>
    <row r="101">
      <c r="A101" s="143" t="s">
        <v>1514</v>
      </c>
      <c r="B101" s="143" t="s">
        <v>35118</v>
      </c>
      <c r="C101" s="157">
        <v>44112.6574537037</v>
      </c>
      <c r="D101" s="37" t="str">
        <f t="shared" si="1"/>
        <v>2020/10/08</v>
      </c>
    </row>
    <row r="102">
      <c r="A102" s="143" t="s">
        <v>1815</v>
      </c>
      <c r="B102" s="143" t="s">
        <v>35119</v>
      </c>
      <c r="C102" s="157">
        <v>45461.5315162037</v>
      </c>
      <c r="D102" s="37" t="str">
        <f t="shared" si="1"/>
        <v>2024/06/18</v>
      </c>
    </row>
    <row r="103">
      <c r="A103" s="143" t="s">
        <v>1840</v>
      </c>
      <c r="B103" s="143" t="s">
        <v>35120</v>
      </c>
      <c r="C103" s="157">
        <v>42101.853634259256</v>
      </c>
      <c r="D103" s="37" t="str">
        <f t="shared" si="1"/>
        <v>2015/04/07</v>
      </c>
    </row>
    <row r="104">
      <c r="A104" s="143" t="s">
        <v>2040</v>
      </c>
      <c r="B104" s="143" t="s">
        <v>35121</v>
      </c>
      <c r="C104" s="157">
        <v>40891.48546296296</v>
      </c>
      <c r="D104" s="37" t="str">
        <f t="shared" si="1"/>
        <v>2011/12/14</v>
      </c>
    </row>
    <row r="105">
      <c r="A105" s="143" t="s">
        <v>1881</v>
      </c>
      <c r="B105" s="143" t="s">
        <v>35122</v>
      </c>
      <c r="C105" s="157">
        <v>43878.48422453704</v>
      </c>
      <c r="D105" s="37" t="str">
        <f t="shared" si="1"/>
        <v>2020/02/17</v>
      </c>
    </row>
    <row r="106">
      <c r="A106" s="143" t="s">
        <v>1409</v>
      </c>
      <c r="B106" s="143" t="s">
        <v>35123</v>
      </c>
      <c r="C106" s="157">
        <v>41235.73835648148</v>
      </c>
      <c r="D106" s="37" t="str">
        <f t="shared" si="1"/>
        <v>2012/11/22</v>
      </c>
    </row>
    <row r="107">
      <c r="A107" s="143" t="s">
        <v>1879</v>
      </c>
      <c r="B107" s="143" t="s">
        <v>35124</v>
      </c>
      <c r="C107" s="157">
        <v>42089.65287037037</v>
      </c>
      <c r="D107" s="37" t="str">
        <f t="shared" si="1"/>
        <v>2015/03/26</v>
      </c>
    </row>
    <row r="108">
      <c r="A108" s="143" t="s">
        <v>1662</v>
      </c>
      <c r="B108" s="143" t="s">
        <v>35125</v>
      </c>
      <c r="C108" s="157">
        <v>45735.52386574074</v>
      </c>
      <c r="D108" s="37" t="str">
        <f t="shared" si="1"/>
        <v>2025/03/19</v>
      </c>
    </row>
    <row r="109">
      <c r="A109" s="143" t="s">
        <v>1928</v>
      </c>
      <c r="B109" s="143" t="s">
        <v>35126</v>
      </c>
      <c r="C109" s="157">
        <v>42618.753113425926</v>
      </c>
      <c r="D109" s="37" t="str">
        <f t="shared" si="1"/>
        <v>2016/09/05</v>
      </c>
    </row>
    <row r="110">
      <c r="A110" s="143" t="s">
        <v>1885</v>
      </c>
      <c r="B110" s="143" t="s">
        <v>35127</v>
      </c>
      <c r="C110" s="157">
        <v>41101.49010416667</v>
      </c>
      <c r="D110" s="37" t="str">
        <f t="shared" si="1"/>
        <v>2012/07/11</v>
      </c>
    </row>
    <row r="111">
      <c r="A111" s="143" t="s">
        <v>1528</v>
      </c>
      <c r="B111" s="143" t="s">
        <v>35128</v>
      </c>
      <c r="C111" s="157">
        <v>41456.497025462966</v>
      </c>
      <c r="D111" s="37" t="str">
        <f t="shared" si="1"/>
        <v>2013/07/01</v>
      </c>
    </row>
    <row r="112">
      <c r="A112" s="143" t="s">
        <v>1760</v>
      </c>
      <c r="B112" s="143" t="s">
        <v>35129</v>
      </c>
      <c r="C112" s="157">
        <v>42991.67309027778</v>
      </c>
      <c r="D112" s="37" t="str">
        <f t="shared" si="1"/>
        <v>2017/09/13</v>
      </c>
    </row>
    <row r="113">
      <c r="A113" s="143" t="s">
        <v>1677</v>
      </c>
      <c r="B113" s="143" t="s">
        <v>35130</v>
      </c>
      <c r="C113" s="157">
        <v>41389.708020833335</v>
      </c>
      <c r="D113" s="37" t="str">
        <f t="shared" si="1"/>
        <v>2013/04/25</v>
      </c>
    </row>
    <row r="114">
      <c r="A114" s="143" t="s">
        <v>1799</v>
      </c>
      <c r="B114" s="143" t="s">
        <v>35131</v>
      </c>
      <c r="C114" s="157">
        <v>43600.775196759256</v>
      </c>
      <c r="D114" s="37" t="str">
        <f t="shared" si="1"/>
        <v>2019/05/15</v>
      </c>
    </row>
    <row r="115">
      <c r="A115" s="143" t="s">
        <v>1680</v>
      </c>
      <c r="B115" s="143" t="s">
        <v>35132</v>
      </c>
      <c r="C115" s="157">
        <v>41648.64934027778</v>
      </c>
      <c r="D115" s="37" t="str">
        <f t="shared" si="1"/>
        <v>2014/01/09</v>
      </c>
    </row>
    <row r="116">
      <c r="A116" s="143" t="s">
        <v>1431</v>
      </c>
      <c r="B116" s="143" t="s">
        <v>35133</v>
      </c>
      <c r="C116" s="157">
        <v>42879.729166666664</v>
      </c>
      <c r="D116" s="37" t="str">
        <f t="shared" si="1"/>
        <v>2017/05/24</v>
      </c>
    </row>
    <row r="117">
      <c r="A117" s="143" t="s">
        <v>1958</v>
      </c>
      <c r="B117" s="143" t="s">
        <v>35134</v>
      </c>
      <c r="C117" s="157">
        <v>40561.62415509259</v>
      </c>
      <c r="D117" s="37" t="str">
        <f t="shared" si="1"/>
        <v>2011/01/18</v>
      </c>
    </row>
    <row r="118">
      <c r="A118" s="143" t="s">
        <v>1944</v>
      </c>
      <c r="B118" s="143" t="s">
        <v>35135</v>
      </c>
      <c r="C118" s="157">
        <v>43481.69074074074</v>
      </c>
      <c r="D118" s="37" t="str">
        <f t="shared" si="1"/>
        <v>2019/01/16</v>
      </c>
    </row>
    <row r="119">
      <c r="A119" s="143" t="s">
        <v>1793</v>
      </c>
      <c r="B119" s="143" t="s">
        <v>35136</v>
      </c>
      <c r="C119" s="157">
        <v>43357.692037037035</v>
      </c>
      <c r="D119" s="37" t="str">
        <f t="shared" si="1"/>
        <v>2018/09/14</v>
      </c>
    </row>
    <row r="120">
      <c r="A120" s="143" t="s">
        <v>1608</v>
      </c>
      <c r="B120" s="143" t="s">
        <v>35137</v>
      </c>
      <c r="C120" s="157">
        <v>45735.90480324074</v>
      </c>
      <c r="D120" s="37" t="str">
        <f t="shared" si="1"/>
        <v>2025/03/19</v>
      </c>
    </row>
    <row r="121">
      <c r="A121" s="143" t="s">
        <v>1988</v>
      </c>
      <c r="B121" s="143" t="s">
        <v>35138</v>
      </c>
      <c r="C121" s="157">
        <v>45734.927199074074</v>
      </c>
      <c r="D121" s="37" t="str">
        <f t="shared" si="1"/>
        <v>2025/03/18</v>
      </c>
    </row>
    <row r="122">
      <c r="A122" s="143" t="s">
        <v>1459</v>
      </c>
      <c r="B122" s="143" t="s">
        <v>35139</v>
      </c>
      <c r="C122" s="157">
        <v>43546.65804398148</v>
      </c>
      <c r="D122" s="37" t="str">
        <f t="shared" si="1"/>
        <v>2019/03/22</v>
      </c>
    </row>
    <row r="123">
      <c r="A123" s="143" t="s">
        <v>1424</v>
      </c>
      <c r="B123" s="143" t="s">
        <v>35140</v>
      </c>
      <c r="C123" s="157">
        <v>43500.86628472222</v>
      </c>
      <c r="D123" s="37" t="str">
        <f t="shared" si="1"/>
        <v>2019/02/04</v>
      </c>
    </row>
    <row r="124">
      <c r="A124" s="143" t="s">
        <v>1845</v>
      </c>
      <c r="B124" s="143" t="s">
        <v>35141</v>
      </c>
      <c r="C124" s="157">
        <v>43497.72431712963</v>
      </c>
      <c r="D124" s="37" t="str">
        <f t="shared" si="1"/>
        <v>2019/02/01</v>
      </c>
    </row>
    <row r="125">
      <c r="A125" s="143" t="s">
        <v>1580</v>
      </c>
      <c r="B125" s="143" t="s">
        <v>35142</v>
      </c>
      <c r="C125" s="157">
        <v>45735.84049768518</v>
      </c>
      <c r="D125" s="37" t="str">
        <f t="shared" si="1"/>
        <v>2025/03/19</v>
      </c>
    </row>
    <row r="126">
      <c r="A126" s="143" t="s">
        <v>1874</v>
      </c>
      <c r="B126" s="143" t="s">
        <v>35143</v>
      </c>
      <c r="C126" s="157">
        <v>40015.49421296296</v>
      </c>
      <c r="D126" s="37" t="str">
        <f t="shared" si="1"/>
        <v>2009/07/21</v>
      </c>
    </row>
    <row r="127">
      <c r="A127" s="143" t="s">
        <v>1504</v>
      </c>
      <c r="B127" s="143" t="s">
        <v>35144</v>
      </c>
      <c r="C127" s="157">
        <v>42725.77712962963</v>
      </c>
      <c r="D127" s="37" t="str">
        <f t="shared" si="1"/>
        <v>2016/12/21</v>
      </c>
    </row>
    <row r="128">
      <c r="A128" s="143" t="s">
        <v>1965</v>
      </c>
      <c r="B128" s="143" t="s">
        <v>35145</v>
      </c>
      <c r="C128" s="157">
        <v>42712.87616898148</v>
      </c>
      <c r="D128" s="37" t="str">
        <f t="shared" si="1"/>
        <v>2016/12/08</v>
      </c>
    </row>
    <row r="129">
      <c r="A129" s="143" t="s">
        <v>1613</v>
      </c>
      <c r="B129" s="143" t="s">
        <v>35146</v>
      </c>
      <c r="C129" s="157">
        <v>41598.892175925925</v>
      </c>
      <c r="D129" s="37" t="str">
        <f t="shared" si="1"/>
        <v>2013/11/20</v>
      </c>
    </row>
    <row r="130">
      <c r="A130" s="143" t="s">
        <v>1777</v>
      </c>
      <c r="B130" s="143" t="s">
        <v>35147</v>
      </c>
      <c r="C130" s="157">
        <v>40962.61274305556</v>
      </c>
      <c r="D130" s="37" t="str">
        <f t="shared" si="1"/>
        <v>2012/02/23</v>
      </c>
    </row>
    <row r="131">
      <c r="A131" s="143" t="s">
        <v>1982</v>
      </c>
      <c r="B131" s="143" t="s">
        <v>35148</v>
      </c>
      <c r="C131" s="157">
        <v>45735.74303240741</v>
      </c>
      <c r="D131" s="37" t="str">
        <f t="shared" si="1"/>
        <v>2025/03/19</v>
      </c>
    </row>
    <row r="132">
      <c r="A132" s="143" t="s">
        <v>1691</v>
      </c>
      <c r="B132" s="143" t="s">
        <v>35149</v>
      </c>
      <c r="C132" s="157">
        <v>41456.77663194444</v>
      </c>
      <c r="D132" s="37" t="str">
        <f t="shared" si="1"/>
        <v>2013/07/01</v>
      </c>
    </row>
    <row r="133">
      <c r="A133" s="143" t="s">
        <v>1888</v>
      </c>
      <c r="B133" s="143" t="s">
        <v>35150</v>
      </c>
      <c r="C133" s="157">
        <v>42807.85760416667</v>
      </c>
      <c r="D133" s="37" t="str">
        <f t="shared" si="1"/>
        <v>2017/03/13</v>
      </c>
    </row>
    <row r="134">
      <c r="A134" s="143" t="s">
        <v>1396</v>
      </c>
      <c r="B134" s="143" t="s">
        <v>35151</v>
      </c>
      <c r="C134" s="157">
        <v>44922.718310185184</v>
      </c>
      <c r="D134" s="37" t="str">
        <f t="shared" si="1"/>
        <v>2022/12/27</v>
      </c>
    </row>
    <row r="135">
      <c r="A135" s="143" t="s">
        <v>1844</v>
      </c>
      <c r="B135" s="143" t="s">
        <v>35152</v>
      </c>
      <c r="C135" s="157">
        <v>42332.53923611111</v>
      </c>
      <c r="D135" s="37" t="str">
        <f t="shared" si="1"/>
        <v>2015/11/24</v>
      </c>
    </row>
    <row r="136">
      <c r="A136" s="143" t="s">
        <v>1763</v>
      </c>
      <c r="B136" s="143" t="s">
        <v>35153</v>
      </c>
      <c r="C136" s="157">
        <v>42072.63905092593</v>
      </c>
      <c r="D136" s="37" t="str">
        <f t="shared" si="1"/>
        <v>2015/03/09</v>
      </c>
    </row>
    <row r="137">
      <c r="A137" s="143" t="s">
        <v>1388</v>
      </c>
      <c r="B137" s="143" t="s">
        <v>35154</v>
      </c>
      <c r="C137" s="157">
        <v>42509.80287037037</v>
      </c>
      <c r="D137" s="37" t="str">
        <f t="shared" si="1"/>
        <v>2016/05/19</v>
      </c>
    </row>
    <row r="138">
      <c r="A138" s="143" t="s">
        <v>2045</v>
      </c>
      <c r="B138" s="143" t="s">
        <v>35155</v>
      </c>
      <c r="C138" s="157">
        <v>42487.581041666665</v>
      </c>
      <c r="D138" s="37" t="str">
        <f t="shared" si="1"/>
        <v>2016/04/27</v>
      </c>
    </row>
    <row r="139">
      <c r="A139" s="143" t="s">
        <v>1685</v>
      </c>
      <c r="B139" s="143" t="s">
        <v>35156</v>
      </c>
      <c r="C139" s="157">
        <v>42467.51211805556</v>
      </c>
      <c r="D139" s="37" t="str">
        <f t="shared" si="1"/>
        <v>2016/04/07</v>
      </c>
    </row>
    <row r="140">
      <c r="A140" s="143" t="s">
        <v>1772</v>
      </c>
      <c r="B140" s="143" t="s">
        <v>35157</v>
      </c>
      <c r="C140" s="157">
        <v>42681.5312962963</v>
      </c>
      <c r="D140" s="37" t="str">
        <f t="shared" si="1"/>
        <v>2016/11/07</v>
      </c>
    </row>
    <row r="141">
      <c r="A141" s="143" t="s">
        <v>1633</v>
      </c>
      <c r="B141" s="143" t="s">
        <v>35158</v>
      </c>
      <c r="C141" s="157">
        <v>45106.859456018516</v>
      </c>
      <c r="D141" s="37" t="str">
        <f t="shared" si="1"/>
        <v>2023/06/29</v>
      </c>
    </row>
    <row r="142">
      <c r="A142" s="143" t="s">
        <v>1542</v>
      </c>
      <c r="B142" s="143" t="s">
        <v>35159</v>
      </c>
      <c r="C142" s="157">
        <v>40708.61599537037</v>
      </c>
      <c r="D142" s="37" t="str">
        <f t="shared" si="1"/>
        <v>2011/06/14</v>
      </c>
    </row>
    <row r="143">
      <c r="A143" s="143" t="s">
        <v>1806</v>
      </c>
      <c r="B143" s="143" t="s">
        <v>35160</v>
      </c>
      <c r="C143" s="157">
        <v>48902.88454861111</v>
      </c>
      <c r="D143" s="37" t="str">
        <f t="shared" si="1"/>
        <v>2033/11/19</v>
      </c>
    </row>
    <row r="144">
      <c r="A144" s="143" t="s">
        <v>1838</v>
      </c>
      <c r="B144" s="143" t="s">
        <v>35161</v>
      </c>
      <c r="C144" s="157">
        <v>42345.617106481484</v>
      </c>
      <c r="D144" s="37" t="str">
        <f t="shared" si="1"/>
        <v>2015/12/07</v>
      </c>
    </row>
    <row r="145">
      <c r="A145" s="143" t="s">
        <v>1534</v>
      </c>
      <c r="B145" s="143" t="s">
        <v>35162</v>
      </c>
      <c r="C145" s="157">
        <v>45385.830925925926</v>
      </c>
      <c r="D145" s="37" t="str">
        <f t="shared" si="1"/>
        <v>2024/04/03</v>
      </c>
    </row>
    <row r="146">
      <c r="A146" s="143" t="s">
        <v>1420</v>
      </c>
      <c r="B146" s="143" t="s">
        <v>35163</v>
      </c>
      <c r="C146" s="157">
        <v>50424.50980324074</v>
      </c>
      <c r="D146" s="37" t="str">
        <f t="shared" si="1"/>
        <v>2038/01/19</v>
      </c>
    </row>
    <row r="147">
      <c r="A147" s="143" t="s">
        <v>1621</v>
      </c>
      <c r="B147" s="143" t="s">
        <v>35164</v>
      </c>
      <c r="C147" s="157">
        <v>45161.5959375</v>
      </c>
      <c r="D147" s="37" t="str">
        <f t="shared" si="1"/>
        <v>2023/08/23</v>
      </c>
    </row>
    <row r="148">
      <c r="A148" s="143" t="s">
        <v>1653</v>
      </c>
      <c r="B148" s="143" t="s">
        <v>35165</v>
      </c>
      <c r="C148" s="157">
        <v>41499.78524305556</v>
      </c>
      <c r="D148" s="37" t="str">
        <f t="shared" si="1"/>
        <v>2013/08/13</v>
      </c>
    </row>
    <row r="149">
      <c r="A149" s="143" t="s">
        <v>1831</v>
      </c>
      <c r="B149" s="143" t="s">
        <v>35166</v>
      </c>
      <c r="C149" s="157">
        <v>40646.7578587963</v>
      </c>
      <c r="D149" s="37" t="str">
        <f t="shared" si="1"/>
        <v>2011/04/13</v>
      </c>
    </row>
    <row r="150">
      <c r="A150" s="143" t="s">
        <v>1471</v>
      </c>
      <c r="B150" s="143" t="s">
        <v>35167</v>
      </c>
      <c r="C150" s="157">
        <v>41311.60445601852</v>
      </c>
      <c r="D150" s="37" t="str">
        <f t="shared" si="1"/>
        <v>2013/02/06</v>
      </c>
    </row>
    <row r="151">
      <c r="A151" s="143" t="s">
        <v>1861</v>
      </c>
      <c r="B151" s="143" t="s">
        <v>35168</v>
      </c>
      <c r="C151" s="157">
        <v>42138.53296296296</v>
      </c>
      <c r="D151" s="37" t="str">
        <f t="shared" si="1"/>
        <v>2015/05/14</v>
      </c>
    </row>
    <row r="152">
      <c r="A152" s="143" t="s">
        <v>1884</v>
      </c>
      <c r="B152" s="143" t="s">
        <v>35169</v>
      </c>
      <c r="C152" s="157">
        <v>42473.83082175926</v>
      </c>
      <c r="D152" s="37" t="str">
        <f t="shared" si="1"/>
        <v>2016/04/13</v>
      </c>
    </row>
    <row r="153">
      <c r="A153" s="143" t="s">
        <v>1533</v>
      </c>
      <c r="B153" s="143" t="s">
        <v>35170</v>
      </c>
      <c r="C153" s="157">
        <v>45735.54902777778</v>
      </c>
      <c r="D153" s="37" t="str">
        <f t="shared" si="1"/>
        <v>2025/03/19</v>
      </c>
    </row>
    <row r="154">
      <c r="A154" s="143" t="s">
        <v>1648</v>
      </c>
      <c r="B154" s="143" t="s">
        <v>35171</v>
      </c>
      <c r="C154" s="157">
        <v>45733.67883101852</v>
      </c>
      <c r="D154" s="37" t="str">
        <f t="shared" si="1"/>
        <v>2025/03/17</v>
      </c>
    </row>
    <row r="155">
      <c r="A155" s="143" t="s">
        <v>1783</v>
      </c>
      <c r="B155" s="143" t="s">
        <v>35172</v>
      </c>
      <c r="C155" s="157">
        <v>43915.70940972222</v>
      </c>
      <c r="D155" s="37" t="str">
        <f t="shared" si="1"/>
        <v>2020/03/25</v>
      </c>
    </row>
    <row r="156">
      <c r="A156" s="143" t="s">
        <v>1376</v>
      </c>
      <c r="B156" s="143" t="s">
        <v>35173</v>
      </c>
      <c r="C156" s="157">
        <v>41555.71917824074</v>
      </c>
      <c r="D156" s="37" t="str">
        <f t="shared" si="1"/>
        <v>2013/10/08</v>
      </c>
    </row>
    <row r="157">
      <c r="A157" s="143" t="s">
        <v>1747</v>
      </c>
      <c r="B157" s="143" t="s">
        <v>35174</v>
      </c>
      <c r="C157" s="157">
        <v>44830.78839120371</v>
      </c>
      <c r="D157" s="37" t="str">
        <f t="shared" si="1"/>
        <v>2022/09/26</v>
      </c>
    </row>
    <row r="158">
      <c r="A158" s="143" t="s">
        <v>1975</v>
      </c>
      <c r="B158" s="143" t="s">
        <v>35175</v>
      </c>
      <c r="C158" s="157">
        <v>40168.70234953704</v>
      </c>
      <c r="D158" s="37" t="str">
        <f t="shared" si="1"/>
        <v>2009/12/21</v>
      </c>
    </row>
    <row r="159">
      <c r="A159" s="143" t="s">
        <v>1452</v>
      </c>
      <c r="B159" s="143" t="s">
        <v>35176</v>
      </c>
      <c r="C159" s="157">
        <v>43900.527546296296</v>
      </c>
      <c r="D159" s="37" t="str">
        <f t="shared" si="1"/>
        <v>2020/03/10</v>
      </c>
    </row>
    <row r="160">
      <c r="A160" s="143" t="s">
        <v>1722</v>
      </c>
      <c r="B160" s="143" t="s">
        <v>35177</v>
      </c>
      <c r="C160" s="157">
        <v>45735.65038194445</v>
      </c>
      <c r="D160" s="37" t="str">
        <f t="shared" si="1"/>
        <v>2025/03/19</v>
      </c>
    </row>
    <row r="161">
      <c r="A161" s="143" t="s">
        <v>1417</v>
      </c>
      <c r="B161" s="143" t="s">
        <v>35178</v>
      </c>
      <c r="C161" s="157">
        <v>45723.815</v>
      </c>
      <c r="D161" s="37" t="str">
        <f t="shared" si="1"/>
        <v>2025/03/07</v>
      </c>
    </row>
    <row r="162">
      <c r="A162" s="143" t="s">
        <v>1782</v>
      </c>
      <c r="B162" s="143" t="s">
        <v>35179</v>
      </c>
      <c r="C162" s="157">
        <v>44365.775243055556</v>
      </c>
      <c r="D162" s="37" t="str">
        <f t="shared" si="1"/>
        <v>2021/06/18</v>
      </c>
    </row>
    <row r="163">
      <c r="A163" s="143" t="s">
        <v>1811</v>
      </c>
      <c r="B163" s="143" t="s">
        <v>35180</v>
      </c>
      <c r="C163" s="157">
        <v>44869.45685185185</v>
      </c>
      <c r="D163" s="37" t="str">
        <f t="shared" si="1"/>
        <v>2022/11/04</v>
      </c>
    </row>
    <row r="164">
      <c r="A164" s="143" t="s">
        <v>2044</v>
      </c>
      <c r="B164" s="143" t="s">
        <v>35181</v>
      </c>
      <c r="C164" s="157">
        <v>41583.43331018519</v>
      </c>
      <c r="D164" s="37" t="str">
        <f t="shared" si="1"/>
        <v>2013/11/05</v>
      </c>
    </row>
    <row r="165">
      <c r="A165" s="143" t="s">
        <v>1869</v>
      </c>
      <c r="B165" s="143" t="s">
        <v>35182</v>
      </c>
      <c r="C165" s="157">
        <v>42626.67052083334</v>
      </c>
      <c r="D165" s="37" t="str">
        <f t="shared" si="1"/>
        <v>2016/09/13</v>
      </c>
    </row>
    <row r="166">
      <c r="A166" s="143" t="s">
        <v>1991</v>
      </c>
      <c r="B166" s="143" t="s">
        <v>35183</v>
      </c>
      <c r="C166" s="157">
        <v>45720.509571759256</v>
      </c>
      <c r="D166" s="37" t="str">
        <f t="shared" si="1"/>
        <v>2025/03/04</v>
      </c>
    </row>
    <row r="167">
      <c r="A167" s="143" t="s">
        <v>1750</v>
      </c>
      <c r="B167" s="143" t="s">
        <v>35184</v>
      </c>
      <c r="C167" s="157">
        <v>43895.68111111111</v>
      </c>
      <c r="D167" s="37" t="str">
        <f t="shared" si="1"/>
        <v>2020/03/05</v>
      </c>
    </row>
    <row r="168">
      <c r="A168" s="143" t="s">
        <v>1478</v>
      </c>
      <c r="B168" s="143" t="s">
        <v>35185</v>
      </c>
      <c r="C168" s="157">
        <v>45735.90925925926</v>
      </c>
      <c r="D168" s="37" t="str">
        <f t="shared" si="1"/>
        <v>2025/03/19</v>
      </c>
    </row>
    <row r="169">
      <c r="A169" s="143" t="s">
        <v>1778</v>
      </c>
      <c r="B169" s="143" t="s">
        <v>35186</v>
      </c>
      <c r="C169" s="157">
        <v>41856.79255787037</v>
      </c>
      <c r="D169" s="37" t="str">
        <f t="shared" si="1"/>
        <v>2014/08/05</v>
      </c>
    </row>
    <row r="170">
      <c r="A170" s="143" t="s">
        <v>1489</v>
      </c>
      <c r="B170" s="143" t="s">
        <v>35187</v>
      </c>
      <c r="C170" s="157">
        <v>45734.431180555555</v>
      </c>
      <c r="D170" s="37" t="str">
        <f t="shared" si="1"/>
        <v>2025/03/18</v>
      </c>
    </row>
    <row r="171">
      <c r="A171" s="143" t="s">
        <v>2000</v>
      </c>
      <c r="B171" s="143" t="s">
        <v>35188</v>
      </c>
      <c r="C171" s="157">
        <v>45734.82724537037</v>
      </c>
      <c r="D171" s="37" t="str">
        <f t="shared" si="1"/>
        <v>2025/03/18</v>
      </c>
    </row>
    <row r="172">
      <c r="A172" s="143" t="s">
        <v>1954</v>
      </c>
      <c r="B172" s="143" t="s">
        <v>35189</v>
      </c>
      <c r="C172" s="157">
        <v>43010.7908912037</v>
      </c>
      <c r="D172" s="37" t="str">
        <f t="shared" si="1"/>
        <v>2017/10/02</v>
      </c>
    </row>
    <row r="173">
      <c r="A173" s="143" t="s">
        <v>1689</v>
      </c>
      <c r="B173" s="143" t="s">
        <v>35190</v>
      </c>
      <c r="C173" s="157">
        <v>41067.603113425925</v>
      </c>
      <c r="D173" s="37" t="str">
        <f t="shared" si="1"/>
        <v>2012/06/07</v>
      </c>
    </row>
    <row r="174">
      <c r="A174" s="143" t="s">
        <v>2026</v>
      </c>
      <c r="B174" s="143" t="s">
        <v>35191</v>
      </c>
      <c r="C174" s="157">
        <v>42558.83697916667</v>
      </c>
      <c r="D174" s="37" t="str">
        <f t="shared" si="1"/>
        <v>2016/07/07</v>
      </c>
    </row>
    <row r="175">
      <c r="A175" s="143" t="s">
        <v>1569</v>
      </c>
      <c r="B175" s="143" t="s">
        <v>35192</v>
      </c>
      <c r="C175" s="157">
        <v>41479.42313657407</v>
      </c>
      <c r="D175" s="37" t="str">
        <f t="shared" si="1"/>
        <v>2013/07/24</v>
      </c>
    </row>
    <row r="176">
      <c r="A176" s="143" t="s">
        <v>1690</v>
      </c>
      <c r="B176" s="143" t="s">
        <v>35193</v>
      </c>
      <c r="C176" s="157">
        <v>42059.635625</v>
      </c>
      <c r="D176" s="37" t="str">
        <f t="shared" si="1"/>
        <v>2015/02/24</v>
      </c>
    </row>
    <row r="177">
      <c r="A177" s="143" t="s">
        <v>1526</v>
      </c>
      <c r="B177" s="143" t="s">
        <v>35194</v>
      </c>
      <c r="C177" s="157">
        <v>44833.83912037037</v>
      </c>
      <c r="D177" s="37" t="str">
        <f t="shared" si="1"/>
        <v>2022/09/29</v>
      </c>
    </row>
    <row r="178">
      <c r="A178" s="143" t="s">
        <v>1744</v>
      </c>
      <c r="B178" s="143" t="s">
        <v>35195</v>
      </c>
      <c r="C178" s="157">
        <v>41724.66569444445</v>
      </c>
      <c r="D178" s="37" t="str">
        <f t="shared" si="1"/>
        <v>2014/03/26</v>
      </c>
    </row>
    <row r="179">
      <c r="A179" s="143" t="s">
        <v>1732</v>
      </c>
      <c r="B179" s="143" t="s">
        <v>35196</v>
      </c>
      <c r="C179" s="157">
        <v>45393.61699074074</v>
      </c>
      <c r="D179" s="37" t="str">
        <f t="shared" si="1"/>
        <v>2024/04/11</v>
      </c>
    </row>
    <row r="180">
      <c r="A180" s="143" t="s">
        <v>1511</v>
      </c>
      <c r="B180" s="143" t="s">
        <v>35197</v>
      </c>
      <c r="C180" s="157">
        <v>41949.780023148145</v>
      </c>
      <c r="D180" s="37" t="str">
        <f t="shared" si="1"/>
        <v>2014/11/06</v>
      </c>
    </row>
    <row r="181">
      <c r="A181" s="143" t="s">
        <v>1917</v>
      </c>
      <c r="B181" s="143" t="s">
        <v>35198</v>
      </c>
      <c r="C181" s="157">
        <v>44887.59045138889</v>
      </c>
      <c r="D181" s="37" t="str">
        <f t="shared" si="1"/>
        <v>2022/11/22</v>
      </c>
    </row>
    <row r="182">
      <c r="A182" s="143" t="s">
        <v>1789</v>
      </c>
      <c r="B182" s="143" t="s">
        <v>35199</v>
      </c>
      <c r="C182" s="157">
        <v>45735.777592592596</v>
      </c>
      <c r="D182" s="37" t="str">
        <f t="shared" si="1"/>
        <v>2025/03/19</v>
      </c>
    </row>
    <row r="183">
      <c r="A183" s="143" t="s">
        <v>1762</v>
      </c>
      <c r="B183" s="143" t="s">
        <v>35200</v>
      </c>
      <c r="C183" s="157">
        <v>41442.72346064815</v>
      </c>
      <c r="D183" s="37" t="str">
        <f t="shared" si="1"/>
        <v>2013/06/17</v>
      </c>
    </row>
    <row r="184">
      <c r="A184" s="143" t="s">
        <v>1939</v>
      </c>
      <c r="B184" s="143" t="s">
        <v>35201</v>
      </c>
      <c r="C184" s="157">
        <v>45390.504328703704</v>
      </c>
      <c r="D184" s="37" t="str">
        <f t="shared" si="1"/>
        <v>2024/04/08</v>
      </c>
    </row>
    <row r="185">
      <c r="A185" s="143" t="s">
        <v>1853</v>
      </c>
      <c r="B185" s="143" t="s">
        <v>35202</v>
      </c>
      <c r="C185" s="157">
        <v>44253.90537037037</v>
      </c>
      <c r="D185" s="37" t="str">
        <f t="shared" si="1"/>
        <v>2021/02/26</v>
      </c>
    </row>
    <row r="186">
      <c r="A186" s="143" t="s">
        <v>1952</v>
      </c>
      <c r="B186" s="143" t="s">
        <v>35203</v>
      </c>
      <c r="C186" s="157">
        <v>45735.72001157407</v>
      </c>
      <c r="D186" s="37" t="str">
        <f t="shared" si="1"/>
        <v>2025/03/19</v>
      </c>
    </row>
    <row r="187">
      <c r="A187" s="143" t="s">
        <v>1938</v>
      </c>
      <c r="B187" s="143" t="s">
        <v>35204</v>
      </c>
      <c r="C187" s="157">
        <v>41207.5909837963</v>
      </c>
      <c r="D187" s="37" t="str">
        <f t="shared" si="1"/>
        <v>2012/10/25</v>
      </c>
    </row>
    <row r="188">
      <c r="A188" s="143" t="s">
        <v>1748</v>
      </c>
      <c r="B188" s="143" t="s">
        <v>35205</v>
      </c>
      <c r="C188" s="157">
        <v>45735.79096064815</v>
      </c>
      <c r="D188" s="37" t="str">
        <f t="shared" si="1"/>
        <v>2025/03/19</v>
      </c>
    </row>
    <row r="189">
      <c r="A189" s="143" t="s">
        <v>1543</v>
      </c>
      <c r="B189" s="143" t="s">
        <v>35206</v>
      </c>
      <c r="C189" s="157">
        <v>44652.65846064815</v>
      </c>
      <c r="D189" s="37" t="str">
        <f t="shared" si="1"/>
        <v>2022/04/01</v>
      </c>
    </row>
    <row r="190">
      <c r="A190" s="143" t="s">
        <v>1637</v>
      </c>
      <c r="B190" s="143" t="s">
        <v>35207</v>
      </c>
      <c r="C190" s="157">
        <v>45735.829363425924</v>
      </c>
      <c r="D190" s="37" t="str">
        <f t="shared" si="1"/>
        <v>2025/03/19</v>
      </c>
    </row>
    <row r="191">
      <c r="A191" s="143" t="s">
        <v>1324</v>
      </c>
      <c r="B191" s="143" t="s">
        <v>35208</v>
      </c>
      <c r="C191" s="157">
        <v>45545.514699074076</v>
      </c>
      <c r="D191" s="37" t="str">
        <f t="shared" si="1"/>
        <v>2024/09/10</v>
      </c>
    </row>
    <row r="192">
      <c r="A192" s="143" t="s">
        <v>1695</v>
      </c>
      <c r="B192" s="143" t="s">
        <v>35209</v>
      </c>
      <c r="C192" s="157">
        <v>41565.591828703706</v>
      </c>
      <c r="D192" s="37" t="str">
        <f t="shared" si="1"/>
        <v>2013/10/18</v>
      </c>
    </row>
    <row r="193">
      <c r="A193" s="143" t="s">
        <v>2008</v>
      </c>
      <c r="B193" s="143" t="s">
        <v>35210</v>
      </c>
      <c r="C193" s="157">
        <v>41530.56814814815</v>
      </c>
      <c r="D193" s="37" t="str">
        <f t="shared" si="1"/>
        <v>2013/09/13</v>
      </c>
    </row>
    <row r="194">
      <c r="A194" s="143" t="s">
        <v>1847</v>
      </c>
      <c r="B194" s="143" t="s">
        <v>35211</v>
      </c>
      <c r="C194" s="157">
        <v>44383.77442129629</v>
      </c>
      <c r="D194" s="37" t="str">
        <f t="shared" si="1"/>
        <v>2021/07/06</v>
      </c>
    </row>
    <row r="195">
      <c r="A195" s="143" t="s">
        <v>1761</v>
      </c>
      <c r="B195" s="143" t="s">
        <v>35212</v>
      </c>
      <c r="C195" s="157">
        <v>41262.8034837963</v>
      </c>
      <c r="D195" s="37" t="str">
        <f t="shared" si="1"/>
        <v>2012/12/19</v>
      </c>
    </row>
    <row r="196">
      <c r="A196" s="143" t="s">
        <v>1470</v>
      </c>
      <c r="B196" s="143" t="s">
        <v>35213</v>
      </c>
      <c r="C196" s="157">
        <v>41501.77217592593</v>
      </c>
      <c r="D196" s="37" t="str">
        <f t="shared" si="1"/>
        <v>2013/08/15</v>
      </c>
    </row>
    <row r="197">
      <c r="A197" s="143" t="s">
        <v>1936</v>
      </c>
      <c r="B197" s="143" t="s">
        <v>35214</v>
      </c>
      <c r="C197" s="157">
        <v>40897.62704861111</v>
      </c>
      <c r="D197" s="37" t="str">
        <f t="shared" si="1"/>
        <v>2011/12/20</v>
      </c>
    </row>
    <row r="198">
      <c r="A198" s="143" t="s">
        <v>1995</v>
      </c>
      <c r="B198" s="143" t="s">
        <v>35215</v>
      </c>
      <c r="C198" s="157">
        <v>50424.50980324074</v>
      </c>
      <c r="D198" s="37" t="str">
        <f t="shared" si="1"/>
        <v>2038/01/19</v>
      </c>
    </row>
    <row r="199">
      <c r="A199" s="143" t="s">
        <v>1912</v>
      </c>
      <c r="B199" s="143" t="s">
        <v>35216</v>
      </c>
      <c r="C199" s="157">
        <v>41284.424479166664</v>
      </c>
      <c r="D199" s="37" t="str">
        <f t="shared" si="1"/>
        <v>2013/01/10</v>
      </c>
    </row>
    <row r="200">
      <c r="A200" s="143" t="s">
        <v>1968</v>
      </c>
      <c r="B200" s="143" t="s">
        <v>35217</v>
      </c>
      <c r="C200" s="157">
        <v>41856.64200231482</v>
      </c>
      <c r="D200" s="37" t="str">
        <f t="shared" si="1"/>
        <v>2014/08/05</v>
      </c>
    </row>
    <row r="201">
      <c r="A201" s="143" t="s">
        <v>1841</v>
      </c>
      <c r="B201" s="143" t="s">
        <v>35218</v>
      </c>
      <c r="C201" s="157">
        <v>44958.39611111111</v>
      </c>
      <c r="D201" s="37" t="str">
        <f t="shared" si="1"/>
        <v>2023/02/01</v>
      </c>
    </row>
    <row r="202">
      <c r="A202" s="143" t="s">
        <v>1549</v>
      </c>
      <c r="B202" s="143" t="s">
        <v>35219</v>
      </c>
      <c r="C202" s="157">
        <v>43486.57892361111</v>
      </c>
      <c r="D202" s="37" t="str">
        <f t="shared" si="1"/>
        <v>2019/01/21</v>
      </c>
    </row>
    <row r="203">
      <c r="A203" s="143" t="s">
        <v>1999</v>
      </c>
      <c r="B203" s="143" t="s">
        <v>35220</v>
      </c>
      <c r="C203" s="157">
        <v>43529.76453703704</v>
      </c>
      <c r="D203" s="37" t="str">
        <f t="shared" si="1"/>
        <v>2019/03/05</v>
      </c>
    </row>
    <row r="204">
      <c r="A204" s="143" t="s">
        <v>1953</v>
      </c>
      <c r="B204" s="143" t="s">
        <v>35221</v>
      </c>
      <c r="C204" s="157">
        <v>43082.45962962963</v>
      </c>
      <c r="D204" s="37" t="str">
        <f t="shared" si="1"/>
        <v>2017/12/13</v>
      </c>
    </row>
    <row r="205">
      <c r="A205" s="143" t="s">
        <v>1712</v>
      </c>
      <c r="B205" s="143" t="s">
        <v>35222</v>
      </c>
      <c r="C205" s="157">
        <v>42397.66328703704</v>
      </c>
      <c r="D205" s="37" t="str">
        <f t="shared" si="1"/>
        <v>2016/01/28</v>
      </c>
    </row>
    <row r="206">
      <c r="A206" s="143" t="s">
        <v>1626</v>
      </c>
      <c r="B206" s="143" t="s">
        <v>35223</v>
      </c>
      <c r="C206" s="157">
        <v>41831.44253472222</v>
      </c>
      <c r="D206" s="37" t="str">
        <f t="shared" si="1"/>
        <v>2014/07/11</v>
      </c>
    </row>
    <row r="207">
      <c r="A207" s="143" t="s">
        <v>1771</v>
      </c>
      <c r="B207" s="143" t="s">
        <v>35224</v>
      </c>
      <c r="C207" s="157">
        <v>43066.41662037037</v>
      </c>
      <c r="D207" s="37" t="str">
        <f t="shared" si="1"/>
        <v>2017/11/27</v>
      </c>
    </row>
    <row r="208">
      <c r="A208" s="143" t="s">
        <v>1854</v>
      </c>
      <c r="B208" s="143" t="s">
        <v>35225</v>
      </c>
      <c r="C208" s="157">
        <v>41015.88518518519</v>
      </c>
      <c r="D208" s="37" t="str">
        <f t="shared" si="1"/>
        <v>2012/04/16</v>
      </c>
    </row>
    <row r="209">
      <c r="A209" s="143" t="s">
        <v>1981</v>
      </c>
      <c r="B209" s="143" t="s">
        <v>35226</v>
      </c>
      <c r="C209" s="157">
        <v>43174.505324074074</v>
      </c>
      <c r="D209" s="37" t="str">
        <f t="shared" si="1"/>
        <v>2018/03/15</v>
      </c>
    </row>
    <row r="210">
      <c r="A210" s="143" t="s">
        <v>1553</v>
      </c>
      <c r="B210" s="143" t="s">
        <v>35227</v>
      </c>
      <c r="C210" s="157">
        <v>41733.54145833333</v>
      </c>
      <c r="D210" s="37" t="str">
        <f t="shared" si="1"/>
        <v>2014/04/04</v>
      </c>
    </row>
    <row r="211">
      <c r="A211" s="143" t="s">
        <v>1318</v>
      </c>
      <c r="B211" s="143" t="s">
        <v>35228</v>
      </c>
      <c r="C211" s="157">
        <v>45735.909004629626</v>
      </c>
      <c r="D211" s="37" t="str">
        <f t="shared" si="1"/>
        <v>2025/03/19</v>
      </c>
    </row>
    <row r="212">
      <c r="A212" s="143" t="s">
        <v>1813</v>
      </c>
      <c r="B212" s="143" t="s">
        <v>35229</v>
      </c>
      <c r="C212" s="157">
        <v>45210.633738425924</v>
      </c>
      <c r="D212" s="37" t="str">
        <f t="shared" si="1"/>
        <v>2023/10/11</v>
      </c>
    </row>
    <row r="213">
      <c r="A213" s="143" t="s">
        <v>1686</v>
      </c>
      <c r="B213" s="143" t="s">
        <v>35230</v>
      </c>
      <c r="C213" s="157">
        <v>45139.66909722222</v>
      </c>
      <c r="D213" s="37" t="str">
        <f t="shared" si="1"/>
        <v>2023/08/01</v>
      </c>
    </row>
    <row r="214">
      <c r="A214" s="143" t="s">
        <v>1766</v>
      </c>
      <c r="B214" s="143" t="s">
        <v>35231</v>
      </c>
      <c r="C214" s="157">
        <v>44932.46260416666</v>
      </c>
      <c r="D214" s="37" t="str">
        <f t="shared" si="1"/>
        <v>2023/01/06</v>
      </c>
    </row>
    <row r="215">
      <c r="A215" s="143" t="s">
        <v>1865</v>
      </c>
      <c r="B215" s="143" t="s">
        <v>35232</v>
      </c>
      <c r="C215" s="157">
        <v>44145.659097222226</v>
      </c>
      <c r="D215" s="37" t="str">
        <f t="shared" si="1"/>
        <v>2020/11/10</v>
      </c>
    </row>
    <row r="216">
      <c r="A216" s="143" t="s">
        <v>1617</v>
      </c>
      <c r="B216" s="143" t="s">
        <v>35233</v>
      </c>
      <c r="C216" s="157">
        <v>45140.750393518516</v>
      </c>
      <c r="D216" s="37" t="str">
        <f t="shared" si="1"/>
        <v>2023/08/02</v>
      </c>
    </row>
    <row r="217">
      <c r="A217" s="143" t="s">
        <v>1829</v>
      </c>
      <c r="B217" s="143" t="s">
        <v>35234</v>
      </c>
      <c r="C217" s="157">
        <v>44190.724027777775</v>
      </c>
      <c r="D217" s="37" t="str">
        <f t="shared" si="1"/>
        <v>2020/12/25</v>
      </c>
    </row>
    <row r="218">
      <c r="A218" s="143" t="s">
        <v>1669</v>
      </c>
      <c r="B218" s="143" t="s">
        <v>35235</v>
      </c>
      <c r="C218" s="157">
        <v>43339.63653935185</v>
      </c>
      <c r="D218" s="37" t="str">
        <f t="shared" si="1"/>
        <v>2018/08/27</v>
      </c>
    </row>
    <row r="219">
      <c r="A219" s="143" t="s">
        <v>1482</v>
      </c>
      <c r="B219" s="143" t="s">
        <v>35236</v>
      </c>
      <c r="C219" s="157">
        <v>45733.61273148148</v>
      </c>
      <c r="D219" s="37" t="str">
        <f t="shared" si="1"/>
        <v>2025/03/17</v>
      </c>
    </row>
    <row r="220">
      <c r="A220" s="143" t="s">
        <v>1600</v>
      </c>
      <c r="B220" s="143" t="s">
        <v>35237</v>
      </c>
      <c r="C220" s="157">
        <v>43035.70447916666</v>
      </c>
      <c r="D220" s="37" t="str">
        <f t="shared" si="1"/>
        <v>2017/10/27</v>
      </c>
    </row>
    <row r="221">
      <c r="A221" s="143" t="s">
        <v>1807</v>
      </c>
      <c r="B221" s="143" t="s">
        <v>35238</v>
      </c>
      <c r="C221" s="157">
        <v>45730.553622685184</v>
      </c>
      <c r="D221" s="37" t="str">
        <f t="shared" si="1"/>
        <v>2025/03/14</v>
      </c>
    </row>
    <row r="222">
      <c r="A222" s="143" t="s">
        <v>2035</v>
      </c>
      <c r="B222" s="143" t="s">
        <v>35239</v>
      </c>
      <c r="C222" s="157">
        <v>45730.71686342593</v>
      </c>
      <c r="D222" s="37" t="str">
        <f t="shared" si="1"/>
        <v>2025/03/14</v>
      </c>
    </row>
    <row r="223">
      <c r="A223" s="143" t="s">
        <v>1848</v>
      </c>
      <c r="B223" s="143" t="s">
        <v>35240</v>
      </c>
      <c r="C223" s="157">
        <v>43067.86226851852</v>
      </c>
      <c r="D223" s="37" t="str">
        <f t="shared" si="1"/>
        <v>2017/11/28</v>
      </c>
    </row>
    <row r="224">
      <c r="A224" s="143" t="s">
        <v>1529</v>
      </c>
      <c r="B224" s="143" t="s">
        <v>35241</v>
      </c>
      <c r="C224" s="157">
        <v>45733.71060185185</v>
      </c>
      <c r="D224" s="37" t="str">
        <f t="shared" si="1"/>
        <v>2025/03/17</v>
      </c>
    </row>
    <row r="225">
      <c r="A225" s="143" t="s">
        <v>1976</v>
      </c>
      <c r="B225" s="143" t="s">
        <v>35242</v>
      </c>
      <c r="C225" s="157">
        <v>44567.74752314815</v>
      </c>
      <c r="D225" s="37" t="str">
        <f t="shared" si="1"/>
        <v>2022/01/06</v>
      </c>
    </row>
    <row r="226">
      <c r="A226" s="143" t="s">
        <v>3391</v>
      </c>
      <c r="B226" s="143" t="s">
        <v>35243</v>
      </c>
      <c r="C226" s="157">
        <v>44232.746782407405</v>
      </c>
      <c r="D226" s="37" t="str">
        <f t="shared" si="1"/>
        <v>2021/02/05</v>
      </c>
    </row>
    <row r="227">
      <c r="A227" s="143" t="s">
        <v>1907</v>
      </c>
      <c r="B227" s="143" t="s">
        <v>35244</v>
      </c>
      <c r="C227" s="157">
        <v>43175.76537037037</v>
      </c>
      <c r="D227" s="37" t="str">
        <f t="shared" si="1"/>
        <v>2018/03/16</v>
      </c>
    </row>
    <row r="228">
      <c r="A228" s="143" t="s">
        <v>1673</v>
      </c>
      <c r="B228" s="143" t="s">
        <v>35245</v>
      </c>
      <c r="C228" s="157">
        <v>44081.81030092593</v>
      </c>
      <c r="D228" s="37" t="str">
        <f t="shared" si="1"/>
        <v>2020/09/07</v>
      </c>
    </row>
    <row r="229">
      <c r="A229" s="143" t="s">
        <v>1647</v>
      </c>
      <c r="B229" s="143" t="s">
        <v>35246</v>
      </c>
      <c r="C229" s="157">
        <v>45722.683796296296</v>
      </c>
      <c r="D229" s="37" t="str">
        <f t="shared" si="1"/>
        <v>2025/03/06</v>
      </c>
    </row>
    <row r="230">
      <c r="A230" s="143" t="s">
        <v>1890</v>
      </c>
      <c r="B230" s="143" t="s">
        <v>35247</v>
      </c>
      <c r="C230" s="157">
        <v>44042.7743287037</v>
      </c>
      <c r="D230" s="37" t="str">
        <f t="shared" si="1"/>
        <v>2020/07/30</v>
      </c>
    </row>
    <row r="231">
      <c r="A231" s="143" t="s">
        <v>1584</v>
      </c>
      <c r="B231" s="143" t="s">
        <v>35248</v>
      </c>
      <c r="C231" s="157">
        <v>43024.621203703704</v>
      </c>
      <c r="D231" s="37" t="str">
        <f t="shared" si="1"/>
        <v>2017/10/16</v>
      </c>
    </row>
    <row r="232">
      <c r="A232" s="143" t="s">
        <v>1714</v>
      </c>
      <c r="B232" s="143" t="s">
        <v>35249</v>
      </c>
      <c r="C232" s="157">
        <v>45723.89394675926</v>
      </c>
      <c r="D232" s="37" t="str">
        <f t="shared" si="1"/>
        <v>2025/03/07</v>
      </c>
    </row>
    <row r="233">
      <c r="A233" s="143" t="s">
        <v>2015</v>
      </c>
      <c r="B233" s="143" t="s">
        <v>35250</v>
      </c>
      <c r="C233" s="157">
        <v>43598.65416666667</v>
      </c>
      <c r="D233" s="37" t="str">
        <f t="shared" si="1"/>
        <v>2019/05/13</v>
      </c>
    </row>
    <row r="234">
      <c r="A234" s="143" t="s">
        <v>1820</v>
      </c>
      <c r="B234" s="143" t="s">
        <v>35251</v>
      </c>
      <c r="C234" s="157">
        <v>43909.696238425924</v>
      </c>
      <c r="D234" s="37" t="str">
        <f t="shared" si="1"/>
        <v>2020/03/19</v>
      </c>
    </row>
    <row r="235">
      <c r="A235" s="143" t="s">
        <v>1800</v>
      </c>
      <c r="B235" s="143" t="s">
        <v>35252</v>
      </c>
      <c r="C235" s="157">
        <v>45715.65319444444</v>
      </c>
      <c r="D235" s="37" t="str">
        <f t="shared" si="1"/>
        <v>2025/02/27</v>
      </c>
    </row>
    <row r="236">
      <c r="A236" s="143" t="s">
        <v>1870</v>
      </c>
      <c r="B236" s="143" t="s">
        <v>35253</v>
      </c>
      <c r="C236" s="157">
        <v>45554.610127314816</v>
      </c>
      <c r="D236" s="37" t="str">
        <f t="shared" si="1"/>
        <v>2024/09/19</v>
      </c>
    </row>
    <row r="237">
      <c r="A237" s="143" t="s">
        <v>1554</v>
      </c>
      <c r="B237" s="143" t="s">
        <v>35254</v>
      </c>
      <c r="C237" s="157">
        <v>44782.71892361111</v>
      </c>
      <c r="D237" s="37" t="str">
        <f t="shared" si="1"/>
        <v>2022/08/09</v>
      </c>
    </row>
    <row r="238">
      <c r="A238" s="143" t="s">
        <v>1826</v>
      </c>
      <c r="B238" s="143" t="s">
        <v>35255</v>
      </c>
      <c r="C238" s="157">
        <v>43276.59607638889</v>
      </c>
      <c r="D238" s="37" t="str">
        <f t="shared" si="1"/>
        <v>2018/06/25</v>
      </c>
    </row>
    <row r="239">
      <c r="A239" s="143" t="s">
        <v>1462</v>
      </c>
      <c r="B239" s="143" t="s">
        <v>35256</v>
      </c>
      <c r="C239" s="157">
        <v>45735.77038194444</v>
      </c>
      <c r="D239" s="37" t="str">
        <f t="shared" si="1"/>
        <v>2025/03/19</v>
      </c>
    </row>
    <row r="240">
      <c r="A240" s="143" t="s">
        <v>1508</v>
      </c>
      <c r="B240" s="143" t="s">
        <v>35257</v>
      </c>
      <c r="C240" s="157">
        <v>43496.569710648146</v>
      </c>
      <c r="D240" s="37" t="str">
        <f t="shared" si="1"/>
        <v>2019/01/31</v>
      </c>
    </row>
    <row r="241">
      <c r="A241" s="143" t="s">
        <v>2039</v>
      </c>
      <c r="B241" s="143" t="s">
        <v>35258</v>
      </c>
      <c r="C241" s="157">
        <v>43706.62320601852</v>
      </c>
      <c r="D241" s="37" t="str">
        <f t="shared" si="1"/>
        <v>2019/08/29</v>
      </c>
    </row>
  </sheetData>
  <hyperlinks>
    <hyperlink r:id="rId1" location="gid=1294514721" ref="A1"/>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2060</v>
      </c>
      <c r="B1" s="7" t="s">
        <v>2391</v>
      </c>
      <c r="C1" s="7" t="s">
        <v>2391</v>
      </c>
      <c r="D1" s="7" t="s">
        <v>35259</v>
      </c>
    </row>
    <row r="2">
      <c r="A2" s="7" t="s">
        <v>1785</v>
      </c>
      <c r="B2" s="7">
        <v>400.0</v>
      </c>
      <c r="C2" s="7" t="s">
        <v>33912</v>
      </c>
      <c r="D2" s="160">
        <v>0.0</v>
      </c>
    </row>
    <row r="3">
      <c r="A3" s="7" t="s">
        <v>1989</v>
      </c>
      <c r="B3" s="7">
        <v>552758.0</v>
      </c>
      <c r="C3" s="7" t="s">
        <v>34028</v>
      </c>
      <c r="D3" s="160">
        <v>0.0</v>
      </c>
    </row>
    <row r="4">
      <c r="A4" s="7" t="s">
        <v>2019</v>
      </c>
      <c r="B4" s="7">
        <v>123890.0</v>
      </c>
      <c r="C4" s="7" t="s">
        <v>34292</v>
      </c>
      <c r="D4" s="160">
        <v>0.0</v>
      </c>
    </row>
    <row r="5">
      <c r="A5" s="7" t="s">
        <v>1644</v>
      </c>
      <c r="B5" s="7">
        <v>8124740.0</v>
      </c>
      <c r="C5" s="7" t="s">
        <v>34276</v>
      </c>
      <c r="D5" s="160">
        <v>3.0E-5</v>
      </c>
    </row>
    <row r="6">
      <c r="A6" s="7" t="s">
        <v>1813</v>
      </c>
      <c r="B6" s="7">
        <v>3.3620787014E10</v>
      </c>
      <c r="C6" s="7" t="s">
        <v>34310</v>
      </c>
      <c r="D6" s="160">
        <v>0.11628</v>
      </c>
    </row>
    <row r="7">
      <c r="A7" s="7" t="s">
        <v>1774</v>
      </c>
      <c r="B7" s="7">
        <v>1.32786779E9</v>
      </c>
      <c r="C7" s="7" t="s">
        <v>34329</v>
      </c>
      <c r="D7" s="160">
        <v>0.00459</v>
      </c>
    </row>
    <row r="8">
      <c r="A8" s="7" t="s">
        <v>1921</v>
      </c>
      <c r="B8" s="7">
        <v>2.252516E7</v>
      </c>
      <c r="C8" s="7" t="s">
        <v>35260</v>
      </c>
      <c r="D8" s="160">
        <v>8.0E-5</v>
      </c>
    </row>
    <row r="9">
      <c r="A9" s="7" t="s">
        <v>1441</v>
      </c>
      <c r="B9" s="7">
        <v>6.4157549E7</v>
      </c>
      <c r="C9" s="7" t="s">
        <v>34316</v>
      </c>
      <c r="D9" s="160">
        <v>2.2E-4</v>
      </c>
    </row>
    <row r="10">
      <c r="A10" s="7" t="s">
        <v>1649</v>
      </c>
      <c r="B10" s="7">
        <v>2982128.0</v>
      </c>
      <c r="C10" s="7" t="s">
        <v>34296</v>
      </c>
      <c r="D10" s="160">
        <v>1.0E-5</v>
      </c>
    </row>
    <row r="11">
      <c r="A11" s="7" t="s">
        <v>1746</v>
      </c>
      <c r="B11" s="7">
        <v>6066.0</v>
      </c>
      <c r="C11" s="7" t="s">
        <v>33974</v>
      </c>
      <c r="D11" s="160">
        <v>0.0</v>
      </c>
    </row>
    <row r="12">
      <c r="A12" s="7" t="s">
        <v>1686</v>
      </c>
      <c r="B12" s="7">
        <v>2475133.0</v>
      </c>
      <c r="C12" s="7" t="s">
        <v>34278</v>
      </c>
      <c r="D12" s="160">
        <v>1.0E-5</v>
      </c>
    </row>
    <row r="13">
      <c r="A13" s="7" t="s">
        <v>1740</v>
      </c>
      <c r="B13" s="7">
        <v>5.0747258E7</v>
      </c>
      <c r="C13" s="7" t="s">
        <v>34314</v>
      </c>
      <c r="D13" s="160">
        <v>1.8E-4</v>
      </c>
    </row>
    <row r="14">
      <c r="A14" s="7" t="s">
        <v>2042</v>
      </c>
      <c r="B14" s="7">
        <v>3.808497133E10</v>
      </c>
      <c r="C14" s="7" t="s">
        <v>35261</v>
      </c>
      <c r="D14" s="160">
        <v>0.13172</v>
      </c>
    </row>
    <row r="15">
      <c r="A15" s="7" t="s">
        <v>1755</v>
      </c>
      <c r="B15" s="7">
        <v>9.13753676E8</v>
      </c>
      <c r="C15" s="7" t="s">
        <v>34313</v>
      </c>
      <c r="D15" s="160">
        <v>0.00316</v>
      </c>
    </row>
    <row r="16">
      <c r="A16" s="7" t="s">
        <v>1898</v>
      </c>
      <c r="B16" s="7">
        <v>0.0</v>
      </c>
      <c r="C16" s="7" t="s">
        <v>33912</v>
      </c>
      <c r="D16" s="160">
        <v>0.0</v>
      </c>
    </row>
    <row r="17">
      <c r="A17" s="7" t="s">
        <v>1474</v>
      </c>
      <c r="B17" s="7">
        <v>1.43526854E9</v>
      </c>
      <c r="C17" s="7" t="s">
        <v>34306</v>
      </c>
      <c r="D17" s="160">
        <v>0.00496</v>
      </c>
    </row>
    <row r="18">
      <c r="A18" s="7" t="s">
        <v>1765</v>
      </c>
      <c r="B18" s="7">
        <v>188330.0</v>
      </c>
      <c r="C18" s="7" t="s">
        <v>33929</v>
      </c>
      <c r="D18" s="160">
        <v>0.0</v>
      </c>
    </row>
    <row r="19">
      <c r="A19" s="7" t="s">
        <v>2043</v>
      </c>
      <c r="B19" s="7">
        <v>33898.0</v>
      </c>
      <c r="C19" s="7" t="s">
        <v>33977</v>
      </c>
      <c r="D19" s="160">
        <v>0.0</v>
      </c>
    </row>
    <row r="20">
      <c r="A20" s="7" t="s">
        <v>1462</v>
      </c>
      <c r="B20" s="7">
        <v>1.423877293E10</v>
      </c>
      <c r="C20" s="7" t="s">
        <v>34327</v>
      </c>
      <c r="D20" s="160">
        <v>0.04925</v>
      </c>
    </row>
    <row r="21">
      <c r="A21" s="7" t="s">
        <v>1629</v>
      </c>
      <c r="B21" s="7">
        <v>123856.0</v>
      </c>
      <c r="C21" s="7" t="s">
        <v>34292</v>
      </c>
      <c r="D21" s="160">
        <v>0.0</v>
      </c>
    </row>
    <row r="22">
      <c r="A22" s="7" t="s">
        <v>1698</v>
      </c>
      <c r="B22" s="7">
        <v>1.0404124365E10</v>
      </c>
      <c r="C22" s="7" t="s">
        <v>34326</v>
      </c>
      <c r="D22" s="160">
        <v>0.03598</v>
      </c>
    </row>
    <row r="23">
      <c r="A23" s="7" t="s">
        <v>1878</v>
      </c>
      <c r="B23" s="7">
        <v>8.65033927E8</v>
      </c>
      <c r="C23" s="7" t="s">
        <v>35262</v>
      </c>
      <c r="D23" s="160">
        <v>0.00299</v>
      </c>
    </row>
    <row r="24">
      <c r="A24" s="7" t="s">
        <v>1384</v>
      </c>
      <c r="B24" s="7">
        <v>6102000.0</v>
      </c>
      <c r="C24" s="7" t="s">
        <v>34257</v>
      </c>
      <c r="D24" s="160">
        <v>2.0E-5</v>
      </c>
    </row>
    <row r="25">
      <c r="A25" s="7" t="s">
        <v>1766</v>
      </c>
      <c r="B25" s="7">
        <v>1.673553502E9</v>
      </c>
      <c r="C25" s="7" t="s">
        <v>34304</v>
      </c>
      <c r="D25" s="160">
        <v>0.00579</v>
      </c>
    </row>
    <row r="26">
      <c r="A26" s="7" t="s">
        <v>1786</v>
      </c>
      <c r="B26" s="7">
        <v>3.637415936E9</v>
      </c>
      <c r="C26" s="7" t="s">
        <v>34290</v>
      </c>
      <c r="D26" s="160">
        <v>0.01258</v>
      </c>
    </row>
    <row r="27">
      <c r="A27" s="7" t="s">
        <v>1877</v>
      </c>
      <c r="B27" s="7">
        <v>1.44681184E8</v>
      </c>
      <c r="C27" s="7" t="s">
        <v>35263</v>
      </c>
      <c r="D27" s="160">
        <v>5.0E-4</v>
      </c>
    </row>
    <row r="28">
      <c r="A28" s="7" t="s">
        <v>1865</v>
      </c>
      <c r="B28" s="7">
        <v>2.211292877E9</v>
      </c>
      <c r="C28" s="7" t="s">
        <v>35264</v>
      </c>
      <c r="D28" s="160">
        <v>0.00765</v>
      </c>
    </row>
    <row r="29">
      <c r="A29" s="7" t="s">
        <v>1447</v>
      </c>
      <c r="B29" s="7">
        <v>1.07925029E8</v>
      </c>
      <c r="C29" s="7" t="s">
        <v>34284</v>
      </c>
      <c r="D29" s="160">
        <v>3.7E-4</v>
      </c>
    </row>
    <row r="30">
      <c r="A30" s="7" t="s">
        <v>1500</v>
      </c>
      <c r="B30" s="7">
        <v>1.0</v>
      </c>
      <c r="C30" s="7" t="s">
        <v>33912</v>
      </c>
      <c r="D30" s="160">
        <v>0.0</v>
      </c>
    </row>
    <row r="31">
      <c r="A31" s="7" t="s">
        <v>1702</v>
      </c>
      <c r="B31" s="7">
        <v>9.0</v>
      </c>
      <c r="C31" s="7" t="s">
        <v>33912</v>
      </c>
      <c r="D31" s="160">
        <v>0.0</v>
      </c>
    </row>
    <row r="32">
      <c r="A32" s="7" t="s">
        <v>2011</v>
      </c>
      <c r="B32" s="7">
        <v>97944.0</v>
      </c>
      <c r="C32" s="7" t="s">
        <v>33949</v>
      </c>
      <c r="D32" s="160">
        <v>0.0</v>
      </c>
    </row>
    <row r="33">
      <c r="A33" s="7" t="s">
        <v>1779</v>
      </c>
      <c r="B33" s="7">
        <v>1144973.0</v>
      </c>
      <c r="C33" s="7" t="s">
        <v>34255</v>
      </c>
      <c r="D33" s="160">
        <v>0.0</v>
      </c>
    </row>
    <row r="34">
      <c r="A34" s="7" t="s">
        <v>1380</v>
      </c>
      <c r="B34" s="7">
        <v>45.0</v>
      </c>
      <c r="C34" s="7" t="s">
        <v>33912</v>
      </c>
      <c r="D34" s="160">
        <v>0.0</v>
      </c>
    </row>
    <row r="35">
      <c r="A35" s="7" t="s">
        <v>1539</v>
      </c>
      <c r="B35" s="7">
        <v>6575.0</v>
      </c>
      <c r="C35" s="7" t="s">
        <v>33974</v>
      </c>
      <c r="D35" s="160">
        <v>0.0</v>
      </c>
    </row>
    <row r="36">
      <c r="A36" s="7" t="s">
        <v>1617</v>
      </c>
      <c r="B36" s="7">
        <v>3.92838852E9</v>
      </c>
      <c r="C36" s="7" t="s">
        <v>34311</v>
      </c>
      <c r="D36" s="160">
        <v>0.01359</v>
      </c>
    </row>
    <row r="37">
      <c r="A37" s="7" t="s">
        <v>1941</v>
      </c>
      <c r="B37" s="7">
        <v>185995.0</v>
      </c>
      <c r="C37" s="7" t="s">
        <v>33929</v>
      </c>
      <c r="D37" s="160">
        <v>0.0</v>
      </c>
    </row>
    <row r="38">
      <c r="A38" s="7" t="s">
        <v>1736</v>
      </c>
      <c r="B38" s="7">
        <v>2.0608066E7</v>
      </c>
      <c r="C38" s="7" t="s">
        <v>34294</v>
      </c>
      <c r="D38" s="160">
        <v>7.0E-5</v>
      </c>
    </row>
    <row r="39">
      <c r="A39" s="7" t="s">
        <v>2007</v>
      </c>
      <c r="B39" s="7">
        <v>2.659449E7</v>
      </c>
      <c r="C39" s="7" t="s">
        <v>35265</v>
      </c>
      <c r="D39" s="160">
        <v>9.0E-5</v>
      </c>
    </row>
    <row r="40">
      <c r="A40" s="7" t="s">
        <v>1667</v>
      </c>
      <c r="B40" s="7">
        <v>1.26169043E8</v>
      </c>
      <c r="C40" s="7" t="s">
        <v>34332</v>
      </c>
      <c r="D40" s="160">
        <v>4.4E-4</v>
      </c>
    </row>
    <row r="41">
      <c r="A41" s="7" t="s">
        <v>1713</v>
      </c>
      <c r="B41" s="7">
        <v>1.3897452E7</v>
      </c>
      <c r="C41" s="7" t="s">
        <v>34324</v>
      </c>
      <c r="D41" s="160">
        <v>5.0E-5</v>
      </c>
    </row>
    <row r="42">
      <c r="A42" s="7" t="s">
        <v>1598</v>
      </c>
      <c r="B42" s="7">
        <v>6.566867748E9</v>
      </c>
      <c r="C42" s="7" t="s">
        <v>34307</v>
      </c>
      <c r="D42" s="160">
        <v>0.02271</v>
      </c>
    </row>
    <row r="43">
      <c r="A43" s="7" t="s">
        <v>1567</v>
      </c>
      <c r="B43" s="7">
        <v>4.7944259E7</v>
      </c>
      <c r="C43" s="7" t="s">
        <v>34312</v>
      </c>
      <c r="D43" s="160">
        <v>1.7E-4</v>
      </c>
    </row>
    <row r="44">
      <c r="A44" s="7" t="s">
        <v>1477</v>
      </c>
      <c r="B44" s="7">
        <v>590.0</v>
      </c>
      <c r="C44" s="7" t="s">
        <v>33912</v>
      </c>
      <c r="D44" s="160">
        <v>0.0</v>
      </c>
    </row>
    <row r="45">
      <c r="A45" s="7" t="s">
        <v>1925</v>
      </c>
      <c r="B45" s="7">
        <v>1070650.0</v>
      </c>
      <c r="C45" s="7" t="s">
        <v>35266</v>
      </c>
      <c r="D45" s="160">
        <v>0.0</v>
      </c>
    </row>
    <row r="46">
      <c r="A46" s="7" t="s">
        <v>1829</v>
      </c>
      <c r="B46" s="7">
        <v>1.625332511E9</v>
      </c>
      <c r="C46" s="7" t="s">
        <v>34353</v>
      </c>
      <c r="D46" s="160">
        <v>0.00562</v>
      </c>
    </row>
    <row r="47">
      <c r="A47" s="7" t="s">
        <v>1669</v>
      </c>
      <c r="B47" s="7">
        <v>80937.0</v>
      </c>
      <c r="C47" s="7" t="s">
        <v>33908</v>
      </c>
      <c r="D47" s="160">
        <v>0.0</v>
      </c>
    </row>
    <row r="48">
      <c r="A48" s="7" t="s">
        <v>1711</v>
      </c>
      <c r="B48" s="7">
        <v>5.03608991E8</v>
      </c>
      <c r="C48" s="7" t="s">
        <v>34286</v>
      </c>
      <c r="D48" s="160">
        <v>0.00174</v>
      </c>
    </row>
    <row r="49">
      <c r="A49" s="7" t="s">
        <v>1482</v>
      </c>
      <c r="B49" s="7">
        <v>2.28716021E8</v>
      </c>
      <c r="C49" s="7" t="s">
        <v>34349</v>
      </c>
      <c r="D49" s="160">
        <v>7.9E-4</v>
      </c>
    </row>
    <row r="50">
      <c r="A50" s="7" t="s">
        <v>1485</v>
      </c>
      <c r="B50" s="7">
        <v>86133.0</v>
      </c>
      <c r="C50" s="7" t="s">
        <v>33908</v>
      </c>
      <c r="D50" s="160">
        <v>0.0</v>
      </c>
    </row>
    <row r="51">
      <c r="A51" s="7" t="s">
        <v>1825</v>
      </c>
      <c r="B51" s="7">
        <v>365454.0</v>
      </c>
      <c r="C51" s="7" t="s">
        <v>34260</v>
      </c>
      <c r="D51" s="160">
        <v>0.0</v>
      </c>
    </row>
    <row r="52">
      <c r="A52" s="7" t="s">
        <v>1497</v>
      </c>
      <c r="B52" s="7">
        <v>5504815.0</v>
      </c>
      <c r="C52" s="7" t="s">
        <v>34264</v>
      </c>
      <c r="D52" s="160">
        <v>2.0E-5</v>
      </c>
    </row>
    <row r="53">
      <c r="A53" s="7" t="s">
        <v>2031</v>
      </c>
      <c r="B53" s="7">
        <v>9366171.0</v>
      </c>
      <c r="C53" s="7" t="s">
        <v>35267</v>
      </c>
      <c r="D53" s="160">
        <v>3.0E-5</v>
      </c>
    </row>
    <row r="54">
      <c r="A54" s="7" t="s">
        <v>1987</v>
      </c>
      <c r="B54" s="7">
        <v>611447.0</v>
      </c>
      <c r="C54" s="7" t="s">
        <v>35268</v>
      </c>
      <c r="D54" s="160">
        <v>0.0</v>
      </c>
    </row>
    <row r="55">
      <c r="A55" s="7" t="s">
        <v>1959</v>
      </c>
      <c r="B55" s="7">
        <v>3889.0</v>
      </c>
      <c r="C55" s="7" t="s">
        <v>33912</v>
      </c>
      <c r="D55" s="160">
        <v>0.0</v>
      </c>
    </row>
    <row r="56">
      <c r="A56" s="7" t="s">
        <v>1599</v>
      </c>
      <c r="B56" s="7">
        <v>280889.0</v>
      </c>
      <c r="C56" s="7" t="s">
        <v>33916</v>
      </c>
      <c r="D56" s="160">
        <v>0.0</v>
      </c>
    </row>
    <row r="57">
      <c r="A57" s="7" t="s">
        <v>1466</v>
      </c>
      <c r="B57" s="7">
        <v>1.3402997E7</v>
      </c>
      <c r="C57" s="7" t="s">
        <v>34265</v>
      </c>
      <c r="D57" s="160">
        <v>5.0E-5</v>
      </c>
    </row>
    <row r="58">
      <c r="A58" s="7" t="s">
        <v>1940</v>
      </c>
      <c r="B58" s="7">
        <v>12625.0</v>
      </c>
      <c r="C58" s="7" t="s">
        <v>33974</v>
      </c>
      <c r="D58" s="160">
        <v>0.0</v>
      </c>
    </row>
    <row r="59">
      <c r="A59" s="7" t="s">
        <v>1694</v>
      </c>
      <c r="B59" s="7">
        <v>1.2021012E8</v>
      </c>
      <c r="C59" s="7" t="s">
        <v>34301</v>
      </c>
      <c r="D59" s="160">
        <v>4.2E-4</v>
      </c>
    </row>
    <row r="60">
      <c r="A60" s="7" t="s">
        <v>2046</v>
      </c>
      <c r="B60" s="7">
        <v>9905985.0</v>
      </c>
      <c r="C60" s="7" t="s">
        <v>35269</v>
      </c>
      <c r="D60" s="160">
        <v>3.0E-5</v>
      </c>
    </row>
    <row r="61">
      <c r="A61" s="7" t="s">
        <v>1749</v>
      </c>
      <c r="B61" s="7">
        <v>5760838.0</v>
      </c>
      <c r="C61" s="7" t="s">
        <v>34243</v>
      </c>
      <c r="D61" s="160">
        <v>2.0E-5</v>
      </c>
    </row>
    <row r="62">
      <c r="A62" s="7" t="s">
        <v>1640</v>
      </c>
      <c r="B62" s="7">
        <v>14035.0</v>
      </c>
      <c r="C62" s="7" t="s">
        <v>33974</v>
      </c>
      <c r="D62" s="160">
        <v>0.0</v>
      </c>
    </row>
    <row r="63">
      <c r="A63" s="7" t="s">
        <v>1864</v>
      </c>
      <c r="B63" s="7">
        <v>2.066737E7</v>
      </c>
      <c r="C63" s="7" t="s">
        <v>35270</v>
      </c>
      <c r="D63" s="160">
        <v>7.0E-5</v>
      </c>
    </row>
    <row r="64">
      <c r="A64" s="7" t="s">
        <v>1448</v>
      </c>
      <c r="B64" s="7">
        <v>29588.0</v>
      </c>
      <c r="C64" s="7" t="s">
        <v>33977</v>
      </c>
      <c r="D64" s="160">
        <v>0.0</v>
      </c>
    </row>
    <row r="65">
      <c r="A65" s="7" t="s">
        <v>1700</v>
      </c>
      <c r="B65" s="7">
        <v>2146324.0</v>
      </c>
      <c r="C65" s="7" t="s">
        <v>34251</v>
      </c>
      <c r="D65" s="160">
        <v>1.0E-5</v>
      </c>
    </row>
    <row r="66">
      <c r="A66" s="7" t="s">
        <v>2032</v>
      </c>
      <c r="B66" s="7">
        <v>1.2543219E7</v>
      </c>
      <c r="C66" s="7" t="s">
        <v>35271</v>
      </c>
      <c r="D66" s="160">
        <v>4.0E-5</v>
      </c>
    </row>
    <row r="67">
      <c r="A67" s="7" t="s">
        <v>1562</v>
      </c>
      <c r="B67" s="7">
        <v>95039.0</v>
      </c>
      <c r="C67" s="7" t="s">
        <v>33949</v>
      </c>
      <c r="D67" s="160">
        <v>0.0</v>
      </c>
    </row>
    <row r="68">
      <c r="A68" s="7" t="s">
        <v>1600</v>
      </c>
      <c r="B68" s="7">
        <v>398816.0</v>
      </c>
      <c r="C68" s="7" t="s">
        <v>34282</v>
      </c>
      <c r="D68" s="160">
        <v>0.0</v>
      </c>
    </row>
    <row r="69">
      <c r="A69" s="7" t="s">
        <v>1807</v>
      </c>
      <c r="B69" s="7">
        <v>3.5573233657E10</v>
      </c>
      <c r="C69" s="7" t="s">
        <v>34351</v>
      </c>
      <c r="D69" s="160">
        <v>0.12303</v>
      </c>
    </row>
    <row r="70">
      <c r="A70" s="7" t="s">
        <v>1976</v>
      </c>
      <c r="B70" s="7">
        <v>341.0</v>
      </c>
      <c r="C70" s="7" t="s">
        <v>33912</v>
      </c>
      <c r="D70" s="160">
        <v>0.0</v>
      </c>
    </row>
    <row r="71">
      <c r="A71" s="7" t="s">
        <v>2035</v>
      </c>
      <c r="B71" s="7">
        <v>1.178663673E9</v>
      </c>
      <c r="C71" s="7" t="s">
        <v>35272</v>
      </c>
      <c r="D71" s="160">
        <v>0.00408</v>
      </c>
    </row>
    <row r="72">
      <c r="A72" s="7" t="s">
        <v>1848</v>
      </c>
      <c r="B72" s="7">
        <v>1.66927708E8</v>
      </c>
      <c r="C72" s="7" t="s">
        <v>34283</v>
      </c>
      <c r="D72" s="160">
        <v>5.8E-4</v>
      </c>
    </row>
    <row r="73">
      <c r="A73" s="7" t="s">
        <v>1529</v>
      </c>
      <c r="B73" s="7">
        <v>5.118417658E9</v>
      </c>
      <c r="C73" s="7" t="s">
        <v>34343</v>
      </c>
      <c r="D73" s="160">
        <v>0.0177</v>
      </c>
    </row>
    <row r="74">
      <c r="A74" s="7" t="s">
        <v>1764</v>
      </c>
      <c r="B74" s="7">
        <v>1.720436538E9</v>
      </c>
      <c r="C74" s="7" t="s">
        <v>34270</v>
      </c>
      <c r="D74" s="160">
        <v>0.00595</v>
      </c>
    </row>
    <row r="75">
      <c r="A75" s="7" t="s">
        <v>1440</v>
      </c>
      <c r="B75" s="7">
        <v>1366.0</v>
      </c>
      <c r="C75" s="7" t="s">
        <v>33912</v>
      </c>
      <c r="D75" s="160">
        <v>0.0</v>
      </c>
    </row>
    <row r="76">
      <c r="A76" s="7" t="s">
        <v>2023</v>
      </c>
      <c r="B76" s="7">
        <v>0.0</v>
      </c>
      <c r="C76" s="7" t="s">
        <v>33912</v>
      </c>
      <c r="D76" s="160">
        <v>0.0</v>
      </c>
    </row>
    <row r="77">
      <c r="A77" s="7" t="s">
        <v>1903</v>
      </c>
      <c r="B77" s="7">
        <v>1.0</v>
      </c>
      <c r="C77" s="7" t="s">
        <v>33912</v>
      </c>
      <c r="D77" s="160">
        <v>0.0</v>
      </c>
    </row>
    <row r="78">
      <c r="A78" s="7" t="s">
        <v>1729</v>
      </c>
      <c r="B78" s="7">
        <v>104018.0</v>
      </c>
      <c r="C78" s="7" t="s">
        <v>34241</v>
      </c>
      <c r="D78" s="160">
        <v>0.0</v>
      </c>
    </row>
    <row r="79">
      <c r="A79" s="7" t="s">
        <v>1666</v>
      </c>
      <c r="B79" s="7">
        <v>125417.0</v>
      </c>
      <c r="C79" s="7" t="s">
        <v>34292</v>
      </c>
      <c r="D79" s="160">
        <v>0.0</v>
      </c>
    </row>
    <row r="80">
      <c r="A80" s="7" t="s">
        <v>2030</v>
      </c>
      <c r="B80" s="7">
        <v>477859.0</v>
      </c>
      <c r="C80" s="7" t="s">
        <v>34263</v>
      </c>
      <c r="D80" s="160">
        <v>0.0</v>
      </c>
    </row>
    <row r="81">
      <c r="A81" s="7" t="s">
        <v>1784</v>
      </c>
      <c r="B81" s="7">
        <v>10548.0</v>
      </c>
      <c r="C81" s="7" t="s">
        <v>33974</v>
      </c>
      <c r="D81" s="160">
        <v>0.0</v>
      </c>
    </row>
    <row r="82">
      <c r="A82" s="7" t="s">
        <v>1734</v>
      </c>
      <c r="B82" s="7">
        <v>30870.0</v>
      </c>
      <c r="C82" s="7" t="s">
        <v>33977</v>
      </c>
      <c r="D82" s="160">
        <v>0.0</v>
      </c>
    </row>
    <row r="83">
      <c r="A83" s="7" t="s">
        <v>1851</v>
      </c>
      <c r="B83" s="7">
        <v>97914.0</v>
      </c>
      <c r="C83" s="7" t="s">
        <v>33949</v>
      </c>
      <c r="D83" s="160">
        <v>0.0</v>
      </c>
    </row>
    <row r="84">
      <c r="A84" s="7" t="s">
        <v>1832</v>
      </c>
      <c r="B84" s="7">
        <v>9.6795953E7</v>
      </c>
      <c r="C84" s="7" t="s">
        <v>34305</v>
      </c>
      <c r="D84" s="160">
        <v>3.3E-4</v>
      </c>
    </row>
    <row r="85">
      <c r="A85" s="7" t="s">
        <v>1776</v>
      </c>
      <c r="B85" s="7">
        <v>1612366.0</v>
      </c>
      <c r="C85" s="7" t="s">
        <v>34191</v>
      </c>
      <c r="D85" s="160">
        <v>1.0E-5</v>
      </c>
    </row>
    <row r="86">
      <c r="A86" s="7" t="s">
        <v>1855</v>
      </c>
      <c r="B86" s="7">
        <v>1.3956791405E10</v>
      </c>
      <c r="C86" s="7" t="s">
        <v>34350</v>
      </c>
      <c r="D86" s="160">
        <v>0.04827</v>
      </c>
    </row>
    <row r="87">
      <c r="A87" s="7" t="s">
        <v>1860</v>
      </c>
      <c r="B87" s="7">
        <v>3.0369666E7</v>
      </c>
      <c r="C87" s="7" t="s">
        <v>35273</v>
      </c>
      <c r="D87" s="160">
        <v>1.1E-4</v>
      </c>
    </row>
    <row r="88">
      <c r="A88" s="7" t="s">
        <v>1373</v>
      </c>
      <c r="B88" s="7">
        <v>245681.0</v>
      </c>
      <c r="C88" s="7" t="s">
        <v>33963</v>
      </c>
      <c r="D88" s="160">
        <v>0.0</v>
      </c>
    </row>
    <row r="89">
      <c r="A89" s="7" t="s">
        <v>1902</v>
      </c>
      <c r="B89" s="7">
        <v>153532.0</v>
      </c>
      <c r="C89" s="7" t="s">
        <v>35274</v>
      </c>
      <c r="D89" s="160">
        <v>0.0</v>
      </c>
    </row>
    <row r="90">
      <c r="A90" s="7" t="s">
        <v>1846</v>
      </c>
      <c r="B90" s="7">
        <v>23332.0</v>
      </c>
      <c r="C90" s="7" t="s">
        <v>33920</v>
      </c>
      <c r="D90" s="160">
        <v>0.0</v>
      </c>
    </row>
    <row r="91">
      <c r="A91" s="7" t="s">
        <v>1897</v>
      </c>
      <c r="B91" s="7">
        <v>1.476604947E9</v>
      </c>
      <c r="C91" s="7" t="s">
        <v>35275</v>
      </c>
      <c r="D91" s="160">
        <v>0.00511</v>
      </c>
    </row>
    <row r="92">
      <c r="A92" s="7" t="s">
        <v>1607</v>
      </c>
      <c r="B92" s="7">
        <v>2.02497407E8</v>
      </c>
      <c r="C92" s="7" t="s">
        <v>34328</v>
      </c>
      <c r="D92" s="160">
        <v>7.0E-4</v>
      </c>
    </row>
    <row r="93">
      <c r="A93" s="7" t="s">
        <v>1819</v>
      </c>
      <c r="B93" s="7">
        <v>3.21382415E8</v>
      </c>
      <c r="C93" s="7" t="s">
        <v>34354</v>
      </c>
      <c r="D93" s="160">
        <v>0.00111</v>
      </c>
    </row>
    <row r="94">
      <c r="A94" s="7" t="s">
        <v>1931</v>
      </c>
      <c r="B94" s="7">
        <v>75697.0</v>
      </c>
      <c r="C94" s="7" t="s">
        <v>33985</v>
      </c>
      <c r="D94" s="160">
        <v>0.0</v>
      </c>
    </row>
    <row r="95">
      <c r="A95" s="7" t="s">
        <v>2012</v>
      </c>
      <c r="B95" s="7">
        <v>196837.0</v>
      </c>
      <c r="C95" s="7" t="s">
        <v>34300</v>
      </c>
      <c r="D95" s="160">
        <v>0.0</v>
      </c>
    </row>
    <row r="96">
      <c r="A96" s="7" t="s">
        <v>1957</v>
      </c>
      <c r="B96" s="7">
        <v>948100.0</v>
      </c>
      <c r="C96" s="7" t="s">
        <v>35276</v>
      </c>
      <c r="D96" s="160">
        <v>0.0</v>
      </c>
    </row>
    <row r="97">
      <c r="A97" s="7" t="s">
        <v>1759</v>
      </c>
      <c r="B97" s="7">
        <v>974308.0</v>
      </c>
      <c r="C97" s="7" t="s">
        <v>34258</v>
      </c>
      <c r="D97" s="160">
        <v>0.0</v>
      </c>
    </row>
    <row r="98">
      <c r="A98" s="7" t="s">
        <v>1996</v>
      </c>
      <c r="B98" s="7">
        <v>3.2787733E7</v>
      </c>
      <c r="C98" s="7" t="s">
        <v>35277</v>
      </c>
      <c r="D98" s="160">
        <v>1.1E-4</v>
      </c>
    </row>
    <row r="99">
      <c r="A99" s="7" t="s">
        <v>1563</v>
      </c>
      <c r="B99" s="7">
        <v>2.0488471E7</v>
      </c>
      <c r="C99" s="7" t="s">
        <v>34267</v>
      </c>
      <c r="D99" s="160">
        <v>7.0E-5</v>
      </c>
    </row>
    <row r="100">
      <c r="A100" s="7" t="s">
        <v>1603</v>
      </c>
      <c r="B100" s="7">
        <v>1195281.0</v>
      </c>
      <c r="C100" s="7" t="s">
        <v>34246</v>
      </c>
      <c r="D100" s="160">
        <v>0.0</v>
      </c>
    </row>
    <row r="101">
      <c r="A101" s="7" t="s">
        <v>1718</v>
      </c>
      <c r="B101" s="7">
        <v>261067.0</v>
      </c>
      <c r="C101" s="7" t="s">
        <v>33910</v>
      </c>
      <c r="D101" s="160">
        <v>0.0</v>
      </c>
    </row>
    <row r="102">
      <c r="A102" s="7" t="s">
        <v>1546</v>
      </c>
      <c r="B102" s="7">
        <v>1.0</v>
      </c>
      <c r="C102" s="7" t="s">
        <v>33912</v>
      </c>
      <c r="D102" s="160">
        <v>0.0</v>
      </c>
    </row>
    <row r="103">
      <c r="A103" s="7" t="s">
        <v>1907</v>
      </c>
      <c r="B103" s="7">
        <v>3590641.0</v>
      </c>
      <c r="C103" s="7" t="s">
        <v>35278</v>
      </c>
      <c r="D103" s="160">
        <v>1.0E-5</v>
      </c>
    </row>
    <row r="104">
      <c r="A104" s="7" t="s">
        <v>2013</v>
      </c>
      <c r="B104" s="7">
        <v>1.7841378E7</v>
      </c>
      <c r="C104" s="7" t="s">
        <v>35279</v>
      </c>
      <c r="D104" s="160">
        <v>6.0E-5</v>
      </c>
    </row>
    <row r="105">
      <c r="A105" s="7" t="s">
        <v>1493</v>
      </c>
      <c r="B105" s="7">
        <v>38610.0</v>
      </c>
      <c r="C105" s="7" t="s">
        <v>33970</v>
      </c>
      <c r="D105" s="160">
        <v>0.0</v>
      </c>
    </row>
    <row r="106">
      <c r="A106" s="7" t="s">
        <v>1720</v>
      </c>
      <c r="B106" s="7">
        <v>630285.0</v>
      </c>
      <c r="C106" s="7" t="s">
        <v>34250</v>
      </c>
      <c r="D106" s="160">
        <v>0.0</v>
      </c>
    </row>
    <row r="107">
      <c r="A107" s="7" t="s">
        <v>1891</v>
      </c>
      <c r="B107" s="7">
        <v>9.940995745E9</v>
      </c>
      <c r="C107" s="7" t="s">
        <v>35280</v>
      </c>
      <c r="D107" s="160">
        <v>0.03438</v>
      </c>
    </row>
    <row r="108">
      <c r="A108" s="7" t="s">
        <v>1673</v>
      </c>
      <c r="B108" s="7">
        <v>1.0</v>
      </c>
      <c r="C108" s="7" t="s">
        <v>33912</v>
      </c>
      <c r="D108" s="160">
        <v>0.0</v>
      </c>
    </row>
    <row r="109">
      <c r="A109" s="7" t="s">
        <v>1412</v>
      </c>
      <c r="B109" s="7">
        <v>101.0</v>
      </c>
      <c r="C109" s="7" t="s">
        <v>33912</v>
      </c>
      <c r="D109" s="160">
        <v>0.0</v>
      </c>
    </row>
    <row r="110">
      <c r="A110" s="7" t="s">
        <v>1594</v>
      </c>
      <c r="B110" s="7">
        <v>1252935.0</v>
      </c>
      <c r="C110" s="7" t="s">
        <v>34259</v>
      </c>
      <c r="D110" s="160">
        <v>0.0</v>
      </c>
    </row>
    <row r="111">
      <c r="A111" s="7" t="s">
        <v>1942</v>
      </c>
      <c r="B111" s="7">
        <v>1.0</v>
      </c>
      <c r="C111" s="7" t="s">
        <v>33912</v>
      </c>
      <c r="D111" s="160">
        <v>0.0</v>
      </c>
    </row>
    <row r="112">
      <c r="A112" s="7" t="s">
        <v>1913</v>
      </c>
      <c r="B112" s="7">
        <v>1247802.0</v>
      </c>
      <c r="C112" s="7" t="s">
        <v>34259</v>
      </c>
      <c r="D112" s="160">
        <v>0.0</v>
      </c>
    </row>
    <row r="113">
      <c r="A113" s="7" t="s">
        <v>1641</v>
      </c>
      <c r="B113" s="7">
        <v>357003.0</v>
      </c>
      <c r="C113" s="7" t="s">
        <v>34273</v>
      </c>
      <c r="D113" s="160">
        <v>0.0</v>
      </c>
    </row>
    <row r="114">
      <c r="A114" s="7" t="s">
        <v>1647</v>
      </c>
      <c r="B114" s="7">
        <v>1.232915902E9</v>
      </c>
      <c r="C114" s="7" t="s">
        <v>34319</v>
      </c>
      <c r="D114" s="160">
        <v>0.00426</v>
      </c>
    </row>
    <row r="115">
      <c r="A115" s="7" t="s">
        <v>1508</v>
      </c>
      <c r="B115" s="7">
        <v>5.00415133E8</v>
      </c>
      <c r="C115" s="7" t="s">
        <v>34288</v>
      </c>
      <c r="D115" s="160">
        <v>0.00173</v>
      </c>
    </row>
    <row r="116">
      <c r="A116" s="7" t="s">
        <v>1890</v>
      </c>
      <c r="B116" s="7">
        <v>9.73513699E8</v>
      </c>
      <c r="C116" s="7" t="s">
        <v>35281</v>
      </c>
      <c r="D116" s="160">
        <v>0.00337</v>
      </c>
    </row>
    <row r="117">
      <c r="A117" s="7" t="s">
        <v>1558</v>
      </c>
      <c r="B117" s="7">
        <v>2.8320258E7</v>
      </c>
      <c r="C117" s="7" t="s">
        <v>34318</v>
      </c>
      <c r="D117" s="160">
        <v>1.0E-4</v>
      </c>
    </row>
    <row r="118">
      <c r="A118" s="7" t="s">
        <v>1797</v>
      </c>
      <c r="B118" s="7">
        <v>2265.0</v>
      </c>
      <c r="C118" s="7" t="s">
        <v>33912</v>
      </c>
      <c r="D118" s="160">
        <v>0.0</v>
      </c>
    </row>
    <row r="119">
      <c r="A119" s="7" t="s">
        <v>2010</v>
      </c>
      <c r="B119" s="7">
        <v>9.3808767E7</v>
      </c>
      <c r="C119" s="7" t="s">
        <v>35282</v>
      </c>
      <c r="D119" s="160">
        <v>3.2E-4</v>
      </c>
    </row>
    <row r="120">
      <c r="A120" s="7" t="s">
        <v>1392</v>
      </c>
      <c r="B120" s="7">
        <v>822863.0</v>
      </c>
      <c r="C120" s="7" t="s">
        <v>34244</v>
      </c>
      <c r="D120" s="160">
        <v>0.0</v>
      </c>
    </row>
    <row r="121">
      <c r="A121" s="7" t="s">
        <v>1719</v>
      </c>
      <c r="B121" s="7">
        <v>635685.0</v>
      </c>
      <c r="C121" s="7" t="s">
        <v>34266</v>
      </c>
      <c r="D121" s="160">
        <v>0.0</v>
      </c>
    </row>
    <row r="122">
      <c r="A122" s="7" t="s">
        <v>1815</v>
      </c>
      <c r="B122" s="7">
        <v>1222109.0</v>
      </c>
      <c r="C122" s="7" t="s">
        <v>34317</v>
      </c>
      <c r="D122" s="160">
        <v>0.0</v>
      </c>
    </row>
    <row r="123">
      <c r="A123" s="7" t="s">
        <v>1584</v>
      </c>
      <c r="B123" s="7">
        <v>796020.0</v>
      </c>
      <c r="C123" s="7" t="s">
        <v>34281</v>
      </c>
      <c r="D123" s="160">
        <v>0.0</v>
      </c>
    </row>
    <row r="124">
      <c r="A124" s="7" t="s">
        <v>1751</v>
      </c>
      <c r="B124" s="7">
        <v>5.0453731822E10</v>
      </c>
      <c r="C124" s="7" t="s">
        <v>34322</v>
      </c>
      <c r="D124" s="160">
        <v>0.1745</v>
      </c>
    </row>
    <row r="125">
      <c r="A125" s="7" t="s">
        <v>2020</v>
      </c>
      <c r="B125" s="7">
        <v>1.5219555E7</v>
      </c>
      <c r="C125" s="7" t="s">
        <v>35283</v>
      </c>
      <c r="D125" s="160">
        <v>5.0E-5</v>
      </c>
    </row>
    <row r="126">
      <c r="A126" s="7" t="s">
        <v>2004</v>
      </c>
      <c r="B126" s="7">
        <v>38260.0</v>
      </c>
      <c r="C126" s="7" t="s">
        <v>33970</v>
      </c>
      <c r="D126" s="160">
        <v>0.0</v>
      </c>
    </row>
    <row r="127">
      <c r="A127" s="7" t="s">
        <v>2039</v>
      </c>
      <c r="B127" s="7">
        <v>1.0232078706E10</v>
      </c>
      <c r="C127" s="7" t="s">
        <v>35284</v>
      </c>
      <c r="D127" s="160">
        <v>0.03539</v>
      </c>
    </row>
    <row r="128">
      <c r="A128" s="7" t="s">
        <v>1455</v>
      </c>
      <c r="B128" s="7">
        <v>1759467.0</v>
      </c>
      <c r="C128" s="7" t="s">
        <v>34335</v>
      </c>
      <c r="D128" s="160">
        <v>1.0E-5</v>
      </c>
    </row>
    <row r="129">
      <c r="A129" s="7" t="s">
        <v>1514</v>
      </c>
      <c r="B129" s="7">
        <v>5.0</v>
      </c>
      <c r="C129" s="7" t="s">
        <v>33912</v>
      </c>
      <c r="D129" s="160">
        <v>0.0</v>
      </c>
    </row>
    <row r="130">
      <c r="A130" s="7" t="s">
        <v>1840</v>
      </c>
      <c r="B130" s="7">
        <v>481662.0</v>
      </c>
      <c r="C130" s="7" t="s">
        <v>34263</v>
      </c>
      <c r="D130" s="160">
        <v>0.0</v>
      </c>
    </row>
    <row r="131">
      <c r="A131" s="7" t="s">
        <v>1573</v>
      </c>
      <c r="B131" s="7">
        <v>500765.0</v>
      </c>
      <c r="C131" s="7" t="s">
        <v>34297</v>
      </c>
      <c r="D131" s="160">
        <v>0.0</v>
      </c>
    </row>
    <row r="132">
      <c r="A132" s="7" t="s">
        <v>1725</v>
      </c>
      <c r="B132" s="7">
        <v>12.0</v>
      </c>
      <c r="C132" s="7" t="s">
        <v>33912</v>
      </c>
      <c r="D132" s="160">
        <v>0.0</v>
      </c>
    </row>
    <row r="133">
      <c r="A133" s="7" t="s">
        <v>1922</v>
      </c>
      <c r="B133" s="7">
        <v>2568393.0</v>
      </c>
      <c r="C133" s="7" t="s">
        <v>35285</v>
      </c>
      <c r="D133" s="160">
        <v>1.0E-5</v>
      </c>
    </row>
    <row r="134">
      <c r="A134" s="7" t="s">
        <v>1971</v>
      </c>
      <c r="B134" s="7">
        <v>2515.0</v>
      </c>
      <c r="C134" s="7" t="s">
        <v>33912</v>
      </c>
      <c r="D134" s="160">
        <v>0.0</v>
      </c>
    </row>
    <row r="135">
      <c r="A135" s="7" t="s">
        <v>1948</v>
      </c>
      <c r="B135" s="7">
        <v>1541920.0</v>
      </c>
      <c r="C135" s="7" t="s">
        <v>35286</v>
      </c>
      <c r="D135" s="160">
        <v>1.0E-5</v>
      </c>
    </row>
    <row r="136">
      <c r="A136" s="7" t="s">
        <v>1908</v>
      </c>
      <c r="B136" s="7">
        <v>385705.0</v>
      </c>
      <c r="C136" s="7" t="s">
        <v>35287</v>
      </c>
      <c r="D136" s="160">
        <v>0.0</v>
      </c>
    </row>
    <row r="137">
      <c r="A137" s="7" t="s">
        <v>1730</v>
      </c>
      <c r="B137" s="7">
        <v>2706899.0</v>
      </c>
      <c r="C137" s="7" t="s">
        <v>34333</v>
      </c>
      <c r="D137" s="160">
        <v>1.0E-5</v>
      </c>
    </row>
    <row r="138">
      <c r="A138" s="7" t="s">
        <v>1946</v>
      </c>
      <c r="B138" s="7">
        <v>58.0</v>
      </c>
      <c r="C138" s="7" t="s">
        <v>33912</v>
      </c>
      <c r="D138" s="160">
        <v>0.0</v>
      </c>
    </row>
    <row r="139">
      <c r="A139" s="7" t="s">
        <v>1969</v>
      </c>
      <c r="B139" s="7">
        <v>2123394.0</v>
      </c>
      <c r="C139" s="7" t="s">
        <v>35288</v>
      </c>
      <c r="D139" s="160">
        <v>1.0E-5</v>
      </c>
    </row>
    <row r="140">
      <c r="A140" s="7" t="s">
        <v>1596</v>
      </c>
      <c r="B140" s="7">
        <v>3044608.0</v>
      </c>
      <c r="C140" s="7" t="s">
        <v>34320</v>
      </c>
      <c r="D140" s="160">
        <v>1.0E-5</v>
      </c>
    </row>
    <row r="141">
      <c r="A141" s="7" t="s">
        <v>1436</v>
      </c>
      <c r="B141" s="7">
        <v>61353.0</v>
      </c>
      <c r="C141" s="7" t="s">
        <v>34109</v>
      </c>
      <c r="D141" s="160">
        <v>0.0</v>
      </c>
    </row>
    <row r="142">
      <c r="A142" s="7" t="s">
        <v>1687</v>
      </c>
      <c r="B142" s="7">
        <v>1.0</v>
      </c>
      <c r="C142" s="7" t="s">
        <v>33912</v>
      </c>
      <c r="D142" s="160">
        <v>0.0</v>
      </c>
    </row>
    <row r="143">
      <c r="A143" s="7" t="s">
        <v>1961</v>
      </c>
      <c r="B143" s="7">
        <v>55.0</v>
      </c>
      <c r="C143" s="7" t="s">
        <v>33912</v>
      </c>
      <c r="D143" s="160">
        <v>0.0</v>
      </c>
    </row>
    <row r="144">
      <c r="A144" s="7" t="s">
        <v>1237</v>
      </c>
      <c r="B144" s="7">
        <v>3.13545024E8</v>
      </c>
      <c r="C144" s="7" t="s">
        <v>35289</v>
      </c>
      <c r="D144" s="160">
        <v>0.00108</v>
      </c>
    </row>
    <row r="145">
      <c r="A145" s="7" t="s">
        <v>1580</v>
      </c>
      <c r="B145" s="7">
        <v>2.32636315E8</v>
      </c>
      <c r="C145" s="7" t="s">
        <v>34342</v>
      </c>
      <c r="D145" s="160">
        <v>8.0E-4</v>
      </c>
    </row>
    <row r="146">
      <c r="A146" s="7" t="s">
        <v>2040</v>
      </c>
      <c r="B146" s="7">
        <v>318654.0</v>
      </c>
      <c r="C146" s="7" t="s">
        <v>34021</v>
      </c>
      <c r="D146" s="160">
        <v>0.0</v>
      </c>
    </row>
    <row r="147">
      <c r="A147" s="7" t="s">
        <v>1881</v>
      </c>
      <c r="B147" s="7">
        <v>332449.0</v>
      </c>
      <c r="C147" s="7" t="s">
        <v>35290</v>
      </c>
      <c r="D147" s="160">
        <v>0.0</v>
      </c>
    </row>
    <row r="148">
      <c r="A148" s="7" t="s">
        <v>1409</v>
      </c>
      <c r="B148" s="7">
        <v>286623.0</v>
      </c>
      <c r="C148" s="7" t="s">
        <v>33916</v>
      </c>
      <c r="D148" s="160">
        <v>0.0</v>
      </c>
    </row>
    <row r="149">
      <c r="A149" s="7" t="s">
        <v>1714</v>
      </c>
      <c r="B149" s="7">
        <v>2465996.0</v>
      </c>
      <c r="C149" s="7" t="s">
        <v>34334</v>
      </c>
      <c r="D149" s="160">
        <v>1.0E-5</v>
      </c>
    </row>
    <row r="150">
      <c r="A150" s="7" t="s">
        <v>1879</v>
      </c>
      <c r="B150" s="7">
        <v>21388.0</v>
      </c>
      <c r="C150" s="7" t="s">
        <v>33920</v>
      </c>
      <c r="D150" s="160">
        <v>0.0</v>
      </c>
    </row>
    <row r="151">
      <c r="A151" s="7" t="s">
        <v>1662</v>
      </c>
      <c r="B151" s="7">
        <v>1.7869949E7</v>
      </c>
      <c r="C151" s="7" t="s">
        <v>34336</v>
      </c>
      <c r="D151" s="160">
        <v>6.0E-5</v>
      </c>
    </row>
    <row r="152">
      <c r="A152" s="7" t="s">
        <v>1928</v>
      </c>
      <c r="B152" s="7">
        <v>13192.0</v>
      </c>
      <c r="C152" s="7" t="s">
        <v>33974</v>
      </c>
      <c r="D152" s="160">
        <v>0.0</v>
      </c>
    </row>
    <row r="153">
      <c r="A153" s="7" t="s">
        <v>1885</v>
      </c>
      <c r="B153" s="7">
        <v>18299.0</v>
      </c>
      <c r="C153" s="7" t="s">
        <v>33920</v>
      </c>
      <c r="D153" s="160">
        <v>0.0</v>
      </c>
    </row>
    <row r="154">
      <c r="A154" s="7" t="s">
        <v>1528</v>
      </c>
      <c r="B154" s="7">
        <v>3639.0</v>
      </c>
      <c r="C154" s="7" t="s">
        <v>33912</v>
      </c>
      <c r="D154" s="160">
        <v>0.0</v>
      </c>
    </row>
    <row r="155">
      <c r="A155" s="7" t="s">
        <v>1677</v>
      </c>
      <c r="B155" s="7">
        <v>1786905.0</v>
      </c>
      <c r="C155" s="7" t="s">
        <v>34248</v>
      </c>
      <c r="D155" s="160">
        <v>1.0E-5</v>
      </c>
    </row>
    <row r="156">
      <c r="A156" s="7" t="s">
        <v>1760</v>
      </c>
      <c r="B156" s="7">
        <v>1.9223293E7</v>
      </c>
      <c r="C156" s="7" t="s">
        <v>34280</v>
      </c>
      <c r="D156" s="160">
        <v>7.0E-5</v>
      </c>
    </row>
    <row r="157">
      <c r="A157" s="7" t="s">
        <v>1799</v>
      </c>
      <c r="B157" s="7">
        <v>2.16846209E8</v>
      </c>
      <c r="C157" s="7" t="s">
        <v>34291</v>
      </c>
      <c r="D157" s="160">
        <v>7.5E-4</v>
      </c>
    </row>
    <row r="158">
      <c r="A158" s="7" t="s">
        <v>1680</v>
      </c>
      <c r="B158" s="7">
        <v>2637.0</v>
      </c>
      <c r="C158" s="7" t="s">
        <v>33912</v>
      </c>
      <c r="D158" s="160">
        <v>0.0</v>
      </c>
    </row>
    <row r="159">
      <c r="A159" s="7" t="s">
        <v>2033</v>
      </c>
      <c r="B159" s="7">
        <v>1.0</v>
      </c>
      <c r="C159" s="7" t="s">
        <v>33912</v>
      </c>
      <c r="D159" s="160">
        <v>0.0</v>
      </c>
    </row>
    <row r="160">
      <c r="A160" s="7" t="s">
        <v>1431</v>
      </c>
      <c r="B160" s="7">
        <v>4.860244E7</v>
      </c>
      <c r="C160" s="7" t="s">
        <v>34279</v>
      </c>
      <c r="D160" s="160">
        <v>1.7E-4</v>
      </c>
    </row>
    <row r="161">
      <c r="A161" s="7" t="s">
        <v>1958</v>
      </c>
      <c r="B161" s="7">
        <v>33165.0</v>
      </c>
      <c r="C161" s="7" t="s">
        <v>33977</v>
      </c>
      <c r="D161" s="160">
        <v>0.0</v>
      </c>
    </row>
    <row r="162">
      <c r="A162" s="7" t="s">
        <v>1793</v>
      </c>
      <c r="B162" s="7">
        <v>9.4551791E7</v>
      </c>
      <c r="C162" s="7" t="s">
        <v>34285</v>
      </c>
      <c r="D162" s="160">
        <v>3.3E-4</v>
      </c>
    </row>
    <row r="163">
      <c r="A163" s="7" t="s">
        <v>1608</v>
      </c>
      <c r="B163" s="7">
        <v>1.7418104E7</v>
      </c>
      <c r="C163" s="7" t="s">
        <v>34346</v>
      </c>
      <c r="D163" s="160">
        <v>6.0E-5</v>
      </c>
    </row>
    <row r="164">
      <c r="A164" s="7" t="s">
        <v>1944</v>
      </c>
      <c r="B164" s="7">
        <v>1.0</v>
      </c>
      <c r="C164" s="7" t="s">
        <v>33912</v>
      </c>
      <c r="D164" s="160">
        <v>0.0</v>
      </c>
    </row>
    <row r="165">
      <c r="A165" s="7" t="s">
        <v>1988</v>
      </c>
      <c r="B165" s="7">
        <v>1.98796457E8</v>
      </c>
      <c r="C165" s="7" t="s">
        <v>35291</v>
      </c>
      <c r="D165" s="160">
        <v>6.9E-4</v>
      </c>
    </row>
    <row r="166">
      <c r="A166" s="7" t="s">
        <v>1459</v>
      </c>
      <c r="B166" s="7">
        <v>4215536.0</v>
      </c>
      <c r="C166" s="7" t="s">
        <v>34289</v>
      </c>
      <c r="D166" s="160">
        <v>1.0E-5</v>
      </c>
    </row>
    <row r="167">
      <c r="A167" s="7" t="s">
        <v>1424</v>
      </c>
      <c r="B167" s="7">
        <v>9249.0</v>
      </c>
      <c r="C167" s="7" t="s">
        <v>33974</v>
      </c>
      <c r="D167" s="160">
        <v>0.0</v>
      </c>
    </row>
    <row r="168">
      <c r="A168" s="7" t="s">
        <v>1845</v>
      </c>
      <c r="B168" s="7">
        <v>716.0</v>
      </c>
      <c r="C168" s="7" t="s">
        <v>33912</v>
      </c>
      <c r="D168" s="160">
        <v>0.0</v>
      </c>
    </row>
    <row r="169">
      <c r="A169" s="7" t="s">
        <v>1874</v>
      </c>
      <c r="B169" s="7">
        <v>327853.0</v>
      </c>
      <c r="C169" s="7" t="s">
        <v>35292</v>
      </c>
      <c r="D169" s="160">
        <v>0.0</v>
      </c>
    </row>
    <row r="170">
      <c r="A170" s="7" t="s">
        <v>2015</v>
      </c>
      <c r="B170" s="7">
        <v>481254.0</v>
      </c>
      <c r="C170" s="7" t="s">
        <v>34263</v>
      </c>
      <c r="D170" s="160">
        <v>0.0</v>
      </c>
    </row>
    <row r="171">
      <c r="A171" s="7" t="s">
        <v>1504</v>
      </c>
      <c r="B171" s="7">
        <v>1.56954805E8</v>
      </c>
      <c r="C171" s="7" t="s">
        <v>34275</v>
      </c>
      <c r="D171" s="160">
        <v>5.4E-4</v>
      </c>
    </row>
    <row r="172">
      <c r="A172" s="7" t="s">
        <v>1965</v>
      </c>
      <c r="B172" s="7">
        <v>2.959297368E9</v>
      </c>
      <c r="C172" s="7" t="s">
        <v>35293</v>
      </c>
      <c r="D172" s="160">
        <v>0.01023</v>
      </c>
    </row>
    <row r="173">
      <c r="A173" s="7" t="s">
        <v>1613</v>
      </c>
      <c r="B173" s="7">
        <v>2685.0</v>
      </c>
      <c r="C173" s="7" t="s">
        <v>33912</v>
      </c>
      <c r="D173" s="160">
        <v>0.0</v>
      </c>
    </row>
    <row r="174">
      <c r="A174" s="7" t="s">
        <v>1777</v>
      </c>
      <c r="B174" s="7">
        <v>2378956.0</v>
      </c>
      <c r="C174" s="7" t="s">
        <v>34242</v>
      </c>
      <c r="D174" s="160">
        <v>1.0E-5</v>
      </c>
    </row>
    <row r="175">
      <c r="A175" s="7" t="s">
        <v>1982</v>
      </c>
      <c r="B175" s="7">
        <v>92940.0</v>
      </c>
      <c r="C175" s="7" t="s">
        <v>33949</v>
      </c>
      <c r="D175" s="160">
        <v>0.0</v>
      </c>
    </row>
    <row r="176">
      <c r="A176" s="7" t="s">
        <v>1691</v>
      </c>
      <c r="B176" s="7">
        <v>28286.0</v>
      </c>
      <c r="C176" s="7" t="s">
        <v>33977</v>
      </c>
      <c r="D176" s="160">
        <v>0.0</v>
      </c>
    </row>
    <row r="177">
      <c r="A177" s="7" t="s">
        <v>1820</v>
      </c>
      <c r="B177" s="7">
        <v>10255.0</v>
      </c>
      <c r="C177" s="7" t="s">
        <v>33974</v>
      </c>
      <c r="D177" s="160">
        <v>0.0</v>
      </c>
    </row>
    <row r="178">
      <c r="A178" s="7" t="s">
        <v>1800</v>
      </c>
      <c r="B178" s="7">
        <v>122931.0</v>
      </c>
      <c r="C178" s="7" t="s">
        <v>34292</v>
      </c>
      <c r="D178" s="160">
        <v>0.0</v>
      </c>
    </row>
    <row r="179">
      <c r="A179" s="7" t="s">
        <v>1870</v>
      </c>
      <c r="B179" s="7">
        <v>4.303777536E9</v>
      </c>
      <c r="C179" s="7" t="s">
        <v>35294</v>
      </c>
      <c r="D179" s="160">
        <v>0.01488</v>
      </c>
    </row>
    <row r="180">
      <c r="A180" s="7" t="s">
        <v>1396</v>
      </c>
      <c r="B180" s="7">
        <v>1507.0</v>
      </c>
      <c r="C180" s="7" t="s">
        <v>33912</v>
      </c>
      <c r="D180" s="160">
        <v>0.0</v>
      </c>
    </row>
    <row r="181">
      <c r="A181" s="7" t="s">
        <v>1844</v>
      </c>
      <c r="B181" s="7">
        <v>3.71086481E8</v>
      </c>
      <c r="C181" s="7" t="s">
        <v>34268</v>
      </c>
      <c r="D181" s="160">
        <v>0.00128</v>
      </c>
    </row>
    <row r="182">
      <c r="A182" s="7" t="s">
        <v>2045</v>
      </c>
      <c r="B182" s="7">
        <v>1476828.0</v>
      </c>
      <c r="C182" s="7" t="s">
        <v>34115</v>
      </c>
      <c r="D182" s="160">
        <v>1.0E-5</v>
      </c>
    </row>
    <row r="183">
      <c r="A183" s="7" t="s">
        <v>1763</v>
      </c>
      <c r="B183" s="7">
        <v>146995.0</v>
      </c>
      <c r="C183" s="7" t="s">
        <v>34262</v>
      </c>
      <c r="D183" s="160">
        <v>0.0</v>
      </c>
    </row>
    <row r="184">
      <c r="A184" s="7" t="s">
        <v>1388</v>
      </c>
      <c r="B184" s="7">
        <v>1.8592704E7</v>
      </c>
      <c r="C184" s="7" t="s">
        <v>34272</v>
      </c>
      <c r="D184" s="160">
        <v>6.0E-5</v>
      </c>
    </row>
    <row r="185">
      <c r="A185" s="7" t="s">
        <v>1685</v>
      </c>
      <c r="B185" s="7">
        <v>806525.0</v>
      </c>
      <c r="C185" s="7" t="s">
        <v>34271</v>
      </c>
      <c r="D185" s="160">
        <v>0.0</v>
      </c>
    </row>
    <row r="186">
      <c r="A186" s="7" t="s">
        <v>1888</v>
      </c>
      <c r="B186" s="7">
        <v>55634.0</v>
      </c>
      <c r="C186" s="7" t="s">
        <v>33983</v>
      </c>
      <c r="D186" s="160">
        <v>0.0</v>
      </c>
    </row>
    <row r="187">
      <c r="A187" s="7" t="s">
        <v>1576</v>
      </c>
      <c r="B187" s="7">
        <v>9646481.0</v>
      </c>
      <c r="C187" s="7" t="s">
        <v>34344</v>
      </c>
      <c r="D187" s="160">
        <v>3.0E-5</v>
      </c>
    </row>
    <row r="188">
      <c r="A188" s="7" t="s">
        <v>1554</v>
      </c>
      <c r="B188" s="7">
        <v>1.6573374874E10</v>
      </c>
      <c r="C188" s="7" t="s">
        <v>34321</v>
      </c>
      <c r="D188" s="160">
        <v>0.05732</v>
      </c>
    </row>
    <row r="189">
      <c r="A189" s="7" t="s">
        <v>1772</v>
      </c>
      <c r="B189" s="7">
        <v>1.214666519E9</v>
      </c>
      <c r="C189" s="7" t="s">
        <v>34274</v>
      </c>
      <c r="D189" s="160">
        <v>0.0042</v>
      </c>
    </row>
    <row r="190">
      <c r="A190" s="7" t="s">
        <v>1826</v>
      </c>
      <c r="B190" s="7">
        <v>2458.0</v>
      </c>
      <c r="C190" s="7" t="s">
        <v>33912</v>
      </c>
      <c r="D190" s="160">
        <v>0.0</v>
      </c>
    </row>
    <row r="191">
      <c r="A191" s="7" t="s">
        <v>1542</v>
      </c>
      <c r="B191" s="7">
        <v>2.0</v>
      </c>
      <c r="C191" s="7" t="s">
        <v>33912</v>
      </c>
      <c r="D191" s="160">
        <v>0.0</v>
      </c>
    </row>
    <row r="192">
      <c r="A192" s="7" t="s">
        <v>1932</v>
      </c>
      <c r="B192" s="7">
        <v>1.0</v>
      </c>
      <c r="C192" s="7" t="s">
        <v>33912</v>
      </c>
      <c r="D192" s="160">
        <v>0.0</v>
      </c>
    </row>
    <row r="193">
      <c r="A193" s="7" t="s">
        <v>1981</v>
      </c>
      <c r="B193" s="7">
        <v>5412202.0</v>
      </c>
      <c r="C193" s="7" t="s">
        <v>35295</v>
      </c>
      <c r="D193" s="160">
        <v>2.0E-5</v>
      </c>
    </row>
    <row r="194">
      <c r="A194" s="7" t="s">
        <v>1762</v>
      </c>
      <c r="B194" s="7">
        <v>3151409.0</v>
      </c>
      <c r="C194" s="7" t="s">
        <v>34249</v>
      </c>
      <c r="D194" s="160">
        <v>1.0E-5</v>
      </c>
    </row>
    <row r="195">
      <c r="A195" s="7" t="s">
        <v>1695</v>
      </c>
      <c r="B195" s="7">
        <v>1.85038523E8</v>
      </c>
      <c r="C195" s="7" t="s">
        <v>34254</v>
      </c>
      <c r="D195" s="160">
        <v>6.4E-4</v>
      </c>
    </row>
    <row r="196">
      <c r="A196" s="7" t="s">
        <v>1637</v>
      </c>
      <c r="B196" s="7">
        <v>6.85177989E8</v>
      </c>
      <c r="C196" s="7" t="s">
        <v>34339</v>
      </c>
      <c r="D196" s="160">
        <v>0.00237</v>
      </c>
    </row>
    <row r="197">
      <c r="A197" s="7" t="s">
        <v>1324</v>
      </c>
      <c r="B197" s="7">
        <v>802886.0</v>
      </c>
      <c r="C197" s="7" t="s">
        <v>34271</v>
      </c>
      <c r="D197" s="160">
        <v>0.0</v>
      </c>
    </row>
    <row r="198">
      <c r="A198" s="7" t="s">
        <v>1543</v>
      </c>
      <c r="B198" s="7">
        <v>197256.0</v>
      </c>
      <c r="C198" s="7" t="s">
        <v>34300</v>
      </c>
      <c r="D198" s="160">
        <v>0.0</v>
      </c>
    </row>
    <row r="199">
      <c r="A199" s="7" t="s">
        <v>1653</v>
      </c>
      <c r="B199" s="7">
        <v>996103.0</v>
      </c>
      <c r="C199" s="7" t="s">
        <v>34252</v>
      </c>
      <c r="D199" s="160">
        <v>0.0</v>
      </c>
    </row>
    <row r="200">
      <c r="A200" s="7" t="s">
        <v>1783</v>
      </c>
      <c r="B200" s="7">
        <v>4.5140873E7</v>
      </c>
      <c r="C200" s="7" t="s">
        <v>34293</v>
      </c>
      <c r="D200" s="160">
        <v>1.6E-4</v>
      </c>
    </row>
    <row r="201">
      <c r="A201" s="7" t="s">
        <v>2026</v>
      </c>
      <c r="B201" s="7">
        <v>10108.0</v>
      </c>
      <c r="C201" s="7" t="s">
        <v>33974</v>
      </c>
      <c r="D201" s="160">
        <v>0.0</v>
      </c>
    </row>
    <row r="202">
      <c r="A202" s="7" t="s">
        <v>1689</v>
      </c>
      <c r="B202" s="7">
        <v>514414.0</v>
      </c>
      <c r="C202" s="7" t="s">
        <v>34247</v>
      </c>
      <c r="D202" s="160">
        <v>0.0</v>
      </c>
    </row>
    <row r="203">
      <c r="A203" s="7" t="s">
        <v>1549</v>
      </c>
      <c r="B203" s="7">
        <v>1502412.0</v>
      </c>
      <c r="C203" s="7" t="s">
        <v>34287</v>
      </c>
      <c r="D203" s="160">
        <v>1.0E-5</v>
      </c>
    </row>
    <row r="204">
      <c r="A204" s="7" t="s">
        <v>1376</v>
      </c>
      <c r="B204" s="7">
        <v>226656.0</v>
      </c>
      <c r="C204" s="7" t="s">
        <v>34253</v>
      </c>
      <c r="D204" s="160">
        <v>0.0</v>
      </c>
    </row>
    <row r="205">
      <c r="A205" s="7" t="s">
        <v>1747</v>
      </c>
      <c r="B205" s="7">
        <v>8.0251869E7</v>
      </c>
      <c r="C205" s="7" t="s">
        <v>34302</v>
      </c>
      <c r="D205" s="160">
        <v>2.8E-4</v>
      </c>
    </row>
    <row r="206">
      <c r="A206" s="7" t="s">
        <v>1841</v>
      </c>
      <c r="B206" s="7">
        <v>54844.0</v>
      </c>
      <c r="C206" s="7" t="s">
        <v>33983</v>
      </c>
      <c r="D206" s="160">
        <v>0.0</v>
      </c>
    </row>
    <row r="207">
      <c r="A207" s="7" t="s">
        <v>1318</v>
      </c>
      <c r="B207" s="7">
        <v>2.2078307E8</v>
      </c>
      <c r="C207" s="7" t="s">
        <v>34347</v>
      </c>
      <c r="D207" s="160">
        <v>7.6E-4</v>
      </c>
    </row>
    <row r="208">
      <c r="A208" s="7" t="s">
        <v>1553</v>
      </c>
      <c r="B208" s="7">
        <v>3304725.0</v>
      </c>
      <c r="C208" s="7" t="s">
        <v>34256</v>
      </c>
      <c r="D208" s="160">
        <v>1.0E-5</v>
      </c>
    </row>
    <row r="209">
      <c r="A209" s="7" t="s">
        <v>1938</v>
      </c>
      <c r="B209" s="7">
        <v>1575.0</v>
      </c>
      <c r="C209" s="7" t="s">
        <v>33912</v>
      </c>
      <c r="D209" s="160">
        <v>0.0</v>
      </c>
    </row>
    <row r="210">
      <c r="A210" s="7" t="s">
        <v>1748</v>
      </c>
      <c r="B210" s="7">
        <v>2.3446112E7</v>
      </c>
      <c r="C210" s="7" t="s">
        <v>34341</v>
      </c>
      <c r="D210" s="160">
        <v>8.0E-5</v>
      </c>
    </row>
    <row r="211">
      <c r="A211" s="7" t="s">
        <v>1953</v>
      </c>
      <c r="B211" s="7">
        <v>1.0907942E7</v>
      </c>
      <c r="C211" s="7" t="s">
        <v>35296</v>
      </c>
      <c r="D211" s="160">
        <v>4.0E-5</v>
      </c>
    </row>
    <row r="212">
      <c r="A212" s="7" t="s">
        <v>1534</v>
      </c>
      <c r="B212" s="7">
        <v>4.38321515E8</v>
      </c>
      <c r="C212" s="7" t="s">
        <v>34323</v>
      </c>
      <c r="D212" s="160">
        <v>0.00152</v>
      </c>
    </row>
    <row r="213">
      <c r="A213" s="7" t="s">
        <v>1761</v>
      </c>
      <c r="B213" s="7">
        <v>72889.0</v>
      </c>
      <c r="C213" s="7" t="s">
        <v>33985</v>
      </c>
      <c r="D213" s="160">
        <v>0.0</v>
      </c>
    </row>
    <row r="214">
      <c r="A214" s="7" t="s">
        <v>1452</v>
      </c>
      <c r="B214" s="7">
        <v>8238.0</v>
      </c>
      <c r="C214" s="7" t="s">
        <v>33974</v>
      </c>
      <c r="D214" s="160">
        <v>0.0</v>
      </c>
    </row>
    <row r="215">
      <c r="A215" s="7" t="s">
        <v>1569</v>
      </c>
      <c r="B215" s="7">
        <v>193800.0</v>
      </c>
      <c r="C215" s="7" t="s">
        <v>33929</v>
      </c>
      <c r="D215" s="160">
        <v>0.0</v>
      </c>
    </row>
    <row r="216">
      <c r="A216" s="7" t="s">
        <v>1690</v>
      </c>
      <c r="B216" s="7">
        <v>5535382.0</v>
      </c>
      <c r="C216" s="7" t="s">
        <v>34261</v>
      </c>
      <c r="D216" s="160">
        <v>2.0E-5</v>
      </c>
    </row>
    <row r="217">
      <c r="A217" s="7" t="s">
        <v>1526</v>
      </c>
      <c r="B217" s="7">
        <v>8.3826589E7</v>
      </c>
      <c r="C217" s="7" t="s">
        <v>34303</v>
      </c>
      <c r="D217" s="160">
        <v>2.9E-4</v>
      </c>
    </row>
    <row r="218">
      <c r="A218" s="7" t="s">
        <v>1420</v>
      </c>
      <c r="B218" s="7">
        <v>5.5052829E8</v>
      </c>
      <c r="C218" s="7" t="s">
        <v>34338</v>
      </c>
      <c r="D218" s="160">
        <v>0.0019</v>
      </c>
    </row>
    <row r="219">
      <c r="A219" s="7" t="s">
        <v>1968</v>
      </c>
      <c r="B219" s="7">
        <v>29529.0</v>
      </c>
      <c r="C219" s="7" t="s">
        <v>33977</v>
      </c>
      <c r="D219" s="160">
        <v>0.0</v>
      </c>
    </row>
    <row r="220">
      <c r="A220" s="7" t="s">
        <v>1912</v>
      </c>
      <c r="B220" s="7">
        <v>76527.0</v>
      </c>
      <c r="C220" s="7" t="s">
        <v>33985</v>
      </c>
      <c r="D220" s="160">
        <v>0.0</v>
      </c>
    </row>
    <row r="221">
      <c r="A221" s="7" t="s">
        <v>1936</v>
      </c>
      <c r="B221" s="7">
        <v>81260.0</v>
      </c>
      <c r="C221" s="7" t="s">
        <v>33908</v>
      </c>
      <c r="D221" s="160">
        <v>0.0</v>
      </c>
    </row>
    <row r="222">
      <c r="A222" s="7" t="s">
        <v>1995</v>
      </c>
      <c r="B222" s="7">
        <v>6272217.0</v>
      </c>
      <c r="C222" s="7" t="s">
        <v>35297</v>
      </c>
      <c r="D222" s="160">
        <v>2.0E-5</v>
      </c>
    </row>
    <row r="223">
      <c r="A223" s="7" t="s">
        <v>1917</v>
      </c>
      <c r="B223" s="7">
        <v>1.15404047E8</v>
      </c>
      <c r="C223" s="7" t="s">
        <v>35298</v>
      </c>
      <c r="D223" s="160">
        <v>4.0E-4</v>
      </c>
    </row>
    <row r="224">
      <c r="A224" s="7" t="s">
        <v>1854</v>
      </c>
      <c r="B224" s="7">
        <v>4860815.0</v>
      </c>
      <c r="C224" s="7" t="s">
        <v>34245</v>
      </c>
      <c r="D224" s="160">
        <v>2.0E-5</v>
      </c>
    </row>
    <row r="225">
      <c r="A225" s="7" t="s">
        <v>1648</v>
      </c>
      <c r="B225" s="7">
        <v>9.4836428E7</v>
      </c>
      <c r="C225" s="7" t="s">
        <v>34337</v>
      </c>
      <c r="D225" s="160">
        <v>3.3E-4</v>
      </c>
    </row>
    <row r="226">
      <c r="A226" s="7" t="s">
        <v>1884</v>
      </c>
      <c r="B226" s="7">
        <v>2912511.0</v>
      </c>
      <c r="C226" s="7" t="s">
        <v>35299</v>
      </c>
      <c r="D226" s="160">
        <v>1.0E-5</v>
      </c>
    </row>
    <row r="227">
      <c r="A227" s="7" t="s">
        <v>1533</v>
      </c>
      <c r="B227" s="7">
        <v>4088703.0</v>
      </c>
      <c r="C227" s="7" t="s">
        <v>34345</v>
      </c>
      <c r="D227" s="160">
        <v>1.0E-5</v>
      </c>
    </row>
    <row r="228">
      <c r="A228" s="7" t="s">
        <v>1806</v>
      </c>
      <c r="B228" s="7">
        <v>1.28990686E9</v>
      </c>
      <c r="C228" s="7" t="s">
        <v>34325</v>
      </c>
      <c r="D228" s="160">
        <v>0.00446</v>
      </c>
    </row>
    <row r="229">
      <c r="A229" s="7" t="s">
        <v>1975</v>
      </c>
      <c r="B229" s="7">
        <v>38769.0</v>
      </c>
      <c r="C229" s="7" t="s">
        <v>33970</v>
      </c>
      <c r="D229" s="160">
        <v>0.0</v>
      </c>
    </row>
    <row r="230">
      <c r="A230" s="7" t="s">
        <v>1954</v>
      </c>
      <c r="B230" s="7">
        <v>2393747.0</v>
      </c>
      <c r="C230" s="7" t="s">
        <v>35300</v>
      </c>
      <c r="D230" s="160">
        <v>1.0E-5</v>
      </c>
    </row>
    <row r="231">
      <c r="A231" s="7" t="s">
        <v>1771</v>
      </c>
      <c r="B231" s="7">
        <v>1302422.0</v>
      </c>
      <c r="C231" s="7" t="s">
        <v>34277</v>
      </c>
      <c r="D231" s="160">
        <v>0.0</v>
      </c>
    </row>
    <row r="232">
      <c r="A232" s="7" t="s">
        <v>1470</v>
      </c>
      <c r="B232" s="7">
        <v>20030.0</v>
      </c>
      <c r="C232" s="7" t="s">
        <v>33920</v>
      </c>
      <c r="D232" s="160">
        <v>0.0</v>
      </c>
    </row>
    <row r="233">
      <c r="A233" s="7" t="s">
        <v>1861</v>
      </c>
      <c r="B233" s="7">
        <v>2642045.0</v>
      </c>
      <c r="C233" s="7" t="s">
        <v>34134</v>
      </c>
      <c r="D233" s="160">
        <v>1.0E-5</v>
      </c>
    </row>
    <row r="234">
      <c r="A234" s="7" t="s">
        <v>1952</v>
      </c>
      <c r="B234" s="7">
        <v>6018428.0</v>
      </c>
      <c r="C234" s="7" t="s">
        <v>35301</v>
      </c>
      <c r="D234" s="160">
        <v>2.0E-5</v>
      </c>
    </row>
    <row r="235">
      <c r="A235" s="7" t="s">
        <v>1853</v>
      </c>
      <c r="B235" s="7">
        <v>1550440.0</v>
      </c>
      <c r="C235" s="7" t="s">
        <v>34295</v>
      </c>
      <c r="D235" s="160">
        <v>1.0E-5</v>
      </c>
    </row>
    <row r="236">
      <c r="A236" s="7" t="s">
        <v>1939</v>
      </c>
      <c r="B236" s="7">
        <v>167081.0</v>
      </c>
      <c r="C236" s="7" t="s">
        <v>34117</v>
      </c>
      <c r="D236" s="160">
        <v>0.0</v>
      </c>
    </row>
    <row r="237">
      <c r="A237" s="7" t="s">
        <v>1999</v>
      </c>
      <c r="B237" s="7">
        <v>5.1650236E7</v>
      </c>
      <c r="C237" s="7" t="s">
        <v>35302</v>
      </c>
      <c r="D237" s="160">
        <v>1.8E-4</v>
      </c>
    </row>
    <row r="238">
      <c r="A238" s="7" t="s">
        <v>2008</v>
      </c>
      <c r="B238" s="7">
        <v>369212.0</v>
      </c>
      <c r="C238" s="7" t="s">
        <v>34260</v>
      </c>
      <c r="D238" s="160">
        <v>0.0</v>
      </c>
    </row>
    <row r="239">
      <c r="A239" s="7" t="s">
        <v>1869</v>
      </c>
      <c r="B239" s="7">
        <v>29255.0</v>
      </c>
      <c r="C239" s="7" t="s">
        <v>33977</v>
      </c>
      <c r="D239" s="160">
        <v>0.0</v>
      </c>
    </row>
    <row r="240">
      <c r="A240" s="7" t="s">
        <v>1782</v>
      </c>
      <c r="B240" s="7">
        <v>1.156775E7</v>
      </c>
      <c r="C240" s="7" t="s">
        <v>34298</v>
      </c>
      <c r="D240" s="160">
        <v>4.0E-5</v>
      </c>
    </row>
    <row r="241">
      <c r="A241" s="7" t="s">
        <v>1417</v>
      </c>
      <c r="B241" s="7">
        <v>115971.0</v>
      </c>
      <c r="C241" s="7" t="s">
        <v>33914</v>
      </c>
      <c r="D241" s="160">
        <v>0.0</v>
      </c>
    </row>
    <row r="242">
      <c r="A242" s="7" t="s">
        <v>2044</v>
      </c>
      <c r="B242" s="7">
        <v>48547.0</v>
      </c>
      <c r="C242" s="7" t="s">
        <v>33983</v>
      </c>
      <c r="D242" s="160">
        <v>0.0</v>
      </c>
    </row>
    <row r="243">
      <c r="A243" s="7" t="s">
        <v>1811</v>
      </c>
      <c r="B243" s="7">
        <v>4.6021439E7</v>
      </c>
      <c r="C243" s="7" t="s">
        <v>34330</v>
      </c>
      <c r="D243" s="160">
        <v>1.6E-4</v>
      </c>
    </row>
    <row r="244">
      <c r="A244" s="7" t="s">
        <v>1722</v>
      </c>
      <c r="B244" s="7">
        <v>1.8394565E7</v>
      </c>
      <c r="C244" s="7" t="s">
        <v>34331</v>
      </c>
      <c r="D244" s="160">
        <v>6.0E-5</v>
      </c>
    </row>
    <row r="245">
      <c r="A245" s="7" t="s">
        <v>1991</v>
      </c>
      <c r="B245" s="7">
        <v>95619.0</v>
      </c>
      <c r="C245" s="7" t="s">
        <v>33949</v>
      </c>
      <c r="D245" s="160">
        <v>0.0</v>
      </c>
    </row>
    <row r="246">
      <c r="A246" s="7" t="s">
        <v>1750</v>
      </c>
      <c r="B246" s="7">
        <v>2300.0</v>
      </c>
      <c r="C246" s="7" t="s">
        <v>33912</v>
      </c>
      <c r="D246" s="160">
        <v>0.0</v>
      </c>
    </row>
    <row r="247">
      <c r="A247" s="7" t="s">
        <v>1778</v>
      </c>
      <c r="B247" s="7">
        <v>26016.0</v>
      </c>
      <c r="C247" s="7" t="s">
        <v>33920</v>
      </c>
      <c r="D247" s="160">
        <v>0.0</v>
      </c>
    </row>
    <row r="248">
      <c r="A248" s="7" t="s">
        <v>1489</v>
      </c>
      <c r="B248" s="7">
        <v>4804448.0</v>
      </c>
      <c r="C248" s="7" t="s">
        <v>34340</v>
      </c>
      <c r="D248" s="160">
        <v>2.0E-5</v>
      </c>
    </row>
    <row r="249">
      <c r="A249" s="7" t="s">
        <v>1478</v>
      </c>
      <c r="B249" s="7">
        <v>1.204967124E9</v>
      </c>
      <c r="C249" s="7" t="s">
        <v>34348</v>
      </c>
      <c r="D249" s="160">
        <v>0.00417</v>
      </c>
    </row>
    <row r="250">
      <c r="A250" s="7" t="s">
        <v>1847</v>
      </c>
      <c r="B250" s="7">
        <v>7696831.0</v>
      </c>
      <c r="C250" s="7" t="s">
        <v>34299</v>
      </c>
      <c r="D250" s="160">
        <v>3.0E-5</v>
      </c>
    </row>
    <row r="251">
      <c r="A251" s="7" t="s">
        <v>1831</v>
      </c>
      <c r="B251" s="7">
        <v>69195.0</v>
      </c>
      <c r="C251" s="7" t="s">
        <v>33985</v>
      </c>
      <c r="D251" s="160">
        <v>0.0</v>
      </c>
    </row>
    <row r="252">
      <c r="A252" s="7" t="s">
        <v>2000</v>
      </c>
      <c r="B252" s="7">
        <v>3583703.0</v>
      </c>
      <c r="C252" s="7" t="s">
        <v>35278</v>
      </c>
      <c r="D252" s="160">
        <v>1.0E-5</v>
      </c>
    </row>
    <row r="253">
      <c r="A253" s="7" t="s">
        <v>1744</v>
      </c>
      <c r="B253" s="7">
        <v>3974.0</v>
      </c>
      <c r="C253" s="7" t="s">
        <v>33912</v>
      </c>
      <c r="D253" s="160">
        <v>0.0</v>
      </c>
    </row>
    <row r="254">
      <c r="A254" s="7" t="s">
        <v>1511</v>
      </c>
      <c r="B254" s="7">
        <v>57242.0</v>
      </c>
      <c r="C254" s="7" t="s">
        <v>33983</v>
      </c>
      <c r="D254" s="160">
        <v>0.0</v>
      </c>
    </row>
    <row r="255">
      <c r="A255" s="7" t="s">
        <v>1732</v>
      </c>
      <c r="B255" s="7">
        <v>1306693.0</v>
      </c>
      <c r="C255" s="7" t="s">
        <v>34315</v>
      </c>
      <c r="D255" s="160">
        <v>0.0</v>
      </c>
    </row>
    <row r="256">
      <c r="A256" s="7" t="s">
        <v>1789</v>
      </c>
      <c r="B256" s="7">
        <v>8.9325803E7</v>
      </c>
      <c r="C256" s="7" t="s">
        <v>34352</v>
      </c>
      <c r="D256" s="160">
        <v>3.1E-4</v>
      </c>
    </row>
    <row r="257">
      <c r="A257" s="7" t="s">
        <v>1838</v>
      </c>
      <c r="B257" s="7">
        <v>6726.0</v>
      </c>
      <c r="C257" s="7" t="s">
        <v>33974</v>
      </c>
      <c r="D257" s="160">
        <v>0.0</v>
      </c>
    </row>
    <row r="258">
      <c r="A258" s="7" t="s">
        <v>1712</v>
      </c>
      <c r="B258" s="7">
        <v>1951734.0</v>
      </c>
      <c r="C258" s="7" t="s">
        <v>34269</v>
      </c>
      <c r="D258" s="160">
        <v>1.0E-5</v>
      </c>
    </row>
    <row r="259">
      <c r="A259" s="7" t="s">
        <v>1626</v>
      </c>
      <c r="B259" s="7">
        <v>979094.0</v>
      </c>
      <c r="C259" s="7" t="s">
        <v>34258</v>
      </c>
      <c r="D259" s="160">
        <v>0.0</v>
      </c>
    </row>
    <row r="260">
      <c r="A260" s="7" t="s">
        <v>1471</v>
      </c>
      <c r="B260" s="7">
        <v>119.0</v>
      </c>
      <c r="C260" s="7" t="s">
        <v>33912</v>
      </c>
      <c r="D260" s="160">
        <v>0.0</v>
      </c>
    </row>
    <row r="261">
      <c r="A261" s="7" t="s">
        <v>1621</v>
      </c>
      <c r="B261" s="7">
        <v>1.489882444E9</v>
      </c>
      <c r="C261" s="7" t="s">
        <v>34309</v>
      </c>
      <c r="D261" s="160">
        <v>0.00515</v>
      </c>
    </row>
    <row r="262">
      <c r="A262" s="7" t="s">
        <v>1937</v>
      </c>
      <c r="B262" s="7">
        <v>2282338.0</v>
      </c>
      <c r="C262" s="7" t="s">
        <v>35303</v>
      </c>
      <c r="D262" s="160">
        <v>1.0E-5</v>
      </c>
    </row>
    <row r="263">
      <c r="A263" s="7" t="s">
        <v>1658</v>
      </c>
      <c r="B263" s="7">
        <v>87389.0</v>
      </c>
      <c r="C263" s="7" t="s">
        <v>33908</v>
      </c>
      <c r="D263" s="160">
        <v>0.0</v>
      </c>
    </row>
    <row r="264">
      <c r="A264" s="7" t="s">
        <v>1633</v>
      </c>
      <c r="B264" s="7">
        <v>8414086.0</v>
      </c>
      <c r="C264" s="7" t="s">
        <v>34308</v>
      </c>
      <c r="D264" s="160">
        <v>3.0E-5</v>
      </c>
    </row>
    <row r="265">
      <c r="B265" s="7">
        <v>2.89136375258E11</v>
      </c>
      <c r="C265" s="7" t="s">
        <v>35304</v>
      </c>
      <c r="D265" s="160">
        <v>1.0</v>
      </c>
    </row>
  </sheetData>
  <drawing r:id="rId1"/>
</worksheet>
</file>